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3040" windowHeight="9000"/>
  </bookViews>
  <sheets>
    <sheet name="PLDT" sheetId="1" r:id="rId1"/>
    <sheet name="RED" sheetId="2" r:id="rId2"/>
    <sheet name="VALID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0_-;\-* #,##0_-;_-* &quot;-&quot;_-;_-@_-"/>
    <numFmt numFmtId="42" formatCode="_-&quot;₱&quot;* #,##0_-;\-&quot;₱&quot;* #,##0_-;_-&quot;₱&quot;* &quot;-&quot;_-;_-@_-"/>
    <numFmt numFmtId="43" formatCode="_-* #,##0.00_-;\-* #,##0.00_-;_-* &quot;-&quot;??_-;_-@_-"/>
    <numFmt numFmtId="44" formatCode="_-&quot;₱&quot;* #,##0.00_-;\-&quot;₱&quot;* #,##0.00_-;_-&quot;₱&quot;* &quot;-&quot;??_-;_-@_-"/>
    <numFmt numFmtId="176" formatCode="m/d/yyyy"/>
  </numFmts>
  <fonts count="23">
    <font>
      <sz val="10"/>
      <color rgb="FF000000"/>
      <name val="Arial"/>
      <charset val="134"/>
      <scheme val="minor"/>
    </font>
    <font>
      <sz val="10"/>
      <color theme="1"/>
      <name val="Arial"/>
      <charset val="134"/>
      <scheme val="minor"/>
    </font>
    <font>
      <u/>
      <sz val="10"/>
      <color rgb="FF0000FF"/>
      <name val="Arial"/>
      <charset val="134"/>
      <scheme val="minor"/>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2"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3" borderId="4" applyNumberFormat="0" applyAlignment="0" applyProtection="0">
      <alignment vertical="center"/>
    </xf>
    <xf numFmtId="0" fontId="13" fillId="4" borderId="5" applyNumberFormat="0" applyAlignment="0" applyProtection="0">
      <alignment vertical="center"/>
    </xf>
    <xf numFmtId="0" fontId="14" fillId="4" borderId="4" applyNumberFormat="0" applyAlignment="0" applyProtection="0">
      <alignment vertical="center"/>
    </xf>
    <xf numFmtId="0" fontId="15" fillId="5"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5">
    <xf numFmtId="0" fontId="0" fillId="0" borderId="0" xfId="0" applyFont="1" applyAlignment="1"/>
    <xf numFmtId="0" fontId="1" fillId="0" borderId="0" xfId="0" applyFont="1"/>
    <xf numFmtId="176" fontId="1" fillId="0" borderId="0" xfId="0" applyNumberFormat="1" applyFont="1" applyAlignment="1"/>
    <xf numFmtId="176" fontId="1" fillId="0" borderId="0" xfId="0" applyNumberFormat="1" applyFont="1"/>
    <xf numFmtId="0" fontId="2" fillId="0" borderId="0" xfId="0" applyFo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xml version="1.0" encoding="UTF-8" standalone="yes"?>
<Relationships xmlns="http://schemas.openxmlformats.org/package/2006/relationships"><Relationship Id="rId2" Type="http://schemas.openxmlformats.org/officeDocument/2006/relationships/hyperlink" Target="http://leonizoleila242gmail.com" TargetMode="External"/><Relationship Id="rId1" Type="http://schemas.openxmlformats.org/officeDocument/2006/relationships/hyperlink" Target="http://junazanza2gmail.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I1542"/>
  <sheetViews>
    <sheetView tabSelected="1" topLeftCell="A1201" workbookViewId="0">
      <selection activeCell="B1226" sqref="B1226"/>
    </sheetView>
  </sheetViews>
  <sheetFormatPr defaultColWidth="12.6296296296296" defaultRowHeight="15.75" customHeight="1"/>
  <sheetData>
    <row r="1" customHeight="1" spans="1:35">
      <c r="A1" s="1" t="str">
        <f>IFERROR(__xludf.DUMMYFUNCTION("IMPORTRANGE(""https://docs.google.com/spreadsheets/d/1JnYkQGSf1Bo3InD0sweSISZhv9M5KNtypCcNKll1aWk/edit?gid=0#gid=0"",""MASTERLIST!A:AI"")"),"DATE")</f>
        <v>DATE</v>
      </c>
      <c r="B1" s="1" t="str">
        <f>IFERROR(__xludf.DUMMYFUNCTION("""COMPUTED_VALUE"""),"SUBSCRIBER NAME")</f>
        <v>SUBSCRIBER NAME</v>
      </c>
      <c r="C1" s="1" t="str">
        <f>IFERROR(__xludf.DUMMYFUNCTION("""COMPUTED_VALUE"""),"SR")</f>
        <v>SR</v>
      </c>
      <c r="D1" s="1" t="str">
        <f>IFERROR(__xludf.DUMMYFUNCTION("""COMPUTED_VALUE"""),"ACCT")</f>
        <v>ACCT</v>
      </c>
      <c r="E1" s="1" t="str">
        <f>IFERROR(__xludf.DUMMYFUNCTION("""COMPUTED_VALUE"""),"PR")</f>
        <v>PR</v>
      </c>
      <c r="F1" s="1" t="str">
        <f>IFERROR(__xludf.DUMMYFUNCTION("""COMPUTED_VALUE"""),"CSP STATUS")</f>
        <v>CSP STATUS</v>
      </c>
      <c r="G1" s="1" t="str">
        <f>IFERROR(__xludf.DUMMYFUNCTION("""COMPUTED_VALUE"""),"CSP REMARKS")</f>
        <v>CSP REMARKS</v>
      </c>
      <c r="H1" s="1" t="str">
        <f>IFERROR(__xludf.DUMMYFUNCTION("""COMPUTED_VALUE"""),"PAYMENT REFERENCE/ REMARKS")</f>
        <v>PAYMENT REFERENCE/ REMARKS</v>
      </c>
      <c r="I1" s="1" t="str">
        <f>IFERROR(__xludf.DUMMYFUNCTION("""COMPUTED_VALUE"""),"PAYMENT STATUS")</f>
        <v>PAYMENT STATUS</v>
      </c>
      <c r="J1" s="1" t="str">
        <f>IFERROR(__xludf.DUMMYFUNCTION("""COMPUTED_VALUE"""),"FUSE STATUS")</f>
        <v>FUSE STATUS</v>
      </c>
      <c r="K1" s="1" t="str">
        <f>IFERROR(__xludf.DUMMYFUNCTION("""COMPUTED_VALUE"""),"OFSC STATUS")</f>
        <v>OFSC STATUS</v>
      </c>
      <c r="L1" s="1" t="str">
        <f>IFERROR(__xludf.DUMMYFUNCTION("""COMPUTED_VALUE"""),"HD RECOMMENDATION")</f>
        <v>HD RECOMMENDATION</v>
      </c>
      <c r="M1" s="1" t="str">
        <f>IFERROR(__xludf.DUMMYFUNCTION("""COMPUTED_VALUE"""),"FINAL STATUS")</f>
        <v>FINAL STATUS</v>
      </c>
      <c r="N1" s="1" t="str">
        <f>IFERROR(__xludf.DUMMYFUNCTION("""COMPUTED_VALUE"""),"POSTED DATE")</f>
        <v>POSTED DATE</v>
      </c>
      <c r="O1" s="1" t="str">
        <f>IFERROR(__xludf.DUMMYFUNCTION("""COMPUTED_VALUE"""),"AVAILED PLAN")</f>
        <v>AVAILED PLAN</v>
      </c>
      <c r="P1" s="1" t="str">
        <f>IFERROR(__xludf.DUMMYFUNCTION("""COMPUTED_VALUE"""),"PLAN CATEGORY")</f>
        <v>PLAN CATEGORY</v>
      </c>
      <c r="Q1" s="1" t="str">
        <f>IFERROR(__xludf.DUMMYFUNCTION("""COMPUTED_VALUE"""),"AGENT CODE")</f>
        <v>AGENT CODE</v>
      </c>
      <c r="R1" s="1" t="str">
        <f>IFERROR(__xludf.DUMMYFUNCTION("""COMPUTED_VALUE"""),"AGENT NAME")</f>
        <v>AGENT NAME</v>
      </c>
      <c r="S1" s="1" t="str">
        <f>IFERROR(__xludf.DUMMYFUNCTION("""COMPUTED_VALUE"""),"DESIGNATION")</f>
        <v>DESIGNATION</v>
      </c>
      <c r="T1" s="1" t="str">
        <f>IFERROR(__xludf.DUMMYFUNCTION("""COMPUTED_VALUE"""),"TEAM LEADER")</f>
        <v>TEAM LEADER</v>
      </c>
      <c r="U1" s="1" t="str">
        <f>IFERROR(__xludf.DUMMYFUNCTION("""COMPUTED_VALUE"""),"ENCODER")</f>
        <v>ENCODER</v>
      </c>
      <c r="V1" s="1" t="str">
        <f>IFERROR(__xludf.DUMMYFUNCTION("""COMPUTED_VALUE"""),"EVENT TYPE")</f>
        <v>EVENT TYPE</v>
      </c>
      <c r="W1" s="1" t="str">
        <f>IFERROR(__xludf.DUMMYFUNCTION("""COMPUTED_VALUE"""),"ENCODED THRU")</f>
        <v>ENCODED THRU</v>
      </c>
      <c r="X1" s="1" t="str">
        <f>IFERROR(__xludf.DUMMYFUNCTION("""COMPUTED_VALUE"""),"PROMO")</f>
        <v>PROMO</v>
      </c>
      <c r="Y1" s="1" t="str">
        <f>IFERROR(__xludf.DUMMYFUNCTION("""COMPUTED_VALUE"""),"EVENT CODE")</f>
        <v>EVENT CODE</v>
      </c>
      <c r="Z1" s="1" t="str">
        <f>IFERROR(__xludf.DUMMYFUNCTION("""COMPUTED_VALUE"""),"SO TYPE")</f>
        <v>SO TYPE</v>
      </c>
      <c r="AA1" s="1" t="str">
        <f>IFERROR(__xludf.DUMMYFUNCTION("""COMPUTED_VALUE"""),"CBR 1")</f>
        <v>CBR 1</v>
      </c>
      <c r="AB1" s="1" t="str">
        <f>IFERROR(__xludf.DUMMYFUNCTION("""COMPUTED_VALUE"""),"CBR 2")</f>
        <v>CBR 2</v>
      </c>
      <c r="AC1" s="1" t="str">
        <f>IFERROR(__xludf.DUMMYFUNCTION("""COMPUTED_VALUE"""),"HOUSE #")</f>
        <v>HOUSE #</v>
      </c>
      <c r="AD1" s="1" t="str">
        <f>IFERROR(__xludf.DUMMYFUNCTION("""COMPUTED_VALUE"""),"ST NAME")</f>
        <v>ST NAME</v>
      </c>
      <c r="AE1" s="1" t="str">
        <f>IFERROR(__xludf.DUMMYFUNCTION("""COMPUTED_VALUE"""),"SUBDIVISION")</f>
        <v>SUBDIVISION</v>
      </c>
      <c r="AF1" s="1" t="str">
        <f>IFERROR(__xludf.DUMMYFUNCTION("""COMPUTED_VALUE"""),"BRGY")</f>
        <v>BRGY</v>
      </c>
      <c r="AG1" s="1" t="str">
        <f>IFERROR(__xludf.DUMMYFUNCTION("""COMPUTED_VALUE"""),"CITY")</f>
        <v>CITY</v>
      </c>
      <c r="AH1" s="1" t="str">
        <f>IFERROR(__xludf.DUMMYFUNCTION("""COMPUTED_VALUE"""),"LANDMARKS")</f>
        <v>LANDMARKS</v>
      </c>
      <c r="AI1" s="1" t="str">
        <f>IFERROR(__xludf.DUMMYFUNCTION("""COMPUTED_VALUE"""),"CLUSTER")</f>
        <v>CLUSTER</v>
      </c>
    </row>
    <row r="2" customHeight="1" spans="1:35">
      <c r="A2" s="3">
        <f>IFERROR(__xludf.DUMMYFUNCTION("""COMPUTED_VALUE"""),46225)</f>
        <v>46225</v>
      </c>
      <c r="B2" s="1" t="str">
        <f>IFERROR(__xludf.DUMMYFUNCTION("""COMPUTED_VALUE"""),"VANESSA AQUINO SISON")</f>
        <v>VANESSA AQUINO SISON</v>
      </c>
      <c r="C2" s="1"/>
      <c r="D2" s="1"/>
      <c r="E2" s="1"/>
      <c r="F2" s="1" t="str">
        <f>IFERROR(__xludf.DUMMYFUNCTION("""COMPUTED_VALUE"""),"CLOSED")</f>
        <v>CLOSED</v>
      </c>
      <c r="G2" s="1" t="str">
        <f>IFERROR(__xludf.DUMMYFUNCTION("""COMPUTED_VALUE"""),"CLOSED")</f>
        <v>CLOSED</v>
      </c>
      <c r="H2" s="1" t="str">
        <f>IFERROR(__xludf.DUMMYFUNCTION("""COMPUTED_VALUE"""),"NO COMMI YET -")</f>
        <v>NO COMMI YET -</v>
      </c>
      <c r="I2" s="1" t="str">
        <f>IFERROR(__xludf.DUMMYFUNCTION("""COMPUTED_VALUE"""),"NO 1 AMSF")</f>
        <v>NO 1 AMSF</v>
      </c>
      <c r="J2" s="1" t="str">
        <f>IFERROR(__xludf.DUMMYFUNCTION("""COMPUTED_VALUE"""),"NO PAYMENT")</f>
        <v>NO PAYMENT</v>
      </c>
      <c r="K2" s="1" t="str">
        <f>IFERROR(__xludf.DUMMYFUNCTION("""COMPUTED_VALUE"""),"COMPLETED")</f>
        <v>COMPLETED</v>
      </c>
      <c r="L2" s="1" t="str">
        <f>IFERROR(__xludf.DUMMYFUNCTION("""COMPUTED_VALUE"""),"POSTED")</f>
        <v>POSTED</v>
      </c>
      <c r="M2" s="1" t="str">
        <f>IFERROR(__xludf.DUMMYFUNCTION("""COMPUTED_VALUE"""),"POSTED")</f>
        <v>POSTED</v>
      </c>
      <c r="N2" s="3">
        <f>IFERROR(__xludf.DUMMYFUNCTION("""COMPUTED_VALUE"""),46240)</f>
        <v>46240</v>
      </c>
      <c r="O2" s="1" t="str">
        <f>IFERROR(__xludf.DUMMYFUNCTION("""COMPUTED_VALUE"""),"FIBR UNLI ALL PLAN 999")</f>
        <v>FIBR UNLI ALL PLAN 999</v>
      </c>
      <c r="P2" s="1" t="str">
        <f>IFERROR(__xludf.DUMMYFUNCTION("""COMPUTED_VALUE"""),"LOWPLAN")</f>
        <v>LOWPLAN</v>
      </c>
      <c r="Q2" s="1" t="str">
        <f>IFERROR(__xludf.DUMMYFUNCTION("""COMPUTED_VALUE"""),"P401648")</f>
        <v>P401648</v>
      </c>
      <c r="R2" s="1" t="str">
        <f>IFERROR(__xludf.DUMMYFUNCTION("""COMPUTED_VALUE"""),"MALIWAT, MARK")</f>
        <v>MALIWAT, MARK</v>
      </c>
      <c r="S2" s="1" t="str">
        <f>IFERROR(__xludf.DUMMYFUNCTION("""COMPUTED_VALUE"""),"FLA")</f>
        <v>FLA</v>
      </c>
      <c r="T2" s="1" t="str">
        <f>IFERROR(__xludf.DUMMYFUNCTION("""COMPUTED_VALUE"""),"JERIC NAVARRO")</f>
        <v>JERIC NAVARRO</v>
      </c>
      <c r="U2" s="1" t="str">
        <f>IFERROR(__xludf.DUMMYFUNCTION("""COMPUTED_VALUE"""),"JB SALIOA")</f>
        <v>JB SALIOA</v>
      </c>
      <c r="V2" s="1" t="str">
        <f>IFERROR(__xludf.DUMMYFUNCTION("""COMPUTED_VALUE"""),"BK")</f>
        <v>BK</v>
      </c>
      <c r="W2" s="1" t="str">
        <f>IFERROR(__xludf.DUMMYFUNCTION("""COMPUTED_VALUE"""),"STK")</f>
        <v>STK</v>
      </c>
      <c r="X2" s="1" t="str">
        <f>IFERROR(__xludf.DUMMYFUNCTION("""COMPUTED_VALUE"""),"REGULAR")</f>
        <v>REGULAR</v>
      </c>
      <c r="Y2" s="1" t="str">
        <f>IFERROR(__xludf.DUMMYFUNCTION("""COMPUTED_VALUE"""),"BK_CVEU_260636")</f>
        <v>BK_CVEU_260636</v>
      </c>
      <c r="Z2" s="1" t="str">
        <f>IFERROR(__xludf.DUMMYFUNCTION("""COMPUTED_VALUE"""),"NEW CONNECT")</f>
        <v>NEW CONNECT</v>
      </c>
      <c r="AA2" s="1">
        <f>IFERROR(__xludf.DUMMYFUNCTION("""COMPUTED_VALUE"""),639244027011)</f>
        <v>639244027011</v>
      </c>
      <c r="AB2" s="1">
        <f>IFERROR(__xludf.DUMMYFUNCTION("""COMPUTED_VALUE"""),639918218669)</f>
        <v>639918218669</v>
      </c>
      <c r="AC2" s="1">
        <f>IFERROR(__xludf.DUMMYFUNCTION("""COMPUTED_VALUE"""),79)</f>
        <v>79</v>
      </c>
      <c r="AD2" s="1" t="str">
        <f>IFERROR(__xludf.DUMMYFUNCTION("""COMPUTED_VALUE"""),"NARRA")</f>
        <v>NARRA</v>
      </c>
      <c r="AE2" s="1"/>
      <c r="AF2" s="1" t="str">
        <f>IFERROR(__xludf.DUMMYFUNCTION("""COMPUTED_VALUE"""),"BGY SAN MIGUEL 2")</f>
        <v>BGY SAN MIGUEL 2</v>
      </c>
      <c r="AG2" s="1" t="str">
        <f>IFERROR(__xludf.DUMMYFUNCTION("""COMPUTED_VALUE"""),"SILANG")</f>
        <v>SILANG</v>
      </c>
      <c r="AH2" s="1" t="str">
        <f>IFERROR(__xludf.DUMMYFUNCTION("""COMPUTED_VALUE"""),"STRELLA HOSPITAL")</f>
        <v>STRELLA HOSPITAL</v>
      </c>
      <c r="AI2" s="1" t="str">
        <f>IFERROR(__xludf.DUMMYFUNCTION("""COMPUTED_VALUE"""),"CLUSTER 11")</f>
        <v>CLUSTER 11</v>
      </c>
    </row>
    <row r="3" customHeight="1" spans="1:35">
      <c r="A3" s="3">
        <f>IFERROR(__xludf.DUMMYFUNCTION("""COMPUTED_VALUE"""),46230)</f>
        <v>46230</v>
      </c>
      <c r="B3" s="1" t="str">
        <f>IFERROR(__xludf.DUMMYFUNCTION("""COMPUTED_VALUE"""),"KATHLENE ANNE JIMENO AURE")</f>
        <v>KATHLENE ANNE JIMENO AURE</v>
      </c>
      <c r="C3" s="1"/>
      <c r="D3" s="1"/>
      <c r="E3" s="1"/>
      <c r="F3" s="1" t="str">
        <f>IFERROR(__xludf.DUMMYFUNCTION("""COMPUTED_VALUE"""),"CLOSED")</f>
        <v>CLOSED</v>
      </c>
      <c r="G3" s="1" t="str">
        <f>IFERROR(__xludf.DUMMYFUNCTION("""COMPUTED_VALUE"""),"CLOSED")</f>
        <v>CLOSED</v>
      </c>
      <c r="H3" s="1" t="str">
        <f>IFERROR(__xludf.DUMMYFUNCTION("""COMPUTED_VALUE"""),"PAID VIA 686294910 AUGUST 2")</f>
        <v>PAID VIA 686294910 AUGUST 2</v>
      </c>
      <c r="I3" s="1" t="str">
        <f>IFERROR(__xludf.DUMMYFUNCTION("""COMPUTED_VALUE"""),"WITH 1 AMSF")</f>
        <v>WITH 1 AMSF</v>
      </c>
      <c r="J3" s="1"/>
      <c r="K3" s="1" t="str">
        <f>IFERROR(__xludf.DUMMYFUNCTION("""COMPUTED_VALUE"""),"NOT IN OFSC")</f>
        <v>NOT IN OFSC</v>
      </c>
      <c r="L3" s="1" t="str">
        <f>IFERROR(__xludf.DUMMYFUNCTION("""COMPUTED_VALUE"""),"POSTED")</f>
        <v>POSTED</v>
      </c>
      <c r="M3" s="1" t="str">
        <f>IFERROR(__xludf.DUMMYFUNCTION("""COMPUTED_VALUE"""),"POSTED")</f>
        <v>POSTED</v>
      </c>
      <c r="N3" s="3">
        <f>IFERROR(__xludf.DUMMYFUNCTION("""COMPUTED_VALUE"""),46236)</f>
        <v>46236</v>
      </c>
      <c r="O3" s="1" t="str">
        <f>IFERROR(__xludf.DUMMYFUNCTION("""COMPUTED_VALUE"""),"FIBR UNLI ALL PLAN 999")</f>
        <v>FIBR UNLI ALL PLAN 999</v>
      </c>
      <c r="P3" s="1" t="str">
        <f>IFERROR(__xludf.DUMMYFUNCTION("""COMPUTED_VALUE"""),"LOWPLAN")</f>
        <v>LOWPLAN</v>
      </c>
      <c r="Q3" s="1" t="str">
        <f>IFERROR(__xludf.DUMMYFUNCTION("""COMPUTED_VALUE"""),"P401649")</f>
        <v>P401649</v>
      </c>
      <c r="R3" s="1" t="str">
        <f>IFERROR(__xludf.DUMMYFUNCTION("""COMPUTED_VALUE"""),"FRANCISCO, ROSELYN")</f>
        <v>FRANCISCO, ROSELYN</v>
      </c>
      <c r="S3" s="1" t="str">
        <f>IFERROR(__xludf.DUMMYFUNCTION("""COMPUTED_VALUE"""),"ORGANIC")</f>
        <v>ORGANIC</v>
      </c>
      <c r="T3" s="1" t="str">
        <f>IFERROR(__xludf.DUMMYFUNCTION("""COMPUTED_VALUE"""),"LEA REMOLLO")</f>
        <v>LEA REMOLLO</v>
      </c>
      <c r="U3" s="1" t="str">
        <f>IFERROR(__xludf.DUMMYFUNCTION("""COMPUTED_VALUE"""),"JB SALIOA")</f>
        <v>JB SALIOA</v>
      </c>
      <c r="V3" s="1" t="str">
        <f>IFERROR(__xludf.DUMMYFUNCTION("""COMPUTED_VALUE"""),"BK")</f>
        <v>BK</v>
      </c>
      <c r="W3" s="1" t="str">
        <f>IFERROR(__xludf.DUMMYFUNCTION("""COMPUTED_VALUE"""),"STK")</f>
        <v>STK</v>
      </c>
      <c r="X3" s="1" t="str">
        <f>IFERROR(__xludf.DUMMYFUNCTION("""COMPUTED_VALUE"""),"HBBS JUL 2026")</f>
        <v>HBBS JUL 2026</v>
      </c>
      <c r="Y3" s="1" t="str">
        <f>IFERROR(__xludf.DUMMYFUNCTION("""COMPUTED_VALUE"""),"BK_CVEU_260645")</f>
        <v>BK_CVEU_260645</v>
      </c>
      <c r="Z3" s="1" t="str">
        <f>IFERROR(__xludf.DUMMYFUNCTION("""COMPUTED_VALUE"""),"NEW CONNECT")</f>
        <v>NEW CONNECT</v>
      </c>
      <c r="AA3" s="1">
        <f>IFERROR(__xludf.DUMMYFUNCTION("""COMPUTED_VALUE"""),639705293314)</f>
        <v>639705293314</v>
      </c>
      <c r="AB3" s="1">
        <f>IFERROR(__xludf.DUMMYFUNCTION("""COMPUTED_VALUE"""),639460922505)</f>
        <v>639460922505</v>
      </c>
      <c r="AC3" s="1">
        <f>IFERROR(__xludf.DUMMYFUNCTION("""COMPUTED_VALUE"""),6147)</f>
        <v>6147</v>
      </c>
      <c r="AD3" s="1" t="str">
        <f>IFERROR(__xludf.DUMMYFUNCTION("""COMPUTED_VALUE"""),"KALUBKOB")</f>
        <v>KALUBKOB</v>
      </c>
      <c r="AE3" s="1"/>
      <c r="AF3" s="1" t="str">
        <f>IFERROR(__xludf.DUMMYFUNCTION("""COMPUTED_VALUE"""),"BGY ASIS 1")</f>
        <v>BGY ASIS 1</v>
      </c>
      <c r="AG3" s="1" t="str">
        <f>IFERROR(__xludf.DUMMYFUNCTION("""COMPUTED_VALUE"""),"MENDEZ")</f>
        <v>MENDEZ</v>
      </c>
      <c r="AH3" s="1" t="str">
        <f>IFERROR(__xludf.DUMMYFUNCTION("""COMPUTED_VALUE"""),"MEDIX ")</f>
        <v>MEDIX </v>
      </c>
      <c r="AI3" s="1" t="str">
        <f>IFERROR(__xludf.DUMMYFUNCTION("""COMPUTED_VALUE"""),"CLUSTER 12")</f>
        <v>CLUSTER 12</v>
      </c>
    </row>
    <row r="4" customHeight="1" spans="1:35">
      <c r="A4" s="3">
        <f>IFERROR(__xludf.DUMMYFUNCTION("""COMPUTED_VALUE"""),46231)</f>
        <v>46231</v>
      </c>
      <c r="B4" s="1" t="str">
        <f>IFERROR(__xludf.DUMMYFUNCTION("""COMPUTED_VALUE"""),"CRISTINE JANE CRUZ HAINZ")</f>
        <v>CRISTINE JANE CRUZ HAINZ</v>
      </c>
      <c r="C4" s="1"/>
      <c r="D4" s="1"/>
      <c r="E4" s="1"/>
      <c r="F4" s="1" t="str">
        <f>IFERROR(__xludf.DUMMYFUNCTION("""COMPUTED_VALUE"""),"CLOSED")</f>
        <v>CLOSED</v>
      </c>
      <c r="G4" s="1" t="str">
        <f>IFERROR(__xludf.DUMMYFUNCTION("""COMPUTED_VALUE"""),"CLOSED")</f>
        <v>CLOSED</v>
      </c>
      <c r="H4" s="1" t="str">
        <f>IFERROR(__xludf.DUMMYFUNCTION("""COMPUTED_VALUE"""),"PQGOR358936743	28-Jul-26	Regular Payment	CIS_ATOME	1,299.00	0	28-Jul-26")</f>
        <v>PQGOR358936743	28-Jul-26	Regular Payment	CIS_ATOME	1,299.00	0	28-Jul-26</v>
      </c>
      <c r="I4" s="1" t="str">
        <f>IFERROR(__xludf.DUMMYFUNCTION("""COMPUTED_VALUE"""),"WITH 1 AMSF")</f>
        <v>WITH 1 AMSF</v>
      </c>
      <c r="J4" s="1"/>
      <c r="K4" s="1" t="str">
        <f>IFERROR(__xludf.DUMMYFUNCTION("""COMPUTED_VALUE"""),"NOT IN OFSC")</f>
        <v>NOT IN OFSC</v>
      </c>
      <c r="L4" s="1" t="str">
        <f>IFERROR(__xludf.DUMMYFUNCTION("""COMPUTED_VALUE"""),"POSTED")</f>
        <v>POSTED</v>
      </c>
      <c r="M4" s="1" t="str">
        <f>IFERROR(__xludf.DUMMYFUNCTION("""COMPUTED_VALUE"""),"POSTED")</f>
        <v>POSTED</v>
      </c>
      <c r="N4" s="3">
        <f>IFERROR(__xludf.DUMMYFUNCTION("""COMPUTED_VALUE"""),46236)</f>
        <v>46236</v>
      </c>
      <c r="O4" s="1" t="str">
        <f>IFERROR(__xludf.DUMMYFUNCTION("""COMPUTED_VALUE"""),"FIBR PLAN 1299")</f>
        <v>FIBR PLAN 1299</v>
      </c>
      <c r="P4" s="1" t="str">
        <f>IFERROR(__xludf.DUMMYFUNCTION("""COMPUTED_VALUE"""),"LOWPLAN")</f>
        <v>LOWPLAN</v>
      </c>
      <c r="Q4" s="1" t="str">
        <f>IFERROR(__xludf.DUMMYFUNCTION("""COMPUTED_VALUE"""),"P396114")</f>
        <v>P396114</v>
      </c>
      <c r="R4" s="1" t="str">
        <f>IFERROR(__xludf.DUMMYFUNCTION("""COMPUTED_VALUE"""),"GABAY, MANUEL")</f>
        <v>GABAY, MANUEL</v>
      </c>
      <c r="S4" s="1" t="str">
        <f>IFERROR(__xludf.DUMMYFUNCTION("""COMPUTED_VALUE"""),"FLA")</f>
        <v>FLA</v>
      </c>
      <c r="T4" s="1" t="str">
        <f>IFERROR(__xludf.DUMMYFUNCTION("""COMPUTED_VALUE"""),"JERIC NAVARRO")</f>
        <v>JERIC NAVARRO</v>
      </c>
      <c r="U4" s="1" t="str">
        <f>IFERROR(__xludf.DUMMYFUNCTION("""COMPUTED_VALUE"""),"JB SALIOA")</f>
        <v>JB SALIOA</v>
      </c>
      <c r="V4" s="1" t="str">
        <f>IFERROR(__xludf.DUMMYFUNCTION("""COMPUTED_VALUE"""),"BK REGULAR")</f>
        <v>BK REGULAR</v>
      </c>
      <c r="W4" s="1" t="str">
        <f>IFERROR(__xludf.DUMMYFUNCTION("""COMPUTED_VALUE"""),"STK")</f>
        <v>STK</v>
      </c>
      <c r="X4" s="1" t="str">
        <f>IFERROR(__xludf.DUMMYFUNCTION("""COMPUTED_VALUE"""),"HBBS JUL 2026")</f>
        <v>HBBS JUL 2026</v>
      </c>
      <c r="Y4" s="1" t="str">
        <f>IFERROR(__xludf.DUMMYFUNCTION("""COMPUTED_VALUE"""),"BK_CVEU_260644")</f>
        <v>BK_CVEU_260644</v>
      </c>
      <c r="Z4" s="1" t="str">
        <f>IFERROR(__xludf.DUMMYFUNCTION("""COMPUTED_VALUE"""),"NEW CONNECT")</f>
        <v>NEW CONNECT</v>
      </c>
      <c r="AA4" s="1">
        <f>IFERROR(__xludf.DUMMYFUNCTION("""COMPUTED_VALUE"""),639764418784)</f>
        <v>639764418784</v>
      </c>
      <c r="AB4" s="1">
        <f>IFERROR(__xludf.DUMMYFUNCTION("""COMPUTED_VALUE"""),639679253459)</f>
        <v>639679253459</v>
      </c>
      <c r="AC4" s="1">
        <f>IFERROR(__xludf.DUMMYFUNCTION("""COMPUTED_VALUE"""),58)</f>
        <v>58</v>
      </c>
      <c r="AD4" s="1" t="str">
        <f>IFERROR(__xludf.DUMMYFUNCTION("""COMPUTED_VALUE"""),"TAGAYTAY-AMADEO")</f>
        <v>TAGAYTAY-AMADEO</v>
      </c>
      <c r="AE4" s="1" t="str">
        <f>IFERROR(__xludf.DUMMYFUNCTION("""COMPUTED_VALUE"""),"UNIT 3")</f>
        <v>UNIT 3</v>
      </c>
      <c r="AF4" s="1" t="str">
        <f>IFERROR(__xludf.DUMMYFUNCTION("""COMPUTED_VALUE"""),"BGY KAYBAGAL EAST")</f>
        <v>BGY KAYBAGAL EAST</v>
      </c>
      <c r="AG4" s="1" t="str">
        <f>IFERROR(__xludf.DUMMYFUNCTION("""COMPUTED_VALUE"""),"TAGAYTAY")</f>
        <v>TAGAYTAY</v>
      </c>
      <c r="AH4" s="1" t="str">
        <f>IFERROR(__xludf.DUMMYFUNCTION("""COMPUTED_VALUE"""),"TWINBAR METAL // OLD NBI ")</f>
        <v>TWINBAR METAL // OLD NBI </v>
      </c>
      <c r="AI4" s="1" t="str">
        <f>IFERROR(__xludf.DUMMYFUNCTION("""COMPUTED_VALUE"""),"CLUSTER 12")</f>
        <v>CLUSTER 12</v>
      </c>
    </row>
    <row r="5" customHeight="1" spans="1:35">
      <c r="A5" s="3">
        <f>IFERROR(__xludf.DUMMYFUNCTION("""COMPUTED_VALUE"""),46233)</f>
        <v>46233</v>
      </c>
      <c r="B5" s="1" t="str">
        <f>IFERROR(__xludf.DUMMYFUNCTION("""COMPUTED_VALUE"""),"RODERICK MIL GOMEZ")</f>
        <v>RODERICK MIL GOMEZ</v>
      </c>
      <c r="C5" s="1"/>
      <c r="D5" s="1"/>
      <c r="E5" s="1"/>
      <c r="F5" s="1" t="str">
        <f>IFERROR(__xludf.DUMMYFUNCTION("""COMPUTED_VALUE"""),"CLOSED")</f>
        <v>CLOSED</v>
      </c>
      <c r="G5" s="1" t="str">
        <f>IFERROR(__xludf.DUMMYFUNCTION("""COMPUTED_VALUE"""),"CLOSED")</f>
        <v>CLOSED</v>
      </c>
      <c r="H5" s="1" t="str">
        <f>IFERROR(__xludf.DUMMYFUNCTION("""COMPUTED_VALUE"""),"PAID VIA GCASH REF# 255647402 8/5")</f>
        <v>PAID VIA GCASH REF# 255647402 8/5</v>
      </c>
      <c r="I5" s="1" t="str">
        <f>IFERROR(__xludf.DUMMYFUNCTION("""COMPUTED_VALUE"""),"WITH 1 AMSF")</f>
        <v>WITH 1 AMSF</v>
      </c>
      <c r="J5" s="1"/>
      <c r="K5" s="1" t="str">
        <f>IFERROR(__xludf.DUMMYFUNCTION("""COMPUTED_VALUE"""),"NOT IN OFSC")</f>
        <v>NOT IN OFSC</v>
      </c>
      <c r="L5" s="1" t="str">
        <f>IFERROR(__xludf.DUMMYFUNCTION("""COMPUTED_VALUE"""),"POSTED")</f>
        <v>POSTED</v>
      </c>
      <c r="M5" s="1" t="str">
        <f>IFERROR(__xludf.DUMMYFUNCTION("""COMPUTED_VALUE"""),"POSTED")</f>
        <v>POSTED</v>
      </c>
      <c r="N5" s="3">
        <f>IFERROR(__xludf.DUMMYFUNCTION("""COMPUTED_VALUE"""),46239)</f>
        <v>46239</v>
      </c>
      <c r="O5" s="1" t="str">
        <f>IFERROR(__xludf.DUMMYFUNCTION("""COMPUTED_VALUE"""),"FIBR PLAN 1299")</f>
        <v>FIBR PLAN 1299</v>
      </c>
      <c r="P5" s="1" t="str">
        <f>IFERROR(__xludf.DUMMYFUNCTION("""COMPUTED_VALUE"""),"LOWPLAN")</f>
        <v>LOWPLAN</v>
      </c>
      <c r="Q5" s="1" t="str">
        <f>IFERROR(__xludf.DUMMYFUNCTION("""COMPUTED_VALUE"""),"P399651 ")</f>
        <v>P399651 </v>
      </c>
      <c r="R5" s="1" t="str">
        <f>IFERROR(__xludf.DUMMYFUNCTION("""COMPUTED_VALUE"""),"IVNO, RAZZEL")</f>
        <v>IVNO, RAZZEL</v>
      </c>
      <c r="S5" s="1" t="str">
        <f>IFERROR(__xludf.DUMMYFUNCTION("""COMPUTED_VALUE"""),"ORGANIC")</f>
        <v>ORGANIC</v>
      </c>
      <c r="T5" s="1" t="str">
        <f>IFERROR(__xludf.DUMMYFUNCTION("""COMPUTED_VALUE"""),"LEA REMOLLO")</f>
        <v>LEA REMOLLO</v>
      </c>
      <c r="U5" s="1" t="str">
        <f>IFERROR(__xludf.DUMMYFUNCTION("""COMPUTED_VALUE"""),"MARK MALIWAT")</f>
        <v>MARK MALIWAT</v>
      </c>
      <c r="V5" s="1" t="str">
        <f>IFERROR(__xludf.DUMMYFUNCTION("""COMPUTED_VALUE"""),"H2H")</f>
        <v>H2H</v>
      </c>
      <c r="W5" s="1" t="str">
        <f>IFERROR(__xludf.DUMMYFUNCTION("""COMPUTED_VALUE"""),"STK")</f>
        <v>STK</v>
      </c>
      <c r="X5" s="1" t="str">
        <f>IFERROR(__xludf.DUMMYFUNCTION("""COMPUTED_VALUE"""),"HBBS JUL 2026")</f>
        <v>HBBS JUL 2026</v>
      </c>
      <c r="Y5" s="1" t="str">
        <f>IFERROR(__xludf.DUMMYFUNCTION("""COMPUTED_VALUE"""),"BK_CVEU_260645")</f>
        <v>BK_CVEU_260645</v>
      </c>
      <c r="Z5" s="1" t="str">
        <f>IFERROR(__xludf.DUMMYFUNCTION("""COMPUTED_VALUE"""),"NEW CONNECT")</f>
        <v>NEW CONNECT</v>
      </c>
      <c r="AA5" s="1">
        <f>IFERROR(__xludf.DUMMYFUNCTION("""COMPUTED_VALUE"""),639606679872)</f>
        <v>639606679872</v>
      </c>
      <c r="AB5" s="1"/>
      <c r="AC5" s="1">
        <f>IFERROR(__xludf.DUMMYFUNCTION("""COMPUTED_VALUE"""),120)</f>
        <v>120</v>
      </c>
      <c r="AD5" s="1" t="str">
        <f>IFERROR(__xludf.DUMMYFUNCTION("""COMPUTED_VALUE"""),"MABINI")</f>
        <v>MABINI</v>
      </c>
      <c r="AE5" s="1"/>
      <c r="AF5" s="1" t="str">
        <f>IFERROR(__xludf.DUMMYFUNCTION("""COMPUTED_VALUE"""),"BGY 6")</f>
        <v>BGY 6</v>
      </c>
      <c r="AG5" s="1" t="str">
        <f>IFERROR(__xludf.DUMMYFUNCTION("""COMPUTED_VALUE"""),"MENDEZ")</f>
        <v>MENDEZ</v>
      </c>
      <c r="AH5" s="1" t="str">
        <f>IFERROR(__xludf.DUMMYFUNCTION("""COMPUTED_VALUE"""),"BARANGAY HALL")</f>
        <v>BARANGAY HALL</v>
      </c>
      <c r="AI5" s="1" t="str">
        <f>IFERROR(__xludf.DUMMYFUNCTION("""COMPUTED_VALUE"""),"CLUSTER 12")</f>
        <v>CLUSTER 12</v>
      </c>
    </row>
    <row r="6" customHeight="1" spans="1:35">
      <c r="A6" s="3">
        <f>IFERROR(__xludf.DUMMYFUNCTION("""COMPUTED_VALUE"""),46234)</f>
        <v>46234</v>
      </c>
      <c r="B6" s="1" t="str">
        <f>IFERROR(__xludf.DUMMYFUNCTION("""COMPUTED_VALUE"""),"ERNA MAGPANTAY CAPINLAC")</f>
        <v>ERNA MAGPANTAY CAPINLAC</v>
      </c>
      <c r="C6" s="1"/>
      <c r="D6" s="1"/>
      <c r="E6" s="1"/>
      <c r="F6" s="1" t="str">
        <f>IFERROR(__xludf.DUMMYFUNCTION("""COMPUTED_VALUE"""),"CLOSED")</f>
        <v>CLOSED</v>
      </c>
      <c r="G6" s="1" t="str">
        <f>IFERROR(__xludf.DUMMYFUNCTION("""COMPUTED_VALUE"""),"CLOSED")</f>
        <v>CLOSED</v>
      </c>
      <c r="H6" s="1" t="str">
        <f>IFERROR(__xludf.DUMMYFUNCTION("""COMPUTED_VALUE"""),"PAID THRU GCASH 541540334 JULY 31")</f>
        <v>PAID THRU GCASH 541540334 JULY 31</v>
      </c>
      <c r="I6" s="1" t="str">
        <f>IFERROR(__xludf.DUMMYFUNCTION("""COMPUTED_VALUE"""),"WITH 1 AMSF")</f>
        <v>WITH 1 AMSF</v>
      </c>
      <c r="J6" s="1"/>
      <c r="K6" s="1" t="str">
        <f>IFERROR(__xludf.DUMMYFUNCTION("""COMPUTED_VALUE"""),"NOT IN OFSC")</f>
        <v>NOT IN OFSC</v>
      </c>
      <c r="L6" s="1" t="str">
        <f>IFERROR(__xludf.DUMMYFUNCTION("""COMPUTED_VALUE"""),"POSTED")</f>
        <v>POSTED</v>
      </c>
      <c r="M6" s="1" t="str">
        <f>IFERROR(__xludf.DUMMYFUNCTION("""COMPUTED_VALUE"""),"POSTED")</f>
        <v>POSTED</v>
      </c>
      <c r="N6" s="3">
        <f>IFERROR(__xludf.DUMMYFUNCTION("""COMPUTED_VALUE"""),46235)</f>
        <v>46235</v>
      </c>
      <c r="O6" s="1" t="str">
        <f>IFERROR(__xludf.DUMMYFUNCTION("""COMPUTED_VALUE"""),"FIBR PLAN 1299")</f>
        <v>FIBR PLAN 1299</v>
      </c>
      <c r="P6" s="1" t="str">
        <f>IFERROR(__xludf.DUMMYFUNCTION("""COMPUTED_VALUE"""),"LOWPLAN")</f>
        <v>LOWPLAN</v>
      </c>
      <c r="Q6" s="1" t="str">
        <f>IFERROR(__xludf.DUMMYFUNCTION("""COMPUTED_VALUE"""),"P399651")</f>
        <v>P399651</v>
      </c>
      <c r="R6" s="1" t="str">
        <f>IFERROR(__xludf.DUMMYFUNCTION("""COMPUTED_VALUE"""),"IVNO, RAZZEL")</f>
        <v>IVNO, RAZZEL</v>
      </c>
      <c r="S6" s="1" t="str">
        <f>IFERROR(__xludf.DUMMYFUNCTION("""COMPUTED_VALUE"""),"ORGANIC")</f>
        <v>ORGANIC</v>
      </c>
      <c r="T6" s="1" t="str">
        <f>IFERROR(__xludf.DUMMYFUNCTION("""COMPUTED_VALUE"""),"LEA REMOLLO")</f>
        <v>LEA REMOLLO</v>
      </c>
      <c r="U6" s="1" t="str">
        <f>IFERROR(__xludf.DUMMYFUNCTION("""COMPUTED_VALUE"""),"JB SALIOA")</f>
        <v>JB SALIOA</v>
      </c>
      <c r="V6" s="1" t="str">
        <f>IFERROR(__xludf.DUMMYFUNCTION("""COMPUTED_VALUE"""),"BK REGULAR")</f>
        <v>BK REGULAR</v>
      </c>
      <c r="W6" s="1" t="str">
        <f>IFERROR(__xludf.DUMMYFUNCTION("""COMPUTED_VALUE"""),"STK")</f>
        <v>STK</v>
      </c>
      <c r="X6" s="1" t="str">
        <f>IFERROR(__xludf.DUMMYFUNCTION("""COMPUTED_VALUE"""),"HBBS JUL 2026")</f>
        <v>HBBS JUL 2026</v>
      </c>
      <c r="Y6" s="1" t="str">
        <f>IFERROR(__xludf.DUMMYFUNCTION("""COMPUTED_VALUE"""),"BK_CVEU_260643")</f>
        <v>BK_CVEU_260643</v>
      </c>
      <c r="Z6" s="1" t="str">
        <f>IFERROR(__xludf.DUMMYFUNCTION("""COMPUTED_VALUE"""),"NEW CONNECT")</f>
        <v>NEW CONNECT</v>
      </c>
      <c r="AA6" s="1">
        <f>IFERROR(__xludf.DUMMYFUNCTION("""COMPUTED_VALUE"""),639190959377)</f>
        <v>639190959377</v>
      </c>
      <c r="AB6" s="1"/>
      <c r="AC6" s="1"/>
      <c r="AD6" s="1" t="str">
        <f>IFERROR(__xludf.DUMMYFUNCTION("""COMPUTED_VALUE"""),"PUROK 4")</f>
        <v>PUROK 4</v>
      </c>
      <c r="AE6" s="1"/>
      <c r="AF6" s="1" t="str">
        <f>IFERROR(__xludf.DUMMYFUNCTION("""COMPUTED_VALUE"""),"BGY MALAKING TATYAO")</f>
        <v>BGY MALAKING TATYAO</v>
      </c>
      <c r="AG6" s="1" t="str">
        <f>IFERROR(__xludf.DUMMYFUNCTION("""COMPUTED_VALUE"""),"SILANG")</f>
        <v>SILANG</v>
      </c>
      <c r="AH6" s="1" t="str">
        <f>IFERROR(__xludf.DUMMYFUNCTION("""COMPUTED_VALUE"""),"-")</f>
        <v>-</v>
      </c>
      <c r="AI6" s="1" t="str">
        <f>IFERROR(__xludf.DUMMYFUNCTION("""COMPUTED_VALUE"""),"CLUSTER 11")</f>
        <v>CLUSTER 11</v>
      </c>
    </row>
    <row r="7" customHeight="1" spans="1:35">
      <c r="A7" s="3">
        <f>IFERROR(__xludf.DUMMYFUNCTION("""COMPUTED_VALUE"""),46234)</f>
        <v>46234</v>
      </c>
      <c r="B7" s="1" t="str">
        <f>IFERROR(__xludf.DUMMYFUNCTION("""COMPUTED_VALUE"""),"FAUSTO AMON TORDECILLA")</f>
        <v>FAUSTO AMON TORDECILLA</v>
      </c>
      <c r="C7" s="1"/>
      <c r="D7" s="1"/>
      <c r="E7" s="1"/>
      <c r="F7" s="1" t="str">
        <f>IFERROR(__xludf.DUMMYFUNCTION("""COMPUTED_VALUE"""),"CLOSED")</f>
        <v>CLOSED</v>
      </c>
      <c r="G7" s="1" t="str">
        <f>IFERROR(__xludf.DUMMYFUNCTION("""COMPUTED_VALUE"""),"CLOSED")</f>
        <v>CLOSED</v>
      </c>
      <c r="H7" s="1" t="str">
        <f>IFERROR(__xludf.DUMMYFUNCTION("""COMPUTED_VALUE"""),"PAID REF 5484533480364 JULY 31")</f>
        <v>PAID REF 5484533480364 JULY 31</v>
      </c>
      <c r="I7" s="1" t="str">
        <f>IFERROR(__xludf.DUMMYFUNCTION("""COMPUTED_VALUE"""),"WITH 1 AMSF")</f>
        <v>WITH 1 AMSF</v>
      </c>
      <c r="J7" s="1"/>
      <c r="K7" s="1" t="str">
        <f>IFERROR(__xludf.DUMMYFUNCTION("""COMPUTED_VALUE"""),"COMPLETED")</f>
        <v>COMPLETED</v>
      </c>
      <c r="L7" s="1" t="str">
        <f>IFERROR(__xludf.DUMMYFUNCTION("""COMPUTED_VALUE"""),"POSTED")</f>
        <v>POSTED</v>
      </c>
      <c r="M7" s="1" t="str">
        <f>IFERROR(__xludf.DUMMYFUNCTION("""COMPUTED_VALUE"""),"POSTED")</f>
        <v>POSTED</v>
      </c>
      <c r="N7" s="3">
        <f>IFERROR(__xludf.DUMMYFUNCTION("""COMPUTED_VALUE"""),46236)</f>
        <v>46236</v>
      </c>
      <c r="O7" s="1" t="str">
        <f>IFERROR(__xludf.DUMMYFUNCTION("""COMPUTED_VALUE"""),"FIBR UNLI ALL PLAN 1399")</f>
        <v>FIBR UNLI ALL PLAN 1399</v>
      </c>
      <c r="P7" s="1" t="str">
        <f>IFERROR(__xludf.DUMMYFUNCTION("""COMPUTED_VALUE"""),"LOWPLAN")</f>
        <v>LOWPLAN</v>
      </c>
      <c r="Q7" s="1" t="str">
        <f>IFERROR(__xludf.DUMMYFUNCTION("""COMPUTED_VALUE"""),"P401649")</f>
        <v>P401649</v>
      </c>
      <c r="R7" s="1" t="str">
        <f>IFERROR(__xludf.DUMMYFUNCTION("""COMPUTED_VALUE"""),"FRANCISCO, ROSELYN")</f>
        <v>FRANCISCO, ROSELYN</v>
      </c>
      <c r="S7" s="1" t="str">
        <f>IFERROR(__xludf.DUMMYFUNCTION("""COMPUTED_VALUE"""),"ORGANIC")</f>
        <v>ORGANIC</v>
      </c>
      <c r="T7" s="1" t="str">
        <f>IFERROR(__xludf.DUMMYFUNCTION("""COMPUTED_VALUE"""),"LEA REMOLLO")</f>
        <v>LEA REMOLLO</v>
      </c>
      <c r="U7" s="1" t="str">
        <f>IFERROR(__xludf.DUMMYFUNCTION("""COMPUTED_VALUE"""),"JB SALIOA")</f>
        <v>JB SALIOA</v>
      </c>
      <c r="V7" s="1" t="str">
        <f>IFERROR(__xludf.DUMMYFUNCTION("""COMPUTED_VALUE"""),"ONLINE/CRANFORD")</f>
        <v>ONLINE/CRANFORD</v>
      </c>
      <c r="W7" s="1" t="str">
        <f>IFERROR(__xludf.DUMMYFUNCTION("""COMPUTED_VALUE"""),"STK")</f>
        <v>STK</v>
      </c>
      <c r="X7" s="1" t="str">
        <f>IFERROR(__xludf.DUMMYFUNCTION("""COMPUTED_VALUE"""),"HBBS JUL 2026")</f>
        <v>HBBS JUL 2026</v>
      </c>
      <c r="Y7" s="1" t="str">
        <f>IFERROR(__xludf.DUMMYFUNCTION("""COMPUTED_VALUE"""),"RS_ONL_CVEU_2026")</f>
        <v>RS_ONL_CVEU_2026</v>
      </c>
      <c r="Z7" s="1" t="str">
        <f>IFERROR(__xludf.DUMMYFUNCTION("""COMPUTED_VALUE"""),"NEW CONNECT")</f>
        <v>NEW CONNECT</v>
      </c>
      <c r="AA7" s="1">
        <f>IFERROR(__xludf.DUMMYFUNCTION("""COMPUTED_VALUE"""),639951062507)</f>
        <v>639951062507</v>
      </c>
      <c r="AB7" s="1">
        <f>IFERROR(__xludf.DUMMYFUNCTION("""COMPUTED_VALUE"""),639284374277)</f>
        <v>639284374277</v>
      </c>
      <c r="AC7" s="1">
        <f>IFERROR(__xludf.DUMMYFUNCTION("""COMPUTED_VALUE"""),2)</f>
        <v>2</v>
      </c>
      <c r="AD7" s="1" t="str">
        <f>IFERROR(__xludf.DUMMYFUNCTION("""COMPUTED_VALUE"""),"CASTANEDA")</f>
        <v>CASTANEDA</v>
      </c>
      <c r="AE7" s="1"/>
      <c r="AF7" s="1" t="str">
        <f>IFERROR(__xludf.DUMMYFUNCTION("""COMPUTED_VALUE"""),"BGY POBLACION 4B")</f>
        <v>BGY POBLACION 4B</v>
      </c>
      <c r="AG7" s="1" t="str">
        <f>IFERROR(__xludf.DUMMYFUNCTION("""COMPUTED_VALUE"""),"IMUS")</f>
        <v>IMUS</v>
      </c>
      <c r="AH7" s="1" t="str">
        <f>IFERROR(__xludf.DUMMYFUNCTION("""COMPUTED_VALUE"""),"RM FLOWER SHOP")</f>
        <v>RM FLOWER SHOP</v>
      </c>
      <c r="AI7" s="1" t="str">
        <f>IFERROR(__xludf.DUMMYFUNCTION("""COMPUTED_VALUE"""),"NOT AOR")</f>
        <v>NOT AOR</v>
      </c>
    </row>
    <row r="8" customHeight="1" spans="1:35">
      <c r="A8" s="3">
        <f>IFERROR(__xludf.DUMMYFUNCTION("""COMPUTED_VALUE"""),46234)</f>
        <v>46234</v>
      </c>
      <c r="B8" s="1" t="str">
        <f>IFERROR(__xludf.DUMMYFUNCTION("""COMPUTED_VALUE"""),"LORETA VILLARUEL SAULO")</f>
        <v>LORETA VILLARUEL SAULO</v>
      </c>
      <c r="C8" s="1"/>
      <c r="D8" s="1"/>
      <c r="E8" s="1"/>
      <c r="F8" s="1" t="str">
        <f>IFERROR(__xludf.DUMMYFUNCTION("""COMPUTED_VALUE"""),"CLOSED")</f>
        <v>CLOSED</v>
      </c>
      <c r="G8" s="1" t="str">
        <f>IFERROR(__xludf.DUMMYFUNCTION("""COMPUTED_VALUE"""),"CLOSED")</f>
        <v>CLOSED</v>
      </c>
      <c r="H8" s="1"/>
      <c r="I8" s="1" t="str">
        <f>IFERROR(__xludf.DUMMYFUNCTION("""COMPUTED_VALUE"""),"NO 1 AMSF")</f>
        <v>NO 1 AMSF</v>
      </c>
      <c r="J8" s="1" t="str">
        <f>IFERROR(__xludf.DUMMYFUNCTION("""COMPUTED_VALUE"""),"NO PAYMENT")</f>
        <v>NO PAYMENT</v>
      </c>
      <c r="K8" s="1" t="str">
        <f>IFERROR(__xludf.DUMMYFUNCTION("""COMPUTED_VALUE"""),"NOT IN OFSC")</f>
        <v>NOT IN OFSC</v>
      </c>
      <c r="L8" s="1" t="str">
        <f>IFERROR(__xludf.DUMMYFUNCTION("""COMPUTED_VALUE"""),"POSTED")</f>
        <v>POSTED</v>
      </c>
      <c r="M8" s="1" t="str">
        <f>IFERROR(__xludf.DUMMYFUNCTION("""COMPUTED_VALUE"""),"POSTED")</f>
        <v>POSTED</v>
      </c>
      <c r="N8" s="3">
        <f>IFERROR(__xludf.DUMMYFUNCTION("""COMPUTED_VALUE"""),46236)</f>
        <v>46236</v>
      </c>
      <c r="O8" s="1" t="str">
        <f>IFERROR(__xludf.DUMMYFUNCTION("""COMPUTED_VALUE"""),"FIBER UNLI ALL PLAN 2599")</f>
        <v>FIBER UNLI ALL PLAN 2599</v>
      </c>
      <c r="P8" s="1" t="str">
        <f>IFERROR(__xludf.DUMMYFUNCTION("""COMPUTED_VALUE"""),"HIGHPLAN")</f>
        <v>HIGHPLAN</v>
      </c>
      <c r="Q8" s="1" t="str">
        <f>IFERROR(__xludf.DUMMYFUNCTION("""COMPUTED_VALUE"""),"P399651")</f>
        <v>P399651</v>
      </c>
      <c r="R8" s="1" t="str">
        <f>IFERROR(__xludf.DUMMYFUNCTION("""COMPUTED_VALUE"""),"IVNO, RAZZEL")</f>
        <v>IVNO, RAZZEL</v>
      </c>
      <c r="S8" s="1" t="str">
        <f>IFERROR(__xludf.DUMMYFUNCTION("""COMPUTED_VALUE"""),"ORGANIC")</f>
        <v>ORGANIC</v>
      </c>
      <c r="T8" s="1" t="str">
        <f>IFERROR(__xludf.DUMMYFUNCTION("""COMPUTED_VALUE"""),"LEA REMOLLO")</f>
        <v>LEA REMOLLO</v>
      </c>
      <c r="U8" s="1" t="str">
        <f>IFERROR(__xludf.DUMMYFUNCTION("""COMPUTED_VALUE"""),"JB SALIOA")</f>
        <v>JB SALIOA</v>
      </c>
      <c r="V8" s="1" t="str">
        <f>IFERROR(__xludf.DUMMYFUNCTION("""COMPUTED_VALUE"""),"BK HSTK")</f>
        <v>BK HSTK</v>
      </c>
      <c r="W8" s="1" t="str">
        <f>IFERROR(__xludf.DUMMYFUNCTION("""COMPUTED_VALUE"""),"STK")</f>
        <v>STK</v>
      </c>
      <c r="X8" s="1" t="str">
        <f>IFERROR(__xludf.DUMMYFUNCTION("""COMPUTED_VALUE"""),"REGULAR")</f>
        <v>REGULAR</v>
      </c>
      <c r="Y8" s="1" t="str">
        <f>IFERROR(__xludf.DUMMYFUNCTION("""COMPUTED_VALUE"""),"BK_CVEU_260644")</f>
        <v>BK_CVEU_260644</v>
      </c>
      <c r="Z8" s="1" t="str">
        <f>IFERROR(__xludf.DUMMYFUNCTION("""COMPUTED_VALUE"""),"NEW CONNECT")</f>
        <v>NEW CONNECT</v>
      </c>
      <c r="AA8" s="1">
        <f>IFERROR(__xludf.DUMMYFUNCTION("""COMPUTED_VALUE"""),639452250672)</f>
        <v>639452250672</v>
      </c>
      <c r="AB8" s="1">
        <f>IFERROR(__xludf.DUMMYFUNCTION("""COMPUTED_VALUE"""),639175517541)</f>
        <v>639175517541</v>
      </c>
      <c r="AC8" s="1">
        <f>IFERROR(__xludf.DUMMYFUNCTION("""COMPUTED_VALUE"""),3643)</f>
        <v>3643</v>
      </c>
      <c r="AD8" s="1" t="str">
        <f>IFERROR(__xludf.DUMMYFUNCTION("""COMPUTED_VALUE"""),"PUROK 26")</f>
        <v>PUROK 26</v>
      </c>
      <c r="AE8" s="1"/>
      <c r="AF8" s="1" t="str">
        <f>IFERROR(__xludf.DUMMYFUNCTION("""COMPUTED_VALUE"""),"BGY FRANCISCO")</f>
        <v>BGY FRANCISCO</v>
      </c>
      <c r="AG8" s="1" t="str">
        <f>IFERROR(__xludf.DUMMYFUNCTION("""COMPUTED_VALUE"""),"TAGAYTAY")</f>
        <v>TAGAYTAY</v>
      </c>
      <c r="AH8" s="1" t="str">
        <f>IFERROR(__xludf.DUMMYFUNCTION("""COMPUTED_VALUE"""),"SKB HARDWARE")</f>
        <v>SKB HARDWARE</v>
      </c>
      <c r="AI8" s="1" t="str">
        <f>IFERROR(__xludf.DUMMYFUNCTION("""COMPUTED_VALUE"""),"CLUSTER 12")</f>
        <v>CLUSTER 12</v>
      </c>
    </row>
    <row r="9" customHeight="1" spans="1:35">
      <c r="A9" s="3">
        <f>IFERROR(__xludf.DUMMYFUNCTION("""COMPUTED_VALUE"""),46234)</f>
        <v>46234</v>
      </c>
      <c r="B9" s="1" t="str">
        <f>IFERROR(__xludf.DUMMYFUNCTION("""COMPUTED_VALUE"""),"MA. SOCORRO ESPIRITU GONZALES")</f>
        <v>MA. SOCORRO ESPIRITU GONZALES</v>
      </c>
      <c r="C9" s="1"/>
      <c r="D9" s="1"/>
      <c r="E9" s="1"/>
      <c r="F9" s="1" t="str">
        <f>IFERROR(__xludf.DUMMYFUNCTION("""COMPUTED_VALUE"""),"CLOSED")</f>
        <v>CLOSED</v>
      </c>
      <c r="G9" s="1" t="str">
        <f>IFERROR(__xludf.DUMMYFUNCTION("""COMPUTED_VALUE"""),"CLOSED")</f>
        <v>CLOSED</v>
      </c>
      <c r="H9" s="1" t="str">
        <f>IFERROR(__xludf.DUMMYFUNCTION("""COMPUTED_VALUE"""),"PAID THRU GCASH 838301172 AUG 1")</f>
        <v>PAID THRU GCASH 838301172 AUG 1</v>
      </c>
      <c r="I9" s="1" t="str">
        <f>IFERROR(__xludf.DUMMYFUNCTION("""COMPUTED_VALUE"""),"WITH 1 AMSF")</f>
        <v>WITH 1 AMSF</v>
      </c>
      <c r="J9" s="1"/>
      <c r="K9" s="1" t="str">
        <f>IFERROR(__xludf.DUMMYFUNCTION("""COMPUTED_VALUE"""),"NOT IN OFSC")</f>
        <v>NOT IN OFSC</v>
      </c>
      <c r="L9" s="1" t="str">
        <f>IFERROR(__xludf.DUMMYFUNCTION("""COMPUTED_VALUE"""),"POSTED")</f>
        <v>POSTED</v>
      </c>
      <c r="M9" s="1" t="str">
        <f>IFERROR(__xludf.DUMMYFUNCTION("""COMPUTED_VALUE"""),"POSTED")</f>
        <v>POSTED</v>
      </c>
      <c r="N9" s="3">
        <f>IFERROR(__xludf.DUMMYFUNCTION("""COMPUTED_VALUE"""),46235)</f>
        <v>46235</v>
      </c>
      <c r="O9" s="1" t="str">
        <f>IFERROR(__xludf.DUMMYFUNCTION("""COMPUTED_VALUE"""),"FIBR PLAN 1299")</f>
        <v>FIBR PLAN 1299</v>
      </c>
      <c r="P9" s="1" t="str">
        <f>IFERROR(__xludf.DUMMYFUNCTION("""COMPUTED_VALUE"""),"LOWPLAN")</f>
        <v>LOWPLAN</v>
      </c>
      <c r="Q9" s="1" t="str">
        <f>IFERROR(__xludf.DUMMYFUNCTION("""COMPUTED_VALUE"""),"P399673")</f>
        <v>P399673</v>
      </c>
      <c r="R9" s="1" t="str">
        <f>IFERROR(__xludf.DUMMYFUNCTION("""COMPUTED_VALUE"""),"MALIWAT, MARK")</f>
        <v>MALIWAT, MARK</v>
      </c>
      <c r="S9" s="1" t="str">
        <f>IFERROR(__xludf.DUMMYFUNCTION("""COMPUTED_VALUE"""),"FLA")</f>
        <v>FLA</v>
      </c>
      <c r="T9" s="1" t="str">
        <f>IFERROR(__xludf.DUMMYFUNCTION("""COMPUTED_VALUE"""),"JERIC NAVARRO")</f>
        <v>JERIC NAVARRO</v>
      </c>
      <c r="U9" s="1" t="str">
        <f>IFERROR(__xludf.DUMMYFUNCTION("""COMPUTED_VALUE"""),"JB SALIOA")</f>
        <v>JB SALIOA</v>
      </c>
      <c r="V9" s="1" t="str">
        <f>IFERROR(__xludf.DUMMYFUNCTION("""COMPUTED_VALUE"""),"BK REGULAR")</f>
        <v>BK REGULAR</v>
      </c>
      <c r="W9" s="1" t="str">
        <f>IFERROR(__xludf.DUMMYFUNCTION("""COMPUTED_VALUE"""),"STK")</f>
        <v>STK</v>
      </c>
      <c r="X9" s="1" t="str">
        <f>IFERROR(__xludf.DUMMYFUNCTION("""COMPUTED_VALUE"""),"HBBS JUL 2026")</f>
        <v>HBBS JUL 2026</v>
      </c>
      <c r="Y9" s="1" t="str">
        <f>IFERROR(__xludf.DUMMYFUNCTION("""COMPUTED_VALUE"""),"BK_CVEU_260646")</f>
        <v>BK_CVEU_260646</v>
      </c>
      <c r="Z9" s="1" t="str">
        <f>IFERROR(__xludf.DUMMYFUNCTION("""COMPUTED_VALUE"""),"NEW CONNECT")</f>
        <v>NEW CONNECT</v>
      </c>
      <c r="AA9" s="1">
        <f>IFERROR(__xludf.DUMMYFUNCTION("""COMPUTED_VALUE"""),639953000241)</f>
        <v>639953000241</v>
      </c>
      <c r="AB9" s="1">
        <f>IFERROR(__xludf.DUMMYFUNCTION("""COMPUTED_VALUE"""),639955094061)</f>
        <v>639955094061</v>
      </c>
      <c r="AC9" s="1"/>
      <c r="AD9" s="1" t="str">
        <f>IFERROR(__xludf.DUMMYFUNCTION("""COMPUTED_VALUE"""),"MANGAS 2")</f>
        <v>MANGAS 2</v>
      </c>
      <c r="AE9" s="1"/>
      <c r="AF9" s="1" t="str">
        <f>IFERROR(__xludf.DUMMYFUNCTION("""COMPUTED_VALUE"""),"BGY MANGAS 2")</f>
        <v>BGY MANGAS 2</v>
      </c>
      <c r="AG9" s="1" t="str">
        <f>IFERROR(__xludf.DUMMYFUNCTION("""COMPUTED_VALUE"""),"ALFONSO")</f>
        <v>ALFONSO</v>
      </c>
      <c r="AH9" s="1" t="str">
        <f>IFERROR(__xludf.DUMMYFUNCTION("""COMPUTED_VALUE"""),"ROLLE-RAMOS ALUMINUM AND KAJ RESTO")</f>
        <v>ROLLE-RAMOS ALUMINUM AND KAJ RESTO</v>
      </c>
      <c r="AI9" s="1" t="str">
        <f>IFERROR(__xludf.DUMMYFUNCTION("""COMPUTED_VALUE"""),"CLUSTER 12")</f>
        <v>CLUSTER 12</v>
      </c>
    </row>
    <row r="10" customHeight="1" spans="1:35">
      <c r="A10" s="3">
        <f>IFERROR(__xludf.DUMMYFUNCTION("""COMPUTED_VALUE"""),46234)</f>
        <v>46234</v>
      </c>
      <c r="B10" s="1" t="str">
        <f>IFERROR(__xludf.DUMMYFUNCTION("""COMPUTED_VALUE"""),"KAREN TAN CASAUL")</f>
        <v>KAREN TAN CASAUL</v>
      </c>
      <c r="C10" s="1"/>
      <c r="D10" s="1"/>
      <c r="E10" s="1"/>
      <c r="F10" s="1" t="str">
        <f>IFERROR(__xludf.DUMMYFUNCTION("""COMPUTED_VALUE"""),"CLOSED")</f>
        <v>CLOSED</v>
      </c>
      <c r="G10" s="1" t="str">
        <f>IFERROR(__xludf.DUMMYFUNCTION("""COMPUTED_VALUE"""),"CLOSED")</f>
        <v>CLOSED</v>
      </c>
      <c r="H10" s="1" t="str">
        <f>IFERROR(__xludf.DUMMYFUNCTION("""COMPUTED_VALUE"""),"PAID THRU GCASH 144824339 AUG 1")</f>
        <v>PAID THRU GCASH 144824339 AUG 1</v>
      </c>
      <c r="I10" s="1" t="str">
        <f>IFERROR(__xludf.DUMMYFUNCTION("""COMPUTED_VALUE"""),"WITH 1 AMSF")</f>
        <v>WITH 1 AMSF</v>
      </c>
      <c r="J10" s="1"/>
      <c r="K10" s="1" t="str">
        <f>IFERROR(__xludf.DUMMYFUNCTION("""COMPUTED_VALUE"""),"NOT IN OFSC")</f>
        <v>NOT IN OFSC</v>
      </c>
      <c r="L10" s="1" t="str">
        <f>IFERROR(__xludf.DUMMYFUNCTION("""COMPUTED_VALUE"""),"POSTED")</f>
        <v>POSTED</v>
      </c>
      <c r="M10" s="1" t="str">
        <f>IFERROR(__xludf.DUMMYFUNCTION("""COMPUTED_VALUE"""),"POSTED")</f>
        <v>POSTED</v>
      </c>
      <c r="N10" s="3">
        <f>IFERROR(__xludf.DUMMYFUNCTION("""COMPUTED_VALUE"""),46236)</f>
        <v>46236</v>
      </c>
      <c r="O10" s="1" t="str">
        <f>IFERROR(__xludf.DUMMYFUNCTION("""COMPUTED_VALUE"""),"FIBR UNLI ALL PLAN 999")</f>
        <v>FIBR UNLI ALL PLAN 999</v>
      </c>
      <c r="P10" s="1" t="str">
        <f>IFERROR(__xludf.DUMMYFUNCTION("""COMPUTED_VALUE"""),"LOWPLAN")</f>
        <v>LOWPLAN</v>
      </c>
      <c r="Q10" s="1" t="str">
        <f>IFERROR(__xludf.DUMMYFUNCTION("""COMPUTED_VALUE"""),"P401651")</f>
        <v>P401651</v>
      </c>
      <c r="R10" s="1" t="str">
        <f>IFERROR(__xludf.DUMMYFUNCTION("""COMPUTED_VALUE"""),"MAGDARAOG, KENNETH")</f>
        <v>MAGDARAOG, KENNETH</v>
      </c>
      <c r="S10" s="1" t="str">
        <f>IFERROR(__xludf.DUMMYFUNCTION("""COMPUTED_VALUE"""),"ORGANIC")</f>
        <v>ORGANIC</v>
      </c>
      <c r="T10" s="1" t="str">
        <f>IFERROR(__xludf.DUMMYFUNCTION("""COMPUTED_VALUE"""),"LEA REMOLLO")</f>
        <v>LEA REMOLLO</v>
      </c>
      <c r="U10" s="1" t="str">
        <f>IFERROR(__xludf.DUMMYFUNCTION("""COMPUTED_VALUE"""),"JB SALIOA")</f>
        <v>JB SALIOA</v>
      </c>
      <c r="V10" s="1" t="str">
        <f>IFERROR(__xludf.DUMMYFUNCTION("""COMPUTED_VALUE"""),"BK HSTK")</f>
        <v>BK HSTK</v>
      </c>
      <c r="W10" s="1" t="str">
        <f>IFERROR(__xludf.DUMMYFUNCTION("""COMPUTED_VALUE"""),"STK")</f>
        <v>STK</v>
      </c>
      <c r="X10" s="1" t="str">
        <f>IFERROR(__xludf.DUMMYFUNCTION("""COMPUTED_VALUE"""),"HBBS JUL 2026")</f>
        <v>HBBS JUL 2026</v>
      </c>
      <c r="Y10" s="1" t="str">
        <f>IFERROR(__xludf.DUMMYFUNCTION("""COMPUTED_VALUE"""),"BK_CVEU_260643")</f>
        <v>BK_CVEU_260643</v>
      </c>
      <c r="Z10" s="1" t="str">
        <f>IFERROR(__xludf.DUMMYFUNCTION("""COMPUTED_VALUE"""),"NEW CONNECT")</f>
        <v>NEW CONNECT</v>
      </c>
      <c r="AA10" s="1">
        <f>IFERROR(__xludf.DUMMYFUNCTION("""COMPUTED_VALUE"""),639514394647)</f>
        <v>639514394647</v>
      </c>
      <c r="AB10" s="1"/>
      <c r="AC10" s="1"/>
      <c r="AD10" s="1" t="str">
        <f>IFERROR(__xludf.DUMMYFUNCTION("""COMPUTED_VALUE"""),"PHASE 6")</f>
        <v>PHASE 6</v>
      </c>
      <c r="AE10" s="1"/>
      <c r="AF10" s="1" t="str">
        <f>IFERROR(__xludf.DUMMYFUNCTION("""COMPUTED_VALUE"""),"BGY BANABA")</f>
        <v>BGY BANABA</v>
      </c>
      <c r="AG10" s="1" t="str">
        <f>IFERROR(__xludf.DUMMYFUNCTION("""COMPUTED_VALUE"""),"SILANG")</f>
        <v>SILANG</v>
      </c>
      <c r="AH10" s="1" t="str">
        <f>IFERROR(__xludf.DUMMYFUNCTION("""COMPUTED_VALUE"""),"HALF COURT ")</f>
        <v>HALF COURT </v>
      </c>
      <c r="AI10" s="1" t="str">
        <f>IFERROR(__xludf.DUMMYFUNCTION("""COMPUTED_VALUE"""),"CLUSTER 11")</f>
        <v>CLUSTER 11</v>
      </c>
    </row>
    <row r="11" customHeight="1" spans="1:35">
      <c r="A11" s="3">
        <f>IFERROR(__xludf.DUMMYFUNCTION("""COMPUTED_VALUE"""),46234)</f>
        <v>46234</v>
      </c>
      <c r="B11" s="1" t="str">
        <f>IFERROR(__xludf.DUMMYFUNCTION("""COMPUTED_VALUE"""),"RINADEL VILLANUEVA NOVICIO")</f>
        <v>RINADEL VILLANUEVA NOVICIO</v>
      </c>
      <c r="C11" s="1"/>
      <c r="D11" s="1"/>
      <c r="E11" s="1"/>
      <c r="F11" s="1" t="str">
        <f>IFERROR(__xludf.DUMMYFUNCTION("""COMPUTED_VALUE"""),"CLOSED")</f>
        <v>CLOSED</v>
      </c>
      <c r="G11" s="1" t="str">
        <f>IFERROR(__xludf.DUMMYFUNCTION("""COMPUTED_VALUE"""),"CLOSED")</f>
        <v>CLOSED</v>
      </c>
      <c r="H11" s="1" t="str">
        <f>IFERROR(__xludf.DUMMYFUNCTION("""COMPUTED_VALUE"""),"PQGOR359400707	02-Aug-26	Regular Payment	E. C. Pay 1	1,500.00	0	02-Aug-26")</f>
        <v>PQGOR359400707	02-Aug-26	Regular Payment	E. C. Pay 1	1,500.00	0	02-Aug-26</v>
      </c>
      <c r="I11" s="1" t="str">
        <f>IFERROR(__xludf.DUMMYFUNCTION("""COMPUTED_VALUE"""),"WITH 1 AMSF")</f>
        <v>WITH 1 AMSF</v>
      </c>
      <c r="J11" s="1"/>
      <c r="K11" s="1" t="str">
        <f>IFERROR(__xludf.DUMMYFUNCTION("""COMPUTED_VALUE"""),"NOT IN OFSC")</f>
        <v>NOT IN OFSC</v>
      </c>
      <c r="L11" s="1" t="str">
        <f>IFERROR(__xludf.DUMMYFUNCTION("""COMPUTED_VALUE"""),"POSTED")</f>
        <v>POSTED</v>
      </c>
      <c r="M11" s="1" t="str">
        <f>IFERROR(__xludf.DUMMYFUNCTION("""COMPUTED_VALUE"""),"POSTED")</f>
        <v>POSTED</v>
      </c>
      <c r="N11" s="3">
        <f>IFERROR(__xludf.DUMMYFUNCTION("""COMPUTED_VALUE"""),46235)</f>
        <v>46235</v>
      </c>
      <c r="O11" s="1" t="str">
        <f>IFERROR(__xludf.DUMMYFUNCTION("""COMPUTED_VALUE"""),"FIBER UNLI ALL PLAN 1499")</f>
        <v>FIBER UNLI ALL PLAN 1499</v>
      </c>
      <c r="P11" s="1" t="str">
        <f>IFERROR(__xludf.DUMMYFUNCTION("""COMPUTED_VALUE"""),"LOWPLAN")</f>
        <v>LOWPLAN</v>
      </c>
      <c r="Q11" s="1" t="str">
        <f>IFERROR(__xludf.DUMMYFUNCTION("""COMPUTED_VALUE"""),"P398377")</f>
        <v>P398377</v>
      </c>
      <c r="R11" s="1" t="str">
        <f>IFERROR(__xludf.DUMMYFUNCTION("""COMPUTED_VALUE"""),"AYON, MANUEL")</f>
        <v>AYON, MANUEL</v>
      </c>
      <c r="S11" s="1" t="str">
        <f>IFERROR(__xludf.DUMMYFUNCTION("""COMPUTED_VALUE"""),"FLA")</f>
        <v>FLA</v>
      </c>
      <c r="T11" s="1" t="str">
        <f>IFERROR(__xludf.DUMMYFUNCTION("""COMPUTED_VALUE"""),"JERIC NAVARRO")</f>
        <v>JERIC NAVARRO</v>
      </c>
      <c r="U11" s="1" t="str">
        <f>IFERROR(__xludf.DUMMYFUNCTION("""COMPUTED_VALUE"""),"JB SALIOA")</f>
        <v>JB SALIOA</v>
      </c>
      <c r="V11" s="1" t="str">
        <f>IFERROR(__xludf.DUMMYFUNCTION("""COMPUTED_VALUE"""),"BK REGULAR")</f>
        <v>BK REGULAR</v>
      </c>
      <c r="W11" s="1" t="str">
        <f>IFERROR(__xludf.DUMMYFUNCTION("""COMPUTED_VALUE"""),"STK")</f>
        <v>STK</v>
      </c>
      <c r="X11" s="1" t="str">
        <f>IFERROR(__xludf.DUMMYFUNCTION("""COMPUTED_VALUE"""),"REGULAR")</f>
        <v>REGULAR</v>
      </c>
      <c r="Y11" s="1" t="str">
        <f>IFERROR(__xludf.DUMMYFUNCTION("""COMPUTED_VALUE"""),"BK_CVEU_260645")</f>
        <v>BK_CVEU_260645</v>
      </c>
      <c r="Z11" s="1" t="str">
        <f>IFERROR(__xludf.DUMMYFUNCTION("""COMPUTED_VALUE"""),"NEW CONNECT")</f>
        <v>NEW CONNECT</v>
      </c>
      <c r="AA11" s="1">
        <f>IFERROR(__xludf.DUMMYFUNCTION("""COMPUTED_VALUE"""),639052979133)</f>
        <v>639052979133</v>
      </c>
      <c r="AB11" s="1">
        <f>IFERROR(__xludf.DUMMYFUNCTION("""COMPUTED_VALUE"""),639750468489)</f>
        <v>639750468489</v>
      </c>
      <c r="AC11" s="1"/>
      <c r="AD11" s="1" t="str">
        <f>IFERROR(__xludf.DUMMYFUNCTION("""COMPUTED_VALUE"""),"SPRINGHEIGHTS")</f>
        <v>SPRINGHEIGHTS</v>
      </c>
      <c r="AE11" s="1" t="str">
        <f>IFERROR(__xludf.DUMMYFUNCTION("""COMPUTED_VALUE"""),"SPRINGHEIGHTS 2")</f>
        <v>SPRINGHEIGHTS 2</v>
      </c>
      <c r="AF11" s="1" t="str">
        <f>IFERROR(__xludf.DUMMYFUNCTION("""COMPUTED_VALUE"""),"BGY ASIS 1")</f>
        <v>BGY ASIS 1</v>
      </c>
      <c r="AG11" s="1" t="str">
        <f>IFERROR(__xludf.DUMMYFUNCTION("""COMPUTED_VALUE"""),"MENDEZ")</f>
        <v>MENDEZ</v>
      </c>
      <c r="AH11" s="1" t="str">
        <f>IFERROR(__xludf.DUMMYFUNCTION("""COMPUTED_VALUE"""),"MENDEZ GLOBAL")</f>
        <v>MENDEZ GLOBAL</v>
      </c>
      <c r="AI11" s="1" t="str">
        <f>IFERROR(__xludf.DUMMYFUNCTION("""COMPUTED_VALUE"""),"CLUSTER 12")</f>
        <v>CLUSTER 12</v>
      </c>
    </row>
    <row r="12" customHeight="1" spans="1:35">
      <c r="A12" s="3">
        <f>IFERROR(__xludf.DUMMYFUNCTION("""COMPUTED_VALUE"""),46234)</f>
        <v>46234</v>
      </c>
      <c r="B12" s="1" t="str">
        <f>IFERROR(__xludf.DUMMYFUNCTION("""COMPUTED_VALUE"""),"MARK JOSHUA CRUZ DEANG")</f>
        <v>MARK JOSHUA CRUZ DEANG</v>
      </c>
      <c r="C12" s="1"/>
      <c r="D12" s="1"/>
      <c r="E12" s="1"/>
      <c r="F12" s="1" t="str">
        <f>IFERROR(__xludf.DUMMYFUNCTION("""COMPUTED_VALUE"""),"CLOSED")</f>
        <v>CLOSED</v>
      </c>
      <c r="G12" s="1" t="str">
        <f>IFERROR(__xludf.DUMMYFUNCTION("""COMPUTED_VALUE"""),"CLOSED")</f>
        <v>CLOSED</v>
      </c>
      <c r="H12" s="1"/>
      <c r="I12" s="1" t="str">
        <f>IFERROR(__xludf.DUMMYFUNCTION("""COMPUTED_VALUE"""),"NO 1 AMSF")</f>
        <v>NO 1 AMSF</v>
      </c>
      <c r="J12" s="1"/>
      <c r="K12" s="1" t="str">
        <f>IFERROR(__xludf.DUMMYFUNCTION("""COMPUTED_VALUE"""),"NOT IN OFSC")</f>
        <v>NOT IN OFSC</v>
      </c>
      <c r="L12" s="1" t="str">
        <f>IFERROR(__xludf.DUMMYFUNCTION("""COMPUTED_VALUE"""),"POSTED")</f>
        <v>POSTED</v>
      </c>
      <c r="M12" s="1" t="str">
        <f>IFERROR(__xludf.DUMMYFUNCTION("""COMPUTED_VALUE"""),"POSTED")</f>
        <v>POSTED</v>
      </c>
      <c r="N12" s="3">
        <f>IFERROR(__xludf.DUMMYFUNCTION("""COMPUTED_VALUE"""),46238)</f>
        <v>46238</v>
      </c>
      <c r="O12" s="1" t="str">
        <f>IFERROR(__xludf.DUMMYFUNCTION("""COMPUTED_VALUE"""),"FIBR PLAN 1299")</f>
        <v>FIBR PLAN 1299</v>
      </c>
      <c r="P12" s="1" t="str">
        <f>IFERROR(__xludf.DUMMYFUNCTION("""COMPUTED_VALUE"""),"LOWPLAN")</f>
        <v>LOWPLAN</v>
      </c>
      <c r="Q12" s="1" t="str">
        <f>IFERROR(__xludf.DUMMYFUNCTION("""COMPUTED_VALUE"""),"P401648")</f>
        <v>P401648</v>
      </c>
      <c r="R12" s="1" t="str">
        <f>IFERROR(__xludf.DUMMYFUNCTION("""COMPUTED_VALUE"""),"ESCARCHA, ALMA")</f>
        <v>ESCARCHA, ALMA</v>
      </c>
      <c r="S12" s="1" t="str">
        <f>IFERROR(__xludf.DUMMYFUNCTION("""COMPUTED_VALUE"""),"ORGANIC")</f>
        <v>ORGANIC</v>
      </c>
      <c r="T12" s="1" t="str">
        <f>IFERROR(__xludf.DUMMYFUNCTION("""COMPUTED_VALUE"""),"LEA REMOLLO")</f>
        <v>LEA REMOLLO</v>
      </c>
      <c r="U12" s="1" t="str">
        <f>IFERROR(__xludf.DUMMYFUNCTION("""COMPUTED_VALUE"""),"JB SALIOA")</f>
        <v>JB SALIOA</v>
      </c>
      <c r="V12" s="1" t="str">
        <f>IFERROR(__xludf.DUMMYFUNCTION("""COMPUTED_VALUE"""),"BK HSTK")</f>
        <v>BK HSTK</v>
      </c>
      <c r="W12" s="1" t="str">
        <f>IFERROR(__xludf.DUMMYFUNCTION("""COMPUTED_VALUE"""),"STK")</f>
        <v>STK</v>
      </c>
      <c r="X12" s="1" t="str">
        <f>IFERROR(__xludf.DUMMYFUNCTION("""COMPUTED_VALUE"""),"HBBS JUL 2026")</f>
        <v>HBBS JUL 2026</v>
      </c>
      <c r="Y12" s="1" t="str">
        <f>IFERROR(__xludf.DUMMYFUNCTION("""COMPUTED_VALUE"""),"BK_CVEU_260643")</f>
        <v>BK_CVEU_260643</v>
      </c>
      <c r="Z12" s="1" t="str">
        <f>IFERROR(__xludf.DUMMYFUNCTION("""COMPUTED_VALUE"""),"NEW CONNECT")</f>
        <v>NEW CONNECT</v>
      </c>
      <c r="AA12" s="1">
        <f>IFERROR(__xludf.DUMMYFUNCTION("""COMPUTED_VALUE"""),639933824506)</f>
        <v>639933824506</v>
      </c>
      <c r="AB12" s="1">
        <f>IFERROR(__xludf.DUMMYFUNCTION("""COMPUTED_VALUE"""),639453357176)</f>
        <v>639453357176</v>
      </c>
      <c r="AC12" s="1"/>
      <c r="AD12" s="1" t="str">
        <f>IFERROR(__xludf.DUMMYFUNCTION("""COMPUTED_VALUE"""),"ACACIA")</f>
        <v>ACACIA</v>
      </c>
      <c r="AE12" s="1"/>
      <c r="AF12" s="1" t="str">
        <f>IFERROR(__xludf.DUMMYFUNCTION("""COMPUTED_VALUE"""),"BGY ACACIA")</f>
        <v>BGY ACACIA</v>
      </c>
      <c r="AG12" s="1" t="str">
        <f>IFERROR(__xludf.DUMMYFUNCTION("""COMPUTED_VALUE"""),"SILANG")</f>
        <v>SILANG</v>
      </c>
      <c r="AH12" s="1" t="str">
        <f>IFERROR(__xludf.DUMMYFUNCTION("""COMPUTED_VALUE"""),"TULAY NA BATO")</f>
        <v>TULAY NA BATO</v>
      </c>
      <c r="AI12" s="1" t="str">
        <f>IFERROR(__xludf.DUMMYFUNCTION("""COMPUTED_VALUE"""),"CLUSTER 11")</f>
        <v>CLUSTER 11</v>
      </c>
    </row>
    <row r="13" customHeight="1" spans="1:35">
      <c r="A13" s="3">
        <f>IFERROR(__xludf.DUMMYFUNCTION("""COMPUTED_VALUE"""),46234)</f>
        <v>46234</v>
      </c>
      <c r="B13" s="1" t="str">
        <f>IFERROR(__xludf.DUMMYFUNCTION("""COMPUTED_VALUE"""),"JOEL CASILAO RABANDABAN")</f>
        <v>JOEL CASILAO RABANDABAN</v>
      </c>
      <c r="C13" s="1"/>
      <c r="D13" s="1"/>
      <c r="E13" s="1"/>
      <c r="F13" s="1" t="str">
        <f>IFERROR(__xludf.DUMMYFUNCTION("""COMPUTED_VALUE"""),"CLOSED")</f>
        <v>CLOSED</v>
      </c>
      <c r="G13" s="1" t="str">
        <f>IFERROR(__xludf.DUMMYFUNCTION("""COMPUTED_VALUE"""),"CLOSED")</f>
        <v>CLOSED</v>
      </c>
      <c r="H13" s="1"/>
      <c r="I13" s="1" t="str">
        <f>IFERROR(__xludf.DUMMYFUNCTION("""COMPUTED_VALUE"""),"NO 1 AMSF")</f>
        <v>NO 1 AMSF</v>
      </c>
      <c r="J13" s="1"/>
      <c r="K13" s="1" t="str">
        <f>IFERROR(__xludf.DUMMYFUNCTION("""COMPUTED_VALUE"""),"NOT DONE")</f>
        <v>NOT DONE</v>
      </c>
      <c r="L13" s="1" t="str">
        <f>IFERROR(__xludf.DUMMYFUNCTION("""COMPUTED_VALUE"""),"POSTED")</f>
        <v>POSTED</v>
      </c>
      <c r="M13" s="1" t="str">
        <f>IFERROR(__xludf.DUMMYFUNCTION("""COMPUTED_VALUE"""),"POSTED")</f>
        <v>POSTED</v>
      </c>
      <c r="N13" s="3">
        <f>IFERROR(__xludf.DUMMYFUNCTION("""COMPUTED_VALUE"""),46237)</f>
        <v>46237</v>
      </c>
      <c r="O13" s="1" t="str">
        <f>IFERROR(__xludf.DUMMYFUNCTION("""COMPUTED_VALUE"""),"FIBR PLAN 1299")</f>
        <v>FIBR PLAN 1299</v>
      </c>
      <c r="P13" s="1" t="str">
        <f>IFERROR(__xludf.DUMMYFUNCTION("""COMPUTED_VALUE"""),"LOWPLAN")</f>
        <v>LOWPLAN</v>
      </c>
      <c r="Q13" s="1" t="str">
        <f>IFERROR(__xludf.DUMMYFUNCTION("""COMPUTED_VALUE"""),"P401648")</f>
        <v>P401648</v>
      </c>
      <c r="R13" s="1" t="str">
        <f>IFERROR(__xludf.DUMMYFUNCTION("""COMPUTED_VALUE"""),"ESCARCHA, ALMA")</f>
        <v>ESCARCHA, ALMA</v>
      </c>
      <c r="S13" s="1" t="str">
        <f>IFERROR(__xludf.DUMMYFUNCTION("""COMPUTED_VALUE"""),"ORGANIC")</f>
        <v>ORGANIC</v>
      </c>
      <c r="T13" s="1" t="str">
        <f>IFERROR(__xludf.DUMMYFUNCTION("""COMPUTED_VALUE"""),"LEA REMOLLO")</f>
        <v>LEA REMOLLO</v>
      </c>
      <c r="U13" s="1" t="str">
        <f>IFERROR(__xludf.DUMMYFUNCTION("""COMPUTED_VALUE"""),"JB SALIOA")</f>
        <v>JB SALIOA</v>
      </c>
      <c r="V13" s="1" t="str">
        <f>IFERROR(__xludf.DUMMYFUNCTION("""COMPUTED_VALUE"""),"BK REGULAR")</f>
        <v>BK REGULAR</v>
      </c>
      <c r="W13" s="1" t="str">
        <f>IFERROR(__xludf.DUMMYFUNCTION("""COMPUTED_VALUE"""),"STK")</f>
        <v>STK</v>
      </c>
      <c r="X13" s="1" t="str">
        <f>IFERROR(__xludf.DUMMYFUNCTION("""COMPUTED_VALUE"""),"HBBS JUL 2026")</f>
        <v>HBBS JUL 2026</v>
      </c>
      <c r="Y13" s="1" t="str">
        <f>IFERROR(__xludf.DUMMYFUNCTION("""COMPUTED_VALUE"""),"BK_CVEU_260645")</f>
        <v>BK_CVEU_260645</v>
      </c>
      <c r="Z13" s="1" t="str">
        <f>IFERROR(__xludf.DUMMYFUNCTION("""COMPUTED_VALUE"""),"NEW CONNECT")</f>
        <v>NEW CONNECT</v>
      </c>
      <c r="AA13" s="1">
        <f>IFERROR(__xludf.DUMMYFUNCTION("""COMPUTED_VALUE"""),639158391051)</f>
        <v>639158391051</v>
      </c>
      <c r="AB13" s="1"/>
      <c r="AC13" s="1"/>
      <c r="AD13" s="1" t="str">
        <f>IFERROR(__xludf.DUMMYFUNCTION("""COMPUTED_VALUE"""),"PATRICIA YOLANDA")</f>
        <v>PATRICIA YOLANDA</v>
      </c>
      <c r="AE13" s="1" t="str">
        <f>IFERROR(__xludf.DUMMYFUNCTION("""COMPUTED_VALUE"""),"PATRICIA YOLANDA VILLAGE")</f>
        <v>PATRICIA YOLANDA VILLAGE</v>
      </c>
      <c r="AF13" s="1" t="str">
        <f>IFERROR(__xludf.DUMMYFUNCTION("""COMPUTED_VALUE"""),"BGY ASIS 1")</f>
        <v>BGY ASIS 1</v>
      </c>
      <c r="AG13" s="1" t="str">
        <f>IFERROR(__xludf.DUMMYFUNCTION("""COMPUTED_VALUE"""),"MENDEZ")</f>
        <v>MENDEZ</v>
      </c>
      <c r="AH13" s="1" t="str">
        <f>IFERROR(__xludf.DUMMYFUNCTION("""COMPUTED_VALUE"""),"OIL LAND GAS STATION")</f>
        <v>OIL LAND GAS STATION</v>
      </c>
      <c r="AI13" s="1" t="str">
        <f>IFERROR(__xludf.DUMMYFUNCTION("""COMPUTED_VALUE"""),"CLUSTER 12")</f>
        <v>CLUSTER 12</v>
      </c>
    </row>
    <row r="14" customHeight="1" spans="1:35">
      <c r="A14" s="3">
        <f>IFERROR(__xludf.DUMMYFUNCTION("""COMPUTED_VALUE"""),46235)</f>
        <v>46235</v>
      </c>
      <c r="B14" s="1" t="str">
        <f>IFERROR(__xludf.DUMMYFUNCTION("""COMPUTED_VALUE"""),"LOUIE SILVESTRE SURIO")</f>
        <v>LOUIE SILVESTRE SURIO</v>
      </c>
      <c r="C14" s="1">
        <f>IFERROR(__xludf.DUMMYFUNCTION("""COMPUTED_VALUE"""),2311440741)</f>
        <v>2311440741</v>
      </c>
      <c r="D14" s="1">
        <f>IFERROR(__xludf.DUMMYFUNCTION("""COMPUTED_VALUE"""),406310515)</f>
        <v>406310515</v>
      </c>
      <c r="E14" s="1">
        <f>IFERROR(__xludf.DUMMYFUNCTION("""COMPUTED_VALUE"""),464801257004)</f>
        <v>464801257004</v>
      </c>
      <c r="F14" s="1" t="str">
        <f>IFERROR(__xludf.DUMMYFUNCTION("""COMPUTED_VALUE"""),"CLOSED")</f>
        <v>CLOSED</v>
      </c>
      <c r="G14" s="1" t="str">
        <f>IFERROR(__xludf.DUMMYFUNCTION("""COMPUTED_VALUE"""),"CLOSED")</f>
        <v>CLOSED</v>
      </c>
      <c r="H14" s="1" t="str">
        <f>IFERROR(__xludf.DUMMYFUNCTION("""COMPUTED_VALUE"""),"PAID VIA GCASH REF# 843329043 AUG 2")</f>
        <v>PAID VIA GCASH REF# 843329043 AUG 2</v>
      </c>
      <c r="I14" s="1" t="str">
        <f>IFERROR(__xludf.DUMMYFUNCTION("""COMPUTED_VALUE"""),"WITH 1 AMSF")</f>
        <v>WITH 1 AMSF</v>
      </c>
      <c r="J14" s="1"/>
      <c r="K14" s="1" t="str">
        <f>IFERROR(__xludf.DUMMYFUNCTION("""COMPUTED_VALUE"""),"COMPLETED")</f>
        <v>COMPLETED</v>
      </c>
      <c r="L14" s="1" t="str">
        <f>IFERROR(__xludf.DUMMYFUNCTION("""COMPUTED_VALUE"""),"POSTED")</f>
        <v>POSTED</v>
      </c>
      <c r="M14" s="1" t="str">
        <f>IFERROR(__xludf.DUMMYFUNCTION("""COMPUTED_VALUE"""),"POSTED")</f>
        <v>POSTED</v>
      </c>
      <c r="N14" s="3">
        <f>IFERROR(__xludf.DUMMYFUNCTION("""COMPUTED_VALUE"""),46237)</f>
        <v>46237</v>
      </c>
      <c r="O14" s="1" t="str">
        <f>IFERROR(__xludf.DUMMYFUNCTION("""COMPUTED_VALUE"""),"FIBR PLAN 1299")</f>
        <v>FIBR PLAN 1299</v>
      </c>
      <c r="P14" s="1" t="str">
        <f>IFERROR(__xludf.DUMMYFUNCTION("""COMPUTED_VALUE"""),"LOWPLAN")</f>
        <v>LOWPLAN</v>
      </c>
      <c r="Q14" s="1" t="str">
        <f>IFERROR(__xludf.DUMMYFUNCTION("""COMPUTED_VALUE"""),"P407045")</f>
        <v>P407045</v>
      </c>
      <c r="R14" s="1" t="str">
        <f>IFERROR(__xludf.DUMMYFUNCTION("""COMPUTED_VALUE"""),"GABAY, MANUEL")</f>
        <v>GABAY, MANUEL</v>
      </c>
      <c r="S14" s="1" t="str">
        <f>IFERROR(__xludf.DUMMYFUNCTION("""COMPUTED_VALUE"""),"FLA")</f>
        <v>FLA</v>
      </c>
      <c r="T14" s="1" t="str">
        <f>IFERROR(__xludf.DUMMYFUNCTION("""COMPUTED_VALUE"""),"JERIC NAVARRO")</f>
        <v>JERIC NAVARRO</v>
      </c>
      <c r="U14" s="1" t="str">
        <f>IFERROR(__xludf.DUMMYFUNCTION("""COMPUTED_VALUE"""),"JB SALIOA")</f>
        <v>JB SALIOA</v>
      </c>
      <c r="V14" s="1" t="str">
        <f>IFERROR(__xludf.DUMMYFUNCTION("""COMPUTED_VALUE"""),"H2H")</f>
        <v>H2H</v>
      </c>
      <c r="W14" s="1" t="str">
        <f>IFERROR(__xludf.DUMMYFUNCTION("""COMPUTED_VALUE"""),"STK REGULAR")</f>
        <v>STK REGULAR</v>
      </c>
      <c r="X14" s="1" t="str">
        <f>IFERROR(__xludf.DUMMYFUNCTION("""COMPUTED_VALUE"""),"REGULAR")</f>
        <v>REGULAR</v>
      </c>
      <c r="Y14" s="1" t="str">
        <f>IFERROR(__xludf.DUMMYFUNCTION("""COMPUTED_VALUE"""),"RS_HH_CVEU_2026")</f>
        <v>RS_HH_CVEU_2026</v>
      </c>
      <c r="Z14" s="1" t="str">
        <f>IFERROR(__xludf.DUMMYFUNCTION("""COMPUTED_VALUE"""),"NEW CONNECT")</f>
        <v>NEW CONNECT</v>
      </c>
      <c r="AA14" s="1">
        <f>IFERROR(__xludf.DUMMYFUNCTION("""COMPUTED_VALUE"""),639668756799)</f>
        <v>639668756799</v>
      </c>
      <c r="AB14" s="1">
        <f>IFERROR(__xludf.DUMMYFUNCTION("""COMPUTED_VALUE"""),639934411376)</f>
        <v>639934411376</v>
      </c>
      <c r="AC14" s="1">
        <f>IFERROR(__xludf.DUMMYFUNCTION("""COMPUTED_VALUE"""),75)</f>
        <v>75</v>
      </c>
      <c r="AD14" s="1" t="str">
        <f>IFERROR(__xludf.DUMMYFUNCTION("""COMPUTED_VALUE"""),"SAN PEDRO")</f>
        <v>SAN PEDRO</v>
      </c>
      <c r="AE14" s="1" t="str">
        <f>IFERROR(__xludf.DUMMYFUNCTION("""COMPUTED_VALUE"""),"SITIO PULO")</f>
        <v>SITIO PULO</v>
      </c>
      <c r="AF14" s="1" t="str">
        <f>IFERROR(__xludf.DUMMYFUNCTION("""COMPUTED_VALUE"""),"BGY BUKAL")</f>
        <v>BGY BUKAL</v>
      </c>
      <c r="AG14" s="1" t="str">
        <f>IFERROR(__xludf.DUMMYFUNCTION("""COMPUTED_VALUE"""),"MENDEZ")</f>
        <v>MENDEZ</v>
      </c>
      <c r="AH14" s="1" t="str">
        <f>IFERROR(__xludf.DUMMYFUNCTION("""COMPUTED_VALUE"""),"-")</f>
        <v>-</v>
      </c>
      <c r="AI14" s="1" t="str">
        <f>IFERROR(__xludf.DUMMYFUNCTION("""COMPUTED_VALUE"""),"CLUSTER 12")</f>
        <v>CLUSTER 12</v>
      </c>
    </row>
    <row r="15" customHeight="1" spans="1:35">
      <c r="A15" s="3">
        <f>IFERROR(__xludf.DUMMYFUNCTION("""COMPUTED_VALUE"""),46235)</f>
        <v>46235</v>
      </c>
      <c r="B15" s="1" t="str">
        <f>IFERROR(__xludf.DUMMYFUNCTION("""COMPUTED_VALUE""")," MICHAEL VIDAL DE PEDRO")</f>
        <v> MICHAEL VIDAL DE PEDRO</v>
      </c>
      <c r="C15" s="1">
        <f>IFERROR(__xludf.DUMMYFUNCTION("""COMPUTED_VALUE"""),2311445600)</f>
        <v>2311445600</v>
      </c>
      <c r="D15" s="1"/>
      <c r="E15" s="1"/>
      <c r="F15" s="1" t="str">
        <f>IFERROR(__xludf.DUMMYFUNCTION("""COMPUTED_VALUE"""),"CANCELLED")</f>
        <v>CANCELLED</v>
      </c>
      <c r="G15" s="1" t="str">
        <f>IFERROR(__xludf.DUMMYFUNCTION("""COMPUTED_VALUE"""),"FOR REENCODE DUE TO SUBS CHANGED PLAN FROM 1599 REG TO 1499 ANTI COMPETITOR")</f>
        <v>FOR REENCODE DUE TO SUBS CHANGED PLAN FROM 1599 REG TO 1499 ANTI COMPETITOR</v>
      </c>
      <c r="H15" s="1"/>
      <c r="I15" s="1"/>
      <c r="J15" s="1"/>
      <c r="K15" s="1"/>
      <c r="L15" s="1" t="str">
        <f>IFERROR(__xludf.DUMMYFUNCTION("""COMPUTED_VALUE"""),"REENCODED")</f>
        <v>REENCODED</v>
      </c>
      <c r="M15" s="1" t="str">
        <f>IFERROR(__xludf.DUMMYFUNCTION("""COMPUTED_VALUE"""),"REENCODED")</f>
        <v>REENCODED</v>
      </c>
      <c r="N15" s="3"/>
      <c r="O15" s="1" t="str">
        <f>IFERROR(__xludf.DUMMYFUNCTION("""COMPUTED_VALUE"""),"FIBR NETFLIX PLAN 1599")</f>
        <v>FIBR NETFLIX PLAN 1599</v>
      </c>
      <c r="P15" s="1" t="str">
        <f>IFERROR(__xludf.DUMMYFUNCTION("""COMPUTED_VALUE"""),"LOWPLAN")</f>
        <v>LOWPLAN</v>
      </c>
      <c r="Q15" s="1" t="str">
        <f>IFERROR(__xludf.DUMMYFUNCTION("""COMPUTED_VALUE"""),"P407046")</f>
        <v>P407046</v>
      </c>
      <c r="R15" s="1" t="str">
        <f>IFERROR(__xludf.DUMMYFUNCTION("""COMPUTED_VALUE"""),"REMOLLO, LEA")</f>
        <v>REMOLLO, LEA</v>
      </c>
      <c r="S15" s="1" t="str">
        <f>IFERROR(__xludf.DUMMYFUNCTION("""COMPUTED_VALUE"""),"FLA")</f>
        <v>FLA</v>
      </c>
      <c r="T15" s="1" t="str">
        <f>IFERROR(__xludf.DUMMYFUNCTION("""COMPUTED_VALUE"""),"JERIC NAVARRO")</f>
        <v>JERIC NAVARRO</v>
      </c>
      <c r="U15" s="1" t="str">
        <f>IFERROR(__xludf.DUMMYFUNCTION("""COMPUTED_VALUE"""),"JB SALIOA")</f>
        <v>JB SALIOA</v>
      </c>
      <c r="V15" s="1" t="str">
        <f>IFERROR(__xludf.DUMMYFUNCTION("""COMPUTED_VALUE"""),"ONLINE/CRANFORD")</f>
        <v>ONLINE/CRANFORD</v>
      </c>
      <c r="W15" s="1" t="str">
        <f>IFERROR(__xludf.DUMMYFUNCTION("""COMPUTED_VALUE"""),"STK REGULAR")</f>
        <v>STK REGULAR</v>
      </c>
      <c r="X15" s="1" t="str">
        <f>IFERROR(__xludf.DUMMYFUNCTION("""COMPUTED_VALUE"""),"REGULAR")</f>
        <v>REGULAR</v>
      </c>
      <c r="Y15" s="1" t="str">
        <f>IFERROR(__xludf.DUMMYFUNCTION("""COMPUTED_VALUE"""),"RS_ONL_CVEU_2026")</f>
        <v>RS_ONL_CVEU_2026</v>
      </c>
      <c r="Z15" s="1" t="str">
        <f>IFERROR(__xludf.DUMMYFUNCTION("""COMPUTED_VALUE"""),"NEW CONNECT")</f>
        <v>NEW CONNECT</v>
      </c>
      <c r="AA15" s="1">
        <f>IFERROR(__xludf.DUMMYFUNCTION("""COMPUTED_VALUE"""),639770427784)</f>
        <v>639770427784</v>
      </c>
      <c r="AB15" s="1"/>
      <c r="AC15" s="1"/>
      <c r="AD15" s="1" t="str">
        <f>IFERROR(__xludf.DUMMYFUNCTION("""COMPUTED_VALUE"""),"TSARINA GRAND VILLAS")</f>
        <v>TSARINA GRAND VILLAS</v>
      </c>
      <c r="AE15" s="1" t="str">
        <f>IFERROR(__xludf.DUMMYFUNCTION("""COMPUTED_VALUE"""),"TSARINA GRAND VILLAS PH3")</f>
        <v>TSARINA GRAND VILLAS PH3</v>
      </c>
      <c r="AF15" s="1" t="str">
        <f>IFERROR(__xludf.DUMMYFUNCTION("""COMPUTED_VALUE"""),"BGY MANGGAHAN")</f>
        <v>BGY MANGGAHAN</v>
      </c>
      <c r="AG15" s="1" t="str">
        <f>IFERROR(__xludf.DUMMYFUNCTION("""COMPUTED_VALUE"""),"GENERAL TRIAS")</f>
        <v>GENERAL TRIAS</v>
      </c>
      <c r="AH15" s="1" t="str">
        <f>IFERROR(__xludf.DUMMYFUNCTION("""COMPUTED_VALUE"""),"TSARINA GRAND")</f>
        <v>TSARINA GRAND</v>
      </c>
      <c r="AI15" s="1" t="str">
        <f>IFERROR(__xludf.DUMMYFUNCTION("""COMPUTED_VALUE"""),"NOT AOR")</f>
        <v>NOT AOR</v>
      </c>
    </row>
    <row r="16" customHeight="1" spans="1:35">
      <c r="A16" s="3">
        <f>IFERROR(__xludf.DUMMYFUNCTION("""COMPUTED_VALUE"""),46235)</f>
        <v>46235</v>
      </c>
      <c r="B16" s="1" t="str">
        <f>IFERROR(__xludf.DUMMYFUNCTION("""COMPUTED_VALUE"""),"ABEGAIL AVILA REQUILA")</f>
        <v>ABEGAIL AVILA REQUILA</v>
      </c>
      <c r="C16" s="1">
        <f>IFERROR(__xludf.DUMMYFUNCTION("""COMPUTED_VALUE"""),2311458800)</f>
        <v>2311458800</v>
      </c>
      <c r="D16" s="1"/>
      <c r="E16" s="1"/>
      <c r="F16" s="1" t="str">
        <f>IFERROR(__xludf.DUMMYFUNCTION("""COMPUTED_VALUE"""),"SUBS CANCELLED APPLICATION")</f>
        <v>SUBS CANCELLED APPLICATION</v>
      </c>
      <c r="G16" s="1" t="str">
        <f>IFERROR(__xludf.DUMMYFUNCTION("""COMPUTED_VALUE"""),"(NOT AWARE OF THE CONTRACT) &amp;#8203;SUBSCANCEL | FOUND CANCEL ACC.:0349499592/0323556636 | UNDER SAME NAME/DIFF.ADD. | CALL THRU:09995808252-01:04 PM-09087666817-01:05 PM-09525975124-01:05 PM | TALK TO: SOR | CALLOUT RESULT: SUBS NOT AWARE TO LOCK IN PERIO"&amp;"D AND WANT TO CANCEL THE APPLICATION | CLEARED FROM BLACKLIST | TU SCORING-GG-1(NTC) | WAIVED AMSF")</f>
        <v>(NOT AWARE OF THE CONTRACT) &amp;#8203;SUBSCANCEL | FOUND CANCEL ACC.:0349499592/0323556636 | UNDER SAME NAME/DIFF.ADD. | CALL THRU:09995808252-01:04 PM-09087666817-01:05 PM-09525975124-01:05 PM | TALK TO: SOR | CALLOUT RESULT: SUBS NOT AWARE TO LOCK IN PERIOD AND WANT TO CANCEL THE APPLICATION | CLEARED FROM BLACKLIST | TU SCORING-GG-1(NTC) | WAIVED AMSF</v>
      </c>
      <c r="H16" s="1"/>
      <c r="I16" s="1"/>
      <c r="J16" s="1"/>
      <c r="K16" s="1"/>
      <c r="L16" s="1" t="str">
        <f>IFERROR(__xludf.DUMMYFUNCTION("""COMPUTED_VALUE"""),"CANCELLED")</f>
        <v>CANCELLED</v>
      </c>
      <c r="M16" s="1" t="str">
        <f>IFERROR(__xludf.DUMMYFUNCTION("""COMPUTED_VALUE"""),"CANCELLED - SUBS CANCEL REQUEST")</f>
        <v>CANCELLED - SUBS CANCEL REQUEST</v>
      </c>
      <c r="N16" s="3"/>
      <c r="O16" s="1" t="str">
        <f>IFERROR(__xludf.DUMMYFUNCTION("""COMPUTED_VALUE"""),"FIBR PLAN 1299")</f>
        <v>FIBR PLAN 1299</v>
      </c>
      <c r="P16" s="1" t="str">
        <f>IFERROR(__xludf.DUMMYFUNCTION("""COMPUTED_VALUE"""),"LOWPLAN")</f>
        <v>LOWPLAN</v>
      </c>
      <c r="Q16" s="1" t="str">
        <f>IFERROR(__xludf.DUMMYFUNCTION("""COMPUTED_VALUE"""),"P407050")</f>
        <v>P407050</v>
      </c>
      <c r="R16" s="1" t="str">
        <f>IFERROR(__xludf.DUMMYFUNCTION("""COMPUTED_VALUE"""),"CADERAO, RONALD")</f>
        <v>CADERAO, RONALD</v>
      </c>
      <c r="S16" s="1" t="str">
        <f>IFERROR(__xludf.DUMMYFUNCTION("""COMPUTED_VALUE"""),"ORGANIC")</f>
        <v>ORGANIC</v>
      </c>
      <c r="T16" s="1" t="str">
        <f>IFERROR(__xludf.DUMMYFUNCTION("""COMPUTED_VALUE"""),"LEA REMOLLO")</f>
        <v>LEA REMOLLO</v>
      </c>
      <c r="U16" s="1" t="str">
        <f>IFERROR(__xludf.DUMMYFUNCTION("""COMPUTED_VALUE"""),"JB SALIOA")</f>
        <v>JB SALIOA</v>
      </c>
      <c r="V16" s="1" t="str">
        <f>IFERROR(__xludf.DUMMYFUNCTION("""COMPUTED_VALUE"""),"H2H")</f>
        <v>H2H</v>
      </c>
      <c r="W16" s="1" t="str">
        <f>IFERROR(__xludf.DUMMYFUNCTION("""COMPUTED_VALUE"""),"STK REGULAR")</f>
        <v>STK REGULAR</v>
      </c>
      <c r="X16" s="1" t="str">
        <f>IFERROR(__xludf.DUMMYFUNCTION("""COMPUTED_VALUE"""),"REGULAR")</f>
        <v>REGULAR</v>
      </c>
      <c r="Y16" s="1" t="str">
        <f>IFERROR(__xludf.DUMMYFUNCTION("""COMPUTED_VALUE"""),"RS_HH_CVEU_2026")</f>
        <v>RS_HH_CVEU_2026</v>
      </c>
      <c r="Z16" s="1" t="str">
        <f>IFERROR(__xludf.DUMMYFUNCTION("""COMPUTED_VALUE"""),"NEW CONNECT")</f>
        <v>NEW CONNECT</v>
      </c>
      <c r="AA16" s="1">
        <f>IFERROR(__xludf.DUMMYFUNCTION("""COMPUTED_VALUE"""),639995808252)</f>
        <v>639995808252</v>
      </c>
      <c r="AB16" s="1">
        <f>IFERROR(__xludf.DUMMYFUNCTION("""COMPUTED_VALUE"""),639525975124)</f>
        <v>639525975124</v>
      </c>
      <c r="AC16" s="1">
        <f>IFERROR(__xludf.DUMMYFUNCTION("""COMPUTED_VALUE"""),7)</f>
        <v>7</v>
      </c>
      <c r="AD16" s="1" t="str">
        <f>IFERROR(__xludf.DUMMYFUNCTION("""COMPUTED_VALUE"""),"PUROK 35")</f>
        <v>PUROK 35</v>
      </c>
      <c r="AE16" s="1"/>
      <c r="AF16" s="1" t="str">
        <f>IFERROR(__xludf.DUMMYFUNCTION("""COMPUTED_VALUE"""),"BGY GUINHAWA SOUTH")</f>
        <v>BGY GUINHAWA SOUTH</v>
      </c>
      <c r="AG16" s="1" t="str">
        <f>IFERROR(__xludf.DUMMYFUNCTION("""COMPUTED_VALUE"""),"TAGAYTAY")</f>
        <v>TAGAYTAY</v>
      </c>
      <c r="AH16" s="1" t="str">
        <f>IFERROR(__xludf.DUMMYFUNCTION("""COMPUTED_VALUE"""),"INFRONT OF IBYANG STORE ")</f>
        <v>INFRONT OF IBYANG STORE </v>
      </c>
      <c r="AI16" s="1" t="str">
        <f>IFERROR(__xludf.DUMMYFUNCTION("""COMPUTED_VALUE"""),"CLUSTER 12")</f>
        <v>CLUSTER 12</v>
      </c>
    </row>
    <row r="17" customHeight="1" spans="1:35">
      <c r="A17" s="3">
        <f>IFERROR(__xludf.DUMMYFUNCTION("""COMPUTED_VALUE"""),46236)</f>
        <v>46236</v>
      </c>
      <c r="B17" s="1" t="str">
        <f>IFERROR(__xludf.DUMMYFUNCTION("""COMPUTED_VALUE"""),"ROXANNE . BUEN")</f>
        <v>ROXANNE . BUEN</v>
      </c>
      <c r="C17" s="1">
        <f>IFERROR(__xludf.DUMMYFUNCTION("""COMPUTED_VALUE"""),2311465701)</f>
        <v>2311465701</v>
      </c>
      <c r="D17" s="1">
        <f>IFERROR(__xludf.DUMMYFUNCTION("""COMPUTED_VALUE"""),406354210)</f>
        <v>406354210</v>
      </c>
      <c r="E17" s="1">
        <f>IFERROR(__xludf.DUMMYFUNCTION("""COMPUTED_VALUE"""),464921867004)</f>
        <v>464921867004</v>
      </c>
      <c r="F17" s="1" t="str">
        <f>IFERROR(__xludf.DUMMYFUNCTION("""COMPUTED_VALUE"""),"CLOSED")</f>
        <v>CLOSED</v>
      </c>
      <c r="G17" s="1" t="str">
        <f>IFERROR(__xludf.DUMMYFUNCTION("""COMPUTED_VALUE"""),"CLOSED")</f>
        <v>CLOSED</v>
      </c>
      <c r="H17" s="1" t="str">
        <f>IFERROR(__xludf.DUMMYFUNCTION("""COMPUTED_VALUE"""),"PQGOR359557606	03-Aug-26	Regular Payment	CIS-GCASH 3.0	1,149.00	0	03-Aug-26")</f>
        <v>PQGOR359557606	03-Aug-26	Regular Payment	CIS-GCASH 3.0	1,149.00	0	03-Aug-26</v>
      </c>
      <c r="I17" s="1" t="str">
        <f>IFERROR(__xludf.DUMMYFUNCTION("""COMPUTED_VALUE"""),"WITH 1 AMSF")</f>
        <v>WITH 1 AMSF</v>
      </c>
      <c r="J17" s="1"/>
      <c r="K17" s="1" t="str">
        <f>IFERROR(__xludf.DUMMYFUNCTION("""COMPUTED_VALUE"""),"COMPLETED")</f>
        <v>COMPLETED</v>
      </c>
      <c r="L17" s="1" t="str">
        <f>IFERROR(__xludf.DUMMYFUNCTION("""COMPUTED_VALUE"""),"POSTED")</f>
        <v>POSTED</v>
      </c>
      <c r="M17" s="1" t="str">
        <f>IFERROR(__xludf.DUMMYFUNCTION("""COMPUTED_VALUE"""),"POSTED")</f>
        <v>POSTED</v>
      </c>
      <c r="N17" s="3">
        <f>IFERROR(__xludf.DUMMYFUNCTION("""COMPUTED_VALUE"""),46237)</f>
        <v>46237</v>
      </c>
      <c r="O17" s="1" t="str">
        <f>IFERROR(__xludf.DUMMYFUNCTION("""COMPUTED_VALUE"""),"FIBR UNLI ALL PLAN 999")</f>
        <v>FIBR UNLI ALL PLAN 999</v>
      </c>
      <c r="P17" s="1" t="str">
        <f>IFERROR(__xludf.DUMMYFUNCTION("""COMPUTED_VALUE"""),"LOWPLAN")</f>
        <v>LOWPLAN</v>
      </c>
      <c r="Q17" s="1" t="str">
        <f>IFERROR(__xludf.DUMMYFUNCTION("""COMPUTED_VALUE"""),"P407050")</f>
        <v>P407050</v>
      </c>
      <c r="R17" s="1" t="str">
        <f>IFERROR(__xludf.DUMMYFUNCTION("""COMPUTED_VALUE"""),"CADERAO, RONALD")</f>
        <v>CADERAO, RONALD</v>
      </c>
      <c r="S17" s="1" t="str">
        <f>IFERROR(__xludf.DUMMYFUNCTION("""COMPUTED_VALUE"""),"ORGANIC")</f>
        <v>ORGANIC</v>
      </c>
      <c r="T17" s="1" t="str">
        <f>IFERROR(__xludf.DUMMYFUNCTION("""COMPUTED_VALUE"""),"LEA REMOLLO")</f>
        <v>LEA REMOLLO</v>
      </c>
      <c r="U17" s="1" t="str">
        <f>IFERROR(__xludf.DUMMYFUNCTION("""COMPUTED_VALUE"""),"JB SALIOA")</f>
        <v>JB SALIOA</v>
      </c>
      <c r="V17" s="1" t="str">
        <f>IFERROR(__xludf.DUMMYFUNCTION("""COMPUTED_VALUE"""),"H2H")</f>
        <v>H2H</v>
      </c>
      <c r="W17" s="1" t="str">
        <f>IFERROR(__xludf.DUMMYFUNCTION("""COMPUTED_VALUE"""),"STK REGULAR")</f>
        <v>STK REGULAR</v>
      </c>
      <c r="X17" s="1" t="str">
        <f>IFERROR(__xludf.DUMMYFUNCTION("""COMPUTED_VALUE"""),"REGULAR")</f>
        <v>REGULAR</v>
      </c>
      <c r="Y17" s="1" t="str">
        <f>IFERROR(__xludf.DUMMYFUNCTION("""COMPUTED_VALUE"""),"RS_HH_CVEU_2026")</f>
        <v>RS_HH_CVEU_2026</v>
      </c>
      <c r="Z17" s="1" t="str">
        <f>IFERROR(__xludf.DUMMYFUNCTION("""COMPUTED_VALUE"""),"NEW CONNECT")</f>
        <v>NEW CONNECT</v>
      </c>
      <c r="AA17" s="1">
        <f>IFERROR(__xludf.DUMMYFUNCTION("""COMPUTED_VALUE"""),639850194720)</f>
        <v>639850194720</v>
      </c>
      <c r="AB17" s="1"/>
      <c r="AC17" s="1">
        <f>IFERROR(__xludf.DUMMYFUNCTION("""COMPUTED_VALUE"""),85)</f>
        <v>85</v>
      </c>
      <c r="AD17" s="1" t="str">
        <f>IFERROR(__xludf.DUMMYFUNCTION("""COMPUTED_VALUE"""),"LAPURISIMA")</f>
        <v>LAPURISIMA</v>
      </c>
      <c r="AE17" s="1"/>
      <c r="AF17" s="1" t="str">
        <f>IFERROR(__xludf.DUMMYFUNCTION("""COMPUTED_VALUE"""),"BGY PALOCPOC 2")</f>
        <v>BGY PALOCPOC 2</v>
      </c>
      <c r="AG17" s="1" t="str">
        <f>IFERROR(__xludf.DUMMYFUNCTION("""COMPUTED_VALUE"""),"MENDEZ")</f>
        <v>MENDEZ</v>
      </c>
      <c r="AH17" s="1" t="str">
        <f>IFERROR(__xludf.DUMMYFUNCTION("""COMPUTED_VALUE"""),"WAITING SHED")</f>
        <v>WAITING SHED</v>
      </c>
      <c r="AI17" s="1" t="str">
        <f>IFERROR(__xludf.DUMMYFUNCTION("""COMPUTED_VALUE"""),"CLUSTER 12")</f>
        <v>CLUSTER 12</v>
      </c>
    </row>
    <row r="18" customHeight="1" spans="1:35">
      <c r="A18" s="3">
        <f>IFERROR(__xludf.DUMMYFUNCTION("""COMPUTED_VALUE"""),46236)</f>
        <v>46236</v>
      </c>
      <c r="B18" s="1" t="str">
        <f>IFERROR(__xludf.DUMMYFUNCTION("""COMPUTED_VALUE"""),"JAY-AR CUNANAN DAQUIOAG")</f>
        <v>JAY-AR CUNANAN DAQUIOAG</v>
      </c>
      <c r="C18" s="1">
        <f>IFERROR(__xludf.DUMMYFUNCTION("""COMPUTED_VALUE"""),2311466042)</f>
        <v>2311466042</v>
      </c>
      <c r="D18" s="1">
        <f>IFERROR(__xludf.DUMMYFUNCTION("""COMPUTED_VALUE"""),406352579)</f>
        <v>406352579</v>
      </c>
      <c r="E18" s="1">
        <f>IFERROR(__xludf.DUMMYFUNCTION("""COMPUTED_VALUE"""),464920926004)</f>
        <v>464920926004</v>
      </c>
      <c r="F18" s="1" t="str">
        <f>IFERROR(__xludf.DUMMYFUNCTION("""COMPUTED_VALUE"""),"CANCELLED")</f>
        <v>CANCELLED</v>
      </c>
      <c r="G18" s="1" t="str">
        <f>IFERROR(__xludf.DUMMYFUNCTION("""COMPUTED_VALUE"""),"VISITED ASSIGNED CAFAC 6SPAN MGNLP46NP7 P1 AND P2 ACTIVE LINE SME  MGNLP46NP6 2SPAN FULL  MGNLP46NP5 2SPAN FULL MGNLP46NP4 11SPAN FULL  NO OTHER CAFAC AT SUBS AREA ADVISED JAY AR DAQUIOAG SUBS CBR 09916642631")</f>
        <v>VISITED ASSIGNED CAFAC 6SPAN MGNLP46NP7 P1 AND P2 ACTIVE LINE SME  MGNLP46NP6 2SPAN FULL  MGNLP46NP5 2SPAN FULL MGNLP46NP4 11SPAN FULL  NO OTHER CAFAC AT SUBS AREA ADVISED JAY AR DAQUIOAG SUBS CBR 09916642631</v>
      </c>
      <c r="H18" s="1"/>
      <c r="I18" s="1" t="str">
        <f>IFERROR(__xludf.DUMMYFUNCTION("""COMPUTED_VALUE"""),"NO 1 AMSF")</f>
        <v>NO 1 AMSF</v>
      </c>
      <c r="J18" s="1"/>
      <c r="K18" s="1" t="str">
        <f>IFERROR(__xludf.DUMMYFUNCTION("""COMPUTED_VALUE"""),"CANCELED")</f>
        <v>CANCELED</v>
      </c>
      <c r="L18" s="1" t="str">
        <f>IFERROR(__xludf.DUMMYFUNCTION("""COMPUTED_VALUE"""),"RPR - NAP FULL")</f>
        <v>RPR - NAP FULL</v>
      </c>
      <c r="M18" s="1" t="str">
        <f>IFERROR(__xludf.DUMMYFUNCTION("""COMPUTED_VALUE"""),"RPR- NAP FULL")</f>
        <v>RPR- NAP FULL</v>
      </c>
      <c r="N18" s="3"/>
      <c r="O18" s="1" t="str">
        <f>IFERROR(__xludf.DUMMYFUNCTION("""COMPUTED_VALUE"""),"FIBR PLAN 1299")</f>
        <v>FIBR PLAN 1299</v>
      </c>
      <c r="P18" s="1" t="str">
        <f>IFERROR(__xludf.DUMMYFUNCTION("""COMPUTED_VALUE"""),"LOWPLAN")</f>
        <v>LOWPLAN</v>
      </c>
      <c r="Q18" s="1" t="str">
        <f>IFERROR(__xludf.DUMMYFUNCTION("""COMPUTED_VALUE"""),"P407047")</f>
        <v>P407047</v>
      </c>
      <c r="R18" s="1" t="str">
        <f>IFERROR(__xludf.DUMMYFUNCTION("""COMPUTED_VALUE"""),"FRANCISCO, ROSELYN")</f>
        <v>FRANCISCO, ROSELYN</v>
      </c>
      <c r="S18" s="1" t="str">
        <f>IFERROR(__xludf.DUMMYFUNCTION("""COMPUTED_VALUE"""),"ORGANIC")</f>
        <v>ORGANIC</v>
      </c>
      <c r="T18" s="1" t="str">
        <f>IFERROR(__xludf.DUMMYFUNCTION("""COMPUTED_VALUE"""),"LEA REMOLLO")</f>
        <v>LEA REMOLLO</v>
      </c>
      <c r="U18" s="1" t="str">
        <f>IFERROR(__xludf.DUMMYFUNCTION("""COMPUTED_VALUE"""),"JB SALIOA")</f>
        <v>JB SALIOA</v>
      </c>
      <c r="V18" s="1" t="str">
        <f>IFERROR(__xludf.DUMMYFUNCTION("""COMPUTED_VALUE"""),"H2H")</f>
        <v>H2H</v>
      </c>
      <c r="W18" s="1" t="str">
        <f>IFERROR(__xludf.DUMMYFUNCTION("""COMPUTED_VALUE"""),"STK REGULAR")</f>
        <v>STK REGULAR</v>
      </c>
      <c r="X18" s="1" t="str">
        <f>IFERROR(__xludf.DUMMYFUNCTION("""COMPUTED_VALUE"""),"REGULAR")</f>
        <v>REGULAR</v>
      </c>
      <c r="Y18" s="1" t="str">
        <f>IFERROR(__xludf.DUMMYFUNCTION("""COMPUTED_VALUE"""),"RS_HH_CVEU_2026")</f>
        <v>RS_HH_CVEU_2026</v>
      </c>
      <c r="Z18" s="1" t="str">
        <f>IFERROR(__xludf.DUMMYFUNCTION("""COMPUTED_VALUE"""),"NEW CONNECT")</f>
        <v>NEW CONNECT</v>
      </c>
      <c r="AA18" s="1">
        <f>IFERROR(__xludf.DUMMYFUNCTION("""COMPUTED_VALUE"""),639916642631)</f>
        <v>639916642631</v>
      </c>
      <c r="AB18" s="1">
        <f>IFERROR(__xludf.DUMMYFUNCTION("""COMPUTED_VALUE"""),639458590870)</f>
        <v>639458590870</v>
      </c>
      <c r="AC18" s="1">
        <f>IFERROR(__xludf.DUMMYFUNCTION("""COMPUTED_VALUE"""),765)</f>
        <v>765</v>
      </c>
      <c r="AD18" s="1" t="str">
        <f>IFERROR(__xludf.DUMMYFUNCTION("""COMPUTED_VALUE"""),"SAGBAT")</f>
        <v>SAGBAT</v>
      </c>
      <c r="AE18" s="1"/>
      <c r="AF18" s="1" t="str">
        <f>IFERROR(__xludf.DUMMYFUNCTION("""COMPUTED_VALUE"""),"BGY PANTIHAN 2")</f>
        <v>BGY PANTIHAN 2</v>
      </c>
      <c r="AG18" s="1" t="str">
        <f>IFERROR(__xludf.DUMMYFUNCTION("""COMPUTED_VALUE"""),"MARAGONDON")</f>
        <v>MARAGONDON</v>
      </c>
      <c r="AH18" s="1" t="str">
        <f>IFERROR(__xludf.DUMMYFUNCTION("""COMPUTED_VALUE"""),"FRONT OF ELEMENTARY SCHOOL")</f>
        <v>FRONT OF ELEMENTARY SCHOOL</v>
      </c>
      <c r="AI18" s="1" t="str">
        <f>IFERROR(__xludf.DUMMYFUNCTION("""COMPUTED_VALUE"""),"NOT AOR")</f>
        <v>NOT AOR</v>
      </c>
    </row>
    <row r="19" customHeight="1" spans="1:35">
      <c r="A19" s="3">
        <f>IFERROR(__xludf.DUMMYFUNCTION("""COMPUTED_VALUE"""),46236)</f>
        <v>46236</v>
      </c>
      <c r="B19" s="1" t="str">
        <f>IFERROR(__xludf.DUMMYFUNCTION("""COMPUTED_VALUE"""),"PAULA MAY RAMA ANZURES")</f>
        <v>PAULA MAY RAMA ANZURES</v>
      </c>
      <c r="C19" s="1">
        <f>IFERROR(__xludf.DUMMYFUNCTION("""COMPUTED_VALUE"""),2311466566)</f>
        <v>2311466566</v>
      </c>
      <c r="D19" s="1">
        <f>IFERROR(__xludf.DUMMYFUNCTION("""COMPUTED_VALUE"""),406355535)</f>
        <v>406355535</v>
      </c>
      <c r="E19" s="1">
        <f>IFERROR(__xludf.DUMMYFUNCTION("""COMPUTED_VALUE"""),464923632004)</f>
        <v>464923632004</v>
      </c>
      <c r="F19" s="1" t="str">
        <f>IFERROR(__xludf.DUMMYFUNCTION("""COMPUTED_VALUE"""),"CLOSED")</f>
        <v>CLOSED</v>
      </c>
      <c r="G19" s="1" t="str">
        <f>IFERROR(__xludf.DUMMYFUNCTION("""COMPUTED_VALUE"""),"CLOSED")</f>
        <v>CLOSED</v>
      </c>
      <c r="H19" s="1" t="str">
        <f>IFERROR(__xludf.DUMMYFUNCTION("""COMPUTED_VALUE"""),"PAID VIA GCASH - AUG 11 - REF - 03069440")</f>
        <v>PAID VIA GCASH - AUG 11 - REF - 03069440</v>
      </c>
      <c r="I19" s="1" t="str">
        <f>IFERROR(__xludf.DUMMYFUNCTION("""COMPUTED_VALUE"""),"WITH 1 AMSF")</f>
        <v>WITH 1 AMSF</v>
      </c>
      <c r="J19" s="1"/>
      <c r="K19" s="1" t="str">
        <f>IFERROR(__xludf.DUMMYFUNCTION("""COMPUTED_VALUE"""),"COMPLETED")</f>
        <v>COMPLETED</v>
      </c>
      <c r="L19" s="1" t="str">
        <f>IFERROR(__xludf.DUMMYFUNCTION("""COMPUTED_VALUE"""),"POSTED")</f>
        <v>POSTED</v>
      </c>
      <c r="M19" s="1" t="str">
        <f>IFERROR(__xludf.DUMMYFUNCTION("""COMPUTED_VALUE"""),"POSTED")</f>
        <v>POSTED</v>
      </c>
      <c r="N19" s="3">
        <f>IFERROR(__xludf.DUMMYFUNCTION("""COMPUTED_VALUE"""),46237)</f>
        <v>46237</v>
      </c>
      <c r="O19" s="1" t="str">
        <f>IFERROR(__xludf.DUMMYFUNCTION("""COMPUTED_VALUE"""),"FIBR PLAN 1299")</f>
        <v>FIBR PLAN 1299</v>
      </c>
      <c r="P19" s="1" t="str">
        <f>IFERROR(__xludf.DUMMYFUNCTION("""COMPUTED_VALUE"""),"LOWPLAN")</f>
        <v>LOWPLAN</v>
      </c>
      <c r="Q19" s="1" t="str">
        <f>IFERROR(__xludf.DUMMYFUNCTION("""COMPUTED_VALUE"""),"P407045")</f>
        <v>P407045</v>
      </c>
      <c r="R19" s="1" t="str">
        <f>IFERROR(__xludf.DUMMYFUNCTION("""COMPUTED_VALUE"""),"GABAY, MANUEL")</f>
        <v>GABAY, MANUEL</v>
      </c>
      <c r="S19" s="1" t="str">
        <f>IFERROR(__xludf.DUMMYFUNCTION("""COMPUTED_VALUE"""),"FLA")</f>
        <v>FLA</v>
      </c>
      <c r="T19" s="1" t="str">
        <f>IFERROR(__xludf.DUMMYFUNCTION("""COMPUTED_VALUE"""),"JERIC NAVARRO")</f>
        <v>JERIC NAVARRO</v>
      </c>
      <c r="U19" s="1" t="str">
        <f>IFERROR(__xludf.DUMMYFUNCTION("""COMPUTED_VALUE"""),"JB SALIOA")</f>
        <v>JB SALIOA</v>
      </c>
      <c r="V19" s="1" t="str">
        <f>IFERROR(__xludf.DUMMYFUNCTION("""COMPUTED_VALUE"""),"H2H")</f>
        <v>H2H</v>
      </c>
      <c r="W19" s="1" t="str">
        <f>IFERROR(__xludf.DUMMYFUNCTION("""COMPUTED_VALUE"""),"STK REGULAR")</f>
        <v>STK REGULAR</v>
      </c>
      <c r="X19" s="1" t="str">
        <f>IFERROR(__xludf.DUMMYFUNCTION("""COMPUTED_VALUE"""),"REGULAR")</f>
        <v>REGULAR</v>
      </c>
      <c r="Y19" s="1" t="str">
        <f>IFERROR(__xludf.DUMMYFUNCTION("""COMPUTED_VALUE"""),"RS_HH_CVEU_2026")</f>
        <v>RS_HH_CVEU_2026</v>
      </c>
      <c r="Z19" s="1" t="str">
        <f>IFERROR(__xludf.DUMMYFUNCTION("""COMPUTED_VALUE"""),"NEW CONNECT")</f>
        <v>NEW CONNECT</v>
      </c>
      <c r="AA19" s="1">
        <f>IFERROR(__xludf.DUMMYFUNCTION("""COMPUTED_VALUE"""),639696075218)</f>
        <v>639696075218</v>
      </c>
      <c r="AB19" s="1">
        <f>IFERROR(__xludf.DUMMYFUNCTION("""COMPUTED_VALUE"""),639498453724)</f>
        <v>639498453724</v>
      </c>
      <c r="AC19" s="1">
        <f>IFERROR(__xludf.DUMMYFUNCTION("""COMPUTED_VALUE"""),13)</f>
        <v>13</v>
      </c>
      <c r="AD19" s="1" t="str">
        <f>IFERROR(__xludf.DUMMYFUNCTION("""COMPUTED_VALUE"""),"MAGLABE")</f>
        <v>MAGLABE</v>
      </c>
      <c r="AE19" s="1" t="str">
        <f>IFERROR(__xludf.DUMMYFUNCTION("""COMPUTED_VALUE"""),"PUROK 35")</f>
        <v>PUROK 35</v>
      </c>
      <c r="AF19" s="1" t="str">
        <f>IFERROR(__xludf.DUMMYFUNCTION("""COMPUTED_VALUE"""),"BGY GUINHAWA SOUTH")</f>
        <v>BGY GUINHAWA SOUTH</v>
      </c>
      <c r="AG19" s="1" t="str">
        <f>IFERROR(__xludf.DUMMYFUNCTION("""COMPUTED_VALUE"""),"TAGAYTAY")</f>
        <v>TAGAYTAY</v>
      </c>
      <c r="AH19" s="1" t="str">
        <f>IFERROR(__xludf.DUMMYFUNCTION("""COMPUTED_VALUE"""),"DALI")</f>
        <v>DALI</v>
      </c>
      <c r="AI19" s="1" t="str">
        <f>IFERROR(__xludf.DUMMYFUNCTION("""COMPUTED_VALUE"""),"CLUSTER 12")</f>
        <v>CLUSTER 12</v>
      </c>
    </row>
    <row r="20" customHeight="1" spans="1:35">
      <c r="A20" s="3">
        <f>IFERROR(__xludf.DUMMYFUNCTION("""COMPUTED_VALUE"""),46236)</f>
        <v>46236</v>
      </c>
      <c r="B20" s="1" t="str">
        <f>IFERROR(__xludf.DUMMYFUNCTION("""COMPUTED_VALUE"""),"CHERYL COYME ENUMERABLES")</f>
        <v>CHERYL COYME ENUMERABLES</v>
      </c>
      <c r="C20" s="1">
        <f>IFERROR(__xludf.DUMMYFUNCTION("""COMPUTED_VALUE"""),2311470684)</f>
        <v>2311470684</v>
      </c>
      <c r="D20" s="1"/>
      <c r="E20" s="1"/>
      <c r="F20" s="1" t="str">
        <f>IFERROR(__xludf.DUMMYFUNCTION("""COMPUTED_VALUE"""),"CANCELLED")</f>
        <v>CANCELLED</v>
      </c>
      <c r="G20" s="1" t="str">
        <f>IFERROR(__xludf.DUMMYFUNCTION("""COMPUTED_VALUE"""),"CANCELLED DUE TO WRONG ADDRESS ENCODED ")</f>
        <v>CANCELLED DUE TO WRONG ADDRESS ENCODED </v>
      </c>
      <c r="H20" s="1"/>
      <c r="I20" s="1"/>
      <c r="J20" s="1"/>
      <c r="K20" s="1"/>
      <c r="L20" s="1" t="str">
        <f>IFERROR(__xludf.DUMMYFUNCTION("""COMPUTED_VALUE"""),"REENCODED")</f>
        <v>REENCODED</v>
      </c>
      <c r="M20" s="1" t="str">
        <f>IFERROR(__xludf.DUMMYFUNCTION("""COMPUTED_VALUE"""),"REENCODED")</f>
        <v>REENCODED</v>
      </c>
      <c r="N20" s="3"/>
      <c r="O20" s="1" t="str">
        <f>IFERROR(__xludf.DUMMYFUNCTION("""COMPUTED_VALUE"""),"FIBR UNLI ALL PLAN 1399")</f>
        <v>FIBR UNLI ALL PLAN 1399</v>
      </c>
      <c r="P20" s="1" t="str">
        <f>IFERROR(__xludf.DUMMYFUNCTION("""COMPUTED_VALUE"""),"LOWPLAN")</f>
        <v>LOWPLAN</v>
      </c>
      <c r="Q20" s="1" t="str">
        <f>IFERROR(__xludf.DUMMYFUNCTION("""COMPUTED_VALUE"""),"P407046")</f>
        <v>P407046</v>
      </c>
      <c r="R20" s="1" t="str">
        <f>IFERROR(__xludf.DUMMYFUNCTION("""COMPUTED_VALUE"""),"OPS")</f>
        <v>OPS</v>
      </c>
      <c r="S20" s="1" t="str">
        <f>IFERROR(__xludf.DUMMYFUNCTION("""COMPUTED_VALUE"""),"FLA")</f>
        <v>FLA</v>
      </c>
      <c r="T20" s="1" t="str">
        <f>IFERROR(__xludf.DUMMYFUNCTION("""COMPUTED_VALUE"""),"JERIC NAVARRO")</f>
        <v>JERIC NAVARRO</v>
      </c>
      <c r="U20" s="1" t="str">
        <f>IFERROR(__xludf.DUMMYFUNCTION("""COMPUTED_VALUE"""),"JB SALIOA")</f>
        <v>JB SALIOA</v>
      </c>
      <c r="V20" s="1" t="str">
        <f>IFERROR(__xludf.DUMMYFUNCTION("""COMPUTED_VALUE"""),"ONLINE/CRANFORD")</f>
        <v>ONLINE/CRANFORD</v>
      </c>
      <c r="W20" s="1" t="str">
        <f>IFERROR(__xludf.DUMMYFUNCTION("""COMPUTED_VALUE"""),"STK REGULAR")</f>
        <v>STK REGULAR</v>
      </c>
      <c r="X20" s="1" t="str">
        <f>IFERROR(__xludf.DUMMYFUNCTION("""COMPUTED_VALUE"""),"REGULAR")</f>
        <v>REGULAR</v>
      </c>
      <c r="Y20" s="1" t="str">
        <f>IFERROR(__xludf.DUMMYFUNCTION("""COMPUTED_VALUE"""),"RS_ONL_CVEU_2026")</f>
        <v>RS_ONL_CVEU_2026</v>
      </c>
      <c r="Z20" s="1" t="str">
        <f>IFERROR(__xludf.DUMMYFUNCTION("""COMPUTED_VALUE"""),"NEW CONNECT")</f>
        <v>NEW CONNECT</v>
      </c>
      <c r="AA20" s="1">
        <f>IFERROR(__xludf.DUMMYFUNCTION("""COMPUTED_VALUE"""),639771175744)</f>
        <v>639771175744</v>
      </c>
      <c r="AB20" s="1">
        <f>IFERROR(__xludf.DUMMYFUNCTION("""COMPUTED_VALUE"""),639776844960)</f>
        <v>639776844960</v>
      </c>
      <c r="AC20" s="1"/>
      <c r="AD20" s="1" t="str">
        <f>IFERROR(__xludf.DUMMYFUNCTION("""COMPUTED_VALUE"""),"NORTHDALE")</f>
        <v>NORTHDALE</v>
      </c>
      <c r="AE20" s="1" t="str">
        <f>IFERROR(__xludf.DUMMYFUNCTION("""COMPUTED_VALUE"""),"NORTHDALE ESTATES PHASE 2")</f>
        <v>NORTHDALE ESTATES PHASE 2</v>
      </c>
      <c r="AF20" s="1" t="str">
        <f>IFERROR(__xludf.DUMMYFUNCTION("""COMPUTED_VALUE"""),"BGY SAN ROQUE")</f>
        <v>BGY SAN ROQUE</v>
      </c>
      <c r="AG20" s="1" t="str">
        <f>IFERROR(__xludf.DUMMYFUNCTION("""COMPUTED_VALUE"""),"NAIC")</f>
        <v>NAIC</v>
      </c>
      <c r="AH20" s="1" t="str">
        <f>IFERROR(__xludf.DUMMYFUNCTION("""COMPUTED_VALUE"""),"NEAR GATE")</f>
        <v>NEAR GATE</v>
      </c>
      <c r="AI20" s="1" t="str">
        <f>IFERROR(__xludf.DUMMYFUNCTION("""COMPUTED_VALUE"""),"NOT AOR")</f>
        <v>NOT AOR</v>
      </c>
    </row>
    <row r="21" customHeight="1" spans="1:35">
      <c r="A21" s="3">
        <f>IFERROR(__xludf.DUMMYFUNCTION("""COMPUTED_VALUE"""),46237)</f>
        <v>46237</v>
      </c>
      <c r="B21" s="1" t="str">
        <f>IFERROR(__xludf.DUMMYFUNCTION("""COMPUTED_VALUE"""),"CLARISSE IDANAN TAGLAY")</f>
        <v>CLARISSE IDANAN TAGLAY</v>
      </c>
      <c r="C21" s="1">
        <f>IFERROR(__xludf.DUMMYFUNCTION("""COMPUTED_VALUE"""),2311478789)</f>
        <v>2311478789</v>
      </c>
      <c r="D21" s="1">
        <f>IFERROR(__xludf.DUMMYFUNCTION("""COMPUTED_VALUE"""),406364712)</f>
        <v>406364712</v>
      </c>
      <c r="E21" s="1">
        <f>IFERROR(__xludf.DUMMYFUNCTION("""COMPUTED_VALUE"""),465043568004)</f>
        <v>465043568004</v>
      </c>
      <c r="F21" s="1" t="str">
        <f>IFERROR(__xludf.DUMMYFUNCTION("""COMPUTED_VALUE"""),"CLOSED")</f>
        <v>CLOSED</v>
      </c>
      <c r="G21" s="1" t="str">
        <f>IFERROR(__xludf.DUMMYFUNCTION("""COMPUTED_VALUE"""),"CLOSED")</f>
        <v>CLOSED</v>
      </c>
      <c r="H21" s="1" t="str">
        <f>IFERROR(__xludf.DUMMYFUNCTION("""COMPUTED_VALUE"""),"PQGOR359507785	03-Aug-26	Regular Payment	CIS-GCASH 3.0	1,499.00	0	03-Aug-26")</f>
        <v>PQGOR359507785	03-Aug-26	Regular Payment	CIS-GCASH 3.0	1,499.00	0	03-Aug-26</v>
      </c>
      <c r="I21" s="1" t="str">
        <f>IFERROR(__xludf.DUMMYFUNCTION("""COMPUTED_VALUE"""),"WITH 1 AMSF")</f>
        <v>WITH 1 AMSF</v>
      </c>
      <c r="J21" s="1"/>
      <c r="K21" s="1" t="str">
        <f>IFERROR(__xludf.DUMMYFUNCTION("""COMPUTED_VALUE"""),"COMPLETED")</f>
        <v>COMPLETED</v>
      </c>
      <c r="L21" s="1" t="str">
        <f>IFERROR(__xludf.DUMMYFUNCTION("""COMPUTED_VALUE"""),"POSTED")</f>
        <v>POSTED</v>
      </c>
      <c r="M21" s="1" t="str">
        <f>IFERROR(__xludf.DUMMYFUNCTION("""COMPUTED_VALUE"""),"POSTED")</f>
        <v>POSTED</v>
      </c>
      <c r="N21" s="3">
        <f>IFERROR(__xludf.DUMMYFUNCTION("""COMPUTED_VALUE"""),46237)</f>
        <v>46237</v>
      </c>
      <c r="O21" s="1" t="str">
        <f>IFERROR(__xludf.DUMMYFUNCTION("""COMPUTED_VALUE"""),"FIBER UNLI ALL PLAN 1499")</f>
        <v>FIBER UNLI ALL PLAN 1499</v>
      </c>
      <c r="P21" s="1" t="str">
        <f>IFERROR(__xludf.DUMMYFUNCTION("""COMPUTED_VALUE"""),"LOWPLAN")</f>
        <v>LOWPLAN</v>
      </c>
      <c r="Q21" s="1" t="str">
        <f>IFERROR(__xludf.DUMMYFUNCTION("""COMPUTED_VALUE"""),"P407045")</f>
        <v>P407045</v>
      </c>
      <c r="R21" s="1" t="str">
        <f>IFERROR(__xludf.DUMMYFUNCTION("""COMPUTED_VALUE"""),"FARO, REFRANTA ")</f>
        <v>FARO, REFRANTA </v>
      </c>
      <c r="S21" s="1" t="str">
        <f>IFERROR(__xludf.DUMMYFUNCTION("""COMPUTED_VALUE"""),"FLA")</f>
        <v>FLA</v>
      </c>
      <c r="T21" s="1" t="str">
        <f>IFERROR(__xludf.DUMMYFUNCTION("""COMPUTED_VALUE"""),"JERIC NAVARRO")</f>
        <v>JERIC NAVARRO</v>
      </c>
      <c r="U21" s="1" t="str">
        <f>IFERROR(__xludf.DUMMYFUNCTION("""COMPUTED_VALUE"""),"JB SALIOA")</f>
        <v>JB SALIOA</v>
      </c>
      <c r="V21" s="1" t="str">
        <f>IFERROR(__xludf.DUMMYFUNCTION("""COMPUTED_VALUE"""),"H2H")</f>
        <v>H2H</v>
      </c>
      <c r="W21" s="1" t="str">
        <f>IFERROR(__xludf.DUMMYFUNCTION("""COMPUTED_VALUE"""),"STK REGULAR")</f>
        <v>STK REGULAR</v>
      </c>
      <c r="X21" s="1" t="str">
        <f>IFERROR(__xludf.DUMMYFUNCTION("""COMPUTED_VALUE"""),"REGULAR")</f>
        <v>REGULAR</v>
      </c>
      <c r="Y21" s="1" t="str">
        <f>IFERROR(__xludf.DUMMYFUNCTION("""COMPUTED_VALUE"""),"RS_HH_CVEU_2026")</f>
        <v>RS_HH_CVEU_2026</v>
      </c>
      <c r="Z21" s="1" t="str">
        <f>IFERROR(__xludf.DUMMYFUNCTION("""COMPUTED_VALUE"""),"NEW CONNECT")</f>
        <v>NEW CONNECT</v>
      </c>
      <c r="AA21" s="1">
        <f>IFERROR(__xludf.DUMMYFUNCTION("""COMPUTED_VALUE"""),639606821883)</f>
        <v>639606821883</v>
      </c>
      <c r="AB21" s="1"/>
      <c r="AC21" s="1"/>
      <c r="AD21" s="1" t="str">
        <f>IFERROR(__xludf.DUMMYFUNCTION("""COMPUTED_VALUE"""),"POBLACION 3")</f>
        <v>POBLACION 3</v>
      </c>
      <c r="AE21" s="1"/>
      <c r="AF21" s="1" t="str">
        <f>IFERROR(__xludf.DUMMYFUNCTION("""COMPUTED_VALUE"""),"BGY POBLACION 3")</f>
        <v>BGY POBLACION 3</v>
      </c>
      <c r="AG21" s="1" t="str">
        <f>IFERROR(__xludf.DUMMYFUNCTION("""COMPUTED_VALUE"""),"GEN MARIANO ALVAREZ")</f>
        <v>GEN MARIANO ALVAREZ</v>
      </c>
      <c r="AH21" s="1" t="str">
        <f>IFERROR(__xludf.DUMMYFUNCTION("""COMPUTED_VALUE"""),"-")</f>
        <v>-</v>
      </c>
      <c r="AI21" s="1" t="str">
        <f>IFERROR(__xludf.DUMMYFUNCTION("""COMPUTED_VALUE"""),"CLUSTER 11")</f>
        <v>CLUSTER 11</v>
      </c>
    </row>
    <row r="22" customHeight="1" spans="1:35">
      <c r="A22" s="3">
        <f>IFERROR(__xludf.DUMMYFUNCTION("""COMPUTED_VALUE"""),46237)</f>
        <v>46237</v>
      </c>
      <c r="B22" s="1" t="str">
        <f>IFERROR(__xludf.DUMMYFUNCTION("""COMPUTED_VALUE"""),"ALVIN COMEDIA TORRES")</f>
        <v>ALVIN COMEDIA TORRES</v>
      </c>
      <c r="C22" s="1">
        <f>IFERROR(__xludf.DUMMYFUNCTION("""COMPUTED_VALUE"""),2311480762)</f>
        <v>2311480762</v>
      </c>
      <c r="D22" s="1">
        <f>IFERROR(__xludf.DUMMYFUNCTION("""COMPUTED_VALUE"""),406367347)</f>
        <v>406367347</v>
      </c>
      <c r="E22" s="1">
        <f>IFERROR(__xludf.DUMMYFUNCTION("""COMPUTED_VALUE"""),465047650004)</f>
        <v>465047650004</v>
      </c>
      <c r="F22" s="1" t="str">
        <f>IFERROR(__xludf.DUMMYFUNCTION("""COMPUTED_VALUE"""),"CLOSED")</f>
        <v>CLOSED</v>
      </c>
      <c r="G22" s="1" t="str">
        <f>IFERROR(__xludf.DUMMYFUNCTION("""COMPUTED_VALUE"""),"CLOSED")</f>
        <v>CLOSED</v>
      </c>
      <c r="H22" s="1" t="str">
        <f>IFERROR(__xludf.DUMMYFUNCTION("""COMPUTED_VALUE"""),"PQGOR359603470	03-Aug-26	Regular Payment	BPI Internet Payment	1,599.00	0	04-Aug-26")</f>
        <v>PQGOR359603470	03-Aug-26	Regular Payment	BPI Internet Payment	1,599.00	0	04-Aug-26</v>
      </c>
      <c r="I22" s="1" t="str">
        <f>IFERROR(__xludf.DUMMYFUNCTION("""COMPUTED_VALUE"""),"WITH 1 AMSF")</f>
        <v>WITH 1 AMSF</v>
      </c>
      <c r="J22" s="1"/>
      <c r="K22" s="1" t="str">
        <f>IFERROR(__xludf.DUMMYFUNCTION("""COMPUTED_VALUE"""),"COMPLETED")</f>
        <v>COMPLETED</v>
      </c>
      <c r="L22" s="1" t="str">
        <f>IFERROR(__xludf.DUMMYFUNCTION("""COMPUTED_VALUE"""),"POSTED")</f>
        <v>POSTED</v>
      </c>
      <c r="M22" s="1" t="str">
        <f>IFERROR(__xludf.DUMMYFUNCTION("""COMPUTED_VALUE"""),"POSTED")</f>
        <v>POSTED</v>
      </c>
      <c r="N22" s="3">
        <f>IFERROR(__xludf.DUMMYFUNCTION("""COMPUTED_VALUE"""),46237)</f>
        <v>46237</v>
      </c>
      <c r="O22" s="1" t="str">
        <f>IFERROR(__xludf.DUMMYFUNCTION("""COMPUTED_VALUE"""),"SWITCH FIBER UNLI ALL PLAN 1499")</f>
        <v>SWITCH FIBER UNLI ALL PLAN 1499</v>
      </c>
      <c r="P22" s="1" t="str">
        <f>IFERROR(__xludf.DUMMYFUNCTION("""COMPUTED_VALUE"""),"SWITCH")</f>
        <v>SWITCH</v>
      </c>
      <c r="Q22" s="1" t="str">
        <f>IFERROR(__xludf.DUMMYFUNCTION("""COMPUTED_VALUE"""),"P407046")</f>
        <v>P407046</v>
      </c>
      <c r="R22" s="1" t="str">
        <f>IFERROR(__xludf.DUMMYFUNCTION("""COMPUTED_VALUE"""),"MALIWAT, MARK")</f>
        <v>MALIWAT, MARK</v>
      </c>
      <c r="S22" s="1" t="str">
        <f>IFERROR(__xludf.DUMMYFUNCTION("""COMPUTED_VALUE"""),"FLA")</f>
        <v>FLA</v>
      </c>
      <c r="T22" s="1" t="str">
        <f>IFERROR(__xludf.DUMMYFUNCTION("""COMPUTED_VALUE"""),"JERIC NAVARRO")</f>
        <v>JERIC NAVARRO</v>
      </c>
      <c r="U22" s="1" t="str">
        <f>IFERROR(__xludf.DUMMYFUNCTION("""COMPUTED_VALUE"""),"JB SALIOA")</f>
        <v>JB SALIOA</v>
      </c>
      <c r="V22" s="1" t="str">
        <f>IFERROR(__xludf.DUMMYFUNCTION("""COMPUTED_VALUE"""),"ONLINE/CRANFORD")</f>
        <v>ONLINE/CRANFORD</v>
      </c>
      <c r="W22" s="1" t="str">
        <f>IFERROR(__xludf.DUMMYFUNCTION("""COMPUTED_VALUE"""),"STK REGULAR")</f>
        <v>STK REGULAR</v>
      </c>
      <c r="X22" s="1" t="str">
        <f>IFERROR(__xludf.DUMMYFUNCTION("""COMPUTED_VALUE"""),"REGULAR")</f>
        <v>REGULAR</v>
      </c>
      <c r="Y22" s="1" t="str">
        <f>IFERROR(__xludf.DUMMYFUNCTION("""COMPUTED_VALUE"""),"RS_ONL_CVEU_2026")</f>
        <v>RS_ONL_CVEU_2026</v>
      </c>
      <c r="Z22" s="1" t="str">
        <f>IFERROR(__xludf.DUMMYFUNCTION("""COMPUTED_VALUE"""),"NEW CONNECT")</f>
        <v>NEW CONNECT</v>
      </c>
      <c r="AA22" s="1">
        <f>IFERROR(__xludf.DUMMYFUNCTION("""COMPUTED_VALUE"""),639565603425)</f>
        <v>639565603425</v>
      </c>
      <c r="AB22" s="1"/>
      <c r="AC22" s="1">
        <f>IFERROR(__xludf.DUMMYFUNCTION("""COMPUTED_VALUE"""),9002)</f>
        <v>9002</v>
      </c>
      <c r="AD22" s="1" t="str">
        <f>IFERROR(__xludf.DUMMYFUNCTION("""COMPUTED_VALUE"""),"AMBID")</f>
        <v>AMBID</v>
      </c>
      <c r="AE22" s="1" t="str">
        <f>IFERROR(__xludf.DUMMYFUNCTION("""COMPUTED_VALUE"""),"PUROK 6")</f>
        <v>PUROK 6</v>
      </c>
      <c r="AF22" s="1" t="str">
        <f>IFERROR(__xludf.DUMMYFUNCTION("""COMPUTED_VALUE"""),"BGY BILUSO")</f>
        <v>BGY BILUSO</v>
      </c>
      <c r="AG22" s="1" t="str">
        <f>IFERROR(__xludf.DUMMYFUNCTION("""COMPUTED_VALUE"""),"SILANG")</f>
        <v>SILANG</v>
      </c>
      <c r="AH22" s="1" t="str">
        <f>IFERROR(__xludf.DUMMYFUNCTION("""COMPUTED_VALUE"""),"NEAR THAT BAHAY KUBO")</f>
        <v>NEAR THAT BAHAY KUBO</v>
      </c>
      <c r="AI22" s="1" t="str">
        <f>IFERROR(__xludf.DUMMYFUNCTION("""COMPUTED_VALUE"""),"CLUSTER 11")</f>
        <v>CLUSTER 11</v>
      </c>
    </row>
    <row r="23" customHeight="1" spans="1:35">
      <c r="A23" s="3">
        <f>IFERROR(__xludf.DUMMYFUNCTION("""COMPUTED_VALUE"""),46237)</f>
        <v>46237</v>
      </c>
      <c r="B23" s="1" t="str">
        <f>IFERROR(__xludf.DUMMYFUNCTION("""COMPUTED_VALUE"""),"CHERYL COYME ENUMERABLES")</f>
        <v>CHERYL COYME ENUMERABLES</v>
      </c>
      <c r="C23" s="1">
        <f>IFERROR(__xludf.DUMMYFUNCTION("""COMPUTED_VALUE"""),2311482835)</f>
        <v>2311482835</v>
      </c>
      <c r="D23" s="1"/>
      <c r="E23" s="1"/>
      <c r="F23" s="1" t="str">
        <f>IFERROR(__xludf.DUMMYFUNCTION("""COMPUTED_VALUE"""),"CANCELLED")</f>
        <v>CANCELLED</v>
      </c>
      <c r="G23" s="1" t="str">
        <f>IFERROR(__xludf.DUMMYFUNCTION("""COMPUTED_VALUE"""),"CANCELLED DUE TO WRONG PLAN")</f>
        <v>CANCELLED DUE TO WRONG PLAN</v>
      </c>
      <c r="H23" s="1"/>
      <c r="I23" s="1"/>
      <c r="J23" s="1"/>
      <c r="K23" s="1"/>
      <c r="L23" s="1" t="str">
        <f>IFERROR(__xludf.DUMMYFUNCTION("""COMPUTED_VALUE"""),"REENCODED")</f>
        <v>REENCODED</v>
      </c>
      <c r="M23" s="1" t="str">
        <f>IFERROR(__xludf.DUMMYFUNCTION("""COMPUTED_VALUE"""),"REENCODED")</f>
        <v>REENCODED</v>
      </c>
      <c r="N23" s="3"/>
      <c r="O23" s="1" t="str">
        <f>IFERROR(__xludf.DUMMYFUNCTION("""COMPUTED_VALUE"""),"FIBR UNLI ALL PLAN 1399")</f>
        <v>FIBR UNLI ALL PLAN 1399</v>
      </c>
      <c r="P23" s="1" t="str">
        <f>IFERROR(__xludf.DUMMYFUNCTION("""COMPUTED_VALUE"""),"LOWPLAN")</f>
        <v>LOWPLAN</v>
      </c>
      <c r="Q23" s="1" t="str">
        <f>IFERROR(__xludf.DUMMYFUNCTION("""COMPUTED_VALUE"""),"P407046")</f>
        <v>P407046</v>
      </c>
      <c r="R23" s="1" t="str">
        <f>IFERROR(__xludf.DUMMYFUNCTION("""COMPUTED_VALUE"""),"OPS")</f>
        <v>OPS</v>
      </c>
      <c r="S23" s="1" t="str">
        <f>IFERROR(__xludf.DUMMYFUNCTION("""COMPUTED_VALUE"""),"FLA")</f>
        <v>FLA</v>
      </c>
      <c r="T23" s="1" t="str">
        <f>IFERROR(__xludf.DUMMYFUNCTION("""COMPUTED_VALUE"""),"JERIC NAVARRO")</f>
        <v>JERIC NAVARRO</v>
      </c>
      <c r="U23" s="1" t="str">
        <f>IFERROR(__xludf.DUMMYFUNCTION("""COMPUTED_VALUE"""),"JB SALIOA")</f>
        <v>JB SALIOA</v>
      </c>
      <c r="V23" s="1" t="str">
        <f>IFERROR(__xludf.DUMMYFUNCTION("""COMPUTED_VALUE"""),"ONLINE/CRANFORD")</f>
        <v>ONLINE/CRANFORD</v>
      </c>
      <c r="W23" s="1" t="str">
        <f>IFERROR(__xludf.DUMMYFUNCTION("""COMPUTED_VALUE"""),"STK REGULAR")</f>
        <v>STK REGULAR</v>
      </c>
      <c r="X23" s="1" t="str">
        <f>IFERROR(__xludf.DUMMYFUNCTION("""COMPUTED_VALUE"""),"REGULAR")</f>
        <v>REGULAR</v>
      </c>
      <c r="Y23" s="1" t="str">
        <f>IFERROR(__xludf.DUMMYFUNCTION("""COMPUTED_VALUE"""),"RS_ONL_CVEU_2026")</f>
        <v>RS_ONL_CVEU_2026</v>
      </c>
      <c r="Z23" s="1" t="str">
        <f>IFERROR(__xludf.DUMMYFUNCTION("""COMPUTED_VALUE"""),"NEW CONNECT")</f>
        <v>NEW CONNECT</v>
      </c>
      <c r="AA23" s="1">
        <f>IFERROR(__xludf.DUMMYFUNCTION("""COMPUTED_VALUE"""),639771175744)</f>
        <v>639771175744</v>
      </c>
      <c r="AB23" s="1"/>
      <c r="AC23" s="1"/>
      <c r="AD23" s="1" t="str">
        <f>IFERROR(__xludf.DUMMYFUNCTION("""COMPUTED_VALUE"""),"NORTHDALE")</f>
        <v>NORTHDALE</v>
      </c>
      <c r="AE23" s="1" t="str">
        <f>IFERROR(__xludf.DUMMYFUNCTION("""COMPUTED_VALUE"""),"NORTHDALE ESTATES PHASE 2")</f>
        <v>NORTHDALE ESTATES PHASE 2</v>
      </c>
      <c r="AF23" s="1" t="str">
        <f>IFERROR(__xludf.DUMMYFUNCTION("""COMPUTED_VALUE"""),"BGY SAN ROQUE")</f>
        <v>BGY SAN ROQUE</v>
      </c>
      <c r="AG23" s="1" t="str">
        <f>IFERROR(__xludf.DUMMYFUNCTION("""COMPUTED_VALUE"""),"NAIC")</f>
        <v>NAIC</v>
      </c>
      <c r="AH23" s="1" t="str">
        <f>IFERROR(__xludf.DUMMYFUNCTION("""COMPUTED_VALUE"""),"NEAR GATE")</f>
        <v>NEAR GATE</v>
      </c>
      <c r="AI23" s="1" t="str">
        <f>IFERROR(__xludf.DUMMYFUNCTION("""COMPUTED_VALUE"""),"NOT AOR")</f>
        <v>NOT AOR</v>
      </c>
    </row>
    <row r="24" customHeight="1" spans="1:35">
      <c r="A24" s="3">
        <f>IFERROR(__xludf.DUMMYFUNCTION("""COMPUTED_VALUE"""),46237)</f>
        <v>46237</v>
      </c>
      <c r="B24" s="1" t="str">
        <f>IFERROR(__xludf.DUMMYFUNCTION("""COMPUTED_VALUE"""),"CHERYL COYME ENUMERABLES")</f>
        <v>CHERYL COYME ENUMERABLES</v>
      </c>
      <c r="C24" s="1">
        <f>IFERROR(__xludf.DUMMYFUNCTION("""COMPUTED_VALUE"""),2311484718)</f>
        <v>2311484718</v>
      </c>
      <c r="D24" s="1">
        <f>IFERROR(__xludf.DUMMYFUNCTION("""COMPUTED_VALUE"""),406374068)</f>
        <v>406374068</v>
      </c>
      <c r="E24" s="1">
        <f>IFERROR(__xludf.DUMMYFUNCTION("""COMPUTED_VALUE"""),465058093004)</f>
        <v>465058093004</v>
      </c>
      <c r="F24" s="1" t="str">
        <f>IFERROR(__xludf.DUMMYFUNCTION("""COMPUTED_VALUE"""),"CANCELLED")</f>
        <v>CANCELLED</v>
      </c>
      <c r="G24" s="1" t="str">
        <f>IFERROR(__xludf.DUMMYFUNCTION("""COMPUTED_VALUE"""),"RPR  CHERYL COYME ENUMERABLES 465058093004 VISITED UP TO GATE ASSIGNED CAFAC NOT ON SITE NACLP18NP7 NO PLDT FACILITIES AT NORTHDALE SAN ROQUE ADV RANDY ASAWA NI SUBS VIA CBR 639776844960 SUBS LAT AND LONG 14313111120774799")</f>
        <v>RPR  CHERYL COYME ENUMERABLES 465058093004 VISITED UP TO GATE ASSIGNED CAFAC NOT ON SITE NACLP18NP7 NO PLDT FACILITIES AT NORTHDALE SAN ROQUE ADV RANDY ASAWA NI SUBS VIA CBR 639776844960 SUBS LAT AND LONG 14313111120774799</v>
      </c>
      <c r="H24" s="1" t="str">
        <f>IFERROR(__xludf.DUMMYFUNCTION("""COMPUTED_VALUE"""),"PQGOR359566981        03-Aug-26        Regular Payment        CIS-GCASH 3.0        1,399.00        0        03-Aug-26")</f>
        <v>PQGOR359566981        03-Aug-26        Regular Payment        CIS-GCASH 3.0        1,399.00        0        03-Aug-26</v>
      </c>
      <c r="I24" s="1" t="str">
        <f>IFERROR(__xludf.DUMMYFUNCTION("""COMPUTED_VALUE"""),"WITH 1 AMSF")</f>
        <v>WITH 1 AMSF</v>
      </c>
      <c r="J24" s="1"/>
      <c r="K24" s="1" t="str">
        <f>IFERROR(__xludf.DUMMYFUNCTION("""COMPUTED_VALUE"""),"CANCELED")</f>
        <v>CANCELED</v>
      </c>
      <c r="L24" s="1" t="str">
        <f>IFERROR(__xludf.DUMMYFUNCTION("""COMPUTED_VALUE"""),"RPR - NO FTTH")</f>
        <v>RPR - NO FTTH</v>
      </c>
      <c r="M24" s="1" t="str">
        <f>IFERROR(__xludf.DUMMYFUNCTION("""COMPUTED_VALUE"""),"RPR - UNMAINTAINABLE")</f>
        <v>RPR - UNMAINTAINABLE</v>
      </c>
      <c r="N24" s="3"/>
      <c r="O24" s="1" t="str">
        <f>IFERROR(__xludf.DUMMYFUNCTION("""COMPUTED_VALUE"""),"FIBR PLAN 1299")</f>
        <v>FIBR PLAN 1299</v>
      </c>
      <c r="P24" s="1" t="str">
        <f>IFERROR(__xludf.DUMMYFUNCTION("""COMPUTED_VALUE"""),"LOWPLAN")</f>
        <v>LOWPLAN</v>
      </c>
      <c r="Q24" s="1" t="str">
        <f>IFERROR(__xludf.DUMMYFUNCTION("""COMPUTED_VALUE"""),"P407046")</f>
        <v>P407046</v>
      </c>
      <c r="R24" s="1" t="str">
        <f>IFERROR(__xludf.DUMMYFUNCTION("""COMPUTED_VALUE"""),"OPS")</f>
        <v>OPS</v>
      </c>
      <c r="S24" s="1" t="str">
        <f>IFERROR(__xludf.DUMMYFUNCTION("""COMPUTED_VALUE"""),"FLA")</f>
        <v>FLA</v>
      </c>
      <c r="T24" s="1" t="str">
        <f>IFERROR(__xludf.DUMMYFUNCTION("""COMPUTED_VALUE"""),"JERIC NAVARRO")</f>
        <v>JERIC NAVARRO</v>
      </c>
      <c r="U24" s="1" t="str">
        <f>IFERROR(__xludf.DUMMYFUNCTION("""COMPUTED_VALUE"""),"JB SALIOA")</f>
        <v>JB SALIOA</v>
      </c>
      <c r="V24" s="1" t="str">
        <f>IFERROR(__xludf.DUMMYFUNCTION("""COMPUTED_VALUE"""),"ONLINE/CRANFORD")</f>
        <v>ONLINE/CRANFORD</v>
      </c>
      <c r="W24" s="1" t="str">
        <f>IFERROR(__xludf.DUMMYFUNCTION("""COMPUTED_VALUE"""),"STK REGULAR")</f>
        <v>STK REGULAR</v>
      </c>
      <c r="X24" s="1" t="str">
        <f>IFERROR(__xludf.DUMMYFUNCTION("""COMPUTED_VALUE"""),"REGULAR")</f>
        <v>REGULAR</v>
      </c>
      <c r="Y24" s="1" t="str">
        <f>IFERROR(__xludf.DUMMYFUNCTION("""COMPUTED_VALUE"""),"RS_ONL_CVEU_2026")</f>
        <v>RS_ONL_CVEU_2026</v>
      </c>
      <c r="Z24" s="1" t="str">
        <f>IFERROR(__xludf.DUMMYFUNCTION("""COMPUTED_VALUE"""),"NEW CONNECT")</f>
        <v>NEW CONNECT</v>
      </c>
      <c r="AA24" s="1">
        <f>IFERROR(__xludf.DUMMYFUNCTION("""COMPUTED_VALUE"""),639771175744)</f>
        <v>639771175744</v>
      </c>
      <c r="AB24" s="1">
        <f>IFERROR(__xludf.DUMMYFUNCTION("""COMPUTED_VALUE"""),639776844960)</f>
        <v>639776844960</v>
      </c>
      <c r="AC24" s="1"/>
      <c r="AD24" s="1" t="str">
        <f>IFERROR(__xludf.DUMMYFUNCTION("""COMPUTED_VALUE"""),"PHASE 2")</f>
        <v>PHASE 2</v>
      </c>
      <c r="AE24" s="1" t="str">
        <f>IFERROR(__xludf.DUMMYFUNCTION("""COMPUTED_VALUE"""),"NORTHDALE ESTATES")</f>
        <v>NORTHDALE ESTATES</v>
      </c>
      <c r="AF24" s="1" t="str">
        <f>IFERROR(__xludf.DUMMYFUNCTION("""COMPUTED_VALUE"""),"BGY SAN ROQUE")</f>
        <v>BGY SAN ROQUE</v>
      </c>
      <c r="AG24" s="1" t="str">
        <f>IFERROR(__xludf.DUMMYFUNCTION("""COMPUTED_VALUE"""),"NAIC")</f>
        <v>NAIC</v>
      </c>
      <c r="AH24" s="1" t="str">
        <f>IFERROR(__xludf.DUMMYFUNCTION("""COMPUTED_VALUE"""),"NEAR GATE")</f>
        <v>NEAR GATE</v>
      </c>
      <c r="AI24" s="1" t="str">
        <f>IFERROR(__xludf.DUMMYFUNCTION("""COMPUTED_VALUE"""),"NOT AOR")</f>
        <v>NOT AOR</v>
      </c>
    </row>
    <row r="25" customHeight="1" spans="1:35">
      <c r="A25" s="3">
        <f>IFERROR(__xludf.DUMMYFUNCTION("""COMPUTED_VALUE"""),46237)</f>
        <v>46237</v>
      </c>
      <c r="B25" s="1" t="str">
        <f>IFERROR(__xludf.DUMMYFUNCTION("""COMPUTED_VALUE"""),"CARMONA ESTATES-PH 11 HOMEOWNERS ASSOCIATION INC.")</f>
        <v>CARMONA ESTATES-PH 11 HOMEOWNERS ASSOCIATION INC.</v>
      </c>
      <c r="C25" s="1">
        <f>IFERROR(__xludf.DUMMYFUNCTION("""COMPUTED_VALUE"""),2311484945)</f>
        <v>2311484945</v>
      </c>
      <c r="D25" s="1">
        <f>IFERROR(__xludf.DUMMYFUNCTION("""COMPUTED_VALUE"""),406369838)</f>
        <v>406369838</v>
      </c>
      <c r="E25" s="1">
        <f>IFERROR(__xludf.DUMMYFUNCTION("""COMPUTED_VALUE"""),465052884004)</f>
        <v>465052884004</v>
      </c>
      <c r="F25" s="1" t="str">
        <f>IFERROR(__xludf.DUMMYFUNCTION("""COMPUTED_VALUE"""),"CLOSED")</f>
        <v>CLOSED</v>
      </c>
      <c r="G25" s="1" t="str">
        <f>IFERROR(__xludf.DUMMYFUNCTION("""COMPUTED_VALUE"""),"CLOSED")</f>
        <v>CLOSED</v>
      </c>
      <c r="H25" s="1" t="str">
        <f>IFERROR(__xludf.DUMMYFUNCTION("""COMPUTED_VALUE"""),"PAID VIA GACSH REF 88232222272 AUGUST 4")</f>
        <v>PAID VIA GACSH REF 88232222272 AUGUST 4</v>
      </c>
      <c r="I25" s="1" t="str">
        <f>IFERROR(__xludf.DUMMYFUNCTION("""COMPUTED_VALUE"""),"WITH 1 AMSF")</f>
        <v>WITH 1 AMSF</v>
      </c>
      <c r="J25" s="1"/>
      <c r="K25" s="1" t="str">
        <f>IFERROR(__xludf.DUMMYFUNCTION("""COMPUTED_VALUE"""),"COMPLETED")</f>
        <v>COMPLETED</v>
      </c>
      <c r="L25" s="1" t="str">
        <f>IFERROR(__xludf.DUMMYFUNCTION("""COMPUTED_VALUE"""),"POSTED")</f>
        <v>POSTED</v>
      </c>
      <c r="M25" s="1" t="str">
        <f>IFERROR(__xludf.DUMMYFUNCTION("""COMPUTED_VALUE"""),"POSTED")</f>
        <v>POSTED</v>
      </c>
      <c r="N25" s="3">
        <f>IFERROR(__xludf.DUMMYFUNCTION("""COMPUTED_VALUE"""),46238)</f>
        <v>46238</v>
      </c>
      <c r="O25" s="1" t="str">
        <f>IFERROR(__xludf.DUMMYFUNCTION("""COMPUTED_VALUE"""),"HOME BIZ PLAN 1699")</f>
        <v>HOME BIZ PLAN 1699</v>
      </c>
      <c r="P25" s="1" t="str">
        <f>IFERROR(__xludf.DUMMYFUNCTION("""COMPUTED_VALUE"""),"HIGHPLAN")</f>
        <v>HIGHPLAN</v>
      </c>
      <c r="Q25" s="1" t="str">
        <f>IFERROR(__xludf.DUMMYFUNCTION("""COMPUTED_VALUE"""),"P407044")</f>
        <v>P407044</v>
      </c>
      <c r="R25" s="1" t="str">
        <f>IFERROR(__xludf.DUMMYFUNCTION("""COMPUTED_VALUE"""),"AYON, MANUEL")</f>
        <v>AYON, MANUEL</v>
      </c>
      <c r="S25" s="1" t="str">
        <f>IFERROR(__xludf.DUMMYFUNCTION("""COMPUTED_VALUE"""),"FLA")</f>
        <v>FLA</v>
      </c>
      <c r="T25" s="1" t="str">
        <f>IFERROR(__xludf.DUMMYFUNCTION("""COMPUTED_VALUE"""),"JERIC NAVARRO")</f>
        <v>JERIC NAVARRO</v>
      </c>
      <c r="U25" s="1" t="str">
        <f>IFERROR(__xludf.DUMMYFUNCTION("""COMPUTED_VALUE"""),"JB SALIOA")</f>
        <v>JB SALIOA</v>
      </c>
      <c r="V25" s="1" t="str">
        <f>IFERROR(__xludf.DUMMYFUNCTION("""COMPUTED_VALUE"""),"H2H")</f>
        <v>H2H</v>
      </c>
      <c r="W25" s="1" t="str">
        <f>IFERROR(__xludf.DUMMYFUNCTION("""COMPUTED_VALUE"""),"CSP")</f>
        <v>CSP</v>
      </c>
      <c r="X25" s="1" t="str">
        <f>IFERROR(__xludf.DUMMYFUNCTION("""COMPUTED_VALUE"""),"REGULAR")</f>
        <v>REGULAR</v>
      </c>
      <c r="Y25" s="1" t="str">
        <f>IFERROR(__xludf.DUMMYFUNCTION("""COMPUTED_VALUE"""),"RS_HH_CVEU_2026")</f>
        <v>RS_HH_CVEU_2026</v>
      </c>
      <c r="Z25" s="1" t="str">
        <f>IFERROR(__xludf.DUMMYFUNCTION("""COMPUTED_VALUE"""),"NEW CONNECT")</f>
        <v>NEW CONNECT</v>
      </c>
      <c r="AA25" s="1">
        <f>IFERROR(__xludf.DUMMYFUNCTION("""COMPUTED_VALUE"""),639126960877)</f>
        <v>639126960877</v>
      </c>
      <c r="AB25" s="1"/>
      <c r="AC25" s="1"/>
      <c r="AD25" s="1" t="str">
        <f>IFERROR(__xludf.DUMMYFUNCTION("""COMPUTED_VALUE"""),"PHASE 11")</f>
        <v>PHASE 11</v>
      </c>
      <c r="AE25" s="1" t="str">
        <f>IFERROR(__xludf.DUMMYFUNCTION("""COMPUTED_VALUE"""),"CARMONA ESTATE")</f>
        <v>CARMONA ESTATE</v>
      </c>
      <c r="AF25" s="1" t="str">
        <f>IFERROR(__xludf.DUMMYFUNCTION("""COMPUTED_VALUE"""),"BGY LANTIC")</f>
        <v>BGY LANTIC</v>
      </c>
      <c r="AG25" s="1" t="str">
        <f>IFERROR(__xludf.DUMMYFUNCTION("""COMPUTED_VALUE"""),"CARMONA")</f>
        <v>CARMONA</v>
      </c>
      <c r="AH25" s="1" t="str">
        <f>IFERROR(__xludf.DUMMYFUNCTION("""COMPUTED_VALUE"""),"GUARD HOUSE PHASE 11")</f>
        <v>GUARD HOUSE PHASE 11</v>
      </c>
      <c r="AI25" s="1" t="str">
        <f>IFERROR(__xludf.DUMMYFUNCTION("""COMPUTED_VALUE"""),"CLUSTER 12")</f>
        <v>CLUSTER 12</v>
      </c>
    </row>
    <row r="26" customHeight="1" spans="1:35">
      <c r="A26" s="3">
        <f>IFERROR(__xludf.DUMMYFUNCTION("""COMPUTED_VALUE"""),46237)</f>
        <v>46237</v>
      </c>
      <c r="B26" s="1" t="str">
        <f>IFERROR(__xludf.DUMMYFUNCTION("""COMPUTED_VALUE"""),"ALFREDO JR PENALBA CUBIO")</f>
        <v>ALFREDO JR PENALBA CUBIO</v>
      </c>
      <c r="C26" s="1">
        <f>IFERROR(__xludf.DUMMYFUNCTION("""COMPUTED_VALUE"""),2311485871)</f>
        <v>2311485871</v>
      </c>
      <c r="D26" s="1"/>
      <c r="E26" s="1"/>
      <c r="F26" s="1" t="str">
        <f>IFERROR(__xludf.DUMMYFUNCTION("""COMPUTED_VALUE"""),"CANCELLED")</f>
        <v>CANCELLED</v>
      </c>
      <c r="G26" s="1" t="str">
        <f>IFERROR(__xludf.DUMMYFUNCTION("""COMPUTED_VALUE"""),"(OTHERS) RTS | COMPLETE DOCS| DONE VALIDATION |CORRECT ENCODED INFO IN CSP | TU SCORING - EE - 2 (NTC) | WAIVED AMSF | WITH BLACKLIST ACC IN SAME NAME DIFF ADD- 0259580269 OB: 20,348.39 FOR SETTLEMENT | CLEARED FROM CANCELLED/PENDING OR ACTIVE ACCOUNT")</f>
        <v>(OTHERS) RTS | COMPLETE DOCS| DONE VALIDATION |CORRECT ENCODED INFO IN CSP | TU SCORING - EE - 2 (NTC) | WAIVED AMSF | WITH BLACKLIST ACC IN SAME NAME DIFF ADD- 0259580269 OB: 20,348.39 FOR SETTLEMENT | CLEARED FROM CANCELLED/PENDING OR ACTIVE ACCOUNT</v>
      </c>
      <c r="H26" s="1"/>
      <c r="I26" s="1"/>
      <c r="J26" s="1"/>
      <c r="K26" s="1"/>
      <c r="L26" s="1" t="str">
        <f>IFERROR(__xludf.DUMMYFUNCTION("""COMPUTED_VALUE"""),"CANCELLED - WITH OB")</f>
        <v>CANCELLED - WITH OB</v>
      </c>
      <c r="M26" s="1" t="str">
        <f>IFERROR(__xludf.DUMMYFUNCTION("""COMPUTED_VALUE"""),"CANCELLED - WITH OB")</f>
        <v>CANCELLED - WITH OB</v>
      </c>
      <c r="N26" s="3"/>
      <c r="O26" s="1" t="str">
        <f>IFERROR(__xludf.DUMMYFUNCTION("""COMPUTED_VALUE"""),"FIBR PLAN 1299")</f>
        <v>FIBR PLAN 1299</v>
      </c>
      <c r="P26" s="1" t="str">
        <f>IFERROR(__xludf.DUMMYFUNCTION("""COMPUTED_VALUE"""),"LOWPLAN")</f>
        <v>LOWPLAN</v>
      </c>
      <c r="Q26" s="1" t="str">
        <f>IFERROR(__xludf.DUMMYFUNCTION("""COMPUTED_VALUE"""),"P407050")</f>
        <v>P407050</v>
      </c>
      <c r="R26" s="1" t="str">
        <f>IFERROR(__xludf.DUMMYFUNCTION("""COMPUTED_VALUE"""),"BAQUIT, JAZMIN")</f>
        <v>BAQUIT, JAZMIN</v>
      </c>
      <c r="S26" s="1" t="str">
        <f>IFERROR(__xludf.DUMMYFUNCTION("""COMPUTED_VALUE"""),"ORGANIC")</f>
        <v>ORGANIC</v>
      </c>
      <c r="T26" s="1" t="str">
        <f>IFERROR(__xludf.DUMMYFUNCTION("""COMPUTED_VALUE"""),"LEA REMOLLO")</f>
        <v>LEA REMOLLO</v>
      </c>
      <c r="U26" s="1" t="str">
        <f>IFERROR(__xludf.DUMMYFUNCTION("""COMPUTED_VALUE"""),"JB SALIOA")</f>
        <v>JB SALIOA</v>
      </c>
      <c r="V26" s="1" t="str">
        <f>IFERROR(__xludf.DUMMYFUNCTION("""COMPUTED_VALUE"""),"H2H")</f>
        <v>H2H</v>
      </c>
      <c r="W26" s="1" t="str">
        <f>IFERROR(__xludf.DUMMYFUNCTION("""COMPUTED_VALUE"""),"STK REGULAR")</f>
        <v>STK REGULAR</v>
      </c>
      <c r="X26" s="1" t="str">
        <f>IFERROR(__xludf.DUMMYFUNCTION("""COMPUTED_VALUE"""),"REGULAR")</f>
        <v>REGULAR</v>
      </c>
      <c r="Y26" s="1" t="str">
        <f>IFERROR(__xludf.DUMMYFUNCTION("""COMPUTED_VALUE"""),"RS_HH_CVEU_2026")</f>
        <v>RS_HH_CVEU_2026</v>
      </c>
      <c r="Z26" s="1" t="str">
        <f>IFERROR(__xludf.DUMMYFUNCTION("""COMPUTED_VALUE"""),"NEW CONNECT")</f>
        <v>NEW CONNECT</v>
      </c>
      <c r="AA26" s="1">
        <f>IFERROR(__xludf.DUMMYFUNCTION("""COMPUTED_VALUE"""),639668822552)</f>
        <v>639668822552</v>
      </c>
      <c r="AB26" s="1"/>
      <c r="AC26" s="1"/>
      <c r="AD26" s="1" t="str">
        <f>IFERROR(__xludf.DUMMYFUNCTION("""COMPUTED_VALUE"""),"PANUNGYAN 2")</f>
        <v>PANUNGYAN 2</v>
      </c>
      <c r="AE26" s="1"/>
      <c r="AF26" s="1" t="str">
        <f>IFERROR(__xludf.DUMMYFUNCTION("""COMPUTED_VALUE"""),"BGY PANUNGYAN 2")</f>
        <v>BGY PANUNGYAN 2</v>
      </c>
      <c r="AG26" s="1" t="str">
        <f>IFERROR(__xludf.DUMMYFUNCTION("""COMPUTED_VALUE"""),"MENDEZ")</f>
        <v>MENDEZ</v>
      </c>
      <c r="AH26" s="1" t="str">
        <f>IFERROR(__xludf.DUMMYFUNCTION("""COMPUTED_VALUE"""),"BARANGAY HALL ")</f>
        <v>BARANGAY HALL </v>
      </c>
      <c r="AI26" s="1" t="str">
        <f>IFERROR(__xludf.DUMMYFUNCTION("""COMPUTED_VALUE"""),"CLUSTER 12")</f>
        <v>CLUSTER 12</v>
      </c>
    </row>
    <row r="27" customHeight="1" spans="1:35">
      <c r="A27" s="3">
        <f>IFERROR(__xludf.DUMMYFUNCTION("""COMPUTED_VALUE"""),46237)</f>
        <v>46237</v>
      </c>
      <c r="B27" s="1" t="str">
        <f>IFERROR(__xludf.DUMMYFUNCTION("""COMPUTED_VALUE"""),"JERRICK ORCAJADA DE CASTRO")</f>
        <v>JERRICK ORCAJADA DE CASTRO</v>
      </c>
      <c r="C27" s="1">
        <f>IFERROR(__xludf.DUMMYFUNCTION("""COMPUTED_VALUE"""),2311488353)</f>
        <v>2311488353</v>
      </c>
      <c r="D27" s="1">
        <f>IFERROR(__xludf.DUMMYFUNCTION("""COMPUTED_VALUE"""),406438783)</f>
        <v>406438783</v>
      </c>
      <c r="E27" s="1">
        <f>IFERROR(__xludf.DUMMYFUNCTION("""COMPUTED_VALUE"""),465278102004)</f>
        <v>465278102004</v>
      </c>
      <c r="F27" s="1" t="str">
        <f>IFERROR(__xludf.DUMMYFUNCTION("""COMPUTED_VALUE"""),"CANCELLED")</f>
        <v>CANCELLED</v>
      </c>
      <c r="G27" s="1" t="str">
        <f>IFERROR(__xludf.DUMMYFUNCTION("""COMPUTED_VALUE"""),"TRUCK ROLL VISITED  CALL THRU REMARKS CANT LOCATE CBR RINGING ONLY TEXT BUT NOT REPLY HINDI KILALA SA AREA SI SUBS CBR 09770071251 092454376")</f>
        <v>TRUCK ROLL VISITED  CALL THRU REMARKS CANT LOCATE CBR RINGING ONLY TEXT BUT NOT REPLY HINDI KILALA SA AREA SI SUBS CBR 09770071251 092454376</v>
      </c>
      <c r="H27" s="1"/>
      <c r="I27" s="1" t="str">
        <f>IFERROR(__xludf.DUMMYFUNCTION("""COMPUTED_VALUE"""),"NO 1 AMSF")</f>
        <v>NO 1 AMSF</v>
      </c>
      <c r="J27" s="1" t="str">
        <f>IFERROR(__xludf.DUMMYFUNCTION("""COMPUTED_VALUE"""),"NO PAYMENT")</f>
        <v>NO PAYMENT</v>
      </c>
      <c r="K27" s="1" t="str">
        <f>IFERROR(__xludf.DUMMYFUNCTION("""COMPUTED_VALUE"""),"CANCELED")</f>
        <v>CANCELED</v>
      </c>
      <c r="L27" s="1" t="str">
        <f>IFERROR(__xludf.DUMMYFUNCTION("""COMPUTED_VALUE"""),"RPR - UNATTENDED")</f>
        <v>RPR - UNATTENDED</v>
      </c>
      <c r="M27" s="1" t="str">
        <f>IFERROR(__xludf.DUMMYFUNCTION("""COMPUTED_VALUE"""),"RPR- SUBS UNKNOWN")</f>
        <v>RPR- SUBS UNKNOWN</v>
      </c>
      <c r="N27" s="3"/>
      <c r="O27" s="1" t="str">
        <f>IFERROR(__xludf.DUMMYFUNCTION("""COMPUTED_VALUE"""),"FIBR NETFLIX PLAN 1599")</f>
        <v>FIBR NETFLIX PLAN 1599</v>
      </c>
      <c r="P27" s="1" t="str">
        <f>IFERROR(__xludf.DUMMYFUNCTION("""COMPUTED_VALUE"""),"LOWPLAN")</f>
        <v>LOWPLAN</v>
      </c>
      <c r="Q27" s="1" t="str">
        <f>IFERROR(__xludf.DUMMYFUNCTION("""COMPUTED_VALUE"""),"P407047")</f>
        <v>P407047</v>
      </c>
      <c r="R27" s="1" t="str">
        <f>IFERROR(__xludf.DUMMYFUNCTION("""COMPUTED_VALUE"""),"FRANCISCO, ROSELYN")</f>
        <v>FRANCISCO, ROSELYN</v>
      </c>
      <c r="S27" s="1" t="str">
        <f>IFERROR(__xludf.DUMMYFUNCTION("""COMPUTED_VALUE"""),"ORGANIC")</f>
        <v>ORGANIC</v>
      </c>
      <c r="T27" s="1" t="str">
        <f>IFERROR(__xludf.DUMMYFUNCTION("""COMPUTED_VALUE"""),"LEA REMOLLO")</f>
        <v>LEA REMOLLO</v>
      </c>
      <c r="U27" s="1" t="str">
        <f>IFERROR(__xludf.DUMMYFUNCTION("""COMPUTED_VALUE"""),"JB SALIOA")</f>
        <v>JB SALIOA</v>
      </c>
      <c r="V27" s="1" t="str">
        <f>IFERROR(__xludf.DUMMYFUNCTION("""COMPUTED_VALUE"""),"H2H")</f>
        <v>H2H</v>
      </c>
      <c r="W27" s="1" t="str">
        <f>IFERROR(__xludf.DUMMYFUNCTION("""COMPUTED_VALUE"""),"STK REGULAR")</f>
        <v>STK REGULAR</v>
      </c>
      <c r="X27" s="1" t="str">
        <f>IFERROR(__xludf.DUMMYFUNCTION("""COMPUTED_VALUE"""),"REGULAR")</f>
        <v>REGULAR</v>
      </c>
      <c r="Y27" s="1" t="str">
        <f>IFERROR(__xludf.DUMMYFUNCTION("""COMPUTED_VALUE"""),"RS_HH_CVEU_2026")</f>
        <v>RS_HH_CVEU_2026</v>
      </c>
      <c r="Z27" s="1" t="str">
        <f>IFERROR(__xludf.DUMMYFUNCTION("""COMPUTED_VALUE"""),"NEW CONNECT")</f>
        <v>NEW CONNECT</v>
      </c>
      <c r="AA27" s="1">
        <f>IFERROR(__xludf.DUMMYFUNCTION("""COMPUTED_VALUE"""),639245437646)</f>
        <v>639245437646</v>
      </c>
      <c r="AB27" s="1">
        <f>IFERROR(__xludf.DUMMYFUNCTION("""COMPUTED_VALUE"""),639770071251)</f>
        <v>639770071251</v>
      </c>
      <c r="AC27" s="1">
        <f>IFERROR(__xludf.DUMMYFUNCTION("""COMPUTED_VALUE"""),199)</f>
        <v>199</v>
      </c>
      <c r="AD27" s="1" t="str">
        <f>IFERROR(__xludf.DUMMYFUNCTION("""COMPUTED_VALUE"""),"GALICIA 3")</f>
        <v>GALICIA 3</v>
      </c>
      <c r="AE27" s="1"/>
      <c r="AF27" s="1" t="str">
        <f>IFERROR(__xludf.DUMMYFUNCTION("""COMPUTED_VALUE"""),"BGY GALICIA 3")</f>
        <v>BGY GALICIA 3</v>
      </c>
      <c r="AG27" s="1" t="str">
        <f>IFERROR(__xludf.DUMMYFUNCTION("""COMPUTED_VALUE"""),"MENDEZ")</f>
        <v>MENDEZ</v>
      </c>
      <c r="AH27" s="1" t="str">
        <f>IFERROR(__xludf.DUMMYFUNCTION("""COMPUTED_VALUE"""),"MARKET SITE")</f>
        <v>MARKET SITE</v>
      </c>
      <c r="AI27" s="1" t="str">
        <f>IFERROR(__xludf.DUMMYFUNCTION("""COMPUTED_VALUE"""),"CLUSTER 12")</f>
        <v>CLUSTER 12</v>
      </c>
    </row>
    <row r="28" customHeight="1" spans="1:35">
      <c r="A28" s="3">
        <f>IFERROR(__xludf.DUMMYFUNCTION("""COMPUTED_VALUE"""),46237)</f>
        <v>46237</v>
      </c>
      <c r="B28" s="1" t="str">
        <f>IFERROR(__xludf.DUMMYFUNCTION("""COMPUTED_VALUE"""),"SARAH ACEDO ESTACIO")</f>
        <v>SARAH ACEDO ESTACIO</v>
      </c>
      <c r="C28" s="1">
        <f>IFERROR(__xludf.DUMMYFUNCTION("""COMPUTED_VALUE"""),2311489473)</f>
        <v>2311489473</v>
      </c>
      <c r="D28" s="1">
        <f>IFERROR(__xludf.DUMMYFUNCTION("""COMPUTED_VALUE"""),406376168)</f>
        <v>406376168</v>
      </c>
      <c r="E28" s="1">
        <f>IFERROR(__xludf.DUMMYFUNCTION("""COMPUTED_VALUE"""),465058445004)</f>
        <v>465058445004</v>
      </c>
      <c r="F28" s="1" t="str">
        <f>IFERROR(__xludf.DUMMYFUNCTION("""COMPUTED_VALUE"""),"CLOSED")</f>
        <v>CLOSED</v>
      </c>
      <c r="G28" s="1" t="str">
        <f>IFERROR(__xludf.DUMMYFUNCTION("""COMPUTED_VALUE"""),"CLOSED")</f>
        <v>CLOSED</v>
      </c>
      <c r="H28" s="1" t="str">
        <f>IFERROR(__xludf.DUMMYFUNCTION("""COMPUTED_VALUE"""),"PQGOR360836655	14-Aug-26	Regular Payment	PLDT Pay Express-Web-App credit	1,808.62	0	14-Aug-2")</f>
        <v>PQGOR360836655	14-Aug-26	Regular Payment	PLDT Pay Express-Web-App credit	1,808.62	0	14-Aug-2</v>
      </c>
      <c r="I28" s="1" t="str">
        <f>IFERROR(__xludf.DUMMYFUNCTION("""COMPUTED_VALUE"""),"WITH 1 AMSF")</f>
        <v>WITH 1 AMSF</v>
      </c>
      <c r="J28" s="1"/>
      <c r="K28" s="1" t="str">
        <f>IFERROR(__xludf.DUMMYFUNCTION("""COMPUTED_VALUE"""),"COMPLETED")</f>
        <v>COMPLETED</v>
      </c>
      <c r="L28" s="1" t="str">
        <f>IFERROR(__xludf.DUMMYFUNCTION("""COMPUTED_VALUE"""),"POSTED")</f>
        <v>POSTED</v>
      </c>
      <c r="M28" s="1" t="str">
        <f>IFERROR(__xludf.DUMMYFUNCTION("""COMPUTED_VALUE"""),"POSTED")</f>
        <v>POSTED</v>
      </c>
      <c r="N28" s="3">
        <f>IFERROR(__xludf.DUMMYFUNCTION("""COMPUTED_VALUE"""),46238)</f>
        <v>46238</v>
      </c>
      <c r="O28" s="1" t="str">
        <f>IFERROR(__xludf.DUMMYFUNCTION("""COMPUTED_VALUE"""),"FIBR NETFLIX PLAN 1599")</f>
        <v>FIBR NETFLIX PLAN 1599</v>
      </c>
      <c r="P28" s="1" t="str">
        <f>IFERROR(__xludf.DUMMYFUNCTION("""COMPUTED_VALUE"""),"LOWPLAN")</f>
        <v>LOWPLAN</v>
      </c>
      <c r="Q28" s="1" t="str">
        <f>IFERROR(__xludf.DUMMYFUNCTION("""COMPUTED_VALUE"""),"P407047")</f>
        <v>P407047</v>
      </c>
      <c r="R28" s="1" t="str">
        <f>IFERROR(__xludf.DUMMYFUNCTION("""COMPUTED_VALUE"""),"FRANCISCO, ROSELYN")</f>
        <v>FRANCISCO, ROSELYN</v>
      </c>
      <c r="S28" s="1" t="str">
        <f>IFERROR(__xludf.DUMMYFUNCTION("""COMPUTED_VALUE"""),"ORGANIC")</f>
        <v>ORGANIC</v>
      </c>
      <c r="T28" s="1" t="str">
        <f>IFERROR(__xludf.DUMMYFUNCTION("""COMPUTED_VALUE"""),"LEA REMOLLO")</f>
        <v>LEA REMOLLO</v>
      </c>
      <c r="U28" s="1" t="str">
        <f>IFERROR(__xludf.DUMMYFUNCTION("""COMPUTED_VALUE"""),"JB SALIOA")</f>
        <v>JB SALIOA</v>
      </c>
      <c r="V28" s="1" t="str">
        <f>IFERROR(__xludf.DUMMYFUNCTION("""COMPUTED_VALUE"""),"H2H")</f>
        <v>H2H</v>
      </c>
      <c r="W28" s="1" t="str">
        <f>IFERROR(__xludf.DUMMYFUNCTION("""COMPUTED_VALUE"""),"STK REGULAR")</f>
        <v>STK REGULAR</v>
      </c>
      <c r="X28" s="1" t="str">
        <f>IFERROR(__xludf.DUMMYFUNCTION("""COMPUTED_VALUE"""),"REGULAR")</f>
        <v>REGULAR</v>
      </c>
      <c r="Y28" s="1" t="str">
        <f>IFERROR(__xludf.DUMMYFUNCTION("""COMPUTED_VALUE"""),"RS_HH_CVEU_2026")</f>
        <v>RS_HH_CVEU_2026</v>
      </c>
      <c r="Z28" s="1" t="str">
        <f>IFERROR(__xludf.DUMMYFUNCTION("""COMPUTED_VALUE"""),"NEW CONNECT")</f>
        <v>NEW CONNECT</v>
      </c>
      <c r="AA28" s="1">
        <f>IFERROR(__xludf.DUMMYFUNCTION("""COMPUTED_VALUE"""),639913516740)</f>
        <v>639913516740</v>
      </c>
      <c r="AB28" s="1"/>
      <c r="AC28" s="1">
        <f>IFERROR(__xludf.DUMMYFUNCTION("""COMPUTED_VALUE"""),640)</f>
        <v>640</v>
      </c>
      <c r="AD28" s="1" t="str">
        <f>IFERROR(__xludf.DUMMYFUNCTION("""COMPUTED_VALUE"""),"PAGDILAO")</f>
        <v>PAGDILAO</v>
      </c>
      <c r="AE28" s="1" t="str">
        <f>IFERROR(__xludf.DUMMYFUNCTION("""COMPUTED_VALUE"""),"PUROK 136")</f>
        <v>PUROK 136</v>
      </c>
      <c r="AF28" s="1" t="str">
        <f>IFERROR(__xludf.DUMMYFUNCTION("""COMPUTED_VALUE"""),"BGY NEOGAN")</f>
        <v>BGY NEOGAN</v>
      </c>
      <c r="AG28" s="1" t="str">
        <f>IFERROR(__xludf.DUMMYFUNCTION("""COMPUTED_VALUE"""),"TAGAYTAY")</f>
        <v>TAGAYTAY</v>
      </c>
      <c r="AH28" s="1" t="str">
        <f>IFERROR(__xludf.DUMMYFUNCTION("""COMPUTED_VALUE"""),"BRGY HALL ")</f>
        <v>BRGY HALL </v>
      </c>
      <c r="AI28" s="1" t="str">
        <f>IFERROR(__xludf.DUMMYFUNCTION("""COMPUTED_VALUE"""),"CLUSTER 12")</f>
        <v>CLUSTER 12</v>
      </c>
    </row>
    <row r="29" customHeight="1" spans="1:35">
      <c r="A29" s="3">
        <f>IFERROR(__xludf.DUMMYFUNCTION("""COMPUTED_VALUE"""),46237)</f>
        <v>46237</v>
      </c>
      <c r="B29" s="1" t="str">
        <f>IFERROR(__xludf.DUMMYFUNCTION("""COMPUTED_VALUE"""),"MARK JOSEPH CROOC GONZALES")</f>
        <v>MARK JOSEPH CROOC GONZALES</v>
      </c>
      <c r="C29" s="1">
        <f>IFERROR(__xludf.DUMMYFUNCTION("""COMPUTED_VALUE"""),2311490317)</f>
        <v>2311490317</v>
      </c>
      <c r="D29" s="1">
        <f>IFERROR(__xludf.DUMMYFUNCTION("""COMPUTED_VALUE"""),406381927)</f>
        <v>406381927</v>
      </c>
      <c r="E29" s="1">
        <f>IFERROR(__xludf.DUMMYFUNCTION("""COMPUTED_VALUE"""),465065332004)</f>
        <v>465065332004</v>
      </c>
      <c r="F29" s="1" t="str">
        <f>IFERROR(__xludf.DUMMYFUNCTION("""COMPUTED_VALUE"""),"CLOSED")</f>
        <v>CLOSED</v>
      </c>
      <c r="G29" s="1" t="str">
        <f>IFERROR(__xludf.DUMMYFUNCTION("""COMPUTED_VALUE"""),"CLOSED")</f>
        <v>CLOSED</v>
      </c>
      <c r="H29" s="1"/>
      <c r="I29" s="1" t="str">
        <f>IFERROR(__xludf.DUMMYFUNCTION("""COMPUTED_VALUE"""),"NO 1 AMSF")</f>
        <v>NO 1 AMSF</v>
      </c>
      <c r="J29" s="1" t="str">
        <f>IFERROR(__xludf.DUMMYFUNCTION("""COMPUTED_VALUE"""),"NO PAYMENT")</f>
        <v>NO PAYMENT</v>
      </c>
      <c r="K29" s="1" t="str">
        <f>IFERROR(__xludf.DUMMYFUNCTION("""COMPUTED_VALUE"""),"CANCELED")</f>
        <v>CANCELED</v>
      </c>
      <c r="L29" s="1" t="str">
        <f>IFERROR(__xludf.DUMMYFUNCTION("""COMPUTED_VALUE"""),"POSTED")</f>
        <v>POSTED</v>
      </c>
      <c r="M29" s="1" t="str">
        <f>IFERROR(__xludf.DUMMYFUNCTION("""COMPUTED_VALUE"""),"POSTED")</f>
        <v>POSTED</v>
      </c>
      <c r="N29" s="3"/>
      <c r="O29" s="1" t="str">
        <f>IFERROR(__xludf.DUMMYFUNCTION("""COMPUTED_VALUE"""),"FIBR NETFLIX PLAN 1599")</f>
        <v>FIBR NETFLIX PLAN 1599</v>
      </c>
      <c r="P29" s="1" t="str">
        <f>IFERROR(__xludf.DUMMYFUNCTION("""COMPUTED_VALUE"""),"LOWPLAN")</f>
        <v>LOWPLAN</v>
      </c>
      <c r="Q29" s="1" t="str">
        <f>IFERROR(__xludf.DUMMYFUNCTION("""COMPUTED_VALUE"""),"P407047")</f>
        <v>P407047</v>
      </c>
      <c r="R29" s="1" t="str">
        <f>IFERROR(__xludf.DUMMYFUNCTION("""COMPUTED_VALUE"""),"FRANCISCO, ROSELYN")</f>
        <v>FRANCISCO, ROSELYN</v>
      </c>
      <c r="S29" s="1" t="str">
        <f>IFERROR(__xludf.DUMMYFUNCTION("""COMPUTED_VALUE"""),"ORGANIC")</f>
        <v>ORGANIC</v>
      </c>
      <c r="T29" s="1" t="str">
        <f>IFERROR(__xludf.DUMMYFUNCTION("""COMPUTED_VALUE"""),"LEA REMOLLO")</f>
        <v>LEA REMOLLO</v>
      </c>
      <c r="U29" s="1" t="str">
        <f>IFERROR(__xludf.DUMMYFUNCTION("""COMPUTED_VALUE"""),"IAN ILANO")</f>
        <v>IAN ILANO</v>
      </c>
      <c r="V29" s="1" t="str">
        <f>IFERROR(__xludf.DUMMYFUNCTION("""COMPUTED_VALUE"""),"ONLINE/CRANFORD")</f>
        <v>ONLINE/CRANFORD</v>
      </c>
      <c r="W29" s="1" t="str">
        <f>IFERROR(__xludf.DUMMYFUNCTION("""COMPUTED_VALUE"""),"STK REGULAR")</f>
        <v>STK REGULAR</v>
      </c>
      <c r="X29" s="1" t="str">
        <f>IFERROR(__xludf.DUMMYFUNCTION("""COMPUTED_VALUE"""),"REGULAR")</f>
        <v>REGULAR</v>
      </c>
      <c r="Y29" s="1" t="str">
        <f>IFERROR(__xludf.DUMMYFUNCTION("""COMPUTED_VALUE"""),"RS_HH_CVEU_2026")</f>
        <v>RS_HH_CVEU_2026</v>
      </c>
      <c r="Z29" s="1" t="str">
        <f>IFERROR(__xludf.DUMMYFUNCTION("""COMPUTED_VALUE"""),"NEW CONNECT")</f>
        <v>NEW CONNECT</v>
      </c>
      <c r="AA29" s="1">
        <f>IFERROR(__xludf.DUMMYFUNCTION("""COMPUTED_VALUE"""),639122119486)</f>
        <v>639122119486</v>
      </c>
      <c r="AB29" s="1">
        <f>IFERROR(__xludf.DUMMYFUNCTION("""COMPUTED_VALUE"""),639094436550)</f>
        <v>639094436550</v>
      </c>
      <c r="AC29" s="1">
        <f>IFERROR(__xludf.DUMMYFUNCTION("""COMPUTED_VALUE"""),358)</f>
        <v>358</v>
      </c>
      <c r="AD29" s="1" t="str">
        <f>IFERROR(__xludf.DUMMYFUNCTION("""COMPUTED_VALUE"""),"BARANGAY ALULOD")</f>
        <v>BARANGAY ALULOD</v>
      </c>
      <c r="AE29" s="1"/>
      <c r="AF29" s="1" t="str">
        <f>IFERROR(__xludf.DUMMYFUNCTION("""COMPUTED_VALUE"""),"BGY ALULOD")</f>
        <v>BGY ALULOD</v>
      </c>
      <c r="AG29" s="1" t="str">
        <f>IFERROR(__xludf.DUMMYFUNCTION("""COMPUTED_VALUE"""),"INDANG")</f>
        <v>INDANG</v>
      </c>
      <c r="AH29" s="1" t="str">
        <f>IFERROR(__xludf.DUMMYFUNCTION("""COMPUTED_VALUE"""),"LUCKY WAY HARDWARE ")</f>
        <v>LUCKY WAY HARDWARE </v>
      </c>
      <c r="AI29" s="1" t="str">
        <f>IFERROR(__xludf.DUMMYFUNCTION("""COMPUTED_VALUE"""),"NOT AOR")</f>
        <v>NOT AOR</v>
      </c>
    </row>
    <row r="30" customHeight="1" spans="1:35">
      <c r="A30" s="3">
        <f>IFERROR(__xludf.DUMMYFUNCTION("""COMPUTED_VALUE"""),46237)</f>
        <v>46237</v>
      </c>
      <c r="B30" s="1" t="str">
        <f>IFERROR(__xludf.DUMMYFUNCTION("""COMPUTED_VALUE"""),"FERDINAND SOLANO DULAY")</f>
        <v>FERDINAND SOLANO DULAY</v>
      </c>
      <c r="C30" s="1">
        <f>IFERROR(__xludf.DUMMYFUNCTION("""COMPUTED_VALUE"""),2311491214)</f>
        <v>2311491214</v>
      </c>
      <c r="D30" s="1">
        <f>IFERROR(__xludf.DUMMYFUNCTION("""COMPUTED_VALUE"""),406382990)</f>
        <v>406382990</v>
      </c>
      <c r="E30" s="1">
        <f>IFERROR(__xludf.DUMMYFUNCTION("""COMPUTED_VALUE"""),465065187004)</f>
        <v>465065187004</v>
      </c>
      <c r="F30" s="1" t="str">
        <f>IFERROR(__xludf.DUMMYFUNCTION("""COMPUTED_VALUE"""),"CLOSED")</f>
        <v>CLOSED</v>
      </c>
      <c r="G30" s="1" t="str">
        <f>IFERROR(__xludf.DUMMYFUNCTION("""COMPUTED_VALUE"""),"CLOSED")</f>
        <v>CLOSED</v>
      </c>
      <c r="H30" s="1" t="str">
        <f>IFERROR(__xludf.DUMMYFUNCTION("""COMPUTED_VALUE"""),"PAID VIA GCASH REF# 459143691 8/5")</f>
        <v>PAID VIA GCASH REF# 459143691 8/5</v>
      </c>
      <c r="I30" s="1" t="str">
        <f>IFERROR(__xludf.DUMMYFUNCTION("""COMPUTED_VALUE"""),"WITH 1 AMSF")</f>
        <v>WITH 1 AMSF</v>
      </c>
      <c r="J30" s="1"/>
      <c r="K30" s="1" t="str">
        <f>IFERROR(__xludf.DUMMYFUNCTION("""COMPUTED_VALUE"""),"NOT IN OFSC")</f>
        <v>NOT IN OFSC</v>
      </c>
      <c r="L30" s="1" t="str">
        <f>IFERROR(__xludf.DUMMYFUNCTION("""COMPUTED_VALUE"""),"POSTED")</f>
        <v>POSTED</v>
      </c>
      <c r="M30" s="1" t="str">
        <f>IFERROR(__xludf.DUMMYFUNCTION("""COMPUTED_VALUE"""),"POSTED")</f>
        <v>POSTED</v>
      </c>
      <c r="N30" s="3">
        <f>IFERROR(__xludf.DUMMYFUNCTION("""COMPUTED_VALUE"""),46241)</f>
        <v>46241</v>
      </c>
      <c r="O30" s="1" t="str">
        <f>IFERROR(__xludf.DUMMYFUNCTION("""COMPUTED_VALUE"""),"FIBR PLAN 1299")</f>
        <v>FIBR PLAN 1299</v>
      </c>
      <c r="P30" s="1" t="str">
        <f>IFERROR(__xludf.DUMMYFUNCTION("""COMPUTED_VALUE"""),"LOWPLAN")</f>
        <v>LOWPLAN</v>
      </c>
      <c r="Q30" s="1" t="str">
        <f>IFERROR(__xludf.DUMMYFUNCTION("""COMPUTED_VALUE"""),"P407050")</f>
        <v>P407050</v>
      </c>
      <c r="R30" s="1" t="str">
        <f>IFERROR(__xludf.DUMMYFUNCTION("""COMPUTED_VALUE"""),"ESCARCHA, ALMA")</f>
        <v>ESCARCHA, ALMA</v>
      </c>
      <c r="S30" s="1" t="str">
        <f>IFERROR(__xludf.DUMMYFUNCTION("""COMPUTED_VALUE"""),"ORGANIC")</f>
        <v>ORGANIC</v>
      </c>
      <c r="T30" s="1" t="str">
        <f>IFERROR(__xludf.DUMMYFUNCTION("""COMPUTED_VALUE"""),"LEA REMOLLO")</f>
        <v>LEA REMOLLO</v>
      </c>
      <c r="U30" s="1" t="str">
        <f>IFERROR(__xludf.DUMMYFUNCTION("""COMPUTED_VALUE"""),"JB SALIOA")</f>
        <v>JB SALIOA</v>
      </c>
      <c r="V30" s="1" t="str">
        <f>IFERROR(__xludf.DUMMYFUNCTION("""COMPUTED_VALUE"""),"H2H")</f>
        <v>H2H</v>
      </c>
      <c r="W30" s="1" t="str">
        <f>IFERROR(__xludf.DUMMYFUNCTION("""COMPUTED_VALUE"""),"STK REGULAR")</f>
        <v>STK REGULAR</v>
      </c>
      <c r="X30" s="1" t="str">
        <f>IFERROR(__xludf.DUMMYFUNCTION("""COMPUTED_VALUE"""),"REGULAR")</f>
        <v>REGULAR</v>
      </c>
      <c r="Y30" s="1" t="str">
        <f>IFERROR(__xludf.DUMMYFUNCTION("""COMPUTED_VALUE"""),"RS_HH_CVEU_2026")</f>
        <v>RS_HH_CVEU_2026</v>
      </c>
      <c r="Z30" s="1" t="str">
        <f>IFERROR(__xludf.DUMMYFUNCTION("""COMPUTED_VALUE"""),"NEW CONNECT")</f>
        <v>NEW CONNECT</v>
      </c>
      <c r="AA30" s="1">
        <f>IFERROR(__xludf.DUMMYFUNCTION("""COMPUTED_VALUE"""),639950226554)</f>
        <v>639950226554</v>
      </c>
      <c r="AB30" s="1"/>
      <c r="AC30" s="1"/>
      <c r="AD30" s="1" t="str">
        <f>IFERROR(__xludf.DUMMYFUNCTION("""COMPUTED_VALUE"""),"JAMAICA")</f>
        <v>JAMAICA</v>
      </c>
      <c r="AE30" s="1" t="str">
        <f>IFERROR(__xludf.DUMMYFUNCTION("""COMPUTED_VALUE"""),"MONTEVERDE PH4C")</f>
        <v>MONTEVERDE PH4C</v>
      </c>
      <c r="AF30" s="1" t="str">
        <f>IFERROR(__xludf.DUMMYFUNCTION("""COMPUTED_VALUE"""),"BGY F DE CASTRO")</f>
        <v>BGY F DE CASTRO</v>
      </c>
      <c r="AG30" s="1" t="str">
        <f>IFERROR(__xludf.DUMMYFUNCTION("""COMPUTED_VALUE"""),"GEN MARIANO ALVAREZ")</f>
        <v>GEN MARIANO ALVAREZ</v>
      </c>
      <c r="AH30" s="1" t="str">
        <f>IFERROR(__xludf.DUMMYFUNCTION("""COMPUTED_VALUE"""),"MONTEVERDE")</f>
        <v>MONTEVERDE</v>
      </c>
      <c r="AI30" s="1" t="str">
        <f>IFERROR(__xludf.DUMMYFUNCTION("""COMPUTED_VALUE"""),"CLUSTER 11")</f>
        <v>CLUSTER 11</v>
      </c>
    </row>
    <row r="31" customHeight="1" spans="1:35">
      <c r="A31" s="3">
        <f>IFERROR(__xludf.DUMMYFUNCTION("""COMPUTED_VALUE"""),46237)</f>
        <v>46237</v>
      </c>
      <c r="B31" s="1" t="str">
        <f>IFERROR(__xludf.DUMMYFUNCTION("""COMPUTED_VALUE"""),"JACKIELYN MOLINA SALTING")</f>
        <v>JACKIELYN MOLINA SALTING</v>
      </c>
      <c r="C31" s="1">
        <f>IFERROR(__xludf.DUMMYFUNCTION("""COMPUTED_VALUE"""),2311493628)</f>
        <v>2311493628</v>
      </c>
      <c r="D31" s="1">
        <f>IFERROR(__xludf.DUMMYFUNCTION("""COMPUTED_VALUE"""),406387313)</f>
        <v>406387313</v>
      </c>
      <c r="E31" s="1">
        <f>IFERROR(__xludf.DUMMYFUNCTION("""COMPUTED_VALUE"""),465079732004)</f>
        <v>465079732004</v>
      </c>
      <c r="F31" s="1" t="str">
        <f>IFERROR(__xludf.DUMMYFUNCTION("""COMPUTED_VALUE"""),"CLOSED")</f>
        <v>CLOSED</v>
      </c>
      <c r="G31" s="1" t="str">
        <f>IFERROR(__xludf.DUMMYFUNCTION("""COMPUTED_VALUE"""),"CLOSED")</f>
        <v>CLOSED</v>
      </c>
      <c r="H31" s="1" t="str">
        <f>IFERROR(__xludf.DUMMYFUNCTION("""COMPUTED_VALUE"""),"PQGOR360442662	11-Aug-26	Regular Payment	CIS - 7ELEVEN - NCR	1,489.26	0	11-Aug-26")</f>
        <v>PQGOR360442662	11-Aug-26	Regular Payment	CIS - 7ELEVEN - NCR	1,489.26	0	11-Aug-26</v>
      </c>
      <c r="I31" s="1" t="str">
        <f>IFERROR(__xludf.DUMMYFUNCTION("""COMPUTED_VALUE"""),"WITH 1 AMSF")</f>
        <v>WITH 1 AMSF</v>
      </c>
      <c r="J31" s="1"/>
      <c r="K31" s="1" t="str">
        <f>IFERROR(__xludf.DUMMYFUNCTION("""COMPUTED_VALUE"""),"COMPLETED")</f>
        <v>COMPLETED</v>
      </c>
      <c r="L31" s="1" t="str">
        <f>IFERROR(__xludf.DUMMYFUNCTION("""COMPUTED_VALUE"""),"POSTED")</f>
        <v>POSTED</v>
      </c>
      <c r="M31" s="1" t="str">
        <f>IFERROR(__xludf.DUMMYFUNCTION("""COMPUTED_VALUE"""),"POSTED")</f>
        <v>POSTED</v>
      </c>
      <c r="N31" s="3">
        <f>IFERROR(__xludf.DUMMYFUNCTION("""COMPUTED_VALUE"""),46238)</f>
        <v>46238</v>
      </c>
      <c r="O31" s="1" t="str">
        <f>IFERROR(__xludf.DUMMYFUNCTION("""COMPUTED_VALUE"""),"FIBR PLAN 1299")</f>
        <v>FIBR PLAN 1299</v>
      </c>
      <c r="P31" s="1" t="str">
        <f>IFERROR(__xludf.DUMMYFUNCTION("""COMPUTED_VALUE"""),"LOWPLAN")</f>
        <v>LOWPLAN</v>
      </c>
      <c r="Q31" s="1" t="str">
        <f>IFERROR(__xludf.DUMMYFUNCTION("""COMPUTED_VALUE"""),"P407045")</f>
        <v>P407045</v>
      </c>
      <c r="R31" s="1" t="str">
        <f>IFERROR(__xludf.DUMMYFUNCTION("""COMPUTED_VALUE"""),"GABAY, MANUEL")</f>
        <v>GABAY, MANUEL</v>
      </c>
      <c r="S31" s="1" t="str">
        <f>IFERROR(__xludf.DUMMYFUNCTION("""COMPUTED_VALUE"""),"FLA")</f>
        <v>FLA</v>
      </c>
      <c r="T31" s="1" t="str">
        <f>IFERROR(__xludf.DUMMYFUNCTION("""COMPUTED_VALUE"""),"JERIC NAVARRO")</f>
        <v>JERIC NAVARRO</v>
      </c>
      <c r="U31" s="1" t="str">
        <f>IFERROR(__xludf.DUMMYFUNCTION("""COMPUTED_VALUE"""),"JB SALIOA")</f>
        <v>JB SALIOA</v>
      </c>
      <c r="V31" s="1" t="str">
        <f>IFERROR(__xludf.DUMMYFUNCTION("""COMPUTED_VALUE"""),"H2H")</f>
        <v>H2H</v>
      </c>
      <c r="W31" s="1" t="str">
        <f>IFERROR(__xludf.DUMMYFUNCTION("""COMPUTED_VALUE"""),"STK REGULAR")</f>
        <v>STK REGULAR</v>
      </c>
      <c r="X31" s="1" t="str">
        <f>IFERROR(__xludf.DUMMYFUNCTION("""COMPUTED_VALUE"""),"REGULAR")</f>
        <v>REGULAR</v>
      </c>
      <c r="Y31" s="1" t="str">
        <f>IFERROR(__xludf.DUMMYFUNCTION("""COMPUTED_VALUE"""),"RS_HH_CVEU_2026")</f>
        <v>RS_HH_CVEU_2026</v>
      </c>
      <c r="Z31" s="1" t="str">
        <f>IFERROR(__xludf.DUMMYFUNCTION("""COMPUTED_VALUE"""),"NEW CONNECT")</f>
        <v>NEW CONNECT</v>
      </c>
      <c r="AA31" s="1">
        <f>IFERROR(__xludf.DUMMYFUNCTION("""COMPUTED_VALUE"""),639454507457)</f>
        <v>639454507457</v>
      </c>
      <c r="AB31" s="1">
        <f>IFERROR(__xludf.DUMMYFUNCTION("""COMPUTED_VALUE"""),639153200636)</f>
        <v>639153200636</v>
      </c>
      <c r="AC31" s="1"/>
      <c r="AD31" s="1" t="str">
        <f>IFERROR(__xludf.DUMMYFUNCTION("""COMPUTED_VALUE"""),"ANAHAW 1")</f>
        <v>ANAHAW 1</v>
      </c>
      <c r="AE31" s="1"/>
      <c r="AF31" s="1" t="str">
        <f>IFERROR(__xludf.DUMMYFUNCTION("""COMPUTED_VALUE"""),"BGY ANAHAW 1")</f>
        <v>BGY ANAHAW 1</v>
      </c>
      <c r="AG31" s="1" t="str">
        <f>IFERROR(__xludf.DUMMYFUNCTION("""COMPUTED_VALUE"""),"SILANG")</f>
        <v>SILANG</v>
      </c>
      <c r="AH31" s="1" t="str">
        <f>IFERROR(__xludf.DUMMYFUNCTION("""COMPUTED_VALUE"""),"ROANS BAKE SHOP ")</f>
        <v>ROANS BAKE SHOP </v>
      </c>
      <c r="AI31" s="1" t="str">
        <f>IFERROR(__xludf.DUMMYFUNCTION("""COMPUTED_VALUE"""),"CLUSTER 11")</f>
        <v>CLUSTER 11</v>
      </c>
    </row>
    <row r="32" customHeight="1" spans="1:35">
      <c r="A32" s="3">
        <f>IFERROR(__xludf.DUMMYFUNCTION("""COMPUTED_VALUE"""),46238)</f>
        <v>46238</v>
      </c>
      <c r="B32" s="1" t="str">
        <f>IFERROR(__xludf.DUMMYFUNCTION("""COMPUTED_VALUE"""),"ALBERT LIMOSNERO ROMERO")</f>
        <v>ALBERT LIMOSNERO ROMERO</v>
      </c>
      <c r="C32" s="1">
        <f>IFERROR(__xludf.DUMMYFUNCTION("""COMPUTED_VALUE"""),2311506083)</f>
        <v>2311506083</v>
      </c>
      <c r="D32" s="1"/>
      <c r="E32" s="1"/>
      <c r="F32" s="1" t="str">
        <f>IFERROR(__xludf.DUMMYFUNCTION("""COMPUTED_VALUE"""),"REENCODED")</f>
        <v>REENCODED</v>
      </c>
      <c r="G32" s="1" t="str">
        <f>IFERROR(__xludf.DUMMYFUNCTION("""COMPUTED_VALUE"""),"CANNOT TAG DECISION | UNABLE TO CHANGE PAYMENT REQUIRED DUE TO SYSTEM ERROR | APPROVED | DONE VALIDATION | COMPLETE DOCS | COMPLETE ENCODED INFO IN CSP | CLEARED FROM BLACKLISTED | NO EXISTING ACTIVE/ PENDING OR CANCELLED APPLICATION | TU SCORING: II - 15"&amp;" (HIGH RISK) | WITH 1AMSF.")</f>
        <v>CANNOT TAG DECISION | UNABLE TO CHANGE PAYMENT REQUIRED DUE TO SYSTEM ERROR | APPROVED | DONE VALIDATION | COMPLETE DOCS | COMPLETE ENCODED INFO IN CSP | CLEARED FROM BLACKLISTED | NO EXISTING ACTIVE/ PENDING OR CANCELLED APPLICATION | TU SCORING: II - 15 (HIGH RISK) | WITH 1AMSF.</v>
      </c>
      <c r="H32" s="1"/>
      <c r="I32" s="1"/>
      <c r="J32" s="1"/>
      <c r="K32" s="1"/>
      <c r="L32" s="1" t="str">
        <f>IFERROR(__xludf.DUMMYFUNCTION("""COMPUTED_VALUE"""),"REENCODED")</f>
        <v>REENCODED</v>
      </c>
      <c r="M32" s="1" t="str">
        <f>IFERROR(__xludf.DUMMYFUNCTION("""COMPUTED_VALUE"""),"REENCODED")</f>
        <v>REENCODED</v>
      </c>
      <c r="N32" s="3"/>
      <c r="O32" s="1" t="str">
        <f>IFERROR(__xludf.DUMMYFUNCTION("""COMPUTED_VALUE"""),"FIBR PLAN 1299")</f>
        <v>FIBR PLAN 1299</v>
      </c>
      <c r="P32" s="1" t="str">
        <f>IFERROR(__xludf.DUMMYFUNCTION("""COMPUTED_VALUE"""),"LOWPLAN")</f>
        <v>LOWPLAN</v>
      </c>
      <c r="Q32" s="1" t="str">
        <f>IFERROR(__xludf.DUMMYFUNCTION("""COMPUTED_VALUE"""),"P407050")</f>
        <v>P407050</v>
      </c>
      <c r="R32" s="1" t="str">
        <f>IFERROR(__xludf.DUMMYFUNCTION("""COMPUTED_VALUE"""),"IVNO, RAZZEL")</f>
        <v>IVNO, RAZZEL</v>
      </c>
      <c r="S32" s="1" t="str">
        <f>IFERROR(__xludf.DUMMYFUNCTION("""COMPUTED_VALUE"""),"ORGANIC")</f>
        <v>ORGANIC</v>
      </c>
      <c r="T32" s="1" t="str">
        <f>IFERROR(__xludf.DUMMYFUNCTION("""COMPUTED_VALUE"""),"LEA REMOLLO")</f>
        <v>LEA REMOLLO</v>
      </c>
      <c r="U32" s="1" t="str">
        <f>IFERROR(__xludf.DUMMYFUNCTION("""COMPUTED_VALUE"""),"JB SALIOA")</f>
        <v>JB SALIOA</v>
      </c>
      <c r="V32" s="1" t="str">
        <f>IFERROR(__xludf.DUMMYFUNCTION("""COMPUTED_VALUE"""),"BK REGULAR")</f>
        <v>BK REGULAR</v>
      </c>
      <c r="W32" s="1" t="str">
        <f>IFERROR(__xludf.DUMMYFUNCTION("""COMPUTED_VALUE"""),"STK REGULAR")</f>
        <v>STK REGULAR</v>
      </c>
      <c r="X32" s="1" t="str">
        <f>IFERROR(__xludf.DUMMYFUNCTION("""COMPUTED_VALUE"""),"REGULAR")</f>
        <v>REGULAR</v>
      </c>
      <c r="Y32" s="1" t="str">
        <f>IFERROR(__xludf.DUMMYFUNCTION("""COMPUTED_VALUE"""),"BK_CVEU_260804")</f>
        <v>BK_CVEU_260804</v>
      </c>
      <c r="Z32" s="1" t="str">
        <f>IFERROR(__xludf.DUMMYFUNCTION("""COMPUTED_VALUE"""),"NEW CONNECT")</f>
        <v>NEW CONNECT</v>
      </c>
      <c r="AA32" s="1">
        <f>IFERROR(__xludf.DUMMYFUNCTION("""COMPUTED_VALUE"""),639567016865)</f>
        <v>639567016865</v>
      </c>
      <c r="AB32" s="1"/>
      <c r="AC32" s="1"/>
      <c r="AD32" s="1" t="str">
        <f>IFERROR(__xludf.DUMMYFUNCTION("""COMPUTED_VALUE"""),"SAN GABRIEL")</f>
        <v>SAN GABRIEL</v>
      </c>
      <c r="AE32" s="1"/>
      <c r="AF32" s="1" t="str">
        <f>IFERROR(__xludf.DUMMYFUNCTION("""COMPUTED_VALUE"""),"BGY SAN GABRIEL")</f>
        <v>BGY SAN GABRIEL</v>
      </c>
      <c r="AG32" s="1" t="str">
        <f>IFERROR(__xludf.DUMMYFUNCTION("""COMPUTED_VALUE"""),"GEN MARIANO ALVAREZ")</f>
        <v>GEN MARIANO ALVAREZ</v>
      </c>
      <c r="AH32" s="1" t="str">
        <f>IFERROR(__xludf.DUMMYFUNCTION("""COMPUTED_VALUE"""),"NEAR BRGY HALL")</f>
        <v>NEAR BRGY HALL</v>
      </c>
      <c r="AI32" s="1" t="str">
        <f>IFERROR(__xludf.DUMMYFUNCTION("""COMPUTED_VALUE"""),"CLUSTER 11")</f>
        <v>CLUSTER 11</v>
      </c>
    </row>
    <row r="33" customHeight="1" spans="1:35">
      <c r="A33" s="3">
        <f>IFERROR(__xludf.DUMMYFUNCTION("""COMPUTED_VALUE"""),46238)</f>
        <v>46238</v>
      </c>
      <c r="B33" s="1" t="str">
        <f>IFERROR(__xludf.DUMMYFUNCTION("""COMPUTED_VALUE"""),"MICHAEL VIDAL DE PEDRO")</f>
        <v>MICHAEL VIDAL DE PEDRO</v>
      </c>
      <c r="C33" s="1">
        <f>IFERROR(__xludf.DUMMYFUNCTION("""COMPUTED_VALUE"""),2311507371)</f>
        <v>2311507371</v>
      </c>
      <c r="D33" s="1"/>
      <c r="E33" s="1"/>
      <c r="F33" s="1" t="str">
        <f>IFERROR(__xludf.DUMMYFUNCTION("""COMPUTED_VALUE"""),"DISAPPROVED")</f>
        <v>DISAPPROVED</v>
      </c>
      <c r="G33" s="1" t="str">
        <f>IFERROR(__xludf.DUMMYFUNCTION("""COMPUTED_VALUE"""),"(FAILED CONTACT AFTER SEVERAL ATTEMPTS) DISAPPROVED | VALIDATED COMPLETE DOCS | SOA - COMPLETE - CALLOUT VALIDATION: SUBS IS UNCONTACTED FOR CONFIRMATION | DONE VALIDATION | CALL THRU: 09770427784 Aug 4, 2026, 10:05 AM | 01:57 PM | 04:45 PM | CORRECT ENCO"&amp;"DED INFO IN CSP | TU SCORING -FAILED TO GET CREDIT SCORE | REQUIRED AMSF | CLEARED FROM BLACKLISTED HIT | NO EXISTING ACTIVE ACCT AND/OR PENDING/CANCELLED APPLICATION | SCANNABLE NATIONAL ID ")</f>
        <v>(FAILED CONTACT AFTER SEVERAL ATTEMPTS) DISAPPROVED | VALIDATED COMPLETE DOCS | SOA - COMPLETE - CALLOUT VALIDATION: SUBS IS UNCONTACTED FOR CONFIRMATION | DONE VALIDATION | CALL THRU: 09770427784 Aug 4, 2026, 10:05 AM | 01:57 PM | 04:45 PM | CORRECT ENCODED INFO IN CSP | TU SCORING -FAILED TO GET CREDIT SCORE | REQUIRED AMSF | CLEARED FROM BLACKLISTED HIT | NO EXISTING ACTIVE ACCT AND/OR PENDING/CANCELLED APPLICATION | SCANNABLE NATIONAL ID </v>
      </c>
      <c r="H33" s="1"/>
      <c r="I33" s="1"/>
      <c r="J33" s="1"/>
      <c r="K33" s="1"/>
      <c r="L33" s="1" t="str">
        <f>IFERROR(__xludf.DUMMYFUNCTION("""COMPUTED_VALUE"""),"DISAPPROVED")</f>
        <v>DISAPPROVED</v>
      </c>
      <c r="M33" s="1" t="str">
        <f>IFERROR(__xludf.DUMMYFUNCTION("""COMPUTED_VALUE"""),"DISAPPROVED - UNCONTACTABLE")</f>
        <v>DISAPPROVED - UNCONTACTABLE</v>
      </c>
      <c r="N33" s="3"/>
      <c r="O33" s="1" t="str">
        <f>IFERROR(__xludf.DUMMYFUNCTION("""COMPUTED_VALUE"""),"FIBR NETFLIX PLAN 1599")</f>
        <v>FIBR NETFLIX PLAN 1599</v>
      </c>
      <c r="P33" s="1" t="str">
        <f>IFERROR(__xludf.DUMMYFUNCTION("""COMPUTED_VALUE"""),"LOWPLAN")</f>
        <v>LOWPLAN</v>
      </c>
      <c r="Q33" s="1" t="str">
        <f>IFERROR(__xludf.DUMMYFUNCTION("""COMPUTED_VALUE"""),"P407046")</f>
        <v>P407046</v>
      </c>
      <c r="R33" s="1" t="str">
        <f>IFERROR(__xludf.DUMMYFUNCTION("""COMPUTED_VALUE"""),"OPS")</f>
        <v>OPS</v>
      </c>
      <c r="S33" s="1" t="str">
        <f>IFERROR(__xludf.DUMMYFUNCTION("""COMPUTED_VALUE"""),"FLA")</f>
        <v>FLA</v>
      </c>
      <c r="T33" s="1" t="str">
        <f>IFERROR(__xludf.DUMMYFUNCTION("""COMPUTED_VALUE"""),"JERIC NAVARRO")</f>
        <v>JERIC NAVARRO</v>
      </c>
      <c r="U33" s="1" t="str">
        <f>IFERROR(__xludf.DUMMYFUNCTION("""COMPUTED_VALUE"""),"JB SALIOA")</f>
        <v>JB SALIOA</v>
      </c>
      <c r="V33" s="1" t="str">
        <f>IFERROR(__xludf.DUMMYFUNCTION("""COMPUTED_VALUE"""),"ONLINE/CRANFORD")</f>
        <v>ONLINE/CRANFORD</v>
      </c>
      <c r="W33" s="1" t="str">
        <f>IFERROR(__xludf.DUMMYFUNCTION("""COMPUTED_VALUE"""),"STK REGULAR")</f>
        <v>STK REGULAR</v>
      </c>
      <c r="X33" s="1" t="str">
        <f>IFERROR(__xludf.DUMMYFUNCTION("""COMPUTED_VALUE"""),"REGULAR")</f>
        <v>REGULAR</v>
      </c>
      <c r="Y33" s="1" t="str">
        <f>IFERROR(__xludf.DUMMYFUNCTION("""COMPUTED_VALUE"""),"RS_ONL_CVEU_2026")</f>
        <v>RS_ONL_CVEU_2026</v>
      </c>
      <c r="Z33" s="1" t="str">
        <f>IFERROR(__xludf.DUMMYFUNCTION("""COMPUTED_VALUE"""),"NEW CONNECT")</f>
        <v>NEW CONNECT</v>
      </c>
      <c r="AA33" s="1">
        <f>IFERROR(__xludf.DUMMYFUNCTION("""COMPUTED_VALUE"""),639770427784)</f>
        <v>639770427784</v>
      </c>
      <c r="AB33" s="1"/>
      <c r="AC33" s="1"/>
      <c r="AD33" s="1" t="str">
        <f>IFERROR(__xludf.DUMMYFUNCTION("""COMPUTED_VALUE"""),"PHASE 3")</f>
        <v>PHASE 3</v>
      </c>
      <c r="AE33" s="1" t="str">
        <f>IFERROR(__xludf.DUMMYFUNCTION("""COMPUTED_VALUE"""),"TSARINA GRAND VILLAS")</f>
        <v>TSARINA GRAND VILLAS</v>
      </c>
      <c r="AF33" s="1" t="str">
        <f>IFERROR(__xludf.DUMMYFUNCTION("""COMPUTED_VALUE"""),"BGY MANGGAHAN")</f>
        <v>BGY MANGGAHAN</v>
      </c>
      <c r="AG33" s="1" t="str">
        <f>IFERROR(__xludf.DUMMYFUNCTION("""COMPUTED_VALUE"""),"GENERAL TRIAS")</f>
        <v>GENERAL TRIAS</v>
      </c>
      <c r="AH33" s="1" t="str">
        <f>IFERROR(__xludf.DUMMYFUNCTION("""COMPUTED_VALUE"""),"PHASE 3")</f>
        <v>PHASE 3</v>
      </c>
      <c r="AI33" s="1" t="str">
        <f>IFERROR(__xludf.DUMMYFUNCTION("""COMPUTED_VALUE"""),"NOT AOR")</f>
        <v>NOT AOR</v>
      </c>
    </row>
    <row r="34" customHeight="1" spans="1:35">
      <c r="A34" s="3">
        <f>IFERROR(__xludf.DUMMYFUNCTION("""COMPUTED_VALUE"""),46238)</f>
        <v>46238</v>
      </c>
      <c r="B34" s="1" t="str">
        <f>IFERROR(__xludf.DUMMYFUNCTION("""COMPUTED_VALUE"""),"MINIANIE LAGRADA CHICA")</f>
        <v>MINIANIE LAGRADA CHICA</v>
      </c>
      <c r="C34" s="1">
        <f>IFERROR(__xludf.DUMMYFUNCTION("""COMPUTED_VALUE"""),2311509409)</f>
        <v>2311509409</v>
      </c>
      <c r="D34" s="1">
        <f>IFERROR(__xludf.DUMMYFUNCTION("""COMPUTED_VALUE"""),406417433)</f>
        <v>406417433</v>
      </c>
      <c r="E34" s="1">
        <f>IFERROR(__xludf.DUMMYFUNCTION("""COMPUTED_VALUE"""),465161117004)</f>
        <v>465161117004</v>
      </c>
      <c r="F34" s="1" t="str">
        <f>IFERROR(__xludf.DUMMYFUNCTION("""COMPUTED_VALUE"""),"CLOSED")</f>
        <v>CLOSED</v>
      </c>
      <c r="G34" s="1" t="str">
        <f>IFERROR(__xludf.DUMMYFUNCTION("""COMPUTED_VALUE"""),"CLOSED")</f>
        <v>CLOSED</v>
      </c>
      <c r="H34" s="1" t="str">
        <f>IFERROR(__xludf.DUMMYFUNCTION("""COMPUTED_VALUE"""),"PQGOR362091069	27-Aug-26	Regular Payment	PLDT Pay Express-Web-App credit	1,753.82	0	27-Aug-26")</f>
        <v>PQGOR362091069	27-Aug-26	Regular Payment	PLDT Pay Express-Web-App credit	1,753.82	0	27-Aug-26</v>
      </c>
      <c r="I34" s="1" t="str">
        <f>IFERROR(__xludf.DUMMYFUNCTION("""COMPUTED_VALUE"""),"WITH 1 AMSF")</f>
        <v>WITH 1 AMSF</v>
      </c>
      <c r="J34" s="1"/>
      <c r="K34" s="1" t="str">
        <f>IFERROR(__xludf.DUMMYFUNCTION("""COMPUTED_VALUE"""),"COMPLETED")</f>
        <v>COMPLETED</v>
      </c>
      <c r="L34" s="1" t="str">
        <f>IFERROR(__xludf.DUMMYFUNCTION("""COMPUTED_VALUE"""),"POSTED")</f>
        <v>POSTED</v>
      </c>
      <c r="M34" s="1" t="str">
        <f>IFERROR(__xludf.DUMMYFUNCTION("""COMPUTED_VALUE"""),"POSTED")</f>
        <v>POSTED</v>
      </c>
      <c r="N34" s="3">
        <f>IFERROR(__xludf.DUMMYFUNCTION("""COMPUTED_VALUE"""),46239)</f>
        <v>46239</v>
      </c>
      <c r="O34" s="1" t="str">
        <f>IFERROR(__xludf.DUMMYFUNCTION("""COMPUTED_VALUE"""),"FIBR NETFLIX PLAN 1599")</f>
        <v>FIBR NETFLIX PLAN 1599</v>
      </c>
      <c r="P34" s="1" t="str">
        <f>IFERROR(__xludf.DUMMYFUNCTION("""COMPUTED_VALUE"""),"LOWPLAN")</f>
        <v>LOWPLAN</v>
      </c>
      <c r="Q34" s="1" t="str">
        <f>IFERROR(__xludf.DUMMYFUNCTION("""COMPUTED_VALUE"""),"P407047")</f>
        <v>P407047</v>
      </c>
      <c r="R34" s="1" t="str">
        <f>IFERROR(__xludf.DUMMYFUNCTION("""COMPUTED_VALUE"""),"FRANCISCO, ROSELYN")</f>
        <v>FRANCISCO, ROSELYN</v>
      </c>
      <c r="S34" s="1" t="str">
        <f>IFERROR(__xludf.DUMMYFUNCTION("""COMPUTED_VALUE"""),"ORGANIC")</f>
        <v>ORGANIC</v>
      </c>
      <c r="T34" s="1" t="str">
        <f>IFERROR(__xludf.DUMMYFUNCTION("""COMPUTED_VALUE"""),"LEA REMOLLO")</f>
        <v>LEA REMOLLO</v>
      </c>
      <c r="U34" s="1" t="str">
        <f>IFERROR(__xludf.DUMMYFUNCTION("""COMPUTED_VALUE"""),"JB SALIOA")</f>
        <v>JB SALIOA</v>
      </c>
      <c r="V34" s="1" t="str">
        <f>IFERROR(__xludf.DUMMYFUNCTION("""COMPUTED_VALUE"""),"ONLINE/CRANFORD")</f>
        <v>ONLINE/CRANFORD</v>
      </c>
      <c r="W34" s="1" t="str">
        <f>IFERROR(__xludf.DUMMYFUNCTION("""COMPUTED_VALUE"""),"STK REGULAR")</f>
        <v>STK REGULAR</v>
      </c>
      <c r="X34" s="1" t="str">
        <f>IFERROR(__xludf.DUMMYFUNCTION("""COMPUTED_VALUE"""),"REGULAR")</f>
        <v>REGULAR</v>
      </c>
      <c r="Y34" s="1" t="str">
        <f>IFERROR(__xludf.DUMMYFUNCTION("""COMPUTED_VALUE"""),"RS_ONL_CVEU_2026")</f>
        <v>RS_ONL_CVEU_2026</v>
      </c>
      <c r="Z34" s="1" t="str">
        <f>IFERROR(__xludf.DUMMYFUNCTION("""COMPUTED_VALUE"""),"NEW CONNECT")</f>
        <v>NEW CONNECT</v>
      </c>
      <c r="AA34" s="1">
        <f>IFERROR(__xludf.DUMMYFUNCTION("""COMPUTED_VALUE"""),639753367570)</f>
        <v>639753367570</v>
      </c>
      <c r="AB34" s="1"/>
      <c r="AC34" s="1"/>
      <c r="AD34" s="1" t="str">
        <f>IFERROR(__xludf.DUMMYFUNCTION("""COMPUTED_VALUE"""),"PHASE 2")</f>
        <v>PHASE 2</v>
      </c>
      <c r="AE34" s="1" t="str">
        <f>IFERROR(__xludf.DUMMYFUNCTION("""COMPUTED_VALUE"""),"MABUHAY HOMES 2000")</f>
        <v>MABUHAY HOMES 2000</v>
      </c>
      <c r="AF34" s="1" t="str">
        <f>IFERROR(__xludf.DUMMYFUNCTION("""COMPUTED_VALUE"""),"BGY PALIPARAN 2")</f>
        <v>BGY PALIPARAN 2</v>
      </c>
      <c r="AG34" s="1" t="str">
        <f>IFERROR(__xludf.DUMMYFUNCTION("""COMPUTED_VALUE"""),"DASMARINAS")</f>
        <v>DASMARINAS</v>
      </c>
      <c r="AH34" s="1" t="str">
        <f>IFERROR(__xludf.DUMMYFUNCTION("""COMPUTED_VALUE"""),"PHASE 2")</f>
        <v>PHASE 2</v>
      </c>
      <c r="AI34" s="1" t="str">
        <f>IFERROR(__xludf.DUMMYFUNCTION("""COMPUTED_VALUE"""),"NOT AOR")</f>
        <v>NOT AOR</v>
      </c>
    </row>
    <row r="35" customHeight="1" spans="1:35">
      <c r="A35" s="3">
        <f>IFERROR(__xludf.DUMMYFUNCTION("""COMPUTED_VALUE"""),46238)</f>
        <v>46238</v>
      </c>
      <c r="B35" s="1" t="str">
        <f>IFERROR(__xludf.DUMMYFUNCTION("""COMPUTED_VALUE"""),"FERNANDO VIDA ROMILLA")</f>
        <v>FERNANDO VIDA ROMILLA</v>
      </c>
      <c r="C35" s="1">
        <f>IFERROR(__xludf.DUMMYFUNCTION("""COMPUTED_VALUE"""),2311510823)</f>
        <v>2311510823</v>
      </c>
      <c r="D35" s="1">
        <f>IFERROR(__xludf.DUMMYFUNCTION("""COMPUTED_VALUE"""),406400840)</f>
        <v>406400840</v>
      </c>
      <c r="E35" s="1">
        <f>IFERROR(__xludf.DUMMYFUNCTION("""COMPUTED_VALUE"""),465152895004)</f>
        <v>465152895004</v>
      </c>
      <c r="F35" s="1" t="str">
        <f>IFERROR(__xludf.DUMMYFUNCTION("""COMPUTED_VALUE"""),"CLOSED")</f>
        <v>CLOSED</v>
      </c>
      <c r="G35" s="1" t="str">
        <f>IFERROR(__xludf.DUMMYFUNCTION("""COMPUTED_VALUE"""),"CLOSED")</f>
        <v>CLOSED</v>
      </c>
      <c r="H35" s="1" t="str">
        <f>IFERROR(__xludf.DUMMYFUNCTION("""COMPUTED_VALUE"""),"PDNOR000366503	28-Aug-26	Regular Payment	PLDT SSC Tagaytay Kiosk	1,500.00	0	28-Aug-26")</f>
        <v>PDNOR000366503	28-Aug-26	Regular Payment	PLDT SSC Tagaytay Kiosk	1,500.00	0	28-Aug-26</v>
      </c>
      <c r="I35" s="1" t="str">
        <f>IFERROR(__xludf.DUMMYFUNCTION("""COMPUTED_VALUE"""),"WITH 1 AMSF")</f>
        <v>WITH 1 AMSF</v>
      </c>
      <c r="J35" s="1"/>
      <c r="K35" s="1" t="str">
        <f>IFERROR(__xludf.DUMMYFUNCTION("""COMPUTED_VALUE"""),"COMPLETED")</f>
        <v>COMPLETED</v>
      </c>
      <c r="L35" s="1" t="str">
        <f>IFERROR(__xludf.DUMMYFUNCTION("""COMPUTED_VALUE"""),"POSTED")</f>
        <v>POSTED</v>
      </c>
      <c r="M35" s="1" t="str">
        <f>IFERROR(__xludf.DUMMYFUNCTION("""COMPUTED_VALUE"""),"POSTED")</f>
        <v>POSTED</v>
      </c>
      <c r="N35" s="3">
        <f>IFERROR(__xludf.DUMMYFUNCTION("""COMPUTED_VALUE"""),46238)</f>
        <v>46238</v>
      </c>
      <c r="O35" s="1" t="str">
        <f>IFERROR(__xludf.DUMMYFUNCTION("""COMPUTED_VALUE"""),"FIBR PLAN 1299")</f>
        <v>FIBR PLAN 1299</v>
      </c>
      <c r="P35" s="1" t="str">
        <f>IFERROR(__xludf.DUMMYFUNCTION("""COMPUTED_VALUE"""),"LOWPLAN")</f>
        <v>LOWPLAN</v>
      </c>
      <c r="Q35" s="1" t="str">
        <f>IFERROR(__xludf.DUMMYFUNCTION("""COMPUTED_VALUE"""),"P407050")</f>
        <v>P407050</v>
      </c>
      <c r="R35" s="1" t="str">
        <f>IFERROR(__xludf.DUMMYFUNCTION("""COMPUTED_VALUE"""),"BAQUIT, JAZMIN")</f>
        <v>BAQUIT, JAZMIN</v>
      </c>
      <c r="S35" s="1" t="str">
        <f>IFERROR(__xludf.DUMMYFUNCTION("""COMPUTED_VALUE"""),"ORGANIC")</f>
        <v>ORGANIC</v>
      </c>
      <c r="T35" s="1" t="str">
        <f>IFERROR(__xludf.DUMMYFUNCTION("""COMPUTED_VALUE"""),"LEA REMOLLO")</f>
        <v>LEA REMOLLO</v>
      </c>
      <c r="U35" s="1" t="str">
        <f>IFERROR(__xludf.DUMMYFUNCTION("""COMPUTED_VALUE"""),"JB SALIOA")</f>
        <v>JB SALIOA</v>
      </c>
      <c r="V35" s="1" t="str">
        <f>IFERROR(__xludf.DUMMYFUNCTION("""COMPUTED_VALUE"""),"BK REGULAR")</f>
        <v>BK REGULAR</v>
      </c>
      <c r="W35" s="1" t="str">
        <f>IFERROR(__xludf.DUMMYFUNCTION("""COMPUTED_VALUE"""),"STK REGULAR")</f>
        <v>STK REGULAR</v>
      </c>
      <c r="X35" s="1" t="str">
        <f>IFERROR(__xludf.DUMMYFUNCTION("""COMPUTED_VALUE"""),"REGULAR")</f>
        <v>REGULAR</v>
      </c>
      <c r="Y35" s="1" t="str">
        <f>IFERROR(__xludf.DUMMYFUNCTION("""COMPUTED_VALUE"""),"BK_CVEU_260805")</f>
        <v>BK_CVEU_260805</v>
      </c>
      <c r="Z35" s="1" t="str">
        <f>IFERROR(__xludf.DUMMYFUNCTION("""COMPUTED_VALUE"""),"NEW CONNECT")</f>
        <v>NEW CONNECT</v>
      </c>
      <c r="AA35" s="1">
        <f>IFERROR(__xludf.DUMMYFUNCTION("""COMPUTED_VALUE"""),639668822552)</f>
        <v>639668822552</v>
      </c>
      <c r="AB35" s="1"/>
      <c r="AC35" s="1"/>
      <c r="AD35" s="1" t="str">
        <f>IFERROR(__xludf.DUMMYFUNCTION("""COMPUTED_VALUE"""),"PANUNGYAN")</f>
        <v>PANUNGYAN</v>
      </c>
      <c r="AE35" s="1"/>
      <c r="AF35" s="1" t="str">
        <f>IFERROR(__xludf.DUMMYFUNCTION("""COMPUTED_VALUE"""),"BGY PANUNGYAN 2")</f>
        <v>BGY PANUNGYAN 2</v>
      </c>
      <c r="AG35" s="1" t="str">
        <f>IFERROR(__xludf.DUMMYFUNCTION("""COMPUTED_VALUE"""),"MENDEZ")</f>
        <v>MENDEZ</v>
      </c>
      <c r="AH35" s="1" t="str">
        <f>IFERROR(__xludf.DUMMYFUNCTION("""COMPUTED_VALUE"""),"BARANGAY HALL")</f>
        <v>BARANGAY HALL</v>
      </c>
      <c r="AI35" s="1" t="str">
        <f>IFERROR(__xludf.DUMMYFUNCTION("""COMPUTED_VALUE"""),"CLUSTER 12")</f>
        <v>CLUSTER 12</v>
      </c>
    </row>
    <row r="36" customHeight="1" spans="1:35">
      <c r="A36" s="3">
        <f>IFERROR(__xludf.DUMMYFUNCTION("""COMPUTED_VALUE"""),46238)</f>
        <v>46238</v>
      </c>
      <c r="B36" s="1" t="str">
        <f>IFERROR(__xludf.DUMMYFUNCTION("""COMPUTED_VALUE"""),"JUSTINE EMADEM DANAO")</f>
        <v>JUSTINE EMADEM DANAO</v>
      </c>
      <c r="C36" s="1">
        <f>IFERROR(__xludf.DUMMYFUNCTION("""COMPUTED_VALUE"""),2311515987)</f>
        <v>2311515987</v>
      </c>
      <c r="D36" s="1">
        <f>IFERROR(__xludf.DUMMYFUNCTION("""COMPUTED_VALUE"""),406438910)</f>
        <v>406438910</v>
      </c>
      <c r="E36" s="1">
        <f>IFERROR(__xludf.DUMMYFUNCTION("""COMPUTED_VALUE"""),465278820004)</f>
        <v>465278820004</v>
      </c>
      <c r="F36" s="1" t="str">
        <f>IFERROR(__xludf.DUMMYFUNCTION("""COMPUTED_VALUE"""),"CANCELLED")</f>
        <v>CANCELLED</v>
      </c>
      <c r="G36" s="1" t="str">
        <f>IFERROR(__xludf.DUMMYFUNCTION("""COMPUTED_VALUE"""),"CANT PROCEED INSTALLATION DUE TO OVERSPAN NEAREST CAFAC ALFLP213NP2 19SPAN")</f>
        <v>CANT PROCEED INSTALLATION DUE TO OVERSPAN NEAREST CAFAC ALFLP213NP2 19SPAN</v>
      </c>
      <c r="H36" s="1" t="str">
        <f>IFERROR(__xludf.DUMMYFUNCTION("""COMPUTED_VALUE"""),"PAID VIA GOGTYME - AUG 5 - REF - BIL260805124703001")</f>
        <v>PAID VIA GOGTYME - AUG 5 - REF - BIL260805124703001</v>
      </c>
      <c r="I36" s="1" t="str">
        <f>IFERROR(__xludf.DUMMYFUNCTION("""COMPUTED_VALUE"""),"WITH 1 AMSF")</f>
        <v>WITH 1 AMSF</v>
      </c>
      <c r="J36" s="1"/>
      <c r="K36" s="1" t="str">
        <f>IFERROR(__xludf.DUMMYFUNCTION("""COMPUTED_VALUE"""),"CANCELED")</f>
        <v>CANCELED</v>
      </c>
      <c r="L36" s="1" t="str">
        <f>IFERROR(__xludf.DUMMYFUNCTION("""COMPUTED_VALUE"""),"RPR - UNMAINTAINABLE")</f>
        <v>RPR - UNMAINTAINABLE</v>
      </c>
      <c r="M36" s="1" t="str">
        <f>IFERROR(__xludf.DUMMYFUNCTION("""COMPUTED_VALUE"""),"RPR - UNMAINTAINABLE")</f>
        <v>RPR - UNMAINTAINABLE</v>
      </c>
      <c r="N36" s="3"/>
      <c r="O36" s="1" t="str">
        <f>IFERROR(__xludf.DUMMYFUNCTION("""COMPUTED_VALUE"""),"FIBR PLAN 1299")</f>
        <v>FIBR PLAN 1299</v>
      </c>
      <c r="P36" s="1" t="str">
        <f>IFERROR(__xludf.DUMMYFUNCTION("""COMPUTED_VALUE"""),"LOWPLAN")</f>
        <v>LOWPLAN</v>
      </c>
      <c r="Q36" s="1" t="str">
        <f>IFERROR(__xludf.DUMMYFUNCTION("""COMPUTED_VALUE"""),"P407050")</f>
        <v>P407050</v>
      </c>
      <c r="R36" s="1" t="str">
        <f>IFERROR(__xludf.DUMMYFUNCTION("""COMPUTED_VALUE"""),"TAMAYO, MARY ROSE ZAIRA")</f>
        <v>TAMAYO, MARY ROSE ZAIRA</v>
      </c>
      <c r="S36" s="1" t="str">
        <f>IFERROR(__xludf.DUMMYFUNCTION("""COMPUTED_VALUE"""),"ORGANIC")</f>
        <v>ORGANIC</v>
      </c>
      <c r="T36" s="1" t="str">
        <f>IFERROR(__xludf.DUMMYFUNCTION("""COMPUTED_VALUE"""),"LEA REMOLLO")</f>
        <v>LEA REMOLLO</v>
      </c>
      <c r="U36" s="1" t="str">
        <f>IFERROR(__xludf.DUMMYFUNCTION("""COMPUTED_VALUE"""),"JB SALIOA")</f>
        <v>JB SALIOA</v>
      </c>
      <c r="V36" s="1" t="str">
        <f>IFERROR(__xludf.DUMMYFUNCTION("""COMPUTED_VALUE"""),"BK REGULAR")</f>
        <v>BK REGULAR</v>
      </c>
      <c r="W36" s="1" t="str">
        <f>IFERROR(__xludf.DUMMYFUNCTION("""COMPUTED_VALUE"""),"STK REGULAR")</f>
        <v>STK REGULAR</v>
      </c>
      <c r="X36" s="1" t="str">
        <f>IFERROR(__xludf.DUMMYFUNCTION("""COMPUTED_VALUE"""),"REGULAR")</f>
        <v>REGULAR</v>
      </c>
      <c r="Y36" s="1" t="str">
        <f>IFERROR(__xludf.DUMMYFUNCTION("""COMPUTED_VALUE"""),"BK_CVEU_260801")</f>
        <v>BK_CVEU_260801</v>
      </c>
      <c r="Z36" s="1" t="str">
        <f>IFERROR(__xludf.DUMMYFUNCTION("""COMPUTED_VALUE"""),"NEW CONNECT")</f>
        <v>NEW CONNECT</v>
      </c>
      <c r="AA36" s="1">
        <f>IFERROR(__xludf.DUMMYFUNCTION("""COMPUTED_VALUE"""),639128736102)</f>
        <v>639128736102</v>
      </c>
      <c r="AB36" s="1"/>
      <c r="AC36" s="1"/>
      <c r="AD36" s="1" t="str">
        <f>IFERROR(__xludf.DUMMYFUNCTION("""COMPUTED_VALUE"""),"PHASE 1")</f>
        <v>PHASE 1</v>
      </c>
      <c r="AE36" s="1" t="str">
        <f>IFERROR(__xludf.DUMMYFUNCTION("""COMPUTED_VALUE"""),"ALTA MONTEBELLO")</f>
        <v>ALTA MONTEBELLO</v>
      </c>
      <c r="AF36" s="1" t="str">
        <f>IFERROR(__xludf.DUMMYFUNCTION("""COMPUTED_VALUE"""),"BGY AMUYONG")</f>
        <v>BGY AMUYONG</v>
      </c>
      <c r="AG36" s="1" t="str">
        <f>IFERROR(__xludf.DUMMYFUNCTION("""COMPUTED_VALUE"""),"ALFONSO")</f>
        <v>ALFONSO</v>
      </c>
      <c r="AH36" s="1" t="str">
        <f>IFERROR(__xludf.DUMMYFUNCTION("""COMPUTED_VALUE"""),"-")</f>
        <v>-</v>
      </c>
      <c r="AI36" s="1" t="str">
        <f>IFERROR(__xludf.DUMMYFUNCTION("""COMPUTED_VALUE"""),"CLUSTER 12")</f>
        <v>CLUSTER 12</v>
      </c>
    </row>
    <row r="37" customHeight="1" spans="1:35">
      <c r="A37" s="3">
        <f>IFERROR(__xludf.DUMMYFUNCTION("""COMPUTED_VALUE"""),46238)</f>
        <v>46238</v>
      </c>
      <c r="B37" s="1" t="str">
        <f>IFERROR(__xludf.DUMMYFUNCTION("""COMPUTED_VALUE"""),"RANDY CAPACIO BALBALOSA")</f>
        <v>RANDY CAPACIO BALBALOSA</v>
      </c>
      <c r="C37" s="1">
        <f>IFERROR(__xludf.DUMMYFUNCTION("""COMPUTED_VALUE"""),2311516770)</f>
        <v>2311516770</v>
      </c>
      <c r="D37" s="1">
        <f>IFERROR(__xludf.DUMMYFUNCTION("""COMPUTED_VALUE"""),406408426)</f>
        <v>406408426</v>
      </c>
      <c r="E37" s="1">
        <f>IFERROR(__xludf.DUMMYFUNCTION("""COMPUTED_VALUE"""),465157118004)</f>
        <v>465157118004</v>
      </c>
      <c r="F37" s="1" t="str">
        <f>IFERROR(__xludf.DUMMYFUNCTION("""COMPUTED_VALUE"""),"CANCELLED")</f>
        <v>CANCELLED</v>
      </c>
      <c r="G37" s="1" t="str">
        <f>IFERROR(__xludf.DUMMYFUNCTION("""COMPUTED_VALUE"""),"CANT PROCEED INSTALLATION WALA PONG MASASABITAN NG FIBER NI PLDT  SUBS ALREADY ADVISED VALIDATED BY QA ‎JOSEPH GALINATO ‎TALK  RANDY CAPACIO BALBALOSA ‎CBR  09296302390")</f>
        <v>CANT PROCEED INSTALLATION WALA PONG MASASABITAN NG FIBER NI PLDT  SUBS ALREADY ADVISED VALIDATED BY QA ‎JOSEPH GALINATO ‎TALK  RANDY CAPACIO BALBALOSA ‎CBR  09296302390</v>
      </c>
      <c r="H37" s="1" t="str">
        <f>IFERROR(__xludf.DUMMYFUNCTION("""COMPUTED_VALUE"""),"PAID THRU GCASH 4591")</f>
        <v>PAID THRU GCASH 4591</v>
      </c>
      <c r="I37" s="1" t="str">
        <f>IFERROR(__xludf.DUMMYFUNCTION("""COMPUTED_VALUE"""),"WITH 1 AMSF")</f>
        <v>WITH 1 AMSF</v>
      </c>
      <c r="J37" s="1"/>
      <c r="K37" s="1" t="str">
        <f>IFERROR(__xludf.DUMMYFUNCTION("""COMPUTED_VALUE"""),"CANCELED")</f>
        <v>CANCELED</v>
      </c>
      <c r="L37" s="1" t="str">
        <f>IFERROR(__xludf.DUMMYFUNCTION("""COMPUTED_VALUE"""),"RPR - UNMAINTAINABLE")</f>
        <v>RPR - UNMAINTAINABLE</v>
      </c>
      <c r="M37" s="1" t="str">
        <f>IFERROR(__xludf.DUMMYFUNCTION("""COMPUTED_VALUE"""),"RPR - UNMAINTAINABLE")</f>
        <v>RPR - UNMAINTAINABLE</v>
      </c>
      <c r="N37" s="3"/>
      <c r="O37" s="1" t="str">
        <f>IFERROR(__xludf.DUMMYFUNCTION("""COMPUTED_VALUE"""),"FIBER UNLI ALL PLAN 1499")</f>
        <v>FIBER UNLI ALL PLAN 1499</v>
      </c>
      <c r="P37" s="1" t="str">
        <f>IFERROR(__xludf.DUMMYFUNCTION("""COMPUTED_VALUE"""),"LOWPLAN")</f>
        <v>LOWPLAN</v>
      </c>
      <c r="Q37" s="1" t="str">
        <f>IFERROR(__xludf.DUMMYFUNCTION("""COMPUTED_VALUE"""),"P407050")</f>
        <v>P407050</v>
      </c>
      <c r="R37" s="1" t="str">
        <f>IFERROR(__xludf.DUMMYFUNCTION("""COMPUTED_VALUE"""),"ESCARCHA, ALMA")</f>
        <v>ESCARCHA, ALMA</v>
      </c>
      <c r="S37" s="1" t="str">
        <f>IFERROR(__xludf.DUMMYFUNCTION("""COMPUTED_VALUE"""),"ORGANIC")</f>
        <v>ORGANIC</v>
      </c>
      <c r="T37" s="1" t="str">
        <f>IFERROR(__xludf.DUMMYFUNCTION("""COMPUTED_VALUE"""),"LEA REMOLLO")</f>
        <v>LEA REMOLLO</v>
      </c>
      <c r="U37" s="1" t="str">
        <f>IFERROR(__xludf.DUMMYFUNCTION("""COMPUTED_VALUE"""),"JB SALIOA")</f>
        <v>JB SALIOA</v>
      </c>
      <c r="V37" s="1" t="str">
        <f>IFERROR(__xludf.DUMMYFUNCTION("""COMPUTED_VALUE"""),"BK REGULAR")</f>
        <v>BK REGULAR</v>
      </c>
      <c r="W37" s="1" t="str">
        <f>IFERROR(__xludf.DUMMYFUNCTION("""COMPUTED_VALUE"""),"STK REGULAR")</f>
        <v>STK REGULAR</v>
      </c>
      <c r="X37" s="1" t="str">
        <f>IFERROR(__xludf.DUMMYFUNCTION("""COMPUTED_VALUE"""),"REGULAR")</f>
        <v>REGULAR</v>
      </c>
      <c r="Y37" s="1" t="str">
        <f>IFERROR(__xludf.DUMMYFUNCTION("""COMPUTED_VALUE"""),"BK_CVEU_260805")</f>
        <v>BK_CVEU_260805</v>
      </c>
      <c r="Z37" s="1" t="str">
        <f>IFERROR(__xludf.DUMMYFUNCTION("""COMPUTED_VALUE"""),"NEW CONNECT")</f>
        <v>NEW CONNECT</v>
      </c>
      <c r="AA37" s="1">
        <f>IFERROR(__xludf.DUMMYFUNCTION("""COMPUTED_VALUE"""),639296302390)</f>
        <v>639296302390</v>
      </c>
      <c r="AB37" s="1"/>
      <c r="AC37" s="1">
        <f>IFERROR(__xludf.DUMMYFUNCTION("""COMPUTED_VALUE"""),83)</f>
        <v>83</v>
      </c>
      <c r="AD37" s="1" t="str">
        <f>IFERROR(__xludf.DUMMYFUNCTION("""COMPUTED_VALUE"""),"MARAAN")</f>
        <v>MARAAN</v>
      </c>
      <c r="AE37" s="1" t="str">
        <f>IFERROR(__xludf.DUMMYFUNCTION("""COMPUTED_VALUE"""),"MARKET SITE")</f>
        <v>MARKET SITE</v>
      </c>
      <c r="AF37" s="1" t="str">
        <f>IFERROR(__xludf.DUMMYFUNCTION("""COMPUTED_VALUE"""),"BGY GALICIA 3")</f>
        <v>BGY GALICIA 3</v>
      </c>
      <c r="AG37" s="1" t="str">
        <f>IFERROR(__xludf.DUMMYFUNCTION("""COMPUTED_VALUE"""),"MENDEZ")</f>
        <v>MENDEZ</v>
      </c>
      <c r="AH37" s="1" t="str">
        <f>IFERROR(__xludf.DUMMYFUNCTION("""COMPUTED_VALUE"""),"LOTTO OUTLET")</f>
        <v>LOTTO OUTLET</v>
      </c>
      <c r="AI37" s="1" t="str">
        <f>IFERROR(__xludf.DUMMYFUNCTION("""COMPUTED_VALUE"""),"CLUSTER 12")</f>
        <v>CLUSTER 12</v>
      </c>
    </row>
    <row r="38" customHeight="1" spans="1:35">
      <c r="A38" s="3">
        <f>IFERROR(__xludf.DUMMYFUNCTION("""COMPUTED_VALUE"""),46238)</f>
        <v>46238</v>
      </c>
      <c r="B38" s="1" t="str">
        <f>IFERROR(__xludf.DUMMYFUNCTION("""COMPUTED_VALUE"""),"EDGAR GINO REYES GUARIN")</f>
        <v>EDGAR GINO REYES GUARIN</v>
      </c>
      <c r="C38" s="1">
        <f>IFERROR(__xludf.DUMMYFUNCTION("""COMPUTED_VALUE"""),2311524705)</f>
        <v>2311524705</v>
      </c>
      <c r="D38" s="1"/>
      <c r="E38" s="1"/>
      <c r="F38" s="1" t="str">
        <f>IFERROR(__xludf.DUMMYFUNCTION("""COMPUTED_VALUE"""),"CANCELLED")</f>
        <v>CANCELLED</v>
      </c>
      <c r="G38" s="1" t="str">
        <f>IFERROR(__xludf.DUMMYFUNCTION("""COMPUTED_VALUE"""),"(PLDT_NO LONGER INTERESTED) FF - SEGMENT 1 - NEW TO CREDIT - MID RISK")</f>
        <v>(PLDT_NO LONGER INTERESTED) FF - SEGMENT 1 - NEW TO CREDIT - MID RISK</v>
      </c>
      <c r="H38" s="1"/>
      <c r="I38" s="1"/>
      <c r="J38" s="1"/>
      <c r="K38" s="1"/>
      <c r="L38" s="1" t="str">
        <f>IFERROR(__xludf.DUMMYFUNCTION("""COMPUTED_VALUE"""),"CANCELLED")</f>
        <v>CANCELLED</v>
      </c>
      <c r="M38" s="1" t="str">
        <f>IFERROR(__xludf.DUMMYFUNCTION("""COMPUTED_VALUE"""),"CANCELLED - SUBS CANCEL REQUEST")</f>
        <v>CANCELLED - SUBS CANCEL REQUEST</v>
      </c>
      <c r="N38" s="3"/>
      <c r="O38" s="1" t="str">
        <f>IFERROR(__xludf.DUMMYFUNCTION("""COMPUTED_VALUE"""),"FIBR NETFLIX PLAN 1599")</f>
        <v>FIBR NETFLIX PLAN 1599</v>
      </c>
      <c r="P38" s="1" t="str">
        <f>IFERROR(__xludf.DUMMYFUNCTION("""COMPUTED_VALUE"""),"LOWPLAN")</f>
        <v>LOWPLAN</v>
      </c>
      <c r="Q38" s="1" t="str">
        <f>IFERROR(__xludf.DUMMYFUNCTION("""COMPUTED_VALUE"""),"P407050")</f>
        <v>P407050</v>
      </c>
      <c r="R38" s="1" t="str">
        <f>IFERROR(__xludf.DUMMYFUNCTION("""COMPUTED_VALUE"""),"MANARIN, PETER")</f>
        <v>MANARIN, PETER</v>
      </c>
      <c r="S38" s="1" t="str">
        <f>IFERROR(__xludf.DUMMYFUNCTION("""COMPUTED_VALUE"""),"ORGANIC")</f>
        <v>ORGANIC</v>
      </c>
      <c r="T38" s="1" t="str">
        <f>IFERROR(__xludf.DUMMYFUNCTION("""COMPUTED_VALUE"""),"LEA REMOLLO")</f>
        <v>LEA REMOLLO</v>
      </c>
      <c r="U38" s="1" t="str">
        <f>IFERROR(__xludf.DUMMYFUNCTION("""COMPUTED_VALUE"""),"JB SALIOA")</f>
        <v>JB SALIOA</v>
      </c>
      <c r="V38" s="1" t="str">
        <f>IFERROR(__xludf.DUMMYFUNCTION("""COMPUTED_VALUE"""),"BK REGULAR")</f>
        <v>BK REGULAR</v>
      </c>
      <c r="W38" s="1" t="str">
        <f>IFERROR(__xludf.DUMMYFUNCTION("""COMPUTED_VALUE"""),"STK REGULAR")</f>
        <v>STK REGULAR</v>
      </c>
      <c r="X38" s="1" t="str">
        <f>IFERROR(__xludf.DUMMYFUNCTION("""COMPUTED_VALUE"""),"REGULAR")</f>
        <v>REGULAR</v>
      </c>
      <c r="Y38" s="1" t="str">
        <f>IFERROR(__xludf.DUMMYFUNCTION("""COMPUTED_VALUE"""),"BK_CVEU_260803")</f>
        <v>BK_CVEU_260803</v>
      </c>
      <c r="Z38" s="1" t="str">
        <f>IFERROR(__xludf.DUMMYFUNCTION("""COMPUTED_VALUE"""),"NEW CONNECT")</f>
        <v>NEW CONNECT</v>
      </c>
      <c r="AA38" s="1">
        <f>IFERROR(__xludf.DUMMYFUNCTION("""COMPUTED_VALUE"""),639092359243)</f>
        <v>639092359243</v>
      </c>
      <c r="AB38" s="1">
        <f>IFERROR(__xludf.DUMMYFUNCTION("""COMPUTED_VALUE"""),639542351252)</f>
        <v>639542351252</v>
      </c>
      <c r="AC38" s="1">
        <f>IFERROR(__xludf.DUMMYFUNCTION("""COMPUTED_VALUE"""),9422)</f>
        <v>9422</v>
      </c>
      <c r="AD38" s="1" t="str">
        <f>IFERROR(__xludf.DUMMYFUNCTION("""COMPUTED_VALUE"""),"LOTUS")</f>
        <v>LOTUS</v>
      </c>
      <c r="AE38" s="1" t="str">
        <f>IFERROR(__xludf.DUMMYFUNCTION("""COMPUTED_VALUE"""),"ALUMIA APARTMENT")</f>
        <v>ALUMIA APARTMENT</v>
      </c>
      <c r="AF38" s="1" t="str">
        <f>IFERROR(__xludf.DUMMYFUNCTION("""COMPUTED_VALUE"""),"BGY MADUYA")</f>
        <v>BGY MADUYA</v>
      </c>
      <c r="AG38" s="1" t="str">
        <f>IFERROR(__xludf.DUMMYFUNCTION("""COMPUTED_VALUE"""),"CARMONA")</f>
        <v>CARMONA</v>
      </c>
      <c r="AH38" s="1" t="str">
        <f>IFERROR(__xludf.DUMMYFUNCTION("""COMPUTED_VALUE"""),"AT THE BACK OF MADUYA CC ")</f>
        <v>AT THE BACK OF MADUYA CC </v>
      </c>
      <c r="AI38" s="1" t="str">
        <f>IFERROR(__xludf.DUMMYFUNCTION("""COMPUTED_VALUE"""),"CLUSTER 11")</f>
        <v>CLUSTER 11</v>
      </c>
    </row>
    <row r="39" customHeight="1" spans="1:35">
      <c r="A39" s="3">
        <f>IFERROR(__xludf.DUMMYFUNCTION("""COMPUTED_VALUE"""),46238)</f>
        <v>46238</v>
      </c>
      <c r="B39" s="1" t="str">
        <f>IFERROR(__xludf.DUMMYFUNCTION("""COMPUTED_VALUE"""),"MARY GRACE BARSAGA BARLIZO")</f>
        <v>MARY GRACE BARSAGA BARLIZO</v>
      </c>
      <c r="C39" s="1">
        <f>IFERROR(__xludf.DUMMYFUNCTION("""COMPUTED_VALUE"""),2311525337)</f>
        <v>2311525337</v>
      </c>
      <c r="D39" s="1"/>
      <c r="E39" s="1"/>
      <c r="F39" s="1" t="str">
        <f>IFERROR(__xludf.DUMMYFUNCTION("""COMPUTED_VALUE"""),"CANCELLED")</f>
        <v>CANCELLED</v>
      </c>
      <c r="G39" s="1" t="str">
        <f>IFERROR(__xludf.DUMMYFUNCTION("""COMPUTED_VALUE"""),"(SUB CHANGED MIND) GG - SEGMENT 1 - NEW TO CREDIT - HIGH RISK")</f>
        <v>(SUB CHANGED MIND) GG - SEGMENT 1 - NEW TO CREDIT - HIGH RISK</v>
      </c>
      <c r="H39" s="1"/>
      <c r="I39" s="1"/>
      <c r="J39" s="1"/>
      <c r="K39" s="1"/>
      <c r="L39" s="1" t="str">
        <f>IFERROR(__xludf.DUMMYFUNCTION("""COMPUTED_VALUE"""),"CANCELLED")</f>
        <v>CANCELLED</v>
      </c>
      <c r="M39" s="1" t="str">
        <f>IFERROR(__xludf.DUMMYFUNCTION("""COMPUTED_VALUE"""),"CANCELLED - SUBS CANCEL REQUEST")</f>
        <v>CANCELLED - SUBS CANCEL REQUEST</v>
      </c>
      <c r="N39" s="3"/>
      <c r="O39" s="1" t="str">
        <f>IFERROR(__xludf.DUMMYFUNCTION("""COMPUTED_VALUE"""),"FIBR PLAN 1299")</f>
        <v>FIBR PLAN 1299</v>
      </c>
      <c r="P39" s="1" t="str">
        <f>IFERROR(__xludf.DUMMYFUNCTION("""COMPUTED_VALUE"""),"LOWPLAN")</f>
        <v>LOWPLAN</v>
      </c>
      <c r="Q39" s="1" t="str">
        <f>IFERROR(__xludf.DUMMYFUNCTION("""COMPUTED_VALUE"""),"P407050")</f>
        <v>P407050</v>
      </c>
      <c r="R39" s="1" t="str">
        <f>IFERROR(__xludf.DUMMYFUNCTION("""COMPUTED_VALUE"""),"FARO, REFRANTA ")</f>
        <v>FARO, REFRANTA </v>
      </c>
      <c r="S39" s="1" t="str">
        <f>IFERROR(__xludf.DUMMYFUNCTION("""COMPUTED_VALUE"""),"FLA")</f>
        <v>FLA</v>
      </c>
      <c r="T39" s="1" t="str">
        <f>IFERROR(__xludf.DUMMYFUNCTION("""COMPUTED_VALUE"""),"JERIC NAVARRO")</f>
        <v>JERIC NAVARRO</v>
      </c>
      <c r="U39" s="1" t="str">
        <f>IFERROR(__xludf.DUMMYFUNCTION("""COMPUTED_VALUE"""),"JB SALIOA")</f>
        <v>JB SALIOA</v>
      </c>
      <c r="V39" s="1" t="str">
        <f>IFERROR(__xludf.DUMMYFUNCTION("""COMPUTED_VALUE"""),"BK REGULAR")</f>
        <v>BK REGULAR</v>
      </c>
      <c r="W39" s="1" t="str">
        <f>IFERROR(__xludf.DUMMYFUNCTION("""COMPUTED_VALUE"""),"STK REGULAR")</f>
        <v>STK REGULAR</v>
      </c>
      <c r="X39" s="1" t="str">
        <f>IFERROR(__xludf.DUMMYFUNCTION("""COMPUTED_VALUE"""),"REGULAR")</f>
        <v>REGULAR</v>
      </c>
      <c r="Y39" s="1" t="str">
        <f>IFERROR(__xludf.DUMMYFUNCTION("""COMPUTED_VALUE"""),"BK_CVEU_260801")</f>
        <v>BK_CVEU_260801</v>
      </c>
      <c r="Z39" s="1" t="str">
        <f>IFERROR(__xludf.DUMMYFUNCTION("""COMPUTED_VALUE"""),"NEW CONNECT")</f>
        <v>NEW CONNECT</v>
      </c>
      <c r="AA39" s="1">
        <f>IFERROR(__xludf.DUMMYFUNCTION("""COMPUTED_VALUE"""),639648636294)</f>
        <v>639648636294</v>
      </c>
      <c r="AB39" s="1"/>
      <c r="AC39" s="1">
        <f>IFERROR(__xludf.DUMMYFUNCTION("""COMPUTED_VALUE"""),12)</f>
        <v>12</v>
      </c>
      <c r="AD39" s="1" t="str">
        <f>IFERROR(__xludf.DUMMYFUNCTION("""COMPUTED_VALUE"""),"PAJO")</f>
        <v>PAJO</v>
      </c>
      <c r="AE39" s="1"/>
      <c r="AF39" s="1" t="str">
        <f>IFERROR(__xludf.DUMMYFUNCTION("""COMPUTED_VALUE"""),"BGY PAJO")</f>
        <v>BGY PAJO</v>
      </c>
      <c r="AG39" s="1" t="str">
        <f>IFERROR(__xludf.DUMMYFUNCTION("""COMPUTED_VALUE"""),"ALFONSO")</f>
        <v>ALFONSO</v>
      </c>
      <c r="AH39" s="1" t="str">
        <f>IFERROR(__xludf.DUMMYFUNCTION("""COMPUTED_VALUE"""),"-")</f>
        <v>-</v>
      </c>
      <c r="AI39" s="1" t="str">
        <f>IFERROR(__xludf.DUMMYFUNCTION("""COMPUTED_VALUE"""),"CLUSTER 12")</f>
        <v>CLUSTER 12</v>
      </c>
    </row>
    <row r="40" customHeight="1" spans="1:35">
      <c r="A40" s="3">
        <f>IFERROR(__xludf.DUMMYFUNCTION("""COMPUTED_VALUE"""),46239)</f>
        <v>46239</v>
      </c>
      <c r="B40" s="1" t="str">
        <f>IFERROR(__xludf.DUMMYFUNCTION("""COMPUTED_VALUE"""),"GEMMA GIRAY BANTILO")</f>
        <v>GEMMA GIRAY BANTILO</v>
      </c>
      <c r="C40" s="1">
        <f>IFERROR(__xludf.DUMMYFUNCTION("""COMPUTED_VALUE"""),2311539355)</f>
        <v>2311539355</v>
      </c>
      <c r="D40" s="1">
        <f>IFERROR(__xludf.DUMMYFUNCTION("""COMPUTED_VALUE"""),406471748)</f>
        <v>406471748</v>
      </c>
      <c r="E40" s="1">
        <f>IFERROR(__xludf.DUMMYFUNCTION("""COMPUTED_VALUE"""),465312874004)</f>
        <v>465312874004</v>
      </c>
      <c r="F40" s="1" t="str">
        <f>IFERROR(__xludf.DUMMYFUNCTION("""COMPUTED_VALUE"""),"CLOSED")</f>
        <v>CLOSED</v>
      </c>
      <c r="G40" s="1" t="str">
        <f>IFERROR(__xludf.DUMMYFUNCTION("""COMPUTED_VALUE"""),"CLOSED")</f>
        <v>CLOSED</v>
      </c>
      <c r="H40" s="1" t="str">
        <f>IFERROR(__xludf.DUMMYFUNCTION("""COMPUTED_VALUE"""),"PAID THRU GCASH REF 260407176 AUGUST 6")</f>
        <v>PAID THRU GCASH REF 260407176 AUGUST 6</v>
      </c>
      <c r="I40" s="1" t="str">
        <f>IFERROR(__xludf.DUMMYFUNCTION("""COMPUTED_VALUE"""),"WITH 1 AMSF")</f>
        <v>WITH 1 AMSF</v>
      </c>
      <c r="J40" s="1"/>
      <c r="K40" s="1" t="str">
        <f>IFERROR(__xludf.DUMMYFUNCTION("""COMPUTED_VALUE"""),"COMPLETED")</f>
        <v>COMPLETED</v>
      </c>
      <c r="L40" s="1" t="str">
        <f>IFERROR(__xludf.DUMMYFUNCTION("""COMPUTED_VALUE"""),"POSTED")</f>
        <v>POSTED</v>
      </c>
      <c r="M40" s="1" t="str">
        <f>IFERROR(__xludf.DUMMYFUNCTION("""COMPUTED_VALUE"""),"POSTED")</f>
        <v>POSTED</v>
      </c>
      <c r="N40" s="3">
        <f>IFERROR(__xludf.DUMMYFUNCTION("""COMPUTED_VALUE"""),2026)</f>
        <v>2026</v>
      </c>
      <c r="O40" s="1" t="str">
        <f>IFERROR(__xludf.DUMMYFUNCTION("""COMPUTED_VALUE"""),"FIBR PLAN 1299")</f>
        <v>FIBR PLAN 1299</v>
      </c>
      <c r="P40" s="1" t="str">
        <f>IFERROR(__xludf.DUMMYFUNCTION("""COMPUTED_VALUE"""),"LOWPLAN")</f>
        <v>LOWPLAN</v>
      </c>
      <c r="Q40" s="1" t="str">
        <f>IFERROR(__xludf.DUMMYFUNCTION("""COMPUTED_VALUE"""),"P407046")</f>
        <v>P407046</v>
      </c>
      <c r="R40" s="1" t="str">
        <f>IFERROR(__xludf.DUMMYFUNCTION("""COMPUTED_VALUE"""),"MALIWAT, MARK")</f>
        <v>MALIWAT, MARK</v>
      </c>
      <c r="S40" s="1" t="str">
        <f>IFERROR(__xludf.DUMMYFUNCTION("""COMPUTED_VALUE"""),"FLA")</f>
        <v>FLA</v>
      </c>
      <c r="T40" s="1" t="str">
        <f>IFERROR(__xludf.DUMMYFUNCTION("""COMPUTED_VALUE"""),"JERIC NAVARRO")</f>
        <v>JERIC NAVARRO</v>
      </c>
      <c r="U40" s="1" t="str">
        <f>IFERROR(__xludf.DUMMYFUNCTION("""COMPUTED_VALUE"""),"JB SALIOA")</f>
        <v>JB SALIOA</v>
      </c>
      <c r="V40" s="1" t="str">
        <f>IFERROR(__xludf.DUMMYFUNCTION("""COMPUTED_VALUE"""),"BK REGULAR")</f>
        <v>BK REGULAR</v>
      </c>
      <c r="W40" s="1" t="str">
        <f>IFERROR(__xludf.DUMMYFUNCTION("""COMPUTED_VALUE"""),"STK REGULAR")</f>
        <v>STK REGULAR</v>
      </c>
      <c r="X40" s="1" t="str">
        <f>IFERROR(__xludf.DUMMYFUNCTION("""COMPUTED_VALUE"""),"REGULAR")</f>
        <v>REGULAR</v>
      </c>
      <c r="Y40" s="1" t="str">
        <f>IFERROR(__xludf.DUMMYFUNCTION("""COMPUTED_VALUE"""),"BK_CVEU_260802")</f>
        <v>BK_CVEU_260802</v>
      </c>
      <c r="Z40" s="1" t="str">
        <f>IFERROR(__xludf.DUMMYFUNCTION("""COMPUTED_VALUE"""),"NEW CONNECT")</f>
        <v>NEW CONNECT</v>
      </c>
      <c r="AA40" s="1">
        <f>IFERROR(__xludf.DUMMYFUNCTION("""COMPUTED_VALUE"""),639649861584)</f>
        <v>639649861584</v>
      </c>
      <c r="AB40" s="1"/>
      <c r="AC40" s="1">
        <f>IFERROR(__xludf.DUMMYFUNCTION("""COMPUTED_VALUE"""),1020)</f>
        <v>1020</v>
      </c>
      <c r="AD40" s="1" t="str">
        <f>IFERROR(__xludf.DUMMYFUNCTION("""COMPUTED_VALUE"""),"GUIRARAY")</f>
        <v>GUIRARAY</v>
      </c>
      <c r="AE40" s="1"/>
      <c r="AF40" s="1" t="str">
        <f>IFERROR(__xludf.DUMMYFUNCTION("""COMPUTED_VALUE"""),"BGY 12")</f>
        <v>BGY 12</v>
      </c>
      <c r="AG40" s="1" t="str">
        <f>IFERROR(__xludf.DUMMYFUNCTION("""COMPUTED_VALUE"""),"AMADEO")</f>
        <v>AMADEO</v>
      </c>
      <c r="AH40" s="1" t="str">
        <f>IFERROR(__xludf.DUMMYFUNCTION("""COMPUTED_VALUE"""),"BARANGAY HALL")</f>
        <v>BARANGAY HALL</v>
      </c>
      <c r="AI40" s="1" t="str">
        <f>IFERROR(__xludf.DUMMYFUNCTION("""COMPUTED_VALUE"""),"CLUSTER 12")</f>
        <v>CLUSTER 12</v>
      </c>
    </row>
    <row r="41" customHeight="1" spans="1:35">
      <c r="A41" s="3">
        <f>IFERROR(__xludf.DUMMYFUNCTION("""COMPUTED_VALUE"""),46239)</f>
        <v>46239</v>
      </c>
      <c r="B41" s="1" t="str">
        <f>IFERROR(__xludf.DUMMYFUNCTION("""COMPUTED_VALUE"""),"MANUELITO DANO PAVIA")</f>
        <v>MANUELITO DANO PAVIA</v>
      </c>
      <c r="C41" s="1">
        <f>IFERROR(__xludf.DUMMYFUNCTION("""COMPUTED_VALUE"""),2311542262)</f>
        <v>2311542262</v>
      </c>
      <c r="D41" s="1">
        <f>IFERROR(__xludf.DUMMYFUNCTION("""COMPUTED_VALUE"""),406440796)</f>
        <v>406440796</v>
      </c>
      <c r="E41" s="1">
        <f>IFERROR(__xludf.DUMMYFUNCTION("""COMPUTED_VALUE"""),465279616004)</f>
        <v>465279616004</v>
      </c>
      <c r="F41" s="1" t="str">
        <f>IFERROR(__xludf.DUMMYFUNCTION("""COMPUTED_VALUE"""),"CLOSED")</f>
        <v>CLOSED</v>
      </c>
      <c r="G41" s="1" t="str">
        <f>IFERROR(__xludf.DUMMYFUNCTION("""COMPUTED_VALUE"""),"CLOSED")</f>
        <v>CLOSED</v>
      </c>
      <c r="H41" s="1" t="str">
        <f>IFERROR(__xludf.DUMMYFUNCTION("""COMPUTED_VALUE"""),"PAID THRU GCASH 158520129 AUG 5")</f>
        <v>PAID THRU GCASH 158520129 AUG 5</v>
      </c>
      <c r="I41" s="1" t="str">
        <f>IFERROR(__xludf.DUMMYFUNCTION("""COMPUTED_VALUE"""),"WITH 1 AMSF")</f>
        <v>WITH 1 AMSF</v>
      </c>
      <c r="J41" s="1"/>
      <c r="K41" s="1" t="str">
        <f>IFERROR(__xludf.DUMMYFUNCTION("""COMPUTED_VALUE"""),"COMPLETED")</f>
        <v>COMPLETED</v>
      </c>
      <c r="L41" s="1" t="str">
        <f>IFERROR(__xludf.DUMMYFUNCTION("""COMPUTED_VALUE"""),"POSTED")</f>
        <v>POSTED</v>
      </c>
      <c r="M41" s="1" t="str">
        <f>IFERROR(__xludf.DUMMYFUNCTION("""COMPUTED_VALUE"""),"POSTED")</f>
        <v>POSTED</v>
      </c>
      <c r="N41" s="3">
        <f>IFERROR(__xludf.DUMMYFUNCTION("""COMPUTED_VALUE"""),46240)</f>
        <v>46240</v>
      </c>
      <c r="O41" s="1" t="str">
        <f>IFERROR(__xludf.DUMMYFUNCTION("""COMPUTED_VALUE"""),"FIBR NETFLIX PLAN 1599")</f>
        <v>FIBR NETFLIX PLAN 1599</v>
      </c>
      <c r="P41" s="1" t="str">
        <f>IFERROR(__xludf.DUMMYFUNCTION("""COMPUTED_VALUE"""),"LOWPLAN")</f>
        <v>LOWPLAN</v>
      </c>
      <c r="Q41" s="1" t="str">
        <f>IFERROR(__xludf.DUMMYFUNCTION("""COMPUTED_VALUE"""),"P407047")</f>
        <v>P407047</v>
      </c>
      <c r="R41" s="1" t="str">
        <f>IFERROR(__xludf.DUMMYFUNCTION("""COMPUTED_VALUE"""),"FRANCISCO, ROSELYN")</f>
        <v>FRANCISCO, ROSELYN</v>
      </c>
      <c r="S41" s="1" t="str">
        <f>IFERROR(__xludf.DUMMYFUNCTION("""COMPUTED_VALUE"""),"ORGANIC")</f>
        <v>ORGANIC</v>
      </c>
      <c r="T41" s="1" t="str">
        <f>IFERROR(__xludf.DUMMYFUNCTION("""COMPUTED_VALUE"""),"LEA REMOLLO")</f>
        <v>LEA REMOLLO</v>
      </c>
      <c r="U41" s="1" t="str">
        <f>IFERROR(__xludf.DUMMYFUNCTION("""COMPUTED_VALUE"""),"JB SALIOA")</f>
        <v>JB SALIOA</v>
      </c>
      <c r="V41" s="1" t="str">
        <f>IFERROR(__xludf.DUMMYFUNCTION("""COMPUTED_VALUE"""),"ONLINE/CRANFORD")</f>
        <v>ONLINE/CRANFORD</v>
      </c>
      <c r="W41" s="1" t="str">
        <f>IFERROR(__xludf.DUMMYFUNCTION("""COMPUTED_VALUE"""),"STK REGULAR")</f>
        <v>STK REGULAR</v>
      </c>
      <c r="X41" s="1" t="str">
        <f>IFERROR(__xludf.DUMMYFUNCTION("""COMPUTED_VALUE"""),"REGULAR")</f>
        <v>REGULAR</v>
      </c>
      <c r="Y41" s="1" t="str">
        <f>IFERROR(__xludf.DUMMYFUNCTION("""COMPUTED_VALUE"""),"RS_ONL_CVEU_2026")</f>
        <v>RS_ONL_CVEU_2026</v>
      </c>
      <c r="Z41" s="1" t="str">
        <f>IFERROR(__xludf.DUMMYFUNCTION("""COMPUTED_VALUE"""),"NEW CONNECT")</f>
        <v>NEW CONNECT</v>
      </c>
      <c r="AA41" s="1">
        <f>IFERROR(__xludf.DUMMYFUNCTION("""COMPUTED_VALUE"""),639473597665)</f>
        <v>639473597665</v>
      </c>
      <c r="AB41" s="1">
        <f>IFERROR(__xludf.DUMMYFUNCTION("""COMPUTED_VALUE"""),639959018809)</f>
        <v>639959018809</v>
      </c>
      <c r="AC41" s="1">
        <f>IFERROR(__xludf.DUMMYFUNCTION("""COMPUTED_VALUE"""),1349)</f>
        <v>1349</v>
      </c>
      <c r="AD41" s="1" t="str">
        <f>IFERROR(__xludf.DUMMYFUNCTION("""COMPUTED_VALUE"""),"JULIAN FELIFE")</f>
        <v>JULIAN FELIFE</v>
      </c>
      <c r="AE41" s="1" t="str">
        <f>IFERROR(__xludf.DUMMYFUNCTION("""COMPUTED_VALUE"""),"CARIDAD")</f>
        <v>CARIDAD</v>
      </c>
      <c r="AF41" s="1" t="str">
        <f>IFERROR(__xludf.DUMMYFUNCTION("""COMPUTED_VALUE"""),"BGY 36A")</f>
        <v>BGY 36A</v>
      </c>
      <c r="AG41" s="1" t="str">
        <f>IFERROR(__xludf.DUMMYFUNCTION("""COMPUTED_VALUE"""),"CAVITE CITY")</f>
        <v>CAVITE CITY</v>
      </c>
      <c r="AH41" s="1" t="str">
        <f>IFERROR(__xludf.DUMMYFUNCTION("""COMPUTED_VALUE"""),"INFRONT OF CAFE AMADEO")</f>
        <v>INFRONT OF CAFE AMADEO</v>
      </c>
      <c r="AI41" s="1" t="str">
        <f>IFERROR(__xludf.DUMMYFUNCTION("""COMPUTED_VALUE"""),"NOT AOR")</f>
        <v>NOT AOR</v>
      </c>
    </row>
    <row r="42" customHeight="1" spans="1:35">
      <c r="A42" s="3">
        <f>IFERROR(__xludf.DUMMYFUNCTION("""COMPUTED_VALUE"""),46239)</f>
        <v>46239</v>
      </c>
      <c r="B42" s="1" t="str">
        <f>IFERROR(__xludf.DUMMYFUNCTION("""COMPUTED_VALUE"""),"MA. CECILIA MONZON PANTE")</f>
        <v>MA. CECILIA MONZON PANTE</v>
      </c>
      <c r="C42" s="1">
        <f>IFERROR(__xludf.DUMMYFUNCTION("""COMPUTED_VALUE"""),2311543028)</f>
        <v>2311543028</v>
      </c>
      <c r="D42" s="1"/>
      <c r="E42" s="1"/>
      <c r="F42" s="1" t="str">
        <f>IFERROR(__xludf.DUMMYFUNCTION("""COMPUTED_VALUE"""),"DISAPPROVED")</f>
        <v>DISAPPROVED</v>
      </c>
      <c r="G42" s="1" t="str">
        <f>IFERROR(__xludf.DUMMYFUNCTION("""COMPUTED_VALUE"""),"(FAILED CONTACT AFTER SEVERAL ATTEMPTS) .")</f>
        <v>(FAILED CONTACT AFTER SEVERAL ATTEMPTS) .</v>
      </c>
      <c r="H42" s="1"/>
      <c r="I42" s="1"/>
      <c r="J42" s="1"/>
      <c r="K42" s="1"/>
      <c r="L42" s="1" t="str">
        <f>IFERROR(__xludf.DUMMYFUNCTION("""COMPUTED_VALUE"""),"DISAPPROVED")</f>
        <v>DISAPPROVED</v>
      </c>
      <c r="M42" s="1" t="str">
        <f>IFERROR(__xludf.DUMMYFUNCTION("""COMPUTED_VALUE"""),"DISAPPROVED - UNCONTACTABLE")</f>
        <v>DISAPPROVED - UNCONTACTABLE</v>
      </c>
      <c r="N42" s="3"/>
      <c r="O42" s="1" t="str">
        <f>IFERROR(__xludf.DUMMYFUNCTION("""COMPUTED_VALUE"""),"FIBR UNLI ALL PLAN 999")</f>
        <v>FIBR UNLI ALL PLAN 999</v>
      </c>
      <c r="P42" s="1" t="str">
        <f>IFERROR(__xludf.DUMMYFUNCTION("""COMPUTED_VALUE"""),"LOWPLAN")</f>
        <v>LOWPLAN</v>
      </c>
      <c r="Q42" s="1" t="str">
        <f>IFERROR(__xludf.DUMMYFUNCTION("""COMPUTED_VALUE"""),"P407050")</f>
        <v>P407050</v>
      </c>
      <c r="R42" s="1" t="str">
        <f>IFERROR(__xludf.DUMMYFUNCTION("""COMPUTED_VALUE"""),"MAGDARAOG, KENNETH")</f>
        <v>MAGDARAOG, KENNETH</v>
      </c>
      <c r="S42" s="1" t="str">
        <f>IFERROR(__xludf.DUMMYFUNCTION("""COMPUTED_VALUE"""),"ORGANIC")</f>
        <v>ORGANIC</v>
      </c>
      <c r="T42" s="1" t="str">
        <f>IFERROR(__xludf.DUMMYFUNCTION("""COMPUTED_VALUE"""),"LEA REMOLLO")</f>
        <v>LEA REMOLLO</v>
      </c>
      <c r="U42" s="1" t="str">
        <f>IFERROR(__xludf.DUMMYFUNCTION("""COMPUTED_VALUE"""),"JB SALIOA")</f>
        <v>JB SALIOA</v>
      </c>
      <c r="V42" s="1" t="str">
        <f>IFERROR(__xludf.DUMMYFUNCTION("""COMPUTED_VALUE"""),"BK REGULAR")</f>
        <v>BK REGULAR</v>
      </c>
      <c r="W42" s="1" t="str">
        <f>IFERROR(__xludf.DUMMYFUNCTION("""COMPUTED_VALUE"""),"STK REGULAR")</f>
        <v>STK REGULAR</v>
      </c>
      <c r="X42" s="1" t="str">
        <f>IFERROR(__xludf.DUMMYFUNCTION("""COMPUTED_VALUE"""),"REGULAR")</f>
        <v>REGULAR</v>
      </c>
      <c r="Y42" s="1" t="str">
        <f>IFERROR(__xludf.DUMMYFUNCTION("""COMPUTED_VALUE"""),"BK_CVEU_260801")</f>
        <v>BK_CVEU_260801</v>
      </c>
      <c r="Z42" s="1" t="str">
        <f>IFERROR(__xludf.DUMMYFUNCTION("""COMPUTED_VALUE"""),"NEW CONNECT")</f>
        <v>NEW CONNECT</v>
      </c>
      <c r="AA42" s="1">
        <f>IFERROR(__xludf.DUMMYFUNCTION("""COMPUTED_VALUE"""),639473597665)</f>
        <v>639473597665</v>
      </c>
      <c r="AB42" s="1"/>
      <c r="AC42" s="1">
        <f>IFERROR(__xludf.DUMMYFUNCTION("""COMPUTED_VALUE"""),186)</f>
        <v>186</v>
      </c>
      <c r="AD42" s="1" t="str">
        <f>IFERROR(__xludf.DUMMYFUNCTION("""COMPUTED_VALUE"""),"RIZAL")</f>
        <v>RIZAL</v>
      </c>
      <c r="AE42" s="1"/>
      <c r="AF42" s="1" t="str">
        <f>IFERROR(__xludf.DUMMYFUNCTION("""COMPUTED_VALUE"""),"BGY 3")</f>
        <v>BGY 3</v>
      </c>
      <c r="AG42" s="1" t="str">
        <f>IFERROR(__xludf.DUMMYFUNCTION("""COMPUTED_VALUE"""),"ALFONSO")</f>
        <v>ALFONSO</v>
      </c>
      <c r="AH42" s="1" t="str">
        <f>IFERROR(__xludf.DUMMYFUNCTION("""COMPUTED_VALUE"""),"DALI ")</f>
        <v>DALI </v>
      </c>
      <c r="AI42" s="1" t="str">
        <f>IFERROR(__xludf.DUMMYFUNCTION("""COMPUTED_VALUE"""),"CLUSTER 12")</f>
        <v>CLUSTER 12</v>
      </c>
    </row>
    <row r="43" customHeight="1" spans="1:35">
      <c r="A43" s="3">
        <f>IFERROR(__xludf.DUMMYFUNCTION("""COMPUTED_VALUE"""),46239)</f>
        <v>46239</v>
      </c>
      <c r="B43" s="1" t="str">
        <f>IFERROR(__xludf.DUMMYFUNCTION("""COMPUTED_VALUE"""),"ROSANA OCAMPO CANIZA")</f>
        <v>ROSANA OCAMPO CANIZA</v>
      </c>
      <c r="C43" s="1">
        <f>IFERROR(__xludf.DUMMYFUNCTION("""COMPUTED_VALUE"""),2311547304)</f>
        <v>2311547304</v>
      </c>
      <c r="D43" s="1">
        <f>IFERROR(__xludf.DUMMYFUNCTION("""COMPUTED_VALUE"""),406461416)</f>
        <v>406461416</v>
      </c>
      <c r="E43" s="1">
        <f>IFERROR(__xludf.DUMMYFUNCTION("""COMPUTED_VALUE"""),465288332004)</f>
        <v>465288332004</v>
      </c>
      <c r="F43" s="1" t="str">
        <f>IFERROR(__xludf.DUMMYFUNCTION("""COMPUTED_VALUE"""),"CLOSED")</f>
        <v>CLOSED</v>
      </c>
      <c r="G43" s="1" t="str">
        <f>IFERROR(__xludf.DUMMYFUNCTION("""COMPUTED_VALUE"""),"CLOSED")</f>
        <v>CLOSED</v>
      </c>
      <c r="H43" s="1" t="str">
        <f>IFERROR(__xludf.DUMMYFUNCTION("""COMPUTED_VALUE"""),"Last Payment Posted: PHP 2979.58
Latest Payment Posted Date: October 07, 2026
Payment made through: BAYAD CTR")</f>
        <v>Last Payment Posted: PHP 2979.58
Latest Payment Posted Date: October 07, 2026
Payment made through: BAYAD CTR</v>
      </c>
      <c r="I43" s="1" t="str">
        <f>IFERROR(__xludf.DUMMYFUNCTION("""COMPUTED_VALUE"""),"WITH 1 AMSF")</f>
        <v>WITH 1 AMSF</v>
      </c>
      <c r="J43" s="1" t="str">
        <f>IFERROR(__xludf.DUMMYFUNCTION("""COMPUTED_VALUE"""),"DUE DATE - 05-Oct-26 - 2,979.58")</f>
        <v>DUE DATE - 05-Oct-26 - 2,979.58</v>
      </c>
      <c r="K43" s="1" t="str">
        <f>IFERROR(__xludf.DUMMYFUNCTION("""COMPUTED_VALUE"""),"COMPLETED")</f>
        <v>COMPLETED</v>
      </c>
      <c r="L43" s="1" t="str">
        <f>IFERROR(__xludf.DUMMYFUNCTION("""COMPUTED_VALUE"""),"POSTED")</f>
        <v>POSTED</v>
      </c>
      <c r="M43" s="1" t="str">
        <f>IFERROR(__xludf.DUMMYFUNCTION("""COMPUTED_VALUE"""),"POSTED")</f>
        <v>POSTED</v>
      </c>
      <c r="N43" s="3">
        <f>IFERROR(__xludf.DUMMYFUNCTION("""COMPUTED_VALUE"""),46275)</f>
        <v>46275</v>
      </c>
      <c r="O43" s="1" t="str">
        <f>IFERROR(__xludf.DUMMYFUNCTION("""COMPUTED_VALUE"""),"FIBR PLAN 2699")</f>
        <v>FIBR PLAN 2699</v>
      </c>
      <c r="P43" s="1" t="str">
        <f>IFERROR(__xludf.DUMMYFUNCTION("""COMPUTED_VALUE"""),"HIGHPLAN")</f>
        <v>HIGHPLAN</v>
      </c>
      <c r="Q43" s="1" t="str">
        <f>IFERROR(__xludf.DUMMYFUNCTION("""COMPUTED_VALUE"""),"P407046")</f>
        <v>P407046</v>
      </c>
      <c r="R43" s="1" t="str">
        <f>IFERROR(__xludf.DUMMYFUNCTION("""COMPUTED_VALUE"""),"MALIWAT, MARK")</f>
        <v>MALIWAT, MARK</v>
      </c>
      <c r="S43" s="1" t="str">
        <f>IFERROR(__xludf.DUMMYFUNCTION("""COMPUTED_VALUE"""),"FLA")</f>
        <v>FLA</v>
      </c>
      <c r="T43" s="1" t="str">
        <f>IFERROR(__xludf.DUMMYFUNCTION("""COMPUTED_VALUE"""),"JERIC NAVARRO")</f>
        <v>JERIC NAVARRO</v>
      </c>
      <c r="U43" s="1" t="str">
        <f>IFERROR(__xludf.DUMMYFUNCTION("""COMPUTED_VALUE"""),"JB SALIOA")</f>
        <v>JB SALIOA</v>
      </c>
      <c r="V43" s="1" t="str">
        <f>IFERROR(__xludf.DUMMYFUNCTION("""COMPUTED_VALUE"""),"BK REGULAR")</f>
        <v>BK REGULAR</v>
      </c>
      <c r="W43" s="1" t="str">
        <f>IFERROR(__xludf.DUMMYFUNCTION("""COMPUTED_VALUE"""),"STK REGULAR")</f>
        <v>STK REGULAR</v>
      </c>
      <c r="X43" s="1" t="str">
        <f>IFERROR(__xludf.DUMMYFUNCTION("""COMPUTED_VALUE"""),"REGULAR")</f>
        <v>REGULAR</v>
      </c>
      <c r="Y43" s="1" t="str">
        <f>IFERROR(__xludf.DUMMYFUNCTION("""COMPUTED_VALUE"""),"BK_CVEU_260802")</f>
        <v>BK_CVEU_260802</v>
      </c>
      <c r="Z43" s="1" t="str">
        <f>IFERROR(__xludf.DUMMYFUNCTION("""COMPUTED_VALUE"""),"NEW CONNECT")</f>
        <v>NEW CONNECT</v>
      </c>
      <c r="AA43" s="1">
        <f>IFERROR(__xludf.DUMMYFUNCTION("""COMPUTED_VALUE"""),639399106360)</f>
        <v>639399106360</v>
      </c>
      <c r="AB43" s="1">
        <f>IFERROR(__xludf.DUMMYFUNCTION("""COMPUTED_VALUE"""),639159351166)</f>
        <v>639159351166</v>
      </c>
      <c r="AC43" s="1">
        <f>IFERROR(__xludf.DUMMYFUNCTION("""COMPUTED_VALUE"""),9001)</f>
        <v>9001</v>
      </c>
      <c r="AD43" s="1" t="str">
        <f>IFERROR(__xludf.DUMMYFUNCTION("""COMPUTED_VALUE"""),"SITIO IMUS KASTILA")</f>
        <v>SITIO IMUS KASTILA</v>
      </c>
      <c r="AE43" s="1" t="str">
        <f>IFERROR(__xludf.DUMMYFUNCTION("""COMPUTED_VALUE"""),"PUROK 5")</f>
        <v>PUROK 5</v>
      </c>
      <c r="AF43" s="1" t="str">
        <f>IFERROR(__xludf.DUMMYFUNCTION("""COMPUTED_VALUE"""),"BGY KAYSUYO")</f>
        <v>BGY KAYSUYO</v>
      </c>
      <c r="AG43" s="1" t="str">
        <f>IFERROR(__xludf.DUMMYFUNCTION("""COMPUTED_VALUE"""),"ALFONSO")</f>
        <v>ALFONSO</v>
      </c>
      <c r="AH43" s="1" t="str">
        <f>IFERROR(__xludf.DUMMYFUNCTION("""COMPUTED_VALUE"""),"MANGAHAN SONYA")</f>
        <v>MANGAHAN SONYA</v>
      </c>
      <c r="AI43" s="1" t="str">
        <f>IFERROR(__xludf.DUMMYFUNCTION("""COMPUTED_VALUE"""),"CLUSTER 12")</f>
        <v>CLUSTER 12</v>
      </c>
    </row>
    <row r="44" customHeight="1" spans="1:35">
      <c r="A44" s="3">
        <f>IFERROR(__xludf.DUMMYFUNCTION("""COMPUTED_VALUE"""),46239)</f>
        <v>46239</v>
      </c>
      <c r="B44" s="1" t="str">
        <f>IFERROR(__xludf.DUMMYFUNCTION("""COMPUTED_VALUE"""),"KEVIN NUÑEZ SOLAYAO")</f>
        <v>KEVIN NUÑEZ SOLAYAO</v>
      </c>
      <c r="C44" s="1">
        <f>IFERROR(__xludf.DUMMYFUNCTION("""COMPUTED_VALUE"""),2311540419)</f>
        <v>2311540419</v>
      </c>
      <c r="D44" s="1">
        <f>IFERROR(__xludf.DUMMYFUNCTION("""COMPUTED_VALUE"""),406461165)</f>
        <v>406461165</v>
      </c>
      <c r="E44" s="1">
        <f>IFERROR(__xludf.DUMMYFUNCTION("""COMPUTED_VALUE"""),465288111004)</f>
        <v>465288111004</v>
      </c>
      <c r="F44" s="1" t="str">
        <f>IFERROR(__xludf.DUMMYFUNCTION("""COMPUTED_VALUE"""),"CANCELLED")</f>
        <v>CANCELLED</v>
      </c>
      <c r="G44" s="1" t="str">
        <f>IFERROR(__xludf.DUMMYFUNCTION("""COMPUTED_VALUE"""),"REMARKS   SITE VISITED   ASSIGN CAFAC NOT ON SITE TNZLP513NP4P5   NEAREST CAFAC   TNZLP120NP1 NO VACANT PORT TNZLP120NP2 NO VACANT PORT TNZLP120NP4 NO VACANT PORT TNZLP119NP8 NO VACANT PORT   SUBS ALREADY ADVISE   TOK   MA  AM MARITES MOTHER OF SOR")</f>
        <v>REMARKS   SITE VISITED   ASSIGN CAFAC NOT ON SITE TNZLP513NP4P5   NEAREST CAFAC   TNZLP120NP1 NO VACANT PORT TNZLP120NP2 NO VACANT PORT TNZLP120NP4 NO VACANT PORT TNZLP119NP8 NO VACANT PORT   SUBS ALREADY ADVISE   TOK   MA  AM MARITES MOTHER OF SOR</v>
      </c>
      <c r="H44" s="1"/>
      <c r="I44" s="1" t="str">
        <f>IFERROR(__xludf.DUMMYFUNCTION("""COMPUTED_VALUE"""),"WITH 1 AMSF")</f>
        <v>WITH 1 AMSF</v>
      </c>
      <c r="J44" s="1"/>
      <c r="K44" s="1" t="str">
        <f>IFERROR(__xludf.DUMMYFUNCTION("""COMPUTED_VALUE"""),"CANCELED")</f>
        <v>CANCELED</v>
      </c>
      <c r="L44" s="1" t="str">
        <f>IFERROR(__xludf.DUMMYFUNCTION("""COMPUTED_VALUE"""),"RPR - NAP FULL")</f>
        <v>RPR - NAP FULL</v>
      </c>
      <c r="M44" s="1" t="str">
        <f>IFERROR(__xludf.DUMMYFUNCTION("""COMPUTED_VALUE"""),"RPR- NAP FULL")</f>
        <v>RPR- NAP FULL</v>
      </c>
      <c r="N44" s="3"/>
      <c r="O44" s="1" t="str">
        <f>IFERROR(__xludf.DUMMYFUNCTION("""COMPUTED_VALUE"""),"FIBR PLAN 1299")</f>
        <v>FIBR PLAN 1299</v>
      </c>
      <c r="P44" s="1" t="str">
        <f>IFERROR(__xludf.DUMMYFUNCTION("""COMPUTED_VALUE"""),"LOWPLAN")</f>
        <v>LOWPLAN</v>
      </c>
      <c r="Q44" s="1" t="str">
        <f>IFERROR(__xludf.DUMMYFUNCTION("""COMPUTED_VALUE"""),"P407047")</f>
        <v>P407047</v>
      </c>
      <c r="R44" s="1" t="str">
        <f>IFERROR(__xludf.DUMMYFUNCTION("""COMPUTED_VALUE"""),"FRANCISCO, ROSELYN")</f>
        <v>FRANCISCO, ROSELYN</v>
      </c>
      <c r="S44" s="1" t="str">
        <f>IFERROR(__xludf.DUMMYFUNCTION("""COMPUTED_VALUE"""),"ORGANIC")</f>
        <v>ORGANIC</v>
      </c>
      <c r="T44" s="1" t="str">
        <f>IFERROR(__xludf.DUMMYFUNCTION("""COMPUTED_VALUE"""),"LEA REMOLLO")</f>
        <v>LEA REMOLLO</v>
      </c>
      <c r="U44" s="1" t="str">
        <f>IFERROR(__xludf.DUMMYFUNCTION("""COMPUTED_VALUE"""),"JB SALIOA")</f>
        <v>JB SALIOA</v>
      </c>
      <c r="V44" s="1" t="str">
        <f>IFERROR(__xludf.DUMMYFUNCTION("""COMPUTED_VALUE"""),"ONLINE/CRANFORD")</f>
        <v>ONLINE/CRANFORD</v>
      </c>
      <c r="W44" s="1" t="str">
        <f>IFERROR(__xludf.DUMMYFUNCTION("""COMPUTED_VALUE"""),"STK REGULAR")</f>
        <v>STK REGULAR</v>
      </c>
      <c r="X44" s="1" t="str">
        <f>IFERROR(__xludf.DUMMYFUNCTION("""COMPUTED_VALUE"""),"REGULAR")</f>
        <v>REGULAR</v>
      </c>
      <c r="Y44" s="1" t="str">
        <f>IFERROR(__xludf.DUMMYFUNCTION("""COMPUTED_VALUE"""),"RS_ONL_CVEU_2026")</f>
        <v>RS_ONL_CVEU_2026</v>
      </c>
      <c r="Z44" s="1" t="str">
        <f>IFERROR(__xludf.DUMMYFUNCTION("""COMPUTED_VALUE"""),"NEW CONNECT")</f>
        <v>NEW CONNECT</v>
      </c>
      <c r="AA44" s="1">
        <f>IFERROR(__xludf.DUMMYFUNCTION("""COMPUTED_VALUE"""),639757143739)</f>
        <v>639757143739</v>
      </c>
      <c r="AB44" s="1"/>
      <c r="AC44" s="1"/>
      <c r="AD44" s="1" t="str">
        <f>IFERROR(__xludf.DUMMYFUNCTION("""COMPUTED_VALUE"""),"A SORIANO")</f>
        <v>A SORIANO</v>
      </c>
      <c r="AE44" s="1" t="str">
        <f>IFERROR(__xludf.DUMMYFUNCTION("""COMPUTED_VALUE"""),"SITIO MATABOK")</f>
        <v>SITIO MATABOK</v>
      </c>
      <c r="AF44" s="1" t="str">
        <f>IFERROR(__xludf.DUMMYFUNCTION("""COMPUTED_VALUE"""),"BGY CALIBUYO")</f>
        <v>BGY CALIBUYO</v>
      </c>
      <c r="AG44" s="1" t="str">
        <f>IFERROR(__xludf.DUMMYFUNCTION("""COMPUTED_VALUE"""),"TANZA")</f>
        <v>TANZA</v>
      </c>
      <c r="AH44" s="1" t="str">
        <f>IFERROR(__xludf.DUMMYFUNCTION("""COMPUTED_VALUE"""),"MCY CONTAINER YARD")</f>
        <v>MCY CONTAINER YARD</v>
      </c>
      <c r="AI44" s="1" t="str">
        <f>IFERROR(__xludf.DUMMYFUNCTION("""COMPUTED_VALUE"""),"NOT AOR")</f>
        <v>NOT AOR</v>
      </c>
    </row>
    <row r="45" customHeight="1" spans="1:35">
      <c r="A45" s="3">
        <f>IFERROR(__xludf.DUMMYFUNCTION("""COMPUTED_VALUE"""),46239)</f>
        <v>46239</v>
      </c>
      <c r="B45" s="1" t="str">
        <f>IFERROR(__xludf.DUMMYFUNCTION("""COMPUTED_VALUE"""),"MILTES LEGASPI TEMPLADO")</f>
        <v>MILTES LEGASPI TEMPLADO</v>
      </c>
      <c r="C45" s="1">
        <f>IFERROR(__xludf.DUMMYFUNCTION("""COMPUTED_VALUE"""),2311549466)</f>
        <v>2311549466</v>
      </c>
      <c r="D45" s="1"/>
      <c r="E45" s="1"/>
      <c r="F45" s="1" t="str">
        <f>IFERROR(__xludf.DUMMYFUNCTION("""COMPUTED_VALUE"""),"CANCELLED")</f>
        <v>CANCELLED</v>
      </c>
      <c r="G45" s="1" t="str">
        <f>IFERROR(__xludf.DUMMYFUNCTION("""COMPUTED_VALUE"""),"CANNOT TAG DECISION IN CSP DUE TO CANNOT CHANGE THE PAYMENT REQUIRED | RETURN TO SALE | FOUND BLACKLIST ACC# 0384137075 SAME NAME DIFF ADD | WITH OB : PHP5,300.07 NEED TO SETTLE THE OB FIRST BEFORE PROCEED THE NW APPLICATION | DONE VALIDATION | CORRECT EN"&amp;"CODED INFO IN CSP | SUBMITTED COMPLETE DOCS | TU SCORING FF - 2 (NTC) | 1 AMSF REQUIRED")</f>
        <v>CANNOT TAG DECISION IN CSP DUE TO CANNOT CHANGE THE PAYMENT REQUIRED | RETURN TO SALE | FOUND BLACKLIST ACC# 0384137075 SAME NAME DIFF ADD | WITH OB : PHP5,300.07 NEED TO SETTLE THE OB FIRST BEFORE PROCEED THE NW APPLICATION | DONE VALIDATION | CORRECT ENCODED INFO IN CSP | SUBMITTED COMPLETE DOCS | TU SCORING FF - 2 (NTC) | 1 AMSF REQUIRED</v>
      </c>
      <c r="H45" s="1"/>
      <c r="I45" s="1"/>
      <c r="J45" s="1"/>
      <c r="K45" s="1"/>
      <c r="L45" s="1" t="str">
        <f>IFERROR(__xludf.DUMMYFUNCTION("""COMPUTED_VALUE"""),"CANCELLED - WITH OB")</f>
        <v>CANCELLED - WITH OB</v>
      </c>
      <c r="M45" s="1" t="str">
        <f>IFERROR(__xludf.DUMMYFUNCTION("""COMPUTED_VALUE"""),"CANCELLED - WITH OB")</f>
        <v>CANCELLED - WITH OB</v>
      </c>
      <c r="N45" s="3"/>
      <c r="O45" s="1" t="str">
        <f>IFERROR(__xludf.DUMMYFUNCTION("""COMPUTED_VALUE"""),"FIBR UNLI ALL PLAN 999")</f>
        <v>FIBR UNLI ALL PLAN 999</v>
      </c>
      <c r="P45" s="1" t="str">
        <f>IFERROR(__xludf.DUMMYFUNCTION("""COMPUTED_VALUE"""),"LOWPLAN")</f>
        <v>LOWPLAN</v>
      </c>
      <c r="Q45" s="1" t="str">
        <f>IFERROR(__xludf.DUMMYFUNCTION("""COMPUTED_VALUE"""),"P407050")</f>
        <v>P407050</v>
      </c>
      <c r="R45" s="1" t="str">
        <f>IFERROR(__xludf.DUMMYFUNCTION("""COMPUTED_VALUE"""),"CADERAO, RONALD")</f>
        <v>CADERAO, RONALD</v>
      </c>
      <c r="S45" s="1" t="str">
        <f>IFERROR(__xludf.DUMMYFUNCTION("""COMPUTED_VALUE"""),"ORGANIC")</f>
        <v>ORGANIC</v>
      </c>
      <c r="T45" s="1" t="str">
        <f>IFERROR(__xludf.DUMMYFUNCTION("""COMPUTED_VALUE"""),"LEA REMOLLO")</f>
        <v>LEA REMOLLO</v>
      </c>
      <c r="U45" s="1" t="str">
        <f>IFERROR(__xludf.DUMMYFUNCTION("""COMPUTED_VALUE"""),"JB SALIOA")</f>
        <v>JB SALIOA</v>
      </c>
      <c r="V45" s="1" t="str">
        <f>IFERROR(__xludf.DUMMYFUNCTION("""COMPUTED_VALUE"""),"BK REGULAR")</f>
        <v>BK REGULAR</v>
      </c>
      <c r="W45" s="1" t="str">
        <f>IFERROR(__xludf.DUMMYFUNCTION("""COMPUTED_VALUE"""),"STK REGULAR")</f>
        <v>STK REGULAR</v>
      </c>
      <c r="X45" s="1" t="str">
        <f>IFERROR(__xludf.DUMMYFUNCTION("""COMPUTED_VALUE"""),"REGULAR")</f>
        <v>REGULAR</v>
      </c>
      <c r="Y45" s="1" t="str">
        <f>IFERROR(__xludf.DUMMYFUNCTION("""COMPUTED_VALUE"""),"BK_CVEU_260801")</f>
        <v>BK_CVEU_260801</v>
      </c>
      <c r="Z45" s="1" t="str">
        <f>IFERROR(__xludf.DUMMYFUNCTION("""COMPUTED_VALUE"""),"NEW CONNECT")</f>
        <v>NEW CONNECT</v>
      </c>
      <c r="AA45" s="1">
        <f>IFERROR(__xludf.DUMMYFUNCTION("""COMPUTED_VALUE"""),639708670285)</f>
        <v>639708670285</v>
      </c>
      <c r="AB45" s="1"/>
      <c r="AC45" s="1">
        <f>IFERROR(__xludf.DUMMYFUNCTION("""COMPUTED_VALUE"""),139)</f>
        <v>139</v>
      </c>
      <c r="AD45" s="1" t="str">
        <f>IFERROR(__xludf.DUMMYFUNCTION("""COMPUTED_VALUE"""),"RIZAL")</f>
        <v>RIZAL</v>
      </c>
      <c r="AE45" s="1"/>
      <c r="AF45" s="1" t="str">
        <f>IFERROR(__xludf.DUMMYFUNCTION("""COMPUTED_VALUE"""),"BGY 3")</f>
        <v>BGY 3</v>
      </c>
      <c r="AG45" s="1" t="str">
        <f>IFERROR(__xludf.DUMMYFUNCTION("""COMPUTED_VALUE"""),"ALFONSO")</f>
        <v>ALFONSO</v>
      </c>
      <c r="AH45" s="1" t="str">
        <f>IFERROR(__xludf.DUMMYFUNCTION("""COMPUTED_VALUE"""),"INFRONT OF POB 3 HALL ")</f>
        <v>INFRONT OF POB 3 HALL </v>
      </c>
      <c r="AI45" s="1" t="str">
        <f>IFERROR(__xludf.DUMMYFUNCTION("""COMPUTED_VALUE"""),"CLUSTER 12")</f>
        <v>CLUSTER 12</v>
      </c>
    </row>
    <row r="46" customHeight="1" spans="1:35">
      <c r="A46" s="3">
        <f>IFERROR(__xludf.DUMMYFUNCTION("""COMPUTED_VALUE"""),46239)</f>
        <v>46239</v>
      </c>
      <c r="B46" s="1" t="str">
        <f>IFERROR(__xludf.DUMMYFUNCTION("""COMPUTED_VALUE"""),"PAMELA CHRISTELLE MARQUEZ LECAROS")</f>
        <v>PAMELA CHRISTELLE MARQUEZ LECAROS</v>
      </c>
      <c r="C46" s="1">
        <f>IFERROR(__xludf.DUMMYFUNCTION("""COMPUTED_VALUE"""),2311550682)</f>
        <v>2311550682</v>
      </c>
      <c r="D46" s="1">
        <f>IFERROR(__xludf.DUMMYFUNCTION("""COMPUTED_VALUE"""),406470091)</f>
        <v>406470091</v>
      </c>
      <c r="E46" s="1">
        <f>IFERROR(__xludf.DUMMYFUNCTION("""COMPUTED_VALUE"""),465309801004)</f>
        <v>465309801004</v>
      </c>
      <c r="F46" s="1" t="str">
        <f>IFERROR(__xludf.DUMMYFUNCTION("""COMPUTED_VALUE"""),"CANCELLED")</f>
        <v>CANCELLED</v>
      </c>
      <c r="G46" s="1" t="str">
        <f>IFERROR(__xludf.DUMMYFUNCTION("""COMPUTED_VALUE"""),"NO PLDT FIBER FACILITIES AT CAMELLA ALAPAN 2B COORDINATED TO 176 TIN ADVICE SUBS THRU CALL")</f>
        <v>NO PLDT FIBER FACILITIES AT CAMELLA ALAPAN 2B COORDINATED TO 176 TIN ADVICE SUBS THRU CALL</v>
      </c>
      <c r="H46" s="1"/>
      <c r="I46" s="1"/>
      <c r="J46" s="1"/>
      <c r="K46" s="1" t="str">
        <f>IFERROR(__xludf.DUMMYFUNCTION("""COMPUTED_VALUE"""),"CANCELED")</f>
        <v>CANCELED</v>
      </c>
      <c r="L46" s="1" t="str">
        <f>IFERROR(__xludf.DUMMYFUNCTION("""COMPUTED_VALUE"""),"RPR - NAP FULL")</f>
        <v>RPR - NAP FULL</v>
      </c>
      <c r="M46" s="1" t="str">
        <f>IFERROR(__xludf.DUMMYFUNCTION("""COMPUTED_VALUE"""),"RPR- NAP FULL")</f>
        <v>RPR- NAP FULL</v>
      </c>
      <c r="N46" s="3"/>
      <c r="O46" s="1" t="str">
        <f>IFERROR(__xludf.DUMMYFUNCTION("""COMPUTED_VALUE"""),"FIBR PLAN 1299")</f>
        <v>FIBR PLAN 1299</v>
      </c>
      <c r="P46" s="1" t="str">
        <f>IFERROR(__xludf.DUMMYFUNCTION("""COMPUTED_VALUE"""),"LOWPLAN")</f>
        <v>LOWPLAN</v>
      </c>
      <c r="Q46" s="1" t="str">
        <f>IFERROR(__xludf.DUMMYFUNCTION("""COMPUTED_VALUE"""),"P407047")</f>
        <v>P407047</v>
      </c>
      <c r="R46" s="1" t="str">
        <f>IFERROR(__xludf.DUMMYFUNCTION("""COMPUTED_VALUE"""),"FRANCISCO, ROSELYN")</f>
        <v>FRANCISCO, ROSELYN</v>
      </c>
      <c r="S46" s="1" t="str">
        <f>IFERROR(__xludf.DUMMYFUNCTION("""COMPUTED_VALUE"""),"ORGANIC")</f>
        <v>ORGANIC</v>
      </c>
      <c r="T46" s="1" t="str">
        <f>IFERROR(__xludf.DUMMYFUNCTION("""COMPUTED_VALUE"""),"LEA REMOLLO")</f>
        <v>LEA REMOLLO</v>
      </c>
      <c r="U46" s="1" t="str">
        <f>IFERROR(__xludf.DUMMYFUNCTION("""COMPUTED_VALUE"""),"JB SALIOA")</f>
        <v>JB SALIOA</v>
      </c>
      <c r="V46" s="1" t="str">
        <f>IFERROR(__xludf.DUMMYFUNCTION("""COMPUTED_VALUE"""),"ONLINE/CRANFORD")</f>
        <v>ONLINE/CRANFORD</v>
      </c>
      <c r="W46" s="1" t="str">
        <f>IFERROR(__xludf.DUMMYFUNCTION("""COMPUTED_VALUE"""),"STK REGULAR")</f>
        <v>STK REGULAR</v>
      </c>
      <c r="X46" s="1" t="str">
        <f>IFERROR(__xludf.DUMMYFUNCTION("""COMPUTED_VALUE"""),"REGULAR")</f>
        <v>REGULAR</v>
      </c>
      <c r="Y46" s="1" t="str">
        <f>IFERROR(__xludf.DUMMYFUNCTION("""COMPUTED_VALUE"""),"RS_ONL_CVEU_2026")</f>
        <v>RS_ONL_CVEU_2026</v>
      </c>
      <c r="Z46" s="1" t="str">
        <f>IFERROR(__xludf.DUMMYFUNCTION("""COMPUTED_VALUE"""),"NEW CONNECT")</f>
        <v>NEW CONNECT</v>
      </c>
      <c r="AA46" s="1">
        <f>IFERROR(__xludf.DUMMYFUNCTION("""COMPUTED_VALUE"""),639369296165)</f>
        <v>639369296165</v>
      </c>
      <c r="AB46" s="1">
        <f>IFERROR(__xludf.DUMMYFUNCTION("""COMPUTED_VALUE"""),639158570569)</f>
        <v>639158570569</v>
      </c>
      <c r="AC46" s="1"/>
      <c r="AD46" s="1" t="str">
        <f>IFERROR(__xludf.DUMMYFUNCTION("""COMPUTED_VALUE"""),"CAMELLA BUCANDALA")</f>
        <v>CAMELLA BUCANDALA</v>
      </c>
      <c r="AE46" s="1" t="str">
        <f>IFERROR(__xludf.DUMMYFUNCTION("""COMPUTED_VALUE"""),"CAMELLA BUCANDALA PHASE 4")</f>
        <v>CAMELLA BUCANDALA PHASE 4</v>
      </c>
      <c r="AF46" s="1" t="str">
        <f>IFERROR(__xludf.DUMMYFUNCTION("""COMPUTED_VALUE"""),"BGY ALAPAN 2-B")</f>
        <v>BGY ALAPAN 2-B</v>
      </c>
      <c r="AG46" s="1" t="str">
        <f>IFERROR(__xludf.DUMMYFUNCTION("""COMPUTED_VALUE"""),"IMUS")</f>
        <v>IMUS</v>
      </c>
      <c r="AH46" s="1" t="str">
        <f>IFERROR(__xludf.DUMMYFUNCTION("""COMPUTED_VALUE"""),"PHASE 4")</f>
        <v>PHASE 4</v>
      </c>
      <c r="AI46" s="1" t="str">
        <f>IFERROR(__xludf.DUMMYFUNCTION("""COMPUTED_VALUE"""),"NOT AOR")</f>
        <v>NOT AOR</v>
      </c>
    </row>
    <row r="47" customHeight="1" spans="1:35">
      <c r="A47" s="3">
        <f>IFERROR(__xludf.DUMMYFUNCTION("""COMPUTED_VALUE"""),46239)</f>
        <v>46239</v>
      </c>
      <c r="B47" s="1" t="str">
        <f>IFERROR(__xludf.DUMMYFUNCTION("""COMPUTED_VALUE"""),"JOHN RAY MARQUEZ LECAROS")</f>
        <v>JOHN RAY MARQUEZ LECAROS</v>
      </c>
      <c r="C47" s="1">
        <f>IFERROR(__xludf.DUMMYFUNCTION("""COMPUTED_VALUE"""),2311551460)</f>
        <v>2311551460</v>
      </c>
      <c r="D47" s="1"/>
      <c r="E47" s="1"/>
      <c r="F47" s="1" t="str">
        <f>IFERROR(__xludf.DUMMYFUNCTION("""COMPUTED_VALUE"""),"CANCELLED")</f>
        <v>CANCELLED</v>
      </c>
      <c r="G47" s="1" t="str">
        <f>IFERROR(__xludf.DUMMYFUNCTION("""COMPUTED_VALUE"""),"(CANNOT BE CONTACTED AFTER 3 CALL ATTEMPTS MADE THE ENTIRE DAY) DISAPPROVED | DONE VALIDATION | CORRECT ENCODED IN CSP | COMPLETE DOCS SUBMITTED | TU - EE - 12 (LOW RISK) | WAIVED 1 AMSF REQUIRED | CLEARED FROM BLACKLISTED HIT | FOUND CANCELLED ACC# 03866"&amp;"14350 UNDER SAME NAME DIFF ADD - FOUND PENDING ACC# 0406212718 0406413071 UNDER SAME NAME SAME ADD, ACC# 0388624132 UNDER SAME NAME DIFF ADD - CALL THRU: 09394835354 Aug 6 26, 10:54:39 : Aug 6, 2026, 12:24 PM Aug 6, 2026, 05:21 PM | UNCONTACTED |")</f>
        <v>(CANNOT BE CONTACTED AFTER 3 CALL ATTEMPTS MADE THE ENTIRE DAY) DISAPPROVED | DONE VALIDATION | CORRECT ENCODED IN CSP | COMPLETE DOCS SUBMITTED | TU - EE - 12 (LOW RISK) | WAIVED 1 AMSF REQUIRED | CLEARED FROM BLACKLISTED HIT | FOUND CANCELLED ACC# 0386614350 UNDER SAME NAME DIFF ADD - FOUND PENDING ACC# 0406212718 0406413071 UNDER SAME NAME SAME ADD, ACC# 0388624132 UNDER SAME NAME DIFF ADD - CALL THRU: 09394835354 Aug 6 26, 10:54:39 : Aug 6, 2026, 12:24 PM Aug 6, 2026, 05:21 PM | UNCONTACTED |</v>
      </c>
      <c r="H47" s="1"/>
      <c r="I47" s="1"/>
      <c r="J47" s="1"/>
      <c r="K47" s="1"/>
      <c r="L47" s="1" t="str">
        <f>IFERROR(__xludf.DUMMYFUNCTION("""COMPUTED_VALUE"""),"CANCELLED")</f>
        <v>CANCELLED</v>
      </c>
      <c r="M47" s="1" t="str">
        <f>IFERROR(__xludf.DUMMYFUNCTION("""COMPUTED_VALUE"""),"CANCELLED - WITH OB")</f>
        <v>CANCELLED - WITH OB</v>
      </c>
      <c r="N47" s="3"/>
      <c r="O47" s="1" t="str">
        <f>IFERROR(__xludf.DUMMYFUNCTION("""COMPUTED_VALUE"""),"FIBR PLAN 2099")</f>
        <v>FIBR PLAN 2099</v>
      </c>
      <c r="P47" s="1" t="str">
        <f>IFERROR(__xludf.DUMMYFUNCTION("""COMPUTED_VALUE"""),"HIGHPLAN")</f>
        <v>HIGHPLAN</v>
      </c>
      <c r="Q47" s="1" t="str">
        <f>IFERROR(__xludf.DUMMYFUNCTION("""COMPUTED_VALUE"""),"P407046")</f>
        <v>P407046</v>
      </c>
      <c r="R47" s="1" t="str">
        <f>IFERROR(__xludf.DUMMYFUNCTION("""COMPUTED_VALUE"""),"MALIWAT, MARK")</f>
        <v>MALIWAT, MARK</v>
      </c>
      <c r="S47" s="1" t="str">
        <f>IFERROR(__xludf.DUMMYFUNCTION("""COMPUTED_VALUE"""),"FLA")</f>
        <v>FLA</v>
      </c>
      <c r="T47" s="1" t="str">
        <f>IFERROR(__xludf.DUMMYFUNCTION("""COMPUTED_VALUE"""),"JERIC NAVARRO")</f>
        <v>JERIC NAVARRO</v>
      </c>
      <c r="U47" s="1" t="str">
        <f>IFERROR(__xludf.DUMMYFUNCTION("""COMPUTED_VALUE"""),"JB SALIOA")</f>
        <v>JB SALIOA</v>
      </c>
      <c r="V47" s="1" t="str">
        <f>IFERROR(__xludf.DUMMYFUNCTION("""COMPUTED_VALUE"""),"ONLINE/CRANFORD")</f>
        <v>ONLINE/CRANFORD</v>
      </c>
      <c r="W47" s="1" t="str">
        <f>IFERROR(__xludf.DUMMYFUNCTION("""COMPUTED_VALUE"""),"STK REGULAR")</f>
        <v>STK REGULAR</v>
      </c>
      <c r="X47" s="1" t="str">
        <f>IFERROR(__xludf.DUMMYFUNCTION("""COMPUTED_VALUE"""),"REGULAR")</f>
        <v>REGULAR</v>
      </c>
      <c r="Y47" s="1" t="str">
        <f>IFERROR(__xludf.DUMMYFUNCTION("""COMPUTED_VALUE"""),"RS_ONL_CVEU_2026")</f>
        <v>RS_ONL_CVEU_2026</v>
      </c>
      <c r="Z47" s="1" t="str">
        <f>IFERROR(__xludf.DUMMYFUNCTION("""COMPUTED_VALUE"""),"NEW CONNECT")</f>
        <v>NEW CONNECT</v>
      </c>
      <c r="AA47" s="1">
        <f>IFERROR(__xludf.DUMMYFUNCTION("""COMPUTED_VALUE"""),639394835354)</f>
        <v>639394835354</v>
      </c>
      <c r="AB47" s="1"/>
      <c r="AC47" s="1"/>
      <c r="AD47" s="1" t="str">
        <f>IFERROR(__xludf.DUMMYFUNCTION("""COMPUTED_VALUE"""),"PHASE 2")</f>
        <v>PHASE 2</v>
      </c>
      <c r="AE47" s="1" t="str">
        <f>IFERROR(__xludf.DUMMYFUNCTION("""COMPUTED_VALUE"""),"TIERRA VISTA")</f>
        <v>TIERRA VISTA</v>
      </c>
      <c r="AF47" s="1" t="str">
        <f>IFERROR(__xludf.DUMMYFUNCTION("""COMPUTED_VALUE"""),"BGY SANTIAGO")</f>
        <v>BGY SANTIAGO</v>
      </c>
      <c r="AG47" s="1" t="str">
        <f>IFERROR(__xludf.DUMMYFUNCTION("""COMPUTED_VALUE"""),"GENERAL TRIAS")</f>
        <v>GENERAL TRIAS</v>
      </c>
      <c r="AH47" s="1" t="str">
        <f>IFERROR(__xludf.DUMMYFUNCTION("""COMPUTED_VALUE"""),"7/11")</f>
        <v>7/11</v>
      </c>
      <c r="AI47" s="1" t="str">
        <f>IFERROR(__xludf.DUMMYFUNCTION("""COMPUTED_VALUE"""),"NOT AOR")</f>
        <v>NOT AOR</v>
      </c>
    </row>
    <row r="48" customHeight="1" spans="1:35">
      <c r="A48" s="3">
        <f>IFERROR(__xludf.DUMMYFUNCTION("""COMPUTED_VALUE"""),46239)</f>
        <v>46239</v>
      </c>
      <c r="B48" s="1" t="str">
        <f>IFERROR(__xludf.DUMMYFUNCTION("""COMPUTED_VALUE"""),"ROD STEPHEN KOBAYASHI BUENAOBRA")</f>
        <v>ROD STEPHEN KOBAYASHI BUENAOBRA</v>
      </c>
      <c r="C48" s="1">
        <f>IFERROR(__xludf.DUMMYFUNCTION("""COMPUTED_VALUE"""),2311551897)</f>
        <v>2311551897</v>
      </c>
      <c r="D48" s="1">
        <f>IFERROR(__xludf.DUMMYFUNCTION("""COMPUTED_VALUE"""),406488764)</f>
        <v>406488764</v>
      </c>
      <c r="E48" s="1">
        <f>IFERROR(__xludf.DUMMYFUNCTION("""COMPUTED_VALUE"""),465377415004)</f>
        <v>465377415004</v>
      </c>
      <c r="F48" s="1" t="str">
        <f>IFERROR(__xludf.DUMMYFUNCTION("""COMPUTED_VALUE"""),"CLOSED")</f>
        <v>CLOSED</v>
      </c>
      <c r="G48" s="1" t="str">
        <f>IFERROR(__xludf.DUMMYFUNCTION("""COMPUTED_VALUE"""),"CLOSED")</f>
        <v>CLOSED</v>
      </c>
      <c r="H48" s="1" t="str">
        <f>IFERROR(__xludf.DUMMYFUNCTION("""COMPUTED_VALUE"""),"PDNOR000366244	17-Aug-26	Regular Payment	PLDT SSC Tagaytay Kiosk	2,550.00	0	17-Aug-26")</f>
        <v>PDNOR000366244	17-Aug-26	Regular Payment	PLDT SSC Tagaytay Kiosk	2,550.00	0	17-Aug-26</v>
      </c>
      <c r="I48" s="1" t="str">
        <f>IFERROR(__xludf.DUMMYFUNCTION("""COMPUTED_VALUE"""),"WITH 1 AMSF")</f>
        <v>WITH 1 AMSF</v>
      </c>
      <c r="J48" s="1"/>
      <c r="K48" s="1" t="str">
        <f>IFERROR(__xludf.DUMMYFUNCTION("""COMPUTED_VALUE"""),"COMPLETED")</f>
        <v>COMPLETED</v>
      </c>
      <c r="L48" s="1" t="str">
        <f>IFERROR(__xludf.DUMMYFUNCTION("""COMPUTED_VALUE"""),"POSTED")</f>
        <v>POSTED</v>
      </c>
      <c r="M48" s="1" t="str">
        <f>IFERROR(__xludf.DUMMYFUNCTION("""COMPUTED_VALUE"""),"POSTED")</f>
        <v>POSTED</v>
      </c>
      <c r="N48" s="3">
        <f>IFERROR(__xludf.DUMMYFUNCTION("""COMPUTED_VALUE"""),46244)</f>
        <v>46244</v>
      </c>
      <c r="O48" s="1" t="str">
        <f>IFERROR(__xludf.DUMMYFUNCTION("""COMPUTED_VALUE"""),"FIBR PLAN 2099")</f>
        <v>FIBR PLAN 2099</v>
      </c>
      <c r="P48" s="1" t="str">
        <f>IFERROR(__xludf.DUMMYFUNCTION("""COMPUTED_VALUE"""),"HIGHPLAN")</f>
        <v>HIGHPLAN</v>
      </c>
      <c r="Q48" s="1" t="str">
        <f>IFERROR(__xludf.DUMMYFUNCTION("""COMPUTED_VALUE"""),"P407050")</f>
        <v>P407050</v>
      </c>
      <c r="R48" s="1" t="str">
        <f>IFERROR(__xludf.DUMMYFUNCTION("""COMPUTED_VALUE"""),"CADERAO, RONALD")</f>
        <v>CADERAO, RONALD</v>
      </c>
      <c r="S48" s="1" t="str">
        <f>IFERROR(__xludf.DUMMYFUNCTION("""COMPUTED_VALUE"""),"ORGANIC")</f>
        <v>ORGANIC</v>
      </c>
      <c r="T48" s="1" t="str">
        <f>IFERROR(__xludf.DUMMYFUNCTION("""COMPUTED_VALUE"""),"LEA REMOLLO")</f>
        <v>LEA REMOLLO</v>
      </c>
      <c r="U48" s="1" t="str">
        <f>IFERROR(__xludf.DUMMYFUNCTION("""COMPUTED_VALUE"""),"JB SALIOA")</f>
        <v>JB SALIOA</v>
      </c>
      <c r="V48" s="1" t="str">
        <f>IFERROR(__xludf.DUMMYFUNCTION("""COMPUTED_VALUE"""),"BK REGULAR")</f>
        <v>BK REGULAR</v>
      </c>
      <c r="W48" s="1" t="str">
        <f>IFERROR(__xludf.DUMMYFUNCTION("""COMPUTED_VALUE"""),"STK REGULAR")</f>
        <v>STK REGULAR</v>
      </c>
      <c r="X48" s="1" t="str">
        <f>IFERROR(__xludf.DUMMYFUNCTION("""COMPUTED_VALUE"""),"REGULAR")</f>
        <v>REGULAR</v>
      </c>
      <c r="Y48" s="1" t="str">
        <f>IFERROR(__xludf.DUMMYFUNCTION("""COMPUTED_VALUE"""),"BK_CVEU_260805")</f>
        <v>BK_CVEU_260805</v>
      </c>
      <c r="Z48" s="1" t="str">
        <f>IFERROR(__xludf.DUMMYFUNCTION("""COMPUTED_VALUE"""),"NEW CONNECT")</f>
        <v>NEW CONNECT</v>
      </c>
      <c r="AA48" s="1">
        <f>IFERROR(__xludf.DUMMYFUNCTION("""COMPUTED_VALUE"""),639056173115)</f>
        <v>639056173115</v>
      </c>
      <c r="AB48" s="1"/>
      <c r="AC48" s="1">
        <f>IFERROR(__xludf.DUMMYFUNCTION("""COMPUTED_VALUE"""),13)</f>
        <v>13</v>
      </c>
      <c r="AD48" s="1" t="str">
        <f>IFERROR(__xludf.DUMMYFUNCTION("""COMPUTED_VALUE"""),"P CUADRA")</f>
        <v>P CUADRA</v>
      </c>
      <c r="AE48" s="1"/>
      <c r="AF48" s="1" t="str">
        <f>IFERROR(__xludf.DUMMYFUNCTION("""COMPUTED_VALUE"""),"BGY ANULING LEJOS 2")</f>
        <v>BGY ANULING LEJOS 2</v>
      </c>
      <c r="AG48" s="1" t="str">
        <f>IFERROR(__xludf.DUMMYFUNCTION("""COMPUTED_VALUE"""),"MENDEZ")</f>
        <v>MENDEZ</v>
      </c>
      <c r="AH48" s="1" t="str">
        <f>IFERROR(__xludf.DUMMYFUNCTION("""COMPUTED_VALUE"""),"SWEET CAROLINE RESORT")</f>
        <v>SWEET CAROLINE RESORT</v>
      </c>
      <c r="AI48" s="1" t="str">
        <f>IFERROR(__xludf.DUMMYFUNCTION("""COMPUTED_VALUE"""),"CLUSTER 12")</f>
        <v>CLUSTER 12</v>
      </c>
    </row>
    <row r="49" customHeight="1" spans="1:35">
      <c r="A49" s="3">
        <f>IFERROR(__xludf.DUMMYFUNCTION("""COMPUTED_VALUE"""),46239)</f>
        <v>46239</v>
      </c>
      <c r="B49" s="1" t="str">
        <f>IFERROR(__xludf.DUMMYFUNCTION("""COMPUTED_VALUE"""),"JESSIE BOY SALANGSANG ARIOLA")</f>
        <v>JESSIE BOY SALANGSANG ARIOLA</v>
      </c>
      <c r="C49" s="1">
        <f>IFERROR(__xludf.DUMMYFUNCTION("""COMPUTED_VALUE"""),2311552252)</f>
        <v>2311552252</v>
      </c>
      <c r="D49" s="1"/>
      <c r="E49" s="1"/>
      <c r="F49" s="1" t="str">
        <f>IFERROR(__xludf.DUMMYFUNCTION("""COMPUTED_VALUE"""),"CANCELLED")</f>
        <v>CANCELLED</v>
      </c>
      <c r="G49" s="1" t="str">
        <f>IFERROR(__xludf.DUMMYFUNCTION("""COMPUTED_VALUE"""),"&amp;#8203; CANNOT TAG DECISION DUE TO WITH SYSTEM ERROR- UNABLE TO CHANGE PAYMENT REQUIRED IN CSP | RETURNED TO SALES | FOUND WITH MULTIPLE BLACKLISTED ACCT (0261266660 WITH OB:PHP6,187.07) (0261283182 WITH OB: PHP9,120.80) SAME NAME, SAME DOB FOR SETTLEMENT"&amp;" |NO EXISTING ACTIVE ACCT AND/ OR PENDING APPLICATION | DONE VALIDATION WITH SUBMITTED COMPLETE DOCS| CORRECT ENCODED INFO IN CSP | WITH 1 AMSF REQUIREMENTS (FF - 1 (NTC))")</f>
        <v>&amp;#8203; CANNOT TAG DECISION DUE TO WITH SYSTEM ERROR- UNABLE TO CHANGE PAYMENT REQUIRED IN CSP | RETURNED TO SALES | FOUND WITH MULTIPLE BLACKLISTED ACCT (0261266660 WITH OB:PHP6,187.07) (0261283182 WITH OB: PHP9,120.80) SAME NAME, SAME DOB FOR SETTLEMENT |NO EXISTING ACTIVE ACCT AND/ OR PENDING APPLICATION | DONE VALIDATION WITH SUBMITTED COMPLETE DOCS| CORRECT ENCODED INFO IN CSP | WITH 1 AMSF REQUIREMENTS (FF - 1 (NTC))</v>
      </c>
      <c r="H49" s="1"/>
      <c r="I49" s="1"/>
      <c r="J49" s="1"/>
      <c r="K49" s="1"/>
      <c r="L49" s="1" t="str">
        <f>IFERROR(__xludf.DUMMYFUNCTION("""COMPUTED_VALUE"""),"CANCELLED")</f>
        <v>CANCELLED</v>
      </c>
      <c r="M49" s="1" t="str">
        <f>IFERROR(__xludf.DUMMYFUNCTION("""COMPUTED_VALUE"""),"CANCELLED - WITH OB")</f>
        <v>CANCELLED - WITH OB</v>
      </c>
      <c r="N49" s="3"/>
      <c r="O49" s="1" t="str">
        <f>IFERROR(__xludf.DUMMYFUNCTION("""COMPUTED_VALUE"""),"FIBR PLAN 1299")</f>
        <v>FIBR PLAN 1299</v>
      </c>
      <c r="P49" s="1" t="str">
        <f>IFERROR(__xludf.DUMMYFUNCTION("""COMPUTED_VALUE"""),"LOWPLAN")</f>
        <v>LOWPLAN</v>
      </c>
      <c r="Q49" s="1" t="str">
        <f>IFERROR(__xludf.DUMMYFUNCTION("""COMPUTED_VALUE"""),"P407050")</f>
        <v>P407050</v>
      </c>
      <c r="R49" s="1" t="str">
        <f>IFERROR(__xludf.DUMMYFUNCTION("""COMPUTED_VALUE"""),"IVNO, RAZZEL")</f>
        <v>IVNO, RAZZEL</v>
      </c>
      <c r="S49" s="1" t="str">
        <f>IFERROR(__xludf.DUMMYFUNCTION("""COMPUTED_VALUE"""),"ORGANIC")</f>
        <v>ORGANIC</v>
      </c>
      <c r="T49" s="1" t="str">
        <f>IFERROR(__xludf.DUMMYFUNCTION("""COMPUTED_VALUE"""),"LEA REMOLLO")</f>
        <v>LEA REMOLLO</v>
      </c>
      <c r="U49" s="1" t="str">
        <f>IFERROR(__xludf.DUMMYFUNCTION("""COMPUTED_VALUE"""),"JB SALIOA")</f>
        <v>JB SALIOA</v>
      </c>
      <c r="V49" s="1" t="str">
        <f>IFERROR(__xludf.DUMMYFUNCTION("""COMPUTED_VALUE"""),"BK REGULAR")</f>
        <v>BK REGULAR</v>
      </c>
      <c r="W49" s="1" t="str">
        <f>IFERROR(__xludf.DUMMYFUNCTION("""COMPUTED_VALUE"""),"STK REGULAR")</f>
        <v>STK REGULAR</v>
      </c>
      <c r="X49" s="1" t="str">
        <f>IFERROR(__xludf.DUMMYFUNCTION("""COMPUTED_VALUE"""),"REGULAR")</f>
        <v>REGULAR</v>
      </c>
      <c r="Y49" s="1" t="str">
        <f>IFERROR(__xludf.DUMMYFUNCTION("""COMPUTED_VALUE"""),"BK_CVEU_260807")</f>
        <v>BK_CVEU_260807</v>
      </c>
      <c r="Z49" s="1" t="str">
        <f>IFERROR(__xludf.DUMMYFUNCTION("""COMPUTED_VALUE"""),"NEW CONNECT")</f>
        <v>NEW CONNECT</v>
      </c>
      <c r="AA49" s="1">
        <f>IFERROR(__xludf.DUMMYFUNCTION("""COMPUTED_VALUE"""),639171661799)</f>
        <v>639171661799</v>
      </c>
      <c r="AB49" s="1">
        <f>IFERROR(__xludf.DUMMYFUNCTION("""COMPUTED_VALUE"""),639289700873)</f>
        <v>639289700873</v>
      </c>
      <c r="AC49" s="1">
        <f>IFERROR(__xludf.DUMMYFUNCTION("""COMPUTED_VALUE"""),10)</f>
        <v>10</v>
      </c>
      <c r="AD49" s="1" t="str">
        <f>IFERROR(__xludf.DUMMYFUNCTION("""COMPUTED_VALUE"""),"MAGLABE")</f>
        <v>MAGLABE</v>
      </c>
      <c r="AE49" s="1"/>
      <c r="AF49" s="1" t="str">
        <f>IFERROR(__xludf.DUMMYFUNCTION("""COMPUTED_VALUE"""),"BGY GUINHAWA SOUTH")</f>
        <v>BGY GUINHAWA SOUTH</v>
      </c>
      <c r="AG49" s="1" t="str">
        <f>IFERROR(__xludf.DUMMYFUNCTION("""COMPUTED_VALUE"""),"TAGAYTAY")</f>
        <v>TAGAYTAY</v>
      </c>
      <c r="AH49" s="1" t="str">
        <f>IFERROR(__xludf.DUMMYFUNCTION("""COMPUTED_VALUE"""),"ANTONIA BAKERY ")</f>
        <v>ANTONIA BAKERY </v>
      </c>
      <c r="AI49" s="1" t="str">
        <f>IFERROR(__xludf.DUMMYFUNCTION("""COMPUTED_VALUE"""),"CLUSTER 12")</f>
        <v>CLUSTER 12</v>
      </c>
    </row>
    <row r="50" customHeight="1" spans="1:35">
      <c r="A50" s="3">
        <f>IFERROR(__xludf.DUMMYFUNCTION("""COMPUTED_VALUE"""),46239)</f>
        <v>46239</v>
      </c>
      <c r="B50" s="1" t="str">
        <f>IFERROR(__xludf.DUMMYFUNCTION("""COMPUTED_VALUE"""),"AERON BRIXTER LOPEZ AURE")</f>
        <v>AERON BRIXTER LOPEZ AURE</v>
      </c>
      <c r="C50" s="1">
        <f>IFERROR(__xludf.DUMMYFUNCTION("""COMPUTED_VALUE"""),2311552826)</f>
        <v>2311552826</v>
      </c>
      <c r="D50" s="1">
        <f>IFERROR(__xludf.DUMMYFUNCTION("""COMPUTED_VALUE"""),406462242)</f>
        <v>406462242</v>
      </c>
      <c r="E50" s="1">
        <f>IFERROR(__xludf.DUMMYFUNCTION("""COMPUTED_VALUE"""),465289110004)</f>
        <v>465289110004</v>
      </c>
      <c r="F50" s="1" t="str">
        <f>IFERROR(__xludf.DUMMYFUNCTION("""COMPUTED_VALUE"""),"CLOSED")</f>
        <v>CLOSED</v>
      </c>
      <c r="G50" s="1" t="str">
        <f>IFERROR(__xludf.DUMMYFUNCTION("""COMPUTED_VALUE"""),"CLOSED")</f>
        <v>CLOSED</v>
      </c>
      <c r="H50" s="1" t="str">
        <f>IFERROR(__xludf.DUMMYFUNCTION("""COMPUTED_VALUE"""),"PQGOR362495497	01-Sep-26	Regular Payment	PLDT Pay Express-Web-App credit	1,808.62	941317158	01-Sep-26")</f>
        <v>PQGOR362495497	01-Sep-26	Regular Payment	PLDT Pay Express-Web-App credit	1,808.62	941317158	01-Sep-26</v>
      </c>
      <c r="I50" s="1" t="str">
        <f>IFERROR(__xludf.DUMMYFUNCTION("""COMPUTED_VALUE"""),"WITH 1 AMSF")</f>
        <v>WITH 1 AMSF</v>
      </c>
      <c r="J50" s="1"/>
      <c r="K50" s="1" t="str">
        <f>IFERROR(__xludf.DUMMYFUNCTION("""COMPUTED_VALUE"""),"COMPLETED")</f>
        <v>COMPLETED</v>
      </c>
      <c r="L50" s="1" t="str">
        <f>IFERROR(__xludf.DUMMYFUNCTION("""COMPUTED_VALUE"""),"POSTED")</f>
        <v>POSTED</v>
      </c>
      <c r="M50" s="1" t="str">
        <f>IFERROR(__xludf.DUMMYFUNCTION("""COMPUTED_VALUE"""),"POSTED")</f>
        <v>POSTED</v>
      </c>
      <c r="N50" s="3">
        <f>IFERROR(__xludf.DUMMYFUNCTION("""COMPUTED_VALUE"""),46241)</f>
        <v>46241</v>
      </c>
      <c r="O50" s="1" t="str">
        <f>IFERROR(__xludf.DUMMYFUNCTION("""COMPUTED_VALUE"""),"FIBR NETFLIX PLAN 1599")</f>
        <v>FIBR NETFLIX PLAN 1599</v>
      </c>
      <c r="P50" s="1" t="str">
        <f>IFERROR(__xludf.DUMMYFUNCTION("""COMPUTED_VALUE"""),"LOWPLAN")</f>
        <v>LOWPLAN</v>
      </c>
      <c r="Q50" s="1" t="str">
        <f>IFERROR(__xludf.DUMMYFUNCTION("""COMPUTED_VALUE"""),"P407050")</f>
        <v>P407050</v>
      </c>
      <c r="R50" s="1" t="str">
        <f>IFERROR(__xludf.DUMMYFUNCTION("""COMPUTED_VALUE"""),"IVNO, RAZZEL")</f>
        <v>IVNO, RAZZEL</v>
      </c>
      <c r="S50" s="1" t="str">
        <f>IFERROR(__xludf.DUMMYFUNCTION("""COMPUTED_VALUE"""),"ORGANIC")</f>
        <v>ORGANIC</v>
      </c>
      <c r="T50" s="1" t="str">
        <f>IFERROR(__xludf.DUMMYFUNCTION("""COMPUTED_VALUE"""),"LEA REMOLLO")</f>
        <v>LEA REMOLLO</v>
      </c>
      <c r="U50" s="1" t="str">
        <f>IFERROR(__xludf.DUMMYFUNCTION("""COMPUTED_VALUE"""),"JB SALIOA")</f>
        <v>JB SALIOA</v>
      </c>
      <c r="V50" s="1" t="str">
        <f>IFERROR(__xludf.DUMMYFUNCTION("""COMPUTED_VALUE"""),"BK REGULAR")</f>
        <v>BK REGULAR</v>
      </c>
      <c r="W50" s="1" t="str">
        <f>IFERROR(__xludf.DUMMYFUNCTION("""COMPUTED_VALUE"""),"STK REGULAR")</f>
        <v>STK REGULAR</v>
      </c>
      <c r="X50" s="1" t="str">
        <f>IFERROR(__xludf.DUMMYFUNCTION("""COMPUTED_VALUE"""),"REGULAR")</f>
        <v>REGULAR</v>
      </c>
      <c r="Y50" s="1" t="str">
        <f>IFERROR(__xludf.DUMMYFUNCTION("""COMPUTED_VALUE"""),"BK_CVEU_260801")</f>
        <v>BK_CVEU_260801</v>
      </c>
      <c r="Z50" s="1" t="str">
        <f>IFERROR(__xludf.DUMMYFUNCTION("""COMPUTED_VALUE"""),"NEW CONNECT")</f>
        <v>NEW CONNECT</v>
      </c>
      <c r="AA50" s="1">
        <f>IFERROR(__xludf.DUMMYFUNCTION("""COMPUTED_VALUE"""),639196503053)</f>
        <v>639196503053</v>
      </c>
      <c r="AB50" s="1"/>
      <c r="AC50" s="1">
        <f>IFERROR(__xludf.DUMMYFUNCTION("""COMPUTED_VALUE"""),16)</f>
        <v>16</v>
      </c>
      <c r="AD50" s="1" t="str">
        <f>IFERROR(__xludf.DUMMYFUNCTION("""COMPUTED_VALUE"""),"CAMERINO")</f>
        <v>CAMERINO</v>
      </c>
      <c r="AE50" s="1"/>
      <c r="AF50" s="1" t="str">
        <f>IFERROR(__xludf.DUMMYFUNCTION("""COMPUTED_VALUE"""),"BGY PAJO")</f>
        <v>BGY PAJO</v>
      </c>
      <c r="AG50" s="1" t="str">
        <f>IFERROR(__xludf.DUMMYFUNCTION("""COMPUTED_VALUE"""),"ALFONSO")</f>
        <v>ALFONSO</v>
      </c>
      <c r="AH50" s="1" t="str">
        <f>IFERROR(__xludf.DUMMYFUNCTION("""COMPUTED_VALUE"""),"DELI CORNER BAKERY")</f>
        <v>DELI CORNER BAKERY</v>
      </c>
      <c r="AI50" s="1" t="str">
        <f>IFERROR(__xludf.DUMMYFUNCTION("""COMPUTED_VALUE"""),"CLUSTER 12")</f>
        <v>CLUSTER 12</v>
      </c>
    </row>
    <row r="51" customHeight="1" spans="1:35">
      <c r="A51" s="3">
        <f>IFERROR(__xludf.DUMMYFUNCTION("""COMPUTED_VALUE"""),46240)</f>
        <v>46240</v>
      </c>
      <c r="B51" s="1" t="str">
        <f>IFERROR(__xludf.DUMMYFUNCTION("""COMPUTED_VALUE"""),"JOSE JR BONAGUA BEGINO")</f>
        <v>JOSE JR BONAGUA BEGINO</v>
      </c>
      <c r="C51" s="1">
        <f>IFERROR(__xludf.DUMMYFUNCTION("""COMPUTED_VALUE"""),2311570615)</f>
        <v>2311570615</v>
      </c>
      <c r="D51" s="1">
        <f>IFERROR(__xludf.DUMMYFUNCTION("""COMPUTED_VALUE"""),406499030)</f>
        <v>406499030</v>
      </c>
      <c r="E51" s="1">
        <f>IFERROR(__xludf.DUMMYFUNCTION("""COMPUTED_VALUE"""),465381273004)</f>
        <v>465381273004</v>
      </c>
      <c r="F51" s="1" t="str">
        <f>IFERROR(__xludf.DUMMYFUNCTION("""COMPUTED_VALUE"""),"CANCELLED")</f>
        <v>CANCELLED</v>
      </c>
      <c r="G51" s="1" t="str">
        <f>IFERROR(__xludf.DUMMYFUNCTION("""COMPUTED_VALUE"""),"CANCELLED")</f>
        <v>CANCELLED</v>
      </c>
      <c r="H51" s="1" t="str">
        <f>IFERROR(__xludf.DUMMYFUNCTION("""COMPUTED_VALUE"""),"ALREADY INSTALLED ")</f>
        <v>ALREADY INSTALLED </v>
      </c>
      <c r="I51" s="1" t="str">
        <f>IFERROR(__xludf.DUMMYFUNCTION("""COMPUTED_VALUE"""),"NO 1 AMSF")</f>
        <v>NO 1 AMSF</v>
      </c>
      <c r="J51" s="1" t="str">
        <f>IFERROR(__xludf.DUMMYFUNCTION("""COMPUTED_VALUE"""),"-")</f>
        <v>-</v>
      </c>
      <c r="K51" s="1" t="str">
        <f>IFERROR(__xludf.DUMMYFUNCTION("""COMPUTED_VALUE"""),"NOT IN OFSC")</f>
        <v>NOT IN OFSC</v>
      </c>
      <c r="L51" s="1" t="str">
        <f>IFERROR(__xludf.DUMMYFUNCTION("""COMPUTED_VALUE"""),"CANCELLED")</f>
        <v>CANCELLED</v>
      </c>
      <c r="M51" s="1" t="str">
        <f>IFERROR(__xludf.DUMMYFUNCTION("""COMPUTED_VALUE"""),"CANCELLED - RPR")</f>
        <v>CANCELLED - RPR</v>
      </c>
      <c r="N51" s="3"/>
      <c r="O51" s="1" t="str">
        <f>IFERROR(__xludf.DUMMYFUNCTION("""COMPUTED_VALUE"""),"FIBR UNLI ALL PLAN 999")</f>
        <v>FIBR UNLI ALL PLAN 999</v>
      </c>
      <c r="P51" s="1" t="str">
        <f>IFERROR(__xludf.DUMMYFUNCTION("""COMPUTED_VALUE"""),"LOWPLAN")</f>
        <v>LOWPLAN</v>
      </c>
      <c r="Q51" s="1" t="str">
        <f>IFERROR(__xludf.DUMMYFUNCTION("""COMPUTED_VALUE"""),"P407047")</f>
        <v>P407047</v>
      </c>
      <c r="R51" s="1" t="str">
        <f>IFERROR(__xludf.DUMMYFUNCTION("""COMPUTED_VALUE"""),"FRANCISCO, ROSELYN")</f>
        <v>FRANCISCO, ROSELYN</v>
      </c>
      <c r="S51" s="1" t="str">
        <f>IFERROR(__xludf.DUMMYFUNCTION("""COMPUTED_VALUE"""),"ORGANIC")</f>
        <v>ORGANIC</v>
      </c>
      <c r="T51" s="1" t="str">
        <f>IFERROR(__xludf.DUMMYFUNCTION("""COMPUTED_VALUE"""),"LEA REMOLLO")</f>
        <v>LEA REMOLLO</v>
      </c>
      <c r="U51" s="1" t="str">
        <f>IFERROR(__xludf.DUMMYFUNCTION("""COMPUTED_VALUE"""),"JULIE ESPIRITU")</f>
        <v>JULIE ESPIRITU</v>
      </c>
      <c r="V51" s="1" t="str">
        <f>IFERROR(__xludf.DUMMYFUNCTION("""COMPUTED_VALUE"""),"BK REGULAR")</f>
        <v>BK REGULAR</v>
      </c>
      <c r="W51" s="1" t="str">
        <f>IFERROR(__xludf.DUMMYFUNCTION("""COMPUTED_VALUE"""),"CSP")</f>
        <v>CSP</v>
      </c>
      <c r="X51" s="1" t="str">
        <f>IFERROR(__xludf.DUMMYFUNCTION("""COMPUTED_VALUE"""),"HBBS JUL 2026")</f>
        <v>HBBS JUL 2026</v>
      </c>
      <c r="Y51" s="1" t="str">
        <f>IFERROR(__xludf.DUMMYFUNCTION("""COMPUTED_VALUE"""),"BK_CVEU_260805")</f>
        <v>BK_CVEU_260805</v>
      </c>
      <c r="Z51" s="1" t="str">
        <f>IFERROR(__xludf.DUMMYFUNCTION("""COMPUTED_VALUE"""),"NEW CONNECT")</f>
        <v>NEW CONNECT</v>
      </c>
      <c r="AA51" s="1">
        <f>IFERROR(__xludf.DUMMYFUNCTION("""COMPUTED_VALUE"""),639055062917)</f>
        <v>639055062917</v>
      </c>
      <c r="AB51" s="1">
        <f>IFERROR(__xludf.DUMMYFUNCTION("""COMPUTED_VALUE"""),639928378700)</f>
        <v>639928378700</v>
      </c>
      <c r="AC51" s="1">
        <f>IFERROR(__xludf.DUMMYFUNCTION("""COMPUTED_VALUE"""),1011)</f>
        <v>1011</v>
      </c>
      <c r="AD51" s="1" t="str">
        <f>IFERROR(__xludf.DUMMYFUNCTION("""COMPUTED_VALUE"""),"ALFONSO")</f>
        <v>ALFONSO</v>
      </c>
      <c r="AE51" s="1"/>
      <c r="AF51" s="1" t="str">
        <f>IFERROR(__xludf.DUMMYFUNCTION("""COMPUTED_VALUE"""),"BGY ANULING CERCA 1")</f>
        <v>BGY ANULING CERCA 1</v>
      </c>
      <c r="AG51" s="1" t="str">
        <f>IFERROR(__xludf.DUMMYFUNCTION("""COMPUTED_VALUE"""),"MENDEZ")</f>
        <v>MENDEZ</v>
      </c>
      <c r="AH51" s="1"/>
      <c r="AI51" s="1" t="str">
        <f>IFERROR(__xludf.DUMMYFUNCTION("""COMPUTED_VALUE"""),"CLUSTER 12")</f>
        <v>CLUSTER 12</v>
      </c>
    </row>
    <row r="52" customHeight="1" spans="1:35">
      <c r="A52" s="3">
        <f>IFERROR(__xludf.DUMMYFUNCTION("""COMPUTED_VALUE"""),46240)</f>
        <v>46240</v>
      </c>
      <c r="B52" s="1" t="str">
        <f>IFERROR(__xludf.DUMMYFUNCTION("""COMPUTED_VALUE"""),"ALBERT LIMOSNERO ROMEROSO")</f>
        <v>ALBERT LIMOSNERO ROMEROSO</v>
      </c>
      <c r="C52" s="1">
        <f>IFERROR(__xludf.DUMMYFUNCTION("""COMPUTED_VALUE"""),2311574118)</f>
        <v>2311574118</v>
      </c>
      <c r="D52" s="1"/>
      <c r="E52" s="1"/>
      <c r="F52" s="1" t="str">
        <f>IFERROR(__xludf.DUMMYFUNCTION("""COMPUTED_VALUE"""),"REENCODED")</f>
        <v>REENCODED</v>
      </c>
      <c r="G52" s="1" t="str">
        <f>IFERROR(__xludf.DUMMYFUNCTION("""COMPUTED_VALUE"""),"(OTHERS) DISAPPROVED| INCORRECT ENCODED LAST NAME IN CSP (ROMEROSO) VS POID (ROMERO)| no blacklist hit, no existing active acct and/ or pending application| Done Validation with submitted complete docs| with 1 AMSF requirements (II - 15 (HIGH RISK)). ")</f>
        <v>(OTHERS) DISAPPROVED| INCORRECT ENCODED LAST NAME IN CSP (ROMEROSO) VS POID (ROMERO)| no blacklist hit, no existing active acct and/ or pending application| Done Validation with submitted complete docs| with 1 AMSF requirements (II - 15 (HIGH RISK)). </v>
      </c>
      <c r="H52" s="1"/>
      <c r="I52" s="1"/>
      <c r="J52" s="1"/>
      <c r="K52" s="1"/>
      <c r="L52" s="1" t="str">
        <f>IFERROR(__xludf.DUMMYFUNCTION("""COMPUTED_VALUE"""),"REENCODED")</f>
        <v>REENCODED</v>
      </c>
      <c r="M52" s="1" t="str">
        <f>IFERROR(__xludf.DUMMYFUNCTION("""COMPUTED_VALUE"""),"REENCODED")</f>
        <v>REENCODED</v>
      </c>
      <c r="N52" s="3"/>
      <c r="O52" s="1" t="str">
        <f>IFERROR(__xludf.DUMMYFUNCTION("""COMPUTED_VALUE"""),"FIBR PLAN 1299")</f>
        <v>FIBR PLAN 1299</v>
      </c>
      <c r="P52" s="1" t="str">
        <f>IFERROR(__xludf.DUMMYFUNCTION("""COMPUTED_VALUE"""),"LOWPLAN")</f>
        <v>LOWPLAN</v>
      </c>
      <c r="Q52" s="1" t="str">
        <f>IFERROR(__xludf.DUMMYFUNCTION("""COMPUTED_VALUE"""),"P407050")</f>
        <v>P407050</v>
      </c>
      <c r="R52" s="1" t="str">
        <f>IFERROR(__xludf.DUMMYFUNCTION("""COMPUTED_VALUE"""),"IVNO, RAZZEL")</f>
        <v>IVNO, RAZZEL</v>
      </c>
      <c r="S52" s="1" t="str">
        <f>IFERROR(__xludf.DUMMYFUNCTION("""COMPUTED_VALUE"""),"ORGANIC")</f>
        <v>ORGANIC</v>
      </c>
      <c r="T52" s="1" t="str">
        <f>IFERROR(__xludf.DUMMYFUNCTION("""COMPUTED_VALUE"""),"LEA REMOLLO")</f>
        <v>LEA REMOLLO</v>
      </c>
      <c r="U52" s="1" t="str">
        <f>IFERROR(__xludf.DUMMYFUNCTION("""COMPUTED_VALUE"""),"JULIE ESPIRITU")</f>
        <v>JULIE ESPIRITU</v>
      </c>
      <c r="V52" s="1" t="str">
        <f>IFERROR(__xludf.DUMMYFUNCTION("""COMPUTED_VALUE"""),"BK REGULAR")</f>
        <v>BK REGULAR</v>
      </c>
      <c r="W52" s="1" t="str">
        <f>IFERROR(__xludf.DUMMYFUNCTION("""COMPUTED_VALUE"""),"STK REGULAR")</f>
        <v>STK REGULAR</v>
      </c>
      <c r="X52" s="1" t="str">
        <f>IFERROR(__xludf.DUMMYFUNCTION("""COMPUTED_VALUE"""),"REGULAR")</f>
        <v>REGULAR</v>
      </c>
      <c r="Y52" s="1" t="str">
        <f>IFERROR(__xludf.DUMMYFUNCTION("""COMPUTED_VALUE"""),"BK_CVEU_260804")</f>
        <v>BK_CVEU_260804</v>
      </c>
      <c r="Z52" s="1" t="str">
        <f>IFERROR(__xludf.DUMMYFUNCTION("""COMPUTED_VALUE"""),"NEW CONNECT")</f>
        <v>NEW CONNECT</v>
      </c>
      <c r="AA52" s="1">
        <f>IFERROR(__xludf.DUMMYFUNCTION("""COMPUTED_VALUE"""),639567016865)</f>
        <v>639567016865</v>
      </c>
      <c r="AB52" s="1"/>
      <c r="AC52" s="1"/>
      <c r="AD52" s="1" t="str">
        <f>IFERROR(__xludf.DUMMYFUNCTION("""COMPUTED_VALUE"""),"SAN GABRIEL")</f>
        <v>SAN GABRIEL</v>
      </c>
      <c r="AE52" s="1"/>
      <c r="AF52" s="1" t="str">
        <f>IFERROR(__xludf.DUMMYFUNCTION("""COMPUTED_VALUE"""),"BGY SAN GABRIEL")</f>
        <v>BGY SAN GABRIEL</v>
      </c>
      <c r="AG52" s="1" t="str">
        <f>IFERROR(__xludf.DUMMYFUNCTION("""COMPUTED_VALUE"""),"GEN MARIANO ALVAREZ")</f>
        <v>GEN MARIANO ALVAREZ</v>
      </c>
      <c r="AH52" s="1" t="str">
        <f>IFERROR(__xludf.DUMMYFUNCTION("""COMPUTED_VALUE"""),"NEAR BRGY HALL")</f>
        <v>NEAR BRGY HALL</v>
      </c>
      <c r="AI52" s="1" t="str">
        <f>IFERROR(__xludf.DUMMYFUNCTION("""COMPUTED_VALUE"""),"CLUSTER 11")</f>
        <v>CLUSTER 11</v>
      </c>
    </row>
    <row r="53" customHeight="1" spans="1:35">
      <c r="A53" s="3">
        <f>IFERROR(__xludf.DUMMYFUNCTION("""COMPUTED_VALUE"""),46240)</f>
        <v>46240</v>
      </c>
      <c r="B53" s="1" t="str">
        <f>IFERROR(__xludf.DUMMYFUNCTION("""COMPUTED_VALUE"""),"MAXIMA RIVERA DAJAC")</f>
        <v>MAXIMA RIVERA DAJAC</v>
      </c>
      <c r="C53" s="1">
        <f>IFERROR(__xludf.DUMMYFUNCTION("""COMPUTED_VALUE"""),2311575908)</f>
        <v>2311575908</v>
      </c>
      <c r="D53" s="1">
        <f>IFERROR(__xludf.DUMMYFUNCTION("""COMPUTED_VALUE"""),406489078)</f>
        <v>406489078</v>
      </c>
      <c r="E53" s="1">
        <f>IFERROR(__xludf.DUMMYFUNCTION("""COMPUTED_VALUE"""),465377399004)</f>
        <v>465377399004</v>
      </c>
      <c r="F53" s="1" t="str">
        <f>IFERROR(__xludf.DUMMYFUNCTION("""COMPUTED_VALUE"""),"CANCELLED")</f>
        <v>CANCELLED</v>
      </c>
      <c r="G53" s="1" t="str">
        <f>IFERROR(__xludf.DUMMYFUNCTION("""COMPUTED_VALUE"""),"AUTO - AGING")</f>
        <v>AUTO - AGING</v>
      </c>
      <c r="H53" s="1" t="str">
        <f>IFERROR(__xludf.DUMMYFUNCTION("""COMPUTED_VALUE"""),"SUBS CANCEL WALA NMN SINABI NA NEED MAG BAYAD")</f>
        <v>SUBS CANCEL WALA NMN SINABI NA NEED MAG BAYAD</v>
      </c>
      <c r="I53" s="1"/>
      <c r="J53" s="1"/>
      <c r="K53" s="1" t="str">
        <f>IFERROR(__xludf.DUMMYFUNCTION("""COMPUTED_VALUE"""),"NOT IN OFSC")</f>
        <v>NOT IN OFSC</v>
      </c>
      <c r="L53" s="1" t="str">
        <f>IFERROR(__xludf.DUMMYFUNCTION("""COMPUTED_VALUE"""),"CANCELLED - AGING")</f>
        <v>CANCELLED - AGING</v>
      </c>
      <c r="M53" s="1" t="str">
        <f>IFERROR(__xludf.DUMMYFUNCTION("""COMPUTED_VALUE"""),"CANCELLED - AGING")</f>
        <v>CANCELLED - AGING</v>
      </c>
      <c r="N53" s="3"/>
      <c r="O53" s="1" t="str">
        <f>IFERROR(__xludf.DUMMYFUNCTION("""COMPUTED_VALUE"""),"FIBR UNLI ALL PLAN 999")</f>
        <v>FIBR UNLI ALL PLAN 999</v>
      </c>
      <c r="P53" s="1" t="str">
        <f>IFERROR(__xludf.DUMMYFUNCTION("""COMPUTED_VALUE"""),"LOWPLAN")</f>
        <v>LOWPLAN</v>
      </c>
      <c r="Q53" s="1" t="str">
        <f>IFERROR(__xludf.DUMMYFUNCTION("""COMPUTED_VALUE"""),"P407047")</f>
        <v>P407047</v>
      </c>
      <c r="R53" s="1" t="str">
        <f>IFERROR(__xludf.DUMMYFUNCTION("""COMPUTED_VALUE"""),"FRANCISCO, ROSELYN")</f>
        <v>FRANCISCO, ROSELYN</v>
      </c>
      <c r="S53" s="1" t="str">
        <f>IFERROR(__xludf.DUMMYFUNCTION("""COMPUTED_VALUE"""),"ORGANIC")</f>
        <v>ORGANIC</v>
      </c>
      <c r="T53" s="1" t="str">
        <f>IFERROR(__xludf.DUMMYFUNCTION("""COMPUTED_VALUE"""),"LEA REMOLLO")</f>
        <v>LEA REMOLLO</v>
      </c>
      <c r="U53" s="1" t="str">
        <f>IFERROR(__xludf.DUMMYFUNCTION("""COMPUTED_VALUE"""),"JULIE ESPIRITU")</f>
        <v>JULIE ESPIRITU</v>
      </c>
      <c r="V53" s="1" t="str">
        <f>IFERROR(__xludf.DUMMYFUNCTION("""COMPUTED_VALUE"""),"BK REGULAR")</f>
        <v>BK REGULAR</v>
      </c>
      <c r="W53" s="1" t="str">
        <f>IFERROR(__xludf.DUMMYFUNCTION("""COMPUTED_VALUE"""),"STK REGULAR")</f>
        <v>STK REGULAR</v>
      </c>
      <c r="X53" s="1" t="str">
        <f>IFERROR(__xludf.DUMMYFUNCTION("""COMPUTED_VALUE"""),"REGULAR")</f>
        <v>REGULAR</v>
      </c>
      <c r="Y53" s="1" t="str">
        <f>IFERROR(__xludf.DUMMYFUNCTION("""COMPUTED_VALUE"""),"BK_CVEU_260801")</f>
        <v>BK_CVEU_260801</v>
      </c>
      <c r="Z53" s="1" t="str">
        <f>IFERROR(__xludf.DUMMYFUNCTION("""COMPUTED_VALUE"""),"NEW CONNECT")</f>
        <v>NEW CONNECT</v>
      </c>
      <c r="AA53" s="1">
        <f>IFERROR(__xludf.DUMMYFUNCTION("""COMPUTED_VALUE"""),639919142094)</f>
        <v>639919142094</v>
      </c>
      <c r="AB53" s="1">
        <f>IFERROR(__xludf.DUMMYFUNCTION("""COMPUTED_VALUE"""),639941154313)</f>
        <v>639941154313</v>
      </c>
      <c r="AC53" s="1">
        <f>IFERROR(__xludf.DUMMYFUNCTION("""COMPUTED_VALUE"""),9058)</f>
        <v>9058</v>
      </c>
      <c r="AD53" s="1" t="str">
        <f>IFERROR(__xludf.DUMMYFUNCTION("""COMPUTED_VALUE"""),"PUROK 2")</f>
        <v>PUROK 2</v>
      </c>
      <c r="AE53" s="1"/>
      <c r="AF53" s="1" t="str">
        <f>IFERROR(__xludf.DUMMYFUNCTION("""COMPUTED_VALUE"""),"BGY SINALIW MALAKI")</f>
        <v>BGY SINALIW MALAKI</v>
      </c>
      <c r="AG53" s="1" t="str">
        <f>IFERROR(__xludf.DUMMYFUNCTION("""COMPUTED_VALUE"""),"ALFONSO")</f>
        <v>ALFONSO</v>
      </c>
      <c r="AH53" s="1"/>
      <c r="AI53" s="1" t="str">
        <f>IFERROR(__xludf.DUMMYFUNCTION("""COMPUTED_VALUE"""),"CLUSTER 12")</f>
        <v>CLUSTER 12</v>
      </c>
    </row>
    <row r="54" customHeight="1" spans="1:35">
      <c r="A54" s="3">
        <f>IFERROR(__xludf.DUMMYFUNCTION("""COMPUTED_VALUE"""),46240)</f>
        <v>46240</v>
      </c>
      <c r="B54" s="1" t="str">
        <f>IFERROR(__xludf.DUMMYFUNCTION("""COMPUTED_VALUE"""),"ROLAND JOSHUA CAINONG BAYBAY")</f>
        <v>ROLAND JOSHUA CAINONG BAYBAY</v>
      </c>
      <c r="C54" s="1">
        <f>IFERROR(__xludf.DUMMYFUNCTION("""COMPUTED_VALUE"""),2311576535)</f>
        <v>2311576535</v>
      </c>
      <c r="D54" s="1">
        <f>IFERROR(__xludf.DUMMYFUNCTION("""COMPUTED_VALUE"""),406494683)</f>
        <v>406494683</v>
      </c>
      <c r="E54" s="1">
        <f>IFERROR(__xludf.DUMMYFUNCTION("""COMPUTED_VALUE"""),465379659004)</f>
        <v>465379659004</v>
      </c>
      <c r="F54" s="1" t="str">
        <f>IFERROR(__xludf.DUMMYFUNCTION("""COMPUTED_VALUE"""),"CLOSED")</f>
        <v>CLOSED</v>
      </c>
      <c r="G54" s="1" t="str">
        <f>IFERROR(__xludf.DUMMYFUNCTION("""COMPUTED_VALUE"""),"CLOSED")</f>
        <v>CLOSED</v>
      </c>
      <c r="H54" s="1" t="str">
        <f>IFERROR(__xludf.DUMMYFUNCTION("""COMPUTED_VALUE"""),"PAID VIA GCASH REF 013201306 AUGUST 1")</f>
        <v>PAID VIA GCASH REF 013201306 AUGUST 1</v>
      </c>
      <c r="I54" s="1" t="str">
        <f>IFERROR(__xludf.DUMMYFUNCTION("""COMPUTED_VALUE"""),"WITH 1 AMSF")</f>
        <v>WITH 1 AMSF</v>
      </c>
      <c r="J54" s="1"/>
      <c r="K54" s="1" t="str">
        <f>IFERROR(__xludf.DUMMYFUNCTION("""COMPUTED_VALUE"""),"COMPLETED")</f>
        <v>COMPLETED</v>
      </c>
      <c r="L54" s="1" t="str">
        <f>IFERROR(__xludf.DUMMYFUNCTION("""COMPUTED_VALUE"""),"POSTED")</f>
        <v>POSTED</v>
      </c>
      <c r="M54" s="1" t="str">
        <f>IFERROR(__xludf.DUMMYFUNCTION("""COMPUTED_VALUE"""),"POSTED")</f>
        <v>POSTED</v>
      </c>
      <c r="N54" s="3">
        <f>IFERROR(__xludf.DUMMYFUNCTION("""COMPUTED_VALUE"""),46241)</f>
        <v>46241</v>
      </c>
      <c r="O54" s="1" t="str">
        <f>IFERROR(__xludf.DUMMYFUNCTION("""COMPUTED_VALUE"""),"FIBR UNLI ALL PLAN 999")</f>
        <v>FIBR UNLI ALL PLAN 999</v>
      </c>
      <c r="P54" s="1" t="str">
        <f>IFERROR(__xludf.DUMMYFUNCTION("""COMPUTED_VALUE"""),"LOWPLAN")</f>
        <v>LOWPLAN</v>
      </c>
      <c r="Q54" s="1" t="str">
        <f>IFERROR(__xludf.DUMMYFUNCTION("""COMPUTED_VALUE"""),"P407047")</f>
        <v>P407047</v>
      </c>
      <c r="R54" s="1" t="str">
        <f>IFERROR(__xludf.DUMMYFUNCTION("""COMPUTED_VALUE"""),"FRANCISCO, ROSELYN")</f>
        <v>FRANCISCO, ROSELYN</v>
      </c>
      <c r="S54" s="1" t="str">
        <f>IFERROR(__xludf.DUMMYFUNCTION("""COMPUTED_VALUE"""),"ORGANIC")</f>
        <v>ORGANIC</v>
      </c>
      <c r="T54" s="1" t="str">
        <f>IFERROR(__xludf.DUMMYFUNCTION("""COMPUTED_VALUE"""),"LEA REMOLLO")</f>
        <v>LEA REMOLLO</v>
      </c>
      <c r="U54" s="1" t="str">
        <f>IFERROR(__xludf.DUMMYFUNCTION("""COMPUTED_VALUE"""),"JULIE ESPIRITU")</f>
        <v>JULIE ESPIRITU</v>
      </c>
      <c r="V54" s="1" t="str">
        <f>IFERROR(__xludf.DUMMYFUNCTION("""COMPUTED_VALUE"""),"BK REGULAR")</f>
        <v>BK REGULAR</v>
      </c>
      <c r="W54" s="1" t="str">
        <f>IFERROR(__xludf.DUMMYFUNCTION("""COMPUTED_VALUE"""),"STK REGULAR")</f>
        <v>STK REGULAR</v>
      </c>
      <c r="X54" s="1" t="str">
        <f>IFERROR(__xludf.DUMMYFUNCTION("""COMPUTED_VALUE"""),"REGULAR")</f>
        <v>REGULAR</v>
      </c>
      <c r="Y54" s="1" t="str">
        <f>IFERROR(__xludf.DUMMYFUNCTION("""COMPUTED_VALUE"""),"BK_CVEU_260802")</f>
        <v>BK_CVEU_260802</v>
      </c>
      <c r="Z54" s="1" t="str">
        <f>IFERROR(__xludf.DUMMYFUNCTION("""COMPUTED_VALUE"""),"NEW CONNECT")</f>
        <v>NEW CONNECT</v>
      </c>
      <c r="AA54" s="1">
        <f>IFERROR(__xludf.DUMMYFUNCTION("""COMPUTED_VALUE"""),639352589722)</f>
        <v>639352589722</v>
      </c>
      <c r="AB54" s="1"/>
      <c r="AC54" s="1">
        <f>IFERROR(__xludf.DUMMYFUNCTION("""COMPUTED_VALUE"""),134)</f>
        <v>134</v>
      </c>
      <c r="AD54" s="1" t="str">
        <f>IFERROR(__xludf.DUMMYFUNCTION("""COMPUTED_VALUE"""),"A MABINI")</f>
        <v>A MABINI</v>
      </c>
      <c r="AE54" s="1"/>
      <c r="AF54" s="1" t="str">
        <f>IFERROR(__xludf.DUMMYFUNCTION("""COMPUTED_VALUE"""),"BGY 5")</f>
        <v>BGY 5</v>
      </c>
      <c r="AG54" s="1" t="str">
        <f>IFERROR(__xludf.DUMMYFUNCTION("""COMPUTED_VALUE"""),"AMADEO")</f>
        <v>AMADEO</v>
      </c>
      <c r="AH54" s="1" t="str">
        <f>IFERROR(__xludf.DUMMYFUNCTION("""COMPUTED_VALUE"""),"AFTER PUBLIC CEMETERY")</f>
        <v>AFTER PUBLIC CEMETERY</v>
      </c>
      <c r="AI54" s="1" t="str">
        <f>IFERROR(__xludf.DUMMYFUNCTION("""COMPUTED_VALUE"""),"CLUSTER 12")</f>
        <v>CLUSTER 12</v>
      </c>
    </row>
    <row r="55" customHeight="1" spans="1:35">
      <c r="A55" s="3">
        <f>IFERROR(__xludf.DUMMYFUNCTION("""COMPUTED_VALUE"""),46240)</f>
        <v>46240</v>
      </c>
      <c r="B55" s="1" t="str">
        <f>IFERROR(__xludf.DUMMYFUNCTION("""COMPUTED_VALUE"""),"MA. HELEN COLAS EVANGELISTA")</f>
        <v>MA. HELEN COLAS EVANGELISTA</v>
      </c>
      <c r="C55" s="1">
        <f>IFERROR(__xludf.DUMMYFUNCTION("""COMPUTED_VALUE"""),2311577422)</f>
        <v>2311577422</v>
      </c>
      <c r="D55" s="1"/>
      <c r="E55" s="1"/>
      <c r="F55" s="1" t="str">
        <f>IFERROR(__xludf.DUMMYFUNCTION("""COMPUTED_VALUE"""),"CANCELLED")</f>
        <v>CANCELLED</v>
      </c>
      <c r="G55" s="1" t="str">
        <f>IFERROR(__xludf.DUMMYFUNCTION("""COMPUTED_VALUE"""),"(NO LONGER INTERESTED ) Subs Cancelled| Found ACTIVE SAF account no.(0402446285) CLV_02 AND FOUND CANCELLED ACCT.#(0356419189) under same name diff. Add.| call thru (09389064837)(Aug 7 26, 08:37:42) talk to subs confirmed the application but request to ca"&amp;"ncel DUE TO NO LONGER INTERESTED| Cleared from blacklisted HIT/ NO EXISTING PENDING APPLICATION/ submitted complete docs/ correct encoded details in CSP/ done validation with 1amsf (FF - 1 (NTC) SCANNABLE NATIONAL ID")</f>
        <v>(NO LONGER INTERESTED ) Subs Cancelled| Found ACTIVE SAF account no.(0402446285) CLV_02 AND FOUND CANCELLED ACCT.#(0356419189) under same name diff. Add.| call thru (09389064837)(Aug 7 26, 08:37:42) talk to subs confirmed the application but request to cancel DUE TO NO LONGER INTERESTED| Cleared from blacklisted HIT/ NO EXISTING PENDING APPLICATION/ submitted complete docs/ correct encoded details in CSP/ done validation with 1amsf (FF - 1 (NTC) SCANNABLE NATIONAL ID</v>
      </c>
      <c r="H55" s="1"/>
      <c r="I55" s="1"/>
      <c r="J55" s="1"/>
      <c r="K55" s="1"/>
      <c r="L55" s="1" t="str">
        <f>IFERROR(__xludf.DUMMYFUNCTION("""COMPUTED_VALUE"""),"CANCELLED")</f>
        <v>CANCELLED</v>
      </c>
      <c r="M55" s="1" t="str">
        <f>IFERROR(__xludf.DUMMYFUNCTION("""COMPUTED_VALUE"""),"CANCELLED - SUBS CANCEL REQUEST")</f>
        <v>CANCELLED - SUBS CANCEL REQUEST</v>
      </c>
      <c r="N55" s="3"/>
      <c r="O55" s="1" t="str">
        <f>IFERROR(__xludf.DUMMYFUNCTION("""COMPUTED_VALUE"""),"FIBR PLAN 1299")</f>
        <v>FIBR PLAN 1299</v>
      </c>
      <c r="P55" s="1" t="str">
        <f>IFERROR(__xludf.DUMMYFUNCTION("""COMPUTED_VALUE"""),"LOWPLAN")</f>
        <v>LOWPLAN</v>
      </c>
      <c r="Q55" s="1" t="str">
        <f>IFERROR(__xludf.DUMMYFUNCTION("""COMPUTED_VALUE"""),"P407050")</f>
        <v>P407050</v>
      </c>
      <c r="R55" s="1" t="str">
        <f>IFERROR(__xludf.DUMMYFUNCTION("""COMPUTED_VALUE"""),"ESCARCHA, ALMA")</f>
        <v>ESCARCHA, ALMA</v>
      </c>
      <c r="S55" s="1" t="str">
        <f>IFERROR(__xludf.DUMMYFUNCTION("""COMPUTED_VALUE"""),"ORGANIC")</f>
        <v>ORGANIC</v>
      </c>
      <c r="T55" s="1" t="str">
        <f>IFERROR(__xludf.DUMMYFUNCTION("""COMPUTED_VALUE"""),"LEA REMOLLO")</f>
        <v>LEA REMOLLO</v>
      </c>
      <c r="U55" s="1" t="str">
        <f>IFERROR(__xludf.DUMMYFUNCTION("""COMPUTED_VALUE"""),"JULIE ESPIRITU")</f>
        <v>JULIE ESPIRITU</v>
      </c>
      <c r="V55" s="1" t="str">
        <f>IFERROR(__xludf.DUMMYFUNCTION("""COMPUTED_VALUE"""),"BK REGULAR")</f>
        <v>BK REGULAR</v>
      </c>
      <c r="W55" s="1" t="str">
        <f>IFERROR(__xludf.DUMMYFUNCTION("""COMPUTED_VALUE"""),"STK REGULAR")</f>
        <v>STK REGULAR</v>
      </c>
      <c r="X55" s="1" t="str">
        <f>IFERROR(__xludf.DUMMYFUNCTION("""COMPUTED_VALUE"""),"REGULAR")</f>
        <v>REGULAR</v>
      </c>
      <c r="Y55" s="1" t="str">
        <f>IFERROR(__xludf.DUMMYFUNCTION("""COMPUTED_VALUE"""),"BK_CVEU_260802")</f>
        <v>BK_CVEU_260802</v>
      </c>
      <c r="Z55" s="1" t="str">
        <f>IFERROR(__xludf.DUMMYFUNCTION("""COMPUTED_VALUE"""),"NEW CONNECT")</f>
        <v>NEW CONNECT</v>
      </c>
      <c r="AA55" s="1">
        <f>IFERROR(__xludf.DUMMYFUNCTION("""COMPUTED_VALUE"""),639389064837)</f>
        <v>639389064837</v>
      </c>
      <c r="AB55" s="1"/>
      <c r="AC55" s="1"/>
      <c r="AD55" s="1" t="str">
        <f>IFERROR(__xludf.DUMMYFUNCTION("""COMPUTED_VALUE"""),"PUROK 3")</f>
        <v>PUROK 3</v>
      </c>
      <c r="AE55" s="1"/>
      <c r="AF55" s="1" t="str">
        <f>IFERROR(__xludf.DUMMYFUNCTION("""COMPUTED_VALUE"""),"BGY DAGATAN")</f>
        <v>BGY DAGATAN</v>
      </c>
      <c r="AG55" s="1" t="str">
        <f>IFERROR(__xludf.DUMMYFUNCTION("""COMPUTED_VALUE"""),"AMADEO")</f>
        <v>AMADEO</v>
      </c>
      <c r="AH55" s="1" t="str">
        <f>IFERROR(__xludf.DUMMYFUNCTION("""COMPUTED_VALUE"""),"ELEMENTARY SCHOOL")</f>
        <v>ELEMENTARY SCHOOL</v>
      </c>
      <c r="AI55" s="1" t="str">
        <f>IFERROR(__xludf.DUMMYFUNCTION("""COMPUTED_VALUE"""),"CLUSTER 12")</f>
        <v>CLUSTER 12</v>
      </c>
    </row>
    <row r="56" customHeight="1" spans="1:35">
      <c r="A56" s="3">
        <f>IFERROR(__xludf.DUMMYFUNCTION("""COMPUTED_VALUE"""),46240)</f>
        <v>46240</v>
      </c>
      <c r="B56" s="1" t="str">
        <f>IFERROR(__xludf.DUMMYFUNCTION("""COMPUTED_VALUE"""),"WILLIAM DILAG FENOMENO")</f>
        <v>WILLIAM DILAG FENOMENO</v>
      </c>
      <c r="C56" s="1">
        <f>IFERROR(__xludf.DUMMYFUNCTION("""COMPUTED_VALUE"""),2311579252)</f>
        <v>2311579252</v>
      </c>
      <c r="D56" s="1"/>
      <c r="E56" s="1"/>
      <c r="F56" s="1" t="str">
        <f>IFERROR(__xludf.DUMMYFUNCTION("""COMPUTED_VALUE"""),"REENCODED")</f>
        <v>REENCODED</v>
      </c>
      <c r="G56" s="1" t="str">
        <f>IFERROR(__xludf.DUMMYFUNCTION("""COMPUTED_VALUE"""),"&amp;#8203;CANT TAG| CANT CHANGE PAYMENT REQUIRED | APPROVED|VALIDATED COMPLETE DOCS|CORRECT ENCODED INFO IN CSP| 1 AMSF REQUIRED (FF - 1 (NTC) CLEARED FROM BLACKLISTED HIT| NO EXISTING ACTIVE ACCT AND/OR PENDING/CANCELLED APPLICATION|")</f>
        <v>&amp;#8203;CANT TAG| CANT CHANGE PAYMENT REQUIRED | APPROVED|VALIDATED COMPLETE DOCS|CORRECT ENCODED INFO IN CSP| 1 AMSF REQUIRED (FF - 1 (NTC) CLEARED FROM BLACKLISTED HIT| NO EXISTING ACTIVE ACCT AND/OR PENDING/CANCELLED APPLICATION|</v>
      </c>
      <c r="H56" s="1"/>
      <c r="I56" s="1"/>
      <c r="J56" s="1"/>
      <c r="K56" s="1"/>
      <c r="L56" s="1" t="str">
        <f>IFERROR(__xludf.DUMMYFUNCTION("""COMPUTED_VALUE"""),"REENCODED")</f>
        <v>REENCODED</v>
      </c>
      <c r="M56" s="1" t="str">
        <f>IFERROR(__xludf.DUMMYFUNCTION("""COMPUTED_VALUE"""),"REENCODED")</f>
        <v>REENCODED</v>
      </c>
      <c r="N56" s="3"/>
      <c r="O56" s="1" t="str">
        <f>IFERROR(__xludf.DUMMYFUNCTION("""COMPUTED_VALUE"""),"FIBER UNLI ALL PLAN 1499")</f>
        <v>FIBER UNLI ALL PLAN 1499</v>
      </c>
      <c r="P56" s="1" t="str">
        <f>IFERROR(__xludf.DUMMYFUNCTION("""COMPUTED_VALUE"""),"LOWPLAN")</f>
        <v>LOWPLAN</v>
      </c>
      <c r="Q56" s="1" t="str">
        <f>IFERROR(__xludf.DUMMYFUNCTION("""COMPUTED_VALUE"""),"P407050")</f>
        <v>P407050</v>
      </c>
      <c r="R56" s="1" t="str">
        <f>IFERROR(__xludf.DUMMYFUNCTION("""COMPUTED_VALUE"""),"IVNO, RAZZEL")</f>
        <v>IVNO, RAZZEL</v>
      </c>
      <c r="S56" s="1" t="str">
        <f>IFERROR(__xludf.DUMMYFUNCTION("""COMPUTED_VALUE"""),"ORGANIC")</f>
        <v>ORGANIC</v>
      </c>
      <c r="T56" s="1" t="str">
        <f>IFERROR(__xludf.DUMMYFUNCTION("""COMPUTED_VALUE"""),"LEA REMOLLO")</f>
        <v>LEA REMOLLO</v>
      </c>
      <c r="U56" s="1" t="str">
        <f>IFERROR(__xludf.DUMMYFUNCTION("""COMPUTED_VALUE"""),"JULIE ESPIRITU")</f>
        <v>JULIE ESPIRITU</v>
      </c>
      <c r="V56" s="1" t="str">
        <f>IFERROR(__xludf.DUMMYFUNCTION("""COMPUTED_VALUE"""),"BK REGULAR")</f>
        <v>BK REGULAR</v>
      </c>
      <c r="W56" s="1" t="str">
        <f>IFERROR(__xludf.DUMMYFUNCTION("""COMPUTED_VALUE"""),"STK REGULAR")</f>
        <v>STK REGULAR</v>
      </c>
      <c r="X56" s="1" t="str">
        <f>IFERROR(__xludf.DUMMYFUNCTION("""COMPUTED_VALUE"""),"REGULAR")</f>
        <v>REGULAR</v>
      </c>
      <c r="Y56" s="1" t="str">
        <f>IFERROR(__xludf.DUMMYFUNCTION("""COMPUTED_VALUE"""),"BK_CVEU_260801")</f>
        <v>BK_CVEU_260801</v>
      </c>
      <c r="Z56" s="1" t="str">
        <f>IFERROR(__xludf.DUMMYFUNCTION("""COMPUTED_VALUE"""),"NEW CONNECT")</f>
        <v>NEW CONNECT</v>
      </c>
      <c r="AA56" s="1">
        <f>IFERROR(__xludf.DUMMYFUNCTION("""COMPUTED_VALUE"""),639762168117)</f>
        <v>639762168117</v>
      </c>
      <c r="AB56" s="1">
        <f>IFERROR(__xludf.DUMMYFUNCTION("""COMPUTED_VALUE"""),639560920055)</f>
        <v>639560920055</v>
      </c>
      <c r="AC56" s="1">
        <f>IFERROR(__xludf.DUMMYFUNCTION("""COMPUTED_VALUE"""),6705)</f>
        <v>6705</v>
      </c>
      <c r="AD56" s="1" t="str">
        <f>IFERROR(__xludf.DUMMYFUNCTION("""COMPUTED_VALUE"""),"ZAMORA")</f>
        <v>ZAMORA</v>
      </c>
      <c r="AE56" s="1"/>
      <c r="AF56" s="1" t="str">
        <f>IFERROR(__xludf.DUMMYFUNCTION("""COMPUTED_VALUE"""),"BGY 4")</f>
        <v>BGY 4</v>
      </c>
      <c r="AG56" s="1" t="str">
        <f>IFERROR(__xludf.DUMMYFUNCTION("""COMPUTED_VALUE"""),"ALFONSO")</f>
        <v>ALFONSO</v>
      </c>
      <c r="AH56" s="1" t="str">
        <f>IFERROR(__xludf.DUMMYFUNCTION("""COMPUTED_VALUE"""),"PABLO APARTMENT")</f>
        <v>PABLO APARTMENT</v>
      </c>
      <c r="AI56" s="1" t="str">
        <f>IFERROR(__xludf.DUMMYFUNCTION("""COMPUTED_VALUE"""),"CLUSTER 12")</f>
        <v>CLUSTER 12</v>
      </c>
    </row>
    <row r="57" customHeight="1" spans="1:35">
      <c r="A57" s="3">
        <f>IFERROR(__xludf.DUMMYFUNCTION("""COMPUTED_VALUE"""),46240)</f>
        <v>46240</v>
      </c>
      <c r="B57" s="1" t="str">
        <f>IFERROR(__xludf.DUMMYFUNCTION("""COMPUTED_VALUE"""),"MARK JHUN FELIPE ORCE")</f>
        <v>MARK JHUN FELIPE ORCE</v>
      </c>
      <c r="C57" s="1">
        <f>IFERROR(__xludf.DUMMYFUNCTION("""COMPUTED_VALUE"""),2311581248)</f>
        <v>2311581248</v>
      </c>
      <c r="D57" s="1">
        <f>IFERROR(__xludf.DUMMYFUNCTION("""COMPUTED_VALUE"""),406510131)</f>
        <v>406510131</v>
      </c>
      <c r="E57" s="1">
        <f>IFERROR(__xludf.DUMMYFUNCTION("""COMPUTED_VALUE"""),465403711004)</f>
        <v>465403711004</v>
      </c>
      <c r="F57" s="1" t="str">
        <f>IFERROR(__xludf.DUMMYFUNCTION("""COMPUTED_VALUE"""),"RPR")</f>
        <v>RPR</v>
      </c>
      <c r="G57" s="1" t="str">
        <f>IFERROR(__xludf.DUMMYFUNCTION("""COMPUTED_VALUE"""),"RPR CALLTHRU REMARKS   CANCEL APPLICATION NA DAW HINDI NA SINABI KUNG BAKIT TALK MARK JHUN FELIPE ORCE 09663003310")</f>
        <v>RPR CALLTHRU REMARKS   CANCEL APPLICATION NA DAW HINDI NA SINABI KUNG BAKIT TALK MARK JHUN FELIPE ORCE 09663003310</v>
      </c>
      <c r="H57" s="1"/>
      <c r="I57" s="1"/>
      <c r="J57" s="1"/>
      <c r="K57" s="1" t="str">
        <f>IFERROR(__xludf.DUMMYFUNCTION("""COMPUTED_VALUE"""),"CANCELED")</f>
        <v>CANCELED</v>
      </c>
      <c r="L57" s="1" t="str">
        <f>IFERROR(__xludf.DUMMYFUNCTION("""COMPUTED_VALUE"""),"RPR - SUBS CANCEL REQUEST")</f>
        <v>RPR - SUBS CANCEL REQUEST</v>
      </c>
      <c r="M57" s="1" t="str">
        <f>IFERROR(__xludf.DUMMYFUNCTION("""COMPUTED_VALUE"""),"RPR- SUBS CANCEL REQUEST")</f>
        <v>RPR- SUBS CANCEL REQUEST</v>
      </c>
      <c r="N57" s="3"/>
      <c r="O57" s="1" t="str">
        <f>IFERROR(__xludf.DUMMYFUNCTION("""COMPUTED_VALUE"""),"FIBR PLAN 1299")</f>
        <v>FIBR PLAN 1299</v>
      </c>
      <c r="P57" s="1" t="str">
        <f>IFERROR(__xludf.DUMMYFUNCTION("""COMPUTED_VALUE"""),"LOWPLAN")</f>
        <v>LOWPLAN</v>
      </c>
      <c r="Q57" s="1" t="str">
        <f>IFERROR(__xludf.DUMMYFUNCTION("""COMPUTED_VALUE"""),"P407050")</f>
        <v>P407050</v>
      </c>
      <c r="R57" s="1" t="str">
        <f>IFERROR(__xludf.DUMMYFUNCTION("""COMPUTED_VALUE"""),"MANDUCDOC, MARIANE")</f>
        <v>MANDUCDOC, MARIANE</v>
      </c>
      <c r="S57" s="1" t="str">
        <f>IFERROR(__xludf.DUMMYFUNCTION("""COMPUTED_VALUE"""),"ORGANIC")</f>
        <v>ORGANIC</v>
      </c>
      <c r="T57" s="1" t="str">
        <f>IFERROR(__xludf.DUMMYFUNCTION("""COMPUTED_VALUE"""),"LEA REMOLLO")</f>
        <v>LEA REMOLLO</v>
      </c>
      <c r="U57" s="1" t="str">
        <f>IFERROR(__xludf.DUMMYFUNCTION("""COMPUTED_VALUE"""),"JULIE ESPIRITU")</f>
        <v>JULIE ESPIRITU</v>
      </c>
      <c r="V57" s="1" t="str">
        <f>IFERROR(__xludf.DUMMYFUNCTION("""COMPUTED_VALUE"""),"BK REGULAR")</f>
        <v>BK REGULAR</v>
      </c>
      <c r="W57" s="1" t="str">
        <f>IFERROR(__xludf.DUMMYFUNCTION("""COMPUTED_VALUE"""),"STK REGULAR")</f>
        <v>STK REGULAR</v>
      </c>
      <c r="X57" s="1" t="str">
        <f>IFERROR(__xludf.DUMMYFUNCTION("""COMPUTED_VALUE"""),"REGULAR")</f>
        <v>REGULAR</v>
      </c>
      <c r="Y57" s="1" t="str">
        <f>IFERROR(__xludf.DUMMYFUNCTION("""COMPUTED_VALUE"""),"BK_CVEU_260806")</f>
        <v>BK_CVEU_260806</v>
      </c>
      <c r="Z57" s="1" t="str">
        <f>IFERROR(__xludf.DUMMYFUNCTION("""COMPUTED_VALUE"""),"NEW CONNECT")</f>
        <v>NEW CONNECT</v>
      </c>
      <c r="AA57" s="1">
        <f>IFERROR(__xludf.DUMMYFUNCTION("""COMPUTED_VALUE"""),639663003310)</f>
        <v>639663003310</v>
      </c>
      <c r="AB57" s="1"/>
      <c r="AC57" s="1"/>
      <c r="AD57" s="1" t="str">
        <f>IFERROR(__xludf.DUMMYFUNCTION("""COMPUTED_VALUE"""),"IPIL 2")</f>
        <v>IPIL 2</v>
      </c>
      <c r="AE57" s="1"/>
      <c r="AF57" s="1" t="str">
        <f>IFERROR(__xludf.DUMMYFUNCTION("""COMPUTED_VALUE"""),"BGY IPIL 2")</f>
        <v>BGY IPIL 2</v>
      </c>
      <c r="AG57" s="1" t="str">
        <f>IFERROR(__xludf.DUMMYFUNCTION("""COMPUTED_VALUE"""),"SILANG")</f>
        <v>SILANG</v>
      </c>
      <c r="AH57" s="1" t="str">
        <f>IFERROR(__xludf.DUMMYFUNCTION("""COMPUTED_VALUE"""),"NEVILLE SCHOOL")</f>
        <v>NEVILLE SCHOOL</v>
      </c>
      <c r="AI57" s="1" t="str">
        <f>IFERROR(__xludf.DUMMYFUNCTION("""COMPUTED_VALUE"""),"CLUSTER 11")</f>
        <v>CLUSTER 11</v>
      </c>
    </row>
    <row r="58" customHeight="1" spans="1:35">
      <c r="A58" s="3">
        <f>IFERROR(__xludf.DUMMYFUNCTION("""COMPUTED_VALUE"""),46240)</f>
        <v>46240</v>
      </c>
      <c r="B58" s="1" t="str">
        <f>IFERROR(__xludf.DUMMYFUNCTION("""COMPUTED_VALUE"""),"ERWIN JR MACHINA CESAR")</f>
        <v>ERWIN JR MACHINA CESAR</v>
      </c>
      <c r="C58" s="1">
        <f>IFERROR(__xludf.DUMMYFUNCTION("""COMPUTED_VALUE"""),2311582478)</f>
        <v>2311582478</v>
      </c>
      <c r="D58" s="1">
        <f>IFERROR(__xludf.DUMMYFUNCTION("""COMPUTED_VALUE"""),406510794)</f>
        <v>406510794</v>
      </c>
      <c r="E58" s="1">
        <f>IFERROR(__xludf.DUMMYFUNCTION("""COMPUTED_VALUE"""),465405331004)</f>
        <v>465405331004</v>
      </c>
      <c r="F58" s="1" t="str">
        <f>IFERROR(__xludf.DUMMYFUNCTION("""COMPUTED_VALUE"""),"CLOSED")</f>
        <v>CLOSED</v>
      </c>
      <c r="G58" s="1" t="str">
        <f>IFERROR(__xludf.DUMMYFUNCTION("""COMPUTED_VALUE"""),"CLOSED")</f>
        <v>CLOSED</v>
      </c>
      <c r="H58" s="1"/>
      <c r="I58" s="1" t="str">
        <f>IFERROR(__xludf.DUMMYFUNCTION("""COMPUTED_VALUE"""),"NO 1 AMSF")</f>
        <v>NO 1 AMSF</v>
      </c>
      <c r="J58" s="1" t="str">
        <f>IFERROR(__xludf.DUMMYFUNCTION("""COMPUTED_VALUE"""),"DUE DATE - 05-Sep-26 - 2,424.90")</f>
        <v>DUE DATE - 05-Sep-26 - 2,424.90</v>
      </c>
      <c r="K58" s="1" t="str">
        <f>IFERROR(__xludf.DUMMYFUNCTION("""COMPUTED_VALUE"""),"COMPLETED")</f>
        <v>COMPLETED</v>
      </c>
      <c r="L58" s="1" t="str">
        <f>IFERROR(__xludf.DUMMYFUNCTION("""COMPUTED_VALUE"""),"POSTED")</f>
        <v>POSTED</v>
      </c>
      <c r="M58" s="1" t="str">
        <f>IFERROR(__xludf.DUMMYFUNCTION("""COMPUTED_VALUE"""),"POSTED")</f>
        <v>POSTED</v>
      </c>
      <c r="N58" s="3">
        <f>IFERROR(__xludf.DUMMYFUNCTION("""COMPUTED_VALUE"""),46244)</f>
        <v>46244</v>
      </c>
      <c r="O58" s="1" t="str">
        <f>IFERROR(__xludf.DUMMYFUNCTION("""COMPUTED_VALUE"""),"FIBR UNLI ALL PLAN 999")</f>
        <v>FIBR UNLI ALL PLAN 999</v>
      </c>
      <c r="P58" s="1" t="str">
        <f>IFERROR(__xludf.DUMMYFUNCTION("""COMPUTED_VALUE"""),"LOWPLAN")</f>
        <v>LOWPLAN</v>
      </c>
      <c r="Q58" s="1" t="str">
        <f>IFERROR(__xludf.DUMMYFUNCTION("""COMPUTED_VALUE"""),"P407050")</f>
        <v>P407050</v>
      </c>
      <c r="R58" s="1" t="str">
        <f>IFERROR(__xludf.DUMMYFUNCTION("""COMPUTED_VALUE"""),"ESCARCHA, ALMA")</f>
        <v>ESCARCHA, ALMA</v>
      </c>
      <c r="S58" s="1" t="str">
        <f>IFERROR(__xludf.DUMMYFUNCTION("""COMPUTED_VALUE"""),"ORGANIC")</f>
        <v>ORGANIC</v>
      </c>
      <c r="T58" s="1" t="str">
        <f>IFERROR(__xludf.DUMMYFUNCTION("""COMPUTED_VALUE"""),"LEA REMOLLO")</f>
        <v>LEA REMOLLO</v>
      </c>
      <c r="U58" s="1" t="str">
        <f>IFERROR(__xludf.DUMMYFUNCTION("""COMPUTED_VALUE"""),"JULIE ESPIRITU")</f>
        <v>JULIE ESPIRITU</v>
      </c>
      <c r="V58" s="1" t="str">
        <f>IFERROR(__xludf.DUMMYFUNCTION("""COMPUTED_VALUE"""),"BK REGULAR")</f>
        <v>BK REGULAR</v>
      </c>
      <c r="W58" s="1" t="str">
        <f>IFERROR(__xludf.DUMMYFUNCTION("""COMPUTED_VALUE"""),"STK REGULAR")</f>
        <v>STK REGULAR</v>
      </c>
      <c r="X58" s="1" t="str">
        <f>IFERROR(__xludf.DUMMYFUNCTION("""COMPUTED_VALUE"""),"REGULAR")</f>
        <v>REGULAR</v>
      </c>
      <c r="Y58" s="1"/>
      <c r="Z58" s="1" t="str">
        <f>IFERROR(__xludf.DUMMYFUNCTION("""COMPUTED_VALUE"""),"NEW CONNECT")</f>
        <v>NEW CONNECT</v>
      </c>
      <c r="AA58" s="1">
        <f>IFERROR(__xludf.DUMMYFUNCTION("""COMPUTED_VALUE"""),639926427689)</f>
        <v>639926427689</v>
      </c>
      <c r="AB58" s="1"/>
      <c r="AC58" s="1"/>
      <c r="AD58" s="1" t="str">
        <f>IFERROR(__xludf.DUMMYFUNCTION("""COMPUTED_VALUE"""),"IPIL 2")</f>
        <v>IPIL 2</v>
      </c>
      <c r="AE58" s="1"/>
      <c r="AF58" s="1" t="str">
        <f>IFERROR(__xludf.DUMMYFUNCTION("""COMPUTED_VALUE"""),"BGY IPIL 2")</f>
        <v>BGY IPIL 2</v>
      </c>
      <c r="AG58" s="1" t="str">
        <f>IFERROR(__xludf.DUMMYFUNCTION("""COMPUTED_VALUE"""),"SILANG")</f>
        <v>SILANG</v>
      </c>
      <c r="AH58" s="1" t="str">
        <f>IFERROR(__xludf.DUMMYFUNCTION("""COMPUTED_VALUE"""),"NEVILLE SCHOOL")</f>
        <v>NEVILLE SCHOOL</v>
      </c>
      <c r="AI58" s="1" t="str">
        <f>IFERROR(__xludf.DUMMYFUNCTION("""COMPUTED_VALUE"""),"CLUSTER 11")</f>
        <v>CLUSTER 11</v>
      </c>
    </row>
    <row r="59" customHeight="1" spans="1:35">
      <c r="A59" s="3">
        <f>IFERROR(__xludf.DUMMYFUNCTION("""COMPUTED_VALUE"""),46241)</f>
        <v>46241</v>
      </c>
      <c r="B59" s="1" t="str">
        <f>IFERROR(__xludf.DUMMYFUNCTION("""COMPUTED_VALUE"""),"ALBERT LIMOSNERO ROMERO")</f>
        <v>ALBERT LIMOSNERO ROMERO</v>
      </c>
      <c r="C59" s="1">
        <f>IFERROR(__xludf.DUMMYFUNCTION("""COMPUTED_VALUE"""),2311594870)</f>
        <v>2311594870</v>
      </c>
      <c r="D59" s="1">
        <f>IFERROR(__xludf.DUMMYFUNCTION("""COMPUTED_VALUE"""),406518779)</f>
        <v>406518779</v>
      </c>
      <c r="E59" s="1">
        <f>IFERROR(__xludf.DUMMYFUNCTION("""COMPUTED_VALUE"""),465511125004)</f>
        <v>465511125004</v>
      </c>
      <c r="F59" s="1" t="str">
        <f>IFERROR(__xludf.DUMMYFUNCTION("""COMPUTED_VALUE"""),"CANCELLED")</f>
        <v>CANCELLED</v>
      </c>
      <c r="G59" s="1" t="str">
        <f>IFERROR(__xludf.DUMMYFUNCTION("""COMPUTED_VALUE"""),"CANCELLED")</f>
        <v>CANCELLED</v>
      </c>
      <c r="H59" s="1"/>
      <c r="I59" s="1" t="str">
        <f>IFERROR(__xludf.DUMMYFUNCTION("""COMPUTED_VALUE"""),"NO 1 AMSF")</f>
        <v>NO 1 AMSF</v>
      </c>
      <c r="J59" s="1" t="str">
        <f>IFERROR(__xludf.DUMMYFUNCTION("""COMPUTED_VALUE"""),"NO PAYMENT")</f>
        <v>NO PAYMENT</v>
      </c>
      <c r="K59" s="1" t="str">
        <f>IFERROR(__xludf.DUMMYFUNCTION("""COMPUTED_VALUE"""),"NOT IN OFSC")</f>
        <v>NOT IN OFSC</v>
      </c>
      <c r="L59" s="1" t="str">
        <f>IFERROR(__xludf.DUMMYFUNCTION("""COMPUTED_VALUE"""),"CANCELLED")</f>
        <v>CANCELLED</v>
      </c>
      <c r="M59" s="1" t="str">
        <f>IFERROR(__xludf.DUMMYFUNCTION("""COMPUTED_VALUE"""),"CANCELLED")</f>
        <v>CANCELLED</v>
      </c>
      <c r="N59" s="3"/>
      <c r="O59" s="1" t="str">
        <f>IFERROR(__xludf.DUMMYFUNCTION("""COMPUTED_VALUE"""),"FIBR PLAN 1299")</f>
        <v>FIBR PLAN 1299</v>
      </c>
      <c r="P59" s="1" t="str">
        <f>IFERROR(__xludf.DUMMYFUNCTION("""COMPUTED_VALUE"""),"LOWPLAN")</f>
        <v>LOWPLAN</v>
      </c>
      <c r="Q59" s="1" t="str">
        <f>IFERROR(__xludf.DUMMYFUNCTION("""COMPUTED_VALUE"""),"P407050")</f>
        <v>P407050</v>
      </c>
      <c r="R59" s="1" t="str">
        <f>IFERROR(__xludf.DUMMYFUNCTION("""COMPUTED_VALUE"""),"IVNO, RAZZEL")</f>
        <v>IVNO, RAZZEL</v>
      </c>
      <c r="S59" s="1" t="str">
        <f>IFERROR(__xludf.DUMMYFUNCTION("""COMPUTED_VALUE"""),"ORGANIC")</f>
        <v>ORGANIC</v>
      </c>
      <c r="T59" s="1" t="str">
        <f>IFERROR(__xludf.DUMMYFUNCTION("""COMPUTED_VALUE"""),"LEA REMOLLO")</f>
        <v>LEA REMOLLO</v>
      </c>
      <c r="U59" s="1" t="str">
        <f>IFERROR(__xludf.DUMMYFUNCTION("""COMPUTED_VALUE"""),"JB SALIOA")</f>
        <v>JB SALIOA</v>
      </c>
      <c r="V59" s="1" t="str">
        <f>IFERROR(__xludf.DUMMYFUNCTION("""COMPUTED_VALUE"""),"BK HSTK")</f>
        <v>BK HSTK</v>
      </c>
      <c r="W59" s="1" t="str">
        <f>IFERROR(__xludf.DUMMYFUNCTION("""COMPUTED_VALUE"""),"BK HSTK")</f>
        <v>BK HSTK</v>
      </c>
      <c r="X59" s="1" t="str">
        <f>IFERROR(__xludf.DUMMYFUNCTION("""COMPUTED_VALUE"""),"REGULAR")</f>
        <v>REGULAR</v>
      </c>
      <c r="Y59" s="1" t="str">
        <f>IFERROR(__xludf.DUMMYFUNCTION("""COMPUTED_VALUE"""),"BK_CVEU_260804")</f>
        <v>BK_CVEU_260804</v>
      </c>
      <c r="Z59" s="1" t="str">
        <f>IFERROR(__xludf.DUMMYFUNCTION("""COMPUTED_VALUE"""),"NEW CONNECT")</f>
        <v>NEW CONNECT</v>
      </c>
      <c r="AA59" s="1">
        <f>IFERROR(__xludf.DUMMYFUNCTION("""COMPUTED_VALUE"""),639567016865)</f>
        <v>639567016865</v>
      </c>
      <c r="AB59" s="1"/>
      <c r="AC59" s="1"/>
      <c r="AD59" s="1" t="str">
        <f>IFERROR(__xludf.DUMMYFUNCTION("""COMPUTED_VALUE"""),"SAN GABRIEL")</f>
        <v>SAN GABRIEL</v>
      </c>
      <c r="AE59" s="1"/>
      <c r="AF59" s="1" t="str">
        <f>IFERROR(__xludf.DUMMYFUNCTION("""COMPUTED_VALUE"""),"BGY SAN GABRIEL")</f>
        <v>BGY SAN GABRIEL</v>
      </c>
      <c r="AG59" s="1" t="str">
        <f>IFERROR(__xludf.DUMMYFUNCTION("""COMPUTED_VALUE"""),"GEN MARIANO ALVAREZ")</f>
        <v>GEN MARIANO ALVAREZ</v>
      </c>
      <c r="AH59" s="1" t="str">
        <f>IFERROR(__xludf.DUMMYFUNCTION("""COMPUTED_VALUE"""),"NEAR BRGY HALL")</f>
        <v>NEAR BRGY HALL</v>
      </c>
      <c r="AI59" s="1" t="str">
        <f>IFERROR(__xludf.DUMMYFUNCTION("""COMPUTED_VALUE"""),"CLUSTER 11")</f>
        <v>CLUSTER 11</v>
      </c>
    </row>
    <row r="60" customHeight="1" spans="1:35">
      <c r="A60" s="3">
        <f>IFERROR(__xludf.DUMMYFUNCTION("""COMPUTED_VALUE"""),46241)</f>
        <v>46241</v>
      </c>
      <c r="B60" s="1" t="str">
        <f>IFERROR(__xludf.DUMMYFUNCTION("""COMPUTED_VALUE"""),"REYNAN PROUEL CASTILLON")</f>
        <v>REYNAN PROUEL CASTILLON</v>
      </c>
      <c r="C60" s="1">
        <f>IFERROR(__xludf.DUMMYFUNCTION("""COMPUTED_VALUE"""),2311598200)</f>
        <v>2311598200</v>
      </c>
      <c r="D60" s="1">
        <f>IFERROR(__xludf.DUMMYFUNCTION("""COMPUTED_VALUE"""),406530582)</f>
        <v>406530582</v>
      </c>
      <c r="E60" s="1">
        <f>IFERROR(__xludf.DUMMYFUNCTION("""COMPUTED_VALUE"""),465535551004)</f>
        <v>465535551004</v>
      </c>
      <c r="F60" s="1" t="str">
        <f>IFERROR(__xludf.DUMMYFUNCTION("""COMPUTED_VALUE"""),"CANCELLED")</f>
        <v>CANCELLED</v>
      </c>
      <c r="G60" s="1" t="str">
        <f>IFERROR(__xludf.DUMMYFUNCTION("""COMPUTED_VALUE"""),"VISITED ASSIGN CAFAC TNZLP277NP3 17SPAN MAPUNO, UNMAINTAINABLE NEAREST CAFAC TNZLP275NP1 FULL TNZLP275NP2 FULL TNZLP275NP3 FULL TNZLP275NP4 FULL TNZLP275NP5 FULL ADVISED REYNAN CBR 09456419550")</f>
        <v>VISITED ASSIGN CAFAC TNZLP277NP3 17SPAN MAPUNO, UNMAINTAINABLE NEAREST CAFAC TNZLP275NP1 FULL TNZLP275NP2 FULL TNZLP275NP3 FULL TNZLP275NP4 FULL TNZLP275NP5 FULL ADVISED REYNAN CBR 09456419550</v>
      </c>
      <c r="H60" s="1"/>
      <c r="I60" s="1"/>
      <c r="J60" s="1"/>
      <c r="K60" s="1" t="str">
        <f>IFERROR(__xludf.DUMMYFUNCTION("""COMPUTED_VALUE"""),"CANCELED")</f>
        <v>CANCELED</v>
      </c>
      <c r="L60" s="1" t="str">
        <f>IFERROR(__xludf.DUMMYFUNCTION("""COMPUTED_VALUE"""),"RPR - UNAMAINTAINABLE")</f>
        <v>RPR - UNAMAINTAINABLE</v>
      </c>
      <c r="M60" s="1" t="str">
        <f>IFERROR(__xludf.DUMMYFUNCTION("""COMPUTED_VALUE"""),"RPR - UNMAINTAINABLE")</f>
        <v>RPR - UNMAINTAINABLE</v>
      </c>
      <c r="N60" s="3"/>
      <c r="O60" s="1" t="str">
        <f>IFERROR(__xludf.DUMMYFUNCTION("""COMPUTED_VALUE"""),"FIBR PLAN 2699")</f>
        <v>FIBR PLAN 2699</v>
      </c>
      <c r="P60" s="1" t="str">
        <f>IFERROR(__xludf.DUMMYFUNCTION("""COMPUTED_VALUE"""),"HIGHPLAN")</f>
        <v>HIGHPLAN</v>
      </c>
      <c r="Q60" s="1" t="str">
        <f>IFERROR(__xludf.DUMMYFUNCTION("""COMPUTED_VALUE"""),"P407044")</f>
        <v>P407044</v>
      </c>
      <c r="R60" s="1" t="str">
        <f>IFERROR(__xludf.DUMMYFUNCTION("""COMPUTED_VALUE"""),"CARPIO, STEPHANIE")</f>
        <v>CARPIO, STEPHANIE</v>
      </c>
      <c r="S60" s="1" t="str">
        <f>IFERROR(__xludf.DUMMYFUNCTION("""COMPUTED_VALUE"""),"FLA")</f>
        <v>FLA</v>
      </c>
      <c r="T60" s="1" t="str">
        <f>IFERROR(__xludf.DUMMYFUNCTION("""COMPUTED_VALUE"""),"JERIC NAVARRO")</f>
        <v>JERIC NAVARRO</v>
      </c>
      <c r="U60" s="1" t="str">
        <f>IFERROR(__xludf.DUMMYFUNCTION("""COMPUTED_VALUE"""),"JB SALIOA")</f>
        <v>JB SALIOA</v>
      </c>
      <c r="V60" s="1" t="str">
        <f>IFERROR(__xludf.DUMMYFUNCTION("""COMPUTED_VALUE"""),"BK")</f>
        <v>BK</v>
      </c>
      <c r="W60" s="1" t="str">
        <f>IFERROR(__xludf.DUMMYFUNCTION("""COMPUTED_VALUE"""),"STK REGULAR")</f>
        <v>STK REGULAR</v>
      </c>
      <c r="X60" s="1" t="str">
        <f>IFERROR(__xludf.DUMMYFUNCTION("""COMPUTED_VALUE"""),"REGULAR")</f>
        <v>REGULAR</v>
      </c>
      <c r="Y60" s="1" t="str">
        <f>IFERROR(__xludf.DUMMYFUNCTION("""COMPUTED_VALUE"""),"RS_SS_CVEU_2026")</f>
        <v>RS_SS_CVEU_2026</v>
      </c>
      <c r="Z60" s="1" t="str">
        <f>IFERROR(__xludf.DUMMYFUNCTION("""COMPUTED_VALUE"""),"NEW CONNECT")</f>
        <v>NEW CONNECT</v>
      </c>
      <c r="AA60" s="1">
        <f>IFERROR(__xludf.DUMMYFUNCTION("""COMPUTED_VALUE"""),639456419550)</f>
        <v>639456419550</v>
      </c>
      <c r="AB60" s="1"/>
      <c r="AC60" s="1">
        <f>IFERROR(__xludf.DUMMYFUNCTION("""COMPUTED_VALUE"""),9135)</f>
        <v>9135</v>
      </c>
      <c r="AD60" s="1" t="str">
        <f>IFERROR(__xludf.DUMMYFUNCTION("""COMPUTED_VALUE"""),"HALAYHAY")</f>
        <v>HALAYHAY</v>
      </c>
      <c r="AE60" s="1"/>
      <c r="AF60" s="1" t="str">
        <f>IFERROR(__xludf.DUMMYFUNCTION("""COMPUTED_VALUE"""),"BGY HALAYHAY")</f>
        <v>BGY HALAYHAY</v>
      </c>
      <c r="AG60" s="1" t="str">
        <f>IFERROR(__xludf.DUMMYFUNCTION("""COMPUTED_VALUE"""),"TANZA")</f>
        <v>TANZA</v>
      </c>
      <c r="AH60" s="1" t="str">
        <f>IFERROR(__xludf.DUMMYFUNCTION("""COMPUTED_VALUE"""),"INFRONT OF DELIMONDO")</f>
        <v>INFRONT OF DELIMONDO</v>
      </c>
      <c r="AI60" s="1" t="str">
        <f>IFERROR(__xludf.DUMMYFUNCTION("""COMPUTED_VALUE"""),"NOT AOR")</f>
        <v>NOT AOR</v>
      </c>
    </row>
    <row r="61" customHeight="1" spans="1:35">
      <c r="A61" s="3">
        <f>IFERROR(__xludf.DUMMYFUNCTION("""COMPUTED_VALUE"""),46241)</f>
        <v>46241</v>
      </c>
      <c r="B61" s="1" t="str">
        <f>IFERROR(__xludf.DUMMYFUNCTION("""COMPUTED_VALUE"""),"GLORIA FLORES SAMPAYAN")</f>
        <v>GLORIA FLORES SAMPAYAN</v>
      </c>
      <c r="C61" s="1">
        <f>IFERROR(__xludf.DUMMYFUNCTION("""COMPUTED_VALUE"""),2311600268)</f>
        <v>2311600268</v>
      </c>
      <c r="D61" s="1">
        <f>IFERROR(__xludf.DUMMYFUNCTION("""COMPUTED_VALUE"""),406531597)</f>
        <v>406531597</v>
      </c>
      <c r="E61" s="1">
        <f>IFERROR(__xludf.DUMMYFUNCTION("""COMPUTED_VALUE"""),465536556004)</f>
        <v>465536556004</v>
      </c>
      <c r="F61" s="1" t="str">
        <f>IFERROR(__xludf.DUMMYFUNCTION("""COMPUTED_VALUE"""),"CLOSED")</f>
        <v>CLOSED</v>
      </c>
      <c r="G61" s="1" t="str">
        <f>IFERROR(__xludf.DUMMYFUNCTION("""COMPUTED_VALUE"""),"CLOSED")</f>
        <v>CLOSED</v>
      </c>
      <c r="H61" s="1" t="str">
        <f>IFERROR(__xludf.DUMMYFUNCTION("""COMPUTED_VALUE"""),"PAID VIA GCASH REF 968040645 AUG 8")</f>
        <v>PAID VIA GCASH REF 968040645 AUG 8</v>
      </c>
      <c r="I61" s="1" t="str">
        <f>IFERROR(__xludf.DUMMYFUNCTION("""COMPUTED_VALUE"""),"WITH 1 AMSF")</f>
        <v>WITH 1 AMSF</v>
      </c>
      <c r="J61" s="1"/>
      <c r="K61" s="1" t="str">
        <f>IFERROR(__xludf.DUMMYFUNCTION("""COMPUTED_VALUE"""),"COMPLETED")</f>
        <v>COMPLETED</v>
      </c>
      <c r="L61" s="1" t="str">
        <f>IFERROR(__xludf.DUMMYFUNCTION("""COMPUTED_VALUE"""),"POSTED")</f>
        <v>POSTED</v>
      </c>
      <c r="M61" s="1" t="str">
        <f>IFERROR(__xludf.DUMMYFUNCTION("""COMPUTED_VALUE"""),"POSTED")</f>
        <v>POSTED</v>
      </c>
      <c r="N61" s="3">
        <f>IFERROR(__xludf.DUMMYFUNCTION("""COMPUTED_VALUE"""),46242)</f>
        <v>46242</v>
      </c>
      <c r="O61" s="1" t="str">
        <f>IFERROR(__xludf.DUMMYFUNCTION("""COMPUTED_VALUE"""),"FIBR PLAN 1299")</f>
        <v>FIBR PLAN 1299</v>
      </c>
      <c r="P61" s="1" t="str">
        <f>IFERROR(__xludf.DUMMYFUNCTION("""COMPUTED_VALUE"""),"LOWPLAN")</f>
        <v>LOWPLAN</v>
      </c>
      <c r="Q61" s="1" t="str">
        <f>IFERROR(__xludf.DUMMYFUNCTION("""COMPUTED_VALUE"""),"P407047")</f>
        <v>P407047</v>
      </c>
      <c r="R61" s="1" t="str">
        <f>IFERROR(__xludf.DUMMYFUNCTION("""COMPUTED_VALUE"""),"FRANCISCO, ROSELYN")</f>
        <v>FRANCISCO, ROSELYN</v>
      </c>
      <c r="S61" s="1" t="str">
        <f>IFERROR(__xludf.DUMMYFUNCTION("""COMPUTED_VALUE"""),"ORGANIC")</f>
        <v>ORGANIC</v>
      </c>
      <c r="T61" s="1" t="str">
        <f>IFERROR(__xludf.DUMMYFUNCTION("""COMPUTED_VALUE"""),"LEA REMOLLO")</f>
        <v>LEA REMOLLO</v>
      </c>
      <c r="U61" s="1" t="str">
        <f>IFERROR(__xludf.DUMMYFUNCTION("""COMPUTED_VALUE"""),"JB SALIOA")</f>
        <v>JB SALIOA</v>
      </c>
      <c r="V61" s="1" t="str">
        <f>IFERROR(__xludf.DUMMYFUNCTION("""COMPUTED_VALUE"""),"ONLINE/CRANFORD")</f>
        <v>ONLINE/CRANFORD</v>
      </c>
      <c r="W61" s="1" t="str">
        <f>IFERROR(__xludf.DUMMYFUNCTION("""COMPUTED_VALUE"""),"STK REGULAR")</f>
        <v>STK REGULAR</v>
      </c>
      <c r="X61" s="1" t="str">
        <f>IFERROR(__xludf.DUMMYFUNCTION("""COMPUTED_VALUE"""),"REGULAR")</f>
        <v>REGULAR</v>
      </c>
      <c r="Y61" s="1" t="str">
        <f>IFERROR(__xludf.DUMMYFUNCTION("""COMPUTED_VALUE"""),"RS_ONL_CVEU_2026")</f>
        <v>RS_ONL_CVEU_2026</v>
      </c>
      <c r="Z61" s="1" t="str">
        <f>IFERROR(__xludf.DUMMYFUNCTION("""COMPUTED_VALUE"""),"NEW CONNECT")</f>
        <v>NEW CONNECT</v>
      </c>
      <c r="AA61" s="1">
        <f>IFERROR(__xludf.DUMMYFUNCTION("""COMPUTED_VALUE"""),639507312317)</f>
        <v>639507312317</v>
      </c>
      <c r="AB61" s="1">
        <f>IFERROR(__xludf.DUMMYFUNCTION("""COMPUTED_VALUE"""),639761087521)</f>
        <v>639761087521</v>
      </c>
      <c r="AC61" s="1"/>
      <c r="AD61" s="1" t="str">
        <f>IFERROR(__xludf.DUMMYFUNCTION("""COMPUTED_VALUE"""),"MABUHAY HOMES")</f>
        <v>MABUHAY HOMES</v>
      </c>
      <c r="AE61" s="1" t="str">
        <f>IFERROR(__xludf.DUMMYFUNCTION("""COMPUTED_VALUE"""),"MABUHAY HOMES 2000")</f>
        <v>MABUHAY HOMES 2000</v>
      </c>
      <c r="AF61" s="1" t="str">
        <f>IFERROR(__xludf.DUMMYFUNCTION("""COMPUTED_VALUE"""),"BGY PALIPARAN 2")</f>
        <v>BGY PALIPARAN 2</v>
      </c>
      <c r="AG61" s="1" t="str">
        <f>IFERROR(__xludf.DUMMYFUNCTION("""COMPUTED_VALUE"""),"DASMARINAS")</f>
        <v>DASMARINAS</v>
      </c>
      <c r="AH61" s="1" t="str">
        <f>IFERROR(__xludf.DUMMYFUNCTION("""COMPUTED_VALUE"""),"MANHORI ACADEMY")</f>
        <v>MANHORI ACADEMY</v>
      </c>
      <c r="AI61" s="1" t="str">
        <f>IFERROR(__xludf.DUMMYFUNCTION("""COMPUTED_VALUE"""),"NOT AOR")</f>
        <v>NOT AOR</v>
      </c>
    </row>
    <row r="62" customHeight="1" spans="1:35">
      <c r="A62" s="3">
        <f>IFERROR(__xludf.DUMMYFUNCTION("""COMPUTED_VALUE"""),46241)</f>
        <v>46241</v>
      </c>
      <c r="B62" s="1" t="str">
        <f>IFERROR(__xludf.DUMMYFUNCTION("""COMPUTED_VALUE"""),"LARRY ROMOSOD SALVADOR")</f>
        <v>LARRY ROMOSOD SALVADOR</v>
      </c>
      <c r="C62" s="1">
        <f>IFERROR(__xludf.DUMMYFUNCTION("""COMPUTED_VALUE"""),2311602755)</f>
        <v>2311602755</v>
      </c>
      <c r="D62" s="1">
        <f>IFERROR(__xludf.DUMMYFUNCTION("""COMPUTED_VALUE"""),406533700)</f>
        <v>406533700</v>
      </c>
      <c r="E62" s="1">
        <f>IFERROR(__xludf.DUMMYFUNCTION("""COMPUTED_VALUE"""),465537832004)</f>
        <v>465537832004</v>
      </c>
      <c r="F62" s="1" t="str">
        <f>IFERROR(__xludf.DUMMYFUNCTION("""COMPUTED_VALUE"""),"CLOSED")</f>
        <v>CLOSED</v>
      </c>
      <c r="G62" s="1" t="str">
        <f>IFERROR(__xludf.DUMMYFUNCTION("""COMPUTED_VALUE"""),"CLOSED")</f>
        <v>CLOSED</v>
      </c>
      <c r="H62" s="1" t="str">
        <f>IFERROR(__xludf.DUMMYFUNCTION("""COMPUTED_VALUE"""),"PQGOR360755115	14-Aug-26	Regular Payment	CIS - CVM PAWNSHOP BFA CAVITE 2	1,149.00	0	14-Aug-26")</f>
        <v>PQGOR360755115	14-Aug-26	Regular Payment	CIS - CVM PAWNSHOP BFA CAVITE 2	1,149.00	0	14-Aug-26</v>
      </c>
      <c r="I62" s="1" t="str">
        <f>IFERROR(__xludf.DUMMYFUNCTION("""COMPUTED_VALUE"""),"WITH 1 AMSF")</f>
        <v>WITH 1 AMSF</v>
      </c>
      <c r="J62" s="1"/>
      <c r="K62" s="1" t="str">
        <f>IFERROR(__xludf.DUMMYFUNCTION("""COMPUTED_VALUE"""),"COMPLETED")</f>
        <v>COMPLETED</v>
      </c>
      <c r="L62" s="1" t="str">
        <f>IFERROR(__xludf.DUMMYFUNCTION("""COMPUTED_VALUE"""),"POSTED")</f>
        <v>POSTED</v>
      </c>
      <c r="M62" s="1" t="str">
        <f>IFERROR(__xludf.DUMMYFUNCTION("""COMPUTED_VALUE"""),"POSTED")</f>
        <v>POSTED</v>
      </c>
      <c r="N62" s="3">
        <f>IFERROR(__xludf.DUMMYFUNCTION("""COMPUTED_VALUE"""),46250)</f>
        <v>46250</v>
      </c>
      <c r="O62" s="1" t="str">
        <f>IFERROR(__xludf.DUMMYFUNCTION("""COMPUTED_VALUE"""),"FIBR UNLI ALL PLAN 999")</f>
        <v>FIBR UNLI ALL PLAN 999</v>
      </c>
      <c r="P62" s="1" t="str">
        <f>IFERROR(__xludf.DUMMYFUNCTION("""COMPUTED_VALUE"""),"LOWPLAN")</f>
        <v>LOWPLAN</v>
      </c>
      <c r="Q62" s="1" t="str">
        <f>IFERROR(__xludf.DUMMYFUNCTION("""COMPUTED_VALUE"""),"P407050")</f>
        <v>P407050</v>
      </c>
      <c r="R62" s="1" t="str">
        <f>IFERROR(__xludf.DUMMYFUNCTION("""COMPUTED_VALUE"""),"CADERAO, RONALD")</f>
        <v>CADERAO, RONALD</v>
      </c>
      <c r="S62" s="1" t="str">
        <f>IFERROR(__xludf.DUMMYFUNCTION("""COMPUTED_VALUE"""),"ORGANIC")</f>
        <v>ORGANIC</v>
      </c>
      <c r="T62" s="1" t="str">
        <f>IFERROR(__xludf.DUMMYFUNCTION("""COMPUTED_VALUE"""),"LEA REMOLLO")</f>
        <v>LEA REMOLLO</v>
      </c>
      <c r="U62" s="1" t="str">
        <f>IFERROR(__xludf.DUMMYFUNCTION("""COMPUTED_VALUE"""),"JB SALIOA")</f>
        <v>JB SALIOA</v>
      </c>
      <c r="V62" s="1" t="str">
        <f>IFERROR(__xludf.DUMMYFUNCTION("""COMPUTED_VALUE"""),"BK REGULAR")</f>
        <v>BK REGULAR</v>
      </c>
      <c r="W62" s="1" t="str">
        <f>IFERROR(__xludf.DUMMYFUNCTION("""COMPUTED_VALUE"""),"STK REGULAR")</f>
        <v>STK REGULAR</v>
      </c>
      <c r="X62" s="1" t="str">
        <f>IFERROR(__xludf.DUMMYFUNCTION("""COMPUTED_VALUE"""),"REGULAR")</f>
        <v>REGULAR</v>
      </c>
      <c r="Y62" s="1" t="str">
        <f>IFERROR(__xludf.DUMMYFUNCTION("""COMPUTED_VALUE"""),"BK_CVEU_260806")</f>
        <v>BK_CVEU_260806</v>
      </c>
      <c r="Z62" s="1" t="str">
        <f>IFERROR(__xludf.DUMMYFUNCTION("""COMPUTED_VALUE"""),"NEW CONNECT")</f>
        <v>NEW CONNECT</v>
      </c>
      <c r="AA62" s="1">
        <f>IFERROR(__xludf.DUMMYFUNCTION("""COMPUTED_VALUE"""),639453164650)</f>
        <v>639453164650</v>
      </c>
      <c r="AB62" s="1"/>
      <c r="AC62" s="1"/>
      <c r="AD62" s="1" t="str">
        <f>IFERROR(__xludf.DUMMYFUNCTION("""COMPUTED_VALUE"""),"ZONE 11")</f>
        <v>ZONE 11</v>
      </c>
      <c r="AE62" s="1"/>
      <c r="AF62" s="1" t="str">
        <f>IFERROR(__xludf.DUMMYFUNCTION("""COMPUTED_VALUE"""),"BGY BULIHAN")</f>
        <v>BGY BULIHAN</v>
      </c>
      <c r="AG62" s="1" t="str">
        <f>IFERROR(__xludf.DUMMYFUNCTION("""COMPUTED_VALUE"""),"SILANG")</f>
        <v>SILANG</v>
      </c>
      <c r="AH62" s="1" t="str">
        <f>IFERROR(__xludf.DUMMYFUNCTION("""COMPUTED_VALUE"""),"INFRONT OF NATIONAL HIGH SCHOOL ")</f>
        <v>INFRONT OF NATIONAL HIGH SCHOOL </v>
      </c>
      <c r="AI62" s="1" t="str">
        <f>IFERROR(__xludf.DUMMYFUNCTION("""COMPUTED_VALUE"""),"CLUSTER 11")</f>
        <v>CLUSTER 11</v>
      </c>
    </row>
    <row r="63" customHeight="1" spans="1:35">
      <c r="A63" s="3">
        <f>IFERROR(__xludf.DUMMYFUNCTION("""COMPUTED_VALUE"""),46241)</f>
        <v>46241</v>
      </c>
      <c r="B63" s="1" t="str">
        <f>IFERROR(__xludf.DUMMYFUNCTION("""COMPUTED_VALUE"""),"NATHANIEL JACO BILLONES")</f>
        <v>NATHANIEL JACO BILLONES</v>
      </c>
      <c r="C63" s="1">
        <f>IFERROR(__xludf.DUMMYFUNCTION("""COMPUTED_VALUE"""),2311603732)</f>
        <v>2311603732</v>
      </c>
      <c r="D63" s="1">
        <f>IFERROR(__xludf.DUMMYFUNCTION("""COMPUTED_VALUE"""),406538168)</f>
        <v>406538168</v>
      </c>
      <c r="E63" s="1">
        <f>IFERROR(__xludf.DUMMYFUNCTION("""COMPUTED_VALUE"""),465539741004)</f>
        <v>465539741004</v>
      </c>
      <c r="F63" s="1" t="str">
        <f>IFERROR(__xludf.DUMMYFUNCTION("""COMPUTED_VALUE"""),"CLOSED")</f>
        <v>CLOSED</v>
      </c>
      <c r="G63" s="1" t="str">
        <f>IFERROR(__xludf.DUMMYFUNCTION("""COMPUTED_VALUE"""),"CLOSED")</f>
        <v>CLOSED</v>
      </c>
      <c r="H63" s="1" t="str">
        <f>IFERROR(__xludf.DUMMYFUNCTION("""COMPUTED_VALUE"""),"PAID VIA GCASH - AUG 8 - REF - 766472300")</f>
        <v>PAID VIA GCASH - AUG 8 - REF - 766472300</v>
      </c>
      <c r="I63" s="1" t="str">
        <f>IFERROR(__xludf.DUMMYFUNCTION("""COMPUTED_VALUE"""),"WITH 1 AMSF")</f>
        <v>WITH 1 AMSF</v>
      </c>
      <c r="J63" s="1"/>
      <c r="K63" s="1" t="str">
        <f>IFERROR(__xludf.DUMMYFUNCTION("""COMPUTED_VALUE"""),"COMPLETED")</f>
        <v>COMPLETED</v>
      </c>
      <c r="L63" s="1" t="str">
        <f>IFERROR(__xludf.DUMMYFUNCTION("""COMPUTED_VALUE"""),"POSTED")</f>
        <v>POSTED</v>
      </c>
      <c r="M63" s="1" t="str">
        <f>IFERROR(__xludf.DUMMYFUNCTION("""COMPUTED_VALUE"""),"POSTED")</f>
        <v>POSTED</v>
      </c>
      <c r="N63" s="3">
        <f>IFERROR(__xludf.DUMMYFUNCTION("""COMPUTED_VALUE"""),46242)</f>
        <v>46242</v>
      </c>
      <c r="O63" s="1" t="str">
        <f>IFERROR(__xludf.DUMMYFUNCTION("""COMPUTED_VALUE"""),"FIBR PLAN 1299")</f>
        <v>FIBR PLAN 1299</v>
      </c>
      <c r="P63" s="1" t="str">
        <f>IFERROR(__xludf.DUMMYFUNCTION("""COMPUTED_VALUE"""),"LOWPLAN")</f>
        <v>LOWPLAN</v>
      </c>
      <c r="Q63" s="1" t="str">
        <f>IFERROR(__xludf.DUMMYFUNCTION("""COMPUTED_VALUE"""),"P407045")</f>
        <v>P407045</v>
      </c>
      <c r="R63" s="1" t="str">
        <f>IFERROR(__xludf.DUMMYFUNCTION("""COMPUTED_VALUE"""),"GABAY, MANUEL")</f>
        <v>GABAY, MANUEL</v>
      </c>
      <c r="S63" s="1" t="str">
        <f>IFERROR(__xludf.DUMMYFUNCTION("""COMPUTED_VALUE"""),"FLA")</f>
        <v>FLA</v>
      </c>
      <c r="T63" s="1" t="str">
        <f>IFERROR(__xludf.DUMMYFUNCTION("""COMPUTED_VALUE"""),"JERIC NAVARRO")</f>
        <v>JERIC NAVARRO</v>
      </c>
      <c r="U63" s="1" t="str">
        <f>IFERROR(__xludf.DUMMYFUNCTION("""COMPUTED_VALUE"""),"JB SALIOA")</f>
        <v>JB SALIOA</v>
      </c>
      <c r="V63" s="1" t="str">
        <f>IFERROR(__xludf.DUMMYFUNCTION("""COMPUTED_VALUE"""),"BK HSTK")</f>
        <v>BK HSTK</v>
      </c>
      <c r="W63" s="1" t="str">
        <f>IFERROR(__xludf.DUMMYFUNCTION("""COMPUTED_VALUE"""),"BK HSTK")</f>
        <v>BK HSTK</v>
      </c>
      <c r="X63" s="1" t="str">
        <f>IFERROR(__xludf.DUMMYFUNCTION("""COMPUTED_VALUE"""),"REGULAR")</f>
        <v>REGULAR</v>
      </c>
      <c r="Y63" s="1" t="str">
        <f>IFERROR(__xludf.DUMMYFUNCTION("""COMPUTED_VALUE"""),"BK_CVEU_260804")</f>
        <v>BK_CVEU_260804</v>
      </c>
      <c r="Z63" s="1" t="str">
        <f>IFERROR(__xludf.DUMMYFUNCTION("""COMPUTED_VALUE"""),"NEW CONNECT")</f>
        <v>NEW CONNECT</v>
      </c>
      <c r="AA63" s="1">
        <f>IFERROR(__xludf.DUMMYFUNCTION("""COMPUTED_VALUE"""),639641911488)</f>
        <v>639641911488</v>
      </c>
      <c r="AB63" s="1">
        <f>IFERROR(__xludf.DUMMYFUNCTION("""COMPUTED_VALUE"""),639938712642)</f>
        <v>639938712642</v>
      </c>
      <c r="AC63" s="1"/>
      <c r="AD63" s="1" t="str">
        <f>IFERROR(__xludf.DUMMYFUNCTION("""COMPUTED_VALUE"""),"F REYES")</f>
        <v>F REYES</v>
      </c>
      <c r="AE63" s="1"/>
      <c r="AF63" s="1" t="str">
        <f>IFERROR(__xludf.DUMMYFUNCTION("""COMPUTED_VALUE"""),"BGY FRANCISCO REYES")</f>
        <v>BGY FRANCISCO REYES</v>
      </c>
      <c r="AG63" s="1" t="str">
        <f>IFERROR(__xludf.DUMMYFUNCTION("""COMPUTED_VALUE"""),"GEN MARIANO ALVAREZ")</f>
        <v>GEN MARIANO ALVAREZ</v>
      </c>
      <c r="AH63" s="1" t="str">
        <f>IFERROR(__xludf.DUMMYFUNCTION("""COMPUTED_VALUE"""),"-")</f>
        <v>-</v>
      </c>
      <c r="AI63" s="1" t="str">
        <f>IFERROR(__xludf.DUMMYFUNCTION("""COMPUTED_VALUE"""),"CLUSTER 11")</f>
        <v>CLUSTER 11</v>
      </c>
    </row>
    <row r="64" customHeight="1" spans="1:35">
      <c r="A64" s="3">
        <f>IFERROR(__xludf.DUMMYFUNCTION("""COMPUTED_VALUE"""),46241)</f>
        <v>46241</v>
      </c>
      <c r="B64" s="1" t="str">
        <f>IFERROR(__xludf.DUMMYFUNCTION("""COMPUTED_VALUE"""),"NICOLE ANN CARIN BUNI")</f>
        <v>NICOLE ANN CARIN BUNI</v>
      </c>
      <c r="C64" s="1">
        <f>IFERROR(__xludf.DUMMYFUNCTION("""COMPUTED_VALUE"""),2311604623)</f>
        <v>2311604623</v>
      </c>
      <c r="D64" s="1">
        <f>IFERROR(__xludf.DUMMYFUNCTION("""COMPUTED_VALUE"""),406537897)</f>
        <v>406537897</v>
      </c>
      <c r="E64" s="1">
        <f>IFERROR(__xludf.DUMMYFUNCTION("""COMPUTED_VALUE"""),465539727004)</f>
        <v>465539727004</v>
      </c>
      <c r="F64" s="1" t="str">
        <f>IFERROR(__xludf.DUMMYFUNCTION("""COMPUTED_VALUE"""),"CLOSED")</f>
        <v>CLOSED</v>
      </c>
      <c r="G64" s="1" t="str">
        <f>IFERROR(__xludf.DUMMYFUNCTION("""COMPUTED_VALUE"""),"CLOSED")</f>
        <v>CLOSED</v>
      </c>
      <c r="H64" s="1" t="str">
        <f>IFERROR(__xludf.DUMMYFUNCTION("""COMPUTED_VALUE"""),"PAID VIA GCASH REF 364581076 AUG 8")</f>
        <v>PAID VIA GCASH REF 364581076 AUG 8</v>
      </c>
      <c r="I64" s="1" t="str">
        <f>IFERROR(__xludf.DUMMYFUNCTION("""COMPUTED_VALUE"""),"WITH 1 AMSF")</f>
        <v>WITH 1 AMSF</v>
      </c>
      <c r="J64" s="1"/>
      <c r="K64" s="1" t="str">
        <f>IFERROR(__xludf.DUMMYFUNCTION("""COMPUTED_VALUE"""),"COMPLETED")</f>
        <v>COMPLETED</v>
      </c>
      <c r="L64" s="1" t="str">
        <f>IFERROR(__xludf.DUMMYFUNCTION("""COMPUTED_VALUE"""),"POSTED")</f>
        <v>POSTED</v>
      </c>
      <c r="M64" s="1" t="str">
        <f>IFERROR(__xludf.DUMMYFUNCTION("""COMPUTED_VALUE"""),"POSTED")</f>
        <v>POSTED</v>
      </c>
      <c r="N64" s="3">
        <f>IFERROR(__xludf.DUMMYFUNCTION("""COMPUTED_VALUE"""),46243)</f>
        <v>46243</v>
      </c>
      <c r="O64" s="1" t="str">
        <f>IFERROR(__xludf.DUMMYFUNCTION("""COMPUTED_VALUE"""),"FIBER UNLI ALL PLAN 1499")</f>
        <v>FIBER UNLI ALL PLAN 1499</v>
      </c>
      <c r="P64" s="1" t="str">
        <f>IFERROR(__xludf.DUMMYFUNCTION("""COMPUTED_VALUE"""),"LOWPLAN")</f>
        <v>LOWPLAN</v>
      </c>
      <c r="Q64" s="1" t="str">
        <f>IFERROR(__xludf.DUMMYFUNCTION("""COMPUTED_VALUE"""),"P407047")</f>
        <v>P407047</v>
      </c>
      <c r="R64" s="1" t="str">
        <f>IFERROR(__xludf.DUMMYFUNCTION("""COMPUTED_VALUE"""),"FRANCISCO, ROSELYN")</f>
        <v>FRANCISCO, ROSELYN</v>
      </c>
      <c r="S64" s="1" t="str">
        <f>IFERROR(__xludf.DUMMYFUNCTION("""COMPUTED_VALUE"""),"ORGANIC")</f>
        <v>ORGANIC</v>
      </c>
      <c r="T64" s="1" t="str">
        <f>IFERROR(__xludf.DUMMYFUNCTION("""COMPUTED_VALUE"""),"LEA REMOLLO")</f>
        <v>LEA REMOLLO</v>
      </c>
      <c r="U64" s="1" t="str">
        <f>IFERROR(__xludf.DUMMYFUNCTION("""COMPUTED_VALUE"""),"JB SALIOA")</f>
        <v>JB SALIOA</v>
      </c>
      <c r="V64" s="1" t="str">
        <f>IFERROR(__xludf.DUMMYFUNCTION("""COMPUTED_VALUE"""),"BK HSTK")</f>
        <v>BK HSTK</v>
      </c>
      <c r="W64" s="1" t="str">
        <f>IFERROR(__xludf.DUMMYFUNCTION("""COMPUTED_VALUE"""),"BK HSTK")</f>
        <v>BK HSTK</v>
      </c>
      <c r="X64" s="1" t="str">
        <f>IFERROR(__xludf.DUMMYFUNCTION("""COMPUTED_VALUE"""),"REGULAR")</f>
        <v>REGULAR</v>
      </c>
      <c r="Y64" s="1" t="str">
        <f>IFERROR(__xludf.DUMMYFUNCTION("""COMPUTED_VALUE"""),"BK_CVEU_260806")</f>
        <v>BK_CVEU_260806</v>
      </c>
      <c r="Z64" s="1" t="str">
        <f>IFERROR(__xludf.DUMMYFUNCTION("""COMPUTED_VALUE"""),"NEW CONNECT")</f>
        <v>NEW CONNECT</v>
      </c>
      <c r="AA64" s="1">
        <f>IFERROR(__xludf.DUMMYFUNCTION("""COMPUTED_VALUE"""),639701429144)</f>
        <v>639701429144</v>
      </c>
      <c r="AB64" s="1"/>
      <c r="AC64" s="1"/>
      <c r="AD64" s="1" t="str">
        <f>IFERROR(__xludf.DUMMYFUNCTION("""COMPUTED_VALUE"""),"PHASE 5B")</f>
        <v>PHASE 5B</v>
      </c>
      <c r="AE64" s="1"/>
      <c r="AF64" s="1" t="str">
        <f>IFERROR(__xludf.DUMMYFUNCTION("""COMPUTED_VALUE"""),"BGY NARRA 3")</f>
        <v>BGY NARRA 3</v>
      </c>
      <c r="AG64" s="1" t="str">
        <f>IFERROR(__xludf.DUMMYFUNCTION("""COMPUTED_VALUE"""),"SILANG")</f>
        <v>SILANG</v>
      </c>
      <c r="AH64" s="1" t="str">
        <f>IFERROR(__xludf.DUMMYFUNCTION("""COMPUTED_VALUE"""),"EZWASH LAUNDRY")</f>
        <v>EZWASH LAUNDRY</v>
      </c>
      <c r="AI64" s="1" t="str">
        <f>IFERROR(__xludf.DUMMYFUNCTION("""COMPUTED_VALUE"""),"CLUSTER 11")</f>
        <v>CLUSTER 11</v>
      </c>
    </row>
    <row r="65" customHeight="1" spans="1:35">
      <c r="A65" s="3">
        <f>IFERROR(__xludf.DUMMYFUNCTION("""COMPUTED_VALUE"""),46241)</f>
        <v>46241</v>
      </c>
      <c r="B65" s="1" t="str">
        <f>IFERROR(__xludf.DUMMYFUNCTION("""COMPUTED_VALUE"""),"CRISTOBAL MENDOZA TALATALA")</f>
        <v>CRISTOBAL MENDOZA TALATALA</v>
      </c>
      <c r="C65" s="1">
        <f>IFERROR(__xludf.DUMMYFUNCTION("""COMPUTED_VALUE"""),2311605133)</f>
        <v>2311605133</v>
      </c>
      <c r="D65" s="1"/>
      <c r="E65" s="1"/>
      <c r="F65" s="1" t="str">
        <f>IFERROR(__xludf.DUMMYFUNCTION("""COMPUTED_VALUE"""),"CANCELLED")</f>
        <v>CANCELLED</v>
      </c>
      <c r="G65" s="1" t="str">
        <f>IFERROR(__xludf.DUMMYFUNCTION("""COMPUTED_VALUE"""),"Found blacklisted acct no 0232533706 – SAME NAME, SAME DOB, with OB amounting to Php7,531.21 for settlement. UNCLEAR CAF AND SUBS CERT | Done validation of docs with correct encoded info in CSP | with 1 AMSF requirement (Based on TU score in CSP) FF - 1 ("&amp;"NTC) ")</f>
        <v>Found blacklisted acct no 0232533706 – SAME NAME, SAME DOB, with OB amounting to Php7,531.21 for settlement. UNCLEAR CAF AND SUBS CERT | Done validation of docs with correct encoded info in CSP | with 1 AMSF requirement (Based on TU score in CSP) FF - 1 (NTC) </v>
      </c>
      <c r="H65" s="1"/>
      <c r="I65" s="1"/>
      <c r="J65" s="1"/>
      <c r="K65" s="1"/>
      <c r="L65" s="1" t="str">
        <f>IFERROR(__xludf.DUMMYFUNCTION("""COMPUTED_VALUE"""),"CANCELLED - WITH OB")</f>
        <v>CANCELLED - WITH OB</v>
      </c>
      <c r="M65" s="1" t="str">
        <f>IFERROR(__xludf.DUMMYFUNCTION("""COMPUTED_VALUE"""),"CANCELLED - WITH OB")</f>
        <v>CANCELLED - WITH OB</v>
      </c>
      <c r="N65" s="3"/>
      <c r="O65" s="1" t="str">
        <f>IFERROR(__xludf.DUMMYFUNCTION("""COMPUTED_VALUE"""),"FIBR PLAN 1299")</f>
        <v>FIBR PLAN 1299</v>
      </c>
      <c r="P65" s="1" t="str">
        <f>IFERROR(__xludf.DUMMYFUNCTION("""COMPUTED_VALUE"""),"LOWPLAN")</f>
        <v>LOWPLAN</v>
      </c>
      <c r="Q65" s="1" t="str">
        <f>IFERROR(__xludf.DUMMYFUNCTION("""COMPUTED_VALUE"""),"P407050")</f>
        <v>P407050</v>
      </c>
      <c r="R65" s="1" t="str">
        <f>IFERROR(__xludf.DUMMYFUNCTION("""COMPUTED_VALUE"""),"TAMAYO, MARY ROSE ZAIRA")</f>
        <v>TAMAYO, MARY ROSE ZAIRA</v>
      </c>
      <c r="S65" s="1" t="str">
        <f>IFERROR(__xludf.DUMMYFUNCTION("""COMPUTED_VALUE"""),"ORGANIC")</f>
        <v>ORGANIC</v>
      </c>
      <c r="T65" s="1" t="str">
        <f>IFERROR(__xludf.DUMMYFUNCTION("""COMPUTED_VALUE"""),"LEA REMOLLO")</f>
        <v>LEA REMOLLO</v>
      </c>
      <c r="U65" s="1" t="str">
        <f>IFERROR(__xludf.DUMMYFUNCTION("""COMPUTED_VALUE"""),"JB SALIOA")</f>
        <v>JB SALIOA</v>
      </c>
      <c r="V65" s="1" t="str">
        <f>IFERROR(__xludf.DUMMYFUNCTION("""COMPUTED_VALUE"""),"BK HSTK")</f>
        <v>BK HSTK</v>
      </c>
      <c r="W65" s="1" t="str">
        <f>IFERROR(__xludf.DUMMYFUNCTION("""COMPUTED_VALUE"""),"BK HSTK")</f>
        <v>BK HSTK</v>
      </c>
      <c r="X65" s="1" t="str">
        <f>IFERROR(__xludf.DUMMYFUNCTION("""COMPUTED_VALUE"""),"REGULAR")</f>
        <v>REGULAR</v>
      </c>
      <c r="Y65" s="1" t="str">
        <f>IFERROR(__xludf.DUMMYFUNCTION("""COMPUTED_VALUE"""),"BK_CVEU_260806")</f>
        <v>BK_CVEU_260806</v>
      </c>
      <c r="Z65" s="1" t="str">
        <f>IFERROR(__xludf.DUMMYFUNCTION("""COMPUTED_VALUE"""),"NEW CONNECT")</f>
        <v>NEW CONNECT</v>
      </c>
      <c r="AA65" s="1">
        <f>IFERROR(__xludf.DUMMYFUNCTION("""COMPUTED_VALUE"""),639951927353)</f>
        <v>639951927353</v>
      </c>
      <c r="AB65" s="1">
        <f>IFERROR(__xludf.DUMMYFUNCTION("""COMPUTED_VALUE"""),639153768809)</f>
        <v>639153768809</v>
      </c>
      <c r="AC65" s="1">
        <f>IFERROR(__xludf.DUMMYFUNCTION("""COMPUTED_VALUE"""),22)</f>
        <v>22</v>
      </c>
      <c r="AD65" s="1" t="str">
        <f>IFERROR(__xludf.DUMMYFUNCTION("""COMPUTED_VALUE"""),"GOVERNORS DRIVE")</f>
        <v>GOVERNORS DRIVE</v>
      </c>
      <c r="AE65" s="1"/>
      <c r="AF65" s="1" t="str">
        <f>IFERROR(__xludf.DUMMYFUNCTION("""COMPUTED_VALUE"""),"BGY BULIHAN")</f>
        <v>BGY BULIHAN</v>
      </c>
      <c r="AG65" s="1" t="str">
        <f>IFERROR(__xludf.DUMMYFUNCTION("""COMPUTED_VALUE"""),"SILANG")</f>
        <v>SILANG</v>
      </c>
      <c r="AH65" s="1" t="str">
        <f>IFERROR(__xludf.DUMMYFUNCTION("""COMPUTED_VALUE"""),"BULIHAN CARWASH")</f>
        <v>BULIHAN CARWASH</v>
      </c>
      <c r="AI65" s="1" t="str">
        <f>IFERROR(__xludf.DUMMYFUNCTION("""COMPUTED_VALUE"""),"CLUSTER 11")</f>
        <v>CLUSTER 11</v>
      </c>
    </row>
    <row r="66" customHeight="1" spans="1:35">
      <c r="A66" s="3">
        <f>IFERROR(__xludf.DUMMYFUNCTION("""COMPUTED_VALUE"""),46241)</f>
        <v>46241</v>
      </c>
      <c r="B66" s="1" t="str">
        <f>IFERROR(__xludf.DUMMYFUNCTION("""COMPUTED_VALUE"""),"WARREN ASAS ORTILLA")</f>
        <v>WARREN ASAS ORTILLA</v>
      </c>
      <c r="C66" s="1">
        <f>IFERROR(__xludf.DUMMYFUNCTION("""COMPUTED_VALUE"""),2311605871)</f>
        <v>2311605871</v>
      </c>
      <c r="D66" s="1">
        <f>IFERROR(__xludf.DUMMYFUNCTION("""COMPUTED_VALUE"""),406537951)</f>
        <v>406537951</v>
      </c>
      <c r="E66" s="1">
        <f>IFERROR(__xludf.DUMMYFUNCTION("""COMPUTED_VALUE"""),465539506004)</f>
        <v>465539506004</v>
      </c>
      <c r="F66" s="1" t="str">
        <f>IFERROR(__xludf.DUMMYFUNCTION("""COMPUTED_VALUE"""),"CANCELLED")</f>
        <v>CANCELLED</v>
      </c>
      <c r="G66" s="1" t="str">
        <f>IFERROR(__xludf.DUMMYFUNCTION("""COMPUTED_VALUE"""),"VISITED REMARKS FULL NAP PUNUAN NA PO SA AREA NI SUBS SUBS ALREADY ADVISED ASSIGN CAFAC NOT ON SITE   IDGLP5NP2 FULL 6SPAN IDGLP5NP3FULL 8SPAN IDGLP5NP4FULL 10SPAN IDGLP101NP1FULL 6SPAN IDGLP101NP2FULL 1SPAN IDGLP139NP1FULL 1SPAN P8 ACTIVE   TALK WIFE CBR"&amp;" 09972389524")</f>
        <v>VISITED REMARKS FULL NAP PUNUAN NA PO SA AREA NI SUBS SUBS ALREADY ADVISED ASSIGN CAFAC NOT ON SITE   IDGLP5NP2 FULL 6SPAN IDGLP5NP3FULL 8SPAN IDGLP5NP4FULL 10SPAN IDGLP101NP1FULL 6SPAN IDGLP101NP2FULL 1SPAN IDGLP139NP1FULL 1SPAN P8 ACTIVE   TALK WIFE CBR 09972389524</v>
      </c>
      <c r="H66" s="1"/>
      <c r="I66" s="1"/>
      <c r="J66" s="1"/>
      <c r="K66" s="1" t="str">
        <f>IFERROR(__xludf.DUMMYFUNCTION("""COMPUTED_VALUE"""),"CANCELED")</f>
        <v>CANCELED</v>
      </c>
      <c r="L66" s="1" t="str">
        <f>IFERROR(__xludf.DUMMYFUNCTION("""COMPUTED_VALUE"""),"RPR - NAP FULL")</f>
        <v>RPR - NAP FULL</v>
      </c>
      <c r="M66" s="1" t="str">
        <f>IFERROR(__xludf.DUMMYFUNCTION("""COMPUTED_VALUE"""),"RPR- NAP FULL")</f>
        <v>RPR- NAP FULL</v>
      </c>
      <c r="N66" s="3"/>
      <c r="O66" s="1" t="str">
        <f>IFERROR(__xludf.DUMMYFUNCTION("""COMPUTED_VALUE"""),"FIBR PLAN 1299")</f>
        <v>FIBR PLAN 1299</v>
      </c>
      <c r="P66" s="1" t="str">
        <f>IFERROR(__xludf.DUMMYFUNCTION("""COMPUTED_VALUE"""),"LOWPLAN")</f>
        <v>LOWPLAN</v>
      </c>
      <c r="Q66" s="1" t="str">
        <f>IFERROR(__xludf.DUMMYFUNCTION("""COMPUTED_VALUE"""),"P407047")</f>
        <v>P407047</v>
      </c>
      <c r="R66" s="1" t="str">
        <f>IFERROR(__xludf.DUMMYFUNCTION("""COMPUTED_VALUE"""),"FRANCISCO, ROSELYN")</f>
        <v>FRANCISCO, ROSELYN</v>
      </c>
      <c r="S66" s="1" t="str">
        <f>IFERROR(__xludf.DUMMYFUNCTION("""COMPUTED_VALUE"""),"ORGANIC")</f>
        <v>ORGANIC</v>
      </c>
      <c r="T66" s="1" t="str">
        <f>IFERROR(__xludf.DUMMYFUNCTION("""COMPUTED_VALUE"""),"LEA REMOLLO")</f>
        <v>LEA REMOLLO</v>
      </c>
      <c r="U66" s="1" t="str">
        <f>IFERROR(__xludf.DUMMYFUNCTION("""COMPUTED_VALUE"""),"JB SALIOA")</f>
        <v>JB SALIOA</v>
      </c>
      <c r="V66" s="1" t="str">
        <f>IFERROR(__xludf.DUMMYFUNCTION("""COMPUTED_VALUE"""),"ONLINE/CRANFORD")</f>
        <v>ONLINE/CRANFORD</v>
      </c>
      <c r="W66" s="1" t="str">
        <f>IFERROR(__xludf.DUMMYFUNCTION("""COMPUTED_VALUE"""),"STK REGULAR")</f>
        <v>STK REGULAR</v>
      </c>
      <c r="X66" s="1" t="str">
        <f>IFERROR(__xludf.DUMMYFUNCTION("""COMPUTED_VALUE"""),"REGULAR")</f>
        <v>REGULAR</v>
      </c>
      <c r="Y66" s="1" t="str">
        <f>IFERROR(__xludf.DUMMYFUNCTION("""COMPUTED_VALUE"""),"RS_ONL_CVEU_2026")</f>
        <v>RS_ONL_CVEU_2026</v>
      </c>
      <c r="Z66" s="1" t="str">
        <f>IFERROR(__xludf.DUMMYFUNCTION("""COMPUTED_VALUE"""),"NEW CONNECT")</f>
        <v>NEW CONNECT</v>
      </c>
      <c r="AA66" s="1">
        <f>IFERROR(__xludf.DUMMYFUNCTION("""COMPUTED_VALUE"""),639972389524)</f>
        <v>639972389524</v>
      </c>
      <c r="AB66" s="1">
        <f>IFERROR(__xludf.DUMMYFUNCTION("""COMPUTED_VALUE"""),639456149722)</f>
        <v>639456149722</v>
      </c>
      <c r="AC66" s="1">
        <f>IFERROR(__xludf.DUMMYFUNCTION("""COMPUTED_VALUE"""),245)</f>
        <v>245</v>
      </c>
      <c r="AD66" s="1" t="str">
        <f>IFERROR(__xludf.DUMMYFUNCTION("""COMPUTED_VALUE"""),"PUROK 1")</f>
        <v>PUROK 1</v>
      </c>
      <c r="AE66" s="1"/>
      <c r="AF66" s="1" t="str">
        <f>IFERROR(__xludf.DUMMYFUNCTION("""COMPUTED_VALUE"""),"BGY MATAAS NA LUPA")</f>
        <v>BGY MATAAS NA LUPA</v>
      </c>
      <c r="AG66" s="1" t="str">
        <f>IFERROR(__xludf.DUMMYFUNCTION("""COMPUTED_VALUE"""),"INDANG")</f>
        <v>INDANG</v>
      </c>
      <c r="AH66" s="1" t="str">
        <f>IFERROR(__xludf.DUMMYFUNCTION("""COMPUTED_VALUE"""),"VILLA CORAZON")</f>
        <v>VILLA CORAZON</v>
      </c>
      <c r="AI66" s="1" t="str">
        <f>IFERROR(__xludf.DUMMYFUNCTION("""COMPUTED_VALUE"""),"NOT AOR")</f>
        <v>NOT AOR</v>
      </c>
    </row>
    <row r="67" customHeight="1" spans="1:35">
      <c r="A67" s="3">
        <f>IFERROR(__xludf.DUMMYFUNCTION("""COMPUTED_VALUE"""),46242)</f>
        <v>46242</v>
      </c>
      <c r="B67" s="1" t="str">
        <f>IFERROR(__xludf.DUMMYFUNCTION("""COMPUTED_VALUE"""),"VINCENT TUPPAL DOLOR")</f>
        <v>VINCENT TUPPAL DOLOR</v>
      </c>
      <c r="C67" s="1">
        <f>IFERROR(__xludf.DUMMYFUNCTION("""COMPUTED_VALUE"""),2311621421)</f>
        <v>2311621421</v>
      </c>
      <c r="D67" s="1"/>
      <c r="E67" s="1"/>
      <c r="F67" s="1" t="str">
        <f>IFERROR(__xludf.DUMMYFUNCTION("""COMPUTED_VALUE"""),"DISAPPROVED")</f>
        <v>DISAPPROVED</v>
      </c>
      <c r="G67" s="1" t="str">
        <f>IFERROR(__xludf.DUMMYFUNCTION("""COMPUTED_VALUE"""),"(P-OTHERS) DISAPPORVED| WITH DISCREPANCIES ON POID SUBMITTED- TIN ID IS NOT VALID AND INFORMATION PROVIDED DOES NOT MATCH THE RECORDS ON DATABASE| ONE VALIDATION | CORRECT ENCODED INFO IN CSP | TU SCORING -GG - 1 (NTC) | WAIVED 1 AMSF | CLEARED FROM BLACK"&amp;"LISTED HIT | NO EXISTING ACTIVE ACCT AND/OR PENDING/CANCELLED APPLICATION ")</f>
        <v>(P-OTHERS) DISAPPORVED| WITH DISCREPANCIES ON POID SUBMITTED- TIN ID IS NOT VALID AND INFORMATION PROVIDED DOES NOT MATCH THE RECORDS ON DATABASE| ONE VALIDATION | CORRECT ENCODED INFO IN CSP | TU SCORING -GG - 1 (NTC) | WAIVED 1 AMSF | CLEARED FROM BLACKLISTED HIT | NO EXISTING ACTIVE ACCT AND/OR PENDING/CANCELLED APPLICATION </v>
      </c>
      <c r="H67" s="1"/>
      <c r="I67" s="1"/>
      <c r="J67" s="1"/>
      <c r="K67" s="1"/>
      <c r="L67" s="1" t="str">
        <f>IFERROR(__xludf.DUMMYFUNCTION("""COMPUTED_VALUE"""),"DISAPPROVED")</f>
        <v>DISAPPROVED</v>
      </c>
      <c r="M67" s="1" t="str">
        <f>IFERROR(__xludf.DUMMYFUNCTION("""COMPUTED_VALUE"""),"DISAPPROVED")</f>
        <v>DISAPPROVED</v>
      </c>
      <c r="N67" s="3"/>
      <c r="O67" s="1" t="str">
        <f>IFERROR(__xludf.DUMMYFUNCTION("""COMPUTED_VALUE"""),"FIBR UNLI ALL PLAN 999")</f>
        <v>FIBR UNLI ALL PLAN 999</v>
      </c>
      <c r="P67" s="1" t="str">
        <f>IFERROR(__xludf.DUMMYFUNCTION("""COMPUTED_VALUE"""),"LOWPLAN")</f>
        <v>LOWPLAN</v>
      </c>
      <c r="Q67" s="1" t="str">
        <f>IFERROR(__xludf.DUMMYFUNCTION("""COMPUTED_VALUE"""),"P407050")</f>
        <v>P407050</v>
      </c>
      <c r="R67" s="1" t="str">
        <f>IFERROR(__xludf.DUMMYFUNCTION("""COMPUTED_VALUE"""),"ESCARCHA, ALMA")</f>
        <v>ESCARCHA, ALMA</v>
      </c>
      <c r="S67" s="1" t="str">
        <f>IFERROR(__xludf.DUMMYFUNCTION("""COMPUTED_VALUE"""),"ORGANIC")</f>
        <v>ORGANIC</v>
      </c>
      <c r="T67" s="1" t="str">
        <f>IFERROR(__xludf.DUMMYFUNCTION("""COMPUTED_VALUE"""),"LEA REMOLLO")</f>
        <v>LEA REMOLLO</v>
      </c>
      <c r="U67" s="1" t="str">
        <f>IFERROR(__xludf.DUMMYFUNCTION("""COMPUTED_VALUE"""),"JB SALIOA")</f>
        <v>JB SALIOA</v>
      </c>
      <c r="V67" s="1" t="str">
        <f>IFERROR(__xludf.DUMMYFUNCTION("""COMPUTED_VALUE"""),"BK HSTK")</f>
        <v>BK HSTK</v>
      </c>
      <c r="W67" s="1" t="str">
        <f>IFERROR(__xludf.DUMMYFUNCTION("""COMPUTED_VALUE"""),"BK HSTK")</f>
        <v>BK HSTK</v>
      </c>
      <c r="X67" s="1" t="str">
        <f>IFERROR(__xludf.DUMMYFUNCTION("""COMPUTED_VALUE"""),"HBBS AUG 2026")</f>
        <v>HBBS AUG 2026</v>
      </c>
      <c r="Y67" s="1" t="str">
        <f>IFERROR(__xludf.DUMMYFUNCTION("""COMPUTED_VALUE"""),"BK_CVEU_260806")</f>
        <v>BK_CVEU_260806</v>
      </c>
      <c r="Z67" s="1" t="str">
        <f>IFERROR(__xludf.DUMMYFUNCTION("""COMPUTED_VALUE"""),"NEW CONNECT")</f>
        <v>NEW CONNECT</v>
      </c>
      <c r="AA67" s="1">
        <f>IFERROR(__xludf.DUMMYFUNCTION("""COMPUTED_VALUE"""),639770865608)</f>
        <v>639770865608</v>
      </c>
      <c r="AB67" s="1">
        <f>IFERROR(__xludf.DUMMYFUNCTION("""COMPUTED_VALUE"""),639457245010)</f>
        <v>639457245010</v>
      </c>
      <c r="AC67" s="1"/>
      <c r="AD67" s="1" t="str">
        <f>IFERROR(__xludf.DUMMYFUNCTION("""COMPUTED_VALUE"""),"IPIL 2")</f>
        <v>IPIL 2</v>
      </c>
      <c r="AE67" s="1"/>
      <c r="AF67" s="1" t="str">
        <f>IFERROR(__xludf.DUMMYFUNCTION("""COMPUTED_VALUE"""),"BGY IPIL 2")</f>
        <v>BGY IPIL 2</v>
      </c>
      <c r="AG67" s="1" t="str">
        <f>IFERROR(__xludf.DUMMYFUNCTION("""COMPUTED_VALUE"""),"SILANG")</f>
        <v>SILANG</v>
      </c>
      <c r="AH67" s="1" t="str">
        <f>IFERROR(__xludf.DUMMYFUNCTION("""COMPUTED_VALUE"""),"SCHOOL")</f>
        <v>SCHOOL</v>
      </c>
      <c r="AI67" s="1" t="str">
        <f>IFERROR(__xludf.DUMMYFUNCTION("""COMPUTED_VALUE"""),"CLUSTER 11")</f>
        <v>CLUSTER 11</v>
      </c>
    </row>
    <row r="68" customHeight="1" spans="1:35">
      <c r="A68" s="3">
        <f>IFERROR(__xludf.DUMMYFUNCTION("""COMPUTED_VALUE"""),46242)</f>
        <v>46242</v>
      </c>
      <c r="B68" s="1" t="str">
        <f>IFERROR(__xludf.DUMMYFUNCTION("""COMPUTED_VALUE"""),"CHERRY MAE MARIANO NATALIO")</f>
        <v>CHERRY MAE MARIANO NATALIO</v>
      </c>
      <c r="C68" s="1">
        <f>IFERROR(__xludf.DUMMYFUNCTION("""COMPUTED_VALUE"""),2311621991)</f>
        <v>2311621991</v>
      </c>
      <c r="D68" s="1">
        <f>IFERROR(__xludf.DUMMYFUNCTION("""COMPUTED_VALUE"""),406557383)</f>
        <v>406557383</v>
      </c>
      <c r="E68" s="1">
        <f>IFERROR(__xludf.DUMMYFUNCTION("""COMPUTED_VALUE"""),465656470004)</f>
        <v>465656470004</v>
      </c>
      <c r="F68" s="1" t="str">
        <f>IFERROR(__xludf.DUMMYFUNCTION("""COMPUTED_VALUE"""),"CANCELLED")</f>
        <v>CANCELLED</v>
      </c>
      <c r="G68" s="1" t="str">
        <f>IFERROR(__xludf.DUMMYFUNCTION("""COMPUTED_VALUE"""),"RPR VISITED REMARKS   NEAREST CAFAC FULL CMNLP137NP2 P6 ACTIVE SA WELBORNE INDUSTRIAL PUMASOK ANG LINE CMNLP137NP3 FULL CMNLP224NP6 FULL ASIGNED CAFAC NOT ON SITE SUBS ALREADY ADVICE NA PUNUAN SA AREA TALK TATAY NI SUBS 09270155102 09484183093")</f>
        <v>RPR VISITED REMARKS   NEAREST CAFAC FULL CMNLP137NP2 P6 ACTIVE SA WELBORNE INDUSTRIAL PUMASOK ANG LINE CMNLP137NP3 FULL CMNLP224NP6 FULL ASIGNED CAFAC NOT ON SITE SUBS ALREADY ADVICE NA PUNUAN SA AREA TALK TATAY NI SUBS 09270155102 09484183093</v>
      </c>
      <c r="H68" s="1" t="str">
        <f>IFERROR(__xludf.DUMMYFUNCTION("""COMPUTED_VALUE"""),"PQGOR360307484	10-Aug-26	Regular Payment	PLDT Pay Express-Web-App credit	1,299.00	0	10-Aug-26")</f>
        <v>PQGOR360307484	10-Aug-26	Regular Payment	PLDT Pay Express-Web-App credit	1,299.00	0	10-Aug-26</v>
      </c>
      <c r="I68" s="1" t="str">
        <f>IFERROR(__xludf.DUMMYFUNCTION("""COMPUTED_VALUE"""),"WITH 1 AMSF")</f>
        <v>WITH 1 AMSF</v>
      </c>
      <c r="J68" s="1"/>
      <c r="K68" s="1" t="str">
        <f>IFERROR(__xludf.DUMMYFUNCTION("""COMPUTED_VALUE"""),"CANCELED")</f>
        <v>CANCELED</v>
      </c>
      <c r="L68" s="1" t="str">
        <f>IFERROR(__xludf.DUMMYFUNCTION("""COMPUTED_VALUE"""),"RPR - NAP FULL")</f>
        <v>RPR - NAP FULL</v>
      </c>
      <c r="M68" s="1" t="str">
        <f>IFERROR(__xludf.DUMMYFUNCTION("""COMPUTED_VALUE"""),"RPR- NAP FULL")</f>
        <v>RPR- NAP FULL</v>
      </c>
      <c r="N68" s="3"/>
      <c r="O68" s="1" t="str">
        <f>IFERROR(__xludf.DUMMYFUNCTION("""COMPUTED_VALUE"""),"FIBR PLAN 1299")</f>
        <v>FIBR PLAN 1299</v>
      </c>
      <c r="P68" s="1" t="str">
        <f>IFERROR(__xludf.DUMMYFUNCTION("""COMPUTED_VALUE"""),"LOWPLAN")</f>
        <v>LOWPLAN</v>
      </c>
      <c r="Q68" s="1" t="str">
        <f>IFERROR(__xludf.DUMMYFUNCTION("""COMPUTED_VALUE"""),"P407044")</f>
        <v>P407044</v>
      </c>
      <c r="R68" s="1" t="str">
        <f>IFERROR(__xludf.DUMMYFUNCTION("""COMPUTED_VALUE"""),"AYON, MANUEL")</f>
        <v>AYON, MANUEL</v>
      </c>
      <c r="S68" s="1" t="str">
        <f>IFERROR(__xludf.DUMMYFUNCTION("""COMPUTED_VALUE"""),"FLA")</f>
        <v>FLA</v>
      </c>
      <c r="T68" s="1" t="str">
        <f>IFERROR(__xludf.DUMMYFUNCTION("""COMPUTED_VALUE"""),"JERIC NAVARRO")</f>
        <v>JERIC NAVARRO</v>
      </c>
      <c r="U68" s="1" t="str">
        <f>IFERROR(__xludf.DUMMYFUNCTION("""COMPUTED_VALUE"""),"JB SALIOA")</f>
        <v>JB SALIOA</v>
      </c>
      <c r="V68" s="1" t="str">
        <f>IFERROR(__xludf.DUMMYFUNCTION("""COMPUTED_VALUE"""),"BK REGULAR")</f>
        <v>BK REGULAR</v>
      </c>
      <c r="W68" s="1" t="str">
        <f>IFERROR(__xludf.DUMMYFUNCTION("""COMPUTED_VALUE"""),"STK REGULAR")</f>
        <v>STK REGULAR</v>
      </c>
      <c r="X68" s="1" t="str">
        <f>IFERROR(__xludf.DUMMYFUNCTION("""COMPUTED_VALUE"""),"HBBS AUG 2026")</f>
        <v>HBBS AUG 2026</v>
      </c>
      <c r="Y68" s="1" t="str">
        <f>IFERROR(__xludf.DUMMYFUNCTION("""COMPUTED_VALUE"""),"BK_CVEU_260803")</f>
        <v>BK_CVEU_260803</v>
      </c>
      <c r="Z68" s="1" t="str">
        <f>IFERROR(__xludf.DUMMYFUNCTION("""COMPUTED_VALUE"""),"NEW CONNECT")</f>
        <v>NEW CONNECT</v>
      </c>
      <c r="AA68" s="1">
        <f>IFERROR(__xludf.DUMMYFUNCTION("""COMPUTED_VALUE"""),639270155102)</f>
        <v>639270155102</v>
      </c>
      <c r="AB68" s="1">
        <f>IFERROR(__xludf.DUMMYFUNCTION("""COMPUTED_VALUE"""),639484183093)</f>
        <v>639484183093</v>
      </c>
      <c r="AC68" s="1"/>
      <c r="AD68" s="1" t="str">
        <f>IFERROR(__xludf.DUMMYFUNCTION("""COMPUTED_VALUE"""),"CAMIAS")</f>
        <v>CAMIAS</v>
      </c>
      <c r="AE68" s="1" t="str">
        <f>IFERROR(__xludf.DUMMYFUNCTION("""COMPUTED_VALUE"""),"COREHOUSE")</f>
        <v>COREHOUSE</v>
      </c>
      <c r="AF68" s="1" t="str">
        <f>IFERROR(__xludf.DUMMYFUNCTION("""COMPUTED_VALUE"""),"BGY BANCAL")</f>
        <v>BGY BANCAL</v>
      </c>
      <c r="AG68" s="1" t="str">
        <f>IFERROR(__xludf.DUMMYFUNCTION("""COMPUTED_VALUE"""),"CARMONA")</f>
        <v>CARMONA</v>
      </c>
      <c r="AH68" s="1" t="str">
        <f>IFERROR(__xludf.DUMMYFUNCTION("""COMPUTED_VALUE"""),"COREHOUSE ")</f>
        <v>COREHOUSE </v>
      </c>
      <c r="AI68" s="1" t="str">
        <f>IFERROR(__xludf.DUMMYFUNCTION("""COMPUTED_VALUE"""),"CLUSTER 11")</f>
        <v>CLUSTER 11</v>
      </c>
    </row>
    <row r="69" customHeight="1" spans="1:35">
      <c r="A69" s="3">
        <f>IFERROR(__xludf.DUMMYFUNCTION("""COMPUTED_VALUE"""),46242)</f>
        <v>46242</v>
      </c>
      <c r="B69" s="1" t="str">
        <f>IFERROR(__xludf.DUMMYFUNCTION("""COMPUTED_VALUE"""),"MAURICE CORNELIUS ORTIGUERO TESANI")</f>
        <v>MAURICE CORNELIUS ORTIGUERO TESANI</v>
      </c>
      <c r="C69" s="1">
        <f>IFERROR(__xludf.DUMMYFUNCTION("""COMPUTED_VALUE"""),2311622676)</f>
        <v>2311622676</v>
      </c>
      <c r="D69" s="1">
        <f>IFERROR(__xludf.DUMMYFUNCTION("""COMPUTED_VALUE"""),406558312)</f>
        <v>406558312</v>
      </c>
      <c r="E69" s="1">
        <f>IFERROR(__xludf.DUMMYFUNCTION("""COMPUTED_VALUE"""),465661842004)</f>
        <v>465661842004</v>
      </c>
      <c r="F69" s="1" t="str">
        <f>IFERROR(__xludf.DUMMYFUNCTION("""COMPUTED_VALUE"""),"CLOSED")</f>
        <v>CLOSED</v>
      </c>
      <c r="G69" s="1" t="str">
        <f>IFERROR(__xludf.DUMMYFUNCTION("""COMPUTED_VALUE"""),"CLOSED")</f>
        <v>CLOSED</v>
      </c>
      <c r="H69" s="1" t="str">
        <f>IFERROR(__xludf.DUMMYFUNCTION("""COMPUTED_VALUE"""),"PAID VIA GCASH REF 312796430 AUG23 ")</f>
        <v>PAID VIA GCASH REF 312796430 AUG23 </v>
      </c>
      <c r="I69" s="1" t="str">
        <f>IFERROR(__xludf.DUMMYFUNCTION("""COMPUTED_VALUE"""),"WITH 1 AMSF")</f>
        <v>WITH 1 AMSF</v>
      </c>
      <c r="J69" s="1"/>
      <c r="K69" s="1" t="str">
        <f>IFERROR(__xludf.DUMMYFUNCTION("""COMPUTED_VALUE"""),"COMPLETED")</f>
        <v>COMPLETED</v>
      </c>
      <c r="L69" s="1" t="str">
        <f>IFERROR(__xludf.DUMMYFUNCTION("""COMPUTED_VALUE"""),"POSTED")</f>
        <v>POSTED</v>
      </c>
      <c r="M69" s="1" t="str">
        <f>IFERROR(__xludf.DUMMYFUNCTION("""COMPUTED_VALUE"""),"POSTED")</f>
        <v>POSTED</v>
      </c>
      <c r="N69" s="3">
        <f>IFERROR(__xludf.DUMMYFUNCTION("""COMPUTED_VALUE"""),46254)</f>
        <v>46254</v>
      </c>
      <c r="O69" s="1" t="str">
        <f>IFERROR(__xludf.DUMMYFUNCTION("""COMPUTED_VALUE"""),"FIBR NETFLIX PLAN 1599")</f>
        <v>FIBR NETFLIX PLAN 1599</v>
      </c>
      <c r="P69" s="1" t="str">
        <f>IFERROR(__xludf.DUMMYFUNCTION("""COMPUTED_VALUE"""),"LOWPLAN")</f>
        <v>LOWPLAN</v>
      </c>
      <c r="Q69" s="1" t="str">
        <f>IFERROR(__xludf.DUMMYFUNCTION("""COMPUTED_VALUE"""),"P407045")</f>
        <v>P407045</v>
      </c>
      <c r="R69" s="1" t="str">
        <f>IFERROR(__xludf.DUMMYFUNCTION("""COMPUTED_VALUE"""),"FARO, REFRANTA ")</f>
        <v>FARO, REFRANTA </v>
      </c>
      <c r="S69" s="1" t="str">
        <f>IFERROR(__xludf.DUMMYFUNCTION("""COMPUTED_VALUE"""),"FLA")</f>
        <v>FLA</v>
      </c>
      <c r="T69" s="1" t="str">
        <f>IFERROR(__xludf.DUMMYFUNCTION("""COMPUTED_VALUE"""),"JERIC NAVARRO")</f>
        <v>JERIC NAVARRO</v>
      </c>
      <c r="U69" s="1" t="str">
        <f>IFERROR(__xludf.DUMMYFUNCTION("""COMPUTED_VALUE"""),"JB SALIOA")</f>
        <v>JB SALIOA</v>
      </c>
      <c r="V69" s="1" t="str">
        <f>IFERROR(__xludf.DUMMYFUNCTION("""COMPUTED_VALUE"""),"BK HSTK")</f>
        <v>BK HSTK</v>
      </c>
      <c r="W69" s="1" t="str">
        <f>IFERROR(__xludf.DUMMYFUNCTION("""COMPUTED_VALUE"""),"BK HSTK")</f>
        <v>BK HSTK</v>
      </c>
      <c r="X69" s="1" t="str">
        <f>IFERROR(__xludf.DUMMYFUNCTION("""COMPUTED_VALUE"""),"HBBS AUG 2026")</f>
        <v>HBBS AUG 2026</v>
      </c>
      <c r="Y69" s="1" t="str">
        <f>IFERROR(__xludf.DUMMYFUNCTION("""COMPUTED_VALUE"""),"BK_CVEU_260807")</f>
        <v>BK_CVEU_260807</v>
      </c>
      <c r="Z69" s="1" t="str">
        <f>IFERROR(__xludf.DUMMYFUNCTION("""COMPUTED_VALUE"""),"NEW CONNECT")</f>
        <v>NEW CONNECT</v>
      </c>
      <c r="AA69" s="1">
        <f>IFERROR(__xludf.DUMMYFUNCTION("""COMPUTED_VALUE"""),639605651919)</f>
        <v>639605651919</v>
      </c>
      <c r="AB69" s="1"/>
      <c r="AC69" s="1">
        <f>IFERROR(__xludf.DUMMYFUNCTION("""COMPUTED_VALUE"""),2102)</f>
        <v>2102</v>
      </c>
      <c r="AD69" s="1" t="str">
        <f>IFERROR(__xludf.DUMMYFUNCTION("""COMPUTED_VALUE"""),"ELEVE HOMES")</f>
        <v>ELEVE HOMES</v>
      </c>
      <c r="AE69" s="1" t="str">
        <f>IFERROR(__xludf.DUMMYFUNCTION("""COMPUTED_VALUE"""),"ELEVE HOMES")</f>
        <v>ELEVE HOMES</v>
      </c>
      <c r="AF69" s="1" t="str">
        <f>IFERROR(__xludf.DUMMYFUNCTION("""COMPUTED_VALUE"""),"BGY MAHARLIKA WEST")</f>
        <v>BGY MAHARLIKA WEST</v>
      </c>
      <c r="AG69" s="1" t="str">
        <f>IFERROR(__xludf.DUMMYFUNCTION("""COMPUTED_VALUE"""),"TAGAYTAY")</f>
        <v>TAGAYTAY</v>
      </c>
      <c r="AH69" s="1" t="str">
        <f>IFERROR(__xludf.DUMMYFUNCTION("""COMPUTED_VALUE"""),"ELEVE HOMES ")</f>
        <v>ELEVE HOMES </v>
      </c>
      <c r="AI69" s="1" t="str">
        <f>IFERROR(__xludf.DUMMYFUNCTION("""COMPUTED_VALUE"""),"CLUSTER 12")</f>
        <v>CLUSTER 12</v>
      </c>
    </row>
    <row r="70" customHeight="1" spans="1:35">
      <c r="A70" s="3">
        <f>IFERROR(__xludf.DUMMYFUNCTION("""COMPUTED_VALUE"""),46242)</f>
        <v>46242</v>
      </c>
      <c r="B70" s="1" t="str">
        <f>IFERROR(__xludf.DUMMYFUNCTION("""COMPUTED_VALUE"""),"XANDER ESPENIDO CUADRA")</f>
        <v>XANDER ESPENIDO CUADRA</v>
      </c>
      <c r="C70" s="1">
        <f>IFERROR(__xludf.DUMMYFUNCTION("""COMPUTED_VALUE"""),2311624307)</f>
        <v>2311624307</v>
      </c>
      <c r="D70" s="1">
        <f>IFERROR(__xludf.DUMMYFUNCTION("""COMPUTED_VALUE"""),406561631)</f>
        <v>406561631</v>
      </c>
      <c r="E70" s="1">
        <f>IFERROR(__xludf.DUMMYFUNCTION("""COMPUTED_VALUE"""),465665200004)</f>
        <v>465665200004</v>
      </c>
      <c r="F70" s="1" t="str">
        <f>IFERROR(__xludf.DUMMYFUNCTION("""COMPUTED_VALUE"""),"CLOSED")</f>
        <v>CLOSED</v>
      </c>
      <c r="G70" s="1" t="str">
        <f>IFERROR(__xludf.DUMMYFUNCTION("""COMPUTED_VALUE"""),"CLOSED")</f>
        <v>CLOSED</v>
      </c>
      <c r="H70" s="1" t="str">
        <f>IFERROR(__xludf.DUMMYFUNCTION("""COMPUTED_VALUE"""),"PAID THRU GCASH 865646769 AUG 8")</f>
        <v>PAID THRU GCASH 865646769 AUG 8</v>
      </c>
      <c r="I70" s="1" t="str">
        <f>IFERROR(__xludf.DUMMYFUNCTION("""COMPUTED_VALUE"""),"WITH 1 AMSF")</f>
        <v>WITH 1 AMSF</v>
      </c>
      <c r="J70" s="1"/>
      <c r="K70" s="1" t="str">
        <f>IFERROR(__xludf.DUMMYFUNCTION("""COMPUTED_VALUE"""),"COMPLETED")</f>
        <v>COMPLETED</v>
      </c>
      <c r="L70" s="1" t="str">
        <f>IFERROR(__xludf.DUMMYFUNCTION("""COMPUTED_VALUE"""),"POSTED")</f>
        <v>POSTED</v>
      </c>
      <c r="M70" s="1" t="str">
        <f>IFERROR(__xludf.DUMMYFUNCTION("""COMPUTED_VALUE"""),"POSTED")</f>
        <v>POSTED</v>
      </c>
      <c r="N70" s="3">
        <f>IFERROR(__xludf.DUMMYFUNCTION("""COMPUTED_VALUE"""),46245)</f>
        <v>46245</v>
      </c>
      <c r="O70" s="1" t="str">
        <f>IFERROR(__xludf.DUMMYFUNCTION("""COMPUTED_VALUE"""),"FIBR NETFLIX PLAN 1599")</f>
        <v>FIBR NETFLIX PLAN 1599</v>
      </c>
      <c r="P70" s="1" t="str">
        <f>IFERROR(__xludf.DUMMYFUNCTION("""COMPUTED_VALUE"""),"LOWPLAN")</f>
        <v>LOWPLAN</v>
      </c>
      <c r="Q70" s="1" t="str">
        <f>IFERROR(__xludf.DUMMYFUNCTION("""COMPUTED_VALUE"""),"P407045")</f>
        <v>P407045</v>
      </c>
      <c r="R70" s="1" t="str">
        <f>IFERROR(__xludf.DUMMYFUNCTION("""COMPUTED_VALUE"""),"REMOLLO, LEA")</f>
        <v>REMOLLO, LEA</v>
      </c>
      <c r="S70" s="1" t="str">
        <f>IFERROR(__xludf.DUMMYFUNCTION("""COMPUTED_VALUE"""),"FLA")</f>
        <v>FLA</v>
      </c>
      <c r="T70" s="1" t="str">
        <f>IFERROR(__xludf.DUMMYFUNCTION("""COMPUTED_VALUE"""),"JERIC NAVARRO")</f>
        <v>JERIC NAVARRO</v>
      </c>
      <c r="U70" s="1" t="str">
        <f>IFERROR(__xludf.DUMMYFUNCTION("""COMPUTED_VALUE"""),"JB SALIOA")</f>
        <v>JB SALIOA</v>
      </c>
      <c r="V70" s="1" t="str">
        <f>IFERROR(__xludf.DUMMYFUNCTION("""COMPUTED_VALUE"""),"BK REGULAR")</f>
        <v>BK REGULAR</v>
      </c>
      <c r="W70" s="1" t="str">
        <f>IFERROR(__xludf.DUMMYFUNCTION("""COMPUTED_VALUE"""),"STK REGULAR")</f>
        <v>STK REGULAR</v>
      </c>
      <c r="X70" s="1" t="str">
        <f>IFERROR(__xludf.DUMMYFUNCTION("""COMPUTED_VALUE"""),"HBBS AUG 2026")</f>
        <v>HBBS AUG 2026</v>
      </c>
      <c r="Y70" s="1" t="str">
        <f>IFERROR(__xludf.DUMMYFUNCTION("""COMPUTED_VALUE"""),"BK_CVEU_260805")</f>
        <v>BK_CVEU_260805</v>
      </c>
      <c r="Z70" s="1" t="str">
        <f>IFERROR(__xludf.DUMMYFUNCTION("""COMPUTED_VALUE"""),"NEW CONNECT")</f>
        <v>NEW CONNECT</v>
      </c>
      <c r="AA70" s="1">
        <f>IFERROR(__xludf.DUMMYFUNCTION("""COMPUTED_VALUE"""),639192404833)</f>
        <v>639192404833</v>
      </c>
      <c r="AB70" s="1"/>
      <c r="AC70" s="1"/>
      <c r="AD70" s="1" t="str">
        <f>IFERROR(__xludf.DUMMYFUNCTION("""COMPUTED_VALUE"""),"SAINT JOSEPH")</f>
        <v>SAINT JOSEPH</v>
      </c>
      <c r="AE70" s="1"/>
      <c r="AF70" s="1" t="str">
        <f>IFERROR(__xludf.DUMMYFUNCTION("""COMPUTED_VALUE"""),"BGY PANUNGYAN 2")</f>
        <v>BGY PANUNGYAN 2</v>
      </c>
      <c r="AG70" s="1" t="str">
        <f>IFERROR(__xludf.DUMMYFUNCTION("""COMPUTED_VALUE"""),"MENDEZ")</f>
        <v>MENDEZ</v>
      </c>
      <c r="AH70" s="1" t="str">
        <f>IFERROR(__xludf.DUMMYFUNCTION("""COMPUTED_VALUE"""),"CATHOLIC CHURCH")</f>
        <v>CATHOLIC CHURCH</v>
      </c>
      <c r="AI70" s="1" t="str">
        <f>IFERROR(__xludf.DUMMYFUNCTION("""COMPUTED_VALUE"""),"CLUSTER 12")</f>
        <v>CLUSTER 12</v>
      </c>
    </row>
    <row r="71" customHeight="1" spans="1:35">
      <c r="A71" s="3">
        <f>IFERROR(__xludf.DUMMYFUNCTION("""COMPUTED_VALUE"""),46242)</f>
        <v>46242</v>
      </c>
      <c r="B71" s="1" t="str">
        <f>IFERROR(__xludf.DUMMYFUNCTION("""COMPUTED_VALUE"""),"JANNIELE PANGANIBAN ANONUEVO")</f>
        <v>JANNIELE PANGANIBAN ANONUEVO</v>
      </c>
      <c r="C71" s="1">
        <f>IFERROR(__xludf.DUMMYFUNCTION("""COMPUTED_VALUE"""),2311626683)</f>
        <v>2311626683</v>
      </c>
      <c r="D71" s="1">
        <f>IFERROR(__xludf.DUMMYFUNCTION("""COMPUTED_VALUE"""),406565106)</f>
        <v>406565106</v>
      </c>
      <c r="E71" s="1">
        <f>IFERROR(__xludf.DUMMYFUNCTION("""COMPUTED_VALUE"""),465669398004)</f>
        <v>465669398004</v>
      </c>
      <c r="F71" s="1" t="str">
        <f>IFERROR(__xludf.DUMMYFUNCTION("""COMPUTED_VALUE"""),"CLOSED")</f>
        <v>CLOSED</v>
      </c>
      <c r="G71" s="1" t="str">
        <f>IFERROR(__xludf.DUMMYFUNCTION("""COMPUTED_VALUE"""),"CLOSED")</f>
        <v>CLOSED</v>
      </c>
      <c r="H71" s="1" t="str">
        <f>IFERROR(__xludf.DUMMYFUNCTION("""COMPUTED_VALUE"""),"PQGOR360973951	16-Aug-26	Regular Payment	CIS-GCASH 3.0	1,299.00	0	16-Aug-26")</f>
        <v>PQGOR360973951	16-Aug-26	Regular Payment	CIS-GCASH 3.0	1,299.00	0	16-Aug-26</v>
      </c>
      <c r="I71" s="1" t="str">
        <f>IFERROR(__xludf.DUMMYFUNCTION("""COMPUTED_VALUE"""),"WITH 1 AMSF")</f>
        <v>WITH 1 AMSF</v>
      </c>
      <c r="J71" s="1"/>
      <c r="K71" s="1" t="str">
        <f>IFERROR(__xludf.DUMMYFUNCTION("""COMPUTED_VALUE"""),"COMPLETED")</f>
        <v>COMPLETED</v>
      </c>
      <c r="L71" s="1" t="str">
        <f>IFERROR(__xludf.DUMMYFUNCTION("""COMPUTED_VALUE"""),"POSTED")</f>
        <v>POSTED</v>
      </c>
      <c r="M71" s="1" t="str">
        <f>IFERROR(__xludf.DUMMYFUNCTION("""COMPUTED_VALUE"""),"POSTED")</f>
        <v>POSTED</v>
      </c>
      <c r="N71" s="3">
        <f>IFERROR(__xludf.DUMMYFUNCTION("""COMPUTED_VALUE"""),46245)</f>
        <v>46245</v>
      </c>
      <c r="O71" s="1" t="str">
        <f>IFERROR(__xludf.DUMMYFUNCTION("""COMPUTED_VALUE"""),"FIBR PLAN 1299")</f>
        <v>FIBR PLAN 1299</v>
      </c>
      <c r="P71" s="1" t="str">
        <f>IFERROR(__xludf.DUMMYFUNCTION("""COMPUTED_VALUE"""),"LOWPLAN")</f>
        <v>LOWPLAN</v>
      </c>
      <c r="Q71" s="1" t="str">
        <f>IFERROR(__xludf.DUMMYFUNCTION("""COMPUTED_VALUE"""),"P407050")</f>
        <v>P407050</v>
      </c>
      <c r="R71" s="1" t="str">
        <f>IFERROR(__xludf.DUMMYFUNCTION("""COMPUTED_VALUE"""),"ARENA, LYKA")</f>
        <v>ARENA, LYKA</v>
      </c>
      <c r="S71" s="1" t="str">
        <f>IFERROR(__xludf.DUMMYFUNCTION("""COMPUTED_VALUE"""),"ORGANIC")</f>
        <v>ORGANIC</v>
      </c>
      <c r="T71" s="1" t="str">
        <f>IFERROR(__xludf.DUMMYFUNCTION("""COMPUTED_VALUE"""),"LEA REMOLLO")</f>
        <v>LEA REMOLLO</v>
      </c>
      <c r="U71" s="1" t="str">
        <f>IFERROR(__xludf.DUMMYFUNCTION("""COMPUTED_VALUE"""),"JB SALIOA")</f>
        <v>JB SALIOA</v>
      </c>
      <c r="V71" s="1" t="str">
        <f>IFERROR(__xludf.DUMMYFUNCTION("""COMPUTED_VALUE"""),"BK REGULAR")</f>
        <v>BK REGULAR</v>
      </c>
      <c r="W71" s="1" t="str">
        <f>IFERROR(__xludf.DUMMYFUNCTION("""COMPUTED_VALUE"""),"STK REGULAR")</f>
        <v>STK REGULAR</v>
      </c>
      <c r="X71" s="1" t="str">
        <f>IFERROR(__xludf.DUMMYFUNCTION("""COMPUTED_VALUE"""),"HBBS AUG 2026")</f>
        <v>HBBS AUG 2026</v>
      </c>
      <c r="Y71" s="1" t="str">
        <f>IFERROR(__xludf.DUMMYFUNCTION("""COMPUTED_VALUE"""),"BK_CVEU_260801")</f>
        <v>BK_CVEU_260801</v>
      </c>
      <c r="Z71" s="1" t="str">
        <f>IFERROR(__xludf.DUMMYFUNCTION("""COMPUTED_VALUE"""),"NEW CONNECT")</f>
        <v>NEW CONNECT</v>
      </c>
      <c r="AA71" s="1">
        <f>IFERROR(__xludf.DUMMYFUNCTION("""COMPUTED_VALUE"""),639090023805)</f>
        <v>639090023805</v>
      </c>
      <c r="AB71" s="1"/>
      <c r="AC71" s="1">
        <f>IFERROR(__xludf.DUMMYFUNCTION("""COMPUTED_VALUE"""),110)</f>
        <v>110</v>
      </c>
      <c r="AD71" s="1" t="str">
        <f>IFERROR(__xludf.DUMMYFUNCTION("""COMPUTED_VALUE"""),"PUROK 1")</f>
        <v>PUROK 1</v>
      </c>
      <c r="AE71" s="1"/>
      <c r="AF71" s="1" t="str">
        <f>IFERROR(__xludf.DUMMYFUNCTION("""COMPUTED_VALUE"""),"BGY STA TERESA")</f>
        <v>BGY STA TERESA</v>
      </c>
      <c r="AG71" s="1" t="str">
        <f>IFERROR(__xludf.DUMMYFUNCTION("""COMPUTED_VALUE"""),"ALFONSO")</f>
        <v>ALFONSO</v>
      </c>
      <c r="AH71" s="1" t="str">
        <f>IFERROR(__xludf.DUMMYFUNCTION("""COMPUTED_VALUE"""),"ROWIN TAYLER // SINALIW ELEMENTARY SCHOOL")</f>
        <v>ROWIN TAYLER // SINALIW ELEMENTARY SCHOOL</v>
      </c>
      <c r="AI71" s="1" t="str">
        <f>IFERROR(__xludf.DUMMYFUNCTION("""COMPUTED_VALUE"""),"CLUSTER 12")</f>
        <v>CLUSTER 12</v>
      </c>
    </row>
    <row r="72" customHeight="1" spans="1:35">
      <c r="A72" s="3">
        <f>IFERROR(__xludf.DUMMYFUNCTION("""COMPUTED_VALUE"""),46242)</f>
        <v>46242</v>
      </c>
      <c r="B72" s="1" t="str">
        <f>IFERROR(__xludf.DUMMYFUNCTION("""COMPUTED_VALUE"""),"BENJIE ANOCHE ANDRADA")</f>
        <v>BENJIE ANOCHE ANDRADA</v>
      </c>
      <c r="C72" s="1">
        <f>IFERROR(__xludf.DUMMYFUNCTION("""COMPUTED_VALUE"""),2311627404)</f>
        <v>2311627404</v>
      </c>
      <c r="D72" s="1">
        <f>IFERROR(__xludf.DUMMYFUNCTION("""COMPUTED_VALUE"""),406573591)</f>
        <v>406573591</v>
      </c>
      <c r="E72" s="1">
        <f>IFERROR(__xludf.DUMMYFUNCTION("""COMPUTED_VALUE"""),465675155004)</f>
        <v>465675155004</v>
      </c>
      <c r="F72" s="1" t="str">
        <f>IFERROR(__xludf.DUMMYFUNCTION("""COMPUTED_VALUE"""),"CLOSED")</f>
        <v>CLOSED</v>
      </c>
      <c r="G72" s="1" t="str">
        <f>IFERROR(__xludf.DUMMYFUNCTION("""COMPUTED_VALUE"""),"CLOSED")</f>
        <v>CLOSED</v>
      </c>
      <c r="H72" s="1" t="str">
        <f>IFERROR(__xludf.DUMMYFUNCTION("""COMPUTED_VALUE"""),"PAID VIA GCASH REF 975092926 AUG 10")</f>
        <v>PAID VIA GCASH REF 975092926 AUG 10</v>
      </c>
      <c r="I72" s="1" t="str">
        <f>IFERROR(__xludf.DUMMYFUNCTION("""COMPUTED_VALUE"""),"WITH 1 AMSF")</f>
        <v>WITH 1 AMSF</v>
      </c>
      <c r="J72" s="1"/>
      <c r="K72" s="1" t="str">
        <f>IFERROR(__xludf.DUMMYFUNCTION("""COMPUTED_VALUE"""),"COMPLETED")</f>
        <v>COMPLETED</v>
      </c>
      <c r="L72" s="1" t="str">
        <f>IFERROR(__xludf.DUMMYFUNCTION("""COMPUTED_VALUE"""),"POSTED")</f>
        <v>POSTED</v>
      </c>
      <c r="M72" s="1" t="str">
        <f>IFERROR(__xludf.DUMMYFUNCTION("""COMPUTED_VALUE"""),"POSTED")</f>
        <v>POSTED</v>
      </c>
      <c r="N72" s="3">
        <f>IFERROR(__xludf.DUMMYFUNCTION("""COMPUTED_VALUE"""),46244)</f>
        <v>46244</v>
      </c>
      <c r="O72" s="1" t="str">
        <f>IFERROR(__xludf.DUMMYFUNCTION("""COMPUTED_VALUE"""),"FIBR PLAN 1299")</f>
        <v>FIBR PLAN 1299</v>
      </c>
      <c r="P72" s="1" t="str">
        <f>IFERROR(__xludf.DUMMYFUNCTION("""COMPUTED_VALUE"""),"LOWPLAN")</f>
        <v>LOWPLAN</v>
      </c>
      <c r="Q72" s="1" t="str">
        <f>IFERROR(__xludf.DUMMYFUNCTION("""COMPUTED_VALUE"""),"P407050")</f>
        <v>P407050</v>
      </c>
      <c r="R72" s="1" t="str">
        <f>IFERROR(__xludf.DUMMYFUNCTION("""COMPUTED_VALUE"""),"ARENA, LYKA")</f>
        <v>ARENA, LYKA</v>
      </c>
      <c r="S72" s="1" t="str">
        <f>IFERROR(__xludf.DUMMYFUNCTION("""COMPUTED_VALUE"""),"ORGANIC")</f>
        <v>ORGANIC</v>
      </c>
      <c r="T72" s="1" t="str">
        <f>IFERROR(__xludf.DUMMYFUNCTION("""COMPUTED_VALUE"""),"LEA REMOLLO")</f>
        <v>LEA REMOLLO</v>
      </c>
      <c r="U72" s="1" t="str">
        <f>IFERROR(__xludf.DUMMYFUNCTION("""COMPUTED_VALUE"""),"JB SALIOA")</f>
        <v>JB SALIOA</v>
      </c>
      <c r="V72" s="1" t="str">
        <f>IFERROR(__xludf.DUMMYFUNCTION("""COMPUTED_VALUE"""),"BK REGULAR")</f>
        <v>BK REGULAR</v>
      </c>
      <c r="W72" s="1" t="str">
        <f>IFERROR(__xludf.DUMMYFUNCTION("""COMPUTED_VALUE"""),"STK REGULAR")</f>
        <v>STK REGULAR</v>
      </c>
      <c r="X72" s="1" t="str">
        <f>IFERROR(__xludf.DUMMYFUNCTION("""COMPUTED_VALUE"""),"HBBS AUG 2026")</f>
        <v>HBBS AUG 2026</v>
      </c>
      <c r="Y72" s="1" t="str">
        <f>IFERROR(__xludf.DUMMYFUNCTION("""COMPUTED_VALUE"""),"BK_CVEU_260805")</f>
        <v>BK_CVEU_260805</v>
      </c>
      <c r="Z72" s="1" t="str">
        <f>IFERROR(__xludf.DUMMYFUNCTION("""COMPUTED_VALUE"""),"NEW CONNECT")</f>
        <v>NEW CONNECT</v>
      </c>
      <c r="AA72" s="1">
        <f>IFERROR(__xludf.DUMMYFUNCTION("""COMPUTED_VALUE"""),639195911046)</f>
        <v>639195911046</v>
      </c>
      <c r="AB72" s="1"/>
      <c r="AC72" s="1">
        <f>IFERROR(__xludf.DUMMYFUNCTION("""COMPUTED_VALUE"""),36)</f>
        <v>36</v>
      </c>
      <c r="AD72" s="1" t="str">
        <f>IFERROR(__xludf.DUMMYFUNCTION("""COMPUTED_VALUE"""),"PANUNGYAN")</f>
        <v>PANUNGYAN</v>
      </c>
      <c r="AE72" s="1"/>
      <c r="AF72" s="1" t="str">
        <f>IFERROR(__xludf.DUMMYFUNCTION("""COMPUTED_VALUE"""),"BGY PANUNGYAN 2")</f>
        <v>BGY PANUNGYAN 2</v>
      </c>
      <c r="AG72" s="1" t="str">
        <f>IFERROR(__xludf.DUMMYFUNCTION("""COMPUTED_VALUE"""),"MENDEZ")</f>
        <v>MENDEZ</v>
      </c>
      <c r="AH72" s="1" t="str">
        <f>IFERROR(__xludf.DUMMYFUNCTION("""COMPUTED_VALUE"""),"INFRONT OF BRGY HALL")</f>
        <v>INFRONT OF BRGY HALL</v>
      </c>
      <c r="AI72" s="1" t="str">
        <f>IFERROR(__xludf.DUMMYFUNCTION("""COMPUTED_VALUE"""),"CLUSTER 12")</f>
        <v>CLUSTER 12</v>
      </c>
    </row>
    <row r="73" customHeight="1" spans="1:35">
      <c r="A73" s="3">
        <f>IFERROR(__xludf.DUMMYFUNCTION("""COMPUTED_VALUE"""),46242)</f>
        <v>46242</v>
      </c>
      <c r="B73" s="1" t="str">
        <f>IFERROR(__xludf.DUMMYFUNCTION("""COMPUTED_VALUE"""),"RIZA IGBUHAY BRANZUELA")</f>
        <v>RIZA IGBUHAY BRANZUELA</v>
      </c>
      <c r="C73" s="1">
        <f>IFERROR(__xludf.DUMMYFUNCTION("""COMPUTED_VALUE"""),2311628381)</f>
        <v>2311628381</v>
      </c>
      <c r="D73" s="1">
        <f>IFERROR(__xludf.DUMMYFUNCTION("""COMPUTED_VALUE"""),406575950)</f>
        <v>406575950</v>
      </c>
      <c r="E73" s="1">
        <f>IFERROR(__xludf.DUMMYFUNCTION("""COMPUTED_VALUE"""),465676008004)</f>
        <v>465676008004</v>
      </c>
      <c r="F73" s="1" t="str">
        <f>IFERROR(__xludf.DUMMYFUNCTION("""COMPUTED_VALUE"""),"CANCELLED")</f>
        <v>CANCELLED</v>
      </c>
      <c r="G73" s="1" t="str">
        <f>IFERROR(__xludf.DUMMYFUNCTION("""COMPUTED_VALUE"""),"AUTO - AGING")</f>
        <v>AUTO - AGING</v>
      </c>
      <c r="H73" s="1" t="str">
        <f>IFERROR(__xludf.DUMMYFUNCTION("""COMPUTED_VALUE"""),"AS PER SUBS WALA DAW SYA PANG BAYAD DITO CANCEL NALANG DAW ")</f>
        <v>AS PER SUBS WALA DAW SYA PANG BAYAD DITO CANCEL NALANG DAW </v>
      </c>
      <c r="I73" s="1"/>
      <c r="J73" s="1"/>
      <c r="K73" s="1" t="str">
        <f>IFERROR(__xludf.DUMMYFUNCTION("""COMPUTED_VALUE"""),"NOT IN OFSC")</f>
        <v>NOT IN OFSC</v>
      </c>
      <c r="L73" s="1" t="str">
        <f>IFERROR(__xludf.DUMMYFUNCTION("""COMPUTED_VALUE"""),"CANCELLED - AGING")</f>
        <v>CANCELLED - AGING</v>
      </c>
      <c r="M73" s="1" t="str">
        <f>IFERROR(__xludf.DUMMYFUNCTION("""COMPUTED_VALUE"""),"CANCELLED - AGING")</f>
        <v>CANCELLED - AGING</v>
      </c>
      <c r="N73" s="3"/>
      <c r="O73" s="1" t="str">
        <f>IFERROR(__xludf.DUMMYFUNCTION("""COMPUTED_VALUE"""),"FIBR UNLI ALL PLAN 999")</f>
        <v>FIBR UNLI ALL PLAN 999</v>
      </c>
      <c r="P73" s="1" t="str">
        <f>IFERROR(__xludf.DUMMYFUNCTION("""COMPUTED_VALUE"""),"LOWPLAN")</f>
        <v>LOWPLAN</v>
      </c>
      <c r="Q73" s="1" t="str">
        <f>IFERROR(__xludf.DUMMYFUNCTION("""COMPUTED_VALUE"""),"P407047")</f>
        <v>P407047</v>
      </c>
      <c r="R73" s="1" t="str">
        <f>IFERROR(__xludf.DUMMYFUNCTION("""COMPUTED_VALUE"""),"FRANCISCO, ROSELYN")</f>
        <v>FRANCISCO, ROSELYN</v>
      </c>
      <c r="S73" s="1" t="str">
        <f>IFERROR(__xludf.DUMMYFUNCTION("""COMPUTED_VALUE"""),"ORGANIC")</f>
        <v>ORGANIC</v>
      </c>
      <c r="T73" s="1" t="str">
        <f>IFERROR(__xludf.DUMMYFUNCTION("""COMPUTED_VALUE"""),"LEA REMOLLO")</f>
        <v>LEA REMOLLO</v>
      </c>
      <c r="U73" s="1" t="str">
        <f>IFERROR(__xludf.DUMMYFUNCTION("""COMPUTED_VALUE"""),"JB SALIOA")</f>
        <v>JB SALIOA</v>
      </c>
      <c r="V73" s="1" t="str">
        <f>IFERROR(__xludf.DUMMYFUNCTION("""COMPUTED_VALUE"""),"ONLINE/CRANFORD")</f>
        <v>ONLINE/CRANFORD</v>
      </c>
      <c r="W73" s="1" t="str">
        <f>IFERROR(__xludf.DUMMYFUNCTION("""COMPUTED_VALUE"""),"STK REGULAR")</f>
        <v>STK REGULAR</v>
      </c>
      <c r="X73" s="1" t="str">
        <f>IFERROR(__xludf.DUMMYFUNCTION("""COMPUTED_VALUE"""),"HBBS AUG 2026")</f>
        <v>HBBS AUG 2026</v>
      </c>
      <c r="Y73" s="1" t="str">
        <f>IFERROR(__xludf.DUMMYFUNCTION("""COMPUTED_VALUE"""),"RS_ONL_CVEU_2026")</f>
        <v>RS_ONL_CVEU_2026</v>
      </c>
      <c r="Z73" s="1" t="str">
        <f>IFERROR(__xludf.DUMMYFUNCTION("""COMPUTED_VALUE"""),"NEW CONNECT")</f>
        <v>NEW CONNECT</v>
      </c>
      <c r="AA73" s="1">
        <f>IFERROR(__xludf.DUMMYFUNCTION("""COMPUTED_VALUE"""),639054383202)</f>
        <v>639054383202</v>
      </c>
      <c r="AB73" s="1">
        <f>IFERROR(__xludf.DUMMYFUNCTION("""COMPUTED_VALUE"""),639459625024)</f>
        <v>639459625024</v>
      </c>
      <c r="AC73" s="1"/>
      <c r="AD73" s="1" t="str">
        <f>IFERROR(__xludf.DUMMYFUNCTION("""COMPUTED_VALUE"""),"PUROK 6")</f>
        <v>PUROK 6</v>
      </c>
      <c r="AE73" s="1"/>
      <c r="AF73" s="1" t="str">
        <f>IFERROR(__xludf.DUMMYFUNCTION("""COMPUTED_VALUE"""),"BGY VICTORIA REYES")</f>
        <v>BGY VICTORIA REYES</v>
      </c>
      <c r="AG73" s="1" t="str">
        <f>IFERROR(__xludf.DUMMYFUNCTION("""COMPUTED_VALUE"""),"DASMARINAS")</f>
        <v>DASMARINAS</v>
      </c>
      <c r="AH73" s="1" t="str">
        <f>IFERROR(__xludf.DUMMYFUNCTION("""COMPUTED_VALUE"""),"INFRONT OF LOTTO OUTLET")</f>
        <v>INFRONT OF LOTTO OUTLET</v>
      </c>
      <c r="AI73" s="1" t="str">
        <f>IFERROR(__xludf.DUMMYFUNCTION("""COMPUTED_VALUE"""),"NOT AOR")</f>
        <v>NOT AOR</v>
      </c>
    </row>
    <row r="74" customHeight="1" spans="1:35">
      <c r="A74" s="3">
        <f>IFERROR(__xludf.DUMMYFUNCTION("""COMPUTED_VALUE"""),46242)</f>
        <v>46242</v>
      </c>
      <c r="B74" s="1" t="str">
        <f>IFERROR(__xludf.DUMMYFUNCTION("""COMPUTED_VALUE"""),"LEANDRO WENCESLAO DELA CRUZ")</f>
        <v>LEANDRO WENCESLAO DELA CRUZ</v>
      </c>
      <c r="C74" s="1">
        <f>IFERROR(__xludf.DUMMYFUNCTION("""COMPUTED_VALUE"""),2311629833)</f>
        <v>2311629833</v>
      </c>
      <c r="D74" s="1"/>
      <c r="E74" s="1"/>
      <c r="F74" s="1" t="str">
        <f>IFERROR(__xludf.DUMMYFUNCTION("""COMPUTED_VALUE"""),"DISAPPROVED")</f>
        <v>DISAPPROVED</v>
      </c>
      <c r="G74" s="1" t="str">
        <f>IFERROR(__xludf.DUMMYFUNCTION("""COMPUTED_VALUE"""),"(P-OTHERS) DISAPPROVED| INCORRECT ENCODED ID TYPE IN CSP (AR: Digitized Philhealth ID) VS POID (AR: NATIONAL ID) | FOUND BLACKLISTED ACCT# (0246434212) WITH OB AMOUNTING (Php1,384.12) FOR SETTLEMENT SAME NAME DIFF ADDRESS |FOUND CANCELLED ACCT# &amp;#40;&amp;#41;"&amp;" SAME NAME DIFF ADDRESS | CALL THRU: 09770780190 Aug 8, 2026, 03:48 PM | TALKED TO SUBS CONFIRM APPLYING UNDER SWITCHER |DONE VALIDATION | NO EXISTING ACTIVE ACCT AND/OR PENDING APPLICATION | TU SCORING - FF - 1 (NTC) | 1 AMSF REQUIRED | SCANNABLE NATIONA"&amp;"L ID")</f>
        <v>(P-OTHERS) DISAPPROVED| INCORRECT ENCODED ID TYPE IN CSP (AR: Digitized Philhealth ID) VS POID (AR: NATIONAL ID) | FOUND BLACKLISTED ACCT# (0246434212) WITH OB AMOUNTING (Php1,384.12) FOR SETTLEMENT SAME NAME DIFF ADDRESS |FOUND CANCELLED ACCT# &amp;#40;&amp;#41; SAME NAME DIFF ADDRESS | CALL THRU: 09770780190 Aug 8, 2026, 03:48 PM | TALKED TO SUBS CONFIRM APPLYING UNDER SWITCHER |DONE VALIDATION | NO EXISTING ACTIVE ACCT AND/OR PENDING APPLICATION | TU SCORING - FF - 1 (NTC) | 1 AMSF REQUIRED | SCANNABLE NATIONAL ID</v>
      </c>
      <c r="H74" s="1"/>
      <c r="I74" s="1"/>
      <c r="J74" s="1"/>
      <c r="K74" s="1"/>
      <c r="L74" s="1" t="str">
        <f>IFERROR(__xludf.DUMMYFUNCTION("""COMPUTED_VALUE"""),"DISAPPROVED")</f>
        <v>DISAPPROVED</v>
      </c>
      <c r="M74" s="1" t="str">
        <f>IFERROR(__xludf.DUMMYFUNCTION("""COMPUTED_VALUE"""),"DISAPPROVED - WITH OB")</f>
        <v>DISAPPROVED - WITH OB</v>
      </c>
      <c r="N74" s="3"/>
      <c r="O74" s="1" t="str">
        <f>IFERROR(__xludf.DUMMYFUNCTION("""COMPUTED_VALUE"""),"SWITCH FIBER UNLI ALL PLAN 1499")</f>
        <v>SWITCH FIBER UNLI ALL PLAN 1499</v>
      </c>
      <c r="P74" s="1" t="str">
        <f>IFERROR(__xludf.DUMMYFUNCTION("""COMPUTED_VALUE"""),"LOWPLAN")</f>
        <v>LOWPLAN</v>
      </c>
      <c r="Q74" s="1" t="str">
        <f>IFERROR(__xludf.DUMMYFUNCTION("""COMPUTED_VALUE"""),"P407047")</f>
        <v>P407047</v>
      </c>
      <c r="R74" s="1" t="str">
        <f>IFERROR(__xludf.DUMMYFUNCTION("""COMPUTED_VALUE"""),"FRANCISCO, ROSELYN")</f>
        <v>FRANCISCO, ROSELYN</v>
      </c>
      <c r="S74" s="1" t="str">
        <f>IFERROR(__xludf.DUMMYFUNCTION("""COMPUTED_VALUE"""),"ORGANIC")</f>
        <v>ORGANIC</v>
      </c>
      <c r="T74" s="1" t="str">
        <f>IFERROR(__xludf.DUMMYFUNCTION("""COMPUTED_VALUE"""),"LEA REMOLLO")</f>
        <v>LEA REMOLLO</v>
      </c>
      <c r="U74" s="1" t="str">
        <f>IFERROR(__xludf.DUMMYFUNCTION("""COMPUTED_VALUE"""),"JB SALIOA")</f>
        <v>JB SALIOA</v>
      </c>
      <c r="V74" s="1" t="str">
        <f>IFERROR(__xludf.DUMMYFUNCTION("""COMPUTED_VALUE"""),"BK HSTK")</f>
        <v>BK HSTK</v>
      </c>
      <c r="W74" s="1" t="str">
        <f>IFERROR(__xludf.DUMMYFUNCTION("""COMPUTED_VALUE"""),"BK HSTK")</f>
        <v>BK HSTK</v>
      </c>
      <c r="X74" s="1" t="str">
        <f>IFERROR(__xludf.DUMMYFUNCTION("""COMPUTED_VALUE"""),"ANTI COMPETITOR")</f>
        <v>ANTI COMPETITOR</v>
      </c>
      <c r="Y74" s="1" t="str">
        <f>IFERROR(__xludf.DUMMYFUNCTION("""COMPUTED_VALUE"""),"BK_CVEU_260806")</f>
        <v>BK_CVEU_260806</v>
      </c>
      <c r="Z74" s="1" t="str">
        <f>IFERROR(__xludf.DUMMYFUNCTION("""COMPUTED_VALUE"""),"NEW CONNECT")</f>
        <v>NEW CONNECT</v>
      </c>
      <c r="AA74" s="1">
        <f>IFERROR(__xludf.DUMMYFUNCTION("""COMPUTED_VALUE"""),639770780190)</f>
        <v>639770780190</v>
      </c>
      <c r="AB74" s="1">
        <f>IFERROR(__xludf.DUMMYFUNCTION("""COMPUTED_VALUE"""),639159338484)</f>
        <v>639159338484</v>
      </c>
      <c r="AC74" s="1"/>
      <c r="AD74" s="1" t="str">
        <f>IFERROR(__xludf.DUMMYFUNCTION("""COMPUTED_VALUE"""),"PHASE 2")</f>
        <v>PHASE 2</v>
      </c>
      <c r="AE74" s="1"/>
      <c r="AF74" s="1" t="str">
        <f>IFERROR(__xludf.DUMMYFUNCTION("""COMPUTED_VALUE"""),"BGY ANAHAW 1")</f>
        <v>BGY ANAHAW 1</v>
      </c>
      <c r="AG74" s="1" t="str">
        <f>IFERROR(__xludf.DUMMYFUNCTION("""COMPUTED_VALUE"""),"SILANG")</f>
        <v>SILANG</v>
      </c>
      <c r="AH74" s="1" t="str">
        <f>IFERROR(__xludf.DUMMYFUNCTION("""COMPUTED_VALUE"""),"-")</f>
        <v>-</v>
      </c>
      <c r="AI74" s="1" t="str">
        <f>IFERROR(__xludf.DUMMYFUNCTION("""COMPUTED_VALUE"""),"CLUSTER 11")</f>
        <v>CLUSTER 11</v>
      </c>
    </row>
    <row r="75" customHeight="1" spans="1:35">
      <c r="A75" s="3">
        <f>IFERROR(__xludf.DUMMYFUNCTION("""COMPUTED_VALUE"""),46242)</f>
        <v>46242</v>
      </c>
      <c r="B75" s="1" t="str">
        <f>IFERROR(__xludf.DUMMYFUNCTION("""COMPUTED_VALUE"""),"MARK LORENZ GUILLEN CORTEZ")</f>
        <v>MARK LORENZ GUILLEN CORTEZ</v>
      </c>
      <c r="C75" s="1">
        <f>IFERROR(__xludf.DUMMYFUNCTION("""COMPUTED_VALUE"""),2311630406)</f>
        <v>2311630406</v>
      </c>
      <c r="D75" s="1">
        <f>IFERROR(__xludf.DUMMYFUNCTION("""COMPUTED_VALUE"""),406583244)</f>
        <v>406583244</v>
      </c>
      <c r="E75" s="1">
        <f>IFERROR(__xludf.DUMMYFUNCTION("""COMPUTED_VALUE"""),465695608004)</f>
        <v>465695608004</v>
      </c>
      <c r="F75" s="1" t="str">
        <f>IFERROR(__xludf.DUMMYFUNCTION("""COMPUTED_VALUE"""),"CLOSED")</f>
        <v>CLOSED</v>
      </c>
      <c r="G75" s="1" t="str">
        <f>IFERROR(__xludf.DUMMYFUNCTION("""COMPUTED_VALUE"""),"CLOSED")</f>
        <v>CLOSED</v>
      </c>
      <c r="H75" s="1" t="str">
        <f>IFERROR(__xludf.DUMMYFUNCTION("""COMPUTED_VALUE"""),"PAID VIA GCASH- AUG 10 - REF- 370557174")</f>
        <v>PAID VIA GCASH- AUG 10 - REF- 370557174</v>
      </c>
      <c r="I75" s="1" t="str">
        <f>IFERROR(__xludf.DUMMYFUNCTION("""COMPUTED_VALUE"""),"WITH 1 AMSF")</f>
        <v>WITH 1 AMSF</v>
      </c>
      <c r="J75" s="1"/>
      <c r="K75" s="1" t="str">
        <f>IFERROR(__xludf.DUMMYFUNCTION("""COMPUTED_VALUE"""),"COMPLETED")</f>
        <v>COMPLETED</v>
      </c>
      <c r="L75" s="1" t="str">
        <f>IFERROR(__xludf.DUMMYFUNCTION("""COMPUTED_VALUE"""),"POSTED")</f>
        <v>POSTED</v>
      </c>
      <c r="M75" s="1" t="str">
        <f>IFERROR(__xludf.DUMMYFUNCTION("""COMPUTED_VALUE"""),"POSTED")</f>
        <v>POSTED</v>
      </c>
      <c r="N75" s="3">
        <f>IFERROR(__xludf.DUMMYFUNCTION("""COMPUTED_VALUE"""),46244)</f>
        <v>46244</v>
      </c>
      <c r="O75" s="1" t="str">
        <f>IFERROR(__xludf.DUMMYFUNCTION("""COMPUTED_VALUE"""),"FIBER UNLI ALL PLAN 1499")</f>
        <v>FIBER UNLI ALL PLAN 1499</v>
      </c>
      <c r="P75" s="1" t="str">
        <f>IFERROR(__xludf.DUMMYFUNCTION("""COMPUTED_VALUE"""),"LOWPLAN")</f>
        <v>LOWPLAN</v>
      </c>
      <c r="Q75" s="1" t="str">
        <f>IFERROR(__xludf.DUMMYFUNCTION("""COMPUTED_VALUE"""),"P407045")</f>
        <v>P407045</v>
      </c>
      <c r="R75" s="1" t="str">
        <f>IFERROR(__xludf.DUMMYFUNCTION("""COMPUTED_VALUE"""),"GABAY, MANUEL")</f>
        <v>GABAY, MANUEL</v>
      </c>
      <c r="S75" s="1" t="str">
        <f>IFERROR(__xludf.DUMMYFUNCTION("""COMPUTED_VALUE"""),"FLA")</f>
        <v>FLA</v>
      </c>
      <c r="T75" s="1" t="str">
        <f>IFERROR(__xludf.DUMMYFUNCTION("""COMPUTED_VALUE"""),"JERIC NAVARRO")</f>
        <v>JERIC NAVARRO</v>
      </c>
      <c r="U75" s="1" t="str">
        <f>IFERROR(__xludf.DUMMYFUNCTION("""COMPUTED_VALUE"""),"JB SALIOA")</f>
        <v>JB SALIOA</v>
      </c>
      <c r="V75" s="1" t="str">
        <f>IFERROR(__xludf.DUMMYFUNCTION("""COMPUTED_VALUE"""),"BK REGULAR")</f>
        <v>BK REGULAR</v>
      </c>
      <c r="W75" s="1" t="str">
        <f>IFERROR(__xludf.DUMMYFUNCTION("""COMPUTED_VALUE"""),"CSP")</f>
        <v>CSP</v>
      </c>
      <c r="X75" s="1" t="str">
        <f>IFERROR(__xludf.DUMMYFUNCTION("""COMPUTED_VALUE"""),"HBBS AUG 2026")</f>
        <v>HBBS AUG 2026</v>
      </c>
      <c r="Y75" s="1" t="str">
        <f>IFERROR(__xludf.DUMMYFUNCTION("""COMPUTED_VALUE"""),"BK_CVEU_260807")</f>
        <v>BK_CVEU_260807</v>
      </c>
      <c r="Z75" s="1" t="str">
        <f>IFERROR(__xludf.DUMMYFUNCTION("""COMPUTED_VALUE"""),"NEW CONNECT")</f>
        <v>NEW CONNECT</v>
      </c>
      <c r="AA75" s="1">
        <f>IFERROR(__xludf.DUMMYFUNCTION("""COMPUTED_VALUE"""),639975867182)</f>
        <v>639975867182</v>
      </c>
      <c r="AB75" s="1">
        <f>IFERROR(__xludf.DUMMYFUNCTION("""COMPUTED_VALUE"""),639368840264)</f>
        <v>639368840264</v>
      </c>
      <c r="AC75" s="1">
        <f>IFERROR(__xludf.DUMMYFUNCTION("""COMPUTED_VALUE"""),3260)</f>
        <v>3260</v>
      </c>
      <c r="AD75" s="1" t="str">
        <f>IFERROR(__xludf.DUMMYFUNCTION("""COMPUTED_VALUE"""),"PATUTONG MALAKI")</f>
        <v>PATUTONG MALAKI</v>
      </c>
      <c r="AE75" s="1"/>
      <c r="AF75" s="1" t="str">
        <f>IFERROR(__xludf.DUMMYFUNCTION("""COMPUTED_VALUE"""),"BGY PATUTONG MALAKI")</f>
        <v>BGY PATUTONG MALAKI</v>
      </c>
      <c r="AG75" s="1" t="str">
        <f>IFERROR(__xludf.DUMMYFUNCTION("""COMPUTED_VALUE"""),"TAGAYTAY")</f>
        <v>TAGAYTAY</v>
      </c>
      <c r="AH75" s="1" t="str">
        <f>IFERROR(__xludf.DUMMYFUNCTION("""COMPUTED_VALUE"""),"-")</f>
        <v>-</v>
      </c>
      <c r="AI75" s="1" t="str">
        <f>IFERROR(__xludf.DUMMYFUNCTION("""COMPUTED_VALUE"""),"CLUSTER 12")</f>
        <v>CLUSTER 12</v>
      </c>
    </row>
    <row r="76" customHeight="1" spans="1:35">
      <c r="A76" s="3">
        <f>IFERROR(__xludf.DUMMYFUNCTION("""COMPUTED_VALUE"""),46242)</f>
        <v>46242</v>
      </c>
      <c r="B76" s="1" t="str">
        <f>IFERROR(__xludf.DUMMYFUNCTION("""COMPUTED_VALUE"""),"JANNE CHRISTINE MANGALDAN TALATALA")</f>
        <v>JANNE CHRISTINE MANGALDAN TALATALA</v>
      </c>
      <c r="C76" s="1">
        <f>IFERROR(__xludf.DUMMYFUNCTION("""COMPUTED_VALUE"""),2311630854)</f>
        <v>2311630854</v>
      </c>
      <c r="D76" s="1">
        <f>IFERROR(__xludf.DUMMYFUNCTION("""COMPUTED_VALUE"""),406573982)</f>
        <v>406573982</v>
      </c>
      <c r="E76" s="1">
        <f>IFERROR(__xludf.DUMMYFUNCTION("""COMPUTED_VALUE"""),465675047004)</f>
        <v>465675047004</v>
      </c>
      <c r="F76" s="1" t="str">
        <f>IFERROR(__xludf.DUMMYFUNCTION("""COMPUTED_VALUE"""),"CLOSED")</f>
        <v>CLOSED</v>
      </c>
      <c r="G76" s="1" t="str">
        <f>IFERROR(__xludf.DUMMYFUNCTION("""COMPUTED_VALUE"""),"CLOSED")</f>
        <v>CLOSED</v>
      </c>
      <c r="H76" s="1" t="str">
        <f>IFERROR(__xludf.DUMMYFUNCTION("""COMPUTED_VALUE"""),"PAID VIA GCASH REF 368010805 AUG 9")</f>
        <v>PAID VIA GCASH REF 368010805 AUG 9</v>
      </c>
      <c r="I76" s="1" t="str">
        <f>IFERROR(__xludf.DUMMYFUNCTION("""COMPUTED_VALUE"""),"WITH 1 AMSF")</f>
        <v>WITH 1 AMSF</v>
      </c>
      <c r="J76" s="1"/>
      <c r="K76" s="1" t="str">
        <f>IFERROR(__xludf.DUMMYFUNCTION("""COMPUTED_VALUE"""),"COMPLETED")</f>
        <v>COMPLETED</v>
      </c>
      <c r="L76" s="1" t="str">
        <f>IFERROR(__xludf.DUMMYFUNCTION("""COMPUTED_VALUE"""),"POSTED")</f>
        <v>POSTED</v>
      </c>
      <c r="M76" s="1" t="str">
        <f>IFERROR(__xludf.DUMMYFUNCTION("""COMPUTED_VALUE"""),"POSTED")</f>
        <v>POSTED</v>
      </c>
      <c r="N76" s="3">
        <f>IFERROR(__xludf.DUMMYFUNCTION("""COMPUTED_VALUE"""),46244)</f>
        <v>46244</v>
      </c>
      <c r="O76" s="1" t="str">
        <f>IFERROR(__xludf.DUMMYFUNCTION("""COMPUTED_VALUE"""),"FIBR PLAN 1299")</f>
        <v>FIBR PLAN 1299</v>
      </c>
      <c r="P76" s="1" t="str">
        <f>IFERROR(__xludf.DUMMYFUNCTION("""COMPUTED_VALUE"""),"LOWPLAN")</f>
        <v>LOWPLAN</v>
      </c>
      <c r="Q76" s="1" t="str">
        <f>IFERROR(__xludf.DUMMYFUNCTION("""COMPUTED_VALUE"""),"P407050")</f>
        <v>P407050</v>
      </c>
      <c r="R76" s="1" t="str">
        <f>IFERROR(__xludf.DUMMYFUNCTION("""COMPUTED_VALUE"""),"TAMAYO, MARY ROSE ZAIRA")</f>
        <v>TAMAYO, MARY ROSE ZAIRA</v>
      </c>
      <c r="S76" s="1" t="str">
        <f>IFERROR(__xludf.DUMMYFUNCTION("""COMPUTED_VALUE"""),"ORGANIC")</f>
        <v>ORGANIC</v>
      </c>
      <c r="T76" s="1" t="str">
        <f>IFERROR(__xludf.DUMMYFUNCTION("""COMPUTED_VALUE"""),"LEA REMOLLO")</f>
        <v>LEA REMOLLO</v>
      </c>
      <c r="U76" s="1" t="str">
        <f>IFERROR(__xludf.DUMMYFUNCTION("""COMPUTED_VALUE"""),"JB SALIOA")</f>
        <v>JB SALIOA</v>
      </c>
      <c r="V76" s="1" t="str">
        <f>IFERROR(__xludf.DUMMYFUNCTION("""COMPUTED_VALUE"""),"BK HSTK")</f>
        <v>BK HSTK</v>
      </c>
      <c r="W76" s="1" t="str">
        <f>IFERROR(__xludf.DUMMYFUNCTION("""COMPUTED_VALUE"""),"BK HSTK")</f>
        <v>BK HSTK</v>
      </c>
      <c r="X76" s="1" t="str">
        <f>IFERROR(__xludf.DUMMYFUNCTION("""COMPUTED_VALUE"""),"HBBS AUG 2026")</f>
        <v>HBBS AUG 2026</v>
      </c>
      <c r="Y76" s="1" t="str">
        <f>IFERROR(__xludf.DUMMYFUNCTION("""COMPUTED_VALUE"""),"BK_CVEU_260806")</f>
        <v>BK_CVEU_260806</v>
      </c>
      <c r="Z76" s="1" t="str">
        <f>IFERROR(__xludf.DUMMYFUNCTION("""COMPUTED_VALUE"""),"NEW CONNECT")</f>
        <v>NEW CONNECT</v>
      </c>
      <c r="AA76" s="1">
        <f>IFERROR(__xludf.DUMMYFUNCTION("""COMPUTED_VALUE"""),639564153457)</f>
        <v>639564153457</v>
      </c>
      <c r="AB76" s="1">
        <f>IFERROR(__xludf.DUMMYFUNCTION("""COMPUTED_VALUE"""),639153768809)</f>
        <v>639153768809</v>
      </c>
      <c r="AC76" s="1">
        <f>IFERROR(__xludf.DUMMYFUNCTION("""COMPUTED_VALUE"""),22)</f>
        <v>22</v>
      </c>
      <c r="AD76" s="1" t="str">
        <f>IFERROR(__xludf.DUMMYFUNCTION("""COMPUTED_VALUE"""),"GOVERNORS")</f>
        <v>GOVERNORS</v>
      </c>
      <c r="AE76" s="1"/>
      <c r="AF76" s="1" t="str">
        <f>IFERROR(__xludf.DUMMYFUNCTION("""COMPUTED_VALUE"""),"BGY BULIHAN")</f>
        <v>BGY BULIHAN</v>
      </c>
      <c r="AG76" s="1" t="str">
        <f>IFERROR(__xludf.DUMMYFUNCTION("""COMPUTED_VALUE"""),"SILANG")</f>
        <v>SILANG</v>
      </c>
      <c r="AH76" s="1" t="str">
        <f>IFERROR(__xludf.DUMMYFUNCTION("""COMPUTED_VALUE"""),"-")</f>
        <v>-</v>
      </c>
      <c r="AI76" s="1" t="str">
        <f>IFERROR(__xludf.DUMMYFUNCTION("""COMPUTED_VALUE"""),"CLUSTER 11")</f>
        <v>CLUSTER 11</v>
      </c>
    </row>
    <row r="77" customHeight="1" spans="1:35">
      <c r="A77" s="3">
        <f>IFERROR(__xludf.DUMMYFUNCTION("""COMPUTED_VALUE"""),46242)</f>
        <v>46242</v>
      </c>
      <c r="B77" s="1" t="str">
        <f>IFERROR(__xludf.DUMMYFUNCTION("""COMPUTED_VALUE"""),"AYELLAH JAZZ ALCANTARA SPARKS")</f>
        <v>AYELLAH JAZZ ALCANTARA SPARKS</v>
      </c>
      <c r="C77" s="1">
        <f>IFERROR(__xludf.DUMMYFUNCTION("""COMPUTED_VALUE"""),2311631829)</f>
        <v>2311631829</v>
      </c>
      <c r="D77" s="1">
        <f>IFERROR(__xludf.DUMMYFUNCTION("""COMPUTED_VALUE"""),406715639)</f>
        <v>406715639</v>
      </c>
      <c r="E77" s="1">
        <f>IFERROR(__xludf.DUMMYFUNCTION("""COMPUTED_VALUE"""),466176333004)</f>
        <v>466176333004</v>
      </c>
      <c r="F77" s="1" t="str">
        <f>IFERROR(__xludf.DUMMYFUNCTION("""COMPUTED_VALUE"""),"CLOSED")</f>
        <v>CLOSED</v>
      </c>
      <c r="G77" s="1" t="str">
        <f>IFERROR(__xludf.DUMMYFUNCTION("""COMPUTED_VALUE"""),"CLOSED")</f>
        <v>CLOSED</v>
      </c>
      <c r="H77" s="1" t="str">
        <f>IFERROR(__xludf.DUMMYFUNCTION("""COMPUTED_VALUE"""),"PAID THRU GCASH 381112122 AUG 13")</f>
        <v>PAID THRU GCASH 381112122 AUG 13</v>
      </c>
      <c r="I77" s="1" t="str">
        <f>IFERROR(__xludf.DUMMYFUNCTION("""COMPUTED_VALUE"""),"WITH 1 AMSF")</f>
        <v>WITH 1 AMSF</v>
      </c>
      <c r="J77" s="1"/>
      <c r="K77" s="1" t="str">
        <f>IFERROR(__xludf.DUMMYFUNCTION("""COMPUTED_VALUE"""),"COMPLETED")</f>
        <v>COMPLETED</v>
      </c>
      <c r="L77" s="1" t="str">
        <f>IFERROR(__xludf.DUMMYFUNCTION("""COMPUTED_VALUE"""),"POSTED")</f>
        <v>POSTED</v>
      </c>
      <c r="M77" s="1" t="str">
        <f>IFERROR(__xludf.DUMMYFUNCTION("""COMPUTED_VALUE"""),"POSTED")</f>
        <v>POSTED</v>
      </c>
      <c r="N77" s="3">
        <f>IFERROR(__xludf.DUMMYFUNCTION("""COMPUTED_VALUE"""),46247)</f>
        <v>46247</v>
      </c>
      <c r="O77" s="1" t="str">
        <f>IFERROR(__xludf.DUMMYFUNCTION("""COMPUTED_VALUE"""),"FIBR PLAN 1299")</f>
        <v>FIBR PLAN 1299</v>
      </c>
      <c r="P77" s="1" t="str">
        <f>IFERROR(__xludf.DUMMYFUNCTION("""COMPUTED_VALUE"""),"LOWPLAN")</f>
        <v>LOWPLAN</v>
      </c>
      <c r="Q77" s="1" t="str">
        <f>IFERROR(__xludf.DUMMYFUNCTION("""COMPUTED_VALUE"""),"P407046")</f>
        <v>P407046</v>
      </c>
      <c r="R77" s="1" t="str">
        <f>IFERROR(__xludf.DUMMYFUNCTION("""COMPUTED_VALUE"""),"MALIWAT, MARK")</f>
        <v>MALIWAT, MARK</v>
      </c>
      <c r="S77" s="1" t="str">
        <f>IFERROR(__xludf.DUMMYFUNCTION("""COMPUTED_VALUE"""),"FLA")</f>
        <v>FLA</v>
      </c>
      <c r="T77" s="1" t="str">
        <f>IFERROR(__xludf.DUMMYFUNCTION("""COMPUTED_VALUE"""),"JERIC NAVARRO")</f>
        <v>JERIC NAVARRO</v>
      </c>
      <c r="U77" s="1" t="str">
        <f>IFERROR(__xludf.DUMMYFUNCTION("""COMPUTED_VALUE"""),"JB SALIOA")</f>
        <v>JB SALIOA</v>
      </c>
      <c r="V77" s="1" t="str">
        <f>IFERROR(__xludf.DUMMYFUNCTION("""COMPUTED_VALUE"""),"BK REGULAR")</f>
        <v>BK REGULAR</v>
      </c>
      <c r="W77" s="1" t="str">
        <f>IFERROR(__xludf.DUMMYFUNCTION("""COMPUTED_VALUE"""),"STK REGULAR")</f>
        <v>STK REGULAR</v>
      </c>
      <c r="X77" s="1" t="str">
        <f>IFERROR(__xludf.DUMMYFUNCTION("""COMPUTED_VALUE"""),"HBBS AUG 2026")</f>
        <v>HBBS AUG 2026</v>
      </c>
      <c r="Y77" s="1" t="str">
        <f>IFERROR(__xludf.DUMMYFUNCTION("""COMPUTED_VALUE"""),"BK_CVEU_260807")</f>
        <v>BK_CVEU_260807</v>
      </c>
      <c r="Z77" s="1" t="str">
        <f>IFERROR(__xludf.DUMMYFUNCTION("""COMPUTED_VALUE"""),"NEW CONNECT")</f>
        <v>NEW CONNECT</v>
      </c>
      <c r="AA77" s="1">
        <f>IFERROR(__xludf.DUMMYFUNCTION("""COMPUTED_VALUE"""),639981765169)</f>
        <v>639981765169</v>
      </c>
      <c r="AB77" s="1">
        <f>IFERROR(__xludf.DUMMYFUNCTION("""COMPUTED_VALUE"""),639393237744)</f>
        <v>639393237744</v>
      </c>
      <c r="AC77" s="1">
        <f>IFERROR(__xludf.DUMMYFUNCTION("""COMPUTED_VALUE"""),727)</f>
        <v>727</v>
      </c>
      <c r="AD77" s="1" t="str">
        <f>IFERROR(__xludf.DUMMYFUNCTION("""COMPUTED_VALUE"""),"EMILIO AGUINALDO")</f>
        <v>EMILIO AGUINALDO</v>
      </c>
      <c r="AE77" s="1" t="str">
        <f>IFERROR(__xludf.DUMMYFUNCTION("""COMPUTED_VALUE"""),"WIND RESIDENCES TOWER 3")</f>
        <v>WIND RESIDENCES TOWER 3</v>
      </c>
      <c r="AF77" s="1" t="str">
        <f>IFERROR(__xludf.DUMMYFUNCTION("""COMPUTED_VALUE"""),"BGY MAHARLIKA WEST")</f>
        <v>BGY MAHARLIKA WEST</v>
      </c>
      <c r="AG77" s="1" t="str">
        <f>IFERROR(__xludf.DUMMYFUNCTION("""COMPUTED_VALUE"""),"TAGAYTAY")</f>
        <v>TAGAYTAY</v>
      </c>
      <c r="AH77" s="1" t="str">
        <f>IFERROR(__xludf.DUMMYFUNCTION("""COMPUTED_VALUE"""),"SUMMIT RIDGE TAGAYTAY")</f>
        <v>SUMMIT RIDGE TAGAYTAY</v>
      </c>
      <c r="AI77" s="1" t="str">
        <f>IFERROR(__xludf.DUMMYFUNCTION("""COMPUTED_VALUE"""),"CLUSTER 12")</f>
        <v>CLUSTER 12</v>
      </c>
    </row>
    <row r="78" customHeight="1" spans="1:35">
      <c r="A78" s="3">
        <f>IFERROR(__xludf.DUMMYFUNCTION("""COMPUTED_VALUE"""),46243)</f>
        <v>46243</v>
      </c>
      <c r="B78" s="1" t="str">
        <f>IFERROR(__xludf.DUMMYFUNCTION("""COMPUTED_VALUE"""),"SAMANTHA KIM ANDOR MALIG")</f>
        <v>SAMANTHA KIM ANDOR MALIG</v>
      </c>
      <c r="C78" s="1">
        <f>IFERROR(__xludf.DUMMYFUNCTION("""COMPUTED_VALUE"""),2311644252)</f>
        <v>2311644252</v>
      </c>
      <c r="D78" s="1"/>
      <c r="E78" s="1"/>
      <c r="F78" s="1" t="str">
        <f>IFERROR(__xludf.DUMMYFUNCTION("""COMPUTED_VALUE"""),"REENCODED")</f>
        <v>REENCODED</v>
      </c>
      <c r="G78" s="1" t="str">
        <f>IFERROR(__xludf.DUMMYFUNCTION("""COMPUTED_VALUE"""),"REENCODED")</f>
        <v>REENCODED</v>
      </c>
      <c r="H78" s="1"/>
      <c r="I78" s="1"/>
      <c r="J78" s="1"/>
      <c r="K78" s="1"/>
      <c r="L78" s="1" t="str">
        <f>IFERROR(__xludf.DUMMYFUNCTION("""COMPUTED_VALUE"""),"REENCODED")</f>
        <v>REENCODED</v>
      </c>
      <c r="M78" s="1" t="str">
        <f>IFERROR(__xludf.DUMMYFUNCTION("""COMPUTED_VALUE"""),"REENCODED")</f>
        <v>REENCODED</v>
      </c>
      <c r="N78" s="3"/>
      <c r="O78" s="1" t="str">
        <f>IFERROR(__xludf.DUMMYFUNCTION("""COMPUTED_VALUE"""),"FIBR PLAN 1299")</f>
        <v>FIBR PLAN 1299</v>
      </c>
      <c r="P78" s="1" t="str">
        <f>IFERROR(__xludf.DUMMYFUNCTION("""COMPUTED_VALUE"""),"LOWPLAN")</f>
        <v>LOWPLAN</v>
      </c>
      <c r="Q78" s="1" t="str">
        <f>IFERROR(__xludf.DUMMYFUNCTION("""COMPUTED_VALUE"""),"P407050")</f>
        <v>P407050</v>
      </c>
      <c r="R78" s="1" t="str">
        <f>IFERROR(__xludf.DUMMYFUNCTION("""COMPUTED_VALUE"""),"ARENA, LYKA")</f>
        <v>ARENA, LYKA</v>
      </c>
      <c r="S78" s="1" t="str">
        <f>IFERROR(__xludf.DUMMYFUNCTION("""COMPUTED_VALUE"""),"ORGANIC")</f>
        <v>ORGANIC</v>
      </c>
      <c r="T78" s="1" t="str">
        <f>IFERROR(__xludf.DUMMYFUNCTION("""COMPUTED_VALUE"""),"LEA REMOLLO")</f>
        <v>LEA REMOLLO</v>
      </c>
      <c r="U78" s="1" t="str">
        <f>IFERROR(__xludf.DUMMYFUNCTION("""COMPUTED_VALUE"""),"JB SALIOA")</f>
        <v>JB SALIOA</v>
      </c>
      <c r="V78" s="1" t="str">
        <f>IFERROR(__xludf.DUMMYFUNCTION("""COMPUTED_VALUE"""),"BK HSTK")</f>
        <v>BK HSTK</v>
      </c>
      <c r="W78" s="1" t="str">
        <f>IFERROR(__xludf.DUMMYFUNCTION("""COMPUTED_VALUE"""),"BK HSTK")</f>
        <v>BK HSTK</v>
      </c>
      <c r="X78" s="1" t="str">
        <f>IFERROR(__xludf.DUMMYFUNCTION("""COMPUTED_VALUE"""),"HBBS AUG 2026")</f>
        <v>HBBS AUG 2026</v>
      </c>
      <c r="Y78" s="1" t="str">
        <f>IFERROR(__xludf.DUMMYFUNCTION("""COMPUTED_VALUE"""),"BK_CVEU_260804")</f>
        <v>BK_CVEU_260804</v>
      </c>
      <c r="Z78" s="1" t="str">
        <f>IFERROR(__xludf.DUMMYFUNCTION("""COMPUTED_VALUE"""),"NEW CONNECT")</f>
        <v>NEW CONNECT</v>
      </c>
      <c r="AA78" s="1">
        <f>IFERROR(__xludf.DUMMYFUNCTION("""COMPUTED_VALUE"""),639484392214)</f>
        <v>639484392214</v>
      </c>
      <c r="AB78" s="1"/>
      <c r="AC78" s="1">
        <f>IFERROR(__xludf.DUMMYFUNCTION("""COMPUTED_VALUE"""),490)</f>
        <v>490</v>
      </c>
      <c r="AD78" s="1" t="str">
        <f>IFERROR(__xludf.DUMMYFUNCTION("""COMPUTED_VALUE"""),"PINK")</f>
        <v>PINK</v>
      </c>
      <c r="AE78" s="1"/>
      <c r="AF78" s="1" t="str">
        <f>IFERROR(__xludf.DUMMYFUNCTION("""COMPUTED_VALUE"""),"BGY SAN JOSE")</f>
        <v>BGY SAN JOSE</v>
      </c>
      <c r="AG78" s="1" t="str">
        <f>IFERROR(__xludf.DUMMYFUNCTION("""COMPUTED_VALUE"""),"GEN MARIANO ALVAREZ")</f>
        <v>GEN MARIANO ALVAREZ</v>
      </c>
      <c r="AH78" s="1" t="str">
        <f>IFERROR(__xludf.DUMMYFUNCTION("""COMPUTED_VALUE"""),"-")</f>
        <v>-</v>
      </c>
      <c r="AI78" s="1" t="str">
        <f>IFERROR(__xludf.DUMMYFUNCTION("""COMPUTED_VALUE"""),"CLUSTER 11")</f>
        <v>CLUSTER 11</v>
      </c>
    </row>
    <row r="79" customHeight="1" spans="1:35">
      <c r="A79" s="3">
        <f>IFERROR(__xludf.DUMMYFUNCTION("""COMPUTED_VALUE"""),46243)</f>
        <v>46243</v>
      </c>
      <c r="B79" s="1" t="str">
        <f>IFERROR(__xludf.DUMMYFUNCTION("""COMPUTED_VALUE"""),"ELVINO SERVIDA HERNANDEZ")</f>
        <v>ELVINO SERVIDA HERNANDEZ</v>
      </c>
      <c r="C79" s="1">
        <f>IFERROR(__xludf.DUMMYFUNCTION("""COMPUTED_VALUE"""),2311644874)</f>
        <v>2311644874</v>
      </c>
      <c r="D79" s="1">
        <f>IFERROR(__xludf.DUMMYFUNCTION("""COMPUTED_VALUE"""),406598446)</f>
        <v>406598446</v>
      </c>
      <c r="E79" s="1">
        <f>IFERROR(__xludf.DUMMYFUNCTION("""COMPUTED_VALUE"""),465791547004)</f>
        <v>465791547004</v>
      </c>
      <c r="F79" s="1" t="str">
        <f>IFERROR(__xludf.DUMMYFUNCTION("""COMPUTED_VALUE"""),"CLOSED")</f>
        <v>CLOSED</v>
      </c>
      <c r="G79" s="1" t="str">
        <f>IFERROR(__xludf.DUMMYFUNCTION("""COMPUTED_VALUE"""),"CLOSED")</f>
        <v>CLOSED</v>
      </c>
      <c r="H79" s="1" t="str">
        <f>IFERROR(__xludf.DUMMYFUNCTION("""COMPUTED_VALUE"""),"PDOOR000741543	10-Aug-26	Regular Payment	PLDT DASMARINAS KIOSK	1,300.00	0	10-Aug-26")</f>
        <v>PDOOR000741543	10-Aug-26	Regular Payment	PLDT DASMARINAS KIOSK	1,300.00	0	10-Aug-26</v>
      </c>
      <c r="I79" s="1" t="str">
        <f>IFERROR(__xludf.DUMMYFUNCTION("""COMPUTED_VALUE"""),"WITH 1 AMSF")</f>
        <v>WITH 1 AMSF</v>
      </c>
      <c r="J79" s="1"/>
      <c r="K79" s="1" t="str">
        <f>IFERROR(__xludf.DUMMYFUNCTION("""COMPUTED_VALUE"""),"COMPLETED")</f>
        <v>COMPLETED</v>
      </c>
      <c r="L79" s="1" t="str">
        <f>IFERROR(__xludf.DUMMYFUNCTION("""COMPUTED_VALUE"""),"POSTED")</f>
        <v>POSTED</v>
      </c>
      <c r="M79" s="1" t="str">
        <f>IFERROR(__xludf.DUMMYFUNCTION("""COMPUTED_VALUE"""),"POSTED")</f>
        <v>POSTED</v>
      </c>
      <c r="N79" s="3">
        <f>IFERROR(__xludf.DUMMYFUNCTION("""COMPUTED_VALUE"""),46245)</f>
        <v>46245</v>
      </c>
      <c r="O79" s="1" t="str">
        <f>IFERROR(__xludf.DUMMYFUNCTION("""COMPUTED_VALUE"""),"FIBR PLAN 1299")</f>
        <v>FIBR PLAN 1299</v>
      </c>
      <c r="P79" s="1" t="str">
        <f>IFERROR(__xludf.DUMMYFUNCTION("""COMPUTED_VALUE"""),"LOWPLAN")</f>
        <v>LOWPLAN</v>
      </c>
      <c r="Q79" s="1" t="str">
        <f>IFERROR(__xludf.DUMMYFUNCTION("""COMPUTED_VALUE"""),"P407046")</f>
        <v>P407046</v>
      </c>
      <c r="R79" s="1" t="str">
        <f>IFERROR(__xludf.DUMMYFUNCTION("""COMPUTED_VALUE"""),"MALIWAT, MARK")</f>
        <v>MALIWAT, MARK</v>
      </c>
      <c r="S79" s="1" t="str">
        <f>IFERROR(__xludf.DUMMYFUNCTION("""COMPUTED_VALUE"""),"FLA")</f>
        <v>FLA</v>
      </c>
      <c r="T79" s="1" t="str">
        <f>IFERROR(__xludf.DUMMYFUNCTION("""COMPUTED_VALUE"""),"JERIC NAVARRO")</f>
        <v>JERIC NAVARRO</v>
      </c>
      <c r="U79" s="1" t="str">
        <f>IFERROR(__xludf.DUMMYFUNCTION("""COMPUTED_VALUE"""),"JB SALIOA")</f>
        <v>JB SALIOA</v>
      </c>
      <c r="V79" s="1" t="str">
        <f>IFERROR(__xludf.DUMMYFUNCTION("""COMPUTED_VALUE"""),"ONLINE/CRANFORD")</f>
        <v>ONLINE/CRANFORD</v>
      </c>
      <c r="W79" s="1" t="str">
        <f>IFERROR(__xludf.DUMMYFUNCTION("""COMPUTED_VALUE"""),"STK REGULAR")</f>
        <v>STK REGULAR</v>
      </c>
      <c r="X79" s="1" t="str">
        <f>IFERROR(__xludf.DUMMYFUNCTION("""COMPUTED_VALUE"""),"HBBS AUG 2026")</f>
        <v>HBBS AUG 2026</v>
      </c>
      <c r="Y79" s="1" t="str">
        <f>IFERROR(__xludf.DUMMYFUNCTION("""COMPUTED_VALUE"""),"RS_ONL_CVEU_2026")</f>
        <v>RS_ONL_CVEU_2026</v>
      </c>
      <c r="Z79" s="1" t="str">
        <f>IFERROR(__xludf.DUMMYFUNCTION("""COMPUTED_VALUE"""),"NEW CONNECT")</f>
        <v>NEW CONNECT</v>
      </c>
      <c r="AA79" s="1">
        <f>IFERROR(__xludf.DUMMYFUNCTION("""COMPUTED_VALUE"""),639453307127)</f>
        <v>639453307127</v>
      </c>
      <c r="AB79" s="1">
        <f>IFERROR(__xludf.DUMMYFUNCTION("""COMPUTED_VALUE"""),639950680844)</f>
        <v>639950680844</v>
      </c>
      <c r="AC79" s="1"/>
      <c r="AD79" s="1" t="str">
        <f>IFERROR(__xludf.DUMMYFUNCTION("""COMPUTED_VALUE"""),"PHASE 3")</f>
        <v>PHASE 3</v>
      </c>
      <c r="AE79" s="1" t="str">
        <f>IFERROR(__xludf.DUMMYFUNCTION("""COMPUTED_VALUE"""),"SOLAR HOMES")</f>
        <v>SOLAR HOMES</v>
      </c>
      <c r="AF79" s="1" t="str">
        <f>IFERROR(__xludf.DUMMYFUNCTION("""COMPUTED_VALUE"""),"BGY LANGKAAN 2")</f>
        <v>BGY LANGKAAN 2</v>
      </c>
      <c r="AG79" s="1" t="str">
        <f>IFERROR(__xludf.DUMMYFUNCTION("""COMPUTED_VALUE"""),"DASMARINAS")</f>
        <v>DASMARINAS</v>
      </c>
      <c r="AH79" s="1" t="str">
        <f>IFERROR(__xludf.DUMMYFUNCTION("""COMPUTED_VALUE"""),"PHASE 3")</f>
        <v>PHASE 3</v>
      </c>
      <c r="AI79" s="1" t="str">
        <f>IFERROR(__xludf.DUMMYFUNCTION("""COMPUTED_VALUE"""),"NOT AOR")</f>
        <v>NOT AOR</v>
      </c>
    </row>
    <row r="80" customHeight="1" spans="1:35">
      <c r="A80" s="3">
        <f>IFERROR(__xludf.DUMMYFUNCTION("""COMPUTED_VALUE"""),46243)</f>
        <v>46243</v>
      </c>
      <c r="B80" s="1" t="str">
        <f>IFERROR(__xludf.DUMMYFUNCTION("""COMPUTED_VALUE"""),"WILLARD JOY CENAS BENDOL")</f>
        <v>WILLARD JOY CENAS BENDOL</v>
      </c>
      <c r="C80" s="1">
        <f>IFERROR(__xludf.DUMMYFUNCTION("""COMPUTED_VALUE"""),2311645818)</f>
        <v>2311645818</v>
      </c>
      <c r="D80" s="1">
        <f>IFERROR(__xludf.DUMMYFUNCTION("""COMPUTED_VALUE"""),406601765)</f>
        <v>406601765</v>
      </c>
      <c r="E80" s="1">
        <f>IFERROR(__xludf.DUMMYFUNCTION("""COMPUTED_VALUE"""),465802427004)</f>
        <v>465802427004</v>
      </c>
      <c r="F80" s="1" t="str">
        <f>IFERROR(__xludf.DUMMYFUNCTION("""COMPUTED_VALUE"""),"CANCELLED")</f>
        <v>CANCELLED</v>
      </c>
      <c r="G80" s="1" t="str">
        <f>IFERROR(__xludf.DUMMYFUNCTION("""COMPUTED_VALUE"""),"CANCELLED")</f>
        <v>CANCELLED</v>
      </c>
      <c r="H80" s="1" t="str">
        <f>IFERROR(__xludf.DUMMYFUNCTION("""COMPUTED_VALUE"""),"DROP CALLS 3X ATTEMPT 08/21 10:01")</f>
        <v>DROP CALLS 3X ATTEMPT 08/21 10:01</v>
      </c>
      <c r="I80" s="1"/>
      <c r="J80" s="1"/>
      <c r="K80" s="1" t="str">
        <f>IFERROR(__xludf.DUMMYFUNCTION("""COMPUTED_VALUE"""),"NOT IN OFSC")</f>
        <v>NOT IN OFSC</v>
      </c>
      <c r="L80" s="1" t="str">
        <f>IFERROR(__xludf.DUMMYFUNCTION("""COMPUTED_VALUE"""),"CANCELLED")</f>
        <v>CANCELLED</v>
      </c>
      <c r="M80" s="1" t="str">
        <f>IFERROR(__xludf.DUMMYFUNCTION("""COMPUTED_VALUE"""),"CANCELLED - FOR PAYMENT - AUTO AGING")</f>
        <v>CANCELLED - FOR PAYMENT - AUTO AGING</v>
      </c>
      <c r="N80" s="3"/>
      <c r="O80" s="1" t="str">
        <f>IFERROR(__xludf.DUMMYFUNCTION("""COMPUTED_VALUE"""),"FIBR UNLI ALL PLAN 999")</f>
        <v>FIBR UNLI ALL PLAN 999</v>
      </c>
      <c r="P80" s="1" t="str">
        <f>IFERROR(__xludf.DUMMYFUNCTION("""COMPUTED_VALUE"""),"LOWPLAN")</f>
        <v>LOWPLAN</v>
      </c>
      <c r="Q80" s="1" t="str">
        <f>IFERROR(__xludf.DUMMYFUNCTION("""COMPUTED_VALUE"""),"P407047")</f>
        <v>P407047</v>
      </c>
      <c r="R80" s="1" t="str">
        <f>IFERROR(__xludf.DUMMYFUNCTION("""COMPUTED_VALUE"""),"FRANCISCO, ROSELYN")</f>
        <v>FRANCISCO, ROSELYN</v>
      </c>
      <c r="S80" s="1" t="str">
        <f>IFERROR(__xludf.DUMMYFUNCTION("""COMPUTED_VALUE"""),"ORGANIC")</f>
        <v>ORGANIC</v>
      </c>
      <c r="T80" s="1" t="str">
        <f>IFERROR(__xludf.DUMMYFUNCTION("""COMPUTED_VALUE"""),"LEA REMOLLO")</f>
        <v>LEA REMOLLO</v>
      </c>
      <c r="U80" s="1" t="str">
        <f>IFERROR(__xludf.DUMMYFUNCTION("""COMPUTED_VALUE"""),"JB SALIOA")</f>
        <v>JB SALIOA</v>
      </c>
      <c r="V80" s="1" t="str">
        <f>IFERROR(__xludf.DUMMYFUNCTION("""COMPUTED_VALUE"""),"BK HSTK")</f>
        <v>BK HSTK</v>
      </c>
      <c r="W80" s="1" t="str">
        <f>IFERROR(__xludf.DUMMYFUNCTION("""COMPUTED_VALUE"""),"BK HSTK")</f>
        <v>BK HSTK</v>
      </c>
      <c r="X80" s="1" t="str">
        <f>IFERROR(__xludf.DUMMYFUNCTION("""COMPUTED_VALUE"""),"HBBS AUG 2026")</f>
        <v>HBBS AUG 2026</v>
      </c>
      <c r="Y80" s="1" t="str">
        <f>IFERROR(__xludf.DUMMYFUNCTION("""COMPUTED_VALUE"""),"BK_CVEU_260804")</f>
        <v>BK_CVEU_260804</v>
      </c>
      <c r="Z80" s="1" t="str">
        <f>IFERROR(__xludf.DUMMYFUNCTION("""COMPUTED_VALUE"""),"NEW CONNECT")</f>
        <v>NEW CONNECT</v>
      </c>
      <c r="AA80" s="1">
        <f>IFERROR(__xludf.DUMMYFUNCTION("""COMPUTED_VALUE"""),639931982465)</f>
        <v>639931982465</v>
      </c>
      <c r="AB80" s="1"/>
      <c r="AC80" s="1">
        <f>IFERROR(__xludf.DUMMYFUNCTION("""COMPUTED_VALUE"""),17)</f>
        <v>17</v>
      </c>
      <c r="AD80" s="1" t="str">
        <f>IFERROR(__xludf.DUMMYFUNCTION("""COMPUTED_VALUE"""),"ILO-ILO")</f>
        <v>ILO-ILO</v>
      </c>
      <c r="AE80" s="1"/>
      <c r="AF80" s="1" t="str">
        <f>IFERROR(__xludf.DUMMYFUNCTION("""COMPUTED_VALUE"""),"BGY FRANCISCO REYES")</f>
        <v>BGY FRANCISCO REYES</v>
      </c>
      <c r="AG80" s="1" t="str">
        <f>IFERROR(__xludf.DUMMYFUNCTION("""COMPUTED_VALUE"""),"GEN MARIANO ALVAREZ")</f>
        <v>GEN MARIANO ALVAREZ</v>
      </c>
      <c r="AH80" s="1"/>
      <c r="AI80" s="1" t="str">
        <f>IFERROR(__xludf.DUMMYFUNCTION("""COMPUTED_VALUE"""),"CLUSTER 11")</f>
        <v>CLUSTER 11</v>
      </c>
    </row>
    <row r="81" customHeight="1" spans="1:35">
      <c r="A81" s="3">
        <f>IFERROR(__xludf.DUMMYFUNCTION("""COMPUTED_VALUE"""),46243)</f>
        <v>46243</v>
      </c>
      <c r="B81" s="1" t="str">
        <f>IFERROR(__xludf.DUMMYFUNCTION("""COMPUTED_VALUE"""),"EDWIN BERNARDO VITALICIO")</f>
        <v>EDWIN BERNARDO VITALICIO</v>
      </c>
      <c r="C81" s="1">
        <f>IFERROR(__xludf.DUMMYFUNCTION("""COMPUTED_VALUE"""),2311646430)</f>
        <v>2311646430</v>
      </c>
      <c r="D81" s="1"/>
      <c r="E81" s="1"/>
      <c r="F81" s="1" t="str">
        <f>IFERROR(__xludf.DUMMYFUNCTION("""COMPUTED_VALUE"""),"CANCELLED")</f>
        <v>CANCELLED</v>
      </c>
      <c r="G81" s="1" t="str">
        <f>IFERROR(__xludf.DUMMYFUNCTION("""COMPUTED_VALUE"""),"SUBS HAS ACTIVE ACCT.# 0393756799. PLS. ATTACH POA UNDER NEW INSTALLATION ADDRESS IF THIS IS FOR MULTIPLE LINES ")</f>
        <v>SUBS HAS ACTIVE ACCT.# 0393756799. PLS. ATTACH POA UNDER NEW INSTALLATION ADDRESS IF THIS IS FOR MULTIPLE LINES </v>
      </c>
      <c r="H81" s="1"/>
      <c r="I81" s="1"/>
      <c r="J81" s="1"/>
      <c r="K81" s="1"/>
      <c r="L81" s="1" t="str">
        <f>IFERROR(__xludf.DUMMYFUNCTION("""COMPUTED_VALUE"""),"CANCELLED")</f>
        <v>CANCELLED</v>
      </c>
      <c r="M81" s="1" t="str">
        <f>IFERROR(__xludf.DUMMYFUNCTION("""COMPUTED_VALUE"""),"CANCELLED - WITH ACTIVE LINE")</f>
        <v>CANCELLED - WITH ACTIVE LINE</v>
      </c>
      <c r="N81" s="3"/>
      <c r="O81" s="1" t="str">
        <f>IFERROR(__xludf.DUMMYFUNCTION("""COMPUTED_VALUE"""),"FIBR PLAN 1299")</f>
        <v>FIBR PLAN 1299</v>
      </c>
      <c r="P81" s="1" t="str">
        <f>IFERROR(__xludf.DUMMYFUNCTION("""COMPUTED_VALUE"""),"LOWPLAN")</f>
        <v>LOWPLAN</v>
      </c>
      <c r="Q81" s="1" t="str">
        <f>IFERROR(__xludf.DUMMYFUNCTION("""COMPUTED_VALUE"""),"P407050")</f>
        <v>P407050</v>
      </c>
      <c r="R81" s="1" t="str">
        <f>IFERROR(__xludf.DUMMYFUNCTION("""COMPUTED_VALUE"""),"CADERAO, RONALD")</f>
        <v>CADERAO, RONALD</v>
      </c>
      <c r="S81" s="1" t="str">
        <f>IFERROR(__xludf.DUMMYFUNCTION("""COMPUTED_VALUE"""),"ORGANIC")</f>
        <v>ORGANIC</v>
      </c>
      <c r="T81" s="1" t="str">
        <f>IFERROR(__xludf.DUMMYFUNCTION("""COMPUTED_VALUE"""),"LEA REMOLLO")</f>
        <v>LEA REMOLLO</v>
      </c>
      <c r="U81" s="1" t="str">
        <f>IFERROR(__xludf.DUMMYFUNCTION("""COMPUTED_VALUE"""),"JB SALIOA")</f>
        <v>JB SALIOA</v>
      </c>
      <c r="V81" s="1" t="str">
        <f>IFERROR(__xludf.DUMMYFUNCTION("""COMPUTED_VALUE"""),"BK HSTK")</f>
        <v>BK HSTK</v>
      </c>
      <c r="W81" s="1" t="str">
        <f>IFERROR(__xludf.DUMMYFUNCTION("""COMPUTED_VALUE"""),"BK HSTK")</f>
        <v>BK HSTK</v>
      </c>
      <c r="X81" s="1" t="str">
        <f>IFERROR(__xludf.DUMMYFUNCTION("""COMPUTED_VALUE"""),"HBBS AUG 2026")</f>
        <v>HBBS AUG 2026</v>
      </c>
      <c r="Y81" s="1" t="str">
        <f>IFERROR(__xludf.DUMMYFUNCTION("""COMPUTED_VALUE"""),"BK_CVEU_260804")</f>
        <v>BK_CVEU_260804</v>
      </c>
      <c r="Z81" s="1" t="str">
        <f>IFERROR(__xludf.DUMMYFUNCTION("""COMPUTED_VALUE"""),"NEW CONNECT")</f>
        <v>NEW CONNECT</v>
      </c>
      <c r="AA81" s="1">
        <f>IFERROR(__xludf.DUMMYFUNCTION("""COMPUTED_VALUE"""),639298844425)</f>
        <v>639298844425</v>
      </c>
      <c r="AB81" s="1"/>
      <c r="AC81" s="1"/>
      <c r="AD81" s="1" t="str">
        <f>IFERROR(__xludf.DUMMYFUNCTION("""COMPUTED_VALUE"""),"F REYES")</f>
        <v>F REYES</v>
      </c>
      <c r="AE81" s="1"/>
      <c r="AF81" s="1" t="str">
        <f>IFERROR(__xludf.DUMMYFUNCTION("""COMPUTED_VALUE"""),"BGY FRANCISCO REYES")</f>
        <v>BGY FRANCISCO REYES</v>
      </c>
      <c r="AG81" s="1" t="str">
        <f>IFERROR(__xludf.DUMMYFUNCTION("""COMPUTED_VALUE"""),"GEN MARIANO ALVAREZ")</f>
        <v>GEN MARIANO ALVAREZ</v>
      </c>
      <c r="AH81" s="1" t="str">
        <f>IFERROR(__xludf.DUMMYFUNCTION("""COMPUTED_VALUE"""),"BLK 16 TODA ")</f>
        <v>BLK 16 TODA </v>
      </c>
      <c r="AI81" s="1" t="str">
        <f>IFERROR(__xludf.DUMMYFUNCTION("""COMPUTED_VALUE"""),"CLUSTER 11")</f>
        <v>CLUSTER 11</v>
      </c>
    </row>
    <row r="82" customHeight="1" spans="1:35">
      <c r="A82" s="3">
        <f>IFERROR(__xludf.DUMMYFUNCTION("""COMPUTED_VALUE"""),46243)</f>
        <v>46243</v>
      </c>
      <c r="B82" s="1" t="str">
        <f>IFERROR(__xludf.DUMMYFUNCTION("""COMPUTED_VALUE"""),"WILLIAM DILAG FENOMENO")</f>
        <v>WILLIAM DILAG FENOMENO</v>
      </c>
      <c r="C82" s="1">
        <f>IFERROR(__xludf.DUMMYFUNCTION("""COMPUTED_VALUE"""),2311648027)</f>
        <v>2311648027</v>
      </c>
      <c r="D82" s="1">
        <f>IFERROR(__xludf.DUMMYFUNCTION("""COMPUTED_VALUE"""),406608867)</f>
        <v>406608867</v>
      </c>
      <c r="E82" s="1">
        <f>IFERROR(__xludf.DUMMYFUNCTION("""COMPUTED_VALUE"""),465808958004)</f>
        <v>465808958004</v>
      </c>
      <c r="F82" s="1" t="str">
        <f>IFERROR(__xludf.DUMMYFUNCTION("""COMPUTED_VALUE"""),"CLOSED")</f>
        <v>CLOSED</v>
      </c>
      <c r="G82" s="1" t="str">
        <f>IFERROR(__xludf.DUMMYFUNCTION("""COMPUTED_VALUE"""),"CLOSED")</f>
        <v>CLOSED</v>
      </c>
      <c r="H82" s="1" t="str">
        <f>IFERROR(__xludf.DUMMYFUNCTION("""COMPUTED_VALUE"""),"PQGOR362720162	02-Sep-26	Regular Payment	CIS-GCASH 3.0	1,598.00	941906936	02-Sep-26")</f>
        <v>PQGOR362720162	02-Sep-26	Regular Payment	CIS-GCASH 3.0	1,598.00	941906936	02-Sep-26</v>
      </c>
      <c r="I82" s="1" t="str">
        <f>IFERROR(__xludf.DUMMYFUNCTION("""COMPUTED_VALUE"""),"WITH 1 AMSF")</f>
        <v>WITH 1 AMSF</v>
      </c>
      <c r="J82" s="1"/>
      <c r="K82" s="1" t="str">
        <f>IFERROR(__xludf.DUMMYFUNCTION("""COMPUTED_VALUE"""),"COMPLETED")</f>
        <v>COMPLETED</v>
      </c>
      <c r="L82" s="1" t="str">
        <f>IFERROR(__xludf.DUMMYFUNCTION("""COMPUTED_VALUE"""),"POSTED")</f>
        <v>POSTED</v>
      </c>
      <c r="M82" s="1" t="str">
        <f>IFERROR(__xludf.DUMMYFUNCTION("""COMPUTED_VALUE"""),"POSTED")</f>
        <v>POSTED</v>
      </c>
      <c r="N82" s="3">
        <f>IFERROR(__xludf.DUMMYFUNCTION("""COMPUTED_VALUE"""),46245)</f>
        <v>46245</v>
      </c>
      <c r="O82" s="1" t="str">
        <f>IFERROR(__xludf.DUMMYFUNCTION("""COMPUTED_VALUE"""),"FIBER UNLI ALL PLAN 1499")</f>
        <v>FIBER UNLI ALL PLAN 1499</v>
      </c>
      <c r="P82" s="1" t="str">
        <f>IFERROR(__xludf.DUMMYFUNCTION("""COMPUTED_VALUE"""),"LOWPLAN")</f>
        <v>LOWPLAN</v>
      </c>
      <c r="Q82" s="1" t="str">
        <f>IFERROR(__xludf.DUMMYFUNCTION("""COMPUTED_VALUE"""),"P407050")</f>
        <v>P407050</v>
      </c>
      <c r="R82" s="1" t="str">
        <f>IFERROR(__xludf.DUMMYFUNCTION("""COMPUTED_VALUE"""),"IVNO, RAZZEL")</f>
        <v>IVNO, RAZZEL</v>
      </c>
      <c r="S82" s="1" t="str">
        <f>IFERROR(__xludf.DUMMYFUNCTION("""COMPUTED_VALUE"""),"ORGANIC")</f>
        <v>ORGANIC</v>
      </c>
      <c r="T82" s="1" t="str">
        <f>IFERROR(__xludf.DUMMYFUNCTION("""COMPUTED_VALUE"""),"LEA REMOLLO")</f>
        <v>LEA REMOLLO</v>
      </c>
      <c r="U82" s="1" t="str">
        <f>IFERROR(__xludf.DUMMYFUNCTION("""COMPUTED_VALUE"""),"JB SALIOA")</f>
        <v>JB SALIOA</v>
      </c>
      <c r="V82" s="1" t="str">
        <f>IFERROR(__xludf.DUMMYFUNCTION("""COMPUTED_VALUE"""),"BK REGULAR")</f>
        <v>BK REGULAR</v>
      </c>
      <c r="W82" s="1" t="str">
        <f>IFERROR(__xludf.DUMMYFUNCTION("""COMPUTED_VALUE"""),"STK REGULAR")</f>
        <v>STK REGULAR</v>
      </c>
      <c r="X82" s="1" t="str">
        <f>IFERROR(__xludf.DUMMYFUNCTION("""COMPUTED_VALUE"""),"HBBS AUG 2026")</f>
        <v>HBBS AUG 2026</v>
      </c>
      <c r="Y82" s="1" t="str">
        <f>IFERROR(__xludf.DUMMYFUNCTION("""COMPUTED_VALUE"""),"BK_CVEU_260801")</f>
        <v>BK_CVEU_260801</v>
      </c>
      <c r="Z82" s="1" t="str">
        <f>IFERROR(__xludf.DUMMYFUNCTION("""COMPUTED_VALUE"""),"NEW CONNECT")</f>
        <v>NEW CONNECT</v>
      </c>
      <c r="AA82" s="1">
        <f>IFERROR(__xludf.DUMMYFUNCTION("""COMPUTED_VALUE"""),639762168117)</f>
        <v>639762168117</v>
      </c>
      <c r="AB82" s="1">
        <f>IFERROR(__xludf.DUMMYFUNCTION("""COMPUTED_VALUE"""),639560920055)</f>
        <v>639560920055</v>
      </c>
      <c r="AC82" s="1">
        <f>IFERROR(__xludf.DUMMYFUNCTION("""COMPUTED_VALUE"""),6705)</f>
        <v>6705</v>
      </c>
      <c r="AD82" s="1" t="str">
        <f>IFERROR(__xludf.DUMMYFUNCTION("""COMPUTED_VALUE"""),"ZAMORA")</f>
        <v>ZAMORA</v>
      </c>
      <c r="AE82" s="1"/>
      <c r="AF82" s="1" t="str">
        <f>IFERROR(__xludf.DUMMYFUNCTION("""COMPUTED_VALUE"""),"BGY 4")</f>
        <v>BGY 4</v>
      </c>
      <c r="AG82" s="1" t="str">
        <f>IFERROR(__xludf.DUMMYFUNCTION("""COMPUTED_VALUE"""),"ALFONSO")</f>
        <v>ALFONSO</v>
      </c>
      <c r="AH82" s="1" t="str">
        <f>IFERROR(__xludf.DUMMYFUNCTION("""COMPUTED_VALUE"""),"PABLO APARTMENT")</f>
        <v>PABLO APARTMENT</v>
      </c>
      <c r="AI82" s="1" t="str">
        <f>IFERROR(__xludf.DUMMYFUNCTION("""COMPUTED_VALUE"""),"CLUSTER 12")</f>
        <v>CLUSTER 12</v>
      </c>
    </row>
    <row r="83" customHeight="1" spans="1:35">
      <c r="A83" s="3">
        <f>IFERROR(__xludf.DUMMYFUNCTION("""COMPUTED_VALUE"""),46243)</f>
        <v>46243</v>
      </c>
      <c r="B83" s="1" t="str">
        <f>IFERROR(__xludf.DUMMYFUNCTION("""COMPUTED_VALUE"""),"JUNREL BOLANO PANGADLIN")</f>
        <v>JUNREL BOLANO PANGADLIN</v>
      </c>
      <c r="C83" s="1">
        <f>IFERROR(__xludf.DUMMYFUNCTION("""COMPUTED_VALUE"""),2311648392)</f>
        <v>2311648392</v>
      </c>
      <c r="D83" s="1">
        <f>IFERROR(__xludf.DUMMYFUNCTION("""COMPUTED_VALUE"""),406601129)</f>
        <v>406601129</v>
      </c>
      <c r="E83" s="1">
        <f>IFERROR(__xludf.DUMMYFUNCTION("""COMPUTED_VALUE"""),465798948004)</f>
        <v>465798948004</v>
      </c>
      <c r="F83" s="1" t="str">
        <f>IFERROR(__xludf.DUMMYFUNCTION("""COMPUTED_VALUE"""),"CLOSED")</f>
        <v>CLOSED</v>
      </c>
      <c r="G83" s="1" t="str">
        <f>IFERROR(__xludf.DUMMYFUNCTION("""COMPUTED_VALUE"""),"CLOSED")</f>
        <v>CLOSED</v>
      </c>
      <c r="H83" s="1" t="str">
        <f>IFERROR(__xludf.DUMMYFUNCTION("""COMPUTED_VALUE"""),"PQGOR361361482	19-Aug-26	Regular Payment	CIS-GCASH 3.0	1,049.00	938389252	19-Aug-26")</f>
        <v>PQGOR361361482	19-Aug-26	Regular Payment	CIS-GCASH 3.0	1,049.00	938389252	19-Aug-26</v>
      </c>
      <c r="I83" s="1" t="str">
        <f>IFERROR(__xludf.DUMMYFUNCTION("""COMPUTED_VALUE"""),"WITH 1 AMSF")</f>
        <v>WITH 1 AMSF</v>
      </c>
      <c r="J83" s="1" t="str">
        <f>IFERROR(__xludf.DUMMYFUNCTION("""COMPUTED_VALUE"""),"WITH PRO RATED- 64.45")</f>
        <v>WITH PRO RATED- 64.45</v>
      </c>
      <c r="K83" s="1" t="str">
        <f>IFERROR(__xludf.DUMMYFUNCTION("""COMPUTED_VALUE"""),"COMPLETED")</f>
        <v>COMPLETED</v>
      </c>
      <c r="L83" s="1" t="str">
        <f>IFERROR(__xludf.DUMMYFUNCTION("""COMPUTED_VALUE"""),"POSTED")</f>
        <v>POSTED</v>
      </c>
      <c r="M83" s="1" t="str">
        <f>IFERROR(__xludf.DUMMYFUNCTION("""COMPUTED_VALUE"""),"POSTED")</f>
        <v>POSTED</v>
      </c>
      <c r="N83" s="3">
        <f>IFERROR(__xludf.DUMMYFUNCTION("""COMPUTED_VALUE"""),46256)</f>
        <v>46256</v>
      </c>
      <c r="O83" s="1" t="str">
        <f>IFERROR(__xludf.DUMMYFUNCTION("""COMPUTED_VALUE"""),"FIBER UNLI ALL PLAN 1499")</f>
        <v>FIBER UNLI ALL PLAN 1499</v>
      </c>
      <c r="P83" s="1" t="str">
        <f>IFERROR(__xludf.DUMMYFUNCTION("""COMPUTED_VALUE"""),"LOWPLAN")</f>
        <v>LOWPLAN</v>
      </c>
      <c r="Q83" s="1" t="str">
        <f>IFERROR(__xludf.DUMMYFUNCTION("""COMPUTED_VALUE"""),"P407050")</f>
        <v>P407050</v>
      </c>
      <c r="R83" s="1" t="str">
        <f>IFERROR(__xludf.DUMMYFUNCTION("""COMPUTED_VALUE"""),"MAGDARAOG, KENNETH")</f>
        <v>MAGDARAOG, KENNETH</v>
      </c>
      <c r="S83" s="1" t="str">
        <f>IFERROR(__xludf.DUMMYFUNCTION("""COMPUTED_VALUE"""),"ORGANIC")</f>
        <v>ORGANIC</v>
      </c>
      <c r="T83" s="1" t="str">
        <f>IFERROR(__xludf.DUMMYFUNCTION("""COMPUTED_VALUE"""),"LEA REMOLLO")</f>
        <v>LEA REMOLLO</v>
      </c>
      <c r="U83" s="1" t="str">
        <f>IFERROR(__xludf.DUMMYFUNCTION("""COMPUTED_VALUE"""),"JB SALIOA")</f>
        <v>JB SALIOA</v>
      </c>
      <c r="V83" s="1" t="str">
        <f>IFERROR(__xludf.DUMMYFUNCTION("""COMPUTED_VALUE"""),"BK HSTK")</f>
        <v>BK HSTK</v>
      </c>
      <c r="W83" s="1" t="str">
        <f>IFERROR(__xludf.DUMMYFUNCTION("""COMPUTED_VALUE"""),"BK HSTK")</f>
        <v>BK HSTK</v>
      </c>
      <c r="X83" s="1" t="str">
        <f>IFERROR(__xludf.DUMMYFUNCTION("""COMPUTED_VALUE"""),"HBBS AUG 2026")</f>
        <v>HBBS AUG 2026</v>
      </c>
      <c r="Y83" s="1" t="str">
        <f>IFERROR(__xludf.DUMMYFUNCTION("""COMPUTED_VALUE"""),"BK_CVEU_260803")</f>
        <v>BK_CVEU_260803</v>
      </c>
      <c r="Z83" s="1" t="str">
        <f>IFERROR(__xludf.DUMMYFUNCTION("""COMPUTED_VALUE"""),"NEW CONNECT")</f>
        <v>NEW CONNECT</v>
      </c>
      <c r="AA83" s="1">
        <f>IFERROR(__xludf.DUMMYFUNCTION("""COMPUTED_VALUE"""),639105894931)</f>
        <v>639105894931</v>
      </c>
      <c r="AB83" s="1"/>
      <c r="AC83" s="1">
        <f>IFERROR(__xludf.DUMMYFUNCTION("""COMPUTED_VALUE"""),557)</f>
        <v>557</v>
      </c>
      <c r="AD83" s="1" t="str">
        <f>IFERROR(__xludf.DUMMYFUNCTION("""COMPUTED_VALUE"""),"PALIGAWAN MATANDA")</f>
        <v>PALIGAWAN MATANDA</v>
      </c>
      <c r="AE83" s="1"/>
      <c r="AF83" s="1" t="str">
        <f>IFERROR(__xludf.DUMMYFUNCTION("""COMPUTED_VALUE"""),"BGY LANTIC")</f>
        <v>BGY LANTIC</v>
      </c>
      <c r="AG83" s="1" t="str">
        <f>IFERROR(__xludf.DUMMYFUNCTION("""COMPUTED_VALUE"""),"CARMONA")</f>
        <v>CARMONA</v>
      </c>
      <c r="AH83" s="1"/>
      <c r="AI83" s="1" t="str">
        <f>IFERROR(__xludf.DUMMYFUNCTION("""COMPUTED_VALUE"""),"CLUSTER 11")</f>
        <v>CLUSTER 11</v>
      </c>
    </row>
    <row r="84" customHeight="1" spans="1:35">
      <c r="A84" s="3">
        <f>IFERROR(__xludf.DUMMYFUNCTION("""COMPUTED_VALUE"""),46243)</f>
        <v>46243</v>
      </c>
      <c r="B84" s="1" t="str">
        <f>IFERROR(__xludf.DUMMYFUNCTION("""COMPUTED_VALUE"""),"CECIL SIBAYAN BASAS")</f>
        <v>CECIL SIBAYAN BASAS</v>
      </c>
      <c r="C84" s="1">
        <f>IFERROR(__xludf.DUMMYFUNCTION("""COMPUTED_VALUE"""),2311648655)</f>
        <v>2311648655</v>
      </c>
      <c r="D84" s="1">
        <f>IFERROR(__xludf.DUMMYFUNCTION("""COMPUTED_VALUE"""),406602591)</f>
        <v>406602591</v>
      </c>
      <c r="E84" s="1">
        <f>IFERROR(__xludf.DUMMYFUNCTION("""COMPUTED_VALUE"""),465802620004)</f>
        <v>465802620004</v>
      </c>
      <c r="F84" s="1" t="str">
        <f>IFERROR(__xludf.DUMMYFUNCTION("""COMPUTED_VALUE"""),"CLOSED")</f>
        <v>CLOSED</v>
      </c>
      <c r="G84" s="1" t="str">
        <f>IFERROR(__xludf.DUMMYFUNCTION("""COMPUTED_VALUE"""),"CLOSED")</f>
        <v>CLOSED</v>
      </c>
      <c r="H84" s="1" t="str">
        <f>IFERROR(__xludf.DUMMYFUNCTION("""COMPUTED_VALUE"""),"PQGOR362333558	29-Aug-26	Regular Payment	PLDT Pay Express-Web-App credit	1,597.36	0	29-Aug-26")</f>
        <v>PQGOR362333558	29-Aug-26	Regular Payment	PLDT Pay Express-Web-App credit	1,597.36	0	29-Aug-26</v>
      </c>
      <c r="I84" s="1" t="str">
        <f>IFERROR(__xludf.DUMMYFUNCTION("""COMPUTED_VALUE"""),"WITH 1 AMSF")</f>
        <v>WITH 1 AMSF</v>
      </c>
      <c r="J84" s="1"/>
      <c r="K84" s="1" t="str">
        <f>IFERROR(__xludf.DUMMYFUNCTION("""COMPUTED_VALUE"""),"COMPLETED")</f>
        <v>COMPLETED</v>
      </c>
      <c r="L84" s="1" t="str">
        <f>IFERROR(__xludf.DUMMYFUNCTION("""COMPUTED_VALUE"""),"POSTED")</f>
        <v>POSTED</v>
      </c>
      <c r="M84" s="1" t="str">
        <f>IFERROR(__xludf.DUMMYFUNCTION("""COMPUTED_VALUE"""),"POSTED")</f>
        <v>POSTED</v>
      </c>
      <c r="N84" s="3">
        <f>IFERROR(__xludf.DUMMYFUNCTION("""COMPUTED_VALUE"""),46255)</f>
        <v>46255</v>
      </c>
      <c r="O84" s="1" t="str">
        <f>IFERROR(__xludf.DUMMYFUNCTION("""COMPUTED_VALUE"""),"FIBER UNLI ALL PLAN 1499")</f>
        <v>FIBER UNLI ALL PLAN 1499</v>
      </c>
      <c r="P84" s="1" t="str">
        <f>IFERROR(__xludf.DUMMYFUNCTION("""COMPUTED_VALUE"""),"LOWPLAN")</f>
        <v>LOWPLAN</v>
      </c>
      <c r="Q84" s="1" t="str">
        <f>IFERROR(__xludf.DUMMYFUNCTION("""COMPUTED_VALUE"""),"P407050")</f>
        <v>P407050</v>
      </c>
      <c r="R84" s="1" t="str">
        <f>IFERROR(__xludf.DUMMYFUNCTION("""COMPUTED_VALUE"""),"CADERAO, RONALD")</f>
        <v>CADERAO, RONALD</v>
      </c>
      <c r="S84" s="1" t="str">
        <f>IFERROR(__xludf.DUMMYFUNCTION("""COMPUTED_VALUE"""),"ORGANIC")</f>
        <v>ORGANIC</v>
      </c>
      <c r="T84" s="1" t="str">
        <f>IFERROR(__xludf.DUMMYFUNCTION("""COMPUTED_VALUE"""),"LEA REMOLLO")</f>
        <v>LEA REMOLLO</v>
      </c>
      <c r="U84" s="1" t="str">
        <f>IFERROR(__xludf.DUMMYFUNCTION("""COMPUTED_VALUE"""),"JB SALIOA")</f>
        <v>JB SALIOA</v>
      </c>
      <c r="V84" s="1" t="str">
        <f>IFERROR(__xludf.DUMMYFUNCTION("""COMPUTED_VALUE"""),"BK HSTK")</f>
        <v>BK HSTK</v>
      </c>
      <c r="W84" s="1" t="str">
        <f>IFERROR(__xludf.DUMMYFUNCTION("""COMPUTED_VALUE"""),"BK HSTK")</f>
        <v>BK HSTK</v>
      </c>
      <c r="X84" s="1" t="str">
        <f>IFERROR(__xludf.DUMMYFUNCTION("""COMPUTED_VALUE"""),"HBBS AUG 2026")</f>
        <v>HBBS AUG 2026</v>
      </c>
      <c r="Y84" s="1" t="str">
        <f>IFERROR(__xludf.DUMMYFUNCTION("""COMPUTED_VALUE"""),"BK_CVEU_260803")</f>
        <v>BK_CVEU_260803</v>
      </c>
      <c r="Z84" s="1" t="str">
        <f>IFERROR(__xludf.DUMMYFUNCTION("""COMPUTED_VALUE"""),"NEW CONNECT")</f>
        <v>NEW CONNECT</v>
      </c>
      <c r="AA84" s="1">
        <f>IFERROR(__xludf.DUMMYFUNCTION("""COMPUTED_VALUE"""),639318765017)</f>
        <v>639318765017</v>
      </c>
      <c r="AB84" s="1">
        <f>IFERROR(__xludf.DUMMYFUNCTION("""COMPUTED_VALUE"""),639755082707)</f>
        <v>639755082707</v>
      </c>
      <c r="AC84" s="1"/>
      <c r="AD84" s="1" t="str">
        <f>IFERROR(__xludf.DUMMYFUNCTION("""COMPUTED_VALUE"""),"SITIO PALIGAWAN MATANDA")</f>
        <v>SITIO PALIGAWAN MATANDA</v>
      </c>
      <c r="AE84" s="1"/>
      <c r="AF84" s="1" t="str">
        <f>IFERROR(__xludf.DUMMYFUNCTION("""COMPUTED_VALUE"""),"BGY LANTIC")</f>
        <v>BGY LANTIC</v>
      </c>
      <c r="AG84" s="1" t="str">
        <f>IFERROR(__xludf.DUMMYFUNCTION("""COMPUTED_VALUE"""),"CARMONA")</f>
        <v>CARMONA</v>
      </c>
      <c r="AH84" s="1" t="str">
        <f>IFERROR(__xludf.DUMMYFUNCTION("""COMPUTED_VALUE"""),"-")</f>
        <v>-</v>
      </c>
      <c r="AI84" s="1" t="str">
        <f>IFERROR(__xludf.DUMMYFUNCTION("""COMPUTED_VALUE"""),"CLUSTER 11")</f>
        <v>CLUSTER 11</v>
      </c>
    </row>
    <row r="85" customHeight="1" spans="1:35">
      <c r="A85" s="3">
        <f>IFERROR(__xludf.DUMMYFUNCTION("""COMPUTED_VALUE"""),46243)</f>
        <v>46243</v>
      </c>
      <c r="B85" s="1" t="str">
        <f>IFERROR(__xludf.DUMMYFUNCTION("""COMPUTED_VALUE"""),"EMELY RODRIGUEZ CORONG")</f>
        <v>EMELY RODRIGUEZ CORONG</v>
      </c>
      <c r="C85" s="1">
        <f>IFERROR(__xludf.DUMMYFUNCTION("""COMPUTED_VALUE"""),2311648918)</f>
        <v>2311648918</v>
      </c>
      <c r="D85" s="1">
        <f>IFERROR(__xludf.DUMMYFUNCTION("""COMPUTED_VALUE"""),406606732)</f>
        <v>406606732</v>
      </c>
      <c r="E85" s="1">
        <f>IFERROR(__xludf.DUMMYFUNCTION("""COMPUTED_VALUE"""),465806937004)</f>
        <v>465806937004</v>
      </c>
      <c r="F85" s="1" t="str">
        <f>IFERROR(__xludf.DUMMYFUNCTION("""COMPUTED_VALUE"""),"CLOSED")</f>
        <v>CLOSED</v>
      </c>
      <c r="G85" s="1" t="str">
        <f>IFERROR(__xludf.DUMMYFUNCTION("""COMPUTED_VALUE"""),"CLOSED")</f>
        <v>CLOSED</v>
      </c>
      <c r="H85" s="1" t="str">
        <f>IFERROR(__xludf.DUMMYFUNCTION("""COMPUTED_VALUE"""),"PAID VIA GCASH REF 387322432 AUG 15")</f>
        <v>PAID VIA GCASH REF 387322432 AUG 15</v>
      </c>
      <c r="I85" s="1" t="str">
        <f>IFERROR(__xludf.DUMMYFUNCTION("""COMPUTED_VALUE"""),"WITH 1 AMSF")</f>
        <v>WITH 1 AMSF</v>
      </c>
      <c r="J85" s="1"/>
      <c r="K85" s="1" t="str">
        <f>IFERROR(__xludf.DUMMYFUNCTION("""COMPUTED_VALUE"""),"COMPLETED")</f>
        <v>COMPLETED</v>
      </c>
      <c r="L85" s="1" t="str">
        <f>IFERROR(__xludf.DUMMYFUNCTION("""COMPUTED_VALUE"""),"POSTED")</f>
        <v>POSTED</v>
      </c>
      <c r="M85" s="1" t="str">
        <f>IFERROR(__xludf.DUMMYFUNCTION("""COMPUTED_VALUE"""),"POSTED")</f>
        <v>POSTED</v>
      </c>
      <c r="N85" s="3">
        <f>IFERROR(__xludf.DUMMYFUNCTION("""COMPUTED_VALUE"""),46251)</f>
        <v>46251</v>
      </c>
      <c r="O85" s="1" t="str">
        <f>IFERROR(__xludf.DUMMYFUNCTION("""COMPUTED_VALUE"""),"FIBR UNLI ALL PLAN 999")</f>
        <v>FIBR UNLI ALL PLAN 999</v>
      </c>
      <c r="P85" s="1" t="str">
        <f>IFERROR(__xludf.DUMMYFUNCTION("""COMPUTED_VALUE"""),"LOWPLAN")</f>
        <v>LOWPLAN</v>
      </c>
      <c r="Q85" s="1" t="str">
        <f>IFERROR(__xludf.DUMMYFUNCTION("""COMPUTED_VALUE"""),"P407047")</f>
        <v>P407047</v>
      </c>
      <c r="R85" s="1" t="str">
        <f>IFERROR(__xludf.DUMMYFUNCTION("""COMPUTED_VALUE"""),"FRANCISCO, ROSELYN")</f>
        <v>FRANCISCO, ROSELYN</v>
      </c>
      <c r="S85" s="1" t="str">
        <f>IFERROR(__xludf.DUMMYFUNCTION("""COMPUTED_VALUE"""),"ORGANIC")</f>
        <v>ORGANIC</v>
      </c>
      <c r="T85" s="1" t="str">
        <f>IFERROR(__xludf.DUMMYFUNCTION("""COMPUTED_VALUE"""),"LEA REMOLLO")</f>
        <v>LEA REMOLLO</v>
      </c>
      <c r="U85" s="1" t="str">
        <f>IFERROR(__xludf.DUMMYFUNCTION("""COMPUTED_VALUE"""),"JB SALIOA")</f>
        <v>JB SALIOA</v>
      </c>
      <c r="V85" s="1" t="str">
        <f>IFERROR(__xludf.DUMMYFUNCTION("""COMPUTED_VALUE"""),"BK HSTK")</f>
        <v>BK HSTK</v>
      </c>
      <c r="W85" s="1" t="str">
        <f>IFERROR(__xludf.DUMMYFUNCTION("""COMPUTED_VALUE"""),"BK HSTK")</f>
        <v>BK HSTK</v>
      </c>
      <c r="X85" s="1" t="str">
        <f>IFERROR(__xludf.DUMMYFUNCTION("""COMPUTED_VALUE"""),"HBBS AUG 2026")</f>
        <v>HBBS AUG 2026</v>
      </c>
      <c r="Y85" s="1" t="str">
        <f>IFERROR(__xludf.DUMMYFUNCTION("""COMPUTED_VALUE"""),"BK_CVEU_260803")</f>
        <v>BK_CVEU_260803</v>
      </c>
      <c r="Z85" s="1" t="str">
        <f>IFERROR(__xludf.DUMMYFUNCTION("""COMPUTED_VALUE"""),"NEW CONNECT")</f>
        <v>NEW CONNECT</v>
      </c>
      <c r="AA85" s="1">
        <f>IFERROR(__xludf.DUMMYFUNCTION("""COMPUTED_VALUE"""),639561233474)</f>
        <v>639561233474</v>
      </c>
      <c r="AB85" s="1"/>
      <c r="AC85" s="1"/>
      <c r="AD85" s="1" t="str">
        <f>IFERROR(__xludf.DUMMYFUNCTION("""COMPUTED_VALUE"""),"PALIGAWAN MATANDA")</f>
        <v>PALIGAWAN MATANDA</v>
      </c>
      <c r="AE85" s="1"/>
      <c r="AF85" s="1" t="str">
        <f>IFERROR(__xludf.DUMMYFUNCTION("""COMPUTED_VALUE"""),"BGY LANTIC")</f>
        <v>BGY LANTIC</v>
      </c>
      <c r="AG85" s="1" t="str">
        <f>IFERROR(__xludf.DUMMYFUNCTION("""COMPUTED_VALUE"""),"CARMONA")</f>
        <v>CARMONA</v>
      </c>
      <c r="AH85" s="1" t="str">
        <f>IFERROR(__xludf.DUMMYFUNCTION("""COMPUTED_VALUE"""),"COOP WATER DISTRICT")</f>
        <v>COOP WATER DISTRICT</v>
      </c>
      <c r="AI85" s="1" t="str">
        <f>IFERROR(__xludf.DUMMYFUNCTION("""COMPUTED_VALUE"""),"CLUSTER 11")</f>
        <v>CLUSTER 11</v>
      </c>
    </row>
    <row r="86" customHeight="1" spans="1:35">
      <c r="A86" s="3">
        <f>IFERROR(__xludf.DUMMYFUNCTION("""COMPUTED_VALUE"""),46243)</f>
        <v>46243</v>
      </c>
      <c r="B86" s="1" t="str">
        <f>IFERROR(__xludf.DUMMYFUNCTION("""COMPUTED_VALUE"""),"ELDY HABOTAY PAREDES")</f>
        <v>ELDY HABOTAY PAREDES</v>
      </c>
      <c r="C86" s="1">
        <f>IFERROR(__xludf.DUMMYFUNCTION("""COMPUTED_VALUE"""),2311649182)</f>
        <v>2311649182</v>
      </c>
      <c r="D86" s="1">
        <f>IFERROR(__xludf.DUMMYFUNCTION("""COMPUTED_VALUE"""),406603962)</f>
        <v>406603962</v>
      </c>
      <c r="E86" s="1">
        <f>IFERROR(__xludf.DUMMYFUNCTION("""COMPUTED_VALUE"""),465805073004)</f>
        <v>465805073004</v>
      </c>
      <c r="F86" s="1" t="str">
        <f>IFERROR(__xludf.DUMMYFUNCTION("""COMPUTED_VALUE"""),"CLOSED")</f>
        <v>CLOSED</v>
      </c>
      <c r="G86" s="1" t="str">
        <f>IFERROR(__xludf.DUMMYFUNCTION("""COMPUTED_VALUE"""),"CLOSED")</f>
        <v>CLOSED</v>
      </c>
      <c r="H86" s="1" t="str">
        <f>IFERROR(__xludf.DUMMYFUNCTION("""COMPUTED_VALUE"""),"PQGOR360329183	10-Aug-26	Regular Payment	CIS-GCASH 3.0	1,049.00	935698033	10-Aug-26")</f>
        <v>PQGOR360329183	10-Aug-26	Regular Payment	CIS-GCASH 3.0	1,049.00	935698033	10-Aug-26</v>
      </c>
      <c r="I86" s="1" t="str">
        <f>IFERROR(__xludf.DUMMYFUNCTION("""COMPUTED_VALUE"""),"WITH 1 AMSF")</f>
        <v>WITH 1 AMSF</v>
      </c>
      <c r="J86" s="1"/>
      <c r="K86" s="1" t="str">
        <f>IFERROR(__xludf.DUMMYFUNCTION("""COMPUTED_VALUE"""),"COMPLETED")</f>
        <v>COMPLETED</v>
      </c>
      <c r="L86" s="1" t="str">
        <f>IFERROR(__xludf.DUMMYFUNCTION("""COMPUTED_VALUE"""),"POSTED")</f>
        <v>POSTED</v>
      </c>
      <c r="M86" s="1" t="str">
        <f>IFERROR(__xludf.DUMMYFUNCTION("""COMPUTED_VALUE"""),"POSTED")</f>
        <v>POSTED</v>
      </c>
      <c r="N86" s="3">
        <f>IFERROR(__xludf.DUMMYFUNCTION("""COMPUTED_VALUE"""),46245)</f>
        <v>46245</v>
      </c>
      <c r="O86" s="1" t="str">
        <f>IFERROR(__xludf.DUMMYFUNCTION("""COMPUTED_VALUE"""),"FIBR UNLI ALL PLAN 999")</f>
        <v>FIBR UNLI ALL PLAN 999</v>
      </c>
      <c r="P86" s="1" t="str">
        <f>IFERROR(__xludf.DUMMYFUNCTION("""COMPUTED_VALUE"""),"LOWPLAN")</f>
        <v>LOWPLAN</v>
      </c>
      <c r="Q86" s="1" t="str">
        <f>IFERROR(__xludf.DUMMYFUNCTION("""COMPUTED_VALUE"""),"P407050")</f>
        <v>P407050</v>
      </c>
      <c r="R86" s="1" t="str">
        <f>IFERROR(__xludf.DUMMYFUNCTION("""COMPUTED_VALUE"""),"TAMAYO, MARY ROSE ZAIRA")</f>
        <v>TAMAYO, MARY ROSE ZAIRA</v>
      </c>
      <c r="S86" s="1" t="str">
        <f>IFERROR(__xludf.DUMMYFUNCTION("""COMPUTED_VALUE"""),"ORGANIC")</f>
        <v>ORGANIC</v>
      </c>
      <c r="T86" s="1" t="str">
        <f>IFERROR(__xludf.DUMMYFUNCTION("""COMPUTED_VALUE"""),"LEA REMOLLO")</f>
        <v>LEA REMOLLO</v>
      </c>
      <c r="U86" s="1" t="str">
        <f>IFERROR(__xludf.DUMMYFUNCTION("""COMPUTED_VALUE"""),"JB SALIOA")</f>
        <v>JB SALIOA</v>
      </c>
      <c r="V86" s="1" t="str">
        <f>IFERROR(__xludf.DUMMYFUNCTION("""COMPUTED_VALUE"""),"BK HSTK")</f>
        <v>BK HSTK</v>
      </c>
      <c r="W86" s="1" t="str">
        <f>IFERROR(__xludf.DUMMYFUNCTION("""COMPUTED_VALUE"""),"BK HSTK")</f>
        <v>BK HSTK</v>
      </c>
      <c r="X86" s="1" t="str">
        <f>IFERROR(__xludf.DUMMYFUNCTION("""COMPUTED_VALUE"""),"HBBS AUG 2026")</f>
        <v>HBBS AUG 2026</v>
      </c>
      <c r="Y86" s="1" t="str">
        <f>IFERROR(__xludf.DUMMYFUNCTION("""COMPUTED_VALUE"""),"BK_CVEU_260803")</f>
        <v>BK_CVEU_260803</v>
      </c>
      <c r="Z86" s="1" t="str">
        <f>IFERROR(__xludf.DUMMYFUNCTION("""COMPUTED_VALUE"""),"NEW CONNECT")</f>
        <v>NEW CONNECT</v>
      </c>
      <c r="AA86" s="1">
        <f>IFERROR(__xludf.DUMMYFUNCTION("""COMPUTED_VALUE"""),639206682631)</f>
        <v>639206682631</v>
      </c>
      <c r="AB86" s="1"/>
      <c r="AC86" s="1"/>
      <c r="AD86" s="1" t="str">
        <f>IFERROR(__xludf.DUMMYFUNCTION("""COMPUTED_VALUE"""),"SITIO PALIGAWAN MATANDA")</f>
        <v>SITIO PALIGAWAN MATANDA</v>
      </c>
      <c r="AE86" s="1"/>
      <c r="AF86" s="1" t="str">
        <f>IFERROR(__xludf.DUMMYFUNCTION("""COMPUTED_VALUE"""),"BGY LANTIC")</f>
        <v>BGY LANTIC</v>
      </c>
      <c r="AG86" s="1" t="str">
        <f>IFERROR(__xludf.DUMMYFUNCTION("""COMPUTED_VALUE"""),"CARMONA")</f>
        <v>CARMONA</v>
      </c>
      <c r="AH86" s="1" t="str">
        <f>IFERROR(__xludf.DUMMYFUNCTION("""COMPUTED_VALUE"""),"BALITE")</f>
        <v>BALITE</v>
      </c>
      <c r="AI86" s="1" t="str">
        <f>IFERROR(__xludf.DUMMYFUNCTION("""COMPUTED_VALUE"""),"CLUSTER 11")</f>
        <v>CLUSTER 11</v>
      </c>
    </row>
    <row r="87" customHeight="1" spans="1:35">
      <c r="A87" s="3">
        <f>IFERROR(__xludf.DUMMYFUNCTION("""COMPUTED_VALUE"""),46243)</f>
        <v>46243</v>
      </c>
      <c r="B87" s="1" t="str">
        <f>IFERROR(__xludf.DUMMYFUNCTION("""COMPUTED_VALUE"""),"HENRY RAYANDAYAN GALANG")</f>
        <v>HENRY RAYANDAYAN GALANG</v>
      </c>
      <c r="C87" s="1">
        <f>IFERROR(__xludf.DUMMYFUNCTION("""COMPUTED_VALUE"""),2311650233)</f>
        <v>2311650233</v>
      </c>
      <c r="D87" s="1"/>
      <c r="E87" s="1"/>
      <c r="F87" s="1" t="str">
        <f>IFERROR(__xludf.DUMMYFUNCTION("""COMPUTED_VALUE"""),"REENCODED")</f>
        <v>REENCODED</v>
      </c>
      <c r="G87" s="1" t="str">
        <f>IFERROR(__xludf.DUMMYFUNCTION("""COMPUTED_VALUE"""),"&amp;#8203;CANNOT TAG DECISION | UNABLE TO CHANGE PAYMENT REQUIRED DUE TO SYSTEM ERROR | APPROVED | DONE VALIDATION | COMPLETE DOCS | COMPLETE ENCODED INFO IN CSP | CLEARED FROM BLACKLISTED | NO EXISTING ACTIVE/ PENDING OR CANCELLED APPLICATION | TU SCORING: "&amp;"FF - 2 (NTC) | WITH 1AMSF.")</f>
        <v>&amp;#8203;CANNOT TAG DECISION | UNABLE TO CHANGE PAYMENT REQUIRED DUE TO SYSTEM ERROR | APPROVED | DONE VALIDATION | COMPLETE DOCS | COMPLETE ENCODED INFO IN CSP | CLEARED FROM BLACKLISTED | NO EXISTING ACTIVE/ PENDING OR CANCELLED APPLICATION | TU SCORING: FF - 2 (NTC) | WITH 1AMSF.</v>
      </c>
      <c r="H87" s="1"/>
      <c r="I87" s="1"/>
      <c r="J87" s="1"/>
      <c r="K87" s="1"/>
      <c r="L87" s="1" t="str">
        <f>IFERROR(__xludf.DUMMYFUNCTION("""COMPUTED_VALUE"""),"REENCODED")</f>
        <v>REENCODED</v>
      </c>
      <c r="M87" s="1" t="str">
        <f>IFERROR(__xludf.DUMMYFUNCTION("""COMPUTED_VALUE"""),"REENCODED")</f>
        <v>REENCODED</v>
      </c>
      <c r="N87" s="3"/>
      <c r="O87" s="1" t="str">
        <f>IFERROR(__xludf.DUMMYFUNCTION("""COMPUTED_VALUE"""),"FIBR UNLI ALL PLAN 999")</f>
        <v>FIBR UNLI ALL PLAN 999</v>
      </c>
      <c r="P87" s="1" t="str">
        <f>IFERROR(__xludf.DUMMYFUNCTION("""COMPUTED_VALUE"""),"LOWPLAN")</f>
        <v>LOWPLAN</v>
      </c>
      <c r="Q87" s="1" t="str">
        <f>IFERROR(__xludf.DUMMYFUNCTION("""COMPUTED_VALUE"""),"P407050")</f>
        <v>P407050</v>
      </c>
      <c r="R87" s="1" t="str">
        <f>IFERROR(__xludf.DUMMYFUNCTION("""COMPUTED_VALUE"""),"BAQUIT, JAZMIN")</f>
        <v>BAQUIT, JAZMIN</v>
      </c>
      <c r="S87" s="1" t="str">
        <f>IFERROR(__xludf.DUMMYFUNCTION("""COMPUTED_VALUE"""),"ORGANIC")</f>
        <v>ORGANIC</v>
      </c>
      <c r="T87" s="1" t="str">
        <f>IFERROR(__xludf.DUMMYFUNCTION("""COMPUTED_VALUE"""),"LEA REMOLLO")</f>
        <v>LEA REMOLLO</v>
      </c>
      <c r="U87" s="1" t="str">
        <f>IFERROR(__xludf.DUMMYFUNCTION("""COMPUTED_VALUE"""),"JB SALIOA")</f>
        <v>JB SALIOA</v>
      </c>
      <c r="V87" s="1" t="str">
        <f>IFERROR(__xludf.DUMMYFUNCTION("""COMPUTED_VALUE"""),"BK REGULAR")</f>
        <v>BK REGULAR</v>
      </c>
      <c r="W87" s="1" t="str">
        <f>IFERROR(__xludf.DUMMYFUNCTION("""COMPUTED_VALUE"""),"STK REGULAR")</f>
        <v>STK REGULAR</v>
      </c>
      <c r="X87" s="1" t="str">
        <f>IFERROR(__xludf.DUMMYFUNCTION("""COMPUTED_VALUE"""),"HBBS AUG 2026")</f>
        <v>HBBS AUG 2026</v>
      </c>
      <c r="Y87" s="1" t="str">
        <f>IFERROR(__xludf.DUMMYFUNCTION("""COMPUTED_VALUE"""),"BK_CVEU_260804")</f>
        <v>BK_CVEU_260804</v>
      </c>
      <c r="Z87" s="1" t="str">
        <f>IFERROR(__xludf.DUMMYFUNCTION("""COMPUTED_VALUE"""),"NEW CONNECT")</f>
        <v>NEW CONNECT</v>
      </c>
      <c r="AA87" s="1">
        <f>IFERROR(__xludf.DUMMYFUNCTION("""COMPUTED_VALUE"""),639166836771)</f>
        <v>639166836771</v>
      </c>
      <c r="AB87" s="1"/>
      <c r="AC87" s="1"/>
      <c r="AD87" s="1" t="str">
        <f>IFERROR(__xludf.DUMMYFUNCTION("""COMPUTED_VALUE"""),"AREA H")</f>
        <v>AREA H</v>
      </c>
      <c r="AE87" s="1"/>
      <c r="AF87" s="1" t="str">
        <f>IFERROR(__xludf.DUMMYFUNCTION("""COMPUTED_VALUE"""),"BGY BERNARDO PULIDO")</f>
        <v>BGY BERNARDO PULIDO</v>
      </c>
      <c r="AG87" s="1" t="str">
        <f>IFERROR(__xludf.DUMMYFUNCTION("""COMPUTED_VALUE"""),"GEN MARIANO ALVAREZ")</f>
        <v>GEN MARIANO ALVAREZ</v>
      </c>
      <c r="AH87" s="1" t="str">
        <f>IFERROR(__xludf.DUMMYFUNCTION("""COMPUTED_VALUE"""),"BASKETBALL COURT")</f>
        <v>BASKETBALL COURT</v>
      </c>
      <c r="AI87" s="1" t="str">
        <f>IFERROR(__xludf.DUMMYFUNCTION("""COMPUTED_VALUE"""),"CLUSTER 11")</f>
        <v>CLUSTER 11</v>
      </c>
    </row>
    <row r="88" customHeight="1" spans="1:35">
      <c r="A88" s="3">
        <f>IFERROR(__xludf.DUMMYFUNCTION("""COMPUTED_VALUE"""),46243)</f>
        <v>46243</v>
      </c>
      <c r="B88" s="1" t="str">
        <f>IFERROR(__xludf.DUMMYFUNCTION("""COMPUTED_VALUE"""),"CABBEY SEAN JAURIGUE NOJARA")</f>
        <v>CABBEY SEAN JAURIGUE NOJARA</v>
      </c>
      <c r="C88" s="1">
        <f>IFERROR(__xludf.DUMMYFUNCTION("""COMPUTED_VALUE"""),2311652774)</f>
        <v>2311652774</v>
      </c>
      <c r="D88" s="1">
        <f>IFERROR(__xludf.DUMMYFUNCTION("""COMPUTED_VALUE"""),406611965)</f>
        <v>406611965</v>
      </c>
      <c r="E88" s="1">
        <f>IFERROR(__xludf.DUMMYFUNCTION("""COMPUTED_VALUE"""),465809911004)</f>
        <v>465809911004</v>
      </c>
      <c r="F88" s="1" t="str">
        <f>IFERROR(__xludf.DUMMYFUNCTION("""COMPUTED_VALUE"""),"CLOSED")</f>
        <v>CLOSED</v>
      </c>
      <c r="G88" s="1" t="str">
        <f>IFERROR(__xludf.DUMMYFUNCTION("""COMPUTED_VALUE"""),"CLOSED")</f>
        <v>CLOSED</v>
      </c>
      <c r="H88" s="1" t="str">
        <f>IFERROR(__xludf.DUMMYFUNCTION("""COMPUTED_VALUE"""),"PQGOR363184991	06-Sep-26	Regular Payment	PLDT Pay Express-Web-App credit	1,340.90	941906542	06-Sep-26")</f>
        <v>PQGOR363184991	06-Sep-26	Regular Payment	PLDT Pay Express-Web-App credit	1,340.90	941906542	06-Sep-26</v>
      </c>
      <c r="I88" s="1" t="str">
        <f>IFERROR(__xludf.DUMMYFUNCTION("""COMPUTED_VALUE"""),"WITH 1 AMSF")</f>
        <v>WITH 1 AMSF</v>
      </c>
      <c r="J88" s="1"/>
      <c r="K88" s="1" t="str">
        <f>IFERROR(__xludf.DUMMYFUNCTION("""COMPUTED_VALUE"""),"COMPLETED")</f>
        <v>COMPLETED</v>
      </c>
      <c r="L88" s="1" t="str">
        <f>IFERROR(__xludf.DUMMYFUNCTION("""COMPUTED_VALUE"""),"POSTED")</f>
        <v>POSTED</v>
      </c>
      <c r="M88" s="1" t="str">
        <f>IFERROR(__xludf.DUMMYFUNCTION("""COMPUTED_VALUE"""),"POSTED")</f>
        <v>POSTED</v>
      </c>
      <c r="N88" s="3">
        <f>IFERROR(__xludf.DUMMYFUNCTION("""COMPUTED_VALUE"""),46245)</f>
        <v>46245</v>
      </c>
      <c r="O88" s="1" t="str">
        <f>IFERROR(__xludf.DUMMYFUNCTION("""COMPUTED_VALUE"""),"FIBR PLAN 1299")</f>
        <v>FIBR PLAN 1299</v>
      </c>
      <c r="P88" s="1" t="str">
        <f>IFERROR(__xludf.DUMMYFUNCTION("""COMPUTED_VALUE"""),"LOWPLAN")</f>
        <v>LOWPLAN</v>
      </c>
      <c r="Q88" s="1" t="str">
        <f>IFERROR(__xludf.DUMMYFUNCTION("""COMPUTED_VALUE"""),"P407047")</f>
        <v>P407047</v>
      </c>
      <c r="R88" s="1" t="str">
        <f>IFERROR(__xludf.DUMMYFUNCTION("""COMPUTED_VALUE"""),"FRANCISCO, ROSELYN")</f>
        <v>FRANCISCO, ROSELYN</v>
      </c>
      <c r="S88" s="1" t="str">
        <f>IFERROR(__xludf.DUMMYFUNCTION("""COMPUTED_VALUE"""),"ORGANIC")</f>
        <v>ORGANIC</v>
      </c>
      <c r="T88" s="1" t="str">
        <f>IFERROR(__xludf.DUMMYFUNCTION("""COMPUTED_VALUE"""),"LEA REMOLLO")</f>
        <v>LEA REMOLLO</v>
      </c>
      <c r="U88" s="1" t="str">
        <f>IFERROR(__xludf.DUMMYFUNCTION("""COMPUTED_VALUE"""),"JB SALIOA")</f>
        <v>JB SALIOA</v>
      </c>
      <c r="V88" s="1" t="str">
        <f>IFERROR(__xludf.DUMMYFUNCTION("""COMPUTED_VALUE"""),"ONLINE/CRANFORD")</f>
        <v>ONLINE/CRANFORD</v>
      </c>
      <c r="W88" s="1" t="str">
        <f>IFERROR(__xludf.DUMMYFUNCTION("""COMPUTED_VALUE"""),"STK REGULAR")</f>
        <v>STK REGULAR</v>
      </c>
      <c r="X88" s="1" t="str">
        <f>IFERROR(__xludf.DUMMYFUNCTION("""COMPUTED_VALUE"""),"HBBS AUG 2026")</f>
        <v>HBBS AUG 2026</v>
      </c>
      <c r="Y88" s="1" t="str">
        <f>IFERROR(__xludf.DUMMYFUNCTION("""COMPUTED_VALUE"""),"RS_ONL_CVEU_2026")</f>
        <v>RS_ONL_CVEU_2026</v>
      </c>
      <c r="Z88" s="1" t="str">
        <f>IFERROR(__xludf.DUMMYFUNCTION("""COMPUTED_VALUE"""),"NEW CONNECT")</f>
        <v>NEW CONNECT</v>
      </c>
      <c r="AA88" s="1">
        <f>IFERROR(__xludf.DUMMYFUNCTION("""COMPUTED_VALUE"""),639452283000)</f>
        <v>639452283000</v>
      </c>
      <c r="AB88" s="1">
        <f>IFERROR(__xludf.DUMMYFUNCTION("""COMPUTED_VALUE"""),639959868005)</f>
        <v>639959868005</v>
      </c>
      <c r="AC88" s="1"/>
      <c r="AD88" s="1" t="str">
        <f>IFERROR(__xludf.DUMMYFUNCTION("""COMPUTED_VALUE"""),"CATTLEYA")</f>
        <v>CATTLEYA</v>
      </c>
      <c r="AE88" s="1" t="str">
        <f>IFERROR(__xludf.DUMMYFUNCTION("""COMPUTED_VALUE"""),"PARKDALE CLASSIC 1")</f>
        <v>PARKDALE CLASSIC 1</v>
      </c>
      <c r="AF88" s="1" t="str">
        <f>IFERROR(__xludf.DUMMYFUNCTION("""COMPUTED_VALUE"""),"BGY ANABU 1-A")</f>
        <v>BGY ANABU 1-A</v>
      </c>
      <c r="AG88" s="1" t="str">
        <f>IFERROR(__xludf.DUMMYFUNCTION("""COMPUTED_VALUE"""),"IMUS")</f>
        <v>IMUS</v>
      </c>
      <c r="AH88" s="1" t="str">
        <f>IFERROR(__xludf.DUMMYFUNCTION("""COMPUTED_VALUE"""),"CATTLEYA ST")</f>
        <v>CATTLEYA ST</v>
      </c>
      <c r="AI88" s="1" t="str">
        <f>IFERROR(__xludf.DUMMYFUNCTION("""COMPUTED_VALUE"""),"NOT AOR")</f>
        <v>NOT AOR</v>
      </c>
    </row>
    <row r="89" customHeight="1" spans="1:35">
      <c r="A89" s="3">
        <f>IFERROR(__xludf.DUMMYFUNCTION("""COMPUTED_VALUE"""),46244)</f>
        <v>46244</v>
      </c>
      <c r="B89" s="1" t="str">
        <f>IFERROR(__xludf.DUMMYFUNCTION("""COMPUTED_VALUE""")," JOMARIE SALEN PUCIO")</f>
        <v> JOMARIE SALEN PUCIO</v>
      </c>
      <c r="C89" s="1">
        <f>IFERROR(__xludf.DUMMYFUNCTION("""COMPUTED_VALUE"""),2311667297)</f>
        <v>2311667297</v>
      </c>
      <c r="D89" s="1"/>
      <c r="E89" s="1"/>
      <c r="F89" s="1" t="str">
        <f>IFERROR(__xludf.DUMMYFUNCTION("""COMPUTED_VALUE"""),"CANCELLED")</f>
        <v>CANCELLED</v>
      </c>
      <c r="G89" s="1" t="str">
        <f>IFERROR(__xludf.DUMMYFUNCTION("""COMPUTED_VALUE"""),"(POA REQUIREMENT - MULTIPLE LINE APPLICATION) RETURN TO SALES | INVALID DOCS | INCOMPLETE DETAILS IN SUBS CERT | NO INDICATED +50 FOR CIGNAL INSTALLMENT IN ACTIVATION FEE (FOR 6MONTHS) | CLEARED FROM BLACKLISTED HIT | COMPLETE DOCS | CORRECT ENCODED INFO "&amp;"IN CSP | NO EXISTING ACTIVE ACCOUNT OR PENDING/CANCELLED APPLICATION | TU SCORING: GG - 1 (NTC) | WAIVED 1AMSF")</f>
        <v>(POA REQUIREMENT - MULTIPLE LINE APPLICATION) RETURN TO SALES | INVALID DOCS | INCOMPLETE DETAILS IN SUBS CERT | NO INDICATED +50 FOR CIGNAL INSTALLMENT IN ACTIVATION FEE (FOR 6MONTHS) | CLEARED FROM BLACKLISTED HIT | COMPLETE DOCS | CORRECT ENCODED INFO IN CSP | NO EXISTING ACTIVE ACCOUNT OR PENDING/CANCELLED APPLICATION | TU SCORING: GG - 1 (NTC) | WAIVED 1AMSF</v>
      </c>
      <c r="H89" s="1"/>
      <c r="I89" s="1"/>
      <c r="J89" s="1"/>
      <c r="K89" s="1"/>
      <c r="L89" s="1" t="str">
        <f>IFERROR(__xludf.DUMMYFUNCTION("""COMPUTED_VALUE"""),"CANCLLED")</f>
        <v>CANCLLED</v>
      </c>
      <c r="M89" s="1" t="str">
        <f>IFERROR(__xludf.DUMMYFUNCTION("""COMPUTED_VALUE"""),"CANCELLED - WITH ACTIVE LINE")</f>
        <v>CANCELLED - WITH ACTIVE LINE</v>
      </c>
      <c r="N89" s="3"/>
      <c r="O89" s="1" t="str">
        <f>IFERROR(__xludf.DUMMYFUNCTION("""COMPUTED_VALUE"""),"FIBR UNLI ALL PLAN 999")</f>
        <v>FIBR UNLI ALL PLAN 999</v>
      </c>
      <c r="P89" s="1" t="str">
        <f>IFERROR(__xludf.DUMMYFUNCTION("""COMPUTED_VALUE"""),"LOWPLAN")</f>
        <v>LOWPLAN</v>
      </c>
      <c r="Q89" s="1" t="str">
        <f>IFERROR(__xludf.DUMMYFUNCTION("""COMPUTED_VALUE"""),"P407047")</f>
        <v>P407047</v>
      </c>
      <c r="R89" s="1" t="str">
        <f>IFERROR(__xludf.DUMMYFUNCTION("""COMPUTED_VALUE"""),"FRANCISCO, ROSELYN")</f>
        <v>FRANCISCO, ROSELYN</v>
      </c>
      <c r="S89" s="1" t="str">
        <f>IFERROR(__xludf.DUMMYFUNCTION("""COMPUTED_VALUE"""),"ORGANIC")</f>
        <v>ORGANIC</v>
      </c>
      <c r="T89" s="1" t="str">
        <f>IFERROR(__xludf.DUMMYFUNCTION("""COMPUTED_VALUE"""),"LEA REMOLLO")</f>
        <v>LEA REMOLLO</v>
      </c>
      <c r="U89" s="1" t="str">
        <f>IFERROR(__xludf.DUMMYFUNCTION("""COMPUTED_VALUE"""),"MARK MALIWAT")</f>
        <v>MARK MALIWAT</v>
      </c>
      <c r="V89" s="1" t="str">
        <f>IFERROR(__xludf.DUMMYFUNCTION("""COMPUTED_VALUE"""),"H2H")</f>
        <v>H2H</v>
      </c>
      <c r="W89" s="1" t="str">
        <f>IFERROR(__xludf.DUMMYFUNCTION("""COMPUTED_VALUE"""),"BK HSTK")</f>
        <v>BK HSTK</v>
      </c>
      <c r="X89" s="1" t="str">
        <f>IFERROR(__xludf.DUMMYFUNCTION("""COMPUTED_VALUE"""),"HBBS AUG 2026")</f>
        <v>HBBS AUG 2026</v>
      </c>
      <c r="Y89" s="1" t="str">
        <f>IFERROR(__xludf.DUMMYFUNCTION("""COMPUTED_VALUE"""),"BK_CVEU_260803")</f>
        <v>BK_CVEU_260803</v>
      </c>
      <c r="Z89" s="1" t="str">
        <f>IFERROR(__xludf.DUMMYFUNCTION("""COMPUTED_VALUE"""),"NEW CONNECT")</f>
        <v>NEW CONNECT</v>
      </c>
      <c r="AA89" s="1">
        <f>IFERROR(__xludf.DUMMYFUNCTION("""COMPUTED_VALUE"""),639771117758)</f>
        <v>639771117758</v>
      </c>
      <c r="AB89" s="1">
        <f>IFERROR(__xludf.DUMMYFUNCTION("""COMPUTED_VALUE"""),639771177585)</f>
        <v>639771177585</v>
      </c>
      <c r="AC89" s="1"/>
      <c r="AD89" s="1" t="str">
        <f>IFERROR(__xludf.DUMMYFUNCTION("""COMPUTED_VALUE"""),"PALIGAWAN MATANDA")</f>
        <v>PALIGAWAN MATANDA</v>
      </c>
      <c r="AE89" s="1"/>
      <c r="AF89" s="1" t="str">
        <f>IFERROR(__xludf.DUMMYFUNCTION("""COMPUTED_VALUE"""),"BGY LANTIC")</f>
        <v>BGY LANTIC</v>
      </c>
      <c r="AG89" s="1" t="str">
        <f>IFERROR(__xludf.DUMMYFUNCTION("""COMPUTED_VALUE"""),"CARMONA")</f>
        <v>CARMONA</v>
      </c>
      <c r="AH89" s="1" t="str">
        <f>IFERROR(__xludf.DUMMYFUNCTION("""COMPUTED_VALUE"""),"BARANGAY HALL WATER PUM")</f>
        <v>BARANGAY HALL WATER PUM</v>
      </c>
      <c r="AI89" s="1" t="str">
        <f>IFERROR(__xludf.DUMMYFUNCTION("""COMPUTED_VALUE"""),"CLUSTER 11")</f>
        <v>CLUSTER 11</v>
      </c>
    </row>
    <row r="90" customHeight="1" spans="1:35">
      <c r="A90" s="3">
        <f>IFERROR(__xludf.DUMMYFUNCTION("""COMPUTED_VALUE"""),46244)</f>
        <v>46244</v>
      </c>
      <c r="B90" s="1" t="str">
        <f>IFERROR(__xludf.DUMMYFUNCTION("""COMPUTED_VALUE""")," VANESA GAMBA NAMO")</f>
        <v> VANESA GAMBA NAMO</v>
      </c>
      <c r="C90" s="1">
        <f>IFERROR(__xludf.DUMMYFUNCTION("""COMPUTED_VALUE"""),2311667757)</f>
        <v>2311667757</v>
      </c>
      <c r="D90" s="1">
        <f>IFERROR(__xludf.DUMMYFUNCTION("""COMPUTED_VALUE"""),406638626)</f>
        <v>406638626</v>
      </c>
      <c r="E90" s="1">
        <f>IFERROR(__xludf.DUMMYFUNCTION("""COMPUTED_VALUE"""),465911772004)</f>
        <v>465911772004</v>
      </c>
      <c r="F90" s="1" t="str">
        <f>IFERROR(__xludf.DUMMYFUNCTION("""COMPUTED_VALUE"""),"CLOSED")</f>
        <v>CLOSED</v>
      </c>
      <c r="G90" s="1" t="str">
        <f>IFERROR(__xludf.DUMMYFUNCTION("""COMPUTED_VALUE"""),"CLOSED")</f>
        <v>CLOSED</v>
      </c>
      <c r="H90" s="1" t="str">
        <f>IFERROR(__xludf.DUMMYFUNCTION("""COMPUTED_VALUE"""),"PQGOR361554455	21-Aug-26	Regular Payment	CIS-GCASH 3.0	1,050.00	0	21-Aug-26")</f>
        <v>PQGOR361554455	21-Aug-26	Regular Payment	CIS-GCASH 3.0	1,050.00	0	21-Aug-26</v>
      </c>
      <c r="I90" s="1" t="str">
        <f>IFERROR(__xludf.DUMMYFUNCTION("""COMPUTED_VALUE"""),"WITH 1 AMSF")</f>
        <v>WITH 1 AMSF</v>
      </c>
      <c r="J90" s="1" t="str">
        <f>IFERROR(__xludf.DUMMYFUNCTION("""COMPUTED_VALUE"""),"DUE DATE - 05-Sep-26 - 1,081.21")</f>
        <v>DUE DATE - 05-Sep-26 - 1,081.21</v>
      </c>
      <c r="K90" s="1" t="str">
        <f>IFERROR(__xludf.DUMMYFUNCTION("""COMPUTED_VALUE"""),"COMPLETED")</f>
        <v>COMPLETED</v>
      </c>
      <c r="L90" s="1" t="str">
        <f>IFERROR(__xludf.DUMMYFUNCTION("""COMPUTED_VALUE"""),"POSTED")</f>
        <v>POSTED</v>
      </c>
      <c r="M90" s="1" t="str">
        <f>IFERROR(__xludf.DUMMYFUNCTION("""COMPUTED_VALUE"""),"POSTED")</f>
        <v>POSTED</v>
      </c>
      <c r="N90" s="3">
        <f>IFERROR(__xludf.DUMMYFUNCTION("""COMPUTED_VALUE"""),46245)</f>
        <v>46245</v>
      </c>
      <c r="O90" s="1" t="str">
        <f>IFERROR(__xludf.DUMMYFUNCTION("""COMPUTED_VALUE"""),"FIBR UNLI ALL PLAN 999")</f>
        <v>FIBR UNLI ALL PLAN 999</v>
      </c>
      <c r="P90" s="1" t="str">
        <f>IFERROR(__xludf.DUMMYFUNCTION("""COMPUTED_VALUE"""),"LOWPLAN")</f>
        <v>LOWPLAN</v>
      </c>
      <c r="Q90" s="1" t="str">
        <f>IFERROR(__xludf.DUMMYFUNCTION("""COMPUTED_VALUE"""),"P407047")</f>
        <v>P407047</v>
      </c>
      <c r="R90" s="1" t="str">
        <f>IFERROR(__xludf.DUMMYFUNCTION("""COMPUTED_VALUE"""),"FRANCISCO, ROSELYN")</f>
        <v>FRANCISCO, ROSELYN</v>
      </c>
      <c r="S90" s="1" t="str">
        <f>IFERROR(__xludf.DUMMYFUNCTION("""COMPUTED_VALUE"""),"ORGANIC")</f>
        <v>ORGANIC</v>
      </c>
      <c r="T90" s="1" t="str">
        <f>IFERROR(__xludf.DUMMYFUNCTION("""COMPUTED_VALUE"""),"LEA REMOLLO")</f>
        <v>LEA REMOLLO</v>
      </c>
      <c r="U90" s="1" t="str">
        <f>IFERROR(__xludf.DUMMYFUNCTION("""COMPUTED_VALUE"""),"MARK MALIWAT")</f>
        <v>MARK MALIWAT</v>
      </c>
      <c r="V90" s="1" t="str">
        <f>IFERROR(__xludf.DUMMYFUNCTION("""COMPUTED_VALUE"""),"H2H")</f>
        <v>H2H</v>
      </c>
      <c r="W90" s="1" t="str">
        <f>IFERROR(__xludf.DUMMYFUNCTION("""COMPUTED_VALUE"""),"BK HSTK")</f>
        <v>BK HSTK</v>
      </c>
      <c r="X90" s="1" t="str">
        <f>IFERROR(__xludf.DUMMYFUNCTION("""COMPUTED_VALUE"""),"HBBS AUG 2026")</f>
        <v>HBBS AUG 2026</v>
      </c>
      <c r="Y90" s="1" t="str">
        <f>IFERROR(__xludf.DUMMYFUNCTION("""COMPUTED_VALUE"""),"BK_CVEU_260803")</f>
        <v>BK_CVEU_260803</v>
      </c>
      <c r="Z90" s="1" t="str">
        <f>IFERROR(__xludf.DUMMYFUNCTION("""COMPUTED_VALUE"""),"NEW CONNECT")</f>
        <v>NEW CONNECT</v>
      </c>
      <c r="AA90" s="1">
        <f>IFERROR(__xludf.DUMMYFUNCTION("""COMPUTED_VALUE"""),639383843696)</f>
        <v>639383843696</v>
      </c>
      <c r="AB90" s="1">
        <f>IFERROR(__xludf.DUMMYFUNCTION("""COMPUTED_VALUE"""),639553440411)</f>
        <v>639553440411</v>
      </c>
      <c r="AC90" s="1"/>
      <c r="AD90" s="1" t="str">
        <f>IFERROR(__xludf.DUMMYFUNCTION("""COMPUTED_VALUE"""),"PALIGAWAN MATANDA")</f>
        <v>PALIGAWAN MATANDA</v>
      </c>
      <c r="AE90" s="1"/>
      <c r="AF90" s="1" t="str">
        <f>IFERROR(__xludf.DUMMYFUNCTION("""COMPUTED_VALUE"""),"BGY LANTIC")</f>
        <v>BGY LANTIC</v>
      </c>
      <c r="AG90" s="1" t="str">
        <f>IFERROR(__xludf.DUMMYFUNCTION("""COMPUTED_VALUE"""),"CARMONA")</f>
        <v>CARMONA</v>
      </c>
      <c r="AH90" s="1" t="str">
        <f>IFERROR(__xludf.DUMMYFUNCTION("""COMPUTED_VALUE"""),"TENEMENT")</f>
        <v>TENEMENT</v>
      </c>
      <c r="AI90" s="1" t="str">
        <f>IFERROR(__xludf.DUMMYFUNCTION("""COMPUTED_VALUE"""),"CLUSTER 11")</f>
        <v>CLUSTER 11</v>
      </c>
    </row>
    <row r="91" customHeight="1" spans="1:35">
      <c r="A91" s="3">
        <f>IFERROR(__xludf.DUMMYFUNCTION("""COMPUTED_VALUE"""),46244)</f>
        <v>46244</v>
      </c>
      <c r="B91" s="1" t="str">
        <f>IFERROR(__xludf.DUMMYFUNCTION("""COMPUTED_VALUE""")," MELINDY LAURIQUEZ PEJI")</f>
        <v> MELINDY LAURIQUEZ PEJI</v>
      </c>
      <c r="C91" s="1">
        <f>IFERROR(__xludf.DUMMYFUNCTION("""COMPUTED_VALUE"""),2311668269)</f>
        <v>2311668269</v>
      </c>
      <c r="D91" s="1"/>
      <c r="E91" s="1"/>
      <c r="F91" s="1" t="str">
        <f>IFERROR(__xludf.DUMMYFUNCTION("""COMPUTED_VALUE"""),"CANCELLED")</f>
        <v>CANCELLED</v>
      </c>
      <c r="G91" s="1" t="str">
        <f>IFERROR(__xludf.DUMMYFUNCTION("""COMPUTED_VALUE"""),"(NO LONGER INTERESTED ) SUBS CANCELLED | WITH ACTIVE ACCT SAME NAME DIFF ADDRESS | ACTT#0372586834 CLV_07 | CALL THRU:09667630478 /09985334955 Aug 10 26, 14:23:34 | TALKED TO SUBS | NO LONGER INTERESTED | DONE VALIDATION | CORRECT ENCODED INFO IN CSP | TU"&amp;" SCORING - BB - 12 (LOW RISK) | WAIVED AMSF | CLEARED FROM BLACKLISTED HIT ")</f>
        <v>(NO LONGER INTERESTED ) SUBS CANCELLED | WITH ACTIVE ACCT SAME NAME DIFF ADDRESS | ACTT#0372586834 CLV_07 | CALL THRU:09667630478 /09985334955 Aug 10 26, 14:23:34 | TALKED TO SUBS | NO LONGER INTERESTED | DONE VALIDATION | CORRECT ENCODED INFO IN CSP | TU SCORING - BB - 12 (LOW RISK) | WAIVED AMSF | CLEARED FROM BLACKLISTED HIT </v>
      </c>
      <c r="H91" s="1"/>
      <c r="I91" s="1"/>
      <c r="J91" s="1"/>
      <c r="K91" s="1"/>
      <c r="L91" s="1" t="str">
        <f>IFERROR(__xludf.DUMMYFUNCTION("""COMPUTED_VALUE"""),"CANCELLED")</f>
        <v>CANCELLED</v>
      </c>
      <c r="M91" s="1" t="str">
        <f>IFERROR(__xludf.DUMMYFUNCTION("""COMPUTED_VALUE"""),"CANCELLED - WITH ACTIVE LINE")</f>
        <v>CANCELLED - WITH ACTIVE LINE</v>
      </c>
      <c r="N91" s="3"/>
      <c r="O91" s="1" t="str">
        <f>IFERROR(__xludf.DUMMYFUNCTION("""COMPUTED_VALUE"""),"FIBR NETFLIX PLAN 1599")</f>
        <v>FIBR NETFLIX PLAN 1599</v>
      </c>
      <c r="P91" s="1" t="str">
        <f>IFERROR(__xludf.DUMMYFUNCTION("""COMPUTED_VALUE"""),"LOWPLAN")</f>
        <v>LOWPLAN</v>
      </c>
      <c r="Q91" s="1" t="str">
        <f>IFERROR(__xludf.DUMMYFUNCTION("""COMPUTED_VALUE"""),"P407044")</f>
        <v>P407044</v>
      </c>
      <c r="R91" s="1" t="str">
        <f>IFERROR(__xludf.DUMMYFUNCTION("""COMPUTED_VALUE"""),"AYON, MANUEL")</f>
        <v>AYON, MANUEL</v>
      </c>
      <c r="S91" s="1" t="str">
        <f>IFERROR(__xludf.DUMMYFUNCTION("""COMPUTED_VALUE"""),"FLA")</f>
        <v>FLA</v>
      </c>
      <c r="T91" s="1" t="str">
        <f>IFERROR(__xludf.DUMMYFUNCTION("""COMPUTED_VALUE"""),"JERIC NAVARRO")</f>
        <v>JERIC NAVARRO</v>
      </c>
      <c r="U91" s="1" t="str">
        <f>IFERROR(__xludf.DUMMYFUNCTION("""COMPUTED_VALUE"""),"MARK MALIWAT")</f>
        <v>MARK MALIWAT</v>
      </c>
      <c r="V91" s="1" t="str">
        <f>IFERROR(__xludf.DUMMYFUNCTION("""COMPUTED_VALUE"""),"H2H")</f>
        <v>H2H</v>
      </c>
      <c r="W91" s="1" t="str">
        <f>IFERROR(__xludf.DUMMYFUNCTION("""COMPUTED_VALUE"""),"STK REGULAR")</f>
        <v>STK REGULAR</v>
      </c>
      <c r="X91" s="1" t="str">
        <f>IFERROR(__xludf.DUMMYFUNCTION("""COMPUTED_VALUE"""),"HBBS AUG 2026")</f>
        <v>HBBS AUG 2026</v>
      </c>
      <c r="Y91" s="1" t="str">
        <f>IFERROR(__xludf.DUMMYFUNCTION("""COMPUTED_VALUE"""),"RS_ONL_CVEU_2026")</f>
        <v>RS_ONL_CVEU_2026</v>
      </c>
      <c r="Z91" s="1" t="str">
        <f>IFERROR(__xludf.DUMMYFUNCTION("""COMPUTED_VALUE"""),"NEW CONNECT")</f>
        <v>NEW CONNECT</v>
      </c>
      <c r="AA91" s="1">
        <f>IFERROR(__xludf.DUMMYFUNCTION("""COMPUTED_VALUE"""),639985334955)</f>
        <v>639985334955</v>
      </c>
      <c r="AB91" s="1"/>
      <c r="AC91" s="1"/>
      <c r="AD91" s="1" t="str">
        <f>IFERROR(__xludf.DUMMYFUNCTION("""COMPUTED_VALUE"""),"PHASE 9A WINDCREST GREENWOODS")</f>
        <v>PHASE 9A WINDCREST GREENWOODS</v>
      </c>
      <c r="AE91" s="1" t="str">
        <f>IFERROR(__xludf.DUMMYFUNCTION("""COMPUTED_VALUE"""),"WINDCREST GREENWOODS PH 9A")</f>
        <v>WINDCREST GREENWOODS PH 9A</v>
      </c>
      <c r="AF91" s="1" t="str">
        <f>IFERROR(__xludf.DUMMYFUNCTION("""COMPUTED_VALUE"""),"BGY SAMPALOC 3")</f>
        <v>BGY SAMPALOC 3</v>
      </c>
      <c r="AG91" s="1" t="str">
        <f>IFERROR(__xludf.DUMMYFUNCTION("""COMPUTED_VALUE"""),"DASMARINAS")</f>
        <v>DASMARINAS</v>
      </c>
      <c r="AH91" s="1" t="str">
        <f>IFERROR(__xludf.DUMMYFUNCTION("""COMPUTED_VALUE"""),"NEAR ADMIN")</f>
        <v>NEAR ADMIN</v>
      </c>
      <c r="AI91" s="1" t="str">
        <f>IFERROR(__xludf.DUMMYFUNCTION("""COMPUTED_VALUE"""),"NOT AOR")</f>
        <v>NOT AOR</v>
      </c>
    </row>
    <row r="92" customHeight="1" spans="1:35">
      <c r="A92" s="3">
        <f>IFERROR(__xludf.DUMMYFUNCTION("""COMPUTED_VALUE"""),46244)</f>
        <v>46244</v>
      </c>
      <c r="B92" s="1" t="str">
        <f>IFERROR(__xludf.DUMMYFUNCTION("""COMPUTED_VALUE""")," IAN MAY MOLINA CADALZO")</f>
        <v> IAN MAY MOLINA CADALZO</v>
      </c>
      <c r="C92" s="1">
        <f>IFERROR(__xludf.DUMMYFUNCTION("""COMPUTED_VALUE"""),2311669065)</f>
        <v>2311669065</v>
      </c>
      <c r="D92" s="1">
        <f>IFERROR(__xludf.DUMMYFUNCTION("""COMPUTED_VALUE"""),406638782)</f>
        <v>406638782</v>
      </c>
      <c r="E92" s="1">
        <f>IFERROR(__xludf.DUMMYFUNCTION("""COMPUTED_VALUE"""),465912181004)</f>
        <v>465912181004</v>
      </c>
      <c r="F92" s="1" t="str">
        <f>IFERROR(__xludf.DUMMYFUNCTION("""COMPUTED_VALUE"""),"CLOSED")</f>
        <v>CLOSED</v>
      </c>
      <c r="G92" s="1" t="str">
        <f>IFERROR(__xludf.DUMMYFUNCTION("""COMPUTED_VALUE"""),"CLOSED")</f>
        <v>CLOSED</v>
      </c>
      <c r="H92" s="1" t="str">
        <f>IFERROR(__xludf.DUMMYFUNCTION("""COMPUTED_VALUE"""),"PQGOR360518117	12-Aug-26	Regular Payment	CIS-GCASH 3.0	1,299.00	935697195	12-Aug-26")</f>
        <v>PQGOR360518117	12-Aug-26	Regular Payment	CIS-GCASH 3.0	1,299.00	935697195	12-Aug-26</v>
      </c>
      <c r="I92" s="1" t="str">
        <f>IFERROR(__xludf.DUMMYFUNCTION("""COMPUTED_VALUE"""),"WITH 1 AMSF")</f>
        <v>WITH 1 AMSF</v>
      </c>
      <c r="J92" s="1"/>
      <c r="K92" s="1" t="str">
        <f>IFERROR(__xludf.DUMMYFUNCTION("""COMPUTED_VALUE"""),"COMPLETED")</f>
        <v>COMPLETED</v>
      </c>
      <c r="L92" s="1" t="str">
        <f>IFERROR(__xludf.DUMMYFUNCTION("""COMPUTED_VALUE"""),"POSTED")</f>
        <v>POSTED</v>
      </c>
      <c r="M92" s="1" t="str">
        <f>IFERROR(__xludf.DUMMYFUNCTION("""COMPUTED_VALUE"""),"POSTED")</f>
        <v>POSTED</v>
      </c>
      <c r="N92" s="3">
        <f>IFERROR(__xludf.DUMMYFUNCTION("""COMPUTED_VALUE"""),46245)</f>
        <v>46245</v>
      </c>
      <c r="O92" s="1" t="str">
        <f>IFERROR(__xludf.DUMMYFUNCTION("""COMPUTED_VALUE"""),"FIBR PLAN 1299")</f>
        <v>FIBR PLAN 1299</v>
      </c>
      <c r="P92" s="1" t="str">
        <f>IFERROR(__xludf.DUMMYFUNCTION("""COMPUTED_VALUE"""),"LOWPLAN")</f>
        <v>LOWPLAN</v>
      </c>
      <c r="Q92" s="1" t="str">
        <f>IFERROR(__xludf.DUMMYFUNCTION("""COMPUTED_VALUE"""),"P407050")</f>
        <v>P407050</v>
      </c>
      <c r="R92" s="1" t="str">
        <f>IFERROR(__xludf.DUMMYFUNCTION("""COMPUTED_VALUE"""),"BAQUIT, JAZMIN")</f>
        <v>BAQUIT, JAZMIN</v>
      </c>
      <c r="S92" s="1" t="str">
        <f>IFERROR(__xludf.DUMMYFUNCTION("""COMPUTED_VALUE"""),"ORGANIC")</f>
        <v>ORGANIC</v>
      </c>
      <c r="T92" s="1" t="str">
        <f>IFERROR(__xludf.DUMMYFUNCTION("""COMPUTED_VALUE"""),"LEA REMOLLO")</f>
        <v>LEA REMOLLO</v>
      </c>
      <c r="U92" s="1" t="str">
        <f>IFERROR(__xludf.DUMMYFUNCTION("""COMPUTED_VALUE"""),"MARK MALIWAT")</f>
        <v>MARK MALIWAT</v>
      </c>
      <c r="V92" s="1" t="str">
        <f>IFERROR(__xludf.DUMMYFUNCTION("""COMPUTED_VALUE"""),"H2H")</f>
        <v>H2H</v>
      </c>
      <c r="W92" s="1" t="str">
        <f>IFERROR(__xludf.DUMMYFUNCTION("""COMPUTED_VALUE"""),"BK HSTK")</f>
        <v>BK HSTK</v>
      </c>
      <c r="X92" s="1" t="str">
        <f>IFERROR(__xludf.DUMMYFUNCTION("""COMPUTED_VALUE"""),"HBBS AUG 2026")</f>
        <v>HBBS AUG 2026</v>
      </c>
      <c r="Y92" s="1" t="str">
        <f>IFERROR(__xludf.DUMMYFUNCTION("""COMPUTED_VALUE"""),"BK_CVEU_260803")</f>
        <v>BK_CVEU_260803</v>
      </c>
      <c r="Z92" s="1" t="str">
        <f>IFERROR(__xludf.DUMMYFUNCTION("""COMPUTED_VALUE"""),"NEW CONNECT")</f>
        <v>NEW CONNECT</v>
      </c>
      <c r="AA92" s="1">
        <f>IFERROR(__xludf.DUMMYFUNCTION("""COMPUTED_VALUE"""),639277159856)</f>
        <v>639277159856</v>
      </c>
      <c r="AB92" s="1"/>
      <c r="AC92" s="1"/>
      <c r="AD92" s="1" t="str">
        <f>IFERROR(__xludf.DUMMYFUNCTION("""COMPUTED_VALUE"""),"PALIGAWAN MATANDA")</f>
        <v>PALIGAWAN MATANDA</v>
      </c>
      <c r="AE92" s="1"/>
      <c r="AF92" s="1" t="str">
        <f>IFERROR(__xludf.DUMMYFUNCTION("""COMPUTED_VALUE"""),"BGY LANTIC")</f>
        <v>BGY LANTIC</v>
      </c>
      <c r="AG92" s="1" t="str">
        <f>IFERROR(__xludf.DUMMYFUNCTION("""COMPUTED_VALUE"""),"SILANG")</f>
        <v>SILANG</v>
      </c>
      <c r="AH92" s="1" t="str">
        <f>IFERROR(__xludf.DUMMYFUNCTION("""COMPUTED_VALUE"""),"TENEMENT")</f>
        <v>TENEMENT</v>
      </c>
      <c r="AI92" s="1" t="str">
        <f>IFERROR(__xludf.DUMMYFUNCTION("""COMPUTED_VALUE"""),"CLUSTER 11")</f>
        <v>CLUSTER 11</v>
      </c>
    </row>
    <row r="93" customHeight="1" spans="1:35">
      <c r="A93" s="3">
        <f>IFERROR(__xludf.DUMMYFUNCTION("""COMPUTED_VALUE"""),46244)</f>
        <v>46244</v>
      </c>
      <c r="B93" s="1" t="str">
        <f>IFERROR(__xludf.DUMMYFUNCTION("""COMPUTED_VALUE""")," KARLA CRISTINA VALERO HERRERA")</f>
        <v> KARLA CRISTINA VALERO HERRERA</v>
      </c>
      <c r="C93" s="1">
        <f>IFERROR(__xludf.DUMMYFUNCTION("""COMPUTED_VALUE"""),2311669511)</f>
        <v>2311669511</v>
      </c>
      <c r="D93" s="1"/>
      <c r="E93" s="1"/>
      <c r="F93" s="1" t="str">
        <f>IFERROR(__xludf.DUMMYFUNCTION("""COMPUTED_VALUE"""),"REENCODED")</f>
        <v>REENCODED</v>
      </c>
      <c r="G93" s="1" t="str">
        <f>IFERROR(__xludf.DUMMYFUNCTION("""COMPUTED_VALUE"""),"REENCODED")</f>
        <v>REENCODED</v>
      </c>
      <c r="H93" s="1"/>
      <c r="I93" s="1"/>
      <c r="J93" s="1"/>
      <c r="K93" s="1"/>
      <c r="L93" s="1" t="str">
        <f>IFERROR(__xludf.DUMMYFUNCTION("""COMPUTED_VALUE"""),"REENCODED")</f>
        <v>REENCODED</v>
      </c>
      <c r="M93" s="1" t="str">
        <f>IFERROR(__xludf.DUMMYFUNCTION("""COMPUTED_VALUE"""),"REENCODED")</f>
        <v>REENCODED</v>
      </c>
      <c r="N93" s="3"/>
      <c r="O93" s="1" t="str">
        <f>IFERROR(__xludf.DUMMYFUNCTION("""COMPUTED_VALUE"""),"SWITCH FIBER UNLI ALL PLAN 1899")</f>
        <v>SWITCH FIBER UNLI ALL PLAN 1899</v>
      </c>
      <c r="P93" s="1" t="str">
        <f>IFERROR(__xludf.DUMMYFUNCTION("""COMPUTED_VALUE"""),"LOWPLAN")</f>
        <v>LOWPLAN</v>
      </c>
      <c r="Q93" s="1" t="str">
        <f>IFERROR(__xludf.DUMMYFUNCTION("""COMPUTED_VALUE"""),"P407044 ")</f>
        <v>P407044 </v>
      </c>
      <c r="R93" s="1" t="str">
        <f>IFERROR(__xludf.DUMMYFUNCTION("""COMPUTED_VALUE"""),"CARPIO, STEPHANIE")</f>
        <v>CARPIO, STEPHANIE</v>
      </c>
      <c r="S93" s="1" t="str">
        <f>IFERROR(__xludf.DUMMYFUNCTION("""COMPUTED_VALUE"""),"FLA")</f>
        <v>FLA</v>
      </c>
      <c r="T93" s="1" t="str">
        <f>IFERROR(__xludf.DUMMYFUNCTION("""COMPUTED_VALUE"""),"JERIC NAVARRO")</f>
        <v>JERIC NAVARRO</v>
      </c>
      <c r="U93" s="1" t="str">
        <f>IFERROR(__xludf.DUMMYFUNCTION("""COMPUTED_VALUE"""),"MARK MALIWAT")</f>
        <v>MARK MALIWAT</v>
      </c>
      <c r="V93" s="1" t="str">
        <f>IFERROR(__xludf.DUMMYFUNCTION("""COMPUTED_VALUE"""),"H2H")</f>
        <v>H2H</v>
      </c>
      <c r="W93" s="1" t="str">
        <f>IFERROR(__xludf.DUMMYFUNCTION("""COMPUTED_VALUE"""),"STK REGULAR")</f>
        <v>STK REGULAR</v>
      </c>
      <c r="X93" s="1" t="str">
        <f>IFERROR(__xludf.DUMMYFUNCTION("""COMPUTED_VALUE"""),"HBBS AUG 2026")</f>
        <v>HBBS AUG 2026</v>
      </c>
      <c r="Y93" s="1" t="str">
        <f>IFERROR(__xludf.DUMMYFUNCTION("""COMPUTED_VALUE"""),"RS_ONL_CVEU_2026")</f>
        <v>RS_ONL_CVEU_2026</v>
      </c>
      <c r="Z93" s="1" t="str">
        <f>IFERROR(__xludf.DUMMYFUNCTION("""COMPUTED_VALUE"""),"NEW CONNECT")</f>
        <v>NEW CONNECT</v>
      </c>
      <c r="AA93" s="1">
        <f>IFERROR(__xludf.DUMMYFUNCTION("""COMPUTED_VALUE"""),639173113613)</f>
        <v>639173113613</v>
      </c>
      <c r="AB93" s="1"/>
      <c r="AC93" s="1">
        <f>IFERROR(__xludf.DUMMYFUNCTION("""COMPUTED_VALUE"""),1244)</f>
        <v>1244</v>
      </c>
      <c r="AD93" s="1" t="str">
        <f>IFERROR(__xludf.DUMMYFUNCTION("""COMPUTED_VALUE"""),"J FELIPE")</f>
        <v>J FELIPE</v>
      </c>
      <c r="AE93" s="1"/>
      <c r="AF93" s="1" t="str">
        <f>IFERROR(__xludf.DUMMYFUNCTION("""COMPUTED_VALUE"""),"BGY 31")</f>
        <v>BGY 31</v>
      </c>
      <c r="AG93" s="1" t="str">
        <f>IFERROR(__xludf.DUMMYFUNCTION("""COMPUTED_VALUE"""),"CAVITE CITY")</f>
        <v>CAVITE CITY</v>
      </c>
      <c r="AH93" s="1" t="str">
        <f>IFERROR(__xludf.DUMMYFUNCTION("""COMPUTED_VALUE"""),"BACK OF DALI GROCERY")</f>
        <v>BACK OF DALI GROCERY</v>
      </c>
      <c r="AI93" s="1" t="str">
        <f>IFERROR(__xludf.DUMMYFUNCTION("""COMPUTED_VALUE"""),"NOT AOR")</f>
        <v>NOT AOR</v>
      </c>
    </row>
    <row r="94" customHeight="1" spans="1:35">
      <c r="A94" s="3">
        <f>IFERROR(__xludf.DUMMYFUNCTION("""COMPUTED_VALUE"""),46244)</f>
        <v>46244</v>
      </c>
      <c r="B94" s="1" t="str">
        <f>IFERROR(__xludf.DUMMYFUNCTION("""COMPUTED_VALUE"""),"FORTUNATO GRET ATULI")</f>
        <v>FORTUNATO GRET ATULI</v>
      </c>
      <c r="C94" s="1">
        <f>IFERROR(__xludf.DUMMYFUNCTION("""COMPUTED_VALUE"""),2311674087)</f>
        <v>2311674087</v>
      </c>
      <c r="D94" s="1"/>
      <c r="E94" s="1"/>
      <c r="F94" s="1" t="str">
        <f>IFERROR(__xludf.DUMMYFUNCTION("""COMPUTED_VALUE"""),"CANCELLED")</f>
        <v>CANCELLED</v>
      </c>
      <c r="G94" s="1" t="str">
        <f>IFERROR(__xludf.DUMMYFUNCTION("""COMPUTED_VALUE"""),"(WITH BLACKLISTED ACCOUNT FOR SETTLEMENT) RETURN TO SALE | FOUND BLACKLIST ACC# 0353790072 SAME NAME SAME CBR | WITH OB : Php6,543.17 NEED TO SETTLE THE OB FIRST BEFORE PROCEED THE NEW APPLICATION | DONE VALIDATION | CORRECT ENCODED INFO IN CSP | SUBMITTE"&amp;"D COMPLETE DOCS | TU SCORING FF - 2 (NTC) | 1 AMSF REQUIRED")</f>
        <v>(WITH BLACKLISTED ACCOUNT FOR SETTLEMENT) RETURN TO SALE | FOUND BLACKLIST ACC# 0353790072 SAME NAME SAME CBR | WITH OB : Php6,543.17 NEED TO SETTLE THE OB FIRST BEFORE PROCEED THE NEW APPLICATION | DONE VALIDATION | CORRECT ENCODED INFO IN CSP | SUBMITTED COMPLETE DOCS | TU SCORING FF - 2 (NTC) | 1 AMSF REQUIRED</v>
      </c>
      <c r="H94" s="1"/>
      <c r="I94" s="1"/>
      <c r="J94" s="1"/>
      <c r="K94" s="1"/>
      <c r="L94" s="1" t="str">
        <f>IFERROR(__xludf.DUMMYFUNCTION("""COMPUTED_VALUE"""),"CANCELLED - WITH OB")</f>
        <v>CANCELLED - WITH OB</v>
      </c>
      <c r="M94" s="1" t="str">
        <f>IFERROR(__xludf.DUMMYFUNCTION("""COMPUTED_VALUE"""),"CANCELLED - WITH OB")</f>
        <v>CANCELLED - WITH OB</v>
      </c>
      <c r="N94" s="3"/>
      <c r="O94" s="1" t="str">
        <f>IFERROR(__xludf.DUMMYFUNCTION("""COMPUTED_VALUE"""),"FIBR UNLI ALL PLAN 999")</f>
        <v>FIBR UNLI ALL PLAN 999</v>
      </c>
      <c r="P94" s="1" t="str">
        <f>IFERROR(__xludf.DUMMYFUNCTION("""COMPUTED_VALUE"""),"LOWPLAN")</f>
        <v>LOWPLAN</v>
      </c>
      <c r="Q94" s="1" t="str">
        <f>IFERROR(__xludf.DUMMYFUNCTION("""COMPUTED_VALUE"""),"P407050 ")</f>
        <v>P407050 </v>
      </c>
      <c r="R94" s="1" t="str">
        <f>IFERROR(__xludf.DUMMYFUNCTION("""COMPUTED_VALUE"""),"ESCARCHA, ALMA")</f>
        <v>ESCARCHA, ALMA</v>
      </c>
      <c r="S94" s="1" t="str">
        <f>IFERROR(__xludf.DUMMYFUNCTION("""COMPUTED_VALUE"""),"ORGANIC")</f>
        <v>ORGANIC</v>
      </c>
      <c r="T94" s="1" t="str">
        <f>IFERROR(__xludf.DUMMYFUNCTION("""COMPUTED_VALUE"""),"LEA REMOLLO")</f>
        <v>LEA REMOLLO</v>
      </c>
      <c r="U94" s="1" t="str">
        <f>IFERROR(__xludf.DUMMYFUNCTION("""COMPUTED_VALUE"""),"MARK MALIWAT")</f>
        <v>MARK MALIWAT</v>
      </c>
      <c r="V94" s="1" t="str">
        <f>IFERROR(__xludf.DUMMYFUNCTION("""COMPUTED_VALUE"""),"H2H")</f>
        <v>H2H</v>
      </c>
      <c r="W94" s="1" t="str">
        <f>IFERROR(__xludf.DUMMYFUNCTION("""COMPUTED_VALUE"""),"CSP")</f>
        <v>CSP</v>
      </c>
      <c r="X94" s="1" t="str">
        <f>IFERROR(__xludf.DUMMYFUNCTION("""COMPUTED_VALUE"""),"HBBS AUG 2026")</f>
        <v>HBBS AUG 2026</v>
      </c>
      <c r="Y94" s="1" t="str">
        <f>IFERROR(__xludf.DUMMYFUNCTION("""COMPUTED_VALUE"""),"BK_CVEU_260804")</f>
        <v>BK_CVEU_260804</v>
      </c>
      <c r="Z94" s="1" t="str">
        <f>IFERROR(__xludf.DUMMYFUNCTION("""COMPUTED_VALUE"""),"NEW CONNECT")</f>
        <v>NEW CONNECT</v>
      </c>
      <c r="AA94" s="1">
        <f>IFERROR(__xludf.DUMMYFUNCTION("""COMPUTED_VALUE"""),639675621197)</f>
        <v>639675621197</v>
      </c>
      <c r="AB94" s="1"/>
      <c r="AC94" s="1">
        <f>IFERROR(__xludf.DUMMYFUNCTION("""COMPUTED_VALUE"""),555)</f>
        <v>555</v>
      </c>
      <c r="AD94" s="1" t="str">
        <f>IFERROR(__xludf.DUMMYFUNCTION("""COMPUTED_VALUE"""),"VIRATA")</f>
        <v>VIRATA</v>
      </c>
      <c r="AE94" s="1"/>
      <c r="AF94" s="1" t="str">
        <f>IFERROR(__xludf.DUMMYFUNCTION("""COMPUTED_VALUE"""),"BGY NICOLASA VIRATA")</f>
        <v>BGY NICOLASA VIRATA</v>
      </c>
      <c r="AG94" s="1" t="str">
        <f>IFERROR(__xludf.DUMMYFUNCTION("""COMPUTED_VALUE"""),"GEN MARIANO ALVAREZ")</f>
        <v>GEN MARIANO ALVAREZ</v>
      </c>
      <c r="AH94" s="1" t="str">
        <f>IFERROR(__xludf.DUMMYFUNCTION("""COMPUTED_VALUE"""),"TAGPR")</f>
        <v>TAGPR</v>
      </c>
      <c r="AI94" s="1" t="str">
        <f>IFERROR(__xludf.DUMMYFUNCTION("""COMPUTED_VALUE"""),"CLUSTER 11")</f>
        <v>CLUSTER 11</v>
      </c>
    </row>
    <row r="95" customHeight="1" spans="1:35">
      <c r="A95" s="3">
        <f>IFERROR(__xludf.DUMMYFUNCTION("""COMPUTED_VALUE"""),46244)</f>
        <v>46244</v>
      </c>
      <c r="B95" s="1" t="str">
        <f>IFERROR(__xludf.DUMMYFUNCTION("""COMPUTED_VALUE"""),"MARK JOSEPH CROOC GONZALES")</f>
        <v>MARK JOSEPH CROOC GONZALES</v>
      </c>
      <c r="C95" s="1">
        <f>IFERROR(__xludf.DUMMYFUNCTION("""COMPUTED_VALUE"""),2311676991)</f>
        <v>2311676991</v>
      </c>
      <c r="D95" s="1">
        <f>IFERROR(__xludf.DUMMYFUNCTION("""COMPUTED_VALUE"""),406656349)</f>
        <v>406656349</v>
      </c>
      <c r="E95" s="1">
        <f>IFERROR(__xludf.DUMMYFUNCTION("""COMPUTED_VALUE"""),465923012004)</f>
        <v>465923012004</v>
      </c>
      <c r="F95" s="1" t="str">
        <f>IFERROR(__xludf.DUMMYFUNCTION("""COMPUTED_VALUE"""),"CLOSED")</f>
        <v>CLOSED</v>
      </c>
      <c r="G95" s="1" t="str">
        <f>IFERROR(__xludf.DUMMYFUNCTION("""COMPUTED_VALUE"""),"CLOSED")</f>
        <v>CLOSED</v>
      </c>
      <c r="H95" s="1" t="str">
        <f>IFERROR(__xludf.DUMMYFUNCTION("""COMPUTED_VALUE"""),"PQGOR363134866	05-Sep-26	Regular Payment	ECPAY - SHOPEE	2,236.34	942511058	06-Sep-26")</f>
        <v>PQGOR363134866	05-Sep-26	Regular Payment	ECPAY - SHOPEE	2,236.34	942511058	06-Sep-26</v>
      </c>
      <c r="I95" s="1" t="str">
        <f>IFERROR(__xludf.DUMMYFUNCTION("""COMPUTED_VALUE"""),"WITH 1 AMSF")</f>
        <v>WITH 1 AMSF</v>
      </c>
      <c r="J95" s="1"/>
      <c r="K95" s="1" t="str">
        <f>IFERROR(__xludf.DUMMYFUNCTION("""COMPUTED_VALUE"""),"COMPLETED")</f>
        <v>COMPLETED</v>
      </c>
      <c r="L95" s="1" t="str">
        <f>IFERROR(__xludf.DUMMYFUNCTION("""COMPUTED_VALUE"""),"POSTED")</f>
        <v>POSTED</v>
      </c>
      <c r="M95" s="1" t="str">
        <f>IFERROR(__xludf.DUMMYFUNCTION("""COMPUTED_VALUE"""),"POSTED")</f>
        <v>POSTED</v>
      </c>
      <c r="N95" s="3">
        <f>IFERROR(__xludf.DUMMYFUNCTION("""COMPUTED_VALUE"""),46246)</f>
        <v>46246</v>
      </c>
      <c r="O95" s="1" t="str">
        <f>IFERROR(__xludf.DUMMYFUNCTION("""COMPUTED_VALUE"""),"FIBR NETFLIX PLAN 1599")</f>
        <v>FIBR NETFLIX PLAN 1599</v>
      </c>
      <c r="P95" s="1" t="str">
        <f>IFERROR(__xludf.DUMMYFUNCTION("""COMPUTED_VALUE"""),"LOWPLAN")</f>
        <v>LOWPLAN</v>
      </c>
      <c r="Q95" s="1" t="str">
        <f>IFERROR(__xludf.DUMMYFUNCTION("""COMPUTED_VALUE"""),"P407047")</f>
        <v>P407047</v>
      </c>
      <c r="R95" s="1" t="str">
        <f>IFERROR(__xludf.DUMMYFUNCTION("""COMPUTED_VALUE"""),"FRANCISCO, ROSELYN")</f>
        <v>FRANCISCO, ROSELYN</v>
      </c>
      <c r="S95" s="1" t="str">
        <f>IFERROR(__xludf.DUMMYFUNCTION("""COMPUTED_VALUE"""),"ORGANIC")</f>
        <v>ORGANIC</v>
      </c>
      <c r="T95" s="1" t="str">
        <f>IFERROR(__xludf.DUMMYFUNCTION("""COMPUTED_VALUE"""),"LEA REMOLLO")</f>
        <v>LEA REMOLLO</v>
      </c>
      <c r="U95" s="1" t="str">
        <f>IFERROR(__xludf.DUMMYFUNCTION("""COMPUTED_VALUE"""),"MARK MALIWAT")</f>
        <v>MARK MALIWAT</v>
      </c>
      <c r="V95" s="1" t="str">
        <f>IFERROR(__xludf.DUMMYFUNCTION("""COMPUTED_VALUE"""),"ONLINE/CRANFORD")</f>
        <v>ONLINE/CRANFORD</v>
      </c>
      <c r="W95" s="1" t="str">
        <f>IFERROR(__xludf.DUMMYFUNCTION("""COMPUTED_VALUE"""),"STK REGULAR")</f>
        <v>STK REGULAR</v>
      </c>
      <c r="X95" s="1" t="str">
        <f>IFERROR(__xludf.DUMMYFUNCTION("""COMPUTED_VALUE"""),"REGULAR")</f>
        <v>REGULAR</v>
      </c>
      <c r="Y95" s="1" t="str">
        <f>IFERROR(__xludf.DUMMYFUNCTION("""COMPUTED_VALUE"""),"RS_HH_CVEU_2026")</f>
        <v>RS_HH_CVEU_2026</v>
      </c>
      <c r="Z95" s="1" t="str">
        <f>IFERROR(__xludf.DUMMYFUNCTION("""COMPUTED_VALUE"""),"NEW CONNECT")</f>
        <v>NEW CONNECT</v>
      </c>
      <c r="AA95" s="1">
        <f>IFERROR(__xludf.DUMMYFUNCTION("""COMPUTED_VALUE"""),639122119486)</f>
        <v>639122119486</v>
      </c>
      <c r="AB95" s="1">
        <f>IFERROR(__xludf.DUMMYFUNCTION("""COMPUTED_VALUE"""),639094436550)</f>
        <v>639094436550</v>
      </c>
      <c r="AC95" s="1">
        <f>IFERROR(__xludf.DUMMYFUNCTION("""COMPUTED_VALUE"""),358)</f>
        <v>358</v>
      </c>
      <c r="AD95" s="1" t="str">
        <f>IFERROR(__xludf.DUMMYFUNCTION("""COMPUTED_VALUE"""),"BARANGAY ALULOD")</f>
        <v>BARANGAY ALULOD</v>
      </c>
      <c r="AE95" s="1"/>
      <c r="AF95" s="1" t="str">
        <f>IFERROR(__xludf.DUMMYFUNCTION("""COMPUTED_VALUE"""),"BGY ALULOD")</f>
        <v>BGY ALULOD</v>
      </c>
      <c r="AG95" s="1" t="str">
        <f>IFERROR(__xludf.DUMMYFUNCTION("""COMPUTED_VALUE"""),"INDANG")</f>
        <v>INDANG</v>
      </c>
      <c r="AH95" s="1" t="str">
        <f>IFERROR(__xludf.DUMMYFUNCTION("""COMPUTED_VALUE"""),"LUCKY WAY HARDWARE ")</f>
        <v>LUCKY WAY HARDWARE </v>
      </c>
      <c r="AI95" s="1" t="str">
        <f>IFERROR(__xludf.DUMMYFUNCTION("""COMPUTED_VALUE"""),"NOT AOR")</f>
        <v>NOT AOR</v>
      </c>
    </row>
    <row r="96" customHeight="1" spans="1:35">
      <c r="A96" s="3">
        <f>IFERROR(__xludf.DUMMYFUNCTION("""COMPUTED_VALUE"""),46244)</f>
        <v>46244</v>
      </c>
      <c r="B96" s="1" t="str">
        <f>IFERROR(__xludf.DUMMYFUNCTION("""COMPUTED_VALUE"""),"HENRY RAYANDAYAN GALANG")</f>
        <v>HENRY RAYANDAYAN GALANG</v>
      </c>
      <c r="C96" s="1">
        <f>IFERROR(__xludf.DUMMYFUNCTION("""COMPUTED_VALUE"""),2311677424)</f>
        <v>2311677424</v>
      </c>
      <c r="D96" s="1">
        <f>IFERROR(__xludf.DUMMYFUNCTION("""COMPUTED_VALUE"""),406679039)</f>
        <v>406679039</v>
      </c>
      <c r="E96" s="1">
        <f>IFERROR(__xludf.DUMMYFUNCTION("""COMPUTED_VALUE"""),466045418004)</f>
        <v>466045418004</v>
      </c>
      <c r="F96" s="1" t="str">
        <f>IFERROR(__xludf.DUMMYFUNCTION("""COMPUTED_VALUE"""),"CANCELLED")</f>
        <v>CANCELLED</v>
      </c>
      <c r="G96" s="1" t="str">
        <f>IFERROR(__xludf.DUMMYFUNCTION("""COMPUTED_VALUE"""),"CANCELLED")</f>
        <v>CANCELLED</v>
      </c>
      <c r="H96" s="1" t="str">
        <f>IFERROR(__xludf.DUMMYFUNCTION("""COMPUTED_VALUE"""),"CBR RINGING ONLY 08/21 10:02")</f>
        <v>CBR RINGING ONLY 08/21 10:02</v>
      </c>
      <c r="I96" s="1"/>
      <c r="J96" s="1"/>
      <c r="K96" s="1" t="str">
        <f>IFERROR(__xludf.DUMMYFUNCTION("""COMPUTED_VALUE"""),"NOT IN OFSC")</f>
        <v>NOT IN OFSC</v>
      </c>
      <c r="L96" s="1" t="str">
        <f>IFERROR(__xludf.DUMMYFUNCTION("""COMPUTED_VALUE"""),"CANCELLED")</f>
        <v>CANCELLED</v>
      </c>
      <c r="M96" s="1" t="str">
        <f>IFERROR(__xludf.DUMMYFUNCTION("""COMPUTED_VALUE"""),"CANCELLED - FOR PAYMENT - AUTO AGING")</f>
        <v>CANCELLED - FOR PAYMENT - AUTO AGING</v>
      </c>
      <c r="N96" s="3"/>
      <c r="O96" s="1" t="str">
        <f>IFERROR(__xludf.DUMMYFUNCTION("""COMPUTED_VALUE"""),"FIBR UNLI ALL PLAN 999")</f>
        <v>FIBR UNLI ALL PLAN 999</v>
      </c>
      <c r="P96" s="1" t="str">
        <f>IFERROR(__xludf.DUMMYFUNCTION("""COMPUTED_VALUE"""),"LOWPLAN")</f>
        <v>LOWPLAN</v>
      </c>
      <c r="Q96" s="1" t="str">
        <f>IFERROR(__xludf.DUMMYFUNCTION("""COMPUTED_VALUE"""),"P407050")</f>
        <v>P407050</v>
      </c>
      <c r="R96" s="1" t="str">
        <f>IFERROR(__xludf.DUMMYFUNCTION("""COMPUTED_VALUE"""),"BAQUIT, JAZMIN")</f>
        <v>BAQUIT, JAZMIN</v>
      </c>
      <c r="S96" s="1" t="str">
        <f>IFERROR(__xludf.DUMMYFUNCTION("""COMPUTED_VALUE"""),"ORGANIC")</f>
        <v>ORGANIC</v>
      </c>
      <c r="T96" s="1" t="str">
        <f>IFERROR(__xludf.DUMMYFUNCTION("""COMPUTED_VALUE"""),"LEA REMOLLO")</f>
        <v>LEA REMOLLO</v>
      </c>
      <c r="U96" s="1" t="str">
        <f>IFERROR(__xludf.DUMMYFUNCTION("""COMPUTED_VALUE"""),"MARK MALIWAT")</f>
        <v>MARK MALIWAT</v>
      </c>
      <c r="V96" s="1" t="str">
        <f>IFERROR(__xludf.DUMMYFUNCTION("""COMPUTED_VALUE"""),"BK REGULAR")</f>
        <v>BK REGULAR</v>
      </c>
      <c r="W96" s="1" t="str">
        <f>IFERROR(__xludf.DUMMYFUNCTION("""COMPUTED_VALUE"""),"STK REGULAR")</f>
        <v>STK REGULAR</v>
      </c>
      <c r="X96" s="1" t="str">
        <f>IFERROR(__xludf.DUMMYFUNCTION("""COMPUTED_VALUE"""),"HBBS AUG 2026")</f>
        <v>HBBS AUG 2026</v>
      </c>
      <c r="Y96" s="1" t="str">
        <f>IFERROR(__xludf.DUMMYFUNCTION("""COMPUTED_VALUE"""),"BK_CVEU_260804")</f>
        <v>BK_CVEU_260804</v>
      </c>
      <c r="Z96" s="1" t="str">
        <f>IFERROR(__xludf.DUMMYFUNCTION("""COMPUTED_VALUE"""),"NEW CONNECT")</f>
        <v>NEW CONNECT</v>
      </c>
      <c r="AA96" s="1">
        <f>IFERROR(__xludf.DUMMYFUNCTION("""COMPUTED_VALUE"""),639166836771)</f>
        <v>639166836771</v>
      </c>
      <c r="AB96" s="1"/>
      <c r="AC96" s="1"/>
      <c r="AD96" s="1" t="str">
        <f>IFERROR(__xludf.DUMMYFUNCTION("""COMPUTED_VALUE"""),"AREA H")</f>
        <v>AREA H</v>
      </c>
      <c r="AE96" s="1"/>
      <c r="AF96" s="1" t="str">
        <f>IFERROR(__xludf.DUMMYFUNCTION("""COMPUTED_VALUE"""),"BGY BERNARDO PULIDO")</f>
        <v>BGY BERNARDO PULIDO</v>
      </c>
      <c r="AG96" s="1" t="str">
        <f>IFERROR(__xludf.DUMMYFUNCTION("""COMPUTED_VALUE"""),"GEN MARIANO ALVAREZ")</f>
        <v>GEN MARIANO ALVAREZ</v>
      </c>
      <c r="AH96" s="1" t="str">
        <f>IFERROR(__xludf.DUMMYFUNCTION("""COMPUTED_VALUE"""),"BASKETBALL COURT")</f>
        <v>BASKETBALL COURT</v>
      </c>
      <c r="AI96" s="1" t="str">
        <f>IFERROR(__xludf.DUMMYFUNCTION("""COMPUTED_VALUE"""),"CLUSTER 11")</f>
        <v>CLUSTER 11</v>
      </c>
    </row>
    <row r="97" customHeight="1" spans="1:35">
      <c r="A97" s="3">
        <f>IFERROR(__xludf.DUMMYFUNCTION("""COMPUTED_VALUE"""),46244)</f>
        <v>46244</v>
      </c>
      <c r="B97" s="1" t="str">
        <f>IFERROR(__xludf.DUMMYFUNCTION("""COMPUTED_VALUE"""),"BASILIO LEBANTEGARCIA")</f>
        <v>BASILIO LEBANTEGARCIA</v>
      </c>
      <c r="C97" s="1">
        <f>IFERROR(__xludf.DUMMYFUNCTION("""COMPUTED_VALUE"""),2311678350)</f>
        <v>2311678350</v>
      </c>
      <c r="D97" s="1">
        <f>IFERROR(__xludf.DUMMYFUNCTION("""COMPUTED_VALUE"""),406690741)</f>
        <v>406690741</v>
      </c>
      <c r="E97" s="1">
        <f>IFERROR(__xludf.DUMMYFUNCTION("""COMPUTED_VALUE"""),466052493004)</f>
        <v>466052493004</v>
      </c>
      <c r="F97" s="1" t="str">
        <f>IFERROR(__xludf.DUMMYFUNCTION("""COMPUTED_VALUE"""),"CANCELLED")</f>
        <v>CANCELLED</v>
      </c>
      <c r="G97" s="1" t="str">
        <f>IFERROR(__xludf.DUMMYFUNCTION("""COMPUTED_VALUE"""),"CANCELLED")</f>
        <v>CANCELLED</v>
      </c>
      <c r="H97" s="1" t="str">
        <f>IFERROR(__xludf.DUMMYFUNCTION("""COMPUTED_VALUE"""),"CBR RINGING ONLY 08/21 10:04")</f>
        <v>CBR RINGING ONLY 08/21 10:04</v>
      </c>
      <c r="I97" s="1"/>
      <c r="J97" s="1"/>
      <c r="K97" s="1" t="str">
        <f>IFERROR(__xludf.DUMMYFUNCTION("""COMPUTED_VALUE"""),"NOT IN OFSC")</f>
        <v>NOT IN OFSC</v>
      </c>
      <c r="L97" s="1" t="str">
        <f>IFERROR(__xludf.DUMMYFUNCTION("""COMPUTED_VALUE"""),"CANCELLED")</f>
        <v>CANCELLED</v>
      </c>
      <c r="M97" s="1" t="str">
        <f>IFERROR(__xludf.DUMMYFUNCTION("""COMPUTED_VALUE"""),"CANCELLED - FOR PAYMENT - AUTO AGING")</f>
        <v>CANCELLED - FOR PAYMENT - AUTO AGING</v>
      </c>
      <c r="N97" s="3"/>
      <c r="O97" s="1" t="str">
        <f>IFERROR(__xludf.DUMMYFUNCTION("""COMPUTED_VALUE"""),"FIBR UNLI ALL PLAN 999")</f>
        <v>FIBR UNLI ALL PLAN 999</v>
      </c>
      <c r="P97" s="1" t="str">
        <f>IFERROR(__xludf.DUMMYFUNCTION("""COMPUTED_VALUE"""),"LOWPLAN")</f>
        <v>LOWPLAN</v>
      </c>
      <c r="Q97" s="1" t="str">
        <f>IFERROR(__xludf.DUMMYFUNCTION("""COMPUTED_VALUE"""),"P407050 ")</f>
        <v>P407050 </v>
      </c>
      <c r="R97" s="1" t="str">
        <f>IFERROR(__xludf.DUMMYFUNCTION("""COMPUTED_VALUE"""),"ARENA, LYKA")</f>
        <v>ARENA, LYKA</v>
      </c>
      <c r="S97" s="1" t="str">
        <f>IFERROR(__xludf.DUMMYFUNCTION("""COMPUTED_VALUE"""),"ORGANIC")</f>
        <v>ORGANIC</v>
      </c>
      <c r="T97" s="1" t="str">
        <f>IFERROR(__xludf.DUMMYFUNCTION("""COMPUTED_VALUE"""),"LEA REMOLLO")</f>
        <v>LEA REMOLLO</v>
      </c>
      <c r="U97" s="1" t="str">
        <f>IFERROR(__xludf.DUMMYFUNCTION("""COMPUTED_VALUE"""),"MARK MALIWAT")</f>
        <v>MARK MALIWAT</v>
      </c>
      <c r="V97" s="1" t="str">
        <f>IFERROR(__xludf.DUMMYFUNCTION("""COMPUTED_VALUE"""),"BK REGULAR")</f>
        <v>BK REGULAR</v>
      </c>
      <c r="W97" s="1" t="str">
        <f>IFERROR(__xludf.DUMMYFUNCTION("""COMPUTED_VALUE"""),"CSP")</f>
        <v>CSP</v>
      </c>
      <c r="X97" s="1" t="str">
        <f>IFERROR(__xludf.DUMMYFUNCTION("""COMPUTED_VALUE"""),"HBBS AUG 2026")</f>
        <v>HBBS AUG 2026</v>
      </c>
      <c r="Y97" s="1" t="str">
        <f>IFERROR(__xludf.DUMMYFUNCTION("""COMPUTED_VALUE"""),"BK_CVEU_260806")</f>
        <v>BK_CVEU_260806</v>
      </c>
      <c r="Z97" s="1" t="str">
        <f>IFERROR(__xludf.DUMMYFUNCTION("""COMPUTED_VALUE"""),"NEW CONNECT")</f>
        <v>NEW CONNECT</v>
      </c>
      <c r="AA97" s="1">
        <f>IFERROR(__xludf.DUMMYFUNCTION("""COMPUTED_VALUE"""),639318662113)</f>
        <v>639318662113</v>
      </c>
      <c r="AB97" s="1"/>
      <c r="AC97" s="1"/>
      <c r="AD97" s="1" t="str">
        <f>IFERROR(__xludf.DUMMYFUNCTION("""COMPUTED_VALUE"""),"ANAHAW 1")</f>
        <v>ANAHAW 1</v>
      </c>
      <c r="AE97" s="1"/>
      <c r="AF97" s="1" t="str">
        <f>IFERROR(__xludf.DUMMYFUNCTION("""COMPUTED_VALUE"""),"BGY ANAHAW 1")</f>
        <v>BGY ANAHAW 1</v>
      </c>
      <c r="AG97" s="1" t="str">
        <f>IFERROR(__xludf.DUMMYFUNCTION("""COMPUTED_VALUE"""),"SILANG")</f>
        <v>SILANG</v>
      </c>
      <c r="AH97" s="1"/>
      <c r="AI97" s="1" t="str">
        <f>IFERROR(__xludf.DUMMYFUNCTION("""COMPUTED_VALUE"""),"CLUSTER 11")</f>
        <v>CLUSTER 11</v>
      </c>
    </row>
    <row r="98" customHeight="1" spans="1:35">
      <c r="A98" s="3">
        <f>IFERROR(__xludf.DUMMYFUNCTION("""COMPUTED_VALUE"""),46244)</f>
        <v>46244</v>
      </c>
      <c r="B98" s="1" t="str">
        <f>IFERROR(__xludf.DUMMYFUNCTION("""COMPUTED_VALUE""")," SANCHO CANIMO VELASCO")</f>
        <v> SANCHO CANIMO VELASCO</v>
      </c>
      <c r="C98" s="1">
        <f>IFERROR(__xludf.DUMMYFUNCTION("""COMPUTED_VALUE"""),2311678694)</f>
        <v>2311678694</v>
      </c>
      <c r="D98" s="1">
        <f>IFERROR(__xludf.DUMMYFUNCTION("""COMPUTED_VALUE"""),406685640)</f>
        <v>406685640</v>
      </c>
      <c r="E98" s="1">
        <f>IFERROR(__xludf.DUMMYFUNCTION("""COMPUTED_VALUE"""),466049541004)</f>
        <v>466049541004</v>
      </c>
      <c r="F98" s="1" t="str">
        <f>IFERROR(__xludf.DUMMYFUNCTION("""COMPUTED_VALUE"""),"CANCELLED")</f>
        <v>CANCELLED</v>
      </c>
      <c r="G98" s="1" t="str">
        <f>IFERROR(__xludf.DUMMYFUNCTION("""COMPUTED_VALUE"""),"CANCELLED")</f>
        <v>CANCELLED</v>
      </c>
      <c r="H98" s="1" t="str">
        <f>IFERROR(__xludf.DUMMYFUNCTION("""COMPUTED_VALUE"""),"CBR CANNOT BE REACH 08/21 01:47")</f>
        <v>CBR CANNOT BE REACH 08/21 01:47</v>
      </c>
      <c r="I98" s="1"/>
      <c r="J98" s="1"/>
      <c r="K98" s="1" t="str">
        <f>IFERROR(__xludf.DUMMYFUNCTION("""COMPUTED_VALUE"""),"NOT IN OFSC")</f>
        <v>NOT IN OFSC</v>
      </c>
      <c r="L98" s="1" t="str">
        <f>IFERROR(__xludf.DUMMYFUNCTION("""COMPUTED_VALUE"""),"CANCELLED")</f>
        <v>CANCELLED</v>
      </c>
      <c r="M98" s="1" t="str">
        <f>IFERROR(__xludf.DUMMYFUNCTION("""COMPUTED_VALUE"""),"CANCELLED - FOR PAYMENT - AUTO AGING")</f>
        <v>CANCELLED - FOR PAYMENT - AUTO AGING</v>
      </c>
      <c r="N98" s="3"/>
      <c r="O98" s="1" t="str">
        <f>IFERROR(__xludf.DUMMYFUNCTION("""COMPUTED_VALUE"""),"SWITCH FIBER UNLI ALL PLAN 1499")</f>
        <v>SWITCH FIBER UNLI ALL PLAN 1499</v>
      </c>
      <c r="P98" s="1" t="str">
        <f>IFERROR(__xludf.DUMMYFUNCTION("""COMPUTED_VALUE"""),"HIGHPLAN")</f>
        <v>HIGHPLAN</v>
      </c>
      <c r="Q98" s="1" t="str">
        <f>IFERROR(__xludf.DUMMYFUNCTION("""COMPUTED_VALUE"""),"P407050 ")</f>
        <v>P407050 </v>
      </c>
      <c r="R98" s="1" t="str">
        <f>IFERROR(__xludf.DUMMYFUNCTION("""COMPUTED_VALUE"""),"ARENA, LYKA")</f>
        <v>ARENA, LYKA</v>
      </c>
      <c r="S98" s="1" t="str">
        <f>IFERROR(__xludf.DUMMYFUNCTION("""COMPUTED_VALUE"""),"ORGANIC")</f>
        <v>ORGANIC</v>
      </c>
      <c r="T98" s="1" t="str">
        <f>IFERROR(__xludf.DUMMYFUNCTION("""COMPUTED_VALUE"""),"LEA REMOLLO")</f>
        <v>LEA REMOLLO</v>
      </c>
      <c r="U98" s="1" t="str">
        <f>IFERROR(__xludf.DUMMYFUNCTION("""COMPUTED_VALUE"""),"MARK MALIWAT")</f>
        <v>MARK MALIWAT</v>
      </c>
      <c r="V98" s="1" t="str">
        <f>IFERROR(__xludf.DUMMYFUNCTION("""COMPUTED_VALUE"""),"BK REGULAR")</f>
        <v>BK REGULAR</v>
      </c>
      <c r="W98" s="1" t="str">
        <f>IFERROR(__xludf.DUMMYFUNCTION("""COMPUTED_VALUE"""),"STK REGULAR")</f>
        <v>STK REGULAR</v>
      </c>
      <c r="X98" s="1" t="str">
        <f>IFERROR(__xludf.DUMMYFUNCTION("""COMPUTED_VALUE"""),"HBBS AUG 2026")</f>
        <v>HBBS AUG 2026</v>
      </c>
      <c r="Y98" s="1" t="str">
        <f>IFERROR(__xludf.DUMMYFUNCTION("""COMPUTED_VALUE"""),"BK_CVEU_260804")</f>
        <v>BK_CVEU_260804</v>
      </c>
      <c r="Z98" s="1" t="str">
        <f>IFERROR(__xludf.DUMMYFUNCTION("""COMPUTED_VALUE"""),"NEW CONNECT")</f>
        <v>NEW CONNECT</v>
      </c>
      <c r="AA98" s="1">
        <f>IFERROR(__xludf.DUMMYFUNCTION("""COMPUTED_VALUE"""),639764485443)</f>
        <v>639764485443</v>
      </c>
      <c r="AB98" s="1"/>
      <c r="AC98" s="1"/>
      <c r="AD98" s="1" t="str">
        <f>IFERROR(__xludf.DUMMYFUNCTION("""COMPUTED_VALUE"""),"POBLACION 3")</f>
        <v>POBLACION 3</v>
      </c>
      <c r="AE98" s="1"/>
      <c r="AF98" s="1" t="str">
        <f>IFERROR(__xludf.DUMMYFUNCTION("""COMPUTED_VALUE"""),"BGY POBLACION 3")</f>
        <v>BGY POBLACION 3</v>
      </c>
      <c r="AG98" s="1" t="str">
        <f>IFERROR(__xludf.DUMMYFUNCTION("""COMPUTED_VALUE"""),"GEN MARIANO ALVAREZ")</f>
        <v>GEN MARIANO ALVAREZ</v>
      </c>
      <c r="AH98" s="1" t="str">
        <f>IFERROR(__xludf.DUMMYFUNCTION("""COMPUTED_VALUE"""),"PORTAL MALL")</f>
        <v>PORTAL MALL</v>
      </c>
      <c r="AI98" s="1" t="str">
        <f>IFERROR(__xludf.DUMMYFUNCTION("""COMPUTED_VALUE"""),"CLUSTER 11")</f>
        <v>CLUSTER 11</v>
      </c>
    </row>
    <row r="99" customHeight="1" spans="1:35">
      <c r="A99" s="3">
        <f>IFERROR(__xludf.DUMMYFUNCTION("""COMPUTED_VALUE"""),46244)</f>
        <v>46244</v>
      </c>
      <c r="B99" s="1" t="str">
        <f>IFERROR(__xludf.DUMMYFUNCTION("""COMPUTED_VALUE""")," MELINDY LAURIQUEZ PEJI")</f>
        <v> MELINDY LAURIQUEZ PEJI</v>
      </c>
      <c r="C99" s="1">
        <f>IFERROR(__xludf.DUMMYFUNCTION("""COMPUTED_VALUE"""),2311679649)</f>
        <v>2311679649</v>
      </c>
      <c r="D99" s="1">
        <f>IFERROR(__xludf.DUMMYFUNCTION("""COMPUTED_VALUE"""),406679799)</f>
        <v>406679799</v>
      </c>
      <c r="E99" s="1">
        <f>IFERROR(__xludf.DUMMYFUNCTION("""COMPUTED_VALUE"""),466046061004)</f>
        <v>466046061004</v>
      </c>
      <c r="F99" s="1" t="str">
        <f>IFERROR(__xludf.DUMMYFUNCTION("""COMPUTED_VALUE"""),"CLOSED")</f>
        <v>CLOSED</v>
      </c>
      <c r="G99" s="1" t="str">
        <f>IFERROR(__xludf.DUMMYFUNCTION("""COMPUTED_VALUE"""),"CLOSED")</f>
        <v>CLOSED</v>
      </c>
      <c r="H99" s="1" t="str">
        <f>IFERROR(__xludf.DUMMYFUNCTION("""COMPUTED_VALUE"""),"PAID VIA GCASH - AUG 11 - REF - 776556907")</f>
        <v>PAID VIA GCASH - AUG 11 - REF - 776556907</v>
      </c>
      <c r="I99" s="1" t="str">
        <f>IFERROR(__xludf.DUMMYFUNCTION("""COMPUTED_VALUE"""),"WITH 1 AMSF")</f>
        <v>WITH 1 AMSF</v>
      </c>
      <c r="J99" s="1"/>
      <c r="K99" s="1" t="str">
        <f>IFERROR(__xludf.DUMMYFUNCTION("""COMPUTED_VALUE"""),"COMPLETED")</f>
        <v>COMPLETED</v>
      </c>
      <c r="L99" s="1" t="str">
        <f>IFERROR(__xludf.DUMMYFUNCTION("""COMPUTED_VALUE"""),"POSTED")</f>
        <v>POSTED</v>
      </c>
      <c r="M99" s="1" t="str">
        <f>IFERROR(__xludf.DUMMYFUNCTION("""COMPUTED_VALUE"""),"POSTED")</f>
        <v>POSTED</v>
      </c>
      <c r="N99" s="3">
        <f>IFERROR(__xludf.DUMMYFUNCTION("""COMPUTED_VALUE"""),46245)</f>
        <v>46245</v>
      </c>
      <c r="O99" s="1" t="str">
        <f>IFERROR(__xludf.DUMMYFUNCTION("""COMPUTED_VALUE"""),"FIBR NETFLIX PLAN 1599")</f>
        <v>FIBR NETFLIX PLAN 1599</v>
      </c>
      <c r="P99" s="1" t="str">
        <f>IFERROR(__xludf.DUMMYFUNCTION("""COMPUTED_VALUE"""),"LOWPLAN")</f>
        <v>LOWPLAN</v>
      </c>
      <c r="Q99" s="1" t="str">
        <f>IFERROR(__xludf.DUMMYFUNCTION("""COMPUTED_VALUE"""),"P407044")</f>
        <v>P407044</v>
      </c>
      <c r="R99" s="1" t="str">
        <f>IFERROR(__xludf.DUMMYFUNCTION("""COMPUTED_VALUE"""),"AYON, MANUEL")</f>
        <v>AYON, MANUEL</v>
      </c>
      <c r="S99" s="1" t="str">
        <f>IFERROR(__xludf.DUMMYFUNCTION("""COMPUTED_VALUE"""),"FLA")</f>
        <v>FLA</v>
      </c>
      <c r="T99" s="1" t="str">
        <f>IFERROR(__xludf.DUMMYFUNCTION("""COMPUTED_VALUE"""),"JERIC NAVARRO")</f>
        <v>JERIC NAVARRO</v>
      </c>
      <c r="U99" s="1" t="str">
        <f>IFERROR(__xludf.DUMMYFUNCTION("""COMPUTED_VALUE"""),"MARK MALIWAT")</f>
        <v>MARK MALIWAT</v>
      </c>
      <c r="V99" s="1" t="str">
        <f>IFERROR(__xludf.DUMMYFUNCTION("""COMPUTED_VALUE"""),"H2H")</f>
        <v>H2H</v>
      </c>
      <c r="W99" s="1" t="str">
        <f>IFERROR(__xludf.DUMMYFUNCTION("""COMPUTED_VALUE"""),"STK REGULAR")</f>
        <v>STK REGULAR</v>
      </c>
      <c r="X99" s="1" t="str">
        <f>IFERROR(__xludf.DUMMYFUNCTION("""COMPUTED_VALUE"""),"HBBS AUG 2026")</f>
        <v>HBBS AUG 2026</v>
      </c>
      <c r="Y99" s="1" t="str">
        <f>IFERROR(__xludf.DUMMYFUNCTION("""COMPUTED_VALUE"""),"RS_ONL_CVEU_2026")</f>
        <v>RS_ONL_CVEU_2026</v>
      </c>
      <c r="Z99" s="1" t="str">
        <f>IFERROR(__xludf.DUMMYFUNCTION("""COMPUTED_VALUE"""),"NEW CONNECT")</f>
        <v>NEW CONNECT</v>
      </c>
      <c r="AA99" s="1">
        <f>IFERROR(__xludf.DUMMYFUNCTION("""COMPUTED_VALUE"""),639985334955)</f>
        <v>639985334955</v>
      </c>
      <c r="AB99" s="1"/>
      <c r="AC99" s="1"/>
      <c r="AD99" s="1" t="str">
        <f>IFERROR(__xludf.DUMMYFUNCTION("""COMPUTED_VALUE"""),"PHASE 9A WINDCREST GREENWOODS")</f>
        <v>PHASE 9A WINDCREST GREENWOODS</v>
      </c>
      <c r="AE99" s="1" t="str">
        <f>IFERROR(__xludf.DUMMYFUNCTION("""COMPUTED_VALUE"""),"WINDCREST GREENWOODS PH 9A")</f>
        <v>WINDCREST GREENWOODS PH 9A</v>
      </c>
      <c r="AF99" s="1" t="str">
        <f>IFERROR(__xludf.DUMMYFUNCTION("""COMPUTED_VALUE"""),"BGY SAMPALOC 3")</f>
        <v>BGY SAMPALOC 3</v>
      </c>
      <c r="AG99" s="1" t="str">
        <f>IFERROR(__xludf.DUMMYFUNCTION("""COMPUTED_VALUE"""),"DASMARINAS")</f>
        <v>DASMARINAS</v>
      </c>
      <c r="AH99" s="1" t="str">
        <f>IFERROR(__xludf.DUMMYFUNCTION("""COMPUTED_VALUE"""),"NEAR ADMIN")</f>
        <v>NEAR ADMIN</v>
      </c>
      <c r="AI99" s="1" t="str">
        <f>IFERROR(__xludf.DUMMYFUNCTION("""COMPUTED_VALUE"""),"NOT AOR")</f>
        <v>NOT AOR</v>
      </c>
    </row>
    <row r="100" customHeight="1" spans="1:35">
      <c r="A100" s="3">
        <f>IFERROR(__xludf.DUMMYFUNCTION("""COMPUTED_VALUE"""),46244)</f>
        <v>46244</v>
      </c>
      <c r="B100" s="1" t="str">
        <f>IFERROR(__xludf.DUMMYFUNCTION("""COMPUTED_VALUE""")," JAYDEE VALERA RELINGADO")</f>
        <v> JAYDEE VALERA RELINGADO</v>
      </c>
      <c r="C100" s="1">
        <f>IFERROR(__xludf.DUMMYFUNCTION("""COMPUTED_VALUE"""),2311680887)</f>
        <v>2311680887</v>
      </c>
      <c r="D100" s="1">
        <f>IFERROR(__xludf.DUMMYFUNCTION("""COMPUTED_VALUE"""),406683303)</f>
        <v>406683303</v>
      </c>
      <c r="E100" s="1">
        <f>IFERROR(__xludf.DUMMYFUNCTION("""COMPUTED_VALUE"""),466048469004)</f>
        <v>466048469004</v>
      </c>
      <c r="F100" s="1" t="str">
        <f>IFERROR(__xludf.DUMMYFUNCTION("""COMPUTED_VALUE"""),"RPR")</f>
        <v>RPR</v>
      </c>
      <c r="G100" s="1" t="str">
        <f>IFERROR(__xludf.DUMMYFUNCTION("""COMPUTED_VALUE"""),"RPR SUBS REQUEST FOR CANCEL APPLICATION, CHANGE OF PLAN")</f>
        <v>RPR SUBS REQUEST FOR CANCEL APPLICATION, CHANGE OF PLAN</v>
      </c>
      <c r="H100" s="1"/>
      <c r="I100" s="1"/>
      <c r="J100" s="1"/>
      <c r="K100" s="1" t="str">
        <f>IFERROR(__xludf.DUMMYFUNCTION("""COMPUTED_VALUE"""),"CANCELED")</f>
        <v>CANCELED</v>
      </c>
      <c r="L100" s="1" t="str">
        <f>IFERROR(__xludf.DUMMYFUNCTION("""COMPUTED_VALUE"""),"RPR - SUBS CANCEL REQUEST")</f>
        <v>RPR - SUBS CANCEL REQUEST</v>
      </c>
      <c r="M100" s="1" t="str">
        <f>IFERROR(__xludf.DUMMYFUNCTION("""COMPUTED_VALUE"""),"RPR- SUBS CANCEL REQUEST")</f>
        <v>RPR- SUBS CANCEL REQUEST</v>
      </c>
      <c r="N100" s="3"/>
      <c r="O100" s="1" t="str">
        <f>IFERROR(__xludf.DUMMYFUNCTION("""COMPUTED_VALUE"""),"FIBR PLAN 1299")</f>
        <v>FIBR PLAN 1299</v>
      </c>
      <c r="P100" s="1" t="str">
        <f>IFERROR(__xludf.DUMMYFUNCTION("""COMPUTED_VALUE"""),"LOWPLAN")</f>
        <v>LOWPLAN</v>
      </c>
      <c r="Q100" s="1" t="str">
        <f>IFERROR(__xludf.DUMMYFUNCTION("""COMPUTED_VALUE"""),"P407050 ")</f>
        <v>P407050 </v>
      </c>
      <c r="R100" s="1" t="str">
        <f>IFERROR(__xludf.DUMMYFUNCTION("""COMPUTED_VALUE"""),"TAMAYO, MARY ROSE ZAIRA")</f>
        <v>TAMAYO, MARY ROSE ZAIRA</v>
      </c>
      <c r="S100" s="1" t="str">
        <f>IFERROR(__xludf.DUMMYFUNCTION("""COMPUTED_VALUE"""),"ORGANIC")</f>
        <v>ORGANIC</v>
      </c>
      <c r="T100" s="1" t="str">
        <f>IFERROR(__xludf.DUMMYFUNCTION("""COMPUTED_VALUE"""),"LEA REMOLLO")</f>
        <v>LEA REMOLLO</v>
      </c>
      <c r="U100" s="1" t="str">
        <f>IFERROR(__xludf.DUMMYFUNCTION("""COMPUTED_VALUE"""),"MARK MALIWAT")</f>
        <v>MARK MALIWAT</v>
      </c>
      <c r="V100" s="1" t="str">
        <f>IFERROR(__xludf.DUMMYFUNCTION("""COMPUTED_VALUE"""),"H2H")</f>
        <v>H2H</v>
      </c>
      <c r="W100" s="1" t="str">
        <f>IFERROR(__xludf.DUMMYFUNCTION("""COMPUTED_VALUE"""),"STK REGULAR")</f>
        <v>STK REGULAR</v>
      </c>
      <c r="X100" s="1" t="str">
        <f>IFERROR(__xludf.DUMMYFUNCTION("""COMPUTED_VALUE"""),"HBBS AUG 2026")</f>
        <v>HBBS AUG 2026</v>
      </c>
      <c r="Y100" s="1" t="str">
        <f>IFERROR(__xludf.DUMMYFUNCTION("""COMPUTED_VALUE"""),"RS_ONL_CVEU_2026")</f>
        <v>RS_ONL_CVEU_2026</v>
      </c>
      <c r="Z100" s="1" t="str">
        <f>IFERROR(__xludf.DUMMYFUNCTION("""COMPUTED_VALUE"""),"NEW CONNECT")</f>
        <v>NEW CONNECT</v>
      </c>
      <c r="AA100" s="1">
        <f>IFERROR(__xludf.DUMMYFUNCTION("""COMPUTED_VALUE"""),639063389003)</f>
        <v>639063389003</v>
      </c>
      <c r="AB100" s="1"/>
      <c r="AC100" s="1"/>
      <c r="AD100" s="1" t="str">
        <f>IFERROR(__xludf.DUMMYFUNCTION("""COMPUTED_VALUE"""),"MERCURY")</f>
        <v>MERCURY</v>
      </c>
      <c r="AE100" s="1" t="str">
        <f>IFERROR(__xludf.DUMMYFUNCTION("""COMPUTED_VALUE"""),"SUMMER HILL TOWNHOMES")</f>
        <v>SUMMER HILL TOWNHOMES</v>
      </c>
      <c r="AF100" s="1" t="str">
        <f>IFERROR(__xludf.DUMMYFUNCTION("""COMPUTED_VALUE"""),"BGY MOLINO 4")</f>
        <v>BGY MOLINO 4</v>
      </c>
      <c r="AG100" s="1" t="str">
        <f>IFERROR(__xludf.DUMMYFUNCTION("""COMPUTED_VALUE"""),"BACOOR")</f>
        <v>BACOOR</v>
      </c>
      <c r="AH100" s="1" t="str">
        <f>IFERROR(__xludf.DUMMYFUNCTION("""COMPUTED_VALUE"""),"METROSOUTH MEOKAL")</f>
        <v>METROSOUTH MEOKAL</v>
      </c>
      <c r="AI100" s="1" t="str">
        <f>IFERROR(__xludf.DUMMYFUNCTION("""COMPUTED_VALUE"""),"NOT AOR")</f>
        <v>NOT AOR</v>
      </c>
    </row>
    <row r="101" customHeight="1" spans="1:35">
      <c r="A101" s="3">
        <f>IFERROR(__xludf.DUMMYFUNCTION("""COMPUTED_VALUE"""),46245)</f>
        <v>46245</v>
      </c>
      <c r="B101" s="1" t="str">
        <f>IFERROR(__xludf.DUMMYFUNCTION("""COMPUTED_VALUE"""),"KARLA CRISTINA VALERO HERRERA")</f>
        <v>KARLA CRISTINA VALERO HERRERA</v>
      </c>
      <c r="C101" s="1">
        <f>IFERROR(__xludf.DUMMYFUNCTION("""COMPUTED_VALUE"""),2311693760)</f>
        <v>2311693760</v>
      </c>
      <c r="D101" s="1">
        <f>IFERROR(__xludf.DUMMYFUNCTION("""COMPUTED_VALUE"""),406679381)</f>
        <v>406679381</v>
      </c>
      <c r="E101" s="1">
        <f>IFERROR(__xludf.DUMMYFUNCTION("""COMPUTED_VALUE"""),466046100004)</f>
        <v>466046100004</v>
      </c>
      <c r="F101" s="1" t="str">
        <f>IFERROR(__xludf.DUMMYFUNCTION("""COMPUTED_VALUE"""),"CLOSED")</f>
        <v>CLOSED</v>
      </c>
      <c r="G101" s="1" t="str">
        <f>IFERROR(__xludf.DUMMYFUNCTION("""COMPUTED_VALUE"""),"CLOSED")</f>
        <v>CLOSED</v>
      </c>
      <c r="H101" s="1" t="str">
        <f>IFERROR(__xludf.DUMMYFUNCTION("""COMPUTED_VALUE"""),"PQGOR362120562	28-Aug-26	Regular Payment	CIS-GCASH 3.0	2,133.00	0	28-Aug-26")</f>
        <v>PQGOR362120562	28-Aug-26	Regular Payment	CIS-GCASH 3.0	2,133.00	0	28-Aug-26</v>
      </c>
      <c r="I101" s="1" t="str">
        <f>IFERROR(__xludf.DUMMYFUNCTION("""COMPUTED_VALUE"""),"WITH 1 AMSF")</f>
        <v>WITH 1 AMSF</v>
      </c>
      <c r="J101" s="1"/>
      <c r="K101" s="1" t="str">
        <f>IFERROR(__xludf.DUMMYFUNCTION("""COMPUTED_VALUE"""),"COMPLETED")</f>
        <v>COMPLETED</v>
      </c>
      <c r="L101" s="1" t="str">
        <f>IFERROR(__xludf.DUMMYFUNCTION("""COMPUTED_VALUE"""),"POSTED")</f>
        <v>POSTED</v>
      </c>
      <c r="M101" s="1" t="str">
        <f>IFERROR(__xludf.DUMMYFUNCTION("""COMPUTED_VALUE"""),"POSTED")</f>
        <v>POSTED</v>
      </c>
      <c r="N101" s="3">
        <f>IFERROR(__xludf.DUMMYFUNCTION("""COMPUTED_VALUE"""),46246)</f>
        <v>46246</v>
      </c>
      <c r="O101" s="1" t="str">
        <f>IFERROR(__xludf.DUMMYFUNCTION("""COMPUTED_VALUE"""),"FIBER UNLI ALL PLAN 1899")</f>
        <v>FIBER UNLI ALL PLAN 1899</v>
      </c>
      <c r="P101" s="1" t="str">
        <f>IFERROR(__xludf.DUMMYFUNCTION("""COMPUTED_VALUE"""),"HIGHPLAN")</f>
        <v>HIGHPLAN</v>
      </c>
      <c r="Q101" s="1" t="str">
        <f>IFERROR(__xludf.DUMMYFUNCTION("""COMPUTED_VALUE"""),"P407044")</f>
        <v>P407044</v>
      </c>
      <c r="R101" s="1" t="str">
        <f>IFERROR(__xludf.DUMMYFUNCTION("""COMPUTED_VALUE"""),"CARPIO, STEPHANIE")</f>
        <v>CARPIO, STEPHANIE</v>
      </c>
      <c r="S101" s="1" t="str">
        <f>IFERROR(__xludf.DUMMYFUNCTION("""COMPUTED_VALUE"""),"FLA")</f>
        <v>FLA</v>
      </c>
      <c r="T101" s="1" t="str">
        <f>IFERROR(__xludf.DUMMYFUNCTION("""COMPUTED_VALUE"""),"JERIC NAVARRO")</f>
        <v>JERIC NAVARRO</v>
      </c>
      <c r="U101" s="1" t="str">
        <f>IFERROR(__xludf.DUMMYFUNCTION("""COMPUTED_VALUE"""),"JB SALIOA")</f>
        <v>JB SALIOA</v>
      </c>
      <c r="V101" s="1" t="str">
        <f>IFERROR(__xludf.DUMMYFUNCTION("""COMPUTED_VALUE"""),"BK")</f>
        <v>BK</v>
      </c>
      <c r="W101" s="1" t="str">
        <f>IFERROR(__xludf.DUMMYFUNCTION("""COMPUTED_VALUE"""),"STK REGULAR")</f>
        <v>STK REGULAR</v>
      </c>
      <c r="X101" s="1" t="str">
        <f>IFERROR(__xludf.DUMMYFUNCTION("""COMPUTED_VALUE"""),"HBBS AUG 2026")</f>
        <v>HBBS AUG 2026</v>
      </c>
      <c r="Y101" s="1" t="str">
        <f>IFERROR(__xludf.DUMMYFUNCTION("""COMPUTED_VALUE"""),"RS_SS_CVEU_2026")</f>
        <v>RS_SS_CVEU_2026</v>
      </c>
      <c r="Z101" s="1" t="str">
        <f>IFERROR(__xludf.DUMMYFUNCTION("""COMPUTED_VALUE"""),"NEW CONNECT")</f>
        <v>NEW CONNECT</v>
      </c>
      <c r="AA101" s="1">
        <f>IFERROR(__xludf.DUMMYFUNCTION("""COMPUTED_VALUE"""),639173113613)</f>
        <v>639173113613</v>
      </c>
      <c r="AB101" s="1"/>
      <c r="AC101" s="1">
        <f>IFERROR(__xludf.DUMMYFUNCTION("""COMPUTED_VALUE"""),1244)</f>
        <v>1244</v>
      </c>
      <c r="AD101" s="1" t="str">
        <f>IFERROR(__xludf.DUMMYFUNCTION("""COMPUTED_VALUE"""),"J FELIPE")</f>
        <v>J FELIPE</v>
      </c>
      <c r="AE101" s="1"/>
      <c r="AF101" s="1" t="str">
        <f>IFERROR(__xludf.DUMMYFUNCTION("""COMPUTED_VALUE"""),"BGY 31")</f>
        <v>BGY 31</v>
      </c>
      <c r="AG101" s="1" t="str">
        <f>IFERROR(__xludf.DUMMYFUNCTION("""COMPUTED_VALUE"""),"CAVITE CITY")</f>
        <v>CAVITE CITY</v>
      </c>
      <c r="AH101" s="1" t="str">
        <f>IFERROR(__xludf.DUMMYFUNCTION("""COMPUTED_VALUE"""),"BACK OF DALI GROCERY")</f>
        <v>BACK OF DALI GROCERY</v>
      </c>
      <c r="AI101" s="1" t="str">
        <f>IFERROR(__xludf.DUMMYFUNCTION("""COMPUTED_VALUE"""),"NOT AOR")</f>
        <v>NOT AOR</v>
      </c>
    </row>
    <row r="102" customHeight="1" spans="1:35">
      <c r="A102" s="3">
        <f>IFERROR(__xludf.DUMMYFUNCTION("""COMPUTED_VALUE"""),46245)</f>
        <v>46245</v>
      </c>
      <c r="B102" s="1" t="str">
        <f>IFERROR(__xludf.DUMMYFUNCTION("""COMPUTED_VALUE"""),"BENJAMIN JR ALMENDRAS EUSEBIO")</f>
        <v>BENJAMIN JR ALMENDRAS EUSEBIO</v>
      </c>
      <c r="C102" s="1">
        <f>IFERROR(__xludf.DUMMYFUNCTION("""COMPUTED_VALUE"""),2311694327)</f>
        <v>2311694327</v>
      </c>
      <c r="D102" s="1">
        <f>IFERROR(__xludf.DUMMYFUNCTION("""COMPUTED_VALUE"""),406677575)</f>
        <v>406677575</v>
      </c>
      <c r="E102" s="1">
        <f>IFERROR(__xludf.DUMMYFUNCTION("""COMPUTED_VALUE"""),466043757004)</f>
        <v>466043757004</v>
      </c>
      <c r="F102" s="1" t="str">
        <f>IFERROR(__xludf.DUMMYFUNCTION("""COMPUTED_VALUE"""),"CLOSED")</f>
        <v>CLOSED</v>
      </c>
      <c r="G102" s="1" t="str">
        <f>IFERROR(__xludf.DUMMYFUNCTION("""COMPUTED_VALUE"""),"CLOSED")</f>
        <v>CLOSED</v>
      </c>
      <c r="H102" s="1" t="str">
        <f>IFERROR(__xludf.DUMMYFUNCTION("""COMPUTED_VALUE"""),"PAID VIA MAYA 622306996136 AUG 11")</f>
        <v>PAID VIA MAYA 622306996136 AUG 11</v>
      </c>
      <c r="I102" s="1" t="str">
        <f>IFERROR(__xludf.DUMMYFUNCTION("""COMPUTED_VALUE"""),"WITH 1 AMSF")</f>
        <v>WITH 1 AMSF</v>
      </c>
      <c r="J102" s="1"/>
      <c r="K102" s="1" t="str">
        <f>IFERROR(__xludf.DUMMYFUNCTION("""COMPUTED_VALUE"""),"COMPLETED")</f>
        <v>COMPLETED</v>
      </c>
      <c r="L102" s="1" t="str">
        <f>IFERROR(__xludf.DUMMYFUNCTION("""COMPUTED_VALUE"""),"POSTED")</f>
        <v>POSTED</v>
      </c>
      <c r="M102" s="1" t="str">
        <f>IFERROR(__xludf.DUMMYFUNCTION("""COMPUTED_VALUE"""),"POSTED")</f>
        <v>POSTED</v>
      </c>
      <c r="N102" s="3">
        <f>IFERROR(__xludf.DUMMYFUNCTION("""COMPUTED_VALUE"""),46246)</f>
        <v>46246</v>
      </c>
      <c r="O102" s="1" t="str">
        <f>IFERROR(__xludf.DUMMYFUNCTION("""COMPUTED_VALUE"""),"SWITCH FIBER UNLI ALL PLAN 1499")</f>
        <v>SWITCH FIBER UNLI ALL PLAN 1499</v>
      </c>
      <c r="P102" s="1" t="str">
        <f>IFERROR(__xludf.DUMMYFUNCTION("""COMPUTED_VALUE"""),"LOWPLAN")</f>
        <v>LOWPLAN</v>
      </c>
      <c r="Q102" s="1" t="str">
        <f>IFERROR(__xludf.DUMMYFUNCTION("""COMPUTED_VALUE"""),"P407044")</f>
        <v>P407044</v>
      </c>
      <c r="R102" s="1" t="str">
        <f>IFERROR(__xludf.DUMMYFUNCTION("""COMPUTED_VALUE"""),"AYON, MANUEL")</f>
        <v>AYON, MANUEL</v>
      </c>
      <c r="S102" s="1" t="str">
        <f>IFERROR(__xludf.DUMMYFUNCTION("""COMPUTED_VALUE"""),"FLA")</f>
        <v>FLA</v>
      </c>
      <c r="T102" s="1" t="str">
        <f>IFERROR(__xludf.DUMMYFUNCTION("""COMPUTED_VALUE"""),"JERIC NAVARRO")</f>
        <v>JERIC NAVARRO</v>
      </c>
      <c r="U102" s="1" t="str">
        <f>IFERROR(__xludf.DUMMYFUNCTION("""COMPUTED_VALUE"""),"JB SALIOA")</f>
        <v>JB SALIOA</v>
      </c>
      <c r="V102" s="1" t="str">
        <f>IFERROR(__xludf.DUMMYFUNCTION("""COMPUTED_VALUE"""),"BK REGULAR")</f>
        <v>BK REGULAR</v>
      </c>
      <c r="W102" s="1" t="str">
        <f>IFERROR(__xludf.DUMMYFUNCTION("""COMPUTED_VALUE"""),"STK REGULAR")</f>
        <v>STK REGULAR</v>
      </c>
      <c r="X102" s="1" t="str">
        <f>IFERROR(__xludf.DUMMYFUNCTION("""COMPUTED_VALUE"""),"ANTI COMPETITOR")</f>
        <v>ANTI COMPETITOR</v>
      </c>
      <c r="Y102" s="1" t="str">
        <f>IFERROR(__xludf.DUMMYFUNCTION("""COMPUTED_VALUE"""),"BK_CVEU_260806")</f>
        <v>BK_CVEU_260806</v>
      </c>
      <c r="Z102" s="1" t="str">
        <f>IFERROR(__xludf.DUMMYFUNCTION("""COMPUTED_VALUE"""),"NEW CONNECT")</f>
        <v>NEW CONNECT</v>
      </c>
      <c r="AA102" s="1">
        <f>IFERROR(__xludf.DUMMYFUNCTION("""COMPUTED_VALUE"""),639568752011)</f>
        <v>639568752011</v>
      </c>
      <c r="AB102" s="1">
        <f>IFERROR(__xludf.DUMMYFUNCTION("""COMPUTED_VALUE"""),639192439256)</f>
        <v>639192439256</v>
      </c>
      <c r="AC102" s="1">
        <f>IFERROR(__xludf.DUMMYFUNCTION("""COMPUTED_VALUE"""),80)</f>
        <v>80</v>
      </c>
      <c r="AD102" s="1" t="str">
        <f>IFERROR(__xludf.DUMMYFUNCTION("""COMPUTED_VALUE"""),"PALIGAWAN")</f>
        <v>PALIGAWAN</v>
      </c>
      <c r="AE102" s="1"/>
      <c r="AF102" s="1" t="str">
        <f>IFERROR(__xludf.DUMMYFUNCTION("""COMPUTED_VALUE"""),"BGY PALIGAWAN")</f>
        <v>BGY PALIGAWAN</v>
      </c>
      <c r="AG102" s="1" t="str">
        <f>IFERROR(__xludf.DUMMYFUNCTION("""COMPUTED_VALUE"""),"SILANG")</f>
        <v>SILANG</v>
      </c>
      <c r="AH102" s="1" t="str">
        <f>IFERROR(__xludf.DUMMYFUNCTION("""COMPUTED_VALUE"""),"-")</f>
        <v>-</v>
      </c>
      <c r="AI102" s="1" t="str">
        <f>IFERROR(__xludf.DUMMYFUNCTION("""COMPUTED_VALUE"""),"CLUSTER 11")</f>
        <v>CLUSTER 11</v>
      </c>
    </row>
    <row r="103" customHeight="1" spans="1:35">
      <c r="A103" s="3">
        <f>IFERROR(__xludf.DUMMYFUNCTION("""COMPUTED_VALUE"""),46245)</f>
        <v>46245</v>
      </c>
      <c r="B103" s="1" t="str">
        <f>IFERROR(__xludf.DUMMYFUNCTION("""COMPUTED_VALUE"""),"JOHN LLOYD . CASTILLO")</f>
        <v>JOHN LLOYD . CASTILLO</v>
      </c>
      <c r="C103" s="1">
        <f>IFERROR(__xludf.DUMMYFUNCTION("""COMPUTED_VALUE"""),2311696725)</f>
        <v>2311696725</v>
      </c>
      <c r="D103" s="1">
        <f>IFERROR(__xludf.DUMMYFUNCTION("""COMPUTED_VALUE"""),406716252)</f>
        <v>406716252</v>
      </c>
      <c r="E103" s="1">
        <f>IFERROR(__xludf.DUMMYFUNCTION("""COMPUTED_VALUE"""),466177738004)</f>
        <v>466177738004</v>
      </c>
      <c r="F103" s="1" t="str">
        <f>IFERROR(__xludf.DUMMYFUNCTION("""COMPUTED_VALUE"""),"CLOSED")</f>
        <v>CLOSED</v>
      </c>
      <c r="G103" s="1" t="str">
        <f>IFERROR(__xludf.DUMMYFUNCTION("""COMPUTED_VALUE"""),"CLOSED")</f>
        <v>CLOSED</v>
      </c>
      <c r="H103" s="1" t="str">
        <f>IFERROR(__xludf.DUMMYFUNCTION("""COMPUTED_VALUE"""),"PAID VIA GCASH - AUG 12 - Ref:;035067008")</f>
        <v>PAID VIA GCASH - AUG 12 - Ref:;035067008</v>
      </c>
      <c r="I103" s="1" t="str">
        <f>IFERROR(__xludf.DUMMYFUNCTION("""COMPUTED_VALUE"""),"WITH 1 AMSF")</f>
        <v>WITH 1 AMSF</v>
      </c>
      <c r="J103" s="1"/>
      <c r="K103" s="1" t="str">
        <f>IFERROR(__xludf.DUMMYFUNCTION("""COMPUTED_VALUE"""),"COMPLETED")</f>
        <v>COMPLETED</v>
      </c>
      <c r="L103" s="1" t="str">
        <f>IFERROR(__xludf.DUMMYFUNCTION("""COMPUTED_VALUE"""),"POSTED")</f>
        <v>POSTED</v>
      </c>
      <c r="M103" s="1" t="str">
        <f>IFERROR(__xludf.DUMMYFUNCTION("""COMPUTED_VALUE"""),"POSTED")</f>
        <v>POSTED</v>
      </c>
      <c r="N103" s="3">
        <f>IFERROR(__xludf.DUMMYFUNCTION("""COMPUTED_VALUE"""),46247)</f>
        <v>46247</v>
      </c>
      <c r="O103" s="1" t="str">
        <f>IFERROR(__xludf.DUMMYFUNCTION("""COMPUTED_VALUE"""),"FIBR NETFLIX PLAN 1599")</f>
        <v>FIBR NETFLIX PLAN 1599</v>
      </c>
      <c r="P103" s="1" t="str">
        <f>IFERROR(__xludf.DUMMYFUNCTION("""COMPUTED_VALUE"""),"LOWPLAN")</f>
        <v>LOWPLAN</v>
      </c>
      <c r="Q103" s="1" t="str">
        <f>IFERROR(__xludf.DUMMYFUNCTION("""COMPUTED_VALUE"""),"P407044")</f>
        <v>P407044</v>
      </c>
      <c r="R103" s="1" t="str">
        <f>IFERROR(__xludf.DUMMYFUNCTION("""COMPUTED_VALUE"""),"CARPIO, STEPHANIE")</f>
        <v>CARPIO, STEPHANIE</v>
      </c>
      <c r="S103" s="1" t="str">
        <f>IFERROR(__xludf.DUMMYFUNCTION("""COMPUTED_VALUE"""),"FLA")</f>
        <v>FLA</v>
      </c>
      <c r="T103" s="1" t="str">
        <f>IFERROR(__xludf.DUMMYFUNCTION("""COMPUTED_VALUE"""),"JERIC NAVARRO")</f>
        <v>JERIC NAVARRO</v>
      </c>
      <c r="U103" s="1" t="str">
        <f>IFERROR(__xludf.DUMMYFUNCTION("""COMPUTED_VALUE"""),"JB SALIOA")</f>
        <v>JB SALIOA</v>
      </c>
      <c r="V103" s="1" t="str">
        <f>IFERROR(__xludf.DUMMYFUNCTION("""COMPUTED_VALUE"""),"BK")</f>
        <v>BK</v>
      </c>
      <c r="W103" s="1" t="str">
        <f>IFERROR(__xludf.DUMMYFUNCTION("""COMPUTED_VALUE"""),"STK REGULAR")</f>
        <v>STK REGULAR</v>
      </c>
      <c r="X103" s="1" t="str">
        <f>IFERROR(__xludf.DUMMYFUNCTION("""COMPUTED_VALUE"""),"HBBS AUG 2026")</f>
        <v>HBBS AUG 2026</v>
      </c>
      <c r="Y103" s="1" t="str">
        <f>IFERROR(__xludf.DUMMYFUNCTION("""COMPUTED_VALUE"""),"RS_SS_CVEU_2026")</f>
        <v>RS_SS_CVEU_2026</v>
      </c>
      <c r="Z103" s="1" t="str">
        <f>IFERROR(__xludf.DUMMYFUNCTION("""COMPUTED_VALUE"""),"NEW CONNECT")</f>
        <v>NEW CONNECT</v>
      </c>
      <c r="AA103" s="1">
        <f>IFERROR(__xludf.DUMMYFUNCTION("""COMPUTED_VALUE"""),639083197844)</f>
        <v>639083197844</v>
      </c>
      <c r="AB103" s="1"/>
      <c r="AC103" s="1"/>
      <c r="AD103" s="1" t="str">
        <f>IFERROR(__xludf.DUMMYFUNCTION("""COMPUTED_VALUE"""),"LT MARIO CASTRO")</f>
        <v>LT MARIO CASTRO</v>
      </c>
      <c r="AE103" s="1"/>
      <c r="AF103" s="1" t="str">
        <f>IFERROR(__xludf.DUMMYFUNCTION("""COMPUTED_VALUE"""),"BGY 38")</f>
        <v>BGY 38</v>
      </c>
      <c r="AG103" s="1" t="str">
        <f>IFERROR(__xludf.DUMMYFUNCTION("""COMPUTED_VALUE"""),"CAVITE CITY")</f>
        <v>CAVITE CITY</v>
      </c>
      <c r="AH103" s="1" t="str">
        <f>IFERROR(__xludf.DUMMYFUNCTION("""COMPUTED_VALUE"""),"-")</f>
        <v>-</v>
      </c>
      <c r="AI103" s="1" t="str">
        <f>IFERROR(__xludf.DUMMYFUNCTION("""COMPUTED_VALUE"""),"NOT AOR")</f>
        <v>NOT AOR</v>
      </c>
    </row>
    <row r="104" customHeight="1" spans="1:35">
      <c r="A104" s="3">
        <f>IFERROR(__xludf.DUMMYFUNCTION("""COMPUTED_VALUE"""),46245)</f>
        <v>46245</v>
      </c>
      <c r="B104" s="1" t="str">
        <f>IFERROR(__xludf.DUMMYFUNCTION("""COMPUTED_VALUE"""),"RIZA LAZARTE SOLAYAO")</f>
        <v>RIZA LAZARTE SOLAYAO</v>
      </c>
      <c r="C104" s="1">
        <f>IFERROR(__xludf.DUMMYFUNCTION("""COMPUTED_VALUE"""),2311697964)</f>
        <v>2311697964</v>
      </c>
      <c r="D104" s="1">
        <f>IFERROR(__xludf.DUMMYFUNCTION("""COMPUTED_VALUE"""),406705099)</f>
        <v>406705099</v>
      </c>
      <c r="E104" s="1">
        <f>IFERROR(__xludf.DUMMYFUNCTION("""COMPUTED_VALUE"""),466074868004)</f>
        <v>466074868004</v>
      </c>
      <c r="F104" s="1" t="str">
        <f>IFERROR(__xludf.DUMMYFUNCTION("""COMPUTED_VALUE"""),"CLOSED")</f>
        <v>CLOSED</v>
      </c>
      <c r="G104" s="1" t="str">
        <f>IFERROR(__xludf.DUMMYFUNCTION("""COMPUTED_VALUE"""),"CLOSED")</f>
        <v>CLOSED</v>
      </c>
      <c r="H104" s="1" t="str">
        <f>IFERROR(__xludf.DUMMYFUNCTION("""COMPUTED_VALUE"""),"PQGOR362699862	02-Sep-26	Regular Payment	CIS-GCASH 3.0	1,549.00	942509183	02-Sep-26")</f>
        <v>PQGOR362699862	02-Sep-26	Regular Payment	CIS-GCASH 3.0	1,549.00	942509183	02-Sep-26</v>
      </c>
      <c r="I104" s="1" t="str">
        <f>IFERROR(__xludf.DUMMYFUNCTION("""COMPUTED_VALUE"""),"WITH 1 AMSF")</f>
        <v>WITH 1 AMSF</v>
      </c>
      <c r="J104" s="1"/>
      <c r="K104" s="1" t="str">
        <f>IFERROR(__xludf.DUMMYFUNCTION("""COMPUTED_VALUE"""),"COMPLETED")</f>
        <v>COMPLETED</v>
      </c>
      <c r="L104" s="1" t="str">
        <f>IFERROR(__xludf.DUMMYFUNCTION("""COMPUTED_VALUE"""),"POSTED")</f>
        <v>POSTED</v>
      </c>
      <c r="M104" s="1" t="str">
        <f>IFERROR(__xludf.DUMMYFUNCTION("""COMPUTED_VALUE"""),"POSTED")</f>
        <v>POSTED</v>
      </c>
      <c r="N104" s="3">
        <f>IFERROR(__xludf.DUMMYFUNCTION("""COMPUTED_VALUE"""),46248)</f>
        <v>46248</v>
      </c>
      <c r="O104" s="1" t="str">
        <f>IFERROR(__xludf.DUMMYFUNCTION("""COMPUTED_VALUE"""),"FIBER UNLI ALL PLAN 1499")</f>
        <v>FIBER UNLI ALL PLAN 1499</v>
      </c>
      <c r="P104" s="1" t="str">
        <f>IFERROR(__xludf.DUMMYFUNCTION("""COMPUTED_VALUE"""),"LOWPLAN")</f>
        <v>LOWPLAN</v>
      </c>
      <c r="Q104" s="1" t="str">
        <f>IFERROR(__xludf.DUMMYFUNCTION("""COMPUTED_VALUE"""),"P407047")</f>
        <v>P407047</v>
      </c>
      <c r="R104" s="1" t="str">
        <f>IFERROR(__xludf.DUMMYFUNCTION("""COMPUTED_VALUE"""),"FRANCISCO, ROSELYN")</f>
        <v>FRANCISCO, ROSELYN</v>
      </c>
      <c r="S104" s="1" t="str">
        <f>IFERROR(__xludf.DUMMYFUNCTION("""COMPUTED_VALUE"""),"ORGANIC")</f>
        <v>ORGANIC</v>
      </c>
      <c r="T104" s="1" t="str">
        <f>IFERROR(__xludf.DUMMYFUNCTION("""COMPUTED_VALUE"""),"LEA REMOLLO")</f>
        <v>LEA REMOLLO</v>
      </c>
      <c r="U104" s="1" t="str">
        <f>IFERROR(__xludf.DUMMYFUNCTION("""COMPUTED_VALUE"""),"JB SALIOA")</f>
        <v>JB SALIOA</v>
      </c>
      <c r="V104" s="1" t="str">
        <f>IFERROR(__xludf.DUMMYFUNCTION("""COMPUTED_VALUE"""),"ONLINE/CRANFORD")</f>
        <v>ONLINE/CRANFORD</v>
      </c>
      <c r="W104" s="1" t="str">
        <f>IFERROR(__xludf.DUMMYFUNCTION("""COMPUTED_VALUE"""),"STK REGULAR")</f>
        <v>STK REGULAR</v>
      </c>
      <c r="X104" s="1" t="str">
        <f>IFERROR(__xludf.DUMMYFUNCTION("""COMPUTED_VALUE"""),"HBBS AUG 2026")</f>
        <v>HBBS AUG 2026</v>
      </c>
      <c r="Y104" s="1" t="str">
        <f>IFERROR(__xludf.DUMMYFUNCTION("""COMPUTED_VALUE"""),"RS_ONL_CVEU_2026")</f>
        <v>RS_ONL_CVEU_2026</v>
      </c>
      <c r="Z104" s="1" t="str">
        <f>IFERROR(__xludf.DUMMYFUNCTION("""COMPUTED_VALUE"""),"NEW CONNECT")</f>
        <v>NEW CONNECT</v>
      </c>
      <c r="AA104" s="1">
        <f>IFERROR(__xludf.DUMMYFUNCTION("""COMPUTED_VALUE"""),639206762442)</f>
        <v>639206762442</v>
      </c>
      <c r="AB104" s="1"/>
      <c r="AC104" s="1"/>
      <c r="AD104" s="1" t="str">
        <f>IFERROR(__xludf.DUMMYFUNCTION("""COMPUTED_VALUE"""),"PHASE 1")</f>
        <v>PHASE 1</v>
      </c>
      <c r="AE104" s="1" t="str">
        <f>IFERROR(__xludf.DUMMYFUNCTION("""COMPUTED_VALUE"""),"MABUHAY CITY")</f>
        <v>MABUHAY CITY</v>
      </c>
      <c r="AF104" s="1" t="str">
        <f>IFERROR(__xludf.DUMMYFUNCTION("""COMPUTED_VALUE"""),"BGY PALIPARAN 3")</f>
        <v>BGY PALIPARAN 3</v>
      </c>
      <c r="AG104" s="1" t="str">
        <f>IFERROR(__xludf.DUMMYFUNCTION("""COMPUTED_VALUE"""),"DASMARINAS")</f>
        <v>DASMARINAS</v>
      </c>
      <c r="AH104" s="1" t="str">
        <f>IFERROR(__xludf.DUMMYFUNCTION("""COMPUTED_VALUE"""),"INFRONT OF ELEMENTARY SCHOOL")</f>
        <v>INFRONT OF ELEMENTARY SCHOOL</v>
      </c>
      <c r="AI104" s="1" t="str">
        <f>IFERROR(__xludf.DUMMYFUNCTION("""COMPUTED_VALUE"""),"NOT AOR")</f>
        <v>NOT AOR</v>
      </c>
    </row>
    <row r="105" customHeight="1" spans="1:35">
      <c r="A105" s="3">
        <f>IFERROR(__xludf.DUMMYFUNCTION("""COMPUTED_VALUE"""),46245)</f>
        <v>46245</v>
      </c>
      <c r="B105" s="1" t="str">
        <f>IFERROR(__xludf.DUMMYFUNCTION("""COMPUTED_VALUE"""),"SAMANTHA KIM ANDOR MALIG")</f>
        <v>SAMANTHA KIM ANDOR MALIG</v>
      </c>
      <c r="C105" s="1">
        <f>IFERROR(__xludf.DUMMYFUNCTION("""COMPUTED_VALUE"""),2311698810)</f>
        <v>2311698810</v>
      </c>
      <c r="D105" s="1">
        <f>IFERROR(__xludf.DUMMYFUNCTION("""COMPUTED_VALUE"""),406678466)</f>
        <v>406678466</v>
      </c>
      <c r="E105" s="1">
        <f>IFERROR(__xludf.DUMMYFUNCTION("""COMPUTED_VALUE"""),466044765004)</f>
        <v>466044765004</v>
      </c>
      <c r="F105" s="1" t="str">
        <f>IFERROR(__xludf.DUMMYFUNCTION("""COMPUTED_VALUE"""),"CLOSED")</f>
        <v>CLOSED</v>
      </c>
      <c r="G105" s="1" t="str">
        <f>IFERROR(__xludf.DUMMYFUNCTION("""COMPUTED_VALUE"""),"CLOSED")</f>
        <v>CLOSED</v>
      </c>
      <c r="H105" s="1" t="str">
        <f>IFERROR(__xludf.DUMMYFUNCTION("""COMPUTED_VALUE"""),"PAID VIA GCASH REF 981673049 AUG 12")</f>
        <v>PAID VIA GCASH REF 981673049 AUG 12</v>
      </c>
      <c r="I105" s="1" t="str">
        <f>IFERROR(__xludf.DUMMYFUNCTION("""COMPUTED_VALUE"""),"WITH 1 AMSF")</f>
        <v>WITH 1 AMSF</v>
      </c>
      <c r="J105" s="1"/>
      <c r="K105" s="1" t="str">
        <f>IFERROR(__xludf.DUMMYFUNCTION("""COMPUTED_VALUE"""),"COMPLETED")</f>
        <v>COMPLETED</v>
      </c>
      <c r="L105" s="1" t="str">
        <f>IFERROR(__xludf.DUMMYFUNCTION("""COMPUTED_VALUE"""),"POSTED")</f>
        <v>POSTED</v>
      </c>
      <c r="M105" s="1" t="str">
        <f>IFERROR(__xludf.DUMMYFUNCTION("""COMPUTED_VALUE"""),"POSTED")</f>
        <v>POSTED</v>
      </c>
      <c r="N105" s="3">
        <f>IFERROR(__xludf.DUMMYFUNCTION("""COMPUTED_VALUE"""),46246)</f>
        <v>46246</v>
      </c>
      <c r="O105" s="1" t="str">
        <f>IFERROR(__xludf.DUMMYFUNCTION("""COMPUTED_VALUE"""),"FIBR PLAN 1299")</f>
        <v>FIBR PLAN 1299</v>
      </c>
      <c r="P105" s="1" t="str">
        <f>IFERROR(__xludf.DUMMYFUNCTION("""COMPUTED_VALUE"""),"LOWPLAN")</f>
        <v>LOWPLAN</v>
      </c>
      <c r="Q105" s="1" t="str">
        <f>IFERROR(__xludf.DUMMYFUNCTION("""COMPUTED_VALUE"""),"P407050")</f>
        <v>P407050</v>
      </c>
      <c r="R105" s="1" t="str">
        <f>IFERROR(__xludf.DUMMYFUNCTION("""COMPUTED_VALUE"""),"ARENA, LYKA")</f>
        <v>ARENA, LYKA</v>
      </c>
      <c r="S105" s="1" t="str">
        <f>IFERROR(__xludf.DUMMYFUNCTION("""COMPUTED_VALUE"""),"ORGANIC")</f>
        <v>ORGANIC</v>
      </c>
      <c r="T105" s="1" t="str">
        <f>IFERROR(__xludf.DUMMYFUNCTION("""COMPUTED_VALUE"""),"LEA REMOLLO")</f>
        <v>LEA REMOLLO</v>
      </c>
      <c r="U105" s="1" t="str">
        <f>IFERROR(__xludf.DUMMYFUNCTION("""COMPUTED_VALUE"""),"JB SALIOA")</f>
        <v>JB SALIOA</v>
      </c>
      <c r="V105" s="1" t="str">
        <f>IFERROR(__xludf.DUMMYFUNCTION("""COMPUTED_VALUE"""),"BK REGULAR")</f>
        <v>BK REGULAR</v>
      </c>
      <c r="W105" s="1" t="str">
        <f>IFERROR(__xludf.DUMMYFUNCTION("""COMPUTED_VALUE"""),"STK REGULAR")</f>
        <v>STK REGULAR</v>
      </c>
      <c r="X105" s="1" t="str">
        <f>IFERROR(__xludf.DUMMYFUNCTION("""COMPUTED_VALUE"""),"HBBS AUG 2026")</f>
        <v>HBBS AUG 2026</v>
      </c>
      <c r="Y105" s="1" t="str">
        <f>IFERROR(__xludf.DUMMYFUNCTION("""COMPUTED_VALUE"""),"BK_CVEU_260804")</f>
        <v>BK_CVEU_260804</v>
      </c>
      <c r="Z105" s="1" t="str">
        <f>IFERROR(__xludf.DUMMYFUNCTION("""COMPUTED_VALUE"""),"NEW CONNECT")</f>
        <v>NEW CONNECT</v>
      </c>
      <c r="AA105" s="1">
        <f>IFERROR(__xludf.DUMMYFUNCTION("""COMPUTED_VALUE"""),639484392214)</f>
        <v>639484392214</v>
      </c>
      <c r="AB105" s="1"/>
      <c r="AC105" s="1">
        <f>IFERROR(__xludf.DUMMYFUNCTION("""COMPUTED_VALUE"""),490)</f>
        <v>490</v>
      </c>
      <c r="AD105" s="1" t="str">
        <f>IFERROR(__xludf.DUMMYFUNCTION("""COMPUTED_VALUE"""),"PINK")</f>
        <v>PINK</v>
      </c>
      <c r="AE105" s="1"/>
      <c r="AF105" s="1" t="str">
        <f>IFERROR(__xludf.DUMMYFUNCTION("""COMPUTED_VALUE"""),"BGY SAN JOSE")</f>
        <v>BGY SAN JOSE</v>
      </c>
      <c r="AG105" s="1" t="str">
        <f>IFERROR(__xludf.DUMMYFUNCTION("""COMPUTED_VALUE"""),"GEN MARIANO ALVAREZ")</f>
        <v>GEN MARIANO ALVAREZ</v>
      </c>
      <c r="AH105" s="1" t="str">
        <f>IFERROR(__xludf.DUMMYFUNCTION("""COMPUTED_VALUE"""),"-")</f>
        <v>-</v>
      </c>
      <c r="AI105" s="1" t="str">
        <f>IFERROR(__xludf.DUMMYFUNCTION("""COMPUTED_VALUE"""),"CLUSTER 11")</f>
        <v>CLUSTER 11</v>
      </c>
    </row>
    <row r="106" customHeight="1" spans="1:35">
      <c r="A106" s="3">
        <f>IFERROR(__xludf.DUMMYFUNCTION("""COMPUTED_VALUE"""),46245)</f>
        <v>46245</v>
      </c>
      <c r="B106" s="1" t="str">
        <f>IFERROR(__xludf.DUMMYFUNCTION("""COMPUTED_VALUE"""),"RAMNE LUIZE CHARLEMAGNE COPINO ANCAYAN")</f>
        <v>RAMNE LUIZE CHARLEMAGNE COPINO ANCAYAN</v>
      </c>
      <c r="C106" s="1">
        <f>IFERROR(__xludf.DUMMYFUNCTION("""COMPUTED_VALUE"""),2311701827)</f>
        <v>2311701827</v>
      </c>
      <c r="D106" s="1">
        <f>IFERROR(__xludf.DUMMYFUNCTION("""COMPUTED_VALUE"""),406683575)</f>
        <v>406683575</v>
      </c>
      <c r="E106" s="1">
        <f>IFERROR(__xludf.DUMMYFUNCTION("""COMPUTED_VALUE"""),466048371004)</f>
        <v>466048371004</v>
      </c>
      <c r="F106" s="1" t="str">
        <f>IFERROR(__xludf.DUMMYFUNCTION("""COMPUTED_VALUE"""),"CLOSED")</f>
        <v>CLOSED</v>
      </c>
      <c r="G106" s="1" t="str">
        <f>IFERROR(__xludf.DUMMYFUNCTION("""COMPUTED_VALUE"""),"CLOSED")</f>
        <v>CLOSED</v>
      </c>
      <c r="H106" s="1" t="str">
        <f>IFERROR(__xludf.DUMMYFUNCTION("""COMPUTED_VALUE"""),"PQGOR363187268	06-Sep-26	Regular Payment	PLDT Pay Express-Web-App credit	1,113.45	0	06-Sep-26")</f>
        <v>PQGOR363187268	06-Sep-26	Regular Payment	PLDT Pay Express-Web-App credit	1,113.45	0	06-Sep-26</v>
      </c>
      <c r="I106" s="1" t="str">
        <f>IFERROR(__xludf.DUMMYFUNCTION("""COMPUTED_VALUE"""),"WITH 1 AMSF")</f>
        <v>WITH 1 AMSF</v>
      </c>
      <c r="J106" s="1"/>
      <c r="K106" s="1" t="str">
        <f>IFERROR(__xludf.DUMMYFUNCTION("""COMPUTED_VALUE"""),"COMPLETED")</f>
        <v>COMPLETED</v>
      </c>
      <c r="L106" s="1" t="str">
        <f>IFERROR(__xludf.DUMMYFUNCTION("""COMPUTED_VALUE"""),"POSTED")</f>
        <v>POSTED</v>
      </c>
      <c r="M106" s="1" t="str">
        <f>IFERROR(__xludf.DUMMYFUNCTION("""COMPUTED_VALUE"""),"POSTED")</f>
        <v>POSTED</v>
      </c>
      <c r="N106" s="3">
        <f>IFERROR(__xludf.DUMMYFUNCTION("""COMPUTED_VALUE"""),46247)</f>
        <v>46247</v>
      </c>
      <c r="O106" s="1" t="str">
        <f>IFERROR(__xludf.DUMMYFUNCTION("""COMPUTED_VALUE"""),"FIBR UNLI ALL PLAN 999")</f>
        <v>FIBR UNLI ALL PLAN 999</v>
      </c>
      <c r="P106" s="1" t="str">
        <f>IFERROR(__xludf.DUMMYFUNCTION("""COMPUTED_VALUE"""),"LOWPLAN")</f>
        <v>LOWPLAN</v>
      </c>
      <c r="Q106" s="1" t="str">
        <f>IFERROR(__xludf.DUMMYFUNCTION("""COMPUTED_VALUE"""),"P407044")</f>
        <v>P407044</v>
      </c>
      <c r="R106" s="1" t="str">
        <f>IFERROR(__xludf.DUMMYFUNCTION("""COMPUTED_VALUE"""),"OPS")</f>
        <v>OPS</v>
      </c>
      <c r="S106" s="1" t="str">
        <f>IFERROR(__xludf.DUMMYFUNCTION("""COMPUTED_VALUE"""),"FLA")</f>
        <v>FLA</v>
      </c>
      <c r="T106" s="1" t="str">
        <f>IFERROR(__xludf.DUMMYFUNCTION("""COMPUTED_VALUE"""),"JERIC NAVARRO")</f>
        <v>JERIC NAVARRO</v>
      </c>
      <c r="U106" s="1" t="str">
        <f>IFERROR(__xludf.DUMMYFUNCTION("""COMPUTED_VALUE"""),"JB SALIOA")</f>
        <v>JB SALIOA</v>
      </c>
      <c r="V106" s="1" t="str">
        <f>IFERROR(__xludf.DUMMYFUNCTION("""COMPUTED_VALUE"""),"BK REGULAR")</f>
        <v>BK REGULAR</v>
      </c>
      <c r="W106" s="1" t="str">
        <f>IFERROR(__xludf.DUMMYFUNCTION("""COMPUTED_VALUE"""),"STK REGULAR")</f>
        <v>STK REGULAR</v>
      </c>
      <c r="X106" s="1" t="str">
        <f>IFERROR(__xludf.DUMMYFUNCTION("""COMPUTED_VALUE"""),"HBBS AUG 2026")</f>
        <v>HBBS AUG 2026</v>
      </c>
      <c r="Y106" s="1" t="str">
        <f>IFERROR(__xludf.DUMMYFUNCTION("""COMPUTED_VALUE"""),"BK_CVEU_260806")</f>
        <v>BK_CVEU_260806</v>
      </c>
      <c r="Z106" s="1" t="str">
        <f>IFERROR(__xludf.DUMMYFUNCTION("""COMPUTED_VALUE"""),"NEW CONNECT")</f>
        <v>NEW CONNECT</v>
      </c>
      <c r="AA106" s="1">
        <f>IFERROR(__xludf.DUMMYFUNCTION("""COMPUTED_VALUE"""),639085246593)</f>
        <v>639085246593</v>
      </c>
      <c r="AB106" s="1"/>
      <c r="AC106" s="1"/>
      <c r="AD106" s="1" t="str">
        <f>IFERROR(__xludf.DUMMYFUNCTION("""COMPUTED_VALUE"""),"PUROK 1C")</f>
        <v>PUROK 1C</v>
      </c>
      <c r="AE106" s="1" t="str">
        <f>IFERROR(__xludf.DUMMYFUNCTION("""COMPUTED_VALUE"""),"TAPIA BLDG")</f>
        <v>TAPIA BLDG</v>
      </c>
      <c r="AF106" s="1" t="str">
        <f>IFERROR(__xludf.DUMMYFUNCTION("""COMPUTED_VALUE"""),"BGY PUTING KAHOY")</f>
        <v>BGY PUTING KAHOY</v>
      </c>
      <c r="AG106" s="1" t="str">
        <f>IFERROR(__xludf.DUMMYFUNCTION("""COMPUTED_VALUE"""),"SILANG")</f>
        <v>SILANG</v>
      </c>
      <c r="AH106" s="1" t="str">
        <f>IFERROR(__xludf.DUMMYFUNCTION("""COMPUTED_VALUE"""),"TRI-CM INDUSTRIAL SUPPLIES AND SERVICES")</f>
        <v>TRI-CM INDUSTRIAL SUPPLIES AND SERVICES</v>
      </c>
      <c r="AI106" s="1" t="str">
        <f>IFERROR(__xludf.DUMMYFUNCTION("""COMPUTED_VALUE"""),"CLUSTER 11")</f>
        <v>CLUSTER 11</v>
      </c>
    </row>
    <row r="107" customHeight="1" spans="1:35">
      <c r="A107" s="3">
        <f>IFERROR(__xludf.DUMMYFUNCTION("""COMPUTED_VALUE"""),46245)</f>
        <v>46245</v>
      </c>
      <c r="B107" s="1" t="str">
        <f>IFERROR(__xludf.DUMMYFUNCTION("""COMPUTED_VALUE"""),"MA. CRISTINA UMALI GUAPO")</f>
        <v>MA. CRISTINA UMALI GUAPO</v>
      </c>
      <c r="C107" s="1">
        <f>IFERROR(__xludf.DUMMYFUNCTION("""COMPUTED_VALUE"""),2311702351)</f>
        <v>2311702351</v>
      </c>
      <c r="D107" s="1">
        <f>IFERROR(__xludf.DUMMYFUNCTION("""COMPUTED_VALUE"""),406704033)</f>
        <v>406704033</v>
      </c>
      <c r="E107" s="1">
        <f>IFERROR(__xludf.DUMMYFUNCTION("""COMPUTED_VALUE"""),466074034004)</f>
        <v>466074034004</v>
      </c>
      <c r="F107" s="1" t="str">
        <f>IFERROR(__xludf.DUMMYFUNCTION("""COMPUTED_VALUE"""),"CLOSED")</f>
        <v>CLOSED</v>
      </c>
      <c r="G107" s="1" t="str">
        <f>IFERROR(__xludf.DUMMYFUNCTION("""COMPUTED_VALUE"""),"CLOSED")</f>
        <v>CLOSED</v>
      </c>
      <c r="H107" s="1" t="str">
        <f>IFERROR(__xludf.DUMMYFUNCTION("""COMPUTED_VALUE"""),"PAID VIA GCASH REF 779152736 AUGUST 12")</f>
        <v>PAID VIA GCASH REF 779152736 AUGUST 12</v>
      </c>
      <c r="I107" s="1" t="str">
        <f>IFERROR(__xludf.DUMMYFUNCTION("""COMPUTED_VALUE"""),"WITH 1 AMSF")</f>
        <v>WITH 1 AMSF</v>
      </c>
      <c r="J107" s="1"/>
      <c r="K107" s="1" t="str">
        <f>IFERROR(__xludf.DUMMYFUNCTION("""COMPUTED_VALUE"""),"COMPLETED")</f>
        <v>COMPLETED</v>
      </c>
      <c r="L107" s="1" t="str">
        <f>IFERROR(__xludf.DUMMYFUNCTION("""COMPUTED_VALUE"""),"poSTED")</f>
        <v>poSTED</v>
      </c>
      <c r="M107" s="1" t="str">
        <f>IFERROR(__xludf.DUMMYFUNCTION("""COMPUTED_VALUE"""),"POSTED")</f>
        <v>POSTED</v>
      </c>
      <c r="N107" s="3">
        <f>IFERROR(__xludf.DUMMYFUNCTION("""COMPUTED_VALUE"""),46246)</f>
        <v>46246</v>
      </c>
      <c r="O107" s="1" t="str">
        <f>IFERROR(__xludf.DUMMYFUNCTION("""COMPUTED_VALUE"""),"FIBR UNLI ALL PLAN 999")</f>
        <v>FIBR UNLI ALL PLAN 999</v>
      </c>
      <c r="P107" s="1" t="str">
        <f>IFERROR(__xludf.DUMMYFUNCTION("""COMPUTED_VALUE"""),"LOWPLAN")</f>
        <v>LOWPLAN</v>
      </c>
      <c r="Q107" s="1" t="str">
        <f>IFERROR(__xludf.DUMMYFUNCTION("""COMPUTED_VALUE"""),"P407044")</f>
        <v>P407044</v>
      </c>
      <c r="R107" s="1" t="str">
        <f>IFERROR(__xludf.DUMMYFUNCTION("""COMPUTED_VALUE"""),"AYON, MANUEL")</f>
        <v>AYON, MANUEL</v>
      </c>
      <c r="S107" s="1" t="str">
        <f>IFERROR(__xludf.DUMMYFUNCTION("""COMPUTED_VALUE"""),"FLA")</f>
        <v>FLA</v>
      </c>
      <c r="T107" s="1" t="str">
        <f>IFERROR(__xludf.DUMMYFUNCTION("""COMPUTED_VALUE"""),"JERIC NAVARRO")</f>
        <v>JERIC NAVARRO</v>
      </c>
      <c r="U107" s="1" t="str">
        <f>IFERROR(__xludf.DUMMYFUNCTION("""COMPUTED_VALUE"""),"JB SALIOA")</f>
        <v>JB SALIOA</v>
      </c>
      <c r="V107" s="1" t="str">
        <f>IFERROR(__xludf.DUMMYFUNCTION("""COMPUTED_VALUE"""),"BK REGULAR")</f>
        <v>BK REGULAR</v>
      </c>
      <c r="W107" s="1" t="str">
        <f>IFERROR(__xludf.DUMMYFUNCTION("""COMPUTED_VALUE"""),"STK REGULAR")</f>
        <v>STK REGULAR</v>
      </c>
      <c r="X107" s="1" t="str">
        <f>IFERROR(__xludf.DUMMYFUNCTION("""COMPUTED_VALUE"""),"HBBS AUG 2026")</f>
        <v>HBBS AUG 2026</v>
      </c>
      <c r="Y107" s="1" t="str">
        <f>IFERROR(__xludf.DUMMYFUNCTION("""COMPUTED_VALUE"""),"BK_CVEU_260802")</f>
        <v>BK_CVEU_260802</v>
      </c>
      <c r="Z107" s="1" t="str">
        <f>IFERROR(__xludf.DUMMYFUNCTION("""COMPUTED_VALUE"""),"NEW CONNECT")</f>
        <v>NEW CONNECT</v>
      </c>
      <c r="AA107" s="1">
        <f>IFERROR(__xludf.DUMMYFUNCTION("""COMPUTED_VALUE"""),639491310218)</f>
        <v>639491310218</v>
      </c>
      <c r="AB107" s="1">
        <f>IFERROR(__xludf.DUMMYFUNCTION("""COMPUTED_VALUE"""),639184761347)</f>
        <v>639184761347</v>
      </c>
      <c r="AC107" s="1">
        <f>IFERROR(__xludf.DUMMYFUNCTION("""COMPUTED_VALUE"""),2756)</f>
        <v>2756</v>
      </c>
      <c r="AD107" s="1" t="str">
        <f>IFERROR(__xludf.DUMMYFUNCTION("""COMPUTED_VALUE"""),"PUROK 5")</f>
        <v>PUROK 5</v>
      </c>
      <c r="AE107" s="1"/>
      <c r="AF107" s="1" t="str">
        <f>IFERROR(__xludf.DUMMYFUNCTION("""COMPUTED_VALUE"""),"BGY BUCAL")</f>
        <v>BGY BUCAL</v>
      </c>
      <c r="AG107" s="1" t="str">
        <f>IFERROR(__xludf.DUMMYFUNCTION("""COMPUTED_VALUE"""),"AMADEO")</f>
        <v>AMADEO</v>
      </c>
      <c r="AH107" s="1" t="str">
        <f>IFERROR(__xludf.DUMMYFUNCTION("""COMPUTED_VALUE"""),"-")</f>
        <v>-</v>
      </c>
      <c r="AI107" s="1" t="str">
        <f>IFERROR(__xludf.DUMMYFUNCTION("""COMPUTED_VALUE"""),"CLUSTER 12")</f>
        <v>CLUSTER 12</v>
      </c>
    </row>
    <row r="108" customHeight="1" spans="1:35">
      <c r="A108" s="3">
        <f>IFERROR(__xludf.DUMMYFUNCTION("""COMPUTED_VALUE"""),46245)</f>
        <v>46245</v>
      </c>
      <c r="B108" s="1" t="str">
        <f>IFERROR(__xludf.DUMMYFUNCTION("""COMPUTED_VALUE"""),"MIKAELA RECANA RENZARES")</f>
        <v>MIKAELA RECANA RENZARES</v>
      </c>
      <c r="C108" s="1">
        <f>IFERROR(__xludf.DUMMYFUNCTION("""COMPUTED_VALUE"""),2311702725)</f>
        <v>2311702725</v>
      </c>
      <c r="D108" s="1">
        <f>IFERROR(__xludf.DUMMYFUNCTION("""COMPUTED_VALUE"""),406686159)</f>
        <v>406686159</v>
      </c>
      <c r="E108" s="1">
        <f>IFERROR(__xludf.DUMMYFUNCTION("""COMPUTED_VALUE"""),466049649004)</f>
        <v>466049649004</v>
      </c>
      <c r="F108" s="1" t="str">
        <f>IFERROR(__xludf.DUMMYFUNCTION("""COMPUTED_VALUE"""),"CANCELLED")</f>
        <v>CANCELLED</v>
      </c>
      <c r="G108" s="1" t="str">
        <f>IFERROR(__xludf.DUMMYFUNCTION("""COMPUTED_VALUE"""),"RPR VISITED  CALL THRU REMARKS NO FIBER FACILITIES AVAILABLE SA AREA NILA SUBS SUBS ALREADY ADVISE")</f>
        <v>RPR VISITED  CALL THRU REMARKS NO FIBER FACILITIES AVAILABLE SA AREA NILA SUBS SUBS ALREADY ADVISE</v>
      </c>
      <c r="H108" s="1"/>
      <c r="I108" s="1" t="str">
        <f>IFERROR(__xludf.DUMMYFUNCTION("""COMPUTED_VALUE"""),"NO 1 AMSF")</f>
        <v>NO 1 AMSF</v>
      </c>
      <c r="J108" s="1"/>
      <c r="K108" s="1" t="str">
        <f>IFERROR(__xludf.DUMMYFUNCTION("""COMPUTED_VALUE"""),"CANCELED")</f>
        <v>CANCELED</v>
      </c>
      <c r="L108" s="1" t="str">
        <f>IFERROR(__xludf.DUMMYFUNCTION("""COMPUTED_VALUE"""),"RPR - NAP FULL")</f>
        <v>RPR - NAP FULL</v>
      </c>
      <c r="M108" s="1" t="str">
        <f>IFERROR(__xludf.DUMMYFUNCTION("""COMPUTED_VALUE"""),"RPR- NAP FULL")</f>
        <v>RPR- NAP FULL</v>
      </c>
      <c r="N108" s="3"/>
      <c r="O108" s="1" t="str">
        <f>IFERROR(__xludf.DUMMYFUNCTION("""COMPUTED_VALUE"""),"FIBER UNLI ALL PLAN 1499")</f>
        <v>FIBER UNLI ALL PLAN 1499</v>
      </c>
      <c r="P108" s="1" t="str">
        <f>IFERROR(__xludf.DUMMYFUNCTION("""COMPUTED_VALUE"""),"LOWPLAN")</f>
        <v>LOWPLAN</v>
      </c>
      <c r="Q108" s="1" t="str">
        <f>IFERROR(__xludf.DUMMYFUNCTION("""COMPUTED_VALUE"""),"P407050")</f>
        <v>P407050</v>
      </c>
      <c r="R108" s="1" t="str">
        <f>IFERROR(__xludf.DUMMYFUNCTION("""COMPUTED_VALUE"""),"CADERAO, RONALD")</f>
        <v>CADERAO, RONALD</v>
      </c>
      <c r="S108" s="1" t="str">
        <f>IFERROR(__xludf.DUMMYFUNCTION("""COMPUTED_VALUE"""),"ORGANIC")</f>
        <v>ORGANIC</v>
      </c>
      <c r="T108" s="1" t="str">
        <f>IFERROR(__xludf.DUMMYFUNCTION("""COMPUTED_VALUE"""),"LEA REMOLLO")</f>
        <v>LEA REMOLLO</v>
      </c>
      <c r="U108" s="1" t="str">
        <f>IFERROR(__xludf.DUMMYFUNCTION("""COMPUTED_VALUE"""),"JB SALIOA")</f>
        <v>JB SALIOA</v>
      </c>
      <c r="V108" s="1" t="str">
        <f>IFERROR(__xludf.DUMMYFUNCTION("""COMPUTED_VALUE"""),"BK HSTK")</f>
        <v>BK HSTK</v>
      </c>
      <c r="W108" s="1" t="str">
        <f>IFERROR(__xludf.DUMMYFUNCTION("""COMPUTED_VALUE"""),"BK HSTK")</f>
        <v>BK HSTK</v>
      </c>
      <c r="X108" s="1" t="str">
        <f>IFERROR(__xludf.DUMMYFUNCTION("""COMPUTED_VALUE"""),"HBBS AUG 2026")</f>
        <v>HBBS AUG 2026</v>
      </c>
      <c r="Y108" s="1" t="str">
        <f>IFERROR(__xludf.DUMMYFUNCTION("""COMPUTED_VALUE"""),"BK_CVEU_260805")</f>
        <v>BK_CVEU_260805</v>
      </c>
      <c r="Z108" s="1" t="str">
        <f>IFERROR(__xludf.DUMMYFUNCTION("""COMPUTED_VALUE"""),"NEW CONNECT")</f>
        <v>NEW CONNECT</v>
      </c>
      <c r="AA108" s="1">
        <f>IFERROR(__xludf.DUMMYFUNCTION("""COMPUTED_VALUE"""),639943489571)</f>
        <v>639943489571</v>
      </c>
      <c r="AB108" s="1">
        <f>IFERROR(__xludf.DUMMYFUNCTION("""COMPUTED_VALUE"""),639127586214)</f>
        <v>639127586214</v>
      </c>
      <c r="AC108" s="1">
        <f>IFERROR(__xludf.DUMMYFUNCTION("""COMPUTED_VALUE"""),458)</f>
        <v>458</v>
      </c>
      <c r="AD108" s="1" t="str">
        <f>IFERROR(__xludf.DUMMYFUNCTION("""COMPUTED_VALUE"""),"MAYSILI")</f>
        <v>MAYSILI</v>
      </c>
      <c r="AE108" s="1"/>
      <c r="AF108" s="1" t="str">
        <f>IFERROR(__xludf.DUMMYFUNCTION("""COMPUTED_VALUE"""),"BGY ASIS 3")</f>
        <v>BGY ASIS 3</v>
      </c>
      <c r="AG108" s="1" t="str">
        <f>IFERROR(__xludf.DUMMYFUNCTION("""COMPUTED_VALUE"""),"MENDEZ")</f>
        <v>MENDEZ</v>
      </c>
      <c r="AH108" s="1" t="str">
        <f>IFERROR(__xludf.DUMMYFUNCTION("""COMPUTED_VALUE"""),"RESORT")</f>
        <v>RESORT</v>
      </c>
      <c r="AI108" s="1" t="str">
        <f>IFERROR(__xludf.DUMMYFUNCTION("""COMPUTED_VALUE"""),"CLUSTER 12")</f>
        <v>CLUSTER 12</v>
      </c>
    </row>
    <row r="109" customHeight="1" spans="1:35">
      <c r="A109" s="3">
        <f>IFERROR(__xludf.DUMMYFUNCTION("""COMPUTED_VALUE"""),46245)</f>
        <v>46245</v>
      </c>
      <c r="B109" s="1" t="str">
        <f>IFERROR(__xludf.DUMMYFUNCTION("""COMPUTED_VALUE"""),"ALVIN IGUAL NAVARETTE")</f>
        <v>ALVIN IGUAL NAVARETTE</v>
      </c>
      <c r="C109" s="1">
        <f>IFERROR(__xludf.DUMMYFUNCTION("""COMPUTED_VALUE"""),2311705456)</f>
        <v>2311705456</v>
      </c>
      <c r="D109" s="1"/>
      <c r="E109" s="1"/>
      <c r="F109" s="1" t="str">
        <f>IFERROR(__xludf.DUMMYFUNCTION("""COMPUTED_VALUE"""),"CANCELLED")</f>
        <v>CANCELLED</v>
      </c>
      <c r="G109" s="1" t="str">
        <f>IFERROR(__xludf.DUMMYFUNCTION("""COMPUTED_VALUE"""),"(OTHERS) RTS | COMPLETE DOCS| DONE VALIDATION | CORRECT ENCODED INFO IN CSP | TU SCORING - FF - 1 (NTC) | WITH 1 AMSF REQUIREMENT | WITH BL ACC IN SAME NAME DIFF ADD- 0380215144 WITH OB:4,785.72 FOR SETTLEMENT | CLEARED FROM CANCELLED/PENDING OR ACTIVE AC"&amp;"COUNT")</f>
        <v>(OTHERS) RTS | COMPLETE DOCS| DONE VALIDATION | CORRECT ENCODED INFO IN CSP | TU SCORING - FF - 1 (NTC) | WITH 1 AMSF REQUIREMENT | WITH BL ACC IN SAME NAME DIFF ADD- 0380215144 WITH OB:4,785.72 FOR SETTLEMENT | CLEARED FROM CANCELLED/PENDING OR ACTIVE ACCOUNT</v>
      </c>
      <c r="H109" s="1"/>
      <c r="I109" s="1"/>
      <c r="J109" s="1"/>
      <c r="K109" s="1"/>
      <c r="L109" s="1" t="str">
        <f>IFERROR(__xludf.DUMMYFUNCTION("""COMPUTED_VALUE"""),"CANCELLED - WITH OB")</f>
        <v>CANCELLED - WITH OB</v>
      </c>
      <c r="M109" s="1" t="str">
        <f>IFERROR(__xludf.DUMMYFUNCTION("""COMPUTED_VALUE"""),"CANCELLED - WITH OB")</f>
        <v>CANCELLED - WITH OB</v>
      </c>
      <c r="N109" s="3"/>
      <c r="O109" s="1" t="str">
        <f>IFERROR(__xludf.DUMMYFUNCTION("""COMPUTED_VALUE"""),"FIBR PLAN 1299")</f>
        <v>FIBR PLAN 1299</v>
      </c>
      <c r="P109" s="1" t="str">
        <f>IFERROR(__xludf.DUMMYFUNCTION("""COMPUTED_VALUE"""),"LOWPLAN")</f>
        <v>LOWPLAN</v>
      </c>
      <c r="Q109" s="1" t="str">
        <f>IFERROR(__xludf.DUMMYFUNCTION("""COMPUTED_VALUE"""),"P407044")</f>
        <v>P407044</v>
      </c>
      <c r="R109" s="1" t="str">
        <f>IFERROR(__xludf.DUMMYFUNCTION("""COMPUTED_VALUE"""),"AYON, MANUEL")</f>
        <v>AYON, MANUEL</v>
      </c>
      <c r="S109" s="1" t="str">
        <f>IFERROR(__xludf.DUMMYFUNCTION("""COMPUTED_VALUE"""),"FLA")</f>
        <v>FLA</v>
      </c>
      <c r="T109" s="1" t="str">
        <f>IFERROR(__xludf.DUMMYFUNCTION("""COMPUTED_VALUE"""),"JERIC NAVARRO")</f>
        <v>JERIC NAVARRO</v>
      </c>
      <c r="U109" s="1" t="str">
        <f>IFERROR(__xludf.DUMMYFUNCTION("""COMPUTED_VALUE"""),"JB SALIOA")</f>
        <v>JB SALIOA</v>
      </c>
      <c r="V109" s="1" t="str">
        <f>IFERROR(__xludf.DUMMYFUNCTION("""COMPUTED_VALUE"""),"BK REGULAR")</f>
        <v>BK REGULAR</v>
      </c>
      <c r="W109" s="1" t="str">
        <f>IFERROR(__xludf.DUMMYFUNCTION("""COMPUTED_VALUE"""),"STK REGULAR")</f>
        <v>STK REGULAR</v>
      </c>
      <c r="X109" s="1" t="str">
        <f>IFERROR(__xludf.DUMMYFUNCTION("""COMPUTED_VALUE"""),"HBBS AUG 2026")</f>
        <v>HBBS AUG 2026</v>
      </c>
      <c r="Y109" s="1" t="str">
        <f>IFERROR(__xludf.DUMMYFUNCTION("""COMPUTED_VALUE"""),"BK_CVEU_260805")</f>
        <v>BK_CVEU_260805</v>
      </c>
      <c r="Z109" s="1" t="str">
        <f>IFERROR(__xludf.DUMMYFUNCTION("""COMPUTED_VALUE"""),"NEW CONNECT")</f>
        <v>NEW CONNECT</v>
      </c>
      <c r="AA109" s="1">
        <f>IFERROR(__xludf.DUMMYFUNCTION("""COMPUTED_VALUE"""),639278695427)</f>
        <v>639278695427</v>
      </c>
      <c r="AB109" s="1"/>
      <c r="AC109" s="1">
        <f>IFERROR(__xludf.DUMMYFUNCTION("""COMPUTED_VALUE"""),9122)</f>
        <v>9122</v>
      </c>
      <c r="AD109" s="1" t="str">
        <f>IFERROR(__xludf.DUMMYFUNCTION("""COMPUTED_VALUE"""),"PATINDIG ARAW")</f>
        <v>PATINDIG ARAW</v>
      </c>
      <c r="AE109" s="1"/>
      <c r="AF109" s="1" t="str">
        <f>IFERROR(__xludf.DUMMYFUNCTION("""COMPUTED_VALUE"""),"BGY MILAGROSA")</f>
        <v>BGY MILAGROSA</v>
      </c>
      <c r="AG109" s="1" t="str">
        <f>IFERROR(__xludf.DUMMYFUNCTION("""COMPUTED_VALUE"""),"CARMONA")</f>
        <v>CARMONA</v>
      </c>
      <c r="AH109" s="1" t="str">
        <f>IFERROR(__xludf.DUMMYFUNCTION("""COMPUTED_VALUE"""),"PATINDIG ARAW ")</f>
        <v>PATINDIG ARAW </v>
      </c>
      <c r="AI109" s="1" t="str">
        <f>IFERROR(__xludf.DUMMYFUNCTION("""COMPUTED_VALUE"""),"CLUSTER 11")</f>
        <v>CLUSTER 11</v>
      </c>
    </row>
    <row r="110" customHeight="1" spans="1:35">
      <c r="A110" s="3">
        <f>IFERROR(__xludf.DUMMYFUNCTION("""COMPUTED_VALUE"""),46245)</f>
        <v>46245</v>
      </c>
      <c r="B110" s="1" t="str">
        <f>IFERROR(__xludf.DUMMYFUNCTION("""COMPUTED_VALUE"""),"BRYAN PATRICIO SILVA")</f>
        <v>BRYAN PATRICIO SILVA</v>
      </c>
      <c r="C110" s="1">
        <f>IFERROR(__xludf.DUMMYFUNCTION("""COMPUTED_VALUE"""),2311707385)</f>
        <v>2311707385</v>
      </c>
      <c r="D110" s="1">
        <f>IFERROR(__xludf.DUMMYFUNCTION("""COMPUTED_VALUE"""),406739376)</f>
        <v>406739376</v>
      </c>
      <c r="E110" s="1">
        <f>IFERROR(__xludf.DUMMYFUNCTION("""COMPUTED_VALUE"""),466199181004)</f>
        <v>466199181004</v>
      </c>
      <c r="F110" s="1" t="str">
        <f>IFERROR(__xludf.DUMMYFUNCTION("""COMPUTED_VALUE"""),"CLOSED")</f>
        <v>CLOSED</v>
      </c>
      <c r="G110" s="1" t="str">
        <f>IFERROR(__xludf.DUMMYFUNCTION("""COMPUTED_VALUE"""),"CLOSED")</f>
        <v>CLOSED</v>
      </c>
      <c r="H110" s="1"/>
      <c r="I110" s="1" t="str">
        <f>IFERROR(__xludf.DUMMYFUNCTION("""COMPUTED_VALUE"""),"NO 1 AMSF")</f>
        <v>NO 1 AMSF</v>
      </c>
      <c r="J110" s="1" t="str">
        <f>IFERROR(__xludf.DUMMYFUNCTION("""COMPUTED_VALUE"""),"DUE DATE - 11-Sep-26 -2,779.71")</f>
        <v>DUE DATE - 11-Sep-26 -2,779.71</v>
      </c>
      <c r="K110" s="1" t="str">
        <f>IFERROR(__xludf.DUMMYFUNCTION("""COMPUTED_VALUE"""),"COMPLETED")</f>
        <v>COMPLETED</v>
      </c>
      <c r="L110" s="1" t="str">
        <f>IFERROR(__xludf.DUMMYFUNCTION("""COMPUTED_VALUE"""),"POSTED")</f>
        <v>POSTED</v>
      </c>
      <c r="M110" s="1" t="str">
        <f>IFERROR(__xludf.DUMMYFUNCTION("""COMPUTED_VALUE"""),"POSTED")</f>
        <v>POSTED</v>
      </c>
      <c r="N110" s="3">
        <f>IFERROR(__xludf.DUMMYFUNCTION("""COMPUTED_VALUE"""),46249)</f>
        <v>46249</v>
      </c>
      <c r="O110" s="1" t="str">
        <f>IFERROR(__xludf.DUMMYFUNCTION("""COMPUTED_VALUE"""),"FIBR PLAN 1299")</f>
        <v>FIBR PLAN 1299</v>
      </c>
      <c r="P110" s="1" t="str">
        <f>IFERROR(__xludf.DUMMYFUNCTION("""COMPUTED_VALUE"""),"LOWPLAN")</f>
        <v>LOWPLAN</v>
      </c>
      <c r="Q110" s="1" t="str">
        <f>IFERROR(__xludf.DUMMYFUNCTION("""COMPUTED_VALUE"""),"P407046")</f>
        <v>P407046</v>
      </c>
      <c r="R110" s="1" t="str">
        <f>IFERROR(__xludf.DUMMYFUNCTION("""COMPUTED_VALUE"""),"ALINGARO, CINDY")</f>
        <v>ALINGARO, CINDY</v>
      </c>
      <c r="S110" s="1" t="str">
        <f>IFERROR(__xludf.DUMMYFUNCTION("""COMPUTED_VALUE"""),"FLA")</f>
        <v>FLA</v>
      </c>
      <c r="T110" s="1" t="str">
        <f>IFERROR(__xludf.DUMMYFUNCTION("""COMPUTED_VALUE"""),"JERIC NAVARRO")</f>
        <v>JERIC NAVARRO</v>
      </c>
      <c r="U110" s="1" t="str">
        <f>IFERROR(__xludf.DUMMYFUNCTION("""COMPUTED_VALUE"""),"JB SALIOA")</f>
        <v>JB SALIOA</v>
      </c>
      <c r="V110" s="1" t="str">
        <f>IFERROR(__xludf.DUMMYFUNCTION("""COMPUTED_VALUE"""),"BK REGULAR")</f>
        <v>BK REGULAR</v>
      </c>
      <c r="W110" s="1" t="str">
        <f>IFERROR(__xludf.DUMMYFUNCTION("""COMPUTED_VALUE"""),"STK REGULAR")</f>
        <v>STK REGULAR</v>
      </c>
      <c r="X110" s="1" t="str">
        <f>IFERROR(__xludf.DUMMYFUNCTION("""COMPUTED_VALUE"""),"HBBS AUG 2026")</f>
        <v>HBBS AUG 2026</v>
      </c>
      <c r="Y110" s="1" t="str">
        <f>IFERROR(__xludf.DUMMYFUNCTION("""COMPUTED_VALUE"""),"BK_CVEU_260804")</f>
        <v>BK_CVEU_260804</v>
      </c>
      <c r="Z110" s="1" t="str">
        <f>IFERROR(__xludf.DUMMYFUNCTION("""COMPUTED_VALUE"""),"NEW CONNECT")</f>
        <v>NEW CONNECT</v>
      </c>
      <c r="AA110" s="1">
        <f>IFERROR(__xludf.DUMMYFUNCTION("""COMPUTED_VALUE"""),639070372947)</f>
        <v>639070372947</v>
      </c>
      <c r="AB110" s="1">
        <f>IFERROR(__xludf.DUMMYFUNCTION("""COMPUTED_VALUE"""),639709375891)</f>
        <v>639709375891</v>
      </c>
      <c r="AC110" s="1"/>
      <c r="AD110" s="1" t="str">
        <f>IFERROR(__xludf.DUMMYFUNCTION("""COMPUTED_VALUE"""),"P GRANADOS")</f>
        <v>P GRANADOS</v>
      </c>
      <c r="AE110" s="1"/>
      <c r="AF110" s="1" t="str">
        <f>IFERROR(__xludf.DUMMYFUNCTION("""COMPUTED_VALUE"""),"BGY P GRANADOS")</f>
        <v>BGY P GRANADOS</v>
      </c>
      <c r="AG110" s="1" t="str">
        <f>IFERROR(__xludf.DUMMYFUNCTION("""COMPUTED_VALUE"""),"GEN MARIANO ALVAREZ")</f>
        <v>GEN MARIANO ALVAREZ</v>
      </c>
      <c r="AH110" s="1" t="str">
        <f>IFERROR(__xludf.DUMMYFUNCTION("""COMPUTED_VALUE"""),"BRGY GRANADOS")</f>
        <v>BRGY GRANADOS</v>
      </c>
      <c r="AI110" s="1" t="str">
        <f>IFERROR(__xludf.DUMMYFUNCTION("""COMPUTED_VALUE"""),"CLUSTER 11")</f>
        <v>CLUSTER 11</v>
      </c>
    </row>
    <row r="111" customHeight="1" spans="1:35">
      <c r="A111" s="3">
        <f>IFERROR(__xludf.DUMMYFUNCTION("""COMPUTED_VALUE"""),46245)</f>
        <v>46245</v>
      </c>
      <c r="B111" s="1" t="str">
        <f>IFERROR(__xludf.DUMMYFUNCTION("""COMPUTED_VALUE"""),"ELMER HAPA DE GUZMAN")</f>
        <v>ELMER HAPA DE GUZMAN</v>
      </c>
      <c r="C111" s="1">
        <f>IFERROR(__xludf.DUMMYFUNCTION("""COMPUTED_VALUE"""),2311708826)</f>
        <v>2311708826</v>
      </c>
      <c r="D111" s="1"/>
      <c r="E111" s="1"/>
      <c r="F111" s="1" t="str">
        <f>IFERROR(__xludf.DUMMYFUNCTION("""COMPUTED_VALUE"""),"REENCODED")</f>
        <v>REENCODED</v>
      </c>
      <c r="G111" s="1" t="str">
        <f>IFERROR(__xludf.DUMMYFUNCTION("""COMPUTED_VALUE"""),"CANNOT TAG PAYMENT REQUIRED-CANNOT CHANGE PAYMENT REQUIRED|APPROVED | DONE VALIDATION | CORRECT ENCODED INFO IN CSP | VALIDATED COMPLETE DOCS | TU SCORING - GG - 1 (NTC) | WAIVED AMSF | CLEARED FROM BLACKLISTED HIT | NO EXISTING ACTIVE ACC AND OR/PENDING/"&amp;"CANCELLED APPLICATION ")</f>
        <v>CANNOT TAG PAYMENT REQUIRED-CANNOT CHANGE PAYMENT REQUIRED|APPROVED | DONE VALIDATION | CORRECT ENCODED INFO IN CSP | VALIDATED COMPLETE DOCS | TU SCORING - GG - 1 (NTC) | WAIVED AMSF | CLEARED FROM BLACKLISTED HIT | NO EXISTING ACTIVE ACC AND OR/PENDING/CANCELLED APPLICATION </v>
      </c>
      <c r="H111" s="1"/>
      <c r="I111" s="1"/>
      <c r="J111" s="1"/>
      <c r="K111" s="1"/>
      <c r="L111" s="1" t="str">
        <f>IFERROR(__xludf.DUMMYFUNCTION("""COMPUTED_VALUE"""),"REENCODED")</f>
        <v>REENCODED</v>
      </c>
      <c r="M111" s="1" t="str">
        <f>IFERROR(__xludf.DUMMYFUNCTION("""COMPUTED_VALUE"""),"REENCODED")</f>
        <v>REENCODED</v>
      </c>
      <c r="N111" s="3"/>
      <c r="O111" s="1" t="str">
        <f>IFERROR(__xludf.DUMMYFUNCTION("""COMPUTED_VALUE"""),"FIBR UNLI ALL PLAN 999")</f>
        <v>FIBR UNLI ALL PLAN 999</v>
      </c>
      <c r="P111" s="1" t="str">
        <f>IFERROR(__xludf.DUMMYFUNCTION("""COMPUTED_VALUE"""),"LOWPLAN")</f>
        <v>LOWPLAN</v>
      </c>
      <c r="Q111" s="1" t="str">
        <f>IFERROR(__xludf.DUMMYFUNCTION("""COMPUTED_VALUE"""),"P407050")</f>
        <v>P407050</v>
      </c>
      <c r="R111" s="1" t="str">
        <f>IFERROR(__xludf.DUMMYFUNCTION("""COMPUTED_VALUE"""),"MANDUCDOC, MARIANE")</f>
        <v>MANDUCDOC, MARIANE</v>
      </c>
      <c r="S111" s="1" t="str">
        <f>IFERROR(__xludf.DUMMYFUNCTION("""COMPUTED_VALUE"""),"ORGANIC")</f>
        <v>ORGANIC</v>
      </c>
      <c r="T111" s="1" t="str">
        <f>IFERROR(__xludf.DUMMYFUNCTION("""COMPUTED_VALUE"""),"LEA REMOLLO")</f>
        <v>LEA REMOLLO</v>
      </c>
      <c r="U111" s="1" t="str">
        <f>IFERROR(__xludf.DUMMYFUNCTION("""COMPUTED_VALUE"""),"JB SALIOA")</f>
        <v>JB SALIOA</v>
      </c>
      <c r="V111" s="1" t="str">
        <f>IFERROR(__xludf.DUMMYFUNCTION("""COMPUTED_VALUE"""),"BK REGULAR")</f>
        <v>BK REGULAR</v>
      </c>
      <c r="W111" s="1" t="str">
        <f>IFERROR(__xludf.DUMMYFUNCTION("""COMPUTED_VALUE"""),"STK REGULAR")</f>
        <v>STK REGULAR</v>
      </c>
      <c r="X111" s="1" t="str">
        <f>IFERROR(__xludf.DUMMYFUNCTION("""COMPUTED_VALUE"""),"HBBS AUG 2026")</f>
        <v>HBBS AUG 2026</v>
      </c>
      <c r="Y111" s="1" t="str">
        <f>IFERROR(__xludf.DUMMYFUNCTION("""COMPUTED_VALUE"""),"BK_CVEU_260806")</f>
        <v>BK_CVEU_260806</v>
      </c>
      <c r="Z111" s="1" t="str">
        <f>IFERROR(__xludf.DUMMYFUNCTION("""COMPUTED_VALUE"""),"NEW CONNECT")</f>
        <v>NEW CONNECT</v>
      </c>
      <c r="AA111" s="1">
        <f>IFERROR(__xludf.DUMMYFUNCTION("""COMPUTED_VALUE"""),639127573792)</f>
        <v>639127573792</v>
      </c>
      <c r="AB111" s="1">
        <f>IFERROR(__xludf.DUMMYFUNCTION("""COMPUTED_VALUE"""),639634432672)</f>
        <v>639634432672</v>
      </c>
      <c r="AC111" s="1"/>
      <c r="AD111" s="1" t="str">
        <f>IFERROR(__xludf.DUMMYFUNCTION("""COMPUTED_VALUE"""),"BULIHAN")</f>
        <v>BULIHAN</v>
      </c>
      <c r="AE111" s="1"/>
      <c r="AF111" s="1" t="str">
        <f>IFERROR(__xludf.DUMMYFUNCTION("""COMPUTED_VALUE"""),"BGY NARRA 1")</f>
        <v>BGY NARRA 1</v>
      </c>
      <c r="AG111" s="1" t="str">
        <f>IFERROR(__xludf.DUMMYFUNCTION("""COMPUTED_VALUE"""),"SILANG")</f>
        <v>SILANG</v>
      </c>
      <c r="AH111" s="1" t="str">
        <f>IFERROR(__xludf.DUMMYFUNCTION("""COMPUTED_VALUE"""),"-")</f>
        <v>-</v>
      </c>
      <c r="AI111" s="1" t="str">
        <f>IFERROR(__xludf.DUMMYFUNCTION("""COMPUTED_VALUE"""),"CLUSTER 11")</f>
        <v>CLUSTER 11</v>
      </c>
    </row>
    <row r="112" customHeight="1" spans="1:35">
      <c r="A112" s="3">
        <f>IFERROR(__xludf.DUMMYFUNCTION("""COMPUTED_VALUE"""),46246)</f>
        <v>46246</v>
      </c>
      <c r="B112" s="1" t="str">
        <f>IFERROR(__xludf.DUMMYFUNCTION("""COMPUTED_VALUE"""),"NORMA POSO TOLEDO")</f>
        <v>NORMA POSO TOLEDO</v>
      </c>
      <c r="C112" s="1">
        <f>IFERROR(__xludf.DUMMYFUNCTION("""COMPUTED_VALUE"""),2311720877)</f>
        <v>2311720877</v>
      </c>
      <c r="D112" s="1">
        <f>IFERROR(__xludf.DUMMYFUNCTION("""COMPUTED_VALUE"""),406720187)</f>
        <v>406720187</v>
      </c>
      <c r="E112" s="1">
        <f>IFERROR(__xludf.DUMMYFUNCTION("""COMPUTED_VALUE"""),466186766004)</f>
        <v>466186766004</v>
      </c>
      <c r="F112" s="1" t="str">
        <f>IFERROR(__xludf.DUMMYFUNCTION("""COMPUTED_VALUE"""),"CANCELLED")</f>
        <v>CANCELLED</v>
      </c>
      <c r="G112" s="1" t="str">
        <f>IFERROR(__xludf.DUMMYFUNCTION("""COMPUTED_VALUE"""),"RPR VISITED  CALL THRU REMARKS CANCEL APPLICATION AS PER SUBS IPAPADISCONNECT MUNA DAW PO NILA YUNG EXISTING PLDT NILA")</f>
        <v>RPR VISITED  CALL THRU REMARKS CANCEL APPLICATION AS PER SUBS IPAPADISCONNECT MUNA DAW PO NILA YUNG EXISTING PLDT NILA</v>
      </c>
      <c r="H112" s="1" t="str">
        <f>IFERROR(__xludf.DUMMYFUNCTION("""COMPUTED_VALUE"""),"PAID VIA CSP")</f>
        <v>PAID VIA CSP</v>
      </c>
      <c r="I112" s="1" t="str">
        <f>IFERROR(__xludf.DUMMYFUNCTION("""COMPUTED_VALUE"""),"NO 1 AMSF")</f>
        <v>NO 1 AMSF</v>
      </c>
      <c r="J112" s="1"/>
      <c r="K112" s="1" t="str">
        <f>IFERROR(__xludf.DUMMYFUNCTION("""COMPUTED_VALUE"""),"CANCELED")</f>
        <v>CANCELED</v>
      </c>
      <c r="L112" s="1" t="str">
        <f>IFERROR(__xludf.DUMMYFUNCTION("""COMPUTED_VALUE"""),"RPR - SUBS CANCEL REQUEST")</f>
        <v>RPR - SUBS CANCEL REQUEST</v>
      </c>
      <c r="M112" s="1" t="str">
        <f>IFERROR(__xludf.DUMMYFUNCTION("""COMPUTED_VALUE"""),"RPR- SUBS CANCEL REQUEST")</f>
        <v>RPR- SUBS CANCEL REQUEST</v>
      </c>
      <c r="N112" s="3"/>
      <c r="O112" s="1" t="str">
        <f>IFERROR(__xludf.DUMMYFUNCTION("""COMPUTED_VALUE"""),"FIBER UNLI ALL PLAN 1899")</f>
        <v>FIBER UNLI ALL PLAN 1899</v>
      </c>
      <c r="P112" s="1" t="str">
        <f>IFERROR(__xludf.DUMMYFUNCTION("""COMPUTED_VALUE"""),"HIGHPLAN")</f>
        <v>HIGHPLAN</v>
      </c>
      <c r="Q112" s="1" t="str">
        <f>IFERROR(__xludf.DUMMYFUNCTION("""COMPUTED_VALUE"""),"P407045")</f>
        <v>P407045</v>
      </c>
      <c r="R112" s="1" t="str">
        <f>IFERROR(__xludf.DUMMYFUNCTION("""COMPUTED_VALUE"""),"GABAY, MANUEL")</f>
        <v>GABAY, MANUEL</v>
      </c>
      <c r="S112" s="1" t="str">
        <f>IFERROR(__xludf.DUMMYFUNCTION("""COMPUTED_VALUE"""),"FLA")</f>
        <v>FLA</v>
      </c>
      <c r="T112" s="1" t="str">
        <f>IFERROR(__xludf.DUMMYFUNCTION("""COMPUTED_VALUE"""),"JERIC NAVARRO")</f>
        <v>JERIC NAVARRO</v>
      </c>
      <c r="U112" s="1" t="str">
        <f>IFERROR(__xludf.DUMMYFUNCTION("""COMPUTED_VALUE"""),"JB SALIOA")</f>
        <v>JB SALIOA</v>
      </c>
      <c r="V112" s="1" t="str">
        <f>IFERROR(__xludf.DUMMYFUNCTION("""COMPUTED_VALUE"""),"BK HSTK")</f>
        <v>BK HSTK</v>
      </c>
      <c r="W112" s="1" t="str">
        <f>IFERROR(__xludf.DUMMYFUNCTION("""COMPUTED_VALUE"""),"BK HSTK")</f>
        <v>BK HSTK</v>
      </c>
      <c r="X112" s="1" t="str">
        <f>IFERROR(__xludf.DUMMYFUNCTION("""COMPUTED_VALUE"""),"HBBS AUG 2026")</f>
        <v>HBBS AUG 2026</v>
      </c>
      <c r="Y112" s="1" t="str">
        <f>IFERROR(__xludf.DUMMYFUNCTION("""COMPUTED_VALUE"""),"BK_CVEU_260805")</f>
        <v>BK_CVEU_260805</v>
      </c>
      <c r="Z112" s="1" t="str">
        <f>IFERROR(__xludf.DUMMYFUNCTION("""COMPUTED_VALUE"""),"NEW CONNECT")</f>
        <v>NEW CONNECT</v>
      </c>
      <c r="AA112" s="1">
        <f>IFERROR(__xludf.DUMMYFUNCTION("""COMPUTED_VALUE"""),639950782604)</f>
        <v>639950782604</v>
      </c>
      <c r="AB112" s="1">
        <f>IFERROR(__xludf.DUMMYFUNCTION("""COMPUTED_VALUE"""),639159788612)</f>
        <v>639159788612</v>
      </c>
      <c r="AC112" s="1">
        <f>IFERROR(__xludf.DUMMYFUNCTION("""COMPUTED_VALUE"""),175)</f>
        <v>175</v>
      </c>
      <c r="AD112" s="1" t="str">
        <f>IFERROR(__xludf.DUMMYFUNCTION("""COMPUTED_VALUE"""),"SAN ISIDRO")</f>
        <v>SAN ISIDRO</v>
      </c>
      <c r="AE112" s="1"/>
      <c r="AF112" s="1" t="str">
        <f>IFERROR(__xludf.DUMMYFUNCTION("""COMPUTED_VALUE"""),"BGY PALOCPOC 2")</f>
        <v>BGY PALOCPOC 2</v>
      </c>
      <c r="AG112" s="1" t="str">
        <f>IFERROR(__xludf.DUMMYFUNCTION("""COMPUTED_VALUE"""),"MENDEZ")</f>
        <v>MENDEZ</v>
      </c>
      <c r="AH112" s="1" t="str">
        <f>IFERROR(__xludf.DUMMYFUNCTION("""COMPUTED_VALUE"""),"-")</f>
        <v>-</v>
      </c>
      <c r="AI112" s="1" t="str">
        <f>IFERROR(__xludf.DUMMYFUNCTION("""COMPUTED_VALUE"""),"CLUSTER 12")</f>
        <v>CLUSTER 12</v>
      </c>
    </row>
    <row r="113" customHeight="1" spans="1:35">
      <c r="A113" s="3">
        <f>IFERROR(__xludf.DUMMYFUNCTION("""COMPUTED_VALUE"""),46246)</f>
        <v>46246</v>
      </c>
      <c r="B113" s="1" t="str">
        <f>IFERROR(__xludf.DUMMYFUNCTION("""COMPUTED_VALUE"""),"FERLINA GARCES TAMASHIGE")</f>
        <v>FERLINA GARCES TAMASHIGE</v>
      </c>
      <c r="C113" s="1">
        <f>IFERROR(__xludf.DUMMYFUNCTION("""COMPUTED_VALUE"""),2311723954)</f>
        <v>2311723954</v>
      </c>
      <c r="D113" s="1">
        <f>IFERROR(__xludf.DUMMYFUNCTION("""COMPUTED_VALUE"""),406732797)</f>
        <v>406732797</v>
      </c>
      <c r="E113" s="1">
        <f>IFERROR(__xludf.DUMMYFUNCTION("""COMPUTED_VALUE"""),466196274004)</f>
        <v>466196274004</v>
      </c>
      <c r="F113" s="1" t="str">
        <f>IFERROR(__xludf.DUMMYFUNCTION("""COMPUTED_VALUE"""),"CLOSED")</f>
        <v>CLOSED</v>
      </c>
      <c r="G113" s="1" t="str">
        <f>IFERROR(__xludf.DUMMYFUNCTION("""COMPUTED_VALUE"""),"CLOSED")</f>
        <v>CLOSED</v>
      </c>
      <c r="H113" s="1" t="str">
        <f>IFERROR(__xludf.DUMMYFUNCTION("""COMPUTED_VALUE"""),"PQGOR360586911	12-Aug-26	Regular Payment	CIS-GCASH 3.0	1,549.00	936297276	12-Aug-26")</f>
        <v>PQGOR360586911	12-Aug-26	Regular Payment	CIS-GCASH 3.0	1,549.00	936297276	12-Aug-26</v>
      </c>
      <c r="I113" s="1" t="str">
        <f>IFERROR(__xludf.DUMMYFUNCTION("""COMPUTED_VALUE"""),"WITH 1 AMSF")</f>
        <v>WITH 1 AMSF</v>
      </c>
      <c r="J113" s="1"/>
      <c r="K113" s="1" t="str">
        <f>IFERROR(__xludf.DUMMYFUNCTION("""COMPUTED_VALUE"""),"COMPLETED")</f>
        <v>COMPLETED</v>
      </c>
      <c r="L113" s="1" t="str">
        <f>IFERROR(__xludf.DUMMYFUNCTION("""COMPUTED_VALUE"""),"POSTED")</f>
        <v>POSTED</v>
      </c>
      <c r="M113" s="1" t="str">
        <f>IFERROR(__xludf.DUMMYFUNCTION("""COMPUTED_VALUE"""),"POSTED")</f>
        <v>POSTED</v>
      </c>
      <c r="N113" s="3">
        <f>IFERROR(__xludf.DUMMYFUNCTION("""COMPUTED_VALUE"""),46247)</f>
        <v>46247</v>
      </c>
      <c r="O113" s="1" t="str">
        <f>IFERROR(__xludf.DUMMYFUNCTION("""COMPUTED_VALUE"""),"FIBER UNLI ALL PLAN 1499")</f>
        <v>FIBER UNLI ALL PLAN 1499</v>
      </c>
      <c r="P113" s="1" t="str">
        <f>IFERROR(__xludf.DUMMYFUNCTION("""COMPUTED_VALUE"""),"LOWPLAN")</f>
        <v>LOWPLAN</v>
      </c>
      <c r="Q113" s="1" t="str">
        <f>IFERROR(__xludf.DUMMYFUNCTION("""COMPUTED_VALUE"""),"P407044")</f>
        <v>P407044</v>
      </c>
      <c r="R113" s="1" t="str">
        <f>IFERROR(__xludf.DUMMYFUNCTION("""COMPUTED_VALUE"""),"OPS")</f>
        <v>OPS</v>
      </c>
      <c r="S113" s="1" t="str">
        <f>IFERROR(__xludf.DUMMYFUNCTION("""COMPUTED_VALUE"""),"FLA")</f>
        <v>FLA</v>
      </c>
      <c r="T113" s="1" t="str">
        <f>IFERROR(__xludf.DUMMYFUNCTION("""COMPUTED_VALUE"""),"JERIC NAVARRO")</f>
        <v>JERIC NAVARRO</v>
      </c>
      <c r="U113" s="1" t="str">
        <f>IFERROR(__xludf.DUMMYFUNCTION("""COMPUTED_VALUE"""),"JB SALIOA")</f>
        <v>JB SALIOA</v>
      </c>
      <c r="V113" s="1" t="str">
        <f>IFERROR(__xludf.DUMMYFUNCTION("""COMPUTED_VALUE"""),"BK REGULAR")</f>
        <v>BK REGULAR</v>
      </c>
      <c r="W113" s="1" t="str">
        <f>IFERROR(__xludf.DUMMYFUNCTION("""COMPUTED_VALUE"""),"STK REGULAR")</f>
        <v>STK REGULAR</v>
      </c>
      <c r="X113" s="1" t="str">
        <f>IFERROR(__xludf.DUMMYFUNCTION("""COMPUTED_VALUE"""),"HBBS AUG 2026")</f>
        <v>HBBS AUG 2026</v>
      </c>
      <c r="Y113" s="1" t="str">
        <f>IFERROR(__xludf.DUMMYFUNCTION("""COMPUTED_VALUE"""),"BK_CVEU_260806")</f>
        <v>BK_CVEU_260806</v>
      </c>
      <c r="Z113" s="1" t="str">
        <f>IFERROR(__xludf.DUMMYFUNCTION("""COMPUTED_VALUE"""),"NEW CONNECT")</f>
        <v>NEW CONNECT</v>
      </c>
      <c r="AA113" s="1">
        <f>IFERROR(__xludf.DUMMYFUNCTION("""COMPUTED_VALUE"""),639929265701)</f>
        <v>639929265701</v>
      </c>
      <c r="AB113" s="1">
        <f>IFERROR(__xludf.DUMMYFUNCTION("""COMPUTED_VALUE"""),639175650995)</f>
        <v>639175650995</v>
      </c>
      <c r="AC113" s="1">
        <f>IFERROR(__xludf.DUMMYFUNCTION("""COMPUTED_VALUE"""),229)</f>
        <v>229</v>
      </c>
      <c r="AD113" s="1" t="str">
        <f>IFERROR(__xludf.DUMMYFUNCTION("""COMPUTED_VALUE"""),"SOUTH FORBES")</f>
        <v>SOUTH FORBES</v>
      </c>
      <c r="AE113" s="1" t="str">
        <f>IFERROR(__xludf.DUMMYFUNCTION("""COMPUTED_VALUE"""),"STANFORD SUITES 2")</f>
        <v>STANFORD SUITES 2</v>
      </c>
      <c r="AF113" s="1" t="str">
        <f>IFERROR(__xludf.DUMMYFUNCTION("""COMPUTED_VALUE"""),"BGY INCHICAN")</f>
        <v>BGY INCHICAN</v>
      </c>
      <c r="AG113" s="1" t="str">
        <f>IFERROR(__xludf.DUMMYFUNCTION("""COMPUTED_VALUE"""),"SILANG")</f>
        <v>SILANG</v>
      </c>
      <c r="AH113" s="1" t="str">
        <f>IFERROR(__xludf.DUMMYFUNCTION("""COMPUTED_VALUE"""),"ST BENEDICT CHURCH")</f>
        <v>ST BENEDICT CHURCH</v>
      </c>
      <c r="AI113" s="1" t="str">
        <f>IFERROR(__xludf.DUMMYFUNCTION("""COMPUTED_VALUE"""),"CLUSTER 11")</f>
        <v>CLUSTER 11</v>
      </c>
    </row>
    <row r="114" customHeight="1" spans="1:35">
      <c r="A114" s="3">
        <f>IFERROR(__xludf.DUMMYFUNCTION("""COMPUTED_VALUE"""),46246)</f>
        <v>46246</v>
      </c>
      <c r="B114" s="1" t="str">
        <f>IFERROR(__xludf.DUMMYFUNCTION("""COMPUTED_VALUE"""),"IAN CHRISTOPHER CALANG PUNZALAN")</f>
        <v>IAN CHRISTOPHER CALANG PUNZALAN</v>
      </c>
      <c r="C114" s="1">
        <f>IFERROR(__xludf.DUMMYFUNCTION("""COMPUTED_VALUE"""),2311724707)</f>
        <v>2311724707</v>
      </c>
      <c r="D114" s="1">
        <f>IFERROR(__xludf.DUMMYFUNCTION("""COMPUTED_VALUE"""),406722589)</f>
        <v>406722589</v>
      </c>
      <c r="E114" s="1">
        <f>IFERROR(__xludf.DUMMYFUNCTION("""COMPUTED_VALUE"""),466188511004)</f>
        <v>466188511004</v>
      </c>
      <c r="F114" s="1" t="str">
        <f>IFERROR(__xludf.DUMMYFUNCTION("""COMPUTED_VALUE"""),"CLOSED")</f>
        <v>CLOSED</v>
      </c>
      <c r="G114" s="1" t="str">
        <f>IFERROR(__xludf.DUMMYFUNCTION("""COMPUTED_VALUE"""),"CLOSED")</f>
        <v>CLOSED</v>
      </c>
      <c r="H114" s="1" t="str">
        <f>IFERROR(__xludf.DUMMYFUNCTION("""COMPUTED_VALUE"""),"PDNOR000366805	16-Sep-26	Regular Payment	PLDT SSC Tagaytay Kiosk	1,250.00	943402298	16-Sep-26")</f>
        <v>PDNOR000366805	16-Sep-26	Regular Payment	PLDT SSC Tagaytay Kiosk	1,250.00	943402298	16-Sep-26</v>
      </c>
      <c r="I114" s="1" t="str">
        <f>IFERROR(__xludf.DUMMYFUNCTION("""COMPUTED_VALUE"""),"WITH 1 AMSF")</f>
        <v>WITH 1 AMSF</v>
      </c>
      <c r="J114" s="1"/>
      <c r="K114" s="1" t="str">
        <f>IFERROR(__xludf.DUMMYFUNCTION("""COMPUTED_VALUE"""),"COMPLETED")</f>
        <v>COMPLETED</v>
      </c>
      <c r="L114" s="1" t="str">
        <f>IFERROR(__xludf.DUMMYFUNCTION("""COMPUTED_VALUE"""),"POSTED")</f>
        <v>POSTED</v>
      </c>
      <c r="M114" s="1" t="str">
        <f>IFERROR(__xludf.DUMMYFUNCTION("""COMPUTED_VALUE"""),"POSTED")</f>
        <v>POSTED</v>
      </c>
      <c r="N114" s="3">
        <f>IFERROR(__xludf.DUMMYFUNCTION("""COMPUTED_VALUE"""),46249)</f>
        <v>46249</v>
      </c>
      <c r="O114" s="1" t="str">
        <f>IFERROR(__xludf.DUMMYFUNCTION("""COMPUTED_VALUE"""),"FIBR PLAN 1299")</f>
        <v>FIBR PLAN 1299</v>
      </c>
      <c r="P114" s="1" t="str">
        <f>IFERROR(__xludf.DUMMYFUNCTION("""COMPUTED_VALUE"""),"LOWPLAN")</f>
        <v>LOWPLAN</v>
      </c>
      <c r="Q114" s="1" t="str">
        <f>IFERROR(__xludf.DUMMYFUNCTION("""COMPUTED_VALUE"""),"P407047")</f>
        <v>P407047</v>
      </c>
      <c r="R114" s="1" t="str">
        <f>IFERROR(__xludf.DUMMYFUNCTION("""COMPUTED_VALUE"""),"FRANCISCO, ROSELYN")</f>
        <v>FRANCISCO, ROSELYN</v>
      </c>
      <c r="S114" s="1" t="str">
        <f>IFERROR(__xludf.DUMMYFUNCTION("""COMPUTED_VALUE"""),"ORGANIC")</f>
        <v>ORGANIC</v>
      </c>
      <c r="T114" s="1" t="str">
        <f>IFERROR(__xludf.DUMMYFUNCTION("""COMPUTED_VALUE"""),"LEA REMOLLO")</f>
        <v>LEA REMOLLO</v>
      </c>
      <c r="U114" s="1" t="str">
        <f>IFERROR(__xludf.DUMMYFUNCTION("""COMPUTED_VALUE"""),"JB SALIOA")</f>
        <v>JB SALIOA</v>
      </c>
      <c r="V114" s="1" t="str">
        <f>IFERROR(__xludf.DUMMYFUNCTION("""COMPUTED_VALUE"""),"BK REGULAR")</f>
        <v>BK REGULAR</v>
      </c>
      <c r="W114" s="1" t="str">
        <f>IFERROR(__xludf.DUMMYFUNCTION("""COMPUTED_VALUE"""),"STK REGULAR")</f>
        <v>STK REGULAR</v>
      </c>
      <c r="X114" s="1" t="str">
        <f>IFERROR(__xludf.DUMMYFUNCTION("""COMPUTED_VALUE"""),"HBBS AUG 2026")</f>
        <v>HBBS AUG 2026</v>
      </c>
      <c r="Y114" s="1" t="str">
        <f>IFERROR(__xludf.DUMMYFUNCTION("""COMPUTED_VALUE"""),"BK_CVEU_260807")</f>
        <v>BK_CVEU_260807</v>
      </c>
      <c r="Z114" s="1" t="str">
        <f>IFERROR(__xludf.DUMMYFUNCTION("""COMPUTED_VALUE"""),"NEW CONNECT")</f>
        <v>NEW CONNECT</v>
      </c>
      <c r="AA114" s="1">
        <f>IFERROR(__xludf.DUMMYFUNCTION("""COMPUTED_VALUE"""),639161552619)</f>
        <v>639161552619</v>
      </c>
      <c r="AB114" s="1">
        <f>IFERROR(__xludf.DUMMYFUNCTION("""COMPUTED_VALUE"""),639658014869)</f>
        <v>639658014869</v>
      </c>
      <c r="AC114" s="1">
        <f>IFERROR(__xludf.DUMMYFUNCTION("""COMPUTED_VALUE"""),152)</f>
        <v>152</v>
      </c>
      <c r="AD114" s="1" t="str">
        <f>IFERROR(__xludf.DUMMYFUNCTION("""COMPUTED_VALUE"""),"LOURDES")</f>
        <v>LOURDES</v>
      </c>
      <c r="AE114" s="1"/>
      <c r="AF114" s="1" t="str">
        <f>IFERROR(__xludf.DUMMYFUNCTION("""COMPUTED_VALUE"""),"BGY MAITIM 2ND CNTRL")</f>
        <v>BGY MAITIM 2ND CNTRL</v>
      </c>
      <c r="AG114" s="1" t="str">
        <f>IFERROR(__xludf.DUMMYFUNCTION("""COMPUTED_VALUE"""),"TAGAYTAY")</f>
        <v>TAGAYTAY</v>
      </c>
      <c r="AH114" s="1" t="str">
        <f>IFERROR(__xludf.DUMMYFUNCTION("""COMPUTED_VALUE"""),"ROSMAR")</f>
        <v>ROSMAR</v>
      </c>
      <c r="AI114" s="1" t="str">
        <f>IFERROR(__xludf.DUMMYFUNCTION("""COMPUTED_VALUE"""),"CLUSTER 12")</f>
        <v>CLUSTER 12</v>
      </c>
    </row>
    <row r="115" customHeight="1" spans="1:35">
      <c r="A115" s="3">
        <f>IFERROR(__xludf.DUMMYFUNCTION("""COMPUTED_VALUE"""),46246)</f>
        <v>46246</v>
      </c>
      <c r="B115" s="1" t="str">
        <f>IFERROR(__xludf.DUMMYFUNCTION("""COMPUTED_VALUE"""),"MARITES MANLAPAS NIBAY")</f>
        <v>MARITES MANLAPAS NIBAY</v>
      </c>
      <c r="C115" s="1">
        <f>IFERROR(__xludf.DUMMYFUNCTION("""COMPUTED_VALUE"""),2311725307)</f>
        <v>2311725307</v>
      </c>
      <c r="D115" s="1">
        <f>IFERROR(__xludf.DUMMYFUNCTION("""COMPUTED_VALUE"""),406724115)</f>
        <v>406724115</v>
      </c>
      <c r="E115" s="1">
        <f>IFERROR(__xludf.DUMMYFUNCTION("""COMPUTED_VALUE"""),466189936004)</f>
        <v>466189936004</v>
      </c>
      <c r="F115" s="1" t="str">
        <f>IFERROR(__xludf.DUMMYFUNCTION("""COMPUTED_VALUE"""),"CLOSED")</f>
        <v>CLOSED</v>
      </c>
      <c r="G115" s="1" t="str">
        <f>IFERROR(__xludf.DUMMYFUNCTION("""COMPUTED_VALUE"""),"CLOSED")</f>
        <v>CLOSED</v>
      </c>
      <c r="H115" s="1"/>
      <c r="I115" s="1" t="str">
        <f>IFERROR(__xludf.DUMMYFUNCTION("""COMPUTED_VALUE"""),"NO 1 AMSF")</f>
        <v>NO 1 AMSF</v>
      </c>
      <c r="J115" s="1" t="str">
        <f>IFERROR(__xludf.DUMMYFUNCTION("""COMPUTED_VALUE"""),"DUE DATE - 08-Sep-26 - 2,218.44")</f>
        <v>DUE DATE - 08-Sep-26 - 2,218.44</v>
      </c>
      <c r="K115" s="1" t="str">
        <f>IFERROR(__xludf.DUMMYFUNCTION("""COMPUTED_VALUE"""),"COMPLETED")</f>
        <v>COMPLETED</v>
      </c>
      <c r="L115" s="1" t="str">
        <f>IFERROR(__xludf.DUMMYFUNCTION("""COMPUTED_VALUE"""),"POSTED")</f>
        <v>POSTED</v>
      </c>
      <c r="M115" s="1" t="str">
        <f>IFERROR(__xludf.DUMMYFUNCTION("""COMPUTED_VALUE"""),"POSTED")</f>
        <v>POSTED</v>
      </c>
      <c r="N115" s="3">
        <f>IFERROR(__xludf.DUMMYFUNCTION("""COMPUTED_VALUE"""),46248)</f>
        <v>46248</v>
      </c>
      <c r="O115" s="1" t="str">
        <f>IFERROR(__xludf.DUMMYFUNCTION("""COMPUTED_VALUE"""),"FIBR UNLI ALL PLAN 999")</f>
        <v>FIBR UNLI ALL PLAN 999</v>
      </c>
      <c r="P115" s="1" t="str">
        <f>IFERROR(__xludf.DUMMYFUNCTION("""COMPUTED_VALUE"""),"LOWPLAN")</f>
        <v>LOWPLAN</v>
      </c>
      <c r="Q115" s="1" t="str">
        <f>IFERROR(__xludf.DUMMYFUNCTION("""COMPUTED_VALUE"""),"P407047")</f>
        <v>P407047</v>
      </c>
      <c r="R115" s="1" t="str">
        <f>IFERROR(__xludf.DUMMYFUNCTION("""COMPUTED_VALUE"""),"FRANCISCO, ROSELYN")</f>
        <v>FRANCISCO, ROSELYN</v>
      </c>
      <c r="S115" s="1" t="str">
        <f>IFERROR(__xludf.DUMMYFUNCTION("""COMPUTED_VALUE"""),"ORGANIC")</f>
        <v>ORGANIC</v>
      </c>
      <c r="T115" s="1" t="str">
        <f>IFERROR(__xludf.DUMMYFUNCTION("""COMPUTED_VALUE"""),"LEA REMOLLO")</f>
        <v>LEA REMOLLO</v>
      </c>
      <c r="U115" s="1" t="str">
        <f>IFERROR(__xludf.DUMMYFUNCTION("""COMPUTED_VALUE"""),"JB SALIOA")</f>
        <v>JB SALIOA</v>
      </c>
      <c r="V115" s="1" t="str">
        <f>IFERROR(__xludf.DUMMYFUNCTION("""COMPUTED_VALUE"""),"BK REGULAR")</f>
        <v>BK REGULAR</v>
      </c>
      <c r="W115" s="1" t="str">
        <f>IFERROR(__xludf.DUMMYFUNCTION("""COMPUTED_VALUE"""),"STK REGULAR")</f>
        <v>STK REGULAR</v>
      </c>
      <c r="X115" s="1" t="str">
        <f>IFERROR(__xludf.DUMMYFUNCTION("""COMPUTED_VALUE"""),"HBBS AUG 2026")</f>
        <v>HBBS AUG 2026</v>
      </c>
      <c r="Y115" s="1" t="str">
        <f>IFERROR(__xludf.DUMMYFUNCTION("""COMPUTED_VALUE"""),"BK_CVEU_260807")</f>
        <v>BK_CVEU_260807</v>
      </c>
      <c r="Z115" s="1" t="str">
        <f>IFERROR(__xludf.DUMMYFUNCTION("""COMPUTED_VALUE"""),"NEW CONNECT")</f>
        <v>NEW CONNECT</v>
      </c>
      <c r="AA115" s="1">
        <f>IFERROR(__xludf.DUMMYFUNCTION("""COMPUTED_VALUE"""),639638873929)</f>
        <v>639638873929</v>
      </c>
      <c r="AB115" s="1">
        <f>IFERROR(__xludf.DUMMYFUNCTION("""COMPUTED_VALUE"""),639707857468)</f>
        <v>639707857468</v>
      </c>
      <c r="AC115" s="1">
        <f>IFERROR(__xludf.DUMMYFUNCTION("""COMPUTED_VALUE"""),151)</f>
        <v>151</v>
      </c>
      <c r="AD115" s="1" t="str">
        <f>IFERROR(__xludf.DUMMYFUNCTION("""COMPUTED_VALUE"""),"LOURDES")</f>
        <v>LOURDES</v>
      </c>
      <c r="AE115" s="1"/>
      <c r="AF115" s="1" t="str">
        <f>IFERROR(__xludf.DUMMYFUNCTION("""COMPUTED_VALUE"""),"BGY MAITIM 2ND CNTRL")</f>
        <v>BGY MAITIM 2ND CNTRL</v>
      </c>
      <c r="AG115" s="1" t="str">
        <f>IFERROR(__xludf.DUMMYFUNCTION("""COMPUTED_VALUE"""),"TAGAYTAY")</f>
        <v>TAGAYTAY</v>
      </c>
      <c r="AH115" s="1" t="str">
        <f>IFERROR(__xludf.DUMMYFUNCTION("""COMPUTED_VALUE"""),"ROSMAR")</f>
        <v>ROSMAR</v>
      </c>
      <c r="AI115" s="1" t="str">
        <f>IFERROR(__xludf.DUMMYFUNCTION("""COMPUTED_VALUE"""),"CLUSTER 12")</f>
        <v>CLUSTER 12</v>
      </c>
    </row>
    <row r="116" customHeight="1" spans="1:35">
      <c r="A116" s="3">
        <f>IFERROR(__xludf.DUMMYFUNCTION("""COMPUTED_VALUE"""),46246)</f>
        <v>46246</v>
      </c>
      <c r="B116" s="1" t="str">
        <f>IFERROR(__xludf.DUMMYFUNCTION("""COMPUTED_VALUE"""),"MARIA CECILIA BATA OLVIDO")</f>
        <v>MARIA CECILIA BATA OLVIDO</v>
      </c>
      <c r="C116" s="1">
        <f>IFERROR(__xludf.DUMMYFUNCTION("""COMPUTED_VALUE"""),2311726802)</f>
        <v>2311726802</v>
      </c>
      <c r="D116" s="1">
        <f>IFERROR(__xludf.DUMMYFUNCTION("""COMPUTED_VALUE"""),406729214)</f>
        <v>406729214</v>
      </c>
      <c r="E116" s="1">
        <f>IFERROR(__xludf.DUMMYFUNCTION("""COMPUTED_VALUE"""),466195426004)</f>
        <v>466195426004</v>
      </c>
      <c r="F116" s="1" t="str">
        <f>IFERROR(__xludf.DUMMYFUNCTION("""COMPUTED_VALUE"""),"CLOSED")</f>
        <v>CLOSED</v>
      </c>
      <c r="G116" s="1" t="str">
        <f>IFERROR(__xludf.DUMMYFUNCTION("""COMPUTED_VALUE"""),"CLOSED")</f>
        <v>CLOSED</v>
      </c>
      <c r="H116" s="1" t="str">
        <f>IFERROR(__xludf.DUMMYFUNCTION("""COMPUTED_VALUE"""),"PAID VIA GCASH - AUG 13 - REF - 038472730")</f>
        <v>PAID VIA GCASH - AUG 13 - REF - 038472730</v>
      </c>
      <c r="I116" s="1" t="str">
        <f>IFERROR(__xludf.DUMMYFUNCTION("""COMPUTED_VALUE"""),"WITH 1 AMSF")</f>
        <v>WITH 1 AMSF</v>
      </c>
      <c r="J116" s="1"/>
      <c r="K116" s="1" t="str">
        <f>IFERROR(__xludf.DUMMYFUNCTION("""COMPUTED_VALUE"""),"COMPLETED")</f>
        <v>COMPLETED</v>
      </c>
      <c r="L116" s="1" t="str">
        <f>IFERROR(__xludf.DUMMYFUNCTION("""COMPUTED_VALUE"""),"POSTED")</f>
        <v>POSTED</v>
      </c>
      <c r="M116" s="1" t="str">
        <f>IFERROR(__xludf.DUMMYFUNCTION("""COMPUTED_VALUE"""),"POSTED")</f>
        <v>POSTED</v>
      </c>
      <c r="N116" s="3">
        <f>IFERROR(__xludf.DUMMYFUNCTION("""COMPUTED_VALUE"""),46248)</f>
        <v>46248</v>
      </c>
      <c r="O116" s="1" t="str">
        <f>IFERROR(__xludf.DUMMYFUNCTION("""COMPUTED_VALUE"""),"FIBER UNLI ALL PLAN 1499")</f>
        <v>FIBER UNLI ALL PLAN 1499</v>
      </c>
      <c r="P116" s="1" t="str">
        <f>IFERROR(__xludf.DUMMYFUNCTION("""COMPUTED_VALUE"""),"LOWPLAN")</f>
        <v>LOWPLAN</v>
      </c>
      <c r="Q116" s="1" t="str">
        <f>IFERROR(__xludf.DUMMYFUNCTION("""COMPUTED_VALUE"""),"P407045")</f>
        <v>P407045</v>
      </c>
      <c r="R116" s="1" t="str">
        <f>IFERROR(__xludf.DUMMYFUNCTION("""COMPUTED_VALUE"""),"GABAY, MANUEL")</f>
        <v>GABAY, MANUEL</v>
      </c>
      <c r="S116" s="1" t="str">
        <f>IFERROR(__xludf.DUMMYFUNCTION("""COMPUTED_VALUE"""),"FLA")</f>
        <v>FLA</v>
      </c>
      <c r="T116" s="1" t="str">
        <f>IFERROR(__xludf.DUMMYFUNCTION("""COMPUTED_VALUE"""),"JERIC NAVARRO")</f>
        <v>JERIC NAVARRO</v>
      </c>
      <c r="U116" s="1" t="str">
        <f>IFERROR(__xludf.DUMMYFUNCTION("""COMPUTED_VALUE"""),"JB SALIOA")</f>
        <v>JB SALIOA</v>
      </c>
      <c r="V116" s="1" t="str">
        <f>IFERROR(__xludf.DUMMYFUNCTION("""COMPUTED_VALUE"""),"BK REGULAR")</f>
        <v>BK REGULAR</v>
      </c>
      <c r="W116" s="1" t="str">
        <f>IFERROR(__xludf.DUMMYFUNCTION("""COMPUTED_VALUE"""),"STK REGULAR")</f>
        <v>STK REGULAR</v>
      </c>
      <c r="X116" s="1" t="str">
        <f>IFERROR(__xludf.DUMMYFUNCTION("""COMPUTED_VALUE"""),"HBBS AUG 2026")</f>
        <v>HBBS AUG 2026</v>
      </c>
      <c r="Y116" s="1" t="str">
        <f>IFERROR(__xludf.DUMMYFUNCTION("""COMPUTED_VALUE"""),"BK_CVEU_260807")</f>
        <v>BK_CVEU_260807</v>
      </c>
      <c r="Z116" s="1" t="str">
        <f>IFERROR(__xludf.DUMMYFUNCTION("""COMPUTED_VALUE"""),"NEW CONNECT")</f>
        <v>NEW CONNECT</v>
      </c>
      <c r="AA116" s="1">
        <f>IFERROR(__xludf.DUMMYFUNCTION("""COMPUTED_VALUE"""),639082326882)</f>
        <v>639082326882</v>
      </c>
      <c r="AB116" s="1">
        <f>IFERROR(__xludf.DUMMYFUNCTION("""COMPUTED_VALUE"""),639155298927)</f>
        <v>639155298927</v>
      </c>
      <c r="AC116" s="1"/>
      <c r="AD116" s="1" t="str">
        <f>IFERROR(__xludf.DUMMYFUNCTION("""COMPUTED_VALUE"""),"MANUELLAVILLE SUBDIVISION")</f>
        <v>MANUELLAVILLE SUBDIVISION</v>
      </c>
      <c r="AE116" s="1" t="str">
        <f>IFERROR(__xludf.DUMMYFUNCTION("""COMPUTED_VALUE"""),"MANUELLAVILLE SUBDIVISION")</f>
        <v>MANUELLAVILLE SUBDIVISION</v>
      </c>
      <c r="AF116" s="1" t="str">
        <f>IFERROR(__xludf.DUMMYFUNCTION("""COMPUTED_VALUE"""),"BGY SABUTAN")</f>
        <v>BGY SABUTAN</v>
      </c>
      <c r="AG116" s="1" t="str">
        <f>IFERROR(__xludf.DUMMYFUNCTION("""COMPUTED_VALUE"""),"SILANG")</f>
        <v>SILANG</v>
      </c>
      <c r="AH116" s="1" t="str">
        <f>IFERROR(__xludf.DUMMYFUNCTION("""COMPUTED_VALUE"""),"-")</f>
        <v>-</v>
      </c>
      <c r="AI116" s="1" t="str">
        <f>IFERROR(__xludf.DUMMYFUNCTION("""COMPUTED_VALUE"""),"CLUSTER 11")</f>
        <v>CLUSTER 11</v>
      </c>
    </row>
    <row r="117" customHeight="1" spans="1:35">
      <c r="A117" s="3">
        <f>IFERROR(__xludf.DUMMYFUNCTION("""COMPUTED_VALUE"""),46246)</f>
        <v>46246</v>
      </c>
      <c r="B117" s="1" t="str">
        <f>IFERROR(__xludf.DUMMYFUNCTION("""COMPUTED_VALUE"""),"MA CECILIA SAMUYA CHO")</f>
        <v>MA CECILIA SAMUYA CHO</v>
      </c>
      <c r="C117" s="1">
        <f>IFERROR(__xludf.DUMMYFUNCTION("""COMPUTED_VALUE"""),2311730975)</f>
        <v>2311730975</v>
      </c>
      <c r="D117" s="1"/>
      <c r="E117" s="1"/>
      <c r="F117" s="1" t="str">
        <f>IFERROR(__xludf.DUMMYFUNCTION("""COMPUTED_VALUE"""),"CANCELLED")</f>
        <v>CANCELLED</v>
      </c>
      <c r="G117" s="1" t="str">
        <f>IFERROR(__xludf.DUMMYFUNCTION("""COMPUTED_VALUE"""),"SUBS HAS BL ACCT.# 0185634442. PLS. ADVISE TO SETTLE PHP4,277.34 PRIOR RE-ENCODING ")</f>
        <v>SUBS HAS BL ACCT.# 0185634442. PLS. ADVISE TO SETTLE PHP4,277.34 PRIOR RE-ENCODING </v>
      </c>
      <c r="H117" s="1"/>
      <c r="I117" s="1"/>
      <c r="J117" s="1"/>
      <c r="K117" s="1"/>
      <c r="L117" s="1" t="str">
        <f>IFERROR(__xludf.DUMMYFUNCTION("""COMPUTED_VALUE"""),"CANCELLED")</f>
        <v>CANCELLED</v>
      </c>
      <c r="M117" s="1" t="str">
        <f>IFERROR(__xludf.DUMMYFUNCTION("""COMPUTED_VALUE"""),"CANCELLED - WITH OB")</f>
        <v>CANCELLED - WITH OB</v>
      </c>
      <c r="N117" s="3"/>
      <c r="O117" s="1" t="str">
        <f>IFERROR(__xludf.DUMMYFUNCTION("""COMPUTED_VALUE"""),"FIBER UNLI ALL PLAN 2599")</f>
        <v>FIBER UNLI ALL PLAN 2599</v>
      </c>
      <c r="P117" s="1" t="str">
        <f>IFERROR(__xludf.DUMMYFUNCTION("""COMPUTED_VALUE"""),"HIGHPLAN")</f>
        <v>HIGHPLAN</v>
      </c>
      <c r="Q117" s="1" t="str">
        <f>IFERROR(__xludf.DUMMYFUNCTION("""COMPUTED_VALUE"""),"P407044")</f>
        <v>P407044</v>
      </c>
      <c r="R117" s="1" t="str">
        <f>IFERROR(__xludf.DUMMYFUNCTION("""COMPUTED_VALUE"""),"AYON, MANUEL")</f>
        <v>AYON, MANUEL</v>
      </c>
      <c r="S117" s="1" t="str">
        <f>IFERROR(__xludf.DUMMYFUNCTION("""COMPUTED_VALUE"""),"FLA")</f>
        <v>FLA</v>
      </c>
      <c r="T117" s="1" t="str">
        <f>IFERROR(__xludf.DUMMYFUNCTION("""COMPUTED_VALUE"""),"JERIC NAVARRO")</f>
        <v>JERIC NAVARRO</v>
      </c>
      <c r="U117" s="1" t="str">
        <f>IFERROR(__xludf.DUMMYFUNCTION("""COMPUTED_VALUE"""),"JB SALIOA")</f>
        <v>JB SALIOA</v>
      </c>
      <c r="V117" s="1" t="str">
        <f>IFERROR(__xludf.DUMMYFUNCTION("""COMPUTED_VALUE"""),"BK HSTK")</f>
        <v>BK HSTK</v>
      </c>
      <c r="W117" s="1" t="str">
        <f>IFERROR(__xludf.DUMMYFUNCTION("""COMPUTED_VALUE"""),"BK HSTK")</f>
        <v>BK HSTK</v>
      </c>
      <c r="X117" s="1" t="str">
        <f>IFERROR(__xludf.DUMMYFUNCTION("""COMPUTED_VALUE"""),"HBBS AUG 2026")</f>
        <v>HBBS AUG 2026</v>
      </c>
      <c r="Y117" s="1" t="str">
        <f>IFERROR(__xludf.DUMMYFUNCTION("""COMPUTED_VALUE"""),"BK_CVEU_260803")</f>
        <v>BK_CVEU_260803</v>
      </c>
      <c r="Z117" s="1" t="str">
        <f>IFERROR(__xludf.DUMMYFUNCTION("""COMPUTED_VALUE"""),"NEW CONNECT")</f>
        <v>NEW CONNECT</v>
      </c>
      <c r="AA117" s="1">
        <f>IFERROR(__xludf.DUMMYFUNCTION("""COMPUTED_VALUE"""),639189356147)</f>
        <v>639189356147</v>
      </c>
      <c r="AB117" s="1">
        <f>IFERROR(__xludf.DUMMYFUNCTION("""COMPUTED_VALUE"""),639178904443)</f>
        <v>639178904443</v>
      </c>
      <c r="AC117" s="1"/>
      <c r="AD117" s="1" t="str">
        <f>IFERROR(__xludf.DUMMYFUNCTION("""COMPUTED_VALUE"""),"PHASE 1")</f>
        <v>PHASE 1</v>
      </c>
      <c r="AE117" s="1" t="str">
        <f>IFERROR(__xludf.DUMMYFUNCTION("""COMPUTED_VALUE"""),"MANILA SOUTHWOODS")</f>
        <v>MANILA SOUTHWOODS</v>
      </c>
      <c r="AF117" s="1" t="str">
        <f>IFERROR(__xludf.DUMMYFUNCTION("""COMPUTED_VALUE"""),"BGY CABILANG BAYBAY")</f>
        <v>BGY CABILANG BAYBAY</v>
      </c>
      <c r="AG117" s="1" t="str">
        <f>IFERROR(__xludf.DUMMYFUNCTION("""COMPUTED_VALUE"""),"CARMONA")</f>
        <v>CARMONA</v>
      </c>
      <c r="AH117" s="1" t="str">
        <f>IFERROR(__xludf.DUMMYFUNCTION("""COMPUTED_VALUE"""),"-")</f>
        <v>-</v>
      </c>
      <c r="AI117" s="1" t="str">
        <f>IFERROR(__xludf.DUMMYFUNCTION("""COMPUTED_VALUE"""),"CLUSTER 11")</f>
        <v>CLUSTER 11</v>
      </c>
    </row>
    <row r="118" customHeight="1" spans="1:35">
      <c r="A118" s="3">
        <f>IFERROR(__xludf.DUMMYFUNCTION("""COMPUTED_VALUE"""),46246)</f>
        <v>46246</v>
      </c>
      <c r="B118" s="1" t="str">
        <f>IFERROR(__xludf.DUMMYFUNCTION("""COMPUTED_VALUE"""),"JUNILYN DOGOMEO OGATES")</f>
        <v>JUNILYN DOGOMEO OGATES</v>
      </c>
      <c r="C118" s="1">
        <f>IFERROR(__xludf.DUMMYFUNCTION("""COMPUTED_VALUE"""),2311732082)</f>
        <v>2311732082</v>
      </c>
      <c r="D118" s="1">
        <f>IFERROR(__xludf.DUMMYFUNCTION("""COMPUTED_VALUE"""),406740927)</f>
        <v>406740927</v>
      </c>
      <c r="E118" s="1">
        <f>IFERROR(__xludf.DUMMYFUNCTION("""COMPUTED_VALUE"""),466200834004)</f>
        <v>466200834004</v>
      </c>
      <c r="F118" s="1" t="str">
        <f>IFERROR(__xludf.DUMMYFUNCTION("""COMPUTED_VALUE"""),"CLOSED")</f>
        <v>CLOSED</v>
      </c>
      <c r="G118" s="1" t="str">
        <f>IFERROR(__xludf.DUMMYFUNCTION("""COMPUTED_VALUE"""),"CLOSED")</f>
        <v>CLOSED</v>
      </c>
      <c r="H118" s="1" t="str">
        <f>IFERROR(__xludf.DUMMYFUNCTION("""COMPUTED_VALUE"""),"PQGOR360767761	14-Aug-26	Regular Payment	CIS-GCASH 3.0	1,050.00	0	14-Aug-26")</f>
        <v>PQGOR360767761	14-Aug-26	Regular Payment	CIS-GCASH 3.0	1,050.00	0	14-Aug-26</v>
      </c>
      <c r="I118" s="1" t="str">
        <f>IFERROR(__xludf.DUMMYFUNCTION("""COMPUTED_VALUE"""),"WITH 1 AMSF")</f>
        <v>WITH 1 AMSF</v>
      </c>
      <c r="J118" s="1"/>
      <c r="K118" s="1" t="str">
        <f>IFERROR(__xludf.DUMMYFUNCTION("""COMPUTED_VALUE"""),"COMPLETED")</f>
        <v>COMPLETED</v>
      </c>
      <c r="L118" s="1" t="str">
        <f>IFERROR(__xludf.DUMMYFUNCTION("""COMPUTED_VALUE"""),"POSTED")</f>
        <v>POSTED</v>
      </c>
      <c r="M118" s="1" t="str">
        <f>IFERROR(__xludf.DUMMYFUNCTION("""COMPUTED_VALUE"""),"POSTED")</f>
        <v>POSTED</v>
      </c>
      <c r="N118" s="3">
        <f>IFERROR(__xludf.DUMMYFUNCTION("""COMPUTED_VALUE"""),46249)</f>
        <v>46249</v>
      </c>
      <c r="O118" s="1" t="str">
        <f>IFERROR(__xludf.DUMMYFUNCTION("""COMPUTED_VALUE"""),"FIBR UNLI ALL PLAN 999")</f>
        <v>FIBR UNLI ALL PLAN 999</v>
      </c>
      <c r="P118" s="1" t="str">
        <f>IFERROR(__xludf.DUMMYFUNCTION("""COMPUTED_VALUE"""),"LOWPLAN")</f>
        <v>LOWPLAN</v>
      </c>
      <c r="Q118" s="1" t="str">
        <f>IFERROR(__xludf.DUMMYFUNCTION("""COMPUTED_VALUE"""),"P407050")</f>
        <v>P407050</v>
      </c>
      <c r="R118" s="1" t="str">
        <f>IFERROR(__xludf.DUMMYFUNCTION("""COMPUTED_VALUE"""),"MAGDARAOG, KENNETH")</f>
        <v>MAGDARAOG, KENNETH</v>
      </c>
      <c r="S118" s="1" t="str">
        <f>IFERROR(__xludf.DUMMYFUNCTION("""COMPUTED_VALUE"""),"ORGANIC")</f>
        <v>ORGANIC</v>
      </c>
      <c r="T118" s="1" t="str">
        <f>IFERROR(__xludf.DUMMYFUNCTION("""COMPUTED_VALUE"""),"LEA REMOLLO")</f>
        <v>LEA REMOLLO</v>
      </c>
      <c r="U118" s="1" t="str">
        <f>IFERROR(__xludf.DUMMYFUNCTION("""COMPUTED_VALUE"""),"JB SALIOA")</f>
        <v>JB SALIOA</v>
      </c>
      <c r="V118" s="1" t="str">
        <f>IFERROR(__xludf.DUMMYFUNCTION("""COMPUTED_VALUE"""),"BK HSTK")</f>
        <v>BK HSTK</v>
      </c>
      <c r="W118" s="1" t="str">
        <f>IFERROR(__xludf.DUMMYFUNCTION("""COMPUTED_VALUE"""),"BK HSTK")</f>
        <v>BK HSTK</v>
      </c>
      <c r="X118" s="1" t="str">
        <f>IFERROR(__xludf.DUMMYFUNCTION("""COMPUTED_VALUE"""),"HBBS AUG 2026")</f>
        <v>HBBS AUG 2026</v>
      </c>
      <c r="Y118" s="1" t="str">
        <f>IFERROR(__xludf.DUMMYFUNCTION("""COMPUTED_VALUE"""),"BK_CVEU_260804")</f>
        <v>BK_CVEU_260804</v>
      </c>
      <c r="Z118" s="1" t="str">
        <f>IFERROR(__xludf.DUMMYFUNCTION("""COMPUTED_VALUE"""),"NEW CONNECT")</f>
        <v>NEW CONNECT</v>
      </c>
      <c r="AA118" s="1">
        <f>IFERROR(__xludf.DUMMYFUNCTION("""COMPUTED_VALUE"""),639675621197)</f>
        <v>639675621197</v>
      </c>
      <c r="AB118" s="1"/>
      <c r="AC118" s="1">
        <f>IFERROR(__xludf.DUMMYFUNCTION("""COMPUTED_VALUE"""),171)</f>
        <v>171</v>
      </c>
      <c r="AD118" s="1" t="str">
        <f>IFERROR(__xludf.DUMMYFUNCTION("""COMPUTED_VALUE"""),"SAN JOSE")</f>
        <v>SAN JOSE</v>
      </c>
      <c r="AE118" s="1"/>
      <c r="AF118" s="1" t="str">
        <f>IFERROR(__xludf.DUMMYFUNCTION("""COMPUTED_VALUE"""),"BGY SAN JOSE")</f>
        <v>BGY SAN JOSE</v>
      </c>
      <c r="AG118" s="1" t="str">
        <f>IFERROR(__xludf.DUMMYFUNCTION("""COMPUTED_VALUE"""),"GEN MARIANO ALVAREZ")</f>
        <v>GEN MARIANO ALVAREZ</v>
      </c>
      <c r="AH118" s="1" t="str">
        <f>IFERROR(__xludf.DUMMYFUNCTION("""COMPUTED_VALUE"""),"-")</f>
        <v>-</v>
      </c>
      <c r="AI118" s="1" t="str">
        <f>IFERROR(__xludf.DUMMYFUNCTION("""COMPUTED_VALUE"""),"CLUSTER 11")</f>
        <v>CLUSTER 11</v>
      </c>
    </row>
    <row r="119" customHeight="1" spans="1:35">
      <c r="A119" s="3">
        <f>IFERROR(__xludf.DUMMYFUNCTION("""COMPUTED_VALUE"""),46246)</f>
        <v>46246</v>
      </c>
      <c r="B119" s="1" t="str">
        <f>IFERROR(__xludf.DUMMYFUNCTION("""COMPUTED_VALUE"""),"MADELINE OGATIS ABAINZA")</f>
        <v>MADELINE OGATIS ABAINZA</v>
      </c>
      <c r="C119" s="1">
        <f>IFERROR(__xludf.DUMMYFUNCTION("""COMPUTED_VALUE"""),2311733623)</f>
        <v>2311733623</v>
      </c>
      <c r="D119" s="1">
        <f>IFERROR(__xludf.DUMMYFUNCTION("""COMPUTED_VALUE"""),406739856)</f>
        <v>406739856</v>
      </c>
      <c r="E119" s="1">
        <f>IFERROR(__xludf.DUMMYFUNCTION("""COMPUTED_VALUE"""),466200716004)</f>
        <v>466200716004</v>
      </c>
      <c r="F119" s="1" t="str">
        <f>IFERROR(__xludf.DUMMYFUNCTION("""COMPUTED_VALUE"""),"CLOSED")</f>
        <v>CLOSED</v>
      </c>
      <c r="G119" s="1" t="str">
        <f>IFERROR(__xludf.DUMMYFUNCTION("""COMPUTED_VALUE"""),"CLOSED")</f>
        <v>CLOSED</v>
      </c>
      <c r="H119" s="1" t="str">
        <f>IFERROR(__xludf.DUMMYFUNCTION("""COMPUTED_VALUE"""),"PAID VUA GCASH REF# 881319548 8/14/26")</f>
        <v>PAID VUA GCASH REF# 881319548 8/14/26</v>
      </c>
      <c r="I119" s="1" t="str">
        <f>IFERROR(__xludf.DUMMYFUNCTION("""COMPUTED_VALUE"""),"WITH 1 AMSF")</f>
        <v>WITH 1 AMSF</v>
      </c>
      <c r="J119" s="1"/>
      <c r="K119" s="1" t="str">
        <f>IFERROR(__xludf.DUMMYFUNCTION("""COMPUTED_VALUE"""),"COMPLETED")</f>
        <v>COMPLETED</v>
      </c>
      <c r="L119" s="1" t="str">
        <f>IFERROR(__xludf.DUMMYFUNCTION("""COMPUTED_VALUE"""),"POSTED")</f>
        <v>POSTED</v>
      </c>
      <c r="M119" s="1" t="str">
        <f>IFERROR(__xludf.DUMMYFUNCTION("""COMPUTED_VALUE"""),"POSTED")</f>
        <v>POSTED</v>
      </c>
      <c r="N119" s="3">
        <f>IFERROR(__xludf.DUMMYFUNCTION("""COMPUTED_VALUE"""),46247)</f>
        <v>46247</v>
      </c>
      <c r="O119" s="1" t="str">
        <f>IFERROR(__xludf.DUMMYFUNCTION("""COMPUTED_VALUE"""),"FIBR UNLI ALL PLAN 999")</f>
        <v>FIBR UNLI ALL PLAN 999</v>
      </c>
      <c r="P119" s="1" t="str">
        <f>IFERROR(__xludf.DUMMYFUNCTION("""COMPUTED_VALUE"""),"LOWPLAN")</f>
        <v>LOWPLAN</v>
      </c>
      <c r="Q119" s="1" t="str">
        <f>IFERROR(__xludf.DUMMYFUNCTION("""COMPUTED_VALUE"""),"P407050")</f>
        <v>P407050</v>
      </c>
      <c r="R119" s="1" t="str">
        <f>IFERROR(__xludf.DUMMYFUNCTION("""COMPUTED_VALUE"""),"MAGDARAOG, KENNETH")</f>
        <v>MAGDARAOG, KENNETH</v>
      </c>
      <c r="S119" s="1" t="str">
        <f>IFERROR(__xludf.DUMMYFUNCTION("""COMPUTED_VALUE"""),"ORGANIC")</f>
        <v>ORGANIC</v>
      </c>
      <c r="T119" s="1" t="str">
        <f>IFERROR(__xludf.DUMMYFUNCTION("""COMPUTED_VALUE"""),"LEA REMOLLO")</f>
        <v>LEA REMOLLO</v>
      </c>
      <c r="U119" s="1" t="str">
        <f>IFERROR(__xludf.DUMMYFUNCTION("""COMPUTED_VALUE"""),"JB SALIOA")</f>
        <v>JB SALIOA</v>
      </c>
      <c r="V119" s="1" t="str">
        <f>IFERROR(__xludf.DUMMYFUNCTION("""COMPUTED_VALUE"""),"BK HSTK")</f>
        <v>BK HSTK</v>
      </c>
      <c r="W119" s="1" t="str">
        <f>IFERROR(__xludf.DUMMYFUNCTION("""COMPUTED_VALUE"""),"BK HSTK")</f>
        <v>BK HSTK</v>
      </c>
      <c r="X119" s="1" t="str">
        <f>IFERROR(__xludf.DUMMYFUNCTION("""COMPUTED_VALUE"""),"HBBS AUG 2026")</f>
        <v>HBBS AUG 2026</v>
      </c>
      <c r="Y119" s="1" t="str">
        <f>IFERROR(__xludf.DUMMYFUNCTION("""COMPUTED_VALUE"""),"BK_CVEU_260804")</f>
        <v>BK_CVEU_260804</v>
      </c>
      <c r="Z119" s="1" t="str">
        <f>IFERROR(__xludf.DUMMYFUNCTION("""COMPUTED_VALUE"""),"NEW CONNECT")</f>
        <v>NEW CONNECT</v>
      </c>
      <c r="AA119" s="1">
        <f>IFERROR(__xludf.DUMMYFUNCTION("""COMPUTED_VALUE"""),639852311445)</f>
        <v>639852311445</v>
      </c>
      <c r="AB119" s="1"/>
      <c r="AC119" s="1">
        <f>IFERROR(__xludf.DUMMYFUNCTION("""COMPUTED_VALUE"""),168)</f>
        <v>168</v>
      </c>
      <c r="AD119" s="1" t="str">
        <f>IFERROR(__xludf.DUMMYFUNCTION("""COMPUTED_VALUE"""),"NICOLASA VIRATA")</f>
        <v>NICOLASA VIRATA</v>
      </c>
      <c r="AE119" s="1"/>
      <c r="AF119" s="1" t="str">
        <f>IFERROR(__xludf.DUMMYFUNCTION("""COMPUTED_VALUE"""),"BGY NICOLASA VIRATA")</f>
        <v>BGY NICOLASA VIRATA</v>
      </c>
      <c r="AG119" s="1" t="str">
        <f>IFERROR(__xludf.DUMMYFUNCTION("""COMPUTED_VALUE"""),"GEN MARIANO ALVAREZ")</f>
        <v>GEN MARIANO ALVAREZ</v>
      </c>
      <c r="AH119" s="1" t="str">
        <f>IFERROR(__xludf.DUMMYFUNCTION("""COMPUTED_VALUE"""),"-")</f>
        <v>-</v>
      </c>
      <c r="AI119" s="1" t="str">
        <f>IFERROR(__xludf.DUMMYFUNCTION("""COMPUTED_VALUE"""),"CLUSTER 11")</f>
        <v>CLUSTER 11</v>
      </c>
    </row>
    <row r="120" customHeight="1" spans="1:35">
      <c r="A120" s="3">
        <f>IFERROR(__xludf.DUMMYFUNCTION("""COMPUTED_VALUE"""),46246)</f>
        <v>46246</v>
      </c>
      <c r="B120" s="1" t="str">
        <f>IFERROR(__xludf.DUMMYFUNCTION("""COMPUTED_VALUE"""),"ELMER HAPA DE GUZMAN")</f>
        <v>ELMER HAPA DE GUZMAN</v>
      </c>
      <c r="C120" s="1">
        <f>IFERROR(__xludf.DUMMYFUNCTION("""COMPUTED_VALUE"""),2311734439)</f>
        <v>2311734439</v>
      </c>
      <c r="D120" s="1">
        <f>IFERROR(__xludf.DUMMYFUNCTION("""COMPUTED_VALUE"""),406770443)</f>
        <v>406770443</v>
      </c>
      <c r="E120" s="1">
        <f>IFERROR(__xludf.DUMMYFUNCTION("""COMPUTED_VALUE"""),466328922004)</f>
        <v>466328922004</v>
      </c>
      <c r="F120" s="1" t="str">
        <f>IFERROR(__xludf.DUMMYFUNCTION("""COMPUTED_VALUE"""),"CANCELLED")</f>
        <v>CANCELLED</v>
      </c>
      <c r="G120" s="1" t="str">
        <f>IFERROR(__xludf.DUMMYFUNCTION("""COMPUTED_VALUE"""),"RPR VISITED   REMARKS   FULL CAFAC SILLP586NP1 FULL SILLP586NP2 P5 ACTIVE  SILLP520NP3 FULL SUBS ALREADY ADVICE    TALK ELMER HAPA DE GUZMAN 09634432672 09127573792")</f>
        <v>RPR VISITED   REMARKS   FULL CAFAC SILLP586NP1 FULL SILLP586NP2 P5 ACTIVE  SILLP520NP3 FULL SUBS ALREADY ADVICE    TALK ELMER HAPA DE GUZMAN 09634432672 09127573792</v>
      </c>
      <c r="H120" s="1"/>
      <c r="I120" s="1"/>
      <c r="J120" s="1"/>
      <c r="K120" s="1" t="str">
        <f>IFERROR(__xludf.DUMMYFUNCTION("""COMPUTED_VALUE"""),"CANCELED")</f>
        <v>CANCELED</v>
      </c>
      <c r="L120" s="1" t="str">
        <f>IFERROR(__xludf.DUMMYFUNCTION("""COMPUTED_VALUE"""),"RPR - NAP FULL")</f>
        <v>RPR - NAP FULL</v>
      </c>
      <c r="M120" s="1" t="str">
        <f>IFERROR(__xludf.DUMMYFUNCTION("""COMPUTED_VALUE"""),"RPR- NAP FULL")</f>
        <v>RPR- NAP FULL</v>
      </c>
      <c r="N120" s="3"/>
      <c r="O120" s="1" t="str">
        <f>IFERROR(__xludf.DUMMYFUNCTION("""COMPUTED_VALUE"""),"FIBR UNLI ALL PLAN 999")</f>
        <v>FIBR UNLI ALL PLAN 999</v>
      </c>
      <c r="P120" s="1" t="str">
        <f>IFERROR(__xludf.DUMMYFUNCTION("""COMPUTED_VALUE"""),"LOWPLAN")</f>
        <v>LOWPLAN</v>
      </c>
      <c r="Q120" s="1" t="str">
        <f>IFERROR(__xludf.DUMMYFUNCTION("""COMPUTED_VALUE"""),"P407050")</f>
        <v>P407050</v>
      </c>
      <c r="R120" s="1" t="str">
        <f>IFERROR(__xludf.DUMMYFUNCTION("""COMPUTED_VALUE"""),"MANDUCDOC, MARIANE")</f>
        <v>MANDUCDOC, MARIANE</v>
      </c>
      <c r="S120" s="1" t="str">
        <f>IFERROR(__xludf.DUMMYFUNCTION("""COMPUTED_VALUE"""),"ORGANIC")</f>
        <v>ORGANIC</v>
      </c>
      <c r="T120" s="1" t="str">
        <f>IFERROR(__xludf.DUMMYFUNCTION("""COMPUTED_VALUE"""),"LEA REMOLLO")</f>
        <v>LEA REMOLLO</v>
      </c>
      <c r="U120" s="1" t="str">
        <f>IFERROR(__xludf.DUMMYFUNCTION("""COMPUTED_VALUE"""),"JB SALIOA")</f>
        <v>JB SALIOA</v>
      </c>
      <c r="V120" s="1" t="str">
        <f>IFERROR(__xludf.DUMMYFUNCTION("""COMPUTED_VALUE"""),"BK REGULAR")</f>
        <v>BK REGULAR</v>
      </c>
      <c r="W120" s="1" t="str">
        <f>IFERROR(__xludf.DUMMYFUNCTION("""COMPUTED_VALUE"""),"STK REGULAR")</f>
        <v>STK REGULAR</v>
      </c>
      <c r="X120" s="1" t="str">
        <f>IFERROR(__xludf.DUMMYFUNCTION("""COMPUTED_VALUE"""),"HBBS AUG 2026")</f>
        <v>HBBS AUG 2026</v>
      </c>
      <c r="Y120" s="1" t="str">
        <f>IFERROR(__xludf.DUMMYFUNCTION("""COMPUTED_VALUE"""),"BK_CVEU_260806")</f>
        <v>BK_CVEU_260806</v>
      </c>
      <c r="Z120" s="1" t="str">
        <f>IFERROR(__xludf.DUMMYFUNCTION("""COMPUTED_VALUE"""),"NEW CONNECT")</f>
        <v>NEW CONNECT</v>
      </c>
      <c r="AA120" s="1">
        <f>IFERROR(__xludf.DUMMYFUNCTION("""COMPUTED_VALUE"""),639127573792)</f>
        <v>639127573792</v>
      </c>
      <c r="AB120" s="1">
        <f>IFERROR(__xludf.DUMMYFUNCTION("""COMPUTED_VALUE"""),639634432672)</f>
        <v>639634432672</v>
      </c>
      <c r="AC120" s="1"/>
      <c r="AD120" s="1" t="str">
        <f>IFERROR(__xludf.DUMMYFUNCTION("""COMPUTED_VALUE"""),"BULIHAN")</f>
        <v>BULIHAN</v>
      </c>
      <c r="AE120" s="1"/>
      <c r="AF120" s="1" t="str">
        <f>IFERROR(__xludf.DUMMYFUNCTION("""COMPUTED_VALUE"""),"BGY NARRA 1")</f>
        <v>BGY NARRA 1</v>
      </c>
      <c r="AG120" s="1" t="str">
        <f>IFERROR(__xludf.DUMMYFUNCTION("""COMPUTED_VALUE"""),"SILANG")</f>
        <v>SILANG</v>
      </c>
      <c r="AH120" s="1" t="str">
        <f>IFERROR(__xludf.DUMMYFUNCTION("""COMPUTED_VALUE"""),"-")</f>
        <v>-</v>
      </c>
      <c r="AI120" s="1" t="str">
        <f>IFERROR(__xludf.DUMMYFUNCTION("""COMPUTED_VALUE"""),"CLUSTER 11")</f>
        <v>CLUSTER 11</v>
      </c>
    </row>
    <row r="121" customHeight="1" spans="1:35">
      <c r="A121" s="3">
        <f>IFERROR(__xludf.DUMMYFUNCTION("""COMPUTED_VALUE"""),46246)</f>
        <v>46246</v>
      </c>
      <c r="B121" s="1" t="str">
        <f>IFERROR(__xludf.DUMMYFUNCTION("""COMPUTED_VALUE"""),"HENNESSY MHAE PENANO LADEZA")</f>
        <v>HENNESSY MHAE PENANO LADEZA</v>
      </c>
      <c r="C121" s="1">
        <f>IFERROR(__xludf.DUMMYFUNCTION("""COMPUTED_VALUE"""),2311737040)</f>
        <v>2311737040</v>
      </c>
      <c r="D121" s="1">
        <f>IFERROR(__xludf.DUMMYFUNCTION("""COMPUTED_VALUE"""),406777901)</f>
        <v>406777901</v>
      </c>
      <c r="E121" s="1">
        <f>IFERROR(__xludf.DUMMYFUNCTION("""COMPUTED_VALUE"""),466333218004)</f>
        <v>466333218004</v>
      </c>
      <c r="F121" s="1" t="str">
        <f>IFERROR(__xludf.DUMMYFUNCTION("""COMPUTED_VALUE"""),"CLOSED")</f>
        <v>CLOSED</v>
      </c>
      <c r="G121" s="1" t="str">
        <f>IFERROR(__xludf.DUMMYFUNCTION("""COMPUTED_VALUE"""),"CLOSED")</f>
        <v>CLOSED</v>
      </c>
      <c r="H121" s="1"/>
      <c r="I121" s="1" t="str">
        <f>IFERROR(__xludf.DUMMYFUNCTION("""COMPUTED_VALUE"""),"NO 1 AMSF")</f>
        <v>NO 1 AMSF</v>
      </c>
      <c r="J121" s="1" t="str">
        <f>IFERROR(__xludf.DUMMYFUNCTION("""COMPUTED_VALUE"""),"DUE DATE - 11- Sep-26 - 2,737.81")</f>
        <v>DUE DATE - 11- Sep-26 - 2,737.81</v>
      </c>
      <c r="K121" s="1" t="str">
        <f>IFERROR(__xludf.DUMMYFUNCTION("""COMPUTED_VALUE"""),"COMPLETED")</f>
        <v>COMPLETED</v>
      </c>
      <c r="L121" s="1" t="str">
        <f>IFERROR(__xludf.DUMMYFUNCTION("""COMPUTED_VALUE"""),"POSTED")</f>
        <v>POSTED</v>
      </c>
      <c r="M121" s="1" t="str">
        <f>IFERROR(__xludf.DUMMYFUNCTION("""COMPUTED_VALUE"""),"POSTED")</f>
        <v>POSTED</v>
      </c>
      <c r="N121" s="3">
        <f>IFERROR(__xludf.DUMMYFUNCTION("""COMPUTED_VALUE"""),46250)</f>
        <v>46250</v>
      </c>
      <c r="O121" s="1" t="str">
        <f>IFERROR(__xludf.DUMMYFUNCTION("""COMPUTED_VALUE"""),"FIBR PLAN 1299")</f>
        <v>FIBR PLAN 1299</v>
      </c>
      <c r="P121" s="1" t="str">
        <f>IFERROR(__xludf.DUMMYFUNCTION("""COMPUTED_VALUE"""),"LOWPLAN")</f>
        <v>LOWPLAN</v>
      </c>
      <c r="Q121" s="1" t="str">
        <f>IFERROR(__xludf.DUMMYFUNCTION("""COMPUTED_VALUE"""),"P407050")</f>
        <v>P407050</v>
      </c>
      <c r="R121" s="1" t="str">
        <f>IFERROR(__xludf.DUMMYFUNCTION("""COMPUTED_VALUE"""),"ALOS, CHARLS LAURENZ")</f>
        <v>ALOS, CHARLS LAURENZ</v>
      </c>
      <c r="S121" s="1" t="str">
        <f>IFERROR(__xludf.DUMMYFUNCTION("""COMPUTED_VALUE"""),"ORGANIC")</f>
        <v>ORGANIC</v>
      </c>
      <c r="T121" s="1" t="str">
        <f>IFERROR(__xludf.DUMMYFUNCTION("""COMPUTED_VALUE"""),"LEA REMOLLO")</f>
        <v>LEA REMOLLO</v>
      </c>
      <c r="U121" s="1" t="str">
        <f>IFERROR(__xludf.DUMMYFUNCTION("""COMPUTED_VALUE"""),"JB SALIOA")</f>
        <v>JB SALIOA</v>
      </c>
      <c r="V121" s="1" t="str">
        <f>IFERROR(__xludf.DUMMYFUNCTION("""COMPUTED_VALUE"""),"BK HSTK")</f>
        <v>BK HSTK</v>
      </c>
      <c r="W121" s="1" t="str">
        <f>IFERROR(__xludf.DUMMYFUNCTION("""COMPUTED_VALUE"""),"BK HSTK")</f>
        <v>BK HSTK</v>
      </c>
      <c r="X121" s="1" t="str">
        <f>IFERROR(__xludf.DUMMYFUNCTION("""COMPUTED_VALUE"""),"HBBS AUG 2026")</f>
        <v>HBBS AUG 2026</v>
      </c>
      <c r="Y121" s="1" t="str">
        <f>IFERROR(__xludf.DUMMYFUNCTION("""COMPUTED_VALUE"""),"BK_CVEU_260804")</f>
        <v>BK_CVEU_260804</v>
      </c>
      <c r="Z121" s="1" t="str">
        <f>IFERROR(__xludf.DUMMYFUNCTION("""COMPUTED_VALUE"""),"NEW CONNECT")</f>
        <v>NEW CONNECT</v>
      </c>
      <c r="AA121" s="1">
        <f>IFERROR(__xludf.DUMMYFUNCTION("""COMPUTED_VALUE"""),639518912858)</f>
        <v>639518912858</v>
      </c>
      <c r="AB121" s="1"/>
      <c r="AC121" s="1">
        <f>IFERROR(__xludf.DUMMYFUNCTION("""COMPUTED_VALUE"""),128)</f>
        <v>128</v>
      </c>
      <c r="AD121" s="1" t="str">
        <f>IFERROR(__xludf.DUMMYFUNCTION("""COMPUTED_VALUE"""),"TORRALBA")</f>
        <v>TORRALBA</v>
      </c>
      <c r="AE121" s="1"/>
      <c r="AF121" s="1" t="str">
        <f>IFERROR(__xludf.DUMMYFUNCTION("""COMPUTED_VALUE"""),"BGY ALDIANO OLAES")</f>
        <v>BGY ALDIANO OLAES</v>
      </c>
      <c r="AG121" s="1" t="str">
        <f>IFERROR(__xludf.DUMMYFUNCTION("""COMPUTED_VALUE"""),"GEN MARIANO ALVAREZ")</f>
        <v>GEN MARIANO ALVAREZ</v>
      </c>
      <c r="AH121" s="1" t="str">
        <f>IFERROR(__xludf.DUMMYFUNCTION("""COMPUTED_VALUE"""),"-")</f>
        <v>-</v>
      </c>
      <c r="AI121" s="1" t="str">
        <f>IFERROR(__xludf.DUMMYFUNCTION("""COMPUTED_VALUE"""),"CLUSTER 11")</f>
        <v>CLUSTER 11</v>
      </c>
    </row>
    <row r="122" customHeight="1" spans="1:35">
      <c r="A122" s="3">
        <f>IFERROR(__xludf.DUMMYFUNCTION("""COMPUTED_VALUE"""),46246)</f>
        <v>46246</v>
      </c>
      <c r="B122" s="1" t="str">
        <f>IFERROR(__xludf.DUMMYFUNCTION("""COMPUTED_VALUE""")," RCHARD 09175934326 CARACAS")</f>
        <v> RCHARD 09175934326 CARACAS</v>
      </c>
      <c r="C122" s="1">
        <f>IFERROR(__xludf.DUMMYFUNCTION("""COMPUTED_VALUE"""),2311736967)</f>
        <v>2311736967</v>
      </c>
      <c r="D122" s="1"/>
      <c r="E122" s="1"/>
      <c r="F122" s="1" t="str">
        <f>IFERROR(__xludf.DUMMYFUNCTION("""COMPUTED_VALUE"""),"REENCODED")</f>
        <v>REENCODED</v>
      </c>
      <c r="G122" s="1" t="str">
        <f>IFERROR(__xludf.DUMMYFUNCTION("""COMPUTED_VALUE"""),"REENCODED")</f>
        <v>REENCODED</v>
      </c>
      <c r="H122" s="1"/>
      <c r="I122" s="1"/>
      <c r="J122" s="1"/>
      <c r="K122" s="1"/>
      <c r="L122" s="1" t="str">
        <f>IFERROR(__xludf.DUMMYFUNCTION("""COMPUTED_VALUE"""),"REENCODED")</f>
        <v>REENCODED</v>
      </c>
      <c r="M122" s="1" t="str">
        <f>IFERROR(__xludf.DUMMYFUNCTION("""COMPUTED_VALUE"""),"REENCODED")</f>
        <v>REENCODED</v>
      </c>
      <c r="N122" s="3"/>
      <c r="O122" s="1" t="str">
        <f>IFERROR(__xludf.DUMMYFUNCTION("""COMPUTED_VALUE"""),"FIBER UNLI ALL PLAN 1499")</f>
        <v>FIBER UNLI ALL PLAN 1499</v>
      </c>
      <c r="P122" s="1" t="str">
        <f>IFERROR(__xludf.DUMMYFUNCTION("""COMPUTED_VALUE"""),"LOWPLAN")</f>
        <v>LOWPLAN</v>
      </c>
      <c r="Q122" s="1" t="str">
        <f>IFERROR(__xludf.DUMMYFUNCTION("""COMPUTED_VALUE"""),"P407046")</f>
        <v>P407046</v>
      </c>
      <c r="R122" s="1" t="str">
        <f>IFERROR(__xludf.DUMMYFUNCTION("""COMPUTED_VALUE"""),"MALIWAT, MARK")</f>
        <v>MALIWAT, MARK</v>
      </c>
      <c r="S122" s="1" t="str">
        <f>IFERROR(__xludf.DUMMYFUNCTION("""COMPUTED_VALUE"""),"FLA")</f>
        <v>FLA</v>
      </c>
      <c r="T122" s="1" t="str">
        <f>IFERROR(__xludf.DUMMYFUNCTION("""COMPUTED_VALUE"""),"JERIC NAVARRO")</f>
        <v>JERIC NAVARRO</v>
      </c>
      <c r="U122" s="1" t="str">
        <f>IFERROR(__xludf.DUMMYFUNCTION("""COMPUTED_VALUE"""),"JB SALIOA")</f>
        <v>JB SALIOA</v>
      </c>
      <c r="V122" s="1" t="str">
        <f>IFERROR(__xludf.DUMMYFUNCTION("""COMPUTED_VALUE"""),"BK HSTK")</f>
        <v>BK HSTK</v>
      </c>
      <c r="W122" s="1" t="str">
        <f>IFERROR(__xludf.DUMMYFUNCTION("""COMPUTED_VALUE"""),"BK HSTK")</f>
        <v>BK HSTK</v>
      </c>
      <c r="X122" s="1" t="str">
        <f>IFERROR(__xludf.DUMMYFUNCTION("""COMPUTED_VALUE"""),"HBBS AUG 2026")</f>
        <v>HBBS AUG 2026</v>
      </c>
      <c r="Y122" s="1" t="str">
        <f>IFERROR(__xludf.DUMMYFUNCTION("""COMPUTED_VALUE"""),"BK_CVEU_260807")</f>
        <v>BK_CVEU_260807</v>
      </c>
      <c r="Z122" s="1" t="str">
        <f>IFERROR(__xludf.DUMMYFUNCTION("""COMPUTED_VALUE"""),"NEW CONNECT")</f>
        <v>NEW CONNECT</v>
      </c>
      <c r="AA122" s="1">
        <f>IFERROR(__xludf.DUMMYFUNCTION("""COMPUTED_VALUE"""),639175934326)</f>
        <v>639175934326</v>
      </c>
      <c r="AB122" s="1"/>
      <c r="AC122" s="1"/>
      <c r="AD122" s="1" t="str">
        <f>IFERROR(__xludf.DUMMYFUNCTION("""COMPUTED_VALUE"""),"TAGAYTAY NAGSUGBU")</f>
        <v>TAGAYTAY NAGSUGBU</v>
      </c>
      <c r="AE122" s="1" t="str">
        <f>IFERROR(__xludf.DUMMYFUNCTION("""COMPUTED_VALUE"""),"WIND RESIDENCES TOWER 5")</f>
        <v>WIND RESIDENCES TOWER 5</v>
      </c>
      <c r="AF122" s="1" t="str">
        <f>IFERROR(__xludf.DUMMYFUNCTION("""COMPUTED_VALUE"""),"BGY MAHARLIKA WEST")</f>
        <v>BGY MAHARLIKA WEST</v>
      </c>
      <c r="AG122" s="1" t="str">
        <f>IFERROR(__xludf.DUMMYFUNCTION("""COMPUTED_VALUE"""),"TAGAYTAY")</f>
        <v>TAGAYTAY</v>
      </c>
      <c r="AH122" s="1" t="str">
        <f>IFERROR(__xludf.DUMMYFUNCTION("""COMPUTED_VALUE"""),"NEAR PRIMARK")</f>
        <v>NEAR PRIMARK</v>
      </c>
      <c r="AI122" s="1" t="str">
        <f>IFERROR(__xludf.DUMMYFUNCTION("""COMPUTED_VALUE"""),"CLUSTER 12")</f>
        <v>CLUSTER 12</v>
      </c>
    </row>
    <row r="123" customHeight="1" spans="1:35">
      <c r="A123" s="3">
        <f>IFERROR(__xludf.DUMMYFUNCTION("""COMPUTED_VALUE"""),46246)</f>
        <v>46246</v>
      </c>
      <c r="B123" s="1" t="str">
        <f>IFERROR(__xludf.DUMMYFUNCTION("""COMPUTED_VALUE"""),"RICHARD CUARTERON CARACAS")</f>
        <v>RICHARD CUARTERON CARACAS</v>
      </c>
      <c r="C123" s="1">
        <f>IFERROR(__xludf.DUMMYFUNCTION("""COMPUTED_VALUE"""),2311737778)</f>
        <v>2311737778</v>
      </c>
      <c r="D123" s="1"/>
      <c r="E123" s="1"/>
      <c r="F123" s="1" t="str">
        <f>IFERROR(__xludf.DUMMYFUNCTION("""COMPUTED_VALUE"""),"DISAPPROVED")</f>
        <v>DISAPPROVED</v>
      </c>
      <c r="G123" s="1" t="str">
        <f>IFERROR(__xludf.DUMMYFUNCTION("""COMPUTED_VALUE"""),"(P-OTHERS) DISAPPROVED | INCOMPLETE DOCS - NO SUBS CERT AND CAF SUBMITTED | DONE VALIDATION | TU SCORING II - 15 (HIGH RISK) | 1 AMSF | CLEARED BL HIT | CANCELLED ACCT NO. 0214889366, 0216587693, 0217704197, AND 0333634422 - SAME NAME/DIFFERENT ADDRESS - "&amp;"CALLED THRU: 09175934326 Aug 13 26, 13:25:47 - TALKED TO: SUBS - CALLOUT RESULT: CONFIRMED APPLYING FOR PLDT APPLICATION - CALLOUT STATUS: CONTACTED ")</f>
        <v>(P-OTHERS) DISAPPROVED | INCOMPLETE DOCS - NO SUBS CERT AND CAF SUBMITTED | DONE VALIDATION | TU SCORING II - 15 (HIGH RISK) | 1 AMSF | CLEARED BL HIT | CANCELLED ACCT NO. 0214889366, 0216587693, 0217704197, AND 0333634422 - SAME NAME/DIFFERENT ADDRESS - CALLED THRU: 09175934326 Aug 13 26, 13:25:47 - TALKED TO: SUBS - CALLOUT RESULT: CONFIRMED APPLYING FOR PLDT APPLICATION - CALLOUT STATUS: CONTACTED </v>
      </c>
      <c r="H123" s="1"/>
      <c r="I123" s="1"/>
      <c r="J123" s="1"/>
      <c r="K123" s="1"/>
      <c r="L123" s="1" t="str">
        <f>IFERROR(__xludf.DUMMYFUNCTION("""COMPUTED_VALUE"""),"DISAPPROVED")</f>
        <v>DISAPPROVED</v>
      </c>
      <c r="M123" s="1" t="str">
        <f>IFERROR(__xludf.DUMMYFUNCTION("""COMPUTED_VALUE"""),"DISAPPROVED")</f>
        <v>DISAPPROVED</v>
      </c>
      <c r="N123" s="3"/>
      <c r="O123" s="1" t="str">
        <f>IFERROR(__xludf.DUMMYFUNCTION("""COMPUTED_VALUE"""),"FIBER UNLI ALL PLAN 1499")</f>
        <v>FIBER UNLI ALL PLAN 1499</v>
      </c>
      <c r="P123" s="1" t="str">
        <f>IFERROR(__xludf.DUMMYFUNCTION("""COMPUTED_VALUE"""),"LOWPLAN")</f>
        <v>LOWPLAN</v>
      </c>
      <c r="Q123" s="1" t="str">
        <f>IFERROR(__xludf.DUMMYFUNCTION("""COMPUTED_VALUE"""),"P407046")</f>
        <v>P407046</v>
      </c>
      <c r="R123" s="1" t="str">
        <f>IFERROR(__xludf.DUMMYFUNCTION("""COMPUTED_VALUE"""),"MALIWAT, MARK")</f>
        <v>MALIWAT, MARK</v>
      </c>
      <c r="S123" s="1" t="str">
        <f>IFERROR(__xludf.DUMMYFUNCTION("""COMPUTED_VALUE"""),"FLA")</f>
        <v>FLA</v>
      </c>
      <c r="T123" s="1" t="str">
        <f>IFERROR(__xludf.DUMMYFUNCTION("""COMPUTED_VALUE"""),"JERIC NAVARRO")</f>
        <v>JERIC NAVARRO</v>
      </c>
      <c r="U123" s="1" t="str">
        <f>IFERROR(__xludf.DUMMYFUNCTION("""COMPUTED_VALUE"""),"JB SALIOA")</f>
        <v>JB SALIOA</v>
      </c>
      <c r="V123" s="1" t="str">
        <f>IFERROR(__xludf.DUMMYFUNCTION("""COMPUTED_VALUE"""),"BK REGULAR")</f>
        <v>BK REGULAR</v>
      </c>
      <c r="W123" s="1" t="str">
        <f>IFERROR(__xludf.DUMMYFUNCTION("""COMPUTED_VALUE"""),"STK REGULAR")</f>
        <v>STK REGULAR</v>
      </c>
      <c r="X123" s="1" t="str">
        <f>IFERROR(__xludf.DUMMYFUNCTION("""COMPUTED_VALUE"""),"HBBS AUG 2026")</f>
        <v>HBBS AUG 2026</v>
      </c>
      <c r="Y123" s="1" t="str">
        <f>IFERROR(__xludf.DUMMYFUNCTION("""COMPUTED_VALUE"""),"BK_CVEU_260807")</f>
        <v>BK_CVEU_260807</v>
      </c>
      <c r="Z123" s="1" t="str">
        <f>IFERROR(__xludf.DUMMYFUNCTION("""COMPUTED_VALUE"""),"NEW CONNECT")</f>
        <v>NEW CONNECT</v>
      </c>
      <c r="AA123" s="1">
        <f>IFERROR(__xludf.DUMMYFUNCTION("""COMPUTED_VALUE"""),639175934326)</f>
        <v>639175934326</v>
      </c>
      <c r="AB123" s="1"/>
      <c r="AC123" s="1"/>
      <c r="AD123" s="1" t="str">
        <f>IFERROR(__xludf.DUMMYFUNCTION("""COMPUTED_VALUE"""),"TAGAYTAY NAGSUGBU")</f>
        <v>TAGAYTAY NAGSUGBU</v>
      </c>
      <c r="AE123" s="1" t="str">
        <f>IFERROR(__xludf.DUMMYFUNCTION("""COMPUTED_VALUE"""),"WIND RESIDENCES TOWER 5")</f>
        <v>WIND RESIDENCES TOWER 5</v>
      </c>
      <c r="AF123" s="1" t="str">
        <f>IFERROR(__xludf.DUMMYFUNCTION("""COMPUTED_VALUE"""),"BGY MAHARLIKA WEST")</f>
        <v>BGY MAHARLIKA WEST</v>
      </c>
      <c r="AG123" s="1" t="str">
        <f>IFERROR(__xludf.DUMMYFUNCTION("""COMPUTED_VALUE"""),"TAGAYTAY")</f>
        <v>TAGAYTAY</v>
      </c>
      <c r="AH123" s="1" t="str">
        <f>IFERROR(__xludf.DUMMYFUNCTION("""COMPUTED_VALUE"""),"NEAR PRIMARK")</f>
        <v>NEAR PRIMARK</v>
      </c>
      <c r="AI123" s="1" t="str">
        <f>IFERROR(__xludf.DUMMYFUNCTION("""COMPUTED_VALUE"""),"CLUSTER 12")</f>
        <v>CLUSTER 12</v>
      </c>
    </row>
    <row r="124" customHeight="1" spans="1:35">
      <c r="A124" s="3">
        <f>IFERROR(__xludf.DUMMYFUNCTION("""COMPUTED_VALUE"""),46247)</f>
        <v>46247</v>
      </c>
      <c r="B124" s="1" t="str">
        <f>IFERROR(__xludf.DUMMYFUNCTION("""COMPUTED_VALUE"""),"ANNABELLE DIONGLAY MOHAMMED SELIM")</f>
        <v>ANNABELLE DIONGLAY MOHAMMED SELIM</v>
      </c>
      <c r="C124" s="1">
        <f>IFERROR(__xludf.DUMMYFUNCTION("""COMPUTED_VALUE"""),2311755660)</f>
        <v>2311755660</v>
      </c>
      <c r="D124" s="1"/>
      <c r="E124" s="1"/>
      <c r="F124" s="1" t="str">
        <f>IFERROR(__xludf.DUMMYFUNCTION("""COMPUTED_VALUE"""),"CANCELLED")</f>
        <v>CANCELLED</v>
      </c>
      <c r="G124" s="1" t="str">
        <f>IFERROR(__xludf.DUMMYFUNCTION("""COMPUTED_VALUE"""),"SUBS HAS BL ACCT.# 0147446438. PLS. ADVISE TO SETTLE PHP14,465.28 BEFORE RE-RENCODING ")</f>
        <v>SUBS HAS BL ACCT.# 0147446438. PLS. ADVISE TO SETTLE PHP14,465.28 BEFORE RE-RENCODING </v>
      </c>
      <c r="H124" s="1"/>
      <c r="I124" s="1"/>
      <c r="J124" s="1"/>
      <c r="K124" s="1"/>
      <c r="L124" s="1" t="str">
        <f>IFERROR(__xludf.DUMMYFUNCTION("""COMPUTED_VALUE"""),"CANCELLED")</f>
        <v>CANCELLED</v>
      </c>
      <c r="M124" s="1" t="str">
        <f>IFERROR(__xludf.DUMMYFUNCTION("""COMPUTED_VALUE"""),"CANCELLED - WITH OB")</f>
        <v>CANCELLED - WITH OB</v>
      </c>
      <c r="N124" s="3"/>
      <c r="O124" s="1" t="str">
        <f>IFERROR(__xludf.DUMMYFUNCTION("""COMPUTED_VALUE"""),"FIBER UNLI ALL PLAN 1499")</f>
        <v>FIBER UNLI ALL PLAN 1499</v>
      </c>
      <c r="P124" s="1" t="str">
        <f>IFERROR(__xludf.DUMMYFUNCTION("""COMPUTED_VALUE"""),"LOWPLAN")</f>
        <v>LOWPLAN</v>
      </c>
      <c r="Q124" s="1" t="str">
        <f>IFERROR(__xludf.DUMMYFUNCTION("""COMPUTED_VALUE"""),"P407044")</f>
        <v>P407044</v>
      </c>
      <c r="R124" s="1" t="str">
        <f>IFERROR(__xludf.DUMMYFUNCTION("""COMPUTED_VALUE"""),"AYON, MANUEL")</f>
        <v>AYON, MANUEL</v>
      </c>
      <c r="S124" s="1" t="str">
        <f>IFERROR(__xludf.DUMMYFUNCTION("""COMPUTED_VALUE"""),"FLA")</f>
        <v>FLA</v>
      </c>
      <c r="T124" s="1" t="str">
        <f>IFERROR(__xludf.DUMMYFUNCTION("""COMPUTED_VALUE"""),"JERIC NAVARRO")</f>
        <v>JERIC NAVARRO</v>
      </c>
      <c r="U124" s="1" t="str">
        <f>IFERROR(__xludf.DUMMYFUNCTION("""COMPUTED_VALUE"""),"JULIE ESPIRITU")</f>
        <v>JULIE ESPIRITU</v>
      </c>
      <c r="V124" s="1" t="str">
        <f>IFERROR(__xludf.DUMMYFUNCTION("""COMPUTED_VALUE"""),"BK HSTK")</f>
        <v>BK HSTK</v>
      </c>
      <c r="W124" s="1" t="str">
        <f>IFERROR(__xludf.DUMMYFUNCTION("""COMPUTED_VALUE"""),"BK HSTK")</f>
        <v>BK HSTK</v>
      </c>
      <c r="X124" s="1" t="str">
        <f>IFERROR(__xludf.DUMMYFUNCTION("""COMPUTED_VALUE"""),"HBBS AUG 2026")</f>
        <v>HBBS AUG 2026</v>
      </c>
      <c r="Y124" s="1" t="str">
        <f>IFERROR(__xludf.DUMMYFUNCTION("""COMPUTED_VALUE"""),"BK_CVEU_260803")</f>
        <v>BK_CVEU_260803</v>
      </c>
      <c r="Z124" s="1" t="str">
        <f>IFERROR(__xludf.DUMMYFUNCTION("""COMPUTED_VALUE"""),"NEW CONNECT")</f>
        <v>NEW CONNECT</v>
      </c>
      <c r="AA124" s="1">
        <f>IFERROR(__xludf.DUMMYFUNCTION("""COMPUTED_VALUE"""),639063790432)</f>
        <v>639063790432</v>
      </c>
      <c r="AB124" s="1">
        <f>IFERROR(__xludf.DUMMYFUNCTION("""COMPUTED_VALUE"""),639176850059)</f>
        <v>639176850059</v>
      </c>
      <c r="AC124" s="1"/>
      <c r="AD124" s="1" t="str">
        <f>IFERROR(__xludf.DUMMYFUNCTION("""COMPUTED_VALUE"""),"SOUTHWOODS")</f>
        <v>SOUTHWOODS</v>
      </c>
      <c r="AE124" s="1" t="str">
        <f>IFERROR(__xludf.DUMMYFUNCTION("""COMPUTED_VALUE"""),"MANILA SOUTHWOODS GOLF VILLAS")</f>
        <v>MANILA SOUTHWOODS GOLF VILLAS</v>
      </c>
      <c r="AF124" s="1" t="str">
        <f>IFERROR(__xludf.DUMMYFUNCTION("""COMPUTED_VALUE"""),"BGY CABILANG BAYBAY")</f>
        <v>BGY CABILANG BAYBAY</v>
      </c>
      <c r="AG124" s="1" t="str">
        <f>IFERROR(__xludf.DUMMYFUNCTION("""COMPUTED_VALUE"""),"CARMONA")</f>
        <v>CARMONA</v>
      </c>
      <c r="AH124" s="1" t="str">
        <f>IFERROR(__xludf.DUMMYFUNCTION("""COMPUTED_VALUE"""),"MANILA SOUTHWOODS MANOR HOTEL")</f>
        <v>MANILA SOUTHWOODS MANOR HOTEL</v>
      </c>
      <c r="AI124" s="1" t="str">
        <f>IFERROR(__xludf.DUMMYFUNCTION("""COMPUTED_VALUE"""),"CLUSTER 11")</f>
        <v>CLUSTER 11</v>
      </c>
    </row>
    <row r="125" customHeight="1" spans="1:35">
      <c r="A125" s="3">
        <f>IFERROR(__xludf.DUMMYFUNCTION("""COMPUTED_VALUE"""),46247)</f>
        <v>46247</v>
      </c>
      <c r="B125" s="1" t="str">
        <f>IFERROR(__xludf.DUMMYFUNCTION("""COMPUTED_VALUE"""),"JOCELYN AMANTE MORALES")</f>
        <v>JOCELYN AMANTE MORALES</v>
      </c>
      <c r="C125" s="1">
        <f>IFERROR(__xludf.DUMMYFUNCTION("""COMPUTED_VALUE"""),2311757057)</f>
        <v>2311757057</v>
      </c>
      <c r="D125" s="1">
        <f>IFERROR(__xludf.DUMMYFUNCTION("""COMPUTED_VALUE"""),406771636)</f>
        <v>406771636</v>
      </c>
      <c r="E125" s="1">
        <f>IFERROR(__xludf.DUMMYFUNCTION("""COMPUTED_VALUE"""),466329830004)</f>
        <v>466329830004</v>
      </c>
      <c r="F125" s="1" t="str">
        <f>IFERROR(__xludf.DUMMYFUNCTION("""COMPUTED_VALUE"""),"CLOSED")</f>
        <v>CLOSED</v>
      </c>
      <c r="G125" s="1" t="str">
        <f>IFERROR(__xludf.DUMMYFUNCTION("""COMPUTED_VALUE"""),"CLOSED")</f>
        <v>CLOSED</v>
      </c>
      <c r="H125" s="1" t="str">
        <f>IFERROR(__xludf.DUMMYFUNCTION("""COMPUTED_VALUE"""),"PQGOR360771090	14-Aug-26	Regular Payment	CIS-GCASH 3.0	1,600.00	936296809	14-Aug-26")</f>
        <v>PQGOR360771090	14-Aug-26	Regular Payment	CIS-GCASH 3.0	1,600.00	936296809	14-Aug-26</v>
      </c>
      <c r="I125" s="1" t="str">
        <f>IFERROR(__xludf.DUMMYFUNCTION("""COMPUTED_VALUE"""),"WITH 1 AMSF")</f>
        <v>WITH 1 AMSF</v>
      </c>
      <c r="J125" s="1"/>
      <c r="K125" s="1" t="str">
        <f>IFERROR(__xludf.DUMMYFUNCTION("""COMPUTED_VALUE"""),"COMPLETED")</f>
        <v>COMPLETED</v>
      </c>
      <c r="L125" s="1" t="str">
        <f>IFERROR(__xludf.DUMMYFUNCTION("""COMPUTED_VALUE"""),"POSTED")</f>
        <v>POSTED</v>
      </c>
      <c r="M125" s="1" t="str">
        <f>IFERROR(__xludf.DUMMYFUNCTION("""COMPUTED_VALUE"""),"POSTED")</f>
        <v>POSTED</v>
      </c>
      <c r="N125" s="3">
        <f>IFERROR(__xludf.DUMMYFUNCTION("""COMPUTED_VALUE"""),46248)</f>
        <v>46248</v>
      </c>
      <c r="O125" s="1" t="str">
        <f>IFERROR(__xludf.DUMMYFUNCTION("""COMPUTED_VALUE"""),"FIBR NETFLIX PLAN 1599")</f>
        <v>FIBR NETFLIX PLAN 1599</v>
      </c>
      <c r="P125" s="1" t="str">
        <f>IFERROR(__xludf.DUMMYFUNCTION("""COMPUTED_VALUE"""),"LOWPLAN")</f>
        <v>LOWPLAN</v>
      </c>
      <c r="Q125" s="1" t="str">
        <f>IFERROR(__xludf.DUMMYFUNCTION("""COMPUTED_VALUE"""),"P407045")</f>
        <v>P407045</v>
      </c>
      <c r="R125" s="1" t="str">
        <f>IFERROR(__xludf.DUMMYFUNCTION("""COMPUTED_VALUE"""),"GABAY, MANUEL")</f>
        <v>GABAY, MANUEL</v>
      </c>
      <c r="S125" s="1" t="str">
        <f>IFERROR(__xludf.DUMMYFUNCTION("""COMPUTED_VALUE"""),"FLA")</f>
        <v>FLA</v>
      </c>
      <c r="T125" s="1" t="str">
        <f>IFERROR(__xludf.DUMMYFUNCTION("""COMPUTED_VALUE"""),"JERIC NAVARRO")</f>
        <v>JERIC NAVARRO</v>
      </c>
      <c r="U125" s="1" t="str">
        <f>IFERROR(__xludf.DUMMYFUNCTION("""COMPUTED_VALUE"""),"JULIE ESPIRITU")</f>
        <v>JULIE ESPIRITU</v>
      </c>
      <c r="V125" s="1" t="str">
        <f>IFERROR(__xludf.DUMMYFUNCTION("""COMPUTED_VALUE"""),"BK HSTK")</f>
        <v>BK HSTK</v>
      </c>
      <c r="W125" s="1" t="str">
        <f>IFERROR(__xludf.DUMMYFUNCTION("""COMPUTED_VALUE"""),"BK HSTK")</f>
        <v>BK HSTK</v>
      </c>
      <c r="X125" s="1" t="str">
        <f>IFERROR(__xludf.DUMMYFUNCTION("""COMPUTED_VALUE"""),"HBBS AUG 2026")</f>
        <v>HBBS AUG 2026</v>
      </c>
      <c r="Y125" s="1" t="str">
        <f>IFERROR(__xludf.DUMMYFUNCTION("""COMPUTED_VALUE"""),"BK_CVEU_260806")</f>
        <v>BK_CVEU_260806</v>
      </c>
      <c r="Z125" s="1" t="str">
        <f>IFERROR(__xludf.DUMMYFUNCTION("""COMPUTED_VALUE"""),"NEW CONNECT")</f>
        <v>NEW CONNECT</v>
      </c>
      <c r="AA125" s="1">
        <f>IFERROR(__xludf.DUMMYFUNCTION("""COMPUTED_VALUE"""),639295420154)</f>
        <v>639295420154</v>
      </c>
      <c r="AB125" s="1">
        <f>IFERROR(__xludf.DUMMYFUNCTION("""COMPUTED_VALUE"""),639617205788)</f>
        <v>639617205788</v>
      </c>
      <c r="AC125" s="1">
        <f>IFERROR(__xludf.DUMMYFUNCTION("""COMPUTED_VALUE"""),9045)</f>
        <v>9045</v>
      </c>
      <c r="AD125" s="1" t="str">
        <f>IFERROR(__xludf.DUMMYFUNCTION("""COMPUTED_VALUE"""),"SITIO MUZON")</f>
        <v>SITIO MUZON</v>
      </c>
      <c r="AE125" s="1"/>
      <c r="AF125" s="1" t="str">
        <f>IFERROR(__xludf.DUMMYFUNCTION("""COMPUTED_VALUE"""),"BGY PUTING KAHOY")</f>
        <v>BGY PUTING KAHOY</v>
      </c>
      <c r="AG125" s="1" t="str">
        <f>IFERROR(__xludf.DUMMYFUNCTION("""COMPUTED_VALUE"""),"SILANG")</f>
        <v>SILANG</v>
      </c>
      <c r="AH125" s="1"/>
      <c r="AI125" s="1" t="str">
        <f>IFERROR(__xludf.DUMMYFUNCTION("""COMPUTED_VALUE"""),"CLUSTER 11")</f>
        <v>CLUSTER 11</v>
      </c>
    </row>
    <row r="126" customHeight="1" spans="1:35">
      <c r="A126" s="3">
        <f>IFERROR(__xludf.DUMMYFUNCTION("""COMPUTED_VALUE"""),46247)</f>
        <v>46247</v>
      </c>
      <c r="B126" s="1" t="str">
        <f>IFERROR(__xludf.DUMMYFUNCTION("""COMPUTED_VALUE"""),"NELMER SIMBAJON ALARCON")</f>
        <v>NELMER SIMBAJON ALARCON</v>
      </c>
      <c r="C126" s="1">
        <f>IFERROR(__xludf.DUMMYFUNCTION("""COMPUTED_VALUE"""),2311757595)</f>
        <v>2311757595</v>
      </c>
      <c r="D126" s="1">
        <f>IFERROR(__xludf.DUMMYFUNCTION("""COMPUTED_VALUE"""),406772101)</f>
        <v>406772101</v>
      </c>
      <c r="E126" s="1">
        <f>IFERROR(__xludf.DUMMYFUNCTION("""COMPUTED_VALUE"""),466329717004)</f>
        <v>466329717004</v>
      </c>
      <c r="F126" s="1" t="str">
        <f>IFERROR(__xludf.DUMMYFUNCTION("""COMPUTED_VALUE"""),"CLOSED")</f>
        <v>CLOSED</v>
      </c>
      <c r="G126" s="1" t="str">
        <f>IFERROR(__xludf.DUMMYFUNCTION("""COMPUTED_VALUE"""),"CLOSED")</f>
        <v>CLOSED</v>
      </c>
      <c r="H126" s="1" t="str">
        <f>IFERROR(__xludf.DUMMYFUNCTION("""COMPUTED_VALUE"""),"PAID VIA GCASH REF 285947234 AUGUST 14")</f>
        <v>PAID VIA GCASH REF 285947234 AUGUST 14</v>
      </c>
      <c r="I126" s="1" t="str">
        <f>IFERROR(__xludf.DUMMYFUNCTION("""COMPUTED_VALUE"""),"WITH 1 AMSF")</f>
        <v>WITH 1 AMSF</v>
      </c>
      <c r="J126" s="1"/>
      <c r="K126" s="1" t="str">
        <f>IFERROR(__xludf.DUMMYFUNCTION("""COMPUTED_VALUE"""),"COMPLETED")</f>
        <v>COMPLETED</v>
      </c>
      <c r="L126" s="1" t="str">
        <f>IFERROR(__xludf.DUMMYFUNCTION("""COMPUTED_VALUE"""),"POSTED")</f>
        <v>POSTED</v>
      </c>
      <c r="M126" s="1" t="str">
        <f>IFERROR(__xludf.DUMMYFUNCTION("""COMPUTED_VALUE"""),"POSTED")</f>
        <v>POSTED</v>
      </c>
      <c r="N126" s="3">
        <f>IFERROR(__xludf.DUMMYFUNCTION("""COMPUTED_VALUE"""),46248)</f>
        <v>46248</v>
      </c>
      <c r="O126" s="1" t="str">
        <f>IFERROR(__xludf.DUMMYFUNCTION("""COMPUTED_VALUE"""),"FIBR PLAN 1299")</f>
        <v>FIBR PLAN 1299</v>
      </c>
      <c r="P126" s="1" t="str">
        <f>IFERROR(__xludf.DUMMYFUNCTION("""COMPUTED_VALUE"""),"LOWPLAN")</f>
        <v>LOWPLAN</v>
      </c>
      <c r="Q126" s="1" t="str">
        <f>IFERROR(__xludf.DUMMYFUNCTION("""COMPUTED_VALUE"""),"P407050")</f>
        <v>P407050</v>
      </c>
      <c r="R126" s="1" t="str">
        <f>IFERROR(__xludf.DUMMYFUNCTION("""COMPUTED_VALUE"""),"ESCARCHA, ALMA")</f>
        <v>ESCARCHA, ALMA</v>
      </c>
      <c r="S126" s="1" t="str">
        <f>IFERROR(__xludf.DUMMYFUNCTION("""COMPUTED_VALUE"""),"ORGANIC")</f>
        <v>ORGANIC</v>
      </c>
      <c r="T126" s="1" t="str">
        <f>IFERROR(__xludf.DUMMYFUNCTION("""COMPUTED_VALUE"""),"LEA REMOLLO")</f>
        <v>LEA REMOLLO</v>
      </c>
      <c r="U126" s="1" t="str">
        <f>IFERROR(__xludf.DUMMYFUNCTION("""COMPUTED_VALUE"""),"JULIE ESPIRITU")</f>
        <v>JULIE ESPIRITU</v>
      </c>
      <c r="V126" s="1" t="str">
        <f>IFERROR(__xludf.DUMMYFUNCTION("""COMPUTED_VALUE"""),"BK HSTK")</f>
        <v>BK HSTK</v>
      </c>
      <c r="W126" s="1" t="str">
        <f>IFERROR(__xludf.DUMMYFUNCTION("""COMPUTED_VALUE"""),"BK HSTK")</f>
        <v>BK HSTK</v>
      </c>
      <c r="X126" s="1" t="str">
        <f>IFERROR(__xludf.DUMMYFUNCTION("""COMPUTED_VALUE"""),"HBBS AUG 2026")</f>
        <v>HBBS AUG 2026</v>
      </c>
      <c r="Y126" s="1" t="str">
        <f>IFERROR(__xludf.DUMMYFUNCTION("""COMPUTED_VALUE"""),"BK_CVEU_260806")</f>
        <v>BK_CVEU_260806</v>
      </c>
      <c r="Z126" s="1" t="str">
        <f>IFERROR(__xludf.DUMMYFUNCTION("""COMPUTED_VALUE"""),"NEW CONNECT")</f>
        <v>NEW CONNECT</v>
      </c>
      <c r="AA126" s="1">
        <f>IFERROR(__xludf.DUMMYFUNCTION("""COMPUTED_VALUE"""),639750287663)</f>
        <v>639750287663</v>
      </c>
      <c r="AB126" s="1"/>
      <c r="AC126" s="1">
        <f>IFERROR(__xludf.DUMMYFUNCTION("""COMPUTED_VALUE"""),78)</f>
        <v>78</v>
      </c>
      <c r="AD126" s="1" t="str">
        <f>IFERROR(__xludf.DUMMYFUNCTION("""COMPUTED_VALUE"""),"SITIO MUZON")</f>
        <v>SITIO MUZON</v>
      </c>
      <c r="AE126" s="1"/>
      <c r="AF126" s="1" t="str">
        <f>IFERROR(__xludf.DUMMYFUNCTION("""COMPUTED_VALUE"""),"BGY PUTING KAHOY")</f>
        <v>BGY PUTING KAHOY</v>
      </c>
      <c r="AG126" s="1" t="str">
        <f>IFERROR(__xludf.DUMMYFUNCTION("""COMPUTED_VALUE"""),"SILANG")</f>
        <v>SILANG</v>
      </c>
      <c r="AH126" s="1" t="str">
        <f>IFERROR(__xludf.DUMMYFUNCTION("""COMPUTED_VALUE"""),"ABC CENTER")</f>
        <v>ABC CENTER</v>
      </c>
      <c r="AI126" s="1" t="str">
        <f>IFERROR(__xludf.DUMMYFUNCTION("""COMPUTED_VALUE"""),"CLUSTER 11")</f>
        <v>CLUSTER 11</v>
      </c>
    </row>
    <row r="127" customHeight="1" spans="1:35">
      <c r="A127" s="3">
        <f>IFERROR(__xludf.DUMMYFUNCTION("""COMPUTED_VALUE"""),46247)</f>
        <v>46247</v>
      </c>
      <c r="B127" s="1" t="str">
        <f>IFERROR(__xludf.DUMMYFUNCTION("""COMPUTED_VALUE"""),"JIEN ORTEGA ODIAME")</f>
        <v>JIEN ORTEGA ODIAME</v>
      </c>
      <c r="C127" s="1">
        <f>IFERROR(__xludf.DUMMYFUNCTION("""COMPUTED_VALUE"""),2311758597)</f>
        <v>2311758597</v>
      </c>
      <c r="D127" s="1">
        <f>IFERROR(__xludf.DUMMYFUNCTION("""COMPUTED_VALUE"""),406798518)</f>
        <v>406798518</v>
      </c>
      <c r="E127" s="1">
        <f>IFERROR(__xludf.DUMMYFUNCTION("""COMPUTED_VALUE"""),466365910004)</f>
        <v>466365910004</v>
      </c>
      <c r="F127" s="1" t="str">
        <f>IFERROR(__xludf.DUMMYFUNCTION("""COMPUTED_VALUE"""),"CLOSED")</f>
        <v>CLOSED</v>
      </c>
      <c r="G127" s="1" t="str">
        <f>IFERROR(__xludf.DUMMYFUNCTION("""COMPUTED_VALUE"""),"CLOSED")</f>
        <v>CLOSED</v>
      </c>
      <c r="H127" s="1" t="str">
        <f>IFERROR(__xludf.DUMMYFUNCTION("""COMPUTED_VALUE"""),"PAID VIA GCSH REF 988242967 AUGUST 14")</f>
        <v>PAID VIA GCSH REF 988242967 AUGUST 14</v>
      </c>
      <c r="I127" s="1" t="str">
        <f>IFERROR(__xludf.DUMMYFUNCTION("""COMPUTED_VALUE"""),"WITH 1 AMSF")</f>
        <v>WITH 1 AMSF</v>
      </c>
      <c r="J127" s="1"/>
      <c r="K127" s="1" t="str">
        <f>IFERROR(__xludf.DUMMYFUNCTION("""COMPUTED_VALUE"""),"COMPLETED")</f>
        <v>COMPLETED</v>
      </c>
      <c r="L127" s="1" t="str">
        <f>IFERROR(__xludf.DUMMYFUNCTION("""COMPUTED_VALUE"""),"POSTED")</f>
        <v>POSTED</v>
      </c>
      <c r="M127" s="1" t="str">
        <f>IFERROR(__xludf.DUMMYFUNCTION("""COMPUTED_VALUE"""),"POSTED")</f>
        <v>POSTED</v>
      </c>
      <c r="N127" s="3">
        <f>IFERROR(__xludf.DUMMYFUNCTION("""COMPUTED_VALUE"""),46248)</f>
        <v>46248</v>
      </c>
      <c r="O127" s="1" t="str">
        <f>IFERROR(__xludf.DUMMYFUNCTION("""COMPUTED_VALUE"""),"FIBER UNLI ALL PLAN 2599")</f>
        <v>FIBER UNLI ALL PLAN 2599</v>
      </c>
      <c r="P127" s="1" t="str">
        <f>IFERROR(__xludf.DUMMYFUNCTION("""COMPUTED_VALUE"""),"HIGHPLAN")</f>
        <v>HIGHPLAN</v>
      </c>
      <c r="Q127" s="1" t="str">
        <f>IFERROR(__xludf.DUMMYFUNCTION("""COMPUTED_VALUE"""),"P407046")</f>
        <v>P407046</v>
      </c>
      <c r="R127" s="1" t="str">
        <f>IFERROR(__xludf.DUMMYFUNCTION("""COMPUTED_VALUE"""),"REMOLLO, LEA")</f>
        <v>REMOLLO, LEA</v>
      </c>
      <c r="S127" s="1" t="str">
        <f>IFERROR(__xludf.DUMMYFUNCTION("""COMPUTED_VALUE"""),"FLA")</f>
        <v>FLA</v>
      </c>
      <c r="T127" s="1" t="str">
        <f>IFERROR(__xludf.DUMMYFUNCTION("""COMPUTED_VALUE"""),"JERIC NAVARRO")</f>
        <v>JERIC NAVARRO</v>
      </c>
      <c r="U127" s="1" t="str">
        <f>IFERROR(__xludf.DUMMYFUNCTION("""COMPUTED_VALUE"""),"JULIE ESPIRITU")</f>
        <v>JULIE ESPIRITU</v>
      </c>
      <c r="V127" s="1" t="str">
        <f>IFERROR(__xludf.DUMMYFUNCTION("""COMPUTED_VALUE"""),"ONLINE/CRANFORD")</f>
        <v>ONLINE/CRANFORD</v>
      </c>
      <c r="W127" s="1" t="str">
        <f>IFERROR(__xludf.DUMMYFUNCTION("""COMPUTED_VALUE"""),"STK REGULAR")</f>
        <v>STK REGULAR</v>
      </c>
      <c r="X127" s="1" t="str">
        <f>IFERROR(__xludf.DUMMYFUNCTION("""COMPUTED_VALUE"""),"HBBS AUG 2026")</f>
        <v>HBBS AUG 2026</v>
      </c>
      <c r="Y127" s="1" t="str">
        <f>IFERROR(__xludf.DUMMYFUNCTION("""COMPUTED_VALUE"""),"RS_ONL_CVEU_2026")</f>
        <v>RS_ONL_CVEU_2026</v>
      </c>
      <c r="Z127" s="1" t="str">
        <f>IFERROR(__xludf.DUMMYFUNCTION("""COMPUTED_VALUE"""),"NEW CONNECT")</f>
        <v>NEW CONNECT</v>
      </c>
      <c r="AA127" s="1">
        <f>IFERROR(__xludf.DUMMYFUNCTION("""COMPUTED_VALUE"""),639060897834)</f>
        <v>639060897834</v>
      </c>
      <c r="AB127" s="1"/>
      <c r="AC127" s="1">
        <f>IFERROR(__xludf.DUMMYFUNCTION("""COMPUTED_VALUE"""),68)</f>
        <v>68</v>
      </c>
      <c r="AD127" s="1" t="str">
        <f>IFERROR(__xludf.DUMMYFUNCTION("""COMPUTED_VALUE"""),"AGUINALDO")</f>
        <v>AGUINALDO</v>
      </c>
      <c r="AE127" s="1"/>
      <c r="AF127" s="1" t="str">
        <f>IFERROR(__xludf.DUMMYFUNCTION("""COMPUTED_VALUE"""),"MENDEZ CROSSING WEST")</f>
        <v>MENDEZ CROSSING WEST</v>
      </c>
      <c r="AG127" s="1" t="str">
        <f>IFERROR(__xludf.DUMMYFUNCTION("""COMPUTED_VALUE"""),"TAGAYTAY")</f>
        <v>TAGAYTAY</v>
      </c>
      <c r="AH127" s="1" t="str">
        <f>IFERROR(__xludf.DUMMYFUNCTION("""COMPUTED_VALUE"""),"7/11")</f>
        <v>7/11</v>
      </c>
      <c r="AI127" s="1" t="str">
        <f>IFERROR(__xludf.DUMMYFUNCTION("""COMPUTED_VALUE"""),"CLUSTER 12")</f>
        <v>CLUSTER 12</v>
      </c>
    </row>
    <row r="128" customHeight="1" spans="1:35">
      <c r="A128" s="3">
        <f>IFERROR(__xludf.DUMMYFUNCTION("""COMPUTED_VALUE"""),46247)</f>
        <v>46247</v>
      </c>
      <c r="B128" s="1" t="str">
        <f>IFERROR(__xludf.DUMMYFUNCTION("""COMPUTED_VALUE"""),"DENNIS MERCADO HERNANDEZ")</f>
        <v>DENNIS MERCADO HERNANDEZ</v>
      </c>
      <c r="C128" s="1">
        <f>IFERROR(__xludf.DUMMYFUNCTION("""COMPUTED_VALUE"""),2311758945)</f>
        <v>2311758945</v>
      </c>
      <c r="D128" s="1">
        <f>IFERROR(__xludf.DUMMYFUNCTION("""COMPUTED_VALUE"""),406774406)</f>
        <v>406774406</v>
      </c>
      <c r="E128" s="1">
        <f>IFERROR(__xludf.DUMMYFUNCTION("""COMPUTED_VALUE"""),466331516004)</f>
        <v>466331516004</v>
      </c>
      <c r="F128" s="1" t="str">
        <f>IFERROR(__xludf.DUMMYFUNCTION("""COMPUTED_VALUE"""),"CLOSED")</f>
        <v>CLOSED</v>
      </c>
      <c r="G128" s="1" t="str">
        <f>IFERROR(__xludf.DUMMYFUNCTION("""COMPUTED_VALUE"""),"CLOSED")</f>
        <v>CLOSED</v>
      </c>
      <c r="H128" s="1" t="str">
        <f>IFERROR(__xludf.DUMMYFUNCTION("""COMPUTED_VALUE"""),"PAID VI MARI BANK 218851 AUGUST 13")</f>
        <v>PAID VI MARI BANK 218851 AUGUST 13</v>
      </c>
      <c r="I128" s="1" t="str">
        <f>IFERROR(__xludf.DUMMYFUNCTION("""COMPUTED_VALUE"""),"WITH 1 AMSF")</f>
        <v>WITH 1 AMSF</v>
      </c>
      <c r="J128" s="1"/>
      <c r="K128" s="1" t="str">
        <f>IFERROR(__xludf.DUMMYFUNCTION("""COMPUTED_VALUE"""),"COMPLETED")</f>
        <v>COMPLETED</v>
      </c>
      <c r="L128" s="1" t="str">
        <f>IFERROR(__xludf.DUMMYFUNCTION("""COMPUTED_VALUE"""),"POSTED")</f>
        <v>POSTED</v>
      </c>
      <c r="M128" s="1" t="str">
        <f>IFERROR(__xludf.DUMMYFUNCTION("""COMPUTED_VALUE"""),"POSTED")</f>
        <v>POSTED</v>
      </c>
      <c r="N128" s="3">
        <f>IFERROR(__xludf.DUMMYFUNCTION("""COMPUTED_VALUE"""),46248)</f>
        <v>46248</v>
      </c>
      <c r="O128" s="1" t="str">
        <f>IFERROR(__xludf.DUMMYFUNCTION("""COMPUTED_VALUE"""),"FIBR PLAN 1299")</f>
        <v>FIBR PLAN 1299</v>
      </c>
      <c r="P128" s="1" t="str">
        <f>IFERROR(__xludf.DUMMYFUNCTION("""COMPUTED_VALUE"""),"LOWPLAN")</f>
        <v>LOWPLAN</v>
      </c>
      <c r="Q128" s="1" t="str">
        <f>IFERROR(__xludf.DUMMYFUNCTION("""COMPUTED_VALUE"""),"P407047")</f>
        <v>P407047</v>
      </c>
      <c r="R128" s="1" t="str">
        <f>IFERROR(__xludf.DUMMYFUNCTION("""COMPUTED_VALUE"""),"FRANCISCO, ROSELYN")</f>
        <v>FRANCISCO, ROSELYN</v>
      </c>
      <c r="S128" s="1" t="str">
        <f>IFERROR(__xludf.DUMMYFUNCTION("""COMPUTED_VALUE"""),"ORGANIC")</f>
        <v>ORGANIC</v>
      </c>
      <c r="T128" s="1" t="str">
        <f>IFERROR(__xludf.DUMMYFUNCTION("""COMPUTED_VALUE"""),"LEA REMOLLO")</f>
        <v>LEA REMOLLO</v>
      </c>
      <c r="U128" s="1" t="str">
        <f>IFERROR(__xludf.DUMMYFUNCTION("""COMPUTED_VALUE"""),"JULIE ESPIRITU")</f>
        <v>JULIE ESPIRITU</v>
      </c>
      <c r="V128" s="1" t="str">
        <f>IFERROR(__xludf.DUMMYFUNCTION("""COMPUTED_VALUE"""),"BK HSTK")</f>
        <v>BK HSTK</v>
      </c>
      <c r="W128" s="1" t="str">
        <f>IFERROR(__xludf.DUMMYFUNCTION("""COMPUTED_VALUE"""),"BK HSTK")</f>
        <v>BK HSTK</v>
      </c>
      <c r="X128" s="1" t="str">
        <f>IFERROR(__xludf.DUMMYFUNCTION("""COMPUTED_VALUE"""),"HBBS AUG 2026")</f>
        <v>HBBS AUG 2026</v>
      </c>
      <c r="Y128" s="1" t="str">
        <f>IFERROR(__xludf.DUMMYFUNCTION("""COMPUTED_VALUE"""),"BK_CVEU_260806")</f>
        <v>BK_CVEU_260806</v>
      </c>
      <c r="Z128" s="1" t="str">
        <f>IFERROR(__xludf.DUMMYFUNCTION("""COMPUTED_VALUE"""),"NEW CONNECT")</f>
        <v>NEW CONNECT</v>
      </c>
      <c r="AA128" s="1">
        <f>IFERROR(__xludf.DUMMYFUNCTION("""COMPUTED_VALUE"""),639977457074)</f>
        <v>639977457074</v>
      </c>
      <c r="AB128" s="1">
        <f>IFERROR(__xludf.DUMMYFUNCTION("""COMPUTED_VALUE"""),639168743318)</f>
        <v>639168743318</v>
      </c>
      <c r="AC128" s="1">
        <f>IFERROR(__xludf.DUMMYFUNCTION("""COMPUTED_VALUE"""),117)</f>
        <v>117</v>
      </c>
      <c r="AD128" s="1" t="str">
        <f>IFERROR(__xludf.DUMMYFUNCTION("""COMPUTED_VALUE"""),"SITIO MUZON")</f>
        <v>SITIO MUZON</v>
      </c>
      <c r="AE128" s="1"/>
      <c r="AF128" s="1" t="str">
        <f>IFERROR(__xludf.DUMMYFUNCTION("""COMPUTED_VALUE"""),"BGY PUTING KAHOY")</f>
        <v>BGY PUTING KAHOY</v>
      </c>
      <c r="AG128" s="1" t="str">
        <f>IFERROR(__xludf.DUMMYFUNCTION("""COMPUTED_VALUE"""),"SILANG")</f>
        <v>SILANG</v>
      </c>
      <c r="AH128" s="1" t="str">
        <f>IFERROR(__xludf.DUMMYFUNCTION("""COMPUTED_VALUE"""),"TALIPAPA")</f>
        <v>TALIPAPA</v>
      </c>
      <c r="AI128" s="1" t="str">
        <f>IFERROR(__xludf.DUMMYFUNCTION("""COMPUTED_VALUE"""),"CLUSTER 11")</f>
        <v>CLUSTER 11</v>
      </c>
    </row>
    <row r="129" customHeight="1" spans="1:35">
      <c r="A129" s="3">
        <f>IFERROR(__xludf.DUMMYFUNCTION("""COMPUTED_VALUE"""),46247)</f>
        <v>46247</v>
      </c>
      <c r="B129" s="1" t="str">
        <f>IFERROR(__xludf.DUMMYFUNCTION("""COMPUTED_VALUE"""),"RICHARD CUARTERON CARACAS")</f>
        <v>RICHARD CUARTERON CARACAS</v>
      </c>
      <c r="C129" s="1">
        <f>IFERROR(__xludf.DUMMYFUNCTION("""COMPUTED_VALUE"""),2311763730)</f>
        <v>2311763730</v>
      </c>
      <c r="D129" s="1">
        <f>IFERROR(__xludf.DUMMYFUNCTION("""COMPUTED_VALUE"""),406838587)</f>
        <v>406838587</v>
      </c>
      <c r="E129" s="1">
        <f>IFERROR(__xludf.DUMMYFUNCTION("""COMPUTED_VALUE"""),466476538004)</f>
        <v>466476538004</v>
      </c>
      <c r="F129" s="1" t="str">
        <f>IFERROR(__xludf.DUMMYFUNCTION("""COMPUTED_VALUE"""),"CLOSED")</f>
        <v>CLOSED</v>
      </c>
      <c r="G129" s="1" t="str">
        <f>IFERROR(__xludf.DUMMYFUNCTION("""COMPUTED_VALUE"""),"CLOSED")</f>
        <v>CLOSED</v>
      </c>
      <c r="H129" s="1" t="str">
        <f>IFERROR(__xludf.DUMMYFUNCTION("""COMPUTED_VALUE"""),"PAID THRU PAYEXPRESS PX414052320 AUG 18")</f>
        <v>PAID THRU PAYEXPRESS PX414052320 AUG 18</v>
      </c>
      <c r="I129" s="1" t="str">
        <f>IFERROR(__xludf.DUMMYFUNCTION("""COMPUTED_VALUE"""),"WITH 1 AMSF")</f>
        <v>WITH 1 AMSF</v>
      </c>
      <c r="J129" s="1"/>
      <c r="K129" s="1" t="str">
        <f>IFERROR(__xludf.DUMMYFUNCTION("""COMPUTED_VALUE"""),"CANCELED")</f>
        <v>CANCELED</v>
      </c>
      <c r="L129" s="1" t="str">
        <f>IFERROR(__xludf.DUMMYFUNCTION("""COMPUTED_VALUE"""),"POSTED")</f>
        <v>POSTED</v>
      </c>
      <c r="M129" s="1" t="str">
        <f>IFERROR(__xludf.DUMMYFUNCTION("""COMPUTED_VALUE"""),"POSTED")</f>
        <v>POSTED</v>
      </c>
      <c r="N129" s="3">
        <f>IFERROR(__xludf.DUMMYFUNCTION("""COMPUTED_VALUE"""),46252)</f>
        <v>46252</v>
      </c>
      <c r="O129" s="1" t="str">
        <f>IFERROR(__xludf.DUMMYFUNCTION("""COMPUTED_VALUE"""),"FIBER UNLI ALL PLAN 1499")</f>
        <v>FIBER UNLI ALL PLAN 1499</v>
      </c>
      <c r="P129" s="1" t="str">
        <f>IFERROR(__xludf.DUMMYFUNCTION("""COMPUTED_VALUE"""),"LOWPLAN")</f>
        <v>LOWPLAN</v>
      </c>
      <c r="Q129" s="1" t="str">
        <f>IFERROR(__xludf.DUMMYFUNCTION("""COMPUTED_VALUE"""),"P407046")</f>
        <v>P407046</v>
      </c>
      <c r="R129" s="1" t="str">
        <f>IFERROR(__xludf.DUMMYFUNCTION("""COMPUTED_VALUE"""),"MALIWAT, MARK")</f>
        <v>MALIWAT, MARK</v>
      </c>
      <c r="S129" s="1" t="str">
        <f>IFERROR(__xludf.DUMMYFUNCTION("""COMPUTED_VALUE"""),"FLA")</f>
        <v>FLA</v>
      </c>
      <c r="T129" s="1" t="str">
        <f>IFERROR(__xludf.DUMMYFUNCTION("""COMPUTED_VALUE"""),"JERIC NAVARRO")</f>
        <v>JERIC NAVARRO</v>
      </c>
      <c r="U129" s="1" t="str">
        <f>IFERROR(__xludf.DUMMYFUNCTION("""COMPUTED_VALUE"""),"JULIE ESPIRITU")</f>
        <v>JULIE ESPIRITU</v>
      </c>
      <c r="V129" s="1" t="str">
        <f>IFERROR(__xludf.DUMMYFUNCTION("""COMPUTED_VALUE"""),"ONLINE/CRANFORD")</f>
        <v>ONLINE/CRANFORD</v>
      </c>
      <c r="W129" s="1" t="str">
        <f>IFERROR(__xludf.DUMMYFUNCTION("""COMPUTED_VALUE"""),"STK REGULAR")</f>
        <v>STK REGULAR</v>
      </c>
      <c r="X129" s="1" t="str">
        <f>IFERROR(__xludf.DUMMYFUNCTION("""COMPUTED_VALUE"""),"HBBS AUG 2026")</f>
        <v>HBBS AUG 2026</v>
      </c>
      <c r="Y129" s="1" t="str">
        <f>IFERROR(__xludf.DUMMYFUNCTION("""COMPUTED_VALUE"""),"RS_ONL_CVEU_2026")</f>
        <v>RS_ONL_CVEU_2026</v>
      </c>
      <c r="Z129" s="1" t="str">
        <f>IFERROR(__xludf.DUMMYFUNCTION("""COMPUTED_VALUE"""),"NEW CONNECT")</f>
        <v>NEW CONNECT</v>
      </c>
      <c r="AA129" s="1">
        <f>IFERROR(__xludf.DUMMYFUNCTION("""COMPUTED_VALUE"""),639175934326)</f>
        <v>639175934326</v>
      </c>
      <c r="AB129" s="1"/>
      <c r="AC129" s="1"/>
      <c r="AD129" s="1" t="str">
        <f>IFERROR(__xludf.DUMMYFUNCTION("""COMPUTED_VALUE"""),"TAGAYTAY NAGSUGBU")</f>
        <v>TAGAYTAY NAGSUGBU</v>
      </c>
      <c r="AE129" s="1" t="str">
        <f>IFERROR(__xludf.DUMMYFUNCTION("""COMPUTED_VALUE"""),"WIND RESIDENCES TOWER 5")</f>
        <v>WIND RESIDENCES TOWER 5</v>
      </c>
      <c r="AF129" s="1" t="str">
        <f>IFERROR(__xludf.DUMMYFUNCTION("""COMPUTED_VALUE"""),"BGY MAHARLIKA WEST")</f>
        <v>BGY MAHARLIKA WEST</v>
      </c>
      <c r="AG129" s="1" t="str">
        <f>IFERROR(__xludf.DUMMYFUNCTION("""COMPUTED_VALUE"""),"TAGAYTAY")</f>
        <v>TAGAYTAY</v>
      </c>
      <c r="AH129" s="1" t="str">
        <f>IFERROR(__xludf.DUMMYFUNCTION("""COMPUTED_VALUE"""),"NEAR PRIMARK")</f>
        <v>NEAR PRIMARK</v>
      </c>
      <c r="AI129" s="1" t="str">
        <f>IFERROR(__xludf.DUMMYFUNCTION("""COMPUTED_VALUE"""),"CLUSTER 12")</f>
        <v>CLUSTER 12</v>
      </c>
    </row>
    <row r="130" customHeight="1" spans="1:35">
      <c r="A130" s="3">
        <f>IFERROR(__xludf.DUMMYFUNCTION("""COMPUTED_VALUE"""),46247)</f>
        <v>46247</v>
      </c>
      <c r="B130" s="1" t="str">
        <f>IFERROR(__xludf.DUMMYFUNCTION("""COMPUTED_VALUE"""),"ALLAN JR. LOZANO ORLANES")</f>
        <v>ALLAN JR. LOZANO ORLANES</v>
      </c>
      <c r="C130" s="1">
        <f>IFERROR(__xludf.DUMMYFUNCTION("""COMPUTED_VALUE"""),2311766882)</f>
        <v>2311766882</v>
      </c>
      <c r="D130" s="1">
        <f>IFERROR(__xludf.DUMMYFUNCTION("""COMPUTED_VALUE"""),406788601)</f>
        <v>406788601</v>
      </c>
      <c r="E130" s="1">
        <f>IFERROR(__xludf.DUMMYFUNCTION("""COMPUTED_VALUE"""),466340281004)</f>
        <v>466340281004</v>
      </c>
      <c r="F130" s="1" t="str">
        <f>IFERROR(__xludf.DUMMYFUNCTION("""COMPUTED_VALUE"""),"CANCELLED")</f>
        <v>CANCELLED</v>
      </c>
      <c r="G130" s="1" t="str">
        <f>IFERROR(__xludf.DUMMYFUNCTION("""COMPUTED_VALUE"""),"RPR VISITED REMARKS   FULL NAP  CMNLP248NP5 FULL ASSIGN CAFAC CMNZTLP269NP001 NOT ON SITE  TALK ALLAN JR LOZANO ORLANES 09669376098")</f>
        <v>RPR VISITED REMARKS   FULL NAP  CMNLP248NP5 FULL ASSIGN CAFAC CMNZTLP269NP001 NOT ON SITE  TALK ALLAN JR LOZANO ORLANES 09669376098</v>
      </c>
      <c r="H130" s="1"/>
      <c r="I130" s="1"/>
      <c r="J130" s="1"/>
      <c r="K130" s="1" t="str">
        <f>IFERROR(__xludf.DUMMYFUNCTION("""COMPUTED_VALUE"""),"CANCELED")</f>
        <v>CANCELED</v>
      </c>
      <c r="L130" s="1" t="str">
        <f>IFERROR(__xludf.DUMMYFUNCTION("""COMPUTED_VALUE"""),"RPR - NAP FULL")</f>
        <v>RPR - NAP FULL</v>
      </c>
      <c r="M130" s="1" t="str">
        <f>IFERROR(__xludf.DUMMYFUNCTION("""COMPUTED_VALUE"""),"RPR- NAP FULL")</f>
        <v>RPR- NAP FULL</v>
      </c>
      <c r="N130" s="3"/>
      <c r="O130" s="1" t="str">
        <f>IFERROR(__xludf.DUMMYFUNCTION("""COMPUTED_VALUE"""),"FIBR UNLI ALL PLAN 999")</f>
        <v>FIBR UNLI ALL PLAN 999</v>
      </c>
      <c r="P130" s="1" t="str">
        <f>IFERROR(__xludf.DUMMYFUNCTION("""COMPUTED_VALUE"""),"LOWPLAN")</f>
        <v>LOWPLAN</v>
      </c>
      <c r="Q130" s="1" t="str">
        <f>IFERROR(__xludf.DUMMYFUNCTION("""COMPUTED_VALUE"""),"P407050")</f>
        <v>P407050</v>
      </c>
      <c r="R130" s="1" t="str">
        <f>IFERROR(__xludf.DUMMYFUNCTION("""COMPUTED_VALUE"""),"ALOS, CHARLS LAURENZ")</f>
        <v>ALOS, CHARLS LAURENZ</v>
      </c>
      <c r="S130" s="1" t="str">
        <f>IFERROR(__xludf.DUMMYFUNCTION("""COMPUTED_VALUE"""),"ORGANIC")</f>
        <v>ORGANIC</v>
      </c>
      <c r="T130" s="1" t="str">
        <f>IFERROR(__xludf.DUMMYFUNCTION("""COMPUTED_VALUE"""),"LEA REMOLLO")</f>
        <v>LEA REMOLLO</v>
      </c>
      <c r="U130" s="1" t="str">
        <f>IFERROR(__xludf.DUMMYFUNCTION("""COMPUTED_VALUE"""),"JULIE ESPIRITU")</f>
        <v>JULIE ESPIRITU</v>
      </c>
      <c r="V130" s="1" t="str">
        <f>IFERROR(__xludf.DUMMYFUNCTION("""COMPUTED_VALUE"""),"BK HSTK")</f>
        <v>BK HSTK</v>
      </c>
      <c r="W130" s="1" t="str">
        <f>IFERROR(__xludf.DUMMYFUNCTION("""COMPUTED_VALUE"""),"BK HSTK")</f>
        <v>BK HSTK</v>
      </c>
      <c r="X130" s="1" t="str">
        <f>IFERROR(__xludf.DUMMYFUNCTION("""COMPUTED_VALUE"""),"HBBS AUG 2026")</f>
        <v>HBBS AUG 2026</v>
      </c>
      <c r="Y130" s="1" t="str">
        <f>IFERROR(__xludf.DUMMYFUNCTION("""COMPUTED_VALUE"""),"BK_CVEU_260803")</f>
        <v>BK_CVEU_260803</v>
      </c>
      <c r="Z130" s="1" t="str">
        <f>IFERROR(__xludf.DUMMYFUNCTION("""COMPUTED_VALUE"""),"NEW CONNECT")</f>
        <v>NEW CONNECT</v>
      </c>
      <c r="AA130" s="1">
        <f>IFERROR(__xludf.DUMMYFUNCTION("""COMPUTED_VALUE"""),639669376098)</f>
        <v>639669376098</v>
      </c>
      <c r="AB130" s="1"/>
      <c r="AC130" s="1">
        <f>IFERROR(__xludf.DUMMYFUNCTION("""COMPUTED_VALUE"""),5)</f>
        <v>5</v>
      </c>
      <c r="AD130" s="1" t="str">
        <f>IFERROR(__xludf.DUMMYFUNCTION("""COMPUTED_VALUE"""),"PALIGAWAN MATANDA")</f>
        <v>PALIGAWAN MATANDA</v>
      </c>
      <c r="AE130" s="1"/>
      <c r="AF130" s="1" t="str">
        <f>IFERROR(__xludf.DUMMYFUNCTION("""COMPUTED_VALUE"""),"BGY LANTIC")</f>
        <v>BGY LANTIC</v>
      </c>
      <c r="AG130" s="1" t="str">
        <f>IFERROR(__xludf.DUMMYFUNCTION("""COMPUTED_VALUE"""),"CARMONA")</f>
        <v>CARMONA</v>
      </c>
      <c r="AH130" s="1" t="str">
        <f>IFERROR(__xludf.DUMMYFUNCTION("""COMPUTED_VALUE"""),"WATER PUMP")</f>
        <v>WATER PUMP</v>
      </c>
      <c r="AI130" s="1" t="str">
        <f>IFERROR(__xludf.DUMMYFUNCTION("""COMPUTED_VALUE"""),"CLUSTER 11")</f>
        <v>CLUSTER 11</v>
      </c>
    </row>
    <row r="131" customHeight="1" spans="1:35">
      <c r="A131" s="3">
        <f>IFERROR(__xludf.DUMMYFUNCTION("""COMPUTED_VALUE"""),46247)</f>
        <v>46247</v>
      </c>
      <c r="B131" s="1" t="str">
        <f>IFERROR(__xludf.DUMMYFUNCTION("""COMPUTED_VALUE"""),"EDEN CANA FERNANDEZ")</f>
        <v>EDEN CANA FERNANDEZ</v>
      </c>
      <c r="C131" s="1">
        <f>IFERROR(__xludf.DUMMYFUNCTION("""COMPUTED_VALUE"""),2311768875)</f>
        <v>2311768875</v>
      </c>
      <c r="D131" s="1">
        <f>IFERROR(__xludf.DUMMYFUNCTION("""COMPUTED_VALUE"""),406795543)</f>
        <v>406795543</v>
      </c>
      <c r="E131" s="1">
        <f>IFERROR(__xludf.DUMMYFUNCTION("""COMPUTED_VALUE"""),466355664004)</f>
        <v>466355664004</v>
      </c>
      <c r="F131" s="1" t="str">
        <f>IFERROR(__xludf.DUMMYFUNCTION("""COMPUTED_VALUE"""),"CANCELLED")</f>
        <v>CANCELLED</v>
      </c>
      <c r="G131" s="1" t="str">
        <f>IFERROR(__xludf.DUMMYFUNCTION("""COMPUTED_VALUE"""),"RPR VISITED   REMARKS   FULL CAFAC SILLP482NP7 P4 ACTIVE  SILLP454NP6 FULL SILLP482NP8 FULL SUBS ALREADY ADVICE    TALK EDEN CANA FERNANDEZ 09648600797")</f>
        <v>RPR VISITED   REMARKS   FULL CAFAC SILLP482NP7 P4 ACTIVE  SILLP454NP6 FULL SILLP482NP8 FULL SUBS ALREADY ADVICE    TALK EDEN CANA FERNANDEZ 09648600797</v>
      </c>
      <c r="H131" s="1"/>
      <c r="I131" s="1"/>
      <c r="J131" s="1"/>
      <c r="K131" s="1" t="str">
        <f>IFERROR(__xludf.DUMMYFUNCTION("""COMPUTED_VALUE"""),"CANCELED")</f>
        <v>CANCELED</v>
      </c>
      <c r="L131" s="1" t="str">
        <f>IFERROR(__xludf.DUMMYFUNCTION("""COMPUTED_VALUE"""),"RPR - NAP FULL")</f>
        <v>RPR - NAP FULL</v>
      </c>
      <c r="M131" s="1" t="str">
        <f>IFERROR(__xludf.DUMMYFUNCTION("""COMPUTED_VALUE"""),"RPR- NAP FULL")</f>
        <v>RPR- NAP FULL</v>
      </c>
      <c r="N131" s="3"/>
      <c r="O131" s="1" t="str">
        <f>IFERROR(__xludf.DUMMYFUNCTION("""COMPUTED_VALUE"""),"FIBR PLAN 1299")</f>
        <v>FIBR PLAN 1299</v>
      </c>
      <c r="P131" s="1" t="str">
        <f>IFERROR(__xludf.DUMMYFUNCTION("""COMPUTED_VALUE"""),"LOWPLAN")</f>
        <v>LOWPLAN</v>
      </c>
      <c r="Q131" s="1" t="str">
        <f>IFERROR(__xludf.DUMMYFUNCTION("""COMPUTED_VALUE"""),"P407050")</f>
        <v>P407050</v>
      </c>
      <c r="R131" s="1" t="str">
        <f>IFERROR(__xludf.DUMMYFUNCTION("""COMPUTED_VALUE"""),"MANDUCDOC, MARIANE")</f>
        <v>MANDUCDOC, MARIANE</v>
      </c>
      <c r="S131" s="1" t="str">
        <f>IFERROR(__xludf.DUMMYFUNCTION("""COMPUTED_VALUE"""),"ORGANIC")</f>
        <v>ORGANIC</v>
      </c>
      <c r="T131" s="1" t="str">
        <f>IFERROR(__xludf.DUMMYFUNCTION("""COMPUTED_VALUE"""),"LEA REMOLLO")</f>
        <v>LEA REMOLLO</v>
      </c>
      <c r="U131" s="1" t="str">
        <f>IFERROR(__xludf.DUMMYFUNCTION("""COMPUTED_VALUE"""),"JULIE ESPIRITU")</f>
        <v>JULIE ESPIRITU</v>
      </c>
      <c r="V131" s="1" t="str">
        <f>IFERROR(__xludf.DUMMYFUNCTION("""COMPUTED_VALUE"""),"BK HSTK")</f>
        <v>BK HSTK</v>
      </c>
      <c r="W131" s="1" t="str">
        <f>IFERROR(__xludf.DUMMYFUNCTION("""COMPUTED_VALUE"""),"BK HSTK")</f>
        <v>BK HSTK</v>
      </c>
      <c r="X131" s="1" t="str">
        <f>IFERROR(__xludf.DUMMYFUNCTION("""COMPUTED_VALUE"""),"HBBS AUG 2026")</f>
        <v>HBBS AUG 2026</v>
      </c>
      <c r="Y131" s="1" t="str">
        <f>IFERROR(__xludf.DUMMYFUNCTION("""COMPUTED_VALUE"""),"BK_CVEU_260806")</f>
        <v>BK_CVEU_260806</v>
      </c>
      <c r="Z131" s="1" t="str">
        <f>IFERROR(__xludf.DUMMYFUNCTION("""COMPUTED_VALUE"""),"NEW CONNECT")</f>
        <v>NEW CONNECT</v>
      </c>
      <c r="AA131" s="1">
        <f>IFERROR(__xludf.DUMMYFUNCTION("""COMPUTED_VALUE"""),639648600797)</f>
        <v>639648600797</v>
      </c>
      <c r="AB131" s="1"/>
      <c r="AC131" s="1"/>
      <c r="AD131" s="1" t="str">
        <f>IFERROR(__xludf.DUMMYFUNCTION("""COMPUTED_VALUE"""),"PHASE 1B")</f>
        <v>PHASE 1B</v>
      </c>
      <c r="AE131" s="1"/>
      <c r="AF131" s="1" t="str">
        <f>IFERROR(__xludf.DUMMYFUNCTION("""COMPUTED_VALUE"""),"BGY ACACIA")</f>
        <v>BGY ACACIA</v>
      </c>
      <c r="AG131" s="1" t="str">
        <f>IFERROR(__xludf.DUMMYFUNCTION("""COMPUTED_VALUE"""),"SILANG")</f>
        <v>SILANG</v>
      </c>
      <c r="AH131" s="1" t="str">
        <f>IFERROR(__xludf.DUMMYFUNCTION("""COMPUTED_VALUE"""),"OPEN COURT")</f>
        <v>OPEN COURT</v>
      </c>
      <c r="AI131" s="1" t="str">
        <f>IFERROR(__xludf.DUMMYFUNCTION("""COMPUTED_VALUE"""),"CLUSTER 11")</f>
        <v>CLUSTER 11</v>
      </c>
    </row>
    <row r="132" customHeight="1" spans="1:35">
      <c r="A132" s="3">
        <f>IFERROR(__xludf.DUMMYFUNCTION("""COMPUTED_VALUE"""),46247)</f>
        <v>46247</v>
      </c>
      <c r="B132" s="1" t="str">
        <f>IFERROR(__xludf.DUMMYFUNCTION("""COMPUTED_VALUE"""),"GEMMA GIRAY BANTILO")</f>
        <v>GEMMA GIRAY BANTILO</v>
      </c>
      <c r="C132" s="1">
        <f>IFERROR(__xludf.DUMMYFUNCTION("""COMPUTED_VALUE"""),2311769797)</f>
        <v>2311769797</v>
      </c>
      <c r="D132" s="1"/>
      <c r="E132" s="1"/>
      <c r="F132" s="1" t="str">
        <f>IFERROR(__xludf.DUMMYFUNCTION("""COMPUTED_VALUE"""),"CANCELLED")</f>
        <v>CANCELLED</v>
      </c>
      <c r="G132" s="1" t="str">
        <f>IFERROR(__xludf.DUMMYFUNCTION("""COMPUTED_VALUE"""),"CANCELLED")</f>
        <v>CANCELLED</v>
      </c>
      <c r="H132" s="1"/>
      <c r="I132" s="1"/>
      <c r="J132" s="1"/>
      <c r="K132" s="1"/>
      <c r="L132" s="1" t="str">
        <f>IFERROR(__xludf.DUMMYFUNCTION("""COMPUTED_VALUE"""),"CANCELLED")</f>
        <v>CANCELLED</v>
      </c>
      <c r="M132" s="1" t="str">
        <f>IFERROR(__xludf.DUMMYFUNCTION("""COMPUTED_VALUE"""),"CANCELLED")</f>
        <v>CANCELLED</v>
      </c>
      <c r="N132" s="3"/>
      <c r="O132" s="1" t="str">
        <f>IFERROR(__xludf.DUMMYFUNCTION("""COMPUTED_VALUE"""),"FIBR PLAN 1299")</f>
        <v>FIBR PLAN 1299</v>
      </c>
      <c r="P132" s="1" t="str">
        <f>IFERROR(__xludf.DUMMYFUNCTION("""COMPUTED_VALUE"""),"LOWPLAN")</f>
        <v>LOWPLAN</v>
      </c>
      <c r="Q132" s="1" t="str">
        <f>IFERROR(__xludf.DUMMYFUNCTION("""COMPUTED_VALUE"""),"P407046")</f>
        <v>P407046</v>
      </c>
      <c r="R132" s="1" t="str">
        <f>IFERROR(__xludf.DUMMYFUNCTION("""COMPUTED_VALUE"""),"MALIWAT, MARK")</f>
        <v>MALIWAT, MARK</v>
      </c>
      <c r="S132" s="1" t="str">
        <f>IFERROR(__xludf.DUMMYFUNCTION("""COMPUTED_VALUE"""),"FLA")</f>
        <v>FLA</v>
      </c>
      <c r="T132" s="1" t="str">
        <f>IFERROR(__xludf.DUMMYFUNCTION("""COMPUTED_VALUE"""),"JERIC NAVARRO")</f>
        <v>JERIC NAVARRO</v>
      </c>
      <c r="U132" s="1" t="str">
        <f>IFERROR(__xludf.DUMMYFUNCTION("""COMPUTED_VALUE"""),"JB SALIOA")</f>
        <v>JB SALIOA</v>
      </c>
      <c r="V132" s="1" t="str">
        <f>IFERROR(__xludf.DUMMYFUNCTION("""COMPUTED_VALUE"""),"BK REGULAR")</f>
        <v>BK REGULAR</v>
      </c>
      <c r="W132" s="1" t="str">
        <f>IFERROR(__xludf.DUMMYFUNCTION("""COMPUTED_VALUE"""),"STK REGULAR")</f>
        <v>STK REGULAR</v>
      </c>
      <c r="X132" s="1" t="str">
        <f>IFERROR(__xludf.DUMMYFUNCTION("""COMPUTED_VALUE"""),"REGULAR")</f>
        <v>REGULAR</v>
      </c>
      <c r="Y132" s="1" t="str">
        <f>IFERROR(__xludf.DUMMYFUNCTION("""COMPUTED_VALUE"""),"BK_CVEU_260802")</f>
        <v>BK_CVEU_260802</v>
      </c>
      <c r="Z132" s="1" t="str">
        <f>IFERROR(__xludf.DUMMYFUNCTION("""COMPUTED_VALUE"""),"NEW CONNECT")</f>
        <v>NEW CONNECT</v>
      </c>
      <c r="AA132" s="1">
        <f>IFERROR(__xludf.DUMMYFUNCTION("""COMPUTED_VALUE"""),639649861584)</f>
        <v>639649861584</v>
      </c>
      <c r="AB132" s="1"/>
      <c r="AC132" s="1">
        <f>IFERROR(__xludf.DUMMYFUNCTION("""COMPUTED_VALUE"""),1020)</f>
        <v>1020</v>
      </c>
      <c r="AD132" s="1" t="str">
        <f>IFERROR(__xludf.DUMMYFUNCTION("""COMPUTED_VALUE"""),"GUIRARAY")</f>
        <v>GUIRARAY</v>
      </c>
      <c r="AE132" s="1"/>
      <c r="AF132" s="1" t="str">
        <f>IFERROR(__xludf.DUMMYFUNCTION("""COMPUTED_VALUE"""),"BGY 12")</f>
        <v>BGY 12</v>
      </c>
      <c r="AG132" s="1" t="str">
        <f>IFERROR(__xludf.DUMMYFUNCTION("""COMPUTED_VALUE"""),"AMADEO")</f>
        <v>AMADEO</v>
      </c>
      <c r="AH132" s="1" t="str">
        <f>IFERROR(__xludf.DUMMYFUNCTION("""COMPUTED_VALUE"""),"BARANGAY HALL")</f>
        <v>BARANGAY HALL</v>
      </c>
      <c r="AI132" s="1" t="str">
        <f>IFERROR(__xludf.DUMMYFUNCTION("""COMPUTED_VALUE"""),"CLUSTER 12")</f>
        <v>CLUSTER 12</v>
      </c>
    </row>
    <row r="133" customHeight="1" spans="1:35">
      <c r="A133" s="3">
        <f>IFERROR(__xludf.DUMMYFUNCTION("""COMPUTED_VALUE"""),46248)</f>
        <v>46248</v>
      </c>
      <c r="B133" s="1" t="str">
        <f>IFERROR(__xludf.DUMMYFUNCTION("""COMPUTED_VALUE"""),"RASHEEL INOT BARANDA")</f>
        <v>RASHEEL INOT BARANDA</v>
      </c>
      <c r="C133" s="1">
        <f>IFERROR(__xludf.DUMMYFUNCTION("""COMPUTED_VALUE"""),2311783523)</f>
        <v>2311783523</v>
      </c>
      <c r="D133" s="1">
        <f>IFERROR(__xludf.DUMMYFUNCTION("""COMPUTED_VALUE"""),406842797)</f>
        <v>406842797</v>
      </c>
      <c r="E133" s="1">
        <f>IFERROR(__xludf.DUMMYFUNCTION("""COMPUTED_VALUE"""),466491671004)</f>
        <v>466491671004</v>
      </c>
      <c r="F133" s="1" t="str">
        <f>IFERROR(__xludf.DUMMYFUNCTION("""COMPUTED_VALUE"""),"CLOSED")</f>
        <v>CLOSED</v>
      </c>
      <c r="G133" s="1" t="str">
        <f>IFERROR(__xludf.DUMMYFUNCTION("""COMPUTED_VALUE"""),"CLOSED")</f>
        <v>CLOSED</v>
      </c>
      <c r="H133" s="1" t="str">
        <f>IFERROR(__xludf.DUMMYFUNCTION("""COMPUTED_VALUE"""),"PQGOR364566279	18-Sep-26	Regular Payment	CIS-GCASH 3.0	1,424.71	943397788	18-Sep-26")</f>
        <v>PQGOR364566279	18-Sep-26	Regular Payment	CIS-GCASH 3.0	1,424.71	943397788	18-Sep-26</v>
      </c>
      <c r="I133" s="1" t="str">
        <f>IFERROR(__xludf.DUMMYFUNCTION("""COMPUTED_VALUE"""),"WITH 1 AMSF")</f>
        <v>WITH 1 AMSF</v>
      </c>
      <c r="J133" s="1"/>
      <c r="K133" s="1" t="str">
        <f>IFERROR(__xludf.DUMMYFUNCTION("""COMPUTED_VALUE"""),"COMPLETED")</f>
        <v>COMPLETED</v>
      </c>
      <c r="L133" s="1" t="str">
        <f>IFERROR(__xludf.DUMMYFUNCTION("""COMPUTED_VALUE"""),"POSTED")</f>
        <v>POSTED</v>
      </c>
      <c r="M133" s="1" t="str">
        <f>IFERROR(__xludf.DUMMYFUNCTION("""COMPUTED_VALUE"""),"POSTED")</f>
        <v>POSTED</v>
      </c>
      <c r="N133" s="3">
        <f>IFERROR(__xludf.DUMMYFUNCTION("""COMPUTED_VALUE"""),46249)</f>
        <v>46249</v>
      </c>
      <c r="O133" s="1" t="str">
        <f>IFERROR(__xludf.DUMMYFUNCTION("""COMPUTED_VALUE"""),"FIBR PLAN 1299")</f>
        <v>FIBR PLAN 1299</v>
      </c>
      <c r="P133" s="1" t="str">
        <f>IFERROR(__xludf.DUMMYFUNCTION("""COMPUTED_VALUE"""),"LOWPLAN")</f>
        <v>LOWPLAN</v>
      </c>
      <c r="Q133" s="1" t="str">
        <f>IFERROR(__xludf.DUMMYFUNCTION("""COMPUTED_VALUE"""),"P407047")</f>
        <v>P407047</v>
      </c>
      <c r="R133" s="1" t="str">
        <f>IFERROR(__xludf.DUMMYFUNCTION("""COMPUTED_VALUE"""),"FRANCISCO, ROSELYN")</f>
        <v>FRANCISCO, ROSELYN</v>
      </c>
      <c r="S133" s="1" t="str">
        <f>IFERROR(__xludf.DUMMYFUNCTION("""COMPUTED_VALUE"""),"ORGANIC")</f>
        <v>ORGANIC</v>
      </c>
      <c r="T133" s="1" t="str">
        <f>IFERROR(__xludf.DUMMYFUNCTION("""COMPUTED_VALUE"""),"LEA REMOLLO")</f>
        <v>LEA REMOLLO</v>
      </c>
      <c r="U133" s="1" t="str">
        <f>IFERROR(__xludf.DUMMYFUNCTION("""COMPUTED_VALUE"""),"JB SALIOA")</f>
        <v>JB SALIOA</v>
      </c>
      <c r="V133" s="1" t="str">
        <f>IFERROR(__xludf.DUMMYFUNCTION("""COMPUTED_VALUE"""),"BK REGULAR")</f>
        <v>BK REGULAR</v>
      </c>
      <c r="W133" s="1" t="str">
        <f>IFERROR(__xludf.DUMMYFUNCTION("""COMPUTED_VALUE"""),"STK REGULAR")</f>
        <v>STK REGULAR</v>
      </c>
      <c r="X133" s="1" t="str">
        <f>IFERROR(__xludf.DUMMYFUNCTION("""COMPUTED_VALUE"""),"HBBS AUG 2026")</f>
        <v>HBBS AUG 2026</v>
      </c>
      <c r="Y133" s="1" t="str">
        <f>IFERROR(__xludf.DUMMYFUNCTION("""COMPUTED_VALUE"""),"BK_CVEU_260804")</f>
        <v>BK_CVEU_260804</v>
      </c>
      <c r="Z133" s="1" t="str">
        <f>IFERROR(__xludf.DUMMYFUNCTION("""COMPUTED_VALUE"""),"NEW CONNECT")</f>
        <v>NEW CONNECT</v>
      </c>
      <c r="AA133" s="1">
        <f>IFERROR(__xludf.DUMMYFUNCTION("""COMPUTED_VALUE"""),639561231137)</f>
        <v>639561231137</v>
      </c>
      <c r="AB133" s="1"/>
      <c r="AC133" s="1"/>
      <c r="AD133" s="1" t="str">
        <f>IFERROR(__xludf.DUMMYFUNCTION("""COMPUTED_VALUE"""),"MATAMPUHIN")</f>
        <v>MATAMPUHIN</v>
      </c>
      <c r="AE133" s="1"/>
      <c r="AF133" s="1" t="str">
        <f>IFERROR(__xludf.DUMMYFUNCTION("""COMPUTED_VALUE"""),"BGY BERNARDO PULIDO")</f>
        <v>BGY BERNARDO PULIDO</v>
      </c>
      <c r="AG133" s="1" t="str">
        <f>IFERROR(__xludf.DUMMYFUNCTION("""COMPUTED_VALUE"""),"GEN MARIANO ALVAREZ")</f>
        <v>GEN MARIANO ALVAREZ</v>
      </c>
      <c r="AH133" s="1" t="str">
        <f>IFERROR(__xludf.DUMMYFUNCTION("""COMPUTED_VALUE"""),"LEXAN ")</f>
        <v>LEXAN </v>
      </c>
      <c r="AI133" s="1" t="str">
        <f>IFERROR(__xludf.DUMMYFUNCTION("""COMPUTED_VALUE"""),"CLUSTER 11")</f>
        <v>CLUSTER 11</v>
      </c>
    </row>
    <row r="134" customHeight="1" spans="1:35">
      <c r="A134" s="3">
        <f>IFERROR(__xludf.DUMMYFUNCTION("""COMPUTED_VALUE"""),46248)</f>
        <v>46248</v>
      </c>
      <c r="B134" s="1" t="str">
        <f>IFERROR(__xludf.DUMMYFUNCTION("""COMPUTED_VALUE"""),"LINDA ESQUILONA DAPADAP")</f>
        <v>LINDA ESQUILONA DAPADAP</v>
      </c>
      <c r="C134" s="1">
        <f>IFERROR(__xludf.DUMMYFUNCTION("""COMPUTED_VALUE"""),2311784720)</f>
        <v>2311784720</v>
      </c>
      <c r="D134" s="1">
        <f>IFERROR(__xludf.DUMMYFUNCTION("""COMPUTED_VALUE"""),406813932)</f>
        <v>406813932</v>
      </c>
      <c r="E134" s="1">
        <f>IFERROR(__xludf.DUMMYFUNCTION("""COMPUTED_VALUE"""),466460230004)</f>
        <v>466460230004</v>
      </c>
      <c r="F134" s="1" t="str">
        <f>IFERROR(__xludf.DUMMYFUNCTION("""COMPUTED_VALUE"""),"CLOSED")</f>
        <v>CLOSED</v>
      </c>
      <c r="G134" s="1" t="str">
        <f>IFERROR(__xludf.DUMMYFUNCTION("""COMPUTED_VALUE"""),"CLOSED")</f>
        <v>CLOSED</v>
      </c>
      <c r="H134" s="1" t="str">
        <f>IFERROR(__xludf.DUMMYFUNCTION("""COMPUTED_VALUE"""),"PQGOR360785193	14-Aug-26	Regular Payment	CIS- MAYA 3.0	1,549.00	0	14-Aug-26")</f>
        <v>PQGOR360785193	14-Aug-26	Regular Payment	CIS- MAYA 3.0	1,549.00	0	14-Aug-26</v>
      </c>
      <c r="I134" s="1" t="str">
        <f>IFERROR(__xludf.DUMMYFUNCTION("""COMPUTED_VALUE"""),"WITH 1 AMSF")</f>
        <v>WITH 1 AMSF</v>
      </c>
      <c r="J134" s="1"/>
      <c r="K134" s="1" t="str">
        <f>IFERROR(__xludf.DUMMYFUNCTION("""COMPUTED_VALUE"""),"COMPLETED")</f>
        <v>COMPLETED</v>
      </c>
      <c r="L134" s="1" t="str">
        <f>IFERROR(__xludf.DUMMYFUNCTION("""COMPUTED_VALUE"""),"POSTED")</f>
        <v>POSTED</v>
      </c>
      <c r="M134" s="1" t="str">
        <f>IFERROR(__xludf.DUMMYFUNCTION("""COMPUTED_VALUE"""),"POSTED")</f>
        <v>POSTED</v>
      </c>
      <c r="N134" s="3">
        <f>IFERROR(__xludf.DUMMYFUNCTION("""COMPUTED_VALUE"""),46249)</f>
        <v>46249</v>
      </c>
      <c r="O134" s="1" t="str">
        <f>IFERROR(__xludf.DUMMYFUNCTION("""COMPUTED_VALUE"""),"FIBER UNLI ALL PLAN 1499")</f>
        <v>FIBER UNLI ALL PLAN 1499</v>
      </c>
      <c r="P134" s="1" t="str">
        <f>IFERROR(__xludf.DUMMYFUNCTION("""COMPUTED_VALUE"""),"LOWPLAN")</f>
        <v>LOWPLAN</v>
      </c>
      <c r="Q134" s="1" t="str">
        <f>IFERROR(__xludf.DUMMYFUNCTION("""COMPUTED_VALUE"""),"P407044")</f>
        <v>P407044</v>
      </c>
      <c r="R134" s="1" t="str">
        <f>IFERROR(__xludf.DUMMYFUNCTION("""COMPUTED_VALUE"""),"AYON, MANUEL")</f>
        <v>AYON, MANUEL</v>
      </c>
      <c r="S134" s="1" t="str">
        <f>IFERROR(__xludf.DUMMYFUNCTION("""COMPUTED_VALUE"""),"FLA")</f>
        <v>FLA</v>
      </c>
      <c r="T134" s="1" t="str">
        <f>IFERROR(__xludf.DUMMYFUNCTION("""COMPUTED_VALUE"""),"JERIC NAVARRO")</f>
        <v>JERIC NAVARRO</v>
      </c>
      <c r="U134" s="1" t="str">
        <f>IFERROR(__xludf.DUMMYFUNCTION("""COMPUTED_VALUE"""),"JB SALIOA")</f>
        <v>JB SALIOA</v>
      </c>
      <c r="V134" s="1" t="str">
        <f>IFERROR(__xludf.DUMMYFUNCTION("""COMPUTED_VALUE"""),"BK HSTK")</f>
        <v>BK HSTK</v>
      </c>
      <c r="W134" s="1" t="str">
        <f>IFERROR(__xludf.DUMMYFUNCTION("""COMPUTED_VALUE"""),"BK HSTK")</f>
        <v>BK HSTK</v>
      </c>
      <c r="X134" s="1" t="str">
        <f>IFERROR(__xludf.DUMMYFUNCTION("""COMPUTED_VALUE"""),"HBBS AUG 2026")</f>
        <v>HBBS AUG 2026</v>
      </c>
      <c r="Y134" s="1" t="str">
        <f>IFERROR(__xludf.DUMMYFUNCTION("""COMPUTED_VALUE"""),"BK_CVEU_260803")</f>
        <v>BK_CVEU_260803</v>
      </c>
      <c r="Z134" s="1" t="str">
        <f>IFERROR(__xludf.DUMMYFUNCTION("""COMPUTED_VALUE"""),"NEW CONNECT")</f>
        <v>NEW CONNECT</v>
      </c>
      <c r="AA134" s="1">
        <f>IFERROR(__xludf.DUMMYFUNCTION("""COMPUTED_VALUE"""),639958673258)</f>
        <v>639958673258</v>
      </c>
      <c r="AB134" s="1">
        <f>IFERROR(__xludf.DUMMYFUNCTION("""COMPUTED_VALUE"""),639524401441)</f>
        <v>639524401441</v>
      </c>
      <c r="AC134" s="1"/>
      <c r="AD134" s="1" t="str">
        <f>IFERROR(__xludf.DUMMYFUNCTION("""COMPUTED_VALUE"""),"MANILA SOUTHWOODS")</f>
        <v>MANILA SOUTHWOODS</v>
      </c>
      <c r="AE134" s="1" t="str">
        <f>IFERROR(__xludf.DUMMYFUNCTION("""COMPUTED_VALUE"""),"MANILA SOUTHWOODS")</f>
        <v>MANILA SOUTHWOODS</v>
      </c>
      <c r="AF134" s="1" t="str">
        <f>IFERROR(__xludf.DUMMYFUNCTION("""COMPUTED_VALUE"""),"BGY CABILANG BAYBAY")</f>
        <v>BGY CABILANG BAYBAY</v>
      </c>
      <c r="AG134" s="1" t="str">
        <f>IFERROR(__xludf.DUMMYFUNCTION("""COMPUTED_VALUE"""),"CARMONA")</f>
        <v>CARMONA</v>
      </c>
      <c r="AH134" s="1" t="str">
        <f>IFERROR(__xludf.DUMMYFUNCTION("""COMPUTED_VALUE"""),"MANOR HOTEL")</f>
        <v>MANOR HOTEL</v>
      </c>
      <c r="AI134" s="1" t="str">
        <f>IFERROR(__xludf.DUMMYFUNCTION("""COMPUTED_VALUE"""),"CLUSTER 11")</f>
        <v>CLUSTER 11</v>
      </c>
    </row>
    <row r="135" customHeight="1" spans="1:35">
      <c r="A135" s="3">
        <f>IFERROR(__xludf.DUMMYFUNCTION("""COMPUTED_VALUE"""),46248)</f>
        <v>46248</v>
      </c>
      <c r="B135" s="1" t="str">
        <f>IFERROR(__xludf.DUMMYFUNCTION("""COMPUTED_VALUE"""),"ERUEL MALACAMAN ROLLON")</f>
        <v>ERUEL MALACAMAN ROLLON</v>
      </c>
      <c r="C135" s="1">
        <f>IFERROR(__xludf.DUMMYFUNCTION("""COMPUTED_VALUE"""),2311786084)</f>
        <v>2311786084</v>
      </c>
      <c r="D135" s="1">
        <f>IFERROR(__xludf.DUMMYFUNCTION("""COMPUTED_VALUE"""),406816362)</f>
        <v>406816362</v>
      </c>
      <c r="E135" s="1">
        <f>IFERROR(__xludf.DUMMYFUNCTION("""COMPUTED_VALUE"""),466462028004)</f>
        <v>466462028004</v>
      </c>
      <c r="F135" s="1" t="str">
        <f>IFERROR(__xludf.DUMMYFUNCTION("""COMPUTED_VALUE"""),"CLOSED")</f>
        <v>CLOSED</v>
      </c>
      <c r="G135" s="1" t="str">
        <f>IFERROR(__xludf.DUMMYFUNCTION("""COMPUTED_VALUE"""),"CLOSED")</f>
        <v>CLOSED</v>
      </c>
      <c r="H135" s="1" t="str">
        <f>IFERROR(__xludf.DUMMYFUNCTION("""COMPUTED_VALUE"""),"PQGOR360790231	14-Aug-26	Regular Payment	CIS- MAYA 3.0	1,400.00	936294974	14-Aug-26")</f>
        <v>PQGOR360790231	14-Aug-26	Regular Payment	CIS- MAYA 3.0	1,400.00	936294974	14-Aug-26</v>
      </c>
      <c r="I135" s="1" t="str">
        <f>IFERROR(__xludf.DUMMYFUNCTION("""COMPUTED_VALUE"""),"WITH 1 AMSF")</f>
        <v>WITH 1 AMSF</v>
      </c>
      <c r="J135" s="1"/>
      <c r="K135" s="1" t="str">
        <f>IFERROR(__xludf.DUMMYFUNCTION("""COMPUTED_VALUE"""),"COMPLETED")</f>
        <v>COMPLETED</v>
      </c>
      <c r="L135" s="1" t="str">
        <f>IFERROR(__xludf.DUMMYFUNCTION("""COMPUTED_VALUE"""),"POSTED")</f>
        <v>POSTED</v>
      </c>
      <c r="M135" s="1" t="str">
        <f>IFERROR(__xludf.DUMMYFUNCTION("""COMPUTED_VALUE"""),"POSTED")</f>
        <v>POSTED</v>
      </c>
      <c r="N135" s="3">
        <f>IFERROR(__xludf.DUMMYFUNCTION("""COMPUTED_VALUE"""),46248)</f>
        <v>46248</v>
      </c>
      <c r="O135" s="1" t="str">
        <f>IFERROR(__xludf.DUMMYFUNCTION("""COMPUTED_VALUE"""),"FIBR PLAN 1299")</f>
        <v>FIBR PLAN 1299</v>
      </c>
      <c r="P135" s="1" t="str">
        <f>IFERROR(__xludf.DUMMYFUNCTION("""COMPUTED_VALUE"""),"LOWPLAN")</f>
        <v>LOWPLAN</v>
      </c>
      <c r="Q135" s="1" t="str">
        <f>IFERROR(__xludf.DUMMYFUNCTION("""COMPUTED_VALUE"""),"P407045")</f>
        <v>P407045</v>
      </c>
      <c r="R135" s="1" t="str">
        <f>IFERROR(__xludf.DUMMYFUNCTION("""COMPUTED_VALUE"""),"GABAY, MANUEL")</f>
        <v>GABAY, MANUEL</v>
      </c>
      <c r="S135" s="1" t="str">
        <f>IFERROR(__xludf.DUMMYFUNCTION("""COMPUTED_VALUE"""),"FLA")</f>
        <v>FLA</v>
      </c>
      <c r="T135" s="1" t="str">
        <f>IFERROR(__xludf.DUMMYFUNCTION("""COMPUTED_VALUE"""),"JERIC NAVARRO")</f>
        <v>JERIC NAVARRO</v>
      </c>
      <c r="U135" s="1" t="str">
        <f>IFERROR(__xludf.DUMMYFUNCTION("""COMPUTED_VALUE"""),"JB SALIOA")</f>
        <v>JB SALIOA</v>
      </c>
      <c r="V135" s="1" t="str">
        <f>IFERROR(__xludf.DUMMYFUNCTION("""COMPUTED_VALUE"""),"BK HSTK")</f>
        <v>BK HSTK</v>
      </c>
      <c r="W135" s="1" t="str">
        <f>IFERROR(__xludf.DUMMYFUNCTION("""COMPUTED_VALUE"""),"BK HSTK")</f>
        <v>BK HSTK</v>
      </c>
      <c r="X135" s="1" t="str">
        <f>IFERROR(__xludf.DUMMYFUNCTION("""COMPUTED_VALUE"""),"HBBS AUG 2026")</f>
        <v>HBBS AUG 2026</v>
      </c>
      <c r="Y135" s="1" t="str">
        <f>IFERROR(__xludf.DUMMYFUNCTION("""COMPUTED_VALUE"""),"BK_CVEU_260801")</f>
        <v>BK_CVEU_260801</v>
      </c>
      <c r="Z135" s="1" t="str">
        <f>IFERROR(__xludf.DUMMYFUNCTION("""COMPUTED_VALUE"""),"NEW CONNECT")</f>
        <v>NEW CONNECT</v>
      </c>
      <c r="AA135" s="1">
        <f>IFERROR(__xludf.DUMMYFUNCTION("""COMPUTED_VALUE"""),639387169631)</f>
        <v>639387169631</v>
      </c>
      <c r="AB135" s="1">
        <f>IFERROR(__xludf.DUMMYFUNCTION("""COMPUTED_VALUE"""),639756236256)</f>
        <v>639756236256</v>
      </c>
      <c r="AC135" s="1">
        <f>IFERROR(__xludf.DUMMYFUNCTION("""COMPUTED_VALUE"""),96)</f>
        <v>96</v>
      </c>
      <c r="AD135" s="1" t="str">
        <f>IFERROR(__xludf.DUMMYFUNCTION("""COMPUTED_VALUE"""),"PUROK 2")</f>
        <v>PUROK 2</v>
      </c>
      <c r="AE135" s="1"/>
      <c r="AF135" s="1" t="str">
        <f>IFERROR(__xludf.DUMMYFUNCTION("""COMPUTED_VALUE"""),"BGY SICAT")</f>
        <v>BGY SICAT</v>
      </c>
      <c r="AG135" s="1" t="str">
        <f>IFERROR(__xludf.DUMMYFUNCTION("""COMPUTED_VALUE"""),"ALFONSO")</f>
        <v>ALFONSO</v>
      </c>
      <c r="AH135" s="1" t="str">
        <f>IFERROR(__xludf.DUMMYFUNCTION("""COMPUTED_VALUE"""),"-")</f>
        <v>-</v>
      </c>
      <c r="AI135" s="1" t="str">
        <f>IFERROR(__xludf.DUMMYFUNCTION("""COMPUTED_VALUE"""),"CLUSTER 12")</f>
        <v>CLUSTER 12</v>
      </c>
    </row>
    <row r="136" customHeight="1" spans="1:35">
      <c r="A136" s="3">
        <f>IFERROR(__xludf.DUMMYFUNCTION("""COMPUTED_VALUE"""),46248)</f>
        <v>46248</v>
      </c>
      <c r="B136" s="1" t="str">
        <f>IFERROR(__xludf.DUMMYFUNCTION("""COMPUTED_VALUE"""),"ROMAN JOSHUA . ILAGAN")</f>
        <v>ROMAN JOSHUA . ILAGAN</v>
      </c>
      <c r="C136" s="1">
        <f>IFERROR(__xludf.DUMMYFUNCTION("""COMPUTED_VALUE"""),2311789168)</f>
        <v>2311789168</v>
      </c>
      <c r="D136" s="1">
        <f>IFERROR(__xludf.DUMMYFUNCTION("""COMPUTED_VALUE"""),406823849)</f>
        <v>406823849</v>
      </c>
      <c r="E136" s="1">
        <f>IFERROR(__xludf.DUMMYFUNCTION("""COMPUTED_VALUE"""),466466572004)</f>
        <v>466466572004</v>
      </c>
      <c r="F136" s="1" t="str">
        <f>IFERROR(__xludf.DUMMYFUNCTION("""COMPUTED_VALUE"""),"CANCELLED")</f>
        <v>CANCELLED</v>
      </c>
      <c r="G136" s="1" t="str">
        <f>IFERROR(__xludf.DUMMYFUNCTION("""COMPUTED_VALUE"""),"RPR VISITED REMARKS   NAP FULL  CMNLP254NP1 full CMNLP254NP2 full CMNLP254NP3 full CMNLP254NP4 ACTIVE CHURCH TEIRRA VERDE CMNLP254NP5 full CMNLP254NP6 full CMNLP254NP7 full CMNLP254NP8 not active CMNLP239NP3 full CMNLP239NP5 full SUBS ALREADY ADVICE TALK "&amp;"ROMAN JOSHUA ILAGAN 09463710747 09102059690")</f>
        <v>RPR VISITED REMARKS   NAP FULL  CMNLP254NP1 full CMNLP254NP2 full CMNLP254NP3 full CMNLP254NP4 ACTIVE CHURCH TEIRRA VERDE CMNLP254NP5 full CMNLP254NP6 full CMNLP254NP7 full CMNLP254NP8 not active CMNLP239NP3 full CMNLP239NP5 full SUBS ALREADY ADVICE TALK ROMAN JOSHUA ILAGAN 09463710747 09102059690</v>
      </c>
      <c r="H136" s="1" t="str">
        <f>IFERROR(__xludf.DUMMYFUNCTION("""COMPUTED_VALUE"""),"PQGOR360796336	14-Aug-26	Regular Payment	CIS-GCASH 3.0	2,649.00	0	14-Aug-26")</f>
        <v>PQGOR360796336	14-Aug-26	Regular Payment	CIS-GCASH 3.0	2,649.00	0	14-Aug-26</v>
      </c>
      <c r="I136" s="1" t="str">
        <f>IFERROR(__xludf.DUMMYFUNCTION("""COMPUTED_VALUE"""),"WITH 1 AMSF")</f>
        <v>WITH 1 AMSF</v>
      </c>
      <c r="J136" s="1"/>
      <c r="K136" s="1" t="str">
        <f>IFERROR(__xludf.DUMMYFUNCTION("""COMPUTED_VALUE"""),"CANCELED")</f>
        <v>CANCELED</v>
      </c>
      <c r="L136" s="1" t="str">
        <f>IFERROR(__xludf.DUMMYFUNCTION("""COMPUTED_VALUE"""),"RPR - NAP FULL")</f>
        <v>RPR - NAP FULL</v>
      </c>
      <c r="M136" s="1" t="str">
        <f>IFERROR(__xludf.DUMMYFUNCTION("""COMPUTED_VALUE"""),"RPR- NAP FULL")</f>
        <v>RPR- NAP FULL</v>
      </c>
      <c r="N136" s="3"/>
      <c r="O136" s="1" t="str">
        <f>IFERROR(__xludf.DUMMYFUNCTION("""COMPUTED_VALUE"""),"FIBER UNLI ALL PLAN 2599")</f>
        <v>FIBER UNLI ALL PLAN 2599</v>
      </c>
      <c r="P136" s="1" t="str">
        <f>IFERROR(__xludf.DUMMYFUNCTION("""COMPUTED_VALUE"""),"HIGHPLAN")</f>
        <v>HIGHPLAN</v>
      </c>
      <c r="Q136" s="1" t="str">
        <f>IFERROR(__xludf.DUMMYFUNCTION("""COMPUTED_VALUE"""),"P407046")</f>
        <v>P407046</v>
      </c>
      <c r="R136" s="1" t="str">
        <f>IFERROR(__xludf.DUMMYFUNCTION("""COMPUTED_VALUE"""),"MALIWAT, MARK")</f>
        <v>MALIWAT, MARK</v>
      </c>
      <c r="S136" s="1" t="str">
        <f>IFERROR(__xludf.DUMMYFUNCTION("""COMPUTED_VALUE"""),"FLA")</f>
        <v>FLA</v>
      </c>
      <c r="T136" s="1" t="str">
        <f>IFERROR(__xludf.DUMMYFUNCTION("""COMPUTED_VALUE"""),"JERIC NAVARRO")</f>
        <v>JERIC NAVARRO</v>
      </c>
      <c r="U136" s="1" t="str">
        <f>IFERROR(__xludf.DUMMYFUNCTION("""COMPUTED_VALUE"""),"JB SALIOA")</f>
        <v>JB SALIOA</v>
      </c>
      <c r="V136" s="1" t="str">
        <f>IFERROR(__xludf.DUMMYFUNCTION("""COMPUTED_VALUE"""),"BK REGULAR")</f>
        <v>BK REGULAR</v>
      </c>
      <c r="W136" s="1" t="str">
        <f>IFERROR(__xludf.DUMMYFUNCTION("""COMPUTED_VALUE"""),"STK REGULAR")</f>
        <v>STK REGULAR</v>
      </c>
      <c r="X136" s="1" t="str">
        <f>IFERROR(__xludf.DUMMYFUNCTION("""COMPUTED_VALUE"""),"HBBS AUG 2026")</f>
        <v>HBBS AUG 2026</v>
      </c>
      <c r="Y136" s="1" t="str">
        <f>IFERROR(__xludf.DUMMYFUNCTION("""COMPUTED_VALUE"""),"BK_CVEU_260803")</f>
        <v>BK_CVEU_260803</v>
      </c>
      <c r="Z136" s="1" t="str">
        <f>IFERROR(__xludf.DUMMYFUNCTION("""COMPUTED_VALUE"""),"NEW CONNECT")</f>
        <v>NEW CONNECT</v>
      </c>
      <c r="AA136" s="1">
        <f>IFERROR(__xludf.DUMMYFUNCTION("""COMPUTED_VALUE"""),639463710747)</f>
        <v>639463710747</v>
      </c>
      <c r="AB136" s="1">
        <f>IFERROR(__xludf.DUMMYFUNCTION("""COMPUTED_VALUE"""),639102059690)</f>
        <v>639102059690</v>
      </c>
      <c r="AC136" s="1"/>
      <c r="AD136" s="1" t="str">
        <f>IFERROR(__xludf.DUMMYFUNCTION("""COMPUTED_VALUE"""),"PHASE 4")</f>
        <v>PHASE 4</v>
      </c>
      <c r="AE136" s="1" t="str">
        <f>IFERROR(__xludf.DUMMYFUNCTION("""COMPUTED_VALUE"""),"TERRAVERDE  RESIDENCES")</f>
        <v>TERRAVERDE  RESIDENCES</v>
      </c>
      <c r="AF136" s="1" t="str">
        <f>IFERROR(__xludf.DUMMYFUNCTION("""COMPUTED_VALUE"""),"BGY BANCAL")</f>
        <v>BGY BANCAL</v>
      </c>
      <c r="AG136" s="1" t="str">
        <f>IFERROR(__xludf.DUMMYFUNCTION("""COMPUTED_VALUE"""),"CARMONA")</f>
        <v>CARMONA</v>
      </c>
      <c r="AH136" s="1" t="str">
        <f>IFERROR(__xludf.DUMMYFUNCTION("""COMPUTED_VALUE"""),"COVERED COURT PHASE 4 ")</f>
        <v>COVERED COURT PHASE 4 </v>
      </c>
      <c r="AI136" s="1" t="str">
        <f>IFERROR(__xludf.DUMMYFUNCTION("""COMPUTED_VALUE"""),"CLUSTER 11")</f>
        <v>CLUSTER 11</v>
      </c>
    </row>
    <row r="137" customHeight="1" spans="1:35">
      <c r="A137" s="3">
        <f>IFERROR(__xludf.DUMMYFUNCTION("""COMPUTED_VALUE"""),46248)</f>
        <v>46248</v>
      </c>
      <c r="B137" s="1" t="str">
        <f>IFERROR(__xludf.DUMMYFUNCTION("""COMPUTED_VALUE"""),"MERCY BARET TORRES")</f>
        <v>MERCY BARET TORRES</v>
      </c>
      <c r="C137" s="1">
        <f>IFERROR(__xludf.DUMMYFUNCTION("""COMPUTED_VALUE"""),2311790491)</f>
        <v>2311790491</v>
      </c>
      <c r="D137" s="1">
        <f>IFERROR(__xludf.DUMMYFUNCTION("""COMPUTED_VALUE"""),406824462)</f>
        <v>406824462</v>
      </c>
      <c r="E137" s="1">
        <f>IFERROR(__xludf.DUMMYFUNCTION("""COMPUTED_VALUE"""),466466606004)</f>
        <v>466466606004</v>
      </c>
      <c r="F137" s="1" t="str">
        <f>IFERROR(__xludf.DUMMYFUNCTION("""COMPUTED_VALUE"""),"CLOSED")</f>
        <v>CLOSED</v>
      </c>
      <c r="G137" s="1" t="str">
        <f>IFERROR(__xludf.DUMMYFUNCTION("""COMPUTED_VALUE"""),"CLOSED")</f>
        <v>CLOSED</v>
      </c>
      <c r="H137" s="1" t="str">
        <f>IFERROR(__xludf.DUMMYFUNCTION("""COMPUTED_VALUE"""),"PQGOR361071406	17-Aug-26	Regular Payment	CIS-GCASH 3.0	1,299.00	0	17-Aug-26")</f>
        <v>PQGOR361071406	17-Aug-26	Regular Payment	CIS-GCASH 3.0	1,299.00	0	17-Aug-26</v>
      </c>
      <c r="I137" s="1" t="str">
        <f>IFERROR(__xludf.DUMMYFUNCTION("""COMPUTED_VALUE"""),"WITH 1 AMSF")</f>
        <v>WITH 1 AMSF</v>
      </c>
      <c r="J137" s="1"/>
      <c r="K137" s="1" t="str">
        <f>IFERROR(__xludf.DUMMYFUNCTION("""COMPUTED_VALUE"""),"COMPLETED")</f>
        <v>COMPLETED</v>
      </c>
      <c r="L137" s="1" t="str">
        <f>IFERROR(__xludf.DUMMYFUNCTION("""COMPUTED_VALUE"""),"POSTED")</f>
        <v>POSTED</v>
      </c>
      <c r="M137" s="1" t="str">
        <f>IFERROR(__xludf.DUMMYFUNCTION("""COMPUTED_VALUE"""),"POSTED")</f>
        <v>POSTED</v>
      </c>
      <c r="N137" s="3">
        <f>IFERROR(__xludf.DUMMYFUNCTION("""COMPUTED_VALUE"""),46249)</f>
        <v>46249</v>
      </c>
      <c r="O137" s="1" t="str">
        <f>IFERROR(__xludf.DUMMYFUNCTION("""COMPUTED_VALUE"""),"FIBR PLAN 1299")</f>
        <v>FIBR PLAN 1299</v>
      </c>
      <c r="P137" s="1" t="str">
        <f>IFERROR(__xludf.DUMMYFUNCTION("""COMPUTED_VALUE"""),"LOWPLAN")</f>
        <v>LOWPLAN</v>
      </c>
      <c r="Q137" s="1" t="str">
        <f>IFERROR(__xludf.DUMMYFUNCTION("""COMPUTED_VALUE"""),"P407045")</f>
        <v>P407045</v>
      </c>
      <c r="R137" s="1" t="str">
        <f>IFERROR(__xludf.DUMMYFUNCTION("""COMPUTED_VALUE"""),"REMOLLO, LEA")</f>
        <v>REMOLLO, LEA</v>
      </c>
      <c r="S137" s="1" t="str">
        <f>IFERROR(__xludf.DUMMYFUNCTION("""COMPUTED_VALUE"""),"FLA")</f>
        <v>FLA</v>
      </c>
      <c r="T137" s="1" t="str">
        <f>IFERROR(__xludf.DUMMYFUNCTION("""COMPUTED_VALUE"""),"JERIC NAVARRO")</f>
        <v>JERIC NAVARRO</v>
      </c>
      <c r="U137" s="1" t="str">
        <f>IFERROR(__xludf.DUMMYFUNCTION("""COMPUTED_VALUE"""),"JB SALIOA")</f>
        <v>JB SALIOA</v>
      </c>
      <c r="V137" s="1" t="str">
        <f>IFERROR(__xludf.DUMMYFUNCTION("""COMPUTED_VALUE"""),"BK HSTK")</f>
        <v>BK HSTK</v>
      </c>
      <c r="W137" s="1" t="str">
        <f>IFERROR(__xludf.DUMMYFUNCTION("""COMPUTED_VALUE"""),"BK HSTK")</f>
        <v>BK HSTK</v>
      </c>
      <c r="X137" s="1" t="str">
        <f>IFERROR(__xludf.DUMMYFUNCTION("""COMPUTED_VALUE"""),"HBBS AUG 2026")</f>
        <v>HBBS AUG 2026</v>
      </c>
      <c r="Y137" s="1" t="str">
        <f>IFERROR(__xludf.DUMMYFUNCTION("""COMPUTED_VALUE"""),"BK_CVEU_260806")</f>
        <v>BK_CVEU_260806</v>
      </c>
      <c r="Z137" s="1" t="str">
        <f>IFERROR(__xludf.DUMMYFUNCTION("""COMPUTED_VALUE"""),"NEW CONNECT")</f>
        <v>NEW CONNECT</v>
      </c>
      <c r="AA137" s="1">
        <f>IFERROR(__xludf.DUMMYFUNCTION("""COMPUTED_VALUE"""),639461483759)</f>
        <v>639461483759</v>
      </c>
      <c r="AB137" s="1"/>
      <c r="AC137" s="1"/>
      <c r="AD137" s="1" t="str">
        <f>IFERROR(__xludf.DUMMYFUNCTION("""COMPUTED_VALUE"""),"SITIO MUZON")</f>
        <v>SITIO MUZON</v>
      </c>
      <c r="AE137" s="1"/>
      <c r="AF137" s="1" t="str">
        <f>IFERROR(__xludf.DUMMYFUNCTION("""COMPUTED_VALUE"""),"BGY PUTING KAHOY")</f>
        <v>BGY PUTING KAHOY</v>
      </c>
      <c r="AG137" s="1" t="str">
        <f>IFERROR(__xludf.DUMMYFUNCTION("""COMPUTED_VALUE"""),"SILANG")</f>
        <v>SILANG</v>
      </c>
      <c r="AH137" s="1" t="str">
        <f>IFERROR(__xludf.DUMMYFUNCTION("""COMPUTED_VALUE"""),"-")</f>
        <v>-</v>
      </c>
      <c r="AI137" s="1" t="str">
        <f>IFERROR(__xludf.DUMMYFUNCTION("""COMPUTED_VALUE"""),"CLUSTER 11")</f>
        <v>CLUSTER 11</v>
      </c>
    </row>
    <row r="138" customHeight="1" spans="1:35">
      <c r="A138" s="3">
        <f>IFERROR(__xludf.DUMMYFUNCTION("""COMPUTED_VALUE"""),46248)</f>
        <v>46248</v>
      </c>
      <c r="B138" s="1" t="str">
        <f>IFERROR(__xludf.DUMMYFUNCTION("""COMPUTED_VALUE"""),"ANDRIA . VALERA")</f>
        <v>ANDRIA . VALERA</v>
      </c>
      <c r="C138" s="1">
        <f>IFERROR(__xludf.DUMMYFUNCTION("""COMPUTED_VALUE"""),2311791498)</f>
        <v>2311791498</v>
      </c>
      <c r="D138" s="1">
        <f>IFERROR(__xludf.DUMMYFUNCTION("""COMPUTED_VALUE"""),406854418)</f>
        <v>406854418</v>
      </c>
      <c r="E138" s="1">
        <f>IFERROR(__xludf.DUMMYFUNCTION("""COMPUTED_VALUE"""),466585807004)</f>
        <v>466585807004</v>
      </c>
      <c r="F138" s="1" t="str">
        <f>IFERROR(__xludf.DUMMYFUNCTION("""COMPUTED_VALUE"""),"CANCELLED")</f>
        <v>CANCELLED</v>
      </c>
      <c r="G138" s="1" t="str">
        <f>IFERROR(__xludf.DUMMYFUNCTION("""COMPUTED_VALUE"""),"RPR  DISAPPROVE BY Q A VALIDATION DUE TO NOT FEASABLE FOR STANDARD INSTALLATION SAGGY LIVE WIRE NO POLE ATTACHEMENT ONLY STREETLIGHTS AND POLE OF GLOBE UNMANTAINABLE POLE ATTACHEMENT PASSING PRIVATE PROPERTY ALREADY VALIDATE BY Q A BARSABA")</f>
        <v>RPR  DISAPPROVE BY Q A VALIDATION DUE TO NOT FEASABLE FOR STANDARD INSTALLATION SAGGY LIVE WIRE NO POLE ATTACHEMENT ONLY STREETLIGHTS AND POLE OF GLOBE UNMANTAINABLE POLE ATTACHEMENT PASSING PRIVATE PROPERTY ALREADY VALIDATE BY Q A BARSABA</v>
      </c>
      <c r="H138" s="1"/>
      <c r="I138" s="1"/>
      <c r="J138" s="1"/>
      <c r="K138" s="1" t="str">
        <f>IFERROR(__xludf.DUMMYFUNCTION("""COMPUTED_VALUE"""),"CANCELED")</f>
        <v>CANCELED</v>
      </c>
      <c r="L138" s="1" t="str">
        <f>IFERROR(__xludf.DUMMYFUNCTION("""COMPUTED_VALUE"""),"RPR - NAP FULL")</f>
        <v>RPR - NAP FULL</v>
      </c>
      <c r="M138" s="1" t="str">
        <f>IFERROR(__xludf.DUMMYFUNCTION("""COMPUTED_VALUE"""),"RPR- NAP FULL")</f>
        <v>RPR- NAP FULL</v>
      </c>
      <c r="N138" s="3"/>
      <c r="O138" s="1" t="str">
        <f>IFERROR(__xludf.DUMMYFUNCTION("""COMPUTED_VALUE"""),"FIBER UNLI ALL PLAN 1499")</f>
        <v>FIBER UNLI ALL PLAN 1499</v>
      </c>
      <c r="P138" s="1" t="str">
        <f>IFERROR(__xludf.DUMMYFUNCTION("""COMPUTED_VALUE"""),"LOWPLAN")</f>
        <v>LOWPLAN</v>
      </c>
      <c r="Q138" s="1" t="str">
        <f>IFERROR(__xludf.DUMMYFUNCTION("""COMPUTED_VALUE"""),"P407046")</f>
        <v>P407046</v>
      </c>
      <c r="R138" s="1" t="str">
        <f>IFERROR(__xludf.DUMMYFUNCTION("""COMPUTED_VALUE"""),"MALIWAT, MARK")</f>
        <v>MALIWAT, MARK</v>
      </c>
      <c r="S138" s="1" t="str">
        <f>IFERROR(__xludf.DUMMYFUNCTION("""COMPUTED_VALUE"""),"FLA")</f>
        <v>FLA</v>
      </c>
      <c r="T138" s="1" t="str">
        <f>IFERROR(__xludf.DUMMYFUNCTION("""COMPUTED_VALUE"""),"JERIC NAVARRO")</f>
        <v>JERIC NAVARRO</v>
      </c>
      <c r="U138" s="1" t="str">
        <f>IFERROR(__xludf.DUMMYFUNCTION("""COMPUTED_VALUE"""),"JB SALIOA")</f>
        <v>JB SALIOA</v>
      </c>
      <c r="V138" s="1" t="str">
        <f>IFERROR(__xludf.DUMMYFUNCTION("""COMPUTED_VALUE"""),"BK REGULAR")</f>
        <v>BK REGULAR</v>
      </c>
      <c r="W138" s="1" t="str">
        <f>IFERROR(__xludf.DUMMYFUNCTION("""COMPUTED_VALUE"""),"STK REGULAR")</f>
        <v>STK REGULAR</v>
      </c>
      <c r="X138" s="1" t="str">
        <f>IFERROR(__xludf.DUMMYFUNCTION("""COMPUTED_VALUE"""),"HBBS AUG 2026")</f>
        <v>HBBS AUG 2026</v>
      </c>
      <c r="Y138" s="1" t="str">
        <f>IFERROR(__xludf.DUMMYFUNCTION("""COMPUTED_VALUE"""),"RS_ONL_CVEU_2026")</f>
        <v>RS_ONL_CVEU_2026</v>
      </c>
      <c r="Z138" s="1" t="str">
        <f>IFERROR(__xludf.DUMMYFUNCTION("""COMPUTED_VALUE"""),"NEW CONNECT")</f>
        <v>NEW CONNECT</v>
      </c>
      <c r="AA138" s="1">
        <f>IFERROR(__xludf.DUMMYFUNCTION("""COMPUTED_VALUE"""),639471047419)</f>
        <v>639471047419</v>
      </c>
      <c r="AB138" s="1">
        <f>IFERROR(__xludf.DUMMYFUNCTION("""COMPUTED_VALUE"""),639641149566)</f>
        <v>639641149566</v>
      </c>
      <c r="AC138" s="1"/>
      <c r="AD138" s="1" t="str">
        <f>IFERROR(__xludf.DUMMYFUNCTION("""COMPUTED_VALUE"""),"CLUSTER L")</f>
        <v>CLUSTER L</v>
      </c>
      <c r="AE138" s="1"/>
      <c r="AF138" s="1" t="str">
        <f>IFERROR(__xludf.DUMMYFUNCTION("""COMPUTED_VALUE"""),"EMMANUEL BERGADO 1")</f>
        <v>EMMANUEL BERGADO 1</v>
      </c>
      <c r="AG138" s="1" t="str">
        <f>IFERROR(__xludf.DUMMYFUNCTION("""COMPUTED_VALUE"""),"DASMARINAS")</f>
        <v>DASMARINAS</v>
      </c>
      <c r="AH138" s="1" t="str">
        <f>IFERROR(__xludf.DUMMYFUNCTION("""COMPUTED_VALUE"""),"HALF COURT BUNDOK")</f>
        <v>HALF COURT BUNDOK</v>
      </c>
      <c r="AI138" s="1" t="str">
        <f>IFERROR(__xludf.DUMMYFUNCTION("""COMPUTED_VALUE"""),"NOT AOR")</f>
        <v>NOT AOR</v>
      </c>
    </row>
    <row r="139" customHeight="1" spans="1:35">
      <c r="A139" s="3">
        <f>IFERROR(__xludf.DUMMYFUNCTION("""COMPUTED_VALUE"""),46248)</f>
        <v>46248</v>
      </c>
      <c r="B139" s="1" t="str">
        <f>IFERROR(__xludf.DUMMYFUNCTION("""COMPUTED_VALUE"""),"BRYAN ARVIE JAY BORJAL GELMO")</f>
        <v>BRYAN ARVIE JAY BORJAL GELMO</v>
      </c>
      <c r="C139" s="1">
        <f>IFERROR(__xludf.DUMMYFUNCTION("""COMPUTED_VALUE"""),2311792110)</f>
        <v>2311792110</v>
      </c>
      <c r="D139" s="1">
        <f>IFERROR(__xludf.DUMMYFUNCTION("""COMPUTED_VALUE"""),406828026)</f>
        <v>406828026</v>
      </c>
      <c r="E139" s="1">
        <f>IFERROR(__xludf.DUMMYFUNCTION("""COMPUTED_VALUE"""),466467874004)</f>
        <v>466467874004</v>
      </c>
      <c r="F139" s="1" t="str">
        <f>IFERROR(__xludf.DUMMYFUNCTION("""COMPUTED_VALUE"""),"RPR")</f>
        <v>RPR</v>
      </c>
      <c r="G139" s="1" t="str">
        <f>IFERROR(__xludf.DUMMYFUNCTION("""COMPUTED_VALUE"""),"rpr CALLTHRU REMARKS   SUBS CANCEL REQUEST NO LONGER INTERESTED  TALK BRYAN ARVIE JAY BORJAL GELMO 09380440673")</f>
        <v>rpr CALLTHRU REMARKS   SUBS CANCEL REQUEST NO LONGER INTERESTED  TALK BRYAN ARVIE JAY BORJAL GELMO 09380440673</v>
      </c>
      <c r="H139" s="1"/>
      <c r="I139" s="1" t="str">
        <f>IFERROR(__xludf.DUMMYFUNCTION("""COMPUTED_VALUE"""),"NO 1 AMSF")</f>
        <v>NO 1 AMSF</v>
      </c>
      <c r="J139" s="1"/>
      <c r="K139" s="1" t="str">
        <f>IFERROR(__xludf.DUMMYFUNCTION("""COMPUTED_VALUE"""),"CANCELED")</f>
        <v>CANCELED</v>
      </c>
      <c r="L139" s="1" t="str">
        <f>IFERROR(__xludf.DUMMYFUNCTION("""COMPUTED_VALUE"""),"RPR  - SUBS CANCEL REQUEST")</f>
        <v>RPR  - SUBS CANCEL REQUEST</v>
      </c>
      <c r="M139" s="1" t="str">
        <f>IFERROR(__xludf.DUMMYFUNCTION("""COMPUTED_VALUE"""),"RPR- SUBS CANCEL REQUEST")</f>
        <v>RPR- SUBS CANCEL REQUEST</v>
      </c>
      <c r="N139" s="3"/>
      <c r="O139" s="1" t="str">
        <f>IFERROR(__xludf.DUMMYFUNCTION("""COMPUTED_VALUE"""),"FIBER UNLI ALL PLAN 1499")</f>
        <v>FIBER UNLI ALL PLAN 1499</v>
      </c>
      <c r="P139" s="1" t="str">
        <f>IFERROR(__xludf.DUMMYFUNCTION("""COMPUTED_VALUE"""),"LOWPLAN")</f>
        <v>LOWPLAN</v>
      </c>
      <c r="Q139" s="1" t="str">
        <f>IFERROR(__xludf.DUMMYFUNCTION("""COMPUTED_VALUE"""),"P407050")</f>
        <v>P407050</v>
      </c>
      <c r="R139" s="1" t="str">
        <f>IFERROR(__xludf.DUMMYFUNCTION("""COMPUTED_VALUE"""),"MAGDARAOG, KENNETH")</f>
        <v>MAGDARAOG, KENNETH</v>
      </c>
      <c r="S139" s="1" t="str">
        <f>IFERROR(__xludf.DUMMYFUNCTION("""COMPUTED_VALUE"""),"ORGANIC")</f>
        <v>ORGANIC</v>
      </c>
      <c r="T139" s="1" t="str">
        <f>IFERROR(__xludf.DUMMYFUNCTION("""COMPUTED_VALUE"""),"LEA REMOLLO")</f>
        <v>LEA REMOLLO</v>
      </c>
      <c r="U139" s="1" t="str">
        <f>IFERROR(__xludf.DUMMYFUNCTION("""COMPUTED_VALUE"""),"JB SALIOA")</f>
        <v>JB SALIOA</v>
      </c>
      <c r="V139" s="1" t="str">
        <f>IFERROR(__xludf.DUMMYFUNCTION("""COMPUTED_VALUE"""),"BK HSTK")</f>
        <v>BK HSTK</v>
      </c>
      <c r="W139" s="1" t="str">
        <f>IFERROR(__xludf.DUMMYFUNCTION("""COMPUTED_VALUE"""),"BK HSTK")</f>
        <v>BK HSTK</v>
      </c>
      <c r="X139" s="1" t="str">
        <f>IFERROR(__xludf.DUMMYFUNCTION("""COMPUTED_VALUE"""),"HBBS AUG 2026")</f>
        <v>HBBS AUG 2026</v>
      </c>
      <c r="Y139" s="1" t="str">
        <f>IFERROR(__xludf.DUMMYFUNCTION("""COMPUTED_VALUE"""),"BK_CVEU_260806")</f>
        <v>BK_CVEU_260806</v>
      </c>
      <c r="Z139" s="1" t="str">
        <f>IFERROR(__xludf.DUMMYFUNCTION("""COMPUTED_VALUE"""),"NEW CONNECT")</f>
        <v>NEW CONNECT</v>
      </c>
      <c r="AA139" s="1">
        <f>IFERROR(__xludf.DUMMYFUNCTION("""COMPUTED_VALUE"""),639380440673)</f>
        <v>639380440673</v>
      </c>
      <c r="AB139" s="1"/>
      <c r="AC139" s="1">
        <f>IFERROR(__xludf.DUMMYFUNCTION("""COMPUTED_VALUE"""),134)</f>
        <v>134</v>
      </c>
      <c r="AD139" s="1" t="str">
        <f>IFERROR(__xludf.DUMMYFUNCTION("""COMPUTED_VALUE"""),"CATTLEYA")</f>
        <v>CATTLEYA</v>
      </c>
      <c r="AE139" s="1"/>
      <c r="AF139" s="1" t="str">
        <f>IFERROR(__xludf.DUMMYFUNCTION("""COMPUTED_VALUE"""),"BGY SAN MIGUEL 2")</f>
        <v>BGY SAN MIGUEL 2</v>
      </c>
      <c r="AG139" s="1" t="str">
        <f>IFERROR(__xludf.DUMMYFUNCTION("""COMPUTED_VALUE"""),"SILANG")</f>
        <v>SILANG</v>
      </c>
      <c r="AH139" s="1"/>
      <c r="AI139" s="1" t="str">
        <f>IFERROR(__xludf.DUMMYFUNCTION("""COMPUTED_VALUE"""),"CLUSTER 11")</f>
        <v>CLUSTER 11</v>
      </c>
    </row>
    <row r="140" customHeight="1" spans="1:35">
      <c r="A140" s="3">
        <f>IFERROR(__xludf.DUMMYFUNCTION("""COMPUTED_VALUE"""),46248)</f>
        <v>46248</v>
      </c>
      <c r="B140" s="1" t="str">
        <f>IFERROR(__xludf.DUMMYFUNCTION("""COMPUTED_VALUE"""),"ALLAN MILLAN BUNA")</f>
        <v>ALLAN MILLAN BUNA</v>
      </c>
      <c r="C140" s="1">
        <f>IFERROR(__xludf.DUMMYFUNCTION("""COMPUTED_VALUE"""),2311792447)</f>
        <v>2311792447</v>
      </c>
      <c r="D140" s="1">
        <f>IFERROR(__xludf.DUMMYFUNCTION("""COMPUTED_VALUE"""),406835421)</f>
        <v>406835421</v>
      </c>
      <c r="E140" s="1">
        <f>IFERROR(__xludf.DUMMYFUNCTION("""COMPUTED_VALUE"""),466472769004)</f>
        <v>466472769004</v>
      </c>
      <c r="F140" s="1" t="str">
        <f>IFERROR(__xludf.DUMMYFUNCTION("""COMPUTED_VALUE"""),"CANCELLED")</f>
        <v>CANCELLED</v>
      </c>
      <c r="G140" s="1" t="str">
        <f>IFERROR(__xludf.DUMMYFUNCTION("""COMPUTED_VALUE"""),"CANCELLED")</f>
        <v>CANCELLED</v>
      </c>
      <c r="H140" s="1" t="str">
        <f>IFERROR(__xludf.DUMMYFUNCTION("""COMPUTED_VALUE"""),"HOLD DAW MUNA KAKABAYAD NYA LANG NG BAHAY AS PER SUBS PERO INTERESTED NMN SILA")</f>
        <v>HOLD DAW MUNA KAKABAYAD NYA LANG NG BAHAY AS PER SUBS PERO INTERESTED NMN SILA</v>
      </c>
      <c r="I140" s="1"/>
      <c r="J140" s="1"/>
      <c r="K140" s="1" t="str">
        <f>IFERROR(__xludf.DUMMYFUNCTION("""COMPUTED_VALUE"""),"NOT IN OFSC")</f>
        <v>NOT IN OFSC</v>
      </c>
      <c r="L140" s="1" t="str">
        <f>IFERROR(__xludf.DUMMYFUNCTION("""COMPUTED_VALUE"""),"CANCELLED")</f>
        <v>CANCELLED</v>
      </c>
      <c r="M140" s="1" t="str">
        <f>IFERROR(__xludf.DUMMYFUNCTION("""COMPUTED_VALUE"""),"CANCELLED - FOR PAYMENT - AUTO AGING")</f>
        <v>CANCELLED - FOR PAYMENT - AUTO AGING</v>
      </c>
      <c r="N140" s="3"/>
      <c r="O140" s="1" t="str">
        <f>IFERROR(__xludf.DUMMYFUNCTION("""COMPUTED_VALUE"""),"FIBR UNLI ALL PLAN 999")</f>
        <v>FIBR UNLI ALL PLAN 999</v>
      </c>
      <c r="P140" s="1" t="str">
        <f>IFERROR(__xludf.DUMMYFUNCTION("""COMPUTED_VALUE"""),"LOWPLAN")</f>
        <v>LOWPLAN</v>
      </c>
      <c r="Q140" s="1" t="str">
        <f>IFERROR(__xludf.DUMMYFUNCTION("""COMPUTED_VALUE"""),"P407050")</f>
        <v>P407050</v>
      </c>
      <c r="R140" s="1" t="str">
        <f>IFERROR(__xludf.DUMMYFUNCTION("""COMPUTED_VALUE"""),"CADERAO, RONALD")</f>
        <v>CADERAO, RONALD</v>
      </c>
      <c r="S140" s="1" t="str">
        <f>IFERROR(__xludf.DUMMYFUNCTION("""COMPUTED_VALUE"""),"ORGANIC")</f>
        <v>ORGANIC</v>
      </c>
      <c r="T140" s="1" t="str">
        <f>IFERROR(__xludf.DUMMYFUNCTION("""COMPUTED_VALUE"""),"LEA REMOLLO")</f>
        <v>LEA REMOLLO</v>
      </c>
      <c r="U140" s="1" t="str">
        <f>IFERROR(__xludf.DUMMYFUNCTION("""COMPUTED_VALUE"""),"JB SALIOA")</f>
        <v>JB SALIOA</v>
      </c>
      <c r="V140" s="1" t="str">
        <f>IFERROR(__xludf.DUMMYFUNCTION("""COMPUTED_VALUE"""),"BK HSTK")</f>
        <v>BK HSTK</v>
      </c>
      <c r="W140" s="1" t="str">
        <f>IFERROR(__xludf.DUMMYFUNCTION("""COMPUTED_VALUE"""),"BK HSTK")</f>
        <v>BK HSTK</v>
      </c>
      <c r="X140" s="1" t="str">
        <f>IFERROR(__xludf.DUMMYFUNCTION("""COMPUTED_VALUE"""),"HBBS AUG 2026")</f>
        <v>HBBS AUG 2026</v>
      </c>
      <c r="Y140" s="1" t="str">
        <f>IFERROR(__xludf.DUMMYFUNCTION("""COMPUTED_VALUE"""),"BK_CVEU_260806")</f>
        <v>BK_CVEU_260806</v>
      </c>
      <c r="Z140" s="1" t="str">
        <f>IFERROR(__xludf.DUMMYFUNCTION("""COMPUTED_VALUE"""),"NEW CONNECT")</f>
        <v>NEW CONNECT</v>
      </c>
      <c r="AA140" s="1">
        <f>IFERROR(__xludf.DUMMYFUNCTION("""COMPUTED_VALUE"""),639060637997)</f>
        <v>639060637997</v>
      </c>
      <c r="AB140" s="1"/>
      <c r="AC140" s="1">
        <f>IFERROR(__xludf.DUMMYFUNCTION("""COMPUTED_VALUE"""),33)</f>
        <v>33</v>
      </c>
      <c r="AD140" s="1" t="str">
        <f>IFERROR(__xludf.DUMMYFUNCTION("""COMPUTED_VALUE"""),"SITIO BANABA")</f>
        <v>SITIO BANABA</v>
      </c>
      <c r="AE140" s="1"/>
      <c r="AF140" s="1" t="str">
        <f>IFERROR(__xludf.DUMMYFUNCTION("""COMPUTED_VALUE"""),"BGY SAN MIGUEL 2")</f>
        <v>BGY SAN MIGUEL 2</v>
      </c>
      <c r="AG140" s="1" t="str">
        <f>IFERROR(__xludf.DUMMYFUNCTION("""COMPUTED_VALUE"""),"SILANG")</f>
        <v>SILANG</v>
      </c>
      <c r="AH140" s="1" t="str">
        <f>IFERROR(__xludf.DUMMYFUNCTION("""COMPUTED_VALUE"""),"CI COMPOUND")</f>
        <v>CI COMPOUND</v>
      </c>
      <c r="AI140" s="1" t="str">
        <f>IFERROR(__xludf.DUMMYFUNCTION("""COMPUTED_VALUE"""),"CLUSTER 11")</f>
        <v>CLUSTER 11</v>
      </c>
    </row>
    <row r="141" customHeight="1" spans="1:35">
      <c r="A141" s="3">
        <f>IFERROR(__xludf.DUMMYFUNCTION("""COMPUTED_VALUE"""),46248)</f>
        <v>46248</v>
      </c>
      <c r="B141" s="1" t="str">
        <f>IFERROR(__xludf.DUMMYFUNCTION("""COMPUTED_VALUE"""),"JANICE NUNEZ JARABA")</f>
        <v>JANICE NUNEZ JARABA</v>
      </c>
      <c r="C141" s="1">
        <f>IFERROR(__xludf.DUMMYFUNCTION("""COMPUTED_VALUE"""),2311793048)</f>
        <v>2311793048</v>
      </c>
      <c r="D141" s="1">
        <f>IFERROR(__xludf.DUMMYFUNCTION("""COMPUTED_VALUE"""),406830586)</f>
        <v>406830586</v>
      </c>
      <c r="E141" s="1">
        <f>IFERROR(__xludf.DUMMYFUNCTION("""COMPUTED_VALUE"""),466469866004)</f>
        <v>466469866004</v>
      </c>
      <c r="F141" s="1" t="str">
        <f>IFERROR(__xludf.DUMMYFUNCTION("""COMPUTED_VALUE"""),"ORDER CREATED")</f>
        <v>ORDER CREATED</v>
      </c>
      <c r="G141" s="1" t="str">
        <f>IFERROR(__xludf.DUMMYFUNCTION("""COMPUTED_VALUE"""),"ORDER CREATED")</f>
        <v>ORDER CREATED</v>
      </c>
      <c r="H141" s="1"/>
      <c r="I141" s="1"/>
      <c r="J141" s="1"/>
      <c r="K141" s="1" t="str">
        <f>IFERROR(__xludf.DUMMYFUNCTION("""COMPUTED_VALUE"""),"NOT IN OFSC")</f>
        <v>NOT IN OFSC</v>
      </c>
      <c r="L141" s="1" t="str">
        <f>IFERROR(__xludf.DUMMYFUNCTION("""COMPUTED_VALUE"""),"OPEN")</f>
        <v>OPEN</v>
      </c>
      <c r="M141" s="1" t="str">
        <f>IFERROR(__xludf.DUMMYFUNCTION("""COMPUTED_VALUE"""),"OPEN")</f>
        <v>OPEN</v>
      </c>
      <c r="N141" s="3"/>
      <c r="O141" s="1" t="str">
        <f>IFERROR(__xludf.DUMMYFUNCTION("""COMPUTED_VALUE"""),"FIBR UNLI ALL PLAN 999")</f>
        <v>FIBR UNLI ALL PLAN 999</v>
      </c>
      <c r="P141" s="1" t="str">
        <f>IFERROR(__xludf.DUMMYFUNCTION("""COMPUTED_VALUE"""),"LOWPLAN")</f>
        <v>LOWPLAN</v>
      </c>
      <c r="Q141" s="1" t="str">
        <f>IFERROR(__xludf.DUMMYFUNCTION("""COMPUTED_VALUE"""),"P407050")</f>
        <v>P407050</v>
      </c>
      <c r="R141" s="1" t="str">
        <f>IFERROR(__xludf.DUMMYFUNCTION("""COMPUTED_VALUE"""),"ARENA, LYKA")</f>
        <v>ARENA, LYKA</v>
      </c>
      <c r="S141" s="1" t="str">
        <f>IFERROR(__xludf.DUMMYFUNCTION("""COMPUTED_VALUE"""),"ORGANIC")</f>
        <v>ORGANIC</v>
      </c>
      <c r="T141" s="1" t="str">
        <f>IFERROR(__xludf.DUMMYFUNCTION("""COMPUTED_VALUE"""),"LEA REMOLLO")</f>
        <v>LEA REMOLLO</v>
      </c>
      <c r="U141" s="1" t="str">
        <f>IFERROR(__xludf.DUMMYFUNCTION("""COMPUTED_VALUE"""),"JB SALIOA")</f>
        <v>JB SALIOA</v>
      </c>
      <c r="V141" s="1" t="str">
        <f>IFERROR(__xludf.DUMMYFUNCTION("""COMPUTED_VALUE"""),"BK HSTK")</f>
        <v>BK HSTK</v>
      </c>
      <c r="W141" s="1" t="str">
        <f>IFERROR(__xludf.DUMMYFUNCTION("""COMPUTED_VALUE"""),"BK HSTK")</f>
        <v>BK HSTK</v>
      </c>
      <c r="X141" s="1" t="str">
        <f>IFERROR(__xludf.DUMMYFUNCTION("""COMPUTED_VALUE"""),"HBBS AUG 2026")</f>
        <v>HBBS AUG 2026</v>
      </c>
      <c r="Y141" s="1" t="str">
        <f>IFERROR(__xludf.DUMMYFUNCTION("""COMPUTED_VALUE"""),"BK_CVEU_260806")</f>
        <v>BK_CVEU_260806</v>
      </c>
      <c r="Z141" s="1" t="str">
        <f>IFERROR(__xludf.DUMMYFUNCTION("""COMPUTED_VALUE"""),"NEW CONNECT")</f>
        <v>NEW CONNECT</v>
      </c>
      <c r="AA141" s="1">
        <f>IFERROR(__xludf.DUMMYFUNCTION("""COMPUTED_VALUE"""),639701001302)</f>
        <v>639701001302</v>
      </c>
      <c r="AB141" s="1"/>
      <c r="AC141" s="1">
        <f>IFERROR(__xludf.DUMMYFUNCTION("""COMPUTED_VALUE"""),335)</f>
        <v>335</v>
      </c>
      <c r="AD141" s="1" t="str">
        <f>IFERROR(__xludf.DUMMYFUNCTION("""COMPUTED_VALUE"""),"SITIO BANABA")</f>
        <v>SITIO BANABA</v>
      </c>
      <c r="AE141" s="1" t="str">
        <f>IFERROR(__xludf.DUMMYFUNCTION("""COMPUTED_VALUE"""),"CI COMPOUND")</f>
        <v>CI COMPOUND</v>
      </c>
      <c r="AF141" s="1" t="str">
        <f>IFERROR(__xludf.DUMMYFUNCTION("""COMPUTED_VALUE"""),"BGY SAN MIGUEL 2")</f>
        <v>BGY SAN MIGUEL 2</v>
      </c>
      <c r="AG141" s="1" t="str">
        <f>IFERROR(__xludf.DUMMYFUNCTION("""COMPUTED_VALUE"""),"SILANG")</f>
        <v>SILANG</v>
      </c>
      <c r="AH141" s="1" t="str">
        <f>IFERROR(__xludf.DUMMYFUNCTION("""COMPUTED_VALUE"""),"CI COMPOUND")</f>
        <v>CI COMPOUND</v>
      </c>
      <c r="AI141" s="1" t="str">
        <f>IFERROR(__xludf.DUMMYFUNCTION("""COMPUTED_VALUE"""),"CLUSTER 11")</f>
        <v>CLUSTER 11</v>
      </c>
    </row>
    <row r="142" customHeight="1" spans="1:35">
      <c r="A142" s="3">
        <f>IFERROR(__xludf.DUMMYFUNCTION("""COMPUTED_VALUE"""),46248)</f>
        <v>46248</v>
      </c>
      <c r="B142" s="1" t="str">
        <f>IFERROR(__xludf.DUMMYFUNCTION("""COMPUTED_VALUE"""),"JESSA VILLANUEVA JAVIER")</f>
        <v>JESSA VILLANUEVA JAVIER</v>
      </c>
      <c r="C142" s="1">
        <f>IFERROR(__xludf.DUMMYFUNCTION("""COMPUTED_VALUE"""),2311793920)</f>
        <v>2311793920</v>
      </c>
      <c r="D142" s="1">
        <f>IFERROR(__xludf.DUMMYFUNCTION("""COMPUTED_VALUE"""),406832171)</f>
        <v>406832171</v>
      </c>
      <c r="E142" s="1">
        <f>IFERROR(__xludf.DUMMYFUNCTION("""COMPUTED_VALUE"""),466470270004)</f>
        <v>466470270004</v>
      </c>
      <c r="F142" s="1" t="str">
        <f>IFERROR(__xludf.DUMMYFUNCTION("""COMPUTED_VALUE"""),"CLOSED")</f>
        <v>CLOSED</v>
      </c>
      <c r="G142" s="1" t="str">
        <f>IFERROR(__xludf.DUMMYFUNCTION("""COMPUTED_VALUE"""),"CLOSED")</f>
        <v>CLOSED</v>
      </c>
      <c r="H142" s="1"/>
      <c r="I142" s="1" t="str">
        <f>IFERROR(__xludf.DUMMYFUNCTION("""COMPUTED_VALUE"""),"NO 1 AMSF")</f>
        <v>NO 1 AMSF</v>
      </c>
      <c r="J142" s="1" t="str">
        <f>IFERROR(__xludf.DUMMYFUNCTION("""COMPUTED_VALUE"""),"DUE DATE - 11- Sep-26 -2,250.66")</f>
        <v>DUE DATE - 11- Sep-26 -2,250.66</v>
      </c>
      <c r="K142" s="1" t="str">
        <f>IFERROR(__xludf.DUMMYFUNCTION("""COMPUTED_VALUE"""),"COMPLETED")</f>
        <v>COMPLETED</v>
      </c>
      <c r="L142" s="1" t="str">
        <f>IFERROR(__xludf.DUMMYFUNCTION("""COMPUTED_VALUE"""),"POSTED")</f>
        <v>POSTED</v>
      </c>
      <c r="M142" s="1" t="str">
        <f>IFERROR(__xludf.DUMMYFUNCTION("""COMPUTED_VALUE"""),"POSTED")</f>
        <v>POSTED</v>
      </c>
      <c r="N142" s="3">
        <f>IFERROR(__xludf.DUMMYFUNCTION("""COMPUTED_VALUE"""),46249)</f>
        <v>46249</v>
      </c>
      <c r="O142" s="1" t="str">
        <f>IFERROR(__xludf.DUMMYFUNCTION("""COMPUTED_VALUE"""),"FIBR UNLI ALL PLAN 999")</f>
        <v>FIBR UNLI ALL PLAN 999</v>
      </c>
      <c r="P142" s="1" t="str">
        <f>IFERROR(__xludf.DUMMYFUNCTION("""COMPUTED_VALUE"""),"LOWPLAN")</f>
        <v>LOWPLAN</v>
      </c>
      <c r="Q142" s="1" t="str">
        <f>IFERROR(__xludf.DUMMYFUNCTION("""COMPUTED_VALUE"""),"P407050")</f>
        <v>P407050</v>
      </c>
      <c r="R142" s="1" t="str">
        <f>IFERROR(__xludf.DUMMYFUNCTION("""COMPUTED_VALUE"""),"ALINGARO, CINDY")</f>
        <v>ALINGARO, CINDY</v>
      </c>
      <c r="S142" s="1" t="str">
        <f>IFERROR(__xludf.DUMMYFUNCTION("""COMPUTED_VALUE"""),"ORGANIC")</f>
        <v>ORGANIC</v>
      </c>
      <c r="T142" s="1" t="str">
        <f>IFERROR(__xludf.DUMMYFUNCTION("""COMPUTED_VALUE"""),"LEA REMOLLO")</f>
        <v>LEA REMOLLO</v>
      </c>
      <c r="U142" s="1" t="str">
        <f>IFERROR(__xludf.DUMMYFUNCTION("""COMPUTED_VALUE"""),"JB SALIOA")</f>
        <v>JB SALIOA</v>
      </c>
      <c r="V142" s="1" t="str">
        <f>IFERROR(__xludf.DUMMYFUNCTION("""COMPUTED_VALUE"""),"BK HSTK")</f>
        <v>BK HSTK</v>
      </c>
      <c r="W142" s="1" t="str">
        <f>IFERROR(__xludf.DUMMYFUNCTION("""COMPUTED_VALUE"""),"BK HSTK")</f>
        <v>BK HSTK</v>
      </c>
      <c r="X142" s="1" t="str">
        <f>IFERROR(__xludf.DUMMYFUNCTION("""COMPUTED_VALUE"""),"HBBS AUG 2026")</f>
        <v>HBBS AUG 2026</v>
      </c>
      <c r="Y142" s="1" t="str">
        <f>IFERROR(__xludf.DUMMYFUNCTION("""COMPUTED_VALUE"""),"BK_CVEU_260806")</f>
        <v>BK_CVEU_260806</v>
      </c>
      <c r="Z142" s="1" t="str">
        <f>IFERROR(__xludf.DUMMYFUNCTION("""COMPUTED_VALUE"""),"NEW CONNECT")</f>
        <v>NEW CONNECT</v>
      </c>
      <c r="AA142" s="1">
        <f>IFERROR(__xludf.DUMMYFUNCTION("""COMPUTED_VALUE"""),639852651812)</f>
        <v>639852651812</v>
      </c>
      <c r="AB142" s="1">
        <f>IFERROR(__xludf.DUMMYFUNCTION("""COMPUTED_VALUE"""),639704887954)</f>
        <v>639704887954</v>
      </c>
      <c r="AC142" s="1">
        <f>IFERROR(__xludf.DUMMYFUNCTION("""COMPUTED_VALUE"""),3099)</f>
        <v>3099</v>
      </c>
      <c r="AD142" s="1" t="str">
        <f>IFERROR(__xludf.DUMMYFUNCTION("""COMPUTED_VALUE"""),"BORROMEO")</f>
        <v>BORROMEO</v>
      </c>
      <c r="AE142" s="1"/>
      <c r="AF142" s="1" t="str">
        <f>IFERROR(__xludf.DUMMYFUNCTION("""COMPUTED_VALUE"""),"BGY BILUSO")</f>
        <v>BGY BILUSO</v>
      </c>
      <c r="AG142" s="1" t="str">
        <f>IFERROR(__xludf.DUMMYFUNCTION("""COMPUTED_VALUE"""),"SILANG")</f>
        <v>SILANG</v>
      </c>
      <c r="AH142" s="1" t="str">
        <f>IFERROR(__xludf.DUMMYFUNCTION("""COMPUTED_VALUE"""),"-")</f>
        <v>-</v>
      </c>
      <c r="AI142" s="1" t="str">
        <f>IFERROR(__xludf.DUMMYFUNCTION("""COMPUTED_VALUE"""),"CLUSTER 11")</f>
        <v>CLUSTER 11</v>
      </c>
    </row>
    <row r="143" customHeight="1" spans="1:35">
      <c r="A143" s="3">
        <f>IFERROR(__xludf.DUMMYFUNCTION("""COMPUTED_VALUE"""),46248)</f>
        <v>46248</v>
      </c>
      <c r="B143" s="1" t="str">
        <f>IFERROR(__xludf.DUMMYFUNCTION("""COMPUTED_VALUE"""),"JOERIELYN LAGMAY PRECILLA")</f>
        <v>JOERIELYN LAGMAY PRECILLA</v>
      </c>
      <c r="C143" s="1">
        <f>IFERROR(__xludf.DUMMYFUNCTION("""COMPUTED_VALUE"""),2311794313)</f>
        <v>2311794313</v>
      </c>
      <c r="D143" s="1">
        <f>IFERROR(__xludf.DUMMYFUNCTION("""COMPUTED_VALUE"""),406835626)</f>
        <v>406835626</v>
      </c>
      <c r="E143" s="1">
        <f>IFERROR(__xludf.DUMMYFUNCTION("""COMPUTED_VALUE"""),466472605004)</f>
        <v>466472605004</v>
      </c>
      <c r="F143" s="1" t="str">
        <f>IFERROR(__xludf.DUMMYFUNCTION("""COMPUTED_VALUE"""),"CANCELLED")</f>
        <v>CANCELLED</v>
      </c>
      <c r="G143" s="1" t="str">
        <f>IFERROR(__xludf.DUMMYFUNCTION("""COMPUTED_VALUE"""),"RPR VISITED REMARKS   FULL PLDT FIBER FACILITY   ASSIGN CAFAC SILFELP491NP003 Port 7 NOT ON SITE   CUSTOMER ALREADY ADVICED   SILLP491NP6 FULL SILLP491NP7 FULL SILLP454NP8 FULL TALK JOERIELYN LAGMAY PRECILLA 09615811798 09457687433")</f>
        <v>RPR VISITED REMARKS   FULL PLDT FIBER FACILITY   ASSIGN CAFAC SILFELP491NP003 Port 7 NOT ON SITE   CUSTOMER ALREADY ADVICED   SILLP491NP6 FULL SILLP491NP7 FULL SILLP454NP8 FULL TALK JOERIELYN LAGMAY PRECILLA 09615811798 09457687433</v>
      </c>
      <c r="H143" s="1"/>
      <c r="I143" s="1"/>
      <c r="J143" s="1"/>
      <c r="K143" s="1" t="str">
        <f>IFERROR(__xludf.DUMMYFUNCTION("""COMPUTED_VALUE"""),"CANCELED")</f>
        <v>CANCELED</v>
      </c>
      <c r="L143" s="1" t="str">
        <f>IFERROR(__xludf.DUMMYFUNCTION("""COMPUTED_VALUE"""),"RPR - NAP FULL")</f>
        <v>RPR - NAP FULL</v>
      </c>
      <c r="M143" s="1" t="str">
        <f>IFERROR(__xludf.DUMMYFUNCTION("""COMPUTED_VALUE"""),"RPR- NAP FULL")</f>
        <v>RPR- NAP FULL</v>
      </c>
      <c r="N143" s="3"/>
      <c r="O143" s="1" t="str">
        <f>IFERROR(__xludf.DUMMYFUNCTION("""COMPUTED_VALUE"""),"FIBR PLAN 1299")</f>
        <v>FIBR PLAN 1299</v>
      </c>
      <c r="P143" s="1" t="str">
        <f>IFERROR(__xludf.DUMMYFUNCTION("""COMPUTED_VALUE"""),"LOWPLAN")</f>
        <v>LOWPLAN</v>
      </c>
      <c r="Q143" s="1" t="str">
        <f>IFERROR(__xludf.DUMMYFUNCTION("""COMPUTED_VALUE"""),"P407047")</f>
        <v>P407047</v>
      </c>
      <c r="R143" s="1" t="str">
        <f>IFERROR(__xludf.DUMMYFUNCTION("""COMPUTED_VALUE"""),"FRANCISCO, ROSELYN")</f>
        <v>FRANCISCO, ROSELYN</v>
      </c>
      <c r="S143" s="1" t="str">
        <f>IFERROR(__xludf.DUMMYFUNCTION("""COMPUTED_VALUE"""),"ORGANIC")</f>
        <v>ORGANIC</v>
      </c>
      <c r="T143" s="1" t="str">
        <f>IFERROR(__xludf.DUMMYFUNCTION("""COMPUTED_VALUE"""),"LEA REMOLLO")</f>
        <v>LEA REMOLLO</v>
      </c>
      <c r="U143" s="1" t="str">
        <f>IFERROR(__xludf.DUMMYFUNCTION("""COMPUTED_VALUE"""),"JB SALIOA")</f>
        <v>JB SALIOA</v>
      </c>
      <c r="V143" s="1" t="str">
        <f>IFERROR(__xludf.DUMMYFUNCTION("""COMPUTED_VALUE"""),"BK HSTK")</f>
        <v>BK HSTK</v>
      </c>
      <c r="W143" s="1" t="str">
        <f>IFERROR(__xludf.DUMMYFUNCTION("""COMPUTED_VALUE"""),"BK HSTK")</f>
        <v>BK HSTK</v>
      </c>
      <c r="X143" s="1" t="str">
        <f>IFERROR(__xludf.DUMMYFUNCTION("""COMPUTED_VALUE"""),"HBBS AUG 2026")</f>
        <v>HBBS AUG 2026</v>
      </c>
      <c r="Y143" s="1" t="str">
        <f>IFERROR(__xludf.DUMMYFUNCTION("""COMPUTED_VALUE"""),"BK_CVEU_260806")</f>
        <v>BK_CVEU_260806</v>
      </c>
      <c r="Z143" s="1" t="str">
        <f>IFERROR(__xludf.DUMMYFUNCTION("""COMPUTED_VALUE"""),"NEW CONNECT")</f>
        <v>NEW CONNECT</v>
      </c>
      <c r="AA143" s="1">
        <f>IFERROR(__xludf.DUMMYFUNCTION("""COMPUTED_VALUE"""),639615811798)</f>
        <v>639615811798</v>
      </c>
      <c r="AB143" s="1">
        <f>IFERROR(__xludf.DUMMYFUNCTION("""COMPUTED_VALUE"""),639457687433)</f>
        <v>639457687433</v>
      </c>
      <c r="AC143" s="1"/>
      <c r="AD143" s="1" t="str">
        <f>IFERROR(__xludf.DUMMYFUNCTION("""COMPUTED_VALUE"""),"ZONE 2")</f>
        <v>ZONE 2</v>
      </c>
      <c r="AE143" s="1"/>
      <c r="AF143" s="1" t="str">
        <f>IFERROR(__xludf.DUMMYFUNCTION("""COMPUTED_VALUE"""),"BGY BULIHAN")</f>
        <v>BGY BULIHAN</v>
      </c>
      <c r="AG143" s="1" t="str">
        <f>IFERROR(__xludf.DUMMYFUNCTION("""COMPUTED_VALUE"""),"SILANG")</f>
        <v>SILANG</v>
      </c>
      <c r="AH143" s="1" t="str">
        <f>IFERROR(__xludf.DUMMYFUNCTION("""COMPUTED_VALUE"""),"BAGONG BUHAY ELEM SCHOOL")</f>
        <v>BAGONG BUHAY ELEM SCHOOL</v>
      </c>
      <c r="AI143" s="1" t="str">
        <f>IFERROR(__xludf.DUMMYFUNCTION("""COMPUTED_VALUE"""),"CLUSTER 11")</f>
        <v>CLUSTER 11</v>
      </c>
    </row>
    <row r="144" customHeight="1" spans="1:35">
      <c r="A144" s="3">
        <f>IFERROR(__xludf.DUMMYFUNCTION("""COMPUTED_VALUE"""),46249)</f>
        <v>46249</v>
      </c>
      <c r="B144" s="1" t="str">
        <f>IFERROR(__xludf.DUMMYFUNCTION("""COMPUTED_VALUE""")," GEMMA TAN MERCADERO")</f>
        <v> GEMMA TAN MERCADERO</v>
      </c>
      <c r="C144" s="1">
        <f>IFERROR(__xludf.DUMMYFUNCTION("""COMPUTED_VALUE"""),2311807345)</f>
        <v>2311807345</v>
      </c>
      <c r="D144" s="1">
        <f>IFERROR(__xludf.DUMMYFUNCTION("""COMPUTED_VALUE"""),406866351)</f>
        <v>406866351</v>
      </c>
      <c r="E144" s="1">
        <f>IFERROR(__xludf.DUMMYFUNCTION("""COMPUTED_VALUE"""),466600863004)</f>
        <v>466600863004</v>
      </c>
      <c r="F144" s="1" t="str">
        <f>IFERROR(__xludf.DUMMYFUNCTION("""COMPUTED_VALUE"""),"CLOSED")</f>
        <v>CLOSED</v>
      </c>
      <c r="G144" s="1" t="str">
        <f>IFERROR(__xludf.DUMMYFUNCTION("""COMPUTED_VALUE"""),"FOR CLOSING TO THIS PID")</f>
        <v>FOR CLOSING TO THIS PID</v>
      </c>
      <c r="H144" s="1"/>
      <c r="I144" s="1" t="str">
        <f>IFERROR(__xludf.DUMMYFUNCTION("""COMPUTED_VALUE"""),"WITH 1 AMSF")</f>
        <v>WITH 1 AMSF</v>
      </c>
      <c r="J144" s="1" t="str">
        <f>IFERROR(__xludf.DUMMYFUNCTION("""COMPUTED_VALUE"""),"INSTALLED")</f>
        <v>INSTALLED</v>
      </c>
      <c r="K144" s="1" t="str">
        <f>IFERROR(__xludf.DUMMYFUNCTION("""COMPUTED_VALUE"""),"COMPLETED")</f>
        <v>COMPLETED</v>
      </c>
      <c r="L144" s="1" t="str">
        <f>IFERROR(__xludf.DUMMYFUNCTION("""COMPUTED_VALUE"""),"POSTED")</f>
        <v>POSTED</v>
      </c>
      <c r="M144" s="1" t="str">
        <f>IFERROR(__xludf.DUMMYFUNCTION("""COMPUTED_VALUE"""),"POSTED")</f>
        <v>POSTED</v>
      </c>
      <c r="N144" s="3">
        <f>IFERROR(__xludf.DUMMYFUNCTION("""COMPUTED_VALUE"""),46256)</f>
        <v>46256</v>
      </c>
      <c r="O144" s="1" t="str">
        <f>IFERROR(__xludf.DUMMYFUNCTION("""COMPUTED_VALUE"""),"FIBR UNLI ALL PLAN 999")</f>
        <v>FIBR UNLI ALL PLAN 999</v>
      </c>
      <c r="P144" s="1" t="str">
        <f>IFERROR(__xludf.DUMMYFUNCTION("""COMPUTED_VALUE"""),"LOWPLAN")</f>
        <v>LOWPLAN</v>
      </c>
      <c r="Q144" s="1" t="str">
        <f>IFERROR(__xludf.DUMMYFUNCTION("""COMPUTED_VALUE"""),"P407046")</f>
        <v>P407046</v>
      </c>
      <c r="R144" s="1" t="str">
        <f>IFERROR(__xludf.DUMMYFUNCTION("""COMPUTED_VALUE"""),"DE VERA, MARIVIC")</f>
        <v>DE VERA, MARIVIC</v>
      </c>
      <c r="S144" s="1" t="str">
        <f>IFERROR(__xludf.DUMMYFUNCTION("""COMPUTED_VALUE"""),"ORGANIC")</f>
        <v>ORGANIC</v>
      </c>
      <c r="T144" s="1" t="str">
        <f>IFERROR(__xludf.DUMMYFUNCTION("""COMPUTED_VALUE"""),"LEA REMOLLO")</f>
        <v>LEA REMOLLO</v>
      </c>
      <c r="U144" s="1" t="str">
        <f>IFERROR(__xludf.DUMMYFUNCTION("""COMPUTED_VALUE"""),"JULIE ESPIRITU")</f>
        <v>JULIE ESPIRITU</v>
      </c>
      <c r="V144" s="1" t="str">
        <f>IFERROR(__xludf.DUMMYFUNCTION("""COMPUTED_VALUE"""),"BK REGULAR")</f>
        <v>BK REGULAR</v>
      </c>
      <c r="W144" s="1" t="str">
        <f>IFERROR(__xludf.DUMMYFUNCTION("""COMPUTED_VALUE"""),"CSP")</f>
        <v>CSP</v>
      </c>
      <c r="X144" s="1" t="str">
        <f>IFERROR(__xludf.DUMMYFUNCTION("""COMPUTED_VALUE"""),"HBBS AUG 2026")</f>
        <v>HBBS AUG 2026</v>
      </c>
      <c r="Y144" s="1" t="str">
        <f>IFERROR(__xludf.DUMMYFUNCTION("""COMPUTED_VALUE"""),"BK_CVEU_260807")</f>
        <v>BK_CVEU_260807</v>
      </c>
      <c r="Z144" s="1" t="str">
        <f>IFERROR(__xludf.DUMMYFUNCTION("""COMPUTED_VALUE"""),"NEW CONNECT")</f>
        <v>NEW CONNECT</v>
      </c>
      <c r="AA144" s="1">
        <f>IFERROR(__xludf.DUMMYFUNCTION("""COMPUTED_VALUE"""),639636734399)</f>
        <v>639636734399</v>
      </c>
      <c r="AB144" s="1"/>
      <c r="AC144" s="1"/>
      <c r="AD144" s="1" t="str">
        <f>IFERROR(__xludf.DUMMYFUNCTION("""COMPUTED_VALUE"""),"PABAHAY")</f>
        <v>PABAHAY</v>
      </c>
      <c r="AE144" s="1"/>
      <c r="AF144" s="1" t="str">
        <f>IFERROR(__xludf.DUMMYFUNCTION("""COMPUTED_VALUE"""),"BGY ZAMBAL")</f>
        <v>BGY ZAMBAL</v>
      </c>
      <c r="AG144" s="1" t="str">
        <f>IFERROR(__xludf.DUMMYFUNCTION("""COMPUTED_VALUE"""),"TAGAYTAY")</f>
        <v>TAGAYTAY</v>
      </c>
      <c r="AH144" s="1"/>
      <c r="AI144" s="1" t="str">
        <f>IFERROR(__xludf.DUMMYFUNCTION("""COMPUTED_VALUE"""),"CLUSTER 12")</f>
        <v>CLUSTER 12</v>
      </c>
    </row>
    <row r="145" customHeight="1" spans="1:35">
      <c r="A145" s="3">
        <f>IFERROR(__xludf.DUMMYFUNCTION("""COMPUTED_VALUE"""),46249)</f>
        <v>46249</v>
      </c>
      <c r="B145" s="1" t="str">
        <f>IFERROR(__xludf.DUMMYFUNCTION("""COMPUTED_VALUE"""),"ERICK . LLAGAS")</f>
        <v>ERICK . LLAGAS</v>
      </c>
      <c r="C145" s="1">
        <f>IFERROR(__xludf.DUMMYFUNCTION("""COMPUTED_VALUE"""),2311809410)</f>
        <v>2311809410</v>
      </c>
      <c r="D145" s="1">
        <f>IFERROR(__xludf.DUMMYFUNCTION("""COMPUTED_VALUE"""),406856720)</f>
        <v>406856720</v>
      </c>
      <c r="E145" s="1">
        <f>IFERROR(__xludf.DUMMYFUNCTION("""COMPUTED_VALUE"""),466589108004)</f>
        <v>466589108004</v>
      </c>
      <c r="F145" s="1" t="str">
        <f>IFERROR(__xludf.DUMMYFUNCTION("""COMPUTED_VALUE"""),"CANCELLED")</f>
        <v>CANCELLED</v>
      </c>
      <c r="G145" s="1" t="str">
        <f>IFERROR(__xludf.DUMMYFUNCTION("""COMPUTED_VALUE"""),"AUTO - AGING")</f>
        <v>AUTO - AGING</v>
      </c>
      <c r="H145" s="1" t="str">
        <f>IFERROR(__xludf.DUMMYFUNCTION("""COMPUTED_VALUE"""),"AS PER SUBS CANCEL NA KASI NAKIKI CONNECT NALANG SILA SA KAPITBAHAY NILA")</f>
        <v>AS PER SUBS CANCEL NA KASI NAKIKI CONNECT NALANG SILA SA KAPITBAHAY NILA</v>
      </c>
      <c r="I145" s="1"/>
      <c r="J145" s="1"/>
      <c r="K145" s="1" t="str">
        <f>IFERROR(__xludf.DUMMYFUNCTION("""COMPUTED_VALUE"""),"NOT IN OFSC")</f>
        <v>NOT IN OFSC</v>
      </c>
      <c r="L145" s="1" t="str">
        <f>IFERROR(__xludf.DUMMYFUNCTION("""COMPUTED_VALUE"""),"CANCELLED - AGING")</f>
        <v>CANCELLED - AGING</v>
      </c>
      <c r="M145" s="1" t="str">
        <f>IFERROR(__xludf.DUMMYFUNCTION("""COMPUTED_VALUE"""),"CANCELLED - AGING")</f>
        <v>CANCELLED - AGING</v>
      </c>
      <c r="N145" s="3"/>
      <c r="O145" s="1" t="str">
        <f>IFERROR(__xludf.DUMMYFUNCTION("""COMPUTED_VALUE"""),"FIBR UNLI ALL PLAN 999")</f>
        <v>FIBR UNLI ALL PLAN 999</v>
      </c>
      <c r="P145" s="1" t="str">
        <f>IFERROR(__xludf.DUMMYFUNCTION("""COMPUTED_VALUE"""),"LOWPLAN")</f>
        <v>LOWPLAN</v>
      </c>
      <c r="Q145" s="1" t="str">
        <f>IFERROR(__xludf.DUMMYFUNCTION("""COMPUTED_VALUE"""),"P407050")</f>
        <v>P407050</v>
      </c>
      <c r="R145" s="1" t="str">
        <f>IFERROR(__xludf.DUMMYFUNCTION("""COMPUTED_VALUE"""),"TAMAYO, MARY ROSE ZAIRA")</f>
        <v>TAMAYO, MARY ROSE ZAIRA</v>
      </c>
      <c r="S145" s="1" t="str">
        <f>IFERROR(__xludf.DUMMYFUNCTION("""COMPUTED_VALUE"""),"ORGANIC")</f>
        <v>ORGANIC</v>
      </c>
      <c r="T145" s="1" t="str">
        <f>IFERROR(__xludf.DUMMYFUNCTION("""COMPUTED_VALUE"""),"LEA REMOLLO")</f>
        <v>LEA REMOLLO</v>
      </c>
      <c r="U145" s="1" t="str">
        <f>IFERROR(__xludf.DUMMYFUNCTION("""COMPUTED_VALUE"""),"JB SALIOA")</f>
        <v>JB SALIOA</v>
      </c>
      <c r="V145" s="1" t="str">
        <f>IFERROR(__xludf.DUMMYFUNCTION("""COMPUTED_VALUE"""),"BK HSTK")</f>
        <v>BK HSTK</v>
      </c>
      <c r="W145" s="1" t="str">
        <f>IFERROR(__xludf.DUMMYFUNCTION("""COMPUTED_VALUE"""),"BK HSTK")</f>
        <v>BK HSTK</v>
      </c>
      <c r="X145" s="1" t="str">
        <f>IFERROR(__xludf.DUMMYFUNCTION("""COMPUTED_VALUE"""),"HBBS AUG 2026")</f>
        <v>HBBS AUG 2026</v>
      </c>
      <c r="Y145" s="1" t="str">
        <f>IFERROR(__xludf.DUMMYFUNCTION("""COMPUTED_VALUE"""),"BK_CVEU_260804")</f>
        <v>BK_CVEU_260804</v>
      </c>
      <c r="Z145" s="1" t="str">
        <f>IFERROR(__xludf.DUMMYFUNCTION("""COMPUTED_VALUE"""),"NEW CONNECT")</f>
        <v>NEW CONNECT</v>
      </c>
      <c r="AA145" s="1">
        <f>IFERROR(__xludf.DUMMYFUNCTION("""COMPUTED_VALUE"""),639383753603)</f>
        <v>639383753603</v>
      </c>
      <c r="AB145" s="1">
        <f>IFERROR(__xludf.DUMMYFUNCTION("""COMPUTED_VALUE"""),639508436765)</f>
        <v>639508436765</v>
      </c>
      <c r="AC145" s="1"/>
      <c r="AD145" s="1" t="str">
        <f>IFERROR(__xludf.DUMMYFUNCTION("""COMPUTED_VALUE"""),"DIANA")</f>
        <v>DIANA</v>
      </c>
      <c r="AE145" s="1"/>
      <c r="AF145" s="1" t="str">
        <f>IFERROR(__xludf.DUMMYFUNCTION("""COMPUTED_VALUE"""),"BGY KAPITAN KUA")</f>
        <v>BGY KAPITAN KUA</v>
      </c>
      <c r="AG145" s="1" t="str">
        <f>IFERROR(__xludf.DUMMYFUNCTION("""COMPUTED_VALUE"""),"GEN MARIANO ALVAREZ")</f>
        <v>GEN MARIANO ALVAREZ</v>
      </c>
      <c r="AH145" s="1" t="str">
        <f>IFERROR(__xludf.DUMMYFUNCTION("""COMPUTED_VALUE"""),"-")</f>
        <v>-</v>
      </c>
      <c r="AI145" s="1" t="str">
        <f>IFERROR(__xludf.DUMMYFUNCTION("""COMPUTED_VALUE"""),"CLUSTER 11")</f>
        <v>CLUSTER 11</v>
      </c>
    </row>
    <row r="146" customHeight="1" spans="1:35">
      <c r="A146" s="3">
        <f>IFERROR(__xludf.DUMMYFUNCTION("""COMPUTED_VALUE"""),46249)</f>
        <v>46249</v>
      </c>
      <c r="B146" s="1" t="str">
        <f>IFERROR(__xludf.DUMMYFUNCTION("""COMPUTED_VALUE"""),"APRIL JOY MARBIBI DOLOR")</f>
        <v>APRIL JOY MARBIBI DOLOR</v>
      </c>
      <c r="C146" s="1">
        <f>IFERROR(__xludf.DUMMYFUNCTION("""COMPUTED_VALUE"""),2311811225)</f>
        <v>2311811225</v>
      </c>
      <c r="D146" s="1">
        <f>IFERROR(__xludf.DUMMYFUNCTION("""COMPUTED_VALUE"""),406861007)</f>
        <v>406861007</v>
      </c>
      <c r="E146" s="1">
        <f>IFERROR(__xludf.DUMMYFUNCTION("""COMPUTED_VALUE"""),466595723004)</f>
        <v>466595723004</v>
      </c>
      <c r="F146" s="1" t="str">
        <f>IFERROR(__xludf.DUMMYFUNCTION("""COMPUTED_VALUE"""),"CLOSED")</f>
        <v>CLOSED</v>
      </c>
      <c r="G146" s="1" t="str">
        <f>IFERROR(__xludf.DUMMYFUNCTION("""COMPUTED_VALUE"""),"CLOSED")</f>
        <v>CLOSED</v>
      </c>
      <c r="H146" s="1"/>
      <c r="I146" s="1" t="str">
        <f>IFERROR(__xludf.DUMMYFUNCTION("""COMPUTED_VALUE"""),"NO 1 AMSF")</f>
        <v>NO 1 AMSF</v>
      </c>
      <c r="J146" s="1" t="str">
        <f>IFERROR(__xludf.DUMMYFUNCTION("""COMPUTED_VALUE"""),"DUE DATE - 14- Sep-26 - 2,250.66")</f>
        <v>DUE DATE - 14- Sep-26 - 2,250.66</v>
      </c>
      <c r="K146" s="1" t="str">
        <f>IFERROR(__xludf.DUMMYFUNCTION("""COMPUTED_VALUE"""),"COMPLETED")</f>
        <v>COMPLETED</v>
      </c>
      <c r="L146" s="1" t="str">
        <f>IFERROR(__xludf.DUMMYFUNCTION("""COMPUTED_VALUE"""),"POSTED")</f>
        <v>POSTED</v>
      </c>
      <c r="M146" s="1" t="str">
        <f>IFERROR(__xludf.DUMMYFUNCTION("""COMPUTED_VALUE"""),"POSTED")</f>
        <v>POSTED</v>
      </c>
      <c r="N146" s="3">
        <f>IFERROR(__xludf.DUMMYFUNCTION("""COMPUTED_VALUE"""),46254)</f>
        <v>46254</v>
      </c>
      <c r="O146" s="1" t="str">
        <f>IFERROR(__xludf.DUMMYFUNCTION("""COMPUTED_VALUE"""),"FIBR UNLI ALL PLAN 999")</f>
        <v>FIBR UNLI ALL PLAN 999</v>
      </c>
      <c r="P146" s="1" t="str">
        <f>IFERROR(__xludf.DUMMYFUNCTION("""COMPUTED_VALUE"""),"LOWPLAN")</f>
        <v>LOWPLAN</v>
      </c>
      <c r="Q146" s="1" t="str">
        <f>IFERROR(__xludf.DUMMYFUNCTION("""COMPUTED_VALUE"""),"P407050")</f>
        <v>P407050</v>
      </c>
      <c r="R146" s="1" t="str">
        <f>IFERROR(__xludf.DUMMYFUNCTION("""COMPUTED_VALUE"""),"ESCARCHA, ALMA")</f>
        <v>ESCARCHA, ALMA</v>
      </c>
      <c r="S146" s="1" t="str">
        <f>IFERROR(__xludf.DUMMYFUNCTION("""COMPUTED_VALUE"""),"ORGANIC")</f>
        <v>ORGANIC</v>
      </c>
      <c r="T146" s="1" t="str">
        <f>IFERROR(__xludf.DUMMYFUNCTION("""COMPUTED_VALUE"""),"LEA REMOLLO")</f>
        <v>LEA REMOLLO</v>
      </c>
      <c r="U146" s="1" t="str">
        <f>IFERROR(__xludf.DUMMYFUNCTION("""COMPUTED_VALUE"""),"JB SALIOA")</f>
        <v>JB SALIOA</v>
      </c>
      <c r="V146" s="1" t="str">
        <f>IFERROR(__xludf.DUMMYFUNCTION("""COMPUTED_VALUE"""),"BK HSTK")</f>
        <v>BK HSTK</v>
      </c>
      <c r="W146" s="1" t="str">
        <f>IFERROR(__xludf.DUMMYFUNCTION("""COMPUTED_VALUE"""),"BK HSTK")</f>
        <v>BK HSTK</v>
      </c>
      <c r="X146" s="1" t="str">
        <f>IFERROR(__xludf.DUMMYFUNCTION("""COMPUTED_VALUE"""),"HBBS AUG 2026")</f>
        <v>HBBS AUG 2026</v>
      </c>
      <c r="Y146" s="1" t="str">
        <f>IFERROR(__xludf.DUMMYFUNCTION("""COMPUTED_VALUE"""),"BK_CVEU_260806")</f>
        <v>BK_CVEU_260806</v>
      </c>
      <c r="Z146" s="1" t="str">
        <f>IFERROR(__xludf.DUMMYFUNCTION("""COMPUTED_VALUE"""),"NEW CONNECT")</f>
        <v>NEW CONNECT</v>
      </c>
      <c r="AA146" s="1">
        <f>IFERROR(__xludf.DUMMYFUNCTION("""COMPUTED_VALUE"""),639069355669)</f>
        <v>639069355669</v>
      </c>
      <c r="AB146" s="1"/>
      <c r="AC146" s="1"/>
      <c r="AD146" s="1" t="str">
        <f>IFERROR(__xludf.DUMMYFUNCTION("""COMPUTED_VALUE"""),"IPIL 2")</f>
        <v>IPIL 2</v>
      </c>
      <c r="AE146" s="1"/>
      <c r="AF146" s="1" t="str">
        <f>IFERROR(__xludf.DUMMYFUNCTION("""COMPUTED_VALUE"""),"BGY IPIL 2")</f>
        <v>BGY IPIL 2</v>
      </c>
      <c r="AG146" s="1" t="str">
        <f>IFERROR(__xludf.DUMMYFUNCTION("""COMPUTED_VALUE"""),"SILANG")</f>
        <v>SILANG</v>
      </c>
      <c r="AH146" s="1" t="str">
        <f>IFERROR(__xludf.DUMMYFUNCTION("""COMPUTED_VALUE"""),"-")</f>
        <v>-</v>
      </c>
      <c r="AI146" s="1" t="str">
        <f>IFERROR(__xludf.DUMMYFUNCTION("""COMPUTED_VALUE"""),"CLUSTER 11")</f>
        <v>CLUSTER 11</v>
      </c>
    </row>
    <row r="147" customHeight="1" spans="1:35">
      <c r="A147" s="3">
        <f>IFERROR(__xludf.DUMMYFUNCTION("""COMPUTED_VALUE"""),46249)</f>
        <v>46249</v>
      </c>
      <c r="B147" s="1" t="str">
        <f>IFERROR(__xludf.DUMMYFUNCTION("""COMPUTED_VALUE"""),"MAEDEN JOY DIMARANAN PEREY")</f>
        <v>MAEDEN JOY DIMARANAN PEREY</v>
      </c>
      <c r="C147" s="1">
        <f>IFERROR(__xludf.DUMMYFUNCTION("""COMPUTED_VALUE"""),2311812111)</f>
        <v>2311812111</v>
      </c>
      <c r="D147" s="1">
        <f>IFERROR(__xludf.DUMMYFUNCTION("""COMPUTED_VALUE"""),406860396)</f>
        <v>406860396</v>
      </c>
      <c r="E147" s="1"/>
      <c r="F147" s="1" t="str">
        <f>IFERROR(__xludf.DUMMYFUNCTION("""COMPUTED_VALUE"""),"CANCELLED")</f>
        <v>CANCELLED</v>
      </c>
      <c r="G147" s="1" t="str">
        <f>IFERROR(__xludf.DUMMYFUNCTION("""COMPUTED_VALUE"""),"CANCELLED")</f>
        <v>CANCELLED</v>
      </c>
      <c r="H147" s="1"/>
      <c r="I147" s="1"/>
      <c r="J147" s="1"/>
      <c r="K147" s="1"/>
      <c r="L147" s="1" t="str">
        <f>IFERROR(__xludf.DUMMYFUNCTION("""COMPUTED_VALUE"""),"CANCELLED")</f>
        <v>CANCELLED</v>
      </c>
      <c r="M147" s="1" t="str">
        <f>IFERROR(__xludf.DUMMYFUNCTION("""COMPUTED_VALUE"""),"CANCELLED - SYSTEM ERROR")</f>
        <v>CANCELLED - SYSTEM ERROR</v>
      </c>
      <c r="N147" s="3"/>
      <c r="O147" s="1" t="str">
        <f>IFERROR(__xludf.DUMMYFUNCTION("""COMPUTED_VALUE"""),"FIBER UNLI ALL PLAN 1499")</f>
        <v>FIBER UNLI ALL PLAN 1499</v>
      </c>
      <c r="P147" s="1" t="str">
        <f>IFERROR(__xludf.DUMMYFUNCTION("""COMPUTED_VALUE"""),"LOWPLAN")</f>
        <v>LOWPLAN</v>
      </c>
      <c r="Q147" s="1" t="str">
        <f>IFERROR(__xludf.DUMMYFUNCTION("""COMPUTED_VALUE"""),"P407046")</f>
        <v>P407046</v>
      </c>
      <c r="R147" s="1" t="str">
        <f>IFERROR(__xludf.DUMMYFUNCTION("""COMPUTED_VALUE"""),"MALIWAT, MARK")</f>
        <v>MALIWAT, MARK</v>
      </c>
      <c r="S147" s="1" t="str">
        <f>IFERROR(__xludf.DUMMYFUNCTION("""COMPUTED_VALUE"""),"FLA")</f>
        <v>FLA</v>
      </c>
      <c r="T147" s="1" t="str">
        <f>IFERROR(__xludf.DUMMYFUNCTION("""COMPUTED_VALUE"""),"JERIC NAVARRO")</f>
        <v>JERIC NAVARRO</v>
      </c>
      <c r="U147" s="1" t="str">
        <f>IFERROR(__xludf.DUMMYFUNCTION("""COMPUTED_VALUE"""),"JB SALIOA")</f>
        <v>JB SALIOA</v>
      </c>
      <c r="V147" s="1" t="str">
        <f>IFERROR(__xludf.DUMMYFUNCTION("""COMPUTED_VALUE"""),"ONLINE/CRANFORD")</f>
        <v>ONLINE/CRANFORD</v>
      </c>
      <c r="W147" s="1" t="str">
        <f>IFERROR(__xludf.DUMMYFUNCTION("""COMPUTED_VALUE"""),"STK REGULAR")</f>
        <v>STK REGULAR</v>
      </c>
      <c r="X147" s="1" t="str">
        <f>IFERROR(__xludf.DUMMYFUNCTION("""COMPUTED_VALUE"""),"HBBS AUG 2026")</f>
        <v>HBBS AUG 2026</v>
      </c>
      <c r="Y147" s="1" t="str">
        <f>IFERROR(__xludf.DUMMYFUNCTION("""COMPUTED_VALUE"""),"RS_ONL_CVEU_2026")</f>
        <v>RS_ONL_CVEU_2026</v>
      </c>
      <c r="Z147" s="1" t="str">
        <f>IFERROR(__xludf.DUMMYFUNCTION("""COMPUTED_VALUE"""),"NEW CONNECT")</f>
        <v>NEW CONNECT</v>
      </c>
      <c r="AA147" s="1">
        <f>IFERROR(__xludf.DUMMYFUNCTION("""COMPUTED_VALUE"""),639623750192)</f>
        <v>639623750192</v>
      </c>
      <c r="AB147" s="1"/>
      <c r="AC147" s="1">
        <f>IFERROR(__xludf.DUMMYFUNCTION("""COMPUTED_VALUE"""),2920)</f>
        <v>2920</v>
      </c>
      <c r="AD147" s="1" t="str">
        <f>IFERROR(__xludf.DUMMYFUNCTION("""COMPUTED_VALUE"""),"CARASUCHI")</f>
        <v>CARASUCHI</v>
      </c>
      <c r="AE147" s="1"/>
      <c r="AF147" s="1" t="str">
        <f>IFERROR(__xludf.DUMMYFUNCTION("""COMPUTED_VALUE"""),"BGY CARASUCHI")</f>
        <v>BGY CARASUCHI</v>
      </c>
      <c r="AG147" s="1" t="str">
        <f>IFERROR(__xludf.DUMMYFUNCTION("""COMPUTED_VALUE"""),"INDANG")</f>
        <v>INDANG</v>
      </c>
      <c r="AH147" s="1" t="str">
        <f>IFERROR(__xludf.DUMMYFUNCTION("""COMPUTED_VALUE"""),"LVG RESORT")</f>
        <v>LVG RESORT</v>
      </c>
      <c r="AI147" s="1" t="str">
        <f>IFERROR(__xludf.DUMMYFUNCTION("""COMPUTED_VALUE"""),"NOT AOR")</f>
        <v>NOT AOR</v>
      </c>
    </row>
    <row r="148" customHeight="1" spans="1:35">
      <c r="A148" s="3">
        <f>IFERROR(__xludf.DUMMYFUNCTION("""COMPUTED_VALUE"""),46249)</f>
        <v>46249</v>
      </c>
      <c r="B148" s="1" t="str">
        <f>IFERROR(__xludf.DUMMYFUNCTION("""COMPUTED_VALUE"""),"FERDINAND CASTILLO MANALILI")</f>
        <v>FERDINAND CASTILLO MANALILI</v>
      </c>
      <c r="C148" s="1">
        <f>IFERROR(__xludf.DUMMYFUNCTION("""COMPUTED_VALUE"""),2311812674)</f>
        <v>2311812674</v>
      </c>
      <c r="D148" s="1">
        <f>IFERROR(__xludf.DUMMYFUNCTION("""COMPUTED_VALUE"""),406863492)</f>
        <v>406863492</v>
      </c>
      <c r="E148" s="1">
        <f>IFERROR(__xludf.DUMMYFUNCTION("""COMPUTED_VALUE"""),466598097004)</f>
        <v>466598097004</v>
      </c>
      <c r="F148" s="1" t="str">
        <f>IFERROR(__xludf.DUMMYFUNCTION("""COMPUTED_VALUE"""),"CLOSED")</f>
        <v>CLOSED</v>
      </c>
      <c r="G148" s="1" t="str">
        <f>IFERROR(__xludf.DUMMYFUNCTION("""COMPUTED_VALUE"""),"CLOSED")</f>
        <v>CLOSED</v>
      </c>
      <c r="H148" s="1" t="str">
        <f>IFERROR(__xludf.DUMMYFUNCTION("""COMPUTED_VALUE"""),"PAID VIA GCASH REF 639810229 AUG 18")</f>
        <v>PAID VIA GCASH REF 639810229 AUG 18</v>
      </c>
      <c r="I148" s="1" t="str">
        <f>IFERROR(__xludf.DUMMYFUNCTION("""COMPUTED_VALUE"""),"WITH 1 AMSF")</f>
        <v>WITH 1 AMSF</v>
      </c>
      <c r="J148" s="1"/>
      <c r="K148" s="1" t="str">
        <f>IFERROR(__xludf.DUMMYFUNCTION("""COMPUTED_VALUE"""),"COMPLETED")</f>
        <v>COMPLETED</v>
      </c>
      <c r="L148" s="1" t="str">
        <f>IFERROR(__xludf.DUMMYFUNCTION("""COMPUTED_VALUE"""),"POSTED")</f>
        <v>POSTED</v>
      </c>
      <c r="M148" s="1" t="str">
        <f>IFERROR(__xludf.DUMMYFUNCTION("""COMPUTED_VALUE"""),"POSTED")</f>
        <v>POSTED</v>
      </c>
      <c r="N148" s="3">
        <f>IFERROR(__xludf.DUMMYFUNCTION("""COMPUTED_VALUE"""),46253)</f>
        <v>46253</v>
      </c>
      <c r="O148" s="1" t="str">
        <f>IFERROR(__xludf.DUMMYFUNCTION("""COMPUTED_VALUE"""),"FIBR PLAN 1299")</f>
        <v>FIBR PLAN 1299</v>
      </c>
      <c r="P148" s="1" t="str">
        <f>IFERROR(__xludf.DUMMYFUNCTION("""COMPUTED_VALUE"""),"LOWPLAN")</f>
        <v>LOWPLAN</v>
      </c>
      <c r="Q148" s="1" t="str">
        <f>IFERROR(__xludf.DUMMYFUNCTION("""COMPUTED_VALUE"""),"P407050")</f>
        <v>P407050</v>
      </c>
      <c r="R148" s="1" t="str">
        <f>IFERROR(__xludf.DUMMYFUNCTION("""COMPUTED_VALUE"""),"ARENA, LYKA")</f>
        <v>ARENA, LYKA</v>
      </c>
      <c r="S148" s="1" t="str">
        <f>IFERROR(__xludf.DUMMYFUNCTION("""COMPUTED_VALUE"""),"ORGANIC")</f>
        <v>ORGANIC</v>
      </c>
      <c r="T148" s="1" t="str">
        <f>IFERROR(__xludf.DUMMYFUNCTION("""COMPUTED_VALUE"""),"LEA REMOLLO")</f>
        <v>LEA REMOLLO</v>
      </c>
      <c r="U148" s="1" t="str">
        <f>IFERROR(__xludf.DUMMYFUNCTION("""COMPUTED_VALUE"""),"JB SALIOA")</f>
        <v>JB SALIOA</v>
      </c>
      <c r="V148" s="1" t="str">
        <f>IFERROR(__xludf.DUMMYFUNCTION("""COMPUTED_VALUE"""),"BK HSTK")</f>
        <v>BK HSTK</v>
      </c>
      <c r="W148" s="1" t="str">
        <f>IFERROR(__xludf.DUMMYFUNCTION("""COMPUTED_VALUE"""),"BK HSTK")</f>
        <v>BK HSTK</v>
      </c>
      <c r="X148" s="1" t="str">
        <f>IFERROR(__xludf.DUMMYFUNCTION("""COMPUTED_VALUE"""),"HBBS AUG 2026")</f>
        <v>HBBS AUG 2026</v>
      </c>
      <c r="Y148" s="1" t="str">
        <f>IFERROR(__xludf.DUMMYFUNCTION("""COMPUTED_VALUE"""),"BK_CVEU_260804")</f>
        <v>BK_CVEU_260804</v>
      </c>
      <c r="Z148" s="1" t="str">
        <f>IFERROR(__xludf.DUMMYFUNCTION("""COMPUTED_VALUE"""),"NEW CONNECT")</f>
        <v>NEW CONNECT</v>
      </c>
      <c r="AA148" s="1">
        <f>IFERROR(__xludf.DUMMYFUNCTION("""COMPUTED_VALUE"""),639608677011)</f>
        <v>639608677011</v>
      </c>
      <c r="AB148" s="1"/>
      <c r="AC148" s="1"/>
      <c r="AD148" s="1" t="str">
        <f>IFERROR(__xludf.DUMMYFUNCTION("""COMPUTED_VALUE"""),"AREA F")</f>
        <v>AREA F</v>
      </c>
      <c r="AE148" s="1"/>
      <c r="AF148" s="1" t="str">
        <f>IFERROR(__xludf.DUMMYFUNCTION("""COMPUTED_VALUE"""),"BGY KAPITAN KUA")</f>
        <v>BGY KAPITAN KUA</v>
      </c>
      <c r="AG148" s="1" t="str">
        <f>IFERROR(__xludf.DUMMYFUNCTION("""COMPUTED_VALUE"""),"GEN MARIANO ALVAREZ")</f>
        <v>GEN MARIANO ALVAREZ</v>
      </c>
      <c r="AH148" s="1" t="str">
        <f>IFERROR(__xludf.DUMMYFUNCTION("""COMPUTED_VALUE"""),"BRGY HALL")</f>
        <v>BRGY HALL</v>
      </c>
      <c r="AI148" s="1" t="str">
        <f>IFERROR(__xludf.DUMMYFUNCTION("""COMPUTED_VALUE"""),"CLUSTER 11")</f>
        <v>CLUSTER 11</v>
      </c>
    </row>
    <row r="149" customHeight="1" spans="1:35">
      <c r="A149" s="3">
        <f>IFERROR(__xludf.DUMMYFUNCTION("""COMPUTED_VALUE"""),46249)</f>
        <v>46249</v>
      </c>
      <c r="B149" s="1" t="str">
        <f>IFERROR(__xludf.DUMMYFUNCTION("""COMPUTED_VALUE"""),"OLIMPIO JR ATANANTE ALCALA")</f>
        <v>OLIMPIO JR ATANANTE ALCALA</v>
      </c>
      <c r="C149" s="1">
        <f>IFERROR(__xludf.DUMMYFUNCTION("""COMPUTED_VALUE"""),2311815147)</f>
        <v>2311815147</v>
      </c>
      <c r="D149" s="1"/>
      <c r="E149" s="1"/>
      <c r="F149" s="1" t="str">
        <f>IFERROR(__xludf.DUMMYFUNCTION("""COMPUTED_VALUE"""),"REENCODED")</f>
        <v>REENCODED</v>
      </c>
      <c r="G149" s="1" t="str">
        <f>IFERROR(__xludf.DUMMYFUNCTION("""COMPUTED_VALUE"""),"REENCODED")</f>
        <v>REENCODED</v>
      </c>
      <c r="H149" s="1"/>
      <c r="I149" s="1"/>
      <c r="J149" s="1"/>
      <c r="K149" s="1"/>
      <c r="L149" s="1" t="str">
        <f>IFERROR(__xludf.DUMMYFUNCTION("""COMPUTED_VALUE"""),"REENCODED")</f>
        <v>REENCODED</v>
      </c>
      <c r="M149" s="1" t="str">
        <f>IFERROR(__xludf.DUMMYFUNCTION("""COMPUTED_VALUE"""),"REENCODED")</f>
        <v>REENCODED</v>
      </c>
      <c r="N149" s="3"/>
      <c r="O149" s="1" t="str">
        <f>IFERROR(__xludf.DUMMYFUNCTION("""COMPUTED_VALUE"""),"FIBER UNLI ALL PLAN 1499")</f>
        <v>FIBER UNLI ALL PLAN 1499</v>
      </c>
      <c r="P149" s="1" t="str">
        <f>IFERROR(__xludf.DUMMYFUNCTION("""COMPUTED_VALUE"""),"LOWPLAN")</f>
        <v>LOWPLAN</v>
      </c>
      <c r="Q149" s="1" t="str">
        <f>IFERROR(__xludf.DUMMYFUNCTION("""COMPUTED_VALUE"""),"P407047")</f>
        <v>P407047</v>
      </c>
      <c r="R149" s="1" t="str">
        <f>IFERROR(__xludf.DUMMYFUNCTION("""COMPUTED_VALUE"""),"FRANCISCO, ROSELYN")</f>
        <v>FRANCISCO, ROSELYN</v>
      </c>
      <c r="S149" s="1" t="str">
        <f>IFERROR(__xludf.DUMMYFUNCTION("""COMPUTED_VALUE"""),"ORGANIC")</f>
        <v>ORGANIC</v>
      </c>
      <c r="T149" s="1" t="str">
        <f>IFERROR(__xludf.DUMMYFUNCTION("""COMPUTED_VALUE"""),"LEA REMOLLO")</f>
        <v>LEA REMOLLO</v>
      </c>
      <c r="U149" s="1" t="str">
        <f>IFERROR(__xludf.DUMMYFUNCTION("""COMPUTED_VALUE"""),"JB SALIOA")</f>
        <v>JB SALIOA</v>
      </c>
      <c r="V149" s="1" t="str">
        <f>IFERROR(__xludf.DUMMYFUNCTION("""COMPUTED_VALUE"""),"BK HSTK")</f>
        <v>BK HSTK</v>
      </c>
      <c r="W149" s="1" t="str">
        <f>IFERROR(__xludf.DUMMYFUNCTION("""COMPUTED_VALUE"""),"BK HSTK")</f>
        <v>BK HSTK</v>
      </c>
      <c r="X149" s="1" t="str">
        <f>IFERROR(__xludf.DUMMYFUNCTION("""COMPUTED_VALUE"""),"HBBS AUG 2026")</f>
        <v>HBBS AUG 2026</v>
      </c>
      <c r="Y149" s="1" t="str">
        <f>IFERROR(__xludf.DUMMYFUNCTION("""COMPUTED_VALUE"""),"BK_CVEU_260806")</f>
        <v>BK_CVEU_260806</v>
      </c>
      <c r="Z149" s="1" t="str">
        <f>IFERROR(__xludf.DUMMYFUNCTION("""COMPUTED_VALUE"""),"NEW CONNECT")</f>
        <v>NEW CONNECT</v>
      </c>
      <c r="AA149" s="1">
        <f>IFERROR(__xludf.DUMMYFUNCTION("""COMPUTED_VALUE"""),639685765345)</f>
        <v>639685765345</v>
      </c>
      <c r="AB149" s="1"/>
      <c r="AC149" s="1">
        <f>IFERROR(__xludf.DUMMYFUNCTION("""COMPUTED_VALUE"""),144)</f>
        <v>144</v>
      </c>
      <c r="AD149" s="1" t="str">
        <f>IFERROR(__xludf.DUMMYFUNCTION("""COMPUTED_VALUE"""),"KALUBKOB")</f>
        <v>KALUBKOB</v>
      </c>
      <c r="AE149" s="1" t="str">
        <f>IFERROR(__xludf.DUMMYFUNCTION("""COMPUTED_VALUE"""),"RCD HOMES")</f>
        <v>RCD HOMES</v>
      </c>
      <c r="AF149" s="1" t="str">
        <f>IFERROR(__xludf.DUMMYFUNCTION("""COMPUTED_VALUE"""),"BGY KALUBKOB")</f>
        <v>BGY KALUBKOB</v>
      </c>
      <c r="AG149" s="1" t="str">
        <f>IFERROR(__xludf.DUMMYFUNCTION("""COMPUTED_VALUE"""),"SILANG")</f>
        <v>SILANG</v>
      </c>
      <c r="AH149" s="1" t="str">
        <f>IFERROR(__xludf.DUMMYFUNCTION("""COMPUTED_VALUE"""),"-")</f>
        <v>-</v>
      </c>
      <c r="AI149" s="1" t="str">
        <f>IFERROR(__xludf.DUMMYFUNCTION("""COMPUTED_VALUE"""),"CLUSTER 11")</f>
        <v>CLUSTER 11</v>
      </c>
    </row>
    <row r="150" customHeight="1" spans="1:35">
      <c r="A150" s="3">
        <f>IFERROR(__xludf.DUMMYFUNCTION("""COMPUTED_VALUE"""),46249)</f>
        <v>46249</v>
      </c>
      <c r="B150" s="1" t="str">
        <f>IFERROR(__xludf.DUMMYFUNCTION("""COMPUTED_VALUE"""),"OLIMPIO JR ATANANTE ALCALA")</f>
        <v>OLIMPIO JR ATANANTE ALCALA</v>
      </c>
      <c r="C150" s="1">
        <f>IFERROR(__xludf.DUMMYFUNCTION("""COMPUTED_VALUE"""),2311815993)</f>
        <v>2311815993</v>
      </c>
      <c r="D150" s="1">
        <f>IFERROR(__xludf.DUMMYFUNCTION("""COMPUTED_VALUE"""),406877779)</f>
        <v>406877779</v>
      </c>
      <c r="E150" s="1">
        <f>IFERROR(__xludf.DUMMYFUNCTION("""COMPUTED_VALUE"""),466607423004)</f>
        <v>466607423004</v>
      </c>
      <c r="F150" s="1" t="str">
        <f>IFERROR(__xludf.DUMMYFUNCTION("""COMPUTED_VALUE"""),"CLOSED")</f>
        <v>CLOSED</v>
      </c>
      <c r="G150" s="1" t="str">
        <f>IFERROR(__xludf.DUMMYFUNCTION("""COMPUTED_VALUE"""),"CLOSED")</f>
        <v>CLOSED</v>
      </c>
      <c r="H150" s="1" t="str">
        <f>IFERROR(__xludf.DUMMYFUNCTION("""COMPUTED_VALUE"""),"QGOR360946796	15-Aug-26	Regular Payment	CIS-GCASH 3.0	1,549.00	0	15-Aug-26")</f>
        <v>QGOR360946796	15-Aug-26	Regular Payment	CIS-GCASH 3.0	1,549.00	0	15-Aug-26</v>
      </c>
      <c r="I150" s="1" t="str">
        <f>IFERROR(__xludf.DUMMYFUNCTION("""COMPUTED_VALUE"""),"WITH 1 AMSF")</f>
        <v>WITH 1 AMSF</v>
      </c>
      <c r="J150" s="1"/>
      <c r="K150" s="1" t="str">
        <f>IFERROR(__xludf.DUMMYFUNCTION("""COMPUTED_VALUE"""),"COMPLETED")</f>
        <v>COMPLETED</v>
      </c>
      <c r="L150" s="1" t="str">
        <f>IFERROR(__xludf.DUMMYFUNCTION("""COMPUTED_VALUE"""),"POSTED")</f>
        <v>POSTED</v>
      </c>
      <c r="M150" s="1" t="str">
        <f>IFERROR(__xludf.DUMMYFUNCTION("""COMPUTED_VALUE"""),"POSTED")</f>
        <v>POSTED</v>
      </c>
      <c r="N150" s="3">
        <f>IFERROR(__xludf.DUMMYFUNCTION("""COMPUTED_VALUE"""),46250)</f>
        <v>46250</v>
      </c>
      <c r="O150" s="1" t="str">
        <f>IFERROR(__xludf.DUMMYFUNCTION("""COMPUTED_VALUE"""),"FIBER UNLI ALL PLAN 1499")</f>
        <v>FIBER UNLI ALL PLAN 1499</v>
      </c>
      <c r="P150" s="1" t="str">
        <f>IFERROR(__xludf.DUMMYFUNCTION("""COMPUTED_VALUE"""),"LOWPLAN")</f>
        <v>LOWPLAN</v>
      </c>
      <c r="Q150" s="1" t="str">
        <f>IFERROR(__xludf.DUMMYFUNCTION("""COMPUTED_VALUE"""),"P407047")</f>
        <v>P407047</v>
      </c>
      <c r="R150" s="1" t="str">
        <f>IFERROR(__xludf.DUMMYFUNCTION("""COMPUTED_VALUE"""),"FRANCISCO, ROSELYN")</f>
        <v>FRANCISCO, ROSELYN</v>
      </c>
      <c r="S150" s="1" t="str">
        <f>IFERROR(__xludf.DUMMYFUNCTION("""COMPUTED_VALUE"""),"ORGANIC")</f>
        <v>ORGANIC</v>
      </c>
      <c r="T150" s="1" t="str">
        <f>IFERROR(__xludf.DUMMYFUNCTION("""COMPUTED_VALUE"""),"LEA REMOLLO")</f>
        <v>LEA REMOLLO</v>
      </c>
      <c r="U150" s="1" t="str">
        <f>IFERROR(__xludf.DUMMYFUNCTION("""COMPUTED_VALUE"""),"JB SALIOA")</f>
        <v>JB SALIOA</v>
      </c>
      <c r="V150" s="1" t="str">
        <f>IFERROR(__xludf.DUMMYFUNCTION("""COMPUTED_VALUE"""),"BK HSTK")</f>
        <v>BK HSTK</v>
      </c>
      <c r="W150" s="1" t="str">
        <f>IFERROR(__xludf.DUMMYFUNCTION("""COMPUTED_VALUE"""),"BK HSTK")</f>
        <v>BK HSTK</v>
      </c>
      <c r="X150" s="1" t="str">
        <f>IFERROR(__xludf.DUMMYFUNCTION("""COMPUTED_VALUE"""),"HBBS AUG 2026")</f>
        <v>HBBS AUG 2026</v>
      </c>
      <c r="Y150" s="1" t="str">
        <f>IFERROR(__xludf.DUMMYFUNCTION("""COMPUTED_VALUE"""),"BK_CVEU_260806")</f>
        <v>BK_CVEU_260806</v>
      </c>
      <c r="Z150" s="1" t="str">
        <f>IFERROR(__xludf.DUMMYFUNCTION("""COMPUTED_VALUE"""),"NEW CONNECT")</f>
        <v>NEW CONNECT</v>
      </c>
      <c r="AA150" s="1">
        <f>IFERROR(__xludf.DUMMYFUNCTION("""COMPUTED_VALUE"""),639685765345)</f>
        <v>639685765345</v>
      </c>
      <c r="AB150" s="1"/>
      <c r="AC150" s="1">
        <f>IFERROR(__xludf.DUMMYFUNCTION("""COMPUTED_VALUE"""),144)</f>
        <v>144</v>
      </c>
      <c r="AD150" s="1" t="str">
        <f>IFERROR(__xludf.DUMMYFUNCTION("""COMPUTED_VALUE"""),"KALUBKOB")</f>
        <v>KALUBKOB</v>
      </c>
      <c r="AE150" s="1"/>
      <c r="AF150" s="1" t="str">
        <f>IFERROR(__xludf.DUMMYFUNCTION("""COMPUTED_VALUE"""),"BGY KALUBKOB")</f>
        <v>BGY KALUBKOB</v>
      </c>
      <c r="AG150" s="1" t="str">
        <f>IFERROR(__xludf.DUMMYFUNCTION("""COMPUTED_VALUE"""),"SILANG")</f>
        <v>SILANG</v>
      </c>
      <c r="AH150" s="1" t="str">
        <f>IFERROR(__xludf.DUMMYFUNCTION("""COMPUTED_VALUE"""),"-")</f>
        <v>-</v>
      </c>
      <c r="AI150" s="1" t="str">
        <f>IFERROR(__xludf.DUMMYFUNCTION("""COMPUTED_VALUE"""),"CLUSTER 11")</f>
        <v>CLUSTER 11</v>
      </c>
    </row>
    <row r="151" customHeight="1" spans="1:35">
      <c r="A151" s="3">
        <f>IFERROR(__xludf.DUMMYFUNCTION("""COMPUTED_VALUE"""),46249)</f>
        <v>46249</v>
      </c>
      <c r="B151" s="1" t="str">
        <f>IFERROR(__xludf.DUMMYFUNCTION("""COMPUTED_VALUE"""),"MAEDEN JOY DIMARANAN PEREY")</f>
        <v>MAEDEN JOY DIMARANAN PEREY</v>
      </c>
      <c r="C151" s="1">
        <f>IFERROR(__xludf.DUMMYFUNCTION("""COMPUTED_VALUE"""),2311816630)</f>
        <v>2311816630</v>
      </c>
      <c r="D151" s="1">
        <f>IFERROR(__xludf.DUMMYFUNCTION("""COMPUTED_VALUE"""),406880281)</f>
        <v>406880281</v>
      </c>
      <c r="E151" s="1">
        <f>IFERROR(__xludf.DUMMYFUNCTION("""COMPUTED_VALUE"""),466609882004)</f>
        <v>466609882004</v>
      </c>
      <c r="F151" s="1" t="str">
        <f>IFERROR(__xludf.DUMMYFUNCTION("""COMPUTED_VALUE"""),"CANCELLED")</f>
        <v>CANCELLED</v>
      </c>
      <c r="G151" s="1" t="str">
        <f>IFERROR(__xludf.DUMMYFUNCTION("""COMPUTED_VALUE"""),"AUTO - AGING")</f>
        <v>AUTO - AGING</v>
      </c>
      <c r="H151" s="1" t="str">
        <f>IFERROR(__xludf.DUMMYFUNCTION("""COMPUTED_VALUE"""),"AS PER SUBS AYAW NA NYA KASI KAPITBAHAY NYA WALANG ADVANCE PAYMENT NAKABITAN ")</f>
        <v>AS PER SUBS AYAW NA NYA KASI KAPITBAHAY NYA WALANG ADVANCE PAYMENT NAKABITAN </v>
      </c>
      <c r="I151" s="1"/>
      <c r="J151" s="1"/>
      <c r="K151" s="1" t="str">
        <f>IFERROR(__xludf.DUMMYFUNCTION("""COMPUTED_VALUE"""),"NOT IN OFSC")</f>
        <v>NOT IN OFSC</v>
      </c>
      <c r="L151" s="1" t="str">
        <f>IFERROR(__xludf.DUMMYFUNCTION("""COMPUTED_VALUE"""),"CANCELLED - AGING")</f>
        <v>CANCELLED - AGING</v>
      </c>
      <c r="M151" s="1" t="str">
        <f>IFERROR(__xludf.DUMMYFUNCTION("""COMPUTED_VALUE"""),"CANCELLED - AGING")</f>
        <v>CANCELLED - AGING</v>
      </c>
      <c r="N151" s="3"/>
      <c r="O151" s="1" t="str">
        <f>IFERROR(__xludf.DUMMYFUNCTION("""COMPUTED_VALUE"""),"FIBER UNLI ALL PLAN 1499")</f>
        <v>FIBER UNLI ALL PLAN 1499</v>
      </c>
      <c r="P151" s="1" t="str">
        <f>IFERROR(__xludf.DUMMYFUNCTION("""COMPUTED_VALUE"""),"LOWPLAN")</f>
        <v>LOWPLAN</v>
      </c>
      <c r="Q151" s="1" t="str">
        <f>IFERROR(__xludf.DUMMYFUNCTION("""COMPUTED_VALUE"""),"P407046")</f>
        <v>P407046</v>
      </c>
      <c r="R151" s="1" t="str">
        <f>IFERROR(__xludf.DUMMYFUNCTION("""COMPUTED_VALUE"""),"MALIWAT, MARK")</f>
        <v>MALIWAT, MARK</v>
      </c>
      <c r="S151" s="1" t="str">
        <f>IFERROR(__xludf.DUMMYFUNCTION("""COMPUTED_VALUE"""),"FLA")</f>
        <v>FLA</v>
      </c>
      <c r="T151" s="1" t="str">
        <f>IFERROR(__xludf.DUMMYFUNCTION("""COMPUTED_VALUE"""),"JERIC NAVARRO")</f>
        <v>JERIC NAVARRO</v>
      </c>
      <c r="U151" s="1" t="str">
        <f>IFERROR(__xludf.DUMMYFUNCTION("""COMPUTED_VALUE"""),"JB SALIOA")</f>
        <v>JB SALIOA</v>
      </c>
      <c r="V151" s="1" t="str">
        <f>IFERROR(__xludf.DUMMYFUNCTION("""COMPUTED_VALUE"""),"ONLINE/CRANFORD")</f>
        <v>ONLINE/CRANFORD</v>
      </c>
      <c r="W151" s="1" t="str">
        <f>IFERROR(__xludf.DUMMYFUNCTION("""COMPUTED_VALUE"""),"STK REGULAR")</f>
        <v>STK REGULAR</v>
      </c>
      <c r="X151" s="1" t="str">
        <f>IFERROR(__xludf.DUMMYFUNCTION("""COMPUTED_VALUE"""),"HBBS AUG 2026")</f>
        <v>HBBS AUG 2026</v>
      </c>
      <c r="Y151" s="1" t="str">
        <f>IFERROR(__xludf.DUMMYFUNCTION("""COMPUTED_VALUE"""),"RS_ONL_CVEU_2026")</f>
        <v>RS_ONL_CVEU_2026</v>
      </c>
      <c r="Z151" s="1" t="str">
        <f>IFERROR(__xludf.DUMMYFUNCTION("""COMPUTED_VALUE"""),"NEW CONNECT")</f>
        <v>NEW CONNECT</v>
      </c>
      <c r="AA151" s="1">
        <f>IFERROR(__xludf.DUMMYFUNCTION("""COMPUTED_VALUE"""),639623750192)</f>
        <v>639623750192</v>
      </c>
      <c r="AB151" s="1"/>
      <c r="AC151" s="1">
        <f>IFERROR(__xludf.DUMMYFUNCTION("""COMPUTED_VALUE"""),2920)</f>
        <v>2920</v>
      </c>
      <c r="AD151" s="1" t="str">
        <f>IFERROR(__xludf.DUMMYFUNCTION("""COMPUTED_VALUE"""),"CARASUCHI")</f>
        <v>CARASUCHI</v>
      </c>
      <c r="AE151" s="1"/>
      <c r="AF151" s="1" t="str">
        <f>IFERROR(__xludf.DUMMYFUNCTION("""COMPUTED_VALUE"""),"BGY CARASUCHI")</f>
        <v>BGY CARASUCHI</v>
      </c>
      <c r="AG151" s="1" t="str">
        <f>IFERROR(__xludf.DUMMYFUNCTION("""COMPUTED_VALUE"""),"INDANG")</f>
        <v>INDANG</v>
      </c>
      <c r="AH151" s="1" t="str">
        <f>IFERROR(__xludf.DUMMYFUNCTION("""COMPUTED_VALUE"""),"LVG RESORT")</f>
        <v>LVG RESORT</v>
      </c>
      <c r="AI151" s="1" t="str">
        <f>IFERROR(__xludf.DUMMYFUNCTION("""COMPUTED_VALUE"""),"NOT AOR")</f>
        <v>NOT AOR</v>
      </c>
    </row>
    <row r="152" customHeight="1" spans="1:35">
      <c r="A152" s="3">
        <f>IFERROR(__xludf.DUMMYFUNCTION("""COMPUTED_VALUE"""),46249)</f>
        <v>46249</v>
      </c>
      <c r="B152" s="1" t="str">
        <f>IFERROR(__xludf.DUMMYFUNCTION("""COMPUTED_VALUE"""),"MARK ANTHONY ATLAS JUBILO")</f>
        <v>MARK ANTHONY ATLAS JUBILO</v>
      </c>
      <c r="C152" s="1">
        <f>IFERROR(__xludf.DUMMYFUNCTION("""COMPUTED_VALUE"""),2311817289)</f>
        <v>2311817289</v>
      </c>
      <c r="D152" s="1">
        <f>IFERROR(__xludf.DUMMYFUNCTION("""COMPUTED_VALUE"""),406888703)</f>
        <v>406888703</v>
      </c>
      <c r="E152" s="1">
        <f>IFERROR(__xludf.DUMMYFUNCTION("""COMPUTED_VALUE"""),466653770004)</f>
        <v>466653770004</v>
      </c>
      <c r="F152" s="1" t="str">
        <f>IFERROR(__xludf.DUMMYFUNCTION("""COMPUTED_VALUE"""),"CANCELLED")</f>
        <v>CANCELLED</v>
      </c>
      <c r="G152" s="1" t="str">
        <f>IFERROR(__xludf.DUMMYFUNCTION("""COMPUTED_VALUE"""),"FULL CAFAC SUBS ALREADY ADVICE NA PUNUAN SA AREA MDZLP59NP6 FULL 2SPAN NEXT CAFAC OVS ASSIGN CAFAC NOT ON SITE TALK MARK CBR 0965 185 7213 UPDATED REMARKS")</f>
        <v>FULL CAFAC SUBS ALREADY ADVICE NA PUNUAN SA AREA MDZLP59NP6 FULL 2SPAN NEXT CAFAC OVS ASSIGN CAFAC NOT ON SITE TALK MARK CBR 0965 185 7213 UPDATED REMARKS</v>
      </c>
      <c r="H152" s="1"/>
      <c r="I152" s="1"/>
      <c r="J152" s="1"/>
      <c r="K152" s="1" t="str">
        <f>IFERROR(__xludf.DUMMYFUNCTION("""COMPUTED_VALUE"""),"CANCELED")</f>
        <v>CANCELED</v>
      </c>
      <c r="L152" s="1" t="str">
        <f>IFERROR(__xludf.DUMMYFUNCTION("""COMPUTED_VALUE"""),"CANCELLED")</f>
        <v>CANCELLED</v>
      </c>
      <c r="M152" s="1" t="str">
        <f>IFERROR(__xludf.DUMMYFUNCTION("""COMPUTED_VALUE"""),"CANCELLED")</f>
        <v>CANCELLED</v>
      </c>
      <c r="N152" s="3"/>
      <c r="O152" s="1" t="str">
        <f>IFERROR(__xludf.DUMMYFUNCTION("""COMPUTED_VALUE"""),"FIBER UNLI ALL PLAN 1499")</f>
        <v>FIBER UNLI ALL PLAN 1499</v>
      </c>
      <c r="P152" s="1" t="str">
        <f>IFERROR(__xludf.DUMMYFUNCTION("""COMPUTED_VALUE"""),"LOWPLAN")</f>
        <v>LOWPLAN</v>
      </c>
      <c r="Q152" s="1" t="str">
        <f>IFERROR(__xludf.DUMMYFUNCTION("""COMPUTED_VALUE"""),"P407050")</f>
        <v>P407050</v>
      </c>
      <c r="R152" s="1" t="str">
        <f>IFERROR(__xludf.DUMMYFUNCTION("""COMPUTED_VALUE"""),"ALOS, CHARLS LAURENZ")</f>
        <v>ALOS, CHARLS LAURENZ</v>
      </c>
      <c r="S152" s="1" t="str">
        <f>IFERROR(__xludf.DUMMYFUNCTION("""COMPUTED_VALUE"""),"ORGANIC")</f>
        <v>ORGANIC</v>
      </c>
      <c r="T152" s="1" t="str">
        <f>IFERROR(__xludf.DUMMYFUNCTION("""COMPUTED_VALUE"""),"LEA REMOLLO")</f>
        <v>LEA REMOLLO</v>
      </c>
      <c r="U152" s="1" t="str">
        <f>IFERROR(__xludf.DUMMYFUNCTION("""COMPUTED_VALUE"""),"JB SALIOA")</f>
        <v>JB SALIOA</v>
      </c>
      <c r="V152" s="1" t="str">
        <f>IFERROR(__xludf.DUMMYFUNCTION("""COMPUTED_VALUE"""),"BK HSTK")</f>
        <v>BK HSTK</v>
      </c>
      <c r="W152" s="1" t="str">
        <f>IFERROR(__xludf.DUMMYFUNCTION("""COMPUTED_VALUE"""),"BK HSTK")</f>
        <v>BK HSTK</v>
      </c>
      <c r="X152" s="1" t="str">
        <f>IFERROR(__xludf.DUMMYFUNCTION("""COMPUTED_VALUE"""),"HBBS AUG 2026")</f>
        <v>HBBS AUG 2026</v>
      </c>
      <c r="Y152" s="1" t="str">
        <f>IFERROR(__xludf.DUMMYFUNCTION("""COMPUTED_VALUE"""),"BK_CVEU_260805")</f>
        <v>BK_CVEU_260805</v>
      </c>
      <c r="Z152" s="1" t="str">
        <f>IFERROR(__xludf.DUMMYFUNCTION("""COMPUTED_VALUE"""),"NEW CONNECT")</f>
        <v>NEW CONNECT</v>
      </c>
      <c r="AA152" s="1">
        <f>IFERROR(__xludf.DUMMYFUNCTION("""COMPUTED_VALUE"""),639651857213)</f>
        <v>639651857213</v>
      </c>
      <c r="AB152" s="1">
        <f>IFERROR(__xludf.DUMMYFUNCTION("""COMPUTED_VALUE"""),639657857213)</f>
        <v>639657857213</v>
      </c>
      <c r="AC152" s="1">
        <f>IFERROR(__xludf.DUMMYFUNCTION("""COMPUTED_VALUE"""),113)</f>
        <v>113</v>
      </c>
      <c r="AD152" s="1" t="str">
        <f>IFERROR(__xludf.DUMMYFUNCTION("""COMPUTED_VALUE"""),"MIGUEL MOJICA")</f>
        <v>MIGUEL MOJICA</v>
      </c>
      <c r="AE152" s="1"/>
      <c r="AF152" s="1" t="str">
        <f>IFERROR(__xludf.DUMMYFUNCTION("""COMPUTED_VALUE"""),"BGY MIGUEL MOJICA")</f>
        <v>BGY MIGUEL MOJICA</v>
      </c>
      <c r="AG152" s="1" t="str">
        <f>IFERROR(__xludf.DUMMYFUNCTION("""COMPUTED_VALUE"""),"MENDEZ")</f>
        <v>MENDEZ</v>
      </c>
      <c r="AH152" s="1" t="str">
        <f>IFERROR(__xludf.DUMMYFUNCTION("""COMPUTED_VALUE"""),"-")</f>
        <v>-</v>
      </c>
      <c r="AI152" s="1" t="str">
        <f>IFERROR(__xludf.DUMMYFUNCTION("""COMPUTED_VALUE"""),"CLUSTER 12")</f>
        <v>CLUSTER 12</v>
      </c>
    </row>
    <row r="153" customHeight="1" spans="1:35">
      <c r="A153" s="3">
        <f>IFERROR(__xludf.DUMMYFUNCTION("""COMPUTED_VALUE"""),46249)</f>
        <v>46249</v>
      </c>
      <c r="B153" s="1" t="str">
        <f>IFERROR(__xludf.DUMMYFUNCTION("""COMPUTED_VALUE"""),"VIRGINIA MAGPARANGALAN LAVADO")</f>
        <v>VIRGINIA MAGPARANGALAN LAVADO</v>
      </c>
      <c r="C153" s="1">
        <f>IFERROR(__xludf.DUMMYFUNCTION("""COMPUTED_VALUE"""),2311817807)</f>
        <v>2311817807</v>
      </c>
      <c r="D153" s="1">
        <f>IFERROR(__xludf.DUMMYFUNCTION("""COMPUTED_VALUE"""),406896250)</f>
        <v>406896250</v>
      </c>
      <c r="E153" s="1">
        <f>IFERROR(__xludf.DUMMYFUNCTION("""COMPUTED_VALUE"""),466712838004)</f>
        <v>466712838004</v>
      </c>
      <c r="F153" s="1" t="str">
        <f>IFERROR(__xludf.DUMMYFUNCTION("""COMPUTED_VALUE"""),"CLOSED")</f>
        <v>CLOSED</v>
      </c>
      <c r="G153" s="1" t="str">
        <f>IFERROR(__xludf.DUMMYFUNCTION("""COMPUTED_VALUE"""),"CLOSED")</f>
        <v>CLOSED</v>
      </c>
      <c r="H153" s="1" t="str">
        <f>IFERROR(__xludf.DUMMYFUNCTION("""COMPUTED_VALUE"""),"PQGOR361073247        17-Aug-26        Regular Payment        CIS WO-en BAYAD CTR-Wmart Dasm        1,299.00        0        17-Aug-26")</f>
        <v>PQGOR361073247        17-Aug-26        Regular Payment        CIS WO-en BAYAD CTR-Wmart Dasm        1,299.00        0        17-Aug-26</v>
      </c>
      <c r="I153" s="1" t="str">
        <f>IFERROR(__xludf.DUMMYFUNCTION("""COMPUTED_VALUE"""),"WITH 1 AMSF")</f>
        <v>WITH 1 AMSF</v>
      </c>
      <c r="J153" s="1"/>
      <c r="K153" s="1" t="str">
        <f>IFERROR(__xludf.DUMMYFUNCTION("""COMPUTED_VALUE"""),"COMPLETED")</f>
        <v>COMPLETED</v>
      </c>
      <c r="L153" s="1" t="str">
        <f>IFERROR(__xludf.DUMMYFUNCTION("""COMPUTED_VALUE"""),"POSTED")</f>
        <v>POSTED</v>
      </c>
      <c r="M153" s="1" t="str">
        <f>IFERROR(__xludf.DUMMYFUNCTION("""COMPUTED_VALUE"""),"POSTED")</f>
        <v>POSTED</v>
      </c>
      <c r="N153" s="3">
        <f>IFERROR(__xludf.DUMMYFUNCTION("""COMPUTED_VALUE"""),46250)</f>
        <v>46250</v>
      </c>
      <c r="O153" s="1" t="str">
        <f>IFERROR(__xludf.DUMMYFUNCTION("""COMPUTED_VALUE"""),"FIBR PLAN 1299")</f>
        <v>FIBR PLAN 1299</v>
      </c>
      <c r="P153" s="1" t="str">
        <f>IFERROR(__xludf.DUMMYFUNCTION("""COMPUTED_VALUE"""),"LOWPLAN")</f>
        <v>LOWPLAN</v>
      </c>
      <c r="Q153" s="1" t="str">
        <f>IFERROR(__xludf.DUMMYFUNCTION("""COMPUTED_VALUE"""),"P407046")</f>
        <v>P407046</v>
      </c>
      <c r="R153" s="1" t="str">
        <f>IFERROR(__xludf.DUMMYFUNCTION("""COMPUTED_VALUE"""),"ILANO, LIANDRO TEJAS")</f>
        <v>ILANO, LIANDRO TEJAS</v>
      </c>
      <c r="S153" s="1" t="str">
        <f>IFERROR(__xludf.DUMMYFUNCTION("""COMPUTED_VALUE"""),"FLA")</f>
        <v>FLA</v>
      </c>
      <c r="T153" s="1" t="str">
        <f>IFERROR(__xludf.DUMMYFUNCTION("""COMPUTED_VALUE"""),"JERIC NAVARRO")</f>
        <v>JERIC NAVARRO</v>
      </c>
      <c r="U153" s="1" t="str">
        <f>IFERROR(__xludf.DUMMYFUNCTION("""COMPUTED_VALUE"""),"JB SALIOA")</f>
        <v>JB SALIOA</v>
      </c>
      <c r="V153" s="1" t="str">
        <f>IFERROR(__xludf.DUMMYFUNCTION("""COMPUTED_VALUE"""),"ONLINE/CRANFORD")</f>
        <v>ONLINE/CRANFORD</v>
      </c>
      <c r="W153" s="1" t="str">
        <f>IFERROR(__xludf.DUMMYFUNCTION("""COMPUTED_VALUE"""),"STK REGULAR")</f>
        <v>STK REGULAR</v>
      </c>
      <c r="X153" s="1" t="str">
        <f>IFERROR(__xludf.DUMMYFUNCTION("""COMPUTED_VALUE"""),"HBBS AUG 2026")</f>
        <v>HBBS AUG 2026</v>
      </c>
      <c r="Y153" s="1" t="str">
        <f>IFERROR(__xludf.DUMMYFUNCTION("""COMPUTED_VALUE"""),"RS_ONL_CVEU_2026")</f>
        <v>RS_ONL_CVEU_2026</v>
      </c>
      <c r="Z153" s="1" t="str">
        <f>IFERROR(__xludf.DUMMYFUNCTION("""COMPUTED_VALUE"""),"NEW CONNECT")</f>
        <v>NEW CONNECT</v>
      </c>
      <c r="AA153" s="1">
        <f>IFERROR(__xludf.DUMMYFUNCTION("""COMPUTED_VALUE"""),639914874075)</f>
        <v>639914874075</v>
      </c>
      <c r="AB153" s="1">
        <f>IFERROR(__xludf.DUMMYFUNCTION("""COMPUTED_VALUE"""),639605167718)</f>
        <v>639605167718</v>
      </c>
      <c r="AC153" s="1"/>
      <c r="AD153" s="1" t="str">
        <f>IFERROR(__xludf.DUMMYFUNCTION("""COMPUTED_VALUE"""),"PIGEON")</f>
        <v>PIGEON</v>
      </c>
      <c r="AE153" s="1" t="str">
        <f>IFERROR(__xludf.DUMMYFUNCTION("""COMPUTED_VALUE"""),"SOUTHCREST VILLAGE")</f>
        <v>SOUTHCREST VILLAGE</v>
      </c>
      <c r="AF153" s="1" t="str">
        <f>IFERROR(__xludf.DUMMYFUNCTION("""COMPUTED_VALUE"""),"BGY SAN AGUSTIN 2")</f>
        <v>BGY SAN AGUSTIN 2</v>
      </c>
      <c r="AG153" s="1" t="str">
        <f>IFERROR(__xludf.DUMMYFUNCTION("""COMPUTED_VALUE"""),"DASMARINAS")</f>
        <v>DASMARINAS</v>
      </c>
      <c r="AH153" s="1" t="str">
        <f>IFERROR(__xludf.DUMMYFUNCTION("""COMPUTED_VALUE"""),"PIGEON ST")</f>
        <v>PIGEON ST</v>
      </c>
      <c r="AI153" s="1" t="str">
        <f>IFERROR(__xludf.DUMMYFUNCTION("""COMPUTED_VALUE"""),"NOT AOR")</f>
        <v>NOT AOR</v>
      </c>
    </row>
    <row r="154" customHeight="1" spans="1:35">
      <c r="A154" s="3">
        <f>IFERROR(__xludf.DUMMYFUNCTION("""COMPUTED_VALUE"""),46249)</f>
        <v>46249</v>
      </c>
      <c r="B154" s="1" t="str">
        <f>IFERROR(__xludf.DUMMYFUNCTION("""COMPUTED_VALUE"""),"ROWENA ERTA JAVIER")</f>
        <v>ROWENA ERTA JAVIER</v>
      </c>
      <c r="C154" s="1">
        <f>IFERROR(__xludf.DUMMYFUNCTION("""COMPUTED_VALUE"""),2311818394)</f>
        <v>2311818394</v>
      </c>
      <c r="D154" s="1">
        <f>IFERROR(__xludf.DUMMYFUNCTION("""COMPUTED_VALUE"""),406883698)</f>
        <v>406883698</v>
      </c>
      <c r="E154" s="1">
        <f>IFERROR(__xludf.DUMMYFUNCTION("""COMPUTED_VALUE"""),466624867004)</f>
        <v>466624867004</v>
      </c>
      <c r="F154" s="1" t="str">
        <f>IFERROR(__xludf.DUMMYFUNCTION("""COMPUTED_VALUE"""),"CANCELLED")</f>
        <v>CANCELLED</v>
      </c>
      <c r="G154" s="1" t="str">
        <f>IFERROR(__xludf.DUMMYFUNCTION("""COMPUTED_VALUE"""),"AUTO - AGING")</f>
        <v>AUTO - AGING</v>
      </c>
      <c r="H154" s="1" t="str">
        <f>IFERROR(__xludf.DUMMYFUNCTION("""COMPUTED_VALUE"""),"BOTH CBR BUSY 08/21 1:54")</f>
        <v>BOTH CBR BUSY 08/21 1:54</v>
      </c>
      <c r="I154" s="1"/>
      <c r="J154" s="1"/>
      <c r="K154" s="1" t="str">
        <f>IFERROR(__xludf.DUMMYFUNCTION("""COMPUTED_VALUE"""),"NOT IN OFSC")</f>
        <v>NOT IN OFSC</v>
      </c>
      <c r="L154" s="1" t="str">
        <f>IFERROR(__xludf.DUMMYFUNCTION("""COMPUTED_VALUE"""),"CANCELLED")</f>
        <v>CANCELLED</v>
      </c>
      <c r="M154" s="1" t="str">
        <f>IFERROR(__xludf.DUMMYFUNCTION("""COMPUTED_VALUE"""),"CANCELLED - AGING")</f>
        <v>CANCELLED - AGING</v>
      </c>
      <c r="N154" s="3"/>
      <c r="O154" s="1" t="str">
        <f>IFERROR(__xludf.DUMMYFUNCTION("""COMPUTED_VALUE"""),"FIBR PLAN 1299")</f>
        <v>FIBR PLAN 1299</v>
      </c>
      <c r="P154" s="1" t="str">
        <f>IFERROR(__xludf.DUMMYFUNCTION("""COMPUTED_VALUE"""),"LOWPLAN")</f>
        <v>LOWPLAN</v>
      </c>
      <c r="Q154" s="1" t="str">
        <f>IFERROR(__xludf.DUMMYFUNCTION("""COMPUTED_VALUE"""),"P407050")</f>
        <v>P407050</v>
      </c>
      <c r="R154" s="1" t="str">
        <f>IFERROR(__xludf.DUMMYFUNCTION("""COMPUTED_VALUE"""),"IVNO, RAZZEL")</f>
        <v>IVNO, RAZZEL</v>
      </c>
      <c r="S154" s="1" t="str">
        <f>IFERROR(__xludf.DUMMYFUNCTION("""COMPUTED_VALUE"""),"ORGANIC")</f>
        <v>ORGANIC</v>
      </c>
      <c r="T154" s="1" t="str">
        <f>IFERROR(__xludf.DUMMYFUNCTION("""COMPUTED_VALUE"""),"LEA REMOLLO")</f>
        <v>LEA REMOLLO</v>
      </c>
      <c r="U154" s="1" t="str">
        <f>IFERROR(__xludf.DUMMYFUNCTION("""COMPUTED_VALUE"""),"JB SALIOA")</f>
        <v>JB SALIOA</v>
      </c>
      <c r="V154" s="1" t="str">
        <f>IFERROR(__xludf.DUMMYFUNCTION("""COMPUTED_VALUE"""),"BK REGULAR")</f>
        <v>BK REGULAR</v>
      </c>
      <c r="W154" s="1" t="str">
        <f>IFERROR(__xludf.DUMMYFUNCTION("""COMPUTED_VALUE"""),"STK REGULAR")</f>
        <v>STK REGULAR</v>
      </c>
      <c r="X154" s="1" t="str">
        <f>IFERROR(__xludf.DUMMYFUNCTION("""COMPUTED_VALUE"""),"HBBS AUG 2026")</f>
        <v>HBBS AUG 2026</v>
      </c>
      <c r="Y154" s="1" t="str">
        <f>IFERROR(__xludf.DUMMYFUNCTION("""COMPUTED_VALUE"""),"BK_CVEU_260807")</f>
        <v>BK_CVEU_260807</v>
      </c>
      <c r="Z154" s="1" t="str">
        <f>IFERROR(__xludf.DUMMYFUNCTION("""COMPUTED_VALUE"""),"NEW CONNECT")</f>
        <v>NEW CONNECT</v>
      </c>
      <c r="AA154" s="1">
        <f>IFERROR(__xludf.DUMMYFUNCTION("""COMPUTED_VALUE"""),639397746589)</f>
        <v>639397746589</v>
      </c>
      <c r="AB154" s="1">
        <f>IFERROR(__xludf.DUMMYFUNCTION("""COMPUTED_VALUE"""),639929227791)</f>
        <v>639929227791</v>
      </c>
      <c r="AC154" s="1">
        <f>IFERROR(__xludf.DUMMYFUNCTION("""COMPUTED_VALUE"""),94)</f>
        <v>94</v>
      </c>
      <c r="AD154" s="1" t="str">
        <f>IFERROR(__xludf.DUMMYFUNCTION("""COMPUTED_VALUE"""),"KAYBAGAL CENTRAL")</f>
        <v>KAYBAGAL CENTRAL</v>
      </c>
      <c r="AE154" s="1"/>
      <c r="AF154" s="1" t="str">
        <f>IFERROR(__xludf.DUMMYFUNCTION("""COMPUTED_VALUE"""),"BGY KAYBAGAL CENTRAL")</f>
        <v>BGY KAYBAGAL CENTRAL</v>
      </c>
      <c r="AG154" s="1" t="str">
        <f>IFERROR(__xludf.DUMMYFUNCTION("""COMPUTED_VALUE"""),"TAGAYTAY")</f>
        <v>TAGAYTAY</v>
      </c>
      <c r="AH154" s="1" t="str">
        <f>IFERROR(__xludf.DUMMYFUNCTION("""COMPUTED_VALUE"""),"-")</f>
        <v>-</v>
      </c>
      <c r="AI154" s="1" t="str">
        <f>IFERROR(__xludf.DUMMYFUNCTION("""COMPUTED_VALUE"""),"CLUSTER 12")</f>
        <v>CLUSTER 12</v>
      </c>
    </row>
    <row r="155" customHeight="1" spans="1:35">
      <c r="A155" s="3">
        <f>IFERROR(__xludf.DUMMYFUNCTION("""COMPUTED_VALUE"""),46249)</f>
        <v>46249</v>
      </c>
      <c r="B155" s="1" t="str">
        <f>IFERROR(__xludf.DUMMYFUNCTION("""COMPUTED_VALUE"""),"JECILL VILLANUEVA VILLAFLORES")</f>
        <v>JECILL VILLANUEVA VILLAFLORES</v>
      </c>
      <c r="C155" s="1">
        <f>IFERROR(__xludf.DUMMYFUNCTION("""COMPUTED_VALUE"""),2311818786)</f>
        <v>2311818786</v>
      </c>
      <c r="D155" s="1">
        <f>IFERROR(__xludf.DUMMYFUNCTION("""COMPUTED_VALUE"""),406874508)</f>
        <v>406874508</v>
      </c>
      <c r="E155" s="1">
        <f>IFERROR(__xludf.DUMMYFUNCTION("""COMPUTED_VALUE"""),466605719004)</f>
        <v>466605719004</v>
      </c>
      <c r="F155" s="1" t="str">
        <f>IFERROR(__xludf.DUMMYFUNCTION("""COMPUTED_VALUE"""),"CANCELLED")</f>
        <v>CANCELLED</v>
      </c>
      <c r="G155" s="1" t="str">
        <f>IFERROR(__xludf.DUMMYFUNCTION("""COMPUTED_VALUE"""),"PUNUAN NA SA AREA NILA SUBS NO SLOTS AVAILABLE SUBS ALREADY ADVISE NA  FULL NAP SILLP78NP2 NOT BROADCAST SILLP78NP5 FULL SILLP78NP7 FULL")</f>
        <v>PUNUAN NA SA AREA NILA SUBS NO SLOTS AVAILABLE SUBS ALREADY ADVISE NA  FULL NAP SILLP78NP2 NOT BROADCAST SILLP78NP5 FULL SILLP78NP7 FULL</v>
      </c>
      <c r="H155" s="1"/>
      <c r="I155" s="1"/>
      <c r="J155" s="1"/>
      <c r="K155" s="1" t="str">
        <f>IFERROR(__xludf.DUMMYFUNCTION("""COMPUTED_VALUE"""),"CANCELED")</f>
        <v>CANCELED</v>
      </c>
      <c r="L155" s="1" t="str">
        <f>IFERROR(__xludf.DUMMYFUNCTION("""COMPUTED_VALUE"""),"RPR - NAP FULL")</f>
        <v>RPR - NAP FULL</v>
      </c>
      <c r="M155" s="1" t="str">
        <f>IFERROR(__xludf.DUMMYFUNCTION("""COMPUTED_VALUE"""),"RPR- NAP FULL")</f>
        <v>RPR- NAP FULL</v>
      </c>
      <c r="N155" s="3"/>
      <c r="O155" s="1" t="str">
        <f>IFERROR(__xludf.DUMMYFUNCTION("""COMPUTED_VALUE"""),"FIBR NETFLIX PLAN 1599")</f>
        <v>FIBR NETFLIX PLAN 1599</v>
      </c>
      <c r="P155" s="1" t="str">
        <f>IFERROR(__xludf.DUMMYFUNCTION("""COMPUTED_VALUE"""),"LOWPLAN")</f>
        <v>LOWPLAN</v>
      </c>
      <c r="Q155" s="1" t="str">
        <f>IFERROR(__xludf.DUMMYFUNCTION("""COMPUTED_VALUE"""),"P407045")</f>
        <v>P407045</v>
      </c>
      <c r="R155" s="1" t="str">
        <f>IFERROR(__xludf.DUMMYFUNCTION("""COMPUTED_VALUE"""),"DACALCAP, ROGER")</f>
        <v>DACALCAP, ROGER</v>
      </c>
      <c r="S155" s="1" t="str">
        <f>IFERROR(__xludf.DUMMYFUNCTION("""COMPUTED_VALUE"""),"FLA")</f>
        <v>FLA</v>
      </c>
      <c r="T155" s="1" t="str">
        <f>IFERROR(__xludf.DUMMYFUNCTION("""COMPUTED_VALUE"""),"JERIC NAVARRO")</f>
        <v>JERIC NAVARRO</v>
      </c>
      <c r="U155" s="1" t="str">
        <f>IFERROR(__xludf.DUMMYFUNCTION("""COMPUTED_VALUE"""),"JB SALIOA")</f>
        <v>JB SALIOA</v>
      </c>
      <c r="V155" s="1" t="str">
        <f>IFERROR(__xludf.DUMMYFUNCTION("""COMPUTED_VALUE"""),"BK HSTK")</f>
        <v>BK HSTK</v>
      </c>
      <c r="W155" s="1" t="str">
        <f>IFERROR(__xludf.DUMMYFUNCTION("""COMPUTED_VALUE"""),"BK HSTK")</f>
        <v>BK HSTK</v>
      </c>
      <c r="X155" s="1" t="str">
        <f>IFERROR(__xludf.DUMMYFUNCTION("""COMPUTED_VALUE"""),"HBBS AUG 2026")</f>
        <v>HBBS AUG 2026</v>
      </c>
      <c r="Y155" s="1" t="str">
        <f>IFERROR(__xludf.DUMMYFUNCTION("""COMPUTED_VALUE"""),"BK_CVEU_260806")</f>
        <v>BK_CVEU_260806</v>
      </c>
      <c r="Z155" s="1" t="str">
        <f>IFERROR(__xludf.DUMMYFUNCTION("""COMPUTED_VALUE"""),"NEW CONNECT")</f>
        <v>NEW CONNECT</v>
      </c>
      <c r="AA155" s="1">
        <f>IFERROR(__xludf.DUMMYFUNCTION("""COMPUTED_VALUE"""),639672713738)</f>
        <v>639672713738</v>
      </c>
      <c r="AB155" s="1"/>
      <c r="AC155" s="1"/>
      <c r="AD155" s="1" t="str">
        <f>IFERROR(__xludf.DUMMYFUNCTION("""COMPUTED_VALUE"""),"SITIO GITNA")</f>
        <v>SITIO GITNA</v>
      </c>
      <c r="AE155" s="1"/>
      <c r="AF155" s="1" t="str">
        <f>IFERROR(__xludf.DUMMYFUNCTION("""COMPUTED_VALUE"""),"BGY TIBIG")</f>
        <v>BGY TIBIG</v>
      </c>
      <c r="AG155" s="1" t="str">
        <f>IFERROR(__xludf.DUMMYFUNCTION("""COMPUTED_VALUE"""),"SILANG")</f>
        <v>SILANG</v>
      </c>
      <c r="AH155" s="1" t="str">
        <f>IFERROR(__xludf.DUMMYFUNCTION("""COMPUTED_VALUE"""),"TIBIG ELEMENTARY SCHOOL")</f>
        <v>TIBIG ELEMENTARY SCHOOL</v>
      </c>
      <c r="AI155" s="1" t="str">
        <f>IFERROR(__xludf.DUMMYFUNCTION("""COMPUTED_VALUE"""),"CLUSTER 11")</f>
        <v>CLUSTER 11</v>
      </c>
    </row>
    <row r="156" customHeight="1" spans="1:35">
      <c r="A156" s="3">
        <f>IFERROR(__xludf.DUMMYFUNCTION("""COMPUTED_VALUE"""),46249)</f>
        <v>46249</v>
      </c>
      <c r="B156" s="1" t="str">
        <f>IFERROR(__xludf.DUMMYFUNCTION("""COMPUTED_VALUE"""),"MA. CONNIE FABRIGAR BEGALON")</f>
        <v>MA. CONNIE FABRIGAR BEGALON</v>
      </c>
      <c r="C156" s="1">
        <f>IFERROR(__xludf.DUMMYFUNCTION("""COMPUTED_VALUE"""),2311820673)</f>
        <v>2311820673</v>
      </c>
      <c r="D156" s="1">
        <f>IFERROR(__xludf.DUMMYFUNCTION("""COMPUTED_VALUE"""),406880958)</f>
        <v>406880958</v>
      </c>
      <c r="E156" s="1">
        <f>IFERROR(__xludf.DUMMYFUNCTION("""COMPUTED_VALUE"""),466614781004)</f>
        <v>466614781004</v>
      </c>
      <c r="F156" s="1" t="str">
        <f>IFERROR(__xludf.DUMMYFUNCTION("""COMPUTED_VALUE"""),"CLOSED")</f>
        <v>CLOSED</v>
      </c>
      <c r="G156" s="1" t="str">
        <f>IFERROR(__xludf.DUMMYFUNCTION("""COMPUTED_VALUE"""),"CLOSED")</f>
        <v>CLOSED</v>
      </c>
      <c r="H156" s="1" t="str">
        <f>IFERROR(__xludf.DUMMYFUNCTION("""COMPUTED_VALUE"""),"PAID THRU GCASH 105685082 AUG 20")</f>
        <v>PAID THRU GCASH 105685082 AUG 20</v>
      </c>
      <c r="I156" s="1" t="str">
        <f>IFERROR(__xludf.DUMMYFUNCTION("""COMPUTED_VALUE"""),"WITH 1 AMSF")</f>
        <v>WITH 1 AMSF</v>
      </c>
      <c r="J156" s="1"/>
      <c r="K156" s="1" t="str">
        <f>IFERROR(__xludf.DUMMYFUNCTION("""COMPUTED_VALUE"""),"COMPLETED")</f>
        <v>COMPLETED</v>
      </c>
      <c r="L156" s="1" t="str">
        <f>IFERROR(__xludf.DUMMYFUNCTION("""COMPUTED_VALUE"""),"POSTED")</f>
        <v>POSTED</v>
      </c>
      <c r="M156" s="1" t="str">
        <f>IFERROR(__xludf.DUMMYFUNCTION("""COMPUTED_VALUE"""),"POSTED")</f>
        <v>POSTED</v>
      </c>
      <c r="N156" s="3">
        <f>IFERROR(__xludf.DUMMYFUNCTION("""COMPUTED_VALUE"""),46253)</f>
        <v>46253</v>
      </c>
      <c r="O156" s="1" t="str">
        <f>IFERROR(__xludf.DUMMYFUNCTION("""COMPUTED_VALUE"""),"FIBR PLAN 1299")</f>
        <v>FIBR PLAN 1299</v>
      </c>
      <c r="P156" s="1" t="str">
        <f>IFERROR(__xludf.DUMMYFUNCTION("""COMPUTED_VALUE"""),"LOWPLAN")</f>
        <v>LOWPLAN</v>
      </c>
      <c r="Q156" s="1" t="str">
        <f>IFERROR(__xludf.DUMMYFUNCTION("""COMPUTED_VALUE"""),"P407050")</f>
        <v>P407050</v>
      </c>
      <c r="R156" s="1" t="str">
        <f>IFERROR(__xludf.DUMMYFUNCTION("""COMPUTED_VALUE"""),"IVNO, RAZZEL")</f>
        <v>IVNO, RAZZEL</v>
      </c>
      <c r="S156" s="1" t="str">
        <f>IFERROR(__xludf.DUMMYFUNCTION("""COMPUTED_VALUE"""),"ORGANIC")</f>
        <v>ORGANIC</v>
      </c>
      <c r="T156" s="1" t="str">
        <f>IFERROR(__xludf.DUMMYFUNCTION("""COMPUTED_VALUE"""),"LEA REMOLLO")</f>
        <v>LEA REMOLLO</v>
      </c>
      <c r="U156" s="1" t="str">
        <f>IFERROR(__xludf.DUMMYFUNCTION("""COMPUTED_VALUE"""),"JB SALIOA")</f>
        <v>JB SALIOA</v>
      </c>
      <c r="V156" s="1" t="str">
        <f>IFERROR(__xludf.DUMMYFUNCTION("""COMPUTED_VALUE"""),"BK HSTK")</f>
        <v>BK HSTK</v>
      </c>
      <c r="W156" s="1" t="str">
        <f>IFERROR(__xludf.DUMMYFUNCTION("""COMPUTED_VALUE"""),"BK HSTK")</f>
        <v>BK HSTK</v>
      </c>
      <c r="X156" s="1" t="str">
        <f>IFERROR(__xludf.DUMMYFUNCTION("""COMPUTED_VALUE"""),"HBBS AUG 2026")</f>
        <v>HBBS AUG 2026</v>
      </c>
      <c r="Y156" s="1" t="str">
        <f>IFERROR(__xludf.DUMMYFUNCTION("""COMPUTED_VALUE"""),"BK_CVEU_260806")</f>
        <v>BK_CVEU_260806</v>
      </c>
      <c r="Z156" s="1" t="str">
        <f>IFERROR(__xludf.DUMMYFUNCTION("""COMPUTED_VALUE"""),"NEW CONNECT")</f>
        <v>NEW CONNECT</v>
      </c>
      <c r="AA156" s="1">
        <f>IFERROR(__xludf.DUMMYFUNCTION("""COMPUTED_VALUE"""),639244354528)</f>
        <v>639244354528</v>
      </c>
      <c r="AB156" s="1">
        <f>IFERROR(__xludf.DUMMYFUNCTION("""COMPUTED_VALUE"""),639457961189)</f>
        <v>639457961189</v>
      </c>
      <c r="AC156" s="1"/>
      <c r="AD156" s="1" t="str">
        <f>IFERROR(__xludf.DUMMYFUNCTION("""COMPUTED_VALUE"""),"ZONE 7")</f>
        <v>ZONE 7</v>
      </c>
      <c r="AE156" s="1" t="str">
        <f>IFERROR(__xludf.DUMMYFUNCTION("""COMPUTED_VALUE"""),"AFP HOUSING")</f>
        <v>AFP HOUSING</v>
      </c>
      <c r="AF156" s="1" t="str">
        <f>IFERROR(__xludf.DUMMYFUNCTION("""COMPUTED_VALUE"""),"BGY BULIHAN")</f>
        <v>BGY BULIHAN</v>
      </c>
      <c r="AG156" s="1" t="str">
        <f>IFERROR(__xludf.DUMMYFUNCTION("""COMPUTED_VALUE"""),"SILANG")</f>
        <v>SILANG</v>
      </c>
      <c r="AH156" s="1" t="str">
        <f>IFERROR(__xludf.DUMMYFUNCTION("""COMPUTED_VALUE"""),"COURT")</f>
        <v>COURT</v>
      </c>
      <c r="AI156" s="1" t="str">
        <f>IFERROR(__xludf.DUMMYFUNCTION("""COMPUTED_VALUE"""),"CLUSTER 11")</f>
        <v>CLUSTER 11</v>
      </c>
    </row>
    <row r="157" customHeight="1" spans="1:35">
      <c r="A157" s="3">
        <f>IFERROR(__xludf.DUMMYFUNCTION("""COMPUTED_VALUE"""),46250)</f>
        <v>46250</v>
      </c>
      <c r="B157" s="1" t="str">
        <f>IFERROR(__xludf.DUMMYFUNCTION("""COMPUTED_VALUE"""),"NORHAMIM MAGDARA HADJI CASAN")</f>
        <v>NORHAMIM MAGDARA HADJI CASAN</v>
      </c>
      <c r="C157" s="1">
        <f>IFERROR(__xludf.DUMMYFUNCTION("""COMPUTED_VALUE"""),2311831122)</f>
        <v>2311831122</v>
      </c>
      <c r="D157" s="1">
        <f>IFERROR(__xludf.DUMMYFUNCTION("""COMPUTED_VALUE"""),406892174)</f>
        <v>406892174</v>
      </c>
      <c r="E157" s="1">
        <f>IFERROR(__xludf.DUMMYFUNCTION("""COMPUTED_VALUE"""),466704763004)</f>
        <v>466704763004</v>
      </c>
      <c r="F157" s="1" t="str">
        <f>IFERROR(__xludf.DUMMYFUNCTION("""COMPUTED_VALUE"""),"CLOSED")</f>
        <v>CLOSED</v>
      </c>
      <c r="G157" s="1" t="str">
        <f>IFERROR(__xludf.DUMMYFUNCTION("""COMPUTED_VALUE"""),"CLOSED")</f>
        <v>CLOSED</v>
      </c>
      <c r="H157" s="1" t="str">
        <f>IFERROR(__xludf.DUMMYFUNCTION("""COMPUTED_VALUE"""),"PAID VIA GCASH - UG 17 - REF - 295063301")</f>
        <v>PAID VIA GCASH - UG 17 - REF - 295063301</v>
      </c>
      <c r="I157" s="1" t="str">
        <f>IFERROR(__xludf.DUMMYFUNCTION("""COMPUTED_VALUE"""),"WITH 1 AMSF")</f>
        <v>WITH 1 AMSF</v>
      </c>
      <c r="J157" s="1"/>
      <c r="K157" s="1" t="str">
        <f>IFERROR(__xludf.DUMMYFUNCTION("""COMPUTED_VALUE"""),"COMPLETED")</f>
        <v>COMPLETED</v>
      </c>
      <c r="L157" s="1" t="str">
        <f>IFERROR(__xludf.DUMMYFUNCTION("""COMPUTED_VALUE"""),"POSTED")</f>
        <v>POSTED</v>
      </c>
      <c r="M157" s="1" t="str">
        <f>IFERROR(__xludf.DUMMYFUNCTION("""COMPUTED_VALUE"""),"POSTED")</f>
        <v>POSTED</v>
      </c>
      <c r="N157" s="3">
        <f>IFERROR(__xludf.DUMMYFUNCTION("""COMPUTED_VALUE"""),46251)</f>
        <v>46251</v>
      </c>
      <c r="O157" s="1" t="str">
        <f>IFERROR(__xludf.DUMMYFUNCTION("""COMPUTED_VALUE"""),"FIBER UNLI ALL PLAN 1499")</f>
        <v>FIBER UNLI ALL PLAN 1499</v>
      </c>
      <c r="P157" s="1" t="str">
        <f>IFERROR(__xludf.DUMMYFUNCTION("""COMPUTED_VALUE"""),"LOWPLAN")</f>
        <v>LOWPLAN</v>
      </c>
      <c r="Q157" s="1" t="str">
        <f>IFERROR(__xludf.DUMMYFUNCTION("""COMPUTED_VALUE"""),"P407045")</f>
        <v>P407045</v>
      </c>
      <c r="R157" s="1" t="str">
        <f>IFERROR(__xludf.DUMMYFUNCTION("""COMPUTED_VALUE"""),"REMOLLO, LEA")</f>
        <v>REMOLLO, LEA</v>
      </c>
      <c r="S157" s="1" t="str">
        <f>IFERROR(__xludf.DUMMYFUNCTION("""COMPUTED_VALUE"""),"FLA")</f>
        <v>FLA</v>
      </c>
      <c r="T157" s="1" t="str">
        <f>IFERROR(__xludf.DUMMYFUNCTION("""COMPUTED_VALUE"""),"JERIC NAVARRO")</f>
        <v>JERIC NAVARRO</v>
      </c>
      <c r="U157" s="1" t="str">
        <f>IFERROR(__xludf.DUMMYFUNCTION("""COMPUTED_VALUE"""),"JB SALIOA")</f>
        <v>JB SALIOA</v>
      </c>
      <c r="V157" s="1" t="str">
        <f>IFERROR(__xludf.DUMMYFUNCTION("""COMPUTED_VALUE"""),"BK EXPRESS")</f>
        <v>BK EXPRESS</v>
      </c>
      <c r="W157" s="1" t="str">
        <f>IFERROR(__xludf.DUMMYFUNCTION("""COMPUTED_VALUE"""),"BK HSTK")</f>
        <v>BK HSTK</v>
      </c>
      <c r="X157" s="1" t="str">
        <f>IFERROR(__xludf.DUMMYFUNCTION("""COMPUTED_VALUE"""),"HBBS AUG 2026")</f>
        <v>HBBS AUG 2026</v>
      </c>
      <c r="Y157" s="1" t="str">
        <f>IFERROR(__xludf.DUMMYFUNCTION("""COMPUTED_VALUE"""),"BK_CVEU_260806")</f>
        <v>BK_CVEU_260806</v>
      </c>
      <c r="Z157" s="1" t="str">
        <f>IFERROR(__xludf.DUMMYFUNCTION("""COMPUTED_VALUE"""),"NEW CONNECT")</f>
        <v>NEW CONNECT</v>
      </c>
      <c r="AA157" s="1">
        <f>IFERROR(__xludf.DUMMYFUNCTION("""COMPUTED_VALUE"""),639072373702)</f>
        <v>639072373702</v>
      </c>
      <c r="AB157" s="1"/>
      <c r="AC157" s="1"/>
      <c r="AD157" s="1" t="str">
        <f>IFERROR(__xludf.DUMMYFUNCTION("""COMPUTED_VALUE"""),"ZONE 11")</f>
        <v>ZONE 11</v>
      </c>
      <c r="AE157" s="1"/>
      <c r="AF157" s="1" t="str">
        <f>IFERROR(__xludf.DUMMYFUNCTION("""COMPUTED_VALUE"""),"BGY BULIHAN")</f>
        <v>BGY BULIHAN</v>
      </c>
      <c r="AG157" s="1" t="str">
        <f>IFERROR(__xludf.DUMMYFUNCTION("""COMPUTED_VALUE"""),"SILANG")</f>
        <v>SILANG</v>
      </c>
      <c r="AH157" s="1" t="str">
        <f>IFERROR(__xludf.DUMMYFUNCTION("""COMPUTED_VALUE"""),"BKEXPRESS_NEAR MAZINOD HOSPITAL")</f>
        <v>BKEXPRESS_NEAR MAZINOD HOSPITAL</v>
      </c>
      <c r="AI157" s="1" t="str">
        <f>IFERROR(__xludf.DUMMYFUNCTION("""COMPUTED_VALUE"""),"CLUSTER 11")</f>
        <v>CLUSTER 11</v>
      </c>
    </row>
    <row r="158" customHeight="1" spans="1:35">
      <c r="A158" s="3">
        <f>IFERROR(__xludf.DUMMYFUNCTION("""COMPUTED_VALUE"""),46250)</f>
        <v>46250</v>
      </c>
      <c r="B158" s="1" t="str">
        <f>IFERROR(__xludf.DUMMYFUNCTION("""COMPUTED_VALUE"""),"HARVIJAY CAPISPISAN BAUTISTA")</f>
        <v>HARVIJAY CAPISPISAN BAUTISTA</v>
      </c>
      <c r="C158" s="1">
        <f>IFERROR(__xludf.DUMMYFUNCTION("""COMPUTED_VALUE"""),2311834474)</f>
        <v>2311834474</v>
      </c>
      <c r="D158" s="1">
        <f>IFERROR(__xludf.DUMMYFUNCTION("""COMPUTED_VALUE"""),406900029)</f>
        <v>406900029</v>
      </c>
      <c r="E158" s="1">
        <f>IFERROR(__xludf.DUMMYFUNCTION("""COMPUTED_VALUE"""),466715268004)</f>
        <v>466715268004</v>
      </c>
      <c r="F158" s="1" t="str">
        <f>IFERROR(__xludf.DUMMYFUNCTION("""COMPUTED_VALUE"""),"CANCELLED")</f>
        <v>CANCELLED</v>
      </c>
      <c r="G158" s="1" t="str">
        <f>IFERROR(__xludf.DUMMYFUNCTION("""COMPUTED_VALUE"""),"CANCELLED")</f>
        <v>CANCELLED</v>
      </c>
      <c r="H158" s="1" t="str">
        <f>IFERROR(__xludf.DUMMYFUNCTION("""COMPUTED_VALUE"""),"CBR RINGING ONLY 2X ATTEMPT 08/21 1:56")</f>
        <v>CBR RINGING ONLY 2X ATTEMPT 08/21 1:56</v>
      </c>
      <c r="I158" s="1"/>
      <c r="J158" s="1"/>
      <c r="K158" s="1" t="str">
        <f>IFERROR(__xludf.DUMMYFUNCTION("""COMPUTED_VALUE"""),"NOT IN OFSC")</f>
        <v>NOT IN OFSC</v>
      </c>
      <c r="L158" s="1" t="str">
        <f>IFERROR(__xludf.DUMMYFUNCTION("""COMPUTED_VALUE"""),"CANCELLED - AGING")</f>
        <v>CANCELLED - AGING</v>
      </c>
      <c r="M158" s="1" t="str">
        <f>IFERROR(__xludf.DUMMYFUNCTION("""COMPUTED_VALUE"""),"CANCELLED - FOR PAYMENT - AUTO AGING")</f>
        <v>CANCELLED - FOR PAYMENT - AUTO AGING</v>
      </c>
      <c r="N158" s="3"/>
      <c r="O158" s="1" t="str">
        <f>IFERROR(__xludf.DUMMYFUNCTION("""COMPUTED_VALUE"""),"FIBR UNLI ALL PLAN 999")</f>
        <v>FIBR UNLI ALL PLAN 999</v>
      </c>
      <c r="P158" s="1" t="str">
        <f>IFERROR(__xludf.DUMMYFUNCTION("""COMPUTED_VALUE"""),"LOWPLAN")</f>
        <v>LOWPLAN</v>
      </c>
      <c r="Q158" s="1" t="str">
        <f>IFERROR(__xludf.DUMMYFUNCTION("""COMPUTED_VALUE"""),"P407050")</f>
        <v>P407050</v>
      </c>
      <c r="R158" s="1" t="str">
        <f>IFERROR(__xludf.DUMMYFUNCTION("""COMPUTED_VALUE"""),"ALINGARO, CINDY")</f>
        <v>ALINGARO, CINDY</v>
      </c>
      <c r="S158" s="1" t="str">
        <f>IFERROR(__xludf.DUMMYFUNCTION("""COMPUTED_VALUE"""),"ORGANIC")</f>
        <v>ORGANIC</v>
      </c>
      <c r="T158" s="1" t="str">
        <f>IFERROR(__xludf.DUMMYFUNCTION("""COMPUTED_VALUE"""),"LEA REMOLLO")</f>
        <v>LEA REMOLLO</v>
      </c>
      <c r="U158" s="1" t="str">
        <f>IFERROR(__xludf.DUMMYFUNCTION("""COMPUTED_VALUE"""),"JB SALIOA")</f>
        <v>JB SALIOA</v>
      </c>
      <c r="V158" s="1" t="str">
        <f>IFERROR(__xludf.DUMMYFUNCTION("""COMPUTED_VALUE"""),"BK HSTK")</f>
        <v>BK HSTK</v>
      </c>
      <c r="W158" s="1" t="str">
        <f>IFERROR(__xludf.DUMMYFUNCTION("""COMPUTED_VALUE"""),"BK HSTK")</f>
        <v>BK HSTK</v>
      </c>
      <c r="X158" s="1" t="str">
        <f>IFERROR(__xludf.DUMMYFUNCTION("""COMPUTED_VALUE"""),"HBBS AUG 2026")</f>
        <v>HBBS AUG 2026</v>
      </c>
      <c r="Y158" s="1" t="str">
        <f>IFERROR(__xludf.DUMMYFUNCTION("""COMPUTED_VALUE"""),"BK_CVEU_260806")</f>
        <v>BK_CVEU_260806</v>
      </c>
      <c r="Z158" s="1" t="str">
        <f>IFERROR(__xludf.DUMMYFUNCTION("""COMPUTED_VALUE"""),"NEW CONNECT")</f>
        <v>NEW CONNECT</v>
      </c>
      <c r="AA158" s="1">
        <f>IFERROR(__xludf.DUMMYFUNCTION("""COMPUTED_VALUE"""),639708530475)</f>
        <v>639708530475</v>
      </c>
      <c r="AB158" s="1"/>
      <c r="AC158" s="1">
        <f>IFERROR(__xludf.DUMMYFUNCTION("""COMPUTED_VALUE"""),366)</f>
        <v>366</v>
      </c>
      <c r="AD158" s="1" t="str">
        <f>IFERROR(__xludf.DUMMYFUNCTION("""COMPUTED_VALUE"""),"PUROK 6")</f>
        <v>PUROK 6</v>
      </c>
      <c r="AE158" s="1"/>
      <c r="AF158" s="1" t="str">
        <f>IFERROR(__xludf.DUMMYFUNCTION("""COMPUTED_VALUE"""),"BGY LITLIT")</f>
        <v>BGY LITLIT</v>
      </c>
      <c r="AG158" s="1" t="str">
        <f>IFERROR(__xludf.DUMMYFUNCTION("""COMPUTED_VALUE"""),"SILANG")</f>
        <v>SILANG</v>
      </c>
      <c r="AH158" s="1" t="str">
        <f>IFERROR(__xludf.DUMMYFUNCTION("""COMPUTED_VALUE"""),"-")</f>
        <v>-</v>
      </c>
      <c r="AI158" s="1" t="str">
        <f>IFERROR(__xludf.DUMMYFUNCTION("""COMPUTED_VALUE"""),"CLUSTER 11")</f>
        <v>CLUSTER 11</v>
      </c>
    </row>
    <row r="159" customHeight="1" spans="1:35">
      <c r="A159" s="3">
        <f>IFERROR(__xludf.DUMMYFUNCTION("""COMPUTED_VALUE"""),46250)</f>
        <v>46250</v>
      </c>
      <c r="B159" s="1" t="str">
        <f>IFERROR(__xludf.DUMMYFUNCTION("""COMPUTED_VALUE"""),"MELVIE BAYAS OLIMPIADA")</f>
        <v>MELVIE BAYAS OLIMPIADA</v>
      </c>
      <c r="C159" s="1">
        <f>IFERROR(__xludf.DUMMYFUNCTION("""COMPUTED_VALUE"""),2311834883)</f>
        <v>2311834883</v>
      </c>
      <c r="D159" s="1">
        <f>IFERROR(__xludf.DUMMYFUNCTION("""COMPUTED_VALUE"""),406898806)</f>
        <v>406898806</v>
      </c>
      <c r="E159" s="1">
        <f>IFERROR(__xludf.DUMMYFUNCTION("""COMPUTED_VALUE"""),466714883004)</f>
        <v>466714883004</v>
      </c>
      <c r="F159" s="1" t="str">
        <f>IFERROR(__xludf.DUMMYFUNCTION("""COMPUTED_VALUE"""),"CANCELLED")</f>
        <v>CANCELLED</v>
      </c>
      <c r="G159" s="1" t="str">
        <f>IFERROR(__xludf.DUMMYFUNCTION("""COMPUTED_VALUE"""),"CANCELLED")</f>
        <v>CANCELLED</v>
      </c>
      <c r="H159" s="1" t="str">
        <f>IFERROR(__xludf.DUMMYFUNCTION("""COMPUTED_VALUE"""),"BINABA CALL AFTER KO SABIHIN NA SA PLDT SALES 08/21 1:57")</f>
        <v>BINABA CALL AFTER KO SABIHIN NA SA PLDT SALES 08/21 1:57</v>
      </c>
      <c r="I159" s="1"/>
      <c r="J159" s="1"/>
      <c r="K159" s="1" t="str">
        <f>IFERROR(__xludf.DUMMYFUNCTION("""COMPUTED_VALUE"""),"NOT IN OFSC")</f>
        <v>NOT IN OFSC</v>
      </c>
      <c r="L159" s="1" t="str">
        <f>IFERROR(__xludf.DUMMYFUNCTION("""COMPUTED_VALUE"""),"CANCELLED - AGING")</f>
        <v>CANCELLED - AGING</v>
      </c>
      <c r="M159" s="1" t="str">
        <f>IFERROR(__xludf.DUMMYFUNCTION("""COMPUTED_VALUE"""),"CANCELLED - FOR PAYMENT - AUTO AGING")</f>
        <v>CANCELLED - FOR PAYMENT - AUTO AGING</v>
      </c>
      <c r="N159" s="3"/>
      <c r="O159" s="1" t="str">
        <f>IFERROR(__xludf.DUMMYFUNCTION("""COMPUTED_VALUE"""),"FIBR UNLI ALL PLAN 999")</f>
        <v>FIBR UNLI ALL PLAN 999</v>
      </c>
      <c r="P159" s="1" t="str">
        <f>IFERROR(__xludf.DUMMYFUNCTION("""COMPUTED_VALUE"""),"LOWPLAN")</f>
        <v>LOWPLAN</v>
      </c>
      <c r="Q159" s="1" t="str">
        <f>IFERROR(__xludf.DUMMYFUNCTION("""COMPUTED_VALUE"""),"P407050")</f>
        <v>P407050</v>
      </c>
      <c r="R159" s="1" t="str">
        <f>IFERROR(__xludf.DUMMYFUNCTION("""COMPUTED_VALUE"""),"ALINGARO, CINDY")</f>
        <v>ALINGARO, CINDY</v>
      </c>
      <c r="S159" s="1" t="str">
        <f>IFERROR(__xludf.DUMMYFUNCTION("""COMPUTED_VALUE"""),"ORGANIC")</f>
        <v>ORGANIC</v>
      </c>
      <c r="T159" s="1" t="str">
        <f>IFERROR(__xludf.DUMMYFUNCTION("""COMPUTED_VALUE"""),"LEA REMOLLO")</f>
        <v>LEA REMOLLO</v>
      </c>
      <c r="U159" s="1" t="str">
        <f>IFERROR(__xludf.DUMMYFUNCTION("""COMPUTED_VALUE"""),"JB SALIOA")</f>
        <v>JB SALIOA</v>
      </c>
      <c r="V159" s="1" t="str">
        <f>IFERROR(__xludf.DUMMYFUNCTION("""COMPUTED_VALUE"""),"BK HSTK")</f>
        <v>BK HSTK</v>
      </c>
      <c r="W159" s="1" t="str">
        <f>IFERROR(__xludf.DUMMYFUNCTION("""COMPUTED_VALUE"""),"BK HSTK")</f>
        <v>BK HSTK</v>
      </c>
      <c r="X159" s="1" t="str">
        <f>IFERROR(__xludf.DUMMYFUNCTION("""COMPUTED_VALUE"""),"HBBS AUG 2026")</f>
        <v>HBBS AUG 2026</v>
      </c>
      <c r="Y159" s="1" t="str">
        <f>IFERROR(__xludf.DUMMYFUNCTION("""COMPUTED_VALUE"""),"BK_CVEU_260806")</f>
        <v>BK_CVEU_260806</v>
      </c>
      <c r="Z159" s="1" t="str">
        <f>IFERROR(__xludf.DUMMYFUNCTION("""COMPUTED_VALUE"""),"NEW CONNECT")</f>
        <v>NEW CONNECT</v>
      </c>
      <c r="AA159" s="1">
        <f>IFERROR(__xludf.DUMMYFUNCTION("""COMPUTED_VALUE"""),639357353467)</f>
        <v>639357353467</v>
      </c>
      <c r="AB159" s="1"/>
      <c r="AC159" s="1"/>
      <c r="AD159" s="1" t="str">
        <f>IFERROR(__xludf.DUMMYFUNCTION("""COMPUTED_VALUE"""),"PUROK 6")</f>
        <v>PUROK 6</v>
      </c>
      <c r="AE159" s="1"/>
      <c r="AF159" s="1" t="str">
        <f>IFERROR(__xludf.DUMMYFUNCTION("""COMPUTED_VALUE"""),"BGY LITLIT")</f>
        <v>BGY LITLIT</v>
      </c>
      <c r="AG159" s="1" t="str">
        <f>IFERROR(__xludf.DUMMYFUNCTION("""COMPUTED_VALUE"""),"SILANG")</f>
        <v>SILANG</v>
      </c>
      <c r="AH159" s="1" t="str">
        <f>IFERROR(__xludf.DUMMYFUNCTION("""COMPUTED_VALUE"""),"-")</f>
        <v>-</v>
      </c>
      <c r="AI159" s="1" t="str">
        <f>IFERROR(__xludf.DUMMYFUNCTION("""COMPUTED_VALUE"""),"CLUSTER 11")</f>
        <v>CLUSTER 11</v>
      </c>
    </row>
    <row r="160" customHeight="1" spans="1:35">
      <c r="A160" s="3">
        <f>IFERROR(__xludf.DUMMYFUNCTION("""COMPUTED_VALUE"""),46250)</f>
        <v>46250</v>
      </c>
      <c r="B160" s="1" t="str">
        <f>IFERROR(__xludf.DUMMYFUNCTION("""COMPUTED_VALUE"""),"JOCELYN ORQUIA ADAMERO")</f>
        <v>JOCELYN ORQUIA ADAMERO</v>
      </c>
      <c r="C160" s="1">
        <f>IFERROR(__xludf.DUMMYFUNCTION("""COMPUTED_VALUE"""),2311836859)</f>
        <v>2311836859</v>
      </c>
      <c r="D160" s="1">
        <f>IFERROR(__xludf.DUMMYFUNCTION("""COMPUTED_VALUE"""),407070526)</f>
        <v>407070526</v>
      </c>
      <c r="E160" s="1">
        <f>IFERROR(__xludf.DUMMYFUNCTION("""COMPUTED_VALUE"""),467246878004)</f>
        <v>467246878004</v>
      </c>
      <c r="F160" s="1" t="str">
        <f>IFERROR(__xludf.DUMMYFUNCTION("""COMPUTED_VALUE"""),"CLOSED")</f>
        <v>CLOSED</v>
      </c>
      <c r="G160" s="1" t="str">
        <f>IFERROR(__xludf.DUMMYFUNCTION("""COMPUTED_VALUE"""),"CLOSED")</f>
        <v>CLOSED</v>
      </c>
      <c r="H160" s="1" t="str">
        <f>IFERROR(__xludf.DUMMYFUNCTION("""COMPUTED_VALUE"""),"PQGOR361631939	22-Aug-26	Regular Payment	CIS-GCASH 3.0	1,049.00	938382378	22-Aug-26")</f>
        <v>PQGOR361631939	22-Aug-26	Regular Payment	CIS-GCASH 3.0	1,049.00	938382378	22-Aug-26</v>
      </c>
      <c r="I160" s="1" t="str">
        <f>IFERROR(__xludf.DUMMYFUNCTION("""COMPUTED_VALUE"""),"WITH 1 AMSF")</f>
        <v>WITH 1 AMSF</v>
      </c>
      <c r="J160" s="1" t="str">
        <f>IFERROR(__xludf.DUMMYFUNCTION("""COMPUTED_VALUE"""),"WITH PRO RATED-32.21")</f>
        <v>WITH PRO RATED-32.21</v>
      </c>
      <c r="K160" s="1" t="str">
        <f>IFERROR(__xludf.DUMMYFUNCTION("""COMPUTED_VALUE"""),"COMPLETED")</f>
        <v>COMPLETED</v>
      </c>
      <c r="L160" s="1" t="str">
        <f>IFERROR(__xludf.DUMMYFUNCTION("""COMPUTED_VALUE"""),"POSTED")</f>
        <v>POSTED</v>
      </c>
      <c r="M160" s="1" t="str">
        <f>IFERROR(__xludf.DUMMYFUNCTION("""COMPUTED_VALUE"""),"POSTED")</f>
        <v>POSTED</v>
      </c>
      <c r="N160" s="3">
        <f>IFERROR(__xludf.DUMMYFUNCTION("""COMPUTED_VALUE"""),46257)</f>
        <v>46257</v>
      </c>
      <c r="O160" s="1" t="str">
        <f>IFERROR(__xludf.DUMMYFUNCTION("""COMPUTED_VALUE"""),"FIBR UNLI ALL PLAN 999")</f>
        <v>FIBR UNLI ALL PLAN 999</v>
      </c>
      <c r="P160" s="1" t="str">
        <f>IFERROR(__xludf.DUMMYFUNCTION("""COMPUTED_VALUE"""),"LOWPLAN")</f>
        <v>LOWPLAN</v>
      </c>
      <c r="Q160" s="1" t="str">
        <f>IFERROR(__xludf.DUMMYFUNCTION("""COMPUTED_VALUE"""),"P407050")</f>
        <v>P407050</v>
      </c>
      <c r="R160" s="1" t="str">
        <f>IFERROR(__xludf.DUMMYFUNCTION("""COMPUTED_VALUE"""),"CADERAO, RONALD")</f>
        <v>CADERAO, RONALD</v>
      </c>
      <c r="S160" s="1" t="str">
        <f>IFERROR(__xludf.DUMMYFUNCTION("""COMPUTED_VALUE"""),"ORGANIC")</f>
        <v>ORGANIC</v>
      </c>
      <c r="T160" s="1" t="str">
        <f>IFERROR(__xludf.DUMMYFUNCTION("""COMPUTED_VALUE"""),"LEA REMOLLO")</f>
        <v>LEA REMOLLO</v>
      </c>
      <c r="U160" s="1" t="str">
        <f>IFERROR(__xludf.DUMMYFUNCTION("""COMPUTED_VALUE"""),"JB SALIOA")</f>
        <v>JB SALIOA</v>
      </c>
      <c r="V160" s="1" t="str">
        <f>IFERROR(__xludf.DUMMYFUNCTION("""COMPUTED_VALUE"""),"BK REGULAR")</f>
        <v>BK REGULAR</v>
      </c>
      <c r="W160" s="1" t="str">
        <f>IFERROR(__xludf.DUMMYFUNCTION("""COMPUTED_VALUE"""),"STK REGULAR")</f>
        <v>STK REGULAR</v>
      </c>
      <c r="X160" s="1" t="str">
        <f>IFERROR(__xludf.DUMMYFUNCTION("""COMPUTED_VALUE"""),"HBBS AUG 2026")</f>
        <v>HBBS AUG 2026</v>
      </c>
      <c r="Y160" s="1" t="str">
        <f>IFERROR(__xludf.DUMMYFUNCTION("""COMPUTED_VALUE"""),"BK_CVEU_260806")</f>
        <v>BK_CVEU_260806</v>
      </c>
      <c r="Z160" s="1" t="str">
        <f>IFERROR(__xludf.DUMMYFUNCTION("""COMPUTED_VALUE"""),"NEW CONNECT")</f>
        <v>NEW CONNECT</v>
      </c>
      <c r="AA160" s="1">
        <f>IFERROR(__xludf.DUMMYFUNCTION("""COMPUTED_VALUE"""),639365889088)</f>
        <v>639365889088</v>
      </c>
      <c r="AB160" s="1">
        <f>IFERROR(__xludf.DUMMYFUNCTION("""COMPUTED_VALUE"""),639059095461)</f>
        <v>639059095461</v>
      </c>
      <c r="AC160" s="1">
        <f>IFERROR(__xludf.DUMMYFUNCTION("""COMPUTED_VALUE"""),9794)</f>
        <v>9794</v>
      </c>
      <c r="AD160" s="1" t="str">
        <f>IFERROR(__xludf.DUMMYFUNCTION("""COMPUTED_VALUE"""),"J P RIZAL")</f>
        <v>J P RIZAL</v>
      </c>
      <c r="AE160" s="1"/>
      <c r="AF160" s="1" t="str">
        <f>IFERROR(__xludf.DUMMYFUNCTION("""COMPUTED_VALUE"""),"BGY 5")</f>
        <v>BGY 5</v>
      </c>
      <c r="AG160" s="1" t="str">
        <f>IFERROR(__xludf.DUMMYFUNCTION("""COMPUTED_VALUE"""),"SILANG")</f>
        <v>SILANG</v>
      </c>
      <c r="AH160" s="1" t="str">
        <f>IFERROR(__xludf.DUMMYFUNCTION("""COMPUTED_VALUE"""),"-")</f>
        <v>-</v>
      </c>
      <c r="AI160" s="1" t="str">
        <f>IFERROR(__xludf.DUMMYFUNCTION("""COMPUTED_VALUE"""),"CLUSTER 11")</f>
        <v>CLUSTER 11</v>
      </c>
    </row>
    <row r="161" customHeight="1" spans="1:35">
      <c r="A161" s="3">
        <f>IFERROR(__xludf.DUMMYFUNCTION("""COMPUTED_VALUE"""),46250)</f>
        <v>46250</v>
      </c>
      <c r="B161" s="1" t="str">
        <f>IFERROR(__xludf.DUMMYFUNCTION("""COMPUTED_VALUE"""),"MILLICENT ODILE MALAHITO")</f>
        <v>MILLICENT ODILE MALAHITO</v>
      </c>
      <c r="C161" s="1">
        <f>IFERROR(__xludf.DUMMYFUNCTION("""COMPUTED_VALUE"""),2311837738)</f>
        <v>2311837738</v>
      </c>
      <c r="D161" s="1"/>
      <c r="E161" s="1"/>
      <c r="F161" s="1" t="str">
        <f>IFERROR(__xludf.DUMMYFUNCTION("""COMPUTED_VALUE"""),"REENCODED")</f>
        <v>REENCODED</v>
      </c>
      <c r="G161" s="1" t="str">
        <f>IFERROR(__xludf.DUMMYFUNCTION("""COMPUTED_VALUE"""),"REENCODED")</f>
        <v>REENCODED</v>
      </c>
      <c r="H161" s="1"/>
      <c r="I161" s="1"/>
      <c r="J161" s="1"/>
      <c r="K161" s="1"/>
      <c r="L161" s="1" t="str">
        <f>IFERROR(__xludf.DUMMYFUNCTION("""COMPUTED_VALUE"""),"REENCODED")</f>
        <v>REENCODED</v>
      </c>
      <c r="M161" s="1" t="str">
        <f>IFERROR(__xludf.DUMMYFUNCTION("""COMPUTED_VALUE"""),"REENCODED")</f>
        <v>REENCODED</v>
      </c>
      <c r="N161" s="3"/>
      <c r="O161" s="1" t="str">
        <f>IFERROR(__xludf.DUMMYFUNCTION("""COMPUTED_VALUE"""),"FIBER UNLI ALL PLAN 1499")</f>
        <v>FIBER UNLI ALL PLAN 1499</v>
      </c>
      <c r="P161" s="1" t="str">
        <f>IFERROR(__xludf.DUMMYFUNCTION("""COMPUTED_VALUE"""),"LOWPLAN")</f>
        <v>LOWPLAN</v>
      </c>
      <c r="Q161" s="1" t="str">
        <f>IFERROR(__xludf.DUMMYFUNCTION("""COMPUTED_VALUE"""),"P407046")</f>
        <v>P407046</v>
      </c>
      <c r="R161" s="1" t="str">
        <f>IFERROR(__xludf.DUMMYFUNCTION("""COMPUTED_VALUE"""),"MALIWAT, MARK")</f>
        <v>MALIWAT, MARK</v>
      </c>
      <c r="S161" s="1" t="str">
        <f>IFERROR(__xludf.DUMMYFUNCTION("""COMPUTED_VALUE"""),"FLA")</f>
        <v>FLA</v>
      </c>
      <c r="T161" s="1" t="str">
        <f>IFERROR(__xludf.DUMMYFUNCTION("""COMPUTED_VALUE"""),"JERIC NAVARRO")</f>
        <v>JERIC NAVARRO</v>
      </c>
      <c r="U161" s="1" t="str">
        <f>IFERROR(__xludf.DUMMYFUNCTION("""COMPUTED_VALUE"""),"JB SALIOA")</f>
        <v>JB SALIOA</v>
      </c>
      <c r="V161" s="1" t="str">
        <f>IFERROR(__xludf.DUMMYFUNCTION("""COMPUTED_VALUE"""),"ONLINE/CRANFORD")</f>
        <v>ONLINE/CRANFORD</v>
      </c>
      <c r="W161" s="1" t="str">
        <f>IFERROR(__xludf.DUMMYFUNCTION("""COMPUTED_VALUE"""),"STK REGULAR")</f>
        <v>STK REGULAR</v>
      </c>
      <c r="X161" s="1" t="str">
        <f>IFERROR(__xludf.DUMMYFUNCTION("""COMPUTED_VALUE"""),"HBBS AUG 2026")</f>
        <v>HBBS AUG 2026</v>
      </c>
      <c r="Y161" s="1" t="str">
        <f>IFERROR(__xludf.DUMMYFUNCTION("""COMPUTED_VALUE"""),"RS_ONL_CVEU_2026")</f>
        <v>RS_ONL_CVEU_2026</v>
      </c>
      <c r="Z161" s="1" t="str">
        <f>IFERROR(__xludf.DUMMYFUNCTION("""COMPUTED_VALUE"""),"NEW CONNECT")</f>
        <v>NEW CONNECT</v>
      </c>
      <c r="AA161" s="1">
        <f>IFERROR(__xludf.DUMMYFUNCTION("""COMPUTED_VALUE"""),639218722121)</f>
        <v>639218722121</v>
      </c>
      <c r="AB161" s="1">
        <f>IFERROR(__xludf.DUMMYFUNCTION("""COMPUTED_VALUE"""),639606113910)</f>
        <v>639606113910</v>
      </c>
      <c r="AC161" s="1"/>
      <c r="AD161" s="1" t="str">
        <f>IFERROR(__xludf.DUMMYFUNCTION("""COMPUTED_VALUE"""),"TANDUBAS")</f>
        <v>TANDUBAS</v>
      </c>
      <c r="AE161" s="1" t="str">
        <f>IFERROR(__xludf.DUMMYFUNCTION("""COMPUTED_VALUE"""),"TERRA VERDE RESIDENCES PH 5")</f>
        <v>TERRA VERDE RESIDENCES PH 5</v>
      </c>
      <c r="AF161" s="1" t="str">
        <f>IFERROR(__xludf.DUMMYFUNCTION("""COMPUTED_VALUE"""),"BGY BANCAL")</f>
        <v>BGY BANCAL</v>
      </c>
      <c r="AG161" s="1" t="str">
        <f>IFERROR(__xludf.DUMMYFUNCTION("""COMPUTED_VALUE"""),"CARMONA")</f>
        <v>CARMONA</v>
      </c>
      <c r="AH161" s="1" t="str">
        <f>IFERROR(__xludf.DUMMYFUNCTION("""COMPUTED_VALUE"""),"MCDONALDS ULONG TUBIG  DALI GROCERY STORE")</f>
        <v>MCDONALDS ULONG TUBIG  DALI GROCERY STORE</v>
      </c>
      <c r="AI161" s="1" t="str">
        <f>IFERROR(__xludf.DUMMYFUNCTION("""COMPUTED_VALUE"""),"CLUSTER 11")</f>
        <v>CLUSTER 11</v>
      </c>
    </row>
    <row r="162" customHeight="1" spans="1:35">
      <c r="A162" s="3">
        <f>IFERROR(__xludf.DUMMYFUNCTION("""COMPUTED_VALUE"""),46250)</f>
        <v>46250</v>
      </c>
      <c r="B162" s="1" t="str">
        <f>IFERROR(__xludf.DUMMYFUNCTION("""COMPUTED_VALUE"""),"MILLICENT ODILE BELTRAN MALAHITO")</f>
        <v>MILLICENT ODILE BELTRAN MALAHITO</v>
      </c>
      <c r="C162" s="1">
        <f>IFERROR(__xludf.DUMMYFUNCTION("""COMPUTED_VALUE"""),2311838041)</f>
        <v>2311838041</v>
      </c>
      <c r="D162" s="1"/>
      <c r="E162" s="1"/>
      <c r="F162" s="1" t="str">
        <f>IFERROR(__xludf.DUMMYFUNCTION("""COMPUTED_VALUE"""),"REENCODED")</f>
        <v>REENCODED</v>
      </c>
      <c r="G162" s="1" t="str">
        <f>IFERROR(__xludf.DUMMYFUNCTION("""COMPUTED_VALUE"""),"REENCODED")</f>
        <v>REENCODED</v>
      </c>
      <c r="H162" s="1"/>
      <c r="I162" s="1"/>
      <c r="J162" s="1"/>
      <c r="K162" s="1"/>
      <c r="L162" s="1" t="str">
        <f>IFERROR(__xludf.DUMMYFUNCTION("""COMPUTED_VALUE"""),"REENCODED")</f>
        <v>REENCODED</v>
      </c>
      <c r="M162" s="1" t="str">
        <f>IFERROR(__xludf.DUMMYFUNCTION("""COMPUTED_VALUE"""),"REENCODED")</f>
        <v>REENCODED</v>
      </c>
      <c r="N162" s="3"/>
      <c r="O162" s="1" t="str">
        <f>IFERROR(__xludf.DUMMYFUNCTION("""COMPUTED_VALUE"""),"FIBER UNLI ALL PLAN 1499")</f>
        <v>FIBER UNLI ALL PLAN 1499</v>
      </c>
      <c r="P162" s="1" t="str">
        <f>IFERROR(__xludf.DUMMYFUNCTION("""COMPUTED_VALUE"""),"LOWPLAN")</f>
        <v>LOWPLAN</v>
      </c>
      <c r="Q162" s="1" t="str">
        <f>IFERROR(__xludf.DUMMYFUNCTION("""COMPUTED_VALUE"""),"P407046")</f>
        <v>P407046</v>
      </c>
      <c r="R162" s="1" t="str">
        <f>IFERROR(__xludf.DUMMYFUNCTION("""COMPUTED_VALUE"""),"MALIWAT, MARK")</f>
        <v>MALIWAT, MARK</v>
      </c>
      <c r="S162" s="1" t="str">
        <f>IFERROR(__xludf.DUMMYFUNCTION("""COMPUTED_VALUE"""),"FLA")</f>
        <v>FLA</v>
      </c>
      <c r="T162" s="1" t="str">
        <f>IFERROR(__xludf.DUMMYFUNCTION("""COMPUTED_VALUE"""),"JERIC NAVARRO")</f>
        <v>JERIC NAVARRO</v>
      </c>
      <c r="U162" s="1" t="str">
        <f>IFERROR(__xludf.DUMMYFUNCTION("""COMPUTED_VALUE"""),"JB SALIOA")</f>
        <v>JB SALIOA</v>
      </c>
      <c r="V162" s="1" t="str">
        <f>IFERROR(__xludf.DUMMYFUNCTION("""COMPUTED_VALUE"""),"BK REGULAR")</f>
        <v>BK REGULAR</v>
      </c>
      <c r="W162" s="1" t="str">
        <f>IFERROR(__xludf.DUMMYFUNCTION("""COMPUTED_VALUE"""),"STK REGULAR")</f>
        <v>STK REGULAR</v>
      </c>
      <c r="X162" s="1" t="str">
        <f>IFERROR(__xludf.DUMMYFUNCTION("""COMPUTED_VALUE"""),"HBBS AUG 2026")</f>
        <v>HBBS AUG 2026</v>
      </c>
      <c r="Y162" s="1" t="str">
        <f>IFERROR(__xludf.DUMMYFUNCTION("""COMPUTED_VALUE"""),"BK_CVEU_260803")</f>
        <v>BK_CVEU_260803</v>
      </c>
      <c r="Z162" s="1" t="str">
        <f>IFERROR(__xludf.DUMMYFUNCTION("""COMPUTED_VALUE"""),"NEW CONNECT")</f>
        <v>NEW CONNECT</v>
      </c>
      <c r="AA162" s="1">
        <f>IFERROR(__xludf.DUMMYFUNCTION("""COMPUTED_VALUE"""),639218722121)</f>
        <v>639218722121</v>
      </c>
      <c r="AB162" s="1">
        <f>IFERROR(__xludf.DUMMYFUNCTION("""COMPUTED_VALUE"""),639606113910)</f>
        <v>639606113910</v>
      </c>
      <c r="AC162" s="1"/>
      <c r="AD162" s="1" t="str">
        <f>IFERROR(__xludf.DUMMYFUNCTION("""COMPUTED_VALUE"""),"TANDUBAS")</f>
        <v>TANDUBAS</v>
      </c>
      <c r="AE162" s="1" t="str">
        <f>IFERROR(__xludf.DUMMYFUNCTION("""COMPUTED_VALUE"""),"TERRAVERDE RESIDENCES")</f>
        <v>TERRAVERDE RESIDENCES</v>
      </c>
      <c r="AF162" s="1" t="str">
        <f>IFERROR(__xludf.DUMMYFUNCTION("""COMPUTED_VALUE"""),"BGY BANCAL")</f>
        <v>BGY BANCAL</v>
      </c>
      <c r="AG162" s="1" t="str">
        <f>IFERROR(__xludf.DUMMYFUNCTION("""COMPUTED_VALUE"""),"CARMONA")</f>
        <v>CARMONA</v>
      </c>
      <c r="AH162" s="1" t="str">
        <f>IFERROR(__xludf.DUMMYFUNCTION("""COMPUTED_VALUE"""),"-")</f>
        <v>-</v>
      </c>
      <c r="AI162" s="1" t="str">
        <f>IFERROR(__xludf.DUMMYFUNCTION("""COMPUTED_VALUE"""),"CLUSTER 11")</f>
        <v>CLUSTER 11</v>
      </c>
    </row>
    <row r="163" customHeight="1" spans="1:35">
      <c r="A163" s="3">
        <f>IFERROR(__xludf.DUMMYFUNCTION("""COMPUTED_VALUE"""),46250)</f>
        <v>46250</v>
      </c>
      <c r="B163" s="1" t="str">
        <f>IFERROR(__xludf.DUMMYFUNCTION("""COMPUTED_VALUE"""),"MILLICENT ODILE BELTRAN MALAHITO")</f>
        <v>MILLICENT ODILE BELTRAN MALAHITO</v>
      </c>
      <c r="C163" s="1">
        <f>IFERROR(__xludf.DUMMYFUNCTION("""COMPUTED_VALUE"""),2311838383)</f>
        <v>2311838383</v>
      </c>
      <c r="D163" s="1"/>
      <c r="E163" s="1"/>
      <c r="F163" s="1" t="str">
        <f>IFERROR(__xludf.DUMMYFUNCTION("""COMPUTED_VALUE"""),"REENCODED")</f>
        <v>REENCODED</v>
      </c>
      <c r="G163" s="1" t="str">
        <f>IFERROR(__xludf.DUMMYFUNCTION("""COMPUTED_VALUE"""),"&amp;#8203;RTS | INCOMPLETE DOCS- NO PHYSICAL CAF&amp;SUBSCERT | 1 AMSF NOT REQUIRED (GG - 1 (NTC) CLEARED FROM BLACKLISTED HIT| NO EXISTING ACTIVE ACCT AND/OR PENDING/CANCELLED APPLICATION| SCANNABLE NATIONAL ID|")</f>
        <v>&amp;#8203;RTS | INCOMPLETE DOCS- NO PHYSICAL CAF&amp;SUBSCERT | 1 AMSF NOT REQUIRED (GG - 1 (NTC) CLEARED FROM BLACKLISTED HIT| NO EXISTING ACTIVE ACCT AND/OR PENDING/CANCELLED APPLICATION| SCANNABLE NATIONAL ID|</v>
      </c>
      <c r="H163" s="1"/>
      <c r="I163" s="1"/>
      <c r="J163" s="1"/>
      <c r="K163" s="1"/>
      <c r="L163" s="1" t="str">
        <f>IFERROR(__xludf.DUMMYFUNCTION("""COMPUTED_VALUE"""),"REENCODED")</f>
        <v>REENCODED</v>
      </c>
      <c r="M163" s="1" t="str">
        <f>IFERROR(__xludf.DUMMYFUNCTION("""COMPUTED_VALUE"""),"REENCODED")</f>
        <v>REENCODED</v>
      </c>
      <c r="N163" s="3"/>
      <c r="O163" s="1" t="str">
        <f>IFERROR(__xludf.DUMMYFUNCTION("""COMPUTED_VALUE"""),"FIBER UNLI ALL PLAN 1499")</f>
        <v>FIBER UNLI ALL PLAN 1499</v>
      </c>
      <c r="P163" s="1" t="str">
        <f>IFERROR(__xludf.DUMMYFUNCTION("""COMPUTED_VALUE"""),"LOWPLAN")</f>
        <v>LOWPLAN</v>
      </c>
      <c r="Q163" s="1" t="str">
        <f>IFERROR(__xludf.DUMMYFUNCTION("""COMPUTED_VALUE"""),"P407046")</f>
        <v>P407046</v>
      </c>
      <c r="R163" s="1" t="str">
        <f>IFERROR(__xludf.DUMMYFUNCTION("""COMPUTED_VALUE"""),"MALIWAT, MARK")</f>
        <v>MALIWAT, MARK</v>
      </c>
      <c r="S163" s="1" t="str">
        <f>IFERROR(__xludf.DUMMYFUNCTION("""COMPUTED_VALUE"""),"FLA")</f>
        <v>FLA</v>
      </c>
      <c r="T163" s="1" t="str">
        <f>IFERROR(__xludf.DUMMYFUNCTION("""COMPUTED_VALUE"""),"JERIC NAVARRO")</f>
        <v>JERIC NAVARRO</v>
      </c>
      <c r="U163" s="1" t="str">
        <f>IFERROR(__xludf.DUMMYFUNCTION("""COMPUTED_VALUE"""),"JB SALIOA")</f>
        <v>JB SALIOA</v>
      </c>
      <c r="V163" s="1" t="str">
        <f>IFERROR(__xludf.DUMMYFUNCTION("""COMPUTED_VALUE"""),"ONLINE/CRANFORD")</f>
        <v>ONLINE/CRANFORD</v>
      </c>
      <c r="W163" s="1" t="str">
        <f>IFERROR(__xludf.DUMMYFUNCTION("""COMPUTED_VALUE"""),"STK REGULAR")</f>
        <v>STK REGULAR</v>
      </c>
      <c r="X163" s="1" t="str">
        <f>IFERROR(__xludf.DUMMYFUNCTION("""COMPUTED_VALUE"""),"HBBS AUG 2026")</f>
        <v>HBBS AUG 2026</v>
      </c>
      <c r="Y163" s="1" t="str">
        <f>IFERROR(__xludf.DUMMYFUNCTION("""COMPUTED_VALUE"""),"RS_ONL_CVEU_2026")</f>
        <v>RS_ONL_CVEU_2026</v>
      </c>
      <c r="Z163" s="1" t="str">
        <f>IFERROR(__xludf.DUMMYFUNCTION("""COMPUTED_VALUE"""),"NEW CONNECT")</f>
        <v>NEW CONNECT</v>
      </c>
      <c r="AA163" s="1">
        <f>IFERROR(__xludf.DUMMYFUNCTION("""COMPUTED_VALUE"""),639218722121)</f>
        <v>639218722121</v>
      </c>
      <c r="AB163" s="1">
        <f>IFERROR(__xludf.DUMMYFUNCTION("""COMPUTED_VALUE"""),639606113910)</f>
        <v>639606113910</v>
      </c>
      <c r="AC163" s="1"/>
      <c r="AD163" s="1" t="str">
        <f>IFERROR(__xludf.DUMMYFUNCTION("""COMPUTED_VALUE"""),"TANDUBAS")</f>
        <v>TANDUBAS</v>
      </c>
      <c r="AE163" s="1" t="str">
        <f>IFERROR(__xludf.DUMMYFUNCTION("""COMPUTED_VALUE"""),"TERRAVERDE RESIDENCES PH5")</f>
        <v>TERRAVERDE RESIDENCES PH5</v>
      </c>
      <c r="AF163" s="1" t="str">
        <f>IFERROR(__xludf.DUMMYFUNCTION("""COMPUTED_VALUE"""),"BGY BANCAL")</f>
        <v>BGY BANCAL</v>
      </c>
      <c r="AG163" s="1" t="str">
        <f>IFERROR(__xludf.DUMMYFUNCTION("""COMPUTED_VALUE"""),"CARMONA")</f>
        <v>CARMONA</v>
      </c>
      <c r="AH163" s="1" t="str">
        <f>IFERROR(__xludf.DUMMYFUNCTION("""COMPUTED_VALUE"""),"MCDONALDS ULONG TUBIG // DALI GROCERY STORE")</f>
        <v>MCDONALDS ULONG TUBIG // DALI GROCERY STORE</v>
      </c>
      <c r="AI163" s="1" t="str">
        <f>IFERROR(__xludf.DUMMYFUNCTION("""COMPUTED_VALUE"""),"CLUSTER 11")</f>
        <v>CLUSTER 11</v>
      </c>
    </row>
    <row r="164" customHeight="1" spans="1:35">
      <c r="A164" s="3">
        <f>IFERROR(__xludf.DUMMYFUNCTION("""COMPUTED_VALUE"""),46250)</f>
        <v>46250</v>
      </c>
      <c r="B164" s="1" t="str">
        <f>IFERROR(__xludf.DUMMYFUNCTION("""COMPUTED_VALUE"""),"RENIE ROSE POLIQUIT CAPARANGA")</f>
        <v>RENIE ROSE POLIQUIT CAPARANGA</v>
      </c>
      <c r="C164" s="1">
        <f>IFERROR(__xludf.DUMMYFUNCTION("""COMPUTED_VALUE"""),2311839236)</f>
        <v>2311839236</v>
      </c>
      <c r="D164" s="1"/>
      <c r="E164" s="1"/>
      <c r="F164" s="1" t="str">
        <f>IFERROR(__xludf.DUMMYFUNCTION("""COMPUTED_VALUE"""),"CANCELLED")</f>
        <v>CANCELLED</v>
      </c>
      <c r="G164" s="1" t="str">
        <f>IFERROR(__xludf.DUMMYFUNCTION("""COMPUTED_VALUE"""),"(WITH BLACKLIST HIT FOR COMPLIANCE) RETURN TO SALES | DONE VALIDATION WITH COMPLETE DOCS | CORRECT ENCODED INFO IN CSP | TU SCORING- GG - 1 (NTC)| WAIVED AMSF | FOUND BLACKLISTED ACCT# (0369938282) SAME NAME/DIFFERENT ADDRESS |WITH OUTSTANDING (Php6,646.2"&amp;"5) FOR SETTLEMENT| FOUND CANCELLED ACCT# (0363533183) SAME NAME/DIFFERENT ADDRESS | SCANNABLE NATIONAL ID")</f>
        <v>(WITH BLACKLIST HIT FOR COMPLIANCE) RETURN TO SALES | DONE VALIDATION WITH COMPLETE DOCS | CORRECT ENCODED INFO IN CSP | TU SCORING- GG - 1 (NTC)| WAIVED AMSF | FOUND BLACKLISTED ACCT# (0369938282) SAME NAME/DIFFERENT ADDRESS |WITH OUTSTANDING (Php6,646.25) FOR SETTLEMENT| FOUND CANCELLED ACCT# (0363533183) SAME NAME/DIFFERENT ADDRESS | SCANNABLE NATIONAL ID</v>
      </c>
      <c r="H164" s="1"/>
      <c r="I164" s="1"/>
      <c r="J164" s="1"/>
      <c r="K164" s="1"/>
      <c r="L164" s="1" t="str">
        <f>IFERROR(__xludf.DUMMYFUNCTION("""COMPUTED_VALUE"""),"CANCELLED - WITH OB")</f>
        <v>CANCELLED - WITH OB</v>
      </c>
      <c r="M164" s="1" t="str">
        <f>IFERROR(__xludf.DUMMYFUNCTION("""COMPUTED_VALUE"""),"CANCELLED - WITH OB")</f>
        <v>CANCELLED - WITH OB</v>
      </c>
      <c r="N164" s="3"/>
      <c r="O164" s="1" t="str">
        <f>IFERROR(__xludf.DUMMYFUNCTION("""COMPUTED_VALUE"""),"FIBR UNLI ALL PLAN 999")</f>
        <v>FIBR UNLI ALL PLAN 999</v>
      </c>
      <c r="P164" s="1" t="str">
        <f>IFERROR(__xludf.DUMMYFUNCTION("""COMPUTED_VALUE"""),"LOWPLAN")</f>
        <v>LOWPLAN</v>
      </c>
      <c r="Q164" s="1" t="str">
        <f>IFERROR(__xludf.DUMMYFUNCTION("""COMPUTED_VALUE"""),"P407050")</f>
        <v>P407050</v>
      </c>
      <c r="R164" s="1" t="str">
        <f>IFERROR(__xludf.DUMMYFUNCTION("""COMPUTED_VALUE"""),"ARENA, LYKA")</f>
        <v>ARENA, LYKA</v>
      </c>
      <c r="S164" s="1" t="str">
        <f>IFERROR(__xludf.DUMMYFUNCTION("""COMPUTED_VALUE"""),"ORGANIC")</f>
        <v>ORGANIC</v>
      </c>
      <c r="T164" s="1" t="str">
        <f>IFERROR(__xludf.DUMMYFUNCTION("""COMPUTED_VALUE"""),"LEA REMOLLO")</f>
        <v>LEA REMOLLO</v>
      </c>
      <c r="U164" s="1" t="str">
        <f>IFERROR(__xludf.DUMMYFUNCTION("""COMPUTED_VALUE"""),"JB SALIOA")</f>
        <v>JB SALIOA</v>
      </c>
      <c r="V164" s="1" t="str">
        <f>IFERROR(__xludf.DUMMYFUNCTION("""COMPUTED_VALUE"""),"BK HSTK")</f>
        <v>BK HSTK</v>
      </c>
      <c r="W164" s="1" t="str">
        <f>IFERROR(__xludf.DUMMYFUNCTION("""COMPUTED_VALUE"""),"BK HSTK")</f>
        <v>BK HSTK</v>
      </c>
      <c r="X164" s="1" t="str">
        <f>IFERROR(__xludf.DUMMYFUNCTION("""COMPUTED_VALUE"""),"HBBS AUG 2026")</f>
        <v>HBBS AUG 2026</v>
      </c>
      <c r="Y164" s="1" t="str">
        <f>IFERROR(__xludf.DUMMYFUNCTION("""COMPUTED_VALUE"""),"BK_CVEU_260804")</f>
        <v>BK_CVEU_260804</v>
      </c>
      <c r="Z164" s="1" t="str">
        <f>IFERROR(__xludf.DUMMYFUNCTION("""COMPUTED_VALUE"""),"NEW CONNECT")</f>
        <v>NEW CONNECT</v>
      </c>
      <c r="AA164" s="1">
        <f>IFERROR(__xludf.DUMMYFUNCTION("""COMPUTED_VALUE"""),639919380686)</f>
        <v>639919380686</v>
      </c>
      <c r="AB164" s="1"/>
      <c r="AC164" s="1"/>
      <c r="AD164" s="1" t="str">
        <f>IFERROR(__xludf.DUMMYFUNCTION("""COMPUTED_VALUE"""),"VERA CRUZ HOMES")</f>
        <v>VERA CRUZ HOMES</v>
      </c>
      <c r="AE164" s="1" t="str">
        <f>IFERROR(__xludf.DUMMYFUNCTION("""COMPUTED_VALUE"""),"VERA CRUZ HOMES")</f>
        <v>VERA CRUZ HOMES</v>
      </c>
      <c r="AF164" s="1" t="str">
        <f>IFERROR(__xludf.DUMMYFUNCTION("""COMPUTED_VALUE"""),"BGY RAMON CRUZ")</f>
        <v>BGY RAMON CRUZ</v>
      </c>
      <c r="AG164" s="1" t="str">
        <f>IFERROR(__xludf.DUMMYFUNCTION("""COMPUTED_VALUE"""),"GEN MARIANO ALVAREZ")</f>
        <v>GEN MARIANO ALVAREZ</v>
      </c>
      <c r="AH164" s="1" t="str">
        <f>IFERROR(__xludf.DUMMYFUNCTION("""COMPUTED_VALUE"""),"-")</f>
        <v>-</v>
      </c>
      <c r="AI164" s="1" t="str">
        <f>IFERROR(__xludf.DUMMYFUNCTION("""COMPUTED_VALUE"""),"CLUSTER 11")</f>
        <v>CLUSTER 11</v>
      </c>
    </row>
    <row r="165" customHeight="1" spans="1:35">
      <c r="A165" s="3">
        <f>IFERROR(__xludf.DUMMYFUNCTION("""COMPUTED_VALUE"""),46250)</f>
        <v>46250</v>
      </c>
      <c r="B165" s="1" t="str">
        <f>IFERROR(__xludf.DUMMYFUNCTION("""COMPUTED_VALUE"""),"RENIE ROSE POLIQUIT CAPARANGA")</f>
        <v>RENIE ROSE POLIQUIT CAPARANGA</v>
      </c>
      <c r="C165" s="1">
        <f>IFERROR(__xludf.DUMMYFUNCTION("""COMPUTED_VALUE"""),2311839016)</f>
        <v>2311839016</v>
      </c>
      <c r="D165" s="1"/>
      <c r="E165" s="1"/>
      <c r="F165" s="1" t="str">
        <f>IFERROR(__xludf.DUMMYFUNCTION("""COMPUTED_VALUE"""),"CANCELLED")</f>
        <v>CANCELLED</v>
      </c>
      <c r="G165" s="1" t="str">
        <f>IFERROR(__xludf.DUMMYFUNCTION("""COMPUTED_VALUE"""),"CANCELLED")</f>
        <v>CANCELLED</v>
      </c>
      <c r="H165" s="1"/>
      <c r="I165" s="1"/>
      <c r="J165" s="1"/>
      <c r="K165" s="1"/>
      <c r="L165" s="1" t="str">
        <f>IFERROR(__xludf.DUMMYFUNCTION("""COMPUTED_VALUE"""),"CANCELLED - WITH OB")</f>
        <v>CANCELLED - WITH OB</v>
      </c>
      <c r="M165" s="1" t="str">
        <f>IFERROR(__xludf.DUMMYFUNCTION("""COMPUTED_VALUE"""),"CANCELLED - WITH OB")</f>
        <v>CANCELLED - WITH OB</v>
      </c>
      <c r="N165" s="3"/>
      <c r="O165" s="1" t="str">
        <f>IFERROR(__xludf.DUMMYFUNCTION("""COMPUTED_VALUE"""),"FIBR UNLI ALL PLAN 999")</f>
        <v>FIBR UNLI ALL PLAN 999</v>
      </c>
      <c r="P165" s="1" t="str">
        <f>IFERROR(__xludf.DUMMYFUNCTION("""COMPUTED_VALUE"""),"LOWPLAN")</f>
        <v>LOWPLAN</v>
      </c>
      <c r="Q165" s="1" t="str">
        <f>IFERROR(__xludf.DUMMYFUNCTION("""COMPUTED_VALUE"""),"P407050")</f>
        <v>P407050</v>
      </c>
      <c r="R165" s="1" t="str">
        <f>IFERROR(__xludf.DUMMYFUNCTION("""COMPUTED_VALUE"""),"ARENA, LYKA")</f>
        <v>ARENA, LYKA</v>
      </c>
      <c r="S165" s="1" t="str">
        <f>IFERROR(__xludf.DUMMYFUNCTION("""COMPUTED_VALUE"""),"ORGANIC")</f>
        <v>ORGANIC</v>
      </c>
      <c r="T165" s="1" t="str">
        <f>IFERROR(__xludf.DUMMYFUNCTION("""COMPUTED_VALUE"""),"LEA REMOLLO")</f>
        <v>LEA REMOLLO</v>
      </c>
      <c r="U165" s="1" t="str">
        <f>IFERROR(__xludf.DUMMYFUNCTION("""COMPUTED_VALUE"""),"JB SALIOA")</f>
        <v>JB SALIOA</v>
      </c>
      <c r="V165" s="1" t="str">
        <f>IFERROR(__xludf.DUMMYFUNCTION("""COMPUTED_VALUE"""),"BK HSTK")</f>
        <v>BK HSTK</v>
      </c>
      <c r="W165" s="1" t="str">
        <f>IFERROR(__xludf.DUMMYFUNCTION("""COMPUTED_VALUE"""),"BK HSTK")</f>
        <v>BK HSTK</v>
      </c>
      <c r="X165" s="1" t="str">
        <f>IFERROR(__xludf.DUMMYFUNCTION("""COMPUTED_VALUE"""),"HBBS AUG 2026")</f>
        <v>HBBS AUG 2026</v>
      </c>
      <c r="Y165" s="1" t="str">
        <f>IFERROR(__xludf.DUMMYFUNCTION("""COMPUTED_VALUE"""),"BK_CVEU_260804")</f>
        <v>BK_CVEU_260804</v>
      </c>
      <c r="Z165" s="1" t="str">
        <f>IFERROR(__xludf.DUMMYFUNCTION("""COMPUTED_VALUE"""),"NEW CONNECT")</f>
        <v>NEW CONNECT</v>
      </c>
      <c r="AA165" s="1">
        <f>IFERROR(__xludf.DUMMYFUNCTION("""COMPUTED_VALUE"""),639919380686)</f>
        <v>639919380686</v>
      </c>
      <c r="AB165" s="1"/>
      <c r="AC165" s="1"/>
      <c r="AD165" s="1" t="str">
        <f>IFERROR(__xludf.DUMMYFUNCTION("""COMPUTED_VALUE"""),"VERA CRUZ HOMES")</f>
        <v>VERA CRUZ HOMES</v>
      </c>
      <c r="AE165" s="1" t="str">
        <f>IFERROR(__xludf.DUMMYFUNCTION("""COMPUTED_VALUE"""),"VERA CRUZ HOMES")</f>
        <v>VERA CRUZ HOMES</v>
      </c>
      <c r="AF165" s="1" t="str">
        <f>IFERROR(__xludf.DUMMYFUNCTION("""COMPUTED_VALUE"""),"BGY RAMON CRUZ")</f>
        <v>BGY RAMON CRUZ</v>
      </c>
      <c r="AG165" s="1" t="str">
        <f>IFERROR(__xludf.DUMMYFUNCTION("""COMPUTED_VALUE"""),"GEN MARIANO ALVAREZ")</f>
        <v>GEN MARIANO ALVAREZ</v>
      </c>
      <c r="AH165" s="1" t="str">
        <f>IFERROR(__xludf.DUMMYFUNCTION("""COMPUTED_VALUE"""),"-")</f>
        <v>-</v>
      </c>
      <c r="AI165" s="1" t="str">
        <f>IFERROR(__xludf.DUMMYFUNCTION("""COMPUTED_VALUE"""),"CLUSTER 11")</f>
        <v>CLUSTER 11</v>
      </c>
    </row>
    <row r="166" customHeight="1" spans="1:35">
      <c r="A166" s="3">
        <f>IFERROR(__xludf.DUMMYFUNCTION("""COMPUTED_VALUE"""),46250)</f>
        <v>46250</v>
      </c>
      <c r="B166" s="1" t="str">
        <f>IFERROR(__xludf.DUMMYFUNCTION("""COMPUTED_VALUE"""),"JUSFER DELOS SANTOS BUENAVENTURA")</f>
        <v>JUSFER DELOS SANTOS BUENAVENTURA</v>
      </c>
      <c r="C166" s="1">
        <f>IFERROR(__xludf.DUMMYFUNCTION("""COMPUTED_VALUE"""),2311840740)</f>
        <v>2311840740</v>
      </c>
      <c r="D166" s="1"/>
      <c r="E166" s="1"/>
      <c r="F166" s="1" t="str">
        <f>IFERROR(__xludf.DUMMYFUNCTION("""COMPUTED_VALUE"""),"CANCELLED")</f>
        <v>CANCELLED</v>
      </c>
      <c r="G166" s="1" t="str">
        <f>IFERROR(__xludf.DUMMYFUNCTION("""COMPUTED_VALUE"""),"(DUPLICATE APPLICATION) CC - SEGMENT 12 - LOW RISK")</f>
        <v>(DUPLICATE APPLICATION) CC - SEGMENT 12 - LOW RISK</v>
      </c>
      <c r="H166" s="1"/>
      <c r="I166" s="1"/>
      <c r="J166" s="1"/>
      <c r="K166" s="1"/>
      <c r="L166" s="1" t="str">
        <f>IFERROR(__xludf.DUMMYFUNCTION("""COMPUTED_VALUE"""),"CANCELLED - DUPLICATE APPLICATION")</f>
        <v>CANCELLED - DUPLICATE APPLICATION</v>
      </c>
      <c r="M166" s="1" t="str">
        <f>IFERROR(__xludf.DUMMYFUNCTION("""COMPUTED_VALUE"""),"CANCELLED - DUPLICATE APP")</f>
        <v>CANCELLED - DUPLICATE APP</v>
      </c>
      <c r="N166" s="3"/>
      <c r="O166" s="1" t="str">
        <f>IFERROR(__xludf.DUMMYFUNCTION("""COMPUTED_VALUE"""),"FIBR PLAN 1699")</f>
        <v>FIBR PLAN 1699</v>
      </c>
      <c r="P166" s="1" t="str">
        <f>IFERROR(__xludf.DUMMYFUNCTION("""COMPUTED_VALUE"""),"HIGHPLAN")</f>
        <v>HIGHPLAN</v>
      </c>
      <c r="Q166" s="1" t="str">
        <f>IFERROR(__xludf.DUMMYFUNCTION("""COMPUTED_VALUE"""),"P407047")</f>
        <v>P407047</v>
      </c>
      <c r="R166" s="1" t="str">
        <f>IFERROR(__xludf.DUMMYFUNCTION("""COMPUTED_VALUE"""),"FRANCISCO, ROSELYN")</f>
        <v>FRANCISCO, ROSELYN</v>
      </c>
      <c r="S166" s="1" t="str">
        <f>IFERROR(__xludf.DUMMYFUNCTION("""COMPUTED_VALUE"""),"ORGANIC")</f>
        <v>ORGANIC</v>
      </c>
      <c r="T166" s="1" t="str">
        <f>IFERROR(__xludf.DUMMYFUNCTION("""COMPUTED_VALUE"""),"LEA REMOLLO")</f>
        <v>LEA REMOLLO</v>
      </c>
      <c r="U166" s="1" t="str">
        <f>IFERROR(__xludf.DUMMYFUNCTION("""COMPUTED_VALUE"""),"JB SALIOA")</f>
        <v>JB SALIOA</v>
      </c>
      <c r="V166" s="1" t="str">
        <f>IFERROR(__xludf.DUMMYFUNCTION("""COMPUTED_VALUE"""),"ONLINE/CRANFORD")</f>
        <v>ONLINE/CRANFORD</v>
      </c>
      <c r="W166" s="1" t="str">
        <f>IFERROR(__xludf.DUMMYFUNCTION("""COMPUTED_VALUE"""),"STK REGULAR")</f>
        <v>STK REGULAR</v>
      </c>
      <c r="X166" s="1" t="str">
        <f>IFERROR(__xludf.DUMMYFUNCTION("""COMPUTED_VALUE"""),"HBBS AUG 2026")</f>
        <v>HBBS AUG 2026</v>
      </c>
      <c r="Y166" s="1" t="str">
        <f>IFERROR(__xludf.DUMMYFUNCTION("""COMPUTED_VALUE"""),"RS_ONL_CVEU_2026")</f>
        <v>RS_ONL_CVEU_2026</v>
      </c>
      <c r="Z166" s="1" t="str">
        <f>IFERROR(__xludf.DUMMYFUNCTION("""COMPUTED_VALUE"""),"NEW CONNECT")</f>
        <v>NEW CONNECT</v>
      </c>
      <c r="AA166" s="1">
        <f>IFERROR(__xludf.DUMMYFUNCTION("""COMPUTED_VALUE"""),639552883434)</f>
        <v>639552883434</v>
      </c>
      <c r="AB166" s="1"/>
      <c r="AC166" s="1"/>
      <c r="AD166" s="1" t="str">
        <f>IFERROR(__xludf.DUMMYFUNCTION("""COMPUTED_VALUE"""),"CREMONA")</f>
        <v>CREMONA</v>
      </c>
      <c r="AE166" s="1" t="str">
        <f>IFERROR(__xludf.DUMMYFUNCTION("""COMPUTED_VALUE"""),"BELLA VISTA CLUSTER 5")</f>
        <v>BELLA VISTA CLUSTER 5</v>
      </c>
      <c r="AF166" s="1" t="str">
        <f>IFERROR(__xludf.DUMMYFUNCTION("""COMPUTED_VALUE"""),"BGY SANTIAGO")</f>
        <v>BGY SANTIAGO</v>
      </c>
      <c r="AG166" s="1" t="str">
        <f>IFERROR(__xludf.DUMMYFUNCTION("""COMPUTED_VALUE"""),"GENERAL TRIAS")</f>
        <v>GENERAL TRIAS</v>
      </c>
      <c r="AH166" s="1" t="str">
        <f>IFERROR(__xludf.DUMMYFUNCTION("""COMPUTED_VALUE"""),"BRILLIANT SCHOLASTIC")</f>
        <v>BRILLIANT SCHOLASTIC</v>
      </c>
      <c r="AI166" s="1" t="str">
        <f>IFERROR(__xludf.DUMMYFUNCTION("""COMPUTED_VALUE"""),"NOT AOR")</f>
        <v>NOT AOR</v>
      </c>
    </row>
    <row r="167" customHeight="1" spans="1:35">
      <c r="A167" s="3">
        <f>IFERROR(__xludf.DUMMYFUNCTION("""COMPUTED_VALUE"""),46251)</f>
        <v>46251</v>
      </c>
      <c r="B167" s="1" t="str">
        <f>IFERROR(__xludf.DUMMYFUNCTION("""COMPUTED_VALUE"""),"CHRISTIAN KYLE YSATAM ANGCAYA")</f>
        <v>CHRISTIAN KYLE YSATAM ANGCAYA</v>
      </c>
      <c r="C167" s="1">
        <f>IFERROR(__xludf.DUMMYFUNCTION("""COMPUTED_VALUE"""),2311852804)</f>
        <v>2311852804</v>
      </c>
      <c r="D167" s="1"/>
      <c r="E167" s="1"/>
      <c r="F167" s="1" t="str">
        <f>IFERROR(__xludf.DUMMYFUNCTION("""COMPUTED_VALUE"""),"REENCODED")</f>
        <v>REENCODED</v>
      </c>
      <c r="G167" s="1" t="str">
        <f>IFERROR(__xludf.DUMMYFUNCTION("""COMPUTED_VALUE"""),"REENCODED")</f>
        <v>REENCODED</v>
      </c>
      <c r="H167" s="1"/>
      <c r="I167" s="1"/>
      <c r="J167" s="1"/>
      <c r="K167" s="1"/>
      <c r="L167" s="1" t="str">
        <f>IFERROR(__xludf.DUMMYFUNCTION("""COMPUTED_VALUE"""),"REENCODED")</f>
        <v>REENCODED</v>
      </c>
      <c r="M167" s="1" t="str">
        <f>IFERROR(__xludf.DUMMYFUNCTION("""COMPUTED_VALUE"""),"REENCODED")</f>
        <v>REENCODED</v>
      </c>
      <c r="N167" s="3"/>
      <c r="O167" s="1" t="str">
        <f>IFERROR(__xludf.DUMMYFUNCTION("""COMPUTED_VALUE"""),"FIBR PLAN 1299")</f>
        <v>FIBR PLAN 1299</v>
      </c>
      <c r="P167" s="1" t="str">
        <f>IFERROR(__xludf.DUMMYFUNCTION("""COMPUTED_VALUE"""),"LOWPLAN")</f>
        <v>LOWPLAN</v>
      </c>
      <c r="Q167" s="1" t="str">
        <f>IFERROR(__xludf.DUMMYFUNCTION("""COMPUTED_VALUE"""),"P407047")</f>
        <v>P407047</v>
      </c>
      <c r="R167" s="1" t="str">
        <f>IFERROR(__xludf.DUMMYFUNCTION("""COMPUTED_VALUE"""),"FRANCISCO, ROSELYN")</f>
        <v>FRANCISCO, ROSELYN</v>
      </c>
      <c r="S167" s="1" t="str">
        <f>IFERROR(__xludf.DUMMYFUNCTION("""COMPUTED_VALUE"""),"ORGANIC")</f>
        <v>ORGANIC</v>
      </c>
      <c r="T167" s="1" t="str">
        <f>IFERROR(__xludf.DUMMYFUNCTION("""COMPUTED_VALUE"""),"LEA REMOLLO")</f>
        <v>LEA REMOLLO</v>
      </c>
      <c r="U167" s="1" t="str">
        <f>IFERROR(__xludf.DUMMYFUNCTION("""COMPUTED_VALUE"""),"JB SALIOA")</f>
        <v>JB SALIOA</v>
      </c>
      <c r="V167" s="1" t="str">
        <f>IFERROR(__xludf.DUMMYFUNCTION("""COMPUTED_VALUE"""),"ONLINE/CRANFORD")</f>
        <v>ONLINE/CRANFORD</v>
      </c>
      <c r="W167" s="1" t="str">
        <f>IFERROR(__xludf.DUMMYFUNCTION("""COMPUTED_VALUE"""),"STK REGULAR")</f>
        <v>STK REGULAR</v>
      </c>
      <c r="X167" s="1" t="str">
        <f>IFERROR(__xludf.DUMMYFUNCTION("""COMPUTED_VALUE"""),"HBBS AUG 2026")</f>
        <v>HBBS AUG 2026</v>
      </c>
      <c r="Y167" s="1" t="str">
        <f>IFERROR(__xludf.DUMMYFUNCTION("""COMPUTED_VALUE"""),"RS_ONL_CVEU_2026")</f>
        <v>RS_ONL_CVEU_2026</v>
      </c>
      <c r="Z167" s="1" t="str">
        <f>IFERROR(__xludf.DUMMYFUNCTION("""COMPUTED_VALUE"""),"NEW CONNECT")</f>
        <v>NEW CONNECT</v>
      </c>
      <c r="AA167" s="1">
        <f>IFERROR(__xludf.DUMMYFUNCTION("""COMPUTED_VALUE"""),639566320409)</f>
        <v>639566320409</v>
      </c>
      <c r="AB167" s="1"/>
      <c r="AC167" s="1"/>
      <c r="AD167" s="1" t="str">
        <f>IFERROR(__xludf.DUMMYFUNCTION("""COMPUTED_VALUE"""),"BAHAY PANGARAP")</f>
        <v>BAHAY PANGARAP</v>
      </c>
      <c r="AE167" s="1" t="str">
        <f>IFERROR(__xludf.DUMMYFUNCTION("""COMPUTED_VALUE"""),"BAHAY PANGARAP SUBDIVISION")</f>
        <v>BAHAY PANGARAP SUBDIVISION</v>
      </c>
      <c r="AF167" s="1" t="str">
        <f>IFERROR(__xludf.DUMMYFUNCTION("""COMPUTED_VALUE"""),"BGY SAMPALOC 4")</f>
        <v>BGY SAMPALOC 4</v>
      </c>
      <c r="AG167" s="1" t="str">
        <f>IFERROR(__xludf.DUMMYFUNCTION("""COMPUTED_VALUE"""),"DASMARINAS")</f>
        <v>DASMARINAS</v>
      </c>
      <c r="AH167" s="1" t="str">
        <f>IFERROR(__xludf.DUMMYFUNCTION("""COMPUTED_VALUE"""),"BAHAY PANGARAP OPEN COURT")</f>
        <v>BAHAY PANGARAP OPEN COURT</v>
      </c>
      <c r="AI167" s="1" t="str">
        <f>IFERROR(__xludf.DUMMYFUNCTION("""COMPUTED_VALUE"""),"NOT AOR")</f>
        <v>NOT AOR</v>
      </c>
    </row>
    <row r="168" customHeight="1" spans="1:35">
      <c r="A168" s="3">
        <f>IFERROR(__xludf.DUMMYFUNCTION("""COMPUTED_VALUE"""),46251)</f>
        <v>46251</v>
      </c>
      <c r="B168" s="1" t="str">
        <f>IFERROR(__xludf.DUMMYFUNCTION("""COMPUTED_VALUE"""),"CHRISTIAN KYLE YSATAM ANGCAYA")</f>
        <v>CHRISTIAN KYLE YSATAM ANGCAYA</v>
      </c>
      <c r="C168" s="1">
        <f>IFERROR(__xludf.DUMMYFUNCTION("""COMPUTED_VALUE"""),2311853409)</f>
        <v>2311853409</v>
      </c>
      <c r="D168" s="1">
        <f>IFERROR(__xludf.DUMMYFUNCTION("""COMPUTED_VALUE"""),406935418)</f>
        <v>406935418</v>
      </c>
      <c r="E168" s="1">
        <f>IFERROR(__xludf.DUMMYFUNCTION("""COMPUTED_VALUE"""),466845838004)</f>
        <v>466845838004</v>
      </c>
      <c r="F168" s="1" t="str">
        <f>IFERROR(__xludf.DUMMYFUNCTION("""COMPUTED_VALUE"""),"CLOSED")</f>
        <v>CLOSED</v>
      </c>
      <c r="G168" s="1" t="str">
        <f>IFERROR(__xludf.DUMMYFUNCTION("""COMPUTED_VALUE"""),"CLOSED")</f>
        <v>CLOSED</v>
      </c>
      <c r="H168" s="1" t="str">
        <f>IFERROR(__xludf.DUMMYFUNCTION("""COMPUTED_VALUE"""),"PQGOR361265518	18-Aug-26	Regular Payment	CIS-GCASH 3.0	1,299.00	0	18-Aug-26")</f>
        <v>PQGOR361265518	18-Aug-26	Regular Payment	CIS-GCASH 3.0	1,299.00	0	18-Aug-26</v>
      </c>
      <c r="I168" s="1" t="str">
        <f>IFERROR(__xludf.DUMMYFUNCTION("""COMPUTED_VALUE"""),"WITH 1 AMSF")</f>
        <v>WITH 1 AMSF</v>
      </c>
      <c r="J168" s="1"/>
      <c r="K168" s="1" t="str">
        <f>IFERROR(__xludf.DUMMYFUNCTION("""COMPUTED_VALUE"""),"COMPLETED")</f>
        <v>COMPLETED</v>
      </c>
      <c r="L168" s="1" t="str">
        <f>IFERROR(__xludf.DUMMYFUNCTION("""COMPUTED_VALUE"""),"POSTED")</f>
        <v>POSTED</v>
      </c>
      <c r="M168" s="1" t="str">
        <f>IFERROR(__xludf.DUMMYFUNCTION("""COMPUTED_VALUE"""),"POSTED")</f>
        <v>POSTED</v>
      </c>
      <c r="N168" s="3">
        <f>IFERROR(__xludf.DUMMYFUNCTION("""COMPUTED_VALUE"""),46252)</f>
        <v>46252</v>
      </c>
      <c r="O168" s="1" t="str">
        <f>IFERROR(__xludf.DUMMYFUNCTION("""COMPUTED_VALUE"""),"FIBR PLAN 1299")</f>
        <v>FIBR PLAN 1299</v>
      </c>
      <c r="P168" s="1" t="str">
        <f>IFERROR(__xludf.DUMMYFUNCTION("""COMPUTED_VALUE"""),"LOWPLAN")</f>
        <v>LOWPLAN</v>
      </c>
      <c r="Q168" s="1" t="str">
        <f>IFERROR(__xludf.DUMMYFUNCTION("""COMPUTED_VALUE"""),"P407047")</f>
        <v>P407047</v>
      </c>
      <c r="R168" s="1" t="str">
        <f>IFERROR(__xludf.DUMMYFUNCTION("""COMPUTED_VALUE"""),"FRANCISCO, ROSELYN")</f>
        <v>FRANCISCO, ROSELYN</v>
      </c>
      <c r="S168" s="1" t="str">
        <f>IFERROR(__xludf.DUMMYFUNCTION("""COMPUTED_VALUE"""),"ORGANIC")</f>
        <v>ORGANIC</v>
      </c>
      <c r="T168" s="1" t="str">
        <f>IFERROR(__xludf.DUMMYFUNCTION("""COMPUTED_VALUE"""),"LEA REMOLLO")</f>
        <v>LEA REMOLLO</v>
      </c>
      <c r="U168" s="1" t="str">
        <f>IFERROR(__xludf.DUMMYFUNCTION("""COMPUTED_VALUE"""),"JB SALIOA")</f>
        <v>JB SALIOA</v>
      </c>
      <c r="V168" s="1" t="str">
        <f>IFERROR(__xludf.DUMMYFUNCTION("""COMPUTED_VALUE"""),"ONLINE/CRANFORD")</f>
        <v>ONLINE/CRANFORD</v>
      </c>
      <c r="W168" s="1" t="str">
        <f>IFERROR(__xludf.DUMMYFUNCTION("""COMPUTED_VALUE"""),"STK REGULAR")</f>
        <v>STK REGULAR</v>
      </c>
      <c r="X168" s="1" t="str">
        <f>IFERROR(__xludf.DUMMYFUNCTION("""COMPUTED_VALUE"""),"HBBS AUG 2026")</f>
        <v>HBBS AUG 2026</v>
      </c>
      <c r="Y168" s="1" t="str">
        <f>IFERROR(__xludf.DUMMYFUNCTION("""COMPUTED_VALUE"""),"RS_ONL_CVEU_2026")</f>
        <v>RS_ONL_CVEU_2026</v>
      </c>
      <c r="Z168" s="1" t="str">
        <f>IFERROR(__xludf.DUMMYFUNCTION("""COMPUTED_VALUE"""),"NEW CONNECT")</f>
        <v>NEW CONNECT</v>
      </c>
      <c r="AA168" s="1">
        <f>IFERROR(__xludf.DUMMYFUNCTION("""COMPUTED_VALUE"""),639566320409)</f>
        <v>639566320409</v>
      </c>
      <c r="AB168" s="1">
        <f>IFERROR(__xludf.DUMMYFUNCTION("""COMPUTED_VALUE"""),639624679902)</f>
        <v>639624679902</v>
      </c>
      <c r="AC168" s="1"/>
      <c r="AD168" s="1" t="str">
        <f>IFERROR(__xludf.DUMMYFUNCTION("""COMPUTED_VALUE"""),"BAHAY PANGARAP")</f>
        <v>BAHAY PANGARAP</v>
      </c>
      <c r="AE168" s="1" t="str">
        <f>IFERROR(__xludf.DUMMYFUNCTION("""COMPUTED_VALUE"""),"BAHAY PANGARAP SUBD")</f>
        <v>BAHAY PANGARAP SUBD</v>
      </c>
      <c r="AF168" s="1" t="str">
        <f>IFERROR(__xludf.DUMMYFUNCTION("""COMPUTED_VALUE"""),"BGY SAMPALOC 4")</f>
        <v>BGY SAMPALOC 4</v>
      </c>
      <c r="AG168" s="1" t="str">
        <f>IFERROR(__xludf.DUMMYFUNCTION("""COMPUTED_VALUE"""),"DASMARINAS")</f>
        <v>DASMARINAS</v>
      </c>
      <c r="AH168" s="1" t="str">
        <f>IFERROR(__xludf.DUMMYFUNCTION("""COMPUTED_VALUE"""),"OPEN COURT")</f>
        <v>OPEN COURT</v>
      </c>
      <c r="AI168" s="1" t="str">
        <f>IFERROR(__xludf.DUMMYFUNCTION("""COMPUTED_VALUE"""),"NOT AOR")</f>
        <v>NOT AOR</v>
      </c>
    </row>
    <row r="169" customHeight="1" spans="1:35">
      <c r="A169" s="3">
        <f>IFERROR(__xludf.DUMMYFUNCTION("""COMPUTED_VALUE"""),46251)</f>
        <v>46251</v>
      </c>
      <c r="B169" s="1" t="str">
        <f>IFERROR(__xludf.DUMMYFUNCTION("""COMPUTED_VALUE"""),"RYAN TEANO TAMBOONG")</f>
        <v>RYAN TEANO TAMBOONG</v>
      </c>
      <c r="C169" s="1">
        <f>IFERROR(__xludf.DUMMYFUNCTION("""COMPUTED_VALUE"""),2311858648)</f>
        <v>2311858648</v>
      </c>
      <c r="D169" s="1">
        <f>IFERROR(__xludf.DUMMYFUNCTION("""COMPUTED_VALUE"""),406936465)</f>
        <v>406936465</v>
      </c>
      <c r="E169" s="1">
        <f>IFERROR(__xludf.DUMMYFUNCTION("""COMPUTED_VALUE"""),466846167004)</f>
        <v>466846167004</v>
      </c>
      <c r="F169" s="1" t="str">
        <f>IFERROR(__xludf.DUMMYFUNCTION("""COMPUTED_VALUE"""),"CLOSED")</f>
        <v>CLOSED</v>
      </c>
      <c r="G169" s="1" t="str">
        <f>IFERROR(__xludf.DUMMYFUNCTION("""COMPUTED_VALUE"""),"CLOSED")</f>
        <v>CLOSED</v>
      </c>
      <c r="H169" s="1" t="str">
        <f>IFERROR(__xludf.DUMMYFUNCTION("""COMPUTED_VALUE"""),"PQGOR364189788	16-Sep-26	Regular Payment	CIS-GCASH 3.0	1,382.81	0	16-Sep-26")</f>
        <v>PQGOR364189788	16-Sep-26	Regular Payment	CIS-GCASH 3.0	1,382.81	0	16-Sep-26</v>
      </c>
      <c r="I169" s="1" t="str">
        <f>IFERROR(__xludf.DUMMYFUNCTION("""COMPUTED_VALUE"""),"WITH 1 AMSF")</f>
        <v>WITH 1 AMSF</v>
      </c>
      <c r="J169" s="1"/>
      <c r="K169" s="1" t="str">
        <f>IFERROR(__xludf.DUMMYFUNCTION("""COMPUTED_VALUE"""),"COMPLETED")</f>
        <v>COMPLETED</v>
      </c>
      <c r="L169" s="1" t="str">
        <f>IFERROR(__xludf.DUMMYFUNCTION("""COMPUTED_VALUE"""),"POSTED")</f>
        <v>POSTED</v>
      </c>
      <c r="M169" s="1" t="str">
        <f>IFERROR(__xludf.DUMMYFUNCTION("""COMPUTED_VALUE"""),"POSTED")</f>
        <v>POSTED</v>
      </c>
      <c r="N169" s="3">
        <f>IFERROR(__xludf.DUMMYFUNCTION("""COMPUTED_VALUE"""),46253)</f>
        <v>46253</v>
      </c>
      <c r="O169" s="1" t="str">
        <f>IFERROR(__xludf.DUMMYFUNCTION("""COMPUTED_VALUE"""),"FIBR PLAN 1299")</f>
        <v>FIBR PLAN 1299</v>
      </c>
      <c r="P169" s="1" t="str">
        <f>IFERROR(__xludf.DUMMYFUNCTION("""COMPUTED_VALUE"""),"LOWPLAN")</f>
        <v>LOWPLAN</v>
      </c>
      <c r="Q169" s="1" t="str">
        <f>IFERROR(__xludf.DUMMYFUNCTION("""COMPUTED_VALUE"""),"P407050")</f>
        <v>P407050</v>
      </c>
      <c r="R169" s="1" t="str">
        <f>IFERROR(__xludf.DUMMYFUNCTION("""COMPUTED_VALUE"""),"ALOS, CHARLS LAURENZ")</f>
        <v>ALOS, CHARLS LAURENZ</v>
      </c>
      <c r="S169" s="1" t="str">
        <f>IFERROR(__xludf.DUMMYFUNCTION("""COMPUTED_VALUE"""),"ORGANIC")</f>
        <v>ORGANIC</v>
      </c>
      <c r="T169" s="1" t="str">
        <f>IFERROR(__xludf.DUMMYFUNCTION("""COMPUTED_VALUE"""),"LEA REMOLLO")</f>
        <v>LEA REMOLLO</v>
      </c>
      <c r="U169" s="1" t="str">
        <f>IFERROR(__xludf.DUMMYFUNCTION("""COMPUTED_VALUE"""),"JB SALIOA")</f>
        <v>JB SALIOA</v>
      </c>
      <c r="V169" s="1" t="str">
        <f>IFERROR(__xludf.DUMMYFUNCTION("""COMPUTED_VALUE"""),"BK HSTK")</f>
        <v>BK HSTK</v>
      </c>
      <c r="W169" s="1" t="str">
        <f>IFERROR(__xludf.DUMMYFUNCTION("""COMPUTED_VALUE"""),"BK HSTK")</f>
        <v>BK HSTK</v>
      </c>
      <c r="X169" s="1" t="str">
        <f>IFERROR(__xludf.DUMMYFUNCTION("""COMPUTED_VALUE"""),"HBBS AUG 2026")</f>
        <v>HBBS AUG 2026</v>
      </c>
      <c r="Y169" s="1" t="str">
        <f>IFERROR(__xludf.DUMMYFUNCTION("""COMPUTED_VALUE"""),"BK_CVEU_260801")</f>
        <v>BK_CVEU_260801</v>
      </c>
      <c r="Z169" s="1" t="str">
        <f>IFERROR(__xludf.DUMMYFUNCTION("""COMPUTED_VALUE"""),"NEW CONNECT")</f>
        <v>NEW CONNECT</v>
      </c>
      <c r="AA169" s="1">
        <f>IFERROR(__xludf.DUMMYFUNCTION("""COMPUTED_VALUE"""),639385140791)</f>
        <v>639385140791</v>
      </c>
      <c r="AB169" s="1"/>
      <c r="AC169" s="1"/>
      <c r="AD169" s="1" t="str">
        <f>IFERROR(__xludf.DUMMYFUNCTION("""COMPUTED_VALUE"""),"PUROK 3")</f>
        <v>PUROK 3</v>
      </c>
      <c r="AE169" s="1"/>
      <c r="AF169" s="1" t="str">
        <f>IFERROR(__xludf.DUMMYFUNCTION("""COMPUTED_VALUE"""),"BGY BUCK ESTATE")</f>
        <v>BGY BUCK ESTATE</v>
      </c>
      <c r="AG169" s="1" t="str">
        <f>IFERROR(__xludf.DUMMYFUNCTION("""COMPUTED_VALUE"""),"ALFONSO")</f>
        <v>ALFONSO</v>
      </c>
      <c r="AH169" s="1" t="str">
        <f>IFERROR(__xludf.DUMMYFUNCTION("""COMPUTED_VALUE"""),"-")</f>
        <v>-</v>
      </c>
      <c r="AI169" s="1" t="str">
        <f>IFERROR(__xludf.DUMMYFUNCTION("""COMPUTED_VALUE"""),"CLUSTER 12")</f>
        <v>CLUSTER 12</v>
      </c>
    </row>
    <row r="170" customHeight="1" spans="1:35">
      <c r="A170" s="3">
        <f>IFERROR(__xludf.DUMMYFUNCTION("""COMPUTED_VALUE"""),46251)</f>
        <v>46251</v>
      </c>
      <c r="B170" s="1" t="str">
        <f>IFERROR(__xludf.DUMMYFUNCTION("""COMPUTED_VALUE"""),"CARMELITA MANUEL JOSECO")</f>
        <v>CARMELITA MANUEL JOSECO</v>
      </c>
      <c r="C170" s="1">
        <f>IFERROR(__xludf.DUMMYFUNCTION("""COMPUTED_VALUE"""),2311860999)</f>
        <v>2311860999</v>
      </c>
      <c r="D170" s="1">
        <f>IFERROR(__xludf.DUMMYFUNCTION("""COMPUTED_VALUE"""),406944360)</f>
        <v>406944360</v>
      </c>
      <c r="E170" s="1">
        <f>IFERROR(__xludf.DUMMYFUNCTION("""COMPUTED_VALUE"""),466851674004)</f>
        <v>466851674004</v>
      </c>
      <c r="F170" s="1" t="str">
        <f>IFERROR(__xludf.DUMMYFUNCTION("""COMPUTED_VALUE"""),"CLOSED")</f>
        <v>CLOSED</v>
      </c>
      <c r="G170" s="1" t="str">
        <f>IFERROR(__xludf.DUMMYFUNCTION("""COMPUTED_VALUE"""),"CLOSED")</f>
        <v>CLOSED</v>
      </c>
      <c r="H170" s="1" t="str">
        <f>IFERROR(__xludf.DUMMYFUNCTION("""COMPUTED_VALUE"""),"PQGOR363353794	08-Sep-26	Regular Payment	PLDT Pay Express-Web-App credit	1,742.41	0	08-Sep-26")</f>
        <v>PQGOR363353794	08-Sep-26	Regular Payment	PLDT Pay Express-Web-App credit	1,742.41	0	08-Sep-26</v>
      </c>
      <c r="I170" s="1" t="str">
        <f>IFERROR(__xludf.DUMMYFUNCTION("""COMPUTED_VALUE"""),"WITH 1 AMSF")</f>
        <v>WITH 1 AMSF</v>
      </c>
      <c r="J170" s="1"/>
      <c r="K170" s="1" t="str">
        <f>IFERROR(__xludf.DUMMYFUNCTION("""COMPUTED_VALUE"""),"COMPLETED")</f>
        <v>COMPLETED</v>
      </c>
      <c r="L170" s="1" t="str">
        <f>IFERROR(__xludf.DUMMYFUNCTION("""COMPUTED_VALUE"""),"POSTED")</f>
        <v>POSTED</v>
      </c>
      <c r="M170" s="1" t="str">
        <f>IFERROR(__xludf.DUMMYFUNCTION("""COMPUTED_VALUE"""),"POSTED")</f>
        <v>POSTED</v>
      </c>
      <c r="N170" s="3">
        <f>IFERROR(__xludf.DUMMYFUNCTION("""COMPUTED_VALUE"""),46256)</f>
        <v>46256</v>
      </c>
      <c r="O170" s="1" t="str">
        <f>IFERROR(__xludf.DUMMYFUNCTION("""COMPUTED_VALUE"""),"FIBER UNLI ALL PLAN 1499")</f>
        <v>FIBER UNLI ALL PLAN 1499</v>
      </c>
      <c r="P170" s="1" t="str">
        <f>IFERROR(__xludf.DUMMYFUNCTION("""COMPUTED_VALUE"""),"LOWPLAN")</f>
        <v>LOWPLAN</v>
      </c>
      <c r="Q170" s="1" t="str">
        <f>IFERROR(__xludf.DUMMYFUNCTION("""COMPUTED_VALUE"""),"P407046")</f>
        <v>P407046</v>
      </c>
      <c r="R170" s="1" t="str">
        <f>IFERROR(__xludf.DUMMYFUNCTION("""COMPUTED_VALUE"""),"MALIWAT, MARK")</f>
        <v>MALIWAT, MARK</v>
      </c>
      <c r="S170" s="1" t="str">
        <f>IFERROR(__xludf.DUMMYFUNCTION("""COMPUTED_VALUE"""),"FLA")</f>
        <v>FLA</v>
      </c>
      <c r="T170" s="1" t="str">
        <f>IFERROR(__xludf.DUMMYFUNCTION("""COMPUTED_VALUE"""),"JERIC NAVARRO")</f>
        <v>JERIC NAVARRO</v>
      </c>
      <c r="U170" s="1" t="str">
        <f>IFERROR(__xludf.DUMMYFUNCTION("""COMPUTED_VALUE"""),"JB SALIOA")</f>
        <v>JB SALIOA</v>
      </c>
      <c r="V170" s="1" t="str">
        <f>IFERROR(__xludf.DUMMYFUNCTION("""COMPUTED_VALUE"""),"BK REGULAR")</f>
        <v>BK REGULAR</v>
      </c>
      <c r="W170" s="1" t="str">
        <f>IFERROR(__xludf.DUMMYFUNCTION("""COMPUTED_VALUE"""),"STK REGULAR")</f>
        <v>STK REGULAR</v>
      </c>
      <c r="X170" s="1" t="str">
        <f>IFERROR(__xludf.DUMMYFUNCTION("""COMPUTED_VALUE"""),"HBBS AUG 2026")</f>
        <v>HBBS AUG 2026</v>
      </c>
      <c r="Y170" s="1" t="str">
        <f>IFERROR(__xludf.DUMMYFUNCTION("""COMPUTED_VALUE"""),"BK_CVEU_260801")</f>
        <v>BK_CVEU_260801</v>
      </c>
      <c r="Z170" s="1" t="str">
        <f>IFERROR(__xludf.DUMMYFUNCTION("""COMPUTED_VALUE"""),"NEW CONNECT")</f>
        <v>NEW CONNECT</v>
      </c>
      <c r="AA170" s="1">
        <f>IFERROR(__xludf.DUMMYFUNCTION("""COMPUTED_VALUE"""),639637174706)</f>
        <v>639637174706</v>
      </c>
      <c r="AB170" s="1">
        <f>IFERROR(__xludf.DUMMYFUNCTION("""COMPUTED_VALUE"""),639087861484)</f>
        <v>639087861484</v>
      </c>
      <c r="AC170" s="1">
        <f>IFERROR(__xludf.DUMMYFUNCTION("""COMPUTED_VALUE"""),12)</f>
        <v>12</v>
      </c>
      <c r="AD170" s="1" t="str">
        <f>IFERROR(__xludf.DUMMYFUNCTION("""COMPUTED_VALUE"""),"PUROK 1")</f>
        <v>PUROK 1</v>
      </c>
      <c r="AE170" s="1"/>
      <c r="AF170" s="1" t="str">
        <f>IFERROR(__xludf.DUMMYFUNCTION("""COMPUTED_VALUE"""),"BGY MARAHAN 1")</f>
        <v>BGY MARAHAN 1</v>
      </c>
      <c r="AG170" s="1" t="str">
        <f>IFERROR(__xludf.DUMMYFUNCTION("""COMPUTED_VALUE"""),"ALFONSO")</f>
        <v>ALFONSO</v>
      </c>
      <c r="AH170" s="1" t="str">
        <f>IFERROR(__xludf.DUMMYFUNCTION("""COMPUTED_VALUE"""),"-")</f>
        <v>-</v>
      </c>
      <c r="AI170" s="1" t="str">
        <f>IFERROR(__xludf.DUMMYFUNCTION("""COMPUTED_VALUE"""),"CLUSTER 12")</f>
        <v>CLUSTER 12</v>
      </c>
    </row>
    <row r="171" customHeight="1" spans="1:35">
      <c r="A171" s="3">
        <f>IFERROR(__xludf.DUMMYFUNCTION("""COMPUTED_VALUE"""),46251)</f>
        <v>46251</v>
      </c>
      <c r="B171" s="1" t="str">
        <f>IFERROR(__xludf.DUMMYFUNCTION("""COMPUTED_VALUE"""),"DANICA ANGELA DE LA CRUZ CONSUELO")</f>
        <v>DANICA ANGELA DE LA CRUZ CONSUELO</v>
      </c>
      <c r="C171" s="1">
        <f>IFERROR(__xludf.DUMMYFUNCTION("""COMPUTED_VALUE"""),2311863289)</f>
        <v>2311863289</v>
      </c>
      <c r="D171" s="1">
        <f>IFERROR(__xludf.DUMMYFUNCTION("""COMPUTED_VALUE"""),406960315)</f>
        <v>406960315</v>
      </c>
      <c r="E171" s="1">
        <f>IFERROR(__xludf.DUMMYFUNCTION("""COMPUTED_VALUE"""),466860837004)</f>
        <v>466860837004</v>
      </c>
      <c r="F171" s="1" t="str">
        <f>IFERROR(__xludf.DUMMYFUNCTION("""COMPUTED_VALUE"""),"CANCELLED")</f>
        <v>CANCELLED</v>
      </c>
      <c r="G171" s="1" t="str">
        <f>IFERROR(__xludf.DUMMYFUNCTION("""COMPUTED_VALUE"""),"CANCELLED")</f>
        <v>CANCELLED</v>
      </c>
      <c r="H171" s="1"/>
      <c r="I171" s="1"/>
      <c r="J171" s="1"/>
      <c r="K171" s="1" t="str">
        <f>IFERROR(__xludf.DUMMYFUNCTION("""COMPUTED_VALUE"""),"NOT IN OFSC")</f>
        <v>NOT IN OFSC</v>
      </c>
      <c r="L171" s="1" t="str">
        <f>IFERROR(__xludf.DUMMYFUNCTION("""COMPUTED_VALUE"""),"CANCELLED - AGING")</f>
        <v>CANCELLED - AGING</v>
      </c>
      <c r="M171" s="1" t="str">
        <f>IFERROR(__xludf.DUMMYFUNCTION("""COMPUTED_VALUE"""),"CANCELLED - FOR PAYMENT - AUTO AGING")</f>
        <v>CANCELLED - FOR PAYMENT - AUTO AGING</v>
      </c>
      <c r="N171" s="3"/>
      <c r="O171" s="1" t="str">
        <f>IFERROR(__xludf.DUMMYFUNCTION("""COMPUTED_VALUE"""),"FIBR UNLI ALL PLAN 999")</f>
        <v>FIBR UNLI ALL PLAN 999</v>
      </c>
      <c r="P171" s="1" t="str">
        <f>IFERROR(__xludf.DUMMYFUNCTION("""COMPUTED_VALUE"""),"LOWPLAN")</f>
        <v>LOWPLAN</v>
      </c>
      <c r="Q171" s="1" t="str">
        <f>IFERROR(__xludf.DUMMYFUNCTION("""COMPUTED_VALUE"""),"P407050")</f>
        <v>P407050</v>
      </c>
      <c r="R171" s="1" t="str">
        <f>IFERROR(__xludf.DUMMYFUNCTION("""COMPUTED_VALUE"""),"ESCARCHA, ALMA")</f>
        <v>ESCARCHA, ALMA</v>
      </c>
      <c r="S171" s="1" t="str">
        <f>IFERROR(__xludf.DUMMYFUNCTION("""COMPUTED_VALUE"""),"ORGANIC")</f>
        <v>ORGANIC</v>
      </c>
      <c r="T171" s="1" t="str">
        <f>IFERROR(__xludf.DUMMYFUNCTION("""COMPUTED_VALUE"""),"LEA REMOLLO")</f>
        <v>LEA REMOLLO</v>
      </c>
      <c r="U171" s="1" t="str">
        <f>IFERROR(__xludf.DUMMYFUNCTION("""COMPUTED_VALUE"""),"JB SALIOA")</f>
        <v>JB SALIOA</v>
      </c>
      <c r="V171" s="1" t="str">
        <f>IFERROR(__xludf.DUMMYFUNCTION("""COMPUTED_VALUE"""),"BK REGULAR")</f>
        <v>BK REGULAR</v>
      </c>
      <c r="W171" s="1" t="str">
        <f>IFERROR(__xludf.DUMMYFUNCTION("""COMPUTED_VALUE"""),"STK REGULAR")</f>
        <v>STK REGULAR</v>
      </c>
      <c r="X171" s="1" t="str">
        <f>IFERROR(__xludf.DUMMYFUNCTION("""COMPUTED_VALUE"""),"HBBS AUG 2026")</f>
        <v>HBBS AUG 2026</v>
      </c>
      <c r="Y171" s="1" t="str">
        <f>IFERROR(__xludf.DUMMYFUNCTION("""COMPUTED_VALUE"""),"BK_CVEU_260806")</f>
        <v>BK_CVEU_260806</v>
      </c>
      <c r="Z171" s="1" t="str">
        <f>IFERROR(__xludf.DUMMYFUNCTION("""COMPUTED_VALUE"""),"NEW CONNECT")</f>
        <v>NEW CONNECT</v>
      </c>
      <c r="AA171" s="1">
        <f>IFERROR(__xludf.DUMMYFUNCTION("""COMPUTED_VALUE"""),639517068511)</f>
        <v>639517068511</v>
      </c>
      <c r="AB171" s="1"/>
      <c r="AC171" s="1">
        <f>IFERROR(__xludf.DUMMYFUNCTION("""COMPUTED_VALUE"""),354)</f>
        <v>354</v>
      </c>
      <c r="AD171" s="1" t="str">
        <f>IFERROR(__xludf.DUMMYFUNCTION("""COMPUTED_VALUE"""),"SITIO ILANG ILANG")</f>
        <v>SITIO ILANG ILANG</v>
      </c>
      <c r="AE171" s="1"/>
      <c r="AF171" s="1" t="str">
        <f>IFERROR(__xludf.DUMMYFUNCTION("""COMPUTED_VALUE"""),"BGY BATAS")</f>
        <v>BGY BATAS</v>
      </c>
      <c r="AG171" s="1" t="str">
        <f>IFERROR(__xludf.DUMMYFUNCTION("""COMPUTED_VALUE"""),"SILANG")</f>
        <v>SILANG</v>
      </c>
      <c r="AH171" s="1" t="str">
        <f>IFERROR(__xludf.DUMMYFUNCTION("""COMPUTED_VALUE"""),"-")</f>
        <v>-</v>
      </c>
      <c r="AI171" s="1" t="str">
        <f>IFERROR(__xludf.DUMMYFUNCTION("""COMPUTED_VALUE"""),"CLUSTER 11")</f>
        <v>CLUSTER 11</v>
      </c>
    </row>
    <row r="172" customHeight="1" spans="1:35">
      <c r="A172" s="3">
        <f>IFERROR(__xludf.DUMMYFUNCTION("""COMPUTED_VALUE"""),46251)</f>
        <v>46251</v>
      </c>
      <c r="B172" s="1" t="str">
        <f>IFERROR(__xludf.DUMMYFUNCTION("""COMPUTED_VALUE"""),"MARIE JANE MANDAL MIRANDA")</f>
        <v>MARIE JANE MANDAL MIRANDA</v>
      </c>
      <c r="C172" s="1">
        <f>IFERROR(__xludf.DUMMYFUNCTION("""COMPUTED_VALUE"""),2311863924)</f>
        <v>2311863924</v>
      </c>
      <c r="D172" s="1">
        <f>IFERROR(__xludf.DUMMYFUNCTION("""COMPUTED_VALUE"""),406948781)</f>
        <v>406948781</v>
      </c>
      <c r="E172" s="1">
        <f>IFERROR(__xludf.DUMMYFUNCTION("""COMPUTED_VALUE"""),466853922004)</f>
        <v>466853922004</v>
      </c>
      <c r="F172" s="1" t="str">
        <f>IFERROR(__xludf.DUMMYFUNCTION("""COMPUTED_VALUE"""),"CLOSED")</f>
        <v>CLOSED</v>
      </c>
      <c r="G172" s="1" t="str">
        <f>IFERROR(__xludf.DUMMYFUNCTION("""COMPUTED_VALUE"""),"CLOSED")</f>
        <v>CLOSED</v>
      </c>
      <c r="H172" s="1" t="str">
        <f>IFERROR(__xludf.DUMMYFUNCTION("""COMPUTED_VALUE"""),"PAID VIA GACSH 552453410 SEPT 4")</f>
        <v>PAID VIA GACSH 552453410 SEPT 4</v>
      </c>
      <c r="I172" s="1" t="str">
        <f>IFERROR(__xludf.DUMMYFUNCTION("""COMPUTED_VALUE"""),"WITH 1 AMSF")</f>
        <v>WITH 1 AMSF</v>
      </c>
      <c r="J172" s="1" t="str">
        <f>IFERROR(__xludf.DUMMYFUNCTION("""COMPUTED_VALUE"""),"DUE DATE - 14- Sep-26 - 1,145.67")</f>
        <v>DUE DATE - 14- Sep-26 - 1,145.67</v>
      </c>
      <c r="K172" s="1" t="str">
        <f>IFERROR(__xludf.DUMMYFUNCTION("""COMPUTED_VALUE"""),"COMPLETED")</f>
        <v>COMPLETED</v>
      </c>
      <c r="L172" s="1" t="str">
        <f>IFERROR(__xludf.DUMMYFUNCTION("""COMPUTED_VALUE"""),"POSTED")</f>
        <v>POSTED</v>
      </c>
      <c r="M172" s="1" t="str">
        <f>IFERROR(__xludf.DUMMYFUNCTION("""COMPUTED_VALUE"""),"POSTED")</f>
        <v>POSTED</v>
      </c>
      <c r="N172" s="3">
        <f>IFERROR(__xludf.DUMMYFUNCTION("""COMPUTED_VALUE"""),46252)</f>
        <v>46252</v>
      </c>
      <c r="O172" s="1" t="str">
        <f>IFERROR(__xludf.DUMMYFUNCTION("""COMPUTED_VALUE"""),"FIBR UNLI ALL PLAN 999")</f>
        <v>FIBR UNLI ALL PLAN 999</v>
      </c>
      <c r="P172" s="1" t="str">
        <f>IFERROR(__xludf.DUMMYFUNCTION("""COMPUTED_VALUE"""),"LOWPLAN")</f>
        <v>LOWPLAN</v>
      </c>
      <c r="Q172" s="1" t="str">
        <f>IFERROR(__xludf.DUMMYFUNCTION("""COMPUTED_VALUE"""),"P407050")</f>
        <v>P407050</v>
      </c>
      <c r="R172" s="1" t="str">
        <f>IFERROR(__xludf.DUMMYFUNCTION("""COMPUTED_VALUE"""),"ALOS, CHARLS LAURENZ")</f>
        <v>ALOS, CHARLS LAURENZ</v>
      </c>
      <c r="S172" s="1" t="str">
        <f>IFERROR(__xludf.DUMMYFUNCTION("""COMPUTED_VALUE"""),"ORGANIC")</f>
        <v>ORGANIC</v>
      </c>
      <c r="T172" s="1" t="str">
        <f>IFERROR(__xludf.DUMMYFUNCTION("""COMPUTED_VALUE"""),"LEA REMOLLO")</f>
        <v>LEA REMOLLO</v>
      </c>
      <c r="U172" s="1" t="str">
        <f>IFERROR(__xludf.DUMMYFUNCTION("""COMPUTED_VALUE"""),"JB SALIOA")</f>
        <v>JB SALIOA</v>
      </c>
      <c r="V172" s="1" t="str">
        <f>IFERROR(__xludf.DUMMYFUNCTION("""COMPUTED_VALUE"""),"BK HSTK")</f>
        <v>BK HSTK</v>
      </c>
      <c r="W172" s="1" t="str">
        <f>IFERROR(__xludf.DUMMYFUNCTION("""COMPUTED_VALUE"""),"BK HSTK")</f>
        <v>BK HSTK</v>
      </c>
      <c r="X172" s="1" t="str">
        <f>IFERROR(__xludf.DUMMYFUNCTION("""COMPUTED_VALUE"""),"HBBS AUG 2026")</f>
        <v>HBBS AUG 2026</v>
      </c>
      <c r="Y172" s="1" t="str">
        <f>IFERROR(__xludf.DUMMYFUNCTION("""COMPUTED_VALUE"""),"BK_CVEU_260806")</f>
        <v>BK_CVEU_260806</v>
      </c>
      <c r="Z172" s="1" t="str">
        <f>IFERROR(__xludf.DUMMYFUNCTION("""COMPUTED_VALUE"""),"NEW CONNECT")</f>
        <v>NEW CONNECT</v>
      </c>
      <c r="AA172" s="1">
        <f>IFERROR(__xludf.DUMMYFUNCTION("""COMPUTED_VALUE"""),639928836775)</f>
        <v>639928836775</v>
      </c>
      <c r="AB172" s="1"/>
      <c r="AC172" s="1"/>
      <c r="AD172" s="1" t="str">
        <f>IFERROR(__xludf.DUMMYFUNCTION("""COMPUTED_VALUE"""),"LITLIT")</f>
        <v>LITLIT</v>
      </c>
      <c r="AE172" s="1"/>
      <c r="AF172" s="1" t="str">
        <f>IFERROR(__xludf.DUMMYFUNCTION("""COMPUTED_VALUE"""),"BGY LITLIT")</f>
        <v>BGY LITLIT</v>
      </c>
      <c r="AG172" s="1" t="str">
        <f>IFERROR(__xludf.DUMMYFUNCTION("""COMPUTED_VALUE"""),"SILANG")</f>
        <v>SILANG</v>
      </c>
      <c r="AH172" s="1" t="str">
        <f>IFERROR(__xludf.DUMMYFUNCTION("""COMPUTED_VALUE"""),"-")</f>
        <v>-</v>
      </c>
      <c r="AI172" s="1" t="str">
        <f>IFERROR(__xludf.DUMMYFUNCTION("""COMPUTED_VALUE"""),"CLUSTER 11")</f>
        <v>CLUSTER 11</v>
      </c>
    </row>
    <row r="173" customHeight="1" spans="1:35">
      <c r="A173" s="3">
        <f>IFERROR(__xludf.DUMMYFUNCTION("""COMPUTED_VALUE"""),46251)</f>
        <v>46251</v>
      </c>
      <c r="B173" s="1" t="str">
        <f>IFERROR(__xludf.DUMMYFUNCTION("""COMPUTED_VALUE"""),"RHEALYN AMBOJIA DE LEON")</f>
        <v>RHEALYN AMBOJIA DE LEON</v>
      </c>
      <c r="C173" s="1">
        <f>IFERROR(__xludf.DUMMYFUNCTION("""COMPUTED_VALUE"""),2311865083)</f>
        <v>2311865083</v>
      </c>
      <c r="D173" s="1">
        <f>IFERROR(__xludf.DUMMYFUNCTION("""COMPUTED_VALUE"""),406958493)</f>
        <v>406958493</v>
      </c>
      <c r="E173" s="1">
        <f>IFERROR(__xludf.DUMMYFUNCTION("""COMPUTED_VALUE"""),466859568004)</f>
        <v>466859568004</v>
      </c>
      <c r="F173" s="1" t="str">
        <f>IFERROR(__xludf.DUMMYFUNCTION("""COMPUTED_VALUE"""),"CLOSED")</f>
        <v>CLOSED</v>
      </c>
      <c r="G173" s="1" t="str">
        <f>IFERROR(__xludf.DUMMYFUNCTION("""COMPUTED_VALUE"""),"CLOSED")</f>
        <v>CLOSED</v>
      </c>
      <c r="H173" s="1" t="str">
        <f>IFERROR(__xludf.DUMMYFUNCTION("""COMPUTED_VALUE"""),"PQGOR363799773	12-Sep-26	Regular Payment	CIS-GCASH 3.0	1,368.90	0	12-Sep-26")</f>
        <v>PQGOR363799773	12-Sep-26	Regular Payment	CIS-GCASH 3.0	1,368.90	0	12-Sep-26</v>
      </c>
      <c r="I173" s="1" t="str">
        <f>IFERROR(__xludf.DUMMYFUNCTION("""COMPUTED_VALUE"""),"WITH 1 AMSF")</f>
        <v>WITH 1 AMSF</v>
      </c>
      <c r="J173" s="1"/>
      <c r="K173" s="1" t="str">
        <f>IFERROR(__xludf.DUMMYFUNCTION("""COMPUTED_VALUE"""),"COMPLETED")</f>
        <v>COMPLETED</v>
      </c>
      <c r="L173" s="1" t="str">
        <f>IFERROR(__xludf.DUMMYFUNCTION("""COMPUTED_VALUE"""),"POSTED")</f>
        <v>POSTED</v>
      </c>
      <c r="M173" s="1" t="str">
        <f>IFERROR(__xludf.DUMMYFUNCTION("""COMPUTED_VALUE"""),"POSTED")</f>
        <v>POSTED</v>
      </c>
      <c r="N173" s="3">
        <f>IFERROR(__xludf.DUMMYFUNCTION("""COMPUTED_VALUE"""),46254)</f>
        <v>46254</v>
      </c>
      <c r="O173" s="1" t="str">
        <f>IFERROR(__xludf.DUMMYFUNCTION("""COMPUTED_VALUE"""),"FIBR PLAN 1299")</f>
        <v>FIBR PLAN 1299</v>
      </c>
      <c r="P173" s="1" t="str">
        <f>IFERROR(__xludf.DUMMYFUNCTION("""COMPUTED_VALUE"""),"LOWPLAN")</f>
        <v>LOWPLAN</v>
      </c>
      <c r="Q173" s="1" t="str">
        <f>IFERROR(__xludf.DUMMYFUNCTION("""COMPUTED_VALUE"""),"P407050")</f>
        <v>P407050</v>
      </c>
      <c r="R173" s="1" t="str">
        <f>IFERROR(__xludf.DUMMYFUNCTION("""COMPUTED_VALUE"""),"ALOS, CHARLS LAURENZ")</f>
        <v>ALOS, CHARLS LAURENZ</v>
      </c>
      <c r="S173" s="1" t="str">
        <f>IFERROR(__xludf.DUMMYFUNCTION("""COMPUTED_VALUE"""),"ORGANIC")</f>
        <v>ORGANIC</v>
      </c>
      <c r="T173" s="1" t="str">
        <f>IFERROR(__xludf.DUMMYFUNCTION("""COMPUTED_VALUE"""),"LEA REMOLLO")</f>
        <v>LEA REMOLLO</v>
      </c>
      <c r="U173" s="1" t="str">
        <f>IFERROR(__xludf.DUMMYFUNCTION("""COMPUTED_VALUE"""),"JB SALIOA")</f>
        <v>JB SALIOA</v>
      </c>
      <c r="V173" s="1" t="str">
        <f>IFERROR(__xludf.DUMMYFUNCTION("""COMPUTED_VALUE"""),"BK HSTK")</f>
        <v>BK HSTK</v>
      </c>
      <c r="W173" s="1" t="str">
        <f>IFERROR(__xludf.DUMMYFUNCTION("""COMPUTED_VALUE"""),"BK HSTK")</f>
        <v>BK HSTK</v>
      </c>
      <c r="X173" s="1" t="str">
        <f>IFERROR(__xludf.DUMMYFUNCTION("""COMPUTED_VALUE"""),"HBBS AUG 2026")</f>
        <v>HBBS AUG 2026</v>
      </c>
      <c r="Y173" s="1" t="str">
        <f>IFERROR(__xludf.DUMMYFUNCTION("""COMPUTED_VALUE"""),"BK_CVEU_260806")</f>
        <v>BK_CVEU_260806</v>
      </c>
      <c r="Z173" s="1" t="str">
        <f>IFERROR(__xludf.DUMMYFUNCTION("""COMPUTED_VALUE"""),"NEW CONNECT")</f>
        <v>NEW CONNECT</v>
      </c>
      <c r="AA173" s="1">
        <f>IFERROR(__xludf.DUMMYFUNCTION("""COMPUTED_VALUE"""),639069116650)</f>
        <v>639069116650</v>
      </c>
      <c r="AB173" s="1"/>
      <c r="AC173" s="1"/>
      <c r="AD173" s="1" t="str">
        <f>IFERROR(__xludf.DUMMYFUNCTION("""COMPUTED_VALUE"""),"LITLIT")</f>
        <v>LITLIT</v>
      </c>
      <c r="AE173" s="1"/>
      <c r="AF173" s="1" t="str">
        <f>IFERROR(__xludf.DUMMYFUNCTION("""COMPUTED_VALUE"""),"BGY LITLIT")</f>
        <v>BGY LITLIT</v>
      </c>
      <c r="AG173" s="1" t="str">
        <f>IFERROR(__xludf.DUMMYFUNCTION("""COMPUTED_VALUE"""),"SILANG")</f>
        <v>SILANG</v>
      </c>
      <c r="AH173" s="1" t="str">
        <f>IFERROR(__xludf.DUMMYFUNCTION("""COMPUTED_VALUE"""),"-")</f>
        <v>-</v>
      </c>
      <c r="AI173" s="1" t="str">
        <f>IFERROR(__xludf.DUMMYFUNCTION("""COMPUTED_VALUE"""),"CLUSTER 11")</f>
        <v>CLUSTER 11</v>
      </c>
    </row>
    <row r="174" customHeight="1" spans="1:35">
      <c r="A174" s="3">
        <f>IFERROR(__xludf.DUMMYFUNCTION("""COMPUTED_VALUE"""),46252)</f>
        <v>46252</v>
      </c>
      <c r="B174" s="1" t="str">
        <f>IFERROR(__xludf.DUMMYFUNCTION("""COMPUTED_VALUE"""),"ALPINA GA EUPENA")</f>
        <v>ALPINA GA EUPENA</v>
      </c>
      <c r="C174" s="1">
        <f>IFERROR(__xludf.DUMMYFUNCTION("""COMPUTED_VALUE"""),2311882821)</f>
        <v>2311882821</v>
      </c>
      <c r="D174" s="1">
        <f>IFERROR(__xludf.DUMMYFUNCTION("""COMPUTED_VALUE"""),406987191)</f>
        <v>406987191</v>
      </c>
      <c r="E174" s="1">
        <f>IFERROR(__xludf.DUMMYFUNCTION("""COMPUTED_VALUE"""),467016783004)</f>
        <v>467016783004</v>
      </c>
      <c r="F174" s="1" t="str">
        <f>IFERROR(__xludf.DUMMYFUNCTION("""COMPUTED_VALUE"""),"CANCELLED")</f>
        <v>CANCELLED</v>
      </c>
      <c r="G174" s="1" t="str">
        <f>IFERROR(__xludf.DUMMYFUNCTION("""COMPUTED_VALUE"""),"CANCELLED")</f>
        <v>CANCELLED</v>
      </c>
      <c r="H174" s="1"/>
      <c r="I174" s="1"/>
      <c r="J174" s="1"/>
      <c r="K174" s="1" t="str">
        <f>IFERROR(__xludf.DUMMYFUNCTION("""COMPUTED_VALUE"""),"NOT IN OFSC")</f>
        <v>NOT IN OFSC</v>
      </c>
      <c r="L174" s="1" t="str">
        <f>IFERROR(__xludf.DUMMYFUNCTION("""COMPUTED_VALUE"""),"CANCELLED - AGING")</f>
        <v>CANCELLED - AGING</v>
      </c>
      <c r="M174" s="1" t="str">
        <f>IFERROR(__xludf.DUMMYFUNCTION("""COMPUTED_VALUE"""),"CANCELLED - FOR PAYMENT - AUTO AGING")</f>
        <v>CANCELLED - FOR PAYMENT - AUTO AGING</v>
      </c>
      <c r="N174" s="3"/>
      <c r="O174" s="1" t="str">
        <f>IFERROR(__xludf.DUMMYFUNCTION("""COMPUTED_VALUE"""),"FIBR UNLI ALL PLAN 999")</f>
        <v>FIBR UNLI ALL PLAN 999</v>
      </c>
      <c r="P174" s="1" t="str">
        <f>IFERROR(__xludf.DUMMYFUNCTION("""COMPUTED_VALUE"""),"LOWPLAN")</f>
        <v>LOWPLAN</v>
      </c>
      <c r="Q174" s="1" t="str">
        <f>IFERROR(__xludf.DUMMYFUNCTION("""COMPUTED_VALUE"""),"P407050")</f>
        <v>P407050</v>
      </c>
      <c r="R174" s="1" t="str">
        <f>IFERROR(__xludf.DUMMYFUNCTION("""COMPUTED_VALUE"""),"ALINGARO, CINDY")</f>
        <v>ALINGARO, CINDY</v>
      </c>
      <c r="S174" s="1" t="str">
        <f>IFERROR(__xludf.DUMMYFUNCTION("""COMPUTED_VALUE"""),"ORGANIC")</f>
        <v>ORGANIC</v>
      </c>
      <c r="T174" s="1" t="str">
        <f>IFERROR(__xludf.DUMMYFUNCTION("""COMPUTED_VALUE"""),"LEA REMOLLO")</f>
        <v>LEA REMOLLO</v>
      </c>
      <c r="U174" s="1" t="str">
        <f>IFERROR(__xludf.DUMMYFUNCTION("""COMPUTED_VALUE"""),"JB SALIOA")</f>
        <v>JB SALIOA</v>
      </c>
      <c r="V174" s="1" t="str">
        <f>IFERROR(__xludf.DUMMYFUNCTION("""COMPUTED_VALUE"""),"ONLINE/CRANFORD")</f>
        <v>ONLINE/CRANFORD</v>
      </c>
      <c r="W174" s="1" t="str">
        <f>IFERROR(__xludf.DUMMYFUNCTION("""COMPUTED_VALUE"""),"STK REGULAR")</f>
        <v>STK REGULAR</v>
      </c>
      <c r="X174" s="1" t="str">
        <f>IFERROR(__xludf.DUMMYFUNCTION("""COMPUTED_VALUE"""),"HBBS AUG 2026")</f>
        <v>HBBS AUG 2026</v>
      </c>
      <c r="Y174" s="1" t="str">
        <f>IFERROR(__xludf.DUMMYFUNCTION("""COMPUTED_VALUE"""),"RS_ONL_CVEU_2026")</f>
        <v>RS_ONL_CVEU_2026</v>
      </c>
      <c r="Z174" s="1" t="str">
        <f>IFERROR(__xludf.DUMMYFUNCTION("""COMPUTED_VALUE"""),"NEW CONNECT")</f>
        <v>NEW CONNECT</v>
      </c>
      <c r="AA174" s="1">
        <f>IFERROR(__xludf.DUMMYFUNCTION("""COMPUTED_VALUE"""),639702423594)</f>
        <v>639702423594</v>
      </c>
      <c r="AB174" s="1">
        <f>IFERROR(__xludf.DUMMYFUNCTION("""COMPUTED_VALUE"""),639851762901)</f>
        <v>639851762901</v>
      </c>
      <c r="AC174" s="1"/>
      <c r="AD174" s="1" t="str">
        <f>IFERROR(__xludf.DUMMYFUNCTION("""COMPUTED_VALUE"""),"IRISH")</f>
        <v>IRISH</v>
      </c>
      <c r="AE174" s="1" t="str">
        <f>IFERROR(__xludf.DUMMYFUNCTION("""COMPUTED_VALUE"""),"AREA F")</f>
        <v>AREA F</v>
      </c>
      <c r="AF174" s="1" t="str">
        <f>IFERROR(__xludf.DUMMYFUNCTION("""COMPUTED_VALUE"""),"BGY KAPITAN KUA")</f>
        <v>BGY KAPITAN KUA</v>
      </c>
      <c r="AG174" s="1" t="str">
        <f>IFERROR(__xludf.DUMMYFUNCTION("""COMPUTED_VALUE"""),"GEN MARIANO ALVAREZ")</f>
        <v>GEN MARIANO ALVAREZ</v>
      </c>
      <c r="AH174" s="1" t="str">
        <f>IFERROR(__xludf.DUMMYFUNCTION("""COMPUTED_VALUE"""),"BRGY HALL")</f>
        <v>BRGY HALL</v>
      </c>
      <c r="AI174" s="1" t="str">
        <f>IFERROR(__xludf.DUMMYFUNCTION("""COMPUTED_VALUE"""),"CLUSTER 11")</f>
        <v>CLUSTER 11</v>
      </c>
    </row>
    <row r="175" customHeight="1" spans="1:35">
      <c r="A175" s="3">
        <f>IFERROR(__xludf.DUMMYFUNCTION("""COMPUTED_VALUE"""),46252)</f>
        <v>46252</v>
      </c>
      <c r="B175" s="1" t="str">
        <f>IFERROR(__xludf.DUMMYFUNCTION("""COMPUTED_VALUE"""),"JANELLE CALLEJA ALMANZA")</f>
        <v>JANELLE CALLEJA ALMANZA</v>
      </c>
      <c r="C175" s="1">
        <f>IFERROR(__xludf.DUMMYFUNCTION("""COMPUTED_VALUE"""),2311883571)</f>
        <v>2311883571</v>
      </c>
      <c r="D175" s="1">
        <f>IFERROR(__xludf.DUMMYFUNCTION("""COMPUTED_VALUE"""),407022920)</f>
        <v>407022920</v>
      </c>
      <c r="E175" s="1">
        <f>IFERROR(__xludf.DUMMYFUNCTION("""COMPUTED_VALUE"""),467084371004)</f>
        <v>467084371004</v>
      </c>
      <c r="F175" s="1" t="str">
        <f>IFERROR(__xludf.DUMMYFUNCTION("""COMPUTED_VALUE"""),"CLOSED")</f>
        <v>CLOSED</v>
      </c>
      <c r="G175" s="1" t="str">
        <f>IFERROR(__xludf.DUMMYFUNCTION("""COMPUTED_VALUE"""),"CLOSED")</f>
        <v>CLOSED</v>
      </c>
      <c r="H175" s="1" t="str">
        <f>IFERROR(__xludf.DUMMYFUNCTION("""COMPUTED_VALUE"""),"PAID THRU GCASH 904312811 AUG 19")</f>
        <v>PAID THRU GCASH 904312811 AUG 19</v>
      </c>
      <c r="I175" s="1" t="str">
        <f>IFERROR(__xludf.DUMMYFUNCTION("""COMPUTED_VALUE"""),"WITH 1 AMSF")</f>
        <v>WITH 1 AMSF</v>
      </c>
      <c r="J175" s="1"/>
      <c r="K175" s="1" t="str">
        <f>IFERROR(__xludf.DUMMYFUNCTION("""COMPUTED_VALUE"""),"COMPLETED")</f>
        <v>COMPLETED</v>
      </c>
      <c r="L175" s="1" t="str">
        <f>IFERROR(__xludf.DUMMYFUNCTION("""COMPUTED_VALUE"""),"POSTED")</f>
        <v>POSTED</v>
      </c>
      <c r="M175" s="1" t="str">
        <f>IFERROR(__xludf.DUMMYFUNCTION("""COMPUTED_VALUE"""),"POSTED")</f>
        <v>POSTED</v>
      </c>
      <c r="N175" s="3">
        <f>IFERROR(__xludf.DUMMYFUNCTION("""COMPUTED_VALUE"""),46253)</f>
        <v>46253</v>
      </c>
      <c r="O175" s="1" t="str">
        <f>IFERROR(__xludf.DUMMYFUNCTION("""COMPUTED_VALUE"""),"FIBR PLAN 1299")</f>
        <v>FIBR PLAN 1299</v>
      </c>
      <c r="P175" s="1" t="str">
        <f>IFERROR(__xludf.DUMMYFUNCTION("""COMPUTED_VALUE"""),"LOWPLAN")</f>
        <v>LOWPLAN</v>
      </c>
      <c r="Q175" s="1" t="str">
        <f>IFERROR(__xludf.DUMMYFUNCTION("""COMPUTED_VALUE"""),"P407046")</f>
        <v>P407046</v>
      </c>
      <c r="R175" s="1" t="str">
        <f>IFERROR(__xludf.DUMMYFUNCTION("""COMPUTED_VALUE"""),"MALIWAT, MARK")</f>
        <v>MALIWAT, MARK</v>
      </c>
      <c r="S175" s="1" t="str">
        <f>IFERROR(__xludf.DUMMYFUNCTION("""COMPUTED_VALUE"""),"FLA")</f>
        <v>FLA</v>
      </c>
      <c r="T175" s="1" t="str">
        <f>IFERROR(__xludf.DUMMYFUNCTION("""COMPUTED_VALUE"""),"JERIC NAVARRO")</f>
        <v>JERIC NAVARRO</v>
      </c>
      <c r="U175" s="1" t="str">
        <f>IFERROR(__xludf.DUMMYFUNCTION("""COMPUTED_VALUE"""),"JB SALIOA")</f>
        <v>JB SALIOA</v>
      </c>
      <c r="V175" s="1" t="str">
        <f>IFERROR(__xludf.DUMMYFUNCTION("""COMPUTED_VALUE"""),"ONLINE/CRANFORD")</f>
        <v>ONLINE/CRANFORD</v>
      </c>
      <c r="W175" s="1" t="str">
        <f>IFERROR(__xludf.DUMMYFUNCTION("""COMPUTED_VALUE"""),"STK REGULAR")</f>
        <v>STK REGULAR</v>
      </c>
      <c r="X175" s="1" t="str">
        <f>IFERROR(__xludf.DUMMYFUNCTION("""COMPUTED_VALUE"""),"HBBS AUG 2026")</f>
        <v>HBBS AUG 2026</v>
      </c>
      <c r="Y175" s="1" t="str">
        <f>IFERROR(__xludf.DUMMYFUNCTION("""COMPUTED_VALUE"""),"RS_ONL_CVEU_2026")</f>
        <v>RS_ONL_CVEU_2026</v>
      </c>
      <c r="Z175" s="1" t="str">
        <f>IFERROR(__xludf.DUMMYFUNCTION("""COMPUTED_VALUE"""),"NEW CONNECT")</f>
        <v>NEW CONNECT</v>
      </c>
      <c r="AA175" s="1">
        <f>IFERROR(__xludf.DUMMYFUNCTION("""COMPUTED_VALUE"""),639103962353)</f>
        <v>639103962353</v>
      </c>
      <c r="AB175" s="1"/>
      <c r="AC175" s="1"/>
      <c r="AD175" s="1" t="str">
        <f>IFERROR(__xludf.DUMMYFUNCTION("""COMPUTED_VALUE"""),"ZONE 11")</f>
        <v>ZONE 11</v>
      </c>
      <c r="AE175" s="1" t="str">
        <f>IFERROR(__xludf.DUMMYFUNCTION("""COMPUTED_VALUE"""),"BAUTISTA PROPERTY")</f>
        <v>BAUTISTA PROPERTY</v>
      </c>
      <c r="AF175" s="1" t="str">
        <f>IFERROR(__xludf.DUMMYFUNCTION("""COMPUTED_VALUE"""),"BGY SAMPALOC 4")</f>
        <v>BGY SAMPALOC 4</v>
      </c>
      <c r="AG175" s="1" t="str">
        <f>IFERROR(__xludf.DUMMYFUNCTION("""COMPUTED_VALUE"""),"DASMARINAS")</f>
        <v>DASMARINAS</v>
      </c>
      <c r="AH175" s="1" t="str">
        <f>IFERROR(__xludf.DUMMYFUNCTION("""COMPUTED_VALUE"""),"NAVAYRA BAKESHOP")</f>
        <v>NAVAYRA BAKESHOP</v>
      </c>
      <c r="AI175" s="1" t="str">
        <f>IFERROR(__xludf.DUMMYFUNCTION("""COMPUTED_VALUE"""),"NOT AOR")</f>
        <v>NOT AOR</v>
      </c>
    </row>
    <row r="176" customHeight="1" spans="1:35">
      <c r="A176" s="3">
        <f>IFERROR(__xludf.DUMMYFUNCTION("""COMPUTED_VALUE"""),46252)</f>
        <v>46252</v>
      </c>
      <c r="B176" s="1" t="str">
        <f>IFERROR(__xludf.DUMMYFUNCTION("""COMPUTED_VALUE"""),"STEPHEN PONCE CATOR")</f>
        <v>STEPHEN PONCE CATOR</v>
      </c>
      <c r="C176" s="1">
        <f>IFERROR(__xludf.DUMMYFUNCTION("""COMPUTED_VALUE"""),2311874541)</f>
        <v>2311874541</v>
      </c>
      <c r="D176" s="1">
        <f>IFERROR(__xludf.DUMMYFUNCTION("""COMPUTED_VALUE"""),407018885)</f>
        <v>407018885</v>
      </c>
      <c r="E176" s="1">
        <f>IFERROR(__xludf.DUMMYFUNCTION("""COMPUTED_VALUE"""),467057553004)</f>
        <v>467057553004</v>
      </c>
      <c r="F176" s="1" t="str">
        <f>IFERROR(__xludf.DUMMYFUNCTION("""COMPUTED_VALUE"""),"CLOSED")</f>
        <v>CLOSED</v>
      </c>
      <c r="G176" s="1" t="str">
        <f>IFERROR(__xludf.DUMMYFUNCTION("""COMPUTED_VALUE"""),"CLOSED")</f>
        <v>CLOSED</v>
      </c>
      <c r="H176" s="1" t="str">
        <f>IFERROR(__xludf.DUMMYFUNCTION("""COMPUTED_VALUE"""),"PQGOR361369244	19-Aug-26	Regular Payment	CIS-GCASH 3.0	1,699.00	0	19-Aug-26")</f>
        <v>PQGOR361369244	19-Aug-26	Regular Payment	CIS-GCASH 3.0	1,699.00	0	19-Aug-26</v>
      </c>
      <c r="I176" s="1" t="str">
        <f>IFERROR(__xludf.DUMMYFUNCTION("""COMPUTED_VALUE"""),"WITH 1 AMSF")</f>
        <v>WITH 1 AMSF</v>
      </c>
      <c r="J176" s="1"/>
      <c r="K176" s="1" t="str">
        <f>IFERROR(__xludf.DUMMYFUNCTION("""COMPUTED_VALUE"""),"COMPLETED")</f>
        <v>COMPLETED</v>
      </c>
      <c r="L176" s="1" t="str">
        <f>IFERROR(__xludf.DUMMYFUNCTION("""COMPUTED_VALUE"""),"POSTED")</f>
        <v>POSTED</v>
      </c>
      <c r="M176" s="1" t="str">
        <f>IFERROR(__xludf.DUMMYFUNCTION("""COMPUTED_VALUE"""),"POSTED")</f>
        <v>POSTED</v>
      </c>
      <c r="N176" s="3">
        <f>IFERROR(__xludf.DUMMYFUNCTION("""COMPUTED_VALUE"""),46253)</f>
        <v>46253</v>
      </c>
      <c r="O176" s="1" t="str">
        <f>IFERROR(__xludf.DUMMYFUNCTION("""COMPUTED_VALUE"""),"FIBR PLAN 1699")</f>
        <v>FIBR PLAN 1699</v>
      </c>
      <c r="P176" s="1" t="str">
        <f>IFERROR(__xludf.DUMMYFUNCTION("""COMPUTED_VALUE"""),"HIGHPLAN")</f>
        <v>HIGHPLAN</v>
      </c>
      <c r="Q176" s="1" t="str">
        <f>IFERROR(__xludf.DUMMYFUNCTION("""COMPUTED_VALUE"""),"P407046")</f>
        <v>P407046</v>
      </c>
      <c r="R176" s="1" t="str">
        <f>IFERROR(__xludf.DUMMYFUNCTION("""COMPUTED_VALUE"""),"MALIWAT, MARK")</f>
        <v>MALIWAT, MARK</v>
      </c>
      <c r="S176" s="1" t="str">
        <f>IFERROR(__xludf.DUMMYFUNCTION("""COMPUTED_VALUE"""),"FLA")</f>
        <v>FLA</v>
      </c>
      <c r="T176" s="1" t="str">
        <f>IFERROR(__xludf.DUMMYFUNCTION("""COMPUTED_VALUE"""),"JERIC NAVARRO")</f>
        <v>JERIC NAVARRO</v>
      </c>
      <c r="U176" s="1" t="str">
        <f>IFERROR(__xludf.DUMMYFUNCTION("""COMPUTED_VALUE"""),"JB SALIOA")</f>
        <v>JB SALIOA</v>
      </c>
      <c r="V176" s="1" t="str">
        <f>IFERROR(__xludf.DUMMYFUNCTION("""COMPUTED_VALUE"""),"ONLINE/CRANFORD")</f>
        <v>ONLINE/CRANFORD</v>
      </c>
      <c r="W176" s="1" t="str">
        <f>IFERROR(__xludf.DUMMYFUNCTION("""COMPUTED_VALUE"""),"STK REGULAR")</f>
        <v>STK REGULAR</v>
      </c>
      <c r="X176" s="1" t="str">
        <f>IFERROR(__xludf.DUMMYFUNCTION("""COMPUTED_VALUE"""),"HBBS AUG 2026")</f>
        <v>HBBS AUG 2026</v>
      </c>
      <c r="Y176" s="1" t="str">
        <f>IFERROR(__xludf.DUMMYFUNCTION("""COMPUTED_VALUE"""),"RS_ONL_CVEU_2026")</f>
        <v>RS_ONL_CVEU_2026</v>
      </c>
      <c r="Z176" s="1" t="str">
        <f>IFERROR(__xludf.DUMMYFUNCTION("""COMPUTED_VALUE"""),"NEW CONNECT")</f>
        <v>NEW CONNECT</v>
      </c>
      <c r="AA176" s="1">
        <f>IFERROR(__xludf.DUMMYFUNCTION("""COMPUTED_VALUE"""),639930166288)</f>
        <v>639930166288</v>
      </c>
      <c r="AB176" s="1"/>
      <c r="AC176" s="1"/>
      <c r="AD176" s="1" t="str">
        <f>IFERROR(__xludf.DUMMYFUNCTION("""COMPUTED_VALUE"""),"ST ISIDORE")</f>
        <v>ST ISIDORE</v>
      </c>
      <c r="AE176" s="1" t="str">
        <f>IFERROR(__xludf.DUMMYFUNCTION("""COMPUTED_VALUE"""),"WINDWARD HILLS")</f>
        <v>WINDWARD HILLS</v>
      </c>
      <c r="AF176" s="1" t="str">
        <f>IFERROR(__xludf.DUMMYFUNCTION("""COMPUTED_VALUE"""),"BGY BUROL 1")</f>
        <v>BGY BUROL 1</v>
      </c>
      <c r="AG176" s="1" t="str">
        <f>IFERROR(__xludf.DUMMYFUNCTION("""COMPUTED_VALUE"""),"DASMARINAS")</f>
        <v>DASMARINAS</v>
      </c>
      <c r="AH176" s="1" t="str">
        <f>IFERROR(__xludf.DUMMYFUNCTION("""COMPUTED_VALUE"""),"NEAR WATER TANK PHASE 1")</f>
        <v>NEAR WATER TANK PHASE 1</v>
      </c>
      <c r="AI176" s="1" t="str">
        <f>IFERROR(__xludf.DUMMYFUNCTION("""COMPUTED_VALUE"""),"NOT AOR")</f>
        <v>NOT AOR</v>
      </c>
    </row>
    <row r="177" customHeight="1" spans="1:35">
      <c r="A177" s="3">
        <f>IFERROR(__xludf.DUMMYFUNCTION("""COMPUTED_VALUE"""),46252)</f>
        <v>46252</v>
      </c>
      <c r="B177" s="1" t="str">
        <f>IFERROR(__xludf.DUMMYFUNCTION("""COMPUTED_VALUE"""),"PRIAN CLAUDIO REYES")</f>
        <v>PRIAN CLAUDIO REYES</v>
      </c>
      <c r="C177" s="1">
        <f>IFERROR(__xludf.DUMMYFUNCTION("""COMPUTED_VALUE"""),2311884974)</f>
        <v>2311884974</v>
      </c>
      <c r="D177" s="1">
        <f>IFERROR(__xludf.DUMMYFUNCTION("""COMPUTED_VALUE"""),406983978)</f>
        <v>406983978</v>
      </c>
      <c r="E177" s="1">
        <f>IFERROR(__xludf.DUMMYFUNCTION("""COMPUTED_VALUE"""),467013822004)</f>
        <v>467013822004</v>
      </c>
      <c r="F177" s="1" t="str">
        <f>IFERROR(__xludf.DUMMYFUNCTION("""COMPUTED_VALUE"""),"CLOSED")</f>
        <v>CLOSED</v>
      </c>
      <c r="G177" s="1" t="str">
        <f>IFERROR(__xludf.DUMMYFUNCTION("""COMPUTED_VALUE"""),"CLOSED")</f>
        <v>CLOSED</v>
      </c>
      <c r="H177" s="1" t="str">
        <f>IFERROR(__xludf.DUMMYFUNCTION("""COMPUTED_VALUE"""),"PQGOR361455828	20-Aug-26	Regular Payment	CIS-GCASH 3.0	1,549.00	0	20-Aug-26")</f>
        <v>PQGOR361455828	20-Aug-26	Regular Payment	CIS-GCASH 3.0	1,549.00	0	20-Aug-26</v>
      </c>
      <c r="I177" s="1" t="str">
        <f>IFERROR(__xludf.DUMMYFUNCTION("""COMPUTED_VALUE"""),"WITH 1 AMSF")</f>
        <v>WITH 1 AMSF</v>
      </c>
      <c r="J177" s="1"/>
      <c r="K177" s="1" t="str">
        <f>IFERROR(__xludf.DUMMYFUNCTION("""COMPUTED_VALUE"""),"COMPLETED")</f>
        <v>COMPLETED</v>
      </c>
      <c r="L177" s="1" t="str">
        <f>IFERROR(__xludf.DUMMYFUNCTION("""COMPUTED_VALUE"""),"POSTED")</f>
        <v>POSTED</v>
      </c>
      <c r="M177" s="1" t="str">
        <f>IFERROR(__xludf.DUMMYFUNCTION("""COMPUTED_VALUE"""),"POSTED")</f>
        <v>POSTED</v>
      </c>
      <c r="N177" s="3">
        <f>IFERROR(__xludf.DUMMYFUNCTION("""COMPUTED_VALUE"""),46256)</f>
        <v>46256</v>
      </c>
      <c r="O177" s="1" t="str">
        <f>IFERROR(__xludf.DUMMYFUNCTION("""COMPUTED_VALUE"""),"FIBER UNLI ALL PLAN 1499")</f>
        <v>FIBER UNLI ALL PLAN 1499</v>
      </c>
      <c r="P177" s="1" t="str">
        <f>IFERROR(__xludf.DUMMYFUNCTION("""COMPUTED_VALUE"""),"LOWPLAN")</f>
        <v>LOWPLAN</v>
      </c>
      <c r="Q177" s="1" t="str">
        <f>IFERROR(__xludf.DUMMYFUNCTION("""COMPUTED_VALUE"""),"P407044")</f>
        <v>P407044</v>
      </c>
      <c r="R177" s="1" t="str">
        <f>IFERROR(__xludf.DUMMYFUNCTION("""COMPUTED_VALUE"""),"CARPIO, STEPHANIE")</f>
        <v>CARPIO, STEPHANIE</v>
      </c>
      <c r="S177" s="1" t="str">
        <f>IFERROR(__xludf.DUMMYFUNCTION("""COMPUTED_VALUE"""),"FLA")</f>
        <v>FLA</v>
      </c>
      <c r="T177" s="1" t="str">
        <f>IFERROR(__xludf.DUMMYFUNCTION("""COMPUTED_VALUE"""),"JERIC NAVARRO")</f>
        <v>JERIC NAVARRO</v>
      </c>
      <c r="U177" s="1" t="str">
        <f>IFERROR(__xludf.DUMMYFUNCTION("""COMPUTED_VALUE"""),"JB SALIOA")</f>
        <v>JB SALIOA</v>
      </c>
      <c r="V177" s="1" t="str">
        <f>IFERROR(__xludf.DUMMYFUNCTION("""COMPUTED_VALUE"""),"ONLINE/CRANFORD")</f>
        <v>ONLINE/CRANFORD</v>
      </c>
      <c r="W177" s="1" t="str">
        <f>IFERROR(__xludf.DUMMYFUNCTION("""COMPUTED_VALUE"""),"STK REGULAR")</f>
        <v>STK REGULAR</v>
      </c>
      <c r="X177" s="1" t="str">
        <f>IFERROR(__xludf.DUMMYFUNCTION("""COMPUTED_VALUE"""),"HBBS AUG 2026")</f>
        <v>HBBS AUG 2026</v>
      </c>
      <c r="Y177" s="1" t="str">
        <f>IFERROR(__xludf.DUMMYFUNCTION("""COMPUTED_VALUE"""),"RS_SS_CVEU_2026")</f>
        <v>RS_SS_CVEU_2026</v>
      </c>
      <c r="Z177" s="1" t="str">
        <f>IFERROR(__xludf.DUMMYFUNCTION("""COMPUTED_VALUE"""),"NEW CONNECT")</f>
        <v>NEW CONNECT</v>
      </c>
      <c r="AA177" s="1">
        <f>IFERROR(__xludf.DUMMYFUNCTION("""COMPUTED_VALUE"""),639602021178)</f>
        <v>639602021178</v>
      </c>
      <c r="AB177" s="1"/>
      <c r="AC177" s="1">
        <f>IFERROR(__xludf.DUMMYFUNCTION("""COMPUTED_VALUE"""),368)</f>
        <v>368</v>
      </c>
      <c r="AD177" s="1" t="str">
        <f>IFERROR(__xludf.DUMMYFUNCTION("""COMPUTED_VALUE"""),"MARSEILLA")</f>
        <v>MARSEILLA</v>
      </c>
      <c r="AE177" s="1"/>
      <c r="AF177" s="1" t="str">
        <f>IFERROR(__xludf.DUMMYFUNCTION("""COMPUTED_VALUE"""),"BGY SALCEDO 1")</f>
        <v>BGY SALCEDO 1</v>
      </c>
      <c r="AG177" s="1" t="str">
        <f>IFERROR(__xludf.DUMMYFUNCTION("""COMPUTED_VALUE"""),"NOVELETA")</f>
        <v>NOVELETA</v>
      </c>
      <c r="AH177" s="1" t="str">
        <f>IFERROR(__xludf.DUMMYFUNCTION("""COMPUTED_VALUE"""),"-")</f>
        <v>-</v>
      </c>
      <c r="AI177" s="1" t="str">
        <f>IFERROR(__xludf.DUMMYFUNCTION("""COMPUTED_VALUE"""),"NOT AOR")</f>
        <v>NOT AOR</v>
      </c>
    </row>
    <row r="178" customHeight="1" spans="1:35">
      <c r="A178" s="3">
        <f>IFERROR(__xludf.DUMMYFUNCTION("""COMPUTED_VALUE"""),46252)</f>
        <v>46252</v>
      </c>
      <c r="B178" s="1" t="str">
        <f>IFERROR(__xludf.DUMMYFUNCTION("""COMPUTED_VALUE"""),"ROLAND CABANTUGAN SILVA")</f>
        <v>ROLAND CABANTUGAN SILVA</v>
      </c>
      <c r="C178" s="1">
        <f>IFERROR(__xludf.DUMMYFUNCTION("""COMPUTED_VALUE"""),2311889161)</f>
        <v>2311889161</v>
      </c>
      <c r="D178" s="1">
        <f>IFERROR(__xludf.DUMMYFUNCTION("""COMPUTED_VALUE"""),406992101)</f>
        <v>406992101</v>
      </c>
      <c r="E178" s="1">
        <f>IFERROR(__xludf.DUMMYFUNCTION("""COMPUTED_VALUE"""),467020851004)</f>
        <v>467020851004</v>
      </c>
      <c r="F178" s="1" t="str">
        <f>IFERROR(__xludf.DUMMYFUNCTION("""COMPUTED_VALUE"""),"CANCELLED")</f>
        <v>CANCELLED</v>
      </c>
      <c r="G178" s="1" t="str">
        <f>IFERROR(__xludf.DUMMYFUNCTION("""COMPUTED_VALUE"""),"AUTO - AGING")</f>
        <v>AUTO - AGING</v>
      </c>
      <c r="H178" s="1" t="str">
        <f>IFERROR(__xludf.DUMMYFUNCTION("""COMPUTED_VALUE"""),"TOK TO ROLAND SOR AS PER SUBS HINDI NAMAN NIYA ITO PINA TULOY KASI SINABI NA NYANG OKAY NA INTERNET NILA 08/29 9:04")</f>
        <v>TOK TO ROLAND SOR AS PER SUBS HINDI NAMAN NIYA ITO PINA TULOY KASI SINABI NA NYANG OKAY NA INTERNET NILA 08/29 9:04</v>
      </c>
      <c r="I178" s="1"/>
      <c r="J178" s="1"/>
      <c r="K178" s="1" t="str">
        <f>IFERROR(__xludf.DUMMYFUNCTION("""COMPUTED_VALUE"""),"NOT IN OFSC")</f>
        <v>NOT IN OFSC</v>
      </c>
      <c r="L178" s="1" t="str">
        <f>IFERROR(__xludf.DUMMYFUNCTION("""COMPUTED_VALUE"""),"CANCELLED - AGING")</f>
        <v>CANCELLED - AGING</v>
      </c>
      <c r="M178" s="1" t="str">
        <f>IFERROR(__xludf.DUMMYFUNCTION("""COMPUTED_VALUE"""),"CANCELLED - AGING")</f>
        <v>CANCELLED - AGING</v>
      </c>
      <c r="N178" s="3"/>
      <c r="O178" s="1" t="str">
        <f>IFERROR(__xludf.DUMMYFUNCTION("""COMPUTED_VALUE"""),"FIBR UNLI ALL PLAN 999")</f>
        <v>FIBR UNLI ALL PLAN 999</v>
      </c>
      <c r="P178" s="1" t="str">
        <f>IFERROR(__xludf.DUMMYFUNCTION("""COMPUTED_VALUE"""),"LOWPLAN")</f>
        <v>LOWPLAN</v>
      </c>
      <c r="Q178" s="1" t="str">
        <f>IFERROR(__xludf.DUMMYFUNCTION("""COMPUTED_VALUE"""),"P407047")</f>
        <v>P407047</v>
      </c>
      <c r="R178" s="1" t="str">
        <f>IFERROR(__xludf.DUMMYFUNCTION("""COMPUTED_VALUE"""),"FRANCISCO, ROSELYN")</f>
        <v>FRANCISCO, ROSELYN</v>
      </c>
      <c r="S178" s="1" t="str">
        <f>IFERROR(__xludf.DUMMYFUNCTION("""COMPUTED_VALUE"""),"ORGANIC")</f>
        <v>ORGANIC</v>
      </c>
      <c r="T178" s="1" t="str">
        <f>IFERROR(__xludf.DUMMYFUNCTION("""COMPUTED_VALUE"""),"LEA REMOLLO")</f>
        <v>LEA REMOLLO</v>
      </c>
      <c r="U178" s="1" t="str">
        <f>IFERROR(__xludf.DUMMYFUNCTION("""COMPUTED_VALUE"""),"JB SALIOA")</f>
        <v>JB SALIOA</v>
      </c>
      <c r="V178" s="1" t="str">
        <f>IFERROR(__xludf.DUMMYFUNCTION("""COMPUTED_VALUE"""),"ONLINE/CRANFORD")</f>
        <v>ONLINE/CRANFORD</v>
      </c>
      <c r="W178" s="1" t="str">
        <f>IFERROR(__xludf.DUMMYFUNCTION("""COMPUTED_VALUE"""),"STK REGULAR")</f>
        <v>STK REGULAR</v>
      </c>
      <c r="X178" s="1" t="str">
        <f>IFERROR(__xludf.DUMMYFUNCTION("""COMPUTED_VALUE"""),"HBBS AUG 2026")</f>
        <v>HBBS AUG 2026</v>
      </c>
      <c r="Y178" s="1" t="str">
        <f>IFERROR(__xludf.DUMMYFUNCTION("""COMPUTED_VALUE"""),"RS_ONL_CVEU_2026")</f>
        <v>RS_ONL_CVEU_2026</v>
      </c>
      <c r="Z178" s="1" t="str">
        <f>IFERROR(__xludf.DUMMYFUNCTION("""COMPUTED_VALUE"""),"NEW CONNECT")</f>
        <v>NEW CONNECT</v>
      </c>
      <c r="AA178" s="1">
        <f>IFERROR(__xludf.DUMMYFUNCTION("""COMPUTED_VALUE"""),639910234290)</f>
        <v>639910234290</v>
      </c>
      <c r="AB178" s="1"/>
      <c r="AC178" s="1">
        <f>IFERROR(__xludf.DUMMYFUNCTION("""COMPUTED_VALUE"""),282)</f>
        <v>282</v>
      </c>
      <c r="AD178" s="1" t="str">
        <f>IFERROR(__xludf.DUMMYFUNCTION("""COMPUTED_VALUE"""),"PABAHAY 4")</f>
        <v>PABAHAY 4</v>
      </c>
      <c r="AE178" s="1" t="str">
        <f>IFERROR(__xludf.DUMMYFUNCTION("""COMPUTED_VALUE"""),"PABAHAY 4")</f>
        <v>PABAHAY 4</v>
      </c>
      <c r="AF178" s="1" t="str">
        <f>IFERROR(__xludf.DUMMYFUNCTION("""COMPUTED_VALUE"""),"MENDEZ CROSSING WEST")</f>
        <v>MENDEZ CROSSING WEST</v>
      </c>
      <c r="AG178" s="1" t="str">
        <f>IFERROR(__xludf.DUMMYFUNCTION("""COMPUTED_VALUE"""),"TAGAYTAY")</f>
        <v>TAGAYTAY</v>
      </c>
      <c r="AH178" s="1" t="str">
        <f>IFERROR(__xludf.DUMMYFUNCTION("""COMPUTED_VALUE"""),"SAVEMORE MENDEZ")</f>
        <v>SAVEMORE MENDEZ</v>
      </c>
      <c r="AI178" s="1" t="str">
        <f>IFERROR(__xludf.DUMMYFUNCTION("""COMPUTED_VALUE"""),"CLUSTER 12")</f>
        <v>CLUSTER 12</v>
      </c>
    </row>
    <row r="179" customHeight="1" spans="1:35">
      <c r="A179" s="3">
        <f>IFERROR(__xludf.DUMMYFUNCTION("""COMPUTED_VALUE"""),46252)</f>
        <v>46252</v>
      </c>
      <c r="B179" s="1" t="str">
        <f>IFERROR(__xludf.DUMMYFUNCTION("""COMPUTED_VALUE"""),"FARIDA SALASAIN SABTAL")</f>
        <v>FARIDA SALASAIN SABTAL</v>
      </c>
      <c r="C179" s="1">
        <f>IFERROR(__xludf.DUMMYFUNCTION("""COMPUTED_VALUE"""),2311892355)</f>
        <v>2311892355</v>
      </c>
      <c r="D179" s="1">
        <f>IFERROR(__xludf.DUMMYFUNCTION("""COMPUTED_VALUE"""),407003993)</f>
        <v>407003993</v>
      </c>
      <c r="E179" s="1">
        <f>IFERROR(__xludf.DUMMYFUNCTION("""COMPUTED_VALUE"""),467028697004)</f>
        <v>467028697004</v>
      </c>
      <c r="F179" s="1" t="str">
        <f>IFERROR(__xludf.DUMMYFUNCTION("""COMPUTED_VALUE"""),"CANCELLED")</f>
        <v>CANCELLED</v>
      </c>
      <c r="G179" s="1" t="str">
        <f>IFERROR(__xludf.DUMMYFUNCTION("""COMPUTED_VALUE"""),"""CALLTHRU 
REMARKS: RESCHEDULE NO SPECIFIC DATE TATAWAG NA LANG DAW SIYA SA AGENT PAG MAY PANG PAYMENT NA SI SUBS 
TALK FARIDA SALASAIN SABTAL 
09363681035 
""")</f>
        <v>"CALLTHRU 
REMARKS: RESCHEDULE NO SPECIFIC DATE TATAWAG NA LANG DAW SIYA SA AGENT PAG MAY PANG PAYMENT NA SI SUBS 
TALK FARIDA SALASAIN SABTAL 
09363681035 
"</v>
      </c>
      <c r="H179" s="1"/>
      <c r="I179" s="1"/>
      <c r="J179" s="1"/>
      <c r="K179" s="1" t="str">
        <f>IFERROR(__xludf.DUMMYFUNCTION("""COMPUTED_VALUE"""),"CANCELED")</f>
        <v>CANCELED</v>
      </c>
      <c r="L179" s="1" t="str">
        <f>IFERROR(__xludf.DUMMYFUNCTION("""COMPUTED_VALUE"""),"RPP - SUBS CANCEL")</f>
        <v>RPP - SUBS CANCEL</v>
      </c>
      <c r="M179" s="1" t="str">
        <f>IFERROR(__xludf.DUMMYFUNCTION("""COMPUTED_VALUE"""),"RPR- SUBS CANCEL REQUEST")</f>
        <v>RPR- SUBS CANCEL REQUEST</v>
      </c>
      <c r="N179" s="3"/>
      <c r="O179" s="1" t="str">
        <f>IFERROR(__xludf.DUMMYFUNCTION("""COMPUTED_VALUE"""),"FIBR PLAN 1299")</f>
        <v>FIBR PLAN 1299</v>
      </c>
      <c r="P179" s="1" t="str">
        <f>IFERROR(__xludf.DUMMYFUNCTION("""COMPUTED_VALUE"""),"LOWPLAN")</f>
        <v>LOWPLAN</v>
      </c>
      <c r="Q179" s="1" t="str">
        <f>IFERROR(__xludf.DUMMYFUNCTION("""COMPUTED_VALUE"""),"P407050")</f>
        <v>P407050</v>
      </c>
      <c r="R179" s="1" t="str">
        <f>IFERROR(__xludf.DUMMYFUNCTION("""COMPUTED_VALUE"""),"ESCARCHA, ALMA")</f>
        <v>ESCARCHA, ALMA</v>
      </c>
      <c r="S179" s="1" t="str">
        <f>IFERROR(__xludf.DUMMYFUNCTION("""COMPUTED_VALUE"""),"ORGANIC")</f>
        <v>ORGANIC</v>
      </c>
      <c r="T179" s="1" t="str">
        <f>IFERROR(__xludf.DUMMYFUNCTION("""COMPUTED_VALUE"""),"LEA REMOLLO")</f>
        <v>LEA REMOLLO</v>
      </c>
      <c r="U179" s="1" t="str">
        <f>IFERROR(__xludf.DUMMYFUNCTION("""COMPUTED_VALUE"""),"JB SALIOA")</f>
        <v>JB SALIOA</v>
      </c>
      <c r="V179" s="1" t="str">
        <f>IFERROR(__xludf.DUMMYFUNCTION("""COMPUTED_VALUE"""),"BK HSTK")</f>
        <v>BK HSTK</v>
      </c>
      <c r="W179" s="1" t="str">
        <f>IFERROR(__xludf.DUMMYFUNCTION("""COMPUTED_VALUE"""),"BK HSTK")</f>
        <v>BK HSTK</v>
      </c>
      <c r="X179" s="1" t="str">
        <f>IFERROR(__xludf.DUMMYFUNCTION("""COMPUTED_VALUE"""),"HBBS AUG 2026")</f>
        <v>HBBS AUG 2026</v>
      </c>
      <c r="Y179" s="1" t="str">
        <f>IFERROR(__xludf.DUMMYFUNCTION("""COMPUTED_VALUE"""),"BK_CVEU_260806")</f>
        <v>BK_CVEU_260806</v>
      </c>
      <c r="Z179" s="1" t="str">
        <f>IFERROR(__xludf.DUMMYFUNCTION("""COMPUTED_VALUE"""),"NEW CONNECT")</f>
        <v>NEW CONNECT</v>
      </c>
      <c r="AA179" s="1">
        <f>IFERROR(__xludf.DUMMYFUNCTION("""COMPUTED_VALUE"""),639363681035)</f>
        <v>639363681035</v>
      </c>
      <c r="AB179" s="1"/>
      <c r="AC179" s="1"/>
      <c r="AD179" s="1" t="str">
        <f>IFERROR(__xludf.DUMMYFUNCTION("""COMPUTED_VALUE"""),"DAANG BATAS")</f>
        <v>DAANG BATAS</v>
      </c>
      <c r="AE179" s="1" t="str">
        <f>IFERROR(__xludf.DUMMYFUNCTION("""COMPUTED_VALUE"""),"CORTEZ APARTMENT")</f>
        <v>CORTEZ APARTMENT</v>
      </c>
      <c r="AF179" s="1" t="str">
        <f>IFERROR(__xludf.DUMMYFUNCTION("""COMPUTED_VALUE"""),"BGY KALUBKOB")</f>
        <v>BGY KALUBKOB</v>
      </c>
      <c r="AG179" s="1" t="str">
        <f>IFERROR(__xludf.DUMMYFUNCTION("""COMPUTED_VALUE"""),"SILANG")</f>
        <v>SILANG</v>
      </c>
      <c r="AH179" s="1" t="str">
        <f>IFERROR(__xludf.DUMMYFUNCTION("""COMPUTED_VALUE"""),"MARTIN HARDWARE")</f>
        <v>MARTIN HARDWARE</v>
      </c>
      <c r="AI179" s="1" t="str">
        <f>IFERROR(__xludf.DUMMYFUNCTION("""COMPUTED_VALUE"""),"CLUSTER 11")</f>
        <v>CLUSTER 11</v>
      </c>
    </row>
    <row r="180" customHeight="1" spans="1:35">
      <c r="A180" s="3">
        <f>IFERROR(__xludf.DUMMYFUNCTION("""COMPUTED_VALUE"""),46252)</f>
        <v>46252</v>
      </c>
      <c r="B180" s="1" t="str">
        <f>IFERROR(__xludf.DUMMYFUNCTION("""COMPUTED_VALUE"""),"MILLICENT ODILE BELTRAN MALAHITO")</f>
        <v>MILLICENT ODILE BELTRAN MALAHITO</v>
      </c>
      <c r="C180" s="1">
        <f>IFERROR(__xludf.DUMMYFUNCTION("""COMPUTED_VALUE"""),2311892919)</f>
        <v>2311892919</v>
      </c>
      <c r="D180" s="1">
        <f>IFERROR(__xludf.DUMMYFUNCTION("""COMPUTED_VALUE"""),407000986)</f>
        <v>407000986</v>
      </c>
      <c r="E180" s="1">
        <f>IFERROR(__xludf.DUMMYFUNCTION("""COMPUTED_VALUE"""),467025688004)</f>
        <v>467025688004</v>
      </c>
      <c r="F180" s="1" t="str">
        <f>IFERROR(__xludf.DUMMYFUNCTION("""COMPUTED_VALUE"""),"CLOSED")</f>
        <v>CLOSED</v>
      </c>
      <c r="G180" s="1" t="str">
        <f>IFERROR(__xludf.DUMMYFUNCTION("""COMPUTED_VALUE"""),"CLOSED")</f>
        <v>CLOSED</v>
      </c>
      <c r="H180" s="1" t="str">
        <f>IFERROR(__xludf.DUMMYFUNCTION("""COMPUTED_VALUE"""),"PQGOR364322412	17-Sep-26	Regular Payment	PLDT Pay Express-Web-App credit	1,935.83	0	17-Sep-26")</f>
        <v>PQGOR364322412	17-Sep-26	Regular Payment	PLDT Pay Express-Web-App credit	1,935.83	0	17-Sep-26</v>
      </c>
      <c r="I180" s="1" t="str">
        <f>IFERROR(__xludf.DUMMYFUNCTION("""COMPUTED_VALUE"""),"WITH 1 AMSF")</f>
        <v>WITH 1 AMSF</v>
      </c>
      <c r="J180" s="1"/>
      <c r="K180" s="1" t="str">
        <f>IFERROR(__xludf.DUMMYFUNCTION("""COMPUTED_VALUE"""),"COMPLETED")</f>
        <v>COMPLETED</v>
      </c>
      <c r="L180" s="1" t="str">
        <f>IFERROR(__xludf.DUMMYFUNCTION("""COMPUTED_VALUE"""),"POSTED")</f>
        <v>POSTED</v>
      </c>
      <c r="M180" s="1" t="str">
        <f>IFERROR(__xludf.DUMMYFUNCTION("""COMPUTED_VALUE"""),"POSTED")</f>
        <v>POSTED</v>
      </c>
      <c r="N180" s="3">
        <f>IFERROR(__xludf.DUMMYFUNCTION("""COMPUTED_VALUE"""),46258)</f>
        <v>46258</v>
      </c>
      <c r="O180" s="1" t="str">
        <f>IFERROR(__xludf.DUMMYFUNCTION("""COMPUTED_VALUE"""),"FIBER UNLI ALL PLAN 1499")</f>
        <v>FIBER UNLI ALL PLAN 1499</v>
      </c>
      <c r="P180" s="1" t="str">
        <f>IFERROR(__xludf.DUMMYFUNCTION("""COMPUTED_VALUE"""),"LOWPLAN")</f>
        <v>LOWPLAN</v>
      </c>
      <c r="Q180" s="1" t="str">
        <f>IFERROR(__xludf.DUMMYFUNCTION("""COMPUTED_VALUE"""),"P407046")</f>
        <v>P407046</v>
      </c>
      <c r="R180" s="1" t="str">
        <f>IFERROR(__xludf.DUMMYFUNCTION("""COMPUTED_VALUE"""),"MALIWAT, MARK")</f>
        <v>MALIWAT, MARK</v>
      </c>
      <c r="S180" s="1" t="str">
        <f>IFERROR(__xludf.DUMMYFUNCTION("""COMPUTED_VALUE"""),"FLA")</f>
        <v>FLA</v>
      </c>
      <c r="T180" s="1" t="str">
        <f>IFERROR(__xludf.DUMMYFUNCTION("""COMPUTED_VALUE"""),"JERIC NAVARRO")</f>
        <v>JERIC NAVARRO</v>
      </c>
      <c r="U180" s="1" t="str">
        <f>IFERROR(__xludf.DUMMYFUNCTION("""COMPUTED_VALUE"""),"JB SALIOA")</f>
        <v>JB SALIOA</v>
      </c>
      <c r="V180" s="1" t="str">
        <f>IFERROR(__xludf.DUMMYFUNCTION("""COMPUTED_VALUE"""),"ONLINE/CRANFORD")</f>
        <v>ONLINE/CRANFORD</v>
      </c>
      <c r="W180" s="1" t="str">
        <f>IFERROR(__xludf.DUMMYFUNCTION("""COMPUTED_VALUE"""),"STK REGULAR")</f>
        <v>STK REGULAR</v>
      </c>
      <c r="X180" s="1" t="str">
        <f>IFERROR(__xludf.DUMMYFUNCTION("""COMPUTED_VALUE"""),"HBBS AUG 2026")</f>
        <v>HBBS AUG 2026</v>
      </c>
      <c r="Y180" s="1" t="str">
        <f>IFERROR(__xludf.DUMMYFUNCTION("""COMPUTED_VALUE"""),"RS_ONL_CVEU_2026")</f>
        <v>RS_ONL_CVEU_2026</v>
      </c>
      <c r="Z180" s="1" t="str">
        <f>IFERROR(__xludf.DUMMYFUNCTION("""COMPUTED_VALUE"""),"NEW CONNECT")</f>
        <v>NEW CONNECT</v>
      </c>
      <c r="AA180" s="1">
        <f>IFERROR(__xludf.DUMMYFUNCTION("""COMPUTED_VALUE"""),639218722121)</f>
        <v>639218722121</v>
      </c>
      <c r="AB180" s="1">
        <f>IFERROR(__xludf.DUMMYFUNCTION("""COMPUTED_VALUE"""),639606113910)</f>
        <v>639606113910</v>
      </c>
      <c r="AC180" s="1"/>
      <c r="AD180" s="1" t="str">
        <f>IFERROR(__xludf.DUMMYFUNCTION("""COMPUTED_VALUE"""),"TANDUBAS")</f>
        <v>TANDUBAS</v>
      </c>
      <c r="AE180" s="1" t="str">
        <f>IFERROR(__xludf.DUMMYFUNCTION("""COMPUTED_VALUE"""),"TERRAVERDE RESIDENCES PH 5")</f>
        <v>TERRAVERDE RESIDENCES PH 5</v>
      </c>
      <c r="AF180" s="1" t="str">
        <f>IFERROR(__xludf.DUMMYFUNCTION("""COMPUTED_VALUE"""),"BGY BANCAL")</f>
        <v>BGY BANCAL</v>
      </c>
      <c r="AG180" s="1" t="str">
        <f>IFERROR(__xludf.DUMMYFUNCTION("""COMPUTED_VALUE"""),"CARMONA")</f>
        <v>CARMONA</v>
      </c>
      <c r="AH180" s="1" t="str">
        <f>IFERROR(__xludf.DUMMYFUNCTION("""COMPUTED_VALUE"""),"MCDONALDS ULONG TUBIG // DALI GROCERY STORE")</f>
        <v>MCDONALDS ULONG TUBIG // DALI GROCERY STORE</v>
      </c>
      <c r="AI180" s="1" t="str">
        <f>IFERROR(__xludf.DUMMYFUNCTION("""COMPUTED_VALUE"""),"CLUSTER 11")</f>
        <v>CLUSTER 11</v>
      </c>
    </row>
    <row r="181" customHeight="1" spans="1:35">
      <c r="A181" s="3">
        <f>IFERROR(__xludf.DUMMYFUNCTION("""COMPUTED_VALUE"""),46252)</f>
        <v>46252</v>
      </c>
      <c r="B181" s="1" t="str">
        <f>IFERROR(__xludf.DUMMYFUNCTION("""COMPUTED_VALUE"""),"JENIE GERAS DE DIOS")</f>
        <v>JENIE GERAS DE DIOS</v>
      </c>
      <c r="C181" s="1">
        <f>IFERROR(__xludf.DUMMYFUNCTION("""COMPUTED_VALUE"""),2311895812)</f>
        <v>2311895812</v>
      </c>
      <c r="D181" s="1">
        <f>IFERROR(__xludf.DUMMYFUNCTION("""COMPUTED_VALUE"""),407016076)</f>
        <v>407016076</v>
      </c>
      <c r="E181" s="1">
        <f>IFERROR(__xludf.DUMMYFUNCTION("""COMPUTED_VALUE"""),467049961004)</f>
        <v>467049961004</v>
      </c>
      <c r="F181" s="1" t="str">
        <f>IFERROR(__xludf.DUMMYFUNCTION("""COMPUTED_VALUE"""),"CLOSED")</f>
        <v>CLOSED</v>
      </c>
      <c r="G181" s="1" t="str">
        <f>IFERROR(__xludf.DUMMYFUNCTION("""COMPUTED_VALUE"""),"CLOSED")</f>
        <v>CLOSED</v>
      </c>
      <c r="H181" s="1"/>
      <c r="I181" s="1" t="str">
        <f>IFERROR(__xludf.DUMMYFUNCTION("""COMPUTED_VALUE"""),"NO 1 AMSF")</f>
        <v>NO 1 AMSF</v>
      </c>
      <c r="J181" s="1" t="str">
        <f>IFERROR(__xludf.DUMMYFUNCTION("""COMPUTED_VALUE"""),"DUE DATE - 14- Sep-26 - 1,382.81")</f>
        <v>DUE DATE - 14- Sep-26 - 1,382.81</v>
      </c>
      <c r="K181" s="1" t="str">
        <f>IFERROR(__xludf.DUMMYFUNCTION("""COMPUTED_VALUE"""),"COMPLETED")</f>
        <v>COMPLETED</v>
      </c>
      <c r="L181" s="1" t="str">
        <f>IFERROR(__xludf.DUMMYFUNCTION("""COMPUTED_VALUE"""),"POSTED")</f>
        <v>POSTED</v>
      </c>
      <c r="M181" s="1" t="str">
        <f>IFERROR(__xludf.DUMMYFUNCTION("""COMPUTED_VALUE"""),"POSTED")</f>
        <v>POSTED</v>
      </c>
      <c r="N181" s="3">
        <f>IFERROR(__xludf.DUMMYFUNCTION("""COMPUTED_VALUE"""),46253)</f>
        <v>46253</v>
      </c>
      <c r="O181" s="1" t="str">
        <f>IFERROR(__xludf.DUMMYFUNCTION("""COMPUTED_VALUE"""),"FIBR PLAN 1299")</f>
        <v>FIBR PLAN 1299</v>
      </c>
      <c r="P181" s="1" t="str">
        <f>IFERROR(__xludf.DUMMYFUNCTION("""COMPUTED_VALUE"""),"LOWPLAN")</f>
        <v>LOWPLAN</v>
      </c>
      <c r="Q181" s="1" t="str">
        <f>IFERROR(__xludf.DUMMYFUNCTION("""COMPUTED_VALUE"""),"P407047")</f>
        <v>P407047</v>
      </c>
      <c r="R181" s="1" t="str">
        <f>IFERROR(__xludf.DUMMYFUNCTION("""COMPUTED_VALUE"""),"FRANCISCO, ROSELYN")</f>
        <v>FRANCISCO, ROSELYN</v>
      </c>
      <c r="S181" s="1" t="str">
        <f>IFERROR(__xludf.DUMMYFUNCTION("""COMPUTED_VALUE"""),"ORGANIC")</f>
        <v>ORGANIC</v>
      </c>
      <c r="T181" s="1" t="str">
        <f>IFERROR(__xludf.DUMMYFUNCTION("""COMPUTED_VALUE"""),"LEA REMOLLO")</f>
        <v>LEA REMOLLO</v>
      </c>
      <c r="U181" s="1" t="str">
        <f>IFERROR(__xludf.DUMMYFUNCTION("""COMPUTED_VALUE"""),"JB SALIOA")</f>
        <v>JB SALIOA</v>
      </c>
      <c r="V181" s="1" t="str">
        <f>IFERROR(__xludf.DUMMYFUNCTION("""COMPUTED_VALUE"""),"ONLINE/CRANFORD")</f>
        <v>ONLINE/CRANFORD</v>
      </c>
      <c r="W181" s="1" t="str">
        <f>IFERROR(__xludf.DUMMYFUNCTION("""COMPUTED_VALUE"""),"STK REGULAR")</f>
        <v>STK REGULAR</v>
      </c>
      <c r="X181" s="1" t="str">
        <f>IFERROR(__xludf.DUMMYFUNCTION("""COMPUTED_VALUE"""),"HBBS AUG 2026")</f>
        <v>HBBS AUG 2026</v>
      </c>
      <c r="Y181" s="1" t="str">
        <f>IFERROR(__xludf.DUMMYFUNCTION("""COMPUTED_VALUE"""),"RS_ONL_CVEU_2026")</f>
        <v>RS_ONL_CVEU_2026</v>
      </c>
      <c r="Z181" s="1" t="str">
        <f>IFERROR(__xludf.DUMMYFUNCTION("""COMPUTED_VALUE"""),"NEW CONNECT")</f>
        <v>NEW CONNECT</v>
      </c>
      <c r="AA181" s="1">
        <f>IFERROR(__xludf.DUMMYFUNCTION("""COMPUTED_VALUE"""),639940377320)</f>
        <v>639940377320</v>
      </c>
      <c r="AB181" s="1">
        <f>IFERROR(__xludf.DUMMYFUNCTION("""COMPUTED_VALUE"""),639919108155)</f>
        <v>639919108155</v>
      </c>
      <c r="AC181" s="1"/>
      <c r="AD181" s="1" t="str">
        <f>IFERROR(__xludf.DUMMYFUNCTION("""COMPUTED_VALUE"""),"ANAHAW 1")</f>
        <v>ANAHAW 1</v>
      </c>
      <c r="AE181" s="1"/>
      <c r="AF181" s="1" t="str">
        <f>IFERROR(__xludf.DUMMYFUNCTION("""COMPUTED_VALUE"""),"BGY ANAHAW 1")</f>
        <v>BGY ANAHAW 1</v>
      </c>
      <c r="AG181" s="1" t="str">
        <f>IFERROR(__xludf.DUMMYFUNCTION("""COMPUTED_VALUE"""),"SILANG")</f>
        <v>SILANG</v>
      </c>
      <c r="AH181" s="1" t="str">
        <f>IFERROR(__xludf.DUMMYFUNCTION("""COMPUTED_VALUE"""),"DALI")</f>
        <v>DALI</v>
      </c>
      <c r="AI181" s="1" t="str">
        <f>IFERROR(__xludf.DUMMYFUNCTION("""COMPUTED_VALUE"""),"CLUSTER 11")</f>
        <v>CLUSTER 11</v>
      </c>
    </row>
    <row r="182" customHeight="1" spans="1:35">
      <c r="A182" s="3">
        <f>IFERROR(__xludf.DUMMYFUNCTION("""COMPUTED_VALUE"""),46253)</f>
        <v>46253</v>
      </c>
      <c r="B182" s="1" t="str">
        <f>IFERROR(__xludf.DUMMYFUNCTION("""COMPUTED_VALUE"""),"MARY JANE EUSEBIO TADURAN")</f>
        <v>MARY JANE EUSEBIO TADURAN</v>
      </c>
      <c r="C182" s="1">
        <f>IFERROR(__xludf.DUMMYFUNCTION("""COMPUTED_VALUE"""),2311912579)</f>
        <v>2311912579</v>
      </c>
      <c r="D182" s="1">
        <f>IFERROR(__xludf.DUMMYFUNCTION("""COMPUTED_VALUE"""),407034821)</f>
        <v>407034821</v>
      </c>
      <c r="E182" s="1">
        <f>IFERROR(__xludf.DUMMYFUNCTION("""COMPUTED_VALUE"""),467136771004)</f>
        <v>467136771004</v>
      </c>
      <c r="F182" s="1" t="str">
        <f>IFERROR(__xludf.DUMMYFUNCTION("""COMPUTED_VALUE"""),"CLOSED")</f>
        <v>CLOSED</v>
      </c>
      <c r="G182" s="1" t="str">
        <f>IFERROR(__xludf.DUMMYFUNCTION("""COMPUTED_VALUE"""),"CLOSED")</f>
        <v>CLOSED</v>
      </c>
      <c r="H182" s="1" t="str">
        <f>IFERROR(__xludf.DUMMYFUNCTION("""COMPUTED_VALUE"""),"PAID VIA MAYA 20260821737 AUG 21")</f>
        <v>PAID VIA MAYA 20260821737 AUG 21</v>
      </c>
      <c r="I182" s="1" t="str">
        <f>IFERROR(__xludf.DUMMYFUNCTION("""COMPUTED_VALUE"""),"WITH 1 AMSF")</f>
        <v>WITH 1 AMSF</v>
      </c>
      <c r="J182" s="1"/>
      <c r="K182" s="1" t="str">
        <f>IFERROR(__xludf.DUMMYFUNCTION("""COMPUTED_VALUE"""),"COMPLETED")</f>
        <v>COMPLETED</v>
      </c>
      <c r="L182" s="1" t="str">
        <f>IFERROR(__xludf.DUMMYFUNCTION("""COMPUTED_VALUE"""),"POSTED")</f>
        <v>POSTED</v>
      </c>
      <c r="M182" s="1" t="str">
        <f>IFERROR(__xludf.DUMMYFUNCTION("""COMPUTED_VALUE"""),"POSTED")</f>
        <v>POSTED</v>
      </c>
      <c r="N182" s="3">
        <f>IFERROR(__xludf.DUMMYFUNCTION("""COMPUTED_VALUE"""),46255)</f>
        <v>46255</v>
      </c>
      <c r="O182" s="1" t="str">
        <f>IFERROR(__xludf.DUMMYFUNCTION("""COMPUTED_VALUE"""),"FIBR PLAN 1699")</f>
        <v>FIBR PLAN 1699</v>
      </c>
      <c r="P182" s="1" t="str">
        <f>IFERROR(__xludf.DUMMYFUNCTION("""COMPUTED_VALUE"""),"HIGHPLAN")</f>
        <v>HIGHPLAN</v>
      </c>
      <c r="Q182" s="1" t="str">
        <f>IFERROR(__xludf.DUMMYFUNCTION("""COMPUTED_VALUE"""),"P407047")</f>
        <v>P407047</v>
      </c>
      <c r="R182" s="1" t="str">
        <f>IFERROR(__xludf.DUMMYFUNCTION("""COMPUTED_VALUE"""),"FRANCISCO, ROSELYN")</f>
        <v>FRANCISCO, ROSELYN</v>
      </c>
      <c r="S182" s="1" t="str">
        <f>IFERROR(__xludf.DUMMYFUNCTION("""COMPUTED_VALUE"""),"ORGANIC")</f>
        <v>ORGANIC</v>
      </c>
      <c r="T182" s="1" t="str">
        <f>IFERROR(__xludf.DUMMYFUNCTION("""COMPUTED_VALUE"""),"LEA REMOLLO")</f>
        <v>LEA REMOLLO</v>
      </c>
      <c r="U182" s="1" t="str">
        <f>IFERROR(__xludf.DUMMYFUNCTION("""COMPUTED_VALUE"""),"JB SALIOA")</f>
        <v>JB SALIOA</v>
      </c>
      <c r="V182" s="1" t="str">
        <f>IFERROR(__xludf.DUMMYFUNCTION("""COMPUTED_VALUE"""),"ONLINE/CRANFORD")</f>
        <v>ONLINE/CRANFORD</v>
      </c>
      <c r="W182" s="1" t="str">
        <f>IFERROR(__xludf.DUMMYFUNCTION("""COMPUTED_VALUE"""),"STK REGULAR")</f>
        <v>STK REGULAR</v>
      </c>
      <c r="X182" s="1" t="str">
        <f>IFERROR(__xludf.DUMMYFUNCTION("""COMPUTED_VALUE"""),"HBBS AUG 2026")</f>
        <v>HBBS AUG 2026</v>
      </c>
      <c r="Y182" s="1" t="str">
        <f>IFERROR(__xludf.DUMMYFUNCTION("""COMPUTED_VALUE"""),"RS_ONL_CVEU_2026")</f>
        <v>RS_ONL_CVEU_2026</v>
      </c>
      <c r="Z182" s="1" t="str">
        <f>IFERROR(__xludf.DUMMYFUNCTION("""COMPUTED_VALUE"""),"NEW CONNECT")</f>
        <v>NEW CONNECT</v>
      </c>
      <c r="AA182" s="1">
        <f>IFERROR(__xludf.DUMMYFUNCTION("""COMPUTED_VALUE"""),639922661267)</f>
        <v>639922661267</v>
      </c>
      <c r="AB182" s="1">
        <f>IFERROR(__xludf.DUMMYFUNCTION("""COMPUTED_VALUE"""),639157796667)</f>
        <v>639157796667</v>
      </c>
      <c r="AC182" s="1"/>
      <c r="AD182" s="1" t="str">
        <f>IFERROR(__xludf.DUMMYFUNCTION("""COMPUTED_VALUE"""),"CASA AMAYA SOUTH EXTENSION")</f>
        <v>CASA AMAYA SOUTH EXTENSION</v>
      </c>
      <c r="AE182" s="1" t="str">
        <f>IFERROR(__xludf.DUMMYFUNCTION("""COMPUTED_VALUE"""),"CASA AMAYA SOUTH")</f>
        <v>CASA AMAYA SOUTH</v>
      </c>
      <c r="AF182" s="1" t="str">
        <f>IFERROR(__xludf.DUMMYFUNCTION("""COMPUTED_VALUE"""),"BGY AMAYA 1")</f>
        <v>BGY AMAYA 1</v>
      </c>
      <c r="AG182" s="1" t="str">
        <f>IFERROR(__xludf.DUMMYFUNCTION("""COMPUTED_VALUE"""),"TANZA")</f>
        <v>TANZA</v>
      </c>
      <c r="AH182" s="1" t="str">
        <f>IFERROR(__xludf.DUMMYFUNCTION("""COMPUTED_VALUE"""),"MIA GARDEN")</f>
        <v>MIA GARDEN</v>
      </c>
      <c r="AI182" s="1" t="str">
        <f>IFERROR(__xludf.DUMMYFUNCTION("""COMPUTED_VALUE"""),"NOT AOR")</f>
        <v>NOT AOR</v>
      </c>
    </row>
    <row r="183" customHeight="1" spans="1:35">
      <c r="A183" s="3">
        <f>IFERROR(__xludf.DUMMYFUNCTION("""COMPUTED_VALUE"""),46253)</f>
        <v>46253</v>
      </c>
      <c r="B183" s="1" t="str">
        <f>IFERROR(__xludf.DUMMYFUNCTION("""COMPUTED_VALUE"""),"CHRISTOPHER HONOR VILLAMINO")</f>
        <v>CHRISTOPHER HONOR VILLAMINO</v>
      </c>
      <c r="C183" s="1">
        <f>IFERROR(__xludf.DUMMYFUNCTION("""COMPUTED_VALUE"""),2311914470)</f>
        <v>2311914470</v>
      </c>
      <c r="D183" s="1">
        <f>IFERROR(__xludf.DUMMYFUNCTION("""COMPUTED_VALUE"""),407034910)</f>
        <v>407034910</v>
      </c>
      <c r="E183" s="1">
        <f>IFERROR(__xludf.DUMMYFUNCTION("""COMPUTED_VALUE"""),467136480004)</f>
        <v>467136480004</v>
      </c>
      <c r="F183" s="1" t="str">
        <f>IFERROR(__xludf.DUMMYFUNCTION("""COMPUTED_VALUE"""),"CANCELLED")</f>
        <v>CANCELLED</v>
      </c>
      <c r="G183" s="1" t="str">
        <f>IFERROR(__xludf.DUMMYFUNCTION("""COMPUTED_VALUE"""),"AUTO - AGING")</f>
        <v>AUTO - AGING</v>
      </c>
      <c r="H183" s="1" t="str">
        <f>IFERROR(__xludf.DUMMYFUNCTION("""COMPUTED_VALUE"""),"2X ATTEMMPT SINAGOT CALL THEN NG SINABI KO NA FROM PLDT BINABA NA NYA 08/29 09:06")</f>
        <v>2X ATTEMMPT SINAGOT CALL THEN NG SINABI KO NA FROM PLDT BINABA NA NYA 08/29 09:06</v>
      </c>
      <c r="I183" s="1"/>
      <c r="J183" s="1"/>
      <c r="K183" s="1" t="str">
        <f>IFERROR(__xludf.DUMMYFUNCTION("""COMPUTED_VALUE"""),"NOT IN OFSC")</f>
        <v>NOT IN OFSC</v>
      </c>
      <c r="L183" s="1" t="str">
        <f>IFERROR(__xludf.DUMMYFUNCTION("""COMPUTED_VALUE"""),"CANCELLED - AGING")</f>
        <v>CANCELLED - AGING</v>
      </c>
      <c r="M183" s="1" t="str">
        <f>IFERROR(__xludf.DUMMYFUNCTION("""COMPUTED_VALUE"""),"CANCELLED - AGING")</f>
        <v>CANCELLED - AGING</v>
      </c>
      <c r="N183" s="3"/>
      <c r="O183" s="1" t="str">
        <f>IFERROR(__xludf.DUMMYFUNCTION("""COMPUTED_VALUE"""),"FIBR UNLI ALL PLAN 999")</f>
        <v>FIBR UNLI ALL PLAN 999</v>
      </c>
      <c r="P183" s="1" t="str">
        <f>IFERROR(__xludf.DUMMYFUNCTION("""COMPUTED_VALUE"""),"LOWPLAN")</f>
        <v>LOWPLAN</v>
      </c>
      <c r="Q183" s="1" t="str">
        <f>IFERROR(__xludf.DUMMYFUNCTION("""COMPUTED_VALUE"""),"P407050")</f>
        <v>P407050</v>
      </c>
      <c r="R183" s="1" t="str">
        <f>IFERROR(__xludf.DUMMYFUNCTION("""COMPUTED_VALUE"""),"ALINGARO, CINDY")</f>
        <v>ALINGARO, CINDY</v>
      </c>
      <c r="S183" s="1" t="str">
        <f>IFERROR(__xludf.DUMMYFUNCTION("""COMPUTED_VALUE"""),"ORGANIC")</f>
        <v>ORGANIC</v>
      </c>
      <c r="T183" s="1" t="str">
        <f>IFERROR(__xludf.DUMMYFUNCTION("""COMPUTED_VALUE"""),"LEA REMOLLO")</f>
        <v>LEA REMOLLO</v>
      </c>
      <c r="U183" s="1" t="str">
        <f>IFERROR(__xludf.DUMMYFUNCTION("""COMPUTED_VALUE"""),"JB SALIOA")</f>
        <v>JB SALIOA</v>
      </c>
      <c r="V183" s="1" t="str">
        <f>IFERROR(__xludf.DUMMYFUNCTION("""COMPUTED_VALUE"""),"BK HSTK")</f>
        <v>BK HSTK</v>
      </c>
      <c r="W183" s="1" t="str">
        <f>IFERROR(__xludf.DUMMYFUNCTION("""COMPUTED_VALUE"""),"BK HSTK")</f>
        <v>BK HSTK</v>
      </c>
      <c r="X183" s="1" t="str">
        <f>IFERROR(__xludf.DUMMYFUNCTION("""COMPUTED_VALUE"""),"HBBS AUG 2026")</f>
        <v>HBBS AUG 2026</v>
      </c>
      <c r="Y183" s="1" t="str">
        <f>IFERROR(__xludf.DUMMYFUNCTION("""COMPUTED_VALUE"""),"BK_CVEU_260806")</f>
        <v>BK_CVEU_260806</v>
      </c>
      <c r="Z183" s="1" t="str">
        <f>IFERROR(__xludf.DUMMYFUNCTION("""COMPUTED_VALUE"""),"NEW CONNECT")</f>
        <v>NEW CONNECT</v>
      </c>
      <c r="AA183" s="1">
        <f>IFERROR(__xludf.DUMMYFUNCTION("""COMPUTED_VALUE"""),639851760218)</f>
        <v>639851760218</v>
      </c>
      <c r="AB183" s="1">
        <f>IFERROR(__xludf.DUMMYFUNCTION("""COMPUTED_VALUE"""),639309228832)</f>
        <v>639309228832</v>
      </c>
      <c r="AC183" s="1">
        <f>IFERROR(__xludf.DUMMYFUNCTION("""COMPUTED_VALUE"""),390)</f>
        <v>390</v>
      </c>
      <c r="AD183" s="1" t="str">
        <f>IFERROR(__xludf.DUMMYFUNCTION("""COMPUTED_VALUE"""),"MUNTING ILOG")</f>
        <v>MUNTING ILOG</v>
      </c>
      <c r="AE183" s="1"/>
      <c r="AF183" s="1" t="str">
        <f>IFERROR(__xludf.DUMMYFUNCTION("""COMPUTED_VALUE"""),"BGY MUNTING ILOG")</f>
        <v>BGY MUNTING ILOG</v>
      </c>
      <c r="AG183" s="1" t="str">
        <f>IFERROR(__xludf.DUMMYFUNCTION("""COMPUTED_VALUE"""),"SILANG")</f>
        <v>SILANG</v>
      </c>
      <c r="AH183" s="1" t="str">
        <f>IFERROR(__xludf.DUMMYFUNCTION("""COMPUTED_VALUE"""),"BGY HALL")</f>
        <v>BGY HALL</v>
      </c>
      <c r="AI183" s="1" t="str">
        <f>IFERROR(__xludf.DUMMYFUNCTION("""COMPUTED_VALUE"""),"CLUSTER 11")</f>
        <v>CLUSTER 11</v>
      </c>
    </row>
    <row r="184" customHeight="1" spans="1:35">
      <c r="A184" s="3">
        <f>IFERROR(__xludf.DUMMYFUNCTION("""COMPUTED_VALUE"""),46253)</f>
        <v>46253</v>
      </c>
      <c r="B184" s="1" t="str">
        <f>IFERROR(__xludf.DUMMYFUNCTION("""COMPUTED_VALUE"""),"TRINIDAD ABRIGO CENDANA")</f>
        <v>TRINIDAD ABRIGO CENDANA</v>
      </c>
      <c r="C184" s="1">
        <f>IFERROR(__xludf.DUMMYFUNCTION("""COMPUTED_VALUE"""),2311915007)</f>
        <v>2311915007</v>
      </c>
      <c r="D184" s="1">
        <f>IFERROR(__xludf.DUMMYFUNCTION("""COMPUTED_VALUE"""),407036131)</f>
        <v>407036131</v>
      </c>
      <c r="E184" s="1">
        <f>IFERROR(__xludf.DUMMYFUNCTION("""COMPUTED_VALUE"""),467137247004)</f>
        <v>467137247004</v>
      </c>
      <c r="F184" s="1" t="str">
        <f>IFERROR(__xludf.DUMMYFUNCTION("""COMPUTED_VALUE"""),"CLOSED")</f>
        <v>CLOSED</v>
      </c>
      <c r="G184" s="1" t="str">
        <f>IFERROR(__xludf.DUMMYFUNCTION("""COMPUTED_VALUE"""),"CLOSED")</f>
        <v>CLOSED</v>
      </c>
      <c r="H184" s="1" t="str">
        <f>IFERROR(__xludf.DUMMYFUNCTION("""COMPUTED_VALUE"""),"PQGOR361503427	20-Aug-26	Regular Payment	CIS-GCASH 3.0	1,549.00	938386196	20-Aug-26")</f>
        <v>PQGOR361503427	20-Aug-26	Regular Payment	CIS-GCASH 3.0	1,549.00	938386196	20-Aug-26</v>
      </c>
      <c r="I184" s="1" t="str">
        <f>IFERROR(__xludf.DUMMYFUNCTION("""COMPUTED_VALUE"""),"WITH 1 AMSF")</f>
        <v>WITH 1 AMSF</v>
      </c>
      <c r="J184" s="1" t="str">
        <f>IFERROR(__xludf.DUMMYFUNCTION("""COMPUTED_VALUE"""),"WITH PRO RATED-96.71")</f>
        <v>WITH PRO RATED-96.71</v>
      </c>
      <c r="K184" s="1" t="str">
        <f>IFERROR(__xludf.DUMMYFUNCTION("""COMPUTED_VALUE"""),"COMPLETED")</f>
        <v>COMPLETED</v>
      </c>
      <c r="L184" s="1" t="str">
        <f>IFERROR(__xludf.DUMMYFUNCTION("""COMPUTED_VALUE"""),"POSTED")</f>
        <v>POSTED</v>
      </c>
      <c r="M184" s="1" t="str">
        <f>IFERROR(__xludf.DUMMYFUNCTION("""COMPUTED_VALUE"""),"POSTED")</f>
        <v>POSTED</v>
      </c>
      <c r="N184" s="3">
        <f>IFERROR(__xludf.DUMMYFUNCTION("""COMPUTED_VALUE"""),46256)</f>
        <v>46256</v>
      </c>
      <c r="O184" s="1" t="str">
        <f>IFERROR(__xludf.DUMMYFUNCTION("""COMPUTED_VALUE"""),"FIBER UNLI ALL PLAN 1499")</f>
        <v>FIBER UNLI ALL PLAN 1499</v>
      </c>
      <c r="P184" s="1" t="str">
        <f>IFERROR(__xludf.DUMMYFUNCTION("""COMPUTED_VALUE"""),"LOWPLAN")</f>
        <v>LOWPLAN</v>
      </c>
      <c r="Q184" s="1" t="str">
        <f>IFERROR(__xludf.DUMMYFUNCTION("""COMPUTED_VALUE"""),"P407050")</f>
        <v>P407050</v>
      </c>
      <c r="R184" s="1" t="str">
        <f>IFERROR(__xludf.DUMMYFUNCTION("""COMPUTED_VALUE"""),"ESCARCHA, ALMA")</f>
        <v>ESCARCHA, ALMA</v>
      </c>
      <c r="S184" s="1" t="str">
        <f>IFERROR(__xludf.DUMMYFUNCTION("""COMPUTED_VALUE"""),"ORGANIC")</f>
        <v>ORGANIC</v>
      </c>
      <c r="T184" s="1" t="str">
        <f>IFERROR(__xludf.DUMMYFUNCTION("""COMPUTED_VALUE"""),"LEA REMOLLO")</f>
        <v>LEA REMOLLO</v>
      </c>
      <c r="U184" s="1" t="str">
        <f>IFERROR(__xludf.DUMMYFUNCTION("""COMPUTED_VALUE"""),"JB SALIOA")</f>
        <v>JB SALIOA</v>
      </c>
      <c r="V184" s="1" t="str">
        <f>IFERROR(__xludf.DUMMYFUNCTION("""COMPUTED_VALUE"""),"BK HSTK")</f>
        <v>BK HSTK</v>
      </c>
      <c r="W184" s="1" t="str">
        <f>IFERROR(__xludf.DUMMYFUNCTION("""COMPUTED_VALUE"""),"BK HSTK")</f>
        <v>BK HSTK</v>
      </c>
      <c r="X184" s="1" t="str">
        <f>IFERROR(__xludf.DUMMYFUNCTION("""COMPUTED_VALUE"""),"HBBS AUG 2026")</f>
        <v>HBBS AUG 2026</v>
      </c>
      <c r="Y184" s="1" t="str">
        <f>IFERROR(__xludf.DUMMYFUNCTION("""COMPUTED_VALUE"""),"BK_CVEU_260806")</f>
        <v>BK_CVEU_260806</v>
      </c>
      <c r="Z184" s="1" t="str">
        <f>IFERROR(__xludf.DUMMYFUNCTION("""COMPUTED_VALUE"""),"NEW CONNECT")</f>
        <v>NEW CONNECT</v>
      </c>
      <c r="AA184" s="1">
        <f>IFERROR(__xludf.DUMMYFUNCTION("""COMPUTED_VALUE"""),639328487438)</f>
        <v>639328487438</v>
      </c>
      <c r="AB184" s="1"/>
      <c r="AC184" s="1">
        <f>IFERROR(__xludf.DUMMYFUNCTION("""COMPUTED_VALUE"""),256)</f>
        <v>256</v>
      </c>
      <c r="AD184" s="1" t="str">
        <f>IFERROR(__xludf.DUMMYFUNCTION("""COMPUTED_VALUE"""),"MUNTING ILOG")</f>
        <v>MUNTING ILOG</v>
      </c>
      <c r="AE184" s="1"/>
      <c r="AF184" s="1" t="str">
        <f>IFERROR(__xludf.DUMMYFUNCTION("""COMPUTED_VALUE"""),"BGY MUNTING ILOG")</f>
        <v>BGY MUNTING ILOG</v>
      </c>
      <c r="AG184" s="1" t="str">
        <f>IFERROR(__xludf.DUMMYFUNCTION("""COMPUTED_VALUE"""),"SILANG")</f>
        <v>SILANG</v>
      </c>
      <c r="AH184" s="1" t="str">
        <f>IFERROR(__xludf.DUMMYFUNCTION("""COMPUTED_VALUE"""),"MUNTING ILOG NATIONAL HIGH SCHOOL")</f>
        <v>MUNTING ILOG NATIONAL HIGH SCHOOL</v>
      </c>
      <c r="AI184" s="1" t="str">
        <f>IFERROR(__xludf.DUMMYFUNCTION("""COMPUTED_VALUE"""),"CLUSTER 11")</f>
        <v>CLUSTER 11</v>
      </c>
    </row>
    <row r="185" customHeight="1" spans="1:35">
      <c r="A185" s="3">
        <f>IFERROR(__xludf.DUMMYFUNCTION("""COMPUTED_VALUE"""),46253)</f>
        <v>46253</v>
      </c>
      <c r="B185" s="1" t="str">
        <f>IFERROR(__xludf.DUMMYFUNCTION("""COMPUTED_VALUE"""),"MAGELLE KRIS CORTEZ MACABEO")</f>
        <v>MAGELLE KRIS CORTEZ MACABEO</v>
      </c>
      <c r="C185" s="1">
        <f>IFERROR(__xludf.DUMMYFUNCTION("""COMPUTED_VALUE"""),2311915403)</f>
        <v>2311915403</v>
      </c>
      <c r="D185" s="1">
        <f>IFERROR(__xludf.DUMMYFUNCTION("""COMPUTED_VALUE"""),407037391)</f>
        <v>407037391</v>
      </c>
      <c r="E185" s="1">
        <f>IFERROR(__xludf.DUMMYFUNCTION("""COMPUTED_VALUE"""),467137912004)</f>
        <v>467137912004</v>
      </c>
      <c r="F185" s="1" t="str">
        <f>IFERROR(__xludf.DUMMYFUNCTION("""COMPUTED_VALUE"""),"CLOSED")</f>
        <v>CLOSED</v>
      </c>
      <c r="G185" s="1" t="str">
        <f>IFERROR(__xludf.DUMMYFUNCTION("""COMPUTED_VALUE"""),"CLOSED")</f>
        <v>CLOSED</v>
      </c>
      <c r="H185" s="1" t="str">
        <f>IFERROR(__xludf.DUMMYFUNCTION("""COMPUTED_VALUE"""),"PAID VIA GCASH - AUG 20 - REF - 106375962")</f>
        <v>PAID VIA GCASH - AUG 20 - REF - 106375962</v>
      </c>
      <c r="I185" s="1" t="str">
        <f>IFERROR(__xludf.DUMMYFUNCTION("""COMPUTED_VALUE"""),"WITH 1 AMSF")</f>
        <v>WITH 1 AMSF</v>
      </c>
      <c r="J185" s="1"/>
      <c r="K185" s="1" t="str">
        <f>IFERROR(__xludf.DUMMYFUNCTION("""COMPUTED_VALUE"""),"COMPLETED")</f>
        <v>COMPLETED</v>
      </c>
      <c r="L185" s="1" t="str">
        <f>IFERROR(__xludf.DUMMYFUNCTION("""COMPUTED_VALUE"""),"POSTED")</f>
        <v>POSTED</v>
      </c>
      <c r="M185" s="1" t="str">
        <f>IFERROR(__xludf.DUMMYFUNCTION("""COMPUTED_VALUE"""),"POSTED")</f>
        <v>POSTED</v>
      </c>
      <c r="N185" s="3">
        <f>IFERROR(__xludf.DUMMYFUNCTION("""COMPUTED_VALUE"""),46253)</f>
        <v>46253</v>
      </c>
      <c r="O185" s="1" t="str">
        <f>IFERROR(__xludf.DUMMYFUNCTION("""COMPUTED_VALUE"""),"FIBR PLAN 1299")</f>
        <v>FIBR PLAN 1299</v>
      </c>
      <c r="P185" s="1" t="str">
        <f>IFERROR(__xludf.DUMMYFUNCTION("""COMPUTED_VALUE"""),"LOWPLAN")</f>
        <v>LOWPLAN</v>
      </c>
      <c r="Q185" s="1" t="str">
        <f>IFERROR(__xludf.DUMMYFUNCTION("""COMPUTED_VALUE"""),"P407044")</f>
        <v>P407044</v>
      </c>
      <c r="R185" s="1" t="str">
        <f>IFERROR(__xludf.DUMMYFUNCTION("""COMPUTED_VALUE"""),"AYON, MANUEL")</f>
        <v>AYON, MANUEL</v>
      </c>
      <c r="S185" s="1" t="str">
        <f>IFERROR(__xludf.DUMMYFUNCTION("""COMPUTED_VALUE"""),"FLA")</f>
        <v>FLA</v>
      </c>
      <c r="T185" s="1" t="str">
        <f>IFERROR(__xludf.DUMMYFUNCTION("""COMPUTED_VALUE"""),"JERIC NAVARRO")</f>
        <v>JERIC NAVARRO</v>
      </c>
      <c r="U185" s="1" t="str">
        <f>IFERROR(__xludf.DUMMYFUNCTION("""COMPUTED_VALUE"""),"JB SALIOA")</f>
        <v>JB SALIOA</v>
      </c>
      <c r="V185" s="1" t="str">
        <f>IFERROR(__xludf.DUMMYFUNCTION("""COMPUTED_VALUE"""),"BK HSTK")</f>
        <v>BK HSTK</v>
      </c>
      <c r="W185" s="1" t="str">
        <f>IFERROR(__xludf.DUMMYFUNCTION("""COMPUTED_VALUE"""),"BK HSTK")</f>
        <v>BK HSTK</v>
      </c>
      <c r="X185" s="1" t="str">
        <f>IFERROR(__xludf.DUMMYFUNCTION("""COMPUTED_VALUE"""),"HBBS AUG 2026")</f>
        <v>HBBS AUG 2026</v>
      </c>
      <c r="Y185" s="1" t="str">
        <f>IFERROR(__xludf.DUMMYFUNCTION("""COMPUTED_VALUE"""),"BK_CVEU_260803")</f>
        <v>BK_CVEU_260803</v>
      </c>
      <c r="Z185" s="1" t="str">
        <f>IFERROR(__xludf.DUMMYFUNCTION("""COMPUTED_VALUE"""),"NEW CONNECT")</f>
        <v>NEW CONNECT</v>
      </c>
      <c r="AA185" s="1">
        <f>IFERROR(__xludf.DUMMYFUNCTION("""COMPUTED_VALUE"""),639176213157)</f>
        <v>639176213157</v>
      </c>
      <c r="AB185" s="1">
        <f>IFERROR(__xludf.DUMMYFUNCTION("""COMPUTED_VALUE"""),639175427180)</f>
        <v>639175427180</v>
      </c>
      <c r="AC185" s="1"/>
      <c r="AD185" s="1" t="str">
        <f>IFERROR(__xludf.DUMMYFUNCTION("""COMPUTED_VALUE"""),"PHASE 5")</f>
        <v>PHASE 5</v>
      </c>
      <c r="AE185" s="1" t="str">
        <f>IFERROR(__xludf.DUMMYFUNCTION("""COMPUTED_VALUE"""),"TERRAVERDE RESIDENCES")</f>
        <v>TERRAVERDE RESIDENCES</v>
      </c>
      <c r="AF185" s="1" t="str">
        <f>IFERROR(__xludf.DUMMYFUNCTION("""COMPUTED_VALUE"""),"BGY BANCAL")</f>
        <v>BGY BANCAL</v>
      </c>
      <c r="AG185" s="1" t="str">
        <f>IFERROR(__xludf.DUMMYFUNCTION("""COMPUTED_VALUE"""),"CARMONA")</f>
        <v>CARMONA</v>
      </c>
      <c r="AH185" s="1" t="str">
        <f>IFERROR(__xludf.DUMMYFUNCTION("""COMPUTED_VALUE"""),"-")</f>
        <v>-</v>
      </c>
      <c r="AI185" s="1" t="str">
        <f>IFERROR(__xludf.DUMMYFUNCTION("""COMPUTED_VALUE"""),"CLUSTER 11")</f>
        <v>CLUSTER 11</v>
      </c>
    </row>
    <row r="186" customHeight="1" spans="1:35">
      <c r="A186" s="3">
        <f>IFERROR(__xludf.DUMMYFUNCTION("""COMPUTED_VALUE"""),46253)</f>
        <v>46253</v>
      </c>
      <c r="B186" s="1" t="str">
        <f>IFERROR(__xludf.DUMMYFUNCTION("""COMPUTED_VALUE"""),"LESTER BENITEZ ANIT")</f>
        <v>LESTER BENITEZ ANIT</v>
      </c>
      <c r="C186" s="1">
        <f>IFERROR(__xludf.DUMMYFUNCTION("""COMPUTED_VALUE"""),2311917044)</f>
        <v>2311917044</v>
      </c>
      <c r="D186" s="1"/>
      <c r="E186" s="1"/>
      <c r="F186" s="1" t="str">
        <f>IFERROR(__xludf.DUMMYFUNCTION("""COMPUTED_VALUE"""),"CANCELLED")</f>
        <v>CANCELLED</v>
      </c>
      <c r="G186" s="1" t="str">
        <f>IFERROR(__xludf.DUMMYFUNCTION("""COMPUTED_VALUE"""),"(FAILED TO PROVIDE DOCS) GG - SEGMENT 1 - NEW TO CREDIT - HIGH RISK")</f>
        <v>(FAILED TO PROVIDE DOCS) GG - SEGMENT 1 - NEW TO CREDIT - HIGH RISK</v>
      </c>
      <c r="H186" s="1"/>
      <c r="I186" s="1"/>
      <c r="J186" s="1"/>
      <c r="K186" s="1"/>
      <c r="L186" s="1" t="str">
        <f>IFERROR(__xludf.DUMMYFUNCTION("""COMPUTED_VALUE"""),"CANCELLED ")</f>
        <v>CANCELLED </v>
      </c>
      <c r="M186" s="1" t="str">
        <f>IFERROR(__xludf.DUMMYFUNCTION("""COMPUTED_VALUE"""),"CANCELLED - WITH EXISTING SR")</f>
        <v>CANCELLED - WITH EXISTING SR</v>
      </c>
      <c r="N186" s="3"/>
      <c r="O186" s="1" t="str">
        <f>IFERROR(__xludf.DUMMYFUNCTION("""COMPUTED_VALUE"""),"FIBR UNLI ALL PLAN 999")</f>
        <v>FIBR UNLI ALL PLAN 999</v>
      </c>
      <c r="P186" s="1" t="str">
        <f>IFERROR(__xludf.DUMMYFUNCTION("""COMPUTED_VALUE"""),"LOWPLAN")</f>
        <v>LOWPLAN</v>
      </c>
      <c r="Q186" s="1" t="str">
        <f>IFERROR(__xludf.DUMMYFUNCTION("""COMPUTED_VALUE"""),"P407047")</f>
        <v>P407047</v>
      </c>
      <c r="R186" s="1" t="str">
        <f>IFERROR(__xludf.DUMMYFUNCTION("""COMPUTED_VALUE"""),"FRANCISCO, ROSELYN")</f>
        <v>FRANCISCO, ROSELYN</v>
      </c>
      <c r="S186" s="1" t="str">
        <f>IFERROR(__xludf.DUMMYFUNCTION("""COMPUTED_VALUE"""),"ORGANIC")</f>
        <v>ORGANIC</v>
      </c>
      <c r="T186" s="1" t="str">
        <f>IFERROR(__xludf.DUMMYFUNCTION("""COMPUTED_VALUE"""),"LEA REMOLLO")</f>
        <v>LEA REMOLLO</v>
      </c>
      <c r="U186" s="1" t="str">
        <f>IFERROR(__xludf.DUMMYFUNCTION("""COMPUTED_VALUE"""),"JB SALIOA")</f>
        <v>JB SALIOA</v>
      </c>
      <c r="V186" s="1" t="str">
        <f>IFERROR(__xludf.DUMMYFUNCTION("""COMPUTED_VALUE"""),"ONLINE/CRANFORD")</f>
        <v>ONLINE/CRANFORD</v>
      </c>
      <c r="W186" s="1" t="str">
        <f>IFERROR(__xludf.DUMMYFUNCTION("""COMPUTED_VALUE"""),"STK REGULAR")</f>
        <v>STK REGULAR</v>
      </c>
      <c r="X186" s="1" t="str">
        <f>IFERROR(__xludf.DUMMYFUNCTION("""COMPUTED_VALUE"""),"HBBS AUG 2026")</f>
        <v>HBBS AUG 2026</v>
      </c>
      <c r="Y186" s="1" t="str">
        <f>IFERROR(__xludf.DUMMYFUNCTION("""COMPUTED_VALUE"""),"RS_ONL_CVEU_2026")</f>
        <v>RS_ONL_CVEU_2026</v>
      </c>
      <c r="Z186" s="1" t="str">
        <f>IFERROR(__xludf.DUMMYFUNCTION("""COMPUTED_VALUE"""),"NEW CONNECT")</f>
        <v>NEW CONNECT</v>
      </c>
      <c r="AA186" s="1">
        <f>IFERROR(__xludf.DUMMYFUNCTION("""COMPUTED_VALUE"""),639384187145)</f>
        <v>639384187145</v>
      </c>
      <c r="AB186" s="1"/>
      <c r="AC186" s="1">
        <f>IFERROR(__xludf.DUMMYFUNCTION("""COMPUTED_VALUE"""),202)</f>
        <v>202</v>
      </c>
      <c r="AD186" s="1" t="str">
        <f>IFERROR(__xludf.DUMMYFUNCTION("""COMPUTED_VALUE"""),"V MORALES")</f>
        <v>V MORALES</v>
      </c>
      <c r="AE186" s="1"/>
      <c r="AF186" s="1" t="str">
        <f>IFERROR(__xludf.DUMMYFUNCTION("""COMPUTED_VALUE"""),"BGY SAN JUAN 1")</f>
        <v>BGY SAN JUAN 1</v>
      </c>
      <c r="AG186" s="1" t="str">
        <f>IFERROR(__xludf.DUMMYFUNCTION("""COMPUTED_VALUE"""),"TERNATE")</f>
        <v>TERNATE</v>
      </c>
      <c r="AH186" s="1" t="str">
        <f>IFERROR(__xludf.DUMMYFUNCTION("""COMPUTED_VALUE"""),"SARI SARI STORE")</f>
        <v>SARI SARI STORE</v>
      </c>
      <c r="AI186" s="1" t="str">
        <f>IFERROR(__xludf.DUMMYFUNCTION("""COMPUTED_VALUE"""),"NOT AOR")</f>
        <v>NOT AOR</v>
      </c>
    </row>
    <row r="187" customHeight="1" spans="1:35">
      <c r="A187" s="3">
        <f>IFERROR(__xludf.DUMMYFUNCTION("""COMPUTED_VALUE"""),46253)</f>
        <v>46253</v>
      </c>
      <c r="B187" s="1" t="str">
        <f>IFERROR(__xludf.DUMMYFUNCTION("""COMPUTED_VALUE"""),"NELLIE MIRABUENO BENASA")</f>
        <v>NELLIE MIRABUENO BENASA</v>
      </c>
      <c r="C187" s="1">
        <f>IFERROR(__xludf.DUMMYFUNCTION("""COMPUTED_VALUE"""),2311919887)</f>
        <v>2311919887</v>
      </c>
      <c r="D187" s="1">
        <f>IFERROR(__xludf.DUMMYFUNCTION("""COMPUTED_VALUE"""),407043588)</f>
        <v>407043588</v>
      </c>
      <c r="E187" s="1">
        <f>IFERROR(__xludf.DUMMYFUNCTION("""COMPUTED_VALUE"""),467138333004)</f>
        <v>467138333004</v>
      </c>
      <c r="F187" s="1" t="str">
        <f>IFERROR(__xludf.DUMMYFUNCTION("""COMPUTED_VALUE"""),"CLOSED")</f>
        <v>CLOSED</v>
      </c>
      <c r="G187" s="1" t="str">
        <f>IFERROR(__xludf.DUMMYFUNCTION("""COMPUTED_VALUE"""),"CLOSED")</f>
        <v>CLOSED</v>
      </c>
      <c r="H187" s="1" t="str">
        <f>IFERROR(__xludf.DUMMYFUNCTION("""COMPUTED_VALUE"""),"PQGOR361457885	20-Aug-26	Regular Payment	CIS-GCASH 3.0	1,399.00	0	20-Aug-26")</f>
        <v>PQGOR361457885	20-Aug-26	Regular Payment	CIS-GCASH 3.0	1,399.00	0	20-Aug-26</v>
      </c>
      <c r="I187" s="1" t="str">
        <f>IFERROR(__xludf.DUMMYFUNCTION("""COMPUTED_VALUE"""),"WITH 1 AMSF")</f>
        <v>WITH 1 AMSF</v>
      </c>
      <c r="J187" s="1"/>
      <c r="K187" s="1" t="str">
        <f>IFERROR(__xludf.DUMMYFUNCTION("""COMPUTED_VALUE"""),"COMPLETED")</f>
        <v>COMPLETED</v>
      </c>
      <c r="L187" s="1" t="str">
        <f>IFERROR(__xludf.DUMMYFUNCTION("""COMPUTED_VALUE"""),"POSTED")</f>
        <v>POSTED</v>
      </c>
      <c r="M187" s="1" t="str">
        <f>IFERROR(__xludf.DUMMYFUNCTION("""COMPUTED_VALUE"""),"POSTED")</f>
        <v>POSTED</v>
      </c>
      <c r="N187" s="3">
        <f>IFERROR(__xludf.DUMMYFUNCTION("""COMPUTED_VALUE"""),46259)</f>
        <v>46259</v>
      </c>
      <c r="O187" s="1" t="str">
        <f>IFERROR(__xludf.DUMMYFUNCTION("""COMPUTED_VALUE"""),"FIBR PLAN 1299")</f>
        <v>FIBR PLAN 1299</v>
      </c>
      <c r="P187" s="1" t="str">
        <f>IFERROR(__xludf.DUMMYFUNCTION("""COMPUTED_VALUE"""),"LOWPLAN")</f>
        <v>LOWPLAN</v>
      </c>
      <c r="Q187" s="1" t="str">
        <f>IFERROR(__xludf.DUMMYFUNCTION("""COMPUTED_VALUE"""),"P407050")</f>
        <v>P407050</v>
      </c>
      <c r="R187" s="1" t="str">
        <f>IFERROR(__xludf.DUMMYFUNCTION("""COMPUTED_VALUE"""),"ESCARCHA, ALMA")</f>
        <v>ESCARCHA, ALMA</v>
      </c>
      <c r="S187" s="1" t="str">
        <f>IFERROR(__xludf.DUMMYFUNCTION("""COMPUTED_VALUE"""),"ORGANIC")</f>
        <v>ORGANIC</v>
      </c>
      <c r="T187" s="1" t="str">
        <f>IFERROR(__xludf.DUMMYFUNCTION("""COMPUTED_VALUE"""),"LEA REMOLLO")</f>
        <v>LEA REMOLLO</v>
      </c>
      <c r="U187" s="1" t="str">
        <f>IFERROR(__xludf.DUMMYFUNCTION("""COMPUTED_VALUE"""),"JB SALIOA")</f>
        <v>JB SALIOA</v>
      </c>
      <c r="V187" s="1" t="str">
        <f>IFERROR(__xludf.DUMMYFUNCTION("""COMPUTED_VALUE"""),"BK HSTK")</f>
        <v>BK HSTK</v>
      </c>
      <c r="W187" s="1" t="str">
        <f>IFERROR(__xludf.DUMMYFUNCTION("""COMPUTED_VALUE"""),"BK HSTK")</f>
        <v>BK HSTK</v>
      </c>
      <c r="X187" s="1" t="str">
        <f>IFERROR(__xludf.DUMMYFUNCTION("""COMPUTED_VALUE"""),"HBBS AUG 2026")</f>
        <v>HBBS AUG 2026</v>
      </c>
      <c r="Y187" s="1" t="str">
        <f>IFERROR(__xludf.DUMMYFUNCTION("""COMPUTED_VALUE"""),"BK_CVEU_260806")</f>
        <v>BK_CVEU_260806</v>
      </c>
      <c r="Z187" s="1" t="str">
        <f>IFERROR(__xludf.DUMMYFUNCTION("""COMPUTED_VALUE"""),"NEW CONNECT")</f>
        <v>NEW CONNECT</v>
      </c>
      <c r="AA187" s="1">
        <f>IFERROR(__xludf.DUMMYFUNCTION("""COMPUTED_VALUE"""),639534233843)</f>
        <v>639534233843</v>
      </c>
      <c r="AB187" s="1">
        <f>IFERROR(__xludf.DUMMYFUNCTION("""COMPUTED_VALUE"""),639166990239)</f>
        <v>639166990239</v>
      </c>
      <c r="AC187" s="1"/>
      <c r="AD187" s="1" t="str">
        <f>IFERROR(__xludf.DUMMYFUNCTION("""COMPUTED_VALUE"""),"PHASE 6")</f>
        <v>PHASE 6</v>
      </c>
      <c r="AE187" s="1"/>
      <c r="AF187" s="1" t="str">
        <f>IFERROR(__xludf.DUMMYFUNCTION("""COMPUTED_VALUE"""),"BGY BANABA")</f>
        <v>BGY BANABA</v>
      </c>
      <c r="AG187" s="1" t="str">
        <f>IFERROR(__xludf.DUMMYFUNCTION("""COMPUTED_VALUE"""),"SILANG")</f>
        <v>SILANG</v>
      </c>
      <c r="AH187" s="1" t="str">
        <f>IFERROR(__xludf.DUMMYFUNCTION("""COMPUTED_VALUE"""),"INFRONT OF ALFAMART")</f>
        <v>INFRONT OF ALFAMART</v>
      </c>
      <c r="AI187" s="1" t="str">
        <f>IFERROR(__xludf.DUMMYFUNCTION("""COMPUTED_VALUE"""),"CLUSTER 11")</f>
        <v>CLUSTER 11</v>
      </c>
    </row>
    <row r="188" customHeight="1" spans="1:35">
      <c r="A188" s="3">
        <f>IFERROR(__xludf.DUMMYFUNCTION("""COMPUTED_VALUE"""),46253)</f>
        <v>46253</v>
      </c>
      <c r="B188" s="1" t="str">
        <f>IFERROR(__xludf.DUMMYFUNCTION("""COMPUTED_VALUE"""),"ROYCE MICHAEL PANGANIBAN VILLELA")</f>
        <v>ROYCE MICHAEL PANGANIBAN VILLELA</v>
      </c>
      <c r="C188" s="1">
        <f>IFERROR(__xludf.DUMMYFUNCTION("""COMPUTED_VALUE"""),2311921822)</f>
        <v>2311921822</v>
      </c>
      <c r="D188" s="1">
        <f>IFERROR(__xludf.DUMMYFUNCTION("""COMPUTED_VALUE"""),407055594)</f>
        <v>407055594</v>
      </c>
      <c r="E188" s="1">
        <f>IFERROR(__xludf.DUMMYFUNCTION("""COMPUTED_VALUE"""),467144225004)</f>
        <v>467144225004</v>
      </c>
      <c r="F188" s="1" t="str">
        <f>IFERROR(__xludf.DUMMYFUNCTION("""COMPUTED_VALUE"""),"CANCELLED")</f>
        <v>CANCELLED</v>
      </c>
      <c r="G188" s="1" t="str">
        <f>IFERROR(__xludf.DUMMYFUNCTION("""COMPUTED_VALUE"""),"AUTO - AGING")</f>
        <v>AUTO - AGING</v>
      </c>
      <c r="H188" s="1" t="str">
        <f>IFERROR(__xludf.DUMMYFUNCTION("""COMPUTED_VALUE"""),"TOK TO SOR PAKI CANCEL NALANG DAW DI NA NYA NEED  08/29 9:22")</f>
        <v>TOK TO SOR PAKI CANCEL NALANG DAW DI NA NYA NEED  08/29 9:22</v>
      </c>
      <c r="I188" s="1"/>
      <c r="J188" s="1"/>
      <c r="K188" s="1" t="str">
        <f>IFERROR(__xludf.DUMMYFUNCTION("""COMPUTED_VALUE"""),"NOT IN OFSC")</f>
        <v>NOT IN OFSC</v>
      </c>
      <c r="L188" s="1" t="str">
        <f>IFERROR(__xludf.DUMMYFUNCTION("""COMPUTED_VALUE"""),"CANCELLED - AGING")</f>
        <v>CANCELLED - AGING</v>
      </c>
      <c r="M188" s="1" t="str">
        <f>IFERROR(__xludf.DUMMYFUNCTION("""COMPUTED_VALUE"""),"CANCELLED - AGING")</f>
        <v>CANCELLED - AGING</v>
      </c>
      <c r="N188" s="3"/>
      <c r="O188" s="1" t="str">
        <f>IFERROR(__xludf.DUMMYFUNCTION("""COMPUTED_VALUE"""),"FIBR UNLI ALL PLAN 999")</f>
        <v>FIBR UNLI ALL PLAN 999</v>
      </c>
      <c r="P188" s="1" t="str">
        <f>IFERROR(__xludf.DUMMYFUNCTION("""COMPUTED_VALUE"""),"LOWPLAN")</f>
        <v>LOWPLAN</v>
      </c>
      <c r="Q188" s="1" t="str">
        <f>IFERROR(__xludf.DUMMYFUNCTION("""COMPUTED_VALUE"""),"P407047")</f>
        <v>P407047</v>
      </c>
      <c r="R188" s="1" t="str">
        <f>IFERROR(__xludf.DUMMYFUNCTION("""COMPUTED_VALUE"""),"RIVERA, AIRIZH JOY")</f>
        <v>RIVERA, AIRIZH JOY</v>
      </c>
      <c r="S188" s="1" t="str">
        <f>IFERROR(__xludf.DUMMYFUNCTION("""COMPUTED_VALUE"""),"ORGANIC")</f>
        <v>ORGANIC</v>
      </c>
      <c r="T188" s="1" t="str">
        <f>IFERROR(__xludf.DUMMYFUNCTION("""COMPUTED_VALUE"""),"LEA REMOLLO")</f>
        <v>LEA REMOLLO</v>
      </c>
      <c r="U188" s="1" t="str">
        <f>IFERROR(__xludf.DUMMYFUNCTION("""COMPUTED_VALUE"""),"JB SALIOA")</f>
        <v>JB SALIOA</v>
      </c>
      <c r="V188" s="1" t="str">
        <f>IFERROR(__xludf.DUMMYFUNCTION("""COMPUTED_VALUE"""),"ONLINE/CRANFORD")</f>
        <v>ONLINE/CRANFORD</v>
      </c>
      <c r="W188" s="1" t="str">
        <f>IFERROR(__xludf.DUMMYFUNCTION("""COMPUTED_VALUE"""),"STK REGULAR")</f>
        <v>STK REGULAR</v>
      </c>
      <c r="X188" s="1" t="str">
        <f>IFERROR(__xludf.DUMMYFUNCTION("""COMPUTED_VALUE"""),"HBBS AUG 2026")</f>
        <v>HBBS AUG 2026</v>
      </c>
      <c r="Y188" s="1" t="str">
        <f>IFERROR(__xludf.DUMMYFUNCTION("""COMPUTED_VALUE"""),"RS_ONL_CVEU_2026")</f>
        <v>RS_ONL_CVEU_2026</v>
      </c>
      <c r="Z188" s="1" t="str">
        <f>IFERROR(__xludf.DUMMYFUNCTION("""COMPUTED_VALUE"""),"NEW CONNECT")</f>
        <v>NEW CONNECT</v>
      </c>
      <c r="AA188" s="1">
        <f>IFERROR(__xludf.DUMMYFUNCTION("""COMPUTED_VALUE"""),639208314420)</f>
        <v>639208314420</v>
      </c>
      <c r="AB188" s="1">
        <f>IFERROR(__xludf.DUMMYFUNCTION("""COMPUTED_VALUE"""),639345185490)</f>
        <v>639345185490</v>
      </c>
      <c r="AC188" s="1">
        <f>IFERROR(__xludf.DUMMYFUNCTION("""COMPUTED_VALUE"""),9799)</f>
        <v>9799</v>
      </c>
      <c r="AD188" s="1" t="str">
        <f>IFERROR(__xludf.DUMMYFUNCTION("""COMPUTED_VALUE"""),"PUROK 77")</f>
        <v>PUROK 77</v>
      </c>
      <c r="AE188" s="1"/>
      <c r="AF188" s="1" t="str">
        <f>IFERROR(__xludf.DUMMYFUNCTION("""COMPUTED_VALUE"""),"BGY KAYBAGAL SOUTH")</f>
        <v>BGY KAYBAGAL SOUTH</v>
      </c>
      <c r="AG188" s="1" t="str">
        <f>IFERROR(__xludf.DUMMYFUNCTION("""COMPUTED_VALUE"""),"TAGAYTAY")</f>
        <v>TAGAYTAY</v>
      </c>
      <c r="AH188" s="1" t="str">
        <f>IFERROR(__xludf.DUMMYFUNCTION("""COMPUTED_VALUE"""),"CAFE SEVERINO")</f>
        <v>CAFE SEVERINO</v>
      </c>
      <c r="AI188" s="1" t="str">
        <f>IFERROR(__xludf.DUMMYFUNCTION("""COMPUTED_VALUE"""),"CLUSTER 12")</f>
        <v>CLUSTER 12</v>
      </c>
    </row>
    <row r="189" customHeight="1" spans="1:35">
      <c r="A189" s="3">
        <f>IFERROR(__xludf.DUMMYFUNCTION("""COMPUTED_VALUE"""),46253)</f>
        <v>46253</v>
      </c>
      <c r="B189" s="1" t="str">
        <f>IFERROR(__xludf.DUMMYFUNCTION("""COMPUTED_VALUE"""),"EUNICE PENALBA CHO")</f>
        <v>EUNICE PENALBA CHO</v>
      </c>
      <c r="C189" s="1">
        <f>IFERROR(__xludf.DUMMYFUNCTION("""COMPUTED_VALUE"""),2311924148)</f>
        <v>2311924148</v>
      </c>
      <c r="D189" s="1"/>
      <c r="E189" s="1"/>
      <c r="F189" s="1" t="str">
        <f>IFERROR(__xludf.DUMMYFUNCTION("""COMPUTED_VALUE"""),"CANCELLED")</f>
        <v>CANCELLED</v>
      </c>
      <c r="G189" s="1" t="str">
        <f>IFERROR(__xludf.DUMMYFUNCTION("""COMPUTED_VALUE"""),"(PLDT_INCOMPLETE / INVALID DOCS) WITH ACTIVE TEL# 0468409869 DIFFERENT ADDRESS// FOR MULTIPLE LINE APPLICATION// NEED TO SUBMIT POA OF THE NEW APPLIED ADDRESS UNDER APPLICANT'S NAME")</f>
        <v>(PLDT_INCOMPLETE / INVALID DOCS) WITH ACTIVE TEL# 0468409869 DIFFERENT ADDRESS// FOR MULTIPLE LINE APPLICATION// NEED TO SUBMIT POA OF THE NEW APPLIED ADDRESS UNDER APPLICANT'S NAME</v>
      </c>
      <c r="H189" s="1"/>
      <c r="I189" s="1"/>
      <c r="J189" s="1"/>
      <c r="K189" s="1"/>
      <c r="L189" s="1" t="str">
        <f>IFERROR(__xludf.DUMMYFUNCTION("""COMPUTED_VALUE"""),"CANCELLED - WITH ACTIVE LINE")</f>
        <v>CANCELLED - WITH ACTIVE LINE</v>
      </c>
      <c r="M189" s="1" t="str">
        <f>IFERROR(__xludf.DUMMYFUNCTION("""COMPUTED_VALUE"""),"CANCELLED - WITH ACTIVE LINE")</f>
        <v>CANCELLED - WITH ACTIVE LINE</v>
      </c>
      <c r="N189" s="3"/>
      <c r="O189" s="1" t="str">
        <f>IFERROR(__xludf.DUMMYFUNCTION("""COMPUTED_VALUE"""),"FIBR PLAN 1699")</f>
        <v>FIBR PLAN 1699</v>
      </c>
      <c r="P189" s="1" t="str">
        <f>IFERROR(__xludf.DUMMYFUNCTION("""COMPUTED_VALUE"""),"HIGHPLAN")</f>
        <v>HIGHPLAN</v>
      </c>
      <c r="Q189" s="1" t="str">
        <f>IFERROR(__xludf.DUMMYFUNCTION("""COMPUTED_VALUE"""),"P407045")</f>
        <v>P407045</v>
      </c>
      <c r="R189" s="1" t="str">
        <f>IFERROR(__xludf.DUMMYFUNCTION("""COMPUTED_VALUE"""),"OPS")</f>
        <v>OPS</v>
      </c>
      <c r="S189" s="1" t="str">
        <f>IFERROR(__xludf.DUMMYFUNCTION("""COMPUTED_VALUE"""),"FLA")</f>
        <v>FLA</v>
      </c>
      <c r="T189" s="1" t="str">
        <f>IFERROR(__xludf.DUMMYFUNCTION("""COMPUTED_VALUE"""),"JERIC NAVARRO")</f>
        <v>JERIC NAVARRO</v>
      </c>
      <c r="U189" s="1" t="str">
        <f>IFERROR(__xludf.DUMMYFUNCTION("""COMPUTED_VALUE"""),"JB SALIOA")</f>
        <v>JB SALIOA</v>
      </c>
      <c r="V189" s="1" t="str">
        <f>IFERROR(__xludf.DUMMYFUNCTION("""COMPUTED_VALUE"""),"ONLINE/CRANFORD")</f>
        <v>ONLINE/CRANFORD</v>
      </c>
      <c r="W189" s="1" t="str">
        <f>IFERROR(__xludf.DUMMYFUNCTION("""COMPUTED_VALUE"""),"STK REGULAR")</f>
        <v>STK REGULAR</v>
      </c>
      <c r="X189" s="1" t="str">
        <f>IFERROR(__xludf.DUMMYFUNCTION("""COMPUTED_VALUE"""),"HBBS AUG 2026")</f>
        <v>HBBS AUG 2026</v>
      </c>
      <c r="Y189" s="1" t="str">
        <f>IFERROR(__xludf.DUMMYFUNCTION("""COMPUTED_VALUE"""),"RS_ONL_CVEU_2026")</f>
        <v>RS_ONL_CVEU_2026</v>
      </c>
      <c r="Z189" s="1" t="str">
        <f>IFERROR(__xludf.DUMMYFUNCTION("""COMPUTED_VALUE"""),"NEW CONNECT")</f>
        <v>NEW CONNECT</v>
      </c>
      <c r="AA189" s="1">
        <f>IFERROR(__xludf.DUMMYFUNCTION("""COMPUTED_VALUE"""),639065765215)</f>
        <v>639065765215</v>
      </c>
      <c r="AB189" s="1">
        <f>IFERROR(__xludf.DUMMYFUNCTION("""COMPUTED_VALUE"""),639158890005)</f>
        <v>639158890005</v>
      </c>
      <c r="AC189" s="1"/>
      <c r="AD189" s="1" t="str">
        <f>IFERROR(__xludf.DUMMYFUNCTION("""COMPUTED_VALUE"""),"SOUTHRIDGE")</f>
        <v>SOUTHRIDGE</v>
      </c>
      <c r="AE189" s="1" t="str">
        <f>IFERROR(__xludf.DUMMYFUNCTION("""COMPUTED_VALUE"""),"TAGAYTAY SOUTHRIDGE ESTATE")</f>
        <v>TAGAYTAY SOUTHRIDGE ESTATE</v>
      </c>
      <c r="AF189" s="1" t="str">
        <f>IFERROR(__xludf.DUMMYFUNCTION("""COMPUTED_VALUE"""),"BGY SUNGAY NORTH")</f>
        <v>BGY SUNGAY NORTH</v>
      </c>
      <c r="AG189" s="1" t="str">
        <f>IFERROR(__xludf.DUMMYFUNCTION("""COMPUTED_VALUE"""),"TAGAYTAY")</f>
        <v>TAGAYTAY</v>
      </c>
      <c r="AH189" s="1" t="str">
        <f>IFERROR(__xludf.DUMMYFUNCTION("""COMPUTED_VALUE"""),"BESIDE ONE TAGAYTAY")</f>
        <v>BESIDE ONE TAGAYTAY</v>
      </c>
      <c r="AI189" s="1" t="str">
        <f>IFERROR(__xludf.DUMMYFUNCTION("""COMPUTED_VALUE"""),"CLUSTER 12")</f>
        <v>CLUSTER 12</v>
      </c>
    </row>
    <row r="190" customHeight="1" spans="1:35">
      <c r="A190" s="3">
        <f>IFERROR(__xludf.DUMMYFUNCTION("""COMPUTED_VALUE"""),46253)</f>
        <v>46253</v>
      </c>
      <c r="B190" s="1" t="str">
        <f>IFERROR(__xludf.DUMMYFUNCTION("""COMPUTED_VALUE"""),"APRIL SHAINE ALOG REBATE")</f>
        <v>APRIL SHAINE ALOG REBATE</v>
      </c>
      <c r="C190" s="1">
        <f>IFERROR(__xludf.DUMMYFUNCTION("""COMPUTED_VALUE"""),2311929176)</f>
        <v>2311929176</v>
      </c>
      <c r="D190" s="1">
        <f>IFERROR(__xludf.DUMMYFUNCTION("""COMPUTED_VALUE"""),407074378)</f>
        <v>407074378</v>
      </c>
      <c r="E190" s="1">
        <f>IFERROR(__xludf.DUMMYFUNCTION("""COMPUTED_VALUE"""),467256311004)</f>
        <v>467256311004</v>
      </c>
      <c r="F190" s="1" t="str">
        <f>IFERROR(__xludf.DUMMYFUNCTION("""COMPUTED_VALUE"""),"RPR")</f>
        <v>RPR</v>
      </c>
      <c r="G190" s="1" t="str">
        <f>IFERROR(__xludf.DUMMYFUNCTION("""COMPUTED_VALUE"""),"RPR SUBS REQUEST FOR CANCEL APPLICATION  DUE TO OTHER PROVIDER  FIBER BLAZE")</f>
        <v>RPR SUBS REQUEST FOR CANCEL APPLICATION  DUE TO OTHER PROVIDER  FIBER BLAZE</v>
      </c>
      <c r="H190" s="1"/>
      <c r="I190" s="1"/>
      <c r="J190" s="1"/>
      <c r="K190" s="1" t="str">
        <f>IFERROR(__xludf.DUMMYFUNCTION("""COMPUTED_VALUE"""),"CANCELED")</f>
        <v>CANCELED</v>
      </c>
      <c r="L190" s="1" t="str">
        <f>IFERROR(__xludf.DUMMYFUNCTION("""COMPUTED_VALUE"""),"RPR - SUBS CANCEL REQUEST")</f>
        <v>RPR - SUBS CANCEL REQUEST</v>
      </c>
      <c r="M190" s="1" t="str">
        <f>IFERROR(__xludf.DUMMYFUNCTION("""COMPUTED_VALUE"""),"RPR- SUBS CANCEL REQUEST")</f>
        <v>RPR- SUBS CANCEL REQUEST</v>
      </c>
      <c r="N190" s="3"/>
      <c r="O190" s="1" t="str">
        <f>IFERROR(__xludf.DUMMYFUNCTION("""COMPUTED_VALUE"""),"FIBER UNLI ALL PLAN 1899")</f>
        <v>FIBER UNLI ALL PLAN 1899</v>
      </c>
      <c r="P190" s="1" t="str">
        <f>IFERROR(__xludf.DUMMYFUNCTION("""COMPUTED_VALUE"""),"HIGHPLAN")</f>
        <v>HIGHPLAN</v>
      </c>
      <c r="Q190" s="1" t="str">
        <f>IFERROR(__xludf.DUMMYFUNCTION("""COMPUTED_VALUE"""),"P407050")</f>
        <v>P407050</v>
      </c>
      <c r="R190" s="1" t="str">
        <f>IFERROR(__xludf.DUMMYFUNCTION("""COMPUTED_VALUE"""),"ALOS, CHARLS LAURENZ")</f>
        <v>ALOS, CHARLS LAURENZ</v>
      </c>
      <c r="S190" s="1" t="str">
        <f>IFERROR(__xludf.DUMMYFUNCTION("""COMPUTED_VALUE"""),"ORGANIC")</f>
        <v>ORGANIC</v>
      </c>
      <c r="T190" s="1" t="str">
        <f>IFERROR(__xludf.DUMMYFUNCTION("""COMPUTED_VALUE"""),"LEA REMOLLO")</f>
        <v>LEA REMOLLO</v>
      </c>
      <c r="U190" s="1" t="str">
        <f>IFERROR(__xludf.DUMMYFUNCTION("""COMPUTED_VALUE"""),"JB SALIOA")</f>
        <v>JB SALIOA</v>
      </c>
      <c r="V190" s="1" t="str">
        <f>IFERROR(__xludf.DUMMYFUNCTION("""COMPUTED_VALUE"""),"BK REGULAR")</f>
        <v>BK REGULAR</v>
      </c>
      <c r="W190" s="1" t="str">
        <f>IFERROR(__xludf.DUMMYFUNCTION("""COMPUTED_VALUE"""),"STK REGULAR")</f>
        <v>STK REGULAR</v>
      </c>
      <c r="X190" s="1" t="str">
        <f>IFERROR(__xludf.DUMMYFUNCTION("""COMPUTED_VALUE"""),"HBBS AUG 2026")</f>
        <v>HBBS AUG 2026</v>
      </c>
      <c r="Y190" s="1" t="str">
        <f>IFERROR(__xludf.DUMMYFUNCTION("""COMPUTED_VALUE"""),"BK_CVEU_260804")</f>
        <v>BK_CVEU_260804</v>
      </c>
      <c r="Z190" s="1" t="str">
        <f>IFERROR(__xludf.DUMMYFUNCTION("""COMPUTED_VALUE"""),"NEW CONNECT")</f>
        <v>NEW CONNECT</v>
      </c>
      <c r="AA190" s="1">
        <f>IFERROR(__xludf.DUMMYFUNCTION("""COMPUTED_VALUE"""),639456233522)</f>
        <v>639456233522</v>
      </c>
      <c r="AB190" s="1">
        <f>IFERROR(__xludf.DUMMYFUNCTION("""COMPUTED_VALUE"""),639301474377)</f>
        <v>639301474377</v>
      </c>
      <c r="AC190" s="1"/>
      <c r="AD190" s="1" t="str">
        <f>IFERROR(__xludf.DUMMYFUNCTION("""COMPUTED_VALUE"""),"PHASE 4")</f>
        <v>PHASE 4</v>
      </c>
      <c r="AE190" s="1" t="str">
        <f>IFERROR(__xludf.DUMMYFUNCTION("""COMPUTED_VALUE"""),"ALTA TIERRA HOMES")</f>
        <v>ALTA TIERRA HOMES</v>
      </c>
      <c r="AF190" s="1" t="str">
        <f>IFERROR(__xludf.DUMMYFUNCTION("""COMPUTED_VALUE"""),"BGY ALDIANO OLAES")</f>
        <v>BGY ALDIANO OLAES</v>
      </c>
      <c r="AG190" s="1" t="str">
        <f>IFERROR(__xludf.DUMMYFUNCTION("""COMPUTED_VALUE"""),"GEN MARIANO ALVAREZ")</f>
        <v>GEN MARIANO ALVAREZ</v>
      </c>
      <c r="AH190" s="1" t="str">
        <f>IFERROR(__xludf.DUMMYFUNCTION("""COMPUTED_VALUE"""),"WATER TANK")</f>
        <v>WATER TANK</v>
      </c>
      <c r="AI190" s="1" t="str">
        <f>IFERROR(__xludf.DUMMYFUNCTION("""COMPUTED_VALUE"""),"CLUSTER 11")</f>
        <v>CLUSTER 11</v>
      </c>
    </row>
    <row r="191" customHeight="1" spans="1:35">
      <c r="A191" s="3">
        <f>IFERROR(__xludf.DUMMYFUNCTION("""COMPUTED_VALUE"""),46253)</f>
        <v>46253</v>
      </c>
      <c r="B191" s="1" t="str">
        <f>IFERROR(__xludf.DUMMYFUNCTION("""COMPUTED_VALUE"""),"MELISSA TAN ITLIONG")</f>
        <v>MELISSA TAN ITLIONG</v>
      </c>
      <c r="C191" s="1">
        <f>IFERROR(__xludf.DUMMYFUNCTION("""COMPUTED_VALUE"""),2311930301)</f>
        <v>2311930301</v>
      </c>
      <c r="D191" s="1"/>
      <c r="E191" s="1"/>
      <c r="F191" s="1" t="str">
        <f>IFERROR(__xludf.DUMMYFUNCTION("""COMPUTED_VALUE"""),"CANCELLED")</f>
        <v>CANCELLED</v>
      </c>
      <c r="G191" s="1" t="str">
        <f>IFERROR(__xludf.DUMMYFUNCTION("""COMPUTED_VALUE"""),"(NO LONGER INTERESTED ) SUBS CANCELLED | VERIFICATION OF SOA | CALLED THRU CBR 639774408175 (6:00 PM) TALKED TO SUBS REQUEST TO CANCEL THIS APPLICATION DUE TO ALREADY HAVE ANOTTHER INTERNET PROVIDE AND UNDECIDED DUE TO PAYMENT | INCOMPLETE DOCS | NO SUBMI"&amp;"TTED CPWF IF NEEDED | CLEARED FROM BLACKLISTED HIT | NO EXISTING ACTIVE ACCOUNT OR PENDING APPLICATION |CORRECT ENCODED INFO IN CSP | TU SCORING GG - 1 (NTC) WAIVED 1AMSF")</f>
        <v>(NO LONGER INTERESTED ) SUBS CANCELLED | VERIFICATION OF SOA | CALLED THRU CBR 639774408175 (6:00 PM) TALKED TO SUBS REQUEST TO CANCEL THIS APPLICATION DUE TO ALREADY HAVE ANOTTHER INTERNET PROVIDE AND UNDECIDED DUE TO PAYMENT | INCOMPLETE DOCS | NO SUBMITTED CPWF IF NEEDED | CLEARED FROM BLACKLISTED HIT | NO EXISTING ACTIVE ACCOUNT OR PENDING APPLICATION |CORRECT ENCODED INFO IN CSP | TU SCORING GG - 1 (NTC) WAIVED 1AMSF</v>
      </c>
      <c r="H191" s="1"/>
      <c r="I191" s="1"/>
      <c r="J191" s="1"/>
      <c r="K191" s="1"/>
      <c r="L191" s="1" t="str">
        <f>IFERROR(__xludf.DUMMYFUNCTION("""COMPUTED_VALUE"""),"SUBS CANCEL REQUEST")</f>
        <v>SUBS CANCEL REQUEST</v>
      </c>
      <c r="M191" s="1" t="str">
        <f>IFERROR(__xludf.DUMMYFUNCTION("""COMPUTED_VALUE"""),"CANCELLED - SUBS CANCEL REQUEST")</f>
        <v>CANCELLED - SUBS CANCEL REQUEST</v>
      </c>
      <c r="N191" s="3"/>
      <c r="O191" s="1" t="str">
        <f>IFERROR(__xludf.DUMMYFUNCTION("""COMPUTED_VALUE"""),"SWITCH FIBER UNLI ALL PLAN 1499")</f>
        <v>SWITCH FIBER UNLI ALL PLAN 1499</v>
      </c>
      <c r="P191" s="1" t="str">
        <f>IFERROR(__xludf.DUMMYFUNCTION("""COMPUTED_VALUE"""),"SWITCH")</f>
        <v>SWITCH</v>
      </c>
      <c r="Q191" s="1" t="str">
        <f>IFERROR(__xludf.DUMMYFUNCTION("""COMPUTED_VALUE"""),"P407050")</f>
        <v>P407050</v>
      </c>
      <c r="R191" s="1" t="str">
        <f>IFERROR(__xludf.DUMMYFUNCTION("""COMPUTED_VALUE"""),"CADERAO, RONALD")</f>
        <v>CADERAO, RONALD</v>
      </c>
      <c r="S191" s="1" t="str">
        <f>IFERROR(__xludf.DUMMYFUNCTION("""COMPUTED_VALUE"""),"ORGANIC")</f>
        <v>ORGANIC</v>
      </c>
      <c r="T191" s="1" t="str">
        <f>IFERROR(__xludf.DUMMYFUNCTION("""COMPUTED_VALUE"""),"LEA REMOLLO")</f>
        <v>LEA REMOLLO</v>
      </c>
      <c r="U191" s="1" t="str">
        <f>IFERROR(__xludf.DUMMYFUNCTION("""COMPUTED_VALUE"""),"JB SALIOA")</f>
        <v>JB SALIOA</v>
      </c>
      <c r="V191" s="1" t="str">
        <f>IFERROR(__xludf.DUMMYFUNCTION("""COMPUTED_VALUE"""),"BK REGULAR")</f>
        <v>BK REGULAR</v>
      </c>
      <c r="W191" s="1" t="str">
        <f>IFERROR(__xludf.DUMMYFUNCTION("""COMPUTED_VALUE"""),"STK REGULAR")</f>
        <v>STK REGULAR</v>
      </c>
      <c r="X191" s="1" t="str">
        <f>IFERROR(__xludf.DUMMYFUNCTION("""COMPUTED_VALUE"""),"ANTI COMPETITOR")</f>
        <v>ANTI COMPETITOR</v>
      </c>
      <c r="Y191" s="1" t="str">
        <f>IFERROR(__xludf.DUMMYFUNCTION("""COMPUTED_VALUE"""),"BK_CVEU_260804")</f>
        <v>BK_CVEU_260804</v>
      </c>
      <c r="Z191" s="1" t="str">
        <f>IFERROR(__xludf.DUMMYFUNCTION("""COMPUTED_VALUE"""),"NEW CONNECT")</f>
        <v>NEW CONNECT</v>
      </c>
      <c r="AA191" s="1">
        <f>IFERROR(__xludf.DUMMYFUNCTION("""COMPUTED_VALUE"""),639774408175)</f>
        <v>639774408175</v>
      </c>
      <c r="AB191" s="1"/>
      <c r="AC191" s="1"/>
      <c r="AD191" s="1" t="str">
        <f>IFERROR(__xludf.DUMMYFUNCTION("""COMPUTED_VALUE"""),"PHASE 4")</f>
        <v>PHASE 4</v>
      </c>
      <c r="AE191" s="1" t="str">
        <f>IFERROR(__xludf.DUMMYFUNCTION("""COMPUTED_VALUE"""),"ALTA TIERRA HOMES")</f>
        <v>ALTA TIERRA HOMES</v>
      </c>
      <c r="AF191" s="1" t="str">
        <f>IFERROR(__xludf.DUMMYFUNCTION("""COMPUTED_VALUE"""),"BGY ALDIANO OLAES")</f>
        <v>BGY ALDIANO OLAES</v>
      </c>
      <c r="AG191" s="1" t="str">
        <f>IFERROR(__xludf.DUMMYFUNCTION("""COMPUTED_VALUE"""),"GEN MARIANO ALVAREZ")</f>
        <v>GEN MARIANO ALVAREZ</v>
      </c>
      <c r="AH191" s="1" t="str">
        <f>IFERROR(__xludf.DUMMYFUNCTION("""COMPUTED_VALUE"""),"MANG MATIAS STORE")</f>
        <v>MANG MATIAS STORE</v>
      </c>
      <c r="AI191" s="1" t="str">
        <f>IFERROR(__xludf.DUMMYFUNCTION("""COMPUTED_VALUE"""),"CLUSTER 11")</f>
        <v>CLUSTER 11</v>
      </c>
    </row>
    <row r="192" customHeight="1" spans="1:35">
      <c r="A192" s="3">
        <f>IFERROR(__xludf.DUMMYFUNCTION("""COMPUTED_VALUE"""),46253)</f>
        <v>46253</v>
      </c>
      <c r="B192" s="1" t="str">
        <f>IFERROR(__xludf.DUMMYFUNCTION("""COMPUTED_VALUE"""),"ARLYN CUADRA LOPEZ")</f>
        <v>ARLYN CUADRA LOPEZ</v>
      </c>
      <c r="C192" s="1">
        <f>IFERROR(__xludf.DUMMYFUNCTION("""COMPUTED_VALUE"""),2311930910)</f>
        <v>2311930910</v>
      </c>
      <c r="D192" s="1">
        <f>IFERROR(__xludf.DUMMYFUNCTION("""COMPUTED_VALUE"""),407057783)</f>
        <v>407057783</v>
      </c>
      <c r="E192" s="1">
        <f>IFERROR(__xludf.DUMMYFUNCTION("""COMPUTED_VALUE"""),467145957004)</f>
        <v>467145957004</v>
      </c>
      <c r="F192" s="1" t="str">
        <f>IFERROR(__xludf.DUMMYFUNCTION("""COMPUTED_VALUE"""),"CLOSED")</f>
        <v>CLOSED</v>
      </c>
      <c r="G192" s="1" t="str">
        <f>IFERROR(__xludf.DUMMYFUNCTION("""COMPUTED_VALUE"""),"CLOSED")</f>
        <v>CLOSED</v>
      </c>
      <c r="H192" s="1"/>
      <c r="I192" s="1" t="str">
        <f>IFERROR(__xludf.DUMMYFUNCTION("""COMPUTED_VALUE"""),"WITH 1 AMSF")</f>
        <v>WITH 1 AMSF</v>
      </c>
      <c r="J192" s="1"/>
      <c r="K192" s="1" t="str">
        <f>IFERROR(__xludf.DUMMYFUNCTION("""COMPUTED_VALUE"""),"COMPLETED")</f>
        <v>COMPLETED</v>
      </c>
      <c r="L192" s="1" t="str">
        <f>IFERROR(__xludf.DUMMYFUNCTION("""COMPUTED_VALUE"""),"POSTED")</f>
        <v>POSTED</v>
      </c>
      <c r="M192" s="1" t="str">
        <f>IFERROR(__xludf.DUMMYFUNCTION("""COMPUTED_VALUE"""),"POSTED")</f>
        <v>POSTED</v>
      </c>
      <c r="N192" s="3">
        <f>IFERROR(__xludf.DUMMYFUNCTION("""COMPUTED_VALUE"""),46254)</f>
        <v>46254</v>
      </c>
      <c r="O192" s="1" t="str">
        <f>IFERROR(__xludf.DUMMYFUNCTION("""COMPUTED_VALUE"""),"FIBR PLAN 1299")</f>
        <v>FIBR PLAN 1299</v>
      </c>
      <c r="P192" s="1" t="str">
        <f>IFERROR(__xludf.DUMMYFUNCTION("""COMPUTED_VALUE"""),"LOWPLAN")</f>
        <v>LOWPLAN</v>
      </c>
      <c r="Q192" s="1" t="str">
        <f>IFERROR(__xludf.DUMMYFUNCTION("""COMPUTED_VALUE"""),"P407050")</f>
        <v>P407050</v>
      </c>
      <c r="R192" s="1" t="str">
        <f>IFERROR(__xludf.DUMMYFUNCTION("""COMPUTED_VALUE"""),"RIVERA, AIRIZH JOY")</f>
        <v>RIVERA, AIRIZH JOY</v>
      </c>
      <c r="S192" s="1" t="str">
        <f>IFERROR(__xludf.DUMMYFUNCTION("""COMPUTED_VALUE"""),"ORGANIC")</f>
        <v>ORGANIC</v>
      </c>
      <c r="T192" s="1" t="str">
        <f>IFERROR(__xludf.DUMMYFUNCTION("""COMPUTED_VALUE"""),"LEA REMOLLO")</f>
        <v>LEA REMOLLO</v>
      </c>
      <c r="U192" s="1" t="str">
        <f>IFERROR(__xludf.DUMMYFUNCTION("""COMPUTED_VALUE"""),"JB SALIOA")</f>
        <v>JB SALIOA</v>
      </c>
      <c r="V192" s="1" t="str">
        <f>IFERROR(__xludf.DUMMYFUNCTION("""COMPUTED_VALUE"""),"BK HSTK")</f>
        <v>BK HSTK</v>
      </c>
      <c r="W192" s="1" t="str">
        <f>IFERROR(__xludf.DUMMYFUNCTION("""COMPUTED_VALUE"""),"BK HSTK")</f>
        <v>BK HSTK</v>
      </c>
      <c r="X192" s="1" t="str">
        <f>IFERROR(__xludf.DUMMYFUNCTION("""COMPUTED_VALUE"""),"HBBS AUG 2026")</f>
        <v>HBBS AUG 2026</v>
      </c>
      <c r="Y192" s="1" t="str">
        <f>IFERROR(__xludf.DUMMYFUNCTION("""COMPUTED_VALUE"""),"BK_CVEU_260804")</f>
        <v>BK_CVEU_260804</v>
      </c>
      <c r="Z192" s="1" t="str">
        <f>IFERROR(__xludf.DUMMYFUNCTION("""COMPUTED_VALUE"""),"NEW CONNECT")</f>
        <v>NEW CONNECT</v>
      </c>
      <c r="AA192" s="1">
        <f>IFERROR(__xludf.DUMMYFUNCTION("""COMPUTED_VALUE"""),639944662554)</f>
        <v>639944662554</v>
      </c>
      <c r="AB192" s="1">
        <f>IFERROR(__xludf.DUMMYFUNCTION("""COMPUTED_VALUE"""),639507281992)</f>
        <v>639507281992</v>
      </c>
      <c r="AC192" s="1"/>
      <c r="AD192" s="1" t="str">
        <f>IFERROR(__xludf.DUMMYFUNCTION("""COMPUTED_VALUE"""),"INOCENCIO SALUD")</f>
        <v>INOCENCIO SALUD</v>
      </c>
      <c r="AE192" s="1"/>
      <c r="AF192" s="1" t="str">
        <f>IFERROR(__xludf.DUMMYFUNCTION("""COMPUTED_VALUE"""),"BGY INOCENCIO SALUD")</f>
        <v>BGY INOCENCIO SALUD</v>
      </c>
      <c r="AG192" s="1" t="str">
        <f>IFERROR(__xludf.DUMMYFUNCTION("""COMPUTED_VALUE"""),"GEN MARIANO ALVAREZ")</f>
        <v>GEN MARIANO ALVAREZ</v>
      </c>
      <c r="AH192" s="1" t="str">
        <f>IFERROR(__xludf.DUMMYFUNCTION("""COMPUTED_VALUE"""),"-")</f>
        <v>-</v>
      </c>
      <c r="AI192" s="1" t="str">
        <f>IFERROR(__xludf.DUMMYFUNCTION("""COMPUTED_VALUE"""),"CLUSTER 11")</f>
        <v>CLUSTER 11</v>
      </c>
    </row>
    <row r="193" customHeight="1" spans="1:35">
      <c r="A193" s="3">
        <f>IFERROR(__xludf.DUMMYFUNCTION("""COMPUTED_VALUE"""),46253)</f>
        <v>46253</v>
      </c>
      <c r="B193" s="1" t="str">
        <f>IFERROR(__xludf.DUMMYFUNCTION("""COMPUTED_VALUE"""),"REDIMER JR BACO GATUS")</f>
        <v>REDIMER JR BACO GATUS</v>
      </c>
      <c r="C193" s="1">
        <f>IFERROR(__xludf.DUMMYFUNCTION("""COMPUTED_VALUE"""),2311931515)</f>
        <v>2311931515</v>
      </c>
      <c r="D193" s="1">
        <f>IFERROR(__xludf.DUMMYFUNCTION("""COMPUTED_VALUE"""),407056019)</f>
        <v>407056019</v>
      </c>
      <c r="E193" s="1">
        <f>IFERROR(__xludf.DUMMYFUNCTION("""COMPUTED_VALUE"""),467144251004)</f>
        <v>467144251004</v>
      </c>
      <c r="F193" s="1" t="str">
        <f>IFERROR(__xludf.DUMMYFUNCTION("""COMPUTED_VALUE"""),"CLOSED")</f>
        <v>CLOSED</v>
      </c>
      <c r="G193" s="1" t="str">
        <f>IFERROR(__xludf.DUMMYFUNCTION("""COMPUTED_VALUE"""),"CLOSED")</f>
        <v>CLOSED</v>
      </c>
      <c r="H193" s="1"/>
      <c r="I193" s="1" t="str">
        <f>IFERROR(__xludf.DUMMYFUNCTION("""COMPUTED_VALUE"""),"WITH 1 AMSF")</f>
        <v>WITH 1 AMSF</v>
      </c>
      <c r="J193" s="1"/>
      <c r="K193" s="1" t="str">
        <f>IFERROR(__xludf.DUMMYFUNCTION("""COMPUTED_VALUE"""),"COMPLETED")</f>
        <v>COMPLETED</v>
      </c>
      <c r="L193" s="1" t="str">
        <f>IFERROR(__xludf.DUMMYFUNCTION("""COMPUTED_VALUE"""),"POSTED")</f>
        <v>POSTED</v>
      </c>
      <c r="M193" s="1" t="str">
        <f>IFERROR(__xludf.DUMMYFUNCTION("""COMPUTED_VALUE"""),"POSTED")</f>
        <v>POSTED</v>
      </c>
      <c r="N193" s="3">
        <f>IFERROR(__xludf.DUMMYFUNCTION("""COMPUTED_VALUE"""),46254)</f>
        <v>46254</v>
      </c>
      <c r="O193" s="1" t="str">
        <f>IFERROR(__xludf.DUMMYFUNCTION("""COMPUTED_VALUE"""),"FIBR PLAN 1299")</f>
        <v>FIBR PLAN 1299</v>
      </c>
      <c r="P193" s="1" t="str">
        <f>IFERROR(__xludf.DUMMYFUNCTION("""COMPUTED_VALUE"""),"LOWPLAN")</f>
        <v>LOWPLAN</v>
      </c>
      <c r="Q193" s="1" t="str">
        <f>IFERROR(__xludf.DUMMYFUNCTION("""COMPUTED_VALUE"""),"P407047")</f>
        <v>P407047</v>
      </c>
      <c r="R193" s="1" t="str">
        <f>IFERROR(__xludf.DUMMYFUNCTION("""COMPUTED_VALUE"""),"FRANCISCO, ROSELYN")</f>
        <v>FRANCISCO, ROSELYN</v>
      </c>
      <c r="S193" s="1" t="str">
        <f>IFERROR(__xludf.DUMMYFUNCTION("""COMPUTED_VALUE"""),"ORGANIC")</f>
        <v>ORGANIC</v>
      </c>
      <c r="T193" s="1" t="str">
        <f>IFERROR(__xludf.DUMMYFUNCTION("""COMPUTED_VALUE"""),"LEA REMOLLO")</f>
        <v>LEA REMOLLO</v>
      </c>
      <c r="U193" s="1" t="str">
        <f>IFERROR(__xludf.DUMMYFUNCTION("""COMPUTED_VALUE"""),"JB SALIOA")</f>
        <v>JB SALIOA</v>
      </c>
      <c r="V193" s="1" t="str">
        <f>IFERROR(__xludf.DUMMYFUNCTION("""COMPUTED_VALUE"""),"BK HSTK")</f>
        <v>BK HSTK</v>
      </c>
      <c r="W193" s="1" t="str">
        <f>IFERROR(__xludf.DUMMYFUNCTION("""COMPUTED_VALUE"""),"BK HSTK")</f>
        <v>BK HSTK</v>
      </c>
      <c r="X193" s="1" t="str">
        <f>IFERROR(__xludf.DUMMYFUNCTION("""COMPUTED_VALUE"""),"HBBS AUG 2026")</f>
        <v>HBBS AUG 2026</v>
      </c>
      <c r="Y193" s="1" t="str">
        <f>IFERROR(__xludf.DUMMYFUNCTION("""COMPUTED_VALUE"""),"BK_CVEU_260806")</f>
        <v>BK_CVEU_260806</v>
      </c>
      <c r="Z193" s="1" t="str">
        <f>IFERROR(__xludf.DUMMYFUNCTION("""COMPUTED_VALUE"""),"NEW CONNECT")</f>
        <v>NEW CONNECT</v>
      </c>
      <c r="AA193" s="1">
        <f>IFERROR(__xludf.DUMMYFUNCTION("""COMPUTED_VALUE"""),639562670323)</f>
        <v>639562670323</v>
      </c>
      <c r="AB193" s="1"/>
      <c r="AC193" s="1">
        <f>IFERROR(__xludf.DUMMYFUNCTION("""COMPUTED_VALUE"""),98)</f>
        <v>98</v>
      </c>
      <c r="AD193" s="1" t="str">
        <f>IFERROR(__xludf.DUMMYFUNCTION("""COMPUTED_VALUE"""),"PHASE 1")</f>
        <v>PHASE 1</v>
      </c>
      <c r="AE193" s="1"/>
      <c r="AF193" s="1" t="str">
        <f>IFERROR(__xludf.DUMMYFUNCTION("""COMPUTED_VALUE"""),"BGY ACACIA")</f>
        <v>BGY ACACIA</v>
      </c>
      <c r="AG193" s="1" t="str">
        <f>IFERROR(__xludf.DUMMYFUNCTION("""COMPUTED_VALUE"""),"SILANG")</f>
        <v>SILANG</v>
      </c>
      <c r="AH193" s="1" t="str">
        <f>IFERROR(__xludf.DUMMYFUNCTION("""COMPUTED_VALUE"""),"INFRONT OF OLD MARKET")</f>
        <v>INFRONT OF OLD MARKET</v>
      </c>
      <c r="AI193" s="1" t="str">
        <f>IFERROR(__xludf.DUMMYFUNCTION("""COMPUTED_VALUE"""),"CLUSTER 11")</f>
        <v>CLUSTER 11</v>
      </c>
    </row>
    <row r="194" customHeight="1" spans="1:35">
      <c r="A194" s="3">
        <f>IFERROR(__xludf.DUMMYFUNCTION("""COMPUTED_VALUE"""),46253)</f>
        <v>46253</v>
      </c>
      <c r="B194" s="1" t="str">
        <f>IFERROR(__xludf.DUMMYFUNCTION("""COMPUTED_VALUE"""),"ROLLY JR TIERNE MARTORILLAS")</f>
        <v>ROLLY JR TIERNE MARTORILLAS</v>
      </c>
      <c r="C194" s="1">
        <f>IFERROR(__xludf.DUMMYFUNCTION("""COMPUTED_VALUE"""),2311932120)</f>
        <v>2311932120</v>
      </c>
      <c r="D194" s="1"/>
      <c r="E194" s="1"/>
      <c r="F194" s="1" t="str">
        <f>IFERROR(__xludf.DUMMYFUNCTION("""COMPUTED_VALUE"""),"DISAPPROVED")</f>
        <v>DISAPPROVED</v>
      </c>
      <c r="G194" s="1" t="str">
        <f>IFERROR(__xludf.DUMMYFUNCTION("""COMPUTED_VALUE"""),"(P-OTHERS) DISAPPROVED | WITH DESCREPANCIES ON SUBMITTED POID | NOT VERIFED THRU WEB SITE ON SUBMITTED POID | WAIVED AMSF (GG - 1 (NTC) | CLEARED FROM BLACKLISTED HIT | NO EXISTING ACTIVE ACCT AND/OR PENDING/CANCELLED APPLICATION ")</f>
        <v>(P-OTHERS) DISAPPROVED | WITH DESCREPANCIES ON SUBMITTED POID | NOT VERIFED THRU WEB SITE ON SUBMITTED POID | WAIVED AMSF (GG - 1 (NTC) | CLEARED FROM BLACKLISTED HIT | NO EXISTING ACTIVE ACCT AND/OR PENDING/CANCELLED APPLICATION </v>
      </c>
      <c r="H194" s="1"/>
      <c r="I194" s="1"/>
      <c r="J194" s="1"/>
      <c r="K194" s="1"/>
      <c r="L194" s="1" t="str">
        <f>IFERROR(__xludf.DUMMYFUNCTION("""COMPUTED_VALUE"""),"DISAPPROVED")</f>
        <v>DISAPPROVED</v>
      </c>
      <c r="M194" s="1" t="str">
        <f>IFERROR(__xludf.DUMMYFUNCTION("""COMPUTED_VALUE"""),"DISAPPROVED")</f>
        <v>DISAPPROVED</v>
      </c>
      <c r="N194" s="3"/>
      <c r="O194" s="1" t="str">
        <f>IFERROR(__xludf.DUMMYFUNCTION("""COMPUTED_VALUE"""),"FIBR PLAN 1299")</f>
        <v>FIBR PLAN 1299</v>
      </c>
      <c r="P194" s="1" t="str">
        <f>IFERROR(__xludf.DUMMYFUNCTION("""COMPUTED_VALUE"""),"LOWPLAN")</f>
        <v>LOWPLAN</v>
      </c>
      <c r="Q194" s="1" t="str">
        <f>IFERROR(__xludf.DUMMYFUNCTION("""COMPUTED_VALUE"""),"P407050")</f>
        <v>P407050</v>
      </c>
      <c r="R194" s="1" t="str">
        <f>IFERROR(__xludf.DUMMYFUNCTION("""COMPUTED_VALUE"""),"BAQUIT, JAZMIN")</f>
        <v>BAQUIT, JAZMIN</v>
      </c>
      <c r="S194" s="1" t="str">
        <f>IFERROR(__xludf.DUMMYFUNCTION("""COMPUTED_VALUE"""),"ORGANIC")</f>
        <v>ORGANIC</v>
      </c>
      <c r="T194" s="1" t="str">
        <f>IFERROR(__xludf.DUMMYFUNCTION("""COMPUTED_VALUE"""),"LEA REMOLLO")</f>
        <v>LEA REMOLLO</v>
      </c>
      <c r="U194" s="1" t="str">
        <f>IFERROR(__xludf.DUMMYFUNCTION("""COMPUTED_VALUE"""),"JB SALIOA")</f>
        <v>JB SALIOA</v>
      </c>
      <c r="V194" s="1" t="str">
        <f>IFERROR(__xludf.DUMMYFUNCTION("""COMPUTED_VALUE"""),"BK HSTK")</f>
        <v>BK HSTK</v>
      </c>
      <c r="W194" s="1" t="str">
        <f>IFERROR(__xludf.DUMMYFUNCTION("""COMPUTED_VALUE"""),"BK HSTK")</f>
        <v>BK HSTK</v>
      </c>
      <c r="X194" s="1" t="str">
        <f>IFERROR(__xludf.DUMMYFUNCTION("""COMPUTED_VALUE"""),"HBBS AUG 2026")</f>
        <v>HBBS AUG 2026</v>
      </c>
      <c r="Y194" s="1" t="str">
        <f>IFERROR(__xludf.DUMMYFUNCTION("""COMPUTED_VALUE"""),"BK_CVEU_260806")</f>
        <v>BK_CVEU_260806</v>
      </c>
      <c r="Z194" s="1" t="str">
        <f>IFERROR(__xludf.DUMMYFUNCTION("""COMPUTED_VALUE"""),"NEW CONNECT")</f>
        <v>NEW CONNECT</v>
      </c>
      <c r="AA194" s="1">
        <f>IFERROR(__xludf.DUMMYFUNCTION("""COMPUTED_VALUE"""),639752014132)</f>
        <v>639752014132</v>
      </c>
      <c r="AB194" s="1"/>
      <c r="AC194" s="1"/>
      <c r="AD194" s="1" t="str">
        <f>IFERROR(__xludf.DUMMYFUNCTION("""COMPUTED_VALUE"""),"BUKLURAN")</f>
        <v>BUKLURAN</v>
      </c>
      <c r="AE194" s="1"/>
      <c r="AF194" s="1" t="str">
        <f>IFERROR(__xludf.DUMMYFUNCTION("""COMPUTED_VALUE"""),"BGY BULIHAN")</f>
        <v>BGY BULIHAN</v>
      </c>
      <c r="AG194" s="1" t="str">
        <f>IFERROR(__xludf.DUMMYFUNCTION("""COMPUTED_VALUE"""),"SILANG")</f>
        <v>SILANG</v>
      </c>
      <c r="AH194" s="1" t="str">
        <f>IFERROR(__xludf.DUMMYFUNCTION("""COMPUTED_VALUE"""),"-")</f>
        <v>-</v>
      </c>
      <c r="AI194" s="1" t="str">
        <f>IFERROR(__xludf.DUMMYFUNCTION("""COMPUTED_VALUE"""),"CLUSTER 11")</f>
        <v>CLUSTER 11</v>
      </c>
    </row>
    <row r="195" customHeight="1" spans="1:35">
      <c r="A195" s="3">
        <f>IFERROR(__xludf.DUMMYFUNCTION("""COMPUTED_VALUE"""),46254)</f>
        <v>46254</v>
      </c>
      <c r="B195" s="1" t="str">
        <f>IFERROR(__xludf.DUMMYFUNCTION("""COMPUTED_VALUE"""),"ROLLY JR TIERNE MARTORILLAS")</f>
        <v>ROLLY JR TIERNE MARTORILLAS</v>
      </c>
      <c r="C195" s="1">
        <f>IFERROR(__xludf.DUMMYFUNCTION("""COMPUTED_VALUE"""),2311943281)</f>
        <v>2311943281</v>
      </c>
      <c r="D195" s="1">
        <f>IFERROR(__xludf.DUMMYFUNCTION("""COMPUTED_VALUE"""),407073452)</f>
        <v>407073452</v>
      </c>
      <c r="E195" s="1">
        <f>IFERROR(__xludf.DUMMYFUNCTION("""COMPUTED_VALUE"""),467254520004)</f>
        <v>467254520004</v>
      </c>
      <c r="F195" s="1" t="str">
        <f>IFERROR(__xludf.DUMMYFUNCTION("""COMPUTED_VALUE"""),"RPR")</f>
        <v>RPR</v>
      </c>
      <c r="G195" s="1" t="str">
        <f>IFERROR(__xludf.DUMMYFUNCTION("""COMPUTED_VALUE"""),"RPR VISITED REMARKS   STILL HOUSE CLOSE AS PER MARIO NEIGHBOR HINDI NAUWI SI SUBS SA BAHAY   NO RESPONSE ON CBR 09752014132")</f>
        <v>RPR VISITED REMARKS   STILL HOUSE CLOSE AS PER MARIO NEIGHBOR HINDI NAUWI SI SUBS SA BAHAY   NO RESPONSE ON CBR 09752014132</v>
      </c>
      <c r="H195" s="1"/>
      <c r="I195" s="1"/>
      <c r="J195" s="1"/>
      <c r="K195" s="1" t="str">
        <f>IFERROR(__xludf.DUMMYFUNCTION("""COMPUTED_VALUE"""),"CANCELED")</f>
        <v>CANCELED</v>
      </c>
      <c r="L195" s="1" t="str">
        <f>IFERROR(__xludf.DUMMYFUNCTION("""COMPUTED_VALUE"""),"AFD - RESCHEDULE")</f>
        <v>AFD - RESCHEDULE</v>
      </c>
      <c r="M195" s="1" t="str">
        <f>IFERROR(__xludf.DUMMYFUNCTION("""COMPUTED_VALUE"""),"AFD - RESCHEDULED")</f>
        <v>AFD - RESCHEDULED</v>
      </c>
      <c r="N195" s="3"/>
      <c r="O195" s="1" t="str">
        <f>IFERROR(__xludf.DUMMYFUNCTION("""COMPUTED_VALUE"""),"FIBR PLAN 1299")</f>
        <v>FIBR PLAN 1299</v>
      </c>
      <c r="P195" s="1" t="str">
        <f>IFERROR(__xludf.DUMMYFUNCTION("""COMPUTED_VALUE"""),"LOWPLAN")</f>
        <v>LOWPLAN</v>
      </c>
      <c r="Q195" s="1" t="str">
        <f>IFERROR(__xludf.DUMMYFUNCTION("""COMPUTED_VALUE"""),"P407050")</f>
        <v>P407050</v>
      </c>
      <c r="R195" s="1" t="str">
        <f>IFERROR(__xludf.DUMMYFUNCTION("""COMPUTED_VALUE"""),"BAQUIT, JAZMIN")</f>
        <v>BAQUIT, JAZMIN</v>
      </c>
      <c r="S195" s="1" t="str">
        <f>IFERROR(__xludf.DUMMYFUNCTION("""COMPUTED_VALUE"""),"ORGANIC")</f>
        <v>ORGANIC</v>
      </c>
      <c r="T195" s="1" t="str">
        <f>IFERROR(__xludf.DUMMYFUNCTION("""COMPUTED_VALUE"""),"LEA REMOLLO")</f>
        <v>LEA REMOLLO</v>
      </c>
      <c r="U195" s="1" t="str">
        <f>IFERROR(__xludf.DUMMYFUNCTION("""COMPUTED_VALUE"""),"JB SALIOA")</f>
        <v>JB SALIOA</v>
      </c>
      <c r="V195" s="1" t="str">
        <f>IFERROR(__xludf.DUMMYFUNCTION("""COMPUTED_VALUE"""),"BK HSTK")</f>
        <v>BK HSTK</v>
      </c>
      <c r="W195" s="1" t="str">
        <f>IFERROR(__xludf.DUMMYFUNCTION("""COMPUTED_VALUE"""),"BK HSTK")</f>
        <v>BK HSTK</v>
      </c>
      <c r="X195" s="1" t="str">
        <f>IFERROR(__xludf.DUMMYFUNCTION("""COMPUTED_VALUE"""),"HBBS AUG 2026")</f>
        <v>HBBS AUG 2026</v>
      </c>
      <c r="Y195" s="1" t="str">
        <f>IFERROR(__xludf.DUMMYFUNCTION("""COMPUTED_VALUE"""),"BK_CVEU_260806")</f>
        <v>BK_CVEU_260806</v>
      </c>
      <c r="Z195" s="1" t="str">
        <f>IFERROR(__xludf.DUMMYFUNCTION("""COMPUTED_VALUE"""),"NEW CONNECT")</f>
        <v>NEW CONNECT</v>
      </c>
      <c r="AA195" s="1">
        <f>IFERROR(__xludf.DUMMYFUNCTION("""COMPUTED_VALUE"""),639752014132)</f>
        <v>639752014132</v>
      </c>
      <c r="AB195" s="1"/>
      <c r="AC195" s="1"/>
      <c r="AD195" s="1" t="str">
        <f>IFERROR(__xludf.DUMMYFUNCTION("""COMPUTED_VALUE"""),"BUKLURAN")</f>
        <v>BUKLURAN</v>
      </c>
      <c r="AE195" s="1"/>
      <c r="AF195" s="1" t="str">
        <f>IFERROR(__xludf.DUMMYFUNCTION("""COMPUTED_VALUE"""),"BGY BULIHAN")</f>
        <v>BGY BULIHAN</v>
      </c>
      <c r="AG195" s="1" t="str">
        <f>IFERROR(__xludf.DUMMYFUNCTION("""COMPUTED_VALUE"""),"SILANG")</f>
        <v>SILANG</v>
      </c>
      <c r="AH195" s="1" t="str">
        <f>IFERROR(__xludf.DUMMYFUNCTION("""COMPUTED_VALUE"""),"-")</f>
        <v>-</v>
      </c>
      <c r="AI195" s="1" t="str">
        <f>IFERROR(__xludf.DUMMYFUNCTION("""COMPUTED_VALUE"""),"CLUSTER 11")</f>
        <v>CLUSTER 11</v>
      </c>
    </row>
    <row r="196" customHeight="1" spans="1:35">
      <c r="A196" s="3">
        <f>IFERROR(__xludf.DUMMYFUNCTION("""COMPUTED_VALUE"""),46254)</f>
        <v>46254</v>
      </c>
      <c r="B196" s="1" t="str">
        <f>IFERROR(__xludf.DUMMYFUNCTION("""COMPUTED_VALUE"""),"ALLAN RAY RIVERA DE GUZMAN")</f>
        <v>ALLAN RAY RIVERA DE GUZMAN</v>
      </c>
      <c r="C196" s="1">
        <f>IFERROR(__xludf.DUMMYFUNCTION("""COMPUTED_VALUE"""),2311945493)</f>
        <v>2311945493</v>
      </c>
      <c r="D196" s="1">
        <f>IFERROR(__xludf.DUMMYFUNCTION("""COMPUTED_VALUE"""),407085108)</f>
        <v>407085108</v>
      </c>
      <c r="E196" s="1">
        <f>IFERROR(__xludf.DUMMYFUNCTION("""COMPUTED_VALUE"""),467261990004)</f>
        <v>467261990004</v>
      </c>
      <c r="F196" s="1" t="str">
        <f>IFERROR(__xludf.DUMMYFUNCTION("""COMPUTED_VALUE"""),"CLOSED")</f>
        <v>CLOSED</v>
      </c>
      <c r="G196" s="1" t="str">
        <f>IFERROR(__xludf.DUMMYFUNCTION("""COMPUTED_VALUE"""),"CLOSED")</f>
        <v>CLOSED</v>
      </c>
      <c r="H196" s="1" t="str">
        <f>IFERROR(__xludf.DUMMYFUNCTION("""COMPUTED_VALUE"""),"PAID VIA GCASH - AUG 20 - REF- 304499540")</f>
        <v>PAID VIA GCASH - AUG 20 - REF- 304499540</v>
      </c>
      <c r="I196" s="1" t="str">
        <f>IFERROR(__xludf.DUMMYFUNCTION("""COMPUTED_VALUE"""),"WITH 1 AMSF")</f>
        <v>WITH 1 AMSF</v>
      </c>
      <c r="J196" s="1"/>
      <c r="K196" s="1" t="str">
        <f>IFERROR(__xludf.DUMMYFUNCTION("""COMPUTED_VALUE"""),"COMPLETED")</f>
        <v>COMPLETED</v>
      </c>
      <c r="L196" s="1" t="str">
        <f>IFERROR(__xludf.DUMMYFUNCTION("""COMPUTED_VALUE"""),"POSTED")</f>
        <v>POSTED</v>
      </c>
      <c r="M196" s="1" t="str">
        <f>IFERROR(__xludf.DUMMYFUNCTION("""COMPUTED_VALUE"""),"POSTED")</f>
        <v>POSTED</v>
      </c>
      <c r="N196" s="3">
        <f>IFERROR(__xludf.DUMMYFUNCTION("""COMPUTED_VALUE"""),46256)</f>
        <v>46256</v>
      </c>
      <c r="O196" s="1" t="str">
        <f>IFERROR(__xludf.DUMMYFUNCTION("""COMPUTED_VALUE"""),"FIBR NETFLIX PLAN 1599")</f>
        <v>FIBR NETFLIX PLAN 1599</v>
      </c>
      <c r="P196" s="1" t="str">
        <f>IFERROR(__xludf.DUMMYFUNCTION("""COMPUTED_VALUE"""),"LOWPLAN")</f>
        <v>LOWPLAN</v>
      </c>
      <c r="Q196" s="1" t="str">
        <f>IFERROR(__xludf.DUMMYFUNCTION("""COMPUTED_VALUE"""),"P407044")</f>
        <v>P407044</v>
      </c>
      <c r="R196" s="1" t="str">
        <f>IFERROR(__xludf.DUMMYFUNCTION("""COMPUTED_VALUE"""),"CARPIO, STEPHANIE")</f>
        <v>CARPIO, STEPHANIE</v>
      </c>
      <c r="S196" s="1" t="str">
        <f>IFERROR(__xludf.DUMMYFUNCTION("""COMPUTED_VALUE"""),"FLA")</f>
        <v>FLA</v>
      </c>
      <c r="T196" s="1" t="str">
        <f>IFERROR(__xludf.DUMMYFUNCTION("""COMPUTED_VALUE"""),"JERIC NAVARRO")</f>
        <v>JERIC NAVARRO</v>
      </c>
      <c r="U196" s="1" t="str">
        <f>IFERROR(__xludf.DUMMYFUNCTION("""COMPUTED_VALUE"""),"JULIE ESPIRITU")</f>
        <v>JULIE ESPIRITU</v>
      </c>
      <c r="V196" s="1" t="str">
        <f>IFERROR(__xludf.DUMMYFUNCTION("""COMPUTED_VALUE"""),"BK HSTK")</f>
        <v>BK HSTK</v>
      </c>
      <c r="W196" s="1" t="str">
        <f>IFERROR(__xludf.DUMMYFUNCTION("""COMPUTED_VALUE"""),"STK REGULAR")</f>
        <v>STK REGULAR</v>
      </c>
      <c r="X196" s="1" t="str">
        <f>IFERROR(__xludf.DUMMYFUNCTION("""COMPUTED_VALUE"""),"HBBS AUG 2026")</f>
        <v>HBBS AUG 2026</v>
      </c>
      <c r="Y196" s="1" t="str">
        <f>IFERROR(__xludf.DUMMYFUNCTION("""COMPUTED_VALUE"""),"RS_SS_CVEU_2026")</f>
        <v>RS_SS_CVEU_2026</v>
      </c>
      <c r="Z196" s="1" t="str">
        <f>IFERROR(__xludf.DUMMYFUNCTION("""COMPUTED_VALUE"""),"NEW CONNECT")</f>
        <v>NEW CONNECT</v>
      </c>
      <c r="AA196" s="1">
        <f>IFERROR(__xludf.DUMMYFUNCTION("""COMPUTED_VALUE"""),639157154236)</f>
        <v>639157154236</v>
      </c>
      <c r="AB196" s="1"/>
      <c r="AC196" s="1">
        <f>IFERROR(__xludf.DUMMYFUNCTION("""COMPUTED_VALUE"""),266)</f>
        <v>266</v>
      </c>
      <c r="AD196" s="1" t="str">
        <f>IFERROR(__xludf.DUMMYFUNCTION("""COMPUTED_VALUE"""),"H DEL TRABAJO")</f>
        <v>H DEL TRABAJO</v>
      </c>
      <c r="AE196" s="1"/>
      <c r="AF196" s="1" t="str">
        <f>IFERROR(__xludf.DUMMYFUNCTION("""COMPUTED_VALUE"""),"BGY 44")</f>
        <v>BGY 44</v>
      </c>
      <c r="AG196" s="1" t="str">
        <f>IFERROR(__xludf.DUMMYFUNCTION("""COMPUTED_VALUE"""),"CAVITE CITY")</f>
        <v>CAVITE CITY</v>
      </c>
      <c r="AH196" s="1" t="str">
        <f>IFERROR(__xludf.DUMMYFUNCTION("""COMPUTED_VALUE"""),"NEAR MAIN ROAD")</f>
        <v>NEAR MAIN ROAD</v>
      </c>
      <c r="AI196" s="1" t="str">
        <f>IFERROR(__xludf.DUMMYFUNCTION("""COMPUTED_VALUE"""),"NOT AOR")</f>
        <v>NOT AOR</v>
      </c>
    </row>
    <row r="197" customHeight="1" spans="1:35">
      <c r="A197" s="3">
        <f>IFERROR(__xludf.DUMMYFUNCTION("""COMPUTED_VALUE"""),46254)</f>
        <v>46254</v>
      </c>
      <c r="B197" s="1" t="str">
        <f>IFERROR(__xludf.DUMMYFUNCTION("""COMPUTED_VALUE"""),"VANNESSA ROSE BORNEL RAMIREZ")</f>
        <v>VANNESSA ROSE BORNEL RAMIREZ</v>
      </c>
      <c r="C197" s="1">
        <f>IFERROR(__xludf.DUMMYFUNCTION("""COMPUTED_VALUE"""),2311946019)</f>
        <v>2311946019</v>
      </c>
      <c r="D197" s="1">
        <f>IFERROR(__xludf.DUMMYFUNCTION("""COMPUTED_VALUE"""),407079787)</f>
        <v>407079787</v>
      </c>
      <c r="E197" s="1">
        <f>IFERROR(__xludf.DUMMYFUNCTION("""COMPUTED_VALUE"""),467259052004)</f>
        <v>467259052004</v>
      </c>
      <c r="F197" s="1" t="str">
        <f>IFERROR(__xludf.DUMMYFUNCTION("""COMPUTED_VALUE"""),"CLOSED")</f>
        <v>CLOSED</v>
      </c>
      <c r="G197" s="1" t="str">
        <f>IFERROR(__xludf.DUMMYFUNCTION("""COMPUTED_VALUE"""),"CLOSED")</f>
        <v>CLOSED</v>
      </c>
      <c r="H197" s="1"/>
      <c r="I197" s="1" t="str">
        <f>IFERROR(__xludf.DUMMYFUNCTION("""COMPUTED_VALUE"""),"WITH 1 AMSF")</f>
        <v>WITH 1 AMSF</v>
      </c>
      <c r="J197" s="1"/>
      <c r="K197" s="1" t="str">
        <f>IFERROR(__xludf.DUMMYFUNCTION("""COMPUTED_VALUE"""),"COMPLETED")</f>
        <v>COMPLETED</v>
      </c>
      <c r="L197" s="1" t="str">
        <f>IFERROR(__xludf.DUMMYFUNCTION("""COMPUTED_VALUE"""),"POSTED")</f>
        <v>POSTED</v>
      </c>
      <c r="M197" s="1" t="str">
        <f>IFERROR(__xludf.DUMMYFUNCTION("""COMPUTED_VALUE"""),"POSTED")</f>
        <v>POSTED</v>
      </c>
      <c r="N197" s="3">
        <f>IFERROR(__xludf.DUMMYFUNCTION("""COMPUTED_VALUE"""),46254)</f>
        <v>46254</v>
      </c>
      <c r="O197" s="1" t="str">
        <f>IFERROR(__xludf.DUMMYFUNCTION("""COMPUTED_VALUE"""),"FIBR PLAN 1299")</f>
        <v>FIBR PLAN 1299</v>
      </c>
      <c r="P197" s="1" t="str">
        <f>IFERROR(__xludf.DUMMYFUNCTION("""COMPUTED_VALUE"""),"LOWPLAN")</f>
        <v>LOWPLAN</v>
      </c>
      <c r="Q197" s="1" t="str">
        <f>IFERROR(__xludf.DUMMYFUNCTION("""COMPUTED_VALUE"""),"P407050")</f>
        <v>P407050</v>
      </c>
      <c r="R197" s="1" t="str">
        <f>IFERROR(__xludf.DUMMYFUNCTION("""COMPUTED_VALUE"""),"MAGDARAOG, KENNETH")</f>
        <v>MAGDARAOG, KENNETH</v>
      </c>
      <c r="S197" s="1" t="str">
        <f>IFERROR(__xludf.DUMMYFUNCTION("""COMPUTED_VALUE"""),"ORGANIC")</f>
        <v>ORGANIC</v>
      </c>
      <c r="T197" s="1" t="str">
        <f>IFERROR(__xludf.DUMMYFUNCTION("""COMPUTED_VALUE"""),"LEA REMOLLO")</f>
        <v>LEA REMOLLO</v>
      </c>
      <c r="U197" s="1" t="str">
        <f>IFERROR(__xludf.DUMMYFUNCTION("""COMPUTED_VALUE"""),"JULIE ESPIRITU")</f>
        <v>JULIE ESPIRITU</v>
      </c>
      <c r="V197" s="1" t="str">
        <f>IFERROR(__xludf.DUMMYFUNCTION("""COMPUTED_VALUE"""),"BK HSTK")</f>
        <v>BK HSTK</v>
      </c>
      <c r="W197" s="1" t="str">
        <f>IFERROR(__xludf.DUMMYFUNCTION("""COMPUTED_VALUE"""),"BK HSTK")</f>
        <v>BK HSTK</v>
      </c>
      <c r="X197" s="1" t="str">
        <f>IFERROR(__xludf.DUMMYFUNCTION("""COMPUTED_VALUE"""),"HBBS AUG 2026")</f>
        <v>HBBS AUG 2026</v>
      </c>
      <c r="Y197" s="1" t="str">
        <f>IFERROR(__xludf.DUMMYFUNCTION("""COMPUTED_VALUE"""),"BK_CVEU_260806")</f>
        <v>BK_CVEU_260806</v>
      </c>
      <c r="Z197" s="1" t="str">
        <f>IFERROR(__xludf.DUMMYFUNCTION("""COMPUTED_VALUE"""),"NEW CONNECT")</f>
        <v>NEW CONNECT</v>
      </c>
      <c r="AA197" s="1">
        <f>IFERROR(__xludf.DUMMYFUNCTION("""COMPUTED_VALUE"""),639765714988)</f>
        <v>639765714988</v>
      </c>
      <c r="AB197" s="1">
        <f>IFERROR(__xludf.DUMMYFUNCTION("""COMPUTED_VALUE"""),639166223624)</f>
        <v>639166223624</v>
      </c>
      <c r="AC197" s="1"/>
      <c r="AD197" s="1" t="str">
        <f>IFERROR(__xludf.DUMMYFUNCTION("""COMPUTED_VALUE"""),"PHASE 6")</f>
        <v>PHASE 6</v>
      </c>
      <c r="AE197" s="1"/>
      <c r="AF197" s="1" t="str">
        <f>IFERROR(__xludf.DUMMYFUNCTION("""COMPUTED_VALUE"""),"BGY BANABA")</f>
        <v>BGY BANABA</v>
      </c>
      <c r="AG197" s="1" t="str">
        <f>IFERROR(__xludf.DUMMYFUNCTION("""COMPUTED_VALUE"""),"SILANG")</f>
        <v>SILANG</v>
      </c>
      <c r="AH197" s="1" t="str">
        <f>IFERROR(__xludf.DUMMYFUNCTION("""COMPUTED_VALUE"""),"COURT / BATICOLON STORE")</f>
        <v>COURT / BATICOLON STORE</v>
      </c>
      <c r="AI197" s="1" t="str">
        <f>IFERROR(__xludf.DUMMYFUNCTION("""COMPUTED_VALUE"""),"CLUSTER 11")</f>
        <v>CLUSTER 11</v>
      </c>
    </row>
    <row r="198" customHeight="1" spans="1:35">
      <c r="A198" s="3">
        <f>IFERROR(__xludf.DUMMYFUNCTION("""COMPUTED_VALUE"""),46254)</f>
        <v>46254</v>
      </c>
      <c r="B198" s="1" t="str">
        <f>IFERROR(__xludf.DUMMYFUNCTION("""COMPUTED_VALUE"""),"LUDY TRINIDAD MADERAZO")</f>
        <v>LUDY TRINIDAD MADERAZO</v>
      </c>
      <c r="C198" s="1">
        <f>IFERROR(__xludf.DUMMYFUNCTION("""COMPUTED_VALUE"""),2311946811)</f>
        <v>2311946811</v>
      </c>
      <c r="D198" s="1">
        <f>IFERROR(__xludf.DUMMYFUNCTION("""COMPUTED_VALUE"""),407081684)</f>
        <v>407081684</v>
      </c>
      <c r="E198" s="1">
        <f>IFERROR(__xludf.DUMMYFUNCTION("""COMPUTED_VALUE"""),467259929004)</f>
        <v>467259929004</v>
      </c>
      <c r="F198" s="1" t="str">
        <f>IFERROR(__xludf.DUMMYFUNCTION("""COMPUTED_VALUE"""),"CANCELLED")</f>
        <v>CANCELLED</v>
      </c>
      <c r="G198" s="1" t="str">
        <f>IFERROR(__xludf.DUMMYFUNCTION("""COMPUTED_VALUE"""),"""VISITED 
REMARKS: FULL NAP 
CMNLP207NP6 LOCK p6 ACTIVE 
ASSIGN CAFAC CMNFELP185NP003 NOT ON SITE 
TALK LUDY TRINIDAD MADERAZO 
09669934726 09564766367 
""")</f>
        <v>"VISITED 
REMARKS: FULL NAP 
CMNLP207NP6 LOCK p6 ACTIVE 
ASSIGN CAFAC CMNFELP185NP003 NOT ON SITE 
TALK LUDY TRINIDAD MADERAZO 
09669934726 09564766367 
"</v>
      </c>
      <c r="H198" s="1"/>
      <c r="I198" s="1"/>
      <c r="J198" s="1"/>
      <c r="K198" s="1" t="str">
        <f>IFERROR(__xludf.DUMMYFUNCTION("""COMPUTED_VALUE"""),"CANCELED")</f>
        <v>CANCELED</v>
      </c>
      <c r="L198" s="1" t="str">
        <f>IFERROR(__xludf.DUMMYFUNCTION("""COMPUTED_VALUE"""),"RPR - NAP FULL")</f>
        <v>RPR - NAP FULL</v>
      </c>
      <c r="M198" s="1" t="str">
        <f>IFERROR(__xludf.DUMMYFUNCTION("""COMPUTED_VALUE"""),"RPR- NAP FULL")</f>
        <v>RPR- NAP FULL</v>
      </c>
      <c r="N198" s="3"/>
      <c r="O198" s="1" t="str">
        <f>IFERROR(__xludf.DUMMYFUNCTION("""COMPUTED_VALUE"""),"SWITCH FIBER NETFLIX PLAN 1599")</f>
        <v>SWITCH FIBER NETFLIX PLAN 1599</v>
      </c>
      <c r="P198" s="1" t="str">
        <f>IFERROR(__xludf.DUMMYFUNCTION("""COMPUTED_VALUE"""),"SWITCH")</f>
        <v>SWITCH</v>
      </c>
      <c r="Q198" s="1" t="str">
        <f>IFERROR(__xludf.DUMMYFUNCTION("""COMPUTED_VALUE"""),"P407050")</f>
        <v>P407050</v>
      </c>
      <c r="R198" s="1" t="str">
        <f>IFERROR(__xludf.DUMMYFUNCTION("""COMPUTED_VALUE"""),"ALINGARO, CINDY")</f>
        <v>ALINGARO, CINDY</v>
      </c>
      <c r="S198" s="1" t="str">
        <f>IFERROR(__xludf.DUMMYFUNCTION("""COMPUTED_VALUE"""),"ORGANIC")</f>
        <v>ORGANIC</v>
      </c>
      <c r="T198" s="1" t="str">
        <f>IFERROR(__xludf.DUMMYFUNCTION("""COMPUTED_VALUE"""),"LEA REMOLLO")</f>
        <v>LEA REMOLLO</v>
      </c>
      <c r="U198" s="1" t="str">
        <f>IFERROR(__xludf.DUMMYFUNCTION("""COMPUTED_VALUE"""),"JULIE ESPIRITU")</f>
        <v>JULIE ESPIRITU</v>
      </c>
      <c r="V198" s="1" t="str">
        <f>IFERROR(__xludf.DUMMYFUNCTION("""COMPUTED_VALUE"""),"BK HSTK")</f>
        <v>BK HSTK</v>
      </c>
      <c r="W198" s="1" t="str">
        <f>IFERROR(__xludf.DUMMYFUNCTION("""COMPUTED_VALUE"""),"BK HSTK")</f>
        <v>BK HSTK</v>
      </c>
      <c r="X198" s="1" t="str">
        <f>IFERROR(__xludf.DUMMYFUNCTION("""COMPUTED_VALUE"""),"HBBS AUG 2026")</f>
        <v>HBBS AUG 2026</v>
      </c>
      <c r="Y198" s="1" t="str">
        <f>IFERROR(__xludf.DUMMYFUNCTION("""COMPUTED_VALUE"""),"BK_CVEU_260803")</f>
        <v>BK_CVEU_260803</v>
      </c>
      <c r="Z198" s="1" t="str">
        <f>IFERROR(__xludf.DUMMYFUNCTION("""COMPUTED_VALUE"""),"NEW CONNECT")</f>
        <v>NEW CONNECT</v>
      </c>
      <c r="AA198" s="1">
        <f>IFERROR(__xludf.DUMMYFUNCTION("""COMPUTED_VALUE"""),639669934726)</f>
        <v>639669934726</v>
      </c>
      <c r="AB198" s="1">
        <f>IFERROR(__xludf.DUMMYFUNCTION("""COMPUTED_VALUE"""),639564766367)</f>
        <v>639564766367</v>
      </c>
      <c r="AC198" s="1">
        <f>IFERROR(__xludf.DUMMYFUNCTION("""COMPUTED_VALUE"""),700)</f>
        <v>700</v>
      </c>
      <c r="AD198" s="1" t="str">
        <f>IFERROR(__xludf.DUMMYFUNCTION("""COMPUTED_VALUE"""),"LEDESMA")</f>
        <v>LEDESMA</v>
      </c>
      <c r="AE198" s="1"/>
      <c r="AF198" s="1" t="str">
        <f>IFERROR(__xludf.DUMMYFUNCTION("""COMPUTED_VALUE"""),"BGY MADUYA")</f>
        <v>BGY MADUYA</v>
      </c>
      <c r="AG198" s="1" t="str">
        <f>IFERROR(__xludf.DUMMYFUNCTION("""COMPUTED_VALUE"""),"CARMONA")</f>
        <v>CARMONA</v>
      </c>
      <c r="AH198" s="1"/>
      <c r="AI198" s="1" t="str">
        <f>IFERROR(__xludf.DUMMYFUNCTION("""COMPUTED_VALUE"""),"CLUSTER 11")</f>
        <v>CLUSTER 11</v>
      </c>
    </row>
    <row r="199" customHeight="1" spans="1:35">
      <c r="A199" s="3">
        <f>IFERROR(__xludf.DUMMYFUNCTION("""COMPUTED_VALUE"""),46254)</f>
        <v>46254</v>
      </c>
      <c r="B199" s="1" t="str">
        <f>IFERROR(__xludf.DUMMYFUNCTION("""COMPUTED_VALUE"""),"SEAN MATHEW . LOMONGO")</f>
        <v>SEAN MATHEW . LOMONGO</v>
      </c>
      <c r="C199" s="1">
        <f>IFERROR(__xludf.DUMMYFUNCTION("""COMPUTED_VALUE"""),2311947936)</f>
        <v>2311947936</v>
      </c>
      <c r="D199" s="1"/>
      <c r="E199" s="1"/>
      <c r="F199" s="1" t="str">
        <f>IFERROR(__xludf.DUMMYFUNCTION("""COMPUTED_VALUE"""),"DISAPPROVED")</f>
        <v>DISAPPROVED</v>
      </c>
      <c r="G199" s="1" t="str">
        <f>IFERROR(__xludf.DUMMYFUNCTION("""COMPUTED_VALUE"""),"(INCORRECT ENCODED NAME_2) DISAPPROVED | DONE VALIDATION | INCORRECT ENCODED NAME IN CSP: SEAN MATHEW . LOMONGO VS. POID: SEAN MATTHEW . LOMONGO | VALIDATED COMPLETE DOCS | TU SCORING - GG - 1 (NTC) | WAIVED AMSF | CLEARED FROM BLACKLISTED HIT | NO EXISTI"&amp;"NG ACTIVE ACC AND OR/PENDING/CANCELLED APPLICATION ")</f>
        <v>(INCORRECT ENCODED NAME_2) DISAPPROVED | DONE VALIDATION | INCORRECT ENCODED NAME IN CSP: SEAN MATHEW . LOMONGO VS. POID: SEAN MATTHEW . LOMONGO | VALIDATED COMPLETE DOCS | TU SCORING - GG - 1 (NTC) | WAIVED AMSF | CLEARED FROM BLACKLISTED HIT | NO EXISTING ACTIVE ACC AND OR/PENDING/CANCELLED APPLICATION </v>
      </c>
      <c r="H199" s="1"/>
      <c r="I199" s="1"/>
      <c r="J199" s="1"/>
      <c r="K199" s="1"/>
      <c r="L199" s="1" t="str">
        <f>IFERROR(__xludf.DUMMYFUNCTION("""COMPUTED_VALUE"""),"FOR REENCODE")</f>
        <v>FOR REENCODE</v>
      </c>
      <c r="M199" s="1" t="str">
        <f>IFERROR(__xludf.DUMMYFUNCTION("""COMPUTED_VALUE"""),"FOR REENCODE")</f>
        <v>FOR REENCODE</v>
      </c>
      <c r="N199" s="3"/>
      <c r="O199" s="1" t="str">
        <f>IFERROR(__xludf.DUMMYFUNCTION("""COMPUTED_VALUE"""),"FIBR UNLI ALL PLAN 999")</f>
        <v>FIBR UNLI ALL PLAN 999</v>
      </c>
      <c r="P199" s="1" t="str">
        <f>IFERROR(__xludf.DUMMYFUNCTION("""COMPUTED_VALUE"""),"LOWPLAN")</f>
        <v>LOWPLAN</v>
      </c>
      <c r="Q199" s="1" t="str">
        <f>IFERROR(__xludf.DUMMYFUNCTION("""COMPUTED_VALUE"""),"P407047")</f>
        <v>P407047</v>
      </c>
      <c r="R199" s="1" t="str">
        <f>IFERROR(__xludf.DUMMYFUNCTION("""COMPUTED_VALUE"""),"FRANCISCO, ROSELYN")</f>
        <v>FRANCISCO, ROSELYN</v>
      </c>
      <c r="S199" s="1" t="str">
        <f>IFERROR(__xludf.DUMMYFUNCTION("""COMPUTED_VALUE"""),"ORGANIC")</f>
        <v>ORGANIC</v>
      </c>
      <c r="T199" s="1" t="str">
        <f>IFERROR(__xludf.DUMMYFUNCTION("""COMPUTED_VALUE"""),"LEA REMOLLO")</f>
        <v>LEA REMOLLO</v>
      </c>
      <c r="U199" s="1" t="str">
        <f>IFERROR(__xludf.DUMMYFUNCTION("""COMPUTED_VALUE"""),"JULIE ESPIRITU")</f>
        <v>JULIE ESPIRITU</v>
      </c>
      <c r="V199" s="1" t="str">
        <f>IFERROR(__xludf.DUMMYFUNCTION("""COMPUTED_VALUE"""),"ONLINE/CRANFORD")</f>
        <v>ONLINE/CRANFORD</v>
      </c>
      <c r="W199" s="1" t="str">
        <f>IFERROR(__xludf.DUMMYFUNCTION("""COMPUTED_VALUE"""),"STK REGULAR")</f>
        <v>STK REGULAR</v>
      </c>
      <c r="X199" s="1" t="str">
        <f>IFERROR(__xludf.DUMMYFUNCTION("""COMPUTED_VALUE"""),"HBBS AUG 2026")</f>
        <v>HBBS AUG 2026</v>
      </c>
      <c r="Y199" s="1" t="str">
        <f>IFERROR(__xludf.DUMMYFUNCTION("""COMPUTED_VALUE"""),"RS_ONL_CVEU_2026")</f>
        <v>RS_ONL_CVEU_2026</v>
      </c>
      <c r="Z199" s="1" t="str">
        <f>IFERROR(__xludf.DUMMYFUNCTION("""COMPUTED_VALUE"""),"NEW CONNECT")</f>
        <v>NEW CONNECT</v>
      </c>
      <c r="AA199" s="1">
        <f>IFERROR(__xludf.DUMMYFUNCTION("""COMPUTED_VALUE"""),639757984479)</f>
        <v>639757984479</v>
      </c>
      <c r="AB199" s="1">
        <f>IFERROR(__xludf.DUMMYFUNCTION("""COMPUTED_VALUE"""),639150979888)</f>
        <v>639150979888</v>
      </c>
      <c r="AC199" s="1">
        <f>IFERROR(__xludf.DUMMYFUNCTION("""COMPUTED_VALUE"""),508)</f>
        <v>508</v>
      </c>
      <c r="AD199" s="1" t="str">
        <f>IFERROR(__xludf.DUMMYFUNCTION("""COMPUTED_VALUE"""),"GEN TRIAS DRIVE")</f>
        <v>GEN TRIAS DRIVE</v>
      </c>
      <c r="AE199" s="1"/>
      <c r="AF199" s="1" t="str">
        <f>IFERROR(__xludf.DUMMYFUNCTION("""COMPUTED_VALUE"""),"BGY SAN JUAN 2")</f>
        <v>BGY SAN JUAN 2</v>
      </c>
      <c r="AG199" s="1" t="str">
        <f>IFERROR(__xludf.DUMMYFUNCTION("""COMPUTED_VALUE"""),"GENERAL TRIAS")</f>
        <v>GENERAL TRIAS</v>
      </c>
      <c r="AH199" s="1" t="str">
        <f>IFERROR(__xludf.DUMMYFUNCTION("""COMPUTED_VALUE"""),"BESIDE 7/11")</f>
        <v>BESIDE 7/11</v>
      </c>
      <c r="AI199" s="1" t="str">
        <f>IFERROR(__xludf.DUMMYFUNCTION("""COMPUTED_VALUE"""),"NOT AOR")</f>
        <v>NOT AOR</v>
      </c>
    </row>
    <row r="200" customHeight="1" spans="1:35">
      <c r="A200" s="3">
        <f>IFERROR(__xludf.DUMMYFUNCTION("""COMPUTED_VALUE"""),46254)</f>
        <v>46254</v>
      </c>
      <c r="B200" s="1" t="str">
        <f>IFERROR(__xludf.DUMMYFUNCTION("""COMPUTED_VALUE"""),"JOANNA KATE . OLAYVAR")</f>
        <v>JOANNA KATE . OLAYVAR</v>
      </c>
      <c r="C200" s="1">
        <f>IFERROR(__xludf.DUMMYFUNCTION("""COMPUTED_VALUE"""),2311949601)</f>
        <v>2311949601</v>
      </c>
      <c r="D200" s="1">
        <f>IFERROR(__xludf.DUMMYFUNCTION("""COMPUTED_VALUE"""),407085914)</f>
        <v>407085914</v>
      </c>
      <c r="E200" s="1">
        <f>IFERROR(__xludf.DUMMYFUNCTION("""COMPUTED_VALUE"""),467263520004)</f>
        <v>467263520004</v>
      </c>
      <c r="F200" s="1" t="str">
        <f>IFERROR(__xludf.DUMMYFUNCTION("""COMPUTED_VALUE"""),"CANCELLED")</f>
        <v>CANCELLED</v>
      </c>
      <c r="G200" s="1" t="str">
        <f>IFERROR(__xludf.DUMMYFUNCTION("""COMPUTED_VALUE"""),"AUTO - AGING")</f>
        <v>AUTO - AGING</v>
      </c>
      <c r="H200" s="1" t="str">
        <f>IFERROR(__xludf.DUMMYFUNCTION("""COMPUTED_VALUE"""),"BOTH CBR CANNOT BE REACH 2X ATTEMPT 08/29 9:24")</f>
        <v>BOTH CBR CANNOT BE REACH 2X ATTEMPT 08/29 9:24</v>
      </c>
      <c r="I200" s="1"/>
      <c r="J200" s="1"/>
      <c r="K200" s="1" t="str">
        <f>IFERROR(__xludf.DUMMYFUNCTION("""COMPUTED_VALUE"""),"NOT IN OFSC")</f>
        <v>NOT IN OFSC</v>
      </c>
      <c r="L200" s="1" t="str">
        <f>IFERROR(__xludf.DUMMYFUNCTION("""COMPUTED_VALUE"""),"CANCELLED - AGING")</f>
        <v>CANCELLED - AGING</v>
      </c>
      <c r="M200" s="1" t="str">
        <f>IFERROR(__xludf.DUMMYFUNCTION("""COMPUTED_VALUE"""),"CANCELLED - AGING")</f>
        <v>CANCELLED - AGING</v>
      </c>
      <c r="N200" s="3"/>
      <c r="O200" s="1" t="str">
        <f>IFERROR(__xludf.DUMMYFUNCTION("""COMPUTED_VALUE"""),"FIBR UNLI ALL PLAN 999")</f>
        <v>FIBR UNLI ALL PLAN 999</v>
      </c>
      <c r="P200" s="1" t="str">
        <f>IFERROR(__xludf.DUMMYFUNCTION("""COMPUTED_VALUE"""),"LOWPLAN")</f>
        <v>LOWPLAN</v>
      </c>
      <c r="Q200" s="1" t="str">
        <f>IFERROR(__xludf.DUMMYFUNCTION("""COMPUTED_VALUE"""),"P407050")</f>
        <v>P407050</v>
      </c>
      <c r="R200" s="1" t="str">
        <f>IFERROR(__xludf.DUMMYFUNCTION("""COMPUTED_VALUE"""),"IVNO, RAZZEL")</f>
        <v>IVNO, RAZZEL</v>
      </c>
      <c r="S200" s="1" t="str">
        <f>IFERROR(__xludf.DUMMYFUNCTION("""COMPUTED_VALUE"""),"ORGANIC")</f>
        <v>ORGANIC</v>
      </c>
      <c r="T200" s="1" t="str">
        <f>IFERROR(__xludf.DUMMYFUNCTION("""COMPUTED_VALUE"""),"LEA REMOLLO")</f>
        <v>LEA REMOLLO</v>
      </c>
      <c r="U200" s="1" t="str">
        <f>IFERROR(__xludf.DUMMYFUNCTION("""COMPUTED_VALUE"""),"JULIE ESPIRITU")</f>
        <v>JULIE ESPIRITU</v>
      </c>
      <c r="V200" s="1" t="str">
        <f>IFERROR(__xludf.DUMMYFUNCTION("""COMPUTED_VALUE"""),"BK HSTK")</f>
        <v>BK HSTK</v>
      </c>
      <c r="W200" s="1" t="str">
        <f>IFERROR(__xludf.DUMMYFUNCTION("""COMPUTED_VALUE"""),"BK HSTK")</f>
        <v>BK HSTK</v>
      </c>
      <c r="X200" s="1" t="str">
        <f>IFERROR(__xludf.DUMMYFUNCTION("""COMPUTED_VALUE"""),"HBBS AUG 2026")</f>
        <v>HBBS AUG 2026</v>
      </c>
      <c r="Y200" s="1" t="str">
        <f>IFERROR(__xludf.DUMMYFUNCTION("""COMPUTED_VALUE"""),"BK_CVEU_260803")</f>
        <v>BK_CVEU_260803</v>
      </c>
      <c r="Z200" s="1" t="str">
        <f>IFERROR(__xludf.DUMMYFUNCTION("""COMPUTED_VALUE"""),"NEW CONNECT")</f>
        <v>NEW CONNECT</v>
      </c>
      <c r="AA200" s="1">
        <f>IFERROR(__xludf.DUMMYFUNCTION("""COMPUTED_VALUE"""),639759894876)</f>
        <v>639759894876</v>
      </c>
      <c r="AB200" s="1">
        <f>IFERROR(__xludf.DUMMYFUNCTION("""COMPUTED_VALUE"""),639755451924)</f>
        <v>639755451924</v>
      </c>
      <c r="AC200" s="1"/>
      <c r="AD200" s="1" t="str">
        <f>IFERROR(__xludf.DUMMYFUNCTION("""COMPUTED_VALUE"""),"PHASE 2")</f>
        <v>PHASE 2</v>
      </c>
      <c r="AE200" s="1"/>
      <c r="AF200" s="1" t="str">
        <f>IFERROR(__xludf.DUMMYFUNCTION("""COMPUTED_VALUE"""),"BGY MILAGROSA")</f>
        <v>BGY MILAGROSA</v>
      </c>
      <c r="AG200" s="1" t="str">
        <f>IFERROR(__xludf.DUMMYFUNCTION("""COMPUTED_VALUE"""),"CARMONA")</f>
        <v>CARMONA</v>
      </c>
      <c r="AH200" s="1" t="str">
        <f>IFERROR(__xludf.DUMMYFUNCTION("""COMPUTED_VALUE"""),"BAYBAY APARTMENT")</f>
        <v>BAYBAY APARTMENT</v>
      </c>
      <c r="AI200" s="1" t="str">
        <f>IFERROR(__xludf.DUMMYFUNCTION("""COMPUTED_VALUE"""),"CLUSTER 11")</f>
        <v>CLUSTER 11</v>
      </c>
    </row>
    <row r="201" customHeight="1" spans="1:35">
      <c r="A201" s="3">
        <f>IFERROR(__xludf.DUMMYFUNCTION("""COMPUTED_VALUE"""),46254)</f>
        <v>46254</v>
      </c>
      <c r="B201" s="1" t="str">
        <f>IFERROR(__xludf.DUMMYFUNCTION("""COMPUTED_VALUE"""),"PORFIRIO OYTAS CAPANAYAN")</f>
        <v>PORFIRIO OYTAS CAPANAYAN</v>
      </c>
      <c r="C201" s="1">
        <f>IFERROR(__xludf.DUMMYFUNCTION("""COMPUTED_VALUE"""),2311950551)</f>
        <v>2311950551</v>
      </c>
      <c r="D201" s="1">
        <f>IFERROR(__xludf.DUMMYFUNCTION("""COMPUTED_VALUE"""),407087615)</f>
        <v>407087615</v>
      </c>
      <c r="E201" s="1">
        <f>IFERROR(__xludf.DUMMYFUNCTION("""COMPUTED_VALUE"""),467263916004)</f>
        <v>467263916004</v>
      </c>
      <c r="F201" s="1" t="str">
        <f>IFERROR(__xludf.DUMMYFUNCTION("""COMPUTED_VALUE"""),"CLOSED")</f>
        <v>CLOSED</v>
      </c>
      <c r="G201" s="1" t="str">
        <f>IFERROR(__xludf.DUMMYFUNCTION("""COMPUTED_VALUE"""),"CLOSED")</f>
        <v>CLOSED</v>
      </c>
      <c r="H201" s="1" t="str">
        <f>IFERROR(__xludf.DUMMYFUNCTION("""COMPUTED_VALUE"""),"PQGOR361497096	20-Aug-26	Regular Payment	CIS-GCASH 3.0	1,549.00	0	20-Aug-")</f>
        <v>PQGOR361497096	20-Aug-26	Regular Payment	CIS-GCASH 3.0	1,549.00	0	20-Aug-</v>
      </c>
      <c r="I201" s="1" t="str">
        <f>IFERROR(__xludf.DUMMYFUNCTION("""COMPUTED_VALUE"""),"WITH 1 AMSF")</f>
        <v>WITH 1 AMSF</v>
      </c>
      <c r="J201" s="1"/>
      <c r="K201" s="1" t="str">
        <f>IFERROR(__xludf.DUMMYFUNCTION("""COMPUTED_VALUE"""),"COMPLETED")</f>
        <v>COMPLETED</v>
      </c>
      <c r="L201" s="1" t="str">
        <f>IFERROR(__xludf.DUMMYFUNCTION("""COMPUTED_VALUE"""),"POSTED")</f>
        <v>POSTED</v>
      </c>
      <c r="M201" s="1" t="str">
        <f>IFERROR(__xludf.DUMMYFUNCTION("""COMPUTED_VALUE"""),"POSTED")</f>
        <v>POSTED</v>
      </c>
      <c r="N201" s="3">
        <f>IFERROR(__xludf.DUMMYFUNCTION("""COMPUTED_VALUE"""),46256)</f>
        <v>46256</v>
      </c>
      <c r="O201" s="1" t="str">
        <f>IFERROR(__xludf.DUMMYFUNCTION("""COMPUTED_VALUE"""),"FIBER UNLI ALL PLAN 1499")</f>
        <v>FIBER UNLI ALL PLAN 1499</v>
      </c>
      <c r="P201" s="1" t="str">
        <f>IFERROR(__xludf.DUMMYFUNCTION("""COMPUTED_VALUE"""),"LOWPLAN")</f>
        <v>LOWPLAN</v>
      </c>
      <c r="Q201" s="1" t="str">
        <f>IFERROR(__xludf.DUMMYFUNCTION("""COMPUTED_VALUE"""),"P407050")</f>
        <v>P407050</v>
      </c>
      <c r="R201" s="1" t="str">
        <f>IFERROR(__xludf.DUMMYFUNCTION("""COMPUTED_VALUE"""),"DENACO, RODNEY")</f>
        <v>DENACO, RODNEY</v>
      </c>
      <c r="S201" s="1" t="str">
        <f>IFERROR(__xludf.DUMMYFUNCTION("""COMPUTED_VALUE"""),"ORGANIC")</f>
        <v>ORGANIC</v>
      </c>
      <c r="T201" s="1" t="str">
        <f>IFERROR(__xludf.DUMMYFUNCTION("""COMPUTED_VALUE"""),"LEA REMOLLO")</f>
        <v>LEA REMOLLO</v>
      </c>
      <c r="U201" s="1" t="str">
        <f>IFERROR(__xludf.DUMMYFUNCTION("""COMPUTED_VALUE"""),"JULIE ESPIRITU")</f>
        <v>JULIE ESPIRITU</v>
      </c>
      <c r="V201" s="1" t="str">
        <f>IFERROR(__xludf.DUMMYFUNCTION("""COMPUTED_VALUE"""),"BK HSTK")</f>
        <v>BK HSTK</v>
      </c>
      <c r="W201" s="1" t="str">
        <f>IFERROR(__xludf.DUMMYFUNCTION("""COMPUTED_VALUE"""),"BK HSTK")</f>
        <v>BK HSTK</v>
      </c>
      <c r="X201" s="1" t="str">
        <f>IFERROR(__xludf.DUMMYFUNCTION("""COMPUTED_VALUE"""),"HBBS AUG 2026")</f>
        <v>HBBS AUG 2026</v>
      </c>
      <c r="Y201" s="1" t="str">
        <f>IFERROR(__xludf.DUMMYFUNCTION("""COMPUTED_VALUE"""),"BK_CVEU_260803")</f>
        <v>BK_CVEU_260803</v>
      </c>
      <c r="Z201" s="1" t="str">
        <f>IFERROR(__xludf.DUMMYFUNCTION("""COMPUTED_VALUE"""),"NEW CONNECT")</f>
        <v>NEW CONNECT</v>
      </c>
      <c r="AA201" s="1">
        <f>IFERROR(__xludf.DUMMYFUNCTION("""COMPUTED_VALUE"""),639932104284)</f>
        <v>639932104284</v>
      </c>
      <c r="AB201" s="1"/>
      <c r="AC201" s="1"/>
      <c r="AD201" s="1" t="str">
        <f>IFERROR(__xludf.DUMMYFUNCTION("""COMPUTED_VALUE"""),"PHASE 2")</f>
        <v>PHASE 2</v>
      </c>
      <c r="AE201" s="1"/>
      <c r="AF201" s="1" t="str">
        <f>IFERROR(__xludf.DUMMYFUNCTION("""COMPUTED_VALUE"""),"BGY MILAGROSA")</f>
        <v>BGY MILAGROSA</v>
      </c>
      <c r="AG201" s="1" t="str">
        <f>IFERROR(__xludf.DUMMYFUNCTION("""COMPUTED_VALUE"""),"CARMONA")</f>
        <v>CARMONA</v>
      </c>
      <c r="AH201" s="1" t="str">
        <f>IFERROR(__xludf.DUMMYFUNCTION("""COMPUTED_VALUE"""),"LCB APARTMENT")</f>
        <v>LCB APARTMENT</v>
      </c>
      <c r="AI201" s="1" t="str">
        <f>IFERROR(__xludf.DUMMYFUNCTION("""COMPUTED_VALUE"""),"CLUSTER 11")</f>
        <v>CLUSTER 11</v>
      </c>
    </row>
    <row r="202" customHeight="1" spans="1:35">
      <c r="A202" s="3">
        <f>IFERROR(__xludf.DUMMYFUNCTION("""COMPUTED_VALUE"""),46254)</f>
        <v>46254</v>
      </c>
      <c r="B202" s="1" t="str">
        <f>IFERROR(__xludf.DUMMYFUNCTION("""COMPUTED_VALUE""")," ILL HO CHO")</f>
        <v> ILL HO CHO</v>
      </c>
      <c r="C202" s="1">
        <f>IFERROR(__xludf.DUMMYFUNCTION("""COMPUTED_VALUE"""),2311951632)</f>
        <v>2311951632</v>
      </c>
      <c r="D202" s="1">
        <f>IFERROR(__xludf.DUMMYFUNCTION("""COMPUTED_VALUE"""),407099273)</f>
        <v>407099273</v>
      </c>
      <c r="E202" s="1">
        <f>IFERROR(__xludf.DUMMYFUNCTION("""COMPUTED_VALUE"""),467269026004)</f>
        <v>467269026004</v>
      </c>
      <c r="F202" s="1" t="str">
        <f>IFERROR(__xludf.DUMMYFUNCTION("""COMPUTED_VALUE"""),"CLOSED")</f>
        <v>CLOSED</v>
      </c>
      <c r="G202" s="1" t="str">
        <f>IFERROR(__xludf.DUMMYFUNCTION("""COMPUTED_VALUE"""),"CLOSED")</f>
        <v>CLOSED</v>
      </c>
      <c r="H202" s="1" t="str">
        <f>IFERROR(__xludf.DUMMYFUNCTION("""COMPUTED_VALUE"""),"PQGOR361535788	21-Aug-26	Regular Payment	PLDT Pay Express-Web-App credit	5,097.00	0	21-Aug-26")</f>
        <v>PQGOR361535788	21-Aug-26	Regular Payment	PLDT Pay Express-Web-App credit	5,097.00	0	21-Aug-26</v>
      </c>
      <c r="I202" s="1" t="str">
        <f>IFERROR(__xludf.DUMMYFUNCTION("""COMPUTED_VALUE"""),"WITH 1 AMSF")</f>
        <v>WITH 1 AMSF</v>
      </c>
      <c r="J202" s="1"/>
      <c r="K202" s="1" t="str">
        <f>IFERROR(__xludf.DUMMYFUNCTION("""COMPUTED_VALUE"""),"COMPLETED")</f>
        <v>COMPLETED</v>
      </c>
      <c r="L202" s="1" t="str">
        <f>IFERROR(__xludf.DUMMYFUNCTION("""COMPUTED_VALUE"""),"POSTED")</f>
        <v>POSTED</v>
      </c>
      <c r="M202" s="1" t="str">
        <f>IFERROR(__xludf.DUMMYFUNCTION("""COMPUTED_VALUE"""),"POSTED")</f>
        <v>POSTED</v>
      </c>
      <c r="N202" s="3">
        <f>IFERROR(__xludf.DUMMYFUNCTION("""COMPUTED_VALUE"""),46255)</f>
        <v>46255</v>
      </c>
      <c r="O202" s="1" t="str">
        <f>IFERROR(__xludf.DUMMYFUNCTION("""COMPUTED_VALUE"""),"FIBR PLAN 1699")</f>
        <v>FIBR PLAN 1699</v>
      </c>
      <c r="P202" s="1" t="str">
        <f>IFERROR(__xludf.DUMMYFUNCTION("""COMPUTED_VALUE"""),"HIGHPLAN")</f>
        <v>HIGHPLAN</v>
      </c>
      <c r="Q202" s="1" t="str">
        <f>IFERROR(__xludf.DUMMYFUNCTION("""COMPUTED_VALUE"""),"P407047 ")</f>
        <v>P407047 </v>
      </c>
      <c r="R202" s="1" t="str">
        <f>IFERROR(__xludf.DUMMYFUNCTION("""COMPUTED_VALUE"""),"OPS")</f>
        <v>OPS</v>
      </c>
      <c r="S202" s="1" t="str">
        <f>IFERROR(__xludf.DUMMYFUNCTION("""COMPUTED_VALUE"""),"FLA")</f>
        <v>FLA</v>
      </c>
      <c r="T202" s="1" t="str">
        <f>IFERROR(__xludf.DUMMYFUNCTION("""COMPUTED_VALUE"""),"JERIC NAVARRO")</f>
        <v>JERIC NAVARRO</v>
      </c>
      <c r="U202" s="1" t="str">
        <f>IFERROR(__xludf.DUMMYFUNCTION("""COMPUTED_VALUE"""),"MARK MALIWAT")</f>
        <v>MARK MALIWAT</v>
      </c>
      <c r="V202" s="1" t="str">
        <f>IFERROR(__xludf.DUMMYFUNCTION("""COMPUTED_VALUE"""),"BK HSTK")</f>
        <v>BK HSTK</v>
      </c>
      <c r="W202" s="1" t="str">
        <f>IFERROR(__xludf.DUMMYFUNCTION("""COMPUTED_VALUE"""),"BK HSTK")</f>
        <v>BK HSTK</v>
      </c>
      <c r="X202" s="1" t="str">
        <f>IFERROR(__xludf.DUMMYFUNCTION("""COMPUTED_VALUE"""),"HBBS AUG 2026")</f>
        <v>HBBS AUG 2026</v>
      </c>
      <c r="Y202" s="1" t="str">
        <f>IFERROR(__xludf.DUMMYFUNCTION("""COMPUTED_VALUE"""),"RS_ONL_CVEU_2026")</f>
        <v>RS_ONL_CVEU_2026</v>
      </c>
      <c r="Z202" s="1" t="str">
        <f>IFERROR(__xludf.DUMMYFUNCTION("""COMPUTED_VALUE"""),"NEW CONNECT")</f>
        <v>NEW CONNECT</v>
      </c>
      <c r="AA202" s="1">
        <f>IFERROR(__xludf.DUMMYFUNCTION("""COMPUTED_VALUE"""),639065765215)</f>
        <v>639065765215</v>
      </c>
      <c r="AB202" s="1">
        <f>IFERROR(__xludf.DUMMYFUNCTION("""COMPUTED_VALUE"""),639158890005)</f>
        <v>639158890005</v>
      </c>
      <c r="AC202" s="1"/>
      <c r="AD202" s="1" t="str">
        <f>IFERROR(__xludf.DUMMYFUNCTION("""COMPUTED_VALUE"""),"SOUTHRIDGE")</f>
        <v>SOUTHRIDGE</v>
      </c>
      <c r="AE202" s="1" t="str">
        <f>IFERROR(__xludf.DUMMYFUNCTION("""COMPUTED_VALUE"""),"SOUTHRIDGE SUBDIVISION")</f>
        <v>SOUTHRIDGE SUBDIVISION</v>
      </c>
      <c r="AF202" s="1" t="str">
        <f>IFERROR(__xludf.DUMMYFUNCTION("""COMPUTED_VALUE"""),"BGY SUNGAY NORTH")</f>
        <v>BGY SUNGAY NORTH</v>
      </c>
      <c r="AG202" s="1" t="str">
        <f>IFERROR(__xludf.DUMMYFUNCTION("""COMPUTED_VALUE"""),"TAGAYTAY")</f>
        <v>TAGAYTAY</v>
      </c>
      <c r="AH202" s="1" t="str">
        <f>IFERROR(__xludf.DUMMYFUNCTION("""COMPUTED_VALUE"""),"BESIDE ONE TAGAYTAY")</f>
        <v>BESIDE ONE TAGAYTAY</v>
      </c>
      <c r="AI202" s="1" t="str">
        <f>IFERROR(__xludf.DUMMYFUNCTION("""COMPUTED_VALUE"""),"CLUSTER 12")</f>
        <v>CLUSTER 12</v>
      </c>
    </row>
    <row r="203" customHeight="1" spans="1:35">
      <c r="A203" s="3">
        <f>IFERROR(__xludf.DUMMYFUNCTION("""COMPUTED_VALUE"""),46254)</f>
        <v>46254</v>
      </c>
      <c r="B203" s="1" t="str">
        <f>IFERROR(__xludf.DUMMYFUNCTION("""COMPUTED_VALUE"""),"GILBERT SICAPORE TOLENTINO")</f>
        <v>GILBERT SICAPORE TOLENTINO</v>
      </c>
      <c r="C203" s="1">
        <f>IFERROR(__xludf.DUMMYFUNCTION("""COMPUTED_VALUE"""),2311953474)</f>
        <v>2311953474</v>
      </c>
      <c r="D203" s="1">
        <f>IFERROR(__xludf.DUMMYFUNCTION("""COMPUTED_VALUE"""),407104528)</f>
        <v>407104528</v>
      </c>
      <c r="E203" s="1">
        <f>IFERROR(__xludf.DUMMYFUNCTION("""COMPUTED_VALUE"""),467273287004)</f>
        <v>467273287004</v>
      </c>
      <c r="F203" s="1" t="str">
        <f>IFERROR(__xludf.DUMMYFUNCTION("""COMPUTED_VALUE"""),"CLOSED")</f>
        <v>CLOSED</v>
      </c>
      <c r="G203" s="1" t="str">
        <f>IFERROR(__xludf.DUMMYFUNCTION("""COMPUTED_VALUE"""),"CLOSED")</f>
        <v>CLOSED</v>
      </c>
      <c r="H203" s="1" t="str">
        <f>IFERROR(__xludf.DUMMYFUNCTION("""COMPUTED_VALUE"""),"PQGOR361561748	21-Aug-26	Regular Payment	CIS-GCASH 3.0	1,050.00	0	21-Aug-26")</f>
        <v>PQGOR361561748	21-Aug-26	Regular Payment	CIS-GCASH 3.0	1,050.00	0	21-Aug-26</v>
      </c>
      <c r="I203" s="1" t="str">
        <f>IFERROR(__xludf.DUMMYFUNCTION("""COMPUTED_VALUE"""),"WITH 1 AMSF")</f>
        <v>WITH 1 AMSF</v>
      </c>
      <c r="J203" s="1"/>
      <c r="K203" s="1" t="str">
        <f>IFERROR(__xludf.DUMMYFUNCTION("""COMPUTED_VALUE"""),"COMPLETED")</f>
        <v>COMPLETED</v>
      </c>
      <c r="L203" s="1" t="str">
        <f>IFERROR(__xludf.DUMMYFUNCTION("""COMPUTED_VALUE"""),"POSTED")</f>
        <v>POSTED</v>
      </c>
      <c r="M203" s="1" t="str">
        <f>IFERROR(__xludf.DUMMYFUNCTION("""COMPUTED_VALUE"""),"POSTED")</f>
        <v>POSTED</v>
      </c>
      <c r="N203" s="3">
        <f>IFERROR(__xludf.DUMMYFUNCTION("""COMPUTED_VALUE"""),46255)</f>
        <v>46255</v>
      </c>
      <c r="O203" s="1" t="str">
        <f>IFERROR(__xludf.DUMMYFUNCTION("""COMPUTED_VALUE"""),"FIBR UNLI ALL PLAN 999")</f>
        <v>FIBR UNLI ALL PLAN 999</v>
      </c>
      <c r="P203" s="1" t="str">
        <f>IFERROR(__xludf.DUMMYFUNCTION("""COMPUTED_VALUE"""),"LOWPLAN")</f>
        <v>LOWPLAN</v>
      </c>
      <c r="Q203" s="1" t="str">
        <f>IFERROR(__xludf.DUMMYFUNCTION("""COMPUTED_VALUE"""),"P407050 ")</f>
        <v>P407050 </v>
      </c>
      <c r="R203" s="1" t="str">
        <f>IFERROR(__xludf.DUMMYFUNCTION("""COMPUTED_VALUE"""),"ALOS, CHARLS LAURENZ")</f>
        <v>ALOS, CHARLS LAURENZ</v>
      </c>
      <c r="S203" s="1" t="str">
        <f>IFERROR(__xludf.DUMMYFUNCTION("""COMPUTED_VALUE"""),"ORGANIC")</f>
        <v>ORGANIC</v>
      </c>
      <c r="T203" s="1" t="str">
        <f>IFERROR(__xludf.DUMMYFUNCTION("""COMPUTED_VALUE"""),"LEA REMOLLO")</f>
        <v>LEA REMOLLO</v>
      </c>
      <c r="U203" s="1" t="str">
        <f>IFERROR(__xludf.DUMMYFUNCTION("""COMPUTED_VALUE"""),"MARK MALIWAT")</f>
        <v>MARK MALIWAT</v>
      </c>
      <c r="V203" s="1" t="str">
        <f>IFERROR(__xludf.DUMMYFUNCTION("""COMPUTED_VALUE"""),"H2H")</f>
        <v>H2H</v>
      </c>
      <c r="W203" s="1" t="str">
        <f>IFERROR(__xludf.DUMMYFUNCTION("""COMPUTED_VALUE"""),"CSP")</f>
        <v>CSP</v>
      </c>
      <c r="X203" s="1" t="str">
        <f>IFERROR(__xludf.DUMMYFUNCTION("""COMPUTED_VALUE"""),"HBBS AUG 2026")</f>
        <v>HBBS AUG 2026</v>
      </c>
      <c r="Y203" s="1" t="str">
        <f>IFERROR(__xludf.DUMMYFUNCTION("""COMPUTED_VALUE"""),"BK_CVEU_260801")</f>
        <v>BK_CVEU_260801</v>
      </c>
      <c r="Z203" s="1" t="str">
        <f>IFERROR(__xludf.DUMMYFUNCTION("""COMPUTED_VALUE"""),"NEW CONNECT")</f>
        <v>NEW CONNECT</v>
      </c>
      <c r="AA203" s="1">
        <f>IFERROR(__xludf.DUMMYFUNCTION("""COMPUTED_VALUE"""),639649967548)</f>
        <v>639649967548</v>
      </c>
      <c r="AB203" s="1">
        <f>IFERROR(__xludf.DUMMYFUNCTION("""COMPUTED_VALUE"""),639101239559)</f>
        <v>639101239559</v>
      </c>
      <c r="AC203" s="1">
        <f>IFERROR(__xludf.DUMMYFUNCTION("""COMPUTED_VALUE"""),59)</f>
        <v>59</v>
      </c>
      <c r="AD203" s="1" t="str">
        <f>IFERROR(__xludf.DUMMYFUNCTION("""COMPUTED_VALUE"""),"PUROK 1")</f>
        <v>PUROK 1</v>
      </c>
      <c r="AE203" s="1" t="str">
        <f>IFERROR(__xludf.DUMMYFUNCTION("""COMPUTED_VALUE"""),"ALILIO COMPOUND")</f>
        <v>ALILIO COMPOUND</v>
      </c>
      <c r="AF203" s="1" t="str">
        <f>IFERROR(__xludf.DUMMYFUNCTION("""COMPUTED_VALUE"""),"BGY LUKSUHIN ILAYA")</f>
        <v>BGY LUKSUHIN ILAYA</v>
      </c>
      <c r="AG203" s="1" t="str">
        <f>IFERROR(__xludf.DUMMYFUNCTION("""COMPUTED_VALUE"""),"ALFONSO")</f>
        <v>ALFONSO</v>
      </c>
      <c r="AH203" s="1" t="str">
        <f>IFERROR(__xludf.DUMMYFUNCTION("""COMPUTED_VALUE"""),"ALFAMART")</f>
        <v>ALFAMART</v>
      </c>
      <c r="AI203" s="1" t="str">
        <f>IFERROR(__xludf.DUMMYFUNCTION("""COMPUTED_VALUE"""),"CLUSTER 12")</f>
        <v>CLUSTER 12</v>
      </c>
    </row>
    <row r="204" customHeight="1" spans="1:35">
      <c r="A204" s="3">
        <f>IFERROR(__xludf.DUMMYFUNCTION("""COMPUTED_VALUE"""),46254)</f>
        <v>46254</v>
      </c>
      <c r="B204" s="1" t="str">
        <f>IFERROR(__xludf.DUMMYFUNCTION("""COMPUTED_VALUE"""),"DANIEL BASILIO MORAL")</f>
        <v>DANIEL BASILIO MORAL</v>
      </c>
      <c r="C204" s="1">
        <f>IFERROR(__xludf.DUMMYFUNCTION("""COMPUTED_VALUE"""),2311953416)</f>
        <v>2311953416</v>
      </c>
      <c r="D204" s="1">
        <f>IFERROR(__xludf.DUMMYFUNCTION("""COMPUTED_VALUE"""),407095626)</f>
        <v>407095626</v>
      </c>
      <c r="E204" s="1">
        <f>IFERROR(__xludf.DUMMYFUNCTION("""COMPUTED_VALUE"""),467266198004)</f>
        <v>467266198004</v>
      </c>
      <c r="F204" s="1" t="str">
        <f>IFERROR(__xludf.DUMMYFUNCTION("""COMPUTED_VALUE"""),"CLOSED")</f>
        <v>CLOSED</v>
      </c>
      <c r="G204" s="1" t="str">
        <f>IFERROR(__xludf.DUMMYFUNCTION("""COMPUTED_VALUE"""),"CLOSED")</f>
        <v>CLOSED</v>
      </c>
      <c r="H204" s="1"/>
      <c r="I204" s="1" t="str">
        <f>IFERROR(__xludf.DUMMYFUNCTION("""COMPUTED_VALUE"""),"NO 1 AMSF")</f>
        <v>NO 1 AMSF</v>
      </c>
      <c r="J204" s="1" t="str">
        <f>IFERROR(__xludf.DUMMYFUNCTION("""COMPUTED_VALUE"""),"DUE DATE - 17-Sep-26 - 1,694.07")</f>
        <v>DUE DATE - 17-Sep-26 - 1,694.07</v>
      </c>
      <c r="K204" s="1" t="str">
        <f>IFERROR(__xludf.DUMMYFUNCTION("""COMPUTED_VALUE"""),"COMPLETED")</f>
        <v>COMPLETED</v>
      </c>
      <c r="L204" s="1" t="str">
        <f>IFERROR(__xludf.DUMMYFUNCTION("""COMPUTED_VALUE"""),"POSTED")</f>
        <v>POSTED</v>
      </c>
      <c r="M204" s="1" t="str">
        <f>IFERROR(__xludf.DUMMYFUNCTION("""COMPUTED_VALUE"""),"POSTED")</f>
        <v>POSTED</v>
      </c>
      <c r="N204" s="3">
        <f>IFERROR(__xludf.DUMMYFUNCTION("""COMPUTED_VALUE"""),46255)</f>
        <v>46255</v>
      </c>
      <c r="O204" s="1" t="str">
        <f>IFERROR(__xludf.DUMMYFUNCTION("""COMPUTED_VALUE"""),"SWITCH FIBER UNLI ALL PLAN 1499")</f>
        <v>SWITCH FIBER UNLI ALL PLAN 1499</v>
      </c>
      <c r="P204" s="1" t="str">
        <f>IFERROR(__xludf.DUMMYFUNCTION("""COMPUTED_VALUE"""),"LOWPLAN")</f>
        <v>LOWPLAN</v>
      </c>
      <c r="Q204" s="1" t="str">
        <f>IFERROR(__xludf.DUMMYFUNCTION("""COMPUTED_VALUE"""),"P407050")</f>
        <v>P407050</v>
      </c>
      <c r="R204" s="1" t="str">
        <f>IFERROR(__xludf.DUMMYFUNCTION("""COMPUTED_VALUE"""),"DENACO, RODNEY")</f>
        <v>DENACO, RODNEY</v>
      </c>
      <c r="S204" s="1" t="str">
        <f>IFERROR(__xludf.DUMMYFUNCTION("""COMPUTED_VALUE"""),"ORGANIC")</f>
        <v>ORGANIC</v>
      </c>
      <c r="T204" s="1" t="str">
        <f>IFERROR(__xludf.DUMMYFUNCTION("""COMPUTED_VALUE"""),"LEA REMOLLO")</f>
        <v>LEA REMOLLO</v>
      </c>
      <c r="U204" s="1" t="str">
        <f>IFERROR(__xludf.DUMMYFUNCTION("""COMPUTED_VALUE"""),"JULIE ESPIRITU")</f>
        <v>JULIE ESPIRITU</v>
      </c>
      <c r="V204" s="1" t="str">
        <f>IFERROR(__xludf.DUMMYFUNCTION("""COMPUTED_VALUE"""),"BK HSTK")</f>
        <v>BK HSTK</v>
      </c>
      <c r="W204" s="1" t="str">
        <f>IFERROR(__xludf.DUMMYFUNCTION("""COMPUTED_VALUE"""),"BK HSTK")</f>
        <v>BK HSTK</v>
      </c>
      <c r="X204" s="1" t="str">
        <f>IFERROR(__xludf.DUMMYFUNCTION("""COMPUTED_VALUE"""),"HBBS AUG 2026")</f>
        <v>HBBS AUG 2026</v>
      </c>
      <c r="Y204" s="1" t="str">
        <f>IFERROR(__xludf.DUMMYFUNCTION("""COMPUTED_VALUE"""),"BK_CVEU_260801")</f>
        <v>BK_CVEU_260801</v>
      </c>
      <c r="Z204" s="1" t="str">
        <f>IFERROR(__xludf.DUMMYFUNCTION("""COMPUTED_VALUE"""),"NEW CONNECT")</f>
        <v>NEW CONNECT</v>
      </c>
      <c r="AA204" s="1">
        <f>IFERROR(__xludf.DUMMYFUNCTION("""COMPUTED_VALUE"""),639155561600)</f>
        <v>639155561600</v>
      </c>
      <c r="AB204" s="1">
        <f>IFERROR(__xludf.DUMMYFUNCTION("""COMPUTED_VALUE"""),639276464352)</f>
        <v>639276464352</v>
      </c>
      <c r="AC204" s="1">
        <f>IFERROR(__xludf.DUMMYFUNCTION("""COMPUTED_VALUE"""),2010)</f>
        <v>2010</v>
      </c>
      <c r="AD204" s="1" t="str">
        <f>IFERROR(__xludf.DUMMYFUNCTION("""COMPUTED_VALUE"""),"LUKSUHIN IBABA")</f>
        <v>LUKSUHIN IBABA</v>
      </c>
      <c r="AE204" s="1"/>
      <c r="AF204" s="1" t="str">
        <f>IFERROR(__xludf.DUMMYFUNCTION("""COMPUTED_VALUE"""),"BGY LUKSUHIN IBABA")</f>
        <v>BGY LUKSUHIN IBABA</v>
      </c>
      <c r="AG204" s="1" t="str">
        <f>IFERROR(__xludf.DUMMYFUNCTION("""COMPUTED_VALUE"""),"ALFONSO")</f>
        <v>ALFONSO</v>
      </c>
      <c r="AH204" s="1"/>
      <c r="AI204" s="1" t="str">
        <f>IFERROR(__xludf.DUMMYFUNCTION("""COMPUTED_VALUE"""),"CLUSTER 12")</f>
        <v>CLUSTER 12</v>
      </c>
    </row>
    <row r="205" customHeight="1" spans="1:35">
      <c r="A205" s="3">
        <f>IFERROR(__xludf.DUMMYFUNCTION("""COMPUTED_VALUE"""),46254)</f>
        <v>46254</v>
      </c>
      <c r="B205" s="1" t="str">
        <f>IFERROR(__xludf.DUMMYFUNCTION("""COMPUTED_VALUE"""),"JOH CARL DELA CRUZ SUELAN")</f>
        <v>JOH CARL DELA CRUZ SUELAN</v>
      </c>
      <c r="C205" s="1">
        <f>IFERROR(__xludf.DUMMYFUNCTION("""COMPUTED_VALUE"""),2311954536)</f>
        <v>2311954536</v>
      </c>
      <c r="D205" s="1">
        <f>IFERROR(__xludf.DUMMYFUNCTION("""COMPUTED_VALUE"""),407096606)</f>
        <v>407096606</v>
      </c>
      <c r="E205" s="1">
        <f>IFERROR(__xludf.DUMMYFUNCTION("""COMPUTED_VALUE"""),467266933004)</f>
        <v>467266933004</v>
      </c>
      <c r="F205" s="1" t="str">
        <f>IFERROR(__xludf.DUMMYFUNCTION("""COMPUTED_VALUE"""),"CLOSED")</f>
        <v>CLOSED</v>
      </c>
      <c r="G205" s="1" t="str">
        <f>IFERROR(__xludf.DUMMYFUNCTION("""COMPUTED_VALUE"""),"CLOSED")</f>
        <v>CLOSED</v>
      </c>
      <c r="H205" s="1"/>
      <c r="I205" s="1" t="str">
        <f>IFERROR(__xludf.DUMMYFUNCTION("""COMPUTED_VALUE"""),"NO 1 AMSF")</f>
        <v>NO 1 AMSF</v>
      </c>
      <c r="J205" s="1" t="str">
        <f>IFERROR(__xludf.DUMMYFUNCTION("""COMPUTED_VALUE"""),"DUE DATE - 17-Sep-26 - 1,145.67")</f>
        <v>DUE DATE - 17-Sep-26 - 1,145.67</v>
      </c>
      <c r="K205" s="1" t="str">
        <f>IFERROR(__xludf.DUMMYFUNCTION("""COMPUTED_VALUE"""),"COMPLETED")</f>
        <v>COMPLETED</v>
      </c>
      <c r="L205" s="1" t="str">
        <f>IFERROR(__xludf.DUMMYFUNCTION("""COMPUTED_VALUE"""),"POSTED")</f>
        <v>POSTED</v>
      </c>
      <c r="M205" s="1" t="str">
        <f>IFERROR(__xludf.DUMMYFUNCTION("""COMPUTED_VALUE"""),"POSTED")</f>
        <v>POSTED</v>
      </c>
      <c r="N205" s="3">
        <f>IFERROR(__xludf.DUMMYFUNCTION("""COMPUTED_VALUE"""),46255)</f>
        <v>46255</v>
      </c>
      <c r="O205" s="1" t="str">
        <f>IFERROR(__xludf.DUMMYFUNCTION("""COMPUTED_VALUE"""),"FIBR UNLI ALL PLAN 999")</f>
        <v>FIBR UNLI ALL PLAN 999</v>
      </c>
      <c r="P205" s="1" t="str">
        <f>IFERROR(__xludf.DUMMYFUNCTION("""COMPUTED_VALUE"""),"LOWPLAN")</f>
        <v>LOWPLAN</v>
      </c>
      <c r="Q205" s="1" t="str">
        <f>IFERROR(__xludf.DUMMYFUNCTION("""COMPUTED_VALUE"""),"P407047")</f>
        <v>P407047</v>
      </c>
      <c r="R205" s="1" t="str">
        <f>IFERROR(__xludf.DUMMYFUNCTION("""COMPUTED_VALUE"""),"FRANCISCO, ROSELYN")</f>
        <v>FRANCISCO, ROSELYN</v>
      </c>
      <c r="S205" s="1" t="str">
        <f>IFERROR(__xludf.DUMMYFUNCTION("""COMPUTED_VALUE"""),"ORGANIC")</f>
        <v>ORGANIC</v>
      </c>
      <c r="T205" s="1" t="str">
        <f>IFERROR(__xludf.DUMMYFUNCTION("""COMPUTED_VALUE"""),"LEA REMOLLO")</f>
        <v>LEA REMOLLO</v>
      </c>
      <c r="U205" s="1" t="str">
        <f>IFERROR(__xludf.DUMMYFUNCTION("""COMPUTED_VALUE"""),"JULIE ESPIRITU")</f>
        <v>JULIE ESPIRITU</v>
      </c>
      <c r="V205" s="1" t="str">
        <f>IFERROR(__xludf.DUMMYFUNCTION("""COMPUTED_VALUE"""),"BK HSTK")</f>
        <v>BK HSTK</v>
      </c>
      <c r="W205" s="1" t="str">
        <f>IFERROR(__xludf.DUMMYFUNCTION("""COMPUTED_VALUE"""),"BK HSTK")</f>
        <v>BK HSTK</v>
      </c>
      <c r="X205" s="1" t="str">
        <f>IFERROR(__xludf.DUMMYFUNCTION("""COMPUTED_VALUE"""),"HBBS AUG 2026")</f>
        <v>HBBS AUG 2026</v>
      </c>
      <c r="Y205" s="1" t="str">
        <f>IFERROR(__xludf.DUMMYFUNCTION("""COMPUTED_VALUE"""),"BK_CVEU_260801")</f>
        <v>BK_CVEU_260801</v>
      </c>
      <c r="Z205" s="1" t="str">
        <f>IFERROR(__xludf.DUMMYFUNCTION("""COMPUTED_VALUE"""),"NEW CONNECT")</f>
        <v>NEW CONNECT</v>
      </c>
      <c r="AA205" s="1">
        <f>IFERROR(__xludf.DUMMYFUNCTION("""COMPUTED_VALUE"""),639638063875)</f>
        <v>639638063875</v>
      </c>
      <c r="AB205" s="1"/>
      <c r="AC205" s="1">
        <f>IFERROR(__xludf.DUMMYFUNCTION("""COMPUTED_VALUE"""),79)</f>
        <v>79</v>
      </c>
      <c r="AD205" s="1" t="str">
        <f>IFERROR(__xludf.DUMMYFUNCTION("""COMPUTED_VALUE"""),"PUROK 2")</f>
        <v>PUROK 2</v>
      </c>
      <c r="AE205" s="1"/>
      <c r="AF205" s="1" t="str">
        <f>IFERROR(__xludf.DUMMYFUNCTION("""COMPUTED_VALUE"""),"BGY SICAT")</f>
        <v>BGY SICAT</v>
      </c>
      <c r="AG205" s="1" t="str">
        <f>IFERROR(__xludf.DUMMYFUNCTION("""COMPUTED_VALUE"""),"ALFONSO")</f>
        <v>ALFONSO</v>
      </c>
      <c r="AH205" s="1"/>
      <c r="AI205" s="1" t="str">
        <f>IFERROR(__xludf.DUMMYFUNCTION("""COMPUTED_VALUE"""),"CLUSTER 12")</f>
        <v>CLUSTER 12</v>
      </c>
    </row>
    <row r="206" customHeight="1" spans="1:35">
      <c r="A206" s="3">
        <f>IFERROR(__xludf.DUMMYFUNCTION("""COMPUTED_VALUE"""),46254)</f>
        <v>46254</v>
      </c>
      <c r="B206" s="1" t="str">
        <f>IFERROR(__xludf.DUMMYFUNCTION("""COMPUTED_VALUE"""),"JOHN FELIX DELA CRUZ SUELAN")</f>
        <v>JOHN FELIX DELA CRUZ SUELAN</v>
      </c>
      <c r="C206" s="1">
        <f>IFERROR(__xludf.DUMMYFUNCTION("""COMPUTED_VALUE"""),2311955135)</f>
        <v>2311955135</v>
      </c>
      <c r="D206" s="1">
        <f>IFERROR(__xludf.DUMMYFUNCTION("""COMPUTED_VALUE"""),407110617)</f>
        <v>407110617</v>
      </c>
      <c r="E206" s="1">
        <f>IFERROR(__xludf.DUMMYFUNCTION("""COMPUTED_VALUE"""),467293283004)</f>
        <v>467293283004</v>
      </c>
      <c r="F206" s="1" t="str">
        <f>IFERROR(__xludf.DUMMYFUNCTION("""COMPUTED_VALUE"""),"CLOSED")</f>
        <v>CLOSED</v>
      </c>
      <c r="G206" s="1" t="str">
        <f>IFERROR(__xludf.DUMMYFUNCTION("""COMPUTED_VALUE"""),"CLOSED")</f>
        <v>CLOSED</v>
      </c>
      <c r="H206" s="1" t="str">
        <f>IFERROR(__xludf.DUMMYFUNCTION("""COMPUTED_VALUE"""),"PQGOR361573280	21-Aug-26	Regular Payment	CIS-GCASH 3.0	1,050.00	938383491	21-Aug-26")</f>
        <v>PQGOR361573280	21-Aug-26	Regular Payment	CIS-GCASH 3.0	1,050.00	938383491	21-Aug-26</v>
      </c>
      <c r="I206" s="1" t="str">
        <f>IFERROR(__xludf.DUMMYFUNCTION("""COMPUTED_VALUE"""),"WITH 1 AMSF")</f>
        <v>WITH 1 AMSF</v>
      </c>
      <c r="J206" s="1" t="str">
        <f>IFERROR(__xludf.DUMMYFUNCTION("""COMPUTED_VALUE"""),"WITH PRO RATED- 95.67")</f>
        <v>WITH PRO RATED- 95.67</v>
      </c>
      <c r="K206" s="1" t="str">
        <f>IFERROR(__xludf.DUMMYFUNCTION("""COMPUTED_VALUE"""),"COMPLETED")</f>
        <v>COMPLETED</v>
      </c>
      <c r="L206" s="1" t="str">
        <f>IFERROR(__xludf.DUMMYFUNCTION("""COMPUTED_VALUE"""),"POSTED")</f>
        <v>POSTED</v>
      </c>
      <c r="M206" s="1" t="str">
        <f>IFERROR(__xludf.DUMMYFUNCTION("""COMPUTED_VALUE"""),"POSTED")</f>
        <v>POSTED</v>
      </c>
      <c r="N206" s="3">
        <f>IFERROR(__xludf.DUMMYFUNCTION("""COMPUTED_VALUE"""),46255)</f>
        <v>46255</v>
      </c>
      <c r="O206" s="1" t="str">
        <f>IFERROR(__xludf.DUMMYFUNCTION("""COMPUTED_VALUE"""),"FIBR UNLI ALL PLAN 999")</f>
        <v>FIBR UNLI ALL PLAN 999</v>
      </c>
      <c r="P206" s="1" t="str">
        <f>IFERROR(__xludf.DUMMYFUNCTION("""COMPUTED_VALUE"""),"LOWPLAN")</f>
        <v>LOWPLAN</v>
      </c>
      <c r="Q206" s="1" t="str">
        <f>IFERROR(__xludf.DUMMYFUNCTION("""COMPUTED_VALUE"""),"P407047")</f>
        <v>P407047</v>
      </c>
      <c r="R206" s="1" t="str">
        <f>IFERROR(__xludf.DUMMYFUNCTION("""COMPUTED_VALUE"""),"FRANCISCO, ROSELYN")</f>
        <v>FRANCISCO, ROSELYN</v>
      </c>
      <c r="S206" s="1" t="str">
        <f>IFERROR(__xludf.DUMMYFUNCTION("""COMPUTED_VALUE"""),"ORGANIC")</f>
        <v>ORGANIC</v>
      </c>
      <c r="T206" s="1" t="str">
        <f>IFERROR(__xludf.DUMMYFUNCTION("""COMPUTED_VALUE"""),"LEA REMOLLO")</f>
        <v>LEA REMOLLO</v>
      </c>
      <c r="U206" s="1" t="str">
        <f>IFERROR(__xludf.DUMMYFUNCTION("""COMPUTED_VALUE"""),"JULIE ESPIRITU")</f>
        <v>JULIE ESPIRITU</v>
      </c>
      <c r="V206" s="1" t="str">
        <f>IFERROR(__xludf.DUMMYFUNCTION("""COMPUTED_VALUE"""),"BK HSTK")</f>
        <v>BK HSTK</v>
      </c>
      <c r="W206" s="1" t="str">
        <f>IFERROR(__xludf.DUMMYFUNCTION("""COMPUTED_VALUE"""),"BK HSTK")</f>
        <v>BK HSTK</v>
      </c>
      <c r="X206" s="1" t="str">
        <f>IFERROR(__xludf.DUMMYFUNCTION("""COMPUTED_VALUE"""),"HBBS AUG 2026")</f>
        <v>HBBS AUG 2026</v>
      </c>
      <c r="Y206" s="1" t="str">
        <f>IFERROR(__xludf.DUMMYFUNCTION("""COMPUTED_VALUE"""),"BK_CVEU_260801")</f>
        <v>BK_CVEU_260801</v>
      </c>
      <c r="Z206" s="1" t="str">
        <f>IFERROR(__xludf.DUMMYFUNCTION("""COMPUTED_VALUE"""),"NEW CONNECT")</f>
        <v>NEW CONNECT</v>
      </c>
      <c r="AA206" s="1">
        <f>IFERROR(__xludf.DUMMYFUNCTION("""COMPUTED_VALUE"""),639776759418)</f>
        <v>639776759418</v>
      </c>
      <c r="AB206" s="1"/>
      <c r="AC206" s="1"/>
      <c r="AD206" s="1" t="str">
        <f>IFERROR(__xludf.DUMMYFUNCTION("""COMPUTED_VALUE"""),"SARABIA AGUINALDO")</f>
        <v>SARABIA AGUINALDO</v>
      </c>
      <c r="AE206" s="1"/>
      <c r="AF206" s="1" t="str">
        <f>IFERROR(__xludf.DUMMYFUNCTION("""COMPUTED_VALUE"""),"MENDEZ CROSSING EAST")</f>
        <v>MENDEZ CROSSING EAST</v>
      </c>
      <c r="AG206" s="1" t="str">
        <f>IFERROR(__xludf.DUMMYFUNCTION("""COMPUTED_VALUE"""),"TAGAYTAY")</f>
        <v>TAGAYTAY</v>
      </c>
      <c r="AH206" s="1" t="str">
        <f>IFERROR(__xludf.DUMMYFUNCTION("""COMPUTED_VALUE"""),"AROUND HIGHWAY")</f>
        <v>AROUND HIGHWAY</v>
      </c>
      <c r="AI206" s="1" t="str">
        <f>IFERROR(__xludf.DUMMYFUNCTION("""COMPUTED_VALUE"""),"CLUSTER 12")</f>
        <v>CLUSTER 12</v>
      </c>
    </row>
    <row r="207" customHeight="1" spans="1:35">
      <c r="A207" s="3">
        <f>IFERROR(__xludf.DUMMYFUNCTION("""COMPUTED_VALUE"""),46254)</f>
        <v>46254</v>
      </c>
      <c r="B207" s="1" t="str">
        <f>IFERROR(__xludf.DUMMYFUNCTION("""COMPUTED_VALUE""")," JIEXXELL JECIEL ANIT")</f>
        <v> JIEXXELL JECIEL ANIT</v>
      </c>
      <c r="C207" s="1">
        <f>IFERROR(__xludf.DUMMYFUNCTION("""COMPUTED_VALUE"""),2311956561)</f>
        <v>2311956561</v>
      </c>
      <c r="D207" s="1">
        <f>IFERROR(__xludf.DUMMYFUNCTION("""COMPUTED_VALUE"""),407113179)</f>
        <v>407113179</v>
      </c>
      <c r="E207" s="1">
        <f>IFERROR(__xludf.DUMMYFUNCTION("""COMPUTED_VALUE"""),467306765004)</f>
        <v>467306765004</v>
      </c>
      <c r="F207" s="1" t="str">
        <f>IFERROR(__xludf.DUMMYFUNCTION("""COMPUTED_VALUE"""),"CLOSED")</f>
        <v>CLOSED</v>
      </c>
      <c r="G207" s="1" t="str">
        <f>IFERROR(__xludf.DUMMYFUNCTION("""COMPUTED_VALUE"""),"CLOSED")</f>
        <v>CLOSED</v>
      </c>
      <c r="H207" s="1" t="str">
        <f>IFERROR(__xludf.DUMMYFUNCTION("""COMPUTED_VALUE"""),"PAID VIA GCASH REF 960788088 SEP 6")</f>
        <v>PAID VIA GCASH REF 960788088 SEP 6</v>
      </c>
      <c r="I207" s="1" t="str">
        <f>IFERROR(__xludf.DUMMYFUNCTION("""COMPUTED_VALUE"""),"WITH 1 AMSF")</f>
        <v>WITH 1 AMSF</v>
      </c>
      <c r="J207" s="1" t="str">
        <f>IFERROR(__xludf.DUMMYFUNCTION("""COMPUTED_VALUE"""),"DUE DATE - 17-Sep-26 - 1,113.45")</f>
        <v>DUE DATE - 17-Sep-26 - 1,113.45</v>
      </c>
      <c r="K207" s="1" t="str">
        <f>IFERROR(__xludf.DUMMYFUNCTION("""COMPUTED_VALUE"""),"COMPLETED")</f>
        <v>COMPLETED</v>
      </c>
      <c r="L207" s="1" t="str">
        <f>IFERROR(__xludf.DUMMYFUNCTION("""COMPUTED_VALUE"""),"POSTED")</f>
        <v>POSTED</v>
      </c>
      <c r="M207" s="1" t="str">
        <f>IFERROR(__xludf.DUMMYFUNCTION("""COMPUTED_VALUE"""),"POSTED")</f>
        <v>POSTED</v>
      </c>
      <c r="N207" s="3">
        <f>IFERROR(__xludf.DUMMYFUNCTION("""COMPUTED_VALUE"""),46256)</f>
        <v>46256</v>
      </c>
      <c r="O207" s="1" t="str">
        <f>IFERROR(__xludf.DUMMYFUNCTION("""COMPUTED_VALUE"""),"FIBR UNLI ALL PLAN 999")</f>
        <v>FIBR UNLI ALL PLAN 999</v>
      </c>
      <c r="P207" s="1" t="str">
        <f>IFERROR(__xludf.DUMMYFUNCTION("""COMPUTED_VALUE"""),"LOWPLAN")</f>
        <v>LOWPLAN</v>
      </c>
      <c r="Q207" s="1" t="str">
        <f>IFERROR(__xludf.DUMMYFUNCTION("""COMPUTED_VALUE"""),"P407050 ")</f>
        <v>P407050 </v>
      </c>
      <c r="R207" s="1" t="str">
        <f>IFERROR(__xludf.DUMMYFUNCTION("""COMPUTED_VALUE"""),"FRANCISCO, ROSELYN")</f>
        <v>FRANCISCO, ROSELYN</v>
      </c>
      <c r="S207" s="1" t="str">
        <f>IFERROR(__xludf.DUMMYFUNCTION("""COMPUTED_VALUE"""),"ORGANIC")</f>
        <v>ORGANIC</v>
      </c>
      <c r="T207" s="1" t="str">
        <f>IFERROR(__xludf.DUMMYFUNCTION("""COMPUTED_VALUE"""),"LEA REMOLLO")</f>
        <v>LEA REMOLLO</v>
      </c>
      <c r="U207" s="1" t="str">
        <f>IFERROR(__xludf.DUMMYFUNCTION("""COMPUTED_VALUE"""),"MARK MALIWAT")</f>
        <v>MARK MALIWAT</v>
      </c>
      <c r="V207" s="1" t="str">
        <f>IFERROR(__xludf.DUMMYFUNCTION("""COMPUTED_VALUE"""),"BK HSTK")</f>
        <v>BK HSTK</v>
      </c>
      <c r="W207" s="1" t="str">
        <f>IFERROR(__xludf.DUMMYFUNCTION("""COMPUTED_VALUE"""),"BK HSTK")</f>
        <v>BK HSTK</v>
      </c>
      <c r="X207" s="1" t="str">
        <f>IFERROR(__xludf.DUMMYFUNCTION("""COMPUTED_VALUE"""),"HBBS AUG 2026")</f>
        <v>HBBS AUG 2026</v>
      </c>
      <c r="Y207" s="1" t="str">
        <f>IFERROR(__xludf.DUMMYFUNCTION("""COMPUTED_VALUE"""),"RS_ONL_CVEU_2026")</f>
        <v>RS_ONL_CVEU_2026</v>
      </c>
      <c r="Z207" s="1" t="str">
        <f>IFERROR(__xludf.DUMMYFUNCTION("""COMPUTED_VALUE"""),"NEW CONNECT")</f>
        <v>NEW CONNECT</v>
      </c>
      <c r="AA207" s="1">
        <f>IFERROR(__xludf.DUMMYFUNCTION("""COMPUTED_VALUE"""),639979867180)</f>
        <v>639979867180</v>
      </c>
      <c r="AB207" s="1"/>
      <c r="AC207" s="1">
        <f>IFERROR(__xludf.DUMMYFUNCTION("""COMPUTED_VALUE"""),202)</f>
        <v>202</v>
      </c>
      <c r="AD207" s="1" t="str">
        <f>IFERROR(__xludf.DUMMYFUNCTION("""COMPUTED_VALUE"""),"MORALES")</f>
        <v>MORALES</v>
      </c>
      <c r="AE207" s="1"/>
      <c r="AF207" s="1" t="str">
        <f>IFERROR(__xludf.DUMMYFUNCTION("""COMPUTED_VALUE"""),"BGY SAN JUAN 1")</f>
        <v>BGY SAN JUAN 1</v>
      </c>
      <c r="AG207" s="1" t="str">
        <f>IFERROR(__xludf.DUMMYFUNCTION("""COMPUTED_VALUE"""),"TERNATE")</f>
        <v>TERNATE</v>
      </c>
      <c r="AH207" s="1" t="str">
        <f>IFERROR(__xludf.DUMMYFUNCTION("""COMPUTED_VALUE"""),"BARANGAY HALL")</f>
        <v>BARANGAY HALL</v>
      </c>
      <c r="AI207" s="1" t="str">
        <f>IFERROR(__xludf.DUMMYFUNCTION("""COMPUTED_VALUE"""),"NOT AOR")</f>
        <v>NOT AOR</v>
      </c>
    </row>
    <row r="208" customHeight="1" spans="1:35">
      <c r="A208" s="3">
        <f>IFERROR(__xludf.DUMMYFUNCTION("""COMPUTED_VALUE"""),46255)</f>
        <v>46255</v>
      </c>
      <c r="B208" s="1" t="str">
        <f>IFERROR(__xludf.DUMMYFUNCTION("""COMPUTED_VALUE"""),"JUNE FRANCIS ARMAMENTO RONO")</f>
        <v>JUNE FRANCIS ARMAMENTO RONO</v>
      </c>
      <c r="C208" s="1">
        <f>IFERROR(__xludf.DUMMYFUNCTION("""COMPUTED_VALUE"""),2311967211)</f>
        <v>2311967211</v>
      </c>
      <c r="D208" s="1">
        <f>IFERROR(__xludf.DUMMYFUNCTION("""COMPUTED_VALUE"""),407169123)</f>
        <v>407169123</v>
      </c>
      <c r="E208" s="1">
        <f>IFERROR(__xludf.DUMMYFUNCTION("""COMPUTED_VALUE"""),467505526004)</f>
        <v>467505526004</v>
      </c>
      <c r="F208" s="1" t="str">
        <f>IFERROR(__xludf.DUMMYFUNCTION("""COMPUTED_VALUE"""),"CLOSED")</f>
        <v>CLOSED</v>
      </c>
      <c r="G208" s="1" t="str">
        <f>IFERROR(__xludf.DUMMYFUNCTION("""COMPUTED_VALUE"""),"CLOSED")</f>
        <v>CLOSED</v>
      </c>
      <c r="H208" s="1"/>
      <c r="I208" s="1" t="str">
        <f>IFERROR(__xludf.DUMMYFUNCTION("""COMPUTED_VALUE"""),"NO 1 AMSF")</f>
        <v>NO 1 AMSF</v>
      </c>
      <c r="J208" s="1" t="str">
        <f>IFERROR(__xludf.DUMMYFUNCTION("""COMPUTED_VALUE"""),"NO PAYMENT")</f>
        <v>NO PAYMENT</v>
      </c>
      <c r="K208" s="1" t="str">
        <f>IFERROR(__xludf.DUMMYFUNCTION("""COMPUTED_VALUE"""),"CANCELED")</f>
        <v>CANCELED</v>
      </c>
      <c r="L208" s="1" t="str">
        <f>IFERROR(__xludf.DUMMYFUNCTION("""COMPUTED_VALUE"""),"POSTED")</f>
        <v>POSTED</v>
      </c>
      <c r="M208" s="1" t="str">
        <f>IFERROR(__xludf.DUMMYFUNCTION("""COMPUTED_VALUE"""),"POSTED")</f>
        <v>POSTED</v>
      </c>
      <c r="N208" s="3">
        <f>IFERROR(__xludf.DUMMYFUNCTION("""COMPUTED_VALUE"""),2026)</f>
        <v>2026</v>
      </c>
      <c r="O208" s="1" t="str">
        <f>IFERROR(__xludf.DUMMYFUNCTION("""COMPUTED_VALUE"""),"FIBR PLAN 2099")</f>
        <v>FIBR PLAN 2099</v>
      </c>
      <c r="P208" s="1" t="str">
        <f>IFERROR(__xludf.DUMMYFUNCTION("""COMPUTED_VALUE"""),"HIGHPLAN")</f>
        <v>HIGHPLAN</v>
      </c>
      <c r="Q208" s="1" t="str">
        <f>IFERROR(__xludf.DUMMYFUNCTION("""COMPUTED_VALUE"""),"P407044")</f>
        <v>P407044</v>
      </c>
      <c r="R208" s="1" t="str">
        <f>IFERROR(__xludf.DUMMYFUNCTION("""COMPUTED_VALUE"""),"OPS")</f>
        <v>OPS</v>
      </c>
      <c r="S208" s="1" t="str">
        <f>IFERROR(__xludf.DUMMYFUNCTION("""COMPUTED_VALUE"""),"FLA")</f>
        <v>FLA</v>
      </c>
      <c r="T208" s="1" t="str">
        <f>IFERROR(__xludf.DUMMYFUNCTION("""COMPUTED_VALUE"""),"JERIC NAVARRO")</f>
        <v>JERIC NAVARRO</v>
      </c>
      <c r="U208" s="1" t="str">
        <f>IFERROR(__xludf.DUMMYFUNCTION("""COMPUTED_VALUE"""),"JB SALIOA")</f>
        <v>JB SALIOA</v>
      </c>
      <c r="V208" s="1" t="str">
        <f>IFERROR(__xludf.DUMMYFUNCTION("""COMPUTED_VALUE"""),"ONLINE/CRANFORD")</f>
        <v>ONLINE/CRANFORD</v>
      </c>
      <c r="W208" s="1" t="str">
        <f>IFERROR(__xludf.DUMMYFUNCTION("""COMPUTED_VALUE"""),"STK REGULAR")</f>
        <v>STK REGULAR</v>
      </c>
      <c r="X208" s="1" t="str">
        <f>IFERROR(__xludf.DUMMYFUNCTION("""COMPUTED_VALUE"""),"HBBS AUG 2026")</f>
        <v>HBBS AUG 2026</v>
      </c>
      <c r="Y208" s="1" t="str">
        <f>IFERROR(__xludf.DUMMYFUNCTION("""COMPUTED_VALUE"""),"RS_ONL_CVEU_2026")</f>
        <v>RS_ONL_CVEU_2026</v>
      </c>
      <c r="Z208" s="1" t="str">
        <f>IFERROR(__xludf.DUMMYFUNCTION("""COMPUTED_VALUE"""),"NEW CONNECT")</f>
        <v>NEW CONNECT</v>
      </c>
      <c r="AA208" s="1">
        <f>IFERROR(__xludf.DUMMYFUNCTION("""COMPUTED_VALUE"""),639300304821)</f>
        <v>639300304821</v>
      </c>
      <c r="AB208" s="1"/>
      <c r="AC208" s="1"/>
      <c r="AD208" s="1" t="str">
        <f>IFERROR(__xludf.DUMMYFUNCTION("""COMPUTED_VALUE"""),"SHINJUKU")</f>
        <v>SHINJUKU</v>
      </c>
      <c r="AE208" s="1" t="str">
        <f>IFERROR(__xludf.DUMMYFUNCTION("""COMPUTED_VALUE"""),"TOKYO MANSIONS")</f>
        <v>TOKYO MANSIONS</v>
      </c>
      <c r="AF208" s="1" t="str">
        <f>IFERROR(__xludf.DUMMYFUNCTION("""COMPUTED_VALUE"""),"BGY INCHICAN")</f>
        <v>BGY INCHICAN</v>
      </c>
      <c r="AG208" s="1" t="str">
        <f>IFERROR(__xludf.DUMMYFUNCTION("""COMPUTED_VALUE"""),"SILANG")</f>
        <v>SILANG</v>
      </c>
      <c r="AH208" s="1" t="str">
        <f>IFERROR(__xludf.DUMMYFUNCTION("""COMPUTED_VALUE"""),"SHINJUKU ST ")</f>
        <v>SHINJUKU ST </v>
      </c>
      <c r="AI208" s="1" t="str">
        <f>IFERROR(__xludf.DUMMYFUNCTION("""COMPUTED_VALUE"""),"CLUSTER 11")</f>
        <v>CLUSTER 11</v>
      </c>
    </row>
    <row r="209" customHeight="1" spans="1:35">
      <c r="A209" s="3">
        <f>IFERROR(__xludf.DUMMYFUNCTION("""COMPUTED_VALUE"""),46255)</f>
        <v>46255</v>
      </c>
      <c r="B209" s="1" t="str">
        <f>IFERROR(__xludf.DUMMYFUNCTION("""COMPUTED_VALUE"""),"JOSELITO SEVELLINO ALOLOR")</f>
        <v>JOSELITO SEVELLINO ALOLOR</v>
      </c>
      <c r="C209" s="1">
        <f>IFERROR(__xludf.DUMMYFUNCTION("""COMPUTED_VALUE"""),2311968660)</f>
        <v>2311968660</v>
      </c>
      <c r="D209" s="1"/>
      <c r="E209" s="1"/>
      <c r="F209" s="1" t="str">
        <f>IFERROR(__xludf.DUMMYFUNCTION("""COMPUTED_VALUE"""),"REENCODED")</f>
        <v>REENCODED</v>
      </c>
      <c r="G209" s="1" t="str">
        <f>IFERROR(__xludf.DUMMYFUNCTION("""COMPUTED_VALUE"""),"REENCODED")</f>
        <v>REENCODED</v>
      </c>
      <c r="H209" s="1"/>
      <c r="I209" s="1"/>
      <c r="J209" s="1"/>
      <c r="K209" s="1"/>
      <c r="L209" s="1" t="str">
        <f>IFERROR(__xludf.DUMMYFUNCTION("""COMPUTED_VALUE"""),"REENCODED")</f>
        <v>REENCODED</v>
      </c>
      <c r="M209" s="1" t="str">
        <f>IFERROR(__xludf.DUMMYFUNCTION("""COMPUTED_VALUE"""),"REENCODED")</f>
        <v>REENCODED</v>
      </c>
      <c r="N209" s="3"/>
      <c r="O209" s="1" t="str">
        <f>IFERROR(__xludf.DUMMYFUNCTION("""COMPUTED_VALUE"""),"FIBR UNLI ALL PLAN 999")</f>
        <v>FIBR UNLI ALL PLAN 999</v>
      </c>
      <c r="P209" s="1" t="str">
        <f>IFERROR(__xludf.DUMMYFUNCTION("""COMPUTED_VALUE"""),"LOWPLAN")</f>
        <v>LOWPLAN</v>
      </c>
      <c r="Q209" s="1" t="str">
        <f>IFERROR(__xludf.DUMMYFUNCTION("""COMPUTED_VALUE"""),"P407050")</f>
        <v>P407050</v>
      </c>
      <c r="R209" s="1" t="str">
        <f>IFERROR(__xludf.DUMMYFUNCTION("""COMPUTED_VALUE"""),"IVNO, RAZZEL")</f>
        <v>IVNO, RAZZEL</v>
      </c>
      <c r="S209" s="1" t="str">
        <f>IFERROR(__xludf.DUMMYFUNCTION("""COMPUTED_VALUE"""),"ORGANIC")</f>
        <v>ORGANIC</v>
      </c>
      <c r="T209" s="1" t="str">
        <f>IFERROR(__xludf.DUMMYFUNCTION("""COMPUTED_VALUE"""),"LEA REMOLLO")</f>
        <v>LEA REMOLLO</v>
      </c>
      <c r="U209" s="1" t="str">
        <f>IFERROR(__xludf.DUMMYFUNCTION("""COMPUTED_VALUE"""),"JB SALIOA")</f>
        <v>JB SALIOA</v>
      </c>
      <c r="V209" s="1" t="str">
        <f>IFERROR(__xludf.DUMMYFUNCTION("""COMPUTED_VALUE"""),"BK HSTK")</f>
        <v>BK HSTK</v>
      </c>
      <c r="W209" s="1" t="str">
        <f>IFERROR(__xludf.DUMMYFUNCTION("""COMPUTED_VALUE"""),"BK HSTK")</f>
        <v>BK HSTK</v>
      </c>
      <c r="X209" s="1" t="str">
        <f>IFERROR(__xludf.DUMMYFUNCTION("""COMPUTED_VALUE"""),"HBBS AUG 2026")</f>
        <v>HBBS AUG 2026</v>
      </c>
      <c r="Y209" s="1" t="str">
        <f>IFERROR(__xludf.DUMMYFUNCTION("""COMPUTED_VALUE"""),"BK_CVEU_260804")</f>
        <v>BK_CVEU_260804</v>
      </c>
      <c r="Z209" s="1" t="str">
        <f>IFERROR(__xludf.DUMMYFUNCTION("""COMPUTED_VALUE"""),"NEW CONNECT")</f>
        <v>NEW CONNECT</v>
      </c>
      <c r="AA209" s="1">
        <f>IFERROR(__xludf.DUMMYFUNCTION("""COMPUTED_VALUE"""),639753406826)</f>
        <v>639753406826</v>
      </c>
      <c r="AB209" s="1">
        <f>IFERROR(__xludf.DUMMYFUNCTION("""COMPUTED_VALUE"""),639532954145)</f>
        <v>639532954145</v>
      </c>
      <c r="AC209" s="1"/>
      <c r="AD209" s="1" t="str">
        <f>IFERROR(__xludf.DUMMYFUNCTION("""COMPUTED_VALUE"""),"RUBY")</f>
        <v>RUBY</v>
      </c>
      <c r="AE209" s="1"/>
      <c r="AF209" s="1" t="str">
        <f>IFERROR(__xludf.DUMMYFUNCTION("""COMPUTED_VALUE"""),"BGY MARCELINO MEMIJE")</f>
        <v>BGY MARCELINO MEMIJE</v>
      </c>
      <c r="AG209" s="1" t="str">
        <f>IFERROR(__xludf.DUMMYFUNCTION("""COMPUTED_VALUE"""),"GEN MARIANO ALVAREZ")</f>
        <v>GEN MARIANO ALVAREZ</v>
      </c>
      <c r="AH209" s="1" t="str">
        <f>IFERROR(__xludf.DUMMYFUNCTION("""COMPUTED_VALUE"""),"DALI GROCERY")</f>
        <v>DALI GROCERY</v>
      </c>
      <c r="AI209" s="1" t="str">
        <f>IFERROR(__xludf.DUMMYFUNCTION("""COMPUTED_VALUE"""),"CLUSTER 11")</f>
        <v>CLUSTER 11</v>
      </c>
    </row>
    <row r="210" customHeight="1" spans="1:35">
      <c r="A210" s="3">
        <f>IFERROR(__xludf.DUMMYFUNCTION("""COMPUTED_VALUE"""),46255)</f>
        <v>46255</v>
      </c>
      <c r="B210" s="1" t="str">
        <f>IFERROR(__xludf.DUMMYFUNCTION("""COMPUTED_VALUE"""),"MARITES OCAMPO AYROSO")</f>
        <v>MARITES OCAMPO AYROSO</v>
      </c>
      <c r="C210" s="1">
        <f>IFERROR(__xludf.DUMMYFUNCTION("""COMPUTED_VALUE"""),2311969225)</f>
        <v>2311969225</v>
      </c>
      <c r="D210" s="1">
        <f>IFERROR(__xludf.DUMMYFUNCTION("""COMPUTED_VALUE"""),407127072)</f>
        <v>407127072</v>
      </c>
      <c r="E210" s="1">
        <f>IFERROR(__xludf.DUMMYFUNCTION("""COMPUTED_VALUE"""),467403849004)</f>
        <v>467403849004</v>
      </c>
      <c r="F210" s="1" t="str">
        <f>IFERROR(__xludf.DUMMYFUNCTION("""COMPUTED_VALUE"""),"CLOSED")</f>
        <v>CLOSED</v>
      </c>
      <c r="G210" s="1" t="str">
        <f>IFERROR(__xludf.DUMMYFUNCTION("""COMPUTED_VALUE"""),"CLOSED")</f>
        <v>CLOSED</v>
      </c>
      <c r="H210" s="1" t="str">
        <f>IFERROR(__xludf.DUMMYFUNCTION("""COMPUTED_VALUE"""),"PAID VIA GCASH - AUG 21 - REF - 910438550")</f>
        <v>PAID VIA GCASH - AUG 21 - REF - 910438550</v>
      </c>
      <c r="I210" s="1" t="str">
        <f>IFERROR(__xludf.DUMMYFUNCTION("""COMPUTED_VALUE"""),"WITH 1 AMSF")</f>
        <v>WITH 1 AMSF</v>
      </c>
      <c r="J210" s="1"/>
      <c r="K210" s="1" t="str">
        <f>IFERROR(__xludf.DUMMYFUNCTION("""COMPUTED_VALUE"""),"COMPLETED")</f>
        <v>COMPLETED</v>
      </c>
      <c r="L210" s="1" t="str">
        <f>IFERROR(__xludf.DUMMYFUNCTION("""COMPUTED_VALUE"""),"POSTED")</f>
        <v>POSTED</v>
      </c>
      <c r="M210" s="1" t="str">
        <f>IFERROR(__xludf.DUMMYFUNCTION("""COMPUTED_VALUE"""),"POSTED")</f>
        <v>POSTED</v>
      </c>
      <c r="N210" s="3">
        <f>IFERROR(__xludf.DUMMYFUNCTION("""COMPUTED_VALUE"""),46258)</f>
        <v>46258</v>
      </c>
      <c r="O210" s="1" t="str">
        <f>IFERROR(__xludf.DUMMYFUNCTION("""COMPUTED_VALUE"""),"FIBER UNLI ALL PLAN 1499")</f>
        <v>FIBER UNLI ALL PLAN 1499</v>
      </c>
      <c r="P210" s="1" t="str">
        <f>IFERROR(__xludf.DUMMYFUNCTION("""COMPUTED_VALUE"""),"LOWPLAN")</f>
        <v>LOWPLAN</v>
      </c>
      <c r="Q210" s="1" t="str">
        <f>IFERROR(__xludf.DUMMYFUNCTION("""COMPUTED_VALUE"""),"P407046")</f>
        <v>P407046</v>
      </c>
      <c r="R210" s="1" t="str">
        <f>IFERROR(__xludf.DUMMYFUNCTION("""COMPUTED_VALUE"""),"MALIWAT, MARK")</f>
        <v>MALIWAT, MARK</v>
      </c>
      <c r="S210" s="1" t="str">
        <f>IFERROR(__xludf.DUMMYFUNCTION("""COMPUTED_VALUE"""),"FLA")</f>
        <v>FLA</v>
      </c>
      <c r="T210" s="1" t="str">
        <f>IFERROR(__xludf.DUMMYFUNCTION("""COMPUTED_VALUE"""),"JERIC NAVARRO")</f>
        <v>JERIC NAVARRO</v>
      </c>
      <c r="U210" s="1" t="str">
        <f>IFERROR(__xludf.DUMMYFUNCTION("""COMPUTED_VALUE"""),"JB SALIOA")</f>
        <v>JB SALIOA</v>
      </c>
      <c r="V210" s="1" t="str">
        <f>IFERROR(__xludf.DUMMYFUNCTION("""COMPUTED_VALUE"""),"ONLINE/CRANFORD")</f>
        <v>ONLINE/CRANFORD</v>
      </c>
      <c r="W210" s="1" t="str">
        <f>IFERROR(__xludf.DUMMYFUNCTION("""COMPUTED_VALUE"""),"STK REGULAR")</f>
        <v>STK REGULAR</v>
      </c>
      <c r="X210" s="1" t="str">
        <f>IFERROR(__xludf.DUMMYFUNCTION("""COMPUTED_VALUE"""),"HBBS AUG 2026")</f>
        <v>HBBS AUG 2026</v>
      </c>
      <c r="Y210" s="1" t="str">
        <f>IFERROR(__xludf.DUMMYFUNCTION("""COMPUTED_VALUE"""),"RS_ONL_CVEU_2026")</f>
        <v>RS_ONL_CVEU_2026</v>
      </c>
      <c r="Z210" s="1" t="str">
        <f>IFERROR(__xludf.DUMMYFUNCTION("""COMPUTED_VALUE"""),"NEW CONNECT")</f>
        <v>NEW CONNECT</v>
      </c>
      <c r="AA210" s="1">
        <f>IFERROR(__xludf.DUMMYFUNCTION("""COMPUTED_VALUE"""),639069427409)</f>
        <v>639069427409</v>
      </c>
      <c r="AB210" s="1"/>
      <c r="AC210" s="1"/>
      <c r="AD210" s="1" t="str">
        <f>IFERROR(__xludf.DUMMYFUNCTION("""COMPUTED_VALUE"""),"AGUINALDO")</f>
        <v>AGUINALDO</v>
      </c>
      <c r="AE210" s="1" t="str">
        <f>IFERROR(__xludf.DUMMYFUNCTION("""COMPUTED_VALUE"""),"SMDC WIND RESIDENCES TOWER 3")</f>
        <v>SMDC WIND RESIDENCES TOWER 3</v>
      </c>
      <c r="AF210" s="1" t="str">
        <f>IFERROR(__xludf.DUMMYFUNCTION("""COMPUTED_VALUE"""),"BGY MAHARLIKA WEST")</f>
        <v>BGY MAHARLIKA WEST</v>
      </c>
      <c r="AG210" s="1" t="str">
        <f>IFERROR(__xludf.DUMMYFUNCTION("""COMPUTED_VALUE"""),"TAGAYTAY")</f>
        <v>TAGAYTAY</v>
      </c>
      <c r="AH210" s="1" t="str">
        <f>IFERROR(__xludf.DUMMYFUNCTION("""COMPUTED_VALUE"""),"TOWER 3")</f>
        <v>TOWER 3</v>
      </c>
      <c r="AI210" s="1" t="str">
        <f>IFERROR(__xludf.DUMMYFUNCTION("""COMPUTED_VALUE"""),"CLUSTER 12")</f>
        <v>CLUSTER 12</v>
      </c>
    </row>
    <row r="211" customHeight="1" spans="1:35">
      <c r="A211" s="3">
        <f>IFERROR(__xludf.DUMMYFUNCTION("""COMPUTED_VALUE"""),46255)</f>
        <v>46255</v>
      </c>
      <c r="B211" s="1" t="str">
        <f>IFERROR(__xludf.DUMMYFUNCTION("""COMPUTED_VALUE"""),"JOHN ARVIN SILOS ESTRADA")</f>
        <v>JOHN ARVIN SILOS ESTRADA</v>
      </c>
      <c r="C211" s="1">
        <f>IFERROR(__xludf.DUMMYFUNCTION("""COMPUTED_VALUE"""),2311969553)</f>
        <v>2311969553</v>
      </c>
      <c r="D211" s="1">
        <f>IFERROR(__xludf.DUMMYFUNCTION("""COMPUTED_VALUE"""),407127285)</f>
        <v>407127285</v>
      </c>
      <c r="E211" s="1">
        <f>IFERROR(__xludf.DUMMYFUNCTION("""COMPUTED_VALUE"""),467403970004)</f>
        <v>467403970004</v>
      </c>
      <c r="F211" s="1" t="str">
        <f>IFERROR(__xludf.DUMMYFUNCTION("""COMPUTED_VALUE"""),"RPR")</f>
        <v>RPR</v>
      </c>
      <c r="G211" s="1" t="str">
        <f>IFERROR(__xludf.DUMMYFUNCTION("""COMPUTED_VALUE"""),"""VISITED 
REMARKS: CANCEL APPLICATION MATAGAL NA DAW NILA PINA CANCEL YUNG APPLY NILA SA PLDT 
TALK JOHN ARVIN SILOS ESTRADA 
09555726103 
""")</f>
        <v>"VISITED 
REMARKS: CANCEL APPLICATION MATAGAL NA DAW NILA PINA CANCEL YUNG APPLY NILA SA PLDT 
TALK JOHN ARVIN SILOS ESTRADA 
09555726103 
"</v>
      </c>
      <c r="H211" s="1"/>
      <c r="I211" s="1"/>
      <c r="J211" s="1"/>
      <c r="K211" s="1" t="str">
        <f>IFERROR(__xludf.DUMMYFUNCTION("""COMPUTED_VALUE"""),"CANCELED")</f>
        <v>CANCELED</v>
      </c>
      <c r="L211" s="1" t="str">
        <f>IFERROR(__xludf.DUMMYFUNCTION("""COMPUTED_VALUE"""),"RPR - SUBS CANCEL REQUEST")</f>
        <v>RPR - SUBS CANCEL REQUEST</v>
      </c>
      <c r="M211" s="1" t="str">
        <f>IFERROR(__xludf.DUMMYFUNCTION("""COMPUTED_VALUE"""),"RPR- SUBS CANCEL REQUEST")</f>
        <v>RPR- SUBS CANCEL REQUEST</v>
      </c>
      <c r="N211" s="3"/>
      <c r="O211" s="1" t="str">
        <f>IFERROR(__xludf.DUMMYFUNCTION("""COMPUTED_VALUE"""),"FIBR PLAN 1299")</f>
        <v>FIBR PLAN 1299</v>
      </c>
      <c r="P211" s="1" t="str">
        <f>IFERROR(__xludf.DUMMYFUNCTION("""COMPUTED_VALUE"""),"LOWPLAN")</f>
        <v>LOWPLAN</v>
      </c>
      <c r="Q211" s="1" t="str">
        <f>IFERROR(__xludf.DUMMYFUNCTION("""COMPUTED_VALUE"""),"P407050")</f>
        <v>P407050</v>
      </c>
      <c r="R211" s="1" t="str">
        <f>IFERROR(__xludf.DUMMYFUNCTION("""COMPUTED_VALUE"""),"BAQUIT, JAZMIN")</f>
        <v>BAQUIT, JAZMIN</v>
      </c>
      <c r="S211" s="1" t="str">
        <f>IFERROR(__xludf.DUMMYFUNCTION("""COMPUTED_VALUE"""),"ORGANIC")</f>
        <v>ORGANIC</v>
      </c>
      <c r="T211" s="1" t="str">
        <f>IFERROR(__xludf.DUMMYFUNCTION("""COMPUTED_VALUE"""),"LEA REMOLLO")</f>
        <v>LEA REMOLLO</v>
      </c>
      <c r="U211" s="1" t="str">
        <f>IFERROR(__xludf.DUMMYFUNCTION("""COMPUTED_VALUE"""),"JB SALIOA")</f>
        <v>JB SALIOA</v>
      </c>
      <c r="V211" s="1" t="str">
        <f>IFERROR(__xludf.DUMMYFUNCTION("""COMPUTED_VALUE"""),"BK HSTK")</f>
        <v>BK HSTK</v>
      </c>
      <c r="W211" s="1" t="str">
        <f>IFERROR(__xludf.DUMMYFUNCTION("""COMPUTED_VALUE"""),"BK HSTK")</f>
        <v>BK HSTK</v>
      </c>
      <c r="X211" s="1" t="str">
        <f>IFERROR(__xludf.DUMMYFUNCTION("""COMPUTED_VALUE"""),"HBBS AUG 2026")</f>
        <v>HBBS AUG 2026</v>
      </c>
      <c r="Y211" s="1" t="str">
        <f>IFERROR(__xludf.DUMMYFUNCTION("""COMPUTED_VALUE"""),"BK_CVEU_260803")</f>
        <v>BK_CVEU_260803</v>
      </c>
      <c r="Z211" s="1" t="str">
        <f>IFERROR(__xludf.DUMMYFUNCTION("""COMPUTED_VALUE"""),"NEW CONNECT")</f>
        <v>NEW CONNECT</v>
      </c>
      <c r="AA211" s="1">
        <f>IFERROR(__xludf.DUMMYFUNCTION("""COMPUTED_VALUE"""),639555726103)</f>
        <v>639555726103</v>
      </c>
      <c r="AB211" s="1"/>
      <c r="AC211" s="1">
        <f>IFERROR(__xludf.DUMMYFUNCTION("""COMPUTED_VALUE"""),11506)</f>
        <v>11506</v>
      </c>
      <c r="AD211" s="1" t="str">
        <f>IFERROR(__xludf.DUMMYFUNCTION("""COMPUTED_VALUE"""),"ZAMORA")</f>
        <v>ZAMORA</v>
      </c>
      <c r="AE211" s="1"/>
      <c r="AF211" s="1" t="str">
        <f>IFERROR(__xludf.DUMMYFUNCTION("""COMPUTED_VALUE"""),"BGY MABUHAY")</f>
        <v>BGY MABUHAY</v>
      </c>
      <c r="AG211" s="1" t="str">
        <f>IFERROR(__xludf.DUMMYFUNCTION("""COMPUTED_VALUE"""),"CARMONA")</f>
        <v>CARMONA</v>
      </c>
      <c r="AH211" s="1" t="str">
        <f>IFERROR(__xludf.DUMMYFUNCTION("""COMPUTED_VALUE"""),"-")</f>
        <v>-</v>
      </c>
      <c r="AI211" s="1" t="str">
        <f>IFERROR(__xludf.DUMMYFUNCTION("""COMPUTED_VALUE"""),"CLUSTER 11")</f>
        <v>CLUSTER 11</v>
      </c>
    </row>
    <row r="212" customHeight="1" spans="1:35">
      <c r="A212" s="3">
        <f>IFERROR(__xludf.DUMMYFUNCTION("""COMPUTED_VALUE"""),46255)</f>
        <v>46255</v>
      </c>
      <c r="B212" s="1" t="str">
        <f>IFERROR(__xludf.DUMMYFUNCTION("""COMPUTED_VALUE"""),"MA CECILIA SAMUYA CHO")</f>
        <v>MA CECILIA SAMUYA CHO</v>
      </c>
      <c r="C212" s="1">
        <f>IFERROR(__xludf.DUMMYFUNCTION("""COMPUTED_VALUE"""),2311970324)</f>
        <v>2311970324</v>
      </c>
      <c r="D212" s="1">
        <f>IFERROR(__xludf.DUMMYFUNCTION("""COMPUTED_VALUE"""),407127366)</f>
        <v>407127366</v>
      </c>
      <c r="E212" s="1">
        <f>IFERROR(__xludf.DUMMYFUNCTION("""COMPUTED_VALUE"""),467403922004)</f>
        <v>467403922004</v>
      </c>
      <c r="F212" s="1" t="str">
        <f>IFERROR(__xludf.DUMMYFUNCTION("""COMPUTED_VALUE"""),"CANCELLED")</f>
        <v>CANCELLED</v>
      </c>
      <c r="G212" s="1" t="str">
        <f>IFERROR(__xludf.DUMMYFUNCTION("""COMPUTED_VALUE"""),"AFD CONDUIT NOT READY HINDI RIN MAIWANAN NG FOC KASI WALA YUNG ELECTRICIAN NILA TALK MARK ANTHONY BASILIA 09928610428 09189356147 09178904443 ")</f>
        <v>AFD CONDUIT NOT READY HINDI RIN MAIWANAN NG FOC KASI WALA YUNG ELECTRICIAN NILA TALK MARK ANTHONY BASILIA 09928610428 09189356147 09178904443 </v>
      </c>
      <c r="H212" s="1"/>
      <c r="I212" s="1"/>
      <c r="J212" s="1"/>
      <c r="K212" s="1" t="str">
        <f>IFERROR(__xludf.DUMMYFUNCTION("""COMPUTED_VALUE"""),"CANCELED")</f>
        <v>CANCELED</v>
      </c>
      <c r="L212" s="1" t="str">
        <f>IFERROR(__xludf.DUMMYFUNCTION("""COMPUTED_VALUE"""),"FOR CANCELLATION")</f>
        <v>FOR CANCELLATION</v>
      </c>
      <c r="M212" s="1" t="str">
        <f>IFERROR(__xludf.DUMMYFUNCTION("""COMPUTED_VALUE"""),"FOR CANCELLATION - NON COMPLIANCE - NO PAYMENT")</f>
        <v>FOR CANCELLATION - NON COMPLIANCE - NO PAYMENT</v>
      </c>
      <c r="N212" s="3"/>
      <c r="O212" s="1" t="str">
        <f>IFERROR(__xludf.DUMMYFUNCTION("""COMPUTED_VALUE"""),"FIBER UNLI ALL PLAN 2599")</f>
        <v>FIBER UNLI ALL PLAN 2599</v>
      </c>
      <c r="P212" s="1" t="str">
        <f>IFERROR(__xludf.DUMMYFUNCTION("""COMPUTED_VALUE"""),"HIGHPLAN")</f>
        <v>HIGHPLAN</v>
      </c>
      <c r="Q212" s="1" t="str">
        <f>IFERROR(__xludf.DUMMYFUNCTION("""COMPUTED_VALUE"""),"P407044")</f>
        <v>P407044</v>
      </c>
      <c r="R212" s="1" t="str">
        <f>IFERROR(__xludf.DUMMYFUNCTION("""COMPUTED_VALUE"""),"AYON, MANUEL")</f>
        <v>AYON, MANUEL</v>
      </c>
      <c r="S212" s="1" t="str">
        <f>IFERROR(__xludf.DUMMYFUNCTION("""COMPUTED_VALUE"""),"FLA")</f>
        <v>FLA</v>
      </c>
      <c r="T212" s="1" t="str">
        <f>IFERROR(__xludf.DUMMYFUNCTION("""COMPUTED_VALUE"""),"JERIC NAVARRO")</f>
        <v>JERIC NAVARRO</v>
      </c>
      <c r="U212" s="1" t="str">
        <f>IFERROR(__xludf.DUMMYFUNCTION("""COMPUTED_VALUE"""),"JB SALIOA")</f>
        <v>JB SALIOA</v>
      </c>
      <c r="V212" s="1" t="str">
        <f>IFERROR(__xludf.DUMMYFUNCTION("""COMPUTED_VALUE"""),"BK HSTK")</f>
        <v>BK HSTK</v>
      </c>
      <c r="W212" s="1" t="str">
        <f>IFERROR(__xludf.DUMMYFUNCTION("""COMPUTED_VALUE"""),"BK HSTK")</f>
        <v>BK HSTK</v>
      </c>
      <c r="X212" s="1" t="str">
        <f>IFERROR(__xludf.DUMMYFUNCTION("""COMPUTED_VALUE"""),"HBBS AUG 2026")</f>
        <v>HBBS AUG 2026</v>
      </c>
      <c r="Y212" s="1" t="str">
        <f>IFERROR(__xludf.DUMMYFUNCTION("""COMPUTED_VALUE"""),"BK_CVEU_260803")</f>
        <v>BK_CVEU_260803</v>
      </c>
      <c r="Z212" s="1" t="str">
        <f>IFERROR(__xludf.DUMMYFUNCTION("""COMPUTED_VALUE"""),"NEW CONNECT")</f>
        <v>NEW CONNECT</v>
      </c>
      <c r="AA212" s="1">
        <f>IFERROR(__xludf.DUMMYFUNCTION("""COMPUTED_VALUE"""),639189356147)</f>
        <v>639189356147</v>
      </c>
      <c r="AB212" s="1">
        <f>IFERROR(__xludf.DUMMYFUNCTION("""COMPUTED_VALUE"""),639178904443)</f>
        <v>639178904443</v>
      </c>
      <c r="AC212" s="1"/>
      <c r="AD212" s="1" t="str">
        <f>IFERROR(__xludf.DUMMYFUNCTION("""COMPUTED_VALUE"""),"PHASE 1")</f>
        <v>PHASE 1</v>
      </c>
      <c r="AE212" s="1" t="str">
        <f>IFERROR(__xludf.DUMMYFUNCTION("""COMPUTED_VALUE"""),"MANILA SOUTHWOODS")</f>
        <v>MANILA SOUTHWOODS</v>
      </c>
      <c r="AF212" s="1" t="str">
        <f>IFERROR(__xludf.DUMMYFUNCTION("""COMPUTED_VALUE"""),"BGY CABILANG BAYBAY")</f>
        <v>BGY CABILANG BAYBAY</v>
      </c>
      <c r="AG212" s="1" t="str">
        <f>IFERROR(__xludf.DUMMYFUNCTION("""COMPUTED_VALUE"""),"CARMONA")</f>
        <v>CARMONA</v>
      </c>
      <c r="AH212" s="1" t="str">
        <f>IFERROR(__xludf.DUMMYFUNCTION("""COMPUTED_VALUE"""),"-")</f>
        <v>-</v>
      </c>
      <c r="AI212" s="1" t="str">
        <f>IFERROR(__xludf.DUMMYFUNCTION("""COMPUTED_VALUE"""),"CLUSTER 11")</f>
        <v>CLUSTER 11</v>
      </c>
    </row>
    <row r="213" customHeight="1" spans="1:35">
      <c r="A213" s="3">
        <f>IFERROR(__xludf.DUMMYFUNCTION("""COMPUTED_VALUE"""),46255)</f>
        <v>46255</v>
      </c>
      <c r="B213" s="1" t="str">
        <f>IFERROR(__xludf.DUMMYFUNCTION("""COMPUTED_VALUE"""),"KAYVIN APOLINARIO ALVAREZ")</f>
        <v>KAYVIN APOLINARIO ALVAREZ</v>
      </c>
      <c r="C213" s="1">
        <f>IFERROR(__xludf.DUMMYFUNCTION("""COMPUTED_VALUE"""),2311970777)</f>
        <v>2311970777</v>
      </c>
      <c r="D213" s="1">
        <f>IFERROR(__xludf.DUMMYFUNCTION("""COMPUTED_VALUE"""),407126750)</f>
        <v>407126750</v>
      </c>
      <c r="E213" s="1">
        <f>IFERROR(__xludf.DUMMYFUNCTION("""COMPUTED_VALUE"""),467403145004)</f>
        <v>467403145004</v>
      </c>
      <c r="F213" s="1" t="str">
        <f>IFERROR(__xludf.DUMMYFUNCTION("""COMPUTED_VALUE"""),"CANCELLED")</f>
        <v>CANCELLED</v>
      </c>
      <c r="G213" s="1" t="str">
        <f>IFERROR(__xludf.DUMMYFUNCTION("""COMPUTED_VALUE"""),"RPR VISITED REMARKS   FULL PLDT FIBER FACILITY   CMNLP110NP7 full CMNLP110NP6 full CMNLP110NP4 full CMNLP110NP5 full CMNLP208NP1 full CUSTOMER ALREADY ADVICED   TALK KAYVIN APOLINARIO ALVAREZ 09267526070 09704958930")</f>
        <v>RPR VISITED REMARKS   FULL PLDT FIBER FACILITY   CMNLP110NP7 full CMNLP110NP6 full CMNLP110NP4 full CMNLP110NP5 full CMNLP208NP1 full CUSTOMER ALREADY ADVICED   TALK KAYVIN APOLINARIO ALVAREZ 09267526070 09704958930</v>
      </c>
      <c r="H213" s="1"/>
      <c r="I213" s="1"/>
      <c r="J213" s="1"/>
      <c r="K213" s="1" t="str">
        <f>IFERROR(__xludf.DUMMYFUNCTION("""COMPUTED_VALUE"""),"CANCELED")</f>
        <v>CANCELED</v>
      </c>
      <c r="L213" s="1" t="str">
        <f>IFERROR(__xludf.DUMMYFUNCTION("""COMPUTED_VALUE"""),"RPR - NAP FULL")</f>
        <v>RPR - NAP FULL</v>
      </c>
      <c r="M213" s="1" t="str">
        <f>IFERROR(__xludf.DUMMYFUNCTION("""COMPUTED_VALUE"""),"RPR- NAP FULL")</f>
        <v>RPR- NAP FULL</v>
      </c>
      <c r="N213" s="3"/>
      <c r="O213" s="1" t="str">
        <f>IFERROR(__xludf.DUMMYFUNCTION("""COMPUTED_VALUE"""),"FIBR UNLI ALL PLAN 999")</f>
        <v>FIBR UNLI ALL PLAN 999</v>
      </c>
      <c r="P213" s="1" t="str">
        <f>IFERROR(__xludf.DUMMYFUNCTION("""COMPUTED_VALUE"""),"LOWPLAN")</f>
        <v>LOWPLAN</v>
      </c>
      <c r="Q213" s="1" t="str">
        <f>IFERROR(__xludf.DUMMYFUNCTION("""COMPUTED_VALUE"""),"P407050")</f>
        <v>P407050</v>
      </c>
      <c r="R213" s="1" t="str">
        <f>IFERROR(__xludf.DUMMYFUNCTION("""COMPUTED_VALUE"""),"TAMAYO, MARY ROSE ZAIRA")</f>
        <v>TAMAYO, MARY ROSE ZAIRA</v>
      </c>
      <c r="S213" s="1" t="str">
        <f>IFERROR(__xludf.DUMMYFUNCTION("""COMPUTED_VALUE"""),"ORGANIC")</f>
        <v>ORGANIC</v>
      </c>
      <c r="T213" s="1" t="str">
        <f>IFERROR(__xludf.DUMMYFUNCTION("""COMPUTED_VALUE"""),"LEA REMOLLO")</f>
        <v>LEA REMOLLO</v>
      </c>
      <c r="U213" s="1" t="str">
        <f>IFERROR(__xludf.DUMMYFUNCTION("""COMPUTED_VALUE"""),"JB SALIOA")</f>
        <v>JB SALIOA</v>
      </c>
      <c r="V213" s="1" t="str">
        <f>IFERROR(__xludf.DUMMYFUNCTION("""COMPUTED_VALUE"""),"BK REGULAR")</f>
        <v>BK REGULAR</v>
      </c>
      <c r="W213" s="1" t="str">
        <f>IFERROR(__xludf.DUMMYFUNCTION("""COMPUTED_VALUE"""),"STK REGULAR")</f>
        <v>STK REGULAR</v>
      </c>
      <c r="X213" s="1" t="str">
        <f>IFERROR(__xludf.DUMMYFUNCTION("""COMPUTED_VALUE"""),"HBBS AUG 2026")</f>
        <v>HBBS AUG 2026</v>
      </c>
      <c r="Y213" s="1" t="str">
        <f>IFERROR(__xludf.DUMMYFUNCTION("""COMPUTED_VALUE"""),"BK_CVEU_260803")</f>
        <v>BK_CVEU_260803</v>
      </c>
      <c r="Z213" s="1" t="str">
        <f>IFERROR(__xludf.DUMMYFUNCTION("""COMPUTED_VALUE"""),"NEW CONNECT")</f>
        <v>NEW CONNECT</v>
      </c>
      <c r="AA213" s="1">
        <f>IFERROR(__xludf.DUMMYFUNCTION("""COMPUTED_VALUE"""),639267526070)</f>
        <v>639267526070</v>
      </c>
      <c r="AB213" s="1">
        <f>IFERROR(__xludf.DUMMYFUNCTION("""COMPUTED_VALUE"""),639704958930)</f>
        <v>639704958930</v>
      </c>
      <c r="AC213" s="1"/>
      <c r="AD213" s="1" t="str">
        <f>IFERROR(__xludf.DUMMYFUNCTION("""COMPUTED_VALUE"""),"LANTIC")</f>
        <v>LANTIC</v>
      </c>
      <c r="AE213" s="1"/>
      <c r="AF213" s="1" t="str">
        <f>IFERROR(__xludf.DUMMYFUNCTION("""COMPUTED_VALUE"""),"BGY LANTIC")</f>
        <v>BGY LANTIC</v>
      </c>
      <c r="AG213" s="1" t="str">
        <f>IFERROR(__xludf.DUMMYFUNCTION("""COMPUTED_VALUE"""),"CARMONA")</f>
        <v>CARMONA</v>
      </c>
      <c r="AH213" s="1" t="str">
        <f>IFERROR(__xludf.DUMMYFUNCTION("""COMPUTED_VALUE"""),"JAS AND LEEN SARI SARI STORE // TGP")</f>
        <v>JAS AND LEEN SARI SARI STORE // TGP</v>
      </c>
      <c r="AI213" s="1" t="str">
        <f>IFERROR(__xludf.DUMMYFUNCTION("""COMPUTED_VALUE"""),"CLUSTER 11")</f>
        <v>CLUSTER 11</v>
      </c>
    </row>
    <row r="214" customHeight="1" spans="1:35">
      <c r="A214" s="3">
        <f>IFERROR(__xludf.DUMMYFUNCTION("""COMPUTED_VALUE"""),46255)</f>
        <v>46255</v>
      </c>
      <c r="B214" s="1" t="str">
        <f>IFERROR(__xludf.DUMMYFUNCTION("""COMPUTED_VALUE"""),"NARISSE HERNANDEZ BAYAS")</f>
        <v>NARISSE HERNANDEZ BAYAS</v>
      </c>
      <c r="C214" s="1">
        <f>IFERROR(__xludf.DUMMYFUNCTION("""COMPUTED_VALUE"""),2311971337)</f>
        <v>2311971337</v>
      </c>
      <c r="D214" s="1">
        <f>IFERROR(__xludf.DUMMYFUNCTION("""COMPUTED_VALUE"""),407129482)</f>
        <v>407129482</v>
      </c>
      <c r="E214" s="1">
        <f>IFERROR(__xludf.DUMMYFUNCTION("""COMPUTED_VALUE"""),467405653004)</f>
        <v>467405653004</v>
      </c>
      <c r="F214" s="1" t="str">
        <f>IFERROR(__xludf.DUMMYFUNCTION("""COMPUTED_VALUE"""),"CLOSED")</f>
        <v>CLOSED</v>
      </c>
      <c r="G214" s="1" t="str">
        <f>IFERROR(__xludf.DUMMYFUNCTION("""COMPUTED_VALUE"""),"CLOSED")</f>
        <v>CLOSED</v>
      </c>
      <c r="H214" s="1" t="str">
        <f>IFERROR(__xludf.DUMMYFUNCTION("""COMPUTED_VALUE"""),"PAID VIA GCASH REF 0407129482 AUG 24")</f>
        <v>PAID VIA GCASH REF 0407129482 AUG 24</v>
      </c>
      <c r="I214" s="1" t="str">
        <f>IFERROR(__xludf.DUMMYFUNCTION("""COMPUTED_VALUE"""),"WITH 1 AMSF")</f>
        <v>WITH 1 AMSF</v>
      </c>
      <c r="J214" s="1"/>
      <c r="K214" s="1" t="str">
        <f>IFERROR(__xludf.DUMMYFUNCTION("""COMPUTED_VALUE"""),"COMPLETED")</f>
        <v>COMPLETED</v>
      </c>
      <c r="L214" s="1" t="str">
        <f>IFERROR(__xludf.DUMMYFUNCTION("""COMPUTED_VALUE"""),"POSTED")</f>
        <v>POSTED</v>
      </c>
      <c r="M214" s="1" t="str">
        <f>IFERROR(__xludf.DUMMYFUNCTION("""COMPUTED_VALUE"""),"POSTED")</f>
        <v>POSTED</v>
      </c>
      <c r="N214" s="3">
        <f>IFERROR(__xludf.DUMMYFUNCTION("""COMPUTED_VALUE"""),46258)</f>
        <v>46258</v>
      </c>
      <c r="O214" s="1" t="str">
        <f>IFERROR(__xludf.DUMMYFUNCTION("""COMPUTED_VALUE"""),"FIBR PLAN 1299")</f>
        <v>FIBR PLAN 1299</v>
      </c>
      <c r="P214" s="1" t="str">
        <f>IFERROR(__xludf.DUMMYFUNCTION("""COMPUTED_VALUE"""),"LOWPLAN")</f>
        <v>LOWPLAN</v>
      </c>
      <c r="Q214" s="1" t="str">
        <f>IFERROR(__xludf.DUMMYFUNCTION("""COMPUTED_VALUE"""),"P407046")</f>
        <v>P407046</v>
      </c>
      <c r="R214" s="1" t="str">
        <f>IFERROR(__xludf.DUMMYFUNCTION("""COMPUTED_VALUE"""),"MALIWAT, MARK")</f>
        <v>MALIWAT, MARK</v>
      </c>
      <c r="S214" s="1" t="str">
        <f>IFERROR(__xludf.DUMMYFUNCTION("""COMPUTED_VALUE"""),"FLA")</f>
        <v>FLA</v>
      </c>
      <c r="T214" s="1" t="str">
        <f>IFERROR(__xludf.DUMMYFUNCTION("""COMPUTED_VALUE"""),"JERIC NAVARRO")</f>
        <v>JERIC NAVARRO</v>
      </c>
      <c r="U214" s="1" t="str">
        <f>IFERROR(__xludf.DUMMYFUNCTION("""COMPUTED_VALUE"""),"JB SALIOA")</f>
        <v>JB SALIOA</v>
      </c>
      <c r="V214" s="1" t="str">
        <f>IFERROR(__xludf.DUMMYFUNCTION("""COMPUTED_VALUE"""),"ONLINE/CRANFORD")</f>
        <v>ONLINE/CRANFORD</v>
      </c>
      <c r="W214" s="1" t="str">
        <f>IFERROR(__xludf.DUMMYFUNCTION("""COMPUTED_VALUE"""),"STK REGULAR")</f>
        <v>STK REGULAR</v>
      </c>
      <c r="X214" s="1" t="str">
        <f>IFERROR(__xludf.DUMMYFUNCTION("""COMPUTED_VALUE"""),"HBBS AUG 2026")</f>
        <v>HBBS AUG 2026</v>
      </c>
      <c r="Y214" s="1" t="str">
        <f>IFERROR(__xludf.DUMMYFUNCTION("""COMPUTED_VALUE"""),"RS_ONL_CVEU_2026")</f>
        <v>RS_ONL_CVEU_2026</v>
      </c>
      <c r="Z214" s="1" t="str">
        <f>IFERROR(__xludf.DUMMYFUNCTION("""COMPUTED_VALUE"""),"NEW CONNECT")</f>
        <v>NEW CONNECT</v>
      </c>
      <c r="AA214" s="1">
        <f>IFERROR(__xludf.DUMMYFUNCTION("""COMPUTED_VALUE"""),639602052441)</f>
        <v>639602052441</v>
      </c>
      <c r="AB214" s="1"/>
      <c r="AC214" s="1"/>
      <c r="AD214" s="1" t="str">
        <f>IFERROR(__xludf.DUMMYFUNCTION("""COMPUTED_VALUE"""),"AGUINALDO")</f>
        <v>AGUINALDO</v>
      </c>
      <c r="AE214" s="1" t="str">
        <f>IFERROR(__xludf.DUMMYFUNCTION("""COMPUTED_VALUE"""),"SMDC WIND RESIDENCES TOWER 1")</f>
        <v>SMDC WIND RESIDENCES TOWER 1</v>
      </c>
      <c r="AF214" s="1" t="str">
        <f>IFERROR(__xludf.DUMMYFUNCTION("""COMPUTED_VALUE"""),"BGY MAHARLIKA WEST")</f>
        <v>BGY MAHARLIKA WEST</v>
      </c>
      <c r="AG214" s="1" t="str">
        <f>IFERROR(__xludf.DUMMYFUNCTION("""COMPUTED_VALUE"""),"TAGAYTAY")</f>
        <v>TAGAYTAY</v>
      </c>
      <c r="AH214" s="1" t="str">
        <f>IFERROR(__xludf.DUMMYFUNCTION("""COMPUTED_VALUE"""),"TOWER 1")</f>
        <v>TOWER 1</v>
      </c>
      <c r="AI214" s="1" t="str">
        <f>IFERROR(__xludf.DUMMYFUNCTION("""COMPUTED_VALUE"""),"CLUSTER 12")</f>
        <v>CLUSTER 12</v>
      </c>
    </row>
    <row r="215" customHeight="1" spans="1:35">
      <c r="A215" s="3">
        <f>IFERROR(__xludf.DUMMYFUNCTION("""COMPUTED_VALUE"""),46255)</f>
        <v>46255</v>
      </c>
      <c r="B215" s="1" t="str">
        <f>IFERROR(__xludf.DUMMYFUNCTION("""COMPUTED_VALUE"""),"RHOBERT BETCO RONCAL")</f>
        <v>RHOBERT BETCO RONCAL</v>
      </c>
      <c r="C215" s="1">
        <f>IFERROR(__xludf.DUMMYFUNCTION("""COMPUTED_VALUE"""),2311971902)</f>
        <v>2311971902</v>
      </c>
      <c r="D215" s="1">
        <f>IFERROR(__xludf.DUMMYFUNCTION("""COMPUTED_VALUE"""),407127420)</f>
        <v>407127420</v>
      </c>
      <c r="E215" s="1">
        <f>IFERROR(__xludf.DUMMYFUNCTION("""COMPUTED_VALUE"""),467403961004)</f>
        <v>467403961004</v>
      </c>
      <c r="F215" s="1" t="str">
        <f>IFERROR(__xludf.DUMMYFUNCTION("""COMPUTED_VALUE"""),"CLOSED")</f>
        <v>CLOSED</v>
      </c>
      <c r="G215" s="1" t="str">
        <f>IFERROR(__xludf.DUMMYFUNCTION("""COMPUTED_VALUE"""),"CLOSED")</f>
        <v>CLOSED</v>
      </c>
      <c r="H215" s="1" t="str">
        <f>IFERROR(__xludf.DUMMYFUNCTION("""COMPUTED_VALUE"""),"PID VIA GCASH - AUG 21 - REF - 306520006+")</f>
        <v>PID VIA GCASH - AUG 21 - REF - 306520006+</v>
      </c>
      <c r="I215" s="1" t="str">
        <f>IFERROR(__xludf.DUMMYFUNCTION("""COMPUTED_VALUE"""),"WITH 1 AMSF")</f>
        <v>WITH 1 AMSF</v>
      </c>
      <c r="J215" s="1"/>
      <c r="K215" s="1" t="str">
        <f>IFERROR(__xludf.DUMMYFUNCTION("""COMPUTED_VALUE"""),"COMPLETED")</f>
        <v>COMPLETED</v>
      </c>
      <c r="L215" s="1" t="str">
        <f>IFERROR(__xludf.DUMMYFUNCTION("""COMPUTED_VALUE"""),"POSTED")</f>
        <v>POSTED</v>
      </c>
      <c r="M215" s="1" t="str">
        <f>IFERROR(__xludf.DUMMYFUNCTION("""COMPUTED_VALUE"""),"POSTED")</f>
        <v>POSTED</v>
      </c>
      <c r="N215" s="3">
        <f>IFERROR(__xludf.DUMMYFUNCTION("""COMPUTED_VALUE"""),46256)</f>
        <v>46256</v>
      </c>
      <c r="O215" s="1" t="str">
        <f>IFERROR(__xludf.DUMMYFUNCTION("""COMPUTED_VALUE"""),"FIBR NETFLIX PLAN 1599")</f>
        <v>FIBR NETFLIX PLAN 1599</v>
      </c>
      <c r="P215" s="1" t="str">
        <f>IFERROR(__xludf.DUMMYFUNCTION("""COMPUTED_VALUE"""),"LOWPLAN")</f>
        <v>LOWPLAN</v>
      </c>
      <c r="Q215" s="1" t="str">
        <f>IFERROR(__xludf.DUMMYFUNCTION("""COMPUTED_VALUE"""),"P407044")</f>
        <v>P407044</v>
      </c>
      <c r="R215" s="1" t="str">
        <f>IFERROR(__xludf.DUMMYFUNCTION("""COMPUTED_VALUE"""),"AYON, MANUEL")</f>
        <v>AYON, MANUEL</v>
      </c>
      <c r="S215" s="1" t="str">
        <f>IFERROR(__xludf.DUMMYFUNCTION("""COMPUTED_VALUE"""),"FLA")</f>
        <v>FLA</v>
      </c>
      <c r="T215" s="1" t="str">
        <f>IFERROR(__xludf.DUMMYFUNCTION("""COMPUTED_VALUE"""),"JERIC NAVARRO")</f>
        <v>JERIC NAVARRO</v>
      </c>
      <c r="U215" s="1" t="str">
        <f>IFERROR(__xludf.DUMMYFUNCTION("""COMPUTED_VALUE"""),"JB SALIOA")</f>
        <v>JB SALIOA</v>
      </c>
      <c r="V215" s="1" t="str">
        <f>IFERROR(__xludf.DUMMYFUNCTION("""COMPUTED_VALUE"""),"ONLINE/CRANFORD")</f>
        <v>ONLINE/CRANFORD</v>
      </c>
      <c r="W215" s="1" t="str">
        <f>IFERROR(__xludf.DUMMYFUNCTION("""COMPUTED_VALUE"""),"STK REGULAR")</f>
        <v>STK REGULAR</v>
      </c>
      <c r="X215" s="1" t="str">
        <f>IFERROR(__xludf.DUMMYFUNCTION("""COMPUTED_VALUE"""),"HBBS AUG 2026")</f>
        <v>HBBS AUG 2026</v>
      </c>
      <c r="Y215" s="1" t="str">
        <f>IFERROR(__xludf.DUMMYFUNCTION("""COMPUTED_VALUE"""),"RS_ONL_CVEU_2026")</f>
        <v>RS_ONL_CVEU_2026</v>
      </c>
      <c r="Z215" s="1" t="str">
        <f>IFERROR(__xludf.DUMMYFUNCTION("""COMPUTED_VALUE"""),"NEW CONNECT")</f>
        <v>NEW CONNECT</v>
      </c>
      <c r="AA215" s="1">
        <f>IFERROR(__xludf.DUMMYFUNCTION("""COMPUTED_VALUE"""),639507535728)</f>
        <v>639507535728</v>
      </c>
      <c r="AB215" s="1">
        <f>IFERROR(__xludf.DUMMYFUNCTION("""COMPUTED_VALUE"""),639534227677)</f>
        <v>639534227677</v>
      </c>
      <c r="AC215" s="1"/>
      <c r="AD215" s="1" t="str">
        <f>IFERROR(__xludf.DUMMYFUNCTION("""COMPUTED_VALUE"""),"BORROMEO")</f>
        <v>BORROMEO</v>
      </c>
      <c r="AE215" s="1" t="str">
        <f>IFERROR(__xludf.DUMMYFUNCTION("""COMPUTED_VALUE"""),"PUROK 2")</f>
        <v>PUROK 2</v>
      </c>
      <c r="AF215" s="1" t="str">
        <f>IFERROR(__xludf.DUMMYFUNCTION("""COMPUTED_VALUE"""),"BGY BILUSO")</f>
        <v>BGY BILUSO</v>
      </c>
      <c r="AG215" s="1" t="str">
        <f>IFERROR(__xludf.DUMMYFUNCTION("""COMPUTED_VALUE"""),"SILANG")</f>
        <v>SILANG</v>
      </c>
      <c r="AH215" s="1" t="str">
        <f>IFERROR(__xludf.DUMMYFUNCTION("""COMPUTED_VALUE"""),"BORROMEO ST")</f>
        <v>BORROMEO ST</v>
      </c>
      <c r="AI215" s="1" t="str">
        <f>IFERROR(__xludf.DUMMYFUNCTION("""COMPUTED_VALUE"""),"CLUSTER 11")</f>
        <v>CLUSTER 11</v>
      </c>
    </row>
    <row r="216" customHeight="1" spans="1:35">
      <c r="A216" s="3">
        <f>IFERROR(__xludf.DUMMYFUNCTION("""COMPUTED_VALUE"""),46255)</f>
        <v>46255</v>
      </c>
      <c r="B216" s="1" t="str">
        <f>IFERROR(__xludf.DUMMYFUNCTION("""COMPUTED_VALUE"""),"ROMNIC ORTAZON SACAY")</f>
        <v>ROMNIC ORTAZON SACAY</v>
      </c>
      <c r="C216" s="1">
        <f>IFERROR(__xludf.DUMMYFUNCTION("""COMPUTED_VALUE"""),2311974342)</f>
        <v>2311974342</v>
      </c>
      <c r="D216" s="1"/>
      <c r="E216" s="1"/>
      <c r="F216" s="1" t="str">
        <f>IFERROR(__xludf.DUMMYFUNCTION("""COMPUTED_VALUE"""),"CANCELLED")</f>
        <v>CANCELLED</v>
      </c>
      <c r="G216" s="1" t="str">
        <f>IFERROR(__xludf.DUMMYFUNCTION("""COMPUTED_VALUE"""),"(WITH BLACKLIST HIT FOR COMPLIANCE) RTS|FOUND WITH BLACKLISTED ACCOUNT UNDER SAME NAME DIFF ADDRESSS ACCT#0267791546 WITH OB Php 8,123.49|FOUND WITH CANCELLED APPLICATION SAME NAME DIFF ADDRESS ACCT#0267791422|NO CALLOUT REQUIRED DUE TO HAVE CATCH UP STRA"&amp;"T|NEED TO SETTLE OB FIRST BEFORE TO PROCCED THIS APPLICATION|VALIDATED COMPLETE DOCS|CORRECT ENCODED INFO0 IN CSP|WAIVED AMSF GG - 1 (NTC) ")</f>
        <v>(WITH BLACKLIST HIT FOR COMPLIANCE) RTS|FOUND WITH BLACKLISTED ACCOUNT UNDER SAME NAME DIFF ADDRESSS ACCT#0267791546 WITH OB Php 8,123.49|FOUND WITH CANCELLED APPLICATION SAME NAME DIFF ADDRESS ACCT#0267791422|NO CALLOUT REQUIRED DUE TO HAVE CATCH UP STRAT|NEED TO SETTLE OB FIRST BEFORE TO PROCCED THIS APPLICATION|VALIDATED COMPLETE DOCS|CORRECT ENCODED INFO0 IN CSP|WAIVED AMSF GG - 1 (NTC) </v>
      </c>
      <c r="H216" s="1"/>
      <c r="I216" s="1"/>
      <c r="J216" s="1"/>
      <c r="K216" s="1"/>
      <c r="L216" s="1" t="str">
        <f>IFERROR(__xludf.DUMMYFUNCTION("""COMPUTED_VALUE"""),"CANCELLED - WITH OB")</f>
        <v>CANCELLED - WITH OB</v>
      </c>
      <c r="M216" s="1" t="str">
        <f>IFERROR(__xludf.DUMMYFUNCTION("""COMPUTED_VALUE"""),"CANCELLED - WITH OB")</f>
        <v>CANCELLED - WITH OB</v>
      </c>
      <c r="N216" s="3"/>
      <c r="O216" s="1" t="str">
        <f>IFERROR(__xludf.DUMMYFUNCTION("""COMPUTED_VALUE"""),"FIBR PLAN 1299")</f>
        <v>FIBR PLAN 1299</v>
      </c>
      <c r="P216" s="1" t="str">
        <f>IFERROR(__xludf.DUMMYFUNCTION("""COMPUTED_VALUE"""),"LOWPLAN")</f>
        <v>LOWPLAN</v>
      </c>
      <c r="Q216" s="1" t="str">
        <f>IFERROR(__xludf.DUMMYFUNCTION("""COMPUTED_VALUE"""),"P407050")</f>
        <v>P407050</v>
      </c>
      <c r="R216" s="1" t="str">
        <f>IFERROR(__xludf.DUMMYFUNCTION("""COMPUTED_VALUE"""),"IVNO, RAZZEL")</f>
        <v>IVNO, RAZZEL</v>
      </c>
      <c r="S216" s="1" t="str">
        <f>IFERROR(__xludf.DUMMYFUNCTION("""COMPUTED_VALUE"""),"ORGANIC")</f>
        <v>ORGANIC</v>
      </c>
      <c r="T216" s="1" t="str">
        <f>IFERROR(__xludf.DUMMYFUNCTION("""COMPUTED_VALUE"""),"LEA REMOLLO")</f>
        <v>LEA REMOLLO</v>
      </c>
      <c r="U216" s="1" t="str">
        <f>IFERROR(__xludf.DUMMYFUNCTION("""COMPUTED_VALUE"""),"JB SALIOA")</f>
        <v>JB SALIOA</v>
      </c>
      <c r="V216" s="1" t="str">
        <f>IFERROR(__xludf.DUMMYFUNCTION("""COMPUTED_VALUE"""),"BK HSTK")</f>
        <v>BK HSTK</v>
      </c>
      <c r="W216" s="1" t="str">
        <f>IFERROR(__xludf.DUMMYFUNCTION("""COMPUTED_VALUE"""),"BK HSTK")</f>
        <v>BK HSTK</v>
      </c>
      <c r="X216" s="1" t="str">
        <f>IFERROR(__xludf.DUMMYFUNCTION("""COMPUTED_VALUE"""),"HBBS AUG 2026")</f>
        <v>HBBS AUG 2026</v>
      </c>
      <c r="Y216" s="1" t="str">
        <f>IFERROR(__xludf.DUMMYFUNCTION("""COMPUTED_VALUE"""),"BK_CVEU_260803")</f>
        <v>BK_CVEU_260803</v>
      </c>
      <c r="Z216" s="1" t="str">
        <f>IFERROR(__xludf.DUMMYFUNCTION("""COMPUTED_VALUE"""),"NEW CONNECT")</f>
        <v>NEW CONNECT</v>
      </c>
      <c r="AA216" s="1">
        <f>IFERROR(__xludf.DUMMYFUNCTION("""COMPUTED_VALUE"""),639914606078)</f>
        <v>639914606078</v>
      </c>
      <c r="AB216" s="1">
        <f>IFERROR(__xludf.DUMMYFUNCTION("""COMPUTED_VALUE"""),639756257931)</f>
        <v>639756257931</v>
      </c>
      <c r="AC216" s="1"/>
      <c r="AD216" s="1" t="str">
        <f>IFERROR(__xludf.DUMMYFUNCTION("""COMPUTED_VALUE"""),"CALUMPANG")</f>
        <v>CALUMPANG</v>
      </c>
      <c r="AE216" s="1"/>
      <c r="AF216" s="1" t="str">
        <f>IFERROR(__xludf.DUMMYFUNCTION("""COMPUTED_VALUE"""),"BGY LANTIC")</f>
        <v>BGY LANTIC</v>
      </c>
      <c r="AG216" s="1" t="str">
        <f>IFERROR(__xludf.DUMMYFUNCTION("""COMPUTED_VALUE"""),"CARMONA")</f>
        <v>CARMONA</v>
      </c>
      <c r="AH216" s="1" t="str">
        <f>IFERROR(__xludf.DUMMYFUNCTION("""COMPUTED_VALUE"""),"RM ROSANO PAINT CENTER")</f>
        <v>RM ROSANO PAINT CENTER</v>
      </c>
      <c r="AI216" s="1" t="str">
        <f>IFERROR(__xludf.DUMMYFUNCTION("""COMPUTED_VALUE"""),"CLUSTER 11")</f>
        <v>CLUSTER 11</v>
      </c>
    </row>
    <row r="217" customHeight="1" spans="1:35">
      <c r="A217" s="3">
        <f>IFERROR(__xludf.DUMMYFUNCTION("""COMPUTED_VALUE"""),46255)</f>
        <v>46255</v>
      </c>
      <c r="B217" s="1" t="str">
        <f>IFERROR(__xludf.DUMMYFUNCTION("""COMPUTED_VALUE"""),"VILMA PASION USON")</f>
        <v>VILMA PASION USON</v>
      </c>
      <c r="C217" s="1">
        <f>IFERROR(__xludf.DUMMYFUNCTION("""COMPUTED_VALUE"""),2311974741)</f>
        <v>2311974741</v>
      </c>
      <c r="D217" s="1">
        <f>IFERROR(__xludf.DUMMYFUNCTION("""COMPUTED_VALUE"""),407132076)</f>
        <v>407132076</v>
      </c>
      <c r="E217" s="1">
        <f>IFERROR(__xludf.DUMMYFUNCTION("""COMPUTED_VALUE"""),467408633004)</f>
        <v>467408633004</v>
      </c>
      <c r="F217" s="1" t="str">
        <f>IFERROR(__xludf.DUMMYFUNCTION("""COMPUTED_VALUE"""),"CANCELLED")</f>
        <v>CANCELLED</v>
      </c>
      <c r="G217" s="1" t="str">
        <f>IFERROR(__xludf.DUMMYFUNCTION("""COMPUTED_VALUE"""),"AUTO - AGING")</f>
        <v>AUTO - AGING</v>
      </c>
      <c r="H217" s="1" t="str">
        <f>IFERROR(__xludf.DUMMYFUNCTION("""COMPUTED_VALUE"""),"TOK TO SOR WALA PA DAW SILANG PANG BAYAD CANCEL NALANG DAW ITO 09:26")</f>
        <v>TOK TO SOR WALA PA DAW SILANG PANG BAYAD CANCEL NALANG DAW ITO 09:26</v>
      </c>
      <c r="I217" s="1"/>
      <c r="J217" s="1"/>
      <c r="K217" s="1" t="str">
        <f>IFERROR(__xludf.DUMMYFUNCTION("""COMPUTED_VALUE"""),"NOT IN OFSC")</f>
        <v>NOT IN OFSC</v>
      </c>
      <c r="L217" s="1" t="str">
        <f>IFERROR(__xludf.DUMMYFUNCTION("""COMPUTED_VALUE"""),"CANCELLED - AGING")</f>
        <v>CANCELLED - AGING</v>
      </c>
      <c r="M217" s="1" t="str">
        <f>IFERROR(__xludf.DUMMYFUNCTION("""COMPUTED_VALUE"""),"CANCELLED - AGING")</f>
        <v>CANCELLED - AGING</v>
      </c>
      <c r="N217" s="3"/>
      <c r="O217" s="1" t="str">
        <f>IFERROR(__xludf.DUMMYFUNCTION("""COMPUTED_VALUE"""),"FIBR UNLI ALL PLAN 999")</f>
        <v>FIBR UNLI ALL PLAN 999</v>
      </c>
      <c r="P217" s="1" t="str">
        <f>IFERROR(__xludf.DUMMYFUNCTION("""COMPUTED_VALUE"""),"LOWPLAN")</f>
        <v>LOWPLAN</v>
      </c>
      <c r="Q217" s="1" t="str">
        <f>IFERROR(__xludf.DUMMYFUNCTION("""COMPUTED_VALUE"""),"P407050")</f>
        <v>P407050</v>
      </c>
      <c r="R217" s="1" t="str">
        <f>IFERROR(__xludf.DUMMYFUNCTION("""COMPUTED_VALUE"""),"DENACO, RODNEY")</f>
        <v>DENACO, RODNEY</v>
      </c>
      <c r="S217" s="1" t="str">
        <f>IFERROR(__xludf.DUMMYFUNCTION("""COMPUTED_VALUE"""),"ORGANIC")</f>
        <v>ORGANIC</v>
      </c>
      <c r="T217" s="1" t="str">
        <f>IFERROR(__xludf.DUMMYFUNCTION("""COMPUTED_VALUE"""),"LEA REMOLLO")</f>
        <v>LEA REMOLLO</v>
      </c>
      <c r="U217" s="1" t="str">
        <f>IFERROR(__xludf.DUMMYFUNCTION("""COMPUTED_VALUE"""),"JB SALIOA")</f>
        <v>JB SALIOA</v>
      </c>
      <c r="V217" s="1" t="str">
        <f>IFERROR(__xludf.DUMMYFUNCTION("""COMPUTED_VALUE"""),"BK HSTK")</f>
        <v>BK HSTK</v>
      </c>
      <c r="W217" s="1" t="str">
        <f>IFERROR(__xludf.DUMMYFUNCTION("""COMPUTED_VALUE"""),"BK HSTK")</f>
        <v>BK HSTK</v>
      </c>
      <c r="X217" s="1" t="str">
        <f>IFERROR(__xludf.DUMMYFUNCTION("""COMPUTED_VALUE"""),"HBBS AUG 2026")</f>
        <v>HBBS AUG 2026</v>
      </c>
      <c r="Y217" s="1" t="str">
        <f>IFERROR(__xludf.DUMMYFUNCTION("""COMPUTED_VALUE"""),"BK_CVEU_260803")</f>
        <v>BK_CVEU_260803</v>
      </c>
      <c r="Z217" s="1" t="str">
        <f>IFERROR(__xludf.DUMMYFUNCTION("""COMPUTED_VALUE"""),"NEW CONNECT")</f>
        <v>NEW CONNECT</v>
      </c>
      <c r="AA217" s="1">
        <f>IFERROR(__xludf.DUMMYFUNCTION("""COMPUTED_VALUE"""),639652134139)</f>
        <v>639652134139</v>
      </c>
      <c r="AB217" s="1"/>
      <c r="AC217" s="1">
        <f>IFERROR(__xludf.DUMMYFUNCTION("""COMPUTED_VALUE"""),9064)</f>
        <v>9064</v>
      </c>
      <c r="AD217" s="1" t="str">
        <f>IFERROR(__xludf.DUMMYFUNCTION("""COMPUTED_VALUE"""),"CALUMPANG")</f>
        <v>CALUMPANG</v>
      </c>
      <c r="AE217" s="1"/>
      <c r="AF217" s="1" t="str">
        <f>IFERROR(__xludf.DUMMYFUNCTION("""COMPUTED_VALUE"""),"BGY LANTIC")</f>
        <v>BGY LANTIC</v>
      </c>
      <c r="AG217" s="1" t="str">
        <f>IFERROR(__xludf.DUMMYFUNCTION("""COMPUTED_VALUE"""),"CARMONA")</f>
        <v>CARMONA</v>
      </c>
      <c r="AH217" s="1" t="str">
        <f>IFERROR(__xludf.DUMMYFUNCTION("""COMPUTED_VALUE"""),"-")</f>
        <v>-</v>
      </c>
      <c r="AI217" s="1" t="str">
        <f>IFERROR(__xludf.DUMMYFUNCTION("""COMPUTED_VALUE"""),"CLUSTER 11")</f>
        <v>CLUSTER 11</v>
      </c>
    </row>
    <row r="218" customHeight="1" spans="1:35">
      <c r="A218" s="3">
        <f>IFERROR(__xludf.DUMMYFUNCTION("""COMPUTED_VALUE"""),46255)</f>
        <v>46255</v>
      </c>
      <c r="B218" s="1" t="str">
        <f>IFERROR(__xludf.DUMMYFUNCTION("""COMPUTED_VALUE"""),"EDITHA MARAAN VIDAMO")</f>
        <v>EDITHA MARAAN VIDAMO</v>
      </c>
      <c r="C218" s="1">
        <f>IFERROR(__xludf.DUMMYFUNCTION("""COMPUTED_VALUE"""),2311975208)</f>
        <v>2311975208</v>
      </c>
      <c r="D218" s="1">
        <f>IFERROR(__xludf.DUMMYFUNCTION("""COMPUTED_VALUE"""),407137582)</f>
        <v>407137582</v>
      </c>
      <c r="E218" s="1">
        <f>IFERROR(__xludf.DUMMYFUNCTION("""COMPUTED_VALUE"""),467409683004)</f>
        <v>467409683004</v>
      </c>
      <c r="F218" s="1" t="str">
        <f>IFERROR(__xludf.DUMMYFUNCTION("""COMPUTED_VALUE"""),"CLOSED")</f>
        <v>CLOSED</v>
      </c>
      <c r="G218" s="1" t="str">
        <f>IFERROR(__xludf.DUMMYFUNCTION("""COMPUTED_VALUE"""),"CLOSED")</f>
        <v>CLOSED</v>
      </c>
      <c r="H218" s="1" t="str">
        <f>IFERROR(__xludf.DUMMYFUNCTION("""COMPUTED_VALUE"""),"PAID VIA GCASH REF 413295556 AUGUST 22")</f>
        <v>PAID VIA GCASH REF 413295556 AUGUST 22</v>
      </c>
      <c r="I218" s="1" t="str">
        <f>IFERROR(__xludf.DUMMYFUNCTION("""COMPUTED_VALUE"""),"WITH 1 AMSF")</f>
        <v>WITH 1 AMSF</v>
      </c>
      <c r="J218" s="1"/>
      <c r="K218" s="1" t="str">
        <f>IFERROR(__xludf.DUMMYFUNCTION("""COMPUTED_VALUE"""),"COMPLETED")</f>
        <v>COMPLETED</v>
      </c>
      <c r="L218" s="1" t="str">
        <f>IFERROR(__xludf.DUMMYFUNCTION("""COMPUTED_VALUE"""),"POSTED")</f>
        <v>POSTED</v>
      </c>
      <c r="M218" s="1" t="str">
        <f>IFERROR(__xludf.DUMMYFUNCTION("""COMPUTED_VALUE"""),"POSTED")</f>
        <v>POSTED</v>
      </c>
      <c r="N218" s="3">
        <f>IFERROR(__xludf.DUMMYFUNCTION("""COMPUTED_VALUE"""),46264)</f>
        <v>46264</v>
      </c>
      <c r="O218" s="1" t="str">
        <f>IFERROR(__xludf.DUMMYFUNCTION("""COMPUTED_VALUE"""),"FIBER UNLI ALL PLAN 1499")</f>
        <v>FIBER UNLI ALL PLAN 1499</v>
      </c>
      <c r="P218" s="1" t="str">
        <f>IFERROR(__xludf.DUMMYFUNCTION("""COMPUTED_VALUE"""),"LOWPLAN")</f>
        <v>LOWPLAN</v>
      </c>
      <c r="Q218" s="1" t="str">
        <f>IFERROR(__xludf.DUMMYFUNCTION("""COMPUTED_VALUE"""),"P407047")</f>
        <v>P407047</v>
      </c>
      <c r="R218" s="1" t="str">
        <f>IFERROR(__xludf.DUMMYFUNCTION("""COMPUTED_VALUE"""),"FRANCISCO, ROSELYN")</f>
        <v>FRANCISCO, ROSELYN</v>
      </c>
      <c r="S218" s="1" t="str">
        <f>IFERROR(__xludf.DUMMYFUNCTION("""COMPUTED_VALUE"""),"ORGANIC")</f>
        <v>ORGANIC</v>
      </c>
      <c r="T218" s="1" t="str">
        <f>IFERROR(__xludf.DUMMYFUNCTION("""COMPUTED_VALUE"""),"LEA REMOLLO")</f>
        <v>LEA REMOLLO</v>
      </c>
      <c r="U218" s="1" t="str">
        <f>IFERROR(__xludf.DUMMYFUNCTION("""COMPUTED_VALUE"""),"JB SALIOA")</f>
        <v>JB SALIOA</v>
      </c>
      <c r="V218" s="1" t="str">
        <f>IFERROR(__xludf.DUMMYFUNCTION("""COMPUTED_VALUE"""),"BK HSTK")</f>
        <v>BK HSTK</v>
      </c>
      <c r="W218" s="1" t="str">
        <f>IFERROR(__xludf.DUMMYFUNCTION("""COMPUTED_VALUE"""),"BK HSTK")</f>
        <v>BK HSTK</v>
      </c>
      <c r="X218" s="1" t="str">
        <f>IFERROR(__xludf.DUMMYFUNCTION("""COMPUTED_VALUE"""),"HBBS AUG 2026")</f>
        <v>HBBS AUG 2026</v>
      </c>
      <c r="Y218" s="1" t="str">
        <f>IFERROR(__xludf.DUMMYFUNCTION("""COMPUTED_VALUE"""),"BK_CVEU_260803")</f>
        <v>BK_CVEU_260803</v>
      </c>
      <c r="Z218" s="1" t="str">
        <f>IFERROR(__xludf.DUMMYFUNCTION("""COMPUTED_VALUE"""),"NEW CONNECT")</f>
        <v>NEW CONNECT</v>
      </c>
      <c r="AA218" s="1">
        <f>IFERROR(__xludf.DUMMYFUNCTION("""COMPUTED_VALUE"""),639562855798)</f>
        <v>639562855798</v>
      </c>
      <c r="AB218" s="1">
        <f>IFERROR(__xludf.DUMMYFUNCTION("""COMPUTED_VALUE"""),639254425609)</f>
        <v>639254425609</v>
      </c>
      <c r="AC218" s="1">
        <f>IFERROR(__xludf.DUMMYFUNCTION("""COMPUTED_VALUE"""),923)</f>
        <v>923</v>
      </c>
      <c r="AD218" s="1" t="str">
        <f>IFERROR(__xludf.DUMMYFUNCTION("""COMPUTED_VALUE"""),"MAYSILI")</f>
        <v>MAYSILI</v>
      </c>
      <c r="AE218" s="1"/>
      <c r="AF218" s="1" t="str">
        <f>IFERROR(__xludf.DUMMYFUNCTION("""COMPUTED_VALUE"""),"BGY ASIS 3")</f>
        <v>BGY ASIS 3</v>
      </c>
      <c r="AG218" s="1" t="str">
        <f>IFERROR(__xludf.DUMMYFUNCTION("""COMPUTED_VALUE"""),"MENDEZ")</f>
        <v>MENDEZ</v>
      </c>
      <c r="AH218" s="1" t="str">
        <f>IFERROR(__xludf.DUMMYFUNCTION("""COMPUTED_VALUE"""),"MCA")</f>
        <v>MCA</v>
      </c>
      <c r="AI218" s="1" t="str">
        <f>IFERROR(__xludf.DUMMYFUNCTION("""COMPUTED_VALUE"""),"CLUSTER 12")</f>
        <v>CLUSTER 12</v>
      </c>
    </row>
    <row r="219" customHeight="1" spans="1:35">
      <c r="A219" s="3">
        <f>IFERROR(__xludf.DUMMYFUNCTION("""COMPUTED_VALUE"""),46255)</f>
        <v>46255</v>
      </c>
      <c r="B219" s="1" t="str">
        <f>IFERROR(__xludf.DUMMYFUNCTION("""COMPUTED_VALUE"""),"MRA MARALIT TRUCKING SERVICES")</f>
        <v>MRA MARALIT TRUCKING SERVICES</v>
      </c>
      <c r="C219" s="1">
        <f>IFERROR(__xludf.DUMMYFUNCTION("""COMPUTED_VALUE"""),2311976522)</f>
        <v>2311976522</v>
      </c>
      <c r="D219" s="1">
        <f>IFERROR(__xludf.DUMMYFUNCTION("""COMPUTED_VALUE"""),407145984)</f>
        <v>407145984</v>
      </c>
      <c r="E219" s="1">
        <f>IFERROR(__xludf.DUMMYFUNCTION("""COMPUTED_VALUE"""),467415818004)</f>
        <v>467415818004</v>
      </c>
      <c r="F219" s="1" t="str">
        <f>IFERROR(__xludf.DUMMYFUNCTION("""COMPUTED_VALUE"""),"CLOSED")</f>
        <v>CLOSED</v>
      </c>
      <c r="G219" s="1" t="str">
        <f>IFERROR(__xludf.DUMMYFUNCTION("""COMPUTED_VALUE"""),"CLOSED")</f>
        <v>CLOSED</v>
      </c>
      <c r="H219" s="1" t="str">
        <f>IFERROR(__xludf.DUMMYFUNCTION("""COMPUTED_VALUE"""),"PAID VIA GCASH - AUG 22 - REF - 511895466")</f>
        <v>PAID VIA GCASH - AUG 22 - REF - 511895466</v>
      </c>
      <c r="I219" s="1" t="str">
        <f>IFERROR(__xludf.DUMMYFUNCTION("""COMPUTED_VALUE"""),"WITH 1 AMSF")</f>
        <v>WITH 1 AMSF</v>
      </c>
      <c r="J219" s="1"/>
      <c r="K219" s="1" t="str">
        <f>IFERROR(__xludf.DUMMYFUNCTION("""COMPUTED_VALUE"""),"COMPLETED")</f>
        <v>COMPLETED</v>
      </c>
      <c r="L219" s="1" t="str">
        <f>IFERROR(__xludf.DUMMYFUNCTION("""COMPUTED_VALUE"""),"POSTED")</f>
        <v>POSTED</v>
      </c>
      <c r="M219" s="1" t="str">
        <f>IFERROR(__xludf.DUMMYFUNCTION("""COMPUTED_VALUE"""),"POSTED")</f>
        <v>POSTED</v>
      </c>
      <c r="N219" s="3">
        <f>IFERROR(__xludf.DUMMYFUNCTION("""COMPUTED_VALUE"""),46268)</f>
        <v>46268</v>
      </c>
      <c r="O219" s="1" t="str">
        <f>IFERROR(__xludf.DUMMYFUNCTION("""COMPUTED_VALUE"""),"HOME BIZ PLAN 1699")</f>
        <v>HOME BIZ PLAN 1699</v>
      </c>
      <c r="P219" s="1" t="str">
        <f>IFERROR(__xludf.DUMMYFUNCTION("""COMPUTED_VALUE"""),"BIZ PLAN")</f>
        <v>BIZ PLAN</v>
      </c>
      <c r="Q219" s="1" t="str">
        <f>IFERROR(__xludf.DUMMYFUNCTION("""COMPUTED_VALUE"""),"P407044")</f>
        <v>P407044</v>
      </c>
      <c r="R219" s="1" t="str">
        <f>IFERROR(__xludf.DUMMYFUNCTION("""COMPUTED_VALUE"""),"AYON, MANUEL")</f>
        <v>AYON, MANUEL</v>
      </c>
      <c r="S219" s="1" t="str">
        <f>IFERROR(__xludf.DUMMYFUNCTION("""COMPUTED_VALUE"""),"FLA")</f>
        <v>FLA</v>
      </c>
      <c r="T219" s="1" t="str">
        <f>IFERROR(__xludf.DUMMYFUNCTION("""COMPUTED_VALUE"""),"JERIC NAVARRO")</f>
        <v>JERIC NAVARRO</v>
      </c>
      <c r="U219" s="1" t="str">
        <f>IFERROR(__xludf.DUMMYFUNCTION("""COMPUTED_VALUE"""),"JB SALIOA")</f>
        <v>JB SALIOA</v>
      </c>
      <c r="V219" s="1" t="str">
        <f>IFERROR(__xludf.DUMMYFUNCTION("""COMPUTED_VALUE"""),"BK")</f>
        <v>BK</v>
      </c>
      <c r="W219" s="1" t="str">
        <f>IFERROR(__xludf.DUMMYFUNCTION("""COMPUTED_VALUE"""),"CSP")</f>
        <v>CSP</v>
      </c>
      <c r="X219" s="1" t="str">
        <f>IFERROR(__xludf.DUMMYFUNCTION("""COMPUTED_VALUE"""),"HBBS BIZ AUG 2026")</f>
        <v>HBBS BIZ AUG 2026</v>
      </c>
      <c r="Y219" s="1" t="str">
        <f>IFERROR(__xludf.DUMMYFUNCTION("""COMPUTED_VALUE"""),"BK_CVEU_260803")</f>
        <v>BK_CVEU_260803</v>
      </c>
      <c r="Z219" s="1" t="str">
        <f>IFERROR(__xludf.DUMMYFUNCTION("""COMPUTED_VALUE"""),"NEW CONNECT")</f>
        <v>NEW CONNECT</v>
      </c>
      <c r="AA219" s="1">
        <f>IFERROR(__xludf.DUMMYFUNCTION("""COMPUTED_VALUE"""),639614474980)</f>
        <v>639614474980</v>
      </c>
      <c r="AB219" s="1">
        <f>IFERROR(__xludf.DUMMYFUNCTION("""COMPUTED_VALUE"""),639614474932)</f>
        <v>639614474932</v>
      </c>
      <c r="AC219" s="1"/>
      <c r="AD219" s="1" t="str">
        <f>IFERROR(__xludf.DUMMYFUNCTION("""COMPUTED_VALUE"""),"SABUTAN-PALIPARAN")</f>
        <v>SABUTAN-PALIPARAN</v>
      </c>
      <c r="AE219" s="1"/>
      <c r="AF219" s="1" t="str">
        <f>IFERROR(__xludf.DUMMYFUNCTION("""COMPUTED_VALUE"""),"BGY SABUTAN")</f>
        <v>BGY SABUTAN</v>
      </c>
      <c r="AG219" s="1" t="str">
        <f>IFERROR(__xludf.DUMMYFUNCTION("""COMPUTED_VALUE"""),"SILANG")</f>
        <v>SILANG</v>
      </c>
      <c r="AH219" s="1" t="str">
        <f>IFERROR(__xludf.DUMMYFUNCTION("""COMPUTED_VALUE"""),"MARLON FOOD HUB")</f>
        <v>MARLON FOOD HUB</v>
      </c>
      <c r="AI219" s="1" t="str">
        <f>IFERROR(__xludf.DUMMYFUNCTION("""COMPUTED_VALUE"""),"CLUSTER 11")</f>
        <v>CLUSTER 11</v>
      </c>
    </row>
    <row r="220" customHeight="1" spans="1:35">
      <c r="A220" s="3">
        <f>IFERROR(__xludf.DUMMYFUNCTION("""COMPUTED_VALUE"""),46255)</f>
        <v>46255</v>
      </c>
      <c r="B220" s="1" t="str">
        <f>IFERROR(__xludf.DUMMYFUNCTION("""COMPUTED_VALUE"""),"JOSELITO SEVELLINO ALOLOR")</f>
        <v>JOSELITO SEVELLINO ALOLOR</v>
      </c>
      <c r="C220" s="1">
        <f>IFERROR(__xludf.DUMMYFUNCTION("""COMPUTED_VALUE"""),2311976990)</f>
        <v>2311976990</v>
      </c>
      <c r="D220" s="1">
        <f>IFERROR(__xludf.DUMMYFUNCTION("""COMPUTED_VALUE"""),407151437)</f>
        <v>407151437</v>
      </c>
      <c r="E220" s="1">
        <f>IFERROR(__xludf.DUMMYFUNCTION("""COMPUTED_VALUE"""),467431085004)</f>
        <v>467431085004</v>
      </c>
      <c r="F220" s="1" t="str">
        <f>IFERROR(__xludf.DUMMYFUNCTION("""COMPUTED_VALUE"""),"CANCELLED")</f>
        <v>CANCELLED</v>
      </c>
      <c r="G220" s="1" t="str">
        <f>IFERROR(__xludf.DUMMYFUNCTION("""COMPUTED_VALUE"""),"AUTO - AGING")</f>
        <v>AUTO - AGING</v>
      </c>
      <c r="H220" s="1" t="str">
        <f>IFERROR(__xludf.DUMMYFUNCTION("""COMPUTED_VALUE"""),"TOK TO WIFE OF JOSELITO MS.SUSANA BUKAS DAW SYA MAG BABAYAD NABAGYO PA DAW DI DIN NMN MAKAKABIT  08/29")</f>
        <v>TOK TO WIFE OF JOSELITO MS.SUSANA BUKAS DAW SYA MAG BABAYAD NABAGYO PA DAW DI DIN NMN MAKAKABIT  08/29</v>
      </c>
      <c r="I220" s="1"/>
      <c r="J220" s="1"/>
      <c r="K220" s="1" t="str">
        <f>IFERROR(__xludf.DUMMYFUNCTION("""COMPUTED_VALUE"""),"NOT IN OFSC")</f>
        <v>NOT IN OFSC</v>
      </c>
      <c r="L220" s="1" t="str">
        <f>IFERROR(__xludf.DUMMYFUNCTION("""COMPUTED_VALUE"""),"CANCELLED - AGING")</f>
        <v>CANCELLED - AGING</v>
      </c>
      <c r="M220" s="1" t="str">
        <f>IFERROR(__xludf.DUMMYFUNCTION("""COMPUTED_VALUE"""),"CANCELLED - AGING")</f>
        <v>CANCELLED - AGING</v>
      </c>
      <c r="N220" s="3"/>
      <c r="O220" s="1" t="str">
        <f>IFERROR(__xludf.DUMMYFUNCTION("""COMPUTED_VALUE"""),"FIBR UNLI ALL PLAN 999")</f>
        <v>FIBR UNLI ALL PLAN 999</v>
      </c>
      <c r="P220" s="1" t="str">
        <f>IFERROR(__xludf.DUMMYFUNCTION("""COMPUTED_VALUE"""),"LOWPLAN")</f>
        <v>LOWPLAN</v>
      </c>
      <c r="Q220" s="1" t="str">
        <f>IFERROR(__xludf.DUMMYFUNCTION("""COMPUTED_VALUE"""),"P407050")</f>
        <v>P407050</v>
      </c>
      <c r="R220" s="1" t="str">
        <f>IFERROR(__xludf.DUMMYFUNCTION("""COMPUTED_VALUE"""),"IVNO, RAZZEL")</f>
        <v>IVNO, RAZZEL</v>
      </c>
      <c r="S220" s="1" t="str">
        <f>IFERROR(__xludf.DUMMYFUNCTION("""COMPUTED_VALUE"""),"ORGANIC")</f>
        <v>ORGANIC</v>
      </c>
      <c r="T220" s="1" t="str">
        <f>IFERROR(__xludf.DUMMYFUNCTION("""COMPUTED_VALUE"""),"LEA REMOLLO")</f>
        <v>LEA REMOLLO</v>
      </c>
      <c r="U220" s="1" t="str">
        <f>IFERROR(__xludf.DUMMYFUNCTION("""COMPUTED_VALUE"""),"JB SALIOA")</f>
        <v>JB SALIOA</v>
      </c>
      <c r="V220" s="1" t="str">
        <f>IFERROR(__xludf.DUMMYFUNCTION("""COMPUTED_VALUE"""),"BK HSTK")</f>
        <v>BK HSTK</v>
      </c>
      <c r="W220" s="1" t="str">
        <f>IFERROR(__xludf.DUMMYFUNCTION("""COMPUTED_VALUE"""),"BK HSTK")</f>
        <v>BK HSTK</v>
      </c>
      <c r="X220" s="1" t="str">
        <f>IFERROR(__xludf.DUMMYFUNCTION("""COMPUTED_VALUE"""),"HBBS AUG 2026")</f>
        <v>HBBS AUG 2026</v>
      </c>
      <c r="Y220" s="1" t="str">
        <f>IFERROR(__xludf.DUMMYFUNCTION("""COMPUTED_VALUE"""),"BK_CVEU_260804")</f>
        <v>BK_CVEU_260804</v>
      </c>
      <c r="Z220" s="1" t="str">
        <f>IFERROR(__xludf.DUMMYFUNCTION("""COMPUTED_VALUE"""),"NEW CONNECT")</f>
        <v>NEW CONNECT</v>
      </c>
      <c r="AA220" s="1">
        <f>IFERROR(__xludf.DUMMYFUNCTION("""COMPUTED_VALUE"""),639753406826)</f>
        <v>639753406826</v>
      </c>
      <c r="AB220" s="1">
        <f>IFERROR(__xludf.DUMMYFUNCTION("""COMPUTED_VALUE"""),639532954145)</f>
        <v>639532954145</v>
      </c>
      <c r="AC220" s="1"/>
      <c r="AD220" s="1" t="str">
        <f>IFERROR(__xludf.DUMMYFUNCTION("""COMPUTED_VALUE"""),"RUBY")</f>
        <v>RUBY</v>
      </c>
      <c r="AE220" s="1"/>
      <c r="AF220" s="1" t="str">
        <f>IFERROR(__xludf.DUMMYFUNCTION("""COMPUTED_VALUE"""),"BGY MARCELINO MEMIJE")</f>
        <v>BGY MARCELINO MEMIJE</v>
      </c>
      <c r="AG220" s="1" t="str">
        <f>IFERROR(__xludf.DUMMYFUNCTION("""COMPUTED_VALUE"""),"GEN MARIANO ALVAREZ")</f>
        <v>GEN MARIANO ALVAREZ</v>
      </c>
      <c r="AH220" s="1" t="str">
        <f>IFERROR(__xludf.DUMMYFUNCTION("""COMPUTED_VALUE"""),"DALI GROCERY")</f>
        <v>DALI GROCERY</v>
      </c>
      <c r="AI220" s="1" t="str">
        <f>IFERROR(__xludf.DUMMYFUNCTION("""COMPUTED_VALUE"""),"CLUSTER 11")</f>
        <v>CLUSTER 11</v>
      </c>
    </row>
    <row r="221" customHeight="1" spans="1:35">
      <c r="A221" s="3">
        <f>IFERROR(__xludf.DUMMYFUNCTION("""COMPUTED_VALUE"""),46255)</f>
        <v>46255</v>
      </c>
      <c r="B221" s="1" t="str">
        <f>IFERROR(__xludf.DUMMYFUNCTION("""COMPUTED_VALUE"""),"JOENARD ZAFE SABINO")</f>
        <v>JOENARD ZAFE SABINO</v>
      </c>
      <c r="C221" s="1">
        <f>IFERROR(__xludf.DUMMYFUNCTION("""COMPUTED_VALUE"""),2311977277)</f>
        <v>2311977277</v>
      </c>
      <c r="D221" s="1">
        <f>IFERROR(__xludf.DUMMYFUNCTION("""COMPUTED_VALUE"""),407138511)</f>
        <v>407138511</v>
      </c>
      <c r="E221" s="1">
        <f>IFERROR(__xludf.DUMMYFUNCTION("""COMPUTED_VALUE"""),467410358004)</f>
        <v>467410358004</v>
      </c>
      <c r="F221" s="1" t="str">
        <f>IFERROR(__xludf.DUMMYFUNCTION("""COMPUTED_VALUE"""),"CANCELLED")</f>
        <v>CANCELLED</v>
      </c>
      <c r="G221" s="1" t="str">
        <f>IFERROR(__xludf.DUMMYFUNCTION("""COMPUTED_VALUE"""),"""VISITED 
REMARKS FOR PORT VERIF MDZLP97NP1 P2 HINDI PA MALAMAN KUNG ACTIVE O HINDI NA HOUSED CLOSED ANG BAHAY NG GINAYGAY 
鈥嶵ALK JOENARD ZAFE SABINO 
鈥嶤BR 09098588982 
""")</f>
        <v>"VISITED 
REMARKS FOR PORT VERIF MDZLP97NP1 P2 HINDI PA MALAMAN KUNG ACTIVE O HINDI NA HOUSED CLOSED ANG BAHAY NG GINAYGAY 
鈥嶵ALK JOENARD ZAFE SABINO 
鈥嶤BR 09098588982 
"</v>
      </c>
      <c r="H221" s="1"/>
      <c r="I221" s="1"/>
      <c r="J221" s="1"/>
      <c r="K221" s="1" t="str">
        <f>IFERROR(__xludf.DUMMYFUNCTION("""COMPUTED_VALUE"""),"CANCELED")</f>
        <v>CANCELED</v>
      </c>
      <c r="L221" s="1" t="str">
        <f>IFERROR(__xludf.DUMMYFUNCTION("""COMPUTED_VALUE"""),"RPR - PORT VERIF")</f>
        <v>RPR - PORT VERIF</v>
      </c>
      <c r="M221" s="1" t="str">
        <f>IFERROR(__xludf.DUMMYFUNCTION("""COMPUTED_VALUE"""),"RPR - PORT VERIFICATION")</f>
        <v>RPR - PORT VERIFICATION</v>
      </c>
      <c r="N221" s="3"/>
      <c r="O221" s="1" t="str">
        <f>IFERROR(__xludf.DUMMYFUNCTION("""COMPUTED_VALUE"""),"FIBR PLAN 1299")</f>
        <v>FIBR PLAN 1299</v>
      </c>
      <c r="P221" s="1" t="str">
        <f>IFERROR(__xludf.DUMMYFUNCTION("""COMPUTED_VALUE"""),"LOWPLAN")</f>
        <v>LOWPLAN</v>
      </c>
      <c r="Q221" s="1" t="str">
        <f>IFERROR(__xludf.DUMMYFUNCTION("""COMPUTED_VALUE"""),"P407050")</f>
        <v>P407050</v>
      </c>
      <c r="R221" s="1" t="str">
        <f>IFERROR(__xludf.DUMMYFUNCTION("""COMPUTED_VALUE"""),"IVNO, RAZZEL")</f>
        <v>IVNO, RAZZEL</v>
      </c>
      <c r="S221" s="1" t="str">
        <f>IFERROR(__xludf.DUMMYFUNCTION("""COMPUTED_VALUE"""),"ORGANIC")</f>
        <v>ORGANIC</v>
      </c>
      <c r="T221" s="1" t="str">
        <f>IFERROR(__xludf.DUMMYFUNCTION("""COMPUTED_VALUE"""),"LEA REMOLLO")</f>
        <v>LEA REMOLLO</v>
      </c>
      <c r="U221" s="1" t="str">
        <f>IFERROR(__xludf.DUMMYFUNCTION("""COMPUTED_VALUE"""),"JB SALIOA")</f>
        <v>JB SALIOA</v>
      </c>
      <c r="V221" s="1" t="str">
        <f>IFERROR(__xludf.DUMMYFUNCTION("""COMPUTED_VALUE"""),"BK HSTK")</f>
        <v>BK HSTK</v>
      </c>
      <c r="W221" s="1" t="str">
        <f>IFERROR(__xludf.DUMMYFUNCTION("""COMPUTED_VALUE"""),"BK HSTK")</f>
        <v>BK HSTK</v>
      </c>
      <c r="X221" s="1" t="str">
        <f>IFERROR(__xludf.DUMMYFUNCTION("""COMPUTED_VALUE"""),"HBBS AUG 2026")</f>
        <v>HBBS AUG 2026</v>
      </c>
      <c r="Y221" s="1" t="str">
        <f>IFERROR(__xludf.DUMMYFUNCTION("""COMPUTED_VALUE"""),"BK_CVEU_260805")</f>
        <v>BK_CVEU_260805</v>
      </c>
      <c r="Z221" s="1" t="str">
        <f>IFERROR(__xludf.DUMMYFUNCTION("""COMPUTED_VALUE"""),"NEW CONNECT")</f>
        <v>NEW CONNECT</v>
      </c>
      <c r="AA221" s="1">
        <f>IFERROR(__xludf.DUMMYFUNCTION("""COMPUTED_VALUE"""),639098588982)</f>
        <v>639098588982</v>
      </c>
      <c r="AB221" s="1">
        <f>IFERROR(__xludf.DUMMYFUNCTION("""COMPUTED_VALUE"""),639534227278)</f>
        <v>639534227278</v>
      </c>
      <c r="AC221" s="1">
        <f>IFERROR(__xludf.DUMMYFUNCTION("""COMPUTED_VALUE"""),212)</f>
        <v>212</v>
      </c>
      <c r="AD221" s="1" t="str">
        <f>IFERROR(__xludf.DUMMYFUNCTION("""COMPUTED_VALUE"""),"MAYSILI")</f>
        <v>MAYSILI</v>
      </c>
      <c r="AE221" s="1"/>
      <c r="AF221" s="1" t="str">
        <f>IFERROR(__xludf.DUMMYFUNCTION("""COMPUTED_VALUE"""),"BGY ASIS 2")</f>
        <v>BGY ASIS 2</v>
      </c>
      <c r="AG221" s="1" t="str">
        <f>IFERROR(__xludf.DUMMYFUNCTION("""COMPUTED_VALUE"""),"MENDEZ")</f>
        <v>MENDEZ</v>
      </c>
      <c r="AH221" s="1" t="str">
        <f>IFERROR(__xludf.DUMMYFUNCTION("""COMPUTED_VALUE"""),"-")</f>
        <v>-</v>
      </c>
      <c r="AI221" s="1" t="str">
        <f>IFERROR(__xludf.DUMMYFUNCTION("""COMPUTED_VALUE"""),"CLUSTER 12")</f>
        <v>CLUSTER 12</v>
      </c>
    </row>
    <row r="222" customHeight="1" spans="1:35">
      <c r="A222" s="3">
        <f>IFERROR(__xludf.DUMMYFUNCTION("""COMPUTED_VALUE"""),46255)</f>
        <v>46255</v>
      </c>
      <c r="B222" s="1" t="str">
        <f>IFERROR(__xludf.DUMMYFUNCTION("""COMPUTED_VALUE"""),"DARWIN FERRER RODIL")</f>
        <v>DARWIN FERRER RODIL</v>
      </c>
      <c r="C222" s="1">
        <f>IFERROR(__xludf.DUMMYFUNCTION("""COMPUTED_VALUE"""),2311977686)</f>
        <v>2311977686</v>
      </c>
      <c r="D222" s="1">
        <f>IFERROR(__xludf.DUMMYFUNCTION("""COMPUTED_VALUE"""),407142616)</f>
        <v>407142616</v>
      </c>
      <c r="E222" s="1">
        <f>IFERROR(__xludf.DUMMYFUNCTION("""COMPUTED_VALUE"""),467413625004)</f>
        <v>467413625004</v>
      </c>
      <c r="F222" s="1" t="str">
        <f>IFERROR(__xludf.DUMMYFUNCTION("""COMPUTED_VALUE"""),"CLOSED")</f>
        <v>CLOSED</v>
      </c>
      <c r="G222" s="1" t="str">
        <f>IFERROR(__xludf.DUMMYFUNCTION("""COMPUTED_VALUE"""),"CLOSED")</f>
        <v>CLOSED</v>
      </c>
      <c r="H222" s="1" t="str">
        <f>IFERROR(__xludf.DUMMYFUNCTION("""COMPUTED_VALUE"""),"PAID VIA GCASH - AUF 21 - REF - 910782726")</f>
        <v>PAID VIA GCASH - AUF 21 - REF - 910782726</v>
      </c>
      <c r="I222" s="1" t="str">
        <f>IFERROR(__xludf.DUMMYFUNCTION("""COMPUTED_VALUE"""),"WITH 1 AMSF")</f>
        <v>WITH 1 AMSF</v>
      </c>
      <c r="J222" s="1"/>
      <c r="K222" s="1" t="str">
        <f>IFERROR(__xludf.DUMMYFUNCTION("""COMPUTED_VALUE"""),"COMPLETED")</f>
        <v>COMPLETED</v>
      </c>
      <c r="L222" s="1" t="str">
        <f>IFERROR(__xludf.DUMMYFUNCTION("""COMPUTED_VALUE"""),"POSTED")</f>
        <v>POSTED</v>
      </c>
      <c r="M222" s="1" t="str">
        <f>IFERROR(__xludf.DUMMYFUNCTION("""COMPUTED_VALUE"""),"POSTED")</f>
        <v>POSTED</v>
      </c>
      <c r="N222" s="3">
        <f>IFERROR(__xludf.DUMMYFUNCTION("""COMPUTED_VALUE"""),46256)</f>
        <v>46256</v>
      </c>
      <c r="O222" s="1" t="str">
        <f>IFERROR(__xludf.DUMMYFUNCTION("""COMPUTED_VALUE"""),"FIBER UNLI ALL PLAN 1499")</f>
        <v>FIBER UNLI ALL PLAN 1499</v>
      </c>
      <c r="P222" s="1" t="str">
        <f>IFERROR(__xludf.DUMMYFUNCTION("""COMPUTED_VALUE"""),"LOWPLAN")</f>
        <v>LOWPLAN</v>
      </c>
      <c r="Q222" s="1" t="str">
        <f>IFERROR(__xludf.DUMMYFUNCTION("""COMPUTED_VALUE"""),"P407045")</f>
        <v>P407045</v>
      </c>
      <c r="R222" s="1" t="str">
        <f>IFERROR(__xludf.DUMMYFUNCTION("""COMPUTED_VALUE"""),"GABAY, MANUEL")</f>
        <v>GABAY, MANUEL</v>
      </c>
      <c r="S222" s="1" t="str">
        <f>IFERROR(__xludf.DUMMYFUNCTION("""COMPUTED_VALUE"""),"FLA")</f>
        <v>FLA</v>
      </c>
      <c r="T222" s="1" t="str">
        <f>IFERROR(__xludf.DUMMYFUNCTION("""COMPUTED_VALUE"""),"JERIC NAVARRO")</f>
        <v>JERIC NAVARRO</v>
      </c>
      <c r="U222" s="1" t="str">
        <f>IFERROR(__xludf.DUMMYFUNCTION("""COMPUTED_VALUE"""),"JB SALIOA")</f>
        <v>JB SALIOA</v>
      </c>
      <c r="V222" s="1" t="str">
        <f>IFERROR(__xludf.DUMMYFUNCTION("""COMPUTED_VALUE"""),"BK HSTK")</f>
        <v>BK HSTK</v>
      </c>
      <c r="W222" s="1" t="str">
        <f>IFERROR(__xludf.DUMMYFUNCTION("""COMPUTED_VALUE"""),"BK HSTK")</f>
        <v>BK HSTK</v>
      </c>
      <c r="X222" s="1" t="str">
        <f>IFERROR(__xludf.DUMMYFUNCTION("""COMPUTED_VALUE"""),"HBBS AUG 2026")</f>
        <v>HBBS AUG 2026</v>
      </c>
      <c r="Y222" s="1" t="str">
        <f>IFERROR(__xludf.DUMMYFUNCTION("""COMPUTED_VALUE"""),"BK_CVEU_260805")</f>
        <v>BK_CVEU_260805</v>
      </c>
      <c r="Z222" s="1" t="str">
        <f>IFERROR(__xludf.DUMMYFUNCTION("""COMPUTED_VALUE"""),"NEW CONNECT")</f>
        <v>NEW CONNECT</v>
      </c>
      <c r="AA222" s="1">
        <f>IFERROR(__xludf.DUMMYFUNCTION("""COMPUTED_VALUE"""),639638649963)</f>
        <v>639638649963</v>
      </c>
      <c r="AB222" s="1">
        <f>IFERROR(__xludf.DUMMYFUNCTION("""COMPUTED_VALUE"""),639944639199)</f>
        <v>639944639199</v>
      </c>
      <c r="AC222" s="1"/>
      <c r="AD222" s="1" t="str">
        <f>IFERROR(__xludf.DUMMYFUNCTION("""COMPUTED_VALUE"""),"PABAHAY")</f>
        <v>PABAHAY</v>
      </c>
      <c r="AE222" s="1"/>
      <c r="AF222" s="1" t="str">
        <f>IFERROR(__xludf.DUMMYFUNCTION("""COMPUTED_VALUE"""),"BGY ZAMBAL")</f>
        <v>BGY ZAMBAL</v>
      </c>
      <c r="AG222" s="1" t="str">
        <f>IFERROR(__xludf.DUMMYFUNCTION("""COMPUTED_VALUE"""),"TAGAYTAY")</f>
        <v>TAGAYTAY</v>
      </c>
      <c r="AH222" s="1" t="str">
        <f>IFERROR(__xludf.DUMMYFUNCTION("""COMPUTED_VALUE"""),"-")</f>
        <v>-</v>
      </c>
      <c r="AI222" s="1" t="str">
        <f>IFERROR(__xludf.DUMMYFUNCTION("""COMPUTED_VALUE"""),"CLUSTER 12")</f>
        <v>CLUSTER 12</v>
      </c>
    </row>
    <row r="223" customHeight="1" spans="1:35">
      <c r="A223" s="3">
        <f>IFERROR(__xludf.DUMMYFUNCTION("""COMPUTED_VALUE"""),46255)</f>
        <v>46255</v>
      </c>
      <c r="B223" s="1" t="str">
        <f>IFERROR(__xludf.DUMMYFUNCTION("""COMPUTED_VALUE""")," JOSIEPHINE GAIL SILAYAN VITERBO")</f>
        <v> JOSIEPHINE GAIL SILAYAN VITERBO</v>
      </c>
      <c r="C223" s="1">
        <f>IFERROR(__xludf.DUMMYFUNCTION("""COMPUTED_VALUE"""),2311978184)</f>
        <v>2311978184</v>
      </c>
      <c r="D223" s="1"/>
      <c r="E223" s="1"/>
      <c r="F223" s="1" t="str">
        <f>IFERROR(__xludf.DUMMYFUNCTION("""COMPUTED_VALUE"""),"DISAPPROVED")</f>
        <v>DISAPPROVED</v>
      </c>
      <c r="G223" s="1" t="str">
        <f>IFERROR(__xludf.DUMMYFUNCTION("""COMPUTED_VALUE"""),"(P-OTHERS) DISAPPROVED |2ND ESCA.|VALIDATION COMPLETE| INVALID DOCS | NO SUBMITTED PICTURE OF CAF | CLEARED FROM BLACKLIST | NO EXISTING PENDING OR CANCEL APPLICATION |TU SCORING GG-1(NTC) | WAIVED AMSF | SCANNABLE NATIONAL ID")</f>
        <v>(P-OTHERS) DISAPPROVED |2ND ESCA.|VALIDATION COMPLETE| INVALID DOCS | NO SUBMITTED PICTURE OF CAF | CLEARED FROM BLACKLIST | NO EXISTING PENDING OR CANCEL APPLICATION |TU SCORING GG-1(NTC) | WAIVED AMSF | SCANNABLE NATIONAL ID</v>
      </c>
      <c r="H223" s="1"/>
      <c r="I223" s="1"/>
      <c r="J223" s="1"/>
      <c r="K223" s="1"/>
      <c r="L223" s="1" t="str">
        <f>IFERROR(__xludf.DUMMYFUNCTION("""COMPUTED_VALUE"""),"DISAPPROVED")</f>
        <v>DISAPPROVED</v>
      </c>
      <c r="M223" s="1" t="str">
        <f>IFERROR(__xludf.DUMMYFUNCTION("""COMPUTED_VALUE"""),"DISAPPROVED")</f>
        <v>DISAPPROVED</v>
      </c>
      <c r="N223" s="3"/>
      <c r="O223" s="1" t="str">
        <f>IFERROR(__xludf.DUMMYFUNCTION("""COMPUTED_VALUE"""),"FIBR UNLI ALL PLAN 999")</f>
        <v>FIBR UNLI ALL PLAN 999</v>
      </c>
      <c r="P223" s="1" t="str">
        <f>IFERROR(__xludf.DUMMYFUNCTION("""COMPUTED_VALUE"""),"LOWPLAN")</f>
        <v>LOWPLAN</v>
      </c>
      <c r="Q223" s="1" t="str">
        <f>IFERROR(__xludf.DUMMYFUNCTION("""COMPUTED_VALUE"""),"P407047")</f>
        <v>P407047</v>
      </c>
      <c r="R223" s="1" t="str">
        <f>IFERROR(__xludf.DUMMYFUNCTION("""COMPUTED_VALUE"""),"LUPENA, KARL ANGELO")</f>
        <v>LUPENA, KARL ANGELO</v>
      </c>
      <c r="S223" s="1" t="str">
        <f>IFERROR(__xludf.DUMMYFUNCTION("""COMPUTED_VALUE"""),"ORGANIC")</f>
        <v>ORGANIC</v>
      </c>
      <c r="T223" s="1" t="str">
        <f>IFERROR(__xludf.DUMMYFUNCTION("""COMPUTED_VALUE"""),"JERIC NAVARRO")</f>
        <v>JERIC NAVARRO</v>
      </c>
      <c r="U223" s="1" t="str">
        <f>IFERROR(__xludf.DUMMYFUNCTION("""COMPUTED_VALUE"""),"JULIE ESPIRITU")</f>
        <v>JULIE ESPIRITU</v>
      </c>
      <c r="V223" s="1" t="str">
        <f>IFERROR(__xludf.DUMMYFUNCTION("""COMPUTED_VALUE"""),"ONLINE/CRANFORD")</f>
        <v>ONLINE/CRANFORD</v>
      </c>
      <c r="W223" s="1" t="str">
        <f>IFERROR(__xludf.DUMMYFUNCTION("""COMPUTED_VALUE"""),"STK REGULAR")</f>
        <v>STK REGULAR</v>
      </c>
      <c r="X223" s="1" t="str">
        <f>IFERROR(__xludf.DUMMYFUNCTION("""COMPUTED_VALUE"""),"HBBS AUG 2026")</f>
        <v>HBBS AUG 2026</v>
      </c>
      <c r="Y223" s="1" t="str">
        <f>IFERROR(__xludf.DUMMYFUNCTION("""COMPUTED_VALUE"""),"RS_ONL_CVEU_2026")</f>
        <v>RS_ONL_CVEU_2026</v>
      </c>
      <c r="Z223" s="1" t="str">
        <f>IFERROR(__xludf.DUMMYFUNCTION("""COMPUTED_VALUE"""),"NEW CONNECT")</f>
        <v>NEW CONNECT</v>
      </c>
      <c r="AA223" s="1">
        <f>IFERROR(__xludf.DUMMYFUNCTION("""COMPUTED_VALUE"""),639452741857)</f>
        <v>639452741857</v>
      </c>
      <c r="AB223" s="1">
        <f>IFERROR(__xludf.DUMMYFUNCTION("""COMPUTED_VALUE"""),639531683842)</f>
        <v>639531683842</v>
      </c>
      <c r="AC223" s="1"/>
      <c r="AD223" s="1" t="str">
        <f>IFERROR(__xludf.DUMMYFUNCTION("""COMPUTED_VALUE"""),"PHASE 2")</f>
        <v>PHASE 2</v>
      </c>
      <c r="AE223" s="1" t="str">
        <f>IFERROR(__xludf.DUMMYFUNCTION("""COMPUTED_VALUE"""),"AMAYA BREEZE SUBDIVISION")</f>
        <v>AMAYA BREEZE SUBDIVISION</v>
      </c>
      <c r="AF223" s="1" t="str">
        <f>IFERROR(__xludf.DUMMYFUNCTION("""COMPUTED_VALUE"""),"BGY AMAYA 2")</f>
        <v>BGY AMAYA 2</v>
      </c>
      <c r="AG223" s="1" t="str">
        <f>IFERROR(__xludf.DUMMYFUNCTION("""COMPUTED_VALUE"""),"TANZA")</f>
        <v>TANZA</v>
      </c>
      <c r="AH223" s="1" t="str">
        <f>IFERROR(__xludf.DUMMYFUNCTION("""COMPUTED_VALUE"""),"C24925537")</f>
        <v>C24925537</v>
      </c>
      <c r="AI223" s="1" t="str">
        <f>IFERROR(__xludf.DUMMYFUNCTION("""COMPUTED_VALUE"""),"NOT AOR")</f>
        <v>NOT AOR</v>
      </c>
    </row>
    <row r="224" customHeight="1" spans="1:35">
      <c r="A224" s="3">
        <f>IFERROR(__xludf.DUMMYFUNCTION("""COMPUTED_VALUE"""),46255)</f>
        <v>46255</v>
      </c>
      <c r="B224" s="1" t="str">
        <f>IFERROR(__xludf.DUMMYFUNCTION("""COMPUTED_VALUE"""),"REYNESTO VILLANUEVA REYNOSO")</f>
        <v>REYNESTO VILLANUEVA REYNOSO</v>
      </c>
      <c r="C224" s="1">
        <f>IFERROR(__xludf.DUMMYFUNCTION("""COMPUTED_VALUE"""),2311978165)</f>
        <v>2311978165</v>
      </c>
      <c r="D224" s="1">
        <f>IFERROR(__xludf.DUMMYFUNCTION("""COMPUTED_VALUE"""),407144228)</f>
        <v>407144228</v>
      </c>
      <c r="E224" s="1">
        <f>IFERROR(__xludf.DUMMYFUNCTION("""COMPUTED_VALUE"""),467414262004)</f>
        <v>467414262004</v>
      </c>
      <c r="F224" s="1" t="str">
        <f>IFERROR(__xludf.DUMMYFUNCTION("""COMPUTED_VALUE"""),"CLOSED")</f>
        <v>CLOSED</v>
      </c>
      <c r="G224" s="1" t="str">
        <f>IFERROR(__xludf.DUMMYFUNCTION("""COMPUTED_VALUE"""),"CLOSED")</f>
        <v>CLOSED</v>
      </c>
      <c r="H224" s="1" t="str">
        <f>IFERROR(__xludf.DUMMYFUNCTION("""COMPUTED_VALUE"""),"PQGOR361658078	22-Aug-26	Regular Payment	CIS-GCASH 3.0	1,299.00	938383646	22-Aug-26")</f>
        <v>PQGOR361658078	22-Aug-26	Regular Payment	CIS-GCASH 3.0	1,299.00	938383646	22-Aug-26</v>
      </c>
      <c r="I224" s="1" t="str">
        <f>IFERROR(__xludf.DUMMYFUNCTION("""COMPUTED_VALUE"""),"WITH 1 AMSF")</f>
        <v>WITH 1 AMSF</v>
      </c>
      <c r="J224" s="1" t="str">
        <f>IFERROR(__xludf.DUMMYFUNCTION("""COMPUTED_VALUE"""),"WITH PRO RATED- 83.81")</f>
        <v>WITH PRO RATED- 83.81</v>
      </c>
      <c r="K224" s="1" t="str">
        <f>IFERROR(__xludf.DUMMYFUNCTION("""COMPUTED_VALUE"""),"COMPLETED")</f>
        <v>COMPLETED</v>
      </c>
      <c r="L224" s="1" t="str">
        <f>IFERROR(__xludf.DUMMYFUNCTION("""COMPUTED_VALUE"""),"POSTED")</f>
        <v>POSTED</v>
      </c>
      <c r="M224" s="1" t="str">
        <f>IFERROR(__xludf.DUMMYFUNCTION("""COMPUTED_VALUE"""),"POSTED")</f>
        <v>POSTED</v>
      </c>
      <c r="N224" s="3">
        <f>IFERROR(__xludf.DUMMYFUNCTION("""COMPUTED_VALUE"""),46256)</f>
        <v>46256</v>
      </c>
      <c r="O224" s="1" t="str">
        <f>IFERROR(__xludf.DUMMYFUNCTION("""COMPUTED_VALUE"""),"FIBR PLAN 1299")</f>
        <v>FIBR PLAN 1299</v>
      </c>
      <c r="P224" s="1" t="str">
        <f>IFERROR(__xludf.DUMMYFUNCTION("""COMPUTED_VALUE"""),"LOWPLAN")</f>
        <v>LOWPLAN</v>
      </c>
      <c r="Q224" s="1" t="str">
        <f>IFERROR(__xludf.DUMMYFUNCTION("""COMPUTED_VALUE"""),"P407050")</f>
        <v>P407050</v>
      </c>
      <c r="R224" s="1" t="str">
        <f>IFERROR(__xludf.DUMMYFUNCTION("""COMPUTED_VALUE"""),"ALOS, CHARLS LAURENZ")</f>
        <v>ALOS, CHARLS LAURENZ</v>
      </c>
      <c r="S224" s="1" t="str">
        <f>IFERROR(__xludf.DUMMYFUNCTION("""COMPUTED_VALUE"""),"ORGANIC")</f>
        <v>ORGANIC</v>
      </c>
      <c r="T224" s="1" t="str">
        <f>IFERROR(__xludf.DUMMYFUNCTION("""COMPUTED_VALUE"""),"LEA REMOLLO")</f>
        <v>LEA REMOLLO</v>
      </c>
      <c r="U224" s="1" t="str">
        <f>IFERROR(__xludf.DUMMYFUNCTION("""COMPUTED_VALUE"""),"JB SALIOA")</f>
        <v>JB SALIOA</v>
      </c>
      <c r="V224" s="1" t="str">
        <f>IFERROR(__xludf.DUMMYFUNCTION("""COMPUTED_VALUE"""),"BK HSTK")</f>
        <v>BK HSTK</v>
      </c>
      <c r="W224" s="1" t="str">
        <f>IFERROR(__xludf.DUMMYFUNCTION("""COMPUTED_VALUE"""),"BK HSTK")</f>
        <v>BK HSTK</v>
      </c>
      <c r="X224" s="1" t="str">
        <f>IFERROR(__xludf.DUMMYFUNCTION("""COMPUTED_VALUE"""),"HBBS AUG 2026")</f>
        <v>HBBS AUG 2026</v>
      </c>
      <c r="Y224" s="1" t="str">
        <f>IFERROR(__xludf.DUMMYFUNCTION("""COMPUTED_VALUE"""),"BK_CVEU_260801")</f>
        <v>BK_CVEU_260801</v>
      </c>
      <c r="Z224" s="1" t="str">
        <f>IFERROR(__xludf.DUMMYFUNCTION("""COMPUTED_VALUE"""),"NEW CONNECT")</f>
        <v>NEW CONNECT</v>
      </c>
      <c r="AA224" s="1">
        <f>IFERROR(__xludf.DUMMYFUNCTION("""COMPUTED_VALUE"""),639270446531)</f>
        <v>639270446531</v>
      </c>
      <c r="AB224" s="1"/>
      <c r="AC224" s="1">
        <f>IFERROR(__xludf.DUMMYFUNCTION("""COMPUTED_VALUE"""),284)</f>
        <v>284</v>
      </c>
      <c r="AD224" s="1" t="str">
        <f>IFERROR(__xludf.DUMMYFUNCTION("""COMPUTED_VALUE"""),"PIER")</f>
        <v>PIER</v>
      </c>
      <c r="AE224" s="1"/>
      <c r="AF224" s="1" t="str">
        <f>IFERROR(__xludf.DUMMYFUNCTION("""COMPUTED_VALUE"""),"BGY MARAHAN 1")</f>
        <v>BGY MARAHAN 1</v>
      </c>
      <c r="AG224" s="1" t="str">
        <f>IFERROR(__xludf.DUMMYFUNCTION("""COMPUTED_VALUE"""),"ALFONSO")</f>
        <v>ALFONSO</v>
      </c>
      <c r="AH224" s="1" t="str">
        <f>IFERROR(__xludf.DUMMYFUNCTION("""COMPUTED_VALUE"""),"-")</f>
        <v>-</v>
      </c>
      <c r="AI224" s="1" t="str">
        <f>IFERROR(__xludf.DUMMYFUNCTION("""COMPUTED_VALUE"""),"CLUSTER 12")</f>
        <v>CLUSTER 12</v>
      </c>
    </row>
    <row r="225" customHeight="1" spans="1:35">
      <c r="A225" s="3">
        <f>IFERROR(__xludf.DUMMYFUNCTION("""COMPUTED_VALUE"""),46255)</f>
        <v>46255</v>
      </c>
      <c r="B225" s="1" t="str">
        <f>IFERROR(__xludf.DUMMYFUNCTION("""COMPUTED_VALUE"""),"JONALYN RAMOS CUNANAN")</f>
        <v>JONALYN RAMOS CUNANAN</v>
      </c>
      <c r="C225" s="1">
        <f>IFERROR(__xludf.DUMMYFUNCTION("""COMPUTED_VALUE"""),2311978760)</f>
        <v>2311978760</v>
      </c>
      <c r="D225" s="1">
        <f>IFERROR(__xludf.DUMMYFUNCTION("""COMPUTED_VALUE"""),407144805)</f>
        <v>407144805</v>
      </c>
      <c r="E225" s="1">
        <f>IFERROR(__xludf.DUMMYFUNCTION("""COMPUTED_VALUE"""),467413984004)</f>
        <v>467413984004</v>
      </c>
      <c r="F225" s="1" t="str">
        <f>IFERROR(__xludf.DUMMYFUNCTION("""COMPUTED_VALUE"""),"CANCELLED")</f>
        <v>CANCELLED</v>
      </c>
      <c r="G225" s="1" t="str">
        <f>IFERROR(__xludf.DUMMYFUNCTION("""COMPUTED_VALUE"""),"FOR PORT VERIFICATION ALFLP40NP7 P7  NEED MA CONFIRM KUNG ACTIVE OR PUTOL NA WALA DAW PO TAO UMALIS DAW PO SABI NG KAPITBAHAY  SUBS ALREADY ADVICE ")</f>
        <v>FOR PORT VERIFICATION ALFLP40NP7 P7  NEED MA CONFIRM KUNG ACTIVE OR PUTOL NA WALA DAW PO TAO UMALIS DAW PO SABI NG KAPITBAHAY  SUBS ALREADY ADVICE </v>
      </c>
      <c r="H225" s="1"/>
      <c r="I225" s="1"/>
      <c r="J225" s="1"/>
      <c r="K225" s="1" t="str">
        <f>IFERROR(__xludf.DUMMYFUNCTION("""COMPUTED_VALUE"""),"CANCELED")</f>
        <v>CANCELED</v>
      </c>
      <c r="L225" s="1" t="str">
        <f>IFERROR(__xludf.DUMMYFUNCTION("""COMPUTED_VALUE"""),"CANCELLED - NAP FULL")</f>
        <v>CANCELLED - NAP FULL</v>
      </c>
      <c r="M225" s="1" t="str">
        <f>IFERROR(__xludf.DUMMYFUNCTION("""COMPUTED_VALUE"""),"CANCELLED - NAP FULL")</f>
        <v>CANCELLED - NAP FULL</v>
      </c>
      <c r="N225" s="3"/>
      <c r="O225" s="1" t="str">
        <f>IFERROR(__xludf.DUMMYFUNCTION("""COMPUTED_VALUE"""),"FIBR NETFLIX PLAN 1599")</f>
        <v>FIBR NETFLIX PLAN 1599</v>
      </c>
      <c r="P225" s="1" t="str">
        <f>IFERROR(__xludf.DUMMYFUNCTION("""COMPUTED_VALUE"""),"LOWPLAN")</f>
        <v>LOWPLAN</v>
      </c>
      <c r="Q225" s="1" t="str">
        <f>IFERROR(__xludf.DUMMYFUNCTION("""COMPUTED_VALUE"""),"P407050")</f>
        <v>P407050</v>
      </c>
      <c r="R225" s="1" t="str">
        <f>IFERROR(__xludf.DUMMYFUNCTION("""COMPUTED_VALUE"""),"ESCARCHA, ALMA")</f>
        <v>ESCARCHA, ALMA</v>
      </c>
      <c r="S225" s="1" t="str">
        <f>IFERROR(__xludf.DUMMYFUNCTION("""COMPUTED_VALUE"""),"ORGANIC")</f>
        <v>ORGANIC</v>
      </c>
      <c r="T225" s="1" t="str">
        <f>IFERROR(__xludf.DUMMYFUNCTION("""COMPUTED_VALUE"""),"LEA REMOLLO")</f>
        <v>LEA REMOLLO</v>
      </c>
      <c r="U225" s="1" t="str">
        <f>IFERROR(__xludf.DUMMYFUNCTION("""COMPUTED_VALUE"""),"JB SALIOA")</f>
        <v>JB SALIOA</v>
      </c>
      <c r="V225" s="1" t="str">
        <f>IFERROR(__xludf.DUMMYFUNCTION("""COMPUTED_VALUE"""),"BK HSTK")</f>
        <v>BK HSTK</v>
      </c>
      <c r="W225" s="1" t="str">
        <f>IFERROR(__xludf.DUMMYFUNCTION("""COMPUTED_VALUE"""),"BK HSTK")</f>
        <v>BK HSTK</v>
      </c>
      <c r="X225" s="1" t="str">
        <f>IFERROR(__xludf.DUMMYFUNCTION("""COMPUTED_VALUE"""),"HBBS AUG 2026")</f>
        <v>HBBS AUG 2026</v>
      </c>
      <c r="Y225" s="1" t="str">
        <f>IFERROR(__xludf.DUMMYFUNCTION("""COMPUTED_VALUE"""),"BK_CVEU_260801")</f>
        <v>BK_CVEU_260801</v>
      </c>
      <c r="Z225" s="1" t="str">
        <f>IFERROR(__xludf.DUMMYFUNCTION("""COMPUTED_VALUE"""),"NEW CONNECT")</f>
        <v>NEW CONNECT</v>
      </c>
      <c r="AA225" s="1">
        <f>IFERROR(__xludf.DUMMYFUNCTION("""COMPUTED_VALUE"""),639702072633)</f>
        <v>639702072633</v>
      </c>
      <c r="AB225" s="1"/>
      <c r="AC225" s="1">
        <f>IFERROR(__xludf.DUMMYFUNCTION("""COMPUTED_VALUE"""),289)</f>
        <v>289</v>
      </c>
      <c r="AD225" s="1" t="str">
        <f>IFERROR(__xludf.DUMMYFUNCTION("""COMPUTED_VALUE"""),"PIER")</f>
        <v>PIER</v>
      </c>
      <c r="AE225" s="1"/>
      <c r="AF225" s="1" t="str">
        <f>IFERROR(__xludf.DUMMYFUNCTION("""COMPUTED_VALUE"""),"BGY MARAHAN 1")</f>
        <v>BGY MARAHAN 1</v>
      </c>
      <c r="AG225" s="1" t="str">
        <f>IFERROR(__xludf.DUMMYFUNCTION("""COMPUTED_VALUE"""),"ALFONSO")</f>
        <v>ALFONSO</v>
      </c>
      <c r="AH225" s="1" t="str">
        <f>IFERROR(__xludf.DUMMYFUNCTION("""COMPUTED_VALUE"""),"-")</f>
        <v>-</v>
      </c>
      <c r="AI225" s="1" t="str">
        <f>IFERROR(__xludf.DUMMYFUNCTION("""COMPUTED_VALUE"""),"CLUSTER 12")</f>
        <v>CLUSTER 12</v>
      </c>
    </row>
    <row r="226" customHeight="1" spans="1:35">
      <c r="A226" s="3">
        <f>IFERROR(__xludf.DUMMYFUNCTION("""COMPUTED_VALUE"""),46255)</f>
        <v>46255</v>
      </c>
      <c r="B226" s="1" t="str">
        <f>IFERROR(__xludf.DUMMYFUNCTION("""COMPUTED_VALUE"""),"SEAN MATTHEW . LOMONGO")</f>
        <v>SEAN MATTHEW . LOMONGO</v>
      </c>
      <c r="C226" s="1">
        <f>IFERROR(__xludf.DUMMYFUNCTION("""COMPUTED_VALUE"""),2311979215)</f>
        <v>2311979215</v>
      </c>
      <c r="D226" s="1">
        <f>IFERROR(__xludf.DUMMYFUNCTION("""COMPUTED_VALUE"""),407149149)</f>
        <v>407149149</v>
      </c>
      <c r="E226" s="1">
        <f>IFERROR(__xludf.DUMMYFUNCTION("""COMPUTED_VALUE"""),467423769004)</f>
        <v>467423769004</v>
      </c>
      <c r="F226" s="1" t="str">
        <f>IFERROR(__xludf.DUMMYFUNCTION("""COMPUTED_VALUE"""),"CLOSED")</f>
        <v>CLOSED</v>
      </c>
      <c r="G226" s="1" t="str">
        <f>IFERROR(__xludf.DUMMYFUNCTION("""COMPUTED_VALUE"""),"CLOSED")</f>
        <v>CLOSED</v>
      </c>
      <c r="H226" s="1"/>
      <c r="I226" s="1" t="str">
        <f>IFERROR(__xludf.DUMMYFUNCTION("""COMPUTED_VALUE"""),"NO 1 AMSF")</f>
        <v>NO 1 AMSF</v>
      </c>
      <c r="J226" s="1" t="str">
        <f>IFERROR(__xludf.DUMMYFUNCTION("""COMPUTED_VALUE"""),"DUE DATE - 20-Sep-26 -1,113.45")</f>
        <v>DUE DATE - 20-Sep-26 -1,113.45</v>
      </c>
      <c r="K226" s="1" t="str">
        <f>IFERROR(__xludf.DUMMYFUNCTION("""COMPUTED_VALUE"""),"COMPLETED")</f>
        <v>COMPLETED</v>
      </c>
      <c r="L226" s="1" t="str">
        <f>IFERROR(__xludf.DUMMYFUNCTION("""COMPUTED_VALUE"""),"POSTED")</f>
        <v>POSTED</v>
      </c>
      <c r="M226" s="1" t="str">
        <f>IFERROR(__xludf.DUMMYFUNCTION("""COMPUTED_VALUE"""),"POSTED")</f>
        <v>POSTED</v>
      </c>
      <c r="N226" s="3">
        <f>IFERROR(__xludf.DUMMYFUNCTION("""COMPUTED_VALUE"""),46259)</f>
        <v>46259</v>
      </c>
      <c r="O226" s="1" t="str">
        <f>IFERROR(__xludf.DUMMYFUNCTION("""COMPUTED_VALUE"""),"FIBR UNLI ALL PLAN 999")</f>
        <v>FIBR UNLI ALL PLAN 999</v>
      </c>
      <c r="P226" s="1" t="str">
        <f>IFERROR(__xludf.DUMMYFUNCTION("""COMPUTED_VALUE"""),"LOWPLAN")</f>
        <v>LOWPLAN</v>
      </c>
      <c r="Q226" s="1" t="str">
        <f>IFERROR(__xludf.DUMMYFUNCTION("""COMPUTED_VALUE"""),"P407047")</f>
        <v>P407047</v>
      </c>
      <c r="R226" s="1" t="str">
        <f>IFERROR(__xludf.DUMMYFUNCTION("""COMPUTED_VALUE"""),"FRANCISCO, ROSELYN")</f>
        <v>FRANCISCO, ROSELYN</v>
      </c>
      <c r="S226" s="1" t="str">
        <f>IFERROR(__xludf.DUMMYFUNCTION("""COMPUTED_VALUE"""),"ORGANIC")</f>
        <v>ORGANIC</v>
      </c>
      <c r="T226" s="1" t="str">
        <f>IFERROR(__xludf.DUMMYFUNCTION("""COMPUTED_VALUE"""),"LEA REMOLLO")</f>
        <v>LEA REMOLLO</v>
      </c>
      <c r="U226" s="1" t="str">
        <f>IFERROR(__xludf.DUMMYFUNCTION("""COMPUTED_VALUE"""),"JB SALIOA")</f>
        <v>JB SALIOA</v>
      </c>
      <c r="V226" s="1" t="str">
        <f>IFERROR(__xludf.DUMMYFUNCTION("""COMPUTED_VALUE"""),"ONLINE/CRANFORD")</f>
        <v>ONLINE/CRANFORD</v>
      </c>
      <c r="W226" s="1" t="str">
        <f>IFERROR(__xludf.DUMMYFUNCTION("""COMPUTED_VALUE"""),"STK REGULAR")</f>
        <v>STK REGULAR</v>
      </c>
      <c r="X226" s="1" t="str">
        <f>IFERROR(__xludf.DUMMYFUNCTION("""COMPUTED_VALUE"""),"HBBS AUG 2026")</f>
        <v>HBBS AUG 2026</v>
      </c>
      <c r="Y226" s="1" t="str">
        <f>IFERROR(__xludf.DUMMYFUNCTION("""COMPUTED_VALUE"""),"RS_ONL_CVEU_2026")</f>
        <v>RS_ONL_CVEU_2026</v>
      </c>
      <c r="Z226" s="1" t="str">
        <f>IFERROR(__xludf.DUMMYFUNCTION("""COMPUTED_VALUE"""),"NEW CONNECT")</f>
        <v>NEW CONNECT</v>
      </c>
      <c r="AA226" s="1">
        <f>IFERROR(__xludf.DUMMYFUNCTION("""COMPUTED_VALUE"""),639757984479)</f>
        <v>639757984479</v>
      </c>
      <c r="AB226" s="1">
        <f>IFERROR(__xludf.DUMMYFUNCTION("""COMPUTED_VALUE"""),639150979888)</f>
        <v>639150979888</v>
      </c>
      <c r="AC226" s="1">
        <f>IFERROR(__xludf.DUMMYFUNCTION("""COMPUTED_VALUE"""),508)</f>
        <v>508</v>
      </c>
      <c r="AD226" s="1" t="str">
        <f>IFERROR(__xludf.DUMMYFUNCTION("""COMPUTED_VALUE"""),"GEN TRIAS DRIVE")</f>
        <v>GEN TRIAS DRIVE</v>
      </c>
      <c r="AE226" s="1"/>
      <c r="AF226" s="1" t="str">
        <f>IFERROR(__xludf.DUMMYFUNCTION("""COMPUTED_VALUE"""),"BGY SAN JUAN 2")</f>
        <v>BGY SAN JUAN 2</v>
      </c>
      <c r="AG226" s="1" t="str">
        <f>IFERROR(__xludf.DUMMYFUNCTION("""COMPUTED_VALUE"""),"GENERAL TRIAS")</f>
        <v>GENERAL TRIAS</v>
      </c>
      <c r="AH226" s="1" t="str">
        <f>IFERROR(__xludf.DUMMYFUNCTION("""COMPUTED_VALUE"""),"BESIDE 7/11")</f>
        <v>BESIDE 7/11</v>
      </c>
      <c r="AI226" s="1" t="str">
        <f>IFERROR(__xludf.DUMMYFUNCTION("""COMPUTED_VALUE"""),"NOT AOR")</f>
        <v>NOT AOR</v>
      </c>
    </row>
    <row r="227" customHeight="1" spans="1:35">
      <c r="A227" s="3">
        <f>IFERROR(__xludf.DUMMYFUNCTION("""COMPUTED_VALUE"""),46255)</f>
        <v>46255</v>
      </c>
      <c r="B227" s="1" t="str">
        <f>IFERROR(__xludf.DUMMYFUNCTION("""COMPUTED_VALUE"""),"ERIKA ARAGON VALLE")</f>
        <v>ERIKA ARAGON VALLE</v>
      </c>
      <c r="C227" s="1">
        <f>IFERROR(__xludf.DUMMYFUNCTION("""COMPUTED_VALUE"""),2311979946)</f>
        <v>2311979946</v>
      </c>
      <c r="D227" s="1">
        <f>IFERROR(__xludf.DUMMYFUNCTION("""COMPUTED_VALUE"""),407145887)</f>
        <v>407145887</v>
      </c>
      <c r="E227" s="1">
        <f>IFERROR(__xludf.DUMMYFUNCTION("""COMPUTED_VALUE"""),467415245004)</f>
        <v>467415245004</v>
      </c>
      <c r="F227" s="1" t="str">
        <f>IFERROR(__xludf.DUMMYFUNCTION("""COMPUTED_VALUE"""),"CANCELLED")</f>
        <v>CANCELLED</v>
      </c>
      <c r="G227" s="1" t="str">
        <f>IFERROR(__xludf.DUMMYFUNCTION("""COMPUTED_VALUE"""),"CANT PROCEED INSTALLATION NOT FEASIBLE FOR STANDARD INSTALLATION, NO PRIVATE POLE ATTACHMENT  SUBS ALREADY ADVICE ")</f>
        <v>CANT PROCEED INSTALLATION NOT FEASIBLE FOR STANDARD INSTALLATION, NO PRIVATE POLE ATTACHMENT  SUBS ALREADY ADVICE </v>
      </c>
      <c r="H227" s="1"/>
      <c r="I227" s="1"/>
      <c r="J227" s="1"/>
      <c r="K227" s="1" t="str">
        <f>IFERROR(__xludf.DUMMYFUNCTION("""COMPUTED_VALUE"""),"CANCELED")</f>
        <v>CANCELED</v>
      </c>
      <c r="L227" s="1" t="str">
        <f>IFERROR(__xludf.DUMMYFUNCTION("""COMPUTED_VALUE"""),"RPR - UNMAINTAINABLE")</f>
        <v>RPR - UNMAINTAINABLE</v>
      </c>
      <c r="M227" s="1" t="str">
        <f>IFERROR(__xludf.DUMMYFUNCTION("""COMPUTED_VALUE"""),"RPR - UNMAINTAINABLE")</f>
        <v>RPR - UNMAINTAINABLE</v>
      </c>
      <c r="N227" s="3"/>
      <c r="O227" s="1" t="str">
        <f>IFERROR(__xludf.DUMMYFUNCTION("""COMPUTED_VALUE"""),"FIBR PLAN 1299")</f>
        <v>FIBR PLAN 1299</v>
      </c>
      <c r="P227" s="1" t="str">
        <f>IFERROR(__xludf.DUMMYFUNCTION("""COMPUTED_VALUE"""),"LOWPLAN")</f>
        <v>LOWPLAN</v>
      </c>
      <c r="Q227" s="1" t="str">
        <f>IFERROR(__xludf.DUMMYFUNCTION("""COMPUTED_VALUE"""),"P407050")</f>
        <v>P407050</v>
      </c>
      <c r="R227" s="1" t="str">
        <f>IFERROR(__xludf.DUMMYFUNCTION("""COMPUTED_VALUE"""),"DENACO, RODNEY")</f>
        <v>DENACO, RODNEY</v>
      </c>
      <c r="S227" s="1" t="str">
        <f>IFERROR(__xludf.DUMMYFUNCTION("""COMPUTED_VALUE"""),"ORGANIC")</f>
        <v>ORGANIC</v>
      </c>
      <c r="T227" s="1" t="str">
        <f>IFERROR(__xludf.DUMMYFUNCTION("""COMPUTED_VALUE"""),"LEA REMOLLO")</f>
        <v>LEA REMOLLO</v>
      </c>
      <c r="U227" s="1" t="str">
        <f>IFERROR(__xludf.DUMMYFUNCTION("""COMPUTED_VALUE"""),"JB SALIOA")</f>
        <v>JB SALIOA</v>
      </c>
      <c r="V227" s="1" t="str">
        <f>IFERROR(__xludf.DUMMYFUNCTION("""COMPUTED_VALUE"""),"BK HSTK")</f>
        <v>BK HSTK</v>
      </c>
      <c r="W227" s="1" t="str">
        <f>IFERROR(__xludf.DUMMYFUNCTION("""COMPUTED_VALUE"""),"BK HSTK")</f>
        <v>BK HSTK</v>
      </c>
      <c r="X227" s="1" t="str">
        <f>IFERROR(__xludf.DUMMYFUNCTION("""COMPUTED_VALUE"""),"HBBS AUG 2026")</f>
        <v>HBBS AUG 2026</v>
      </c>
      <c r="Y227" s="1" t="str">
        <f>IFERROR(__xludf.DUMMYFUNCTION("""COMPUTED_VALUE"""),"BK_CVEU_260805")</f>
        <v>BK_CVEU_260805</v>
      </c>
      <c r="Z227" s="1" t="str">
        <f>IFERROR(__xludf.DUMMYFUNCTION("""COMPUTED_VALUE"""),"NEW CONNECT")</f>
        <v>NEW CONNECT</v>
      </c>
      <c r="AA227" s="1">
        <f>IFERROR(__xludf.DUMMYFUNCTION("""COMPUTED_VALUE"""),639850570177)</f>
        <v>639850570177</v>
      </c>
      <c r="AB227" s="1">
        <f>IFERROR(__xludf.DUMMYFUNCTION("""COMPUTED_VALUE"""),639167695889)</f>
        <v>639167695889</v>
      </c>
      <c r="AC227" s="1">
        <f>IFERROR(__xludf.DUMMYFUNCTION("""COMPUTED_VALUE"""),156)</f>
        <v>156</v>
      </c>
      <c r="AD227" s="1" t="str">
        <f>IFERROR(__xludf.DUMMYFUNCTION("""COMPUTED_VALUE"""),"MAYSILI")</f>
        <v>MAYSILI</v>
      </c>
      <c r="AE227" s="1"/>
      <c r="AF227" s="1" t="str">
        <f>IFERROR(__xludf.DUMMYFUNCTION("""COMPUTED_VALUE"""),"BGY ASIS 2")</f>
        <v>BGY ASIS 2</v>
      </c>
      <c r="AG227" s="1" t="str">
        <f>IFERROR(__xludf.DUMMYFUNCTION("""COMPUTED_VALUE"""),"MENDEZ")</f>
        <v>MENDEZ</v>
      </c>
      <c r="AH227" s="1" t="str">
        <f>IFERROR(__xludf.DUMMYFUNCTION("""COMPUTED_VALUE"""),"-")</f>
        <v>-</v>
      </c>
      <c r="AI227" s="1" t="str">
        <f>IFERROR(__xludf.DUMMYFUNCTION("""COMPUTED_VALUE"""),"CLUSTER 12")</f>
        <v>CLUSTER 12</v>
      </c>
    </row>
    <row r="228" customHeight="1" spans="1:35">
      <c r="A228" s="3">
        <f>IFERROR(__xludf.DUMMYFUNCTION("""COMPUTED_VALUE"""),46255)</f>
        <v>46255</v>
      </c>
      <c r="B228" s="1" t="str">
        <f>IFERROR(__xludf.DUMMYFUNCTION("""COMPUTED_VALUE""")," KAEDE CRIZELLE MABUTOL MANZANO")</f>
        <v> KAEDE CRIZELLE MABUTOL MANZANO</v>
      </c>
      <c r="C228" s="1">
        <f>IFERROR(__xludf.DUMMYFUNCTION("""COMPUTED_VALUE"""),2311980692)</f>
        <v>2311980692</v>
      </c>
      <c r="D228" s="1">
        <f>IFERROR(__xludf.DUMMYFUNCTION("""COMPUTED_VALUE"""),407159845)</f>
        <v>407159845</v>
      </c>
      <c r="E228" s="1">
        <f>IFERROR(__xludf.DUMMYFUNCTION("""COMPUTED_VALUE"""),467492162004)</f>
        <v>467492162004</v>
      </c>
      <c r="F228" s="1" t="str">
        <f>IFERROR(__xludf.DUMMYFUNCTION("""COMPUTED_VALUE"""),"CLOSED")</f>
        <v>CLOSED</v>
      </c>
      <c r="G228" s="1" t="str">
        <f>IFERROR(__xludf.DUMMYFUNCTION("""COMPUTED_VALUE"""),"CLOSED")</f>
        <v>CLOSED</v>
      </c>
      <c r="H228" s="1" t="str">
        <f>IFERROR(__xludf.DUMMYFUNCTION("""COMPUTED_VALUE"""),"PAID VIA GCASH - AUG 24 - REF - 623606964109")</f>
        <v>PAID VIA GCASH - AUG 24 - REF - 623606964109</v>
      </c>
      <c r="I228" s="1" t="str">
        <f>IFERROR(__xludf.DUMMYFUNCTION("""COMPUTED_VALUE"""),"WITH 1 AMSF")</f>
        <v>WITH 1 AMSF</v>
      </c>
      <c r="J228" s="1"/>
      <c r="K228" s="1" t="str">
        <f>IFERROR(__xludf.DUMMYFUNCTION("""COMPUTED_VALUE"""),"COMPLETED")</f>
        <v>COMPLETED</v>
      </c>
      <c r="L228" s="1" t="str">
        <f>IFERROR(__xludf.DUMMYFUNCTION("""COMPUTED_VALUE"""),"POSTED")</f>
        <v>POSTED</v>
      </c>
      <c r="M228" s="1" t="str">
        <f>IFERROR(__xludf.DUMMYFUNCTION("""COMPUTED_VALUE"""),"POSTED")</f>
        <v>POSTED</v>
      </c>
      <c r="N228" s="3">
        <f>IFERROR(__xludf.DUMMYFUNCTION("""COMPUTED_VALUE"""),46258)</f>
        <v>46258</v>
      </c>
      <c r="O228" s="1" t="str">
        <f>IFERROR(__xludf.DUMMYFUNCTION("""COMPUTED_VALUE"""),"FIBR PLAN 1299")</f>
        <v>FIBR PLAN 1299</v>
      </c>
      <c r="P228" s="1" t="str">
        <f>IFERROR(__xludf.DUMMYFUNCTION("""COMPUTED_VALUE"""),"LOWPLAN")</f>
        <v>LOWPLAN</v>
      </c>
      <c r="Q228" s="1" t="str">
        <f>IFERROR(__xludf.DUMMYFUNCTION("""COMPUTED_VALUE"""),"P407050")</f>
        <v>P407050</v>
      </c>
      <c r="R228" s="1" t="str">
        <f>IFERROR(__xludf.DUMMYFUNCTION("""COMPUTED_VALUE"""),"MANDUCDOC, MARIANE")</f>
        <v>MANDUCDOC, MARIANE</v>
      </c>
      <c r="S228" s="1" t="str">
        <f>IFERROR(__xludf.DUMMYFUNCTION("""COMPUTED_VALUE"""),"ORGANIC")</f>
        <v>ORGANIC</v>
      </c>
      <c r="T228" s="1" t="str">
        <f>IFERROR(__xludf.DUMMYFUNCTION("""COMPUTED_VALUE"""),"LEA REMOLLO")</f>
        <v>LEA REMOLLO</v>
      </c>
      <c r="U228" s="1" t="str">
        <f>IFERROR(__xludf.DUMMYFUNCTION("""COMPUTED_VALUE"""),"MARK MALIWAT")</f>
        <v>MARK MALIWAT</v>
      </c>
      <c r="V228" s="1" t="str">
        <f>IFERROR(__xludf.DUMMYFUNCTION("""COMPUTED_VALUE"""),"BK HSTK")</f>
        <v>BK HSTK</v>
      </c>
      <c r="W228" s="1" t="str">
        <f>IFERROR(__xludf.DUMMYFUNCTION("""COMPUTED_VALUE"""),"STK REGULAR")</f>
        <v>STK REGULAR</v>
      </c>
      <c r="X228" s="1" t="str">
        <f>IFERROR(__xludf.DUMMYFUNCTION("""COMPUTED_VALUE"""),"HBBS AUG 2026")</f>
        <v>HBBS AUG 2026</v>
      </c>
      <c r="Y228" s="1" t="str">
        <f>IFERROR(__xludf.DUMMYFUNCTION("""COMPUTED_VALUE"""),"BK_CVEU_260806")</f>
        <v>BK_CVEU_260806</v>
      </c>
      <c r="Z228" s="1" t="str">
        <f>IFERROR(__xludf.DUMMYFUNCTION("""COMPUTED_VALUE"""),"NEW CONNECT")</f>
        <v>NEW CONNECT</v>
      </c>
      <c r="AA228" s="1">
        <f>IFERROR(__xludf.DUMMYFUNCTION("""COMPUTED_VALUE"""),639608722795)</f>
        <v>639608722795</v>
      </c>
      <c r="AB228" s="1"/>
      <c r="AC228" s="1"/>
      <c r="AD228" s="1" t="str">
        <f>IFERROR(__xludf.DUMMYFUNCTION("""COMPUTED_VALUE"""),"YAKAL")</f>
        <v>YAKAL</v>
      </c>
      <c r="AE228" s="1"/>
      <c r="AF228" s="1" t="str">
        <f>IFERROR(__xludf.DUMMYFUNCTION("""COMPUTED_VALUE"""),"BGY YAKAL")</f>
        <v>BGY YAKAL</v>
      </c>
      <c r="AG228" s="1" t="str">
        <f>IFERROR(__xludf.DUMMYFUNCTION("""COMPUTED_VALUE"""),"SILANG")</f>
        <v>SILANG</v>
      </c>
      <c r="AH228" s="1"/>
      <c r="AI228" s="1" t="str">
        <f>IFERROR(__xludf.DUMMYFUNCTION("""COMPUTED_VALUE"""),"CLUSTER 11")</f>
        <v>CLUSTER 11</v>
      </c>
    </row>
    <row r="229" customHeight="1" spans="1:35">
      <c r="A229" s="3">
        <f>IFERROR(__xludf.DUMMYFUNCTION("""COMPUTED_VALUE"""),46255)</f>
        <v>46255</v>
      </c>
      <c r="B229" s="1" t="str">
        <f>IFERROR(__xludf.DUMMYFUNCTION("""COMPUTED_VALUE""")," XENNA LLANOS ROSALES")</f>
        <v> XENNA LLANOS ROSALES</v>
      </c>
      <c r="C229" s="1">
        <f>IFERROR(__xludf.DUMMYFUNCTION("""COMPUTED_VALUE"""),2311980873)</f>
        <v>2311980873</v>
      </c>
      <c r="D229" s="1"/>
      <c r="E229" s="1"/>
      <c r="F229" s="1" t="str">
        <f>IFERROR(__xludf.DUMMYFUNCTION("""COMPUTED_VALUE"""),"REENCODED")</f>
        <v>REENCODED</v>
      </c>
      <c r="G229" s="1" t="str">
        <f>IFERROR(__xludf.DUMMYFUNCTION("""COMPUTED_VALUE"""),"REENCODED")</f>
        <v>REENCODED</v>
      </c>
      <c r="H229" s="1"/>
      <c r="I229" s="1"/>
      <c r="J229" s="1"/>
      <c r="K229" s="1"/>
      <c r="L229" s="1" t="str">
        <f>IFERROR(__xludf.DUMMYFUNCTION("""COMPUTED_VALUE"""),"REENCODED")</f>
        <v>REENCODED</v>
      </c>
      <c r="M229" s="1" t="str">
        <f>IFERROR(__xludf.DUMMYFUNCTION("""COMPUTED_VALUE"""),"REENCODED")</f>
        <v>REENCODED</v>
      </c>
      <c r="N229" s="3"/>
      <c r="O229" s="1" t="str">
        <f>IFERROR(__xludf.DUMMYFUNCTION("""COMPUTED_VALUE"""),"FIBR UNLI ALL PLAN 999")</f>
        <v>FIBR UNLI ALL PLAN 999</v>
      </c>
      <c r="P229" s="1" t="str">
        <f>IFERROR(__xludf.DUMMYFUNCTION("""COMPUTED_VALUE"""),"LOWPLAN")</f>
        <v>LOWPLAN</v>
      </c>
      <c r="Q229" s="1" t="str">
        <f>IFERROR(__xludf.DUMMYFUNCTION("""COMPUTED_VALUE"""),"P407050")</f>
        <v>P407050</v>
      </c>
      <c r="R229" s="1" t="str">
        <f>IFERROR(__xludf.DUMMYFUNCTION("""COMPUTED_VALUE"""),"TAMAYO, MARY ROSE ZAIRA")</f>
        <v>TAMAYO, MARY ROSE ZAIRA</v>
      </c>
      <c r="S229" s="1" t="str">
        <f>IFERROR(__xludf.DUMMYFUNCTION("""COMPUTED_VALUE"""),"ORGANIC")</f>
        <v>ORGANIC</v>
      </c>
      <c r="T229" s="1" t="str">
        <f>IFERROR(__xludf.DUMMYFUNCTION("""COMPUTED_VALUE"""),"LEA REMOLLO")</f>
        <v>LEA REMOLLO</v>
      </c>
      <c r="U229" s="1" t="str">
        <f>IFERROR(__xludf.DUMMYFUNCTION("""COMPUTED_VALUE"""),"MARK MALIWAT")</f>
        <v>MARK MALIWAT</v>
      </c>
      <c r="V229" s="1" t="str">
        <f>IFERROR(__xludf.DUMMYFUNCTION("""COMPUTED_VALUE"""),"BK HSTK")</f>
        <v>BK HSTK</v>
      </c>
      <c r="W229" s="1" t="str">
        <f>IFERROR(__xludf.DUMMYFUNCTION("""COMPUTED_VALUE"""),"BK HSTK")</f>
        <v>BK HSTK</v>
      </c>
      <c r="X229" s="1" t="str">
        <f>IFERROR(__xludf.DUMMYFUNCTION("""COMPUTED_VALUE"""),"HBBS AUG 2026")</f>
        <v>HBBS AUG 2026</v>
      </c>
      <c r="Y229" s="1" t="str">
        <f>IFERROR(__xludf.DUMMYFUNCTION("""COMPUTED_VALUE"""),"BK_CVEU_260806")</f>
        <v>BK_CVEU_260806</v>
      </c>
      <c r="Z229" s="1" t="str">
        <f>IFERROR(__xludf.DUMMYFUNCTION("""COMPUTED_VALUE"""),"NEW CONNECT")</f>
        <v>NEW CONNECT</v>
      </c>
      <c r="AA229" s="1">
        <f>IFERROR(__xludf.DUMMYFUNCTION("""COMPUTED_VALUE"""),639063181661)</f>
        <v>639063181661</v>
      </c>
      <c r="AB229" s="1"/>
      <c r="AC229" s="1"/>
      <c r="AD229" s="1" t="str">
        <f>IFERROR(__xludf.DUMMYFUNCTION("""COMPUTED_VALUE"""),"NARRA")</f>
        <v>NARRA</v>
      </c>
      <c r="AE229" s="1" t="str">
        <f>IFERROR(__xludf.DUMMYFUNCTION("""COMPUTED_VALUE"""),"PHASE 5")</f>
        <v>PHASE 5</v>
      </c>
      <c r="AF229" s="1" t="str">
        <f>IFERROR(__xludf.DUMMYFUNCTION("""COMPUTED_VALUE"""),"BGY NARRA 3")</f>
        <v>BGY NARRA 3</v>
      </c>
      <c r="AG229" s="1" t="str">
        <f>IFERROR(__xludf.DUMMYFUNCTION("""COMPUTED_VALUE"""),"SILANG")</f>
        <v>SILANG</v>
      </c>
      <c r="AH229" s="1" t="str">
        <f>IFERROR(__xludf.DUMMYFUNCTION("""COMPUTED_VALUE"""),"C24927367")</f>
        <v>C24927367</v>
      </c>
      <c r="AI229" s="1" t="str">
        <f>IFERROR(__xludf.DUMMYFUNCTION("""COMPUTED_VALUE"""),"CLUSTER 11")</f>
        <v>CLUSTER 11</v>
      </c>
    </row>
    <row r="230" customHeight="1" spans="1:35">
      <c r="A230" s="3">
        <f>IFERROR(__xludf.DUMMYFUNCTION("""COMPUTED_VALUE"""),46255)</f>
        <v>46255</v>
      </c>
      <c r="B230" s="1" t="str">
        <f>IFERROR(__xludf.DUMMYFUNCTION("""COMPUTED_VALUE"""),"JEFFREY ASILO NAVIA")</f>
        <v>JEFFREY ASILO NAVIA</v>
      </c>
      <c r="C230" s="1">
        <f>IFERROR(__xludf.DUMMYFUNCTION("""COMPUTED_VALUE"""),2311980867)</f>
        <v>2311980867</v>
      </c>
      <c r="D230" s="1">
        <f>IFERROR(__xludf.DUMMYFUNCTION("""COMPUTED_VALUE"""),407159039)</f>
        <v>407159039</v>
      </c>
      <c r="E230" s="1">
        <f>IFERROR(__xludf.DUMMYFUNCTION("""COMPUTED_VALUE"""),467491880004)</f>
        <v>467491880004</v>
      </c>
      <c r="F230" s="1" t="str">
        <f>IFERROR(__xludf.DUMMYFUNCTION("""COMPUTED_VALUE"""),"CLOSED")</f>
        <v>CLOSED</v>
      </c>
      <c r="G230" s="1" t="str">
        <f>IFERROR(__xludf.DUMMYFUNCTION("""COMPUTED_VALUE"""),"CLOSED")</f>
        <v>CLOSED</v>
      </c>
      <c r="H230" s="1" t="str">
        <f>IFERROR(__xludf.DUMMYFUNCTION("""COMPUTED_VALUE"""),"PQGOR364581998	19-Sep-26	Regular Payment	CIS-GCASH 3.0	1,090.00	0	19-Sep-26")</f>
        <v>PQGOR364581998	19-Sep-26	Regular Payment	CIS-GCASH 3.0	1,090.00	0	19-Sep-26</v>
      </c>
      <c r="I230" s="1" t="str">
        <f>IFERROR(__xludf.DUMMYFUNCTION("""COMPUTED_VALUE"""),"WITH 1 AMSF")</f>
        <v>WITH 1 AMSF</v>
      </c>
      <c r="J230" s="1" t="str">
        <f>IFERROR(__xludf.DUMMYFUNCTION("""COMPUTED_VALUE"""),"DUE DATE - 17-Sep-26 - 1,081.21")</f>
        <v>DUE DATE - 17-Sep-26 - 1,081.21</v>
      </c>
      <c r="K230" s="1" t="str">
        <f>IFERROR(__xludf.DUMMYFUNCTION("""COMPUTED_VALUE"""),"COMPLETED")</f>
        <v>COMPLETED</v>
      </c>
      <c r="L230" s="1" t="str">
        <f>IFERROR(__xludf.DUMMYFUNCTION("""COMPUTED_VALUE"""),"POSTED")</f>
        <v>POSTED</v>
      </c>
      <c r="M230" s="1" t="str">
        <f>IFERROR(__xludf.DUMMYFUNCTION("""COMPUTED_VALUE"""),"POSTED")</f>
        <v>POSTED</v>
      </c>
      <c r="N230" s="3">
        <f>IFERROR(__xludf.DUMMYFUNCTION("""COMPUTED_VALUE"""),46257)</f>
        <v>46257</v>
      </c>
      <c r="O230" s="1" t="str">
        <f>IFERROR(__xludf.DUMMYFUNCTION("""COMPUTED_VALUE"""),"FIBR UNLI ALL PLAN 999")</f>
        <v>FIBR UNLI ALL PLAN 999</v>
      </c>
      <c r="P230" s="1" t="str">
        <f>IFERROR(__xludf.DUMMYFUNCTION("""COMPUTED_VALUE"""),"LOWPLAN")</f>
        <v>LOWPLAN</v>
      </c>
      <c r="Q230" s="1" t="str">
        <f>IFERROR(__xludf.DUMMYFUNCTION("""COMPUTED_VALUE"""),"P407047")</f>
        <v>P407047</v>
      </c>
      <c r="R230" s="1" t="str">
        <f>IFERROR(__xludf.DUMMYFUNCTION("""COMPUTED_VALUE"""),"FRANCISCO, ROSELYN")</f>
        <v>FRANCISCO, ROSELYN</v>
      </c>
      <c r="S230" s="1" t="str">
        <f>IFERROR(__xludf.DUMMYFUNCTION("""COMPUTED_VALUE"""),"ORGANIC")</f>
        <v>ORGANIC</v>
      </c>
      <c r="T230" s="1" t="str">
        <f>IFERROR(__xludf.DUMMYFUNCTION("""COMPUTED_VALUE"""),"LEA REMOLLO")</f>
        <v>LEA REMOLLO</v>
      </c>
      <c r="U230" s="1" t="str">
        <f>IFERROR(__xludf.DUMMYFUNCTION("""COMPUTED_VALUE"""),"JB SALIOA")</f>
        <v>JB SALIOA</v>
      </c>
      <c r="V230" s="1" t="str">
        <f>IFERROR(__xludf.DUMMYFUNCTION("""COMPUTED_VALUE"""),"ONLINE/CRANFORD")</f>
        <v>ONLINE/CRANFORD</v>
      </c>
      <c r="W230" s="1" t="str">
        <f>IFERROR(__xludf.DUMMYFUNCTION("""COMPUTED_VALUE"""),"STK REGULAR")</f>
        <v>STK REGULAR</v>
      </c>
      <c r="X230" s="1" t="str">
        <f>IFERROR(__xludf.DUMMYFUNCTION("""COMPUTED_VALUE"""),"HBBS AUG 2026")</f>
        <v>HBBS AUG 2026</v>
      </c>
      <c r="Y230" s="1" t="str">
        <f>IFERROR(__xludf.DUMMYFUNCTION("""COMPUTED_VALUE"""),"RS_ONL_CVEU_2026")</f>
        <v>RS_ONL_CVEU_2026</v>
      </c>
      <c r="Z230" s="1" t="str">
        <f>IFERROR(__xludf.DUMMYFUNCTION("""COMPUTED_VALUE"""),"NEW CONNECT")</f>
        <v>NEW CONNECT</v>
      </c>
      <c r="AA230" s="1">
        <f>IFERROR(__xludf.DUMMYFUNCTION("""COMPUTED_VALUE"""),639451074469)</f>
        <v>639451074469</v>
      </c>
      <c r="AB230" s="1"/>
      <c r="AC230" s="1">
        <f>IFERROR(__xludf.DUMMYFUNCTION("""COMPUTED_VALUE"""),282)</f>
        <v>282</v>
      </c>
      <c r="AD230" s="1" t="str">
        <f>IFERROR(__xludf.DUMMYFUNCTION("""COMPUTED_VALUE"""),"PLATINUM")</f>
        <v>PLATINUM</v>
      </c>
      <c r="AE230" s="1" t="str">
        <f>IFERROR(__xludf.DUMMYFUNCTION("""COMPUTED_VALUE"""),"PLATINUMVILLE")</f>
        <v>PLATINUMVILLE</v>
      </c>
      <c r="AF230" s="1" t="str">
        <f>IFERROR(__xludf.DUMMYFUNCTION("""COMPUTED_VALUE"""),"BGY SAN NICOLAS 3")</f>
        <v>BGY SAN NICOLAS 3</v>
      </c>
      <c r="AG230" s="1" t="str">
        <f>IFERROR(__xludf.DUMMYFUNCTION("""COMPUTED_VALUE"""),"BACOOR")</f>
        <v>BACOOR</v>
      </c>
      <c r="AH230" s="1" t="str">
        <f>IFERROR(__xludf.DUMMYFUNCTION("""COMPUTED_VALUE"""),"COURT")</f>
        <v>COURT</v>
      </c>
      <c r="AI230" s="1" t="str">
        <f>IFERROR(__xludf.DUMMYFUNCTION("""COMPUTED_VALUE"""),"NOT AOR")</f>
        <v>NOT AOR</v>
      </c>
    </row>
    <row r="231" customHeight="1" spans="1:35">
      <c r="A231" s="3">
        <f>IFERROR(__xludf.DUMMYFUNCTION("""COMPUTED_VALUE"""),46255)</f>
        <v>46255</v>
      </c>
      <c r="B231" s="1" t="str">
        <f>IFERROR(__xludf.DUMMYFUNCTION("""COMPUTED_VALUE"""),"RENALYN MUANA LAGARTO")</f>
        <v>RENALYN MUANA LAGARTO</v>
      </c>
      <c r="C231" s="1">
        <f>IFERROR(__xludf.DUMMYFUNCTION("""COMPUTED_VALUE"""),2311981163)</f>
        <v>2311981163</v>
      </c>
      <c r="D231" s="1">
        <f>IFERROR(__xludf.DUMMYFUNCTION("""COMPUTED_VALUE"""),407159586)</f>
        <v>407159586</v>
      </c>
      <c r="E231" s="1">
        <f>IFERROR(__xludf.DUMMYFUNCTION("""COMPUTED_VALUE"""),467492075004)</f>
        <v>467492075004</v>
      </c>
      <c r="F231" s="1" t="str">
        <f>IFERROR(__xludf.DUMMYFUNCTION("""COMPUTED_VALUE"""),"CLOSED")</f>
        <v>CLOSED</v>
      </c>
      <c r="G231" s="1" t="str">
        <f>IFERROR(__xludf.DUMMYFUNCTION("""COMPUTED_VALUE"""),"CLOSED")</f>
        <v>CLOSED</v>
      </c>
      <c r="H231" s="1" t="str">
        <f>IFERROR(__xludf.DUMMYFUNCTION("""COMPUTED_VALUE"""),"PQGOR364219988	16-Sep-26	Regular Payment	CIS - 7ELEVEN - NCR	1,082.00	0	16-Sep-26")</f>
        <v>PQGOR364219988	16-Sep-26	Regular Payment	CIS - 7ELEVEN - NCR	1,082.00	0	16-Sep-26</v>
      </c>
      <c r="I231" s="1" t="str">
        <f>IFERROR(__xludf.DUMMYFUNCTION("""COMPUTED_VALUE"""),"WITH 1 AMSF")</f>
        <v>WITH 1 AMSF</v>
      </c>
      <c r="J231" s="1"/>
      <c r="K231" s="1" t="str">
        <f>IFERROR(__xludf.DUMMYFUNCTION("""COMPUTED_VALUE"""),"COMPLETED")</f>
        <v>COMPLETED</v>
      </c>
      <c r="L231" s="1" t="str">
        <f>IFERROR(__xludf.DUMMYFUNCTION("""COMPUTED_VALUE"""),"POSTED")</f>
        <v>POSTED</v>
      </c>
      <c r="M231" s="1" t="str">
        <f>IFERROR(__xludf.DUMMYFUNCTION("""COMPUTED_VALUE"""),"POSTED")</f>
        <v>POSTED</v>
      </c>
      <c r="N231" s="3">
        <f>IFERROR(__xludf.DUMMYFUNCTION("""COMPUTED_VALUE"""),46257)</f>
        <v>46257</v>
      </c>
      <c r="O231" s="1" t="str">
        <f>IFERROR(__xludf.DUMMYFUNCTION("""COMPUTED_VALUE"""),"FIBR UNLI ALL PLAN 999")</f>
        <v>FIBR UNLI ALL PLAN 999</v>
      </c>
      <c r="P231" s="1" t="str">
        <f>IFERROR(__xludf.DUMMYFUNCTION("""COMPUTED_VALUE"""),"LOWPLAN")</f>
        <v>LOWPLAN</v>
      </c>
      <c r="Q231" s="1" t="str">
        <f>IFERROR(__xludf.DUMMYFUNCTION("""COMPUTED_VALUE"""),"P407050")</f>
        <v>P407050</v>
      </c>
      <c r="R231" s="1" t="str">
        <f>IFERROR(__xludf.DUMMYFUNCTION("""COMPUTED_VALUE"""),"ALINGARO, CINDY")</f>
        <v>ALINGARO, CINDY</v>
      </c>
      <c r="S231" s="1" t="str">
        <f>IFERROR(__xludf.DUMMYFUNCTION("""COMPUTED_VALUE"""),"ORGANIC")</f>
        <v>ORGANIC</v>
      </c>
      <c r="T231" s="1" t="str">
        <f>IFERROR(__xludf.DUMMYFUNCTION("""COMPUTED_VALUE"""),"LEA REMOLLO")</f>
        <v>LEA REMOLLO</v>
      </c>
      <c r="U231" s="1" t="str">
        <f>IFERROR(__xludf.DUMMYFUNCTION("""COMPUTED_VALUE"""),"JB SALIOA")</f>
        <v>JB SALIOA</v>
      </c>
      <c r="V231" s="1" t="str">
        <f>IFERROR(__xludf.DUMMYFUNCTION("""COMPUTED_VALUE"""),"BK REGULAR")</f>
        <v>BK REGULAR</v>
      </c>
      <c r="W231" s="1" t="str">
        <f>IFERROR(__xludf.DUMMYFUNCTION("""COMPUTED_VALUE"""),"STK REGULAR")</f>
        <v>STK REGULAR</v>
      </c>
      <c r="X231" s="1" t="str">
        <f>IFERROR(__xludf.DUMMYFUNCTION("""COMPUTED_VALUE"""),"HBBS AUG 2026")</f>
        <v>HBBS AUG 2026</v>
      </c>
      <c r="Y231" s="1" t="str">
        <f>IFERROR(__xludf.DUMMYFUNCTION("""COMPUTED_VALUE"""),"BK_CVEU_260804")</f>
        <v>BK_CVEU_260804</v>
      </c>
      <c r="Z231" s="1" t="str">
        <f>IFERROR(__xludf.DUMMYFUNCTION("""COMPUTED_VALUE"""),"NEW CONNECT")</f>
        <v>NEW CONNECT</v>
      </c>
      <c r="AA231" s="1">
        <f>IFERROR(__xludf.DUMMYFUNCTION("""COMPUTED_VALUE"""),639917716883)</f>
        <v>639917716883</v>
      </c>
      <c r="AB231" s="1">
        <f>IFERROR(__xludf.DUMMYFUNCTION("""COMPUTED_VALUE"""),639917716882)</f>
        <v>639917716882</v>
      </c>
      <c r="AC231" s="1"/>
      <c r="AD231" s="1" t="str">
        <f>IFERROR(__xludf.DUMMYFUNCTION("""COMPUTED_VALUE"""),"CREEK SIDE")</f>
        <v>CREEK SIDE</v>
      </c>
      <c r="AE231" s="1"/>
      <c r="AF231" s="1" t="str">
        <f>IFERROR(__xludf.DUMMYFUNCTION("""COMPUTED_VALUE"""),"BGY BERNARDO PULIDO")</f>
        <v>BGY BERNARDO PULIDO</v>
      </c>
      <c r="AG231" s="1" t="str">
        <f>IFERROR(__xludf.DUMMYFUNCTION("""COMPUTED_VALUE"""),"GEN MARIANO ALVAREZ")</f>
        <v>GEN MARIANO ALVAREZ</v>
      </c>
      <c r="AH231" s="1" t="str">
        <f>IFERROR(__xludf.DUMMYFUNCTION("""COMPUTED_VALUE"""),"BRGY HALL ")</f>
        <v>BRGY HALL </v>
      </c>
      <c r="AI231" s="1" t="str">
        <f>IFERROR(__xludf.DUMMYFUNCTION("""COMPUTED_VALUE"""),"CLUSTER 11")</f>
        <v>CLUSTER 11</v>
      </c>
    </row>
    <row r="232" customHeight="1" spans="1:35">
      <c r="A232" s="3">
        <f>IFERROR(__xludf.DUMMYFUNCTION("""COMPUTED_VALUE"""),46256)</f>
        <v>46256</v>
      </c>
      <c r="B232" s="1" t="str">
        <f>IFERROR(__xludf.DUMMYFUNCTION("""COMPUTED_VALUE"""),"XENNA LLANOS ROSALES")</f>
        <v>XENNA LLANOS ROSALES</v>
      </c>
      <c r="C232" s="1">
        <f>IFERROR(__xludf.DUMMYFUNCTION("""COMPUTED_VALUE"""),2311993550)</f>
        <v>2311993550</v>
      </c>
      <c r="D232" s="1">
        <f>IFERROR(__xludf.DUMMYFUNCTION("""COMPUTED_VALUE"""),407180712)</f>
        <v>407180712</v>
      </c>
      <c r="E232" s="1">
        <f>IFERROR(__xludf.DUMMYFUNCTION("""COMPUTED_VALUE"""),467514206004)</f>
        <v>467514206004</v>
      </c>
      <c r="F232" s="1" t="str">
        <f>IFERROR(__xludf.DUMMYFUNCTION("""COMPUTED_VALUE"""),"CLOSED")</f>
        <v>CLOSED</v>
      </c>
      <c r="G232" s="1" t="str">
        <f>IFERROR(__xludf.DUMMYFUNCTION("""COMPUTED_VALUE"""),"CLOSED")</f>
        <v>CLOSED</v>
      </c>
      <c r="H232" s="1" t="str">
        <f>IFERROR(__xludf.DUMMYFUNCTION("""COMPUTED_VALUE"""),"PQGOR362427617	31-Aug-26	Regular Payment	CIS-GCASH 3.0	1,145.00	0	31-Aug-26")</f>
        <v>PQGOR362427617	31-Aug-26	Regular Payment	CIS-GCASH 3.0	1,145.00	0	31-Aug-26</v>
      </c>
      <c r="I232" s="1" t="str">
        <f>IFERROR(__xludf.DUMMYFUNCTION("""COMPUTED_VALUE"""),"WITH 1 AMSF")</f>
        <v>WITH 1 AMSF</v>
      </c>
      <c r="J232" s="1"/>
      <c r="K232" s="1" t="str">
        <f>IFERROR(__xludf.DUMMYFUNCTION("""COMPUTED_VALUE"""),"COMPLETED")</f>
        <v>COMPLETED</v>
      </c>
      <c r="L232" s="1" t="str">
        <f>IFERROR(__xludf.DUMMYFUNCTION("""COMPUTED_VALUE"""),"POSTED")</f>
        <v>POSTED</v>
      </c>
      <c r="M232" s="1" t="str">
        <f>IFERROR(__xludf.DUMMYFUNCTION("""COMPUTED_VALUE"""),"POSTED")</f>
        <v>POSTED</v>
      </c>
      <c r="N232" s="3">
        <f>IFERROR(__xludf.DUMMYFUNCTION("""COMPUTED_VALUE"""),46258)</f>
        <v>46258</v>
      </c>
      <c r="O232" s="1" t="str">
        <f>IFERROR(__xludf.DUMMYFUNCTION("""COMPUTED_VALUE"""),"FIBR UNLI ALL PLAN 999")</f>
        <v>FIBR UNLI ALL PLAN 999</v>
      </c>
      <c r="P232" s="1" t="str">
        <f>IFERROR(__xludf.DUMMYFUNCTION("""COMPUTED_VALUE"""),"LOWPLAN")</f>
        <v>LOWPLAN</v>
      </c>
      <c r="Q232" s="1" t="str">
        <f>IFERROR(__xludf.DUMMYFUNCTION("""COMPUTED_VALUE"""),"P407050")</f>
        <v>P407050</v>
      </c>
      <c r="R232" s="1" t="str">
        <f>IFERROR(__xludf.DUMMYFUNCTION("""COMPUTED_VALUE"""),"TAMAYO, MARY ROSE ZAIRA")</f>
        <v>TAMAYO, MARY ROSE ZAIRA</v>
      </c>
      <c r="S232" s="1" t="str">
        <f>IFERROR(__xludf.DUMMYFUNCTION("""COMPUTED_VALUE"""),"ORGANIC")</f>
        <v>ORGANIC</v>
      </c>
      <c r="T232" s="1" t="str">
        <f>IFERROR(__xludf.DUMMYFUNCTION("""COMPUTED_VALUE"""),"LEA REMOLLO")</f>
        <v>LEA REMOLLO</v>
      </c>
      <c r="U232" s="1" t="str">
        <f>IFERROR(__xludf.DUMMYFUNCTION("""COMPUTED_VALUE"""),"JB SALIOA")</f>
        <v>JB SALIOA</v>
      </c>
      <c r="V232" s="1" t="str">
        <f>IFERROR(__xludf.DUMMYFUNCTION("""COMPUTED_VALUE"""),"BK REGULAR")</f>
        <v>BK REGULAR</v>
      </c>
      <c r="W232" s="1" t="str">
        <f>IFERROR(__xludf.DUMMYFUNCTION("""COMPUTED_VALUE"""),"CSP")</f>
        <v>CSP</v>
      </c>
      <c r="X232" s="1" t="str">
        <f>IFERROR(__xludf.DUMMYFUNCTION("""COMPUTED_VALUE"""),"HBBS AUG 2026")</f>
        <v>HBBS AUG 2026</v>
      </c>
      <c r="Y232" s="1" t="str">
        <f>IFERROR(__xludf.DUMMYFUNCTION("""COMPUTED_VALUE"""),"BK_CVEU_260806")</f>
        <v>BK_CVEU_260806</v>
      </c>
      <c r="Z232" s="1" t="str">
        <f>IFERROR(__xludf.DUMMYFUNCTION("""COMPUTED_VALUE"""),"NEW CONNECT")</f>
        <v>NEW CONNECT</v>
      </c>
      <c r="AA232" s="1">
        <f>IFERROR(__xludf.DUMMYFUNCTION("""COMPUTED_VALUE"""),639063181661)</f>
        <v>639063181661</v>
      </c>
      <c r="AB232" s="1"/>
      <c r="AC232" s="1"/>
      <c r="AD232" s="1" t="str">
        <f>IFERROR(__xludf.DUMMYFUNCTION("""COMPUTED_VALUE"""),"PHASE 5")</f>
        <v>PHASE 5</v>
      </c>
      <c r="AE232" s="1"/>
      <c r="AF232" s="1" t="str">
        <f>IFERROR(__xludf.DUMMYFUNCTION("""COMPUTED_VALUE"""),"BGY NARRA 3")</f>
        <v>BGY NARRA 3</v>
      </c>
      <c r="AG232" s="1" t="str">
        <f>IFERROR(__xludf.DUMMYFUNCTION("""COMPUTED_VALUE"""),"SILANG")</f>
        <v>SILANG</v>
      </c>
      <c r="AH232" s="1" t="str">
        <f>IFERROR(__xludf.DUMMYFUNCTION("""COMPUTED_VALUE"""),"-")</f>
        <v>-</v>
      </c>
      <c r="AI232" s="1" t="str">
        <f>IFERROR(__xludf.DUMMYFUNCTION("""COMPUTED_VALUE"""),"CLUSTER 11")</f>
        <v>CLUSTER 11</v>
      </c>
    </row>
    <row r="233" customHeight="1" spans="1:35">
      <c r="A233" s="3">
        <f>IFERROR(__xludf.DUMMYFUNCTION("""COMPUTED_VALUE"""),46256)</f>
        <v>46256</v>
      </c>
      <c r="B233" s="1" t="str">
        <f>IFERROR(__xludf.DUMMYFUNCTION("""COMPUTED_VALUE"""),"CRISTOPHER ESTOESTA ABLAN")</f>
        <v>CRISTOPHER ESTOESTA ABLAN</v>
      </c>
      <c r="C233" s="1">
        <f>IFERROR(__xludf.DUMMYFUNCTION("""COMPUTED_VALUE"""),2311994859)</f>
        <v>2311994859</v>
      </c>
      <c r="D233" s="1">
        <f>IFERROR(__xludf.DUMMYFUNCTION("""COMPUTED_VALUE"""),407170881)</f>
        <v>407170881</v>
      </c>
      <c r="E233" s="1">
        <f>IFERROR(__xludf.DUMMYFUNCTION("""COMPUTED_VALUE"""),467506433004)</f>
        <v>467506433004</v>
      </c>
      <c r="F233" s="1" t="str">
        <f>IFERROR(__xludf.DUMMYFUNCTION("""COMPUTED_VALUE"""),"CANCELLED")</f>
        <v>CANCELLED</v>
      </c>
      <c r="G233" s="1" t="str">
        <f>IFERROR(__xludf.DUMMYFUNCTION("""COMPUTED_VALUE"""),"SITE VISITED UNTIL GATE ONLY REFUSE TO ENTRY BY HOA STAFF DUE TO NEED MOA FROM PLDT CIUDAD NUEVO PHASE 5")</f>
        <v>SITE VISITED UNTIL GATE ONLY REFUSE TO ENTRY BY HOA STAFF DUE TO NEED MOA FROM PLDT CIUDAD NUEVO PHASE 5</v>
      </c>
      <c r="H233" s="1"/>
      <c r="I233" s="1"/>
      <c r="J233" s="1"/>
      <c r="K233" s="1" t="str">
        <f>IFERROR(__xludf.DUMMYFUNCTION("""COMPUTED_VALUE"""),"CANCELED")</f>
        <v>CANCELED</v>
      </c>
      <c r="L233" s="1" t="str">
        <f>IFERROR(__xludf.DUMMYFUNCTION("""COMPUTED_VALUE"""),"RPR - SUBS UNMAIMTAINABLE")</f>
        <v>RPR - SUBS UNMAIMTAINABLE</v>
      </c>
      <c r="M233" s="1" t="str">
        <f>IFERROR(__xludf.DUMMYFUNCTION("""COMPUTED_VALUE"""),"RPR - UNMAINTAINABLE")</f>
        <v>RPR - UNMAINTAINABLE</v>
      </c>
      <c r="N233" s="3"/>
      <c r="O233" s="1" t="str">
        <f>IFERROR(__xludf.DUMMYFUNCTION("""COMPUTED_VALUE"""),"FIBR PLAN 1299")</f>
        <v>FIBR PLAN 1299</v>
      </c>
      <c r="P233" s="1" t="str">
        <f>IFERROR(__xludf.DUMMYFUNCTION("""COMPUTED_VALUE"""),"LOWPLAN")</f>
        <v>LOWPLAN</v>
      </c>
      <c r="Q233" s="1" t="str">
        <f>IFERROR(__xludf.DUMMYFUNCTION("""COMPUTED_VALUE"""),"P407046")</f>
        <v>P407046</v>
      </c>
      <c r="R233" s="1" t="str">
        <f>IFERROR(__xludf.DUMMYFUNCTION("""COMPUTED_VALUE"""),"MALIWAT, MARK")</f>
        <v>MALIWAT, MARK</v>
      </c>
      <c r="S233" s="1" t="str">
        <f>IFERROR(__xludf.DUMMYFUNCTION("""COMPUTED_VALUE"""),"FLA")</f>
        <v>FLA</v>
      </c>
      <c r="T233" s="1" t="str">
        <f>IFERROR(__xludf.DUMMYFUNCTION("""COMPUTED_VALUE"""),"JERIC NAVARRO")</f>
        <v>JERIC NAVARRO</v>
      </c>
      <c r="U233" s="1" t="str">
        <f>IFERROR(__xludf.DUMMYFUNCTION("""COMPUTED_VALUE"""),"JB SALIOA")</f>
        <v>JB SALIOA</v>
      </c>
      <c r="V233" s="1" t="str">
        <f>IFERROR(__xludf.DUMMYFUNCTION("""COMPUTED_VALUE"""),"ONLINE/CRANFORD")</f>
        <v>ONLINE/CRANFORD</v>
      </c>
      <c r="W233" s="1" t="str">
        <f>IFERROR(__xludf.DUMMYFUNCTION("""COMPUTED_VALUE"""),"STK REGULAR")</f>
        <v>STK REGULAR</v>
      </c>
      <c r="X233" s="1" t="str">
        <f>IFERROR(__xludf.DUMMYFUNCTION("""COMPUTED_VALUE"""),"REGULAR")</f>
        <v>REGULAR</v>
      </c>
      <c r="Y233" s="1" t="str">
        <f>IFERROR(__xludf.DUMMYFUNCTION("""COMPUTED_VALUE"""),"RS_ONL_CVEU_2026")</f>
        <v>RS_ONL_CVEU_2026</v>
      </c>
      <c r="Z233" s="1" t="str">
        <f>IFERROR(__xludf.DUMMYFUNCTION("""COMPUTED_VALUE"""),"NEW CONNECT")</f>
        <v>NEW CONNECT</v>
      </c>
      <c r="AA233" s="1">
        <f>IFERROR(__xludf.DUMMYFUNCTION("""COMPUTED_VALUE"""),639163244144)</f>
        <v>639163244144</v>
      </c>
      <c r="AB233" s="1">
        <f>IFERROR(__xludf.DUMMYFUNCTION("""COMPUTED_VALUE"""),639071158796)</f>
        <v>639071158796</v>
      </c>
      <c r="AC233" s="1"/>
      <c r="AD233" s="1" t="str">
        <f>IFERROR(__xludf.DUMMYFUNCTION("""COMPUTED_VALUE"""),"PHASE 5")</f>
        <v>PHASE 5</v>
      </c>
      <c r="AE233" s="1" t="str">
        <f>IFERROR(__xludf.DUMMYFUNCTION("""COMPUTED_VALUE"""),"CIUDAD NUEVO")</f>
        <v>CIUDAD NUEVO</v>
      </c>
      <c r="AF233" s="1" t="str">
        <f>IFERROR(__xludf.DUMMYFUNCTION("""COMPUTED_VALUE"""),"BGY SABANG")</f>
        <v>BGY SABANG</v>
      </c>
      <c r="AG233" s="1" t="str">
        <f>IFERROR(__xludf.DUMMYFUNCTION("""COMPUTED_VALUE"""),"NAIC")</f>
        <v>NAIC</v>
      </c>
      <c r="AH233" s="1" t="str">
        <f>IFERROR(__xludf.DUMMYFUNCTION("""COMPUTED_VALUE"""),"NEAR MOTOR SHOP AND PHASE 5 GATE")</f>
        <v>NEAR MOTOR SHOP AND PHASE 5 GATE</v>
      </c>
      <c r="AI233" s="1" t="str">
        <f>IFERROR(__xludf.DUMMYFUNCTION("""COMPUTED_VALUE"""),"NOT AOR")</f>
        <v>NOT AOR</v>
      </c>
    </row>
    <row r="234" customHeight="1" spans="1:35">
      <c r="A234" s="3">
        <f>IFERROR(__xludf.DUMMYFUNCTION("""COMPUTED_VALUE"""),46256)</f>
        <v>46256</v>
      </c>
      <c r="B234" s="1" t="str">
        <f>IFERROR(__xludf.DUMMYFUNCTION("""COMPUTED_VALUE"""),"FRANCESCA DONITA SIDAMON PEREZ")</f>
        <v>FRANCESCA DONITA SIDAMON PEREZ</v>
      </c>
      <c r="C234" s="1">
        <f>IFERROR(__xludf.DUMMYFUNCTION("""COMPUTED_VALUE"""),2311994854)</f>
        <v>2311994854</v>
      </c>
      <c r="D234" s="1">
        <f>IFERROR(__xludf.DUMMYFUNCTION("""COMPUTED_VALUE"""),407175905)</f>
        <v>407175905</v>
      </c>
      <c r="E234" s="1">
        <f>IFERROR(__xludf.DUMMYFUNCTION("""COMPUTED_VALUE"""),467507884004)</f>
        <v>467507884004</v>
      </c>
      <c r="F234" s="1" t="str">
        <f>IFERROR(__xludf.DUMMYFUNCTION("""COMPUTED_VALUE"""),"CLOSED")</f>
        <v>CLOSED</v>
      </c>
      <c r="G234" s="1" t="str">
        <f>IFERROR(__xludf.DUMMYFUNCTION("""COMPUTED_VALUE"""),"CLOSED")</f>
        <v>CLOSED</v>
      </c>
      <c r="H234" s="1" t="str">
        <f>IFERROR(__xludf.DUMMYFUNCTION("""COMPUTED_VALUE"""),"QGOR361700423	23-Aug-26	Regular Payment	CIS-GCASH 3.0	1,399.00	938383610	23-Aug-26")</f>
        <v>QGOR361700423	23-Aug-26	Regular Payment	CIS-GCASH 3.0	1,399.00	938383610	23-Aug-26</v>
      </c>
      <c r="I234" s="1" t="str">
        <f>IFERROR(__xludf.DUMMYFUNCTION("""COMPUTED_VALUE"""),"WITH 1 AMSF")</f>
        <v>WITH 1 AMSF</v>
      </c>
      <c r="J234" s="1" t="str">
        <f>IFERROR(__xludf.DUMMYFUNCTION("""COMPUTED_VALUE"""),"WITH PRO RATED- 45.13")</f>
        <v>WITH PRO RATED- 45.13</v>
      </c>
      <c r="K234" s="1" t="str">
        <f>IFERROR(__xludf.DUMMYFUNCTION("""COMPUTED_VALUE"""),"COMPLETED")</f>
        <v>COMPLETED</v>
      </c>
      <c r="L234" s="1" t="str">
        <f>IFERROR(__xludf.DUMMYFUNCTION("""COMPUTED_VALUE"""),"POSTED")</f>
        <v>POSTED</v>
      </c>
      <c r="M234" s="1" t="str">
        <f>IFERROR(__xludf.DUMMYFUNCTION("""COMPUTED_VALUE"""),"POSTED")</f>
        <v>POSTED</v>
      </c>
      <c r="N234" s="3">
        <f>IFERROR(__xludf.DUMMYFUNCTION("""COMPUTED_VALUE"""),46257)</f>
        <v>46257</v>
      </c>
      <c r="O234" s="1" t="str">
        <f>IFERROR(__xludf.DUMMYFUNCTION("""COMPUTED_VALUE"""),"FIBR PLAN 1299")</f>
        <v>FIBR PLAN 1299</v>
      </c>
      <c r="P234" s="1" t="str">
        <f>IFERROR(__xludf.DUMMYFUNCTION("""COMPUTED_VALUE"""),"LOWPLAN")</f>
        <v>LOWPLAN</v>
      </c>
      <c r="Q234" s="1" t="str">
        <f>IFERROR(__xludf.DUMMYFUNCTION("""COMPUTED_VALUE"""),"P407050")</f>
        <v>P407050</v>
      </c>
      <c r="R234" s="1" t="str">
        <f>IFERROR(__xludf.DUMMYFUNCTION("""COMPUTED_VALUE"""),"MORADOS, MARVIN")</f>
        <v>MORADOS, MARVIN</v>
      </c>
      <c r="S234" s="1" t="str">
        <f>IFERROR(__xludf.DUMMYFUNCTION("""COMPUTED_VALUE"""),"ORGANIC")</f>
        <v>ORGANIC</v>
      </c>
      <c r="T234" s="1" t="str">
        <f>IFERROR(__xludf.DUMMYFUNCTION("""COMPUTED_VALUE"""),"JERIC NAVARRO")</f>
        <v>JERIC NAVARRO</v>
      </c>
      <c r="U234" s="1" t="str">
        <f>IFERROR(__xludf.DUMMYFUNCTION("""COMPUTED_VALUE"""),"JULIE ESPIRITU")</f>
        <v>JULIE ESPIRITU</v>
      </c>
      <c r="V234" s="1" t="str">
        <f>IFERROR(__xludf.DUMMYFUNCTION("""COMPUTED_VALUE"""),"ONLINE/CRANFORD")</f>
        <v>ONLINE/CRANFORD</v>
      </c>
      <c r="W234" s="1" t="str">
        <f>IFERROR(__xludf.DUMMYFUNCTION("""COMPUTED_VALUE"""),"STK REGULAR")</f>
        <v>STK REGULAR</v>
      </c>
      <c r="X234" s="1" t="str">
        <f>IFERROR(__xludf.DUMMYFUNCTION("""COMPUTED_VALUE"""),"REGULAR")</f>
        <v>REGULAR</v>
      </c>
      <c r="Y234" s="1" t="str">
        <f>IFERROR(__xludf.DUMMYFUNCTION("""COMPUTED_VALUE"""),"RS_ONL_CVEU_2026")</f>
        <v>RS_ONL_CVEU_2026</v>
      </c>
      <c r="Z234" s="1" t="str">
        <f>IFERROR(__xludf.DUMMYFUNCTION("""COMPUTED_VALUE"""),"NEW CONNECT")</f>
        <v>NEW CONNECT</v>
      </c>
      <c r="AA234" s="1">
        <f>IFERROR(__xludf.DUMMYFUNCTION("""COMPUTED_VALUE"""),639650546952)</f>
        <v>639650546952</v>
      </c>
      <c r="AB234" s="1">
        <f>IFERROR(__xludf.DUMMYFUNCTION("""COMPUTED_VALUE"""),639650546952)</f>
        <v>639650546952</v>
      </c>
      <c r="AC234" s="1">
        <f>IFERROR(__xludf.DUMMYFUNCTION("""COMPUTED_VALUE"""),235)</f>
        <v>235</v>
      </c>
      <c r="AD234" s="1" t="str">
        <f>IFERROR(__xludf.DUMMYFUNCTION("""COMPUTED_VALUE"""),"PUNTA 2")</f>
        <v>PUNTA 2</v>
      </c>
      <c r="AE234" s="1"/>
      <c r="AF234" s="1" t="str">
        <f>IFERROR(__xludf.DUMMYFUNCTION("""COMPUTED_VALUE"""),"BGY PUNTA 2")</f>
        <v>BGY PUNTA 2</v>
      </c>
      <c r="AG234" s="1" t="str">
        <f>IFERROR(__xludf.DUMMYFUNCTION("""COMPUTED_VALUE"""),"TANZA")</f>
        <v>TANZA</v>
      </c>
      <c r="AH234" s="1" t="str">
        <f>IFERROR(__xludf.DUMMYFUNCTION("""COMPUTED_VALUE"""),"VISTA MALL TANZA")</f>
        <v>VISTA MALL TANZA</v>
      </c>
      <c r="AI234" s="1" t="str">
        <f>IFERROR(__xludf.DUMMYFUNCTION("""COMPUTED_VALUE"""),"NOT AOR")</f>
        <v>NOT AOR</v>
      </c>
    </row>
    <row r="235" customHeight="1" spans="1:35">
      <c r="A235" s="3">
        <f>IFERROR(__xludf.DUMMYFUNCTION("""COMPUTED_VALUE"""),46256)</f>
        <v>46256</v>
      </c>
      <c r="B235" s="1" t="str">
        <f>IFERROR(__xludf.DUMMYFUNCTION("""COMPUTED_VALUE"""),"ANA MARIA GLO LOREN SMITH")</f>
        <v>ANA MARIA GLO LOREN SMITH</v>
      </c>
      <c r="C235" s="1">
        <f>IFERROR(__xludf.DUMMYFUNCTION("""COMPUTED_VALUE"""),2311996514)</f>
        <v>2311996514</v>
      </c>
      <c r="D235" s="1">
        <f>IFERROR(__xludf.DUMMYFUNCTION("""COMPUTED_VALUE"""),407220412)</f>
        <v>407220412</v>
      </c>
      <c r="E235" s="1">
        <f>IFERROR(__xludf.DUMMYFUNCTION("""COMPUTED_VALUE"""),467648934004)</f>
        <v>467648934004</v>
      </c>
      <c r="F235" s="1" t="str">
        <f>IFERROR(__xludf.DUMMYFUNCTION("""COMPUTED_VALUE"""),"CLOSED")</f>
        <v>CLOSED</v>
      </c>
      <c r="G235" s="1" t="str">
        <f>IFERROR(__xludf.DUMMYFUNCTION("""COMPUTED_VALUE"""),"CLOSED")</f>
        <v>CLOSED</v>
      </c>
      <c r="H235" s="1" t="str">
        <f>IFERROR(__xludf.DUMMYFUNCTION("""COMPUTED_VALUE"""),"PQGOR362017540	27-Aug-26	Regular Payment	CIS-GCASH 3.0	1,560.00	938986533	27-Aug-26")</f>
        <v>PQGOR362017540	27-Aug-26	Regular Payment	CIS-GCASH 3.0	1,560.00	938986533	27-Aug-26</v>
      </c>
      <c r="I235" s="1" t="str">
        <f>IFERROR(__xludf.DUMMYFUNCTION("""COMPUTED_VALUE"""),"WITH 1 AMSF")</f>
        <v>WITH 1 AMSF</v>
      </c>
      <c r="J235" s="1"/>
      <c r="K235" s="1" t="str">
        <f>IFERROR(__xludf.DUMMYFUNCTION("""COMPUTED_VALUE"""),"COMPLETED")</f>
        <v>COMPLETED</v>
      </c>
      <c r="L235" s="1" t="str">
        <f>IFERROR(__xludf.DUMMYFUNCTION("""COMPUTED_VALUE"""),"POSTED")</f>
        <v>POSTED</v>
      </c>
      <c r="M235" s="1" t="str">
        <f>IFERROR(__xludf.DUMMYFUNCTION("""COMPUTED_VALUE"""),"POSTED")</f>
        <v>POSTED</v>
      </c>
      <c r="N235" s="3">
        <f>IFERROR(__xludf.DUMMYFUNCTION("""COMPUTED_VALUE"""),46259)</f>
        <v>46259</v>
      </c>
      <c r="O235" s="1" t="str">
        <f>IFERROR(__xludf.DUMMYFUNCTION("""COMPUTED_VALUE"""),"FIBER UNLI ALL PLAN 1499")</f>
        <v>FIBER UNLI ALL PLAN 1499</v>
      </c>
      <c r="P235" s="1" t="str">
        <f>IFERROR(__xludf.DUMMYFUNCTION("""COMPUTED_VALUE"""),"LOWPLAN")</f>
        <v>LOWPLAN</v>
      </c>
      <c r="Q235" s="1" t="str">
        <f>IFERROR(__xludf.DUMMYFUNCTION("""COMPUTED_VALUE"""),"P407050")</f>
        <v>P407050</v>
      </c>
      <c r="R235" s="1" t="str">
        <f>IFERROR(__xludf.DUMMYFUNCTION("""COMPUTED_VALUE"""),"IVNO, RAZZEL")</f>
        <v>IVNO, RAZZEL</v>
      </c>
      <c r="S235" s="1" t="str">
        <f>IFERROR(__xludf.DUMMYFUNCTION("""COMPUTED_VALUE"""),"ORGANIC")</f>
        <v>ORGANIC</v>
      </c>
      <c r="T235" s="1" t="str">
        <f>IFERROR(__xludf.DUMMYFUNCTION("""COMPUTED_VALUE"""),"LEA REMOLLO")</f>
        <v>LEA REMOLLO</v>
      </c>
      <c r="U235" s="1" t="str">
        <f>IFERROR(__xludf.DUMMYFUNCTION("""COMPUTED_VALUE"""),"JB SALIOA")</f>
        <v>JB SALIOA</v>
      </c>
      <c r="V235" s="1" t="str">
        <f>IFERROR(__xludf.DUMMYFUNCTION("""COMPUTED_VALUE"""),"ONLINE/CRANFORD")</f>
        <v>ONLINE/CRANFORD</v>
      </c>
      <c r="W235" s="1" t="str">
        <f>IFERROR(__xludf.DUMMYFUNCTION("""COMPUTED_VALUE"""),"STK REGULAR")</f>
        <v>STK REGULAR</v>
      </c>
      <c r="X235" s="1" t="str">
        <f>IFERROR(__xludf.DUMMYFUNCTION("""COMPUTED_VALUE"""),"HBBS AUG 2026")</f>
        <v>HBBS AUG 2026</v>
      </c>
      <c r="Y235" s="1" t="str">
        <f>IFERROR(__xludf.DUMMYFUNCTION("""COMPUTED_VALUE"""),"RS_ONL_CVEU_2026")</f>
        <v>RS_ONL_CVEU_2026</v>
      </c>
      <c r="Z235" s="1" t="str">
        <f>IFERROR(__xludf.DUMMYFUNCTION("""COMPUTED_VALUE"""),"NEW CONNECT")</f>
        <v>NEW CONNECT</v>
      </c>
      <c r="AA235" s="1">
        <f>IFERROR(__xludf.DUMMYFUNCTION("""COMPUTED_VALUE"""),639278918060)</f>
        <v>639278918060</v>
      </c>
      <c r="AB235" s="1">
        <f>IFERROR(__xludf.DUMMYFUNCTION("""COMPUTED_VALUE"""),639563578819)</f>
        <v>639563578819</v>
      </c>
      <c r="AC235" s="1">
        <f>IFERROR(__xludf.DUMMYFUNCTION("""COMPUTED_VALUE"""),834)</f>
        <v>834</v>
      </c>
      <c r="AD235" s="1" t="str">
        <f>IFERROR(__xludf.DUMMYFUNCTION("""COMPUTED_VALUE"""),"PUROK 3")</f>
        <v>PUROK 3</v>
      </c>
      <c r="AE235" s="1"/>
      <c r="AF235" s="1" t="str">
        <f>IFERROR(__xludf.DUMMYFUNCTION("""COMPUTED_VALUE"""),"BGY TAPIA")</f>
        <v>BGY TAPIA</v>
      </c>
      <c r="AG235" s="1" t="str">
        <f>IFERROR(__xludf.DUMMYFUNCTION("""COMPUTED_VALUE"""),"GENERAL TRIAS")</f>
        <v>GENERAL TRIAS</v>
      </c>
      <c r="AH235" s="1" t="str">
        <f>IFERROR(__xludf.DUMMYFUNCTION("""COMPUTED_VALUE"""),"INFRONT OF ALFAMART")</f>
        <v>INFRONT OF ALFAMART</v>
      </c>
      <c r="AI235" s="1" t="str">
        <f>IFERROR(__xludf.DUMMYFUNCTION("""COMPUTED_VALUE"""),"NOT AOR")</f>
        <v>NOT AOR</v>
      </c>
    </row>
    <row r="236" customHeight="1" spans="1:35">
      <c r="A236" s="3">
        <f>IFERROR(__xludf.DUMMYFUNCTION("""COMPUTED_VALUE"""),46256)</f>
        <v>46256</v>
      </c>
      <c r="B236" s="1" t="str">
        <f>IFERROR(__xludf.DUMMYFUNCTION("""COMPUTED_VALUE"""),"LECARTE . OLARAN")</f>
        <v>LECARTE . OLARAN</v>
      </c>
      <c r="C236" s="1">
        <f>IFERROR(__xludf.DUMMYFUNCTION("""COMPUTED_VALUE"""),2311997037)</f>
        <v>2311997037</v>
      </c>
      <c r="D236" s="1">
        <f>IFERROR(__xludf.DUMMYFUNCTION("""COMPUTED_VALUE"""),407169689)</f>
        <v>407169689</v>
      </c>
      <c r="E236" s="1">
        <f>IFERROR(__xludf.DUMMYFUNCTION("""COMPUTED_VALUE"""),467505803004)</f>
        <v>467505803004</v>
      </c>
      <c r="F236" s="1" t="str">
        <f>IFERROR(__xludf.DUMMYFUNCTION("""COMPUTED_VALUE"""),"CLOSED")</f>
        <v>CLOSED</v>
      </c>
      <c r="G236" s="1" t="str">
        <f>IFERROR(__xludf.DUMMYFUNCTION("""COMPUTED_VALUE"""),"CLOSED")</f>
        <v>CLOSED</v>
      </c>
      <c r="H236" s="1" t="str">
        <f>IFERROR(__xludf.DUMMYFUNCTION("""COMPUTED_VALUE"""),"PAID VIA GCASH - AUG 24 - REF- 089894466")</f>
        <v>PAID VIA GCASH - AUG 24 - REF- 089894466</v>
      </c>
      <c r="I236" s="1" t="str">
        <f>IFERROR(__xludf.DUMMYFUNCTION("""COMPUTED_VALUE"""),"WITH 1 AMSF")</f>
        <v>WITH 1 AMSF</v>
      </c>
      <c r="J236" s="1"/>
      <c r="K236" s="1" t="str">
        <f>IFERROR(__xludf.DUMMYFUNCTION("""COMPUTED_VALUE"""),"COMPLETED")</f>
        <v>COMPLETED</v>
      </c>
      <c r="L236" s="1" t="str">
        <f>IFERROR(__xludf.DUMMYFUNCTION("""COMPUTED_VALUE"""),"POSTED")</f>
        <v>POSTED</v>
      </c>
      <c r="M236" s="1" t="str">
        <f>IFERROR(__xludf.DUMMYFUNCTION("""COMPUTED_VALUE"""),"POSTED")</f>
        <v>POSTED</v>
      </c>
      <c r="N236" s="3">
        <f>IFERROR(__xludf.DUMMYFUNCTION("""COMPUTED_VALUE"""),46257)</f>
        <v>46257</v>
      </c>
      <c r="O236" s="1" t="str">
        <f>IFERROR(__xludf.DUMMYFUNCTION("""COMPUTED_VALUE"""),"FIBR PLAN 1299")</f>
        <v>FIBR PLAN 1299</v>
      </c>
      <c r="P236" s="1" t="str">
        <f>IFERROR(__xludf.DUMMYFUNCTION("""COMPUTED_VALUE"""),"LOWPLAN")</f>
        <v>LOWPLAN</v>
      </c>
      <c r="Q236" s="1" t="str">
        <f>IFERROR(__xludf.DUMMYFUNCTION("""COMPUTED_VALUE"""),"P407050")</f>
        <v>P407050</v>
      </c>
      <c r="R236" s="1" t="str">
        <f>IFERROR(__xludf.DUMMYFUNCTION("""COMPUTED_VALUE"""),"CADERAO, RONALD")</f>
        <v>CADERAO, RONALD</v>
      </c>
      <c r="S236" s="1" t="str">
        <f>IFERROR(__xludf.DUMMYFUNCTION("""COMPUTED_VALUE"""),"ORGANIC")</f>
        <v>ORGANIC</v>
      </c>
      <c r="T236" s="1" t="str">
        <f>IFERROR(__xludf.DUMMYFUNCTION("""COMPUTED_VALUE"""),"LEA REMOLLO")</f>
        <v>LEA REMOLLO</v>
      </c>
      <c r="U236" s="1" t="str">
        <f>IFERROR(__xludf.DUMMYFUNCTION("""COMPUTED_VALUE"""),"JB SALIOA")</f>
        <v>JB SALIOA</v>
      </c>
      <c r="V236" s="1" t="str">
        <f>IFERROR(__xludf.DUMMYFUNCTION("""COMPUTED_VALUE"""),"BK EXPRESS")</f>
        <v>BK EXPRESS</v>
      </c>
      <c r="W236" s="1" t="str">
        <f>IFERROR(__xludf.DUMMYFUNCTION("""COMPUTED_VALUE"""),"BK HSTK")</f>
        <v>BK HSTK</v>
      </c>
      <c r="X236" s="1" t="str">
        <f>IFERROR(__xludf.DUMMYFUNCTION("""COMPUTED_VALUE"""),"REGULAR")</f>
        <v>REGULAR</v>
      </c>
      <c r="Y236" s="1" t="str">
        <f>IFERROR(__xludf.DUMMYFUNCTION("""COMPUTED_VALUE"""),"BK_CVEU_260806")</f>
        <v>BK_CVEU_260806</v>
      </c>
      <c r="Z236" s="1" t="str">
        <f>IFERROR(__xludf.DUMMYFUNCTION("""COMPUTED_VALUE"""),"NEW CONNECT")</f>
        <v>NEW CONNECT</v>
      </c>
      <c r="AA236" s="1">
        <f>IFERROR(__xludf.DUMMYFUNCTION("""COMPUTED_VALUE"""),639812564984)</f>
        <v>639812564984</v>
      </c>
      <c r="AB236" s="1">
        <f>IFERROR(__xludf.DUMMYFUNCTION("""COMPUTED_VALUE"""),639453362783)</f>
        <v>639453362783</v>
      </c>
      <c r="AC236" s="1">
        <f>IFERROR(__xludf.DUMMYFUNCTION("""COMPUTED_VALUE"""),220)</f>
        <v>220</v>
      </c>
      <c r="AD236" s="1" t="str">
        <f>IFERROR(__xludf.DUMMYFUNCTION("""COMPUTED_VALUE"""),"ILAYA")</f>
        <v>ILAYA</v>
      </c>
      <c r="AE236" s="1" t="str">
        <f>IFERROR(__xludf.DUMMYFUNCTION("""COMPUTED_VALUE"""),"PUROK 2")</f>
        <v>PUROK 2</v>
      </c>
      <c r="AF236" s="1" t="str">
        <f>IFERROR(__xludf.DUMMYFUNCTION("""COMPUTED_VALUE"""),"BGY SANTOL")</f>
        <v>BGY SANTOL</v>
      </c>
      <c r="AG236" s="1" t="str">
        <f>IFERROR(__xludf.DUMMYFUNCTION("""COMPUTED_VALUE"""),"SILANG")</f>
        <v>SILANG</v>
      </c>
      <c r="AH236" s="1" t="str">
        <f>IFERROR(__xludf.DUMMYFUNCTION("""COMPUTED_VALUE"""),"BKEXPRESS_NEAR MASTER HIDEOUT AUTO CARE CENTER")</f>
        <v>BKEXPRESS_NEAR MASTER HIDEOUT AUTO CARE CENTER</v>
      </c>
      <c r="AI236" s="1" t="str">
        <f>IFERROR(__xludf.DUMMYFUNCTION("""COMPUTED_VALUE"""),"CLUSTER 11")</f>
        <v>CLUSTER 11</v>
      </c>
    </row>
    <row r="237" customHeight="1" spans="1:35">
      <c r="A237" s="3">
        <f>IFERROR(__xludf.DUMMYFUNCTION("""COMPUTED_VALUE"""),46256)</f>
        <v>46256</v>
      </c>
      <c r="B237" s="1" t="str">
        <f>IFERROR(__xludf.DUMMYFUNCTION("""COMPUTED_VALUE"""),"CHERRY ALABADO CASTRO")</f>
        <v>CHERRY ALABADO CASTRO</v>
      </c>
      <c r="C237" s="1">
        <f>IFERROR(__xludf.DUMMYFUNCTION("""COMPUTED_VALUE"""),2311999724)</f>
        <v>2311999724</v>
      </c>
      <c r="D237" s="1">
        <f>IFERROR(__xludf.DUMMYFUNCTION("""COMPUTED_VALUE"""),407200373)</f>
        <v>407200373</v>
      </c>
      <c r="E237" s="1">
        <f>IFERROR(__xludf.DUMMYFUNCTION("""COMPUTED_VALUE"""),467627408004)</f>
        <v>467627408004</v>
      </c>
      <c r="F237" s="1" t="str">
        <f>IFERROR(__xludf.DUMMYFUNCTION("""COMPUTED_VALUE"""),"FOR CALL OUT RSO")</f>
        <v>FOR CALL OUT RSO</v>
      </c>
      <c r="G237" s="1" t="str">
        <f>IFERROR(__xludf.DUMMYFUNCTION("""COMPUTED_VALUE"""),"CANCEL APPLICATION ALREADY INSTALLED ON AUGUST 23 2026 ‎ CHERRY ALABADO CASTRO ‎467371821004 ‎0468532432 ‎ALREADY ADVISE SUB VIA TEXT HINDI PO KASI NASAGOT SA CALL ‎")</f>
        <v>CANCEL APPLICATION ALREADY INSTALLED ON AUGUST 23 2026 ‎ CHERRY ALABADO CASTRO ‎467371821004 ‎0468532432 ‎ALREADY ADVISE SUB VIA TEXT HINDI PO KASI NASAGOT SA CALL ‎</v>
      </c>
      <c r="H237" s="1" t="str">
        <f>IFERROR(__xludf.DUMMYFUNCTION("""COMPUTED_VALUE"""),"PAID VIA GCASH REF 810583922 AGUST 23")</f>
        <v>PAID VIA GCASH REF 810583922 AGUST 23</v>
      </c>
      <c r="I237" s="1" t="str">
        <f>IFERROR(__xludf.DUMMYFUNCTION("""COMPUTED_VALUE"""),"WITH 1 AMSF")</f>
        <v>WITH 1 AMSF</v>
      </c>
      <c r="J237" s="1"/>
      <c r="K237" s="1" t="str">
        <f>IFERROR(__xludf.DUMMYFUNCTION("""COMPUTED_VALUE"""),"CANCELED")</f>
        <v>CANCELED</v>
      </c>
      <c r="L237" s="1" t="str">
        <f>IFERROR(__xludf.DUMMYFUNCTION("""COMPUTED_VALUE"""),"FOR CALL OUT RSO")</f>
        <v>FOR CALL OUT RSO</v>
      </c>
      <c r="M237" s="1" t="str">
        <f>IFERROR(__xludf.DUMMYFUNCTION("""COMPUTED_VALUE"""),"CANCELLED - SUBS CANCEL REQUEST")</f>
        <v>CANCELLED - SUBS CANCEL REQUEST</v>
      </c>
      <c r="N237" s="3"/>
      <c r="O237" s="1" t="str">
        <f>IFERROR(__xludf.DUMMYFUNCTION("""COMPUTED_VALUE"""),"FIBR PLAN 1299")</f>
        <v>FIBR PLAN 1299</v>
      </c>
      <c r="P237" s="1" t="str">
        <f>IFERROR(__xludf.DUMMYFUNCTION("""COMPUTED_VALUE"""),"LOWPLAN")</f>
        <v>LOWPLAN</v>
      </c>
      <c r="Q237" s="1" t="str">
        <f>IFERROR(__xludf.DUMMYFUNCTION("""COMPUTED_VALUE"""),"P407050")</f>
        <v>P407050</v>
      </c>
      <c r="R237" s="1" t="str">
        <f>IFERROR(__xludf.DUMMYFUNCTION("""COMPUTED_VALUE"""),"MORADOS, MARVIN")</f>
        <v>MORADOS, MARVIN</v>
      </c>
      <c r="S237" s="1" t="str">
        <f>IFERROR(__xludf.DUMMYFUNCTION("""COMPUTED_VALUE"""),"ORGANIC")</f>
        <v>ORGANIC</v>
      </c>
      <c r="T237" s="1" t="str">
        <f>IFERROR(__xludf.DUMMYFUNCTION("""COMPUTED_VALUE"""),"JERIC NAVARRO")</f>
        <v>JERIC NAVARRO</v>
      </c>
      <c r="U237" s="1" t="str">
        <f>IFERROR(__xludf.DUMMYFUNCTION("""COMPUTED_VALUE"""),"JULIE ESPIRITU")</f>
        <v>JULIE ESPIRITU</v>
      </c>
      <c r="V237" s="1" t="str">
        <f>IFERROR(__xludf.DUMMYFUNCTION("""COMPUTED_VALUE"""),"ONLINE/CRANFORD")</f>
        <v>ONLINE/CRANFORD</v>
      </c>
      <c r="W237" s="1" t="str">
        <f>IFERROR(__xludf.DUMMYFUNCTION("""COMPUTED_VALUE"""),"BK HSTK")</f>
        <v>BK HSTK</v>
      </c>
      <c r="X237" s="1" t="str">
        <f>IFERROR(__xludf.DUMMYFUNCTION("""COMPUTED_VALUE"""),"REGULAR")</f>
        <v>REGULAR</v>
      </c>
      <c r="Y237" s="1" t="str">
        <f>IFERROR(__xludf.DUMMYFUNCTION("""COMPUTED_VALUE"""),"RS_ONL_CVEU_2026")</f>
        <v>RS_ONL_CVEU_2026</v>
      </c>
      <c r="Z237" s="1" t="str">
        <f>IFERROR(__xludf.DUMMYFUNCTION("""COMPUTED_VALUE"""),"NEW CONNECT")</f>
        <v>NEW CONNECT</v>
      </c>
      <c r="AA237" s="1">
        <f>IFERROR(__xludf.DUMMYFUNCTION("""COMPUTED_VALUE"""),639670898501)</f>
        <v>639670898501</v>
      </c>
      <c r="AB237" s="1">
        <f>IFERROR(__xludf.DUMMYFUNCTION("""COMPUTED_VALUE"""),639565631632)</f>
        <v>639565631632</v>
      </c>
      <c r="AC237" s="1"/>
      <c r="AD237" s="1" t="str">
        <f>IFERROR(__xludf.DUMMYFUNCTION("""COMPUTED_VALUE"""),"BRIER")</f>
        <v>BRIER</v>
      </c>
      <c r="AE237" s="1" t="str">
        <f>IFERROR(__xludf.DUMMYFUNCTION("""COMPUTED_VALUE"""),"KENSINGTON 16 LANCASTER NEW")</f>
        <v>KENSINGTON 16 LANCASTER NEW</v>
      </c>
      <c r="AF237" s="1" t="str">
        <f>IFERROR(__xludf.DUMMYFUNCTION("""COMPUTED_VALUE"""),"BGY NAVARRO")</f>
        <v>BGY NAVARRO</v>
      </c>
      <c r="AG237" s="1" t="str">
        <f>IFERROR(__xludf.DUMMYFUNCTION("""COMPUTED_VALUE"""),"GENERAL TRIAS")</f>
        <v>GENERAL TRIAS</v>
      </c>
      <c r="AH237" s="1"/>
      <c r="AI237" s="1" t="str">
        <f>IFERROR(__xludf.DUMMYFUNCTION("""COMPUTED_VALUE"""),"NOT AOR")</f>
        <v>NOT AOR</v>
      </c>
    </row>
    <row r="238" customHeight="1" spans="1:35">
      <c r="A238" s="3">
        <f>IFERROR(__xludf.DUMMYFUNCTION("""COMPUTED_VALUE"""),46256)</f>
        <v>46256</v>
      </c>
      <c r="B238" s="1" t="str">
        <f>IFERROR(__xludf.DUMMYFUNCTION("""COMPUTED_VALUE"""),"HONEY GRACE PITAO FLORES")</f>
        <v>HONEY GRACE PITAO FLORES</v>
      </c>
      <c r="C238" s="1">
        <f>IFERROR(__xludf.DUMMYFUNCTION("""COMPUTED_VALUE"""),2311999849)</f>
        <v>2311999849</v>
      </c>
      <c r="D238" s="1">
        <f>IFERROR(__xludf.DUMMYFUNCTION("""COMPUTED_VALUE"""),407177843)</f>
        <v>407177843</v>
      </c>
      <c r="E238" s="1">
        <f>IFERROR(__xludf.DUMMYFUNCTION("""COMPUTED_VALUE"""),467508912004)</f>
        <v>467508912004</v>
      </c>
      <c r="F238" s="1" t="str">
        <f>IFERROR(__xludf.DUMMYFUNCTION("""COMPUTED_VALUE"""),"RPR")</f>
        <v>RPR</v>
      </c>
      <c r="G238" s="1" t="str">
        <f>IFERROR(__xludf.DUMMYFUNCTION("""COMPUTED_VALUE"""),"RPR CALLTHRU REMARKS   CANCEL APPLICATION MAY OTHER INTERNET PROVIDER NA RAW SILA SUBS TALK JHON   BAYAW   09240461502 09206361593")</f>
        <v>RPR CALLTHRU REMARKS   CANCEL APPLICATION MAY OTHER INTERNET PROVIDER NA RAW SILA SUBS TALK JHON   BAYAW   09240461502 09206361593</v>
      </c>
      <c r="H238" s="1"/>
      <c r="I238" s="1"/>
      <c r="J238" s="1"/>
      <c r="K238" s="1" t="str">
        <f>IFERROR(__xludf.DUMMYFUNCTION("""COMPUTED_VALUE"""),"CANCELED")</f>
        <v>CANCELED</v>
      </c>
      <c r="L238" s="1" t="str">
        <f>IFERROR(__xludf.DUMMYFUNCTION("""COMPUTED_VALUE"""),"RPR- SUBS CANCEL REQUEST")</f>
        <v>RPR- SUBS CANCEL REQUEST</v>
      </c>
      <c r="M238" s="1" t="str">
        <f>IFERROR(__xludf.DUMMYFUNCTION("""COMPUTED_VALUE"""),"RPR- SUBS CANCEL REQUEST")</f>
        <v>RPR- SUBS CANCEL REQUEST</v>
      </c>
      <c r="N238" s="3"/>
      <c r="O238" s="1" t="str">
        <f>IFERROR(__xludf.DUMMYFUNCTION("""COMPUTED_VALUE"""),"FIBER UNLI ALL PLAN 1499")</f>
        <v>FIBER UNLI ALL PLAN 1499</v>
      </c>
      <c r="P238" s="1" t="str">
        <f>IFERROR(__xludf.DUMMYFUNCTION("""COMPUTED_VALUE"""),"LOWPLAN")</f>
        <v>LOWPLAN</v>
      </c>
      <c r="Q238" s="1" t="str">
        <f>IFERROR(__xludf.DUMMYFUNCTION("""COMPUTED_VALUE"""),"P407050")</f>
        <v>P407050</v>
      </c>
      <c r="R238" s="1" t="str">
        <f>IFERROR(__xludf.DUMMYFUNCTION("""COMPUTED_VALUE"""),"IVNO, RAZZEL")</f>
        <v>IVNO, RAZZEL</v>
      </c>
      <c r="S238" s="1" t="str">
        <f>IFERROR(__xludf.DUMMYFUNCTION("""COMPUTED_VALUE"""),"ORGANIC")</f>
        <v>ORGANIC</v>
      </c>
      <c r="T238" s="1" t="str">
        <f>IFERROR(__xludf.DUMMYFUNCTION("""COMPUTED_VALUE"""),"LEA REMOLLO")</f>
        <v>LEA REMOLLO</v>
      </c>
      <c r="U238" s="1" t="str">
        <f>IFERROR(__xludf.DUMMYFUNCTION("""COMPUTED_VALUE"""),"JB SALIOA")</f>
        <v>JB SALIOA</v>
      </c>
      <c r="V238" s="1" t="str">
        <f>IFERROR(__xludf.DUMMYFUNCTION("""COMPUTED_VALUE"""),"BK EXPRESS")</f>
        <v>BK EXPRESS</v>
      </c>
      <c r="W238" s="1" t="str">
        <f>IFERROR(__xludf.DUMMYFUNCTION("""COMPUTED_VALUE"""),"BK HSTK")</f>
        <v>BK HSTK</v>
      </c>
      <c r="X238" s="1" t="str">
        <f>IFERROR(__xludf.DUMMYFUNCTION("""COMPUTED_VALUE"""),"HBBS AUG 2026")</f>
        <v>HBBS AUG 2026</v>
      </c>
      <c r="Y238" s="1" t="str">
        <f>IFERROR(__xludf.DUMMYFUNCTION("""COMPUTED_VALUE"""),"BK_CVEU_260806")</f>
        <v>BK_CVEU_260806</v>
      </c>
      <c r="Z238" s="1" t="str">
        <f>IFERROR(__xludf.DUMMYFUNCTION("""COMPUTED_VALUE"""),"NEW CONNECT")</f>
        <v>NEW CONNECT</v>
      </c>
      <c r="AA238" s="1">
        <f>IFERROR(__xludf.DUMMYFUNCTION("""COMPUTED_VALUE"""),639240461502)</f>
        <v>639240461502</v>
      </c>
      <c r="AB238" s="1">
        <f>IFERROR(__xludf.DUMMYFUNCTION("""COMPUTED_VALUE"""),639206361593)</f>
        <v>639206361593</v>
      </c>
      <c r="AC238" s="1"/>
      <c r="AD238" s="1" t="str">
        <f>IFERROR(__xludf.DUMMYFUNCTION("""COMPUTED_VALUE"""),"ANAHAW 1")</f>
        <v>ANAHAW 1</v>
      </c>
      <c r="AE238" s="1"/>
      <c r="AF238" s="1" t="str">
        <f>IFERROR(__xludf.DUMMYFUNCTION("""COMPUTED_VALUE"""),"BGY ANAHAW 1")</f>
        <v>BGY ANAHAW 1</v>
      </c>
      <c r="AG238" s="1" t="str">
        <f>IFERROR(__xludf.DUMMYFUNCTION("""COMPUTED_VALUE"""),"SILANG")</f>
        <v>SILANG</v>
      </c>
      <c r="AH238" s="1" t="str">
        <f>IFERROR(__xludf.DUMMYFUNCTION("""COMPUTED_VALUE"""),"BKEXPRESS_NEAR BRGY HALL ANAHAW 1")</f>
        <v>BKEXPRESS_NEAR BRGY HALL ANAHAW 1</v>
      </c>
      <c r="AI238" s="1" t="str">
        <f>IFERROR(__xludf.DUMMYFUNCTION("""COMPUTED_VALUE"""),"CLUSTER 11")</f>
        <v>CLUSTER 11</v>
      </c>
    </row>
    <row r="239" customHeight="1" spans="1:35">
      <c r="A239" s="3">
        <f>IFERROR(__xludf.DUMMYFUNCTION("""COMPUTED_VALUE"""),46256)</f>
        <v>46256</v>
      </c>
      <c r="B239" s="1" t="str">
        <f>IFERROR(__xludf.DUMMYFUNCTION("""COMPUTED_VALUE"""),"JAY CRUZ DICHOSO")</f>
        <v>JAY CRUZ DICHOSO</v>
      </c>
      <c r="C239" s="1">
        <f>IFERROR(__xludf.DUMMYFUNCTION("""COMPUTED_VALUE"""),2312000998)</f>
        <v>2312000998</v>
      </c>
      <c r="D239" s="1">
        <f>IFERROR(__xludf.DUMMYFUNCTION("""COMPUTED_VALUE"""),407179080)</f>
        <v>407179080</v>
      </c>
      <c r="E239" s="1">
        <f>IFERROR(__xludf.DUMMYFUNCTION("""COMPUTED_VALUE"""),467509106004)</f>
        <v>467509106004</v>
      </c>
      <c r="F239" s="1" t="str">
        <f>IFERROR(__xludf.DUMMYFUNCTION("""COMPUTED_VALUE"""),"CLOSED")</f>
        <v>CLOSED</v>
      </c>
      <c r="G239" s="1" t="str">
        <f>IFERROR(__xludf.DUMMYFUNCTION("""COMPUTED_VALUE"""),"CLOSED")</f>
        <v>CLOSED</v>
      </c>
      <c r="H239" s="1" t="str">
        <f>IFERROR(__xludf.DUMMYFUNCTION("""COMPUTED_VALUE"""),"PQGOR363998517	14-Sep-26	Regular Payment	CIS - 7ELEVEN - NCR	1,444.13	0	14-Sep-26")</f>
        <v>PQGOR363998517	14-Sep-26	Regular Payment	CIS - 7ELEVEN - NCR	1,444.13	0	14-Sep-26</v>
      </c>
      <c r="I239" s="1" t="str">
        <f>IFERROR(__xludf.DUMMYFUNCTION("""COMPUTED_VALUE"""),"WITH 1 AMSF")</f>
        <v>WITH 1 AMSF</v>
      </c>
      <c r="J239" s="1"/>
      <c r="K239" s="1" t="str">
        <f>IFERROR(__xludf.DUMMYFUNCTION("""COMPUTED_VALUE"""),"COMPLETED")</f>
        <v>COMPLETED</v>
      </c>
      <c r="L239" s="1" t="str">
        <f>IFERROR(__xludf.DUMMYFUNCTION("""COMPUTED_VALUE"""),"POSTED")</f>
        <v>POSTED</v>
      </c>
      <c r="M239" s="1" t="str">
        <f>IFERROR(__xludf.DUMMYFUNCTION("""COMPUTED_VALUE"""),"POSTED")</f>
        <v>POSTED</v>
      </c>
      <c r="N239" s="3">
        <f>IFERROR(__xludf.DUMMYFUNCTION("""COMPUTED_VALUE"""),46257)</f>
        <v>46257</v>
      </c>
      <c r="O239" s="1" t="str">
        <f>IFERROR(__xludf.DUMMYFUNCTION("""COMPUTED_VALUE"""),"FIBR PLAN 1299")</f>
        <v>FIBR PLAN 1299</v>
      </c>
      <c r="P239" s="1" t="str">
        <f>IFERROR(__xludf.DUMMYFUNCTION("""COMPUTED_VALUE"""),"LOWPLAN")</f>
        <v>LOWPLAN</v>
      </c>
      <c r="Q239" s="1" t="str">
        <f>IFERROR(__xludf.DUMMYFUNCTION("""COMPUTED_VALUE"""),"P407050")</f>
        <v>P407050</v>
      </c>
      <c r="R239" s="1" t="str">
        <f>IFERROR(__xludf.DUMMYFUNCTION("""COMPUTED_VALUE"""),"ESCARCHA, ALMA")</f>
        <v>ESCARCHA, ALMA</v>
      </c>
      <c r="S239" s="1" t="str">
        <f>IFERROR(__xludf.DUMMYFUNCTION("""COMPUTED_VALUE"""),"ORGANIC")</f>
        <v>ORGANIC</v>
      </c>
      <c r="T239" s="1" t="str">
        <f>IFERROR(__xludf.DUMMYFUNCTION("""COMPUTED_VALUE"""),"LEA REMOLLO")</f>
        <v>LEA REMOLLO</v>
      </c>
      <c r="U239" s="1" t="str">
        <f>IFERROR(__xludf.DUMMYFUNCTION("""COMPUTED_VALUE"""),"JB SALIOA")</f>
        <v>JB SALIOA</v>
      </c>
      <c r="V239" s="1" t="str">
        <f>IFERROR(__xludf.DUMMYFUNCTION("""COMPUTED_VALUE"""),"BK HSTK")</f>
        <v>BK HSTK</v>
      </c>
      <c r="W239" s="1" t="str">
        <f>IFERROR(__xludf.DUMMYFUNCTION("""COMPUTED_VALUE"""),"BK HSTK")</f>
        <v>BK HSTK</v>
      </c>
      <c r="X239" s="1" t="str">
        <f>IFERROR(__xludf.DUMMYFUNCTION("""COMPUTED_VALUE"""),"REGULAR")</f>
        <v>REGULAR</v>
      </c>
      <c r="Y239" s="1" t="str">
        <f>IFERROR(__xludf.DUMMYFUNCTION("""COMPUTED_VALUE"""),"BK_CVEU_260806")</f>
        <v>BK_CVEU_260806</v>
      </c>
      <c r="Z239" s="1" t="str">
        <f>IFERROR(__xludf.DUMMYFUNCTION("""COMPUTED_VALUE"""),"NEW CONNECT")</f>
        <v>NEW CONNECT</v>
      </c>
      <c r="AA239" s="1">
        <f>IFERROR(__xludf.DUMMYFUNCTION("""COMPUTED_VALUE"""),639058063364)</f>
        <v>639058063364</v>
      </c>
      <c r="AB239" s="1"/>
      <c r="AC239" s="1">
        <f>IFERROR(__xludf.DUMMYFUNCTION("""COMPUTED_VALUE"""),228)</f>
        <v>228</v>
      </c>
      <c r="AD239" s="1" t="str">
        <f>IFERROR(__xludf.DUMMYFUNCTION("""COMPUTED_VALUE"""),"PUROK 2")</f>
        <v>PUROK 2</v>
      </c>
      <c r="AE239" s="1"/>
      <c r="AF239" s="1" t="str">
        <f>IFERROR(__xludf.DUMMYFUNCTION("""COMPUTED_VALUE"""),"BGY SANTOL")</f>
        <v>BGY SANTOL</v>
      </c>
      <c r="AG239" s="1" t="str">
        <f>IFERROR(__xludf.DUMMYFUNCTION("""COMPUTED_VALUE"""),"SILANG")</f>
        <v>SILANG</v>
      </c>
      <c r="AH239" s="1" t="str">
        <f>IFERROR(__xludf.DUMMYFUNCTION("""COMPUTED_VALUE"""),"MASTER HIDEOUT")</f>
        <v>MASTER HIDEOUT</v>
      </c>
      <c r="AI239" s="1" t="str">
        <f>IFERROR(__xludf.DUMMYFUNCTION("""COMPUTED_VALUE"""),"CLUSTER 11")</f>
        <v>CLUSTER 11</v>
      </c>
    </row>
    <row r="240" customHeight="1" spans="1:35">
      <c r="A240" s="3">
        <f>IFERROR(__xludf.DUMMYFUNCTION("""COMPUTED_VALUE"""),46256)</f>
        <v>46256</v>
      </c>
      <c r="B240" s="1" t="str">
        <f>IFERROR(__xludf.DUMMYFUNCTION("""COMPUTED_VALUE"""),"MARY JANE ERILLA GALARDE")</f>
        <v>MARY JANE ERILLA GALARDE</v>
      </c>
      <c r="C240" s="1">
        <f>IFERROR(__xludf.DUMMYFUNCTION("""COMPUTED_VALUE"""),2312001737)</f>
        <v>2312001737</v>
      </c>
      <c r="D240" s="1">
        <f>IFERROR(__xludf.DUMMYFUNCTION("""COMPUTED_VALUE"""),407189035)</f>
        <v>407189035</v>
      </c>
      <c r="E240" s="1">
        <f>IFERROR(__xludf.DUMMYFUNCTION("""COMPUTED_VALUE"""),467519016004)</f>
        <v>467519016004</v>
      </c>
      <c r="F240" s="1" t="str">
        <f>IFERROR(__xludf.DUMMYFUNCTION("""COMPUTED_VALUE"""),"FOR CANCELLATION")</f>
        <v>FOR CANCELLATION</v>
      </c>
      <c r="G240" s="1" t="str">
        <f>IFERROR(__xludf.DUMMYFUNCTION("""COMPUTED_VALUE"""),"AFD CALLTHRU REMARKS   RESCHEDULE NEXT WEEK AUG 30 SUNDAY   SUNDAY LANG DAW AVAILABLE SI SUBS TALK MARY JANE ERILLA GALARDE 09925343402 09467171684")</f>
        <v>AFD CALLTHRU REMARKS   RESCHEDULE NEXT WEEK AUG 30 SUNDAY   SUNDAY LANG DAW AVAILABLE SI SUBS TALK MARY JANE ERILLA GALARDE 09925343402 09467171684</v>
      </c>
      <c r="H240" s="1"/>
      <c r="I240" s="1" t="str">
        <f>IFERROR(__xludf.DUMMYFUNCTION("""COMPUTED_VALUE"""),"NO 1 AMSF")</f>
        <v>NO 1 AMSF</v>
      </c>
      <c r="J240" s="1"/>
      <c r="K240" s="1" t="str">
        <f>IFERROR(__xludf.DUMMYFUNCTION("""COMPUTED_VALUE"""),"CANCELED")</f>
        <v>CANCELED</v>
      </c>
      <c r="L240" s="1" t="str">
        <f>IFERROR(__xludf.DUMMYFUNCTION("""COMPUTED_VALUE"""),"FOR CANCELLATION")</f>
        <v>FOR CANCELLATION</v>
      </c>
      <c r="M240" s="1" t="str">
        <f>IFERROR(__xludf.DUMMYFUNCTION("""COMPUTED_VALUE"""),"FOR CANCELLATION - NON COMPLIANCE - NO PAYMENT")</f>
        <v>FOR CANCELLATION - NON COMPLIANCE - NO PAYMENT</v>
      </c>
      <c r="N240" s="3"/>
      <c r="O240" s="1" t="str">
        <f>IFERROR(__xludf.DUMMYFUNCTION("""COMPUTED_VALUE"""),"FIBER UNLI ALL PLAN 1499")</f>
        <v>FIBER UNLI ALL PLAN 1499</v>
      </c>
      <c r="P240" s="1" t="str">
        <f>IFERROR(__xludf.DUMMYFUNCTION("""COMPUTED_VALUE"""),"LOWPLAN")</f>
        <v>LOWPLAN</v>
      </c>
      <c r="Q240" s="1" t="str">
        <f>IFERROR(__xludf.DUMMYFUNCTION("""COMPUTED_VALUE"""),"P407050")</f>
        <v>P407050</v>
      </c>
      <c r="R240" s="1" t="str">
        <f>IFERROR(__xludf.DUMMYFUNCTION("""COMPUTED_VALUE"""),"CADERAO, RONALD")</f>
        <v>CADERAO, RONALD</v>
      </c>
      <c r="S240" s="1" t="str">
        <f>IFERROR(__xludf.DUMMYFUNCTION("""COMPUTED_VALUE"""),"ORGANIC")</f>
        <v>ORGANIC</v>
      </c>
      <c r="T240" s="1" t="str">
        <f>IFERROR(__xludf.DUMMYFUNCTION("""COMPUTED_VALUE"""),"LEA REMOLLO")</f>
        <v>LEA REMOLLO</v>
      </c>
      <c r="U240" s="1" t="str">
        <f>IFERROR(__xludf.DUMMYFUNCTION("""COMPUTED_VALUE"""),"JB SALIOA")</f>
        <v>JB SALIOA</v>
      </c>
      <c r="V240" s="1" t="str">
        <f>IFERROR(__xludf.DUMMYFUNCTION("""COMPUTED_VALUE"""),"BK REGULAR")</f>
        <v>BK REGULAR</v>
      </c>
      <c r="W240" s="1" t="str">
        <f>IFERROR(__xludf.DUMMYFUNCTION("""COMPUTED_VALUE"""),"STK REGULAR")</f>
        <v>STK REGULAR</v>
      </c>
      <c r="X240" s="1" t="str">
        <f>IFERROR(__xludf.DUMMYFUNCTION("""COMPUTED_VALUE"""),"HBBS AUG 2026")</f>
        <v>HBBS AUG 2026</v>
      </c>
      <c r="Y240" s="1" t="str">
        <f>IFERROR(__xludf.DUMMYFUNCTION("""COMPUTED_VALUE"""),"BK_CVEU_260806")</f>
        <v>BK_CVEU_260806</v>
      </c>
      <c r="Z240" s="1" t="str">
        <f>IFERROR(__xludf.DUMMYFUNCTION("""COMPUTED_VALUE"""),"NEW CONNECT")</f>
        <v>NEW CONNECT</v>
      </c>
      <c r="AA240" s="1">
        <f>IFERROR(__xludf.DUMMYFUNCTION("""COMPUTED_VALUE"""),639925343402)</f>
        <v>639925343402</v>
      </c>
      <c r="AB240" s="1">
        <f>IFERROR(__xludf.DUMMYFUNCTION("""COMPUTED_VALUE"""),639467171684)</f>
        <v>639467171684</v>
      </c>
      <c r="AC240" s="1">
        <f>IFERROR(__xludf.DUMMYFUNCTION("""COMPUTED_VALUE"""),154)</f>
        <v>154</v>
      </c>
      <c r="AD240" s="1" t="str">
        <f>IFERROR(__xludf.DUMMYFUNCTION("""COMPUTED_VALUE"""),"BALUBAD")</f>
        <v>BALUBAD</v>
      </c>
      <c r="AE240" s="1" t="str">
        <f>IFERROR(__xludf.DUMMYFUNCTION("""COMPUTED_VALUE"""),"BATINO COMPOUND")</f>
        <v>BATINO COMPOUND</v>
      </c>
      <c r="AF240" s="1" t="str">
        <f>IFERROR(__xludf.DUMMYFUNCTION("""COMPUTED_VALUE"""),"BGY BALUBAD")</f>
        <v>BGY BALUBAD</v>
      </c>
      <c r="AG240" s="1" t="str">
        <f>IFERROR(__xludf.DUMMYFUNCTION("""COMPUTED_VALUE"""),"SILANG")</f>
        <v>SILANG</v>
      </c>
      <c r="AH240" s="1" t="str">
        <f>IFERROR(__xludf.DUMMYFUNCTION("""COMPUTED_VALUE"""),"-")</f>
        <v>-</v>
      </c>
      <c r="AI240" s="1" t="str">
        <f>IFERROR(__xludf.DUMMYFUNCTION("""COMPUTED_VALUE"""),"CLUSTER 11")</f>
        <v>CLUSTER 11</v>
      </c>
    </row>
    <row r="241" customHeight="1" spans="1:35">
      <c r="A241" s="3">
        <f>IFERROR(__xludf.DUMMYFUNCTION("""COMPUTED_VALUE"""),46256)</f>
        <v>46256</v>
      </c>
      <c r="B241" s="1" t="str">
        <f>IFERROR(__xludf.DUMMYFUNCTION("""COMPUTED_VALUE"""),"LORIVEL FABALENA FLORES")</f>
        <v>LORIVEL FABALENA FLORES</v>
      </c>
      <c r="C241" s="1">
        <f>IFERROR(__xludf.DUMMYFUNCTION("""COMPUTED_VALUE"""),2312002299)</f>
        <v>2312002299</v>
      </c>
      <c r="D241" s="1">
        <f>IFERROR(__xludf.DUMMYFUNCTION("""COMPUTED_VALUE"""),407184254)</f>
        <v>407184254</v>
      </c>
      <c r="E241" s="1">
        <f>IFERROR(__xludf.DUMMYFUNCTION("""COMPUTED_VALUE"""),467515211004)</f>
        <v>467515211004</v>
      </c>
      <c r="F241" s="1" t="str">
        <f>IFERROR(__xludf.DUMMYFUNCTION("""COMPUTED_VALUE"""),"FOR CANCELLATION")</f>
        <v>FOR CANCELLATION</v>
      </c>
      <c r="G241" s="1" t="str">
        <f>IFERROR(__xludf.DUMMYFUNCTION("""COMPUTED_VALUE"""),"AFD UNDECIDED  PA PO SI SUBS MAG TETEXT  NA LANG SI SUBS KAPAG NAKA USAP NA NIYA YUNG AGENT NIYA")</f>
        <v>AFD UNDECIDED  PA PO SI SUBS MAG TETEXT  NA LANG SI SUBS KAPAG NAKA USAP NA NIYA YUNG AGENT NIYA</v>
      </c>
      <c r="H241" s="1"/>
      <c r="I241" s="1"/>
      <c r="J241" s="1"/>
      <c r="K241" s="1" t="str">
        <f>IFERROR(__xludf.DUMMYFUNCTION("""COMPUTED_VALUE"""),"CANCELED")</f>
        <v>CANCELED</v>
      </c>
      <c r="L241" s="1" t="str">
        <f>IFERROR(__xludf.DUMMYFUNCTION("""COMPUTED_VALUE"""),"FOR CANCELLATION")</f>
        <v>FOR CANCELLATION</v>
      </c>
      <c r="M241" s="1" t="str">
        <f>IFERROR(__xludf.DUMMYFUNCTION("""COMPUTED_VALUE"""),"FOR CANCELLATION - NON COMPLIANCE - NO PAYMENT")</f>
        <v>FOR CANCELLATION - NON COMPLIANCE - NO PAYMENT</v>
      </c>
      <c r="N241" s="3"/>
      <c r="O241" s="1" t="str">
        <f>IFERROR(__xludf.DUMMYFUNCTION("""COMPUTED_VALUE"""),"FIBER UNLI ALL PLAN 1499")</f>
        <v>FIBER UNLI ALL PLAN 1499</v>
      </c>
      <c r="P241" s="1" t="str">
        <f>IFERROR(__xludf.DUMMYFUNCTION("""COMPUTED_VALUE"""),"LOWPLAN")</f>
        <v>LOWPLAN</v>
      </c>
      <c r="Q241" s="1" t="str">
        <f>IFERROR(__xludf.DUMMYFUNCTION("""COMPUTED_VALUE"""),"P407050")</f>
        <v>P407050</v>
      </c>
      <c r="R241" s="1" t="str">
        <f>IFERROR(__xludf.DUMMYFUNCTION("""COMPUTED_VALUE"""),"DENACO, RODNEY")</f>
        <v>DENACO, RODNEY</v>
      </c>
      <c r="S241" s="1" t="str">
        <f>IFERROR(__xludf.DUMMYFUNCTION("""COMPUTED_VALUE"""),"ORGANIC")</f>
        <v>ORGANIC</v>
      </c>
      <c r="T241" s="1" t="str">
        <f>IFERROR(__xludf.DUMMYFUNCTION("""COMPUTED_VALUE"""),"LEA REMOLLO")</f>
        <v>LEA REMOLLO</v>
      </c>
      <c r="U241" s="1" t="str">
        <f>IFERROR(__xludf.DUMMYFUNCTION("""COMPUTED_VALUE"""),"JB SALIOA")</f>
        <v>JB SALIOA</v>
      </c>
      <c r="V241" s="1" t="str">
        <f>IFERROR(__xludf.DUMMYFUNCTION("""COMPUTED_VALUE"""),"BK HSTK")</f>
        <v>BK HSTK</v>
      </c>
      <c r="W241" s="1" t="str">
        <f>IFERROR(__xludf.DUMMYFUNCTION("""COMPUTED_VALUE"""),"BK HSTK")</f>
        <v>BK HSTK</v>
      </c>
      <c r="X241" s="1" t="str">
        <f>IFERROR(__xludf.DUMMYFUNCTION("""COMPUTED_VALUE"""),"HBBS AUG 2026")</f>
        <v>HBBS AUG 2026</v>
      </c>
      <c r="Y241" s="1" t="str">
        <f>IFERROR(__xludf.DUMMYFUNCTION("""COMPUTED_VALUE"""),"BK_CVEU_260804")</f>
        <v>BK_CVEU_260804</v>
      </c>
      <c r="Z241" s="1" t="str">
        <f>IFERROR(__xludf.DUMMYFUNCTION("""COMPUTED_VALUE"""),"NEW CONNECT")</f>
        <v>NEW CONNECT</v>
      </c>
      <c r="AA241" s="1">
        <f>IFERROR(__xludf.DUMMYFUNCTION("""COMPUTED_VALUE"""),639186131624)</f>
        <v>639186131624</v>
      </c>
      <c r="AB241" s="1">
        <f>IFERROR(__xludf.DUMMYFUNCTION("""COMPUTED_VALUE"""),639668802100)</f>
        <v>639668802100</v>
      </c>
      <c r="AC241" s="1"/>
      <c r="AD241" s="1" t="str">
        <f>IFERROR(__xludf.DUMMYFUNCTION("""COMPUTED_VALUE"""),"POLAND")</f>
        <v>POLAND</v>
      </c>
      <c r="AE241" s="1" t="str">
        <f>IFERROR(__xludf.DUMMYFUNCTION("""COMPUTED_VALUE"""),"MANDARIN HOMES")</f>
        <v>MANDARIN HOMES</v>
      </c>
      <c r="AF241" s="1" t="str">
        <f>IFERROR(__xludf.DUMMYFUNCTION("""COMPUTED_VALUE"""),"BGY F DE CASTRO")</f>
        <v>BGY F DE CASTRO</v>
      </c>
      <c r="AG241" s="1" t="str">
        <f>IFERROR(__xludf.DUMMYFUNCTION("""COMPUTED_VALUE"""),"GEN MARIANO ALVAREZ")</f>
        <v>GEN MARIANO ALVAREZ</v>
      </c>
      <c r="AH241" s="1" t="str">
        <f>IFERROR(__xludf.DUMMYFUNCTION("""COMPUTED_VALUE"""),"BKEXPRESS_POLAND ST")</f>
        <v>BKEXPRESS_POLAND ST</v>
      </c>
      <c r="AI241" s="1" t="str">
        <f>IFERROR(__xludf.DUMMYFUNCTION("""COMPUTED_VALUE"""),"CLUSTER 11")</f>
        <v>CLUSTER 11</v>
      </c>
    </row>
    <row r="242" customHeight="1" spans="1:35">
      <c r="A242" s="3">
        <f>IFERROR(__xludf.DUMMYFUNCTION("""COMPUTED_VALUE"""),46256)</f>
        <v>46256</v>
      </c>
      <c r="B242" s="1" t="str">
        <f>IFERROR(__xludf.DUMMYFUNCTION("""COMPUTED_VALUE"""),"MAY ANN DELA CRUZ GARCIA")</f>
        <v>MAY ANN DELA CRUZ GARCIA</v>
      </c>
      <c r="C242" s="1">
        <f>IFERROR(__xludf.DUMMYFUNCTION("""COMPUTED_VALUE"""),2312003171)</f>
        <v>2312003171</v>
      </c>
      <c r="D242" s="1">
        <f>IFERROR(__xludf.DUMMYFUNCTION("""COMPUTED_VALUE"""),407183541)</f>
        <v>407183541</v>
      </c>
      <c r="E242" s="1">
        <f>IFERROR(__xludf.DUMMYFUNCTION("""COMPUTED_VALUE"""),467514427004)</f>
        <v>467514427004</v>
      </c>
      <c r="F242" s="1" t="str">
        <f>IFERROR(__xludf.DUMMYFUNCTION("""COMPUTED_VALUE"""),"CANCELLED")</f>
        <v>CANCELLED</v>
      </c>
      <c r="G242" s="1" t="str">
        <f>IFERROR(__xludf.DUMMYFUNCTION("""COMPUTED_VALUE"""),"SUBS UNKNOWN DI KILALA SI SUBS CBR UNCONTACTED CALLED AND TEXT MESSAGE NO RESPONSE PABALIK NALANG PO PAG NAG RESPONSE SI SUBS")</f>
        <v>SUBS UNKNOWN DI KILALA SI SUBS CBR UNCONTACTED CALLED AND TEXT MESSAGE NO RESPONSE PABALIK NALANG PO PAG NAG RESPONSE SI SUBS</v>
      </c>
      <c r="H242" s="1" t="str">
        <f>IFERROR(__xludf.DUMMYFUNCTION("""COMPUTED_VALUE"""),"PAID VIA GCASH REF 113329268 AUG 22")</f>
        <v>PAID VIA GCASH REF 113329268 AUG 22</v>
      </c>
      <c r="I242" s="1" t="str">
        <f>IFERROR(__xludf.DUMMYFUNCTION("""COMPUTED_VALUE"""),"WITH 1 AMSF")</f>
        <v>WITH 1 AMSF</v>
      </c>
      <c r="J242" s="1"/>
      <c r="K242" s="1" t="str">
        <f>IFERROR(__xludf.DUMMYFUNCTION("""COMPUTED_VALUE"""),"CANCELED")</f>
        <v>CANCELED</v>
      </c>
      <c r="L242" s="1" t="str">
        <f>IFERROR(__xludf.DUMMYFUNCTION("""COMPUTED_VALUE"""),"CANCELLED - SUBS CANT LOCATE")</f>
        <v>CANCELLED - SUBS CANT LOCATE</v>
      </c>
      <c r="M242" s="1" t="str">
        <f>IFERROR(__xludf.DUMMYFUNCTION("""COMPUTED_VALUE"""),"RPR- SUBS CANT LOCATE")</f>
        <v>RPR- SUBS CANT LOCATE</v>
      </c>
      <c r="N242" s="3"/>
      <c r="O242" s="1" t="str">
        <f>IFERROR(__xludf.DUMMYFUNCTION("""COMPUTED_VALUE"""),"FIBR UNLI ALL PLAN 999")</f>
        <v>FIBR UNLI ALL PLAN 999</v>
      </c>
      <c r="P242" s="1" t="str">
        <f>IFERROR(__xludf.DUMMYFUNCTION("""COMPUTED_VALUE"""),"LOWPLAN")</f>
        <v>LOWPLAN</v>
      </c>
      <c r="Q242" s="1" t="str">
        <f>IFERROR(__xludf.DUMMYFUNCTION("""COMPUTED_VALUE"""),"P407050")</f>
        <v>P407050</v>
      </c>
      <c r="R242" s="1" t="str">
        <f>IFERROR(__xludf.DUMMYFUNCTION("""COMPUTED_VALUE"""),"RIVERA, AIRIZH JOY")</f>
        <v>RIVERA, AIRIZH JOY</v>
      </c>
      <c r="S242" s="1" t="str">
        <f>IFERROR(__xludf.DUMMYFUNCTION("""COMPUTED_VALUE"""),"ORGANIC")</f>
        <v>ORGANIC</v>
      </c>
      <c r="T242" s="1" t="str">
        <f>IFERROR(__xludf.DUMMYFUNCTION("""COMPUTED_VALUE"""),"LEA REMOLLO")</f>
        <v>LEA REMOLLO</v>
      </c>
      <c r="U242" s="1" t="str">
        <f>IFERROR(__xludf.DUMMYFUNCTION("""COMPUTED_VALUE"""),"JB SALIOA")</f>
        <v>JB SALIOA</v>
      </c>
      <c r="V242" s="1" t="str">
        <f>IFERROR(__xludf.DUMMYFUNCTION("""COMPUTED_VALUE"""),"BK HSTK")</f>
        <v>BK HSTK</v>
      </c>
      <c r="W242" s="1" t="str">
        <f>IFERROR(__xludf.DUMMYFUNCTION("""COMPUTED_VALUE"""),"BK HSTK")</f>
        <v>BK HSTK</v>
      </c>
      <c r="X242" s="1" t="str">
        <f>IFERROR(__xludf.DUMMYFUNCTION("""COMPUTED_VALUE"""),"REGULAR")</f>
        <v>REGULAR</v>
      </c>
      <c r="Y242" s="1" t="str">
        <f>IFERROR(__xludf.DUMMYFUNCTION("""COMPUTED_VALUE"""),"BK_CVEU_260801")</f>
        <v>BK_CVEU_260801</v>
      </c>
      <c r="Z242" s="1" t="str">
        <f>IFERROR(__xludf.DUMMYFUNCTION("""COMPUTED_VALUE"""),"NEW CONNECT")</f>
        <v>NEW CONNECT</v>
      </c>
      <c r="AA242" s="1">
        <f>IFERROR(__xludf.DUMMYFUNCTION("""COMPUTED_VALUE"""),639150648991)</f>
        <v>639150648991</v>
      </c>
      <c r="AB242" s="1">
        <f>IFERROR(__xludf.DUMMYFUNCTION("""COMPUTED_VALUE"""),639240464370)</f>
        <v>639240464370</v>
      </c>
      <c r="AC242" s="1">
        <f>IFERROR(__xludf.DUMMYFUNCTION("""COMPUTED_VALUE"""),4202)</f>
        <v>4202</v>
      </c>
      <c r="AD242" s="1" t="str">
        <f>IFERROR(__xludf.DUMMYFUNCTION("""COMPUTED_VALUE"""),"LUKSUHIN IBABA")</f>
        <v>LUKSUHIN IBABA</v>
      </c>
      <c r="AE242" s="1"/>
      <c r="AF242" s="1" t="str">
        <f>IFERROR(__xludf.DUMMYFUNCTION("""COMPUTED_VALUE"""),"BGY LUKSUHIN IBABA")</f>
        <v>BGY LUKSUHIN IBABA</v>
      </c>
      <c r="AG242" s="1" t="str">
        <f>IFERROR(__xludf.DUMMYFUNCTION("""COMPUTED_VALUE"""),"ALFONSO")</f>
        <v>ALFONSO</v>
      </c>
      <c r="AH242" s="1" t="str">
        <f>IFERROR(__xludf.DUMMYFUNCTION("""COMPUTED_VALUE"""),"BESIDE CAPARAL ")</f>
        <v>BESIDE CAPARAL </v>
      </c>
      <c r="AI242" s="1" t="str">
        <f>IFERROR(__xludf.DUMMYFUNCTION("""COMPUTED_VALUE"""),"CLUSTER 12")</f>
        <v>CLUSTER 12</v>
      </c>
    </row>
    <row r="243" customHeight="1" spans="1:35">
      <c r="A243" s="3">
        <f>IFERROR(__xludf.DUMMYFUNCTION("""COMPUTED_VALUE"""),46256)</f>
        <v>46256</v>
      </c>
      <c r="B243" s="1" t="str">
        <f>IFERROR(__xludf.DUMMYFUNCTION("""COMPUTED_VALUE"""),"MARICRIS CAPILI DURAN")</f>
        <v>MARICRIS CAPILI DURAN</v>
      </c>
      <c r="C243" s="1">
        <f>IFERROR(__xludf.DUMMYFUNCTION("""COMPUTED_VALUE"""),2312003863)</f>
        <v>2312003863</v>
      </c>
      <c r="D243" s="1">
        <f>IFERROR(__xludf.DUMMYFUNCTION("""COMPUTED_VALUE"""),407220528)</f>
        <v>407220528</v>
      </c>
      <c r="E243" s="1">
        <f>IFERROR(__xludf.DUMMYFUNCTION("""COMPUTED_VALUE"""),467648142004)</f>
        <v>467648142004</v>
      </c>
      <c r="F243" s="1" t="str">
        <f>IFERROR(__xludf.DUMMYFUNCTION("""COMPUTED_VALUE"""),"CLOSED")</f>
        <v>CLOSED</v>
      </c>
      <c r="G243" s="1" t="str">
        <f>IFERROR(__xludf.DUMMYFUNCTION("""COMPUTED_VALUE"""),"CLOSED")</f>
        <v>CLOSED</v>
      </c>
      <c r="H243" s="1" t="str">
        <f>IFERROR(__xludf.DUMMYFUNCTION("""COMPUTED_VALUE"""),"PQGOR361753332	24-Aug-26	Regular Payment	CIS-GCASH 3.0	1,549.00	0	24-Aug-26")</f>
        <v>PQGOR361753332	24-Aug-26	Regular Payment	CIS-GCASH 3.0	1,549.00	0	24-Aug-26</v>
      </c>
      <c r="I243" s="1" t="str">
        <f>IFERROR(__xludf.DUMMYFUNCTION("""COMPUTED_VALUE"""),"WITH 1 AMSF")</f>
        <v>WITH 1 AMSF</v>
      </c>
      <c r="J243" s="1"/>
      <c r="K243" s="1" t="str">
        <f>IFERROR(__xludf.DUMMYFUNCTION("""COMPUTED_VALUE"""),"COMPLETED")</f>
        <v>COMPLETED</v>
      </c>
      <c r="L243" s="1" t="str">
        <f>IFERROR(__xludf.DUMMYFUNCTION("""COMPUTED_VALUE"""),"POSTED")</f>
        <v>POSTED</v>
      </c>
      <c r="M243" s="1" t="str">
        <f>IFERROR(__xludf.DUMMYFUNCTION("""COMPUTED_VALUE"""),"POSTED")</f>
        <v>POSTED</v>
      </c>
      <c r="N243" s="3">
        <f>IFERROR(__xludf.DUMMYFUNCTION("""COMPUTED_VALUE"""),46259)</f>
        <v>46259</v>
      </c>
      <c r="O243" s="1" t="str">
        <f>IFERROR(__xludf.DUMMYFUNCTION("""COMPUTED_VALUE"""),"FIBER UNLI ALL PLAN 1499")</f>
        <v>FIBER UNLI ALL PLAN 1499</v>
      </c>
      <c r="P243" s="1" t="str">
        <f>IFERROR(__xludf.DUMMYFUNCTION("""COMPUTED_VALUE"""),"LOWPLAN")</f>
        <v>LOWPLAN</v>
      </c>
      <c r="Q243" s="1" t="str">
        <f>IFERROR(__xludf.DUMMYFUNCTION("""COMPUTED_VALUE"""),"P407044")</f>
        <v>P407044</v>
      </c>
      <c r="R243" s="1" t="str">
        <f>IFERROR(__xludf.DUMMYFUNCTION("""COMPUTED_VALUE"""),"DACALCAP, ROGER")</f>
        <v>DACALCAP, ROGER</v>
      </c>
      <c r="S243" s="1" t="str">
        <f>IFERROR(__xludf.DUMMYFUNCTION("""COMPUTED_VALUE"""),"FLA")</f>
        <v>FLA</v>
      </c>
      <c r="T243" s="1" t="str">
        <f>IFERROR(__xludf.DUMMYFUNCTION("""COMPUTED_VALUE"""),"JERIC NAVARRO")</f>
        <v>JERIC NAVARRO</v>
      </c>
      <c r="U243" s="1" t="str">
        <f>IFERROR(__xludf.DUMMYFUNCTION("""COMPUTED_VALUE"""),"JB SALIOA")</f>
        <v>JB SALIOA</v>
      </c>
      <c r="V243" s="1" t="str">
        <f>IFERROR(__xludf.DUMMYFUNCTION("""COMPUTED_VALUE"""),"BK HSTK")</f>
        <v>BK HSTK</v>
      </c>
      <c r="W243" s="1" t="str">
        <f>IFERROR(__xludf.DUMMYFUNCTION("""COMPUTED_VALUE"""),"BK HSTK")</f>
        <v>BK HSTK</v>
      </c>
      <c r="X243" s="1" t="str">
        <f>IFERROR(__xludf.DUMMYFUNCTION("""COMPUTED_VALUE"""),"HBBS AUG 2026")</f>
        <v>HBBS AUG 2026</v>
      </c>
      <c r="Y243" s="1" t="str">
        <f>IFERROR(__xludf.DUMMYFUNCTION("""COMPUTED_VALUE"""),"BK_CVEU_260806")</f>
        <v>BK_CVEU_260806</v>
      </c>
      <c r="Z243" s="1" t="str">
        <f>IFERROR(__xludf.DUMMYFUNCTION("""COMPUTED_VALUE"""),"NEW CONNECT")</f>
        <v>NEW CONNECT</v>
      </c>
      <c r="AA243" s="1">
        <f>IFERROR(__xludf.DUMMYFUNCTION("""COMPUTED_VALUE"""),639317501616)</f>
        <v>639317501616</v>
      </c>
      <c r="AB243" s="1">
        <f>IFERROR(__xludf.DUMMYFUNCTION("""COMPUTED_VALUE"""),639106417725)</f>
        <v>639106417725</v>
      </c>
      <c r="AC243" s="1"/>
      <c r="AD243" s="1" t="str">
        <f>IFERROR(__xludf.DUMMYFUNCTION("""COMPUTED_VALUE"""),"PUROK 1")</f>
        <v>PUROK 1</v>
      </c>
      <c r="AE243" s="1"/>
      <c r="AF243" s="1" t="str">
        <f>IFERROR(__xludf.DUMMYFUNCTION("""COMPUTED_VALUE"""),"BGY LALAAN 1")</f>
        <v>BGY LALAAN 1</v>
      </c>
      <c r="AG243" s="1" t="str">
        <f>IFERROR(__xludf.DUMMYFUNCTION("""COMPUTED_VALUE"""),"SILANG")</f>
        <v>SILANG</v>
      </c>
      <c r="AH243" s="1" t="str">
        <f>IFERROR(__xludf.DUMMYFUNCTION("""COMPUTED_VALUE"""),"USA GAS STATION")</f>
        <v>USA GAS STATION</v>
      </c>
      <c r="AI243" s="1" t="str">
        <f>IFERROR(__xludf.DUMMYFUNCTION("""COMPUTED_VALUE"""),"CLUSTER 11")</f>
        <v>CLUSTER 11</v>
      </c>
    </row>
    <row r="244" customHeight="1" spans="1:35">
      <c r="A244" s="3">
        <f>IFERROR(__xludf.DUMMYFUNCTION("""COMPUTED_VALUE"""),46256)</f>
        <v>46256</v>
      </c>
      <c r="B244" s="1" t="str">
        <f>IFERROR(__xludf.DUMMYFUNCTION("""COMPUTED_VALUE"""),"MARIANN . DIZON")</f>
        <v>MARIANN . DIZON</v>
      </c>
      <c r="C244" s="1">
        <f>IFERROR(__xludf.DUMMYFUNCTION("""COMPUTED_VALUE"""),2312005003)</f>
        <v>2312005003</v>
      </c>
      <c r="D244" s="1">
        <f>IFERROR(__xludf.DUMMYFUNCTION("""COMPUTED_VALUE"""),407190068)</f>
        <v>407190068</v>
      </c>
      <c r="E244" s="1">
        <f>IFERROR(__xludf.DUMMYFUNCTION("""COMPUTED_VALUE"""),467521145004)</f>
        <v>467521145004</v>
      </c>
      <c r="F244" s="1" t="str">
        <f>IFERROR(__xludf.DUMMYFUNCTION("""COMPUTED_VALUE"""),"RPR")</f>
        <v>RPR</v>
      </c>
      <c r="G244" s="1" t="str">
        <f>IFERROR(__xludf.DUMMYFUNCTION("""COMPUTED_VALUE"""),"RPR SUBS REQUEST CANCEL APPLICATION MAG COCONVERGE N LNG DW SLA")</f>
        <v>RPR SUBS REQUEST CANCEL APPLICATION MAG COCONVERGE N LNG DW SLA</v>
      </c>
      <c r="H244" s="1"/>
      <c r="I244" s="1"/>
      <c r="J244" s="1"/>
      <c r="K244" s="1" t="str">
        <f>IFERROR(__xludf.DUMMYFUNCTION("""COMPUTED_VALUE"""),"CANCELED")</f>
        <v>CANCELED</v>
      </c>
      <c r="L244" s="1" t="str">
        <f>IFERROR(__xludf.DUMMYFUNCTION("""COMPUTED_VALUE"""),"RPR - SUBS CANCEL REQUEST")</f>
        <v>RPR - SUBS CANCEL REQUEST</v>
      </c>
      <c r="M244" s="1" t="str">
        <f>IFERROR(__xludf.DUMMYFUNCTION("""COMPUTED_VALUE"""),"RPR- SUBS CANCEL REQUEST")</f>
        <v>RPR- SUBS CANCEL REQUEST</v>
      </c>
      <c r="N244" s="3"/>
      <c r="O244" s="1" t="str">
        <f>IFERROR(__xludf.DUMMYFUNCTION("""COMPUTED_VALUE"""),"FIBR UNLI ALL PLAN 999")</f>
        <v>FIBR UNLI ALL PLAN 999</v>
      </c>
      <c r="P244" s="1" t="str">
        <f>IFERROR(__xludf.DUMMYFUNCTION("""COMPUTED_VALUE"""),"LOWPLAN")</f>
        <v>LOWPLAN</v>
      </c>
      <c r="Q244" s="1" t="str">
        <f>IFERROR(__xludf.DUMMYFUNCTION("""COMPUTED_VALUE"""),"P407050")</f>
        <v>P407050</v>
      </c>
      <c r="R244" s="1" t="str">
        <f>IFERROR(__xludf.DUMMYFUNCTION("""COMPUTED_VALUE"""),"ALOS, CHARLS LAURENZ")</f>
        <v>ALOS, CHARLS LAURENZ</v>
      </c>
      <c r="S244" s="1" t="str">
        <f>IFERROR(__xludf.DUMMYFUNCTION("""COMPUTED_VALUE"""),"ORGANIC")</f>
        <v>ORGANIC</v>
      </c>
      <c r="T244" s="1" t="str">
        <f>IFERROR(__xludf.DUMMYFUNCTION("""COMPUTED_VALUE"""),"LEA REMOLLO")</f>
        <v>LEA REMOLLO</v>
      </c>
      <c r="U244" s="1" t="str">
        <f>IFERROR(__xludf.DUMMYFUNCTION("""COMPUTED_VALUE"""),"JB SALIOA")</f>
        <v>JB SALIOA</v>
      </c>
      <c r="V244" s="1" t="str">
        <f>IFERROR(__xludf.DUMMYFUNCTION("""COMPUTED_VALUE"""),"BK HSTK")</f>
        <v>BK HSTK</v>
      </c>
      <c r="W244" s="1" t="str">
        <f>IFERROR(__xludf.DUMMYFUNCTION("""COMPUTED_VALUE"""),"BK HSTK")</f>
        <v>BK HSTK</v>
      </c>
      <c r="X244" s="1" t="str">
        <f>IFERROR(__xludf.DUMMYFUNCTION("""COMPUTED_VALUE"""),"REGULAR")</f>
        <v>REGULAR</v>
      </c>
      <c r="Y244" s="1" t="str">
        <f>IFERROR(__xludf.DUMMYFUNCTION("""COMPUTED_VALUE"""),"BK_CVEU_260806")</f>
        <v>BK_CVEU_260806</v>
      </c>
      <c r="Z244" s="1" t="str">
        <f>IFERROR(__xludf.DUMMYFUNCTION("""COMPUTED_VALUE"""),"NEW CONNECT")</f>
        <v>NEW CONNECT</v>
      </c>
      <c r="AA244" s="1">
        <f>IFERROR(__xludf.DUMMYFUNCTION("""COMPUTED_VALUE"""),639560328089)</f>
        <v>639560328089</v>
      </c>
      <c r="AB244" s="1"/>
      <c r="AC244" s="1"/>
      <c r="AD244" s="1" t="str">
        <f>IFERROR(__xludf.DUMMYFUNCTION("""COMPUTED_VALUE"""),"ZONE 11")</f>
        <v>ZONE 11</v>
      </c>
      <c r="AE244" s="1"/>
      <c r="AF244" s="1" t="str">
        <f>IFERROR(__xludf.DUMMYFUNCTION("""COMPUTED_VALUE"""),"BGY BULIHAN")</f>
        <v>BGY BULIHAN</v>
      </c>
      <c r="AG244" s="1" t="str">
        <f>IFERROR(__xludf.DUMMYFUNCTION("""COMPUTED_VALUE"""),"SILANG")</f>
        <v>SILANG</v>
      </c>
      <c r="AH244" s="1" t="str">
        <f>IFERROR(__xludf.DUMMYFUNCTION("""COMPUTED_VALUE"""),"ZONE 11")</f>
        <v>ZONE 11</v>
      </c>
      <c r="AI244" s="1" t="str">
        <f>IFERROR(__xludf.DUMMYFUNCTION("""COMPUTED_VALUE"""),"CLUSTER 11")</f>
        <v>CLUSTER 11</v>
      </c>
    </row>
    <row r="245" customHeight="1" spans="1:35">
      <c r="A245" s="3">
        <f>IFERROR(__xludf.DUMMYFUNCTION("""COMPUTED_VALUE"""),46256)</f>
        <v>46256</v>
      </c>
      <c r="B245" s="1" t="str">
        <f>IFERROR(__xludf.DUMMYFUNCTION("""COMPUTED_VALUE"""),"JENALYN VILLAR TORRES")</f>
        <v>JENALYN VILLAR TORRES</v>
      </c>
      <c r="C245" s="1">
        <f>IFERROR(__xludf.DUMMYFUNCTION("""COMPUTED_VALUE"""),2312005559)</f>
        <v>2312005559</v>
      </c>
      <c r="D245" s="1"/>
      <c r="E245" s="1"/>
      <c r="F245" s="1" t="str">
        <f>IFERROR(__xludf.DUMMYFUNCTION("""COMPUTED_VALUE"""),"DISAPPROVED")</f>
        <v>DISAPPROVED</v>
      </c>
      <c r="G245" s="1" t="str">
        <f>IFERROR(__xludf.DUMMYFUNCTION("""COMPUTED_VALUE"""),"DISAPPROVED |FOR 2ND ESCALATION|SUBS ALREADY COMPLIED NEEDED DOCS BUT WITH DISCREPANCY ON TIN ID SUBMITTED DUE TO UNABLE TO VERIFY VIA WEBSITE (information provided does not match the records on database)|UNCLEAR CAF AND SUBS CERT |cleared from blacklist "&amp;"hit, no existing active acct and/ or pending application | Done Validation with submitted complete docs| correct encoded info in CSP | NO 1 AMSF requirements (GG - 1 (NTC)) ")</f>
        <v>DISAPPROVED |FOR 2ND ESCALATION|SUBS ALREADY COMPLIED NEEDED DOCS BUT WITH DISCREPANCY ON TIN ID SUBMITTED DUE TO UNABLE TO VERIFY VIA WEBSITE (information provided does not match the records on database)|UNCLEAR CAF AND SUBS CERT |cleared from blacklist hit, no existing active acct and/ or pending application | Done Validation with submitted complete docs| correct encoded info in CSP | NO 1 AMSF requirements (GG - 1 (NTC)) </v>
      </c>
      <c r="H245" s="1"/>
      <c r="I245" s="1"/>
      <c r="J245" s="1"/>
      <c r="K245" s="1"/>
      <c r="L245" s="1" t="str">
        <f>IFERROR(__xludf.DUMMYFUNCTION("""COMPUTED_VALUE"""),"DISAPPROVED")</f>
        <v>DISAPPROVED</v>
      </c>
      <c r="M245" s="1" t="str">
        <f>IFERROR(__xludf.DUMMYFUNCTION("""COMPUTED_VALUE"""),"DISAPPROVED")</f>
        <v>DISAPPROVED</v>
      </c>
      <c r="N245" s="3"/>
      <c r="O245" s="1" t="str">
        <f>IFERROR(__xludf.DUMMYFUNCTION("""COMPUTED_VALUE"""),"FIBR UNLI ALL PLAN 999")</f>
        <v>FIBR UNLI ALL PLAN 999</v>
      </c>
      <c r="P245" s="1" t="str">
        <f>IFERROR(__xludf.DUMMYFUNCTION("""COMPUTED_VALUE"""),"LOWPLAN")</f>
        <v>LOWPLAN</v>
      </c>
      <c r="Q245" s="1" t="str">
        <f>IFERROR(__xludf.DUMMYFUNCTION("""COMPUTED_VALUE"""),"P407050")</f>
        <v>P407050</v>
      </c>
      <c r="R245" s="1" t="str">
        <f>IFERROR(__xludf.DUMMYFUNCTION("""COMPUTED_VALUE"""),"MAGDARAOG, KENNETH")</f>
        <v>MAGDARAOG, KENNETH</v>
      </c>
      <c r="S245" s="1" t="str">
        <f>IFERROR(__xludf.DUMMYFUNCTION("""COMPUTED_VALUE"""),"ORGANIC")</f>
        <v>ORGANIC</v>
      </c>
      <c r="T245" s="1" t="str">
        <f>IFERROR(__xludf.DUMMYFUNCTION("""COMPUTED_VALUE"""),"LEA REMOLLO")</f>
        <v>LEA REMOLLO</v>
      </c>
      <c r="U245" s="1" t="str">
        <f>IFERROR(__xludf.DUMMYFUNCTION("""COMPUTED_VALUE"""),"JB SALIOA")</f>
        <v>JB SALIOA</v>
      </c>
      <c r="V245" s="1" t="str">
        <f>IFERROR(__xludf.DUMMYFUNCTION("""COMPUTED_VALUE"""),"BK HSTK")</f>
        <v>BK HSTK</v>
      </c>
      <c r="W245" s="1" t="str">
        <f>IFERROR(__xludf.DUMMYFUNCTION("""COMPUTED_VALUE"""),"BK HSTK")</f>
        <v>BK HSTK</v>
      </c>
      <c r="X245" s="1" t="str">
        <f>IFERROR(__xludf.DUMMYFUNCTION("""COMPUTED_VALUE"""),"REGULAR")</f>
        <v>REGULAR</v>
      </c>
      <c r="Y245" s="1" t="str">
        <f>IFERROR(__xludf.DUMMYFUNCTION("""COMPUTED_VALUE"""),"BK_CVEU_260806")</f>
        <v>BK_CVEU_260806</v>
      </c>
      <c r="Z245" s="1" t="str">
        <f>IFERROR(__xludf.DUMMYFUNCTION("""COMPUTED_VALUE"""),"NEW CONNECT")</f>
        <v>NEW CONNECT</v>
      </c>
      <c r="AA245" s="1">
        <f>IFERROR(__xludf.DUMMYFUNCTION("""COMPUTED_VALUE"""),639532531206)</f>
        <v>639532531206</v>
      </c>
      <c r="AB245" s="1">
        <f>IFERROR(__xludf.DUMMYFUNCTION("""COMPUTED_VALUE"""),639684795899)</f>
        <v>639684795899</v>
      </c>
      <c r="AC245" s="1"/>
      <c r="AD245" s="1" t="str">
        <f>IFERROR(__xludf.DUMMYFUNCTION("""COMPUTED_VALUE"""),"PHASE 5B")</f>
        <v>PHASE 5B</v>
      </c>
      <c r="AE245" s="1"/>
      <c r="AF245" s="1" t="str">
        <f>IFERROR(__xludf.DUMMYFUNCTION("""COMPUTED_VALUE"""),"BGY NARRA 3")</f>
        <v>BGY NARRA 3</v>
      </c>
      <c r="AG245" s="1" t="str">
        <f>IFERROR(__xludf.DUMMYFUNCTION("""COMPUTED_VALUE"""),"SILANG")</f>
        <v>SILANG</v>
      </c>
      <c r="AH245" s="1" t="str">
        <f>IFERROR(__xludf.DUMMYFUNCTION("""COMPUTED_VALUE"""),"-")</f>
        <v>-</v>
      </c>
      <c r="AI245" s="1" t="str">
        <f>IFERROR(__xludf.DUMMYFUNCTION("""COMPUTED_VALUE"""),"CLUSTER 11")</f>
        <v>CLUSTER 11</v>
      </c>
    </row>
    <row r="246" customHeight="1" spans="1:35">
      <c r="A246" s="3">
        <f>IFERROR(__xludf.DUMMYFUNCTION("""COMPUTED_VALUE"""),46257)</f>
        <v>46257</v>
      </c>
      <c r="B246" s="1" t="str">
        <f>IFERROR(__xludf.DUMMYFUNCTION("""COMPUTED_VALUE"""),"JEWELS CUARESMA CORONEL")</f>
        <v>JEWELS CUARESMA CORONEL</v>
      </c>
      <c r="C246" s="1">
        <f>IFERROR(__xludf.DUMMYFUNCTION("""COMPUTED_VALUE"""),2312017617)</f>
        <v>2312017617</v>
      </c>
      <c r="D246" s="1">
        <f>IFERROR(__xludf.DUMMYFUNCTION("""COMPUTED_VALUE"""),407204034)</f>
        <v>407204034</v>
      </c>
      <c r="E246" s="1">
        <f>IFERROR(__xludf.DUMMYFUNCTION("""COMPUTED_VALUE"""),467632749004)</f>
        <v>467632749004</v>
      </c>
      <c r="F246" s="1" t="str">
        <f>IFERROR(__xludf.DUMMYFUNCTION("""COMPUTED_VALUE"""),"CLOSED")</f>
        <v>CLOSED</v>
      </c>
      <c r="G246" s="1" t="str">
        <f>IFERROR(__xludf.DUMMYFUNCTION("""COMPUTED_VALUE"""),"CLOSED")</f>
        <v>CLOSED</v>
      </c>
      <c r="H246" s="1" t="str">
        <f>IFERROR(__xludf.DUMMYFUNCTION("""COMPUTED_VALUE"""),"PQGOR362194778	28-Aug-26	Regular Payment	CIS-GCASH 3.0	1,499.00	0	28-Aug-26")</f>
        <v>PQGOR362194778	28-Aug-26	Regular Payment	CIS-GCASH 3.0	1,499.00	0	28-Aug-26</v>
      </c>
      <c r="I246" s="1" t="str">
        <f>IFERROR(__xludf.DUMMYFUNCTION("""COMPUTED_VALUE"""),"WITH 1 AMSF")</f>
        <v>WITH 1 AMSF</v>
      </c>
      <c r="J246" s="1"/>
      <c r="K246" s="1" t="str">
        <f>IFERROR(__xludf.DUMMYFUNCTION("""COMPUTED_VALUE"""),"COMPLETED")</f>
        <v>COMPLETED</v>
      </c>
      <c r="L246" s="1" t="str">
        <f>IFERROR(__xludf.DUMMYFUNCTION("""COMPUTED_VALUE"""),"POSTED")</f>
        <v>POSTED</v>
      </c>
      <c r="M246" s="1" t="str">
        <f>IFERROR(__xludf.DUMMYFUNCTION("""COMPUTED_VALUE"""),"POSTED")</f>
        <v>POSTED</v>
      </c>
      <c r="N246" s="3">
        <f>IFERROR(__xludf.DUMMYFUNCTION("""COMPUTED_VALUE"""),46258)</f>
        <v>46258</v>
      </c>
      <c r="O246" s="1" t="str">
        <f>IFERROR(__xludf.DUMMYFUNCTION("""COMPUTED_VALUE"""),"FIBER UNLI ALL PLAN 1499")</f>
        <v>FIBER UNLI ALL PLAN 1499</v>
      </c>
      <c r="P246" s="1" t="str">
        <f>IFERROR(__xludf.DUMMYFUNCTION("""COMPUTED_VALUE"""),"LOWPLAN")</f>
        <v>LOWPLAN</v>
      </c>
      <c r="Q246" s="1" t="str">
        <f>IFERROR(__xludf.DUMMYFUNCTION("""COMPUTED_VALUE"""),"P407044")</f>
        <v>P407044</v>
      </c>
      <c r="R246" s="1" t="str">
        <f>IFERROR(__xludf.DUMMYFUNCTION("""COMPUTED_VALUE"""),"AYON, MANUEL")</f>
        <v>AYON, MANUEL</v>
      </c>
      <c r="S246" s="1" t="str">
        <f>IFERROR(__xludf.DUMMYFUNCTION("""COMPUTED_VALUE"""),"FLA")</f>
        <v>FLA</v>
      </c>
      <c r="T246" s="1" t="str">
        <f>IFERROR(__xludf.DUMMYFUNCTION("""COMPUTED_VALUE"""),"JERIC NAVARRO")</f>
        <v>JERIC NAVARRO</v>
      </c>
      <c r="U246" s="1" t="str">
        <f>IFERROR(__xludf.DUMMYFUNCTION("""COMPUTED_VALUE"""),"JB SALIOA")</f>
        <v>JB SALIOA</v>
      </c>
      <c r="V246" s="1" t="str">
        <f>IFERROR(__xludf.DUMMYFUNCTION("""COMPUTED_VALUE"""),"BK HSTK")</f>
        <v>BK HSTK</v>
      </c>
      <c r="W246" s="1" t="str">
        <f>IFERROR(__xludf.DUMMYFUNCTION("""COMPUTED_VALUE"""),"BK HSTK")</f>
        <v>BK HSTK</v>
      </c>
      <c r="X246" s="1" t="str">
        <f>IFERROR(__xludf.DUMMYFUNCTION("""COMPUTED_VALUE"""),"HBBS AUG 2026")</f>
        <v>HBBS AUG 2026</v>
      </c>
      <c r="Y246" s="1" t="str">
        <f>IFERROR(__xludf.DUMMYFUNCTION("""COMPUTED_VALUE"""),"BK_CVEU_260804")</f>
        <v>BK_CVEU_260804</v>
      </c>
      <c r="Z246" s="1" t="str">
        <f>IFERROR(__xludf.DUMMYFUNCTION("""COMPUTED_VALUE"""),"NEW CONNECT")</f>
        <v>NEW CONNECT</v>
      </c>
      <c r="AA246" s="1">
        <f>IFERROR(__xludf.DUMMYFUNCTION("""COMPUTED_VALUE"""),639075218236)</f>
        <v>639075218236</v>
      </c>
      <c r="AB246" s="1">
        <f>IFERROR(__xludf.DUMMYFUNCTION("""COMPUTED_VALUE"""),639099751982)</f>
        <v>639099751982</v>
      </c>
      <c r="AC246" s="1"/>
      <c r="AD246" s="1" t="str">
        <f>IFERROR(__xludf.DUMMYFUNCTION("""COMPUTED_VALUE"""),"BRON")</f>
        <v>BRON</v>
      </c>
      <c r="AE246" s="1" t="str">
        <f>IFERROR(__xludf.DUMMYFUNCTION("""COMPUTED_VALUE"""),"AREA F")</f>
        <v>AREA F</v>
      </c>
      <c r="AF246" s="1" t="str">
        <f>IFERROR(__xludf.DUMMYFUNCTION("""COMPUTED_VALUE"""),"BGY KAPITAN KUA")</f>
        <v>BGY KAPITAN KUA</v>
      </c>
      <c r="AG246" s="1" t="str">
        <f>IFERROR(__xludf.DUMMYFUNCTION("""COMPUTED_VALUE"""),"GEN MARIANO ALVAREZ")</f>
        <v>GEN MARIANO ALVAREZ</v>
      </c>
      <c r="AH246" s="1" t="str">
        <f>IFERROR(__xludf.DUMMYFUNCTION("""COMPUTED_VALUE"""),"-")</f>
        <v>-</v>
      </c>
      <c r="AI246" s="1" t="str">
        <f>IFERROR(__xludf.DUMMYFUNCTION("""COMPUTED_VALUE"""),"CLUSTER 11")</f>
        <v>CLUSTER 11</v>
      </c>
    </row>
    <row r="247" customHeight="1" spans="1:35">
      <c r="A247" s="3">
        <f>IFERROR(__xludf.DUMMYFUNCTION("""COMPUTED_VALUE"""),46257)</f>
        <v>46257</v>
      </c>
      <c r="B247" s="1" t="str">
        <f>IFERROR(__xludf.DUMMYFUNCTION("""COMPUTED_VALUE"""),"GIL TANO MEDINA")</f>
        <v>GIL TANO MEDINA</v>
      </c>
      <c r="C247" s="1">
        <f>IFERROR(__xludf.DUMMYFUNCTION("""COMPUTED_VALUE"""),2312018866)</f>
        <v>2312018866</v>
      </c>
      <c r="D247" s="1">
        <f>IFERROR(__xludf.DUMMYFUNCTION("""COMPUTED_VALUE"""),407205995)</f>
        <v>407205995</v>
      </c>
      <c r="E247" s="1">
        <f>IFERROR(__xludf.DUMMYFUNCTION("""COMPUTED_VALUE"""),467635262004)</f>
        <v>467635262004</v>
      </c>
      <c r="F247" s="1" t="str">
        <f>IFERROR(__xludf.DUMMYFUNCTION("""COMPUTED_VALUE"""),"FOR CANCELLATION")</f>
        <v>FOR CANCELLATION</v>
      </c>
      <c r="G247" s="1" t="str">
        <f>IFERROR(__xludf.DUMMYFUNCTION("""COMPUTED_VALUE"""),"AFD VISITED REMARKS   CANT LOCATE ALREADY CALL AND TEXT BUT NO RESPONSE 09817919479 09813800469   IPINAG TANONG SA BLOCK 41 LOT 13 ALLNA MARTINEZ ANG MAY ARI NG BAHAY  TALK RITCHE BUNDA   PORMAN  ")</f>
        <v>AFD VISITED REMARKS   CANT LOCATE ALREADY CALL AND TEXT BUT NO RESPONSE 09817919479 09813800469   IPINAG TANONG SA BLOCK 41 LOT 13 ALLNA MARTINEZ ANG MAY ARI NG BAHAY  TALK RITCHE BUNDA   PORMAN  </v>
      </c>
      <c r="H247" s="1"/>
      <c r="I247" s="1"/>
      <c r="J247" s="1"/>
      <c r="K247" s="1" t="str">
        <f>IFERROR(__xludf.DUMMYFUNCTION("""COMPUTED_VALUE"""),"CANCELED")</f>
        <v>CANCELED</v>
      </c>
      <c r="L247" s="1" t="str">
        <f>IFERROR(__xludf.DUMMYFUNCTION("""COMPUTED_VALUE"""),"FOR CANCELLATION")</f>
        <v>FOR CANCELLATION</v>
      </c>
      <c r="M247" s="1" t="str">
        <f>IFERROR(__xludf.DUMMYFUNCTION("""COMPUTED_VALUE"""),"FOR CANCELLATION - NON COMPLIANCE - NO PAYMENT")</f>
        <v>FOR CANCELLATION - NON COMPLIANCE - NO PAYMENT</v>
      </c>
      <c r="N247" s="3"/>
      <c r="O247" s="1" t="str">
        <f>IFERROR(__xludf.DUMMYFUNCTION("""COMPUTED_VALUE"""),"FIBR UNLI ALL PLAN 999")</f>
        <v>FIBR UNLI ALL PLAN 999</v>
      </c>
      <c r="P247" s="1" t="str">
        <f>IFERROR(__xludf.DUMMYFUNCTION("""COMPUTED_VALUE"""),"LOWPLAN")</f>
        <v>LOWPLAN</v>
      </c>
      <c r="Q247" s="1" t="str">
        <f>IFERROR(__xludf.DUMMYFUNCTION("""COMPUTED_VALUE"""),"P407050")</f>
        <v>P407050</v>
      </c>
      <c r="R247" s="1" t="str">
        <f>IFERROR(__xludf.DUMMYFUNCTION("""COMPUTED_VALUE"""),"MAGDARAOG, KENNETH")</f>
        <v>MAGDARAOG, KENNETH</v>
      </c>
      <c r="S247" s="1" t="str">
        <f>IFERROR(__xludf.DUMMYFUNCTION("""COMPUTED_VALUE"""),"ORGANIC")</f>
        <v>ORGANIC</v>
      </c>
      <c r="T247" s="1" t="str">
        <f>IFERROR(__xludf.DUMMYFUNCTION("""COMPUTED_VALUE"""),"LEA REMOLLO")</f>
        <v>LEA REMOLLO</v>
      </c>
      <c r="U247" s="1" t="str">
        <f>IFERROR(__xludf.DUMMYFUNCTION("""COMPUTED_VALUE"""),"JB SALIOA")</f>
        <v>JB SALIOA</v>
      </c>
      <c r="V247" s="1" t="str">
        <f>IFERROR(__xludf.DUMMYFUNCTION("""COMPUTED_VALUE"""),"BK HSTK")</f>
        <v>BK HSTK</v>
      </c>
      <c r="W247" s="1" t="str">
        <f>IFERROR(__xludf.DUMMYFUNCTION("""COMPUTED_VALUE"""),"BK HSTK")</f>
        <v>BK HSTK</v>
      </c>
      <c r="X247" s="1" t="str">
        <f>IFERROR(__xludf.DUMMYFUNCTION("""COMPUTED_VALUE"""),"REGULAR")</f>
        <v>REGULAR</v>
      </c>
      <c r="Y247" s="1" t="str">
        <f>IFERROR(__xludf.DUMMYFUNCTION("""COMPUTED_VALUE"""),"BK_CVEU_260804")</f>
        <v>BK_CVEU_260804</v>
      </c>
      <c r="Z247" s="1" t="str">
        <f>IFERROR(__xludf.DUMMYFUNCTION("""COMPUTED_VALUE"""),"NEW CONNECT")</f>
        <v>NEW CONNECT</v>
      </c>
      <c r="AA247" s="1">
        <f>IFERROR(__xludf.DUMMYFUNCTION("""COMPUTED_VALUE"""),639817919479)</f>
        <v>639817919479</v>
      </c>
      <c r="AB247" s="1">
        <f>IFERROR(__xludf.DUMMYFUNCTION("""COMPUTED_VALUE"""),639813800469)</f>
        <v>639813800469</v>
      </c>
      <c r="AC247" s="1"/>
      <c r="AD247" s="1" t="str">
        <f>IFERROR(__xludf.DUMMYFUNCTION("""COMPUTED_VALUE"""),"ALDIANO OLAES")</f>
        <v>ALDIANO OLAES</v>
      </c>
      <c r="AE247" s="1"/>
      <c r="AF247" s="1" t="str">
        <f>IFERROR(__xludf.DUMMYFUNCTION("""COMPUTED_VALUE"""),"BGY ALDIANO OLAES")</f>
        <v>BGY ALDIANO OLAES</v>
      </c>
      <c r="AG247" s="1" t="str">
        <f>IFERROR(__xludf.DUMMYFUNCTION("""COMPUTED_VALUE"""),"GEN MARIANO ALVAREZ")</f>
        <v>GEN MARIANO ALVAREZ</v>
      </c>
      <c r="AH247" s="1" t="str">
        <f>IFERROR(__xludf.DUMMYFUNCTION("""COMPUTED_VALUE"""),"-")</f>
        <v>-</v>
      </c>
      <c r="AI247" s="1" t="str">
        <f>IFERROR(__xludf.DUMMYFUNCTION("""COMPUTED_VALUE"""),"CLUSTER 11")</f>
        <v>CLUSTER 11</v>
      </c>
    </row>
    <row r="248" customHeight="1" spans="1:35">
      <c r="A248" s="3">
        <f>IFERROR(__xludf.DUMMYFUNCTION("""COMPUTED_VALUE"""),46257)</f>
        <v>46257</v>
      </c>
      <c r="B248" s="1" t="str">
        <f>IFERROR(__xludf.DUMMYFUNCTION("""COMPUTED_VALUE"""),"ROSANNA CASTILLO RIVERA")</f>
        <v>ROSANNA CASTILLO RIVERA</v>
      </c>
      <c r="C248" s="1">
        <f>IFERROR(__xludf.DUMMYFUNCTION("""COMPUTED_VALUE"""),2312023128)</f>
        <v>2312023128</v>
      </c>
      <c r="D248" s="1">
        <f>IFERROR(__xludf.DUMMYFUNCTION("""COMPUTED_VALUE"""),407213777)</f>
        <v>407213777</v>
      </c>
      <c r="E248" s="1">
        <f>IFERROR(__xludf.DUMMYFUNCTION("""COMPUTED_VALUE"""),467638981004)</f>
        <v>467638981004</v>
      </c>
      <c r="F248" s="1" t="str">
        <f>IFERROR(__xludf.DUMMYFUNCTION("""COMPUTED_VALUE"""),"CANCELLED")</f>
        <v>CANCELLED</v>
      </c>
      <c r="G248" s="1" t="str">
        <f>IFERROR(__xludf.DUMMYFUNCTION("""COMPUTED_VALUE"""),"""ViSITED 
REMARKS CAFAC FULL ON SITE 
TMSLP397 NP1 TO NP5 FULL 
TMSLP395NP4 FULL 
TMSLP395NP3 FULL 
TMSLP396NP5 FULL 
TMSLP395NP2 FULL 
TMSLP395NP1 FULL 
TMSLP129NP5P6 ASSIGNED CAFAC NOT ON SITE 
SUBS ALREADY ADVISED ROSANNA 0961 507 1640""")</f>
        <v>"ViSITED 
REMARKS CAFAC FULL ON SITE 
TMSLP397 NP1 TO NP5 FULL 
TMSLP395NP4 FULL 
TMSLP395NP3 FULL 
TMSLP396NP5 FULL 
TMSLP395NP2 FULL 
TMSLP395NP1 FULL 
TMSLP129NP5P6 ASSIGNED CAFAC NOT ON SITE 
SUBS ALREADY ADVISED ROSANNA 0961 507 1640"</v>
      </c>
      <c r="H248" s="1" t="str">
        <f>IFERROR(__xludf.DUMMYFUNCTION("""COMPUTED_VALUE"""),"PAID VIA GCASH - AUG 23 - REF - 087198598")</f>
        <v>PAID VIA GCASH - AUG 23 - REF - 087198598</v>
      </c>
      <c r="I248" s="1" t="str">
        <f>IFERROR(__xludf.DUMMYFUNCTION("""COMPUTED_VALUE"""),"WITH 1 AMSF")</f>
        <v>WITH 1 AMSF</v>
      </c>
      <c r="J248" s="1"/>
      <c r="K248" s="1" t="str">
        <f>IFERROR(__xludf.DUMMYFUNCTION("""COMPUTED_VALUE"""),"CANCELED")</f>
        <v>CANCELED</v>
      </c>
      <c r="L248" s="1" t="str">
        <f>IFERROR(__xludf.DUMMYFUNCTION("""COMPUTED_VALUE"""),"RPR - NAP FULL")</f>
        <v>RPR - NAP FULL</v>
      </c>
      <c r="M248" s="1" t="str">
        <f>IFERROR(__xludf.DUMMYFUNCTION("""COMPUTED_VALUE"""),"RPR- NAP FULL")</f>
        <v>RPR- NAP FULL</v>
      </c>
      <c r="N248" s="3"/>
      <c r="O248" s="1" t="str">
        <f>IFERROR(__xludf.DUMMYFUNCTION("""COMPUTED_VALUE"""),"FIBR PLAN 1299")</f>
        <v>FIBR PLAN 1299</v>
      </c>
      <c r="P248" s="1" t="str">
        <f>IFERROR(__xludf.DUMMYFUNCTION("""COMPUTED_VALUE"""),"LOWPLAN")</f>
        <v>LOWPLAN</v>
      </c>
      <c r="Q248" s="1" t="str">
        <f>IFERROR(__xludf.DUMMYFUNCTION("""COMPUTED_VALUE"""),"P407048")</f>
        <v>P407048</v>
      </c>
      <c r="R248" s="1" t="str">
        <f>IFERROR(__xludf.DUMMYFUNCTION("""COMPUTED_VALUE"""),"LUPENA, KARL ANGELO")</f>
        <v>LUPENA, KARL ANGELO</v>
      </c>
      <c r="S248" s="1" t="str">
        <f>IFERROR(__xludf.DUMMYFUNCTION("""COMPUTED_VALUE"""),"ORGANIC")</f>
        <v>ORGANIC</v>
      </c>
      <c r="T248" s="1" t="str">
        <f>IFERROR(__xludf.DUMMYFUNCTION("""COMPUTED_VALUE"""),"JERIC NAVARRO")</f>
        <v>JERIC NAVARRO</v>
      </c>
      <c r="U248" s="1" t="str">
        <f>IFERROR(__xludf.DUMMYFUNCTION("""COMPUTED_VALUE"""),"JB SALIOA")</f>
        <v>JB SALIOA</v>
      </c>
      <c r="V248" s="1" t="str">
        <f>IFERROR(__xludf.DUMMYFUNCTION("""COMPUTED_VALUE"""),"ONLINE/CRANFORD")</f>
        <v>ONLINE/CRANFORD</v>
      </c>
      <c r="W248" s="1" t="str">
        <f>IFERROR(__xludf.DUMMYFUNCTION("""COMPUTED_VALUE"""),"STK REGULAR")</f>
        <v>STK REGULAR</v>
      </c>
      <c r="X248" s="1" t="str">
        <f>IFERROR(__xludf.DUMMYFUNCTION("""COMPUTED_VALUE"""),"REGULAR")</f>
        <v>REGULAR</v>
      </c>
      <c r="Y248" s="1" t="str">
        <f>IFERROR(__xludf.DUMMYFUNCTION("""COMPUTED_VALUE"""),"RS_ONL_CVEU_2026")</f>
        <v>RS_ONL_CVEU_2026</v>
      </c>
      <c r="Z248" s="1" t="str">
        <f>IFERROR(__xludf.DUMMYFUNCTION("""COMPUTED_VALUE"""),"NEW CONNECT")</f>
        <v>NEW CONNECT</v>
      </c>
      <c r="AA248" s="1">
        <f>IFERROR(__xludf.DUMMYFUNCTION("""COMPUTED_VALUE"""),639615071640)</f>
        <v>639615071640</v>
      </c>
      <c r="AB248" s="1"/>
      <c r="AC248" s="1"/>
      <c r="AD248" s="1" t="str">
        <f>IFERROR(__xludf.DUMMYFUNCTION("""COMPUTED_VALUE"""),"COURTYARD GOLDEN HORIZON")</f>
        <v>COURTYARD GOLDEN HORIZON</v>
      </c>
      <c r="AE248" s="1" t="str">
        <f>IFERROR(__xludf.DUMMYFUNCTION("""COMPUTED_VALUE"""),"COURTYARD GOLDEN HORIZON")</f>
        <v>COURTYARD GOLDEN HORIZON</v>
      </c>
      <c r="AF248" s="1" t="str">
        <f>IFERROR(__xludf.DUMMYFUNCTION("""COMPUTED_VALUE"""),"BGY HUGO PEREZ")</f>
        <v>BGY HUGO PEREZ</v>
      </c>
      <c r="AG248" s="1" t="str">
        <f>IFERROR(__xludf.DUMMYFUNCTION("""COMPUTED_VALUE"""),"TRECE MARTIREZ CITY")</f>
        <v>TRECE MARTIREZ CITY</v>
      </c>
      <c r="AH248" s="1" t="str">
        <f>IFERROR(__xludf.DUMMYFUNCTION("""COMPUTED_VALUE"""),"NEAR GATE 5 ")</f>
        <v>NEAR GATE 5 </v>
      </c>
      <c r="AI248" s="1" t="str">
        <f>IFERROR(__xludf.DUMMYFUNCTION("""COMPUTED_VALUE"""),"NOT AOR")</f>
        <v>NOT AOR</v>
      </c>
    </row>
    <row r="249" customHeight="1" spans="1:35">
      <c r="A249" s="3">
        <f>IFERROR(__xludf.DUMMYFUNCTION("""COMPUTED_VALUE"""),46257)</f>
        <v>46257</v>
      </c>
      <c r="B249" s="1" t="str">
        <f>IFERROR(__xludf.DUMMYFUNCTION("""COMPUTED_VALUE"""),"KEZREEL ESPINOSA ZAMORA")</f>
        <v>KEZREEL ESPINOSA ZAMORA</v>
      </c>
      <c r="C249" s="1">
        <f>IFERROR(__xludf.DUMMYFUNCTION("""COMPUTED_VALUE"""),2312023628)</f>
        <v>2312023628</v>
      </c>
      <c r="D249" s="1">
        <f>IFERROR(__xludf.DUMMYFUNCTION("""COMPUTED_VALUE"""),407212401)</f>
        <v>407212401</v>
      </c>
      <c r="E249" s="1">
        <f>IFERROR(__xludf.DUMMYFUNCTION("""COMPUTED_VALUE"""),467638328004)</f>
        <v>467638328004</v>
      </c>
      <c r="F249" s="1" t="str">
        <f>IFERROR(__xludf.DUMMYFUNCTION("""COMPUTED_VALUE"""),"CANCELLED")</f>
        <v>CANCELLED</v>
      </c>
      <c r="G249" s="1" t="str">
        <f>IFERROR(__xludf.DUMMYFUNCTION("""COMPUTED_VALUE"""),"""CALLTHRU 
鈥嶳EMARK: RPR,, CALL THRU,, RPR,, CAN'T PROCEED INSTALLATION DUE TO NAKABAN ANG PLDT SA GOLDEN CITY PH10 BGY SALAWAG,,, WITH TEXT CONFIRMATION OF SUBS,, 
鈥嶵ALK:KEZREEL ESPINOSA ZAMORA 
鈥嶤BR: 09926266847/09462547636 
""")</f>
        <v>"CALLTHRU 
鈥嶳EMARK: RPR,, CALL THRU,, RPR,, CAN'T PROCEED INSTALLATION DUE TO NAKABAN ANG PLDT SA GOLDEN CITY PH10 BGY SALAWAG,,, WITH TEXT CONFIRMATION OF SUBS,, 
鈥嶵ALK:KEZREEL ESPINOSA ZAMORA 
鈥嶤BR: 09926266847/09462547636 
"</v>
      </c>
      <c r="H249" s="1"/>
      <c r="I249" s="1"/>
      <c r="J249" s="1"/>
      <c r="K249" s="1" t="str">
        <f>IFERROR(__xludf.DUMMYFUNCTION("""COMPUTED_VALUE"""),"CANCELED")</f>
        <v>CANCELED</v>
      </c>
      <c r="L249" s="1" t="str">
        <f>IFERROR(__xludf.DUMMYFUNCTION("""COMPUTED_VALUE"""),"RPR - UNMAINTAINABLE")</f>
        <v>RPR - UNMAINTAINABLE</v>
      </c>
      <c r="M249" s="1" t="str">
        <f>IFERROR(__xludf.DUMMYFUNCTION("""COMPUTED_VALUE"""),"RPR - UNMAINTAINABLE")</f>
        <v>RPR - UNMAINTAINABLE</v>
      </c>
      <c r="N249" s="3"/>
      <c r="O249" s="1" t="str">
        <f>IFERROR(__xludf.DUMMYFUNCTION("""COMPUTED_VALUE"""),"FIBR PLAN 1299")</f>
        <v>FIBR PLAN 1299</v>
      </c>
      <c r="P249" s="1" t="str">
        <f>IFERROR(__xludf.DUMMYFUNCTION("""COMPUTED_VALUE"""),"LOWPLAN")</f>
        <v>LOWPLAN</v>
      </c>
      <c r="Q249" s="1" t="str">
        <f>IFERROR(__xludf.DUMMYFUNCTION("""COMPUTED_VALUE"""),"P407047")</f>
        <v>P407047</v>
      </c>
      <c r="R249" s="1" t="str">
        <f>IFERROR(__xludf.DUMMYFUNCTION("""COMPUTED_VALUE"""),"FRANCISCO, ROSELYN")</f>
        <v>FRANCISCO, ROSELYN</v>
      </c>
      <c r="S249" s="1" t="str">
        <f>IFERROR(__xludf.DUMMYFUNCTION("""COMPUTED_VALUE"""),"ORGANIC")</f>
        <v>ORGANIC</v>
      </c>
      <c r="T249" s="1" t="str">
        <f>IFERROR(__xludf.DUMMYFUNCTION("""COMPUTED_VALUE"""),"LEA REMOLLO")</f>
        <v>LEA REMOLLO</v>
      </c>
      <c r="U249" s="1" t="str">
        <f>IFERROR(__xludf.DUMMYFUNCTION("""COMPUTED_VALUE"""),"JB SALIOA")</f>
        <v>JB SALIOA</v>
      </c>
      <c r="V249" s="1" t="str">
        <f>IFERROR(__xludf.DUMMYFUNCTION("""COMPUTED_VALUE"""),"ONLINE/CRANFORD")</f>
        <v>ONLINE/CRANFORD</v>
      </c>
      <c r="W249" s="1" t="str">
        <f>IFERROR(__xludf.DUMMYFUNCTION("""COMPUTED_VALUE"""),"STK REGULAR")</f>
        <v>STK REGULAR</v>
      </c>
      <c r="X249" s="1" t="str">
        <f>IFERROR(__xludf.DUMMYFUNCTION("""COMPUTED_VALUE"""),"REGULAR")</f>
        <v>REGULAR</v>
      </c>
      <c r="Y249" s="1" t="str">
        <f>IFERROR(__xludf.DUMMYFUNCTION("""COMPUTED_VALUE"""),"RS_ONL_CVEU_2026")</f>
        <v>RS_ONL_CVEU_2026</v>
      </c>
      <c r="Z249" s="1" t="str">
        <f>IFERROR(__xludf.DUMMYFUNCTION("""COMPUTED_VALUE"""),"NEW CONNECT")</f>
        <v>NEW CONNECT</v>
      </c>
      <c r="AA249" s="1">
        <f>IFERROR(__xludf.DUMMYFUNCTION("""COMPUTED_VALUE"""),639926266847)</f>
        <v>639926266847</v>
      </c>
      <c r="AB249" s="1">
        <f>IFERROR(__xludf.DUMMYFUNCTION("""COMPUTED_VALUE"""),639462547636)</f>
        <v>639462547636</v>
      </c>
      <c r="AC249" s="1"/>
      <c r="AD249" s="1" t="str">
        <f>IFERROR(__xludf.DUMMYFUNCTION("""COMPUTED_VALUE"""),"TITANIUM")</f>
        <v>TITANIUM</v>
      </c>
      <c r="AE249" s="1" t="str">
        <f>IFERROR(__xludf.DUMMYFUNCTION("""COMPUTED_VALUE"""),"GOLDEN CITY PH10")</f>
        <v>GOLDEN CITY PH10</v>
      </c>
      <c r="AF249" s="1" t="str">
        <f>IFERROR(__xludf.DUMMYFUNCTION("""COMPUTED_VALUE"""),"BGY SALAWAG")</f>
        <v>BGY SALAWAG</v>
      </c>
      <c r="AG249" s="1" t="str">
        <f>IFERROR(__xludf.DUMMYFUNCTION("""COMPUTED_VALUE"""),"DASMARINAS")</f>
        <v>DASMARINAS</v>
      </c>
      <c r="AH249" s="1" t="str">
        <f>IFERROR(__xludf.DUMMYFUNCTION("""COMPUTED_VALUE"""),"SOUTH DRUG STORE")</f>
        <v>SOUTH DRUG STORE</v>
      </c>
      <c r="AI249" s="1" t="str">
        <f>IFERROR(__xludf.DUMMYFUNCTION("""COMPUTED_VALUE"""),"NOT AOR")</f>
        <v>NOT AOR</v>
      </c>
    </row>
    <row r="250" customHeight="1" spans="1:35">
      <c r="A250" s="3">
        <f>IFERROR(__xludf.DUMMYFUNCTION("""COMPUTED_VALUE"""),46257)</f>
        <v>46257</v>
      </c>
      <c r="B250" s="1" t="str">
        <f>IFERROR(__xludf.DUMMYFUNCTION("""COMPUTED_VALUE"""),"JUNNEL ANCIRO LAMBRINTO")</f>
        <v>JUNNEL ANCIRO LAMBRINTO</v>
      </c>
      <c r="C250" s="1">
        <f>IFERROR(__xludf.DUMMYFUNCTION("""COMPUTED_VALUE"""),2312023967)</f>
        <v>2312023967</v>
      </c>
      <c r="D250" s="1">
        <f>IFERROR(__xludf.DUMMYFUNCTION("""COMPUTED_VALUE"""),407217810)</f>
        <v>407217810</v>
      </c>
      <c r="E250" s="1">
        <f>IFERROR(__xludf.DUMMYFUNCTION("""COMPUTED_VALUE"""),467641791004)</f>
        <v>467641791004</v>
      </c>
      <c r="F250" s="1" t="str">
        <f>IFERROR(__xludf.DUMMYFUNCTION("""COMPUTED_VALUE"""),"CLOSED")</f>
        <v>CLOSED</v>
      </c>
      <c r="G250" s="1" t="str">
        <f>IFERROR(__xludf.DUMMYFUNCTION("""COMPUTED_VALUE"""),"CLOSED")</f>
        <v>CLOSED</v>
      </c>
      <c r="H250" s="1"/>
      <c r="I250" s="1" t="str">
        <f>IFERROR(__xludf.DUMMYFUNCTION("""COMPUTED_VALUE"""),"NO 1 AMSF")</f>
        <v>NO 1 AMSF</v>
      </c>
      <c r="J250" s="1" t="str">
        <f>IFERROR(__xludf.DUMMYFUNCTION("""COMPUTED_VALUE"""),"DUE DATE - 20-Sep-26  - 1,534.39")</f>
        <v>DUE DATE - 20-Sep-26  - 1,534.39</v>
      </c>
      <c r="K250" s="1" t="str">
        <f>IFERROR(__xludf.DUMMYFUNCTION("""COMPUTED_VALUE"""),"COMPLETED")</f>
        <v>COMPLETED</v>
      </c>
      <c r="L250" s="1" t="str">
        <f>IFERROR(__xludf.DUMMYFUNCTION("""COMPUTED_VALUE"""),"POSTED")</f>
        <v>POSTED</v>
      </c>
      <c r="M250" s="1" t="str">
        <f>IFERROR(__xludf.DUMMYFUNCTION("""COMPUTED_VALUE"""),"POSTED")</f>
        <v>POSTED</v>
      </c>
      <c r="N250" s="3">
        <f>IFERROR(__xludf.DUMMYFUNCTION("""COMPUTED_VALUE"""),46258)</f>
        <v>46258</v>
      </c>
      <c r="O250" s="1" t="str">
        <f>IFERROR(__xludf.DUMMYFUNCTION("""COMPUTED_VALUE"""),"FIBR PLAN 1299")</f>
        <v>FIBR PLAN 1299</v>
      </c>
      <c r="P250" s="1" t="str">
        <f>IFERROR(__xludf.DUMMYFUNCTION("""COMPUTED_VALUE"""),"LOWPLAN")</f>
        <v>LOWPLAN</v>
      </c>
      <c r="Q250" s="1" t="str">
        <f>IFERROR(__xludf.DUMMYFUNCTION("""COMPUTED_VALUE"""),"P407046")</f>
        <v>P407046</v>
      </c>
      <c r="R250" s="1" t="str">
        <f>IFERROR(__xludf.DUMMYFUNCTION("""COMPUTED_VALUE"""),"MALIWAT, MARK")</f>
        <v>MALIWAT, MARK</v>
      </c>
      <c r="S250" s="1" t="str">
        <f>IFERROR(__xludf.DUMMYFUNCTION("""COMPUTED_VALUE"""),"FLA")</f>
        <v>FLA</v>
      </c>
      <c r="T250" s="1" t="str">
        <f>IFERROR(__xludf.DUMMYFUNCTION("""COMPUTED_VALUE"""),"JERIC NAVARRO")</f>
        <v>JERIC NAVARRO</v>
      </c>
      <c r="U250" s="1" t="str">
        <f>IFERROR(__xludf.DUMMYFUNCTION("""COMPUTED_VALUE"""),"JB SALIOA")</f>
        <v>JB SALIOA</v>
      </c>
      <c r="V250" s="1" t="str">
        <f>IFERROR(__xludf.DUMMYFUNCTION("""COMPUTED_VALUE"""),"ONLINE/CRANFORD")</f>
        <v>ONLINE/CRANFORD</v>
      </c>
      <c r="W250" s="1" t="str">
        <f>IFERROR(__xludf.DUMMYFUNCTION("""COMPUTED_VALUE"""),"STK REGULAR")</f>
        <v>STK REGULAR</v>
      </c>
      <c r="X250" s="1" t="str">
        <f>IFERROR(__xludf.DUMMYFUNCTION("""COMPUTED_VALUE"""),"REGULAR")</f>
        <v>REGULAR</v>
      </c>
      <c r="Y250" s="1" t="str">
        <f>IFERROR(__xludf.DUMMYFUNCTION("""COMPUTED_VALUE"""),"RS_ONL_CVEU_2026")</f>
        <v>RS_ONL_CVEU_2026</v>
      </c>
      <c r="Z250" s="1" t="str">
        <f>IFERROR(__xludf.DUMMYFUNCTION("""COMPUTED_VALUE"""),"NEW CONNECT")</f>
        <v>NEW CONNECT</v>
      </c>
      <c r="AA250" s="1">
        <f>IFERROR(__xludf.DUMMYFUNCTION("""COMPUTED_VALUE"""),639924173220)</f>
        <v>639924173220</v>
      </c>
      <c r="AB250" s="1">
        <f>IFERROR(__xludf.DUMMYFUNCTION("""COMPUTED_VALUE"""),639532301357)</f>
        <v>639532301357</v>
      </c>
      <c r="AC250" s="1"/>
      <c r="AD250" s="1" t="str">
        <f>IFERROR(__xludf.DUMMYFUNCTION("""COMPUTED_VALUE"""),"PLUTO")</f>
        <v>PLUTO</v>
      </c>
      <c r="AE250" s="1" t="str">
        <f>IFERROR(__xludf.DUMMYFUNCTION("""COMPUTED_VALUE"""),"CITY HOMES RESORTVILLE")</f>
        <v>CITY HOMES RESORTVILLE</v>
      </c>
      <c r="AF250" s="1" t="str">
        <f>IFERROR(__xludf.DUMMYFUNCTION("""COMPUTED_VALUE"""),"BGY LANGKAAN 2")</f>
        <v>BGY LANGKAAN 2</v>
      </c>
      <c r="AG250" s="1" t="str">
        <f>IFERROR(__xludf.DUMMYFUNCTION("""COMPUTED_VALUE"""),"DASMARINAS")</f>
        <v>DASMARINAS</v>
      </c>
      <c r="AH250" s="1" t="str">
        <f>IFERROR(__xludf.DUMMYFUNCTION("""COMPUTED_VALUE"""),"NEAR MARKET")</f>
        <v>NEAR MARKET</v>
      </c>
      <c r="AI250" s="1" t="str">
        <f>IFERROR(__xludf.DUMMYFUNCTION("""COMPUTED_VALUE"""),"NOT AOR")</f>
        <v>NOT AOR</v>
      </c>
    </row>
    <row r="251" customHeight="1" spans="1:35">
      <c r="A251" s="3">
        <f>IFERROR(__xludf.DUMMYFUNCTION("""COMPUTED_VALUE"""),46257)</f>
        <v>46257</v>
      </c>
      <c r="B251" s="1" t="str">
        <f>IFERROR(__xludf.DUMMYFUNCTION("""COMPUTED_VALUE"""),"ISABEL SORIANO VERGARA")</f>
        <v>ISABEL SORIANO VERGARA</v>
      </c>
      <c r="C251" s="1">
        <f>IFERROR(__xludf.DUMMYFUNCTION("""COMPUTED_VALUE"""),2312024376)</f>
        <v>2312024376</v>
      </c>
      <c r="D251" s="1"/>
      <c r="E251" s="1"/>
      <c r="F251" s="1" t="str">
        <f>IFERROR(__xludf.DUMMYFUNCTION("""COMPUTED_VALUE"""),"NO BL ACCOUNT CREATION")</f>
        <v>NO BL ACCOUNT CREATION</v>
      </c>
      <c r="G251" s="1" t="str">
        <f>IFERROR(__xludf.DUMMYFUNCTION("""COMPUTED_VALUE"""),"(P-APPROVED) APPROVED | DONE VALIDATION | CORRECT ENCODED INFO IN CSP | SUBMITTED COMPLETE DOCS | TU SCORING GG - 1 (NTC) | NO 1 AMSF REQUIRED | CLEARED FROM BLACKLISTED HIT | NO EXISTING ACTIVE ACCT AND/ORPENDING/CANCELLED APPLICATION | SCANNABLE NATIONA"&amp;"L ID PROVIDED")</f>
        <v>(P-APPROVED) APPROVED | DONE VALIDATION | CORRECT ENCODED INFO IN CSP | SUBMITTED COMPLETE DOCS | TU SCORING GG - 1 (NTC) | NO 1 AMSF REQUIRED | CLEARED FROM BLACKLISTED HIT | NO EXISTING ACTIVE ACCT AND/ORPENDING/CANCELLED APPLICATION | SCANNABLE NATIONAL ID PROVIDED</v>
      </c>
      <c r="H251" s="1"/>
      <c r="I251" s="1"/>
      <c r="J251" s="1"/>
      <c r="K251" s="1"/>
      <c r="L251" s="1" t="str">
        <f>IFERROR(__xludf.DUMMYFUNCTION("""COMPUTED_VALUE"""),"FOR ONE HUB")</f>
        <v>FOR ONE HUB</v>
      </c>
      <c r="M251" s="1" t="str">
        <f>IFERROR(__xludf.DUMMYFUNCTION("""COMPUTED_VALUE"""),"FOR ONE HUB FILING - SYSTEM ERROR")</f>
        <v>FOR ONE HUB FILING - SYSTEM ERROR</v>
      </c>
      <c r="N251" s="3"/>
      <c r="O251" s="1" t="str">
        <f>IFERROR(__xludf.DUMMYFUNCTION("""COMPUTED_VALUE"""),"FIBR UNLI ALL PLAN 999")</f>
        <v>FIBR UNLI ALL PLAN 999</v>
      </c>
      <c r="P251" s="1" t="str">
        <f>IFERROR(__xludf.DUMMYFUNCTION("""COMPUTED_VALUE"""),"LOWPLAN")</f>
        <v>LOWPLAN</v>
      </c>
      <c r="Q251" s="1" t="str">
        <f>IFERROR(__xludf.DUMMYFUNCTION("""COMPUTED_VALUE"""),"P407050")</f>
        <v>P407050</v>
      </c>
      <c r="R251" s="1" t="str">
        <f>IFERROR(__xludf.DUMMYFUNCTION("""COMPUTED_VALUE"""),"ARENA, LYKA")</f>
        <v>ARENA, LYKA</v>
      </c>
      <c r="S251" s="1" t="str">
        <f>IFERROR(__xludf.DUMMYFUNCTION("""COMPUTED_VALUE"""),"ORGANIC")</f>
        <v>ORGANIC</v>
      </c>
      <c r="T251" s="1" t="str">
        <f>IFERROR(__xludf.DUMMYFUNCTION("""COMPUTED_VALUE"""),"LEA REMOLLO")</f>
        <v>LEA REMOLLO</v>
      </c>
      <c r="U251" s="1" t="str">
        <f>IFERROR(__xludf.DUMMYFUNCTION("""COMPUTED_VALUE"""),"JB SALIOA")</f>
        <v>JB SALIOA</v>
      </c>
      <c r="V251" s="1" t="str">
        <f>IFERROR(__xludf.DUMMYFUNCTION("""COMPUTED_VALUE"""),"BK HSTK")</f>
        <v>BK HSTK</v>
      </c>
      <c r="W251" s="1" t="str">
        <f>IFERROR(__xludf.DUMMYFUNCTION("""COMPUTED_VALUE"""),"BK HSTK")</f>
        <v>BK HSTK</v>
      </c>
      <c r="X251" s="1" t="str">
        <f>IFERROR(__xludf.DUMMYFUNCTION("""COMPUTED_VALUE"""),"REGULAR")</f>
        <v>REGULAR</v>
      </c>
      <c r="Y251" s="1" t="str">
        <f>IFERROR(__xludf.DUMMYFUNCTION("""COMPUTED_VALUE"""),"BK_CVEU_260804")</f>
        <v>BK_CVEU_260804</v>
      </c>
      <c r="Z251" s="1" t="str">
        <f>IFERROR(__xludf.DUMMYFUNCTION("""COMPUTED_VALUE"""),"NEW CONNECT")</f>
        <v>NEW CONNECT</v>
      </c>
      <c r="AA251" s="1">
        <f>IFERROR(__xludf.DUMMYFUNCTION("""COMPUTED_VALUE"""),639464131984)</f>
        <v>639464131984</v>
      </c>
      <c r="AB251" s="1">
        <f>IFERROR(__xludf.DUMMYFUNCTION("""COMPUTED_VALUE"""),639462513468)</f>
        <v>639462513468</v>
      </c>
      <c r="AC251" s="1"/>
      <c r="AD251" s="1" t="str">
        <f>IFERROR(__xludf.DUMMYFUNCTION("""COMPUTED_VALUE"""),"INOCENCIO SALUD")</f>
        <v>INOCENCIO SALUD</v>
      </c>
      <c r="AE251" s="1"/>
      <c r="AF251" s="1" t="str">
        <f>IFERROR(__xludf.DUMMYFUNCTION("""COMPUTED_VALUE"""),"BGY INOCENCIO SALUD")</f>
        <v>BGY INOCENCIO SALUD</v>
      </c>
      <c r="AG251" s="1" t="str">
        <f>IFERROR(__xludf.DUMMYFUNCTION("""COMPUTED_VALUE"""),"GEN MARIANO ALVAREZ")</f>
        <v>GEN MARIANO ALVAREZ</v>
      </c>
      <c r="AH251" s="1" t="str">
        <f>IFERROR(__xludf.DUMMYFUNCTION("""COMPUTED_VALUE"""),"HALF COURT")</f>
        <v>HALF COURT</v>
      </c>
      <c r="AI251" s="1" t="str">
        <f>IFERROR(__xludf.DUMMYFUNCTION("""COMPUTED_VALUE"""),"CLUSTER 11")</f>
        <v>CLUSTER 11</v>
      </c>
    </row>
    <row r="252" customHeight="1" spans="1:35">
      <c r="A252" s="3">
        <f>IFERROR(__xludf.DUMMYFUNCTION("""COMPUTED_VALUE"""),46257)</f>
        <v>46257</v>
      </c>
      <c r="B252" s="1" t="str">
        <f>IFERROR(__xludf.DUMMYFUNCTION("""COMPUTED_VALUE"""),"NARRY ROCA BARRION")</f>
        <v>NARRY ROCA BARRION</v>
      </c>
      <c r="C252" s="1">
        <f>IFERROR(__xludf.DUMMYFUNCTION("""COMPUTED_VALUE"""),2312024702)</f>
        <v>2312024702</v>
      </c>
      <c r="D252" s="1">
        <f>IFERROR(__xludf.DUMMYFUNCTION("""COMPUTED_VALUE"""),407246535)</f>
        <v>407246535</v>
      </c>
      <c r="E252" s="1">
        <f>IFERROR(__xludf.DUMMYFUNCTION("""COMPUTED_VALUE"""),467791197004)</f>
        <v>467791197004</v>
      </c>
      <c r="F252" s="1" t="str">
        <f>IFERROR(__xludf.DUMMYFUNCTION("""COMPUTED_VALUE"""),"CANCELLED")</f>
        <v>CANCELLED</v>
      </c>
      <c r="G252" s="1" t="str">
        <f>IFERROR(__xludf.DUMMYFUNCTION("""COMPUTED_VALUE"""),"AUTO - AGING")</f>
        <v>AUTO - AGING</v>
      </c>
      <c r="H252" s="1"/>
      <c r="I252" s="1"/>
      <c r="J252" s="1"/>
      <c r="K252" s="1" t="str">
        <f>IFERROR(__xludf.DUMMYFUNCTION("""COMPUTED_VALUE"""),"NOT IN OFSC")</f>
        <v>NOT IN OFSC</v>
      </c>
      <c r="L252" s="1" t="str">
        <f>IFERROR(__xludf.DUMMYFUNCTION("""COMPUTED_VALUE"""),"CANCELLED - AGING")</f>
        <v>CANCELLED - AGING</v>
      </c>
      <c r="M252" s="1" t="str">
        <f>IFERROR(__xludf.DUMMYFUNCTION("""COMPUTED_VALUE"""),"CANCELLED - AGING")</f>
        <v>CANCELLED - AGING</v>
      </c>
      <c r="N252" s="3"/>
      <c r="O252" s="1" t="str">
        <f>IFERROR(__xludf.DUMMYFUNCTION("""COMPUTED_VALUE"""),"FIBR UNLI ALL PLAN 999")</f>
        <v>FIBR UNLI ALL PLAN 999</v>
      </c>
      <c r="P252" s="1" t="str">
        <f>IFERROR(__xludf.DUMMYFUNCTION("""COMPUTED_VALUE"""),"LOWPLAN")</f>
        <v>LOWPLAN</v>
      </c>
      <c r="Q252" s="1" t="str">
        <f>IFERROR(__xludf.DUMMYFUNCTION("""COMPUTED_VALUE"""),"P407045")</f>
        <v>P407045</v>
      </c>
      <c r="R252" s="1" t="str">
        <f>IFERROR(__xludf.DUMMYFUNCTION("""COMPUTED_VALUE"""),"GABAY, MANUEL")</f>
        <v>GABAY, MANUEL</v>
      </c>
      <c r="S252" s="1" t="str">
        <f>IFERROR(__xludf.DUMMYFUNCTION("""COMPUTED_VALUE"""),"FLA")</f>
        <v>FLA</v>
      </c>
      <c r="T252" s="1" t="str">
        <f>IFERROR(__xludf.DUMMYFUNCTION("""COMPUTED_VALUE"""),"JERIC NAVARRO")</f>
        <v>JERIC NAVARRO</v>
      </c>
      <c r="U252" s="1" t="str">
        <f>IFERROR(__xludf.DUMMYFUNCTION("""COMPUTED_VALUE"""),"JB SALIOA")</f>
        <v>JB SALIOA</v>
      </c>
      <c r="V252" s="1" t="str">
        <f>IFERROR(__xludf.DUMMYFUNCTION("""COMPUTED_VALUE"""),"BK HSTK")</f>
        <v>BK HSTK</v>
      </c>
      <c r="W252" s="1" t="str">
        <f>IFERROR(__xludf.DUMMYFUNCTION("""COMPUTED_VALUE"""),"BK HSTK")</f>
        <v>BK HSTK</v>
      </c>
      <c r="X252" s="1" t="str">
        <f>IFERROR(__xludf.DUMMYFUNCTION("""COMPUTED_VALUE"""),"REGULAR")</f>
        <v>REGULAR</v>
      </c>
      <c r="Y252" s="1" t="str">
        <f>IFERROR(__xludf.DUMMYFUNCTION("""COMPUTED_VALUE"""),"BK_CVEU_260805")</f>
        <v>BK_CVEU_260805</v>
      </c>
      <c r="Z252" s="1" t="str">
        <f>IFERROR(__xludf.DUMMYFUNCTION("""COMPUTED_VALUE"""),"NEW CONNECT")</f>
        <v>NEW CONNECT</v>
      </c>
      <c r="AA252" s="1">
        <f>IFERROR(__xludf.DUMMYFUNCTION("""COMPUTED_VALUE"""),639553151642)</f>
        <v>639553151642</v>
      </c>
      <c r="AB252" s="1">
        <f>IFERROR(__xludf.DUMMYFUNCTION("""COMPUTED_VALUE"""),639756462922)</f>
        <v>639756462922</v>
      </c>
      <c r="AC252" s="1">
        <f>IFERROR(__xludf.DUMMYFUNCTION("""COMPUTED_VALUE"""),270)</f>
        <v>270</v>
      </c>
      <c r="AD252" s="1" t="str">
        <f>IFERROR(__xludf.DUMMYFUNCTION("""COMPUTED_VALUE"""),"GUANG MING")</f>
        <v>GUANG MING</v>
      </c>
      <c r="AE252" s="1"/>
      <c r="AF252" s="1" t="str">
        <f>IFERROR(__xludf.DUMMYFUNCTION("""COMPUTED_VALUE"""),"BGY GALICIA 3")</f>
        <v>BGY GALICIA 3</v>
      </c>
      <c r="AG252" s="1" t="str">
        <f>IFERROR(__xludf.DUMMYFUNCTION("""COMPUTED_VALUE"""),"MENDEZ")</f>
        <v>MENDEZ</v>
      </c>
      <c r="AH252" s="1" t="str">
        <f>IFERROR(__xludf.DUMMYFUNCTION("""COMPUTED_VALUE"""),"-")</f>
        <v>-</v>
      </c>
      <c r="AI252" s="1" t="str">
        <f>IFERROR(__xludf.DUMMYFUNCTION("""COMPUTED_VALUE"""),"CLUSTER 12")</f>
        <v>CLUSTER 12</v>
      </c>
    </row>
    <row r="253" customHeight="1" spans="1:35">
      <c r="A253" s="3">
        <f>IFERROR(__xludf.DUMMYFUNCTION("""COMPUTED_VALUE"""),46257)</f>
        <v>46257</v>
      </c>
      <c r="B253" s="1" t="str">
        <f>IFERROR(__xludf.DUMMYFUNCTION("""COMPUTED_VALUE"""),"JOVELYN MARTINEZ LOJERA")</f>
        <v>JOVELYN MARTINEZ LOJERA</v>
      </c>
      <c r="C253" s="1">
        <f>IFERROR(__xludf.DUMMYFUNCTION("""COMPUTED_VALUE"""),2312024949)</f>
        <v>2312024949</v>
      </c>
      <c r="D253" s="1"/>
      <c r="E253" s="1"/>
      <c r="F253" s="1" t="str">
        <f>IFERROR(__xludf.DUMMYFUNCTION("""COMPUTED_VALUE"""),"CANCELLED")</f>
        <v>CANCELLED</v>
      </c>
      <c r="G253" s="1" t="str">
        <f>IFERROR(__xludf.DUMMYFUNCTION("""COMPUTED_VALUE"""),"FOR SETTLEMENT TEL# 0464831799 WITH OB AMOUNTING TO PHP3 105.50 ALMOST THE SAME ADDRESS")</f>
        <v>FOR SETTLEMENT TEL# 0464831799 WITH OB AMOUNTING TO PHP3 105.50 ALMOST THE SAME ADDRESS</v>
      </c>
      <c r="H253" s="1"/>
      <c r="I253" s="1"/>
      <c r="J253" s="1"/>
      <c r="K253" s="1"/>
      <c r="L253" s="1" t="str">
        <f>IFERROR(__xludf.DUMMYFUNCTION("""COMPUTED_VALUE"""),"CANCELLED - WITH OB")</f>
        <v>CANCELLED - WITH OB</v>
      </c>
      <c r="M253" s="1" t="str">
        <f>IFERROR(__xludf.DUMMYFUNCTION("""COMPUTED_VALUE"""),"CANCELLED - WITH OB")</f>
        <v>CANCELLED - WITH OB</v>
      </c>
      <c r="N253" s="3"/>
      <c r="O253" s="1" t="str">
        <f>IFERROR(__xludf.DUMMYFUNCTION("""COMPUTED_VALUE"""),"FIBR UNLI ALL PLAN 999")</f>
        <v>FIBR UNLI ALL PLAN 999</v>
      </c>
      <c r="P253" s="1" t="str">
        <f>IFERROR(__xludf.DUMMYFUNCTION("""COMPUTED_VALUE"""),"LOWPLAN")</f>
        <v>LOWPLAN</v>
      </c>
      <c r="Q253" s="1" t="str">
        <f>IFERROR(__xludf.DUMMYFUNCTION("""COMPUTED_VALUE"""),"P407050")</f>
        <v>P407050</v>
      </c>
      <c r="R253" s="1" t="str">
        <f>IFERROR(__xludf.DUMMYFUNCTION("""COMPUTED_VALUE"""),"ESCARCHA, ALMA")</f>
        <v>ESCARCHA, ALMA</v>
      </c>
      <c r="S253" s="1" t="str">
        <f>IFERROR(__xludf.DUMMYFUNCTION("""COMPUTED_VALUE"""),"ORGANIC")</f>
        <v>ORGANIC</v>
      </c>
      <c r="T253" s="1" t="str">
        <f>IFERROR(__xludf.DUMMYFUNCTION("""COMPUTED_VALUE"""),"LEA REMOLLO")</f>
        <v>LEA REMOLLO</v>
      </c>
      <c r="U253" s="1" t="str">
        <f>IFERROR(__xludf.DUMMYFUNCTION("""COMPUTED_VALUE"""),"JB SALIOA")</f>
        <v>JB SALIOA</v>
      </c>
      <c r="V253" s="1" t="str">
        <f>IFERROR(__xludf.DUMMYFUNCTION("""COMPUTED_VALUE"""),"BK HSTK")</f>
        <v>BK HSTK</v>
      </c>
      <c r="W253" s="1" t="str">
        <f>IFERROR(__xludf.DUMMYFUNCTION("""COMPUTED_VALUE"""),"BK HSTK")</f>
        <v>BK HSTK</v>
      </c>
      <c r="X253" s="1" t="str">
        <f>IFERROR(__xludf.DUMMYFUNCTION("""COMPUTED_VALUE"""),"REGULAR")</f>
        <v>REGULAR</v>
      </c>
      <c r="Y253" s="1" t="str">
        <f>IFERROR(__xludf.DUMMYFUNCTION("""COMPUTED_VALUE"""),"BK_CVEU_260805")</f>
        <v>BK_CVEU_260805</v>
      </c>
      <c r="Z253" s="1" t="str">
        <f>IFERROR(__xludf.DUMMYFUNCTION("""COMPUTED_VALUE"""),"NEW CONNECT")</f>
        <v>NEW CONNECT</v>
      </c>
      <c r="AA253" s="1">
        <f>IFERROR(__xludf.DUMMYFUNCTION("""COMPUTED_VALUE"""),639455225965)</f>
        <v>639455225965</v>
      </c>
      <c r="AB253" s="1"/>
      <c r="AC253" s="1"/>
      <c r="AD253" s="1" t="str">
        <f>IFERROR(__xludf.DUMMYFUNCTION("""COMPUTED_VALUE"""),"KALUBKOB")</f>
        <v>KALUBKOB</v>
      </c>
      <c r="AE253" s="1"/>
      <c r="AF253" s="1" t="str">
        <f>IFERROR(__xludf.DUMMYFUNCTION("""COMPUTED_VALUE"""),"BGY ASIS 1")</f>
        <v>BGY ASIS 1</v>
      </c>
      <c r="AG253" s="1" t="str">
        <f>IFERROR(__xludf.DUMMYFUNCTION("""COMPUTED_VALUE"""),"MENDEZ")</f>
        <v>MENDEZ</v>
      </c>
      <c r="AH253" s="1" t="str">
        <f>IFERROR(__xludf.DUMMYFUNCTION("""COMPUTED_VALUE"""),"AMY STORE")</f>
        <v>AMY STORE</v>
      </c>
      <c r="AI253" s="1" t="str">
        <f>IFERROR(__xludf.DUMMYFUNCTION("""COMPUTED_VALUE"""),"CLUSTER 12")</f>
        <v>CLUSTER 12</v>
      </c>
    </row>
    <row r="254" customHeight="1" spans="1:35">
      <c r="A254" s="3">
        <f>IFERROR(__xludf.DUMMYFUNCTION("""COMPUTED_VALUE"""),46257)</f>
        <v>46257</v>
      </c>
      <c r="B254" s="1" t="str">
        <f>IFERROR(__xludf.DUMMYFUNCTION("""COMPUTED_VALUE""")," KENNETH ALONZO RENA")</f>
        <v> KENNETH ALONZO RENA</v>
      </c>
      <c r="C254" s="1">
        <f>IFERROR(__xludf.DUMMYFUNCTION("""COMPUTED_VALUE"""),2312026636)</f>
        <v>2312026636</v>
      </c>
      <c r="D254" s="1">
        <f>IFERROR(__xludf.DUMMYFUNCTION("""COMPUTED_VALUE"""),407247477)</f>
        <v>407247477</v>
      </c>
      <c r="E254" s="1">
        <f>IFERROR(__xludf.DUMMYFUNCTION("""COMPUTED_VALUE"""),467791369004)</f>
        <v>467791369004</v>
      </c>
      <c r="F254" s="1" t="str">
        <f>IFERROR(__xludf.DUMMYFUNCTION("""COMPUTED_VALUE"""),"CLOSED")</f>
        <v>CLOSED</v>
      </c>
      <c r="G254" s="1" t="str">
        <f>IFERROR(__xludf.DUMMYFUNCTION("""COMPUTED_VALUE"""),"CLOSED")</f>
        <v>CLOSED</v>
      </c>
      <c r="H254" s="1" t="str">
        <f>IFERROR(__xludf.DUMMYFUNCTION("""COMPUTED_VALUE"""),"PAID VIA GCASH 520956311 AUG 25")</f>
        <v>PAID VIA GCASH 520956311 AUG 25</v>
      </c>
      <c r="I254" s="1" t="str">
        <f>IFERROR(__xludf.DUMMYFUNCTION("""COMPUTED_VALUE"""),"WITH 1 AMSF")</f>
        <v>WITH 1 AMSF</v>
      </c>
      <c r="J254" s="1"/>
      <c r="K254" s="1" t="str">
        <f>IFERROR(__xludf.DUMMYFUNCTION("""COMPUTED_VALUE"""),"COMPLETED")</f>
        <v>COMPLETED</v>
      </c>
      <c r="L254" s="1" t="str">
        <f>IFERROR(__xludf.DUMMYFUNCTION("""COMPUTED_VALUE"""),"POSTED")</f>
        <v>POSTED</v>
      </c>
      <c r="M254" s="1" t="str">
        <f>IFERROR(__xludf.DUMMYFUNCTION("""COMPUTED_VALUE"""),"POSTED")</f>
        <v>POSTED</v>
      </c>
      <c r="N254" s="3">
        <f>IFERROR(__xludf.DUMMYFUNCTION("""COMPUTED_VALUE"""),46261)</f>
        <v>46261</v>
      </c>
      <c r="O254" s="1" t="str">
        <f>IFERROR(__xludf.DUMMYFUNCTION("""COMPUTED_VALUE"""),"FIBR UNLI ALL PLAN 999")</f>
        <v>FIBR UNLI ALL PLAN 999</v>
      </c>
      <c r="P254" s="1" t="str">
        <f>IFERROR(__xludf.DUMMYFUNCTION("""COMPUTED_VALUE"""),"LOWPLAN")</f>
        <v>LOWPLAN</v>
      </c>
      <c r="Q254" s="1" t="str">
        <f>IFERROR(__xludf.DUMMYFUNCTION("""COMPUTED_VALUE"""),"P407050 ")</f>
        <v>P407050 </v>
      </c>
      <c r="R254" s="1" t="str">
        <f>IFERROR(__xludf.DUMMYFUNCTION("""COMPUTED_VALUE"""),"TAMAYO, MARY ROSE ZAIRA")</f>
        <v>TAMAYO, MARY ROSE ZAIRA</v>
      </c>
      <c r="S254" s="1" t="str">
        <f>IFERROR(__xludf.DUMMYFUNCTION("""COMPUTED_VALUE"""),"ORGANIC")</f>
        <v>ORGANIC</v>
      </c>
      <c r="T254" s="1" t="str">
        <f>IFERROR(__xludf.DUMMYFUNCTION("""COMPUTED_VALUE"""),"LEA REMOLLO")</f>
        <v>LEA REMOLLO</v>
      </c>
      <c r="U254" s="1" t="str">
        <f>IFERROR(__xludf.DUMMYFUNCTION("""COMPUTED_VALUE"""),"MARK MALIWAT")</f>
        <v>MARK MALIWAT</v>
      </c>
      <c r="V254" s="1" t="str">
        <f>IFERROR(__xludf.DUMMYFUNCTION("""COMPUTED_VALUE"""),"BK HSTK")</f>
        <v>BK HSTK</v>
      </c>
      <c r="W254" s="1" t="str">
        <f>IFERROR(__xludf.DUMMYFUNCTION("""COMPUTED_VALUE"""),"BK HSTK")</f>
        <v>BK HSTK</v>
      </c>
      <c r="X254" s="1" t="str">
        <f>IFERROR(__xludf.DUMMYFUNCTION("""COMPUTED_VALUE"""),"REGULAR")</f>
        <v>REGULAR</v>
      </c>
      <c r="Y254" s="1" t="str">
        <f>IFERROR(__xludf.DUMMYFUNCTION("""COMPUTED_VALUE"""),"BK_CVEU_260806")</f>
        <v>BK_CVEU_260806</v>
      </c>
      <c r="Z254" s="1" t="str">
        <f>IFERROR(__xludf.DUMMYFUNCTION("""COMPUTED_VALUE"""),"NEW CONNECT")</f>
        <v>NEW CONNECT</v>
      </c>
      <c r="AA254" s="1">
        <f>IFERROR(__xludf.DUMMYFUNCTION("""COMPUTED_VALUE"""),639560334475)</f>
        <v>639560334475</v>
      </c>
      <c r="AB254" s="1">
        <f>IFERROR(__xludf.DUMMYFUNCTION("""COMPUTED_VALUE"""),639065034982)</f>
        <v>639065034982</v>
      </c>
      <c r="AC254" s="1"/>
      <c r="AD254" s="1" t="str">
        <f>IFERROR(__xludf.DUMMYFUNCTION("""COMPUTED_VALUE"""),"NARRA 3")</f>
        <v>NARRA 3</v>
      </c>
      <c r="AE254" s="1"/>
      <c r="AF254" s="1" t="str">
        <f>IFERROR(__xludf.DUMMYFUNCTION("""COMPUTED_VALUE"""),"BGY NARRA 3")</f>
        <v>BGY NARRA 3</v>
      </c>
      <c r="AG254" s="1" t="str">
        <f>IFERROR(__xludf.DUMMYFUNCTION("""COMPUTED_VALUE"""),"SILANG")</f>
        <v>SILANG</v>
      </c>
      <c r="AH254" s="1" t="str">
        <f>IFERROR(__xludf.DUMMYFUNCTION("""COMPUTED_VALUE"""),"EZWASH")</f>
        <v>EZWASH</v>
      </c>
      <c r="AI254" s="1" t="str">
        <f>IFERROR(__xludf.DUMMYFUNCTION("""COMPUTED_VALUE"""),"CLUSTER 11")</f>
        <v>CLUSTER 11</v>
      </c>
    </row>
    <row r="255" customHeight="1" spans="1:35">
      <c r="A255" s="3">
        <f>IFERROR(__xludf.DUMMYFUNCTION("""COMPUTED_VALUE"""),46257)</f>
        <v>46257</v>
      </c>
      <c r="B255" s="1" t="str">
        <f>IFERROR(__xludf.DUMMYFUNCTION("""COMPUTED_VALUE""")," JAYVIE GERMONES ABORDO")</f>
        <v> JAYVIE GERMONES ABORDO</v>
      </c>
      <c r="C255" s="1">
        <f>IFERROR(__xludf.DUMMYFUNCTION("""COMPUTED_VALUE"""),2312026921)</f>
        <v>2312026921</v>
      </c>
      <c r="D255" s="1">
        <f>IFERROR(__xludf.DUMMYFUNCTION("""COMPUTED_VALUE"""),407220420)</f>
        <v>407220420</v>
      </c>
      <c r="E255" s="1">
        <f>IFERROR(__xludf.DUMMYFUNCTION("""COMPUTED_VALUE"""),467648116004)</f>
        <v>467648116004</v>
      </c>
      <c r="F255" s="1" t="str">
        <f>IFERROR(__xludf.DUMMYFUNCTION("""COMPUTED_VALUE"""),"CLOSED")</f>
        <v>CLOSED</v>
      </c>
      <c r="G255" s="1" t="str">
        <f>IFERROR(__xludf.DUMMYFUNCTION("""COMPUTED_VALUE"""),"CLOSED")</f>
        <v>CLOSED</v>
      </c>
      <c r="H255" s="1" t="str">
        <f>IFERROR(__xludf.DUMMYFUNCTION("""COMPUTED_VALUE"""),"PAID VIA GCASH - AUG 25 - REF - 319771940")</f>
        <v>PAID VIA GCASH - AUG 25 - REF - 319771940</v>
      </c>
      <c r="I255" s="1" t="str">
        <f>IFERROR(__xludf.DUMMYFUNCTION("""COMPUTED_VALUE"""),"WITH 1 AMSF")</f>
        <v>WITH 1 AMSF</v>
      </c>
      <c r="J255" s="1"/>
      <c r="K255" s="1" t="str">
        <f>IFERROR(__xludf.DUMMYFUNCTION("""COMPUTED_VALUE"""),"COMPLETED")</f>
        <v>COMPLETED</v>
      </c>
      <c r="L255" s="1" t="str">
        <f>IFERROR(__xludf.DUMMYFUNCTION("""COMPUTED_VALUE"""),"POSTED")</f>
        <v>POSTED</v>
      </c>
      <c r="M255" s="1" t="str">
        <f>IFERROR(__xludf.DUMMYFUNCTION("""COMPUTED_VALUE"""),"POSTED")</f>
        <v>POSTED</v>
      </c>
      <c r="N255" s="3">
        <f>IFERROR(__xludf.DUMMYFUNCTION("""COMPUTED_VALUE"""),46258)</f>
        <v>46258</v>
      </c>
      <c r="O255" s="1" t="str">
        <f>IFERROR(__xludf.DUMMYFUNCTION("""COMPUTED_VALUE"""),"FIBR PLAN 1299")</f>
        <v>FIBR PLAN 1299</v>
      </c>
      <c r="P255" s="1" t="str">
        <f>IFERROR(__xludf.DUMMYFUNCTION("""COMPUTED_VALUE"""),"LOWPLAN")</f>
        <v>LOWPLAN</v>
      </c>
      <c r="Q255" s="1" t="str">
        <f>IFERROR(__xludf.DUMMYFUNCTION("""COMPUTED_VALUE"""),"P407050 ")</f>
        <v>P407050 </v>
      </c>
      <c r="R255" s="1" t="str">
        <f>IFERROR(__xludf.DUMMYFUNCTION("""COMPUTED_VALUE"""),"MANDUCDOC, MARIANE")</f>
        <v>MANDUCDOC, MARIANE</v>
      </c>
      <c r="S255" s="1" t="str">
        <f>IFERROR(__xludf.DUMMYFUNCTION("""COMPUTED_VALUE"""),"ORGANIC")</f>
        <v>ORGANIC</v>
      </c>
      <c r="T255" s="1" t="str">
        <f>IFERROR(__xludf.DUMMYFUNCTION("""COMPUTED_VALUE"""),"LEA REMOLLO")</f>
        <v>LEA REMOLLO</v>
      </c>
      <c r="U255" s="1" t="str">
        <f>IFERROR(__xludf.DUMMYFUNCTION("""COMPUTED_VALUE"""),"MARK MALIWAT")</f>
        <v>MARK MALIWAT</v>
      </c>
      <c r="V255" s="1" t="str">
        <f>IFERROR(__xludf.DUMMYFUNCTION("""COMPUTED_VALUE"""),"BK HSTK")</f>
        <v>BK HSTK</v>
      </c>
      <c r="W255" s="1" t="str">
        <f>IFERROR(__xludf.DUMMYFUNCTION("""COMPUTED_VALUE"""),"BK HSTK")</f>
        <v>BK HSTK</v>
      </c>
      <c r="X255" s="1" t="str">
        <f>IFERROR(__xludf.DUMMYFUNCTION("""COMPUTED_VALUE"""),"REGULAR")</f>
        <v>REGULAR</v>
      </c>
      <c r="Y255" s="1" t="str">
        <f>IFERROR(__xludf.DUMMYFUNCTION("""COMPUTED_VALUE"""),"BK_CVEU_260806")</f>
        <v>BK_CVEU_260806</v>
      </c>
      <c r="Z255" s="1" t="str">
        <f>IFERROR(__xludf.DUMMYFUNCTION("""COMPUTED_VALUE"""),"NEW CONNECT")</f>
        <v>NEW CONNECT</v>
      </c>
      <c r="AA255" s="1">
        <f>IFERROR(__xludf.DUMMYFUNCTION("""COMPUTED_VALUE"""),639203602496)</f>
        <v>639203602496</v>
      </c>
      <c r="AB255" s="1">
        <f>IFERROR(__xludf.DUMMYFUNCTION("""COMPUTED_VALUE"""),639398231869)</f>
        <v>639398231869</v>
      </c>
      <c r="AC255" s="1"/>
      <c r="AD255" s="1" t="str">
        <f>IFERROR(__xludf.DUMMYFUNCTION("""COMPUTED_VALUE"""),"INOCENCIO SALUD")</f>
        <v>INOCENCIO SALUD</v>
      </c>
      <c r="AE255" s="1"/>
      <c r="AF255" s="1" t="str">
        <f>IFERROR(__xludf.DUMMYFUNCTION("""COMPUTED_VALUE"""),"BGY INOCENCIO SALUD")</f>
        <v>BGY INOCENCIO SALUD</v>
      </c>
      <c r="AG255" s="1" t="str">
        <f>IFERROR(__xludf.DUMMYFUNCTION("""COMPUTED_VALUE"""),"GEN MARIANO ALVAREZ")</f>
        <v>GEN MARIANO ALVAREZ</v>
      </c>
      <c r="AH255" s="1" t="str">
        <f>IFERROR(__xludf.DUMMYFUNCTION("""COMPUTED_VALUE"""),"COURT")</f>
        <v>COURT</v>
      </c>
      <c r="AI255" s="1" t="str">
        <f>IFERROR(__xludf.DUMMYFUNCTION("""COMPUTED_VALUE"""),"CLUSTER 11")</f>
        <v>CLUSTER 11</v>
      </c>
    </row>
    <row r="256" customHeight="1" spans="1:35">
      <c r="A256" s="3">
        <f>IFERROR(__xludf.DUMMYFUNCTION("""COMPUTED_VALUE"""),46257)</f>
        <v>46257</v>
      </c>
      <c r="B256" s="1" t="str">
        <f>IFERROR(__xludf.DUMMYFUNCTION("""COMPUTED_VALUE""")," RANDY CERDINA CAMPOSANO")</f>
        <v> RANDY CERDINA CAMPOSANO</v>
      </c>
      <c r="C256" s="1">
        <f>IFERROR(__xludf.DUMMYFUNCTION("""COMPUTED_VALUE"""),2312027291)</f>
        <v>2312027291</v>
      </c>
      <c r="D256" s="1"/>
      <c r="E256" s="1"/>
      <c r="F256" s="1" t="str">
        <f>IFERROR(__xludf.DUMMYFUNCTION("""COMPUTED_VALUE"""),"CANCELLED")</f>
        <v>CANCELLED</v>
      </c>
      <c r="G256" s="1" t="str">
        <f>IFERROR(__xludf.DUMMYFUNCTION("""COMPUTED_VALUE"""),"(POA REQUIREMENT - MULTIPLE LINE APPLICATION) RETURN TO SALES | VALIDATED COMPLETE DOCS | INVALID SUBSCERT - INCOMPLETE DETAILS - NO 50 PESOS ACTIVATION FEE INDICATED | CLEARED FROM BLACKLISTED HIT|NO EXISTING ACTIVE ACCT AND/OR PENDING/CANCELLED APPLICAT"&amp;"ION | TU SCORING GG - 1 (NTC)| WAIVED AMSF | ")</f>
        <v>(POA REQUIREMENT - MULTIPLE LINE APPLICATION) RETURN TO SALES | VALIDATED COMPLETE DOCS | INVALID SUBSCERT - INCOMPLETE DETAILS - NO 50 PESOS ACTIVATION FEE INDICATED | CLEARED FROM BLACKLISTED HIT|NO EXISTING ACTIVE ACCT AND/OR PENDING/CANCELLED APPLICATION | TU SCORING GG - 1 (NTC)| WAIVED AMSF | </v>
      </c>
      <c r="H256" s="1"/>
      <c r="I256" s="1"/>
      <c r="J256" s="1"/>
      <c r="K256" s="1"/>
      <c r="L256" s="1" t="str">
        <f>IFERROR(__xludf.DUMMYFUNCTION("""COMPUTED_VALUE"""),"CANCELLED")</f>
        <v>CANCELLED</v>
      </c>
      <c r="M256" s="1" t="str">
        <f>IFERROR(__xludf.DUMMYFUNCTION("""COMPUTED_VALUE"""),"CANCELLED")</f>
        <v>CANCELLED</v>
      </c>
      <c r="N256" s="3"/>
      <c r="O256" s="1" t="str">
        <f>IFERROR(__xludf.DUMMYFUNCTION("""COMPUTED_VALUE"""),"FIBER UNLI ALL PLAN 1499")</f>
        <v>FIBER UNLI ALL PLAN 1499</v>
      </c>
      <c r="P256" s="1" t="str">
        <f>IFERROR(__xludf.DUMMYFUNCTION("""COMPUTED_VALUE"""),"LOWPLAN")</f>
        <v>LOWPLAN</v>
      </c>
      <c r="Q256" s="1" t="str">
        <f>IFERROR(__xludf.DUMMYFUNCTION("""COMPUTED_VALUE"""),"P407050 ")</f>
        <v>P407050 </v>
      </c>
      <c r="R256" s="1" t="str">
        <f>IFERROR(__xludf.DUMMYFUNCTION("""COMPUTED_VALUE"""),"ESCARCHA, ALMA")</f>
        <v>ESCARCHA, ALMA</v>
      </c>
      <c r="S256" s="1" t="str">
        <f>IFERROR(__xludf.DUMMYFUNCTION("""COMPUTED_VALUE"""),"ORGANIC")</f>
        <v>ORGANIC</v>
      </c>
      <c r="T256" s="1" t="str">
        <f>IFERROR(__xludf.DUMMYFUNCTION("""COMPUTED_VALUE"""),"LEA REMOLLO")</f>
        <v>LEA REMOLLO</v>
      </c>
      <c r="U256" s="1" t="str">
        <f>IFERROR(__xludf.DUMMYFUNCTION("""COMPUTED_VALUE"""),"MARK MALIWAT")</f>
        <v>MARK MALIWAT</v>
      </c>
      <c r="V256" s="1" t="str">
        <f>IFERROR(__xludf.DUMMYFUNCTION("""COMPUTED_VALUE"""),"BK HSTK")</f>
        <v>BK HSTK</v>
      </c>
      <c r="W256" s="1" t="str">
        <f>IFERROR(__xludf.DUMMYFUNCTION("""COMPUTED_VALUE"""),"BK HSTK")</f>
        <v>BK HSTK</v>
      </c>
      <c r="X256" s="1" t="str">
        <f>IFERROR(__xludf.DUMMYFUNCTION("""COMPUTED_VALUE"""),"REGULAR")</f>
        <v>REGULAR</v>
      </c>
      <c r="Y256" s="1" t="str">
        <f>IFERROR(__xludf.DUMMYFUNCTION("""COMPUTED_VALUE"""),"BK_CVEU_260806")</f>
        <v>BK_CVEU_260806</v>
      </c>
      <c r="Z256" s="1" t="str">
        <f>IFERROR(__xludf.DUMMYFUNCTION("""COMPUTED_VALUE"""),"NEW CONNECT")</f>
        <v>NEW CONNECT</v>
      </c>
      <c r="AA256" s="1">
        <f>IFERROR(__xludf.DUMMYFUNCTION("""COMPUTED_VALUE"""),639525263223)</f>
        <v>639525263223</v>
      </c>
      <c r="AB256" s="1"/>
      <c r="AC256" s="1"/>
      <c r="AD256" s="1" t="str">
        <f>IFERROR(__xludf.DUMMYFUNCTION("""COMPUTED_VALUE"""),"EXCESS LOT")</f>
        <v>EXCESS LOT</v>
      </c>
      <c r="AE256" s="1"/>
      <c r="AF256" s="1" t="str">
        <f>IFERROR(__xludf.DUMMYFUNCTION("""COMPUTED_VALUE"""),"BGY ALDIANO OLAES")</f>
        <v>BGY ALDIANO OLAES</v>
      </c>
      <c r="AG256" s="1" t="str">
        <f>IFERROR(__xludf.DUMMYFUNCTION("""COMPUTED_VALUE"""),"GEN MARIANO ALVAREZ")</f>
        <v>GEN MARIANO ALVAREZ</v>
      </c>
      <c r="AH256" s="1" t="str">
        <f>IFERROR(__xludf.DUMMYFUNCTION("""COMPUTED_VALUE"""),"GMZLP17NP5")</f>
        <v>GMZLP17NP5</v>
      </c>
      <c r="AI256" s="1" t="str">
        <f>IFERROR(__xludf.DUMMYFUNCTION("""COMPUTED_VALUE"""),"CLUSTER 11")</f>
        <v>CLUSTER 11</v>
      </c>
    </row>
    <row r="257" customHeight="1" spans="1:35">
      <c r="A257" s="3">
        <f>IFERROR(__xludf.DUMMYFUNCTION("""COMPUTED_VALUE"""),46257)</f>
        <v>46257</v>
      </c>
      <c r="B257" s="1" t="str">
        <f>IFERROR(__xludf.DUMMYFUNCTION("""COMPUTED_VALUE"""),"AJAY PATRICK BAMUYA HATE")</f>
        <v>AJAY PATRICK BAMUYA HATE</v>
      </c>
      <c r="C257" s="1">
        <f>IFERROR(__xludf.DUMMYFUNCTION("""COMPUTED_VALUE"""),2312027528)</f>
        <v>2312027528</v>
      </c>
      <c r="D257" s="1">
        <f>IFERROR(__xludf.DUMMYFUNCTION("""COMPUTED_VALUE"""),407221044)</f>
        <v>407221044</v>
      </c>
      <c r="E257" s="1">
        <f>IFERROR(__xludf.DUMMYFUNCTION("""COMPUTED_VALUE"""),467652385004)</f>
        <v>467652385004</v>
      </c>
      <c r="F257" s="1" t="str">
        <f>IFERROR(__xludf.DUMMYFUNCTION("""COMPUTED_VALUE"""),"FOR CANCELLATION")</f>
        <v>FOR CANCELLATION</v>
      </c>
      <c r="G257" s="1" t="str">
        <f>IFERROR(__xludf.DUMMYFUNCTION("""COMPUTED_VALUE"""),"AFD VISITED REMARKS   CANT LOCATE   CBR 09754449300 09977122823 UNATTENDED   ALREADY SENT A MESSAGE STILL NO RESPONSE   HINDI RIN KILALA SA LUGAR  ")</f>
        <v>AFD VISITED REMARKS   CANT LOCATE   CBR 09754449300 09977122823 UNATTENDED   ALREADY SENT A MESSAGE STILL NO RESPONSE   HINDI RIN KILALA SA LUGAR  </v>
      </c>
      <c r="H257" s="1"/>
      <c r="I257" s="1"/>
      <c r="J257" s="1"/>
      <c r="K257" s="1" t="str">
        <f>IFERROR(__xludf.DUMMYFUNCTION("""COMPUTED_VALUE"""),"CANCELED")</f>
        <v>CANCELED</v>
      </c>
      <c r="L257" s="1" t="str">
        <f>IFERROR(__xludf.DUMMYFUNCTION("""COMPUTED_VALUE"""),"FOR CANCELLATION")</f>
        <v>FOR CANCELLATION</v>
      </c>
      <c r="M257" s="1" t="str">
        <f>IFERROR(__xludf.DUMMYFUNCTION("""COMPUTED_VALUE"""),"FOR CANCELLATION - NON COMPLIANCE - NO PAYMENT")</f>
        <v>FOR CANCELLATION - NON COMPLIANCE - NO PAYMENT</v>
      </c>
      <c r="N257" s="3"/>
      <c r="O257" s="1" t="str">
        <f>IFERROR(__xludf.DUMMYFUNCTION("""COMPUTED_VALUE"""),"FIBR UNLI ALL PLAN 999")</f>
        <v>FIBR UNLI ALL PLAN 999</v>
      </c>
      <c r="P257" s="1" t="str">
        <f>IFERROR(__xludf.DUMMYFUNCTION("""COMPUTED_VALUE"""),"LOWPLAN")</f>
        <v>LOWPLAN</v>
      </c>
      <c r="Q257" s="1" t="str">
        <f>IFERROR(__xludf.DUMMYFUNCTION("""COMPUTED_VALUE"""),"P407050")</f>
        <v>P407050</v>
      </c>
      <c r="R257" s="1" t="str">
        <f>IFERROR(__xludf.DUMMYFUNCTION("""COMPUTED_VALUE"""),"RIVERA, AIRIZH JOY")</f>
        <v>RIVERA, AIRIZH JOY</v>
      </c>
      <c r="S257" s="1" t="str">
        <f>IFERROR(__xludf.DUMMYFUNCTION("""COMPUTED_VALUE"""),"ORGANIC")</f>
        <v>ORGANIC</v>
      </c>
      <c r="T257" s="1" t="str">
        <f>IFERROR(__xludf.DUMMYFUNCTION("""COMPUTED_VALUE"""),"LEA REMOLLO")</f>
        <v>LEA REMOLLO</v>
      </c>
      <c r="U257" s="1" t="str">
        <f>IFERROR(__xludf.DUMMYFUNCTION("""COMPUTED_VALUE"""),"JB SALIOA")</f>
        <v>JB SALIOA</v>
      </c>
      <c r="V257" s="1" t="str">
        <f>IFERROR(__xludf.DUMMYFUNCTION("""COMPUTED_VALUE"""),"BK HSTK")</f>
        <v>BK HSTK</v>
      </c>
      <c r="W257" s="1" t="str">
        <f>IFERROR(__xludf.DUMMYFUNCTION("""COMPUTED_VALUE"""),"BK HSTK")</f>
        <v>BK HSTK</v>
      </c>
      <c r="X257" s="1" t="str">
        <f>IFERROR(__xludf.DUMMYFUNCTION("""COMPUTED_VALUE"""),"REGULAR")</f>
        <v>REGULAR</v>
      </c>
      <c r="Y257" s="1" t="str">
        <f>IFERROR(__xludf.DUMMYFUNCTION("""COMPUTED_VALUE"""),"BK_CVEU_260804")</f>
        <v>BK_CVEU_260804</v>
      </c>
      <c r="Z257" s="1" t="str">
        <f>IFERROR(__xludf.DUMMYFUNCTION("""COMPUTED_VALUE"""),"NEW CONNECT")</f>
        <v>NEW CONNECT</v>
      </c>
      <c r="AA257" s="1">
        <f>IFERROR(__xludf.DUMMYFUNCTION("""COMPUTED_VALUE"""),639754449300)</f>
        <v>639754449300</v>
      </c>
      <c r="AB257" s="1">
        <f>IFERROR(__xludf.DUMMYFUNCTION("""COMPUTED_VALUE"""),639977122823)</f>
        <v>639977122823</v>
      </c>
      <c r="AC257" s="1"/>
      <c r="AD257" s="1" t="str">
        <f>IFERROR(__xludf.DUMMYFUNCTION("""COMPUTED_VALUE"""),"GAVINO MADERAN")</f>
        <v>GAVINO MADERAN</v>
      </c>
      <c r="AE257" s="1"/>
      <c r="AF257" s="1" t="str">
        <f>IFERROR(__xludf.DUMMYFUNCTION("""COMPUTED_VALUE"""),"BGY GAVINO MADERAN")</f>
        <v>BGY GAVINO MADERAN</v>
      </c>
      <c r="AG257" s="1" t="str">
        <f>IFERROR(__xludf.DUMMYFUNCTION("""COMPUTED_VALUE"""),"GEN MARIANO ALVAREZ")</f>
        <v>GEN MARIANO ALVAREZ</v>
      </c>
      <c r="AH257" s="1" t="str">
        <f>IFERROR(__xludf.DUMMYFUNCTION("""COMPUTED_VALUE"""),"-")</f>
        <v>-</v>
      </c>
      <c r="AI257" s="1" t="str">
        <f>IFERROR(__xludf.DUMMYFUNCTION("""COMPUTED_VALUE"""),"CLUSTER 11")</f>
        <v>CLUSTER 11</v>
      </c>
    </row>
    <row r="258" customHeight="1" spans="1:35">
      <c r="A258" s="3">
        <f>IFERROR(__xludf.DUMMYFUNCTION("""COMPUTED_VALUE"""),46257)</f>
        <v>46257</v>
      </c>
      <c r="B258" s="1" t="str">
        <f>IFERROR(__xludf.DUMMYFUNCTION("""COMPUTED_VALUE""")," LOUIELYN MAE PAREDES TORRES")</f>
        <v> LOUIELYN MAE PAREDES TORRES</v>
      </c>
      <c r="C258" s="1">
        <f>IFERROR(__xludf.DUMMYFUNCTION("""COMPUTED_VALUE"""),2312027599)</f>
        <v>2312027599</v>
      </c>
      <c r="D258" s="1">
        <f>IFERROR(__xludf.DUMMYFUNCTION("""COMPUTED_VALUE"""),407221184)</f>
        <v>407221184</v>
      </c>
      <c r="E258" s="1">
        <f>IFERROR(__xludf.DUMMYFUNCTION("""COMPUTED_VALUE"""),467652113004)</f>
        <v>467652113004</v>
      </c>
      <c r="F258" s="1" t="str">
        <f>IFERROR(__xludf.DUMMYFUNCTION("""COMPUTED_VALUE"""),"CLOSED")</f>
        <v>CLOSED</v>
      </c>
      <c r="G258" s="1" t="str">
        <f>IFERROR(__xludf.DUMMYFUNCTION("""COMPUTED_VALUE"""),"CLOSED")</f>
        <v>CLOSED</v>
      </c>
      <c r="H258" s="1"/>
      <c r="I258" s="1" t="str">
        <f>IFERROR(__xludf.DUMMYFUNCTION("""COMPUTED_VALUE"""),"NO 1 AMSF")</f>
        <v>NO 1 AMSF</v>
      </c>
      <c r="J258" s="1" t="str">
        <f>IFERROR(__xludf.DUMMYFUNCTION("""COMPUTED_VALUE"""),"DUE DATE - 20-Sep-26  - 1,255.35")</f>
        <v>DUE DATE - 20-Sep-26  - 1,255.35</v>
      </c>
      <c r="K258" s="1" t="str">
        <f>IFERROR(__xludf.DUMMYFUNCTION("""COMPUTED_VALUE"""),"COMPLETED")</f>
        <v>COMPLETED</v>
      </c>
      <c r="L258" s="1" t="str">
        <f>IFERROR(__xludf.DUMMYFUNCTION("""COMPUTED_VALUE"""),"POSTED")</f>
        <v>POSTED</v>
      </c>
      <c r="M258" s="1" t="str">
        <f>IFERROR(__xludf.DUMMYFUNCTION("""COMPUTED_VALUE"""),"POSTED")</f>
        <v>POSTED</v>
      </c>
      <c r="N258" s="3">
        <f>IFERROR(__xludf.DUMMYFUNCTION("""COMPUTED_VALUE"""),46258)</f>
        <v>46258</v>
      </c>
      <c r="O258" s="1" t="str">
        <f>IFERROR(__xludf.DUMMYFUNCTION("""COMPUTED_VALUE"""),"FIBR UNLI ALL PLAN 999")</f>
        <v>FIBR UNLI ALL PLAN 999</v>
      </c>
      <c r="P258" s="1" t="str">
        <f>IFERROR(__xludf.DUMMYFUNCTION("""COMPUTED_VALUE"""),"LOWPLAN")</f>
        <v>LOWPLAN</v>
      </c>
      <c r="Q258" s="1" t="str">
        <f>IFERROR(__xludf.DUMMYFUNCTION("""COMPUTED_VALUE"""),"P407050")</f>
        <v>P407050</v>
      </c>
      <c r="R258" s="1" t="str">
        <f>IFERROR(__xludf.DUMMYFUNCTION("""COMPUTED_VALUE"""),"ALOS, CHARLS LAURENZ")</f>
        <v>ALOS, CHARLS LAURENZ</v>
      </c>
      <c r="S258" s="1" t="str">
        <f>IFERROR(__xludf.DUMMYFUNCTION("""COMPUTED_VALUE"""),"ORGANIC")</f>
        <v>ORGANIC</v>
      </c>
      <c r="T258" s="1" t="str">
        <f>IFERROR(__xludf.DUMMYFUNCTION("""COMPUTED_VALUE"""),"LEA REMOLLO")</f>
        <v>LEA REMOLLO</v>
      </c>
      <c r="U258" s="1" t="str">
        <f>IFERROR(__xludf.DUMMYFUNCTION("""COMPUTED_VALUE"""),"MARK MALIWAT")</f>
        <v>MARK MALIWAT</v>
      </c>
      <c r="V258" s="1" t="str">
        <f>IFERROR(__xludf.DUMMYFUNCTION("""COMPUTED_VALUE"""),"BK HSTK")</f>
        <v>BK HSTK</v>
      </c>
      <c r="W258" s="1" t="str">
        <f>IFERROR(__xludf.DUMMYFUNCTION("""COMPUTED_VALUE"""),"BK HSTK")</f>
        <v>BK HSTK</v>
      </c>
      <c r="X258" s="1" t="str">
        <f>IFERROR(__xludf.DUMMYFUNCTION("""COMPUTED_VALUE"""),"REGULAR")</f>
        <v>REGULAR</v>
      </c>
      <c r="Y258" s="1" t="str">
        <f>IFERROR(__xludf.DUMMYFUNCTION("""COMPUTED_VALUE"""),"BK_CVEU_260804")</f>
        <v>BK_CVEU_260804</v>
      </c>
      <c r="Z258" s="1" t="str">
        <f>IFERROR(__xludf.DUMMYFUNCTION("""COMPUTED_VALUE"""),"NEW CONNECT")</f>
        <v>NEW CONNECT</v>
      </c>
      <c r="AA258" s="1">
        <f>IFERROR(__xludf.DUMMYFUNCTION("""COMPUTED_VALUE"""),639615846045)</f>
        <v>639615846045</v>
      </c>
      <c r="AB258" s="1">
        <f>IFERROR(__xludf.DUMMYFUNCTION("""COMPUTED_VALUE"""),639758660485)</f>
        <v>639758660485</v>
      </c>
      <c r="AC258" s="1"/>
      <c r="AD258" s="1" t="str">
        <f>IFERROR(__xludf.DUMMYFUNCTION("""COMPUTED_VALUE"""),"EXCESS LOT")</f>
        <v>EXCESS LOT</v>
      </c>
      <c r="AE258" s="1"/>
      <c r="AF258" s="1" t="str">
        <f>IFERROR(__xludf.DUMMYFUNCTION("""COMPUTED_VALUE"""),"BGY POBLACION 5")</f>
        <v>BGY POBLACION 5</v>
      </c>
      <c r="AG258" s="1" t="str">
        <f>IFERROR(__xludf.DUMMYFUNCTION("""COMPUTED_VALUE"""),"GEN MARIANO ALVAREZ")</f>
        <v>GEN MARIANO ALVAREZ</v>
      </c>
      <c r="AH258" s="1"/>
      <c r="AI258" s="1" t="str">
        <f>IFERROR(__xludf.DUMMYFUNCTION("""COMPUTED_VALUE"""),"CLUSTER 11")</f>
        <v>CLUSTER 11</v>
      </c>
    </row>
    <row r="259" customHeight="1" spans="1:35">
      <c r="A259" s="3">
        <f>IFERROR(__xludf.DUMMYFUNCTION("""COMPUTED_VALUE"""),46258)</f>
        <v>46258</v>
      </c>
      <c r="B259" s="1" t="str">
        <f>IFERROR(__xludf.DUMMYFUNCTION("""COMPUTED_VALUE"""),"RANDY CERDINA CAMPOSANO")</f>
        <v>RANDY CERDINA CAMPOSANO</v>
      </c>
      <c r="C259" s="1">
        <f>IFERROR(__xludf.DUMMYFUNCTION("""COMPUTED_VALUE"""),2312037308)</f>
        <v>2312037308</v>
      </c>
      <c r="D259" s="1">
        <f>IFERROR(__xludf.DUMMYFUNCTION("""COMPUTED_VALUE"""),407229622)</f>
        <v>407229622</v>
      </c>
      <c r="E259" s="1">
        <f>IFERROR(__xludf.DUMMYFUNCTION("""COMPUTED_VALUE"""),467770057004)</f>
        <v>467770057004</v>
      </c>
      <c r="F259" s="1" t="str">
        <f>IFERROR(__xludf.DUMMYFUNCTION("""COMPUTED_VALUE"""),"CLOSED")</f>
        <v>CLOSED</v>
      </c>
      <c r="G259" s="1" t="str">
        <f>IFERROR(__xludf.DUMMYFUNCTION("""COMPUTED_VALUE"""),"CLOSED")</f>
        <v>CLOSED</v>
      </c>
      <c r="H259" s="1"/>
      <c r="I259" s="1" t="str">
        <f>IFERROR(__xludf.DUMMYFUNCTION("""COMPUTED_VALUE"""),"NO 1 AMSF")</f>
        <v>NO 1 AMSF</v>
      </c>
      <c r="J259" s="1" t="str">
        <f>IFERROR(__xludf.DUMMYFUNCTION("""COMPUTED_VALUE"""),"DUE DATE - 20-Sep-26  - 1,694.07")</f>
        <v>DUE DATE - 20-Sep-26  - 1,694.07</v>
      </c>
      <c r="K259" s="1" t="str">
        <f>IFERROR(__xludf.DUMMYFUNCTION("""COMPUTED_VALUE"""),"COMPLETED")</f>
        <v>COMPLETED</v>
      </c>
      <c r="L259" s="1" t="str">
        <f>IFERROR(__xludf.DUMMYFUNCTION("""COMPUTED_VALUE"""),"POSTED")</f>
        <v>POSTED</v>
      </c>
      <c r="M259" s="1" t="str">
        <f>IFERROR(__xludf.DUMMYFUNCTION("""COMPUTED_VALUE"""),"POSTED")</f>
        <v>POSTED</v>
      </c>
      <c r="N259" s="3">
        <f>IFERROR(__xludf.DUMMYFUNCTION("""COMPUTED_VALUE"""),46259)</f>
        <v>46259</v>
      </c>
      <c r="O259" s="1" t="str">
        <f>IFERROR(__xludf.DUMMYFUNCTION("""COMPUTED_VALUE"""),"FIBER UNLI ALL PLAN 1499")</f>
        <v>FIBER UNLI ALL PLAN 1499</v>
      </c>
      <c r="P259" s="1" t="str">
        <f>IFERROR(__xludf.DUMMYFUNCTION("""COMPUTED_VALUE"""),"LOWPLAN")</f>
        <v>LOWPLAN</v>
      </c>
      <c r="Q259" s="1" t="str">
        <f>IFERROR(__xludf.DUMMYFUNCTION("""COMPUTED_VALUE"""),"P407050")</f>
        <v>P407050</v>
      </c>
      <c r="R259" s="1" t="str">
        <f>IFERROR(__xludf.DUMMYFUNCTION("""COMPUTED_VALUE"""),"ESCARCHA, ALMA")</f>
        <v>ESCARCHA, ALMA</v>
      </c>
      <c r="S259" s="1" t="str">
        <f>IFERROR(__xludf.DUMMYFUNCTION("""COMPUTED_VALUE"""),"ORGANIC")</f>
        <v>ORGANIC</v>
      </c>
      <c r="T259" s="1" t="str">
        <f>IFERROR(__xludf.DUMMYFUNCTION("""COMPUTED_VALUE"""),"LEA REMOLLO")</f>
        <v>LEA REMOLLO</v>
      </c>
      <c r="U259" s="1" t="str">
        <f>IFERROR(__xludf.DUMMYFUNCTION("""COMPUTED_VALUE"""),"JB SALIOA")</f>
        <v>JB SALIOA</v>
      </c>
      <c r="V259" s="1" t="str">
        <f>IFERROR(__xludf.DUMMYFUNCTION("""COMPUTED_VALUE"""),"BK HSTK")</f>
        <v>BK HSTK</v>
      </c>
      <c r="W259" s="1" t="str">
        <f>IFERROR(__xludf.DUMMYFUNCTION("""COMPUTED_VALUE"""),"BK HSTK")</f>
        <v>BK HSTK</v>
      </c>
      <c r="X259" s="1" t="str">
        <f>IFERROR(__xludf.DUMMYFUNCTION("""COMPUTED_VALUE"""),"HBBS AUG 2026")</f>
        <v>HBBS AUG 2026</v>
      </c>
      <c r="Y259" s="1" t="str">
        <f>IFERROR(__xludf.DUMMYFUNCTION("""COMPUTED_VALUE"""),"BK_CVEU_260804")</f>
        <v>BK_CVEU_260804</v>
      </c>
      <c r="Z259" s="1" t="str">
        <f>IFERROR(__xludf.DUMMYFUNCTION("""COMPUTED_VALUE"""),"NEW CONNECT")</f>
        <v>NEW CONNECT</v>
      </c>
      <c r="AA259" s="1">
        <f>IFERROR(__xludf.DUMMYFUNCTION("""COMPUTED_VALUE"""),639525263223)</f>
        <v>639525263223</v>
      </c>
      <c r="AB259" s="1"/>
      <c r="AC259" s="1"/>
      <c r="AD259" s="1" t="str">
        <f>IFERROR(__xludf.DUMMYFUNCTION("""COMPUTED_VALUE"""),"ALDIANO OLAES")</f>
        <v>ALDIANO OLAES</v>
      </c>
      <c r="AE259" s="1"/>
      <c r="AF259" s="1" t="str">
        <f>IFERROR(__xludf.DUMMYFUNCTION("""COMPUTED_VALUE"""),"BGY ALDIANO OLAES")</f>
        <v>BGY ALDIANO OLAES</v>
      </c>
      <c r="AG259" s="1" t="str">
        <f>IFERROR(__xludf.DUMMYFUNCTION("""COMPUTED_VALUE"""),"GEN MARIANO ALVAREZ")</f>
        <v>GEN MARIANO ALVAREZ</v>
      </c>
      <c r="AH259" s="1" t="str">
        <f>IFERROR(__xludf.DUMMYFUNCTION("""COMPUTED_VALUE"""),"-")</f>
        <v>-</v>
      </c>
      <c r="AI259" s="1" t="str">
        <f>IFERROR(__xludf.DUMMYFUNCTION("""COMPUTED_VALUE"""),"CLUSTER 11")</f>
        <v>CLUSTER 11</v>
      </c>
    </row>
    <row r="260" customHeight="1" spans="1:35">
      <c r="A260" s="3">
        <f>IFERROR(__xludf.DUMMYFUNCTION("""COMPUTED_VALUE"""),46258)</f>
        <v>46258</v>
      </c>
      <c r="B260" s="1" t="str">
        <f>IFERROR(__xludf.DUMMYFUNCTION("""COMPUTED_VALUE""")," EGBERT ALLAN MONTEVERDE RIVERA")</f>
        <v> EGBERT ALLAN MONTEVERDE RIVERA</v>
      </c>
      <c r="C260" s="1">
        <f>IFERROR(__xludf.DUMMYFUNCTION("""COMPUTED_VALUE"""),2312038993)</f>
        <v>2312038993</v>
      </c>
      <c r="D260" s="1"/>
      <c r="E260" s="1"/>
      <c r="F260" s="1" t="str">
        <f>IFERROR(__xludf.DUMMYFUNCTION("""COMPUTED_VALUE"""),"CANCELLED")</f>
        <v>CANCELLED</v>
      </c>
      <c r="G260" s="1" t="str">
        <f>IFERROR(__xludf.DUMMYFUNCTION("""COMPUTED_VALUE"""),"CANCELLED DUE TO WRONG PROMO CODE")</f>
        <v>CANCELLED DUE TO WRONG PROMO CODE</v>
      </c>
      <c r="H260" s="1"/>
      <c r="I260" s="1"/>
      <c r="J260" s="1"/>
      <c r="K260" s="1"/>
      <c r="L260" s="1" t="str">
        <f>IFERROR(__xludf.DUMMYFUNCTION("""COMPUTED_VALUE"""),"CANCELLED")</f>
        <v>CANCELLED</v>
      </c>
      <c r="M260" s="1" t="str">
        <f>IFERROR(__xludf.DUMMYFUNCTION("""COMPUTED_VALUE"""),"CANCELLED")</f>
        <v>CANCELLED</v>
      </c>
      <c r="N260" s="3"/>
      <c r="O260" s="1" t="str">
        <f>IFERROR(__xludf.DUMMYFUNCTION("""COMPUTED_VALUE"""),"FIBR PLAN 1299")</f>
        <v>FIBR PLAN 1299</v>
      </c>
      <c r="P260" s="1" t="str">
        <f>IFERROR(__xludf.DUMMYFUNCTION("""COMPUTED_VALUE"""),"LOWPLAN")</f>
        <v>LOWPLAN</v>
      </c>
      <c r="Q260" s="1" t="str">
        <f>IFERROR(__xludf.DUMMYFUNCTION("""COMPUTED_VALUE"""),"P407046")</f>
        <v>P407046</v>
      </c>
      <c r="R260" s="1" t="str">
        <f>IFERROR(__xludf.DUMMYFUNCTION("""COMPUTED_VALUE"""),"MALIWAT, MARK")</f>
        <v>MALIWAT, MARK</v>
      </c>
      <c r="S260" s="1" t="str">
        <f>IFERROR(__xludf.DUMMYFUNCTION("""COMPUTED_VALUE"""),"FLA")</f>
        <v>FLA</v>
      </c>
      <c r="T260" s="1" t="str">
        <f>IFERROR(__xludf.DUMMYFUNCTION("""COMPUTED_VALUE"""),"JERIC NAVARRO")</f>
        <v>JERIC NAVARRO</v>
      </c>
      <c r="U260" s="1" t="str">
        <f>IFERROR(__xludf.DUMMYFUNCTION("""COMPUTED_VALUE"""),"JB SALIOA")</f>
        <v>JB SALIOA</v>
      </c>
      <c r="V260" s="1" t="str">
        <f>IFERROR(__xludf.DUMMYFUNCTION("""COMPUTED_VALUE"""),"ONLINE/CRANFORD")</f>
        <v>ONLINE/CRANFORD</v>
      </c>
      <c r="W260" s="1" t="str">
        <f>IFERROR(__xludf.DUMMYFUNCTION("""COMPUTED_VALUE"""),"STK REGULAR")</f>
        <v>STK REGULAR</v>
      </c>
      <c r="X260" s="1" t="str">
        <f>IFERROR(__xludf.DUMMYFUNCTION("""COMPUTED_VALUE"""),"HBBS AUG 2026")</f>
        <v>HBBS AUG 2026</v>
      </c>
      <c r="Y260" s="1" t="str">
        <f>IFERROR(__xludf.DUMMYFUNCTION("""COMPUTED_VALUE"""),"RS_ONL_CVEU_2026")</f>
        <v>RS_ONL_CVEU_2026</v>
      </c>
      <c r="Z260" s="1" t="str">
        <f>IFERROR(__xludf.DUMMYFUNCTION("""COMPUTED_VALUE"""),"NEW CONNECT")</f>
        <v>NEW CONNECT</v>
      </c>
      <c r="AA260" s="1">
        <f>IFERROR(__xludf.DUMMYFUNCTION("""COMPUTED_VALUE"""),639175572298)</f>
        <v>639175572298</v>
      </c>
      <c r="AB260" s="1">
        <f>IFERROR(__xludf.DUMMYFUNCTION("""COMPUTED_VALUE"""),639175511365)</f>
        <v>639175511365</v>
      </c>
      <c r="AC260" s="1">
        <f>IFERROR(__xludf.DUMMYFUNCTION("""COMPUTED_VALUE"""),32)</f>
        <v>32</v>
      </c>
      <c r="AD260" s="1" t="str">
        <f>IFERROR(__xludf.DUMMYFUNCTION("""COMPUTED_VALUE"""),"BURGOS")</f>
        <v>BURGOS</v>
      </c>
      <c r="AE260" s="1" t="str">
        <f>IFERROR(__xludf.DUMMYFUNCTION("""COMPUTED_VALUE"""),"NONA PROPERTY")</f>
        <v>NONA PROPERTY</v>
      </c>
      <c r="AF260" s="1" t="str">
        <f>IFERROR(__xludf.DUMMYFUNCTION("""COMPUTED_VALUE"""),"BGY 1")</f>
        <v>BGY 1</v>
      </c>
      <c r="AG260" s="1" t="str">
        <f>IFERROR(__xludf.DUMMYFUNCTION("""COMPUTED_VALUE"""),"ALFONSO")</f>
        <v>ALFONSO</v>
      </c>
      <c r="AH260" s="1" t="str">
        <f>IFERROR(__xludf.DUMMYFUNCTION("""COMPUTED_VALUE"""),"HONG TANG OR IGLESIA NI CRISTO")</f>
        <v>HONG TANG OR IGLESIA NI CRISTO</v>
      </c>
      <c r="AI260" s="1" t="str">
        <f>IFERROR(__xludf.DUMMYFUNCTION("""COMPUTED_VALUE"""),"CLUSTER 12")</f>
        <v>CLUSTER 12</v>
      </c>
    </row>
    <row r="261" customHeight="1" spans="1:35">
      <c r="A261" s="3">
        <f>IFERROR(__xludf.DUMMYFUNCTION("""COMPUTED_VALUE"""),46258)</f>
        <v>46258</v>
      </c>
      <c r="B261" s="1" t="str">
        <f>IFERROR(__xludf.DUMMYFUNCTION("""COMPUTED_VALUE"""),"DONNA MAE CASTILLANO BUMANGLAG")</f>
        <v>DONNA MAE CASTILLANO BUMANGLAG</v>
      </c>
      <c r="C261" s="1">
        <f>IFERROR(__xludf.DUMMYFUNCTION("""COMPUTED_VALUE"""),2312039188)</f>
        <v>2312039188</v>
      </c>
      <c r="D261" s="1">
        <f>IFERROR(__xludf.DUMMYFUNCTION("""COMPUTED_VALUE"""),407247663)</f>
        <v>407247663</v>
      </c>
      <c r="E261" s="1">
        <f>IFERROR(__xludf.DUMMYFUNCTION("""COMPUTED_VALUE"""),467791174004)</f>
        <v>467791174004</v>
      </c>
      <c r="F261" s="1" t="str">
        <f>IFERROR(__xludf.DUMMYFUNCTION("""COMPUTED_VALUE"""),"CANCELLED")</f>
        <v>CANCELLED</v>
      </c>
      <c r="G261" s="1" t="str">
        <f>IFERROR(__xludf.DUMMYFUNCTION("""COMPUTED_VALUE"""),"REFUSE TO ENTRY BY GUARD ON DUTY NO WORK PERMIT DI RIN MATAWAGAN SUBS CBR 1 UNATTENDED CBR 2 RINGING ONLY ALREADY LEAVE TEXT MESSAGE BUT UNTIL NOW NO REPLY CBR 1 09087858551 CBR 2 09542560545")</f>
        <v>REFUSE TO ENTRY BY GUARD ON DUTY NO WORK PERMIT DI RIN MATAWAGAN SUBS CBR 1 UNATTENDED CBR 2 RINGING ONLY ALREADY LEAVE TEXT MESSAGE BUT UNTIL NOW NO REPLY CBR 1 09087858551 CBR 2 09542560545</v>
      </c>
      <c r="H261" s="1"/>
      <c r="I261" s="1"/>
      <c r="J261" s="1"/>
      <c r="K261" s="1" t="str">
        <f>IFERROR(__xludf.DUMMYFUNCTION("""COMPUTED_VALUE"""),"CANCELED")</f>
        <v>CANCELED</v>
      </c>
      <c r="L261" s="1" t="str">
        <f>IFERROR(__xludf.DUMMYFUNCTION("""COMPUTED_VALUE"""),"AFD - RESCHEDULE")</f>
        <v>AFD - RESCHEDULE</v>
      </c>
      <c r="M261" s="1" t="str">
        <f>IFERROR(__xludf.DUMMYFUNCTION("""COMPUTED_VALUE"""),"AFD - RESCHEDULED")</f>
        <v>AFD - RESCHEDULED</v>
      </c>
      <c r="N261" s="3"/>
      <c r="O261" s="1" t="str">
        <f>IFERROR(__xludf.DUMMYFUNCTION("""COMPUTED_VALUE"""),"FIBER UNLI ALL PLAN 1499")</f>
        <v>FIBER UNLI ALL PLAN 1499</v>
      </c>
      <c r="P261" s="1" t="str">
        <f>IFERROR(__xludf.DUMMYFUNCTION("""COMPUTED_VALUE"""),"LOWPLAN")</f>
        <v>LOWPLAN</v>
      </c>
      <c r="Q261" s="1" t="str">
        <f>IFERROR(__xludf.DUMMYFUNCTION("""COMPUTED_VALUE"""),"P407047")</f>
        <v>P407047</v>
      </c>
      <c r="R261" s="1" t="str">
        <f>IFERROR(__xludf.DUMMYFUNCTION("""COMPUTED_VALUE"""),"FRANCISCO, ROSELYN")</f>
        <v>FRANCISCO, ROSELYN</v>
      </c>
      <c r="S261" s="1" t="str">
        <f>IFERROR(__xludf.DUMMYFUNCTION("""COMPUTED_VALUE"""),"ORGANIC")</f>
        <v>ORGANIC</v>
      </c>
      <c r="T261" s="1" t="str">
        <f>IFERROR(__xludf.DUMMYFUNCTION("""COMPUTED_VALUE"""),"LEA REMOLLO")</f>
        <v>LEA REMOLLO</v>
      </c>
      <c r="U261" s="1" t="str">
        <f>IFERROR(__xludf.DUMMYFUNCTION("""COMPUTED_VALUE"""),"JB SALIOA")</f>
        <v>JB SALIOA</v>
      </c>
      <c r="V261" s="1" t="str">
        <f>IFERROR(__xludf.DUMMYFUNCTION("""COMPUTED_VALUE"""),"ONLINE/CRANFORD")</f>
        <v>ONLINE/CRANFORD</v>
      </c>
      <c r="W261" s="1" t="str">
        <f>IFERROR(__xludf.DUMMYFUNCTION("""COMPUTED_VALUE"""),"STK REGULAR")</f>
        <v>STK REGULAR</v>
      </c>
      <c r="X261" s="1" t="str">
        <f>IFERROR(__xludf.DUMMYFUNCTION("""COMPUTED_VALUE"""),"HBBS AUG 2026")</f>
        <v>HBBS AUG 2026</v>
      </c>
      <c r="Y261" s="1" t="str">
        <f>IFERROR(__xludf.DUMMYFUNCTION("""COMPUTED_VALUE"""),"RS_ONL_CVEU_2026")</f>
        <v>RS_ONL_CVEU_2026</v>
      </c>
      <c r="Z261" s="1" t="str">
        <f>IFERROR(__xludf.DUMMYFUNCTION("""COMPUTED_VALUE"""),"NEW CONNECT")</f>
        <v>NEW CONNECT</v>
      </c>
      <c r="AA261" s="1">
        <f>IFERROR(__xludf.DUMMYFUNCTION("""COMPUTED_VALUE"""),639087858551)</f>
        <v>639087858551</v>
      </c>
      <c r="AB261" s="1">
        <f>IFERROR(__xludf.DUMMYFUNCTION("""COMPUTED_VALUE"""),639542560545)</f>
        <v>639542560545</v>
      </c>
      <c r="AC261" s="1"/>
      <c r="AD261" s="1" t="str">
        <f>IFERROR(__xludf.DUMMYFUNCTION("""COMPUTED_VALUE"""),"ACACIA")</f>
        <v>ACACIA</v>
      </c>
      <c r="AE261" s="1" t="str">
        <f>IFERROR(__xludf.DUMMYFUNCTION("""COMPUTED_VALUE"""),"BEL ALDEA")</f>
        <v>BEL ALDEA</v>
      </c>
      <c r="AF261" s="1" t="str">
        <f>IFERROR(__xludf.DUMMYFUNCTION("""COMPUTED_VALUE"""),"BGY SAN FRANCISCO")</f>
        <v>BGY SAN FRANCISCO</v>
      </c>
      <c r="AG261" s="1" t="str">
        <f>IFERROR(__xludf.DUMMYFUNCTION("""COMPUTED_VALUE"""),"GENERAL TRIAS")</f>
        <v>GENERAL TRIAS</v>
      </c>
      <c r="AH261" s="1" t="str">
        <f>IFERROR(__xludf.DUMMYFUNCTION("""COMPUTED_VALUE"""),"-")</f>
        <v>-</v>
      </c>
      <c r="AI261" s="1" t="str">
        <f>IFERROR(__xludf.DUMMYFUNCTION("""COMPUTED_VALUE"""),"NOT AOR")</f>
        <v>NOT AOR</v>
      </c>
    </row>
    <row r="262" customHeight="1" spans="1:35">
      <c r="A262" s="3">
        <f>IFERROR(__xludf.DUMMYFUNCTION("""COMPUTED_VALUE"""),46258)</f>
        <v>46258</v>
      </c>
      <c r="B262" s="1" t="str">
        <f>IFERROR(__xludf.DUMMYFUNCTION("""COMPUTED_VALUE"""),"NOELBERT DIPAZ REGIS")</f>
        <v>NOELBERT DIPAZ REGIS</v>
      </c>
      <c r="C262" s="1">
        <f>IFERROR(__xludf.DUMMYFUNCTION("""COMPUTED_VALUE"""),2312040112)</f>
        <v>2312040112</v>
      </c>
      <c r="D262" s="1">
        <f>IFERROR(__xludf.DUMMYFUNCTION("""COMPUTED_VALUE"""),407259815)</f>
        <v>407259815</v>
      </c>
      <c r="E262" s="1">
        <f>IFERROR(__xludf.DUMMYFUNCTION("""COMPUTED_VALUE"""),467794455004)</f>
        <v>467794455004</v>
      </c>
      <c r="F262" s="1" t="str">
        <f>IFERROR(__xludf.DUMMYFUNCTION("""COMPUTED_VALUE"""),"CANCELLED")</f>
        <v>CANCELLED</v>
      </c>
      <c r="G262" s="1" t="str">
        <f>IFERROR(__xludf.DUMMYFUNCTION("""COMPUTED_VALUE"""),"AUTO - AGING")</f>
        <v>AUTO - AGING</v>
      </c>
      <c r="H262" s="1" t="str">
        <f>IFERROR(__xludf.DUMMYFUNCTION("""COMPUTED_VALUE"""),"1ST CBR RINGING ONLY 2ND CBR INCORRECT 08/29 9:46")</f>
        <v>1ST CBR RINGING ONLY 2ND CBR INCORRECT 08/29 9:46</v>
      </c>
      <c r="I262" s="1"/>
      <c r="J262" s="1"/>
      <c r="K262" s="1" t="str">
        <f>IFERROR(__xludf.DUMMYFUNCTION("""COMPUTED_VALUE"""),"NOT IN OFSC")</f>
        <v>NOT IN OFSC</v>
      </c>
      <c r="L262" s="1" t="str">
        <f>IFERROR(__xludf.DUMMYFUNCTION("""COMPUTED_VALUE"""),"CANCELLED - AGING")</f>
        <v>CANCELLED - AGING</v>
      </c>
      <c r="M262" s="1" t="str">
        <f>IFERROR(__xludf.DUMMYFUNCTION("""COMPUTED_VALUE"""),"CANCELLED - AGING")</f>
        <v>CANCELLED - AGING</v>
      </c>
      <c r="N262" s="3"/>
      <c r="O262" s="1" t="str">
        <f>IFERROR(__xludf.DUMMYFUNCTION("""COMPUTED_VALUE"""),"FIBR UNLI ALL PLAN 999")</f>
        <v>FIBR UNLI ALL PLAN 999</v>
      </c>
      <c r="P262" s="1" t="str">
        <f>IFERROR(__xludf.DUMMYFUNCTION("""COMPUTED_VALUE"""),"LOWPLAN")</f>
        <v>LOWPLAN</v>
      </c>
      <c r="Q262" s="1" t="str">
        <f>IFERROR(__xludf.DUMMYFUNCTION("""COMPUTED_VALUE"""),"P407050")</f>
        <v>P407050</v>
      </c>
      <c r="R262" s="1" t="str">
        <f>IFERROR(__xludf.DUMMYFUNCTION("""COMPUTED_VALUE"""),"DENACO, RODNEY")</f>
        <v>DENACO, RODNEY</v>
      </c>
      <c r="S262" s="1" t="str">
        <f>IFERROR(__xludf.DUMMYFUNCTION("""COMPUTED_VALUE"""),"ORGANIC")</f>
        <v>ORGANIC</v>
      </c>
      <c r="T262" s="1" t="str">
        <f>IFERROR(__xludf.DUMMYFUNCTION("""COMPUTED_VALUE"""),"LEA REMOLLO")</f>
        <v>LEA REMOLLO</v>
      </c>
      <c r="U262" s="1" t="str">
        <f>IFERROR(__xludf.DUMMYFUNCTION("""COMPUTED_VALUE"""),"JB SALIOA")</f>
        <v>JB SALIOA</v>
      </c>
      <c r="V262" s="1" t="str">
        <f>IFERROR(__xludf.DUMMYFUNCTION("""COMPUTED_VALUE"""),"BK HSTK")</f>
        <v>BK HSTK</v>
      </c>
      <c r="W262" s="1" t="str">
        <f>IFERROR(__xludf.DUMMYFUNCTION("""COMPUTED_VALUE"""),"BK HSTK")</f>
        <v>BK HSTK</v>
      </c>
      <c r="X262" s="1" t="str">
        <f>IFERROR(__xludf.DUMMYFUNCTION("""COMPUTED_VALUE"""),"REGULAR")</f>
        <v>REGULAR</v>
      </c>
      <c r="Y262" s="1" t="str">
        <f>IFERROR(__xludf.DUMMYFUNCTION("""COMPUTED_VALUE"""),"BK_CVEU_260813")</f>
        <v>BK_CVEU_260813</v>
      </c>
      <c r="Z262" s="1" t="str">
        <f>IFERROR(__xludf.DUMMYFUNCTION("""COMPUTED_VALUE"""),"NEW CONNECT")</f>
        <v>NEW CONNECT</v>
      </c>
      <c r="AA262" s="1">
        <f>IFERROR(__xludf.DUMMYFUNCTION("""COMPUTED_VALUE"""),639953791387)</f>
        <v>639953791387</v>
      </c>
      <c r="AB262" s="1">
        <f>IFERROR(__xludf.DUMMYFUNCTION("""COMPUTED_VALUE"""),639213714751)</f>
        <v>639213714751</v>
      </c>
      <c r="AC262" s="1">
        <f>IFERROR(__xludf.DUMMYFUNCTION("""COMPUTED_VALUE"""),407)</f>
        <v>407</v>
      </c>
      <c r="AD262" s="1" t="str">
        <f>IFERROR(__xludf.DUMMYFUNCTION("""COMPUTED_VALUE"""),"MUNTING ILOG")</f>
        <v>MUNTING ILOG</v>
      </c>
      <c r="AE262" s="1"/>
      <c r="AF262" s="1" t="str">
        <f>IFERROR(__xludf.DUMMYFUNCTION("""COMPUTED_VALUE"""),"BGY MUNTING ILOG")</f>
        <v>BGY MUNTING ILOG</v>
      </c>
      <c r="AG262" s="1" t="str">
        <f>IFERROR(__xludf.DUMMYFUNCTION("""COMPUTED_VALUE"""),"SILANG")</f>
        <v>SILANG</v>
      </c>
      <c r="AH262" s="1" t="str">
        <f>IFERROR(__xludf.DUMMYFUNCTION("""COMPUTED_VALUE"""),"MOTOR SHOP")</f>
        <v>MOTOR SHOP</v>
      </c>
      <c r="AI262" s="1" t="str">
        <f>IFERROR(__xludf.DUMMYFUNCTION("""COMPUTED_VALUE"""),"CLUSTER 11")</f>
        <v>CLUSTER 11</v>
      </c>
    </row>
    <row r="263" customHeight="1" spans="1:35">
      <c r="A263" s="3">
        <f>IFERROR(__xludf.DUMMYFUNCTION("""COMPUTED_VALUE"""),46258)</f>
        <v>46258</v>
      </c>
      <c r="B263" s="1" t="str">
        <f>IFERROR(__xludf.DUMMYFUNCTION("""COMPUTED_VALUE"""),"JENNINA AMEER DENIKKA DELA CRUZ DIESTA")</f>
        <v>JENNINA AMEER DENIKKA DELA CRUZ DIESTA</v>
      </c>
      <c r="C263" s="1">
        <f>IFERROR(__xludf.DUMMYFUNCTION("""COMPUTED_VALUE"""),2312041347)</f>
        <v>2312041347</v>
      </c>
      <c r="D263" s="1"/>
      <c r="E263" s="1"/>
      <c r="F263" s="1" t="str">
        <f>IFERROR(__xludf.DUMMYFUNCTION("""COMPUTED_VALUE"""),"CANCELLED")</f>
        <v>CANCELLED</v>
      </c>
      <c r="G263" s="1" t="str">
        <f>IFERROR(__xludf.DUMMYFUNCTION("""COMPUTED_VALUE"""),"(OTHERS) RETURN TO SALE| WITH BLACKLISTED ACC#0324434569 SAME NAME/DIFF ADD | OB Php6,587.57 FOR SETTLEMENT|FOUND WITH CANCEL ACC#0320150353 SAME NAME/DIFF ADD NO CALLOUT REQUIRED DUE TO CATCH UP STRAT| DONE VALIDATION | CORRECT ENCODED INFO IN CSP | TU S"&amp;"CORING -HH - 15 (HIGH RISK) WITH 1 AMSF | NO EXISTING ACTIVE ACCT AND/OR PENDING APPLICATION ")</f>
        <v>(OTHERS) RETURN TO SALE| WITH BLACKLISTED ACC#0324434569 SAME NAME/DIFF ADD | OB Php6,587.57 FOR SETTLEMENT|FOUND WITH CANCEL ACC#0320150353 SAME NAME/DIFF ADD NO CALLOUT REQUIRED DUE TO CATCH UP STRAT| DONE VALIDATION | CORRECT ENCODED INFO IN CSP | TU SCORING -HH - 15 (HIGH RISK) WITH 1 AMSF | NO EXISTING ACTIVE ACCT AND/OR PENDING APPLICATION </v>
      </c>
      <c r="H263" s="1"/>
      <c r="I263" s="1"/>
      <c r="J263" s="1"/>
      <c r="K263" s="1"/>
      <c r="L263" s="1" t="str">
        <f>IFERROR(__xludf.DUMMYFUNCTION("""COMPUTED_VALUE"""),"CANCELLED - WITH OB")</f>
        <v>CANCELLED - WITH OB</v>
      </c>
      <c r="M263" s="1" t="str">
        <f>IFERROR(__xludf.DUMMYFUNCTION("""COMPUTED_VALUE"""),"CANCELLED - WITH OB")</f>
        <v>CANCELLED - WITH OB</v>
      </c>
      <c r="N263" s="3"/>
      <c r="O263" s="1" t="str">
        <f>IFERROR(__xludf.DUMMYFUNCTION("""COMPUTED_VALUE"""),"FIBR UNLI ALL PLAN 999")</f>
        <v>FIBR UNLI ALL PLAN 999</v>
      </c>
      <c r="P263" s="1" t="str">
        <f>IFERROR(__xludf.DUMMYFUNCTION("""COMPUTED_VALUE"""),"LOWPLAN")</f>
        <v>LOWPLAN</v>
      </c>
      <c r="Q263" s="1" t="str">
        <f>IFERROR(__xludf.DUMMYFUNCTION("""COMPUTED_VALUE"""),"P407047")</f>
        <v>P407047</v>
      </c>
      <c r="R263" s="1" t="str">
        <f>IFERROR(__xludf.DUMMYFUNCTION("""COMPUTED_VALUE"""),"FRANCISCO, ROSELYN")</f>
        <v>FRANCISCO, ROSELYN</v>
      </c>
      <c r="S263" s="1" t="str">
        <f>IFERROR(__xludf.DUMMYFUNCTION("""COMPUTED_VALUE"""),"ORGANIC")</f>
        <v>ORGANIC</v>
      </c>
      <c r="T263" s="1" t="str">
        <f>IFERROR(__xludf.DUMMYFUNCTION("""COMPUTED_VALUE"""),"LEA REMOLLO")</f>
        <v>LEA REMOLLO</v>
      </c>
      <c r="U263" s="1" t="str">
        <f>IFERROR(__xludf.DUMMYFUNCTION("""COMPUTED_VALUE"""),"JB SALIOA")</f>
        <v>JB SALIOA</v>
      </c>
      <c r="V263" s="1" t="str">
        <f>IFERROR(__xludf.DUMMYFUNCTION("""COMPUTED_VALUE"""),"ONLINE/CRANFORD")</f>
        <v>ONLINE/CRANFORD</v>
      </c>
      <c r="W263" s="1" t="str">
        <f>IFERROR(__xludf.DUMMYFUNCTION("""COMPUTED_VALUE"""),"STK REGULAR")</f>
        <v>STK REGULAR</v>
      </c>
      <c r="X263" s="1" t="str">
        <f>IFERROR(__xludf.DUMMYFUNCTION("""COMPUTED_VALUE"""),"REGULAR")</f>
        <v>REGULAR</v>
      </c>
      <c r="Y263" s="1" t="str">
        <f>IFERROR(__xludf.DUMMYFUNCTION("""COMPUTED_VALUE"""),"RS_ONL_CVEU_2026")</f>
        <v>RS_ONL_CVEU_2026</v>
      </c>
      <c r="Z263" s="1" t="str">
        <f>IFERROR(__xludf.DUMMYFUNCTION("""COMPUTED_VALUE"""),"NEW CONNECT")</f>
        <v>NEW CONNECT</v>
      </c>
      <c r="AA263" s="1">
        <f>IFERROR(__xludf.DUMMYFUNCTION("""COMPUTED_VALUE"""),639364320798)</f>
        <v>639364320798</v>
      </c>
      <c r="AB263" s="1">
        <f>IFERROR(__xludf.DUMMYFUNCTION("""COMPUTED_VALUE"""),639123959073)</f>
        <v>639123959073</v>
      </c>
      <c r="AC263" s="1"/>
      <c r="AD263" s="1" t="str">
        <f>IFERROR(__xludf.DUMMYFUNCTION("""COMPUTED_VALUE"""),"PHASE 5")</f>
        <v>PHASE 5</v>
      </c>
      <c r="AE263" s="1" t="str">
        <f>IFERROR(__xludf.DUMMYFUNCTION("""COMPUTED_VALUE"""),"GOLDEN CITY")</f>
        <v>GOLDEN CITY</v>
      </c>
      <c r="AF263" s="1" t="str">
        <f>IFERROR(__xludf.DUMMYFUNCTION("""COMPUTED_VALUE"""),"BGY SALAWAG")</f>
        <v>BGY SALAWAG</v>
      </c>
      <c r="AG263" s="1" t="str">
        <f>IFERROR(__xludf.DUMMYFUNCTION("""COMPUTED_VALUE"""),"DASMARINAS")</f>
        <v>DASMARINAS</v>
      </c>
      <c r="AH263" s="1" t="str">
        <f>IFERROR(__xludf.DUMMYFUNCTION("""COMPUTED_VALUE"""),"ALFAMART")</f>
        <v>ALFAMART</v>
      </c>
      <c r="AI263" s="1" t="str">
        <f>IFERROR(__xludf.DUMMYFUNCTION("""COMPUTED_VALUE"""),"NOT AOR")</f>
        <v>NOT AOR</v>
      </c>
    </row>
    <row r="264" customHeight="1" spans="1:35">
      <c r="A264" s="3">
        <f>IFERROR(__xludf.DUMMYFUNCTION("""COMPUTED_VALUE"""),46258)</f>
        <v>46258</v>
      </c>
      <c r="B264" s="1" t="str">
        <f>IFERROR(__xludf.DUMMYFUNCTION("""COMPUTED_VALUE"""),"NINA KATLINA VALERA NUNEZ")</f>
        <v>NINA KATLINA VALERA NUNEZ</v>
      </c>
      <c r="C264" s="1">
        <f>IFERROR(__xludf.DUMMYFUNCTION("""COMPUTED_VALUE"""),2312042099)</f>
        <v>2312042099</v>
      </c>
      <c r="D264" s="1">
        <f>IFERROR(__xludf.DUMMYFUNCTION("""COMPUTED_VALUE"""),407248252)</f>
        <v>407248252</v>
      </c>
      <c r="E264" s="1">
        <f>IFERROR(__xludf.DUMMYFUNCTION("""COMPUTED_VALUE"""),467791568004)</f>
        <v>467791568004</v>
      </c>
      <c r="F264" s="1" t="str">
        <f>IFERROR(__xludf.DUMMYFUNCTION("""COMPUTED_VALUE"""),"CANCELLED")</f>
        <v>CANCELLED</v>
      </c>
      <c r="G264" s="1" t="str">
        <f>IFERROR(__xludf.DUMMYFUNCTION("""COMPUTED_VALUE"""),"FULL PLDT FIBER FACILITY. CUSTOMER HAS ALREADY BEEN ADVICED. CMNLP252NP1 - FULL CMNLP252NP2 - FULL CMNLP252NP3 - FULL CMNLP252NP4 - FULL CMNLP252NP5 - FULL CMNLP252NP6 - FULL CMNLP252NP7 - FULL CMNLP253NP1 - FULL")</f>
        <v>FULL PLDT FIBER FACILITY. CUSTOMER HAS ALREADY BEEN ADVICED. CMNLP252NP1 - FULL CMNLP252NP2 - FULL CMNLP252NP3 - FULL CMNLP252NP4 - FULL CMNLP252NP5 - FULL CMNLP252NP6 - FULL CMNLP252NP7 - FULL CMNLP253NP1 - FULL</v>
      </c>
      <c r="H264" s="1" t="str">
        <f>IFERROR(__xludf.DUMMYFUNCTION("""COMPUTED_VALUE"""),"PAID VIA GCASH - AUG 25 - REF - 422608296")</f>
        <v>PAID VIA GCASH - AUG 25 - REF - 422608296</v>
      </c>
      <c r="I264" s="1" t="str">
        <f>IFERROR(__xludf.DUMMYFUNCTION("""COMPUTED_VALUE"""),"WITH 1 AMSF")</f>
        <v>WITH 1 AMSF</v>
      </c>
      <c r="J264" s="1"/>
      <c r="K264" s="1" t="str">
        <f>IFERROR(__xludf.DUMMYFUNCTION("""COMPUTED_VALUE"""),"CANCELED")</f>
        <v>CANCELED</v>
      </c>
      <c r="L264" s="1" t="str">
        <f>IFERROR(__xludf.DUMMYFUNCTION("""COMPUTED_VALUE"""),"RPR - NAP FULL")</f>
        <v>RPR - NAP FULL</v>
      </c>
      <c r="M264" s="1" t="str">
        <f>IFERROR(__xludf.DUMMYFUNCTION("""COMPUTED_VALUE"""),"RPR- NAP FULL")</f>
        <v>RPR- NAP FULL</v>
      </c>
      <c r="N264" s="3"/>
      <c r="O264" s="1" t="str">
        <f>IFERROR(__xludf.DUMMYFUNCTION("""COMPUTED_VALUE"""),"FIBR PLAN 1299")</f>
        <v>FIBR PLAN 1299</v>
      </c>
      <c r="P264" s="1" t="str">
        <f>IFERROR(__xludf.DUMMYFUNCTION("""COMPUTED_VALUE"""),"LOWPLAN")</f>
        <v>LOWPLAN</v>
      </c>
      <c r="Q264" s="1" t="str">
        <f>IFERROR(__xludf.DUMMYFUNCTION("""COMPUTED_VALUE"""),"P407044")</f>
        <v>P407044</v>
      </c>
      <c r="R264" s="1" t="str">
        <f>IFERROR(__xludf.DUMMYFUNCTION("""COMPUTED_VALUE"""),"AYON, MANUEL")</f>
        <v>AYON, MANUEL</v>
      </c>
      <c r="S264" s="1" t="str">
        <f>IFERROR(__xludf.DUMMYFUNCTION("""COMPUTED_VALUE"""),"FLA")</f>
        <v>FLA</v>
      </c>
      <c r="T264" s="1" t="str">
        <f>IFERROR(__xludf.DUMMYFUNCTION("""COMPUTED_VALUE"""),"JERIC NAVARRO")</f>
        <v>JERIC NAVARRO</v>
      </c>
      <c r="U264" s="1" t="str">
        <f>IFERROR(__xludf.DUMMYFUNCTION("""COMPUTED_VALUE"""),"JB SALIOA")</f>
        <v>JB SALIOA</v>
      </c>
      <c r="V264" s="1" t="str">
        <f>IFERROR(__xludf.DUMMYFUNCTION("""COMPUTED_VALUE"""),"BK HSTK")</f>
        <v>BK HSTK</v>
      </c>
      <c r="W264" s="1" t="str">
        <f>IFERROR(__xludf.DUMMYFUNCTION("""COMPUTED_VALUE"""),"BK HSTK")</f>
        <v>BK HSTK</v>
      </c>
      <c r="X264" s="1" t="str">
        <f>IFERROR(__xludf.DUMMYFUNCTION("""COMPUTED_VALUE"""),"REGULAR")</f>
        <v>REGULAR</v>
      </c>
      <c r="Y264" s="1" t="str">
        <f>IFERROR(__xludf.DUMMYFUNCTION("""COMPUTED_VALUE"""),"BK_CVEU_260810")</f>
        <v>BK_CVEU_260810</v>
      </c>
      <c r="Z264" s="1" t="str">
        <f>IFERROR(__xludf.DUMMYFUNCTION("""COMPUTED_VALUE"""),"NEW CONNECT")</f>
        <v>NEW CONNECT</v>
      </c>
      <c r="AA264" s="1">
        <f>IFERROR(__xludf.DUMMYFUNCTION("""COMPUTED_VALUE"""),639209695257)</f>
        <v>639209695257</v>
      </c>
      <c r="AB264" s="1">
        <f>IFERROR(__xludf.DUMMYFUNCTION("""COMPUTED_VALUE"""),639156758220)</f>
        <v>639156758220</v>
      </c>
      <c r="AC264" s="1"/>
      <c r="AD264" s="1" t="str">
        <f>IFERROR(__xludf.DUMMYFUNCTION("""COMPUTED_VALUE"""),"PHASE 3")</f>
        <v>PHASE 3</v>
      </c>
      <c r="AE264" s="1" t="str">
        <f>IFERROR(__xludf.DUMMYFUNCTION("""COMPUTED_VALUE"""),"TERRAVERDE  RESIDENCES")</f>
        <v>TERRAVERDE  RESIDENCES</v>
      </c>
      <c r="AF264" s="1" t="str">
        <f>IFERROR(__xludf.DUMMYFUNCTION("""COMPUTED_VALUE"""),"BGY BANCAL")</f>
        <v>BGY BANCAL</v>
      </c>
      <c r="AG264" s="1" t="str">
        <f>IFERROR(__xludf.DUMMYFUNCTION("""COMPUTED_VALUE"""),"CARMONA")</f>
        <v>CARMONA</v>
      </c>
      <c r="AH264" s="1" t="str">
        <f>IFERROR(__xludf.DUMMYFUNCTION("""COMPUTED_VALUE"""),"MAIN ROAD")</f>
        <v>MAIN ROAD</v>
      </c>
      <c r="AI264" s="1" t="str">
        <f>IFERROR(__xludf.DUMMYFUNCTION("""COMPUTED_VALUE"""),"CLUSTER 11")</f>
        <v>CLUSTER 11</v>
      </c>
    </row>
    <row r="265" customHeight="1" spans="1:35">
      <c r="A265" s="3">
        <f>IFERROR(__xludf.DUMMYFUNCTION("""COMPUTED_VALUE"""),46258)</f>
        <v>46258</v>
      </c>
      <c r="B265" s="1" t="str">
        <f>IFERROR(__xludf.DUMMYFUNCTION("""COMPUTED_VALUE"""),"ROSE ANN TERCERO NABOR")</f>
        <v>ROSE ANN TERCERO NABOR</v>
      </c>
      <c r="C265" s="1">
        <f>IFERROR(__xludf.DUMMYFUNCTION("""COMPUTED_VALUE"""),2312042484)</f>
        <v>2312042484</v>
      </c>
      <c r="D265" s="1">
        <f>IFERROR(__xludf.DUMMYFUNCTION("""COMPUTED_VALUE"""),407239822)</f>
        <v>407239822</v>
      </c>
      <c r="E265" s="1">
        <f>IFERROR(__xludf.DUMMYFUNCTION("""COMPUTED_VALUE"""),467785585004)</f>
        <v>467785585004</v>
      </c>
      <c r="F265" s="1" t="str">
        <f>IFERROR(__xludf.DUMMYFUNCTION("""COMPUTED_VALUE"""),"CLOSED")</f>
        <v>CLOSED</v>
      </c>
      <c r="G265" s="1" t="str">
        <f>IFERROR(__xludf.DUMMYFUNCTION("""COMPUTED_VALUE"""),"CLOSED")</f>
        <v>CLOSED</v>
      </c>
      <c r="H265" s="1"/>
      <c r="I265" s="1" t="str">
        <f>IFERROR(__xludf.DUMMYFUNCTION("""COMPUTED_VALUE"""),"NO 1 AMSF")</f>
        <v>NO 1 AMSF</v>
      </c>
      <c r="J265" s="1" t="str">
        <f>IFERROR(__xludf.DUMMYFUNCTION("""COMPUTED_VALUE"""),"DUE DATE - 20-Sep-26  - 1,645.71")</f>
        <v>DUE DATE - 20-Sep-26  - 1,645.71</v>
      </c>
      <c r="K265" s="1" t="str">
        <f>IFERROR(__xludf.DUMMYFUNCTION("""COMPUTED_VALUE"""),"COMPLETED")</f>
        <v>COMPLETED</v>
      </c>
      <c r="L265" s="1" t="str">
        <f>IFERROR(__xludf.DUMMYFUNCTION("""COMPUTED_VALUE"""),"POSTED")</f>
        <v>POSTED</v>
      </c>
      <c r="M265" s="1" t="str">
        <f>IFERROR(__xludf.DUMMYFUNCTION("""COMPUTED_VALUE"""),"POSTED")</f>
        <v>POSTED</v>
      </c>
      <c r="N265" s="3">
        <f>IFERROR(__xludf.DUMMYFUNCTION("""COMPUTED_VALUE"""),46259)</f>
        <v>46259</v>
      </c>
      <c r="O265" s="1" t="str">
        <f>IFERROR(__xludf.DUMMYFUNCTION("""COMPUTED_VALUE"""),"FIBER UNLI ALL PLAN 1499")</f>
        <v>FIBER UNLI ALL PLAN 1499</v>
      </c>
      <c r="P265" s="1" t="str">
        <f>IFERROR(__xludf.DUMMYFUNCTION("""COMPUTED_VALUE"""),"LOWPLAN")</f>
        <v>LOWPLAN</v>
      </c>
      <c r="Q265" s="1" t="str">
        <f>IFERROR(__xludf.DUMMYFUNCTION("""COMPUTED_VALUE"""),"P407050")</f>
        <v>P407050</v>
      </c>
      <c r="R265" s="1" t="str">
        <f>IFERROR(__xludf.DUMMYFUNCTION("""COMPUTED_VALUE"""),"ARENA, LYKA")</f>
        <v>ARENA, LYKA</v>
      </c>
      <c r="S265" s="1" t="str">
        <f>IFERROR(__xludf.DUMMYFUNCTION("""COMPUTED_VALUE"""),"ORGANIC")</f>
        <v>ORGANIC</v>
      </c>
      <c r="T265" s="1" t="str">
        <f>IFERROR(__xludf.DUMMYFUNCTION("""COMPUTED_VALUE"""),"LEA REMOLLO")</f>
        <v>LEA REMOLLO</v>
      </c>
      <c r="U265" s="1" t="str">
        <f>IFERROR(__xludf.DUMMYFUNCTION("""COMPUTED_VALUE"""),"JB SALIOA")</f>
        <v>JB SALIOA</v>
      </c>
      <c r="V265" s="1" t="str">
        <f>IFERROR(__xludf.DUMMYFUNCTION("""COMPUTED_VALUE"""),"BK HSTK")</f>
        <v>BK HSTK</v>
      </c>
      <c r="W265" s="1" t="str">
        <f>IFERROR(__xludf.DUMMYFUNCTION("""COMPUTED_VALUE"""),"BK HSTK")</f>
        <v>BK HSTK</v>
      </c>
      <c r="X265" s="1" t="str">
        <f>IFERROR(__xludf.DUMMYFUNCTION("""COMPUTED_VALUE"""),"HBBS AUG 2026")</f>
        <v>HBBS AUG 2026</v>
      </c>
      <c r="Y265" s="1" t="str">
        <f>IFERROR(__xludf.DUMMYFUNCTION("""COMPUTED_VALUE"""),"BK_CVEU_260813")</f>
        <v>BK_CVEU_260813</v>
      </c>
      <c r="Z265" s="1" t="str">
        <f>IFERROR(__xludf.DUMMYFUNCTION("""COMPUTED_VALUE"""),"NEW CONNECT")</f>
        <v>NEW CONNECT</v>
      </c>
      <c r="AA265" s="1">
        <f>IFERROR(__xludf.DUMMYFUNCTION("""COMPUTED_VALUE"""),639345864216)</f>
        <v>639345864216</v>
      </c>
      <c r="AB265" s="1"/>
      <c r="AC265" s="1">
        <f>IFERROR(__xludf.DUMMYFUNCTION("""COMPUTED_VALUE"""),255)</f>
        <v>255</v>
      </c>
      <c r="AD265" s="1" t="str">
        <f>IFERROR(__xludf.DUMMYFUNCTION("""COMPUTED_VALUE"""),"KALYE PUTOL")</f>
        <v>KALYE PUTOL</v>
      </c>
      <c r="AE265" s="1"/>
      <c r="AF265" s="1" t="str">
        <f>IFERROR(__xludf.DUMMYFUNCTION("""COMPUTED_VALUE"""),"BGY TIBIG")</f>
        <v>BGY TIBIG</v>
      </c>
      <c r="AG265" s="1" t="str">
        <f>IFERROR(__xludf.DUMMYFUNCTION("""COMPUTED_VALUE"""),"SILANG")</f>
        <v>SILANG</v>
      </c>
      <c r="AH265" s="1" t="str">
        <f>IFERROR(__xludf.DUMMYFUNCTION("""COMPUTED_VALUE"""),"-")</f>
        <v>-</v>
      </c>
      <c r="AI265" s="1" t="str">
        <f>IFERROR(__xludf.DUMMYFUNCTION("""COMPUTED_VALUE"""),"CLUSTER 11")</f>
        <v>CLUSTER 11</v>
      </c>
    </row>
    <row r="266" customHeight="1" spans="1:35">
      <c r="A266" s="3">
        <f>IFERROR(__xludf.DUMMYFUNCTION("""COMPUTED_VALUE"""),46258)</f>
        <v>46258</v>
      </c>
      <c r="B266" s="1" t="str">
        <f>IFERROR(__xludf.DUMMYFUNCTION("""COMPUTED_VALUE"""),"NERISSA BAYONA BERSABAL")</f>
        <v>NERISSA BAYONA BERSABAL</v>
      </c>
      <c r="C266" s="1">
        <f>IFERROR(__xludf.DUMMYFUNCTION("""COMPUTED_VALUE"""),2312044398)</f>
        <v>2312044398</v>
      </c>
      <c r="D266" s="1">
        <f>IFERROR(__xludf.DUMMYFUNCTION("""COMPUTED_VALUE"""),407241142)</f>
        <v>407241142</v>
      </c>
      <c r="E266" s="1">
        <f>IFERROR(__xludf.DUMMYFUNCTION("""COMPUTED_VALUE"""),467787351004)</f>
        <v>467787351004</v>
      </c>
      <c r="F266" s="1" t="str">
        <f>IFERROR(__xludf.DUMMYFUNCTION("""COMPUTED_VALUE"""),"RPR")</f>
        <v>RPR</v>
      </c>
      <c r="G266" s="1" t="str">
        <f>IFERROR(__xludf.DUMMYFUNCTION("""COMPUTED_VALUE"""),"AFD CSR VALIDATED CALLTHRU REMARKS   RESCHED NO SPECIFIC DATE 09184666520 09475741531")</f>
        <v>AFD CSR VALIDATED CALLTHRU REMARKS   RESCHED NO SPECIFIC DATE 09184666520 09475741531</v>
      </c>
      <c r="H266" s="1"/>
      <c r="I266" s="1"/>
      <c r="J266" s="1"/>
      <c r="K266" s="1" t="str">
        <f>IFERROR(__xludf.DUMMYFUNCTION("""COMPUTED_VALUE"""),"CANCELED")</f>
        <v>CANCELED</v>
      </c>
      <c r="L266" s="1" t="str">
        <f>IFERROR(__xludf.DUMMYFUNCTION("""COMPUTED_VALUE"""),"AFD - RESCHEDULE")</f>
        <v>AFD - RESCHEDULE</v>
      </c>
      <c r="M266" s="1" t="str">
        <f>IFERROR(__xludf.DUMMYFUNCTION("""COMPUTED_VALUE"""),"AFD - RESCHEDULED")</f>
        <v>AFD - RESCHEDULED</v>
      </c>
      <c r="N266" s="3"/>
      <c r="O266" s="1" t="str">
        <f>IFERROR(__xludf.DUMMYFUNCTION("""COMPUTED_VALUE"""),"FIBER UNLI ALL PLAN 1499")</f>
        <v>FIBER UNLI ALL PLAN 1499</v>
      </c>
      <c r="P266" s="1" t="str">
        <f>IFERROR(__xludf.DUMMYFUNCTION("""COMPUTED_VALUE"""),"LOWPLAN")</f>
        <v>LOWPLAN</v>
      </c>
      <c r="Q266" s="1" t="str">
        <f>IFERROR(__xludf.DUMMYFUNCTION("""COMPUTED_VALUE"""),"P407050")</f>
        <v>P407050</v>
      </c>
      <c r="R266" s="1" t="str">
        <f>IFERROR(__xludf.DUMMYFUNCTION("""COMPUTED_VALUE"""),"CADERAO, RONALD")</f>
        <v>CADERAO, RONALD</v>
      </c>
      <c r="S266" s="1" t="str">
        <f>IFERROR(__xludf.DUMMYFUNCTION("""COMPUTED_VALUE"""),"ORGANIC")</f>
        <v>ORGANIC</v>
      </c>
      <c r="T266" s="1" t="str">
        <f>IFERROR(__xludf.DUMMYFUNCTION("""COMPUTED_VALUE"""),"LEA REMOLLO")</f>
        <v>LEA REMOLLO</v>
      </c>
      <c r="U266" s="1" t="str">
        <f>IFERROR(__xludf.DUMMYFUNCTION("""COMPUTED_VALUE"""),"JB SALIOA")</f>
        <v>JB SALIOA</v>
      </c>
      <c r="V266" s="1" t="str">
        <f>IFERROR(__xludf.DUMMYFUNCTION("""COMPUTED_VALUE"""),"BK HSTK")</f>
        <v>BK HSTK</v>
      </c>
      <c r="W266" s="1" t="str">
        <f>IFERROR(__xludf.DUMMYFUNCTION("""COMPUTED_VALUE"""),"BK HSTK")</f>
        <v>BK HSTK</v>
      </c>
      <c r="X266" s="1" t="str">
        <f>IFERROR(__xludf.DUMMYFUNCTION("""COMPUTED_VALUE"""),"HBBS AUG 2026")</f>
        <v>HBBS AUG 2026</v>
      </c>
      <c r="Y266" s="1" t="str">
        <f>IFERROR(__xludf.DUMMYFUNCTION("""COMPUTED_VALUE"""),"BK_CVEU_260813")</f>
        <v>BK_CVEU_260813</v>
      </c>
      <c r="Z266" s="1" t="str">
        <f>IFERROR(__xludf.DUMMYFUNCTION("""COMPUTED_VALUE"""),"NEW CONNECT")</f>
        <v>NEW CONNECT</v>
      </c>
      <c r="AA266" s="1">
        <f>IFERROR(__xludf.DUMMYFUNCTION("""COMPUTED_VALUE"""),639184666520)</f>
        <v>639184666520</v>
      </c>
      <c r="AB266" s="1">
        <f>IFERROR(__xludf.DUMMYFUNCTION("""COMPUTED_VALUE"""),639475741531)</f>
        <v>639475741531</v>
      </c>
      <c r="AC266" s="1">
        <f>IFERROR(__xludf.DUMMYFUNCTION("""COMPUTED_VALUE"""),112)</f>
        <v>112</v>
      </c>
      <c r="AD266" s="1" t="str">
        <f>IFERROR(__xludf.DUMMYFUNCTION("""COMPUTED_VALUE"""),"MATROGATE")</f>
        <v>MATROGATE</v>
      </c>
      <c r="AE266" s="1"/>
      <c r="AF266" s="1" t="str">
        <f>IFERROR(__xludf.DUMMYFUNCTION("""COMPUTED_VALUE"""),"BGY TIBIG")</f>
        <v>BGY TIBIG</v>
      </c>
      <c r="AG266" s="1" t="str">
        <f>IFERROR(__xludf.DUMMYFUNCTION("""COMPUTED_VALUE"""),"SILANG")</f>
        <v>SILANG</v>
      </c>
      <c r="AH266" s="1" t="str">
        <f>IFERROR(__xludf.DUMMYFUNCTION("""COMPUTED_VALUE"""),"BESIDE BRGY HALL")</f>
        <v>BESIDE BRGY HALL</v>
      </c>
      <c r="AI266" s="1" t="str">
        <f>IFERROR(__xludf.DUMMYFUNCTION("""COMPUTED_VALUE"""),"CLUSTER 11")</f>
        <v>CLUSTER 11</v>
      </c>
    </row>
    <row r="267" customHeight="1" spans="1:35">
      <c r="A267" s="3">
        <f>IFERROR(__xludf.DUMMYFUNCTION("""COMPUTED_VALUE"""),46258)</f>
        <v>46258</v>
      </c>
      <c r="B267" s="1" t="str">
        <f>IFERROR(__xludf.DUMMYFUNCTION("""COMPUTED_VALUE"""),"EGBERT ALLA MONTEVERDE RIVERA")</f>
        <v>EGBERT ALLA MONTEVERDE RIVERA</v>
      </c>
      <c r="C267" s="1">
        <f>IFERROR(__xludf.DUMMYFUNCTION("""COMPUTED_VALUE"""),2312043317)</f>
        <v>2312043317</v>
      </c>
      <c r="D267" s="1"/>
      <c r="E267" s="1"/>
      <c r="F267" s="1" t="str">
        <f>IFERROR(__xludf.DUMMYFUNCTION("""COMPUTED_VALUE"""),"CANCELLED")</f>
        <v>CANCELLED</v>
      </c>
      <c r="G267" s="1" t="str">
        <f>IFERROR(__xludf.DUMMYFUNCTION("""COMPUTED_VALUE"""),"CANCELLED DUE TO SUBS CHANGE PLAN FROM 1299 TO 999")</f>
        <v>CANCELLED DUE TO SUBS CHANGE PLAN FROM 1299 TO 999</v>
      </c>
      <c r="H267" s="1"/>
      <c r="I267" s="1"/>
      <c r="J267" s="1"/>
      <c r="K267" s="1"/>
      <c r="L267" s="1" t="str">
        <f>IFERROR(__xludf.DUMMYFUNCTION("""COMPUTED_VALUE"""),"CANCELLED")</f>
        <v>CANCELLED</v>
      </c>
      <c r="M267" s="1" t="str">
        <f>IFERROR(__xludf.DUMMYFUNCTION("""COMPUTED_VALUE"""),"CANCELLED")</f>
        <v>CANCELLED</v>
      </c>
      <c r="N267" s="3"/>
      <c r="O267" s="1" t="str">
        <f>IFERROR(__xludf.DUMMYFUNCTION("""COMPUTED_VALUE"""),"FIBR PLAN 1299")</f>
        <v>FIBR PLAN 1299</v>
      </c>
      <c r="P267" s="1" t="str">
        <f>IFERROR(__xludf.DUMMYFUNCTION("""COMPUTED_VALUE"""),"LOWPLAN")</f>
        <v>LOWPLAN</v>
      </c>
      <c r="Q267" s="1" t="str">
        <f>IFERROR(__xludf.DUMMYFUNCTION("""COMPUTED_VALUE"""),"P407046")</f>
        <v>P407046</v>
      </c>
      <c r="R267" s="1" t="str">
        <f>IFERROR(__xludf.DUMMYFUNCTION("""COMPUTED_VALUE"""),"MALIWAT, MARK")</f>
        <v>MALIWAT, MARK</v>
      </c>
      <c r="S267" s="1" t="str">
        <f>IFERROR(__xludf.DUMMYFUNCTION("""COMPUTED_VALUE"""),"FLA")</f>
        <v>FLA</v>
      </c>
      <c r="T267" s="1" t="str">
        <f>IFERROR(__xludf.DUMMYFUNCTION("""COMPUTED_VALUE"""),"JERIC NAVARRO")</f>
        <v>JERIC NAVARRO</v>
      </c>
      <c r="U267" s="1" t="str">
        <f>IFERROR(__xludf.DUMMYFUNCTION("""COMPUTED_VALUE"""),"JB SALIOA")</f>
        <v>JB SALIOA</v>
      </c>
      <c r="V267" s="1" t="str">
        <f>IFERROR(__xludf.DUMMYFUNCTION("""COMPUTED_VALUE"""),"ONLINE/CRANFORD")</f>
        <v>ONLINE/CRANFORD</v>
      </c>
      <c r="W267" s="1" t="str">
        <f>IFERROR(__xludf.DUMMYFUNCTION("""COMPUTED_VALUE"""),"STK REGULAR")</f>
        <v>STK REGULAR</v>
      </c>
      <c r="X267" s="1" t="str">
        <f>IFERROR(__xludf.DUMMYFUNCTION("""COMPUTED_VALUE"""),"REGULAR")</f>
        <v>REGULAR</v>
      </c>
      <c r="Y267" s="1" t="str">
        <f>IFERROR(__xludf.DUMMYFUNCTION("""COMPUTED_VALUE"""),"RS_ONL_CVEU_2026")</f>
        <v>RS_ONL_CVEU_2026</v>
      </c>
      <c r="Z267" s="1" t="str">
        <f>IFERROR(__xludf.DUMMYFUNCTION("""COMPUTED_VALUE"""),"NEW CONNECT")</f>
        <v>NEW CONNECT</v>
      </c>
      <c r="AA267" s="1">
        <f>IFERROR(__xludf.DUMMYFUNCTION("""COMPUTED_VALUE"""),639175572298)</f>
        <v>639175572298</v>
      </c>
      <c r="AB267" s="1">
        <f>IFERROR(__xludf.DUMMYFUNCTION("""COMPUTED_VALUE"""),639173313565)</f>
        <v>639173313565</v>
      </c>
      <c r="AC267" s="1">
        <f>IFERROR(__xludf.DUMMYFUNCTION("""COMPUTED_VALUE"""),32)</f>
        <v>32</v>
      </c>
      <c r="AD267" s="1" t="str">
        <f>IFERROR(__xludf.DUMMYFUNCTION("""COMPUTED_VALUE"""),"BURGOS")</f>
        <v>BURGOS</v>
      </c>
      <c r="AE267" s="1"/>
      <c r="AF267" s="1" t="str">
        <f>IFERROR(__xludf.DUMMYFUNCTION("""COMPUTED_VALUE"""),"BGY 1")</f>
        <v>BGY 1</v>
      </c>
      <c r="AG267" s="1" t="str">
        <f>IFERROR(__xludf.DUMMYFUNCTION("""COMPUTED_VALUE"""),"ALFONSO")</f>
        <v>ALFONSO</v>
      </c>
      <c r="AH267" s="1" t="str">
        <f>IFERROR(__xludf.DUMMYFUNCTION("""COMPUTED_VALUE"""),"HONGTANG O IGLESIA NI CRISTO")</f>
        <v>HONGTANG O IGLESIA NI CRISTO</v>
      </c>
      <c r="AI267" s="1" t="str">
        <f>IFERROR(__xludf.DUMMYFUNCTION("""COMPUTED_VALUE"""),"CLUSTER 12")</f>
        <v>CLUSTER 12</v>
      </c>
    </row>
    <row r="268" customHeight="1" spans="1:35">
      <c r="A268" s="3">
        <f>IFERROR(__xludf.DUMMYFUNCTION("""COMPUTED_VALUE"""),46258)</f>
        <v>46258</v>
      </c>
      <c r="B268" s="1" t="str">
        <f>IFERROR(__xludf.DUMMYFUNCTION("""COMPUTED_VALUE"""),"GRACE ANN ISRAEL MALABAYABAS")</f>
        <v>GRACE ANN ISRAEL MALABAYABAS</v>
      </c>
      <c r="C268" s="1">
        <f>IFERROR(__xludf.DUMMYFUNCTION("""COMPUTED_VALUE"""),2312046287)</f>
        <v>2312046287</v>
      </c>
      <c r="D268" s="1">
        <f>IFERROR(__xludf.DUMMYFUNCTION("""COMPUTED_VALUE"""),407253280)</f>
        <v>407253280</v>
      </c>
      <c r="E268" s="1">
        <f>IFERROR(__xludf.DUMMYFUNCTION("""COMPUTED_VALUE"""),467792385004)</f>
        <v>467792385004</v>
      </c>
      <c r="F268" s="1" t="str">
        <f>IFERROR(__xludf.DUMMYFUNCTION("""COMPUTED_VALUE"""),"CLOSED")</f>
        <v>CLOSED</v>
      </c>
      <c r="G268" s="1" t="str">
        <f>IFERROR(__xludf.DUMMYFUNCTION("""COMPUTED_VALUE"""),"CLOSED")</f>
        <v>CLOSED</v>
      </c>
      <c r="H268" s="1" t="str">
        <f>IFERROR(__xludf.DUMMYFUNCTION("""COMPUTED_VALUE"""),"PAID VIA GCASH REF 819658812 AUG 26")</f>
        <v>PAID VIA GCASH REF 819658812 AUG 26</v>
      </c>
      <c r="I268" s="1" t="str">
        <f>IFERROR(__xludf.DUMMYFUNCTION("""COMPUTED_VALUE"""),"WITH 1 AMSF")</f>
        <v>WITH 1 AMSF</v>
      </c>
      <c r="J268" s="1"/>
      <c r="K268" s="1" t="str">
        <f>IFERROR(__xludf.DUMMYFUNCTION("""COMPUTED_VALUE"""),"COMPLETED")</f>
        <v>COMPLETED</v>
      </c>
      <c r="L268" s="1" t="str">
        <f>IFERROR(__xludf.DUMMYFUNCTION("""COMPUTED_VALUE"""),"POSTED")</f>
        <v>POSTED</v>
      </c>
      <c r="M268" s="1" t="str">
        <f>IFERROR(__xludf.DUMMYFUNCTION("""COMPUTED_VALUE"""),"POSTED")</f>
        <v>POSTED</v>
      </c>
      <c r="N268" s="3">
        <f>IFERROR(__xludf.DUMMYFUNCTION("""COMPUTED_VALUE"""),46260)</f>
        <v>46260</v>
      </c>
      <c r="O268" s="1" t="str">
        <f>IFERROR(__xludf.DUMMYFUNCTION("""COMPUTED_VALUE"""),"FIBR UNLI ALL PLAN 999")</f>
        <v>FIBR UNLI ALL PLAN 999</v>
      </c>
      <c r="P268" s="1" t="str">
        <f>IFERROR(__xludf.DUMMYFUNCTION("""COMPUTED_VALUE"""),"LOWPLAN")</f>
        <v>LOWPLAN</v>
      </c>
      <c r="Q268" s="1" t="str">
        <f>IFERROR(__xludf.DUMMYFUNCTION("""COMPUTED_VALUE"""),"P407047")</f>
        <v>P407047</v>
      </c>
      <c r="R268" s="1" t="str">
        <f>IFERROR(__xludf.DUMMYFUNCTION("""COMPUTED_VALUE"""),"FRANCISCO, ROSELYN")</f>
        <v>FRANCISCO, ROSELYN</v>
      </c>
      <c r="S268" s="1" t="str">
        <f>IFERROR(__xludf.DUMMYFUNCTION("""COMPUTED_VALUE"""),"ORGANIC")</f>
        <v>ORGANIC</v>
      </c>
      <c r="T268" s="1" t="str">
        <f>IFERROR(__xludf.DUMMYFUNCTION("""COMPUTED_VALUE"""),"LEA REMOLLO")</f>
        <v>LEA REMOLLO</v>
      </c>
      <c r="U268" s="1" t="str">
        <f>IFERROR(__xludf.DUMMYFUNCTION("""COMPUTED_VALUE"""),"JB SALIOA")</f>
        <v>JB SALIOA</v>
      </c>
      <c r="V268" s="1" t="str">
        <f>IFERROR(__xludf.DUMMYFUNCTION("""COMPUTED_VALUE"""),"ONLINE/CRANFORD")</f>
        <v>ONLINE/CRANFORD</v>
      </c>
      <c r="W268" s="1" t="str">
        <f>IFERROR(__xludf.DUMMYFUNCTION("""COMPUTED_VALUE"""),"STK REGULAR")</f>
        <v>STK REGULAR</v>
      </c>
      <c r="X268" s="1" t="str">
        <f>IFERROR(__xludf.DUMMYFUNCTION("""COMPUTED_VALUE"""),"REGULAR")</f>
        <v>REGULAR</v>
      </c>
      <c r="Y268" s="1" t="str">
        <f>IFERROR(__xludf.DUMMYFUNCTION("""COMPUTED_VALUE"""),"RS_ONL_CVEU_2026")</f>
        <v>RS_ONL_CVEU_2026</v>
      </c>
      <c r="Z268" s="1" t="str">
        <f>IFERROR(__xludf.DUMMYFUNCTION("""COMPUTED_VALUE"""),"NEW CONNECT")</f>
        <v>NEW CONNECT</v>
      </c>
      <c r="AA268" s="1">
        <f>IFERROR(__xludf.DUMMYFUNCTION("""COMPUTED_VALUE"""),639541842519)</f>
        <v>639541842519</v>
      </c>
      <c r="AB268" s="1">
        <f>IFERROR(__xludf.DUMMYFUNCTION("""COMPUTED_VALUE"""),639605156804)</f>
        <v>639605156804</v>
      </c>
      <c r="AC268" s="1"/>
      <c r="AD268" s="1" t="str">
        <f>IFERROR(__xludf.DUMMYFUNCTION("""COMPUTED_VALUE"""),"GOLDEN MILES")</f>
        <v>GOLDEN MILES</v>
      </c>
      <c r="AE268" s="1" t="str">
        <f>IFERROR(__xludf.DUMMYFUNCTION("""COMPUTED_VALUE"""),"GOLDEN MILES")</f>
        <v>GOLDEN MILES</v>
      </c>
      <c r="AF268" s="1" t="str">
        <f>IFERROR(__xludf.DUMMYFUNCTION("""COMPUTED_VALUE"""),"BGY SALAWAG")</f>
        <v>BGY SALAWAG</v>
      </c>
      <c r="AG268" s="1" t="str">
        <f>IFERROR(__xludf.DUMMYFUNCTION("""COMPUTED_VALUE"""),"DASMARINAS")</f>
        <v>DASMARINAS</v>
      </c>
      <c r="AH268" s="1" t="str">
        <f>IFERROR(__xludf.DUMMYFUNCTION("""COMPUTED_VALUE"""),"INFRONT OF SAVEMORE")</f>
        <v>INFRONT OF SAVEMORE</v>
      </c>
      <c r="AI268" s="1" t="str">
        <f>IFERROR(__xludf.DUMMYFUNCTION("""COMPUTED_VALUE"""),"NOT AOR")</f>
        <v>NOT AOR</v>
      </c>
    </row>
    <row r="269" customHeight="1" spans="1:35">
      <c r="A269" s="3">
        <f>IFERROR(__xludf.DUMMYFUNCTION("""COMPUTED_VALUE"""),46258)</f>
        <v>46258</v>
      </c>
      <c r="B269" s="1" t="str">
        <f>IFERROR(__xludf.DUMMYFUNCTION("""COMPUTED_VALUE"""),"JECILL VILLANUEVA VILLAFLORES")</f>
        <v>JECILL VILLANUEVA VILLAFLORES</v>
      </c>
      <c r="C269" s="1">
        <f>IFERROR(__xludf.DUMMYFUNCTION("""COMPUTED_VALUE"""),2312046947)</f>
        <v>2312046947</v>
      </c>
      <c r="D269" s="1">
        <f>IFERROR(__xludf.DUMMYFUNCTION("""COMPUTED_VALUE"""),407260252)</f>
        <v>407260252</v>
      </c>
      <c r="E269" s="1">
        <f>IFERROR(__xludf.DUMMYFUNCTION("""COMPUTED_VALUE"""),467794353004)</f>
        <v>467794353004</v>
      </c>
      <c r="F269" s="1" t="str">
        <f>IFERROR(__xludf.DUMMYFUNCTION("""COMPUTED_VALUE"""),"CLOSED")</f>
        <v>CLOSED</v>
      </c>
      <c r="G269" s="1" t="str">
        <f>IFERROR(__xludf.DUMMYFUNCTION("""COMPUTED_VALUE"""),"CLOSED")</f>
        <v>CLOSED</v>
      </c>
      <c r="H269" s="1"/>
      <c r="I269" s="1" t="str">
        <f>IFERROR(__xludf.DUMMYFUNCTION("""COMPUTED_VALUE"""),"NO 1 AMSF")</f>
        <v>NO 1 AMSF</v>
      </c>
      <c r="J269" s="1" t="str">
        <f>IFERROR(__xludf.DUMMYFUNCTION("""COMPUTED_VALUE"""),"DUE DATE - 24-Sep-26 - 1,742.41")</f>
        <v>DUE DATE - 24-Sep-26 - 1,742.41</v>
      </c>
      <c r="K269" s="1" t="str">
        <f>IFERROR(__xludf.DUMMYFUNCTION("""COMPUTED_VALUE"""),"COMPLETED")</f>
        <v>COMPLETED</v>
      </c>
      <c r="L269" s="1" t="str">
        <f>IFERROR(__xludf.DUMMYFUNCTION("""COMPUTED_VALUE"""),"POSTED")</f>
        <v>POSTED</v>
      </c>
      <c r="M269" s="1" t="str">
        <f>IFERROR(__xludf.DUMMYFUNCTION("""COMPUTED_VALUE"""),"POSTED")</f>
        <v>POSTED</v>
      </c>
      <c r="N269" s="3">
        <f>IFERROR(__xludf.DUMMYFUNCTION("""COMPUTED_VALUE"""),46262)</f>
        <v>46262</v>
      </c>
      <c r="O269" s="1" t="str">
        <f>IFERROR(__xludf.DUMMYFUNCTION("""COMPUTED_VALUE"""),"FIBER UNLI ALL PLAN 1499")</f>
        <v>FIBER UNLI ALL PLAN 1499</v>
      </c>
      <c r="P269" s="1" t="str">
        <f>IFERROR(__xludf.DUMMYFUNCTION("""COMPUTED_VALUE"""),"LOWPLAN")</f>
        <v>LOWPLAN</v>
      </c>
      <c r="Q269" s="1" t="str">
        <f>IFERROR(__xludf.DUMMYFUNCTION("""COMPUTED_VALUE"""),"P407050")</f>
        <v>P407050</v>
      </c>
      <c r="R269" s="1" t="str">
        <f>IFERROR(__xludf.DUMMYFUNCTION("""COMPUTED_VALUE"""),"BAQUIT, JAZMIN")</f>
        <v>BAQUIT, JAZMIN</v>
      </c>
      <c r="S269" s="1" t="str">
        <f>IFERROR(__xludf.DUMMYFUNCTION("""COMPUTED_VALUE"""),"ORGANIC")</f>
        <v>ORGANIC</v>
      </c>
      <c r="T269" s="1" t="str">
        <f>IFERROR(__xludf.DUMMYFUNCTION("""COMPUTED_VALUE"""),"LEA REMOLLO")</f>
        <v>LEA REMOLLO</v>
      </c>
      <c r="U269" s="1" t="str">
        <f>IFERROR(__xludf.DUMMYFUNCTION("""COMPUTED_VALUE"""),"JB SALIOA")</f>
        <v>JB SALIOA</v>
      </c>
      <c r="V269" s="1" t="str">
        <f>IFERROR(__xludf.DUMMYFUNCTION("""COMPUTED_VALUE"""),"BK REGULAR")</f>
        <v>BK REGULAR</v>
      </c>
      <c r="W269" s="1" t="str">
        <f>IFERROR(__xludf.DUMMYFUNCTION("""COMPUTED_VALUE"""),"STK REGULAR")</f>
        <v>STK REGULAR</v>
      </c>
      <c r="X269" s="1" t="str">
        <f>IFERROR(__xludf.DUMMYFUNCTION("""COMPUTED_VALUE"""),"HBBS AUG 2026")</f>
        <v>HBBS AUG 2026</v>
      </c>
      <c r="Y269" s="1" t="str">
        <f>IFERROR(__xludf.DUMMYFUNCTION("""COMPUTED_VALUE"""),"BK_CVEU_260813")</f>
        <v>BK_CVEU_260813</v>
      </c>
      <c r="Z269" s="1" t="str">
        <f>IFERROR(__xludf.DUMMYFUNCTION("""COMPUTED_VALUE"""),"NEW CONNECT")</f>
        <v>NEW CONNECT</v>
      </c>
      <c r="AA269" s="1">
        <f>IFERROR(__xludf.DUMMYFUNCTION("""COMPUTED_VALUE"""),639686866489)</f>
        <v>639686866489</v>
      </c>
      <c r="AB269" s="1"/>
      <c r="AC269" s="1">
        <f>IFERROR(__xludf.DUMMYFUNCTION("""COMPUTED_VALUE"""),84)</f>
        <v>84</v>
      </c>
      <c r="AD269" s="1" t="str">
        <f>IFERROR(__xludf.DUMMYFUNCTION("""COMPUTED_VALUE"""),"TIBIG")</f>
        <v>TIBIG</v>
      </c>
      <c r="AE269" s="1"/>
      <c r="AF269" s="1" t="str">
        <f>IFERROR(__xludf.DUMMYFUNCTION("""COMPUTED_VALUE"""),"BGY TIBIG")</f>
        <v>BGY TIBIG</v>
      </c>
      <c r="AG269" s="1" t="str">
        <f>IFERROR(__xludf.DUMMYFUNCTION("""COMPUTED_VALUE"""),"SILANG")</f>
        <v>SILANG</v>
      </c>
      <c r="AH269" s="1" t="str">
        <f>IFERROR(__xludf.DUMMYFUNCTION("""COMPUTED_VALUE"""),"-")</f>
        <v>-</v>
      </c>
      <c r="AI269" s="1" t="str">
        <f>IFERROR(__xludf.DUMMYFUNCTION("""COMPUTED_VALUE"""),"CLUSTER 11")</f>
        <v>CLUSTER 11</v>
      </c>
    </row>
    <row r="270" customHeight="1" spans="1:35">
      <c r="A270" s="3">
        <f>IFERROR(__xludf.DUMMYFUNCTION("""COMPUTED_VALUE"""),46258)</f>
        <v>46258</v>
      </c>
      <c r="B270" s="1" t="str">
        <f>IFERROR(__xludf.DUMMYFUNCTION("""COMPUTED_VALUE"""),"EGBERT ALLAN MONTEVERDE RIVERA")</f>
        <v>EGBERT ALLAN MONTEVERDE RIVERA</v>
      </c>
      <c r="C270" s="1">
        <f>IFERROR(__xludf.DUMMYFUNCTION("""COMPUTED_VALUE"""),2312046958)</f>
        <v>2312046958</v>
      </c>
      <c r="D270" s="1"/>
      <c r="E270" s="1"/>
      <c r="F270" s="1" t="str">
        <f>IFERROR(__xludf.DUMMYFUNCTION("""COMPUTED_VALUE"""),"CANCELLED")</f>
        <v>CANCELLED</v>
      </c>
      <c r="G270" s="1" t="str">
        <f>IFERROR(__xludf.DUMMYFUNCTION("""COMPUTED_VALUE"""),"SUBS HAS BL ACCT.# 0172053750 @ UNIT H, 2/F BGR BUILDING M ALVAREZ AVE BGY TALON CINCO, LAS PINAS CITY. PLS. ADVISE TO SETTLE PHP2,816.17 ")</f>
        <v>SUBS HAS BL ACCT.# 0172053750 @ UNIT H, 2/F BGR BUILDING M ALVAREZ AVE BGY TALON CINCO, LAS PINAS CITY. PLS. ADVISE TO SETTLE PHP2,816.17 </v>
      </c>
      <c r="H270" s="1"/>
      <c r="I270" s="1"/>
      <c r="J270" s="1"/>
      <c r="K270" s="1"/>
      <c r="L270" s="1" t="str">
        <f>IFERROR(__xludf.DUMMYFUNCTION("""COMPUTED_VALUE"""),"CANCELLED - WITH OB")</f>
        <v>CANCELLED - WITH OB</v>
      </c>
      <c r="M270" s="1" t="str">
        <f>IFERROR(__xludf.DUMMYFUNCTION("""COMPUTED_VALUE"""),"CANCELLED - WITH OB")</f>
        <v>CANCELLED - WITH OB</v>
      </c>
      <c r="N270" s="3"/>
      <c r="O270" s="1" t="str">
        <f>IFERROR(__xludf.DUMMYFUNCTION("""COMPUTED_VALUE"""),"FIBR UNLI ALL PLAN 999")</f>
        <v>FIBR UNLI ALL PLAN 999</v>
      </c>
      <c r="P270" s="1" t="str">
        <f>IFERROR(__xludf.DUMMYFUNCTION("""COMPUTED_VALUE"""),"LOWPLAN")</f>
        <v>LOWPLAN</v>
      </c>
      <c r="Q270" s="1" t="str">
        <f>IFERROR(__xludf.DUMMYFUNCTION("""COMPUTED_VALUE"""),"P407046")</f>
        <v>P407046</v>
      </c>
      <c r="R270" s="1" t="str">
        <f>IFERROR(__xludf.DUMMYFUNCTION("""COMPUTED_VALUE"""),"MALIWAT, MARK")</f>
        <v>MALIWAT, MARK</v>
      </c>
      <c r="S270" s="1" t="str">
        <f>IFERROR(__xludf.DUMMYFUNCTION("""COMPUTED_VALUE"""),"FLA")</f>
        <v>FLA</v>
      </c>
      <c r="T270" s="1" t="str">
        <f>IFERROR(__xludf.DUMMYFUNCTION("""COMPUTED_VALUE"""),"JERIC NAVARRO")</f>
        <v>JERIC NAVARRO</v>
      </c>
      <c r="U270" s="1" t="str">
        <f>IFERROR(__xludf.DUMMYFUNCTION("""COMPUTED_VALUE"""),"JULIE ESPIRITU")</f>
        <v>JULIE ESPIRITU</v>
      </c>
      <c r="V270" s="1" t="str">
        <f>IFERROR(__xludf.DUMMYFUNCTION("""COMPUTED_VALUE"""),"ONLINE/CRANFORD")</f>
        <v>ONLINE/CRANFORD</v>
      </c>
      <c r="W270" s="1" t="str">
        <f>IFERROR(__xludf.DUMMYFUNCTION("""COMPUTED_VALUE"""),"STK REGULAR")</f>
        <v>STK REGULAR</v>
      </c>
      <c r="X270" s="1" t="str">
        <f>IFERROR(__xludf.DUMMYFUNCTION("""COMPUTED_VALUE"""),"REGULAR")</f>
        <v>REGULAR</v>
      </c>
      <c r="Y270" s="1" t="str">
        <f>IFERROR(__xludf.DUMMYFUNCTION("""COMPUTED_VALUE"""),"RS_ONL_CVEU_2026")</f>
        <v>RS_ONL_CVEU_2026</v>
      </c>
      <c r="Z270" s="1" t="str">
        <f>IFERROR(__xludf.DUMMYFUNCTION("""COMPUTED_VALUE"""),"NEW CONNECT")</f>
        <v>NEW CONNECT</v>
      </c>
      <c r="AA270" s="1">
        <f>IFERROR(__xludf.DUMMYFUNCTION("""COMPUTED_VALUE"""),639175572298)</f>
        <v>639175572298</v>
      </c>
      <c r="AB270" s="1">
        <f>IFERROR(__xludf.DUMMYFUNCTION("""COMPUTED_VALUE"""),639173313565)</f>
        <v>639173313565</v>
      </c>
      <c r="AC270" s="1">
        <f>IFERROR(__xludf.DUMMYFUNCTION("""COMPUTED_VALUE"""),32)</f>
        <v>32</v>
      </c>
      <c r="AD270" s="1" t="str">
        <f>IFERROR(__xludf.DUMMYFUNCTION("""COMPUTED_VALUE"""),"BURGOS")</f>
        <v>BURGOS</v>
      </c>
      <c r="AE270" s="1"/>
      <c r="AF270" s="1" t="str">
        <f>IFERROR(__xludf.DUMMYFUNCTION("""COMPUTED_VALUE"""),"BGY 1")</f>
        <v>BGY 1</v>
      </c>
      <c r="AG270" s="1" t="str">
        <f>IFERROR(__xludf.DUMMYFUNCTION("""COMPUTED_VALUE"""),"ALFONSO")</f>
        <v>ALFONSO</v>
      </c>
      <c r="AH270" s="1" t="str">
        <f>IFERROR(__xludf.DUMMYFUNCTION("""COMPUTED_VALUE"""),"HONGTANG O IGLESIA NI CRISTO")</f>
        <v>HONGTANG O IGLESIA NI CRISTO</v>
      </c>
      <c r="AI270" s="1" t="str">
        <f>IFERROR(__xludf.DUMMYFUNCTION("""COMPUTED_VALUE"""),"CLUSTER 12")</f>
        <v>CLUSTER 12</v>
      </c>
    </row>
    <row r="271" customHeight="1" spans="1:35">
      <c r="A271" s="3">
        <f>IFERROR(__xludf.DUMMYFUNCTION("""COMPUTED_VALUE"""),46258)</f>
        <v>46258</v>
      </c>
      <c r="B271" s="1" t="str">
        <f>IFERROR(__xludf.DUMMYFUNCTION("""COMPUTED_VALUE"""),"ELIZABETH MACHA TRINIDAD")</f>
        <v>ELIZABETH MACHA TRINIDAD</v>
      </c>
      <c r="C271" s="1">
        <f>IFERROR(__xludf.DUMMYFUNCTION("""COMPUTED_VALUE"""),2312047453)</f>
        <v>2312047453</v>
      </c>
      <c r="D271" s="1"/>
      <c r="E271" s="1"/>
      <c r="F271" s="1" t="str">
        <f>IFERROR(__xludf.DUMMYFUNCTION("""COMPUTED_VALUE"""),"CANCELLED")</f>
        <v>CANCELLED</v>
      </c>
      <c r="G271" s="1" t="str">
        <f>IFERROR(__xludf.DUMMYFUNCTION("""COMPUTED_VALUE"""),"CANNOT TAG DECISION (CANNOT CHANGE PAYMENT REQUIRED TO 1149) | RETURN TO SALES | FOUND BLACKLISTED ACCT NO 0219639708– SAME NAME, SAME POID, DIFF ADDRESS WITH OB AMOUNTING TO P5,635.74 FOR SETTLEMENT. DONE VALIDATION OF DOCS WITH CORRECT ENCODED INFO IN C"&amp;"SP | WITH 1 AMSF (BASED ON TU SCORE IN CSP): FF - 1 (NTC).")</f>
        <v>CANNOT TAG DECISION (CANNOT CHANGE PAYMENT REQUIRED TO 1149) | RETURN TO SALES | FOUND BLACKLISTED ACCT NO 0219639708– SAME NAME, SAME POID, DIFF ADDRESS WITH OB AMOUNTING TO P5,635.74 FOR SETTLEMENT. DONE VALIDATION OF DOCS WITH CORRECT ENCODED INFO IN CSP | WITH 1 AMSF (BASED ON TU SCORE IN CSP): FF - 1 (NTC).</v>
      </c>
      <c r="H271" s="1"/>
      <c r="I271" s="1"/>
      <c r="J271" s="1"/>
      <c r="K271" s="1"/>
      <c r="L271" s="1" t="str">
        <f>IFERROR(__xludf.DUMMYFUNCTION("""COMPUTED_VALUE"""),"CANCELLED - WITH OB")</f>
        <v>CANCELLED - WITH OB</v>
      </c>
      <c r="M271" s="1" t="str">
        <f>IFERROR(__xludf.DUMMYFUNCTION("""COMPUTED_VALUE"""),"CANCELLED - WITH OB")</f>
        <v>CANCELLED - WITH OB</v>
      </c>
      <c r="N271" s="3"/>
      <c r="O271" s="1" t="str">
        <f>IFERROR(__xludf.DUMMYFUNCTION("""COMPUTED_VALUE"""),"FIBR UNLI ALL PLAN 999")</f>
        <v>FIBR UNLI ALL PLAN 999</v>
      </c>
      <c r="P271" s="1" t="str">
        <f>IFERROR(__xludf.DUMMYFUNCTION("""COMPUTED_VALUE"""),"LOWPLAN")</f>
        <v>LOWPLAN</v>
      </c>
      <c r="Q271" s="1" t="str">
        <f>IFERROR(__xludf.DUMMYFUNCTION("""COMPUTED_VALUE"""),"P407050")</f>
        <v>P407050</v>
      </c>
      <c r="R271" s="1" t="str">
        <f>IFERROR(__xludf.DUMMYFUNCTION("""COMPUTED_VALUE"""),"TAMAYO, MARY ROSE ZAIRA")</f>
        <v>TAMAYO, MARY ROSE ZAIRA</v>
      </c>
      <c r="S271" s="1" t="str">
        <f>IFERROR(__xludf.DUMMYFUNCTION("""COMPUTED_VALUE"""),"ORGANIC")</f>
        <v>ORGANIC</v>
      </c>
      <c r="T271" s="1" t="str">
        <f>IFERROR(__xludf.DUMMYFUNCTION("""COMPUTED_VALUE"""),"LEA REMOLLO")</f>
        <v>LEA REMOLLO</v>
      </c>
      <c r="U271" s="1" t="str">
        <f>IFERROR(__xludf.DUMMYFUNCTION("""COMPUTED_VALUE"""),"JB SALIOA")</f>
        <v>JB SALIOA</v>
      </c>
      <c r="V271" s="1" t="str">
        <f>IFERROR(__xludf.DUMMYFUNCTION("""COMPUTED_VALUE"""),"BK REGULAR")</f>
        <v>BK REGULAR</v>
      </c>
      <c r="W271" s="1" t="str">
        <f>IFERROR(__xludf.DUMMYFUNCTION("""COMPUTED_VALUE"""),"STK REGULAR")</f>
        <v>STK REGULAR</v>
      </c>
      <c r="X271" s="1" t="str">
        <f>IFERROR(__xludf.DUMMYFUNCTION("""COMPUTED_VALUE"""),"REGULAR")</f>
        <v>REGULAR</v>
      </c>
      <c r="Y271" s="1" t="str">
        <f>IFERROR(__xludf.DUMMYFUNCTION("""COMPUTED_VALUE"""),"BK_CVEU_260810")</f>
        <v>BK_CVEU_260810</v>
      </c>
      <c r="Z271" s="1" t="str">
        <f>IFERROR(__xludf.DUMMYFUNCTION("""COMPUTED_VALUE"""),"NEW CONNECT")</f>
        <v>NEW CONNECT</v>
      </c>
      <c r="AA271" s="1">
        <f>IFERROR(__xludf.DUMMYFUNCTION("""COMPUTED_VALUE"""),639614238609)</f>
        <v>639614238609</v>
      </c>
      <c r="AB271" s="1"/>
      <c r="AC271" s="1">
        <f>IFERROR(__xludf.DUMMYFUNCTION("""COMPUTED_VALUE"""),1325)</f>
        <v>1325</v>
      </c>
      <c r="AD271" s="1" t="str">
        <f>IFERROR(__xludf.DUMMYFUNCTION("""COMPUTED_VALUE"""),"LANTIC")</f>
        <v>LANTIC</v>
      </c>
      <c r="AE271" s="1"/>
      <c r="AF271" s="1" t="str">
        <f>IFERROR(__xludf.DUMMYFUNCTION("""COMPUTED_VALUE"""),"BGY LANTIC")</f>
        <v>BGY LANTIC</v>
      </c>
      <c r="AG271" s="1" t="str">
        <f>IFERROR(__xludf.DUMMYFUNCTION("""COMPUTED_VALUE"""),"CARMONA")</f>
        <v>CARMONA</v>
      </c>
      <c r="AH271" s="1" t="str">
        <f>IFERROR(__xludf.DUMMYFUNCTION("""COMPUTED_VALUE"""),"BAHAY NI KAP")</f>
        <v>BAHAY NI KAP</v>
      </c>
      <c r="AI271" s="1" t="str">
        <f>IFERROR(__xludf.DUMMYFUNCTION("""COMPUTED_VALUE"""),"CLUSTER 11")</f>
        <v>CLUSTER 11</v>
      </c>
    </row>
    <row r="272" customHeight="1" spans="1:35">
      <c r="A272" s="3">
        <f>IFERROR(__xludf.DUMMYFUNCTION("""COMPUTED_VALUE"""),46258)</f>
        <v>46258</v>
      </c>
      <c r="B272" s="1" t="str">
        <f>IFERROR(__xludf.DUMMYFUNCTION("""COMPUTED_VALUE"""),"LORENZO ANGELES POSTRADO")</f>
        <v>LORENZO ANGELES POSTRADO</v>
      </c>
      <c r="C272" s="1">
        <f>IFERROR(__xludf.DUMMYFUNCTION("""COMPUTED_VALUE"""),2312048528)</f>
        <v>2312048528</v>
      </c>
      <c r="D272" s="1">
        <f>IFERROR(__xludf.DUMMYFUNCTION("""COMPUTED_VALUE"""),407254090)</f>
        <v>407254090</v>
      </c>
      <c r="E272" s="1">
        <f>IFERROR(__xludf.DUMMYFUNCTION("""COMPUTED_VALUE"""),467792427004)</f>
        <v>467792427004</v>
      </c>
      <c r="F272" s="1" t="str">
        <f>IFERROR(__xludf.DUMMYFUNCTION("""COMPUTED_VALUE"""),"CLOSED")</f>
        <v>CLOSED</v>
      </c>
      <c r="G272" s="1" t="str">
        <f>IFERROR(__xludf.DUMMYFUNCTION("""COMPUTED_VALUE"""),"CLOSED")</f>
        <v>CLOSED</v>
      </c>
      <c r="H272" s="1" t="str">
        <f>IFERROR(__xludf.DUMMYFUNCTION("""COMPUTED_VALUE"""),"PQGOR361889051	25-Aug-26	Regular Payment	CIS-GCASH 3.0	1,499.00	0	25-Aug-26")</f>
        <v>PQGOR361889051	25-Aug-26	Regular Payment	CIS-GCASH 3.0	1,499.00	0	25-Aug-26</v>
      </c>
      <c r="I272" s="1" t="str">
        <f>IFERROR(__xludf.DUMMYFUNCTION("""COMPUTED_VALUE"""),"WITH 1 AMSF")</f>
        <v>WITH 1 AMSF</v>
      </c>
      <c r="J272" s="1"/>
      <c r="K272" s="1" t="str">
        <f>IFERROR(__xludf.DUMMYFUNCTION("""COMPUTED_VALUE"""),"COMPLETED")</f>
        <v>COMPLETED</v>
      </c>
      <c r="L272" s="1" t="str">
        <f>IFERROR(__xludf.DUMMYFUNCTION("""COMPUTED_VALUE"""),"POSTED")</f>
        <v>POSTED</v>
      </c>
      <c r="M272" s="1" t="str">
        <f>IFERROR(__xludf.DUMMYFUNCTION("""COMPUTED_VALUE"""),"POSTED")</f>
        <v>POSTED</v>
      </c>
      <c r="N272" s="3">
        <f>IFERROR(__xludf.DUMMYFUNCTION("""COMPUTED_VALUE"""),46259)</f>
        <v>46259</v>
      </c>
      <c r="O272" s="1" t="str">
        <f>IFERROR(__xludf.DUMMYFUNCTION("""COMPUTED_VALUE"""),"FIBER UNLI ALL PLAN 1499")</f>
        <v>FIBER UNLI ALL PLAN 1499</v>
      </c>
      <c r="P272" s="1" t="str">
        <f>IFERROR(__xludf.DUMMYFUNCTION("""COMPUTED_VALUE"""),"LOWPLAN")</f>
        <v>LOWPLAN</v>
      </c>
      <c r="Q272" s="1" t="str">
        <f>IFERROR(__xludf.DUMMYFUNCTION("""COMPUTED_VALUE"""),"P407046")</f>
        <v>P407046</v>
      </c>
      <c r="R272" s="1" t="str">
        <f>IFERROR(__xludf.DUMMYFUNCTION("""COMPUTED_VALUE"""),"MALIWAT, MARK")</f>
        <v>MALIWAT, MARK</v>
      </c>
      <c r="S272" s="1" t="str">
        <f>IFERROR(__xludf.DUMMYFUNCTION("""COMPUTED_VALUE"""),"FLA")</f>
        <v>FLA</v>
      </c>
      <c r="T272" s="1" t="str">
        <f>IFERROR(__xludf.DUMMYFUNCTION("""COMPUTED_VALUE"""),"JERIC NAVARRO")</f>
        <v>JERIC NAVARRO</v>
      </c>
      <c r="U272" s="1" t="str">
        <f>IFERROR(__xludf.DUMMYFUNCTION("""COMPUTED_VALUE"""),"JB SALIOA")</f>
        <v>JB SALIOA</v>
      </c>
      <c r="V272" s="1" t="str">
        <f>IFERROR(__xludf.DUMMYFUNCTION("""COMPUTED_VALUE"""),"ONLINE/CRANFORD")</f>
        <v>ONLINE/CRANFORD</v>
      </c>
      <c r="W272" s="1" t="str">
        <f>IFERROR(__xludf.DUMMYFUNCTION("""COMPUTED_VALUE"""),"STK REGULAR")</f>
        <v>STK REGULAR</v>
      </c>
      <c r="X272" s="1" t="str">
        <f>IFERROR(__xludf.DUMMYFUNCTION("""COMPUTED_VALUE"""),"HBBS AUG 2026")</f>
        <v>HBBS AUG 2026</v>
      </c>
      <c r="Y272" s="1" t="str">
        <f>IFERROR(__xludf.DUMMYFUNCTION("""COMPUTED_VALUE"""),"RS_ONL_CVEU_2026")</f>
        <v>RS_ONL_CVEU_2026</v>
      </c>
      <c r="Z272" s="1" t="str">
        <f>IFERROR(__xludf.DUMMYFUNCTION("""COMPUTED_VALUE"""),"NEW CONNECT")</f>
        <v>NEW CONNECT</v>
      </c>
      <c r="AA272" s="1">
        <f>IFERROR(__xludf.DUMMYFUNCTION("""COMPUTED_VALUE"""),639759485254)</f>
        <v>639759485254</v>
      </c>
      <c r="AB272" s="1">
        <f>IFERROR(__xludf.DUMMYFUNCTION("""COMPUTED_VALUE"""),639947187528)</f>
        <v>639947187528</v>
      </c>
      <c r="AC272" s="1"/>
      <c r="AD272" s="1" t="str">
        <f>IFERROR(__xludf.DUMMYFUNCTION("""COMPUTED_VALUE"""),"STRAWBERRY HILLS EXT")</f>
        <v>STRAWBERRY HILLS EXT</v>
      </c>
      <c r="AE272" s="1" t="str">
        <f>IFERROR(__xludf.DUMMYFUNCTION("""COMPUTED_VALUE"""),"STRAWBERRY HILLS")</f>
        <v>STRAWBERRY HILLS</v>
      </c>
      <c r="AF272" s="1" t="str">
        <f>IFERROR(__xludf.DUMMYFUNCTION("""COMPUTED_VALUE"""),"BGY FRANCISCO REYES")</f>
        <v>BGY FRANCISCO REYES</v>
      </c>
      <c r="AG272" s="1" t="str">
        <f>IFERROR(__xludf.DUMMYFUNCTION("""COMPUTED_VALUE"""),"GEN MARIANO ALVAREZ")</f>
        <v>GEN MARIANO ALVAREZ</v>
      </c>
      <c r="AH272" s="1" t="str">
        <f>IFERROR(__xludf.DUMMYFUNCTION("""COMPUTED_VALUE"""),"CLIMACOSA PROPERTY")</f>
        <v>CLIMACOSA PROPERTY</v>
      </c>
      <c r="AI272" s="1" t="str">
        <f>IFERROR(__xludf.DUMMYFUNCTION("""COMPUTED_VALUE"""),"CLUSTER 11")</f>
        <v>CLUSTER 11</v>
      </c>
    </row>
    <row r="273" customHeight="1" spans="1:35">
      <c r="A273" s="3">
        <f>IFERROR(__xludf.DUMMYFUNCTION("""COMPUTED_VALUE"""),46258)</f>
        <v>46258</v>
      </c>
      <c r="B273" s="1" t="str">
        <f>IFERROR(__xludf.DUMMYFUNCTION("""COMPUTED_VALUE"""),"MARY JANE . OLAZO")</f>
        <v>MARY JANE . OLAZO</v>
      </c>
      <c r="C273" s="1">
        <f>IFERROR(__xludf.DUMMYFUNCTION("""COMPUTED_VALUE"""),2312049638)</f>
        <v>2312049638</v>
      </c>
      <c r="D273" s="1">
        <f>IFERROR(__xludf.DUMMYFUNCTION("""COMPUTED_VALUE"""),407269829)</f>
        <v>407269829</v>
      </c>
      <c r="E273" s="1">
        <f>IFERROR(__xludf.DUMMYFUNCTION("""COMPUTED_VALUE"""),467851826004)</f>
        <v>467851826004</v>
      </c>
      <c r="F273" s="1" t="str">
        <f>IFERROR(__xludf.DUMMYFUNCTION("""COMPUTED_VALUE"""),"PAID")</f>
        <v>PAID</v>
      </c>
      <c r="G273" s="1" t="str">
        <f>IFERROR(__xludf.DUMMYFUNCTION("""COMPUTED_VALUE"""),"PAID")</f>
        <v>PAID</v>
      </c>
      <c r="H273" s="1"/>
      <c r="I273" s="1" t="str">
        <f>IFERROR(__xludf.DUMMYFUNCTION("""COMPUTED_VALUE"""),"NO 1 AMSF")</f>
        <v>NO 1 AMSF</v>
      </c>
      <c r="J273" s="1" t="str">
        <f>IFERROR(__xludf.DUMMYFUNCTION("""COMPUTED_VALUE"""),"NO PAYMENT")</f>
        <v>NO PAYMENT</v>
      </c>
      <c r="K273" s="1" t="str">
        <f>IFERROR(__xludf.DUMMYFUNCTION("""COMPUTED_VALUE"""),"NOT IN OFSC")</f>
        <v>NOT IN OFSC</v>
      </c>
      <c r="L273" s="1" t="str">
        <f>IFERROR(__xludf.DUMMYFUNCTION("""COMPUTED_VALUE"""),"PAID")</f>
        <v>PAID</v>
      </c>
      <c r="M273" s="1" t="str">
        <f>IFERROR(__xludf.DUMMYFUNCTION("""COMPUTED_VALUE"""),"PAID - FOR INSTALLATION")</f>
        <v>PAID - FOR INSTALLATION</v>
      </c>
      <c r="N273" s="3"/>
      <c r="O273" s="1" t="str">
        <f>IFERROR(__xludf.DUMMYFUNCTION("""COMPUTED_VALUE"""),"FIBR PLAN 1299")</f>
        <v>FIBR PLAN 1299</v>
      </c>
      <c r="P273" s="1" t="str">
        <f>IFERROR(__xludf.DUMMYFUNCTION("""COMPUTED_VALUE"""),"LOWPLAN")</f>
        <v>LOWPLAN</v>
      </c>
      <c r="Q273" s="1" t="str">
        <f>IFERROR(__xludf.DUMMYFUNCTION("""COMPUTED_VALUE"""),"P407050")</f>
        <v>P407050</v>
      </c>
      <c r="R273" s="1" t="str">
        <f>IFERROR(__xludf.DUMMYFUNCTION("""COMPUTED_VALUE"""),"MANDUCDOC, MARIANE")</f>
        <v>MANDUCDOC, MARIANE</v>
      </c>
      <c r="S273" s="1" t="str">
        <f>IFERROR(__xludf.DUMMYFUNCTION("""COMPUTED_VALUE"""),"ORGANIC")</f>
        <v>ORGANIC</v>
      </c>
      <c r="T273" s="1" t="str">
        <f>IFERROR(__xludf.DUMMYFUNCTION("""COMPUTED_VALUE"""),"LEA REMOLLO")</f>
        <v>LEA REMOLLO</v>
      </c>
      <c r="U273" s="1" t="str">
        <f>IFERROR(__xludf.DUMMYFUNCTION("""COMPUTED_VALUE"""),"JB SALIOA")</f>
        <v>JB SALIOA</v>
      </c>
      <c r="V273" s="1" t="str">
        <f>IFERROR(__xludf.DUMMYFUNCTION("""COMPUTED_VALUE"""),"BK HSTK")</f>
        <v>BK HSTK</v>
      </c>
      <c r="W273" s="1" t="str">
        <f>IFERROR(__xludf.DUMMYFUNCTION("""COMPUTED_VALUE"""),"BK HSTK")</f>
        <v>BK HSTK</v>
      </c>
      <c r="X273" s="1" t="str">
        <f>IFERROR(__xludf.DUMMYFUNCTION("""COMPUTED_VALUE"""),"REGULAR")</f>
        <v>REGULAR</v>
      </c>
      <c r="Y273" s="1" t="str">
        <f>IFERROR(__xludf.DUMMYFUNCTION("""COMPUTED_VALUE"""),"BK_CVEU_260810")</f>
        <v>BK_CVEU_260810</v>
      </c>
      <c r="Z273" s="1" t="str">
        <f>IFERROR(__xludf.DUMMYFUNCTION("""COMPUTED_VALUE"""),"NEW CONNECT")</f>
        <v>NEW CONNECT</v>
      </c>
      <c r="AA273" s="1">
        <f>IFERROR(__xludf.DUMMYFUNCTION("""COMPUTED_VALUE"""),639859867880)</f>
        <v>639859867880</v>
      </c>
      <c r="AB273" s="1">
        <f>IFERROR(__xludf.DUMMYFUNCTION("""COMPUTED_VALUE"""),639671379957)</f>
        <v>639671379957</v>
      </c>
      <c r="AC273" s="1">
        <f>IFERROR(__xludf.DUMMYFUNCTION("""COMPUTED_VALUE"""),10269)</f>
        <v>10269</v>
      </c>
      <c r="AD273" s="1" t="str">
        <f>IFERROR(__xludf.DUMMYFUNCTION("""COMPUTED_VALUE"""),"SAN ANTONIO")</f>
        <v>SAN ANTONIO</v>
      </c>
      <c r="AE273" s="1"/>
      <c r="AF273" s="1" t="str">
        <f>IFERROR(__xludf.DUMMYFUNCTION("""COMPUTED_VALUE"""),"BGY CABILANG BAYBAY")</f>
        <v>BGY CABILANG BAYBAY</v>
      </c>
      <c r="AG273" s="1" t="str">
        <f>IFERROR(__xludf.DUMMYFUNCTION("""COMPUTED_VALUE"""),"CARMONA")</f>
        <v>CARMONA</v>
      </c>
      <c r="AH273" s="1" t="str">
        <f>IFERROR(__xludf.DUMMYFUNCTION("""COMPUTED_VALUE"""),"BRGY HALL")</f>
        <v>BRGY HALL</v>
      </c>
      <c r="AI273" s="1" t="str">
        <f>IFERROR(__xludf.DUMMYFUNCTION("""COMPUTED_VALUE"""),"CLUSTER 11")</f>
        <v>CLUSTER 11</v>
      </c>
    </row>
    <row r="274" customHeight="1" spans="1:35">
      <c r="A274" s="3">
        <f>IFERROR(__xludf.DUMMYFUNCTION("""COMPUTED_VALUE"""),46258)</f>
        <v>46258</v>
      </c>
      <c r="B274" s="1" t="str">
        <f>IFERROR(__xludf.DUMMYFUNCTION("""COMPUTED_VALUE"""),"MARY CRIS ESPERA GOLEZ")</f>
        <v>MARY CRIS ESPERA GOLEZ</v>
      </c>
      <c r="C274" s="1">
        <f>IFERROR(__xludf.DUMMYFUNCTION("""COMPUTED_VALUE"""),2312050144)</f>
        <v>2312050144</v>
      </c>
      <c r="D274" s="1">
        <f>IFERROR(__xludf.DUMMYFUNCTION("""COMPUTED_VALUE"""),407258878)</f>
        <v>407258878</v>
      </c>
      <c r="E274" s="1">
        <f>IFERROR(__xludf.DUMMYFUNCTION("""COMPUTED_VALUE"""),467794108004)</f>
        <v>467794108004</v>
      </c>
      <c r="F274" s="1" t="str">
        <f>IFERROR(__xludf.DUMMYFUNCTION("""COMPUTED_VALUE"""),"CLOSED")</f>
        <v>CLOSED</v>
      </c>
      <c r="G274" s="1" t="str">
        <f>IFERROR(__xludf.DUMMYFUNCTION("""COMPUTED_VALUE"""),"CLOSED")</f>
        <v>CLOSED</v>
      </c>
      <c r="H274" s="1" t="str">
        <f>IFERROR(__xludf.DUMMYFUNCTION("""COMPUTED_VALUE"""),"PQGOR364241696	16-Sep-26	Regular Payment	CIS-GCASH 3.0	1,000.00	0	16-Sep-26")</f>
        <v>PQGOR364241696	16-Sep-26	Regular Payment	CIS-GCASH 3.0	1,000.00	0	16-Sep-26</v>
      </c>
      <c r="I274" s="1" t="str">
        <f>IFERROR(__xludf.DUMMYFUNCTION("""COMPUTED_VALUE"""),"WITH 1 AMSF")</f>
        <v>WITH 1 AMSF</v>
      </c>
      <c r="J274" s="1"/>
      <c r="K274" s="1" t="str">
        <f>IFERROR(__xludf.DUMMYFUNCTION("""COMPUTED_VALUE"""),"COMPLETED")</f>
        <v>COMPLETED</v>
      </c>
      <c r="L274" s="1" t="str">
        <f>IFERROR(__xludf.DUMMYFUNCTION("""COMPUTED_VALUE"""),"POSTED")</f>
        <v>POSTED</v>
      </c>
      <c r="M274" s="1" t="str">
        <f>IFERROR(__xludf.DUMMYFUNCTION("""COMPUTED_VALUE"""),"POSTED")</f>
        <v>POSTED</v>
      </c>
      <c r="N274" s="3">
        <f>IFERROR(__xludf.DUMMYFUNCTION("""COMPUTED_VALUE"""),46267)</f>
        <v>46267</v>
      </c>
      <c r="O274" s="1" t="str">
        <f>IFERROR(__xludf.DUMMYFUNCTION("""COMPUTED_VALUE"""),"FIBR PLAN 1299")</f>
        <v>FIBR PLAN 1299</v>
      </c>
      <c r="P274" s="1" t="str">
        <f>IFERROR(__xludf.DUMMYFUNCTION("""COMPUTED_VALUE"""),"LOWPLAN")</f>
        <v>LOWPLAN</v>
      </c>
      <c r="Q274" s="1" t="str">
        <f>IFERROR(__xludf.DUMMYFUNCTION("""COMPUTED_VALUE"""),"P407050")</f>
        <v>P407050</v>
      </c>
      <c r="R274" s="1" t="str">
        <f>IFERROR(__xludf.DUMMYFUNCTION("""COMPUTED_VALUE"""),"CADERAO, RONALD")</f>
        <v>CADERAO, RONALD</v>
      </c>
      <c r="S274" s="1" t="str">
        <f>IFERROR(__xludf.DUMMYFUNCTION("""COMPUTED_VALUE"""),"ORGANIC")</f>
        <v>ORGANIC</v>
      </c>
      <c r="T274" s="1" t="str">
        <f>IFERROR(__xludf.DUMMYFUNCTION("""COMPUTED_VALUE"""),"LEA REMOLLO")</f>
        <v>LEA REMOLLO</v>
      </c>
      <c r="U274" s="1" t="str">
        <f>IFERROR(__xludf.DUMMYFUNCTION("""COMPUTED_VALUE"""),"JB SALIOA")</f>
        <v>JB SALIOA</v>
      </c>
      <c r="V274" s="1" t="str">
        <f>IFERROR(__xludf.DUMMYFUNCTION("""COMPUTED_VALUE"""),"BK HSTK")</f>
        <v>BK HSTK</v>
      </c>
      <c r="W274" s="1" t="str">
        <f>IFERROR(__xludf.DUMMYFUNCTION("""COMPUTED_VALUE"""),"BK HSTK")</f>
        <v>BK HSTK</v>
      </c>
      <c r="X274" s="1" t="str">
        <f>IFERROR(__xludf.DUMMYFUNCTION("""COMPUTED_VALUE"""),"REGULAR")</f>
        <v>REGULAR</v>
      </c>
      <c r="Y274" s="1" t="str">
        <f>IFERROR(__xludf.DUMMYFUNCTION("""COMPUTED_VALUE"""),"BK_CVEU_260813")</f>
        <v>BK_CVEU_260813</v>
      </c>
      <c r="Z274" s="1" t="str">
        <f>IFERROR(__xludf.DUMMYFUNCTION("""COMPUTED_VALUE"""),"NEW CONNECT")</f>
        <v>NEW CONNECT</v>
      </c>
      <c r="AA274" s="1">
        <f>IFERROR(__xludf.DUMMYFUNCTION("""COMPUTED_VALUE"""),639859979349)</f>
        <v>639859979349</v>
      </c>
      <c r="AB274" s="1">
        <f>IFERROR(__xludf.DUMMYFUNCTION("""COMPUTED_VALUE"""),639455237126)</f>
        <v>639455237126</v>
      </c>
      <c r="AC274" s="1">
        <f>IFERROR(__xludf.DUMMYFUNCTION("""COMPUTED_VALUE"""),54)</f>
        <v>54</v>
      </c>
      <c r="AD274" s="1" t="str">
        <f>IFERROR(__xludf.DUMMYFUNCTION("""COMPUTED_VALUE"""),"BULIHAN")</f>
        <v>BULIHAN</v>
      </c>
      <c r="AE274" s="1"/>
      <c r="AF274" s="1" t="str">
        <f>IFERROR(__xludf.DUMMYFUNCTION("""COMPUTED_VALUE"""),"BGY BULIHAN")</f>
        <v>BGY BULIHAN</v>
      </c>
      <c r="AG274" s="1" t="str">
        <f>IFERROR(__xludf.DUMMYFUNCTION("""COMPUTED_VALUE"""),"SILANG")</f>
        <v>SILANG</v>
      </c>
      <c r="AH274" s="1" t="str">
        <f>IFERROR(__xludf.DUMMYFUNCTION("""COMPUTED_VALUE"""),"ESPANOLA MACHINE SHOP")</f>
        <v>ESPANOLA MACHINE SHOP</v>
      </c>
      <c r="AI274" s="1" t="str">
        <f>IFERROR(__xludf.DUMMYFUNCTION("""COMPUTED_VALUE"""),"CLUSTER 11")</f>
        <v>CLUSTER 11</v>
      </c>
    </row>
    <row r="275" customHeight="1" spans="1:35">
      <c r="A275" s="3">
        <f>IFERROR(__xludf.DUMMYFUNCTION("""COMPUTED_VALUE"""),46258)</f>
        <v>46258</v>
      </c>
      <c r="B275" s="1" t="str">
        <f>IFERROR(__xludf.DUMMYFUNCTION("""COMPUTED_VALUE"""),"HELBERT BORDEOS FLORES")</f>
        <v>HELBERT BORDEOS FLORES</v>
      </c>
      <c r="C275" s="1">
        <f>IFERROR(__xludf.DUMMYFUNCTION("""COMPUTED_VALUE"""),2312050572)</f>
        <v>2312050572</v>
      </c>
      <c r="D275" s="1">
        <f>IFERROR(__xludf.DUMMYFUNCTION("""COMPUTED_VALUE"""),407264134)</f>
        <v>407264134</v>
      </c>
      <c r="E275" s="1">
        <f>IFERROR(__xludf.DUMMYFUNCTION("""COMPUTED_VALUE"""),467795535004)</f>
        <v>467795535004</v>
      </c>
      <c r="F275" s="1" t="str">
        <f>IFERROR(__xludf.DUMMYFUNCTION("""COMPUTED_VALUE"""),"CLOSED")</f>
        <v>CLOSED</v>
      </c>
      <c r="G275" s="1" t="str">
        <f>IFERROR(__xludf.DUMMYFUNCTION("""COMPUTED_VALUE"""),"CLOSED")</f>
        <v>CLOSED</v>
      </c>
      <c r="H275" s="1" t="str">
        <f>IFERROR(__xludf.DUMMYFUNCTION("""COMPUTED_VALUE"""),"PAID VIA GCASH REF 662297146 AUGUST 25")</f>
        <v>PAID VIA GCASH REF 662297146 AUGUST 25</v>
      </c>
      <c r="I275" s="1" t="str">
        <f>IFERROR(__xludf.DUMMYFUNCTION("""COMPUTED_VALUE"""),"WITH 1 AMSF")</f>
        <v>WITH 1 AMSF</v>
      </c>
      <c r="J275" s="1"/>
      <c r="K275" s="1" t="str">
        <f>IFERROR(__xludf.DUMMYFUNCTION("""COMPUTED_VALUE"""),"COMPLETED")</f>
        <v>COMPLETED</v>
      </c>
      <c r="L275" s="1" t="str">
        <f>IFERROR(__xludf.DUMMYFUNCTION("""COMPUTED_VALUE"""),"POSTED")</f>
        <v>POSTED</v>
      </c>
      <c r="M275" s="1" t="str">
        <f>IFERROR(__xludf.DUMMYFUNCTION("""COMPUTED_VALUE"""),"POSTED")</f>
        <v>POSTED</v>
      </c>
      <c r="N275" s="3">
        <f>IFERROR(__xludf.DUMMYFUNCTION("""COMPUTED_VALUE"""),46259)</f>
        <v>46259</v>
      </c>
      <c r="O275" s="1" t="str">
        <f>IFERROR(__xludf.DUMMYFUNCTION("""COMPUTED_VALUE"""),"FIBR NETFLIX PLAN 1599")</f>
        <v>FIBR NETFLIX PLAN 1599</v>
      </c>
      <c r="P275" s="1" t="str">
        <f>IFERROR(__xludf.DUMMYFUNCTION("""COMPUTED_VALUE"""),"LOWPLAN")</f>
        <v>LOWPLAN</v>
      </c>
      <c r="Q275" s="1" t="str">
        <f>IFERROR(__xludf.DUMMYFUNCTION("""COMPUTED_VALUE"""),"P407050")</f>
        <v>P407050</v>
      </c>
      <c r="R275" s="1" t="str">
        <f>IFERROR(__xludf.DUMMYFUNCTION("""COMPUTED_VALUE"""),"ALOS, CHARLS LAURENZ")</f>
        <v>ALOS, CHARLS LAURENZ</v>
      </c>
      <c r="S275" s="1" t="str">
        <f>IFERROR(__xludf.DUMMYFUNCTION("""COMPUTED_VALUE"""),"ORGANIC")</f>
        <v>ORGANIC</v>
      </c>
      <c r="T275" s="1" t="str">
        <f>IFERROR(__xludf.DUMMYFUNCTION("""COMPUTED_VALUE"""),"LEA REMOLLO")</f>
        <v>LEA REMOLLO</v>
      </c>
      <c r="U275" s="1" t="str">
        <f>IFERROR(__xludf.DUMMYFUNCTION("""COMPUTED_VALUE"""),"JB SALIOA")</f>
        <v>JB SALIOA</v>
      </c>
      <c r="V275" s="1" t="str">
        <f>IFERROR(__xludf.DUMMYFUNCTION("""COMPUTED_VALUE"""),"ONLINE/CRANFORD")</f>
        <v>ONLINE/CRANFORD</v>
      </c>
      <c r="W275" s="1" t="str">
        <f>IFERROR(__xludf.DUMMYFUNCTION("""COMPUTED_VALUE"""),"STK REGULAR")</f>
        <v>STK REGULAR</v>
      </c>
      <c r="X275" s="1" t="str">
        <f>IFERROR(__xludf.DUMMYFUNCTION("""COMPUTED_VALUE"""),"REGULAR")</f>
        <v>REGULAR</v>
      </c>
      <c r="Y275" s="1" t="str">
        <f>IFERROR(__xludf.DUMMYFUNCTION("""COMPUTED_VALUE"""),"RS_ONL_CVEU_2026")</f>
        <v>RS_ONL_CVEU_2026</v>
      </c>
      <c r="Z275" s="1" t="str">
        <f>IFERROR(__xludf.DUMMYFUNCTION("""COMPUTED_VALUE"""),"NEW CONNECT")</f>
        <v>NEW CONNECT</v>
      </c>
      <c r="AA275" s="1">
        <f>IFERROR(__xludf.DUMMYFUNCTION("""COMPUTED_VALUE"""),639943166151)</f>
        <v>639943166151</v>
      </c>
      <c r="AB275" s="1">
        <f>IFERROR(__xludf.DUMMYFUNCTION("""COMPUTED_VALUE"""),639169987836)</f>
        <v>639169987836</v>
      </c>
      <c r="AC275" s="1">
        <f>IFERROR(__xludf.DUMMYFUNCTION("""COMPUTED_VALUE"""),9086)</f>
        <v>9086</v>
      </c>
      <c r="AD275" s="1" t="str">
        <f>IFERROR(__xludf.DUMMYFUNCTION("""COMPUTED_VALUE"""),"SAN PEDRO")</f>
        <v>SAN PEDRO</v>
      </c>
      <c r="AE275" s="1"/>
      <c r="AF275" s="1" t="str">
        <f>IFERROR(__xludf.DUMMYFUNCTION("""COMPUTED_VALUE"""),"BGY MIGUEL MOJICA")</f>
        <v>BGY MIGUEL MOJICA</v>
      </c>
      <c r="AG275" s="1" t="str">
        <f>IFERROR(__xludf.DUMMYFUNCTION("""COMPUTED_VALUE"""),"MENDEZ")</f>
        <v>MENDEZ</v>
      </c>
      <c r="AH275" s="1" t="str">
        <f>IFERROR(__xludf.DUMMYFUNCTION("""COMPUTED_VALUE"""),"SAN PEDRO RD")</f>
        <v>SAN PEDRO RD</v>
      </c>
      <c r="AI275" s="1" t="str">
        <f>IFERROR(__xludf.DUMMYFUNCTION("""COMPUTED_VALUE"""),"CLUSTER 12")</f>
        <v>CLUSTER 12</v>
      </c>
    </row>
    <row r="276" customHeight="1" spans="1:35">
      <c r="A276" s="3">
        <f>IFERROR(__xludf.DUMMYFUNCTION("""COMPUTED_VALUE"""),46258)</f>
        <v>46258</v>
      </c>
      <c r="B276" s="1" t="str">
        <f>IFERROR(__xludf.DUMMYFUNCTION("""COMPUTED_VALUE"""),"TERESITA ROSALES GARCIA")</f>
        <v>TERESITA ROSALES GARCIA</v>
      </c>
      <c r="C276" s="1">
        <f>IFERROR(__xludf.DUMMYFUNCTION("""COMPUTED_VALUE"""),2312051038)</f>
        <v>2312051038</v>
      </c>
      <c r="D276" s="1"/>
      <c r="E276" s="1"/>
      <c r="F276" s="1" t="str">
        <f>IFERROR(__xludf.DUMMYFUNCTION("""COMPUTED_VALUE"""),"REENCODED")</f>
        <v>REENCODED</v>
      </c>
      <c r="G276" s="1" t="str">
        <f>IFERROR(__xludf.DUMMYFUNCTION("""COMPUTED_VALUE"""),"REENCODED")</f>
        <v>REENCODED</v>
      </c>
      <c r="H276" s="1"/>
      <c r="I276" s="1"/>
      <c r="J276" s="1"/>
      <c r="K276" s="1"/>
      <c r="L276" s="1" t="str">
        <f>IFERROR(__xludf.DUMMYFUNCTION("""COMPUTED_VALUE"""),"REENCODED")</f>
        <v>REENCODED</v>
      </c>
      <c r="M276" s="1" t="str">
        <f>IFERROR(__xludf.DUMMYFUNCTION("""COMPUTED_VALUE"""),"REENCODED")</f>
        <v>REENCODED</v>
      </c>
      <c r="N276" s="3"/>
      <c r="O276" s="1" t="str">
        <f>IFERROR(__xludf.DUMMYFUNCTION("""COMPUTED_VALUE"""),"FIBR UNLI ALL PLAN 999")</f>
        <v>FIBR UNLI ALL PLAN 999</v>
      </c>
      <c r="P276" s="1" t="str">
        <f>IFERROR(__xludf.DUMMYFUNCTION("""COMPUTED_VALUE"""),"LOWPLAN")</f>
        <v>LOWPLAN</v>
      </c>
      <c r="Q276" s="1" t="str">
        <f>IFERROR(__xludf.DUMMYFUNCTION("""COMPUTED_VALUE"""),"P407050")</f>
        <v>P407050</v>
      </c>
      <c r="R276" s="1" t="str">
        <f>IFERROR(__xludf.DUMMYFUNCTION("""COMPUTED_VALUE"""),"RIVERA, AIRIZH JOY")</f>
        <v>RIVERA, AIRIZH JOY</v>
      </c>
      <c r="S276" s="1" t="str">
        <f>IFERROR(__xludf.DUMMYFUNCTION("""COMPUTED_VALUE"""),"ORGANIC")</f>
        <v>ORGANIC</v>
      </c>
      <c r="T276" s="1" t="str">
        <f>IFERROR(__xludf.DUMMYFUNCTION("""COMPUTED_VALUE"""),"LEA REMOLLO")</f>
        <v>LEA REMOLLO</v>
      </c>
      <c r="U276" s="1" t="str">
        <f>IFERROR(__xludf.DUMMYFUNCTION("""COMPUTED_VALUE"""),"JB SALIOA")</f>
        <v>JB SALIOA</v>
      </c>
      <c r="V276" s="1" t="str">
        <f>IFERROR(__xludf.DUMMYFUNCTION("""COMPUTED_VALUE"""),"ONLINE/CRANFORD")</f>
        <v>ONLINE/CRANFORD</v>
      </c>
      <c r="W276" s="1" t="str">
        <f>IFERROR(__xludf.DUMMYFUNCTION("""COMPUTED_VALUE"""),"STK REGULAR")</f>
        <v>STK REGULAR</v>
      </c>
      <c r="X276" s="1" t="str">
        <f>IFERROR(__xludf.DUMMYFUNCTION("""COMPUTED_VALUE"""),"REGULAR")</f>
        <v>REGULAR</v>
      </c>
      <c r="Y276" s="1" t="str">
        <f>IFERROR(__xludf.DUMMYFUNCTION("""COMPUTED_VALUE"""),"RS_ONL_CVEU_2026")</f>
        <v>RS_ONL_CVEU_2026</v>
      </c>
      <c r="Z276" s="1" t="str">
        <f>IFERROR(__xludf.DUMMYFUNCTION("""COMPUTED_VALUE"""),"NEW CONNECT")</f>
        <v>NEW CONNECT</v>
      </c>
      <c r="AA276" s="1">
        <f>IFERROR(__xludf.DUMMYFUNCTION("""COMPUTED_VALUE"""),639560338841)</f>
        <v>639560338841</v>
      </c>
      <c r="AB276" s="1">
        <f>IFERROR(__xludf.DUMMYFUNCTION("""COMPUTED_VALUE"""),639095894430)</f>
        <v>639095894430</v>
      </c>
      <c r="AC276" s="1">
        <f>IFERROR(__xludf.DUMMYFUNCTION("""COMPUTED_VALUE"""),4)</f>
        <v>4</v>
      </c>
      <c r="AD276" s="1" t="str">
        <f>IFERROR(__xludf.DUMMYFUNCTION("""COMPUTED_VALUE"""),"PINAGLINTIKAN")</f>
        <v>PINAGLINTIKAN</v>
      </c>
      <c r="AE276" s="1" t="str">
        <f>IFERROR(__xludf.DUMMYFUNCTION("""COMPUTED_VALUE"""),"PASONG MATANDA")</f>
        <v>PASONG MATANDA</v>
      </c>
      <c r="AF276" s="1" t="str">
        <f>IFERROR(__xludf.DUMMYFUNCTION("""COMPUTED_VALUE"""),"BGY 5")</f>
        <v>BGY 5</v>
      </c>
      <c r="AG276" s="1" t="str">
        <f>IFERROR(__xludf.DUMMYFUNCTION("""COMPUTED_VALUE"""),"AMADEO")</f>
        <v>AMADEO</v>
      </c>
      <c r="AH276" s="1" t="str">
        <f>IFERROR(__xludf.DUMMYFUNCTION("""COMPUTED_VALUE"""),"PHAROAH FARM")</f>
        <v>PHAROAH FARM</v>
      </c>
      <c r="AI276" s="1" t="str">
        <f>IFERROR(__xludf.DUMMYFUNCTION("""COMPUTED_VALUE"""),"CLUSTER 12")</f>
        <v>CLUSTER 12</v>
      </c>
    </row>
    <row r="277" customHeight="1" spans="1:35">
      <c r="A277" s="3">
        <f>IFERROR(__xludf.DUMMYFUNCTION("""COMPUTED_VALUE"""),46259)</f>
        <v>46259</v>
      </c>
      <c r="B277" s="1" t="str">
        <f>IFERROR(__xludf.DUMMYFUNCTION("""COMPUTED_VALUE"""),"MARICAR CABRERA PANGANIBAN")</f>
        <v>MARICAR CABRERA PANGANIBAN</v>
      </c>
      <c r="C277" s="1">
        <f>IFERROR(__xludf.DUMMYFUNCTION("""COMPUTED_VALUE"""),2312068447)</f>
        <v>2312068447</v>
      </c>
      <c r="D277" s="1">
        <f>IFERROR(__xludf.DUMMYFUNCTION("""COMPUTED_VALUE"""),407275160)</f>
        <v>407275160</v>
      </c>
      <c r="E277" s="1">
        <f>IFERROR(__xludf.DUMMYFUNCTION("""COMPUTED_VALUE"""),467893967004)</f>
        <v>467893967004</v>
      </c>
      <c r="F277" s="1" t="str">
        <f>IFERROR(__xludf.DUMMYFUNCTION("""COMPUTED_VALUE"""),"CANCELLED")</f>
        <v>CANCELLED</v>
      </c>
      <c r="G277" s="1" t="str">
        <f>IFERROR(__xludf.DUMMYFUNCTION("""COMPUTED_VALUE"""),"AUTO - AGING")</f>
        <v>AUTO - AGING</v>
      </c>
      <c r="H277" s="1" t="str">
        <f>IFERROR(__xludf.DUMMYFUNCTION("""COMPUTED_VALUE"""),"1ST CBR RINGING ONLY 9:48 08/29 2ND CBR RINGING ONLY 09:49 08/29")</f>
        <v>1ST CBR RINGING ONLY 9:48 08/29 2ND CBR RINGING ONLY 09:49 08/29</v>
      </c>
      <c r="I277" s="1"/>
      <c r="J277" s="1"/>
      <c r="K277" s="1" t="str">
        <f>IFERROR(__xludf.DUMMYFUNCTION("""COMPUTED_VALUE"""),"NOT IN OFSC")</f>
        <v>NOT IN OFSC</v>
      </c>
      <c r="L277" s="1" t="str">
        <f>IFERROR(__xludf.DUMMYFUNCTION("""COMPUTED_VALUE"""),"CANCELLED - AGING")</f>
        <v>CANCELLED - AGING</v>
      </c>
      <c r="M277" s="1" t="str">
        <f>IFERROR(__xludf.DUMMYFUNCTION("""COMPUTED_VALUE"""),"CANCELLED - AGING")</f>
        <v>CANCELLED - AGING</v>
      </c>
      <c r="N277" s="3"/>
      <c r="O277" s="1" t="str">
        <f>IFERROR(__xludf.DUMMYFUNCTION("""COMPUTED_VALUE"""),"FIBR UNLI ALL PLAN 999")</f>
        <v>FIBR UNLI ALL PLAN 999</v>
      </c>
      <c r="P277" s="1" t="str">
        <f>IFERROR(__xludf.DUMMYFUNCTION("""COMPUTED_VALUE"""),"LOWPLAN")</f>
        <v>LOWPLAN</v>
      </c>
      <c r="Q277" s="1" t="str">
        <f>IFERROR(__xludf.DUMMYFUNCTION("""COMPUTED_VALUE"""),"P407050")</f>
        <v>P407050</v>
      </c>
      <c r="R277" s="1" t="str">
        <f>IFERROR(__xludf.DUMMYFUNCTION("""COMPUTED_VALUE"""),"ALINGARO, CINDY")</f>
        <v>ALINGARO, CINDY</v>
      </c>
      <c r="S277" s="1" t="str">
        <f>IFERROR(__xludf.DUMMYFUNCTION("""COMPUTED_VALUE"""),"ORGANIC")</f>
        <v>ORGANIC</v>
      </c>
      <c r="T277" s="1" t="str">
        <f>IFERROR(__xludf.DUMMYFUNCTION("""COMPUTED_VALUE"""),"LEA REMOLLO")</f>
        <v>LEA REMOLLO</v>
      </c>
      <c r="U277" s="1" t="str">
        <f>IFERROR(__xludf.DUMMYFUNCTION("""COMPUTED_VALUE"""),"JB SALIOA")</f>
        <v>JB SALIOA</v>
      </c>
      <c r="V277" s="1" t="str">
        <f>IFERROR(__xludf.DUMMYFUNCTION("""COMPUTED_VALUE"""),"BK HSTK")</f>
        <v>BK HSTK</v>
      </c>
      <c r="W277" s="1" t="str">
        <f>IFERROR(__xludf.DUMMYFUNCTION("""COMPUTED_VALUE"""),"BK HSTK")</f>
        <v>BK HSTK</v>
      </c>
      <c r="X277" s="1" t="str">
        <f>IFERROR(__xludf.DUMMYFUNCTION("""COMPUTED_VALUE"""),"REGULAR")</f>
        <v>REGULAR</v>
      </c>
      <c r="Y277" s="1" t="str">
        <f>IFERROR(__xludf.DUMMYFUNCTION("""COMPUTED_VALUE"""),"BK_CVEU_260813")</f>
        <v>BK_CVEU_260813</v>
      </c>
      <c r="Z277" s="1" t="str">
        <f>IFERROR(__xludf.DUMMYFUNCTION("""COMPUTED_VALUE"""),"NEW CONNECT")</f>
        <v>NEW CONNECT</v>
      </c>
      <c r="AA277" s="1">
        <f>IFERROR(__xludf.DUMMYFUNCTION("""COMPUTED_VALUE"""),639667066394)</f>
        <v>639667066394</v>
      </c>
      <c r="AB277" s="1">
        <f>IFERROR(__xludf.DUMMYFUNCTION("""COMPUTED_VALUE"""),639953249510)</f>
        <v>639953249510</v>
      </c>
      <c r="AC277" s="1">
        <f>IFERROR(__xludf.DUMMYFUNCTION("""COMPUTED_VALUE"""),225)</f>
        <v>225</v>
      </c>
      <c r="AD277" s="1" t="str">
        <f>IFERROR(__xludf.DUMMYFUNCTION("""COMPUTED_VALUE"""),"HALFWAY")</f>
        <v>HALFWAY</v>
      </c>
      <c r="AE277" s="1"/>
      <c r="AF277" s="1" t="str">
        <f>IFERROR(__xludf.DUMMYFUNCTION("""COMPUTED_VALUE"""),"BGY MUNTING ILOG")</f>
        <v>BGY MUNTING ILOG</v>
      </c>
      <c r="AG277" s="1" t="str">
        <f>IFERROR(__xludf.DUMMYFUNCTION("""COMPUTED_VALUE"""),"SILANG")</f>
        <v>SILANG</v>
      </c>
      <c r="AH277" s="1" t="str">
        <f>IFERROR(__xludf.DUMMYFUNCTION("""COMPUTED_VALUE"""),"-")</f>
        <v>-</v>
      </c>
      <c r="AI277" s="1" t="str">
        <f>IFERROR(__xludf.DUMMYFUNCTION("""COMPUTED_VALUE"""),"CLUSTER 11")</f>
        <v>CLUSTER 11</v>
      </c>
    </row>
    <row r="278" customHeight="1" spans="1:35">
      <c r="A278" s="3">
        <f>IFERROR(__xludf.DUMMYFUNCTION("""COMPUTED_VALUE"""),46259)</f>
        <v>46259</v>
      </c>
      <c r="B278" s="1" t="str">
        <f>IFERROR(__xludf.DUMMYFUNCTION("""COMPUTED_VALUE"""),"JANYETH JR PESIDAS SERRANO")</f>
        <v>JANYETH JR PESIDAS SERRANO</v>
      </c>
      <c r="C278" s="1">
        <f>IFERROR(__xludf.DUMMYFUNCTION("""COMPUTED_VALUE"""),2312068955)</f>
        <v>2312068955</v>
      </c>
      <c r="D278" s="1">
        <f>IFERROR(__xludf.DUMMYFUNCTION("""COMPUTED_VALUE"""),407281748)</f>
        <v>407281748</v>
      </c>
      <c r="E278" s="1">
        <f>IFERROR(__xludf.DUMMYFUNCTION("""COMPUTED_VALUE"""),467900598004)</f>
        <v>467900598004</v>
      </c>
      <c r="F278" s="1" t="str">
        <f>IFERROR(__xludf.DUMMYFUNCTION("""COMPUTED_VALUE"""),"CLOSED")</f>
        <v>CLOSED</v>
      </c>
      <c r="G278" s="1" t="str">
        <f>IFERROR(__xludf.DUMMYFUNCTION("""COMPUTED_VALUE"""),"CLOSED")</f>
        <v>CLOSED</v>
      </c>
      <c r="H278" s="1" t="str">
        <f>IFERROR(__xludf.DUMMYFUNCTION("""COMPUTED_VALUE"""),"PAID VIA GCASH REF 676121142 AUG 29")</f>
        <v>PAID VIA GCASH REF 676121142 AUG 29</v>
      </c>
      <c r="I278" s="1" t="str">
        <f>IFERROR(__xludf.DUMMYFUNCTION("""COMPUTED_VALUE"""),"WITH 1 AMSF")</f>
        <v>WITH 1 AMSF</v>
      </c>
      <c r="J278" s="1"/>
      <c r="K278" s="1" t="str">
        <f>IFERROR(__xludf.DUMMYFUNCTION("""COMPUTED_VALUE"""),"COMPLETED")</f>
        <v>COMPLETED</v>
      </c>
      <c r="L278" s="1" t="str">
        <f>IFERROR(__xludf.DUMMYFUNCTION("""COMPUTED_VALUE"""),"POSTED")</f>
        <v>POSTED</v>
      </c>
      <c r="M278" s="1" t="str">
        <f>IFERROR(__xludf.DUMMYFUNCTION("""COMPUTED_VALUE"""),"POSTED")</f>
        <v>POSTED</v>
      </c>
      <c r="N278" s="3">
        <f>IFERROR(__xludf.DUMMYFUNCTION("""COMPUTED_VALUE"""),46264)</f>
        <v>46264</v>
      </c>
      <c r="O278" s="1" t="str">
        <f>IFERROR(__xludf.DUMMYFUNCTION("""COMPUTED_VALUE"""),"FIBR UNLI ALL PLAN 999")</f>
        <v>FIBR UNLI ALL PLAN 999</v>
      </c>
      <c r="P278" s="1" t="str">
        <f>IFERROR(__xludf.DUMMYFUNCTION("""COMPUTED_VALUE"""),"LOWPLAN")</f>
        <v>LOWPLAN</v>
      </c>
      <c r="Q278" s="1" t="str">
        <f>IFERROR(__xludf.DUMMYFUNCTION("""COMPUTED_VALUE"""),"P407050")</f>
        <v>P407050</v>
      </c>
      <c r="R278" s="1" t="str">
        <f>IFERROR(__xludf.DUMMYFUNCTION("""COMPUTED_VALUE"""),"TAMAYO, MARY ROSE ZAIRA")</f>
        <v>TAMAYO, MARY ROSE ZAIRA</v>
      </c>
      <c r="S278" s="1" t="str">
        <f>IFERROR(__xludf.DUMMYFUNCTION("""COMPUTED_VALUE"""),"ORGANIC")</f>
        <v>ORGANIC</v>
      </c>
      <c r="T278" s="1" t="str">
        <f>IFERROR(__xludf.DUMMYFUNCTION("""COMPUTED_VALUE"""),"LEA REMOLLO")</f>
        <v>LEA REMOLLO</v>
      </c>
      <c r="U278" s="1" t="str">
        <f>IFERROR(__xludf.DUMMYFUNCTION("""COMPUTED_VALUE"""),"JB SALIOA")</f>
        <v>JB SALIOA</v>
      </c>
      <c r="V278" s="1" t="str">
        <f>IFERROR(__xludf.DUMMYFUNCTION("""COMPUTED_VALUE"""),"BK HSTK")</f>
        <v>BK HSTK</v>
      </c>
      <c r="W278" s="1" t="str">
        <f>IFERROR(__xludf.DUMMYFUNCTION("""COMPUTED_VALUE"""),"BK HSTK")</f>
        <v>BK HSTK</v>
      </c>
      <c r="X278" s="1" t="str">
        <f>IFERROR(__xludf.DUMMYFUNCTION("""COMPUTED_VALUE"""),"REGULAR")</f>
        <v>REGULAR</v>
      </c>
      <c r="Y278" s="1" t="str">
        <f>IFERROR(__xludf.DUMMYFUNCTION("""COMPUTED_VALUE"""),"BK_CVEU_260813")</f>
        <v>BK_CVEU_260813</v>
      </c>
      <c r="Z278" s="1" t="str">
        <f>IFERROR(__xludf.DUMMYFUNCTION("""COMPUTED_VALUE"""),"NEW CONNECT")</f>
        <v>NEW CONNECT</v>
      </c>
      <c r="AA278" s="1">
        <f>IFERROR(__xludf.DUMMYFUNCTION("""COMPUTED_VALUE"""),639380532925)</f>
        <v>639380532925</v>
      </c>
      <c r="AB278" s="1">
        <f>IFERROR(__xludf.DUMMYFUNCTION("""COMPUTED_VALUE"""),639939309230)</f>
        <v>639939309230</v>
      </c>
      <c r="AC278" s="1"/>
      <c r="AD278" s="1" t="str">
        <f>IFERROR(__xludf.DUMMYFUNCTION("""COMPUTED_VALUE"""),"PHASE 1")</f>
        <v>PHASE 1</v>
      </c>
      <c r="AE278" s="1"/>
      <c r="AF278" s="1" t="str">
        <f>IFERROR(__xludf.DUMMYFUNCTION("""COMPUTED_VALUE"""),"BGY ACACIA")</f>
        <v>BGY ACACIA</v>
      </c>
      <c r="AG278" s="1" t="str">
        <f>IFERROR(__xludf.DUMMYFUNCTION("""COMPUTED_VALUE"""),"SILANG")</f>
        <v>SILANG</v>
      </c>
      <c r="AH278" s="1" t="str">
        <f>IFERROR(__xludf.DUMMYFUNCTION("""COMPUTED_VALUE"""),"-")</f>
        <v>-</v>
      </c>
      <c r="AI278" s="1" t="str">
        <f>IFERROR(__xludf.DUMMYFUNCTION("""COMPUTED_VALUE"""),"CLUSTER 11")</f>
        <v>CLUSTER 11</v>
      </c>
    </row>
    <row r="279" customHeight="1" spans="1:35">
      <c r="A279" s="3">
        <f>IFERROR(__xludf.DUMMYFUNCTION("""COMPUTED_VALUE"""),46259)</f>
        <v>46259</v>
      </c>
      <c r="B279" s="1" t="str">
        <f>IFERROR(__xludf.DUMMYFUNCTION("""COMPUTED_VALUE"""),"LUISITO CARAGATAN VERTUDEZ")</f>
        <v>LUISITO CARAGATAN VERTUDEZ</v>
      </c>
      <c r="C279" s="1">
        <f>IFERROR(__xludf.DUMMYFUNCTION("""COMPUTED_VALUE"""),2312070538)</f>
        <v>2312070538</v>
      </c>
      <c r="D279" s="1">
        <f>IFERROR(__xludf.DUMMYFUNCTION("""COMPUTED_VALUE"""),407277996)</f>
        <v>407277996</v>
      </c>
      <c r="E279" s="1">
        <f>IFERROR(__xludf.DUMMYFUNCTION("""COMPUTED_VALUE"""),467898447004)</f>
        <v>467898447004</v>
      </c>
      <c r="F279" s="1" t="str">
        <f>IFERROR(__xludf.DUMMYFUNCTION("""COMPUTED_VALUE"""),"RPR")</f>
        <v>RPR</v>
      </c>
      <c r="G279" s="1" t="str">
        <f>IFERROR(__xludf.DUMMYFUNCTION("""COMPUTED_VALUE"""),"""CALLTHRU 
REMARKS: CANCEL APPLICATION HINDI PA RAW TAPOS ANG BAHAY NILA SUBS WALA PA DAW PAG LALAGYAN 
TALK LUISITO CARAGATAN VERTUDEZ 
09513002658 09460740040 
""")</f>
        <v>"CALLTHRU 
REMARKS: CANCEL APPLICATION HINDI PA RAW TAPOS ANG BAHAY NILA SUBS WALA PA DAW PAG LALAGYAN 
TALK LUISITO CARAGATAN VERTUDEZ 
09513002658 09460740040 
"</v>
      </c>
      <c r="H279" s="1"/>
      <c r="I279" s="1"/>
      <c r="J279" s="1"/>
      <c r="K279" s="1" t="str">
        <f>IFERROR(__xludf.DUMMYFUNCTION("""COMPUTED_VALUE"""),"CANCELED")</f>
        <v>CANCELED</v>
      </c>
      <c r="L279" s="1" t="str">
        <f>IFERROR(__xludf.DUMMYFUNCTION("""COMPUTED_VALUE"""),"RPR - SUBS CANCEL REQUEST")</f>
        <v>RPR - SUBS CANCEL REQUEST</v>
      </c>
      <c r="M279" s="1" t="str">
        <f>IFERROR(__xludf.DUMMYFUNCTION("""COMPUTED_VALUE"""),"RPR- SUBS CANCEL REQUEST")</f>
        <v>RPR- SUBS CANCEL REQUEST</v>
      </c>
      <c r="N279" s="3"/>
      <c r="O279" s="1" t="str">
        <f>IFERROR(__xludf.DUMMYFUNCTION("""COMPUTED_VALUE"""),"FIBER UNLI ALL PLAN 1499")</f>
        <v>FIBER UNLI ALL PLAN 1499</v>
      </c>
      <c r="P279" s="1" t="str">
        <f>IFERROR(__xludf.DUMMYFUNCTION("""COMPUTED_VALUE"""),"LOWPLAN")</f>
        <v>LOWPLAN</v>
      </c>
      <c r="Q279" s="1" t="str">
        <f>IFERROR(__xludf.DUMMYFUNCTION("""COMPUTED_VALUE"""),"P407050")</f>
        <v>P407050</v>
      </c>
      <c r="R279" s="1" t="str">
        <f>IFERROR(__xludf.DUMMYFUNCTION("""COMPUTED_VALUE"""),"GABAY, MANUEL")</f>
        <v>GABAY, MANUEL</v>
      </c>
      <c r="S279" s="1" t="str">
        <f>IFERROR(__xludf.DUMMYFUNCTION("""COMPUTED_VALUE"""),"FLA")</f>
        <v>FLA</v>
      </c>
      <c r="T279" s="1" t="str">
        <f>IFERROR(__xludf.DUMMYFUNCTION("""COMPUTED_VALUE"""),"JERIC NAVARRO")</f>
        <v>JERIC NAVARRO</v>
      </c>
      <c r="U279" s="1" t="str">
        <f>IFERROR(__xludf.DUMMYFUNCTION("""COMPUTED_VALUE"""),"JB SALIOA")</f>
        <v>JB SALIOA</v>
      </c>
      <c r="V279" s="1" t="str">
        <f>IFERROR(__xludf.DUMMYFUNCTION("""COMPUTED_VALUE"""),"BK HSTK")</f>
        <v>BK HSTK</v>
      </c>
      <c r="W279" s="1" t="str">
        <f>IFERROR(__xludf.DUMMYFUNCTION("""COMPUTED_VALUE"""),"BK HSTK")</f>
        <v>BK HSTK</v>
      </c>
      <c r="X279" s="1" t="str">
        <f>IFERROR(__xludf.DUMMYFUNCTION("""COMPUTED_VALUE"""),"HBBS AUG 2026")</f>
        <v>HBBS AUG 2026</v>
      </c>
      <c r="Y279" s="1" t="str">
        <f>IFERROR(__xludf.DUMMYFUNCTION("""COMPUTED_VALUE"""),"BK_CVEU_260813")</f>
        <v>BK_CVEU_260813</v>
      </c>
      <c r="Z279" s="1" t="str">
        <f>IFERROR(__xludf.DUMMYFUNCTION("""COMPUTED_VALUE"""),"NEW CONNECT")</f>
        <v>NEW CONNECT</v>
      </c>
      <c r="AA279" s="1">
        <f>IFERROR(__xludf.DUMMYFUNCTION("""COMPUTED_VALUE"""),639513002658)</f>
        <v>639513002658</v>
      </c>
      <c r="AB279" s="1">
        <f>IFERROR(__xludf.DUMMYFUNCTION("""COMPUTED_VALUE"""),639460740040)</f>
        <v>639460740040</v>
      </c>
      <c r="AC279" s="1">
        <f>IFERROR(__xludf.DUMMYFUNCTION("""COMPUTED_VALUE"""),23)</f>
        <v>23</v>
      </c>
      <c r="AD279" s="1" t="str">
        <f>IFERROR(__xludf.DUMMYFUNCTION("""COMPUTED_VALUE"""),"PUROK 1")</f>
        <v>PUROK 1</v>
      </c>
      <c r="AE279" s="1"/>
      <c r="AF279" s="1" t="str">
        <f>IFERROR(__xludf.DUMMYFUNCTION("""COMPUTED_VALUE"""),"BGY MALAKING TATYAO")</f>
        <v>BGY MALAKING TATYAO</v>
      </c>
      <c r="AG279" s="1" t="str">
        <f>IFERROR(__xludf.DUMMYFUNCTION("""COMPUTED_VALUE"""),"SILANG")</f>
        <v>SILANG</v>
      </c>
      <c r="AH279" s="1" t="str">
        <f>IFERROR(__xludf.DUMMYFUNCTION("""COMPUTED_VALUE"""),"-")</f>
        <v>-</v>
      </c>
      <c r="AI279" s="1" t="str">
        <f>IFERROR(__xludf.DUMMYFUNCTION("""COMPUTED_VALUE"""),"CLUSTER 11")</f>
        <v>CLUSTER 11</v>
      </c>
    </row>
    <row r="280" customHeight="1" spans="1:35">
      <c r="A280" s="3">
        <f>IFERROR(__xludf.DUMMYFUNCTION("""COMPUTED_VALUE"""),46259)</f>
        <v>46259</v>
      </c>
      <c r="B280" s="1" t="str">
        <f>IFERROR(__xludf.DUMMYFUNCTION("""COMPUTED_VALUE"""),"JENNY ROSE DAYGO VALLEJOS")</f>
        <v>JENNY ROSE DAYGO VALLEJOS</v>
      </c>
      <c r="C280" s="1">
        <f>IFERROR(__xludf.DUMMYFUNCTION("""COMPUTED_VALUE"""),2312071742)</f>
        <v>2312071742</v>
      </c>
      <c r="D280" s="1">
        <f>IFERROR(__xludf.DUMMYFUNCTION("""COMPUTED_VALUE"""),407298160)</f>
        <v>407298160</v>
      </c>
      <c r="E280" s="1">
        <f>IFERROR(__xludf.DUMMYFUNCTION("""COMPUTED_VALUE"""),467908751004)</f>
        <v>467908751004</v>
      </c>
      <c r="F280" s="1" t="str">
        <f>IFERROR(__xludf.DUMMYFUNCTION("""COMPUTED_VALUE"""),"CANCELLED")</f>
        <v>CANCELLED</v>
      </c>
      <c r="G280" s="1" t="str">
        <f>IFERROR(__xludf.DUMMYFUNCTION("""COMPUTED_VALUE"""),"AUTO - AGING")</f>
        <v>AUTO - AGING</v>
      </c>
      <c r="H280" s="1" t="str">
        <f>IFERROR(__xludf.DUMMYFUNCTION("""COMPUTED_VALUE"""),"1ST CBR RINGING ONLY 8/29 9:56 2ND CBR DROP CALLS 09:57")</f>
        <v>1ST CBR RINGING ONLY 8/29 9:56 2ND CBR DROP CALLS 09:57</v>
      </c>
      <c r="I280" s="1"/>
      <c r="J280" s="1"/>
      <c r="K280" s="1" t="str">
        <f>IFERROR(__xludf.DUMMYFUNCTION("""COMPUTED_VALUE"""),"NOT IN OFSC")</f>
        <v>NOT IN OFSC</v>
      </c>
      <c r="L280" s="1" t="str">
        <f>IFERROR(__xludf.DUMMYFUNCTION("""COMPUTED_VALUE"""),"CANCELLED - AGING")</f>
        <v>CANCELLED - AGING</v>
      </c>
      <c r="M280" s="1" t="str">
        <f>IFERROR(__xludf.DUMMYFUNCTION("""COMPUTED_VALUE"""),"CANCELLED - AGING")</f>
        <v>CANCELLED - AGING</v>
      </c>
      <c r="N280" s="3"/>
      <c r="O280" s="1" t="str">
        <f>IFERROR(__xludf.DUMMYFUNCTION("""COMPUTED_VALUE"""),"FIBR UNLI ALL PLAN 999")</f>
        <v>FIBR UNLI ALL PLAN 999</v>
      </c>
      <c r="P280" s="1" t="str">
        <f>IFERROR(__xludf.DUMMYFUNCTION("""COMPUTED_VALUE"""),"LOWPLAN")</f>
        <v>LOWPLAN</v>
      </c>
      <c r="Q280" s="1" t="str">
        <f>IFERROR(__xludf.DUMMYFUNCTION("""COMPUTED_VALUE"""),"P407050")</f>
        <v>P407050</v>
      </c>
      <c r="R280" s="1" t="str">
        <f>IFERROR(__xludf.DUMMYFUNCTION("""COMPUTED_VALUE"""),"MAGDARAOG, KENNETH")</f>
        <v>MAGDARAOG, KENNETH</v>
      </c>
      <c r="S280" s="1" t="str">
        <f>IFERROR(__xludf.DUMMYFUNCTION("""COMPUTED_VALUE"""),"ORGANIC")</f>
        <v>ORGANIC</v>
      </c>
      <c r="T280" s="1" t="str">
        <f>IFERROR(__xludf.DUMMYFUNCTION("""COMPUTED_VALUE"""),"LEA REMOLLO")</f>
        <v>LEA REMOLLO</v>
      </c>
      <c r="U280" s="1" t="str">
        <f>IFERROR(__xludf.DUMMYFUNCTION("""COMPUTED_VALUE"""),"JB SALIOA")</f>
        <v>JB SALIOA</v>
      </c>
      <c r="V280" s="1" t="str">
        <f>IFERROR(__xludf.DUMMYFUNCTION("""COMPUTED_VALUE"""),"BK REGULAR")</f>
        <v>BK REGULAR</v>
      </c>
      <c r="W280" s="1" t="str">
        <f>IFERROR(__xludf.DUMMYFUNCTION("""COMPUTED_VALUE"""),"STK REGULAR")</f>
        <v>STK REGULAR</v>
      </c>
      <c r="X280" s="1" t="str">
        <f>IFERROR(__xludf.DUMMYFUNCTION("""COMPUTED_VALUE"""),"HBBS AUG 2026")</f>
        <v>HBBS AUG 2026</v>
      </c>
      <c r="Y280" s="1" t="str">
        <f>IFERROR(__xludf.DUMMYFUNCTION("""COMPUTED_VALUE"""),"BK_CVEU_260813")</f>
        <v>BK_CVEU_260813</v>
      </c>
      <c r="Z280" s="1" t="str">
        <f>IFERROR(__xludf.DUMMYFUNCTION("""COMPUTED_VALUE"""),"NEW CONNECT")</f>
        <v>NEW CONNECT</v>
      </c>
      <c r="AA280" s="1">
        <f>IFERROR(__xludf.DUMMYFUNCTION("""COMPUTED_VALUE"""),639506029087)</f>
        <v>639506029087</v>
      </c>
      <c r="AB280" s="1">
        <f>IFERROR(__xludf.DUMMYFUNCTION("""COMPUTED_VALUE"""),639854828792)</f>
        <v>639854828792</v>
      </c>
      <c r="AC280" s="1">
        <f>IFERROR(__xludf.DUMMYFUNCTION("""COMPUTED_VALUE"""),50)</f>
        <v>50</v>
      </c>
      <c r="AD280" s="1" t="str">
        <f>IFERROR(__xludf.DUMMYFUNCTION("""COMPUTED_VALUE"""),"PHASE 5B")</f>
        <v>PHASE 5B</v>
      </c>
      <c r="AE280" s="1"/>
      <c r="AF280" s="1" t="str">
        <f>IFERROR(__xludf.DUMMYFUNCTION("""COMPUTED_VALUE"""),"BGY NARRA 3")</f>
        <v>BGY NARRA 3</v>
      </c>
      <c r="AG280" s="1" t="str">
        <f>IFERROR(__xludf.DUMMYFUNCTION("""COMPUTED_VALUE"""),"SILANG")</f>
        <v>SILANG</v>
      </c>
      <c r="AH280" s="1" t="str">
        <f>IFERROR(__xludf.DUMMYFUNCTION("""COMPUTED_VALUE"""),"BARANGAY HALL COURT")</f>
        <v>BARANGAY HALL COURT</v>
      </c>
      <c r="AI280" s="1" t="str">
        <f>IFERROR(__xludf.DUMMYFUNCTION("""COMPUTED_VALUE"""),"CLUSTER 11")</f>
        <v>CLUSTER 11</v>
      </c>
    </row>
    <row r="281" customHeight="1" spans="1:35">
      <c r="A281" s="3">
        <f>IFERROR(__xludf.DUMMYFUNCTION("""COMPUTED_VALUE"""),46259)</f>
        <v>46259</v>
      </c>
      <c r="B281" s="1" t="str">
        <f>IFERROR(__xludf.DUMMYFUNCTION("""COMPUTED_VALUE"""),"ELIZEL ANDAYA CASTRO")</f>
        <v>ELIZEL ANDAYA CASTRO</v>
      </c>
      <c r="C281" s="1">
        <f>IFERROR(__xludf.DUMMYFUNCTION("""COMPUTED_VALUE"""),2312072876)</f>
        <v>2312072876</v>
      </c>
      <c r="D281" s="1"/>
      <c r="E281" s="1"/>
      <c r="F281" s="1" t="str">
        <f>IFERROR(__xludf.DUMMYFUNCTION("""COMPUTED_VALUE"""),"CANCELLED")</f>
        <v>CANCELLED</v>
      </c>
      <c r="G281" s="1" t="str">
        <f>IFERROR(__xludf.DUMMYFUNCTION("""COMPUTED_VALUE"""),"(WITH BLACKLISTED ACCOUNT FOR SETTLEMENT) RETURN TO SALES | FOUND BLACKLISTED ACC 0353187465 WITH OB Php6,045.17 SAME NAME DIFF ADD | FOR SETTLEMENT | NO EXISTING ACTIVE AND/OR PENDING APPLICATION | DONE VALIDATION WITH SUBMITTED COMPLETE DOCS | CORRECT E"&amp;"NCODED INFO IN CSP | WITH TU SCORING GG - 1 (NTC) | WAIVED 1 AMSF | SCANNABLE NATIONAL ID | ")</f>
        <v>(WITH BLACKLISTED ACCOUNT FOR SETTLEMENT) RETURN TO SALES | FOUND BLACKLISTED ACC 0353187465 WITH OB Php6,045.17 SAME NAME DIFF ADD | FOR SETTLEMENT | NO EXISTING ACTIVE AND/OR PENDING APPLICATION | DONE VALIDATION WITH SUBMITTED COMPLETE DOCS | CORRECT ENCODED INFO IN CSP | WITH TU SCORING GG - 1 (NTC) | WAIVED 1 AMSF | SCANNABLE NATIONAL ID | </v>
      </c>
      <c r="H281" s="1"/>
      <c r="I281" s="1"/>
      <c r="J281" s="1"/>
      <c r="K281" s="1"/>
      <c r="L281" s="1" t="str">
        <f>IFERROR(__xludf.DUMMYFUNCTION("""COMPUTED_VALUE"""),"CANCELLED - WITH OB")</f>
        <v>CANCELLED - WITH OB</v>
      </c>
      <c r="M281" s="1" t="str">
        <f>IFERROR(__xludf.DUMMYFUNCTION("""COMPUTED_VALUE"""),"CANCELLED - WITH OB")</f>
        <v>CANCELLED - WITH OB</v>
      </c>
      <c r="N281" s="3"/>
      <c r="O281" s="1" t="str">
        <f>IFERROR(__xludf.DUMMYFUNCTION("""COMPUTED_VALUE"""),"FIBR UNLI ALL PLAN 999")</f>
        <v>FIBR UNLI ALL PLAN 999</v>
      </c>
      <c r="P281" s="1" t="str">
        <f>IFERROR(__xludf.DUMMYFUNCTION("""COMPUTED_VALUE"""),"LOWPLAN")</f>
        <v>LOWPLAN</v>
      </c>
      <c r="Q281" s="1" t="str">
        <f>IFERROR(__xludf.DUMMYFUNCTION("""COMPUTED_VALUE"""),"P407050")</f>
        <v>P407050</v>
      </c>
      <c r="R281" s="1" t="str">
        <f>IFERROR(__xludf.DUMMYFUNCTION("""COMPUTED_VALUE"""),"MAGDARAOG, KENNETH")</f>
        <v>MAGDARAOG, KENNETH</v>
      </c>
      <c r="S281" s="1" t="str">
        <f>IFERROR(__xludf.DUMMYFUNCTION("""COMPUTED_VALUE"""),"ORGANIC")</f>
        <v>ORGANIC</v>
      </c>
      <c r="T281" s="1" t="str">
        <f>IFERROR(__xludf.DUMMYFUNCTION("""COMPUTED_VALUE"""),"LEA REMOLLO")</f>
        <v>LEA REMOLLO</v>
      </c>
      <c r="U281" s="1" t="str">
        <f>IFERROR(__xludf.DUMMYFUNCTION("""COMPUTED_VALUE"""),"JB SALIOA")</f>
        <v>JB SALIOA</v>
      </c>
      <c r="V281" s="1" t="str">
        <f>IFERROR(__xludf.DUMMYFUNCTION("""COMPUTED_VALUE"""),"BK REGULAR")</f>
        <v>BK REGULAR</v>
      </c>
      <c r="W281" s="1" t="str">
        <f>IFERROR(__xludf.DUMMYFUNCTION("""COMPUTED_VALUE"""),"STK REGULAR")</f>
        <v>STK REGULAR</v>
      </c>
      <c r="X281" s="1" t="str">
        <f>IFERROR(__xludf.DUMMYFUNCTION("""COMPUTED_VALUE"""),"HBBS AUG 2026")</f>
        <v>HBBS AUG 2026</v>
      </c>
      <c r="Y281" s="1" t="str">
        <f>IFERROR(__xludf.DUMMYFUNCTION("""COMPUTED_VALUE"""),"BK_CVEU_260813")</f>
        <v>BK_CVEU_260813</v>
      </c>
      <c r="Z281" s="1" t="str">
        <f>IFERROR(__xludf.DUMMYFUNCTION("""COMPUTED_VALUE"""),"NEW CONNECT")</f>
        <v>NEW CONNECT</v>
      </c>
      <c r="AA281" s="1">
        <f>IFERROR(__xludf.DUMMYFUNCTION("""COMPUTED_VALUE"""),639753969919)</f>
        <v>639753969919</v>
      </c>
      <c r="AB281" s="1"/>
      <c r="AC281" s="1"/>
      <c r="AD281" s="1" t="str">
        <f>IFERROR(__xludf.DUMMYFUNCTION("""COMPUTED_VALUE"""),"PHASE 5B")</f>
        <v>PHASE 5B</v>
      </c>
      <c r="AE281" s="1"/>
      <c r="AF281" s="1" t="str">
        <f>IFERROR(__xludf.DUMMYFUNCTION("""COMPUTED_VALUE"""),"BGY NARRA 3")</f>
        <v>BGY NARRA 3</v>
      </c>
      <c r="AG281" s="1" t="str">
        <f>IFERROR(__xludf.DUMMYFUNCTION("""COMPUTED_VALUE"""),"SILANG")</f>
        <v>SILANG</v>
      </c>
      <c r="AH281" s="1" t="str">
        <f>IFERROR(__xludf.DUMMYFUNCTION("""COMPUTED_VALUE"""),"BASKETBALL COURT")</f>
        <v>BASKETBALL COURT</v>
      </c>
      <c r="AI281" s="1" t="str">
        <f>IFERROR(__xludf.DUMMYFUNCTION("""COMPUTED_VALUE"""),"CLUSTER 11")</f>
        <v>CLUSTER 11</v>
      </c>
    </row>
    <row r="282" customHeight="1" spans="1:35">
      <c r="A282" s="3">
        <f>IFERROR(__xludf.DUMMYFUNCTION("""COMPUTED_VALUE"""),46259)</f>
        <v>46259</v>
      </c>
      <c r="B282" s="1" t="str">
        <f>IFERROR(__xludf.DUMMYFUNCTION("""COMPUTED_VALUE"""),"MIAMOR GENESIS ALMEDA")</f>
        <v>MIAMOR GENESIS ALMEDA</v>
      </c>
      <c r="C282" s="1">
        <f>IFERROR(__xludf.DUMMYFUNCTION("""COMPUTED_VALUE"""),2312073764)</f>
        <v>2312073764</v>
      </c>
      <c r="D282" s="1">
        <f>IFERROR(__xludf.DUMMYFUNCTION("""COMPUTED_VALUE"""),407284240)</f>
        <v>407284240</v>
      </c>
      <c r="E282" s="1">
        <f>IFERROR(__xludf.DUMMYFUNCTION("""COMPUTED_VALUE"""),467902098004)</f>
        <v>467902098004</v>
      </c>
      <c r="F282" s="1" t="str">
        <f>IFERROR(__xludf.DUMMYFUNCTION("""COMPUTED_VALUE"""),"CLOSED")</f>
        <v>CLOSED</v>
      </c>
      <c r="G282" s="1" t="str">
        <f>IFERROR(__xludf.DUMMYFUNCTION("""COMPUTED_VALUE"""),"CLOSED")</f>
        <v>CLOSED</v>
      </c>
      <c r="H282" s="1" t="str">
        <f>IFERROR(__xludf.DUMMYFUNCTION("""COMPUTED_VALUE"""),"PAID VIA GCASH REF 665535232 AUG 26")</f>
        <v>PAID VIA GCASH REF 665535232 AUG 26</v>
      </c>
      <c r="I282" s="1" t="str">
        <f>IFERROR(__xludf.DUMMYFUNCTION("""COMPUTED_VALUE"""),"WITH 1 AMSF")</f>
        <v>WITH 1 AMSF</v>
      </c>
      <c r="J282" s="1"/>
      <c r="K282" s="1" t="str">
        <f>IFERROR(__xludf.DUMMYFUNCTION("""COMPUTED_VALUE"""),"COMPLETED")</f>
        <v>COMPLETED</v>
      </c>
      <c r="L282" s="1" t="str">
        <f>IFERROR(__xludf.DUMMYFUNCTION("""COMPUTED_VALUE"""),"POSTED")</f>
        <v>POSTED</v>
      </c>
      <c r="M282" s="1" t="str">
        <f>IFERROR(__xludf.DUMMYFUNCTION("""COMPUTED_VALUE"""),"POSTED")</f>
        <v>POSTED</v>
      </c>
      <c r="N282" s="3">
        <f>IFERROR(__xludf.DUMMYFUNCTION("""COMPUTED_VALUE"""),46261)</f>
        <v>46261</v>
      </c>
      <c r="O282" s="1" t="str">
        <f>IFERROR(__xludf.DUMMYFUNCTION("""COMPUTED_VALUE"""),"FIBR UNLI ALL PLAN 999")</f>
        <v>FIBR UNLI ALL PLAN 999</v>
      </c>
      <c r="P282" s="1" t="str">
        <f>IFERROR(__xludf.DUMMYFUNCTION("""COMPUTED_VALUE"""),"LOWPLAN")</f>
        <v>LOWPLAN</v>
      </c>
      <c r="Q282" s="1" t="str">
        <f>IFERROR(__xludf.DUMMYFUNCTION("""COMPUTED_VALUE"""),"P407050")</f>
        <v>P407050</v>
      </c>
      <c r="R282" s="1" t="str">
        <f>IFERROR(__xludf.DUMMYFUNCTION("""COMPUTED_VALUE"""),"DENACO, RODNEY")</f>
        <v>DENACO, RODNEY</v>
      </c>
      <c r="S282" s="1" t="str">
        <f>IFERROR(__xludf.DUMMYFUNCTION("""COMPUTED_VALUE"""),"ORGANIC")</f>
        <v>ORGANIC</v>
      </c>
      <c r="T282" s="1" t="str">
        <f>IFERROR(__xludf.DUMMYFUNCTION("""COMPUTED_VALUE"""),"LEA REMOLLO")</f>
        <v>LEA REMOLLO</v>
      </c>
      <c r="U282" s="1" t="str">
        <f>IFERROR(__xludf.DUMMYFUNCTION("""COMPUTED_VALUE"""),"JB SALIOA")</f>
        <v>JB SALIOA</v>
      </c>
      <c r="V282" s="1" t="str">
        <f>IFERROR(__xludf.DUMMYFUNCTION("""COMPUTED_VALUE"""),"BK HSTK")</f>
        <v>BK HSTK</v>
      </c>
      <c r="W282" s="1" t="str">
        <f>IFERROR(__xludf.DUMMYFUNCTION("""COMPUTED_VALUE"""),"BK HSTK")</f>
        <v>BK HSTK</v>
      </c>
      <c r="X282" s="1" t="str">
        <f>IFERROR(__xludf.DUMMYFUNCTION("""COMPUTED_VALUE"""),"REGULAR")</f>
        <v>REGULAR</v>
      </c>
      <c r="Y282" s="1" t="str">
        <f>IFERROR(__xludf.DUMMYFUNCTION("""COMPUTED_VALUE"""),"BK_CVEU_260813")</f>
        <v>BK_CVEU_260813</v>
      </c>
      <c r="Z282" s="1" t="str">
        <f>IFERROR(__xludf.DUMMYFUNCTION("""COMPUTED_VALUE"""),"NEW CONNECT")</f>
        <v>NEW CONNECT</v>
      </c>
      <c r="AA282" s="1">
        <f>IFERROR(__xludf.DUMMYFUNCTION("""COMPUTED_VALUE"""),639298132923)</f>
        <v>639298132923</v>
      </c>
      <c r="AB282" s="1"/>
      <c r="AC282" s="1">
        <f>IFERROR(__xludf.DUMMYFUNCTION("""COMPUTED_VALUE"""),300)</f>
        <v>300</v>
      </c>
      <c r="AD282" s="1" t="str">
        <f>IFERROR(__xludf.DUMMYFUNCTION("""COMPUTED_VALUE"""),"MUNTING ILOG")</f>
        <v>MUNTING ILOG</v>
      </c>
      <c r="AE282" s="1"/>
      <c r="AF282" s="1" t="str">
        <f>IFERROR(__xludf.DUMMYFUNCTION("""COMPUTED_VALUE"""),"BGY MUNTING ILOG")</f>
        <v>BGY MUNTING ILOG</v>
      </c>
      <c r="AG282" s="1" t="str">
        <f>IFERROR(__xludf.DUMMYFUNCTION("""COMPUTED_VALUE"""),"SILANG")</f>
        <v>SILANG</v>
      </c>
      <c r="AH282" s="1" t="str">
        <f>IFERROR(__xludf.DUMMYFUNCTION("""COMPUTED_VALUE"""),"MUNTING ILOG ELEM SCHOOL")</f>
        <v>MUNTING ILOG ELEM SCHOOL</v>
      </c>
      <c r="AI282" s="1" t="str">
        <f>IFERROR(__xludf.DUMMYFUNCTION("""COMPUTED_VALUE"""),"CLUSTER 11")</f>
        <v>CLUSTER 11</v>
      </c>
    </row>
    <row r="283" customHeight="1" spans="1:35">
      <c r="A283" s="3">
        <f>IFERROR(__xludf.DUMMYFUNCTION("""COMPUTED_VALUE"""),46259)</f>
        <v>46259</v>
      </c>
      <c r="B283" s="1" t="str">
        <f>IFERROR(__xludf.DUMMYFUNCTION("""COMPUTED_VALUE"""),"ISABEL SORIANO VERGARA")</f>
        <v>ISABEL SORIANO VERGARA</v>
      </c>
      <c r="C283" s="1">
        <f>IFERROR(__xludf.DUMMYFUNCTION("""COMPUTED_VALUE"""),2312075706)</f>
        <v>2312075706</v>
      </c>
      <c r="D283" s="1"/>
      <c r="E283" s="1"/>
      <c r="F283" s="1" t="str">
        <f>IFERROR(__xludf.DUMMYFUNCTION("""COMPUTED_VALUE"""),"CANCELLED")</f>
        <v>CANCELLED</v>
      </c>
      <c r="G283" s="1" t="str">
        <f>IFERROR(__xludf.DUMMYFUNCTION("""COMPUTED_VALUE"""),"APPROVED | SCANNABLE NATIONAL ID | CLEARED FROM BLACKLISTED HIT | NO EXISTING ACTIVE ACCOUNT OR PENDING APPLICATION | COMPLETE DOCS | CORRECT ENCODED INFO IN CSP | TU SCORING (GG - 1 (NTC)) WAIVED 1AMSF | DONE VALIDATION")</f>
        <v>APPROVED | SCANNABLE NATIONAL ID | CLEARED FROM BLACKLISTED HIT | NO EXISTING ACTIVE ACCOUNT OR PENDING APPLICATION | COMPLETE DOCS | CORRECT ENCODED INFO IN CSP | TU SCORING (GG - 1 (NTC)) WAIVED 1AMSF | DONE VALIDATION</v>
      </c>
      <c r="H283" s="1"/>
      <c r="I283" s="1"/>
      <c r="J283" s="1"/>
      <c r="K283" s="1"/>
      <c r="L283" s="1" t="str">
        <f>IFERROR(__xludf.DUMMYFUNCTION("""COMPUTED_VALUE"""),"CANCELLED - SYSTEM ERROR")</f>
        <v>CANCELLED - SYSTEM ERROR</v>
      </c>
      <c r="M283" s="1" t="str">
        <f>IFERROR(__xludf.DUMMYFUNCTION("""COMPUTED_VALUE"""),"CANCELLED - SYSTEM ERROR")</f>
        <v>CANCELLED - SYSTEM ERROR</v>
      </c>
      <c r="N283" s="3"/>
      <c r="O283" s="1" t="str">
        <f>IFERROR(__xludf.DUMMYFUNCTION("""COMPUTED_VALUE"""),"FIBR UNLI ALL PLAN 999")</f>
        <v>FIBR UNLI ALL PLAN 999</v>
      </c>
      <c r="P283" s="1" t="str">
        <f>IFERROR(__xludf.DUMMYFUNCTION("""COMPUTED_VALUE"""),"LOWPLAN")</f>
        <v>LOWPLAN</v>
      </c>
      <c r="Q283" s="1" t="str">
        <f>IFERROR(__xludf.DUMMYFUNCTION("""COMPUTED_VALUE"""),"P407050")</f>
        <v>P407050</v>
      </c>
      <c r="R283" s="1" t="str">
        <f>IFERROR(__xludf.DUMMYFUNCTION("""COMPUTED_VALUE"""),"ARENA, LYKA")</f>
        <v>ARENA, LYKA</v>
      </c>
      <c r="S283" s="1" t="str">
        <f>IFERROR(__xludf.DUMMYFUNCTION("""COMPUTED_VALUE"""),"ORGANIC")</f>
        <v>ORGANIC</v>
      </c>
      <c r="T283" s="1" t="str">
        <f>IFERROR(__xludf.DUMMYFUNCTION("""COMPUTED_VALUE"""),"LEA REMOLLO")</f>
        <v>LEA REMOLLO</v>
      </c>
      <c r="U283" s="1" t="str">
        <f>IFERROR(__xludf.DUMMYFUNCTION("""COMPUTED_VALUE"""),"JB SALIOA")</f>
        <v>JB SALIOA</v>
      </c>
      <c r="V283" s="1" t="str">
        <f>IFERROR(__xludf.DUMMYFUNCTION("""COMPUTED_VALUE"""),"BK HSTK")</f>
        <v>BK HSTK</v>
      </c>
      <c r="W283" s="1" t="str">
        <f>IFERROR(__xludf.DUMMYFUNCTION("""COMPUTED_VALUE"""),"BK HSTK")</f>
        <v>BK HSTK</v>
      </c>
      <c r="X283" s="1" t="str">
        <f>IFERROR(__xludf.DUMMYFUNCTION("""COMPUTED_VALUE"""),"REGULAR")</f>
        <v>REGULAR</v>
      </c>
      <c r="Y283" s="1" t="str">
        <f>IFERROR(__xludf.DUMMYFUNCTION("""COMPUTED_VALUE"""),"BK_CVEU_260811")</f>
        <v>BK_CVEU_260811</v>
      </c>
      <c r="Z283" s="1" t="str">
        <f>IFERROR(__xludf.DUMMYFUNCTION("""COMPUTED_VALUE"""),"NEW CONNECT")</f>
        <v>NEW CONNECT</v>
      </c>
      <c r="AA283" s="1">
        <f>IFERROR(__xludf.DUMMYFUNCTION("""COMPUTED_VALUE"""),639464131984)</f>
        <v>639464131984</v>
      </c>
      <c r="AB283" s="1">
        <f>IFERROR(__xludf.DUMMYFUNCTION("""COMPUTED_VALUE"""),639462513468)</f>
        <v>639462513468</v>
      </c>
      <c r="AC283" s="1"/>
      <c r="AD283" s="1" t="str">
        <f>IFERROR(__xludf.DUMMYFUNCTION("""COMPUTED_VALUE"""),"INOCENCIO SALUD")</f>
        <v>INOCENCIO SALUD</v>
      </c>
      <c r="AE283" s="1"/>
      <c r="AF283" s="1" t="str">
        <f>IFERROR(__xludf.DUMMYFUNCTION("""COMPUTED_VALUE"""),"BGY INOCENCIO SALUD")</f>
        <v>BGY INOCENCIO SALUD</v>
      </c>
      <c r="AG283" s="1" t="str">
        <f>IFERROR(__xludf.DUMMYFUNCTION("""COMPUTED_VALUE"""),"GEN MARIANO ALVAREZ")</f>
        <v>GEN MARIANO ALVAREZ</v>
      </c>
      <c r="AH283" s="1" t="str">
        <f>IFERROR(__xludf.DUMMYFUNCTION("""COMPUTED_VALUE"""),"HALF COURT")</f>
        <v>HALF COURT</v>
      </c>
      <c r="AI283" s="1" t="str">
        <f>IFERROR(__xludf.DUMMYFUNCTION("""COMPUTED_VALUE"""),"CLUSTER 11")</f>
        <v>CLUSTER 11</v>
      </c>
    </row>
    <row r="284" customHeight="1" spans="1:35">
      <c r="A284" s="3">
        <f>IFERROR(__xludf.DUMMYFUNCTION("""COMPUTED_VALUE"""),46259)</f>
        <v>46259</v>
      </c>
      <c r="B284" s="1" t="str">
        <f>IFERROR(__xludf.DUMMYFUNCTION("""COMPUTED_VALUE"""),"REGLEND GUHITING DE ASIS")</f>
        <v>REGLEND GUHITING DE ASIS</v>
      </c>
      <c r="C284" s="1">
        <f>IFERROR(__xludf.DUMMYFUNCTION("""COMPUTED_VALUE"""),2312076049)</f>
        <v>2312076049</v>
      </c>
      <c r="D284" s="1"/>
      <c r="E284" s="1"/>
      <c r="F284" s="1" t="str">
        <f>IFERROR(__xludf.DUMMYFUNCTION("""COMPUTED_VALUE"""),"CANCELLED")</f>
        <v>CANCELLED</v>
      </c>
      <c r="G284" s="1" t="str">
        <f>IFERROR(__xludf.DUMMYFUNCTION("""COMPUTED_VALUE"""),"(WITH BLACKLIST HIT FOR COMPLIANCE) RETURN TO SALES | DONE VALIDATION | CORRECT ENCODED INFO IN CSP | VALIDATED COMPLETE DOCS | TU SCORING - GG - 1 (NTC) | WAIVED AMSF | WITH BLACKLISTED ACC:0234763059 |BLACKLISTED NAME|WITH OB:19,025.82 | WITH CANCELLED "&amp;"APPLICATION:0341733383|SAME NAME, DOB BUT DIFFERENT ADDRESS|NO CONTACT NEEDED DUE TO CATCH UP STRAT|")</f>
        <v>(WITH BLACKLIST HIT FOR COMPLIANCE) RETURN TO SALES | DONE VALIDATION | CORRECT ENCODED INFO IN CSP | VALIDATED COMPLETE DOCS | TU SCORING - GG - 1 (NTC) | WAIVED AMSF | WITH BLACKLISTED ACC:0234763059 |BLACKLISTED NAME|WITH OB:19,025.82 | WITH CANCELLED APPLICATION:0341733383|SAME NAME, DOB BUT DIFFERENT ADDRESS|NO CONTACT NEEDED DUE TO CATCH UP STRAT|</v>
      </c>
      <c r="H284" s="1"/>
      <c r="I284" s="1"/>
      <c r="J284" s="1"/>
      <c r="K284" s="1"/>
      <c r="L284" s="1" t="str">
        <f>IFERROR(__xludf.DUMMYFUNCTION("""COMPUTED_VALUE"""),"CANCELLED - WITH OB")</f>
        <v>CANCELLED - WITH OB</v>
      </c>
      <c r="M284" s="1" t="str">
        <f>IFERROR(__xludf.DUMMYFUNCTION("""COMPUTED_VALUE"""),"CANCELLED - WITH OB")</f>
        <v>CANCELLED - WITH OB</v>
      </c>
      <c r="N284" s="3"/>
      <c r="O284" s="1" t="str">
        <f>IFERROR(__xludf.DUMMYFUNCTION("""COMPUTED_VALUE"""),"FIBR PLAN 1299")</f>
        <v>FIBR PLAN 1299</v>
      </c>
      <c r="P284" s="1" t="str">
        <f>IFERROR(__xludf.DUMMYFUNCTION("""COMPUTED_VALUE"""),"LOWPLAN")</f>
        <v>LOWPLAN</v>
      </c>
      <c r="Q284" s="1" t="str">
        <f>IFERROR(__xludf.DUMMYFUNCTION("""COMPUTED_VALUE"""),"P407050")</f>
        <v>P407050</v>
      </c>
      <c r="R284" s="1" t="str">
        <f>IFERROR(__xludf.DUMMYFUNCTION("""COMPUTED_VALUE"""),"ALOS, CHARLS LAURENZ")</f>
        <v>ALOS, CHARLS LAURENZ</v>
      </c>
      <c r="S284" s="1" t="str">
        <f>IFERROR(__xludf.DUMMYFUNCTION("""COMPUTED_VALUE"""),"ORGANIC")</f>
        <v>ORGANIC</v>
      </c>
      <c r="T284" s="1" t="str">
        <f>IFERROR(__xludf.DUMMYFUNCTION("""COMPUTED_VALUE"""),"LEA REMOLLO")</f>
        <v>LEA REMOLLO</v>
      </c>
      <c r="U284" s="1" t="str">
        <f>IFERROR(__xludf.DUMMYFUNCTION("""COMPUTED_VALUE"""),"JB SALIOA")</f>
        <v>JB SALIOA</v>
      </c>
      <c r="V284" s="1" t="str">
        <f>IFERROR(__xludf.DUMMYFUNCTION("""COMPUTED_VALUE"""),"BK HSTK")</f>
        <v>BK HSTK</v>
      </c>
      <c r="W284" s="1" t="str">
        <f>IFERROR(__xludf.DUMMYFUNCTION("""COMPUTED_VALUE"""),"BK HSTK")</f>
        <v>BK HSTK</v>
      </c>
      <c r="X284" s="1" t="str">
        <f>IFERROR(__xludf.DUMMYFUNCTION("""COMPUTED_VALUE"""),"REGULAR")</f>
        <v>REGULAR</v>
      </c>
      <c r="Y284" s="1" t="str">
        <f>IFERROR(__xludf.DUMMYFUNCTION("""COMPUTED_VALUE"""),"BK_CVEU_260813")</f>
        <v>BK_CVEU_260813</v>
      </c>
      <c r="Z284" s="1" t="str">
        <f>IFERROR(__xludf.DUMMYFUNCTION("""COMPUTED_VALUE"""),"NEW CONNECT")</f>
        <v>NEW CONNECT</v>
      </c>
      <c r="AA284" s="1">
        <f>IFERROR(__xludf.DUMMYFUNCTION("""COMPUTED_VALUE"""),639456316550)</f>
        <v>639456316550</v>
      </c>
      <c r="AB284" s="1"/>
      <c r="AC284" s="1"/>
      <c r="AD284" s="1" t="str">
        <f>IFERROR(__xludf.DUMMYFUNCTION("""COMPUTED_VALUE"""),"LITLIT")</f>
        <v>LITLIT</v>
      </c>
      <c r="AE284" s="1"/>
      <c r="AF284" s="1" t="str">
        <f>IFERROR(__xludf.DUMMYFUNCTION("""COMPUTED_VALUE"""),"BGY LITLIT")</f>
        <v>BGY LITLIT</v>
      </c>
      <c r="AG284" s="1" t="str">
        <f>IFERROR(__xludf.DUMMYFUNCTION("""COMPUTED_VALUE"""),"SILANG")</f>
        <v>SILANG</v>
      </c>
      <c r="AH284" s="1" t="str">
        <f>IFERROR(__xludf.DUMMYFUNCTION("""COMPUTED_VALUE"""),"-")</f>
        <v>-</v>
      </c>
      <c r="AI284" s="1" t="str">
        <f>IFERROR(__xludf.DUMMYFUNCTION("""COMPUTED_VALUE"""),"CLUSTER 11")</f>
        <v>CLUSTER 11</v>
      </c>
    </row>
    <row r="285" customHeight="1" spans="1:35">
      <c r="A285" s="3">
        <f>IFERROR(__xludf.DUMMYFUNCTION("""COMPUTED_VALUE"""),46259)</f>
        <v>46259</v>
      </c>
      <c r="B285" s="1" t="str">
        <f>IFERROR(__xludf.DUMMYFUNCTION("""COMPUTED_VALUE"""),"DARLEEN MACAALAY DE VILLA")</f>
        <v>DARLEEN MACAALAY DE VILLA</v>
      </c>
      <c r="C285" s="1">
        <f>IFERROR(__xludf.DUMMYFUNCTION("""COMPUTED_VALUE"""),2312076512)</f>
        <v>2312076512</v>
      </c>
      <c r="D285" s="1"/>
      <c r="E285" s="1"/>
      <c r="F285" s="1" t="str">
        <f>IFERROR(__xludf.DUMMYFUNCTION("""COMPUTED_VALUE"""),"CANCELLED")</f>
        <v>CANCELLED</v>
      </c>
      <c r="G285" s="1" t="str">
        <f>IFERROR(__xludf.DUMMYFUNCTION("""COMPUTED_VALUE"""),"SUBS HAS ACTIVE ACCT.# 0363537537. PLS. ATTACH POA UNDER NEW INSTALLATION ADDRESS IF THIS IS FOR MULTIPLE LINES ")</f>
        <v>SUBS HAS ACTIVE ACCT.# 0363537537. PLS. ATTACH POA UNDER NEW INSTALLATION ADDRESS IF THIS IS FOR MULTIPLE LINES </v>
      </c>
      <c r="H285" s="1"/>
      <c r="I285" s="1"/>
      <c r="J285" s="1"/>
      <c r="K285" s="1"/>
      <c r="L285" s="1" t="str">
        <f>IFERROR(__xludf.DUMMYFUNCTION("""COMPUTED_VALUE"""),"CANCELLED")</f>
        <v>CANCELLED</v>
      </c>
      <c r="M285" s="1" t="str">
        <f>IFERROR(__xludf.DUMMYFUNCTION("""COMPUTED_VALUE"""),"CANCELLED - WITH ACTIVE LINE")</f>
        <v>CANCELLED - WITH ACTIVE LINE</v>
      </c>
      <c r="N285" s="3"/>
      <c r="O285" s="1" t="str">
        <f>IFERROR(__xludf.DUMMYFUNCTION("""COMPUTED_VALUE"""),"FIBER UNLI ALL PLAN 1499")</f>
        <v>FIBER UNLI ALL PLAN 1499</v>
      </c>
      <c r="P285" s="1" t="str">
        <f>IFERROR(__xludf.DUMMYFUNCTION("""COMPUTED_VALUE"""),"LOWPLAN")</f>
        <v>LOWPLAN</v>
      </c>
      <c r="Q285" s="1" t="str">
        <f>IFERROR(__xludf.DUMMYFUNCTION("""COMPUTED_VALUE"""),"P407046")</f>
        <v>P407046</v>
      </c>
      <c r="R285" s="1" t="str">
        <f>IFERROR(__xludf.DUMMYFUNCTION("""COMPUTED_VALUE"""),"DE GUZMAN, JENALYN")</f>
        <v>DE GUZMAN, JENALYN</v>
      </c>
      <c r="S285" s="1" t="str">
        <f>IFERROR(__xludf.DUMMYFUNCTION("""COMPUTED_VALUE"""),"FLA")</f>
        <v>FLA</v>
      </c>
      <c r="T285" s="1" t="str">
        <f>IFERROR(__xludf.DUMMYFUNCTION("""COMPUTED_VALUE"""),"JERIC NAVARRO")</f>
        <v>JERIC NAVARRO</v>
      </c>
      <c r="U285" s="1" t="str">
        <f>IFERROR(__xludf.DUMMYFUNCTION("""COMPUTED_VALUE"""),"JB SALIOA")</f>
        <v>JB SALIOA</v>
      </c>
      <c r="V285" s="1" t="str">
        <f>IFERROR(__xludf.DUMMYFUNCTION("""COMPUTED_VALUE"""),"ONLINE/CRANFORD")</f>
        <v>ONLINE/CRANFORD</v>
      </c>
      <c r="W285" s="1" t="str">
        <f>IFERROR(__xludf.DUMMYFUNCTION("""COMPUTED_VALUE"""),"STK REGULAR")</f>
        <v>STK REGULAR</v>
      </c>
      <c r="X285" s="1" t="str">
        <f>IFERROR(__xludf.DUMMYFUNCTION("""COMPUTED_VALUE"""),"HBBS AUG 2026")</f>
        <v>HBBS AUG 2026</v>
      </c>
      <c r="Y285" s="1" t="str">
        <f>IFERROR(__xludf.DUMMYFUNCTION("""COMPUTED_VALUE"""),"RS_ONL_CVEU_2026")</f>
        <v>RS_ONL_CVEU_2026</v>
      </c>
      <c r="Z285" s="1" t="str">
        <f>IFERROR(__xludf.DUMMYFUNCTION("""COMPUTED_VALUE"""),"NEW CONNECT")</f>
        <v>NEW CONNECT</v>
      </c>
      <c r="AA285" s="1">
        <f>IFERROR(__xludf.DUMMYFUNCTION("""COMPUTED_VALUE"""),639451231055)</f>
        <v>639451231055</v>
      </c>
      <c r="AB285" s="1">
        <f>IFERROR(__xludf.DUMMYFUNCTION("""COMPUTED_VALUE"""),639155493496)</f>
        <v>639155493496</v>
      </c>
      <c r="AC285" s="1">
        <f>IFERROR(__xludf.DUMMYFUNCTION("""COMPUTED_VALUE"""),6)</f>
        <v>6</v>
      </c>
      <c r="AD285" s="1" t="str">
        <f>IFERROR(__xludf.DUMMYFUNCTION("""COMPUTED_VALUE"""),"OSORIO")</f>
        <v>OSORIO</v>
      </c>
      <c r="AE285" s="1"/>
      <c r="AF285" s="1" t="str">
        <f>IFERROR(__xludf.DUMMYFUNCTION("""COMPUTED_VALUE"""),"BGY 5")</f>
        <v>BGY 5</v>
      </c>
      <c r="AG285" s="1" t="str">
        <f>IFERROR(__xludf.DUMMYFUNCTION("""COMPUTED_VALUE"""),"MENDEZ")</f>
        <v>MENDEZ</v>
      </c>
      <c r="AH285" s="1" t="str">
        <f>IFERROR(__xludf.DUMMYFUNCTION("""COMPUTED_VALUE"""),"CRUCILLO CLINIC")</f>
        <v>CRUCILLO CLINIC</v>
      </c>
      <c r="AI285" s="1" t="str">
        <f>IFERROR(__xludf.DUMMYFUNCTION("""COMPUTED_VALUE"""),"CLUSTER 12")</f>
        <v>CLUSTER 12</v>
      </c>
    </row>
    <row r="286" customHeight="1" spans="1:35">
      <c r="A286" s="3">
        <f>IFERROR(__xludf.DUMMYFUNCTION("""COMPUTED_VALUE"""),46259)</f>
        <v>46259</v>
      </c>
      <c r="B286" s="1" t="str">
        <f>IFERROR(__xludf.DUMMYFUNCTION("""COMPUTED_VALUE"""),"ANTONETTE ANDALES ABLING")</f>
        <v>ANTONETTE ANDALES ABLING</v>
      </c>
      <c r="C286" s="1">
        <f>IFERROR(__xludf.DUMMYFUNCTION("""COMPUTED_VALUE"""),2312077205)</f>
        <v>2312077205</v>
      </c>
      <c r="D286" s="1">
        <f>IFERROR(__xludf.DUMMYFUNCTION("""COMPUTED_VALUE"""),407292219)</f>
        <v>407292219</v>
      </c>
      <c r="E286" s="1">
        <f>IFERROR(__xludf.DUMMYFUNCTION("""COMPUTED_VALUE"""),467905874004)</f>
        <v>467905874004</v>
      </c>
      <c r="F286" s="1" t="str">
        <f>IFERROR(__xludf.DUMMYFUNCTION("""COMPUTED_VALUE"""),"CLOSED")</f>
        <v>CLOSED</v>
      </c>
      <c r="G286" s="1" t="str">
        <f>IFERROR(__xludf.DUMMYFUNCTION("""COMPUTED_VALUE"""),"CLOSED")</f>
        <v>CLOSED</v>
      </c>
      <c r="H286" s="1" t="str">
        <f>IFERROR(__xludf.DUMMYFUNCTION("""COMPUTED_VALUE"""),"PAID VIA GCASH - AIG 25 - REF - 721568561")</f>
        <v>PAID VIA GCASH - AIG 25 - REF - 721568561</v>
      </c>
      <c r="I286" s="1" t="str">
        <f>IFERROR(__xludf.DUMMYFUNCTION("""COMPUTED_VALUE"""),"WITH 1 AMSF")</f>
        <v>WITH 1 AMSF</v>
      </c>
      <c r="J286" s="1"/>
      <c r="K286" s="1" t="str">
        <f>IFERROR(__xludf.DUMMYFUNCTION("""COMPUTED_VALUE"""),"COMPLETED")</f>
        <v>COMPLETED</v>
      </c>
      <c r="L286" s="1" t="str">
        <f>IFERROR(__xludf.DUMMYFUNCTION("""COMPUTED_VALUE"""),"POSTED")</f>
        <v>POSTED</v>
      </c>
      <c r="M286" s="1" t="str">
        <f>IFERROR(__xludf.DUMMYFUNCTION("""COMPUTED_VALUE"""),"POSTED")</f>
        <v>POSTED</v>
      </c>
      <c r="N286" s="3">
        <f>IFERROR(__xludf.DUMMYFUNCTION("""COMPUTED_VALUE"""),46259)</f>
        <v>46259</v>
      </c>
      <c r="O286" s="1" t="str">
        <f>IFERROR(__xludf.DUMMYFUNCTION("""COMPUTED_VALUE"""),"FIBR UNLI ALL PLAN 999")</f>
        <v>FIBR UNLI ALL PLAN 999</v>
      </c>
      <c r="P286" s="1" t="str">
        <f>IFERROR(__xludf.DUMMYFUNCTION("""COMPUTED_VALUE"""),"LOWPLAN")</f>
        <v>LOWPLAN</v>
      </c>
      <c r="Q286" s="1" t="str">
        <f>IFERROR(__xludf.DUMMYFUNCTION("""COMPUTED_VALUE"""),"P407050")</f>
        <v>P407050</v>
      </c>
      <c r="R286" s="1" t="str">
        <f>IFERROR(__xludf.DUMMYFUNCTION("""COMPUTED_VALUE"""),"ESCARCHA, ALMA")</f>
        <v>ESCARCHA, ALMA</v>
      </c>
      <c r="S286" s="1" t="str">
        <f>IFERROR(__xludf.DUMMYFUNCTION("""COMPUTED_VALUE"""),"ORGANIC")</f>
        <v>ORGANIC</v>
      </c>
      <c r="T286" s="1" t="str">
        <f>IFERROR(__xludf.DUMMYFUNCTION("""COMPUTED_VALUE"""),"LEA REMOLLO")</f>
        <v>LEA REMOLLO</v>
      </c>
      <c r="U286" s="1" t="str">
        <f>IFERROR(__xludf.DUMMYFUNCTION("""COMPUTED_VALUE"""),"JB SALIOA")</f>
        <v>JB SALIOA</v>
      </c>
      <c r="V286" s="1" t="str">
        <f>IFERROR(__xludf.DUMMYFUNCTION("""COMPUTED_VALUE"""),"BK HSTK")</f>
        <v>BK HSTK</v>
      </c>
      <c r="W286" s="1" t="str">
        <f>IFERROR(__xludf.DUMMYFUNCTION("""COMPUTED_VALUE"""),"BK HSTK")</f>
        <v>BK HSTK</v>
      </c>
      <c r="X286" s="1" t="str">
        <f>IFERROR(__xludf.DUMMYFUNCTION("""COMPUTED_VALUE"""),"REGULAR")</f>
        <v>REGULAR</v>
      </c>
      <c r="Y286" s="1" t="str">
        <f>IFERROR(__xludf.DUMMYFUNCTION("""COMPUTED_VALUE"""),"BK_CVEU_260814")</f>
        <v>BK_CVEU_260814</v>
      </c>
      <c r="Z286" s="1" t="str">
        <f>IFERROR(__xludf.DUMMYFUNCTION("""COMPUTED_VALUE"""),"NEW CONNECT")</f>
        <v>NEW CONNECT</v>
      </c>
      <c r="AA286" s="1">
        <f>IFERROR(__xludf.DUMMYFUNCTION("""COMPUTED_VALUE"""),639398173391)</f>
        <v>639398173391</v>
      </c>
      <c r="AB286" s="1">
        <f>IFERROR(__xludf.DUMMYFUNCTION("""COMPUTED_VALUE"""),639153154413)</f>
        <v>639153154413</v>
      </c>
      <c r="AC286" s="1">
        <f>IFERROR(__xludf.DUMMYFUNCTION("""COMPUTED_VALUE"""),75)</f>
        <v>75</v>
      </c>
      <c r="AD286" s="1" t="str">
        <f>IFERROR(__xludf.DUMMYFUNCTION("""COMPUTED_VALUE"""),"ZAMBAL")</f>
        <v>ZAMBAL</v>
      </c>
      <c r="AE286" s="1" t="str">
        <f>IFERROR(__xludf.DUMMYFUNCTION("""COMPUTED_VALUE"""),"PUROK 211")</f>
        <v>PUROK 211</v>
      </c>
      <c r="AF286" s="1" t="str">
        <f>IFERROR(__xludf.DUMMYFUNCTION("""COMPUTED_VALUE"""),"BGY ZAMBAL")</f>
        <v>BGY ZAMBAL</v>
      </c>
      <c r="AG286" s="1" t="str">
        <f>IFERROR(__xludf.DUMMYFUNCTION("""COMPUTED_VALUE"""),"TAGAYTAY")</f>
        <v>TAGAYTAY</v>
      </c>
      <c r="AH286" s="1" t="str">
        <f>IFERROR(__xludf.DUMMYFUNCTION("""COMPUTED_VALUE"""),"-")</f>
        <v>-</v>
      </c>
      <c r="AI286" s="1" t="str">
        <f>IFERROR(__xludf.DUMMYFUNCTION("""COMPUTED_VALUE"""),"CLUSTER 12")</f>
        <v>CLUSTER 12</v>
      </c>
    </row>
    <row r="287" customHeight="1" spans="1:35">
      <c r="A287" s="3">
        <f>IFERROR(__xludf.DUMMYFUNCTION("""COMPUTED_VALUE"""),46259)</f>
        <v>46259</v>
      </c>
      <c r="B287" s="1" t="str">
        <f>IFERROR(__xludf.DUMMYFUNCTION("""COMPUTED_VALUE"""),"MICHAEL BENISEN MEDINA")</f>
        <v>MICHAEL BENISEN MEDINA</v>
      </c>
      <c r="C287" s="1">
        <f>IFERROR(__xludf.DUMMYFUNCTION("""COMPUTED_VALUE"""),2312081062)</f>
        <v>2312081062</v>
      </c>
      <c r="D287" s="1">
        <f>IFERROR(__xludf.DUMMYFUNCTION("""COMPUTED_VALUE"""),407308182)</f>
        <v>407308182</v>
      </c>
      <c r="E287" s="1">
        <f>IFERROR(__xludf.DUMMYFUNCTION("""COMPUTED_VALUE"""),467927809004)</f>
        <v>467927809004</v>
      </c>
      <c r="F287" s="1" t="str">
        <f>IFERROR(__xludf.DUMMYFUNCTION("""COMPUTED_VALUE"""),"CANCELLED")</f>
        <v>CANCELLED</v>
      </c>
      <c r="G287" s="1" t="str">
        <f>IFERROR(__xludf.DUMMYFUNCTION("""COMPUTED_VALUE"""),"‎‎TRUCK ROLL VISITED REMARKS FULL NAP PUNUAN SA AREA NI SUBS ALREADY ADVISED  TGTLP71NP8 FULL 9SPAN TGTLP72NP1 FULL 11 SPAN ASSIGN PORT SME ‎TALK MICHAEL BENISEN MEDINA 09569145459")</f>
        <v>‎‎TRUCK ROLL VISITED REMARKS FULL NAP PUNUAN SA AREA NI SUBS ALREADY ADVISED  TGTLP71NP8 FULL 9SPAN TGTLP72NP1 FULL 11 SPAN ASSIGN PORT SME ‎TALK MICHAEL BENISEN MEDINA 09569145459</v>
      </c>
      <c r="H287" s="1"/>
      <c r="I287" s="1"/>
      <c r="J287" s="1"/>
      <c r="K287" s="1" t="str">
        <f>IFERROR(__xludf.DUMMYFUNCTION("""COMPUTED_VALUE"""),"CANCELED")</f>
        <v>CANCELED</v>
      </c>
      <c r="L287" s="1" t="str">
        <f>IFERROR(__xludf.DUMMYFUNCTION("""COMPUTED_VALUE"""),"RPR - NAP FULL")</f>
        <v>RPR - NAP FULL</v>
      </c>
      <c r="M287" s="1" t="str">
        <f>IFERROR(__xludf.DUMMYFUNCTION("""COMPUTED_VALUE"""),"RPR- NAP FULL")</f>
        <v>RPR- NAP FULL</v>
      </c>
      <c r="N287" s="3"/>
      <c r="O287" s="1" t="str">
        <f>IFERROR(__xludf.DUMMYFUNCTION("""COMPUTED_VALUE"""),"FIBR UNLI ALL PLAN 999")</f>
        <v>FIBR UNLI ALL PLAN 999</v>
      </c>
      <c r="P287" s="1" t="str">
        <f>IFERROR(__xludf.DUMMYFUNCTION("""COMPUTED_VALUE"""),"LOWPLAN")</f>
        <v>LOWPLAN</v>
      </c>
      <c r="Q287" s="1" t="str">
        <f>IFERROR(__xludf.DUMMYFUNCTION("""COMPUTED_VALUE"""),"P407050")</f>
        <v>P407050</v>
      </c>
      <c r="R287" s="1" t="str">
        <f>IFERROR(__xludf.DUMMYFUNCTION("""COMPUTED_VALUE"""),"CADERAO, RONALD")</f>
        <v>CADERAO, RONALD</v>
      </c>
      <c r="S287" s="1" t="str">
        <f>IFERROR(__xludf.DUMMYFUNCTION("""COMPUTED_VALUE"""),"ORGANIC")</f>
        <v>ORGANIC</v>
      </c>
      <c r="T287" s="1" t="str">
        <f>IFERROR(__xludf.DUMMYFUNCTION("""COMPUTED_VALUE"""),"LEA REMOLLO")</f>
        <v>LEA REMOLLO</v>
      </c>
      <c r="U287" s="1" t="str">
        <f>IFERROR(__xludf.DUMMYFUNCTION("""COMPUTED_VALUE"""),"JB SALIOA")</f>
        <v>JB SALIOA</v>
      </c>
      <c r="V287" s="1" t="str">
        <f>IFERROR(__xludf.DUMMYFUNCTION("""COMPUTED_VALUE"""),"BK REGULAR")</f>
        <v>BK REGULAR</v>
      </c>
      <c r="W287" s="1" t="str">
        <f>IFERROR(__xludf.DUMMYFUNCTION("""COMPUTED_VALUE"""),"STK REGULAR")</f>
        <v>STK REGULAR</v>
      </c>
      <c r="X287" s="1" t="str">
        <f>IFERROR(__xludf.DUMMYFUNCTION("""COMPUTED_VALUE"""),"REGULAR")</f>
        <v>REGULAR</v>
      </c>
      <c r="Y287" s="1" t="str">
        <f>IFERROR(__xludf.DUMMYFUNCTION("""COMPUTED_VALUE"""),"BK_CVEU_260814")</f>
        <v>BK_CVEU_260814</v>
      </c>
      <c r="Z287" s="1" t="str">
        <f>IFERROR(__xludf.DUMMYFUNCTION("""COMPUTED_VALUE"""),"NEW CONNECT")</f>
        <v>NEW CONNECT</v>
      </c>
      <c r="AA287" s="1">
        <f>IFERROR(__xludf.DUMMYFUNCTION("""COMPUTED_VALUE"""),639569145459)</f>
        <v>639569145459</v>
      </c>
      <c r="AB287" s="1"/>
      <c r="AC287" s="1"/>
      <c r="AD287" s="1" t="str">
        <f>IFERROR(__xludf.DUMMYFUNCTION("""COMPUTED_VALUE"""),"PABAHAY")</f>
        <v>PABAHAY</v>
      </c>
      <c r="AE287" s="1"/>
      <c r="AF287" s="1" t="str">
        <f>IFERROR(__xludf.DUMMYFUNCTION("""COMPUTED_VALUE"""),"BGY TOLENTINO EAST")</f>
        <v>BGY TOLENTINO EAST</v>
      </c>
      <c r="AG287" s="1" t="str">
        <f>IFERROR(__xludf.DUMMYFUNCTION("""COMPUTED_VALUE"""),"TAGAYTAY")</f>
        <v>TAGAYTAY</v>
      </c>
      <c r="AH287" s="1" t="str">
        <f>IFERROR(__xludf.DUMMYFUNCTION("""COMPUTED_VALUE"""),"-")</f>
        <v>-</v>
      </c>
      <c r="AI287" s="1" t="str">
        <f>IFERROR(__xludf.DUMMYFUNCTION("""COMPUTED_VALUE"""),"CLUSTER 12")</f>
        <v>CLUSTER 12</v>
      </c>
    </row>
    <row r="288" customHeight="1" spans="1:35">
      <c r="A288" s="3">
        <f>IFERROR(__xludf.DUMMYFUNCTION("""COMPUTED_VALUE"""),46259)</f>
        <v>46259</v>
      </c>
      <c r="B288" s="1" t="str">
        <f>IFERROR(__xludf.DUMMYFUNCTION("""COMPUTED_VALUE"""),"GAIL MIKAELA MENDOZA ESMEN")</f>
        <v>GAIL MIKAELA MENDOZA ESMEN</v>
      </c>
      <c r="C288" s="1">
        <f>IFERROR(__xludf.DUMMYFUNCTION("""COMPUTED_VALUE"""),2312081880)</f>
        <v>2312081880</v>
      </c>
      <c r="D288" s="1">
        <f>IFERROR(__xludf.DUMMYFUNCTION("""COMPUTED_VALUE"""),407302265)</f>
        <v>407302265</v>
      </c>
      <c r="E288" s="1">
        <f>IFERROR(__xludf.DUMMYFUNCTION("""COMPUTED_VALUE"""),467911715004)</f>
        <v>467911715004</v>
      </c>
      <c r="F288" s="1" t="str">
        <f>IFERROR(__xludf.DUMMYFUNCTION("""COMPUTED_VALUE"""),"CLOSED")</f>
        <v>CLOSED</v>
      </c>
      <c r="G288" s="1" t="str">
        <f>IFERROR(__xludf.DUMMYFUNCTION("""COMPUTED_VALUE"""),"tttttttt")</f>
        <v>tttttttt</v>
      </c>
      <c r="H288" s="1" t="str">
        <f>IFERROR(__xludf.DUMMYFUNCTION("""COMPUTED_VALUE"""),"PQGOR364572067	18-Sep-26	Regular Payment	CIS-GCASH 3.0	1,600.00	0	18-Sep-26")</f>
        <v>PQGOR364572067	18-Sep-26	Regular Payment	CIS-GCASH 3.0	1,600.00	0	18-Sep-26</v>
      </c>
      <c r="I288" s="1" t="str">
        <f>IFERROR(__xludf.DUMMYFUNCTION("""COMPUTED_VALUE"""),"WITH 1 AMSF")</f>
        <v>WITH 1 AMSF</v>
      </c>
      <c r="J288" s="1"/>
      <c r="K288" s="1" t="str">
        <f>IFERROR(__xludf.DUMMYFUNCTION("""COMPUTED_VALUE"""),"COMPLETED")</f>
        <v>COMPLETED</v>
      </c>
      <c r="L288" s="1" t="str">
        <f>IFERROR(__xludf.DUMMYFUNCTION("""COMPUTED_VALUE"""),"POSTED")</f>
        <v>POSTED</v>
      </c>
      <c r="M288" s="1" t="str">
        <f>IFERROR(__xludf.DUMMYFUNCTION("""COMPUTED_VALUE"""),"POSTED")</f>
        <v>POSTED</v>
      </c>
      <c r="N288" s="3">
        <f>IFERROR(__xludf.DUMMYFUNCTION("""COMPUTED_VALUE"""),46260)</f>
        <v>46260</v>
      </c>
      <c r="O288" s="1" t="str">
        <f>IFERROR(__xludf.DUMMYFUNCTION("""COMPUTED_VALUE"""),"FIBER UNLI ALL PLAN 1499")</f>
        <v>FIBER UNLI ALL PLAN 1499</v>
      </c>
      <c r="P288" s="1" t="str">
        <f>IFERROR(__xludf.DUMMYFUNCTION("""COMPUTED_VALUE"""),"LOWPLAN")</f>
        <v>LOWPLAN</v>
      </c>
      <c r="Q288" s="1" t="str">
        <f>IFERROR(__xludf.DUMMYFUNCTION("""COMPUTED_VALUE"""),"P407050")</f>
        <v>P407050</v>
      </c>
      <c r="R288" s="1" t="str">
        <f>IFERROR(__xludf.DUMMYFUNCTION("""COMPUTED_VALUE"""),"IVNO, RAZZEL")</f>
        <v>IVNO, RAZZEL</v>
      </c>
      <c r="S288" s="1" t="str">
        <f>IFERROR(__xludf.DUMMYFUNCTION("""COMPUTED_VALUE"""),"ORGANIC")</f>
        <v>ORGANIC</v>
      </c>
      <c r="T288" s="1" t="str">
        <f>IFERROR(__xludf.DUMMYFUNCTION("""COMPUTED_VALUE"""),"LEA REMOLLO")</f>
        <v>LEA REMOLLO</v>
      </c>
      <c r="U288" s="1" t="str">
        <f>IFERROR(__xludf.DUMMYFUNCTION("""COMPUTED_VALUE"""),"JB SALIOA")</f>
        <v>JB SALIOA</v>
      </c>
      <c r="V288" s="1" t="str">
        <f>IFERROR(__xludf.DUMMYFUNCTION("""COMPUTED_VALUE"""),"BK HSTK")</f>
        <v>BK HSTK</v>
      </c>
      <c r="W288" s="1" t="str">
        <f>IFERROR(__xludf.DUMMYFUNCTION("""COMPUTED_VALUE"""),"BK HSTK")</f>
        <v>BK HSTK</v>
      </c>
      <c r="X288" s="1" t="str">
        <f>IFERROR(__xludf.DUMMYFUNCTION("""COMPUTED_VALUE"""),"HBBS AUG 2026")</f>
        <v>HBBS AUG 2026</v>
      </c>
      <c r="Y288" s="1" t="str">
        <f>IFERROR(__xludf.DUMMYFUNCTION("""COMPUTED_VALUE"""),"BK_CVEU_260813")</f>
        <v>BK_CVEU_260813</v>
      </c>
      <c r="Z288" s="1" t="str">
        <f>IFERROR(__xludf.DUMMYFUNCTION("""COMPUTED_VALUE"""),"NEW CONNECT")</f>
        <v>NEW CONNECT</v>
      </c>
      <c r="AA288" s="1">
        <f>IFERROR(__xludf.DUMMYFUNCTION("""COMPUTED_VALUE"""),639615690594)</f>
        <v>639615690594</v>
      </c>
      <c r="AB288" s="1">
        <f>IFERROR(__xludf.DUMMYFUNCTION("""COMPUTED_VALUE"""),639950267216)</f>
        <v>639950267216</v>
      </c>
      <c r="AC288" s="1">
        <f>IFERROR(__xludf.DUMMYFUNCTION("""COMPUTED_VALUE"""),87)</f>
        <v>87</v>
      </c>
      <c r="AD288" s="1" t="str">
        <f>IFERROR(__xludf.DUMMYFUNCTION("""COMPUTED_VALUE"""),"P MONTOYA")</f>
        <v>P MONTOYA</v>
      </c>
      <c r="AE288" s="1"/>
      <c r="AF288" s="1" t="str">
        <f>IFERROR(__xludf.DUMMYFUNCTION("""COMPUTED_VALUE"""),"BGY 4")</f>
        <v>BGY 4</v>
      </c>
      <c r="AG288" s="1" t="str">
        <f>IFERROR(__xludf.DUMMYFUNCTION("""COMPUTED_VALUE"""),"SILANG")</f>
        <v>SILANG</v>
      </c>
      <c r="AH288" s="1" t="str">
        <f>IFERROR(__xludf.DUMMYFUNCTION("""COMPUTED_VALUE"""),"INFRONT OF GUEVARRA CLINIC")</f>
        <v>INFRONT OF GUEVARRA CLINIC</v>
      </c>
      <c r="AI288" s="1" t="str">
        <f>IFERROR(__xludf.DUMMYFUNCTION("""COMPUTED_VALUE"""),"CLUSTER 11")</f>
        <v>CLUSTER 11</v>
      </c>
    </row>
    <row r="289" customHeight="1" spans="1:35">
      <c r="A289" s="3">
        <f>IFERROR(__xludf.DUMMYFUNCTION("""COMPUTED_VALUE"""),46259)</f>
        <v>46259</v>
      </c>
      <c r="B289" s="1" t="str">
        <f>IFERROR(__xludf.DUMMYFUNCTION("""COMPUTED_VALUE"""),"CLARIBEL DEL MUNDO GABINETE")</f>
        <v>CLARIBEL DEL MUNDO GABINETE</v>
      </c>
      <c r="C289" s="1">
        <f>IFERROR(__xludf.DUMMYFUNCTION("""COMPUTED_VALUE"""),2312082909)</f>
        <v>2312082909</v>
      </c>
      <c r="D289" s="1"/>
      <c r="E289" s="1"/>
      <c r="F289" s="1" t="str">
        <f>IFERROR(__xludf.DUMMYFUNCTION("""COMPUTED_VALUE"""),"CANCELLED")</f>
        <v>CANCELLED</v>
      </c>
      <c r="G289" s="1" t="str">
        <f>IFERROR(__xludf.DUMMYFUNCTION("""COMPUTED_VALUE"""),"CANCELLED")</f>
        <v>CANCELLED</v>
      </c>
      <c r="H289" s="1" t="str">
        <f>IFERROR(__xludf.DUMMYFUNCTION("""COMPUTED_VALUE"""),"ttttttttttttttttttttttlotttttttttttttttttttttttttt")</f>
        <v>ttttttttttttttttttttttlotttttttttttttttttttttttttt</v>
      </c>
      <c r="I289" s="1"/>
      <c r="J289" s="1"/>
      <c r="K289" s="1"/>
      <c r="L289" s="1" t="str">
        <f>IFERROR(__xludf.DUMMYFUNCTION("""COMPUTED_VALUE"""),"CANCELLED")</f>
        <v>CANCELLED</v>
      </c>
      <c r="M289" s="1" t="str">
        <f>IFERROR(__xludf.DUMMYFUNCTION("""COMPUTED_VALUE"""),"CANCELLED")</f>
        <v>CANCELLED</v>
      </c>
      <c r="N289" s="3"/>
      <c r="O289" s="1" t="str">
        <f>IFERROR(__xludf.DUMMYFUNCTION("""COMPUTED_VALUE"""),"SWITCH FIBER UNLI ALL PLAN 1899")</f>
        <v>SWITCH FIBER UNLI ALL PLAN 1899</v>
      </c>
      <c r="P289" s="1" t="str">
        <f>IFERROR(__xludf.DUMMYFUNCTION("""COMPUTED_VALUE"""),"HIGHPLAN")</f>
        <v>HIGHPLAN</v>
      </c>
      <c r="Q289" s="1" t="str">
        <f>IFERROR(__xludf.DUMMYFUNCTION("""COMPUTED_VALUE"""),"P407045")</f>
        <v>P407045</v>
      </c>
      <c r="R289" s="1" t="str">
        <f>IFERROR(__xludf.DUMMYFUNCTION("""COMPUTED_VALUE"""),"GABAY, MANUEL")</f>
        <v>GABAY, MANUEL</v>
      </c>
      <c r="S289" s="1" t="str">
        <f>IFERROR(__xludf.DUMMYFUNCTION("""COMPUTED_VALUE"""),"FLA")</f>
        <v>FLA</v>
      </c>
      <c r="T289" s="1" t="str">
        <f>IFERROR(__xludf.DUMMYFUNCTION("""COMPUTED_VALUE"""),"JERIC NAVARRO")</f>
        <v>JERIC NAVARRO</v>
      </c>
      <c r="U289" s="1" t="str">
        <f>IFERROR(__xludf.DUMMYFUNCTION("""COMPUTED_VALUE"""),"JB SALIOA")</f>
        <v>JB SALIOA</v>
      </c>
      <c r="V289" s="1" t="str">
        <f>IFERROR(__xludf.DUMMYFUNCTION("""COMPUTED_VALUE"""),"ONLINE/CRANFORD")</f>
        <v>ONLINE/CRANFORD</v>
      </c>
      <c r="W289" s="1" t="str">
        <f>IFERROR(__xludf.DUMMYFUNCTION("""COMPUTED_VALUE"""),"STK REGULAR")</f>
        <v>STK REGULAR</v>
      </c>
      <c r="X289" s="1" t="str">
        <f>IFERROR(__xludf.DUMMYFUNCTION("""COMPUTED_VALUE"""),"HBBS AUG 2026")</f>
        <v>HBBS AUG 2026</v>
      </c>
      <c r="Y289" s="1" t="str">
        <f>IFERROR(__xludf.DUMMYFUNCTION("""COMPUTED_VALUE"""),"RS_ONL_CVEU_2026")</f>
        <v>RS_ONL_CVEU_2026</v>
      </c>
      <c r="Z289" s="1" t="str">
        <f>IFERROR(__xludf.DUMMYFUNCTION("""COMPUTED_VALUE"""),"NEW CONNECT")</f>
        <v>NEW CONNECT</v>
      </c>
      <c r="AA289" s="1">
        <f>IFERROR(__xludf.DUMMYFUNCTION("""COMPUTED_VALUE"""),639082841370)</f>
        <v>639082841370</v>
      </c>
      <c r="AB289" s="1">
        <f>IFERROR(__xludf.DUMMYFUNCTION("""COMPUTED_VALUE"""),639174718828)</f>
        <v>639174718828</v>
      </c>
      <c r="AC289" s="1">
        <f>IFERROR(__xludf.DUMMYFUNCTION("""COMPUTED_VALUE"""),92)</f>
        <v>92</v>
      </c>
      <c r="AD289" s="1" t="str">
        <f>IFERROR(__xludf.DUMMYFUNCTION("""COMPUTED_VALUE"""),"CENTRO")</f>
        <v>CENTRO</v>
      </c>
      <c r="AE289" s="1"/>
      <c r="AF289" s="1" t="str">
        <f>IFERROR(__xludf.DUMMYFUNCTION("""COMPUTED_VALUE"""),"BGY AGA")</f>
        <v>BGY AGA</v>
      </c>
      <c r="AG289" s="1" t="str">
        <f>IFERROR(__xludf.DUMMYFUNCTION("""COMPUTED_VALUE"""),"NASUGBU")</f>
        <v>NASUGBU</v>
      </c>
      <c r="AH289" s="1" t="str">
        <f>IFERROR(__xludf.DUMMYFUNCTION("""COMPUTED_VALUE"""),"-")</f>
        <v>-</v>
      </c>
      <c r="AI289" s="1" t="str">
        <f>IFERROR(__xludf.DUMMYFUNCTION("""COMPUTED_VALUE"""),"NOT AOR")</f>
        <v>NOT AOR</v>
      </c>
    </row>
    <row r="290" customHeight="1" spans="1:35">
      <c r="A290" s="3">
        <f>IFERROR(__xludf.DUMMYFUNCTION("""COMPUTED_VALUE"""),46260)</f>
        <v>46260</v>
      </c>
      <c r="B290" s="1" t="str">
        <f>IFERROR(__xludf.DUMMYFUNCTION("""COMPUTED_VALUE"""),"REIN NIEL CARLOS ROMERO")</f>
        <v>REIN NIEL CARLOS ROMERO</v>
      </c>
      <c r="C290" s="1">
        <f>IFERROR(__xludf.DUMMYFUNCTION("""COMPUTED_VALUE"""),2312100441)</f>
        <v>2312100441</v>
      </c>
      <c r="D290" s="1">
        <f>IFERROR(__xludf.DUMMYFUNCTION("""COMPUTED_VALUE"""),407320964)</f>
        <v>407320964</v>
      </c>
      <c r="E290" s="1">
        <f>IFERROR(__xludf.DUMMYFUNCTION("""COMPUTED_VALUE"""),468005016004)</f>
        <v>468005016004</v>
      </c>
      <c r="F290" s="1" t="str">
        <f>IFERROR(__xludf.DUMMYFUNCTION("""COMPUTED_VALUE"""),"CLOSED")</f>
        <v>CLOSED</v>
      </c>
      <c r="G290" s="1" t="str">
        <f>IFERROR(__xludf.DUMMYFUNCTION("""COMPUTED_VALUE"""),"CLOSED")</f>
        <v>CLOSED</v>
      </c>
      <c r="H290" s="1"/>
      <c r="I290" s="1" t="str">
        <f>IFERROR(__xludf.DUMMYFUNCTION("""COMPUTED_VALUE"""),"NO 1 AMSF")</f>
        <v>NO 1 AMSF</v>
      </c>
      <c r="J290" s="1" t="str">
        <f>IFERROR(__xludf.DUMMYFUNCTION("""COMPUTED_VALUE"""),"DUE DATE - 20-Sep-26 - 1,184.44")</f>
        <v>DUE DATE - 20-Sep-26 - 1,184.44</v>
      </c>
      <c r="K290" s="1" t="str">
        <f>IFERROR(__xludf.DUMMYFUNCTION("""COMPUTED_VALUE"""),"COMPLETED")</f>
        <v>COMPLETED</v>
      </c>
      <c r="L290" s="1" t="str">
        <f>IFERROR(__xludf.DUMMYFUNCTION("""COMPUTED_VALUE"""),"POSTED")</f>
        <v>POSTED</v>
      </c>
      <c r="M290" s="1" t="str">
        <f>IFERROR(__xludf.DUMMYFUNCTION("""COMPUTED_VALUE"""),"POSTED")</f>
        <v>POSTED</v>
      </c>
      <c r="N290" s="3">
        <f>IFERROR(__xludf.DUMMYFUNCTION("""COMPUTED_VALUE"""),46260)</f>
        <v>46260</v>
      </c>
      <c r="O290" s="1" t="str">
        <f>IFERROR(__xludf.DUMMYFUNCTION("""COMPUTED_VALUE"""),"FIBR UNLI ALL PLAN 999")</f>
        <v>FIBR UNLI ALL PLAN 999</v>
      </c>
      <c r="P290" s="1" t="str">
        <f>IFERROR(__xludf.DUMMYFUNCTION("""COMPUTED_VALUE"""),"LOWPLAN")</f>
        <v>LOWPLAN</v>
      </c>
      <c r="Q290" s="1" t="str">
        <f>IFERROR(__xludf.DUMMYFUNCTION("""COMPUTED_VALUE"""),"P407047")</f>
        <v>P407047</v>
      </c>
      <c r="R290" s="1" t="str">
        <f>IFERROR(__xludf.DUMMYFUNCTION("""COMPUTED_VALUE"""),"FRANCISCO, ROSELYN")</f>
        <v>FRANCISCO, ROSELYN</v>
      </c>
      <c r="S290" s="1" t="str">
        <f>IFERROR(__xludf.DUMMYFUNCTION("""COMPUTED_VALUE"""),"ORGANIC")</f>
        <v>ORGANIC</v>
      </c>
      <c r="T290" s="1" t="str">
        <f>IFERROR(__xludf.DUMMYFUNCTION("""COMPUTED_VALUE"""),"LEA REMOLLO")</f>
        <v>LEA REMOLLO</v>
      </c>
      <c r="U290" s="1" t="str">
        <f>IFERROR(__xludf.DUMMYFUNCTION("""COMPUTED_VALUE"""),"JB SALIOA")</f>
        <v>JB SALIOA</v>
      </c>
      <c r="V290" s="1" t="str">
        <f>IFERROR(__xludf.DUMMYFUNCTION("""COMPUTED_VALUE"""),"ONLINE/CRANFORD")</f>
        <v>ONLINE/CRANFORD</v>
      </c>
      <c r="W290" s="1" t="str">
        <f>IFERROR(__xludf.DUMMYFUNCTION("""COMPUTED_VALUE"""),"STK REGULAR")</f>
        <v>STK REGULAR</v>
      </c>
      <c r="X290" s="1" t="str">
        <f>IFERROR(__xludf.DUMMYFUNCTION("""COMPUTED_VALUE"""),"REGULAR")</f>
        <v>REGULAR</v>
      </c>
      <c r="Y290" s="1" t="str">
        <f>IFERROR(__xludf.DUMMYFUNCTION("""COMPUTED_VALUE"""),"RS_ONL_CVEU_2026")</f>
        <v>RS_ONL_CVEU_2026</v>
      </c>
      <c r="Z290" s="1" t="str">
        <f>IFERROR(__xludf.DUMMYFUNCTION("""COMPUTED_VALUE"""),"NEW CONNECT")</f>
        <v>NEW CONNECT</v>
      </c>
      <c r="AA290" s="1">
        <f>IFERROR(__xludf.DUMMYFUNCTION("""COMPUTED_VALUE"""),639123959073)</f>
        <v>639123959073</v>
      </c>
      <c r="AB290" s="1">
        <f>IFERROR(__xludf.DUMMYFUNCTION("""COMPUTED_VALUE"""),639364320798)</f>
        <v>639364320798</v>
      </c>
      <c r="AC290" s="1"/>
      <c r="AD290" s="1" t="str">
        <f>IFERROR(__xludf.DUMMYFUNCTION("""COMPUTED_VALUE"""),"PHASE 5")</f>
        <v>PHASE 5</v>
      </c>
      <c r="AE290" s="1" t="str">
        <f>IFERROR(__xludf.DUMMYFUNCTION("""COMPUTED_VALUE"""),"GOLDEN CITY")</f>
        <v>GOLDEN CITY</v>
      </c>
      <c r="AF290" s="1" t="str">
        <f>IFERROR(__xludf.DUMMYFUNCTION("""COMPUTED_VALUE"""),"BGY SALAWAG")</f>
        <v>BGY SALAWAG</v>
      </c>
      <c r="AG290" s="1" t="str">
        <f>IFERROR(__xludf.DUMMYFUNCTION("""COMPUTED_VALUE"""),"DASMARINAS")</f>
        <v>DASMARINAS</v>
      </c>
      <c r="AH290" s="1" t="str">
        <f>IFERROR(__xludf.DUMMYFUNCTION("""COMPUTED_VALUE"""),"ALFAMART")</f>
        <v>ALFAMART</v>
      </c>
      <c r="AI290" s="1" t="str">
        <f>IFERROR(__xludf.DUMMYFUNCTION("""COMPUTED_VALUE"""),"NOT AOR")</f>
        <v>NOT AOR</v>
      </c>
    </row>
    <row r="291" customHeight="1" spans="1:35">
      <c r="A291" s="3">
        <f>IFERROR(__xludf.DUMMYFUNCTION("""COMPUTED_VALUE"""),46260)</f>
        <v>46260</v>
      </c>
      <c r="B291" s="1" t="str">
        <f>IFERROR(__xludf.DUMMYFUNCTION("""COMPUTED_VALUE"""),"TERESITA ROSALES GARCIA")</f>
        <v>TERESITA ROSALES GARCIA</v>
      </c>
      <c r="C291" s="1">
        <f>IFERROR(__xludf.DUMMYFUNCTION("""COMPUTED_VALUE"""),2312101833)</f>
        <v>2312101833</v>
      </c>
      <c r="D291" s="1">
        <f>IFERROR(__xludf.DUMMYFUNCTION("""COMPUTED_VALUE"""),407328183)</f>
        <v>407328183</v>
      </c>
      <c r="E291" s="1">
        <f>IFERROR(__xludf.DUMMYFUNCTION("""COMPUTED_VALUE"""),468008787004)</f>
        <v>468008787004</v>
      </c>
      <c r="F291" s="1" t="str">
        <f>IFERROR(__xludf.DUMMYFUNCTION("""COMPUTED_VALUE"""),"CANCELLED")</f>
        <v>CANCELLED</v>
      </c>
      <c r="G291" s="1" t="str">
        <f>IFERROR(__xludf.DUMMYFUNCTION("""COMPUTED_VALUE"""),"AUTO - AGING")</f>
        <v>AUTO - AGING</v>
      </c>
      <c r="H291" s="1"/>
      <c r="I291" s="1"/>
      <c r="J291" s="1"/>
      <c r="K291" s="1" t="str">
        <f>IFERROR(__xludf.DUMMYFUNCTION("""COMPUTED_VALUE"""),"NOT IN OFSC")</f>
        <v>NOT IN OFSC</v>
      </c>
      <c r="L291" s="1" t="str">
        <f>IFERROR(__xludf.DUMMYFUNCTION("""COMPUTED_VALUE"""),"CANCELLED - AGING")</f>
        <v>CANCELLED - AGING</v>
      </c>
      <c r="M291" s="1" t="str">
        <f>IFERROR(__xludf.DUMMYFUNCTION("""COMPUTED_VALUE"""),"CANCELLED - AGING")</f>
        <v>CANCELLED - AGING</v>
      </c>
      <c r="N291" s="3"/>
      <c r="O291" s="1" t="str">
        <f>IFERROR(__xludf.DUMMYFUNCTION("""COMPUTED_VALUE"""),"FIBR UNLI ALL PLAN 999")</f>
        <v>FIBR UNLI ALL PLAN 999</v>
      </c>
      <c r="P291" s="1" t="str">
        <f>IFERROR(__xludf.DUMMYFUNCTION("""COMPUTED_VALUE"""),"LOWPLAN")</f>
        <v>LOWPLAN</v>
      </c>
      <c r="Q291" s="1" t="str">
        <f>IFERROR(__xludf.DUMMYFUNCTION("""COMPUTED_VALUE"""),"P407050")</f>
        <v>P407050</v>
      </c>
      <c r="R291" s="1" t="str">
        <f>IFERROR(__xludf.DUMMYFUNCTION("""COMPUTED_VALUE"""),"RIVERA, AIRIZH JOY")</f>
        <v>RIVERA, AIRIZH JOY</v>
      </c>
      <c r="S291" s="1" t="str">
        <f>IFERROR(__xludf.DUMMYFUNCTION("""COMPUTED_VALUE"""),"ORGANIC")</f>
        <v>ORGANIC</v>
      </c>
      <c r="T291" s="1" t="str">
        <f>IFERROR(__xludf.DUMMYFUNCTION("""COMPUTED_VALUE"""),"LEA REMOLLO")</f>
        <v>LEA REMOLLO</v>
      </c>
      <c r="U291" s="1" t="str">
        <f>IFERROR(__xludf.DUMMYFUNCTION("""COMPUTED_VALUE"""),"JB SALIOA")</f>
        <v>JB SALIOA</v>
      </c>
      <c r="V291" s="1" t="str">
        <f>IFERROR(__xludf.DUMMYFUNCTION("""COMPUTED_VALUE"""),"ONLINE/CRANFORD")</f>
        <v>ONLINE/CRANFORD</v>
      </c>
      <c r="W291" s="1" t="str">
        <f>IFERROR(__xludf.DUMMYFUNCTION("""COMPUTED_VALUE"""),"STK REGULAR")</f>
        <v>STK REGULAR</v>
      </c>
      <c r="X291" s="1" t="str">
        <f>IFERROR(__xludf.DUMMYFUNCTION("""COMPUTED_VALUE"""),"REGULAR")</f>
        <v>REGULAR</v>
      </c>
      <c r="Y291" s="1" t="str">
        <f>IFERROR(__xludf.DUMMYFUNCTION("""COMPUTED_VALUE"""),"RS_ONL_CVEU_2026")</f>
        <v>RS_ONL_CVEU_2026</v>
      </c>
      <c r="Z291" s="1" t="str">
        <f>IFERROR(__xludf.DUMMYFUNCTION("""COMPUTED_VALUE"""),"NEW CONNECT")</f>
        <v>NEW CONNECT</v>
      </c>
      <c r="AA291" s="1">
        <f>IFERROR(__xludf.DUMMYFUNCTION("""COMPUTED_VALUE"""),639560338841)</f>
        <v>639560338841</v>
      </c>
      <c r="AB291" s="1">
        <f>IFERROR(__xludf.DUMMYFUNCTION("""COMPUTED_VALUE"""),639095894430)</f>
        <v>639095894430</v>
      </c>
      <c r="AC291" s="1">
        <f>IFERROR(__xludf.DUMMYFUNCTION("""COMPUTED_VALUE"""),4)</f>
        <v>4</v>
      </c>
      <c r="AD291" s="1" t="str">
        <f>IFERROR(__xludf.DUMMYFUNCTION("""COMPUTED_VALUE"""),"PINAGLINTIKAN")</f>
        <v>PINAGLINTIKAN</v>
      </c>
      <c r="AE291" s="1" t="str">
        <f>IFERROR(__xludf.DUMMYFUNCTION("""COMPUTED_VALUE"""),"PASONG MATANDA")</f>
        <v>PASONG MATANDA</v>
      </c>
      <c r="AF291" s="1" t="str">
        <f>IFERROR(__xludf.DUMMYFUNCTION("""COMPUTED_VALUE"""),"BGY 5")</f>
        <v>BGY 5</v>
      </c>
      <c r="AG291" s="1" t="str">
        <f>IFERROR(__xludf.DUMMYFUNCTION("""COMPUTED_VALUE"""),"AMADEO")</f>
        <v>AMADEO</v>
      </c>
      <c r="AH291" s="1" t="str">
        <f>IFERROR(__xludf.DUMMYFUNCTION("""COMPUTED_VALUE"""),"PHAROAH FARM")</f>
        <v>PHAROAH FARM</v>
      </c>
      <c r="AI291" s="1" t="str">
        <f>IFERROR(__xludf.DUMMYFUNCTION("""COMPUTED_VALUE"""),"CLUSTER 12")</f>
        <v>CLUSTER 12</v>
      </c>
    </row>
    <row r="292" customHeight="1" spans="1:35">
      <c r="A292" s="3">
        <f>IFERROR(__xludf.DUMMYFUNCTION("""COMPUTED_VALUE"""),46260)</f>
        <v>46260</v>
      </c>
      <c r="B292" s="1" t="str">
        <f>IFERROR(__xludf.DUMMYFUNCTION("""COMPUTED_VALUE"""),"MERLIN MANARIN OFIAZA")</f>
        <v>MERLIN MANARIN OFIAZA</v>
      </c>
      <c r="C292" s="1">
        <f>IFERROR(__xludf.DUMMYFUNCTION("""COMPUTED_VALUE"""),2312103725)</f>
        <v>2312103725</v>
      </c>
      <c r="D292" s="1">
        <f>IFERROR(__xludf.DUMMYFUNCTION("""COMPUTED_VALUE"""),407322169)</f>
        <v>407322169</v>
      </c>
      <c r="E292" s="1">
        <f>IFERROR(__xludf.DUMMYFUNCTION("""COMPUTED_VALUE"""),468005723004)</f>
        <v>468005723004</v>
      </c>
      <c r="F292" s="1" t="str">
        <f>IFERROR(__xludf.DUMMYFUNCTION("""COMPUTED_VALUE"""),"CLOSED")</f>
        <v>CLOSED</v>
      </c>
      <c r="G292" s="1" t="str">
        <f>IFERROR(__xludf.DUMMYFUNCTION("""COMPUTED_VALUE"""),"CLOSED")</f>
        <v>CLOSED</v>
      </c>
      <c r="H292" s="1" t="str">
        <f>IFERROR(__xludf.DUMMYFUNCTION("""COMPUTED_VALUE"""),"PQGOR364816445	21-Sep-26	Regular Payment	CIS-GCASH 3.0	1,597.36	0	21-Sep-26")</f>
        <v>PQGOR364816445	21-Sep-26	Regular Payment	CIS-GCASH 3.0	1,597.36	0	21-Sep-26</v>
      </c>
      <c r="I292" s="1" t="str">
        <f>IFERROR(__xludf.DUMMYFUNCTION("""COMPUTED_VALUE"""),"WITH 1 AMSF")</f>
        <v>WITH 1 AMSF</v>
      </c>
      <c r="J292" s="1"/>
      <c r="K292" s="1" t="str">
        <f>IFERROR(__xludf.DUMMYFUNCTION("""COMPUTED_VALUE"""),"COMPLETED")</f>
        <v>COMPLETED</v>
      </c>
      <c r="L292" s="1" t="str">
        <f>IFERROR(__xludf.DUMMYFUNCTION("""COMPUTED_VALUE"""),"POSTED")</f>
        <v>POSTED</v>
      </c>
      <c r="M292" s="1" t="str">
        <f>IFERROR(__xludf.DUMMYFUNCTION("""COMPUTED_VALUE"""),"POSTED")</f>
        <v>POSTED</v>
      </c>
      <c r="N292" s="3">
        <f>IFERROR(__xludf.DUMMYFUNCTION("""COMPUTED_VALUE"""),46267)</f>
        <v>46267</v>
      </c>
      <c r="O292" s="1" t="str">
        <f>IFERROR(__xludf.DUMMYFUNCTION("""COMPUTED_VALUE"""),"FIBER UNLI ALL PLAN 1499")</f>
        <v>FIBER UNLI ALL PLAN 1499</v>
      </c>
      <c r="P292" s="1" t="str">
        <f>IFERROR(__xludf.DUMMYFUNCTION("""COMPUTED_VALUE"""),"LOWPLAN")</f>
        <v>LOWPLAN</v>
      </c>
      <c r="Q292" s="1" t="str">
        <f>IFERROR(__xludf.DUMMYFUNCTION("""COMPUTED_VALUE"""),"P407044")</f>
        <v>P407044</v>
      </c>
      <c r="R292" s="1" t="str">
        <f>IFERROR(__xludf.DUMMYFUNCTION("""COMPUTED_VALUE"""),"CARPIO, STEPHANIE")</f>
        <v>CARPIO, STEPHANIE</v>
      </c>
      <c r="S292" s="1" t="str">
        <f>IFERROR(__xludf.DUMMYFUNCTION("""COMPUTED_VALUE"""),"FLA")</f>
        <v>FLA</v>
      </c>
      <c r="T292" s="1" t="str">
        <f>IFERROR(__xludf.DUMMYFUNCTION("""COMPUTED_VALUE"""),"JERIC NAVARRO")</f>
        <v>JERIC NAVARRO</v>
      </c>
      <c r="U292" s="1" t="str">
        <f>IFERROR(__xludf.DUMMYFUNCTION("""COMPUTED_VALUE"""),"JB SALIOA")</f>
        <v>JB SALIOA</v>
      </c>
      <c r="V292" s="1" t="str">
        <f>IFERROR(__xludf.DUMMYFUNCTION("""COMPUTED_VALUE"""),"ONLINE/CRANFORD")</f>
        <v>ONLINE/CRANFORD</v>
      </c>
      <c r="W292" s="1" t="str">
        <f>IFERROR(__xludf.DUMMYFUNCTION("""COMPUTED_VALUE"""),"STK REGULAR")</f>
        <v>STK REGULAR</v>
      </c>
      <c r="X292" s="1" t="str">
        <f>IFERROR(__xludf.DUMMYFUNCTION("""COMPUTED_VALUE"""),"HBBS AUG 2026")</f>
        <v>HBBS AUG 2026</v>
      </c>
      <c r="Y292" s="1" t="str">
        <f>IFERROR(__xludf.DUMMYFUNCTION("""COMPUTED_VALUE"""),"RS_SS_CVEU_2026")</f>
        <v>RS_SS_CVEU_2026</v>
      </c>
      <c r="Z292" s="1" t="str">
        <f>IFERROR(__xludf.DUMMYFUNCTION("""COMPUTED_VALUE"""),"NEW CONNECT")</f>
        <v>NEW CONNECT</v>
      </c>
      <c r="AA292" s="1">
        <f>IFERROR(__xludf.DUMMYFUNCTION("""COMPUTED_VALUE"""),639158849638)</f>
        <v>639158849638</v>
      </c>
      <c r="AB292" s="1"/>
      <c r="AC292" s="1"/>
      <c r="AD292" s="1" t="str">
        <f>IFERROR(__xludf.DUMMYFUNCTION("""COMPUTED_VALUE"""),"SANCHEZ")</f>
        <v>SANCHEZ</v>
      </c>
      <c r="AE292" s="1"/>
      <c r="AF292" s="1" t="str">
        <f>IFERROR(__xludf.DUMMYFUNCTION("""COMPUTED_VALUE"""),"BGY 51")</f>
        <v>BGY 51</v>
      </c>
      <c r="AG292" s="1" t="str">
        <f>IFERROR(__xludf.DUMMYFUNCTION("""COMPUTED_VALUE"""),"CAVITE CITY")</f>
        <v>CAVITE CITY</v>
      </c>
      <c r="AH292" s="1" t="str">
        <f>IFERROR(__xludf.DUMMYFUNCTION("""COMPUTED_VALUE"""),"-")</f>
        <v>-</v>
      </c>
      <c r="AI292" s="1" t="str">
        <f>IFERROR(__xludf.DUMMYFUNCTION("""COMPUTED_VALUE"""),"NOT AOR")</f>
        <v>NOT AOR</v>
      </c>
    </row>
    <row r="293" customHeight="1" spans="1:35">
      <c r="A293" s="3">
        <f>IFERROR(__xludf.DUMMYFUNCTION("""COMPUTED_VALUE"""),46260)</f>
        <v>46260</v>
      </c>
      <c r="B293" s="1" t="str">
        <f>IFERROR(__xludf.DUMMYFUNCTION("""COMPUTED_VALUE"""),"CHERRY GIL CAPUNO DELEN")</f>
        <v>CHERRY GIL CAPUNO DELEN</v>
      </c>
      <c r="C293" s="1">
        <f>IFERROR(__xludf.DUMMYFUNCTION("""COMPUTED_VALUE"""),2312104615)</f>
        <v>2312104615</v>
      </c>
      <c r="D293" s="1"/>
      <c r="E293" s="1"/>
      <c r="F293" s="1" t="str">
        <f>IFERROR(__xludf.DUMMYFUNCTION("""COMPUTED_VALUE"""),"CANCELLED")</f>
        <v>CANCELLED</v>
      </c>
      <c r="G293" s="1" t="str">
        <f>IFERROR(__xludf.DUMMYFUNCTION("""COMPUTED_VALUE"""),"(WITH BLACKLIST HIT FOR COMPLIANCE) RETURN TO SALES | FOUND WITH BLACKLISTED ACC# (0275185205) WITH OB (Php7, 895.15) UNDER SAME NAME DIFF ADD | NEED TO SETTLE OB FIRST | COMPLETE DOCS | CORRECT ENCODED INFO IN CSP | NO EXISTING ACTIVE ACCOUNT OR PENDING/"&amp;"CANCELLED APPLICATION | TU SCORING: EE - 2 (NTC) | WAIVED 1AMSF")</f>
        <v>(WITH BLACKLIST HIT FOR COMPLIANCE) RETURN TO SALES | FOUND WITH BLACKLISTED ACC# (0275185205) WITH OB (Php7, 895.15) UNDER SAME NAME DIFF ADD | NEED TO SETTLE OB FIRST | COMPLETE DOCS | CORRECT ENCODED INFO IN CSP | NO EXISTING ACTIVE ACCOUNT OR PENDING/CANCELLED APPLICATION | TU SCORING: EE - 2 (NTC) | WAIVED 1AMSF</v>
      </c>
      <c r="H293" s="1"/>
      <c r="I293" s="1"/>
      <c r="J293" s="1"/>
      <c r="K293" s="1"/>
      <c r="L293" s="1" t="str">
        <f>IFERROR(__xludf.DUMMYFUNCTION("""COMPUTED_VALUE"""),"CANCELLED - WITH OB")</f>
        <v>CANCELLED - WITH OB</v>
      </c>
      <c r="M293" s="1" t="str">
        <f>IFERROR(__xludf.DUMMYFUNCTION("""COMPUTED_VALUE"""),"CANCELLED - WITH OB")</f>
        <v>CANCELLED - WITH OB</v>
      </c>
      <c r="N293" s="3"/>
      <c r="O293" s="1" t="str">
        <f>IFERROR(__xludf.DUMMYFUNCTION("""COMPUTED_VALUE"""),"FIBR UNLI ALL PLAN 999")</f>
        <v>FIBR UNLI ALL PLAN 999</v>
      </c>
      <c r="P293" s="1" t="str">
        <f>IFERROR(__xludf.DUMMYFUNCTION("""COMPUTED_VALUE"""),"LOWPLAN")</f>
        <v>LOWPLAN</v>
      </c>
      <c r="Q293" s="1" t="str">
        <f>IFERROR(__xludf.DUMMYFUNCTION("""COMPUTED_VALUE"""),"P407050")</f>
        <v>P407050</v>
      </c>
      <c r="R293" s="1" t="str">
        <f>IFERROR(__xludf.DUMMYFUNCTION("""COMPUTED_VALUE"""),"ALOS, CHARLS LAURENZ")</f>
        <v>ALOS, CHARLS LAURENZ</v>
      </c>
      <c r="S293" s="1" t="str">
        <f>IFERROR(__xludf.DUMMYFUNCTION("""COMPUTED_VALUE"""),"ORGANIC")</f>
        <v>ORGANIC</v>
      </c>
      <c r="T293" s="1" t="str">
        <f>IFERROR(__xludf.DUMMYFUNCTION("""COMPUTED_VALUE"""),"LEA REMOLLO")</f>
        <v>LEA REMOLLO</v>
      </c>
      <c r="U293" s="1" t="str">
        <f>IFERROR(__xludf.DUMMYFUNCTION("""COMPUTED_VALUE"""),"JB SALIOA")</f>
        <v>JB SALIOA</v>
      </c>
      <c r="V293" s="1" t="str">
        <f>IFERROR(__xludf.DUMMYFUNCTION("""COMPUTED_VALUE"""),"BK HSTK")</f>
        <v>BK HSTK</v>
      </c>
      <c r="W293" s="1" t="str">
        <f>IFERROR(__xludf.DUMMYFUNCTION("""COMPUTED_VALUE"""),"BK HSTK")</f>
        <v>BK HSTK</v>
      </c>
      <c r="X293" s="1" t="str">
        <f>IFERROR(__xludf.DUMMYFUNCTION("""COMPUTED_VALUE"""),"REGULAR")</f>
        <v>REGULAR</v>
      </c>
      <c r="Y293" s="1" t="str">
        <f>IFERROR(__xludf.DUMMYFUNCTION("""COMPUTED_VALUE"""),"BK_CVEU_260813")</f>
        <v>BK_CVEU_260813</v>
      </c>
      <c r="Z293" s="1" t="str">
        <f>IFERROR(__xludf.DUMMYFUNCTION("""COMPUTED_VALUE"""),"NEW CONNECT")</f>
        <v>NEW CONNECT</v>
      </c>
      <c r="AA293" s="1">
        <f>IFERROR(__xludf.DUMMYFUNCTION("""COMPUTED_VALUE"""),639278054453)</f>
        <v>639278054453</v>
      </c>
      <c r="AB293" s="1"/>
      <c r="AC293" s="1">
        <f>IFERROR(__xludf.DUMMYFUNCTION("""COMPUTED_VALUE"""),23)</f>
        <v>23</v>
      </c>
      <c r="AD293" s="1" t="str">
        <f>IFERROR(__xludf.DUMMYFUNCTION("""COMPUTED_VALUE"""),"PUROK 7")</f>
        <v>PUROK 7</v>
      </c>
      <c r="AE293" s="1"/>
      <c r="AF293" s="1" t="str">
        <f>IFERROR(__xludf.DUMMYFUNCTION("""COMPUTED_VALUE"""),"BGY LITLIT")</f>
        <v>BGY LITLIT</v>
      </c>
      <c r="AG293" s="1" t="str">
        <f>IFERROR(__xludf.DUMMYFUNCTION("""COMPUTED_VALUE"""),"SILANG")</f>
        <v>SILANG</v>
      </c>
      <c r="AH293" s="1" t="str">
        <f>IFERROR(__xludf.DUMMYFUNCTION("""COMPUTED_VALUE"""),"-")</f>
        <v>-</v>
      </c>
      <c r="AI293" s="1" t="str">
        <f>IFERROR(__xludf.DUMMYFUNCTION("""COMPUTED_VALUE"""),"CLUSTER 11")</f>
        <v>CLUSTER 11</v>
      </c>
    </row>
    <row r="294" customHeight="1" spans="1:35">
      <c r="A294" s="3">
        <f>IFERROR(__xludf.DUMMYFUNCTION("""COMPUTED_VALUE"""),46260)</f>
        <v>46260</v>
      </c>
      <c r="B294" s="1" t="str">
        <f>IFERROR(__xludf.DUMMYFUNCTION("""COMPUTED_VALUE"""),"DENNIS SALUDO BITO")</f>
        <v>DENNIS SALUDO BITO</v>
      </c>
      <c r="C294" s="1">
        <f>IFERROR(__xludf.DUMMYFUNCTION("""COMPUTED_VALUE"""),2312118591)</f>
        <v>2312118591</v>
      </c>
      <c r="D294" s="1">
        <f>IFERROR(__xludf.DUMMYFUNCTION("""COMPUTED_VALUE"""),407352440)</f>
        <v>407352440</v>
      </c>
      <c r="E294" s="1">
        <f>IFERROR(__xludf.DUMMYFUNCTION("""COMPUTED_VALUE"""),468037689004)</f>
        <v>468037689004</v>
      </c>
      <c r="F294" s="1" t="str">
        <f>IFERROR(__xludf.DUMMYFUNCTION("""COMPUTED_VALUE"""),"cloSED")</f>
        <v>cloSED</v>
      </c>
      <c r="G294" s="1" t="str">
        <f>IFERROR(__xludf.DUMMYFUNCTION("""COMPUTED_VALUE"""),"cloSED")</f>
        <v>cloSED</v>
      </c>
      <c r="H294" s="1" t="str">
        <f>IFERROR(__xludf.DUMMYFUNCTION("""COMPUTED_VALUE"""),"PQGOR362359886	30-Aug-26	Regular Payment	CIS-GCASH 3.0	1,499.00	0	30-Aug-26")</f>
        <v>PQGOR362359886	30-Aug-26	Regular Payment	CIS-GCASH 3.0	1,499.00	0	30-Aug-26</v>
      </c>
      <c r="I294" s="1" t="str">
        <f>IFERROR(__xludf.DUMMYFUNCTION("""COMPUTED_VALUE"""),"WITH 1 AMSF")</f>
        <v>WITH 1 AMSF</v>
      </c>
      <c r="J294" s="1"/>
      <c r="K294" s="1" t="str">
        <f>IFERROR(__xludf.DUMMYFUNCTION("""COMPUTED_VALUE"""),"COMPLETED")</f>
        <v>COMPLETED</v>
      </c>
      <c r="L294" s="1" t="str">
        <f>IFERROR(__xludf.DUMMYFUNCTION("""COMPUTED_VALUE"""),"POSTED")</f>
        <v>POSTED</v>
      </c>
      <c r="M294" s="1" t="str">
        <f>IFERROR(__xludf.DUMMYFUNCTION("""COMPUTED_VALUE"""),"POSTED")</f>
        <v>POSTED</v>
      </c>
      <c r="N294" s="3">
        <f>IFERROR(__xludf.DUMMYFUNCTION("""COMPUTED_VALUE"""),46266)</f>
        <v>46266</v>
      </c>
      <c r="O294" s="1" t="str">
        <f>IFERROR(__xludf.DUMMYFUNCTION("""COMPUTED_VALUE"""),"FIBER UNLI ALL PLAN 1499")</f>
        <v>FIBER UNLI ALL PLAN 1499</v>
      </c>
      <c r="P294" s="1" t="str">
        <f>IFERROR(__xludf.DUMMYFUNCTION("""COMPUTED_VALUE"""),"LOWPLAN")</f>
        <v>LOWPLAN</v>
      </c>
      <c r="Q294" s="1" t="str">
        <f>IFERROR(__xludf.DUMMYFUNCTION("""COMPUTED_VALUE"""),"P407044")</f>
        <v>P407044</v>
      </c>
      <c r="R294" s="1" t="str">
        <f>IFERROR(__xludf.DUMMYFUNCTION("""COMPUTED_VALUE"""),"AYON, MANUEL")</f>
        <v>AYON, MANUEL</v>
      </c>
      <c r="S294" s="1" t="str">
        <f>IFERROR(__xludf.DUMMYFUNCTION("""COMPUTED_VALUE"""),"FLA")</f>
        <v>FLA</v>
      </c>
      <c r="T294" s="1" t="str">
        <f>IFERROR(__xludf.DUMMYFUNCTION("""COMPUTED_VALUE"""),"JERIC NAVARRO")</f>
        <v>JERIC NAVARRO</v>
      </c>
      <c r="U294" s="1" t="str">
        <f>IFERROR(__xludf.DUMMYFUNCTION("""COMPUTED_VALUE"""),"JB SALIOA")</f>
        <v>JB SALIOA</v>
      </c>
      <c r="V294" s="1" t="str">
        <f>IFERROR(__xludf.DUMMYFUNCTION("""COMPUTED_VALUE"""),"ONLINE/CRANFORD")</f>
        <v>ONLINE/CRANFORD</v>
      </c>
      <c r="W294" s="1" t="str">
        <f>IFERROR(__xludf.DUMMYFUNCTION("""COMPUTED_VALUE"""),"STK REGULAR")</f>
        <v>STK REGULAR</v>
      </c>
      <c r="X294" s="1" t="str">
        <f>IFERROR(__xludf.DUMMYFUNCTION("""COMPUTED_VALUE"""),"HBBS AUG 2026")</f>
        <v>HBBS AUG 2026</v>
      </c>
      <c r="Y294" s="1" t="str">
        <f>IFERROR(__xludf.DUMMYFUNCTION("""COMPUTED_VALUE"""),"RS_ONL_CVEU_2026")</f>
        <v>RS_ONL_CVEU_2026</v>
      </c>
      <c r="Z294" s="1" t="str">
        <f>IFERROR(__xludf.DUMMYFUNCTION("""COMPUTED_VALUE"""),"NEW CONNECT")</f>
        <v>NEW CONNECT</v>
      </c>
      <c r="AA294" s="1">
        <f>IFERROR(__xludf.DUMMYFUNCTION("""COMPUTED_VALUE"""),639615548304)</f>
        <v>639615548304</v>
      </c>
      <c r="AB294" s="1">
        <f>IFERROR(__xludf.DUMMYFUNCTION("""COMPUTED_VALUE"""),639186860725)</f>
        <v>639186860725</v>
      </c>
      <c r="AC294" s="1">
        <f>IFERROR(__xludf.DUMMYFUNCTION("""COMPUTED_VALUE"""),1030)</f>
        <v>1030</v>
      </c>
      <c r="AD294" s="1" t="str">
        <f>IFERROR(__xludf.DUMMYFUNCTION("""COMPUTED_VALUE"""),"ADELFA")</f>
        <v>ADELFA</v>
      </c>
      <c r="AE294" s="1" t="str">
        <f>IFERROR(__xludf.DUMMYFUNCTION("""COMPUTED_VALUE"""),"OREGANO")</f>
        <v>OREGANO</v>
      </c>
      <c r="AF294" s="1" t="str">
        <f>IFERROR(__xludf.DUMMYFUNCTION("""COMPUTED_VALUE"""),"BGY MADUYA")</f>
        <v>BGY MADUYA</v>
      </c>
      <c r="AG294" s="1" t="str">
        <f>IFERROR(__xludf.DUMMYFUNCTION("""COMPUTED_VALUE"""),"CARMONA")</f>
        <v>CARMONA</v>
      </c>
      <c r="AH294" s="1" t="str">
        <f>IFERROR(__xludf.DUMMYFUNCTION("""COMPUTED_VALUE"""),"ADELFA ST")</f>
        <v>ADELFA ST</v>
      </c>
      <c r="AI294" s="1" t="str">
        <f>IFERROR(__xludf.DUMMYFUNCTION("""COMPUTED_VALUE"""),"CLUSTER 11")</f>
        <v>CLUSTER 11</v>
      </c>
    </row>
    <row r="295" customHeight="1" spans="1:35">
      <c r="A295" s="3">
        <f>IFERROR(__xludf.DUMMYFUNCTION("""COMPUTED_VALUE"""),46260)</f>
        <v>46260</v>
      </c>
      <c r="B295" s="1" t="str">
        <f>IFERROR(__xludf.DUMMYFUNCTION("""COMPUTED_VALUE"""),"JAENIELL WENDY YLAGAN BAYLON")</f>
        <v>JAENIELL WENDY YLAGAN BAYLON</v>
      </c>
      <c r="C295" s="1">
        <f>IFERROR(__xludf.DUMMYFUNCTION("""COMPUTED_VALUE"""),2312118835)</f>
        <v>2312118835</v>
      </c>
      <c r="D295" s="1">
        <f>IFERROR(__xludf.DUMMYFUNCTION("""COMPUTED_VALUE"""),407350774)</f>
        <v>407350774</v>
      </c>
      <c r="E295" s="1">
        <f>IFERROR(__xludf.DUMMYFUNCTION("""COMPUTED_VALUE"""),468028746004)</f>
        <v>468028746004</v>
      </c>
      <c r="F295" s="1" t="str">
        <f>IFERROR(__xludf.DUMMYFUNCTION("""COMPUTED_VALUE"""),"CLOSED")</f>
        <v>CLOSED</v>
      </c>
      <c r="G295" s="1" t="str">
        <f>IFERROR(__xludf.DUMMYFUNCTION("""COMPUTED_VALUE"""),"CLOSED")</f>
        <v>CLOSED</v>
      </c>
      <c r="H295" s="1" t="str">
        <f>IFERROR(__xludf.DUMMYFUNCTION("""COMPUTED_VALUE"""),"PQGOR362051803	27-Aug-26	Regular Payment	CIS-GCASH 3.0	1,299.00	0	27-Aug-26")</f>
        <v>PQGOR362051803	27-Aug-26	Regular Payment	CIS-GCASH 3.0	1,299.00	0	27-Aug-26</v>
      </c>
      <c r="I295" s="1" t="str">
        <f>IFERROR(__xludf.DUMMYFUNCTION("""COMPUTED_VALUE"""),"WITH 1 AMSF")</f>
        <v>WITH 1 AMSF</v>
      </c>
      <c r="J295" s="1"/>
      <c r="K295" s="1" t="str">
        <f>IFERROR(__xludf.DUMMYFUNCTION("""COMPUTED_VALUE"""),"COMPLETED")</f>
        <v>COMPLETED</v>
      </c>
      <c r="L295" s="1" t="str">
        <f>IFERROR(__xludf.DUMMYFUNCTION("""COMPUTED_VALUE"""),"POSTED")</f>
        <v>POSTED</v>
      </c>
      <c r="M295" s="1" t="str">
        <f>IFERROR(__xludf.DUMMYFUNCTION("""COMPUTED_VALUE"""),"POSTED")</f>
        <v>POSTED</v>
      </c>
      <c r="N295" s="3">
        <f>IFERROR(__xludf.DUMMYFUNCTION("""COMPUTED_VALUE"""),46261)</f>
        <v>46261</v>
      </c>
      <c r="O295" s="1" t="str">
        <f>IFERROR(__xludf.DUMMYFUNCTION("""COMPUTED_VALUE"""),"FIBR PLAN 1299")</f>
        <v>FIBR PLAN 1299</v>
      </c>
      <c r="P295" s="1" t="str">
        <f>IFERROR(__xludf.DUMMYFUNCTION("""COMPUTED_VALUE"""),"LOWPLAN")</f>
        <v>LOWPLAN</v>
      </c>
      <c r="Q295" s="1" t="str">
        <f>IFERROR(__xludf.DUMMYFUNCTION("""COMPUTED_VALUE"""),"P407046")</f>
        <v>P407046</v>
      </c>
      <c r="R295" s="1" t="str">
        <f>IFERROR(__xludf.DUMMYFUNCTION("""COMPUTED_VALUE"""),"MALIWAT, MARK")</f>
        <v>MALIWAT, MARK</v>
      </c>
      <c r="S295" s="1" t="str">
        <f>IFERROR(__xludf.DUMMYFUNCTION("""COMPUTED_VALUE"""),"FLA")</f>
        <v>FLA</v>
      </c>
      <c r="T295" s="1" t="str">
        <f>IFERROR(__xludf.DUMMYFUNCTION("""COMPUTED_VALUE"""),"JERIC NAVARRO")</f>
        <v>JERIC NAVARRO</v>
      </c>
      <c r="U295" s="1" t="str">
        <f>IFERROR(__xludf.DUMMYFUNCTION("""COMPUTED_VALUE"""),"JB SALIOA")</f>
        <v>JB SALIOA</v>
      </c>
      <c r="V295" s="1" t="str">
        <f>IFERROR(__xludf.DUMMYFUNCTION("""COMPUTED_VALUE"""),"ONLINE/CRANFORD")</f>
        <v>ONLINE/CRANFORD</v>
      </c>
      <c r="W295" s="1" t="str">
        <f>IFERROR(__xludf.DUMMYFUNCTION("""COMPUTED_VALUE"""),"STK REGULAR")</f>
        <v>STK REGULAR</v>
      </c>
      <c r="X295" s="1" t="str">
        <f>IFERROR(__xludf.DUMMYFUNCTION("""COMPUTED_VALUE"""),"REGULAR")</f>
        <v>REGULAR</v>
      </c>
      <c r="Y295" s="1" t="str">
        <f>IFERROR(__xludf.DUMMYFUNCTION("""COMPUTED_VALUE"""),"RS_ONL_CVEU_2026")</f>
        <v>RS_ONL_CVEU_2026</v>
      </c>
      <c r="Z295" s="1" t="str">
        <f>IFERROR(__xludf.DUMMYFUNCTION("""COMPUTED_VALUE"""),"NEW CONNECT")</f>
        <v>NEW CONNECT</v>
      </c>
      <c r="AA295" s="1">
        <f>IFERROR(__xludf.DUMMYFUNCTION("""COMPUTED_VALUE"""),639756637274)</f>
        <v>639756637274</v>
      </c>
      <c r="AB295" s="1">
        <f>IFERROR(__xludf.DUMMYFUNCTION("""COMPUTED_VALUE"""),639392087931)</f>
        <v>639392087931</v>
      </c>
      <c r="AC295" s="1">
        <f>IFERROR(__xludf.DUMMYFUNCTION("""COMPUTED_VALUE"""),221)</f>
        <v>221</v>
      </c>
      <c r="AD295" s="1" t="str">
        <f>IFERROR(__xludf.DUMMYFUNCTION("""COMPUTED_VALUE"""),"RIZAL")</f>
        <v>RIZAL</v>
      </c>
      <c r="AE295" s="1" t="str">
        <f>IFERROR(__xludf.DUMMYFUNCTION("""COMPUTED_VALUE"""),"APARTMENT 1")</f>
        <v>APARTMENT 1</v>
      </c>
      <c r="AF295" s="1" t="str">
        <f>IFERROR(__xludf.DUMMYFUNCTION("""COMPUTED_VALUE"""),"BGY 3")</f>
        <v>BGY 3</v>
      </c>
      <c r="AG295" s="1" t="str">
        <f>IFERROR(__xludf.DUMMYFUNCTION("""COMPUTED_VALUE"""),"ALFONSO")</f>
        <v>ALFONSO</v>
      </c>
      <c r="AH295" s="1" t="str">
        <f>IFERROR(__xludf.DUMMYFUNCTION("""COMPUTED_VALUE"""),"INFRONT OF DALI AND MYNN OIL")</f>
        <v>INFRONT OF DALI AND MYNN OIL</v>
      </c>
      <c r="AI295" s="1" t="str">
        <f>IFERROR(__xludf.DUMMYFUNCTION("""COMPUTED_VALUE"""),"CLUSTER 12")</f>
        <v>CLUSTER 12</v>
      </c>
    </row>
    <row r="296" customHeight="1" spans="1:35">
      <c r="A296" s="3">
        <f>IFERROR(__xludf.DUMMYFUNCTION("""COMPUTED_VALUE"""),46260)</f>
        <v>46260</v>
      </c>
      <c r="B296" s="1" t="str">
        <f>IFERROR(__xludf.DUMMYFUNCTION("""COMPUTED_VALUE"""),"GERMIN MARCELIN CONDAHAN")</f>
        <v>GERMIN MARCELIN CONDAHAN</v>
      </c>
      <c r="C296" s="1">
        <f>IFERROR(__xludf.DUMMYFUNCTION("""COMPUTED_VALUE"""),2312119162)</f>
        <v>2312119162</v>
      </c>
      <c r="D296" s="1">
        <f>IFERROR(__xludf.DUMMYFUNCTION("""COMPUTED_VALUE"""),407401735)</f>
        <v>407401735</v>
      </c>
      <c r="E296" s="1">
        <f>IFERROR(__xludf.DUMMYFUNCTION("""COMPUTED_VALUE"""),468245154004)</f>
        <v>468245154004</v>
      </c>
      <c r="F296" s="1" t="str">
        <f>IFERROR(__xludf.DUMMYFUNCTION("""COMPUTED_VALUE"""),"CANCELLED")</f>
        <v>CANCELLED</v>
      </c>
      <c r="G296" s="1" t="str">
        <f>IFERROR(__xludf.DUMMYFUNCTION("""COMPUTED_VALUE"""),"CANCELLED")</f>
        <v>CANCELLED</v>
      </c>
      <c r="H296" s="1" t="str">
        <f>IFERROR(__xludf.DUMMYFUNCTION("""COMPUTED_VALUE"""),"1ST CBR CANNOT BE REACH 2ND CBR TOK TO SOR AS PER SUBS SA 10 SEPT PA ANG PERA NILA 10:09 ")</f>
        <v>1ST CBR CANNOT BE REACH 2ND CBR TOK TO SOR AS PER SUBS SA 10 SEPT PA ANG PERA NILA 10:09 </v>
      </c>
      <c r="I296" s="1"/>
      <c r="J296" s="1"/>
      <c r="K296" s="1" t="str">
        <f>IFERROR(__xludf.DUMMYFUNCTION("""COMPUTED_VALUE"""),"NOT IN OFSC")</f>
        <v>NOT IN OFSC</v>
      </c>
      <c r="L296" s="1" t="str">
        <f>IFERROR(__xludf.DUMMYFUNCTION("""COMPUTED_VALUE"""),"CANCELLED ")</f>
        <v>CANCELLED </v>
      </c>
      <c r="M296" s="1" t="str">
        <f>IFERROR(__xludf.DUMMYFUNCTION("""COMPUTED_VALUE"""),"CANCELLED - NON COMPLIANCE")</f>
        <v>CANCELLED - NON COMPLIANCE</v>
      </c>
      <c r="N296" s="3"/>
      <c r="O296" s="1" t="str">
        <f>IFERROR(__xludf.DUMMYFUNCTION("""COMPUTED_VALUE"""),"FIBR UNLI ALL PLAN 999")</f>
        <v>FIBR UNLI ALL PLAN 999</v>
      </c>
      <c r="P296" s="1" t="str">
        <f>IFERROR(__xludf.DUMMYFUNCTION("""COMPUTED_VALUE"""),"LOWPLAN")</f>
        <v>LOWPLAN</v>
      </c>
      <c r="Q296" s="1" t="str">
        <f>IFERROR(__xludf.DUMMYFUNCTION("""COMPUTED_VALUE"""),"P407050")</f>
        <v>P407050</v>
      </c>
      <c r="R296" s="1" t="str">
        <f>IFERROR(__xludf.DUMMYFUNCTION("""COMPUTED_VALUE"""),"ARENA, LYKA")</f>
        <v>ARENA, LYKA</v>
      </c>
      <c r="S296" s="1" t="str">
        <f>IFERROR(__xludf.DUMMYFUNCTION("""COMPUTED_VALUE"""),"ORGANIC")</f>
        <v>ORGANIC</v>
      </c>
      <c r="T296" s="1" t="str">
        <f>IFERROR(__xludf.DUMMYFUNCTION("""COMPUTED_VALUE"""),"LEA REMOLLO")</f>
        <v>LEA REMOLLO</v>
      </c>
      <c r="U296" s="1" t="str">
        <f>IFERROR(__xludf.DUMMYFUNCTION("""COMPUTED_VALUE"""),"JB SALIOA")</f>
        <v>JB SALIOA</v>
      </c>
      <c r="V296" s="1" t="str">
        <f>IFERROR(__xludf.DUMMYFUNCTION("""COMPUTED_VALUE"""),"BK HSTK")</f>
        <v>BK HSTK</v>
      </c>
      <c r="W296" s="1" t="str">
        <f>IFERROR(__xludf.DUMMYFUNCTION("""COMPUTED_VALUE"""),"BK HSTK")</f>
        <v>BK HSTK</v>
      </c>
      <c r="X296" s="1" t="str">
        <f>IFERROR(__xludf.DUMMYFUNCTION("""COMPUTED_VALUE"""),"REGULAR")</f>
        <v>REGULAR</v>
      </c>
      <c r="Y296" s="1" t="str">
        <f>IFERROR(__xludf.DUMMYFUNCTION("""COMPUTED_VALUE"""),"BK_CVEU_260811")</f>
        <v>BK_CVEU_260811</v>
      </c>
      <c r="Z296" s="1" t="str">
        <f>IFERROR(__xludf.DUMMYFUNCTION("""COMPUTED_VALUE"""),"NEW CONNECT")</f>
        <v>NEW CONNECT</v>
      </c>
      <c r="AA296" s="1">
        <f>IFERROR(__xludf.DUMMYFUNCTION("""COMPUTED_VALUE"""),639511001139)</f>
        <v>639511001139</v>
      </c>
      <c r="AB296" s="1">
        <f>IFERROR(__xludf.DUMMYFUNCTION("""COMPUTED_VALUE"""),639462513468)</f>
        <v>639462513468</v>
      </c>
      <c r="AC296" s="1"/>
      <c r="AD296" s="1" t="str">
        <f>IFERROR(__xludf.DUMMYFUNCTION("""COMPUTED_VALUE"""),"INOCENCIO SALUD")</f>
        <v>INOCENCIO SALUD</v>
      </c>
      <c r="AE296" s="1"/>
      <c r="AF296" s="1" t="str">
        <f>IFERROR(__xludf.DUMMYFUNCTION("""COMPUTED_VALUE"""),"BGY INOCENCIO SALUD")</f>
        <v>BGY INOCENCIO SALUD</v>
      </c>
      <c r="AG296" s="1" t="str">
        <f>IFERROR(__xludf.DUMMYFUNCTION("""COMPUTED_VALUE"""),"GEN MARIANO ALVAREZ")</f>
        <v>GEN MARIANO ALVAREZ</v>
      </c>
      <c r="AH296" s="1" t="str">
        <f>IFERROR(__xludf.DUMMYFUNCTION("""COMPUTED_VALUE"""),"-")</f>
        <v>-</v>
      </c>
      <c r="AI296" s="1" t="str">
        <f>IFERROR(__xludf.DUMMYFUNCTION("""COMPUTED_VALUE"""),"CLUSTER 11")</f>
        <v>CLUSTER 11</v>
      </c>
    </row>
    <row r="297" customHeight="1" spans="1:35">
      <c r="A297" s="3">
        <f>IFERROR(__xludf.DUMMYFUNCTION("""COMPUTED_VALUE"""),46260)</f>
        <v>46260</v>
      </c>
      <c r="B297" s="1" t="str">
        <f>IFERROR(__xludf.DUMMYFUNCTION("""COMPUTED_VALUE"""),"TIRSO JR CARPENA TORRES")</f>
        <v>TIRSO JR CARPENA TORRES</v>
      </c>
      <c r="C297" s="1">
        <f>IFERROR(__xludf.DUMMYFUNCTION("""COMPUTED_VALUE"""),2312119520)</f>
        <v>2312119520</v>
      </c>
      <c r="D297" s="1">
        <f>IFERROR(__xludf.DUMMYFUNCTION("""COMPUTED_VALUE"""),407401883)</f>
        <v>407401883</v>
      </c>
      <c r="E297" s="1">
        <f>IFERROR(__xludf.DUMMYFUNCTION("""COMPUTED_VALUE"""),468247243004)</f>
        <v>468247243004</v>
      </c>
      <c r="F297" s="1" t="str">
        <f>IFERROR(__xludf.DUMMYFUNCTION("""COMPUTED_VALUE"""),"CANCELLED")</f>
        <v>CANCELLED</v>
      </c>
      <c r="G297" s="1" t="str">
        <f>IFERROR(__xludf.DUMMYFUNCTION("""COMPUTED_VALUE"""),"CANCELLED")</f>
        <v>CANCELLED</v>
      </c>
      <c r="H297" s="1" t="str">
        <f>IFERROR(__xludf.DUMMYFUNCTION("""COMPUTED_VALUE"""),"TOK TO SOR 1ST CBR MAG CHAT NALANG DAW SYA SA AHENTE KAPAG HAWAK NA NYA ANG PERA PANG BAYAD WAG NA DAW PAULIT ULIT NA TUMAWAG SYA NA DAW MAG SASABI")</f>
        <v>TOK TO SOR 1ST CBR MAG CHAT NALANG DAW SYA SA AHENTE KAPAG HAWAK NA NYA ANG PERA PANG BAYAD WAG NA DAW PAULIT ULIT NA TUMAWAG SYA NA DAW MAG SASABI</v>
      </c>
      <c r="I297" s="1"/>
      <c r="J297" s="1"/>
      <c r="K297" s="1" t="str">
        <f>IFERROR(__xludf.DUMMYFUNCTION("""COMPUTED_VALUE"""),"NOT IN OFSC")</f>
        <v>NOT IN OFSC</v>
      </c>
      <c r="L297" s="1" t="str">
        <f>IFERROR(__xludf.DUMMYFUNCTION("""COMPUTED_VALUE"""),"CANCELLED ")</f>
        <v>CANCELLED </v>
      </c>
      <c r="M297" s="1" t="str">
        <f>IFERROR(__xludf.DUMMYFUNCTION("""COMPUTED_VALUE"""),"CANCELLED - NON COMPLIANCE")</f>
        <v>CANCELLED - NON COMPLIANCE</v>
      </c>
      <c r="N297" s="3"/>
      <c r="O297" s="1" t="str">
        <f>IFERROR(__xludf.DUMMYFUNCTION("""COMPUTED_VALUE"""),"FIBR UNLI ALL PLAN 999")</f>
        <v>FIBR UNLI ALL PLAN 999</v>
      </c>
      <c r="P297" s="1" t="str">
        <f>IFERROR(__xludf.DUMMYFUNCTION("""COMPUTED_VALUE"""),"LOWPLAN")</f>
        <v>LOWPLAN</v>
      </c>
      <c r="Q297" s="1" t="str">
        <f>IFERROR(__xludf.DUMMYFUNCTION("""COMPUTED_VALUE"""),"P407050")</f>
        <v>P407050</v>
      </c>
      <c r="R297" s="1" t="str">
        <f>IFERROR(__xludf.DUMMYFUNCTION("""COMPUTED_VALUE"""),"MAGDARAOG, KENNETH")</f>
        <v>MAGDARAOG, KENNETH</v>
      </c>
      <c r="S297" s="1" t="str">
        <f>IFERROR(__xludf.DUMMYFUNCTION("""COMPUTED_VALUE"""),"ORGANIC")</f>
        <v>ORGANIC</v>
      </c>
      <c r="T297" s="1" t="str">
        <f>IFERROR(__xludf.DUMMYFUNCTION("""COMPUTED_VALUE"""),"LEA REMOLLO")</f>
        <v>LEA REMOLLO</v>
      </c>
      <c r="U297" s="1" t="str">
        <f>IFERROR(__xludf.DUMMYFUNCTION("""COMPUTED_VALUE"""),"JB SALIOA")</f>
        <v>JB SALIOA</v>
      </c>
      <c r="V297" s="1" t="str">
        <f>IFERROR(__xludf.DUMMYFUNCTION("""COMPUTED_VALUE"""),"BK HSTK")</f>
        <v>BK HSTK</v>
      </c>
      <c r="W297" s="1" t="str">
        <f>IFERROR(__xludf.DUMMYFUNCTION("""COMPUTED_VALUE"""),"BK HSTK")</f>
        <v>BK HSTK</v>
      </c>
      <c r="X297" s="1" t="str">
        <f>IFERROR(__xludf.DUMMYFUNCTION("""COMPUTED_VALUE"""),"REGULAR")</f>
        <v>REGULAR</v>
      </c>
      <c r="Y297" s="1" t="str">
        <f>IFERROR(__xludf.DUMMYFUNCTION("""COMPUTED_VALUE"""),"BK_CVEU_260813")</f>
        <v>BK_CVEU_260813</v>
      </c>
      <c r="Z297" s="1" t="str">
        <f>IFERROR(__xludf.DUMMYFUNCTION("""COMPUTED_VALUE"""),"NEW CONNECT")</f>
        <v>NEW CONNECT</v>
      </c>
      <c r="AA297" s="1">
        <f>IFERROR(__xludf.DUMMYFUNCTION("""COMPUTED_VALUE"""),639753969902)</f>
        <v>639753969902</v>
      </c>
      <c r="AB297" s="1">
        <f>IFERROR(__xludf.DUMMYFUNCTION("""COMPUTED_VALUE"""),639359109002)</f>
        <v>639359109002</v>
      </c>
      <c r="AC297" s="1">
        <f>IFERROR(__xludf.DUMMYFUNCTION("""COMPUTED_VALUE"""),52)</f>
        <v>52</v>
      </c>
      <c r="AD297" s="1" t="str">
        <f>IFERROR(__xludf.DUMMYFUNCTION("""COMPUTED_VALUE"""),"NARRA 3")</f>
        <v>NARRA 3</v>
      </c>
      <c r="AE297" s="1"/>
      <c r="AF297" s="1" t="str">
        <f>IFERROR(__xludf.DUMMYFUNCTION("""COMPUTED_VALUE"""),"BGY NARRA 3")</f>
        <v>BGY NARRA 3</v>
      </c>
      <c r="AG297" s="1" t="str">
        <f>IFERROR(__xludf.DUMMYFUNCTION("""COMPUTED_VALUE"""),"SILANG")</f>
        <v>SILANG</v>
      </c>
      <c r="AH297" s="1" t="str">
        <f>IFERROR(__xludf.DUMMYFUNCTION("""COMPUTED_VALUE"""),"-")</f>
        <v>-</v>
      </c>
      <c r="AI297" s="1" t="str">
        <f>IFERROR(__xludf.DUMMYFUNCTION("""COMPUTED_VALUE"""),"CLUSTER 11")</f>
        <v>CLUSTER 11</v>
      </c>
    </row>
    <row r="298" customHeight="1" spans="1:35">
      <c r="A298" s="3">
        <f>IFERROR(__xludf.DUMMYFUNCTION("""COMPUTED_VALUE"""),46260)</f>
        <v>46260</v>
      </c>
      <c r="B298" s="1" t="str">
        <f>IFERROR(__xludf.DUMMYFUNCTION("""COMPUTED_VALUE"""),"JHON CEDRICK PANGANIBAN VILLELA")</f>
        <v>JHON CEDRICK PANGANIBAN VILLELA</v>
      </c>
      <c r="C298" s="1">
        <f>IFERROR(__xludf.DUMMYFUNCTION("""COMPUTED_VALUE"""),2312119772)</f>
        <v>2312119772</v>
      </c>
      <c r="D298" s="1">
        <f>IFERROR(__xludf.DUMMYFUNCTION("""COMPUTED_VALUE"""),407352238)</f>
        <v>407352238</v>
      </c>
      <c r="E298" s="1">
        <f>IFERROR(__xludf.DUMMYFUNCTION("""COMPUTED_VALUE"""),468037397004)</f>
        <v>468037397004</v>
      </c>
      <c r="F298" s="1" t="str">
        <f>IFERROR(__xludf.DUMMYFUNCTION("""COMPUTED_VALUE"""),"CANCELLED")</f>
        <v>CANCELLED</v>
      </c>
      <c r="G298" s="1" t="str">
        <f>IFERROR(__xludf.DUMMYFUNCTION("""COMPUTED_VALUE"""),"CANCELLED")</f>
        <v>CANCELLED</v>
      </c>
      <c r="H298" s="1"/>
      <c r="I298" s="1"/>
      <c r="J298" s="1"/>
      <c r="K298" s="1" t="str">
        <f>IFERROR(__xludf.DUMMYFUNCTION("""COMPUTED_VALUE"""),"CANCELED")</f>
        <v>CANCELED</v>
      </c>
      <c r="L298" s="1" t="str">
        <f>IFERROR(__xludf.DUMMYFUNCTION("""COMPUTED_VALUE"""),"CANCELLED")</f>
        <v>CANCELLED</v>
      </c>
      <c r="M298" s="1" t="str">
        <f>IFERROR(__xludf.DUMMYFUNCTION("""COMPUTED_VALUE"""),"CANCELLED - SUBS CANCEL REQUEST")</f>
        <v>CANCELLED - SUBS CANCEL REQUEST</v>
      </c>
      <c r="N298" s="3"/>
      <c r="O298" s="1" t="str">
        <f>IFERROR(__xludf.DUMMYFUNCTION("""COMPUTED_VALUE"""),"FIBR PLAN 1299")</f>
        <v>FIBR PLAN 1299</v>
      </c>
      <c r="P298" s="1" t="str">
        <f>IFERROR(__xludf.DUMMYFUNCTION("""COMPUTED_VALUE"""),"LOWPLAN")</f>
        <v>LOWPLAN</v>
      </c>
      <c r="Q298" s="1" t="str">
        <f>IFERROR(__xludf.DUMMYFUNCTION("""COMPUTED_VALUE"""),"P407050")</f>
        <v>P407050</v>
      </c>
      <c r="R298" s="1" t="str">
        <f>IFERROR(__xludf.DUMMYFUNCTION("""COMPUTED_VALUE"""),"ESCARCHA, ALMA")</f>
        <v>ESCARCHA, ALMA</v>
      </c>
      <c r="S298" s="1" t="str">
        <f>IFERROR(__xludf.DUMMYFUNCTION("""COMPUTED_VALUE"""),"ORGANIC")</f>
        <v>ORGANIC</v>
      </c>
      <c r="T298" s="1" t="str">
        <f>IFERROR(__xludf.DUMMYFUNCTION("""COMPUTED_VALUE"""),"LEA REMOLLO")</f>
        <v>LEA REMOLLO</v>
      </c>
      <c r="U298" s="1" t="str">
        <f>IFERROR(__xludf.DUMMYFUNCTION("""COMPUTED_VALUE"""),"JB SALIOA")</f>
        <v>JB SALIOA</v>
      </c>
      <c r="V298" s="1" t="str">
        <f>IFERROR(__xludf.DUMMYFUNCTION("""COMPUTED_VALUE"""),"BK HSTK")</f>
        <v>BK HSTK</v>
      </c>
      <c r="W298" s="1" t="str">
        <f>IFERROR(__xludf.DUMMYFUNCTION("""COMPUTED_VALUE"""),"BK HSTK")</f>
        <v>BK HSTK</v>
      </c>
      <c r="X298" s="1" t="str">
        <f>IFERROR(__xludf.DUMMYFUNCTION("""COMPUTED_VALUE"""),"REGULAR")</f>
        <v>REGULAR</v>
      </c>
      <c r="Y298" s="1" t="str">
        <f>IFERROR(__xludf.DUMMYFUNCTION("""COMPUTED_VALUE"""),"BK_CVEU_260814")</f>
        <v>BK_CVEU_260814</v>
      </c>
      <c r="Z298" s="1" t="str">
        <f>IFERROR(__xludf.DUMMYFUNCTION("""COMPUTED_VALUE"""),"NEW CONNECT")</f>
        <v>NEW CONNECT</v>
      </c>
      <c r="AA298" s="1">
        <f>IFERROR(__xludf.DUMMYFUNCTION("""COMPUTED_VALUE"""),639946152093)</f>
        <v>639946152093</v>
      </c>
      <c r="AB298" s="1"/>
      <c r="AC298" s="1">
        <f>IFERROR(__xludf.DUMMYFUNCTION("""COMPUTED_VALUE"""),88)</f>
        <v>88</v>
      </c>
      <c r="AD298" s="1" t="str">
        <f>IFERROR(__xludf.DUMMYFUNCTION("""COMPUTED_VALUE"""),"PUROK 77")</f>
        <v>PUROK 77</v>
      </c>
      <c r="AE298" s="1"/>
      <c r="AF298" s="1" t="str">
        <f>IFERROR(__xludf.DUMMYFUNCTION("""COMPUTED_VALUE"""),"BGY KAYBAGAL SOUTH")</f>
        <v>BGY KAYBAGAL SOUTH</v>
      </c>
      <c r="AG298" s="1" t="str">
        <f>IFERROR(__xludf.DUMMYFUNCTION("""COMPUTED_VALUE"""),"TAGAYTAY")</f>
        <v>TAGAYTAY</v>
      </c>
      <c r="AH298" s="1" t="str">
        <f>IFERROR(__xludf.DUMMYFUNCTION("""COMPUTED_VALUE"""),"LOMI HOUSE")</f>
        <v>LOMI HOUSE</v>
      </c>
      <c r="AI298" s="1" t="str">
        <f>IFERROR(__xludf.DUMMYFUNCTION("""COMPUTED_VALUE"""),"CLUSTER 12")</f>
        <v>CLUSTER 12</v>
      </c>
    </row>
    <row r="299" customHeight="1" spans="1:35">
      <c r="A299" s="3">
        <f>IFERROR(__xludf.DUMMYFUNCTION("""COMPUTED_VALUE"""),46260)</f>
        <v>46260</v>
      </c>
      <c r="B299" s="1" t="str">
        <f>IFERROR(__xludf.DUMMYFUNCTION("""COMPUTED_VALUE"""),"RAFAEL ARIOLA DELA TORRE")</f>
        <v>RAFAEL ARIOLA DELA TORRE</v>
      </c>
      <c r="C299" s="1">
        <f>IFERROR(__xludf.DUMMYFUNCTION("""COMPUTED_VALUE"""),2312119910)</f>
        <v>2312119910</v>
      </c>
      <c r="D299" s="1">
        <f>IFERROR(__xludf.DUMMYFUNCTION("""COMPUTED_VALUE"""),407352963)</f>
        <v>407352963</v>
      </c>
      <c r="E299" s="1">
        <f>IFERROR(__xludf.DUMMYFUNCTION("""COMPUTED_VALUE"""),468040152004)</f>
        <v>468040152004</v>
      </c>
      <c r="F299" s="1" t="str">
        <f>IFERROR(__xludf.DUMMYFUNCTION("""COMPUTED_VALUE"""),"CLOSED")</f>
        <v>CLOSED</v>
      </c>
      <c r="G299" s="1" t="str">
        <f>IFERROR(__xludf.DUMMYFUNCTION("""COMPUTED_VALUE"""),"CLOSED")</f>
        <v>CLOSED</v>
      </c>
      <c r="H299" s="1"/>
      <c r="I299" s="1" t="str">
        <f>IFERROR(__xludf.DUMMYFUNCTION("""COMPUTED_VALUE"""),"NO 1 AMSF")</f>
        <v>NO 1 AMSF</v>
      </c>
      <c r="J299" s="1" t="str">
        <f>IFERROR(__xludf.DUMMYFUNCTION("""COMPUTED_VALUE"""),"DUE DATE - 24-Sep-26 - 1,326.25")</f>
        <v>DUE DATE - 24-Sep-26 - 1,326.25</v>
      </c>
      <c r="K299" s="1" t="str">
        <f>IFERROR(__xludf.DUMMYFUNCTION("""COMPUTED_VALUE"""),"COMPLETED")</f>
        <v>COMPLETED</v>
      </c>
      <c r="L299" s="1" t="str">
        <f>IFERROR(__xludf.DUMMYFUNCTION("""COMPUTED_VALUE"""),"POSTED")</f>
        <v>POSTED</v>
      </c>
      <c r="M299" s="1" t="str">
        <f>IFERROR(__xludf.DUMMYFUNCTION("""COMPUTED_VALUE"""),"POSTED")</f>
        <v>POSTED</v>
      </c>
      <c r="N299" s="3">
        <f>IFERROR(__xludf.DUMMYFUNCTION("""COMPUTED_VALUE"""),46261)</f>
        <v>46261</v>
      </c>
      <c r="O299" s="1" t="str">
        <f>IFERROR(__xludf.DUMMYFUNCTION("""COMPUTED_VALUE"""),"FIBR UNLI ALL PLAN 999")</f>
        <v>FIBR UNLI ALL PLAN 999</v>
      </c>
      <c r="P299" s="1" t="str">
        <f>IFERROR(__xludf.DUMMYFUNCTION("""COMPUTED_VALUE"""),"LOWPLAN")</f>
        <v>LOWPLAN</v>
      </c>
      <c r="Q299" s="1" t="str">
        <f>IFERROR(__xludf.DUMMYFUNCTION("""COMPUTED_VALUE"""),"P407050")</f>
        <v>P407050</v>
      </c>
      <c r="R299" s="1" t="str">
        <f>IFERROR(__xludf.DUMMYFUNCTION("""COMPUTED_VALUE"""),"MANDUCDOC, MARIANE")</f>
        <v>MANDUCDOC, MARIANE</v>
      </c>
      <c r="S299" s="1" t="str">
        <f>IFERROR(__xludf.DUMMYFUNCTION("""COMPUTED_VALUE"""),"ORGANIC")</f>
        <v>ORGANIC</v>
      </c>
      <c r="T299" s="1" t="str">
        <f>IFERROR(__xludf.DUMMYFUNCTION("""COMPUTED_VALUE"""),"LEA REMOLLO")</f>
        <v>LEA REMOLLO</v>
      </c>
      <c r="U299" s="1" t="str">
        <f>IFERROR(__xludf.DUMMYFUNCTION("""COMPUTED_VALUE"""),"JB SALIOA")</f>
        <v>JB SALIOA</v>
      </c>
      <c r="V299" s="1" t="str">
        <f>IFERROR(__xludf.DUMMYFUNCTION("""COMPUTED_VALUE"""),"BK HSTK")</f>
        <v>BK HSTK</v>
      </c>
      <c r="W299" s="1" t="str">
        <f>IFERROR(__xludf.DUMMYFUNCTION("""COMPUTED_VALUE"""),"BK HSTK")</f>
        <v>BK HSTK</v>
      </c>
      <c r="X299" s="1" t="str">
        <f>IFERROR(__xludf.DUMMYFUNCTION("""COMPUTED_VALUE"""),"REGULAR")</f>
        <v>REGULAR</v>
      </c>
      <c r="Y299" s="1" t="str">
        <f>IFERROR(__xludf.DUMMYFUNCTION("""COMPUTED_VALUE"""),"BK_CVEU_260814")</f>
        <v>BK_CVEU_260814</v>
      </c>
      <c r="Z299" s="1" t="str">
        <f>IFERROR(__xludf.DUMMYFUNCTION("""COMPUTED_VALUE"""),"NEW CONNECT")</f>
        <v>NEW CONNECT</v>
      </c>
      <c r="AA299" s="1">
        <f>IFERROR(__xludf.DUMMYFUNCTION("""COMPUTED_VALUE"""),639658023513)</f>
        <v>639658023513</v>
      </c>
      <c r="AB299" s="1"/>
      <c r="AC299" s="1">
        <f>IFERROR(__xludf.DUMMYFUNCTION("""COMPUTED_VALUE"""),399)</f>
        <v>399</v>
      </c>
      <c r="AD299" s="1" t="str">
        <f>IFERROR(__xludf.DUMMYFUNCTION("""COMPUTED_VALUE"""),"PUROK 137")</f>
        <v>PUROK 137</v>
      </c>
      <c r="AE299" s="1"/>
      <c r="AF299" s="1" t="str">
        <f>IFERROR(__xludf.DUMMYFUNCTION("""COMPUTED_VALUE"""),"BGY NEOGAN")</f>
        <v>BGY NEOGAN</v>
      </c>
      <c r="AG299" s="1" t="str">
        <f>IFERROR(__xludf.DUMMYFUNCTION("""COMPUTED_VALUE"""),"TAGAYTAY")</f>
        <v>TAGAYTAY</v>
      </c>
      <c r="AH299" s="1" t="str">
        <f>IFERROR(__xludf.DUMMYFUNCTION("""COMPUTED_VALUE"""),"KALAYAAN HOMES")</f>
        <v>KALAYAAN HOMES</v>
      </c>
      <c r="AI299" s="1" t="str">
        <f>IFERROR(__xludf.DUMMYFUNCTION("""COMPUTED_VALUE"""),"CLUSTER 12")</f>
        <v>CLUSTER 12</v>
      </c>
    </row>
    <row r="300" customHeight="1" spans="1:35">
      <c r="A300" s="3">
        <f>IFERROR(__xludf.DUMMYFUNCTION("""COMPUTED_VALUE"""),46260)</f>
        <v>46260</v>
      </c>
      <c r="B300" s="1" t="str">
        <f>IFERROR(__xludf.DUMMYFUNCTION("""COMPUTED_VALUE"""),"CZARINA MARIE CALMERIN QUILAO")</f>
        <v>CZARINA MARIE CALMERIN QUILAO</v>
      </c>
      <c r="C300" s="1">
        <f>IFERROR(__xludf.DUMMYFUNCTION("""COMPUTED_VALUE"""),2312120037)</f>
        <v>2312120037</v>
      </c>
      <c r="D300" s="1">
        <f>IFERROR(__xludf.DUMMYFUNCTION("""COMPUTED_VALUE"""),407352475)</f>
        <v>407352475</v>
      </c>
      <c r="E300" s="1">
        <f>IFERROR(__xludf.DUMMYFUNCTION("""COMPUTED_VALUE"""),468037719004)</f>
        <v>468037719004</v>
      </c>
      <c r="F300" s="1" t="str">
        <f>IFERROR(__xludf.DUMMYFUNCTION("""COMPUTED_VALUE"""),"CLOSED")</f>
        <v>CLOSED</v>
      </c>
      <c r="G300" s="1" t="str">
        <f>IFERROR(__xludf.DUMMYFUNCTION("""COMPUTED_VALUE"""),"CLOSED")</f>
        <v>CLOSED</v>
      </c>
      <c r="H300" s="1"/>
      <c r="I300" s="1" t="str">
        <f>IFERROR(__xludf.DUMMYFUNCTION("""COMPUTED_VALUE"""),"NO 1 AMSF")</f>
        <v>NO 1 AMSF</v>
      </c>
      <c r="J300" s="1" t="str">
        <f>IFERROR(__xludf.DUMMYFUNCTION("""COMPUTED_VALUE"""),"DUE DATE - 26-Sep-26 - 1,444.13")</f>
        <v>DUE DATE - 26-Sep-26 - 1,444.13</v>
      </c>
      <c r="K300" s="1" t="str">
        <f>IFERROR(__xludf.DUMMYFUNCTION("""COMPUTED_VALUE"""),"COMPLETED")</f>
        <v>COMPLETED</v>
      </c>
      <c r="L300" s="1" t="str">
        <f>IFERROR(__xludf.DUMMYFUNCTION("""COMPUTED_VALUE"""),"poSTED")</f>
        <v>poSTED</v>
      </c>
      <c r="M300" s="1" t="str">
        <f>IFERROR(__xludf.DUMMYFUNCTION("""COMPUTED_VALUE"""),"POSTED")</f>
        <v>POSTED</v>
      </c>
      <c r="N300" s="3">
        <f>IFERROR(__xludf.DUMMYFUNCTION("""COMPUTED_VALUE"""),46267)</f>
        <v>46267</v>
      </c>
      <c r="O300" s="1" t="str">
        <f>IFERROR(__xludf.DUMMYFUNCTION("""COMPUTED_VALUE"""),"FIBR PLAN 1299")</f>
        <v>FIBR PLAN 1299</v>
      </c>
      <c r="P300" s="1" t="str">
        <f>IFERROR(__xludf.DUMMYFUNCTION("""COMPUTED_VALUE"""),"LOWPLAN")</f>
        <v>LOWPLAN</v>
      </c>
      <c r="Q300" s="1" t="str">
        <f>IFERROR(__xludf.DUMMYFUNCTION("""COMPUTED_VALUE"""),"P407050")</f>
        <v>P407050</v>
      </c>
      <c r="R300" s="1" t="str">
        <f>IFERROR(__xludf.DUMMYFUNCTION("""COMPUTED_VALUE"""),"ESCARCHA, ALMA")</f>
        <v>ESCARCHA, ALMA</v>
      </c>
      <c r="S300" s="1" t="str">
        <f>IFERROR(__xludf.DUMMYFUNCTION("""COMPUTED_VALUE"""),"ORGANIC")</f>
        <v>ORGANIC</v>
      </c>
      <c r="T300" s="1" t="str">
        <f>IFERROR(__xludf.DUMMYFUNCTION("""COMPUTED_VALUE"""),"LEA REMOLLO")</f>
        <v>LEA REMOLLO</v>
      </c>
      <c r="U300" s="1" t="str">
        <f>IFERROR(__xludf.DUMMYFUNCTION("""COMPUTED_VALUE"""),"JB SALIOA")</f>
        <v>JB SALIOA</v>
      </c>
      <c r="V300" s="1" t="str">
        <f>IFERROR(__xludf.DUMMYFUNCTION("""COMPUTED_VALUE"""),"BK REGULAR")</f>
        <v>BK REGULAR</v>
      </c>
      <c r="W300" s="1" t="str">
        <f>IFERROR(__xludf.DUMMYFUNCTION("""COMPUTED_VALUE"""),"STK REGULAR")</f>
        <v>STK REGULAR</v>
      </c>
      <c r="X300" s="1" t="str">
        <f>IFERROR(__xludf.DUMMYFUNCTION("""COMPUTED_VALUE"""),"REGULAR")</f>
        <v>REGULAR</v>
      </c>
      <c r="Y300" s="1" t="str">
        <f>IFERROR(__xludf.DUMMYFUNCTION("""COMPUTED_VALUE"""),"BK_CVEU_260808")</f>
        <v>BK_CVEU_260808</v>
      </c>
      <c r="Z300" s="1" t="str">
        <f>IFERROR(__xludf.DUMMYFUNCTION("""COMPUTED_VALUE"""),"NEW CONNECT")</f>
        <v>NEW CONNECT</v>
      </c>
      <c r="AA300" s="1">
        <f>IFERROR(__xludf.DUMMYFUNCTION("""COMPUTED_VALUE"""),639560490769)</f>
        <v>639560490769</v>
      </c>
      <c r="AB300" s="1">
        <f>IFERROR(__xludf.DUMMYFUNCTION("""COMPUTED_VALUE"""),639638094067)</f>
        <v>639638094067</v>
      </c>
      <c r="AC300" s="1">
        <f>IFERROR(__xludf.DUMMYFUNCTION("""COMPUTED_VALUE"""),51)</f>
        <v>51</v>
      </c>
      <c r="AD300" s="1" t="str">
        <f>IFERROR(__xludf.DUMMYFUNCTION("""COMPUTED_VALUE"""),"PASONG MATANDA")</f>
        <v>PASONG MATANDA</v>
      </c>
      <c r="AE300" s="1"/>
      <c r="AF300" s="1" t="str">
        <f>IFERROR(__xludf.DUMMYFUNCTION("""COMPUTED_VALUE"""),"BGY 5")</f>
        <v>BGY 5</v>
      </c>
      <c r="AG300" s="1" t="str">
        <f>IFERROR(__xludf.DUMMYFUNCTION("""COMPUTED_VALUE"""),"AMADEO")</f>
        <v>AMADEO</v>
      </c>
      <c r="AH300" s="1" t="str">
        <f>IFERROR(__xludf.DUMMYFUNCTION("""COMPUTED_VALUE"""),"BRGY HALL")</f>
        <v>BRGY HALL</v>
      </c>
      <c r="AI300" s="1" t="str">
        <f>IFERROR(__xludf.DUMMYFUNCTION("""COMPUTED_VALUE"""),"CLUSTER 12")</f>
        <v>CLUSTER 12</v>
      </c>
    </row>
    <row r="301" customHeight="1" spans="1:35">
      <c r="A301" s="3">
        <f>IFERROR(__xludf.DUMMYFUNCTION("""COMPUTED_VALUE"""),46260)</f>
        <v>46260</v>
      </c>
      <c r="B301" s="1" t="str">
        <f>IFERROR(__xludf.DUMMYFUNCTION("""COMPUTED_VALUE"""),"JAIMEERN ABANILLA MENDOZA")</f>
        <v>JAIMEERN ABANILLA MENDOZA</v>
      </c>
      <c r="C301" s="1">
        <f>IFERROR(__xludf.DUMMYFUNCTION("""COMPUTED_VALUE"""),2312120197)</f>
        <v>2312120197</v>
      </c>
      <c r="D301" s="1">
        <f>IFERROR(__xludf.DUMMYFUNCTION("""COMPUTED_VALUE"""),407352718)</f>
        <v>407352718</v>
      </c>
      <c r="E301" s="1">
        <f>IFERROR(__xludf.DUMMYFUNCTION("""COMPUTED_VALUE"""),468038111004)</f>
        <v>468038111004</v>
      </c>
      <c r="F301" s="1" t="str">
        <f>IFERROR(__xludf.DUMMYFUNCTION("""COMPUTED_VALUE"""),"CLOSED")</f>
        <v>CLOSED</v>
      </c>
      <c r="G301" s="1" t="str">
        <f>IFERROR(__xludf.DUMMYFUNCTION("""COMPUTED_VALUE"""),"CLOSED")</f>
        <v>CLOSED</v>
      </c>
      <c r="H301" s="1" t="str">
        <f>IFERROR(__xludf.DUMMYFUNCTION("""COMPUTED_VALUE"""),"PDEOR000294092	16-Sep-26	Regular Payment	PLDT SILANG KIOSK	1,650.00	0	16-Sep-26")</f>
        <v>PDEOR000294092	16-Sep-26	Regular Payment	PLDT SILANG KIOSK	1,650.00	0	16-Sep-26</v>
      </c>
      <c r="I301" s="1" t="str">
        <f>IFERROR(__xludf.DUMMYFUNCTION("""COMPUTED_VALUE"""),"WITH 1 AMSF")</f>
        <v>WITH 1 AMSF</v>
      </c>
      <c r="J301" s="1"/>
      <c r="K301" s="1" t="str">
        <f>IFERROR(__xludf.DUMMYFUNCTION("""COMPUTED_VALUE"""),"COMPLETED")</f>
        <v>COMPLETED</v>
      </c>
      <c r="L301" s="1" t="str">
        <f>IFERROR(__xludf.DUMMYFUNCTION("""COMPUTED_VALUE"""),"POSTED")</f>
        <v>POSTED</v>
      </c>
      <c r="M301" s="1" t="str">
        <f>IFERROR(__xludf.DUMMYFUNCTION("""COMPUTED_VALUE"""),"POSTED")</f>
        <v>POSTED</v>
      </c>
      <c r="N301" s="3">
        <f>IFERROR(__xludf.DUMMYFUNCTION("""COMPUTED_VALUE"""),46260)</f>
        <v>46260</v>
      </c>
      <c r="O301" s="1" t="str">
        <f>IFERROR(__xludf.DUMMYFUNCTION("""COMPUTED_VALUE"""),"FIBR PLAN 1299")</f>
        <v>FIBR PLAN 1299</v>
      </c>
      <c r="P301" s="1" t="str">
        <f>IFERROR(__xludf.DUMMYFUNCTION("""COMPUTED_VALUE"""),"LOWPLAN")</f>
        <v>LOWPLAN</v>
      </c>
      <c r="Q301" s="1" t="str">
        <f>IFERROR(__xludf.DUMMYFUNCTION("""COMPUTED_VALUE"""),"P407047")</f>
        <v>P407047</v>
      </c>
      <c r="R301" s="1" t="str">
        <f>IFERROR(__xludf.DUMMYFUNCTION("""COMPUTED_VALUE"""),"FRANCISCO, ROSELYN")</f>
        <v>FRANCISCO, ROSELYN</v>
      </c>
      <c r="S301" s="1" t="str">
        <f>IFERROR(__xludf.DUMMYFUNCTION("""COMPUTED_VALUE"""),"ORGANIC")</f>
        <v>ORGANIC</v>
      </c>
      <c r="T301" s="1" t="str">
        <f>IFERROR(__xludf.DUMMYFUNCTION("""COMPUTED_VALUE"""),"LEA REMOLLO")</f>
        <v>LEA REMOLLO</v>
      </c>
      <c r="U301" s="1" t="str">
        <f>IFERROR(__xludf.DUMMYFUNCTION("""COMPUTED_VALUE"""),"JB SALIOA")</f>
        <v>JB SALIOA</v>
      </c>
      <c r="V301" s="1" t="str">
        <f>IFERROR(__xludf.DUMMYFUNCTION("""COMPUTED_VALUE"""),"BK HSTK")</f>
        <v>BK HSTK</v>
      </c>
      <c r="W301" s="1" t="str">
        <f>IFERROR(__xludf.DUMMYFUNCTION("""COMPUTED_VALUE"""),"BK HSTK")</f>
        <v>BK HSTK</v>
      </c>
      <c r="X301" s="1" t="str">
        <f>IFERROR(__xludf.DUMMYFUNCTION("""COMPUTED_VALUE"""),"REGULAR")</f>
        <v>REGULAR</v>
      </c>
      <c r="Y301" s="1" t="str">
        <f>IFERROR(__xludf.DUMMYFUNCTION("""COMPUTED_VALUE"""),"BK_CVEU_260813")</f>
        <v>BK_CVEU_260813</v>
      </c>
      <c r="Z301" s="1" t="str">
        <f>IFERROR(__xludf.DUMMYFUNCTION("""COMPUTED_VALUE"""),"NEW CONNECT")</f>
        <v>NEW CONNECT</v>
      </c>
      <c r="AA301" s="1">
        <f>IFERROR(__xludf.DUMMYFUNCTION("""COMPUTED_VALUE"""),639087397657)</f>
        <v>639087397657</v>
      </c>
      <c r="AB301" s="1"/>
      <c r="AC301" s="1">
        <f>IFERROR(__xludf.DUMMYFUNCTION("""COMPUTED_VALUE"""),25)</f>
        <v>25</v>
      </c>
      <c r="AD301" s="1" t="str">
        <f>IFERROR(__xludf.DUMMYFUNCTION("""COMPUTED_VALUE"""),"AMBID")</f>
        <v>AMBID</v>
      </c>
      <c r="AE301" s="1" t="str">
        <f>IFERROR(__xludf.DUMMYFUNCTION("""COMPUTED_VALUE"""),"PUROK 5")</f>
        <v>PUROK 5</v>
      </c>
      <c r="AF301" s="1" t="str">
        <f>IFERROR(__xludf.DUMMYFUNCTION("""COMPUTED_VALUE"""),"BGY BILUSO")</f>
        <v>BGY BILUSO</v>
      </c>
      <c r="AG301" s="1" t="str">
        <f>IFERROR(__xludf.DUMMYFUNCTION("""COMPUTED_VALUE"""),"SILANG")</f>
        <v>SILANG</v>
      </c>
      <c r="AH301" s="1" t="str">
        <f>IFERROR(__xludf.DUMMYFUNCTION("""COMPUTED_VALUE"""),"GLORY CHILDREN WELFARE")</f>
        <v>GLORY CHILDREN WELFARE</v>
      </c>
      <c r="AI301" s="1" t="str">
        <f>IFERROR(__xludf.DUMMYFUNCTION("""COMPUTED_VALUE"""),"CLUSTER 11")</f>
        <v>CLUSTER 11</v>
      </c>
    </row>
    <row r="302" customHeight="1" spans="1:35">
      <c r="A302" s="3">
        <f>IFERROR(__xludf.DUMMYFUNCTION("""COMPUTED_VALUE"""),46261)</f>
        <v>46261</v>
      </c>
      <c r="B302" s="1" t="str">
        <f>IFERROR(__xludf.DUMMYFUNCTION("""COMPUTED_VALUE"""),"MILDRED FLORIDA OBRA")</f>
        <v>MILDRED FLORIDA OBRA</v>
      </c>
      <c r="C302" s="1">
        <f>IFERROR(__xludf.DUMMYFUNCTION("""COMPUTED_VALUE"""),2312131346)</f>
        <v>2312131346</v>
      </c>
      <c r="D302" s="1">
        <f>IFERROR(__xludf.DUMMYFUNCTION("""COMPUTED_VALUE"""),407365534)</f>
        <v>407365534</v>
      </c>
      <c r="E302" s="1">
        <f>IFERROR(__xludf.DUMMYFUNCTION("""COMPUTED_VALUE"""),468118983004)</f>
        <v>468118983004</v>
      </c>
      <c r="F302" s="1" t="str">
        <f>IFERROR(__xludf.DUMMYFUNCTION("""COMPUTED_VALUE"""),"CANCELLED")</f>
        <v>CANCELLED</v>
      </c>
      <c r="G302" s="1" t="str">
        <f>IFERROR(__xludf.DUMMYFUNCTION("""COMPUTED_VALUE"""),"""VISITED 
REMARKS: ALL CAFAC VERIFY FULL AND ACTIVE, ALREADY ADVICE SUBS 
GMZLP194NP1 FULL 
GMZLP194NP2 FULL 
GMZLP238NP6 FULL 
GMZLP194NP7 LOCK P1 ACTIVE 
TALK MILDRED FLORIDA OBRA 
09701156449""")</f>
        <v>"VISITED 
REMARKS: ALL CAFAC VERIFY FULL AND ACTIVE, ALREADY ADVICE SUBS 
GMZLP194NP1 FULL 
GMZLP194NP2 FULL 
GMZLP238NP6 FULL 
GMZLP194NP7 LOCK P1 ACTIVE 
TALK MILDRED FLORIDA OBRA 
09701156449"</v>
      </c>
      <c r="H302" s="1"/>
      <c r="I302" s="1"/>
      <c r="J302" s="1"/>
      <c r="K302" s="1" t="str">
        <f>IFERROR(__xludf.DUMMYFUNCTION("""COMPUTED_VALUE"""),"CANCELED")</f>
        <v>CANCELED</v>
      </c>
      <c r="L302" s="1" t="str">
        <f>IFERROR(__xludf.DUMMYFUNCTION("""COMPUTED_VALUE"""),"RPR - NAP FULL")</f>
        <v>RPR - NAP FULL</v>
      </c>
      <c r="M302" s="1" t="str">
        <f>IFERROR(__xludf.DUMMYFUNCTION("""COMPUTED_VALUE"""),"RPR- NAP FULL")</f>
        <v>RPR- NAP FULL</v>
      </c>
      <c r="N302" s="3"/>
      <c r="O302" s="1" t="str">
        <f>IFERROR(__xludf.DUMMYFUNCTION("""COMPUTED_VALUE"""),"FIBER UNLI ALL PLAN 1499")</f>
        <v>FIBER UNLI ALL PLAN 1499</v>
      </c>
      <c r="P302" s="1" t="str">
        <f>IFERROR(__xludf.DUMMYFUNCTION("""COMPUTED_VALUE"""),"LOWPLAN")</f>
        <v>LOWPLAN</v>
      </c>
      <c r="Q302" s="1" t="str">
        <f>IFERROR(__xludf.DUMMYFUNCTION("""COMPUTED_VALUE"""),"P407050")</f>
        <v>P407050</v>
      </c>
      <c r="R302" s="1" t="str">
        <f>IFERROR(__xludf.DUMMYFUNCTION("""COMPUTED_VALUE"""),"ALOS, CHARLS LAURENZ")</f>
        <v>ALOS, CHARLS LAURENZ</v>
      </c>
      <c r="S302" s="1" t="str">
        <f>IFERROR(__xludf.DUMMYFUNCTION("""COMPUTED_VALUE"""),"ORGANIC")</f>
        <v>ORGANIC</v>
      </c>
      <c r="T302" s="1" t="str">
        <f>IFERROR(__xludf.DUMMYFUNCTION("""COMPUTED_VALUE"""),"LEA REMOLLO")</f>
        <v>LEA REMOLLO</v>
      </c>
      <c r="U302" s="1" t="str">
        <f>IFERROR(__xludf.DUMMYFUNCTION("""COMPUTED_VALUE"""),"JULIE ESPIRITU")</f>
        <v>JULIE ESPIRITU</v>
      </c>
      <c r="V302" s="1" t="str">
        <f>IFERROR(__xludf.DUMMYFUNCTION("""COMPUTED_VALUE"""),"BK HSTK")</f>
        <v>BK HSTK</v>
      </c>
      <c r="W302" s="1" t="str">
        <f>IFERROR(__xludf.DUMMYFUNCTION("""COMPUTED_VALUE"""),"BK HSTK")</f>
        <v>BK HSTK</v>
      </c>
      <c r="X302" s="1" t="str">
        <f>IFERROR(__xludf.DUMMYFUNCTION("""COMPUTED_VALUE"""),"HBBS AUG 2026")</f>
        <v>HBBS AUG 2026</v>
      </c>
      <c r="Y302" s="1" t="str">
        <f>IFERROR(__xludf.DUMMYFUNCTION("""COMPUTED_VALUE"""),"BK_CVEU_260811")</f>
        <v>BK_CVEU_260811</v>
      </c>
      <c r="Z302" s="1" t="str">
        <f>IFERROR(__xludf.DUMMYFUNCTION("""COMPUTED_VALUE"""),"NEW CONNECT")</f>
        <v>NEW CONNECT</v>
      </c>
      <c r="AA302" s="1">
        <f>IFERROR(__xludf.DUMMYFUNCTION("""COMPUTED_VALUE"""),639701156449)</f>
        <v>639701156449</v>
      </c>
      <c r="AB302" s="1"/>
      <c r="AC302" s="1"/>
      <c r="AD302" s="1" t="str">
        <f>IFERROR(__xludf.DUMMYFUNCTION("""COMPUTED_VALUE"""),"GREENLAND")</f>
        <v>GREENLAND</v>
      </c>
      <c r="AE302" s="1" t="str">
        <f>IFERROR(__xludf.DUMMYFUNCTION("""COMPUTED_VALUE"""),"CASA DE MONTEVERDE PHASE 4")</f>
        <v>CASA DE MONTEVERDE PHASE 4</v>
      </c>
      <c r="AF302" s="1" t="str">
        <f>IFERROR(__xludf.DUMMYFUNCTION("""COMPUTED_VALUE"""),"BGY F DE CASTRO")</f>
        <v>BGY F DE CASTRO</v>
      </c>
      <c r="AG302" s="1" t="str">
        <f>IFERROR(__xludf.DUMMYFUNCTION("""COMPUTED_VALUE"""),"GEN MARIANO ALVAREZ")</f>
        <v>GEN MARIANO ALVAREZ</v>
      </c>
      <c r="AH302" s="1"/>
      <c r="AI302" s="1" t="str">
        <f>IFERROR(__xludf.DUMMYFUNCTION("""COMPUTED_VALUE"""),"CLUSTER 11")</f>
        <v>CLUSTER 11</v>
      </c>
    </row>
    <row r="303" customHeight="1" spans="1:35">
      <c r="A303" s="3">
        <f>IFERROR(__xludf.DUMMYFUNCTION("""COMPUTED_VALUE"""),46261)</f>
        <v>46261</v>
      </c>
      <c r="B303" s="1" t="str">
        <f>IFERROR(__xludf.DUMMYFUNCTION("""COMPUTED_VALUE"""),"DAVE ARTAJO VILLANAS")</f>
        <v>DAVE ARTAJO VILLANAS</v>
      </c>
      <c r="C303" s="1">
        <f>IFERROR(__xludf.DUMMYFUNCTION("""COMPUTED_VALUE"""),2312133678)</f>
        <v>2312133678</v>
      </c>
      <c r="D303" s="1">
        <f>IFERROR(__xludf.DUMMYFUNCTION("""COMPUTED_VALUE"""),407394607)</f>
        <v>407394607</v>
      </c>
      <c r="E303" s="1">
        <f>IFERROR(__xludf.DUMMYFUNCTION("""COMPUTED_VALUE"""),468149720004)</f>
        <v>468149720004</v>
      </c>
      <c r="F303" s="1" t="str">
        <f>IFERROR(__xludf.DUMMYFUNCTION("""COMPUTED_VALUE"""),"CLOSED")</f>
        <v>CLOSED</v>
      </c>
      <c r="G303" s="1" t="str">
        <f>IFERROR(__xludf.DUMMYFUNCTION("""COMPUTED_VALUE"""),"CLOSED")</f>
        <v>CLOSED</v>
      </c>
      <c r="H303" s="1" t="str">
        <f>IFERROR(__xludf.DUMMYFUNCTION("""COMPUTED_VALUE"""),"PQGOR362177590	28-Aug-26	Regular Payment	CIS - 7ELEVEN - NCR	1,150.00	0	28-Aug-26")</f>
        <v>PQGOR362177590	28-Aug-26	Regular Payment	CIS - 7ELEVEN - NCR	1,150.00	0	28-Aug-26</v>
      </c>
      <c r="I303" s="1" t="str">
        <f>IFERROR(__xludf.DUMMYFUNCTION("""COMPUTED_VALUE"""),"WITH 1 AMSF")</f>
        <v>WITH 1 AMSF</v>
      </c>
      <c r="J303" s="1"/>
      <c r="K303" s="1" t="str">
        <f>IFERROR(__xludf.DUMMYFUNCTION("""COMPUTED_VALUE"""),"COMPLETED")</f>
        <v>COMPLETED</v>
      </c>
      <c r="L303" s="1" t="str">
        <f>IFERROR(__xludf.DUMMYFUNCTION("""COMPUTED_VALUE"""),"POSTED")</f>
        <v>POSTED</v>
      </c>
      <c r="M303" s="1" t="str">
        <f>IFERROR(__xludf.DUMMYFUNCTION("""COMPUTED_VALUE"""),"POSTED")</f>
        <v>POSTED</v>
      </c>
      <c r="N303" s="3">
        <f>IFERROR(__xludf.DUMMYFUNCTION("""COMPUTED_VALUE"""),46262)</f>
        <v>46262</v>
      </c>
      <c r="O303" s="1" t="str">
        <f>IFERROR(__xludf.DUMMYFUNCTION("""COMPUTED_VALUE"""),"FIBR UNLI ALL PLAN 999")</f>
        <v>FIBR UNLI ALL PLAN 999</v>
      </c>
      <c r="P303" s="1" t="str">
        <f>IFERROR(__xludf.DUMMYFUNCTION("""COMPUTED_VALUE"""),"LOWPLAN")</f>
        <v>LOWPLAN</v>
      </c>
      <c r="Q303" s="1" t="str">
        <f>IFERROR(__xludf.DUMMYFUNCTION("""COMPUTED_VALUE"""),"P407046")</f>
        <v>P407046</v>
      </c>
      <c r="R303" s="1" t="str">
        <f>IFERROR(__xludf.DUMMYFUNCTION("""COMPUTED_VALUE"""),"MALIWAT, MARK")</f>
        <v>MALIWAT, MARK</v>
      </c>
      <c r="S303" s="1" t="str">
        <f>IFERROR(__xludf.DUMMYFUNCTION("""COMPUTED_VALUE"""),"FLA")</f>
        <v>FLA</v>
      </c>
      <c r="T303" s="1" t="str">
        <f>IFERROR(__xludf.DUMMYFUNCTION("""COMPUTED_VALUE"""),"JERIC NAVARRO")</f>
        <v>JERIC NAVARRO</v>
      </c>
      <c r="U303" s="1" t="str">
        <f>IFERROR(__xludf.DUMMYFUNCTION("""COMPUTED_VALUE"""),"JULIE ESPIRITU")</f>
        <v>JULIE ESPIRITU</v>
      </c>
      <c r="V303" s="1" t="str">
        <f>IFERROR(__xludf.DUMMYFUNCTION("""COMPUTED_VALUE"""),"ONLINE/CRANFORD")</f>
        <v>ONLINE/CRANFORD</v>
      </c>
      <c r="W303" s="1" t="str">
        <f>IFERROR(__xludf.DUMMYFUNCTION("""COMPUTED_VALUE"""),"STK REGULAR")</f>
        <v>STK REGULAR</v>
      </c>
      <c r="X303" s="1" t="str">
        <f>IFERROR(__xludf.DUMMYFUNCTION("""COMPUTED_VALUE"""),"REGULAR")</f>
        <v>REGULAR</v>
      </c>
      <c r="Y303" s="1" t="str">
        <f>IFERROR(__xludf.DUMMYFUNCTION("""COMPUTED_VALUE"""),"RS_ONL_CVEU_2026")</f>
        <v>RS_ONL_CVEU_2026</v>
      </c>
      <c r="Z303" s="1" t="str">
        <f>IFERROR(__xludf.DUMMYFUNCTION("""COMPUTED_VALUE"""),"NEW CONNECT")</f>
        <v>NEW CONNECT</v>
      </c>
      <c r="AA303" s="1">
        <f>IFERROR(__xludf.DUMMYFUNCTION("""COMPUTED_VALUE"""),639630544397)</f>
        <v>639630544397</v>
      </c>
      <c r="AB303" s="1">
        <f>IFERROR(__xludf.DUMMYFUNCTION("""COMPUTED_VALUE"""),639702886459)</f>
        <v>639702886459</v>
      </c>
      <c r="AC303" s="1"/>
      <c r="AD303" s="1" t="str">
        <f>IFERROR(__xludf.DUMMYFUNCTION("""COMPUTED_VALUE"""),"VERA CRUZ")</f>
        <v>VERA CRUZ</v>
      </c>
      <c r="AE303" s="1"/>
      <c r="AF303" s="1" t="str">
        <f>IFERROR(__xludf.DUMMYFUNCTION("""COMPUTED_VALUE"""),"BGY RAMON CRUZ")</f>
        <v>BGY RAMON CRUZ</v>
      </c>
      <c r="AG303" s="1" t="str">
        <f>IFERROR(__xludf.DUMMYFUNCTION("""COMPUTED_VALUE"""),"GEN MARIANO ALVAREZ")</f>
        <v>GEN MARIANO ALVAREZ</v>
      </c>
      <c r="AH303" s="1"/>
      <c r="AI303" s="1" t="str">
        <f>IFERROR(__xludf.DUMMYFUNCTION("""COMPUTED_VALUE"""),"CLUSTER 11")</f>
        <v>CLUSTER 11</v>
      </c>
    </row>
    <row r="304" customHeight="1" spans="1:35">
      <c r="A304" s="3">
        <f>IFERROR(__xludf.DUMMYFUNCTION("""COMPUTED_VALUE"""),46261)</f>
        <v>46261</v>
      </c>
      <c r="B304" s="1" t="str">
        <f>IFERROR(__xludf.DUMMYFUNCTION("""COMPUTED_VALUE"""),"FE ALEGRE LEGARTO")</f>
        <v>FE ALEGRE LEGARTO</v>
      </c>
      <c r="C304" s="1">
        <f>IFERROR(__xludf.DUMMYFUNCTION("""COMPUTED_VALUE"""),2312134185)</f>
        <v>2312134185</v>
      </c>
      <c r="D304" s="1">
        <f>IFERROR(__xludf.DUMMYFUNCTION("""COMPUTED_VALUE"""),407367413)</f>
        <v>407367413</v>
      </c>
      <c r="E304" s="1">
        <f>IFERROR(__xludf.DUMMYFUNCTION("""COMPUTED_VALUE"""),468119356004)</f>
        <v>468119356004</v>
      </c>
      <c r="F304" s="1" t="str">
        <f>IFERROR(__xludf.DUMMYFUNCTION("""COMPUTED_VALUE"""),"CLOSED")</f>
        <v>CLOSED</v>
      </c>
      <c r="G304" s="1" t="str">
        <f>IFERROR(__xludf.DUMMYFUNCTION("""COMPUTED_VALUE"""),"CLOSED")</f>
        <v>CLOSED</v>
      </c>
      <c r="H304" s="1" t="str">
        <f>IFERROR(__xludf.DUMMYFUNCTION("""COMPUTED_VALUE"""),"PYFOR000553172	28-Aug-26	Regular Payment	PLDT CAVITE CITY KIOSK	1,550.00	0	28-Aug-26")</f>
        <v>PYFOR000553172	28-Aug-26	Regular Payment	PLDT CAVITE CITY KIOSK	1,550.00	0	28-Aug-26</v>
      </c>
      <c r="I304" s="1" t="str">
        <f>IFERROR(__xludf.DUMMYFUNCTION("""COMPUTED_VALUE"""),"WITH 1 AMSF")</f>
        <v>WITH 1 AMSF</v>
      </c>
      <c r="J304" s="1"/>
      <c r="K304" s="1" t="str">
        <f>IFERROR(__xludf.DUMMYFUNCTION("""COMPUTED_VALUE"""),"COMPLETED")</f>
        <v>COMPLETED</v>
      </c>
      <c r="L304" s="1" t="str">
        <f>IFERROR(__xludf.DUMMYFUNCTION("""COMPUTED_VALUE"""),"POSTED")</f>
        <v>POSTED</v>
      </c>
      <c r="M304" s="1" t="str">
        <f>IFERROR(__xludf.DUMMYFUNCTION("""COMPUTED_VALUE"""),"POSTED")</f>
        <v>POSTED</v>
      </c>
      <c r="N304" s="3">
        <f>IFERROR(__xludf.DUMMYFUNCTION("""COMPUTED_VALUE"""),46264)</f>
        <v>46264</v>
      </c>
      <c r="O304" s="1" t="str">
        <f>IFERROR(__xludf.DUMMYFUNCTION("""COMPUTED_VALUE"""),"FIBER UNLI ALL PLAN 1499")</f>
        <v>FIBER UNLI ALL PLAN 1499</v>
      </c>
      <c r="P304" s="1" t="str">
        <f>IFERROR(__xludf.DUMMYFUNCTION("""COMPUTED_VALUE"""),"LOWPLAN")</f>
        <v>LOWPLAN</v>
      </c>
      <c r="Q304" s="1" t="str">
        <f>IFERROR(__xludf.DUMMYFUNCTION("""COMPUTED_VALUE"""),"P4070464")</f>
        <v>P4070464</v>
      </c>
      <c r="R304" s="1" t="str">
        <f>IFERROR(__xludf.DUMMYFUNCTION("""COMPUTED_VALUE"""),"CARPIO, STEPHANIE")</f>
        <v>CARPIO, STEPHANIE</v>
      </c>
      <c r="S304" s="1" t="str">
        <f>IFERROR(__xludf.DUMMYFUNCTION("""COMPUTED_VALUE"""),"FLA")</f>
        <v>FLA</v>
      </c>
      <c r="T304" s="1" t="str">
        <f>IFERROR(__xludf.DUMMYFUNCTION("""COMPUTED_VALUE"""),"JERIC NAVARRO")</f>
        <v>JERIC NAVARRO</v>
      </c>
      <c r="U304" s="1" t="str">
        <f>IFERROR(__xludf.DUMMYFUNCTION("""COMPUTED_VALUE"""),"JULIE ESPIRITU")</f>
        <v>JULIE ESPIRITU</v>
      </c>
      <c r="V304" s="1" t="str">
        <f>IFERROR(__xludf.DUMMYFUNCTION("""COMPUTED_VALUE"""),"BK REGULAR")</f>
        <v>BK REGULAR</v>
      </c>
      <c r="W304" s="1" t="str">
        <f>IFERROR(__xludf.DUMMYFUNCTION("""COMPUTED_VALUE"""),"STK REGULAR")</f>
        <v>STK REGULAR</v>
      </c>
      <c r="X304" s="1" t="str">
        <f>IFERROR(__xludf.DUMMYFUNCTION("""COMPUTED_VALUE"""),"HBBS AUG 2026")</f>
        <v>HBBS AUG 2026</v>
      </c>
      <c r="Y304" s="1" t="str">
        <f>IFERROR(__xludf.DUMMYFUNCTION("""COMPUTED_VALUE"""),"RS_SS_CVEU_2026")</f>
        <v>RS_SS_CVEU_2026</v>
      </c>
      <c r="Z304" s="1" t="str">
        <f>IFERROR(__xludf.DUMMYFUNCTION("""COMPUTED_VALUE"""),"NEW CONNECT")</f>
        <v>NEW CONNECT</v>
      </c>
      <c r="AA304" s="1">
        <f>IFERROR(__xludf.DUMMYFUNCTION("""COMPUTED_VALUE"""),639945628596)</f>
        <v>639945628596</v>
      </c>
      <c r="AB304" s="1"/>
      <c r="AC304" s="1">
        <f>IFERROR(__xludf.DUMMYFUNCTION("""COMPUTED_VALUE"""),6054)</f>
        <v>6054</v>
      </c>
      <c r="AD304" s="1" t="str">
        <f>IFERROR(__xludf.DUMMYFUNCTION("""COMPUTED_VALUE"""),"C DONES")</f>
        <v>C DONES</v>
      </c>
      <c r="AE304" s="1"/>
      <c r="AF304" s="1" t="str">
        <f>IFERROR(__xludf.DUMMYFUNCTION("""COMPUTED_VALUE"""),"BGY 42C")</f>
        <v>BGY 42C</v>
      </c>
      <c r="AG304" s="1" t="str">
        <f>IFERROR(__xludf.DUMMYFUNCTION("""COMPUTED_VALUE"""),"CAVITE CITY")</f>
        <v>CAVITE CITY</v>
      </c>
      <c r="AH304" s="1" t="str">
        <f>IFERROR(__xludf.DUMMYFUNCTION("""COMPUTED_VALUE"""),"NEAR SANGLAY POINT")</f>
        <v>NEAR SANGLAY POINT</v>
      </c>
      <c r="AI304" s="1" t="str">
        <f>IFERROR(__xludf.DUMMYFUNCTION("""COMPUTED_VALUE"""),"NOT AOR")</f>
        <v>NOT AOR</v>
      </c>
    </row>
    <row r="305" customHeight="1" spans="1:35">
      <c r="A305" s="3">
        <f>IFERROR(__xludf.DUMMYFUNCTION("""COMPUTED_VALUE"""),46261)</f>
        <v>46261</v>
      </c>
      <c r="B305" s="1" t="str">
        <f>IFERROR(__xludf.DUMMYFUNCTION("""COMPUTED_VALUE"""),"JOAN MALSI QUILANG")</f>
        <v>JOAN MALSI QUILANG</v>
      </c>
      <c r="C305" s="1">
        <f>IFERROR(__xludf.DUMMYFUNCTION("""COMPUTED_VALUE"""),2312137656)</f>
        <v>2312137656</v>
      </c>
      <c r="D305" s="1">
        <f>IFERROR(__xludf.DUMMYFUNCTION("""COMPUTED_VALUE"""),407373405)</f>
        <v>407373405</v>
      </c>
      <c r="E305" s="1">
        <f>IFERROR(__xludf.DUMMYFUNCTION("""COMPUTED_VALUE"""),468122711004)</f>
        <v>468122711004</v>
      </c>
      <c r="F305" s="1" t="str">
        <f>IFERROR(__xludf.DUMMYFUNCTION("""COMPUTED_VALUE"""),"CLOSED")</f>
        <v>CLOSED</v>
      </c>
      <c r="G305" s="1" t="str">
        <f>IFERROR(__xludf.DUMMYFUNCTION("""COMPUTED_VALUE"""),"CLOSED")</f>
        <v>CLOSED</v>
      </c>
      <c r="H305" s="1"/>
      <c r="I305" s="1" t="str">
        <f>IFERROR(__xludf.DUMMYFUNCTION("""COMPUTED_VALUE"""),"NO 1 AMSF")</f>
        <v>NO 1 AMSF</v>
      </c>
      <c r="J305" s="1" t="str">
        <f>IFERROR(__xludf.DUMMYFUNCTION("""COMPUTED_VALUE"""),"DUE DATE - 24-Sep-26 - 1,579.51")</f>
        <v>DUE DATE - 24-Sep-26 - 1,579.51</v>
      </c>
      <c r="K305" s="1" t="str">
        <f>IFERROR(__xludf.DUMMYFUNCTION("""COMPUTED_VALUE"""),"COMPLETED")</f>
        <v>COMPLETED</v>
      </c>
      <c r="L305" s="1" t="str">
        <f>IFERROR(__xludf.DUMMYFUNCTION("""COMPUTED_VALUE"""),"POSTED")</f>
        <v>POSTED</v>
      </c>
      <c r="M305" s="1" t="str">
        <f>IFERROR(__xludf.DUMMYFUNCTION("""COMPUTED_VALUE"""),"POSTED")</f>
        <v>POSTED</v>
      </c>
      <c r="N305" s="3">
        <f>IFERROR(__xludf.DUMMYFUNCTION("""COMPUTED_VALUE"""),46262)</f>
        <v>46262</v>
      </c>
      <c r="O305" s="1" t="str">
        <f>IFERROR(__xludf.DUMMYFUNCTION("""COMPUTED_VALUE"""),"FIBR PLAN 1299")</f>
        <v>FIBR PLAN 1299</v>
      </c>
      <c r="P305" s="1" t="str">
        <f>IFERROR(__xludf.DUMMYFUNCTION("""COMPUTED_VALUE"""),"LOWPLAN")</f>
        <v>LOWPLAN</v>
      </c>
      <c r="Q305" s="1" t="str">
        <f>IFERROR(__xludf.DUMMYFUNCTION("""COMPUTED_VALUE"""),"P407047")</f>
        <v>P407047</v>
      </c>
      <c r="R305" s="1" t="str">
        <f>IFERROR(__xludf.DUMMYFUNCTION("""COMPUTED_VALUE"""),"FRANCISCO, ROSELYN")</f>
        <v>FRANCISCO, ROSELYN</v>
      </c>
      <c r="S305" s="1" t="str">
        <f>IFERROR(__xludf.DUMMYFUNCTION("""COMPUTED_VALUE"""),"ORGANIC")</f>
        <v>ORGANIC</v>
      </c>
      <c r="T305" s="1" t="str">
        <f>IFERROR(__xludf.DUMMYFUNCTION("""COMPUTED_VALUE"""),"LEA REMOLLO")</f>
        <v>LEA REMOLLO</v>
      </c>
      <c r="U305" s="1" t="str">
        <f>IFERROR(__xludf.DUMMYFUNCTION("""COMPUTED_VALUE"""),"JULIE ESPIRITU")</f>
        <v>JULIE ESPIRITU</v>
      </c>
      <c r="V305" s="1" t="str">
        <f>IFERROR(__xludf.DUMMYFUNCTION("""COMPUTED_VALUE"""),"BK HSTK")</f>
        <v>BK HSTK</v>
      </c>
      <c r="W305" s="1" t="str">
        <f>IFERROR(__xludf.DUMMYFUNCTION("""COMPUTED_VALUE"""),"BK HSTK")</f>
        <v>BK HSTK</v>
      </c>
      <c r="X305" s="1" t="str">
        <f>IFERROR(__xludf.DUMMYFUNCTION("""COMPUTED_VALUE"""),"REGULAR")</f>
        <v>REGULAR</v>
      </c>
      <c r="Y305" s="1" t="str">
        <f>IFERROR(__xludf.DUMMYFUNCTION("""COMPUTED_VALUE"""),"BK_CVEU_260814")</f>
        <v>BK_CVEU_260814</v>
      </c>
      <c r="Z305" s="1" t="str">
        <f>IFERROR(__xludf.DUMMYFUNCTION("""COMPUTED_VALUE"""),"NEW CONNECT")</f>
        <v>NEW CONNECT</v>
      </c>
      <c r="AA305" s="1">
        <f>IFERROR(__xludf.DUMMYFUNCTION("""COMPUTED_VALUE"""),639931253672)</f>
        <v>639931253672</v>
      </c>
      <c r="AB305" s="1">
        <f>IFERROR(__xludf.DUMMYFUNCTION("""COMPUTED_VALUE"""),639558140780)</f>
        <v>639558140780</v>
      </c>
      <c r="AC305" s="1">
        <f>IFERROR(__xludf.DUMMYFUNCTION("""COMPUTED_VALUE"""),2)</f>
        <v>2</v>
      </c>
      <c r="AD305" s="1" t="str">
        <f>IFERROR(__xludf.DUMMYFUNCTION("""COMPUTED_VALUE"""),"PUROK 26")</f>
        <v>PUROK 26</v>
      </c>
      <c r="AE305" s="1"/>
      <c r="AF305" s="1" t="str">
        <f>IFERROR(__xludf.DUMMYFUNCTION("""COMPUTED_VALUE"""),"BGY FRANCISCO")</f>
        <v>BGY FRANCISCO</v>
      </c>
      <c r="AG305" s="1" t="str">
        <f>IFERROR(__xludf.DUMMYFUNCTION("""COMPUTED_VALUE"""),"TAGAYTAY")</f>
        <v>TAGAYTAY</v>
      </c>
      <c r="AH305" s="1" t="str">
        <f>IFERROR(__xludf.DUMMYFUNCTION("""COMPUTED_VALUE"""),"WILCON DEPOT")</f>
        <v>WILCON DEPOT</v>
      </c>
      <c r="AI305" s="1" t="str">
        <f>IFERROR(__xludf.DUMMYFUNCTION("""COMPUTED_VALUE"""),"CLUSTER 12")</f>
        <v>CLUSTER 12</v>
      </c>
    </row>
    <row r="306" customHeight="1" spans="1:35">
      <c r="A306" s="3">
        <f>IFERROR(__xludf.DUMMYFUNCTION("""COMPUTED_VALUE"""),46261)</f>
        <v>46261</v>
      </c>
      <c r="B306" s="1" t="str">
        <f>IFERROR(__xludf.DUMMYFUNCTION("""COMPUTED_VALUE"""),"ELIZA GRACE MACHA TRINIDAD")</f>
        <v>ELIZA GRACE MACHA TRINIDAD</v>
      </c>
      <c r="C306" s="1">
        <f>IFERROR(__xludf.DUMMYFUNCTION("""COMPUTED_VALUE"""),2312140243)</f>
        <v>2312140243</v>
      </c>
      <c r="D306" s="1">
        <f>IFERROR(__xludf.DUMMYFUNCTION("""COMPUTED_VALUE"""),407382722)</f>
        <v>407382722</v>
      </c>
      <c r="E306" s="1">
        <f>IFERROR(__xludf.DUMMYFUNCTION("""COMPUTED_VALUE"""),468126056004)</f>
        <v>468126056004</v>
      </c>
      <c r="F306" s="1" t="str">
        <f>IFERROR(__xludf.DUMMYFUNCTION("""COMPUTED_VALUE"""),"CANCELLED")</f>
        <v>CANCELLED</v>
      </c>
      <c r="G306" s="1" t="str">
        <f>IFERROR(__xludf.DUMMYFUNCTION("""COMPUTED_VALUE"""),"""VISITED 
REMARKS: FULL PLDT FIBER FACILITY. ASSIGN CAFAC CMNFELP189NP005 Port 8 NOT ON SITE. CUSTOMER ALREADY ADVICED. 
CMNLP110NP5 FULL 
CMNLP110NP4 FULL 
CMNLP208NP1 FULL 
TALK ELIZA GRACE MACHA TRINIDAD 
09614238609 
""")</f>
        <v>"VISITED 
REMARKS: FULL PLDT FIBER FACILITY. ASSIGN CAFAC CMNFELP189NP005 Port 8 NOT ON SITE. CUSTOMER ALREADY ADVICED. 
CMNLP110NP5 FULL 
CMNLP110NP4 FULL 
CMNLP208NP1 FULL 
TALK ELIZA GRACE MACHA TRINIDAD 
09614238609 
"</v>
      </c>
      <c r="H306" s="1"/>
      <c r="I306" s="1"/>
      <c r="J306" s="1"/>
      <c r="K306" s="1" t="str">
        <f>IFERROR(__xludf.DUMMYFUNCTION("""COMPUTED_VALUE"""),"CANCELED")</f>
        <v>CANCELED</v>
      </c>
      <c r="L306" s="1" t="str">
        <f>IFERROR(__xludf.DUMMYFUNCTION("""COMPUTED_VALUE"""),"RPR - NAP FULL")</f>
        <v>RPR - NAP FULL</v>
      </c>
      <c r="M306" s="1" t="str">
        <f>IFERROR(__xludf.DUMMYFUNCTION("""COMPUTED_VALUE"""),"RPR- NAP FULL")</f>
        <v>RPR- NAP FULL</v>
      </c>
      <c r="N306" s="3"/>
      <c r="O306" s="1" t="str">
        <f>IFERROR(__xludf.DUMMYFUNCTION("""COMPUTED_VALUE"""),"FIBR UNLI ALL PLAN 999")</f>
        <v>FIBR UNLI ALL PLAN 999</v>
      </c>
      <c r="P306" s="1" t="str">
        <f>IFERROR(__xludf.DUMMYFUNCTION("""COMPUTED_VALUE"""),"LOWPLAN")</f>
        <v>LOWPLAN</v>
      </c>
      <c r="Q306" s="1" t="str">
        <f>IFERROR(__xludf.DUMMYFUNCTION("""COMPUTED_VALUE"""),"P407050")</f>
        <v>P407050</v>
      </c>
      <c r="R306" s="1" t="str">
        <f>IFERROR(__xludf.DUMMYFUNCTION("""COMPUTED_VALUE"""),"TAMAYO, MARY ROSE ZAIRA")</f>
        <v>TAMAYO, MARY ROSE ZAIRA</v>
      </c>
      <c r="S306" s="1" t="str">
        <f>IFERROR(__xludf.DUMMYFUNCTION("""COMPUTED_VALUE"""),"ORGANIC")</f>
        <v>ORGANIC</v>
      </c>
      <c r="T306" s="1" t="str">
        <f>IFERROR(__xludf.DUMMYFUNCTION("""COMPUTED_VALUE"""),"LEA REMOLLO")</f>
        <v>LEA REMOLLO</v>
      </c>
      <c r="U306" s="1" t="str">
        <f>IFERROR(__xludf.DUMMYFUNCTION("""COMPUTED_VALUE"""),"JULIE ESPIRITU")</f>
        <v>JULIE ESPIRITU</v>
      </c>
      <c r="V306" s="1" t="str">
        <f>IFERROR(__xludf.DUMMYFUNCTION("""COMPUTED_VALUE"""),"BK REGULAR")</f>
        <v>BK REGULAR</v>
      </c>
      <c r="W306" s="1" t="str">
        <f>IFERROR(__xludf.DUMMYFUNCTION("""COMPUTED_VALUE"""),"STK REGULAR")</f>
        <v>STK REGULAR</v>
      </c>
      <c r="X306" s="1" t="str">
        <f>IFERROR(__xludf.DUMMYFUNCTION("""COMPUTED_VALUE"""),"REGULAR")</f>
        <v>REGULAR</v>
      </c>
      <c r="Y306" s="1" t="str">
        <f>IFERROR(__xludf.DUMMYFUNCTION("""COMPUTED_VALUE"""),"BK_CVEU_260810")</f>
        <v>BK_CVEU_260810</v>
      </c>
      <c r="Z306" s="1" t="str">
        <f>IFERROR(__xludf.DUMMYFUNCTION("""COMPUTED_VALUE"""),"NEW CONNECT")</f>
        <v>NEW CONNECT</v>
      </c>
      <c r="AA306" s="1">
        <f>IFERROR(__xludf.DUMMYFUNCTION("""COMPUTED_VALUE"""),639614238609)</f>
        <v>639614238609</v>
      </c>
      <c r="AB306" s="1"/>
      <c r="AC306" s="1">
        <f>IFERROR(__xludf.DUMMYFUNCTION("""COMPUTED_VALUE"""),1325)</f>
        <v>1325</v>
      </c>
      <c r="AD306" s="1" t="str">
        <f>IFERROR(__xludf.DUMMYFUNCTION("""COMPUTED_VALUE"""),"LANTIC")</f>
        <v>LANTIC</v>
      </c>
      <c r="AE306" s="1"/>
      <c r="AF306" s="1" t="str">
        <f>IFERROR(__xludf.DUMMYFUNCTION("""COMPUTED_VALUE"""),"BGY LANTIC")</f>
        <v>BGY LANTIC</v>
      </c>
      <c r="AG306" s="1" t="str">
        <f>IFERROR(__xludf.DUMMYFUNCTION("""COMPUTED_VALUE"""),"CARMONA")</f>
        <v>CARMONA</v>
      </c>
      <c r="AH306" s="1" t="str">
        <f>IFERROR(__xludf.DUMMYFUNCTION("""COMPUTED_VALUE"""),"LIVING WATER REFILLING STATION")</f>
        <v>LIVING WATER REFILLING STATION</v>
      </c>
      <c r="AI306" s="1" t="str">
        <f>IFERROR(__xludf.DUMMYFUNCTION("""COMPUTED_VALUE"""),"CLUSTER 11")</f>
        <v>CLUSTER 11</v>
      </c>
    </row>
    <row r="307" customHeight="1" spans="1:35">
      <c r="A307" s="3">
        <f>IFERROR(__xludf.DUMMYFUNCTION("""COMPUTED_VALUE"""),46261)</f>
        <v>46261</v>
      </c>
      <c r="B307" s="1" t="str">
        <f>IFERROR(__xludf.DUMMYFUNCTION("""COMPUTED_VALUE"""),"SOTERA LIZARDO DIONISIO")</f>
        <v>SOTERA LIZARDO DIONISIO</v>
      </c>
      <c r="C307" s="1">
        <f>IFERROR(__xludf.DUMMYFUNCTION("""COMPUTED_VALUE"""),2312140599)</f>
        <v>2312140599</v>
      </c>
      <c r="D307" s="1">
        <f>IFERROR(__xludf.DUMMYFUNCTION("""COMPUTED_VALUE"""),407377397)</f>
        <v>407377397</v>
      </c>
      <c r="E307" s="1">
        <f>IFERROR(__xludf.DUMMYFUNCTION("""COMPUTED_VALUE"""),468123846004)</f>
        <v>468123846004</v>
      </c>
      <c r="F307" s="1" t="str">
        <f>IFERROR(__xludf.DUMMYFUNCTION("""COMPUTED_VALUE"""),"CLOSED")</f>
        <v>CLOSED</v>
      </c>
      <c r="G307" s="1" t="str">
        <f>IFERROR(__xludf.DUMMYFUNCTION("""COMPUTED_VALUE"""),"CLOSED")</f>
        <v>CLOSED</v>
      </c>
      <c r="H307" s="1" t="str">
        <f>IFERROR(__xludf.DUMMYFUNCTION("""COMPUTED_VALUE"""),"PAID VIA GCASH 4348820631 AUG 29")</f>
        <v>PAID VIA GCASH 4348820631 AUG 29</v>
      </c>
      <c r="I307" s="1" t="str">
        <f>IFERROR(__xludf.DUMMYFUNCTION("""COMPUTED_VALUE"""),"WITH 1 AMSF")</f>
        <v>WITH 1 AMSF</v>
      </c>
      <c r="J307" s="1"/>
      <c r="K307" s="1" t="str">
        <f>IFERROR(__xludf.DUMMYFUNCTION("""COMPUTED_VALUE"""),"COMPLETED")</f>
        <v>COMPLETED</v>
      </c>
      <c r="L307" s="1" t="str">
        <f>IFERROR(__xludf.DUMMYFUNCTION("""COMPUTED_VALUE"""),"POSTED")</f>
        <v>POSTED</v>
      </c>
      <c r="M307" s="1" t="str">
        <f>IFERROR(__xludf.DUMMYFUNCTION("""COMPUTED_VALUE"""),"POSTED")</f>
        <v>POSTED</v>
      </c>
      <c r="N307" s="3">
        <f>IFERROR(__xludf.DUMMYFUNCTION("""COMPUTED_VALUE"""),46262)</f>
        <v>46262</v>
      </c>
      <c r="O307" s="1" t="str">
        <f>IFERROR(__xludf.DUMMYFUNCTION("""COMPUTED_VALUE"""),"FIBER UNLI ALL PLAN 1499")</f>
        <v>FIBER UNLI ALL PLAN 1499</v>
      </c>
      <c r="P307" s="1" t="str">
        <f>IFERROR(__xludf.DUMMYFUNCTION("""COMPUTED_VALUE"""),"LOWPLAN")</f>
        <v>LOWPLAN</v>
      </c>
      <c r="Q307" s="1" t="str">
        <f>IFERROR(__xludf.DUMMYFUNCTION("""COMPUTED_VALUE"""),"P407050")</f>
        <v>P407050</v>
      </c>
      <c r="R307" s="1" t="str">
        <f>IFERROR(__xludf.DUMMYFUNCTION("""COMPUTED_VALUE"""),"ARENA, LYKA")</f>
        <v>ARENA, LYKA</v>
      </c>
      <c r="S307" s="1" t="str">
        <f>IFERROR(__xludf.DUMMYFUNCTION("""COMPUTED_VALUE"""),"ORGANIC")</f>
        <v>ORGANIC</v>
      </c>
      <c r="T307" s="1" t="str">
        <f>IFERROR(__xludf.DUMMYFUNCTION("""COMPUTED_VALUE"""),"LEA REMOLLO")</f>
        <v>LEA REMOLLO</v>
      </c>
      <c r="U307" s="1" t="str">
        <f>IFERROR(__xludf.DUMMYFUNCTION("""COMPUTED_VALUE"""),"JULIE ESPIRITU")</f>
        <v>JULIE ESPIRITU</v>
      </c>
      <c r="V307" s="1" t="str">
        <f>IFERROR(__xludf.DUMMYFUNCTION("""COMPUTED_VALUE"""),"BK HSTK")</f>
        <v>BK HSTK</v>
      </c>
      <c r="W307" s="1" t="str">
        <f>IFERROR(__xludf.DUMMYFUNCTION("""COMPUTED_VALUE"""),"BK HSTK")</f>
        <v>BK HSTK</v>
      </c>
      <c r="X307" s="1" t="str">
        <f>IFERROR(__xludf.DUMMYFUNCTION("""COMPUTED_VALUE"""),"HBBS AUG 2026")</f>
        <v>HBBS AUG 2026</v>
      </c>
      <c r="Y307" s="1" t="str">
        <f>IFERROR(__xludf.DUMMYFUNCTION("""COMPUTED_VALUE"""),"BK_CVEU_260813")</f>
        <v>BK_CVEU_260813</v>
      </c>
      <c r="Z307" s="1" t="str">
        <f>IFERROR(__xludf.DUMMYFUNCTION("""COMPUTED_VALUE"""),"NEW CONNECT")</f>
        <v>NEW CONNECT</v>
      </c>
      <c r="AA307" s="1">
        <f>IFERROR(__xludf.DUMMYFUNCTION("""COMPUTED_VALUE"""),639270610847)</f>
        <v>639270610847</v>
      </c>
      <c r="AB307" s="1">
        <f>IFERROR(__xludf.DUMMYFUNCTION("""COMPUTED_VALUE"""),639971533968)</f>
        <v>639971533968</v>
      </c>
      <c r="AC307" s="1">
        <f>IFERROR(__xludf.DUMMYFUNCTION("""COMPUTED_VALUE"""),61)</f>
        <v>61</v>
      </c>
      <c r="AD307" s="1" t="str">
        <f>IFERROR(__xludf.DUMMYFUNCTION("""COMPUTED_VALUE"""),"SITIO MUZON")</f>
        <v>SITIO MUZON</v>
      </c>
      <c r="AE307" s="1"/>
      <c r="AF307" s="1" t="str">
        <f>IFERROR(__xludf.DUMMYFUNCTION("""COMPUTED_VALUE"""),"BGY PUTING KAHOY")</f>
        <v>BGY PUTING KAHOY</v>
      </c>
      <c r="AG307" s="1" t="str">
        <f>IFERROR(__xludf.DUMMYFUNCTION("""COMPUTED_VALUE"""),"SILANG")</f>
        <v>SILANG</v>
      </c>
      <c r="AH307" s="1" t="str">
        <f>IFERROR(__xludf.DUMMYFUNCTION("""COMPUTED_VALUE"""),"COVERED COURT")</f>
        <v>COVERED COURT</v>
      </c>
      <c r="AI307" s="1" t="str">
        <f>IFERROR(__xludf.DUMMYFUNCTION("""COMPUTED_VALUE"""),"CLUSTER 11")</f>
        <v>CLUSTER 11</v>
      </c>
    </row>
    <row r="308" customHeight="1" spans="1:35">
      <c r="A308" s="3">
        <f>IFERROR(__xludf.DUMMYFUNCTION("""COMPUTED_VALUE"""),46261)</f>
        <v>46261</v>
      </c>
      <c r="B308" s="1" t="str">
        <f>IFERROR(__xludf.DUMMYFUNCTION("""COMPUTED_VALUE"""),"JUNIE PAOLA PACANAN BAYANI")</f>
        <v>JUNIE PAOLA PACANAN BAYANI</v>
      </c>
      <c r="C308" s="1">
        <f>IFERROR(__xludf.DUMMYFUNCTION("""COMPUTED_VALUE"""),2312141096)</f>
        <v>2312141096</v>
      </c>
      <c r="D308" s="1"/>
      <c r="E308" s="1"/>
      <c r="F308" s="1" t="str">
        <f>IFERROR(__xludf.DUMMYFUNCTION("""COMPUTED_VALUE"""),"CANCELLED")</f>
        <v>CANCELLED</v>
      </c>
      <c r="G308" s="1" t="str">
        <f>IFERROR(__xludf.DUMMYFUNCTION("""COMPUTED_VALUE"""),"RETURN TO SALES | COMPLETE DOCS | DONE VALIDATION | CORRECT ENCODED INFO IN CSP | TU SCORING - EE - 12 (LOW RISK) | WAIVED AMSF | FOUND BLACKLISTED ACCT #0231599282 WITH OB PHP4,669.55 | FOR SETTLEMENT | NO EXISTING ACTIVE ACCT AND/OR PENDING/CANCELLED AP"&amp;"PLICATION")</f>
        <v>RETURN TO SALES | COMPLETE DOCS | DONE VALIDATION | CORRECT ENCODED INFO IN CSP | TU SCORING - EE - 12 (LOW RISK) | WAIVED AMSF | FOUND BLACKLISTED ACCT #0231599282 WITH OB PHP4,669.55 | FOR SETTLEMENT | NO EXISTING ACTIVE ACCT AND/OR PENDING/CANCELLED APPLICATION</v>
      </c>
      <c r="H308" s="1"/>
      <c r="I308" s="1"/>
      <c r="J308" s="1"/>
      <c r="K308" s="1"/>
      <c r="L308" s="1" t="str">
        <f>IFERROR(__xludf.DUMMYFUNCTION("""COMPUTED_VALUE"""),"CANCELLED - WITH OB")</f>
        <v>CANCELLED - WITH OB</v>
      </c>
      <c r="M308" s="1" t="str">
        <f>IFERROR(__xludf.DUMMYFUNCTION("""COMPUTED_VALUE"""),"CANCELLED - WITH OB")</f>
        <v>CANCELLED - WITH OB</v>
      </c>
      <c r="N308" s="3"/>
      <c r="O308" s="1" t="str">
        <f>IFERROR(__xludf.DUMMYFUNCTION("""COMPUTED_VALUE"""),"FIBER UNLI ALL PLAN 2599")</f>
        <v>FIBER UNLI ALL PLAN 2599</v>
      </c>
      <c r="P308" s="1" t="str">
        <f>IFERROR(__xludf.DUMMYFUNCTION("""COMPUTED_VALUE"""),"HIGHPLAN")</f>
        <v>HIGHPLAN</v>
      </c>
      <c r="Q308" s="1" t="str">
        <f>IFERROR(__xludf.DUMMYFUNCTION("""COMPUTED_VALUE"""),"P407046")</f>
        <v>P407046</v>
      </c>
      <c r="R308" s="1" t="str">
        <f>IFERROR(__xludf.DUMMYFUNCTION("""COMPUTED_VALUE"""),"MALIWAT, MARK")</f>
        <v>MALIWAT, MARK</v>
      </c>
      <c r="S308" s="1" t="str">
        <f>IFERROR(__xludf.DUMMYFUNCTION("""COMPUTED_VALUE"""),"FLA")</f>
        <v>FLA</v>
      </c>
      <c r="T308" s="1" t="str">
        <f>IFERROR(__xludf.DUMMYFUNCTION("""COMPUTED_VALUE"""),"JERIC NAVARRO")</f>
        <v>JERIC NAVARRO</v>
      </c>
      <c r="U308" s="1" t="str">
        <f>IFERROR(__xludf.DUMMYFUNCTION("""COMPUTED_VALUE"""),"JULIE ESPIRITU")</f>
        <v>JULIE ESPIRITU</v>
      </c>
      <c r="V308" s="1" t="str">
        <f>IFERROR(__xludf.DUMMYFUNCTION("""COMPUTED_VALUE"""),"ONLINE/CRANFORD")</f>
        <v>ONLINE/CRANFORD</v>
      </c>
      <c r="W308" s="1" t="str">
        <f>IFERROR(__xludf.DUMMYFUNCTION("""COMPUTED_VALUE"""),"STK REGULAR")</f>
        <v>STK REGULAR</v>
      </c>
      <c r="X308" s="1" t="str">
        <f>IFERROR(__xludf.DUMMYFUNCTION("""COMPUTED_VALUE"""),"HBBS AUG 2026")</f>
        <v>HBBS AUG 2026</v>
      </c>
      <c r="Y308" s="1" t="str">
        <f>IFERROR(__xludf.DUMMYFUNCTION("""COMPUTED_VALUE"""),"RS_ONL_CVEU_2026")</f>
        <v>RS_ONL_CVEU_2026</v>
      </c>
      <c r="Z308" s="1" t="str">
        <f>IFERROR(__xludf.DUMMYFUNCTION("""COMPUTED_VALUE"""),"NEW CONNECT")</f>
        <v>NEW CONNECT</v>
      </c>
      <c r="AA308" s="1">
        <f>IFERROR(__xludf.DUMMYFUNCTION("""COMPUTED_VALUE"""),639621270726)</f>
        <v>639621270726</v>
      </c>
      <c r="AB308" s="1">
        <f>IFERROR(__xludf.DUMMYFUNCTION("""COMPUTED_VALUE"""),639273609333)</f>
        <v>639273609333</v>
      </c>
      <c r="AC308" s="1"/>
      <c r="AD308" s="1" t="str">
        <f>IFERROR(__xludf.DUMMYFUNCTION("""COMPUTED_VALUE"""),"AARON")</f>
        <v>AARON</v>
      </c>
      <c r="AE308" s="1" t="str">
        <f>IFERROR(__xludf.DUMMYFUNCTION("""COMPUTED_VALUE"""),"ELLISTON PLACE")</f>
        <v>ELLISTON PLACE</v>
      </c>
      <c r="AF308" s="1" t="str">
        <f>IFERROR(__xludf.DUMMYFUNCTION("""COMPUTED_VALUE"""),"PASONG CAMACHILE 2")</f>
        <v>PASONG CAMACHILE 2</v>
      </c>
      <c r="AG308" s="1" t="str">
        <f>IFERROR(__xludf.DUMMYFUNCTION("""COMPUTED_VALUE"""),"GENERAL TRIAS")</f>
        <v>GENERAL TRIAS</v>
      </c>
      <c r="AH308" s="1" t="str">
        <f>IFERROR(__xludf.DUMMYFUNCTION("""COMPUTED_VALUE"""),"LTO IMUS OPEN CANAL")</f>
        <v>LTO IMUS OPEN CANAL</v>
      </c>
      <c r="AI308" s="1" t="str">
        <f>IFERROR(__xludf.DUMMYFUNCTION("""COMPUTED_VALUE"""),"NOT AOR")</f>
        <v>NOT AOR</v>
      </c>
    </row>
    <row r="309" customHeight="1" spans="1:35">
      <c r="A309" s="3">
        <f>IFERROR(__xludf.DUMMYFUNCTION("""COMPUTED_VALUE"""),46261)</f>
        <v>46261</v>
      </c>
      <c r="B309" s="1" t="str">
        <f>IFERROR(__xludf.DUMMYFUNCTION("""COMPUTED_VALUE"""),"EVANGELINE PEREZ MUNCHUA")</f>
        <v>EVANGELINE PEREZ MUNCHUA</v>
      </c>
      <c r="C309" s="1">
        <f>IFERROR(__xludf.DUMMYFUNCTION("""COMPUTED_VALUE"""),2312142456)</f>
        <v>2312142456</v>
      </c>
      <c r="D309" s="1">
        <f>IFERROR(__xludf.DUMMYFUNCTION("""COMPUTED_VALUE"""),407382609)</f>
        <v>407382609</v>
      </c>
      <c r="E309" s="1">
        <f>IFERROR(__xludf.DUMMYFUNCTION("""COMPUTED_VALUE"""),468125711004)</f>
        <v>468125711004</v>
      </c>
      <c r="F309" s="1" t="str">
        <f>IFERROR(__xludf.DUMMYFUNCTION("""COMPUTED_VALUE"""),"CLOSED")</f>
        <v>CLOSED</v>
      </c>
      <c r="G309" s="1" t="str">
        <f>IFERROR(__xludf.DUMMYFUNCTION("""COMPUTED_VALUE"""),"CLOSED")</f>
        <v>CLOSED</v>
      </c>
      <c r="H309" s="1" t="str">
        <f>IFERROR(__xludf.DUMMYFUNCTION("""COMPUTED_VALUE"""),"PAID THRU GCASH 006783993 AUG 28")</f>
        <v>PAID THRU GCASH 006783993 AUG 28</v>
      </c>
      <c r="I309" s="1" t="str">
        <f>IFERROR(__xludf.DUMMYFUNCTION("""COMPUTED_VALUE"""),"WITH 1 AMSF")</f>
        <v>WITH 1 AMSF</v>
      </c>
      <c r="J309" s="1"/>
      <c r="K309" s="1" t="str">
        <f>IFERROR(__xludf.DUMMYFUNCTION("""COMPUTED_VALUE"""),"COMPLETED")</f>
        <v>COMPLETED</v>
      </c>
      <c r="L309" s="1" t="str">
        <f>IFERROR(__xludf.DUMMYFUNCTION("""COMPUTED_VALUE"""),"POSTED")</f>
        <v>POSTED</v>
      </c>
      <c r="M309" s="1" t="str">
        <f>IFERROR(__xludf.DUMMYFUNCTION("""COMPUTED_VALUE"""),"POSTED")</f>
        <v>POSTED</v>
      </c>
      <c r="N309" s="3">
        <f>IFERROR(__xludf.DUMMYFUNCTION("""COMPUTED_VALUE"""),46262)</f>
        <v>46262</v>
      </c>
      <c r="O309" s="1" t="str">
        <f>IFERROR(__xludf.DUMMYFUNCTION("""COMPUTED_VALUE"""),"FIBR UNLI ALL PLAN 999")</f>
        <v>FIBR UNLI ALL PLAN 999</v>
      </c>
      <c r="P309" s="1" t="str">
        <f>IFERROR(__xludf.DUMMYFUNCTION("""COMPUTED_VALUE"""),"LOWPLAN")</f>
        <v>LOWPLAN</v>
      </c>
      <c r="Q309" s="1" t="str">
        <f>IFERROR(__xludf.DUMMYFUNCTION("""COMPUTED_VALUE"""),"P407050")</f>
        <v>P407050</v>
      </c>
      <c r="R309" s="1" t="str">
        <f>IFERROR(__xludf.DUMMYFUNCTION("""COMPUTED_VALUE"""),"ALOS, CHARLS LAURENZ")</f>
        <v>ALOS, CHARLS LAURENZ</v>
      </c>
      <c r="S309" s="1" t="str">
        <f>IFERROR(__xludf.DUMMYFUNCTION("""COMPUTED_VALUE"""),"ORGANIC")</f>
        <v>ORGANIC</v>
      </c>
      <c r="T309" s="1" t="str">
        <f>IFERROR(__xludf.DUMMYFUNCTION("""COMPUTED_VALUE"""),"LEA REMOLLO")</f>
        <v>LEA REMOLLO</v>
      </c>
      <c r="U309" s="1" t="str">
        <f>IFERROR(__xludf.DUMMYFUNCTION("""COMPUTED_VALUE"""),"JULIE ESPIRITU")</f>
        <v>JULIE ESPIRITU</v>
      </c>
      <c r="V309" s="1" t="str">
        <f>IFERROR(__xludf.DUMMYFUNCTION("""COMPUTED_VALUE"""),"BK HSTK")</f>
        <v>BK HSTK</v>
      </c>
      <c r="W309" s="1" t="str">
        <f>IFERROR(__xludf.DUMMYFUNCTION("""COMPUTED_VALUE"""),"BK HSTK")</f>
        <v>BK HSTK</v>
      </c>
      <c r="X309" s="1" t="str">
        <f>IFERROR(__xludf.DUMMYFUNCTION("""COMPUTED_VALUE"""),"REGULAR")</f>
        <v>REGULAR</v>
      </c>
      <c r="Y309" s="1" t="str">
        <f>IFERROR(__xludf.DUMMYFUNCTION("""COMPUTED_VALUE"""),"BK_CVEU_260813")</f>
        <v>BK_CVEU_260813</v>
      </c>
      <c r="Z309" s="1" t="str">
        <f>IFERROR(__xludf.DUMMYFUNCTION("""COMPUTED_VALUE"""),"NEW CONNECT")</f>
        <v>NEW CONNECT</v>
      </c>
      <c r="AA309" s="1">
        <f>IFERROR(__xludf.DUMMYFUNCTION("""COMPUTED_VALUE"""),639102948485)</f>
        <v>639102948485</v>
      </c>
      <c r="AB309" s="1"/>
      <c r="AC309" s="1">
        <f>IFERROR(__xludf.DUMMYFUNCTION("""COMPUTED_VALUE"""),312)</f>
        <v>312</v>
      </c>
      <c r="AD309" s="1" t="str">
        <f>IFERROR(__xludf.DUMMYFUNCTION("""COMPUTED_VALUE"""),"PUROK 7")</f>
        <v>PUROK 7</v>
      </c>
      <c r="AE309" s="1"/>
      <c r="AF309" s="1" t="str">
        <f>IFERROR(__xludf.DUMMYFUNCTION("""COMPUTED_VALUE"""),"BGY LITLIT")</f>
        <v>BGY LITLIT</v>
      </c>
      <c r="AG309" s="1" t="str">
        <f>IFERROR(__xludf.DUMMYFUNCTION("""COMPUTED_VALUE"""),"SILANG")</f>
        <v>SILANG</v>
      </c>
      <c r="AH309" s="1" t="str">
        <f>IFERROR(__xludf.DUMMYFUNCTION("""COMPUTED_VALUE"""),"VILLA ELIJHA")</f>
        <v>VILLA ELIJHA</v>
      </c>
      <c r="AI309" s="1" t="str">
        <f>IFERROR(__xludf.DUMMYFUNCTION("""COMPUTED_VALUE"""),"CLUSTER 11")</f>
        <v>CLUSTER 11</v>
      </c>
    </row>
    <row r="310" customHeight="1" spans="1:35">
      <c r="A310" s="3">
        <f>IFERROR(__xludf.DUMMYFUNCTION("""COMPUTED_VALUE"""),46261)</f>
        <v>46261</v>
      </c>
      <c r="B310" s="1" t="str">
        <f>IFERROR(__xludf.DUMMYFUNCTION("""COMPUTED_VALUE"""),"SHERYL BETACHE MALAIT")</f>
        <v>SHERYL BETACHE MALAIT</v>
      </c>
      <c r="C310" s="1">
        <f>IFERROR(__xludf.DUMMYFUNCTION("""COMPUTED_VALUE"""),2312143377)</f>
        <v>2312143377</v>
      </c>
      <c r="D310" s="1"/>
      <c r="E310" s="1"/>
      <c r="F310" s="1" t="str">
        <f>IFERROR(__xludf.DUMMYFUNCTION("""COMPUTED_VALUE"""),"CANCELLED")</f>
        <v>CANCELLED</v>
      </c>
      <c r="G310" s="1" t="str">
        <f>IFERROR(__xludf.DUMMYFUNCTION("""COMPUTED_VALUE"""),"(WITH BLACKLISTED ACCOUNT FOR SETTLEMENT) RETURN TO SALES | FOUND WITH BLACKLISTED ACC# (0286230725) WITH OB (Php12, 865.36) UNDER SAME NAME DIFF ADD | NEED TO SETTLE OB FIRST | COMPLETE DOCS | CORRECT ENCODED INFO IN CSP | NO EXISTING ACTIVE ACCOUNT OR P"&amp;"ENDING/CANCELLED APPLICATION | TU SCORING: GG - 1 (NTC) | WAIVED 1AMSF | SCANNABLE NATIONAL ID")</f>
        <v>(WITH BLACKLISTED ACCOUNT FOR SETTLEMENT) RETURN TO SALES | FOUND WITH BLACKLISTED ACC# (0286230725) WITH OB (Php12, 865.36) UNDER SAME NAME DIFF ADD | NEED TO SETTLE OB FIRST | COMPLETE DOCS | CORRECT ENCODED INFO IN CSP | NO EXISTING ACTIVE ACCOUNT OR PENDING/CANCELLED APPLICATION | TU SCORING: GG - 1 (NTC) | WAIVED 1AMSF | SCANNABLE NATIONAL ID</v>
      </c>
      <c r="H310" s="1"/>
      <c r="I310" s="1"/>
      <c r="J310" s="1"/>
      <c r="K310" s="1"/>
      <c r="L310" s="1" t="str">
        <f>IFERROR(__xludf.DUMMYFUNCTION("""COMPUTED_VALUE"""),"CANCELLED - WITH OB")</f>
        <v>CANCELLED - WITH OB</v>
      </c>
      <c r="M310" s="1" t="str">
        <f>IFERROR(__xludf.DUMMYFUNCTION("""COMPUTED_VALUE"""),"CANCELLED - WITH OB")</f>
        <v>CANCELLED - WITH OB</v>
      </c>
      <c r="N310" s="3"/>
      <c r="O310" s="1" t="str">
        <f>IFERROR(__xludf.DUMMYFUNCTION("""COMPUTED_VALUE"""),"FIBR UNLI ALL PLAN 999")</f>
        <v>FIBR UNLI ALL PLAN 999</v>
      </c>
      <c r="P310" s="1" t="str">
        <f>IFERROR(__xludf.DUMMYFUNCTION("""COMPUTED_VALUE"""),"LOWPLAN")</f>
        <v>LOWPLAN</v>
      </c>
      <c r="Q310" s="1" t="str">
        <f>IFERROR(__xludf.DUMMYFUNCTION("""COMPUTED_VALUE"""),"P407050")</f>
        <v>P407050</v>
      </c>
      <c r="R310" s="1" t="str">
        <f>IFERROR(__xludf.DUMMYFUNCTION("""COMPUTED_VALUE"""),"DENACO, RODNEY")</f>
        <v>DENACO, RODNEY</v>
      </c>
      <c r="S310" s="1" t="str">
        <f>IFERROR(__xludf.DUMMYFUNCTION("""COMPUTED_VALUE"""),"ORGANIC")</f>
        <v>ORGANIC</v>
      </c>
      <c r="T310" s="1" t="str">
        <f>IFERROR(__xludf.DUMMYFUNCTION("""COMPUTED_VALUE"""),"LEA REMOLLO")</f>
        <v>LEA REMOLLO</v>
      </c>
      <c r="U310" s="1" t="str">
        <f>IFERROR(__xludf.DUMMYFUNCTION("""COMPUTED_VALUE"""),"JULIE ESPIRITU")</f>
        <v>JULIE ESPIRITU</v>
      </c>
      <c r="V310" s="1" t="str">
        <f>IFERROR(__xludf.DUMMYFUNCTION("""COMPUTED_VALUE"""),"BK REGULAR")</f>
        <v>BK REGULAR</v>
      </c>
      <c r="W310" s="1" t="str">
        <f>IFERROR(__xludf.DUMMYFUNCTION("""COMPUTED_VALUE"""),"STK REGULAR")</f>
        <v>STK REGULAR</v>
      </c>
      <c r="X310" s="1" t="str">
        <f>IFERROR(__xludf.DUMMYFUNCTION("""COMPUTED_VALUE"""),"REGULAR")</f>
        <v>REGULAR</v>
      </c>
      <c r="Y310" s="1" t="str">
        <f>IFERROR(__xludf.DUMMYFUNCTION("""COMPUTED_VALUE"""),"BK_CVEU_260813")</f>
        <v>BK_CVEU_260813</v>
      </c>
      <c r="Z310" s="1" t="str">
        <f>IFERROR(__xludf.DUMMYFUNCTION("""COMPUTED_VALUE"""),"NEW CONNECT")</f>
        <v>NEW CONNECT</v>
      </c>
      <c r="AA310" s="1">
        <f>IFERROR(__xludf.DUMMYFUNCTION("""COMPUTED_VALUE"""),639458033631)</f>
        <v>639458033631</v>
      </c>
      <c r="AB310" s="1">
        <f>IFERROR(__xludf.DUMMYFUNCTION("""COMPUTED_VALUE"""),639773793102)</f>
        <v>639773793102</v>
      </c>
      <c r="AC310" s="1">
        <f>IFERROR(__xludf.DUMMYFUNCTION("""COMPUTED_VALUE"""),13)</f>
        <v>13</v>
      </c>
      <c r="AD310" s="1" t="str">
        <f>IFERROR(__xludf.DUMMYFUNCTION("""COMPUTED_VALUE"""),"P ANTONIO")</f>
        <v>P ANTONIO</v>
      </c>
      <c r="AE310" s="1" t="str">
        <f>IFERROR(__xludf.DUMMYFUNCTION("""COMPUTED_VALUE"""),"MARY ANN VILLAGE")</f>
        <v>MARY ANN VILLAGE</v>
      </c>
      <c r="AF310" s="1" t="str">
        <f>IFERROR(__xludf.DUMMYFUNCTION("""COMPUTED_VALUE"""),"BGY 5")</f>
        <v>BGY 5</v>
      </c>
      <c r="AG310" s="1" t="str">
        <f>IFERROR(__xludf.DUMMYFUNCTION("""COMPUTED_VALUE"""),"SILANG")</f>
        <v>SILANG</v>
      </c>
      <c r="AH310" s="1" t="str">
        <f>IFERROR(__xludf.DUMMYFUNCTION("""COMPUTED_VALUE"""),"TERMINAL TRICYCLE")</f>
        <v>TERMINAL TRICYCLE</v>
      </c>
      <c r="AI310" s="1" t="str">
        <f>IFERROR(__xludf.DUMMYFUNCTION("""COMPUTED_VALUE"""),"CLUSTER 11")</f>
        <v>CLUSTER 11</v>
      </c>
    </row>
    <row r="311" customHeight="1" spans="1:35">
      <c r="A311" s="3">
        <f>IFERROR(__xludf.DUMMYFUNCTION("""COMPUTED_VALUE"""),46261)</f>
        <v>46261</v>
      </c>
      <c r="B311" s="1" t="str">
        <f>IFERROR(__xludf.DUMMYFUNCTION("""COMPUTED_VALUE"""),"MYRNA MORCO DABU")</f>
        <v>MYRNA MORCO DABU</v>
      </c>
      <c r="C311" s="1">
        <f>IFERROR(__xludf.DUMMYFUNCTION("""COMPUTED_VALUE"""),2312143967)</f>
        <v>2312143967</v>
      </c>
      <c r="D311" s="1">
        <f>IFERROR(__xludf.DUMMYFUNCTION("""COMPUTED_VALUE"""),407401999)</f>
        <v>407401999</v>
      </c>
      <c r="E311" s="1">
        <f>IFERROR(__xludf.DUMMYFUNCTION("""COMPUTED_VALUE"""),468245802004)</f>
        <v>468245802004</v>
      </c>
      <c r="F311" s="1" t="str">
        <f>IFERROR(__xludf.DUMMYFUNCTION("""COMPUTED_VALUE"""),"CANCELLED")</f>
        <v>CANCELLED</v>
      </c>
      <c r="G311" s="1" t="str">
        <f>IFERROR(__xludf.DUMMYFUNCTION("""COMPUTED_VALUE"""),"CANCELLED")</f>
        <v>CANCELLED</v>
      </c>
      <c r="H311" s="1" t="str">
        <f>IFERROR(__xludf.DUMMYFUNCTION("""COMPUTED_VALUE"""),"TOK TO SOR GUSTO NYA SANA KINAKABIT NA SAKA SYA MAG BABAYAD WILLING NMN SYA AT HAWAK NA NYA ANG PERA AYUN DIN DAW KASI ALAM NYA KAY PLDT DAHIL DATI NA SILANG MAY PLDT SA TAGAYTAY ")</f>
        <v>TOK TO SOR GUSTO NYA SANA KINAKABIT NA SAKA SYA MAG BABAYAD WILLING NMN SYA AT HAWAK NA NYA ANG PERA AYUN DIN DAW KASI ALAM NYA KAY PLDT DAHIL DATI NA SILANG MAY PLDT SA TAGAYTAY </v>
      </c>
      <c r="I311" s="1"/>
      <c r="J311" s="1"/>
      <c r="K311" s="1" t="str">
        <f>IFERROR(__xludf.DUMMYFUNCTION("""COMPUTED_VALUE"""),"NOT IN OFSC")</f>
        <v>NOT IN OFSC</v>
      </c>
      <c r="L311" s="1" t="str">
        <f>IFERROR(__xludf.DUMMYFUNCTION("""COMPUTED_VALUE"""),"CANCELLED ")</f>
        <v>CANCELLED </v>
      </c>
      <c r="M311" s="1" t="str">
        <f>IFERROR(__xludf.DUMMYFUNCTION("""COMPUTED_VALUE"""),"CANCELLED - NON COMPLIANCE")</f>
        <v>CANCELLED - NON COMPLIANCE</v>
      </c>
      <c r="N311" s="3"/>
      <c r="O311" s="1" t="str">
        <f>IFERROR(__xludf.DUMMYFUNCTION("""COMPUTED_VALUE"""),"FIBR UNLI ALL PLAN 999")</f>
        <v>FIBR UNLI ALL PLAN 999</v>
      </c>
      <c r="P311" s="1" t="str">
        <f>IFERROR(__xludf.DUMMYFUNCTION("""COMPUTED_VALUE"""),"LOWPLAN")</f>
        <v>LOWPLAN</v>
      </c>
      <c r="Q311" s="1" t="str">
        <f>IFERROR(__xludf.DUMMYFUNCTION("""COMPUTED_VALUE"""),"P407050")</f>
        <v>P407050</v>
      </c>
      <c r="R311" s="1" t="str">
        <f>IFERROR(__xludf.DUMMYFUNCTION("""COMPUTED_VALUE"""),"DENACO, RODNEY")</f>
        <v>DENACO, RODNEY</v>
      </c>
      <c r="S311" s="1" t="str">
        <f>IFERROR(__xludf.DUMMYFUNCTION("""COMPUTED_VALUE"""),"ORGANIC")</f>
        <v>ORGANIC</v>
      </c>
      <c r="T311" s="1" t="str">
        <f>IFERROR(__xludf.DUMMYFUNCTION("""COMPUTED_VALUE"""),"LEA REMOLLO")</f>
        <v>LEA REMOLLO</v>
      </c>
      <c r="U311" s="1" t="str">
        <f>IFERROR(__xludf.DUMMYFUNCTION("""COMPUTED_VALUE"""),"JULIE ESPIRITU")</f>
        <v>JULIE ESPIRITU</v>
      </c>
      <c r="V311" s="1" t="str">
        <f>IFERROR(__xludf.DUMMYFUNCTION("""COMPUTED_VALUE"""),"BK REGULAR")</f>
        <v>BK REGULAR</v>
      </c>
      <c r="W311" s="1" t="str">
        <f>IFERROR(__xludf.DUMMYFUNCTION("""COMPUTED_VALUE"""),"STK REGULAR")</f>
        <v>STK REGULAR</v>
      </c>
      <c r="X311" s="1" t="str">
        <f>IFERROR(__xludf.DUMMYFUNCTION("""COMPUTED_VALUE"""),"REGULAR")</f>
        <v>REGULAR</v>
      </c>
      <c r="Y311" s="1" t="str">
        <f>IFERROR(__xludf.DUMMYFUNCTION("""COMPUTED_VALUE"""),"BK_CVEU_260813")</f>
        <v>BK_CVEU_260813</v>
      </c>
      <c r="Z311" s="1" t="str">
        <f>IFERROR(__xludf.DUMMYFUNCTION("""COMPUTED_VALUE"""),"NEW CONNECT")</f>
        <v>NEW CONNECT</v>
      </c>
      <c r="AA311" s="1">
        <f>IFERROR(__xludf.DUMMYFUNCTION("""COMPUTED_VALUE"""),639566589984)</f>
        <v>639566589984</v>
      </c>
      <c r="AB311" s="1"/>
      <c r="AC311" s="1">
        <f>IFERROR(__xludf.DUMMYFUNCTION("""COMPUTED_VALUE"""),9029)</f>
        <v>9029</v>
      </c>
      <c r="AD311" s="1" t="str">
        <f>IFERROR(__xludf.DUMMYFUNCTION("""COMPUTED_VALUE"""),"P ANTONIO")</f>
        <v>P ANTONIO</v>
      </c>
      <c r="AE311" s="1" t="str">
        <f>IFERROR(__xludf.DUMMYFUNCTION("""COMPUTED_VALUE"""),"GOMEZ COMPOUND")</f>
        <v>GOMEZ COMPOUND</v>
      </c>
      <c r="AF311" s="1" t="str">
        <f>IFERROR(__xludf.DUMMYFUNCTION("""COMPUTED_VALUE"""),"BGY 5")</f>
        <v>BGY 5</v>
      </c>
      <c r="AG311" s="1" t="str">
        <f>IFERROR(__xludf.DUMMYFUNCTION("""COMPUTED_VALUE"""),"SILANG")</f>
        <v>SILANG</v>
      </c>
      <c r="AH311" s="1" t="str">
        <f>IFERROR(__xludf.DUMMYFUNCTION("""COMPUTED_VALUE"""),"TERMINAL TRICYCLE")</f>
        <v>TERMINAL TRICYCLE</v>
      </c>
      <c r="AI311" s="1" t="str">
        <f>IFERROR(__xludf.DUMMYFUNCTION("""COMPUTED_VALUE"""),"CLUSTER 11")</f>
        <v>CLUSTER 11</v>
      </c>
    </row>
    <row r="312" customHeight="1" spans="1:35">
      <c r="A312" s="3">
        <f>IFERROR(__xludf.DUMMYFUNCTION("""COMPUTED_VALUE"""),46261)</f>
        <v>46261</v>
      </c>
      <c r="B312" s="1" t="str">
        <f>IFERROR(__xludf.DUMMYFUNCTION("""COMPUTED_VALUE"""),"ANNE MARGARET TABLIZO MIJARES")</f>
        <v>ANNE MARGARET TABLIZO MIJARES</v>
      </c>
      <c r="C312" s="1">
        <f>IFERROR(__xludf.DUMMYFUNCTION("""COMPUTED_VALUE"""),2312145943)</f>
        <v>2312145943</v>
      </c>
      <c r="D312" s="1">
        <f>IFERROR(__xludf.DUMMYFUNCTION("""COMPUTED_VALUE"""),407393961)</f>
        <v>407393961</v>
      </c>
      <c r="E312" s="1">
        <f>IFERROR(__xludf.DUMMYFUNCTION("""COMPUTED_VALUE"""),468143959004)</f>
        <v>468143959004</v>
      </c>
      <c r="F312" s="1" t="str">
        <f>IFERROR(__xludf.DUMMYFUNCTION("""COMPUTED_VALUE"""),"CLOSED")</f>
        <v>CLOSED</v>
      </c>
      <c r="G312" s="1" t="str">
        <f>IFERROR(__xludf.DUMMYFUNCTION("""COMPUTED_VALUE"""),"CLOSED")</f>
        <v>CLOSED</v>
      </c>
      <c r="H312" s="1"/>
      <c r="I312" s="1" t="str">
        <f>IFERROR(__xludf.DUMMYFUNCTION("""COMPUTED_VALUE"""),"NO 1 AMSF")</f>
        <v>NO 1 AMSF</v>
      </c>
      <c r="J312" s="1" t="str">
        <f>IFERROR(__xludf.DUMMYFUNCTION("""COMPUTED_VALUE"""),"DUE DATE - 24-Sep-26 - 1,290.80")</f>
        <v>DUE DATE - 24-Sep-26 - 1,290.80</v>
      </c>
      <c r="K312" s="1" t="str">
        <f>IFERROR(__xludf.DUMMYFUNCTION("""COMPUTED_VALUE"""),"NOT IN OFSC")</f>
        <v>NOT IN OFSC</v>
      </c>
      <c r="L312" s="1" t="str">
        <f>IFERROR(__xludf.DUMMYFUNCTION("""COMPUTED_VALUE"""),"POSTED")</f>
        <v>POSTED</v>
      </c>
      <c r="M312" s="1" t="str">
        <f>IFERROR(__xludf.DUMMYFUNCTION("""COMPUTED_VALUE"""),"POSTED")</f>
        <v>POSTED</v>
      </c>
      <c r="N312" s="3">
        <f>IFERROR(__xludf.DUMMYFUNCTION("""COMPUTED_VALUE"""),46262)</f>
        <v>46262</v>
      </c>
      <c r="O312" s="1" t="str">
        <f>IFERROR(__xludf.DUMMYFUNCTION("""COMPUTED_VALUE"""),"FIBR UNLI ALL PLAN 999")</f>
        <v>FIBR UNLI ALL PLAN 999</v>
      </c>
      <c r="P312" s="1" t="str">
        <f>IFERROR(__xludf.DUMMYFUNCTION("""COMPUTED_VALUE"""),"LOWPLAN")</f>
        <v>LOWPLAN</v>
      </c>
      <c r="Q312" s="1" t="str">
        <f>IFERROR(__xludf.DUMMYFUNCTION("""COMPUTED_VALUE"""),"P407050")</f>
        <v>P407050</v>
      </c>
      <c r="R312" s="1" t="str">
        <f>IFERROR(__xludf.DUMMYFUNCTION("""COMPUTED_VALUE"""),"RIVERA, AIRIZH JOY")</f>
        <v>RIVERA, AIRIZH JOY</v>
      </c>
      <c r="S312" s="1" t="str">
        <f>IFERROR(__xludf.DUMMYFUNCTION("""COMPUTED_VALUE"""),"ORGANIC")</f>
        <v>ORGANIC</v>
      </c>
      <c r="T312" s="1" t="str">
        <f>IFERROR(__xludf.DUMMYFUNCTION("""COMPUTED_VALUE"""),"LEA REMOLLO")</f>
        <v>LEA REMOLLO</v>
      </c>
      <c r="U312" s="1" t="str">
        <f>IFERROR(__xludf.DUMMYFUNCTION("""COMPUTED_VALUE"""),"JULIE ESPIRITU")</f>
        <v>JULIE ESPIRITU</v>
      </c>
      <c r="V312" s="1" t="str">
        <f>IFERROR(__xludf.DUMMYFUNCTION("""COMPUTED_VALUE"""),"BK REGULAR")</f>
        <v>BK REGULAR</v>
      </c>
      <c r="W312" s="1" t="str">
        <f>IFERROR(__xludf.DUMMYFUNCTION("""COMPUTED_VALUE"""),"STK REGULAR")</f>
        <v>STK REGULAR</v>
      </c>
      <c r="X312" s="1" t="str">
        <f>IFERROR(__xludf.DUMMYFUNCTION("""COMPUTED_VALUE"""),"REGULAR")</f>
        <v>REGULAR</v>
      </c>
      <c r="Y312" s="1"/>
      <c r="Z312" s="1" t="str">
        <f>IFERROR(__xludf.DUMMYFUNCTION("""COMPUTED_VALUE"""),"NEW CONNECT")</f>
        <v>NEW CONNECT</v>
      </c>
      <c r="AA312" s="1">
        <f>IFERROR(__xludf.DUMMYFUNCTION("""COMPUTED_VALUE"""),639452895398)</f>
        <v>639452895398</v>
      </c>
      <c r="AB312" s="1">
        <f>IFERROR(__xludf.DUMMYFUNCTION("""COMPUTED_VALUE"""),639185588494)</f>
        <v>639185588494</v>
      </c>
      <c r="AC312" s="1"/>
      <c r="AD312" s="1" t="str">
        <f>IFERROR(__xludf.DUMMYFUNCTION("""COMPUTED_VALUE"""),"PANAMA")</f>
        <v>PANAMA</v>
      </c>
      <c r="AE312" s="1" t="str">
        <f>IFERROR(__xludf.DUMMYFUNCTION("""COMPUTED_VALUE"""),"CASA DE MONTEVERDE HOMES")</f>
        <v>CASA DE MONTEVERDE HOMES</v>
      </c>
      <c r="AF312" s="1" t="str">
        <f>IFERROR(__xludf.DUMMYFUNCTION("""COMPUTED_VALUE"""),"BGY F DE CASTRO")</f>
        <v>BGY F DE CASTRO</v>
      </c>
      <c r="AG312" s="1" t="str">
        <f>IFERROR(__xludf.DUMMYFUNCTION("""COMPUTED_VALUE"""),"GEN MARIANO ALVAREZ")</f>
        <v>GEN MARIANO ALVAREZ</v>
      </c>
      <c r="AH312" s="1"/>
      <c r="AI312" s="1" t="str">
        <f>IFERROR(__xludf.DUMMYFUNCTION("""COMPUTED_VALUE"""),"CLUSTER 11")</f>
        <v>CLUSTER 11</v>
      </c>
    </row>
    <row r="313" customHeight="1" spans="1:35">
      <c r="A313" s="3">
        <f>IFERROR(__xludf.DUMMYFUNCTION("""COMPUTED_VALUE"""),46262)</f>
        <v>46262</v>
      </c>
      <c r="B313" s="1" t="str">
        <f>IFERROR(__xludf.DUMMYFUNCTION("""COMPUTED_VALUE"""),"JOSE JR JUMADIAO ROMERO")</f>
        <v>JOSE JR JUMADIAO ROMERO</v>
      </c>
      <c r="C313" s="1">
        <f>IFERROR(__xludf.DUMMYFUNCTION("""COMPUTED_VALUE"""),2312158166)</f>
        <v>2312158166</v>
      </c>
      <c r="D313" s="1"/>
      <c r="E313" s="1"/>
      <c r="F313" s="1" t="str">
        <f>IFERROR(__xludf.DUMMYFUNCTION("""COMPUTED_VALUE"""),"CANCELLED")</f>
        <v>CANCELLED</v>
      </c>
      <c r="G313" s="1" t="str">
        <f>IFERROR(__xludf.DUMMYFUNCTION("""COMPUTED_VALUE"""),"(FAILED TO PROVIDE DOCS) FF - SEGMENT 1 - NEW TO CREDIT - MID RISK")</f>
        <v>(FAILED TO PROVIDE DOCS) FF - SEGMENT 1 - NEW TO CREDIT - MID RISK</v>
      </c>
      <c r="H313" s="1"/>
      <c r="I313" s="1"/>
      <c r="J313" s="1"/>
      <c r="K313" s="1"/>
      <c r="L313" s="1" t="str">
        <f>IFERROR(__xludf.DUMMYFUNCTION("""COMPUTED_VALUE"""),"CANCELLED - WITH ACTIVE LINE")</f>
        <v>CANCELLED - WITH ACTIVE LINE</v>
      </c>
      <c r="M313" s="1" t="str">
        <f>IFERROR(__xludf.DUMMYFUNCTION("""COMPUTED_VALUE"""),"CANCELLED - WITH ACTIVE LINE")</f>
        <v>CANCELLED - WITH ACTIVE LINE</v>
      </c>
      <c r="N313" s="3"/>
      <c r="O313" s="1" t="str">
        <f>IFERROR(__xludf.DUMMYFUNCTION("""COMPUTED_VALUE"""),"FIBR UNLI ALL PLAN 999")</f>
        <v>FIBR UNLI ALL PLAN 999</v>
      </c>
      <c r="P313" s="1" t="str">
        <f>IFERROR(__xludf.DUMMYFUNCTION("""COMPUTED_VALUE"""),"LOWPLAN")</f>
        <v>LOWPLAN</v>
      </c>
      <c r="Q313" s="1" t="str">
        <f>IFERROR(__xludf.DUMMYFUNCTION("""COMPUTED_VALUE"""),"P407050")</f>
        <v>P407050</v>
      </c>
      <c r="R313" s="1" t="str">
        <f>IFERROR(__xludf.DUMMYFUNCTION("""COMPUTED_VALUE"""),"ALOS, CHARLS LAURENZ")</f>
        <v>ALOS, CHARLS LAURENZ</v>
      </c>
      <c r="S313" s="1" t="str">
        <f>IFERROR(__xludf.DUMMYFUNCTION("""COMPUTED_VALUE"""),"ORGANIC")</f>
        <v>ORGANIC</v>
      </c>
      <c r="T313" s="1" t="str">
        <f>IFERROR(__xludf.DUMMYFUNCTION("""COMPUTED_VALUE"""),"LEA REMOLLO")</f>
        <v>LEA REMOLLO</v>
      </c>
      <c r="U313" s="1" t="str">
        <f>IFERROR(__xludf.DUMMYFUNCTION("""COMPUTED_VALUE"""),"JB SALIOA")</f>
        <v>JB SALIOA</v>
      </c>
      <c r="V313" s="1" t="str">
        <f>IFERROR(__xludf.DUMMYFUNCTION("""COMPUTED_VALUE"""),"BK HSTK")</f>
        <v>BK HSTK</v>
      </c>
      <c r="W313" s="1" t="str">
        <f>IFERROR(__xludf.DUMMYFUNCTION("""COMPUTED_VALUE"""),"BK HSTK")</f>
        <v>BK HSTK</v>
      </c>
      <c r="X313" s="1" t="str">
        <f>IFERROR(__xludf.DUMMYFUNCTION("""COMPUTED_VALUE"""),"REGULAR")</f>
        <v>REGULAR</v>
      </c>
      <c r="Y313" s="1" t="str">
        <f>IFERROR(__xludf.DUMMYFUNCTION("""COMPUTED_VALUE"""),"BK_CVEU_260809")</f>
        <v>BK_CVEU_260809</v>
      </c>
      <c r="Z313" s="1" t="str">
        <f>IFERROR(__xludf.DUMMYFUNCTION("""COMPUTED_VALUE"""),"NEW CONNECT")</f>
        <v>NEW CONNECT</v>
      </c>
      <c r="AA313" s="1">
        <f>IFERROR(__xludf.DUMMYFUNCTION("""COMPUTED_VALUE"""),639910570831)</f>
        <v>639910570831</v>
      </c>
      <c r="AB313" s="1">
        <f>IFERROR(__xludf.DUMMYFUNCTION("""COMPUTED_VALUE"""),639662457465)</f>
        <v>639662457465</v>
      </c>
      <c r="AC313" s="1">
        <f>IFERROR(__xludf.DUMMYFUNCTION("""COMPUTED_VALUE"""),575)</f>
        <v>575</v>
      </c>
      <c r="AD313" s="1" t="str">
        <f>IFERROR(__xludf.DUMMYFUNCTION("""COMPUTED_VALUE"""),"SITIO AYUNGINAN")</f>
        <v>SITIO AYUNGINAN</v>
      </c>
      <c r="AE313" s="1" t="str">
        <f>IFERROR(__xludf.DUMMYFUNCTION("""COMPUTED_VALUE"""),"PUROK 4")</f>
        <v>PUROK 4</v>
      </c>
      <c r="AF313" s="1" t="str">
        <f>IFERROR(__xludf.DUMMYFUNCTION("""COMPUTED_VALUE"""),"BGY TALON")</f>
        <v>BGY TALON</v>
      </c>
      <c r="AG313" s="1" t="str">
        <f>IFERROR(__xludf.DUMMYFUNCTION("""COMPUTED_VALUE"""),"AMADEO")</f>
        <v>AMADEO</v>
      </c>
      <c r="AH313" s="1" t="str">
        <f>IFERROR(__xludf.DUMMYFUNCTION("""COMPUTED_VALUE"""),"-")</f>
        <v>-</v>
      </c>
      <c r="AI313" s="1" t="str">
        <f>IFERROR(__xludf.DUMMYFUNCTION("""COMPUTED_VALUE"""),"CLUSTER 12")</f>
        <v>CLUSTER 12</v>
      </c>
    </row>
    <row r="314" customHeight="1" spans="1:35">
      <c r="A314" s="3">
        <f>IFERROR(__xludf.DUMMYFUNCTION("""COMPUTED_VALUE"""),46262)</f>
        <v>46262</v>
      </c>
      <c r="B314" s="1" t="str">
        <f>IFERROR(__xludf.DUMMYFUNCTION("""COMPUTED_VALUE"""),"NESTOR REGIS GARCIA")</f>
        <v>NESTOR REGIS GARCIA</v>
      </c>
      <c r="C314" s="1">
        <f>IFERROR(__xludf.DUMMYFUNCTION("""COMPUTED_VALUE"""),2312158868)</f>
        <v>2312158868</v>
      </c>
      <c r="D314" s="1"/>
      <c r="E314" s="1"/>
      <c r="F314" s="1" t="str">
        <f>IFERROR(__xludf.DUMMYFUNCTION("""COMPUTED_VALUE"""),"REENCODED")</f>
        <v>REENCODED</v>
      </c>
      <c r="G314" s="1" t="str">
        <f>IFERROR(__xludf.DUMMYFUNCTION("""COMPUTED_VALUE"""),"CANNOT CHANGE THE PAYMENT REQUIRED DUE TO SYSTEM ERROR | APPROVED | DONE VALIDATION | COMPLETE DOCS | CORRECT ENCODED INFO IN CSP | TU SCORING - FF - 1 (NTC) | 1 AMSF REQUIRED | CLEARED FROM BLACKLISTED HIT | NO EXISTING ACTIVE ACCT AND/OR PENDING/CANCELL"&amp;"ED APPLICATION | CLEAR AND SCANNABLE NATIONAL ID ")</f>
        <v>CANNOT CHANGE THE PAYMENT REQUIRED DUE TO SYSTEM ERROR | APPROVED | DONE VALIDATION | COMPLETE DOCS | CORRECT ENCODED INFO IN CSP | TU SCORING - FF - 1 (NTC) | 1 AMSF REQUIRED | CLEARED FROM BLACKLISTED HIT | NO EXISTING ACTIVE ACCT AND/OR PENDING/CANCELLED APPLICATION | CLEAR AND SCANNABLE NATIONAL ID </v>
      </c>
      <c r="H314" s="1"/>
      <c r="I314" s="1"/>
      <c r="J314" s="1"/>
      <c r="K314" s="1"/>
      <c r="L314" s="1" t="str">
        <f>IFERROR(__xludf.DUMMYFUNCTION("""COMPUTED_VALUE"""),"REENCODED")</f>
        <v>REENCODED</v>
      </c>
      <c r="M314" s="1" t="str">
        <f>IFERROR(__xludf.DUMMYFUNCTION("""COMPUTED_VALUE"""),"REENCODED")</f>
        <v>REENCODED</v>
      </c>
      <c r="N314" s="3"/>
      <c r="O314" s="1" t="str">
        <f>IFERROR(__xludf.DUMMYFUNCTION("""COMPUTED_VALUE"""),"FIBR NETFLIX PLAN 1599")</f>
        <v>FIBR NETFLIX PLAN 1599</v>
      </c>
      <c r="P314" s="1" t="str">
        <f>IFERROR(__xludf.DUMMYFUNCTION("""COMPUTED_VALUE"""),"LOWPLAN")</f>
        <v>LOWPLAN</v>
      </c>
      <c r="Q314" s="1" t="str">
        <f>IFERROR(__xludf.DUMMYFUNCTION("""COMPUTED_VALUE"""),"P407048")</f>
        <v>P407048</v>
      </c>
      <c r="R314" s="1" t="str">
        <f>IFERROR(__xludf.DUMMYFUNCTION("""COMPUTED_VALUE"""),"SANTOS, FRANZ IVAN")</f>
        <v>SANTOS, FRANZ IVAN</v>
      </c>
      <c r="S314" s="1" t="str">
        <f>IFERROR(__xludf.DUMMYFUNCTION("""COMPUTED_VALUE"""),"ORGANIC")</f>
        <v>ORGANIC</v>
      </c>
      <c r="T314" s="1" t="str">
        <f>IFERROR(__xludf.DUMMYFUNCTION("""COMPUTED_VALUE"""),"LEA REMOLLO")</f>
        <v>LEA REMOLLO</v>
      </c>
      <c r="U314" s="1" t="str">
        <f>IFERROR(__xludf.DUMMYFUNCTION("""COMPUTED_VALUE"""),"JB SALIOA")</f>
        <v>JB SALIOA</v>
      </c>
      <c r="V314" s="1" t="str">
        <f>IFERROR(__xludf.DUMMYFUNCTION("""COMPUTED_VALUE"""),"ONLINE/CRANFORD")</f>
        <v>ONLINE/CRANFORD</v>
      </c>
      <c r="W314" s="1" t="str">
        <f>IFERROR(__xludf.DUMMYFUNCTION("""COMPUTED_VALUE"""),"STK REGULAR")</f>
        <v>STK REGULAR</v>
      </c>
      <c r="X314" s="1" t="str">
        <f>IFERROR(__xludf.DUMMYFUNCTION("""COMPUTED_VALUE"""),"REGULAR")</f>
        <v>REGULAR</v>
      </c>
      <c r="Y314" s="1" t="str">
        <f>IFERROR(__xludf.DUMMYFUNCTION("""COMPUTED_VALUE"""),"RS_ONL_CVEU_2026")</f>
        <v>RS_ONL_CVEU_2026</v>
      </c>
      <c r="Z314" s="1" t="str">
        <f>IFERROR(__xludf.DUMMYFUNCTION("""COMPUTED_VALUE"""),"NEW CONNECT")</f>
        <v>NEW CONNECT</v>
      </c>
      <c r="AA314" s="1">
        <f>IFERROR(__xludf.DUMMYFUNCTION("""COMPUTED_VALUE"""),639670131392)</f>
        <v>639670131392</v>
      </c>
      <c r="AB314" s="1">
        <f>IFERROR(__xludf.DUMMYFUNCTION("""COMPUTED_VALUE"""),639267802577)</f>
        <v>639267802577</v>
      </c>
      <c r="AC314" s="1"/>
      <c r="AD314" s="1" t="str">
        <f>IFERROR(__xludf.DUMMYFUNCTION("""COMPUTED_VALUE"""),"PHASE 1")</f>
        <v>PHASE 1</v>
      </c>
      <c r="AE314" s="1" t="str">
        <f>IFERROR(__xludf.DUMMYFUNCTION("""COMPUTED_VALUE"""),"AMAYA BREEZE")</f>
        <v>AMAYA BREEZE</v>
      </c>
      <c r="AF314" s="1" t="str">
        <f>IFERROR(__xludf.DUMMYFUNCTION("""COMPUTED_VALUE"""),"BGY AMAYA 2")</f>
        <v>BGY AMAYA 2</v>
      </c>
      <c r="AG314" s="1" t="str">
        <f>IFERROR(__xludf.DUMMYFUNCTION("""COMPUTED_VALUE"""),"TANZA")</f>
        <v>TANZA</v>
      </c>
      <c r="AH314" s="1" t="str">
        <f>IFERROR(__xludf.DUMMYFUNCTION("""COMPUTED_VALUE"""),"PHASE 1 ST")</f>
        <v>PHASE 1 ST</v>
      </c>
      <c r="AI314" s="1" t="str">
        <f>IFERROR(__xludf.DUMMYFUNCTION("""COMPUTED_VALUE"""),"NOT AOR")</f>
        <v>NOT AOR</v>
      </c>
    </row>
    <row r="315" customHeight="1" spans="1:35">
      <c r="A315" s="3">
        <f>IFERROR(__xludf.DUMMYFUNCTION("""COMPUTED_VALUE"""),46262)</f>
        <v>46262</v>
      </c>
      <c r="B315" s="1" t="str">
        <f>IFERROR(__xludf.DUMMYFUNCTION("""COMPUTED_VALUE"""),"REDCEL BUHAY RAMILO")</f>
        <v>REDCEL BUHAY RAMILO</v>
      </c>
      <c r="C315" s="1">
        <f>IFERROR(__xludf.DUMMYFUNCTION("""COMPUTED_VALUE"""),2312160075)</f>
        <v>2312160075</v>
      </c>
      <c r="D315" s="1">
        <f>IFERROR(__xludf.DUMMYFUNCTION("""COMPUTED_VALUE"""),407415507)</f>
        <v>407415507</v>
      </c>
      <c r="E315" s="1">
        <f>IFERROR(__xludf.DUMMYFUNCTION("""COMPUTED_VALUE"""),468269749004)</f>
        <v>468269749004</v>
      </c>
      <c r="F315" s="1" t="str">
        <f>IFERROR(__xludf.DUMMYFUNCTION("""COMPUTED_VALUE"""),"CANCELLED")</f>
        <v>CANCELLED</v>
      </c>
      <c r="G315" s="1" t="str">
        <f>IFERROR(__xludf.DUMMYFUNCTION("""COMPUTED_VALUE"""),"VISITED BUT ASSIGN CAFAC NACLP138NP1 NOT ON SITE NEAREAST CAFAC NACLP231NP2 NACLP231NP3 NACLP231NP4 ARE FULL SUBS ALREADY ADVISE TALK REDCEL RAMILO CBR 09475627124")</f>
        <v>VISITED BUT ASSIGN CAFAC NACLP138NP1 NOT ON SITE NEAREAST CAFAC NACLP231NP2 NACLP231NP3 NACLP231NP4 ARE FULL SUBS ALREADY ADVISE TALK REDCEL RAMILO CBR 09475627124</v>
      </c>
      <c r="H315" s="1"/>
      <c r="I315" s="1"/>
      <c r="J315" s="1"/>
      <c r="K315" s="1" t="str">
        <f>IFERROR(__xludf.DUMMYFUNCTION("""COMPUTED_VALUE"""),"CANCELED")</f>
        <v>CANCELED</v>
      </c>
      <c r="L315" s="1" t="str">
        <f>IFERROR(__xludf.DUMMYFUNCTION("""COMPUTED_VALUE"""),"RPR - NAP FULL")</f>
        <v>RPR - NAP FULL</v>
      </c>
      <c r="M315" s="1" t="str">
        <f>IFERROR(__xludf.DUMMYFUNCTION("""COMPUTED_VALUE"""),"RPR- NAP FULL")</f>
        <v>RPR- NAP FULL</v>
      </c>
      <c r="N315" s="3"/>
      <c r="O315" s="1" t="str">
        <f>IFERROR(__xludf.DUMMYFUNCTION("""COMPUTED_VALUE"""),"FIBR UNLI ALL PLAN 999")</f>
        <v>FIBR UNLI ALL PLAN 999</v>
      </c>
      <c r="P315" s="1" t="str">
        <f>IFERROR(__xludf.DUMMYFUNCTION("""COMPUTED_VALUE"""),"LOWPLAN")</f>
        <v>LOWPLAN</v>
      </c>
      <c r="Q315" s="1" t="str">
        <f>IFERROR(__xludf.DUMMYFUNCTION("""COMPUTED_VALUE"""),"P407050")</f>
        <v>P407050</v>
      </c>
      <c r="R315" s="1" t="str">
        <f>IFERROR(__xludf.DUMMYFUNCTION("""COMPUTED_VALUE"""),"FRANCISCO, ROSELYN")</f>
        <v>FRANCISCO, ROSELYN</v>
      </c>
      <c r="S315" s="1" t="str">
        <f>IFERROR(__xludf.DUMMYFUNCTION("""COMPUTED_VALUE"""),"ORGANIC")</f>
        <v>ORGANIC</v>
      </c>
      <c r="T315" s="1" t="str">
        <f>IFERROR(__xludf.DUMMYFUNCTION("""COMPUTED_VALUE"""),"LEA REMOLLO")</f>
        <v>LEA REMOLLO</v>
      </c>
      <c r="U315" s="1" t="str">
        <f>IFERROR(__xludf.DUMMYFUNCTION("""COMPUTED_VALUE"""),"JB SALIOA")</f>
        <v>JB SALIOA</v>
      </c>
      <c r="V315" s="1" t="str">
        <f>IFERROR(__xludf.DUMMYFUNCTION("""COMPUTED_VALUE"""),"ONLINE/CRANFORD")</f>
        <v>ONLINE/CRANFORD</v>
      </c>
      <c r="W315" s="1" t="str">
        <f>IFERROR(__xludf.DUMMYFUNCTION("""COMPUTED_VALUE"""),"STK REGULAR")</f>
        <v>STK REGULAR</v>
      </c>
      <c r="X315" s="1" t="str">
        <f>IFERROR(__xludf.DUMMYFUNCTION("""COMPUTED_VALUE"""),"REGULAR")</f>
        <v>REGULAR</v>
      </c>
      <c r="Y315" s="1" t="str">
        <f>IFERROR(__xludf.DUMMYFUNCTION("""COMPUTED_VALUE"""),"RS_ONL_CVEU_2026")</f>
        <v>RS_ONL_CVEU_2026</v>
      </c>
      <c r="Z315" s="1" t="str">
        <f>IFERROR(__xludf.DUMMYFUNCTION("""COMPUTED_VALUE"""),"NEW CONNECT")</f>
        <v>NEW CONNECT</v>
      </c>
      <c r="AA315" s="1">
        <f>IFERROR(__xludf.DUMMYFUNCTION("""COMPUTED_VALUE"""),639475627124)</f>
        <v>639475627124</v>
      </c>
      <c r="AB315" s="1"/>
      <c r="AC315" s="1"/>
      <c r="AD315" s="1" t="str">
        <f>IFERROR(__xludf.DUMMYFUNCTION("""COMPUTED_VALUE"""),"BALAI")</f>
        <v>BALAI</v>
      </c>
      <c r="AE315" s="1" t="str">
        <f>IFERROR(__xludf.DUMMYFUNCTION("""COMPUTED_VALUE"""),"ST MARY MAGDALENE")</f>
        <v>ST MARY MAGDALENE</v>
      </c>
      <c r="AF315" s="1" t="str">
        <f>IFERROR(__xludf.DUMMYFUNCTION("""COMPUTED_VALUE"""),"BGY MALAINEN BAGO")</f>
        <v>BGY MALAINEN BAGO</v>
      </c>
      <c r="AG315" s="1" t="str">
        <f>IFERROR(__xludf.DUMMYFUNCTION("""COMPUTED_VALUE"""),"NAIC")</f>
        <v>NAIC</v>
      </c>
      <c r="AH315" s="1" t="str">
        <f>IFERROR(__xludf.DUMMYFUNCTION("""COMPUTED_VALUE"""),"NEAR ELEM SCHOOL")</f>
        <v>NEAR ELEM SCHOOL</v>
      </c>
      <c r="AI315" s="1" t="str">
        <f>IFERROR(__xludf.DUMMYFUNCTION("""COMPUTED_VALUE"""),"NOT AOR")</f>
        <v>NOT AOR</v>
      </c>
    </row>
    <row r="316" customHeight="1" spans="1:35">
      <c r="A316" s="3">
        <f>IFERROR(__xludf.DUMMYFUNCTION("""COMPUTED_VALUE"""),46262)</f>
        <v>46262</v>
      </c>
      <c r="B316" s="1" t="str">
        <f>IFERROR(__xludf.DUMMYFUNCTION("""COMPUTED_VALUE"""),"WENDY MAR FLORES ALTAMIA")</f>
        <v>WENDY MAR FLORES ALTAMIA</v>
      </c>
      <c r="C316" s="1">
        <f>IFERROR(__xludf.DUMMYFUNCTION("""COMPUTED_VALUE"""),2312160605)</f>
        <v>2312160605</v>
      </c>
      <c r="D316" s="1"/>
      <c r="E316" s="1"/>
      <c r="F316" s="1" t="str">
        <f>IFERROR(__xludf.DUMMYFUNCTION("""COMPUTED_VALUE"""),"REENCODED")</f>
        <v>REENCODED</v>
      </c>
      <c r="G316" s="1" t="str">
        <f>IFERROR(__xludf.DUMMYFUNCTION("""COMPUTED_VALUE"""),"SUBS HAS ACTIVE ACCT.# 0345135987. PLS. ATTACH POA UNDER NEW INSTALLATION ADDRESS IF THIS IS FOR MULTIPLE LINES ")</f>
        <v>SUBS HAS ACTIVE ACCT.# 0345135987. PLS. ATTACH POA UNDER NEW INSTALLATION ADDRESS IF THIS IS FOR MULTIPLE LINES </v>
      </c>
      <c r="H316" s="1"/>
      <c r="I316" s="1"/>
      <c r="J316" s="1"/>
      <c r="K316" s="1"/>
      <c r="L316" s="1" t="str">
        <f>IFERROR(__xludf.DUMMYFUNCTION("""COMPUTED_VALUE"""),"CANCELLED")</f>
        <v>CANCELLED</v>
      </c>
      <c r="M316" s="1" t="str">
        <f>IFERROR(__xludf.DUMMYFUNCTION("""COMPUTED_VALUE"""),"CANCELLED - NON COMPLIANCE")</f>
        <v>CANCELLED - NON COMPLIANCE</v>
      </c>
      <c r="N316" s="3"/>
      <c r="O316" s="1" t="str">
        <f>IFERROR(__xludf.DUMMYFUNCTION("""COMPUTED_VALUE"""),"FIBR PLAN 2099")</f>
        <v>FIBR PLAN 2099</v>
      </c>
      <c r="P316" s="1" t="str">
        <f>IFERROR(__xludf.DUMMYFUNCTION("""COMPUTED_VALUE"""),"HIGHPLAN")</f>
        <v>HIGHPLAN</v>
      </c>
      <c r="Q316" s="1" t="str">
        <f>IFERROR(__xludf.DUMMYFUNCTION("""COMPUTED_VALUE"""),"P407050")</f>
        <v>P407050</v>
      </c>
      <c r="R316" s="1" t="str">
        <f>IFERROR(__xludf.DUMMYFUNCTION("""COMPUTED_VALUE"""),"RIVERA, AIRIZH JOY")</f>
        <v>RIVERA, AIRIZH JOY</v>
      </c>
      <c r="S316" s="1" t="str">
        <f>IFERROR(__xludf.DUMMYFUNCTION("""COMPUTED_VALUE"""),"ORGANIC")</f>
        <v>ORGANIC</v>
      </c>
      <c r="T316" s="1" t="str">
        <f>IFERROR(__xludf.DUMMYFUNCTION("""COMPUTED_VALUE"""),"LEA REMOLLO")</f>
        <v>LEA REMOLLO</v>
      </c>
      <c r="U316" s="1" t="str">
        <f>IFERROR(__xludf.DUMMYFUNCTION("""COMPUTED_VALUE"""),"JB SALIOA")</f>
        <v>JB SALIOA</v>
      </c>
      <c r="V316" s="1" t="str">
        <f>IFERROR(__xludf.DUMMYFUNCTION("""COMPUTED_VALUE"""),"ONLINE/CRANFORD")</f>
        <v>ONLINE/CRANFORD</v>
      </c>
      <c r="W316" s="1" t="str">
        <f>IFERROR(__xludf.DUMMYFUNCTION("""COMPUTED_VALUE"""),"STK REGULAR")</f>
        <v>STK REGULAR</v>
      </c>
      <c r="X316" s="1" t="str">
        <f>IFERROR(__xludf.DUMMYFUNCTION("""COMPUTED_VALUE"""),"REGULAR")</f>
        <v>REGULAR</v>
      </c>
      <c r="Y316" s="1" t="str">
        <f>IFERROR(__xludf.DUMMYFUNCTION("""COMPUTED_VALUE"""),"RS_ONL_CVEU_2026")</f>
        <v>RS_ONL_CVEU_2026</v>
      </c>
      <c r="Z316" s="1" t="str">
        <f>IFERROR(__xludf.DUMMYFUNCTION("""COMPUTED_VALUE"""),"NEW CONNECT")</f>
        <v>NEW CONNECT</v>
      </c>
      <c r="AA316" s="1">
        <f>IFERROR(__xludf.DUMMYFUNCTION("""COMPUTED_VALUE"""),639505539044)</f>
        <v>639505539044</v>
      </c>
      <c r="AB316" s="1">
        <f>IFERROR(__xludf.DUMMYFUNCTION("""COMPUTED_VALUE"""),639602162661)</f>
        <v>639602162661</v>
      </c>
      <c r="AC316" s="1"/>
      <c r="AD316" s="1" t="str">
        <f>IFERROR(__xludf.DUMMYFUNCTION("""COMPUTED_VALUE"""),"SAN MATEO")</f>
        <v>SAN MATEO</v>
      </c>
      <c r="AE316" s="1"/>
      <c r="AF316" s="1" t="str">
        <f>IFERROR(__xludf.DUMMYFUNCTION("""COMPUTED_VALUE"""),"BGY SAN MATEO")</f>
        <v>BGY SAN MATEO</v>
      </c>
      <c r="AG316" s="1" t="str">
        <f>IFERROR(__xludf.DUMMYFUNCTION("""COMPUTED_VALUE"""),"DASMARINAS")</f>
        <v>DASMARINAS</v>
      </c>
      <c r="AH316" s="1" t="str">
        <f>IFERROR(__xludf.DUMMYFUNCTION("""COMPUTED_VALUE"""),"HVAC")</f>
        <v>HVAC</v>
      </c>
      <c r="AI316" s="1" t="str">
        <f>IFERROR(__xludf.DUMMYFUNCTION("""COMPUTED_VALUE"""),"NOT AOR")</f>
        <v>NOT AOR</v>
      </c>
    </row>
    <row r="317" customHeight="1" spans="1:35">
      <c r="A317" s="3">
        <f>IFERROR(__xludf.DUMMYFUNCTION("""COMPUTED_VALUE"""),46262)</f>
        <v>46262</v>
      </c>
      <c r="B317" s="1" t="str">
        <f>IFERROR(__xludf.DUMMYFUNCTION("""COMPUTED_VALUE"""),"MILAGROS ABALOS TRONO")</f>
        <v>MILAGROS ABALOS TRONO</v>
      </c>
      <c r="C317" s="1">
        <f>IFERROR(__xludf.DUMMYFUNCTION("""COMPUTED_VALUE"""),2312161987)</f>
        <v>2312161987</v>
      </c>
      <c r="D317" s="1">
        <f>IFERROR(__xludf.DUMMYFUNCTION("""COMPUTED_VALUE"""),407413547)</f>
        <v>407413547</v>
      </c>
      <c r="E317" s="1">
        <f>IFERROR(__xludf.DUMMYFUNCTION("""COMPUTED_VALUE"""),468268304004)</f>
        <v>468268304004</v>
      </c>
      <c r="F317" s="1" t="str">
        <f>IFERROR(__xludf.DUMMYFUNCTION("""COMPUTED_VALUE"""),"CLOSED")</f>
        <v>CLOSED</v>
      </c>
      <c r="G317" s="1" t="str">
        <f>IFERROR(__xludf.DUMMYFUNCTION("""COMPUTED_VALUE"""),"CLOSED")</f>
        <v>CLOSED</v>
      </c>
      <c r="H317" s="1" t="str">
        <f>IFERROR(__xludf.DUMMYFUNCTION("""COMPUTED_VALUE"""),"PAID VIA 7/11 REF 2664-1031-9837 AUG 29")</f>
        <v>PAID VIA 7/11 REF 2664-1031-9837 AUG 29</v>
      </c>
      <c r="I317" s="1" t="str">
        <f>IFERROR(__xludf.DUMMYFUNCTION("""COMPUTED_VALUE"""),"WITH 1 AMSF")</f>
        <v>WITH 1 AMSF</v>
      </c>
      <c r="J317" s="1"/>
      <c r="K317" s="1" t="str">
        <f>IFERROR(__xludf.DUMMYFUNCTION("""COMPUTED_VALUE"""),"COMPLETED")</f>
        <v>COMPLETED</v>
      </c>
      <c r="L317" s="1" t="str">
        <f>IFERROR(__xludf.DUMMYFUNCTION("""COMPUTED_VALUE"""),"POSTED")</f>
        <v>POSTED</v>
      </c>
      <c r="M317" s="1" t="str">
        <f>IFERROR(__xludf.DUMMYFUNCTION("""COMPUTED_VALUE"""),"POSTED")</f>
        <v>POSTED</v>
      </c>
      <c r="N317" s="3">
        <f>IFERROR(__xludf.DUMMYFUNCTION("""COMPUTED_VALUE"""),46263)</f>
        <v>46263</v>
      </c>
      <c r="O317" s="1" t="str">
        <f>IFERROR(__xludf.DUMMYFUNCTION("""COMPUTED_VALUE"""),"FIBR UNLI ALL PLAN 999")</f>
        <v>FIBR UNLI ALL PLAN 999</v>
      </c>
      <c r="P317" s="1" t="str">
        <f>IFERROR(__xludf.DUMMYFUNCTION("""COMPUTED_VALUE"""),"LOWPLAN")</f>
        <v>LOWPLAN</v>
      </c>
      <c r="Q317" s="1" t="str">
        <f>IFERROR(__xludf.DUMMYFUNCTION("""COMPUTED_VALUE"""),"P407050")</f>
        <v>P407050</v>
      </c>
      <c r="R317" s="1" t="str">
        <f>IFERROR(__xludf.DUMMYFUNCTION("""COMPUTED_VALUE"""),"BAQUIT, JAZMIN")</f>
        <v>BAQUIT, JAZMIN</v>
      </c>
      <c r="S317" s="1" t="str">
        <f>IFERROR(__xludf.DUMMYFUNCTION("""COMPUTED_VALUE"""),"ORGANIC")</f>
        <v>ORGANIC</v>
      </c>
      <c r="T317" s="1" t="str">
        <f>IFERROR(__xludf.DUMMYFUNCTION("""COMPUTED_VALUE"""),"LEA REMOLLO")</f>
        <v>LEA REMOLLO</v>
      </c>
      <c r="U317" s="1" t="str">
        <f>IFERROR(__xludf.DUMMYFUNCTION("""COMPUTED_VALUE"""),"JB SALIOA")</f>
        <v>JB SALIOA</v>
      </c>
      <c r="V317" s="1" t="str">
        <f>IFERROR(__xludf.DUMMYFUNCTION("""COMPUTED_VALUE"""),"BK HSTK")</f>
        <v>BK HSTK</v>
      </c>
      <c r="W317" s="1" t="str">
        <f>IFERROR(__xludf.DUMMYFUNCTION("""COMPUTED_VALUE"""),"BK HSTK")</f>
        <v>BK HSTK</v>
      </c>
      <c r="X317" s="1" t="str">
        <f>IFERROR(__xludf.DUMMYFUNCTION("""COMPUTED_VALUE"""),"REGULAR")</f>
        <v>REGULAR</v>
      </c>
      <c r="Y317" s="1" t="str">
        <f>IFERROR(__xludf.DUMMYFUNCTION("""COMPUTED_VALUE"""),"BK_CVEU_260811")</f>
        <v>BK_CVEU_260811</v>
      </c>
      <c r="Z317" s="1" t="str">
        <f>IFERROR(__xludf.DUMMYFUNCTION("""COMPUTED_VALUE"""),"NEW CONNECT")</f>
        <v>NEW CONNECT</v>
      </c>
      <c r="AA317" s="1">
        <f>IFERROR(__xludf.DUMMYFUNCTION("""COMPUTED_VALUE"""),639303780383)</f>
        <v>639303780383</v>
      </c>
      <c r="AB317" s="1"/>
      <c r="AC317" s="1"/>
      <c r="AD317" s="1" t="str">
        <f>IFERROR(__xludf.DUMMYFUNCTION("""COMPUTED_VALUE"""),"INOCENCIO SALUD")</f>
        <v>INOCENCIO SALUD</v>
      </c>
      <c r="AE317" s="1" t="str">
        <f>IFERROR(__xludf.DUMMYFUNCTION("""COMPUTED_VALUE"""),"TIMTIMAN RESIDENCE")</f>
        <v>TIMTIMAN RESIDENCE</v>
      </c>
      <c r="AF317" s="1" t="str">
        <f>IFERROR(__xludf.DUMMYFUNCTION("""COMPUTED_VALUE"""),"BGY INOCENCIO SALUD")</f>
        <v>BGY INOCENCIO SALUD</v>
      </c>
      <c r="AG317" s="1" t="str">
        <f>IFERROR(__xludf.DUMMYFUNCTION("""COMPUTED_VALUE"""),"GEN MARIANO ALVAREZ")</f>
        <v>GEN MARIANO ALVAREZ</v>
      </c>
      <c r="AH317" s="1" t="str">
        <f>IFERROR(__xludf.DUMMYFUNCTION("""COMPUTED_VALUE"""),"HALFCOURT")</f>
        <v>HALFCOURT</v>
      </c>
      <c r="AI317" s="1" t="str">
        <f>IFERROR(__xludf.DUMMYFUNCTION("""COMPUTED_VALUE"""),"CLUSTER 11")</f>
        <v>CLUSTER 11</v>
      </c>
    </row>
    <row r="318" customHeight="1" spans="1:35">
      <c r="A318" s="3">
        <f>IFERROR(__xludf.DUMMYFUNCTION("""COMPUTED_VALUE"""),46262)</f>
        <v>46262</v>
      </c>
      <c r="B318" s="1" t="str">
        <f>IFERROR(__xludf.DUMMYFUNCTION("""COMPUTED_VALUE"""),"MA LORETA AUSTRIA DE LAS ALAS")</f>
        <v>MA LORETA AUSTRIA DE LAS ALAS</v>
      </c>
      <c r="C318" s="1">
        <f>IFERROR(__xludf.DUMMYFUNCTION("""COMPUTED_VALUE"""),2312164216)</f>
        <v>2312164216</v>
      </c>
      <c r="D318" s="1"/>
      <c r="E318" s="1"/>
      <c r="F318" s="1" t="str">
        <f>IFERROR(__xludf.DUMMYFUNCTION("""COMPUTED_VALUE"""),"CANCELLED")</f>
        <v>CANCELLED</v>
      </c>
      <c r="G318" s="1" t="str">
        <f>IFERROR(__xludf.DUMMYFUNCTION("""COMPUTED_VALUE"""),"SUBS HAS ACTIVE ACCT.# 0404740946. PLS. ATTACH POA UNDER NEW INSTALLATION ADDRESS IF THIS IS FOR MULTIPLE LINES ")</f>
        <v>SUBS HAS ACTIVE ACCT.# 0404740946. PLS. ATTACH POA UNDER NEW INSTALLATION ADDRESS IF THIS IS FOR MULTIPLE LINES </v>
      </c>
      <c r="H318" s="1"/>
      <c r="I318" s="1"/>
      <c r="J318" s="1"/>
      <c r="K318" s="1"/>
      <c r="L318" s="1" t="str">
        <f>IFERROR(__xludf.DUMMYFUNCTION("""COMPUTED_VALUE"""),"CANCELLED")</f>
        <v>CANCELLED</v>
      </c>
      <c r="M318" s="1" t="str">
        <f>IFERROR(__xludf.DUMMYFUNCTION("""COMPUTED_VALUE"""),"CANCELLED - NON COMPLIANCE")</f>
        <v>CANCELLED - NON COMPLIANCE</v>
      </c>
      <c r="N318" s="3"/>
      <c r="O318" s="1" t="str">
        <f>IFERROR(__xludf.DUMMYFUNCTION("""COMPUTED_VALUE"""),"FIBR NETFLIX PLAN 1599")</f>
        <v>FIBR NETFLIX PLAN 1599</v>
      </c>
      <c r="P318" s="1" t="str">
        <f>IFERROR(__xludf.DUMMYFUNCTION("""COMPUTED_VALUE"""),"LOWPLAN")</f>
        <v>LOWPLAN</v>
      </c>
      <c r="Q318" s="1" t="str">
        <f>IFERROR(__xludf.DUMMYFUNCTION("""COMPUTED_VALUE"""),"P407045")</f>
        <v>P407045</v>
      </c>
      <c r="R318" s="1" t="str">
        <f>IFERROR(__xludf.DUMMYFUNCTION("""COMPUTED_VALUE"""),"FARO, REFRANTA ")</f>
        <v>FARO, REFRANTA </v>
      </c>
      <c r="S318" s="1" t="str">
        <f>IFERROR(__xludf.DUMMYFUNCTION("""COMPUTED_VALUE"""),"FLA")</f>
        <v>FLA</v>
      </c>
      <c r="T318" s="1" t="str">
        <f>IFERROR(__xludf.DUMMYFUNCTION("""COMPUTED_VALUE"""),"JERIC NAVARRO")</f>
        <v>JERIC NAVARRO</v>
      </c>
      <c r="U318" s="1" t="str">
        <f>IFERROR(__xludf.DUMMYFUNCTION("""COMPUTED_VALUE"""),"JB SALIOA")</f>
        <v>JB SALIOA</v>
      </c>
      <c r="V318" s="1" t="str">
        <f>IFERROR(__xludf.DUMMYFUNCTION("""COMPUTED_VALUE"""),"BK REGULAR")</f>
        <v>BK REGULAR</v>
      </c>
      <c r="W318" s="1" t="str">
        <f>IFERROR(__xludf.DUMMYFUNCTION("""COMPUTED_VALUE"""),"STK REGULAR")</f>
        <v>STK REGULAR</v>
      </c>
      <c r="X318" s="1" t="str">
        <f>IFERROR(__xludf.DUMMYFUNCTION("""COMPUTED_VALUE"""),"REGULAR")</f>
        <v>REGULAR</v>
      </c>
      <c r="Y318" s="1" t="str">
        <f>IFERROR(__xludf.DUMMYFUNCTION("""COMPUTED_VALUE"""),"BK_CVEU_260814")</f>
        <v>BK_CVEU_260814</v>
      </c>
      <c r="Z318" s="1" t="str">
        <f>IFERROR(__xludf.DUMMYFUNCTION("""COMPUTED_VALUE"""),"NEW CONNECT")</f>
        <v>NEW CONNECT</v>
      </c>
      <c r="AA318" s="1">
        <f>IFERROR(__xludf.DUMMYFUNCTION("""COMPUTED_VALUE"""),639995302750)</f>
        <v>639995302750</v>
      </c>
      <c r="AB318" s="1">
        <f>IFERROR(__xludf.DUMMYFUNCTION("""COMPUTED_VALUE"""),639661948730)</f>
        <v>639661948730</v>
      </c>
      <c r="AC318" s="1">
        <f>IFERROR(__xludf.DUMMYFUNCTION("""COMPUTED_VALUE"""),2092)</f>
        <v>2092</v>
      </c>
      <c r="AD318" s="1" t="str">
        <f>IFERROR(__xludf.DUMMYFUNCTION("""COMPUTED_VALUE"""),"ELEVE HOMES")</f>
        <v>ELEVE HOMES</v>
      </c>
      <c r="AE318" s="1" t="str">
        <f>IFERROR(__xludf.DUMMYFUNCTION("""COMPUTED_VALUE"""),"ELEVE HOMES TAGAYTAY")</f>
        <v>ELEVE HOMES TAGAYTAY</v>
      </c>
      <c r="AF318" s="1" t="str">
        <f>IFERROR(__xludf.DUMMYFUNCTION("""COMPUTED_VALUE"""),"BGY MAHARLIKA WEST")</f>
        <v>BGY MAHARLIKA WEST</v>
      </c>
      <c r="AG318" s="1" t="str">
        <f>IFERROR(__xludf.DUMMYFUNCTION("""COMPUTED_VALUE"""),"TAGAYTAY")</f>
        <v>TAGAYTAY</v>
      </c>
      <c r="AH318" s="1" t="str">
        <f>IFERROR(__xludf.DUMMYFUNCTION("""COMPUTED_VALUE"""),"RONAMAR HOTEL &amp; RESTO")</f>
        <v>RONAMAR HOTEL &amp; RESTO</v>
      </c>
      <c r="AI318" s="1" t="str">
        <f>IFERROR(__xludf.DUMMYFUNCTION("""COMPUTED_VALUE"""),"CLUSTER 12")</f>
        <v>CLUSTER 12</v>
      </c>
    </row>
    <row r="319" customHeight="1" spans="1:35">
      <c r="A319" s="3">
        <f>IFERROR(__xludf.DUMMYFUNCTION("""COMPUTED_VALUE"""),46262)</f>
        <v>46262</v>
      </c>
      <c r="B319" s="1" t="str">
        <f>IFERROR(__xludf.DUMMYFUNCTION("""COMPUTED_VALUE"""),"RINA ACLAO TOBIAS")</f>
        <v>RINA ACLAO TOBIAS</v>
      </c>
      <c r="C319" s="1">
        <f>IFERROR(__xludf.DUMMYFUNCTION("""COMPUTED_VALUE"""),2312164735)</f>
        <v>2312164735</v>
      </c>
      <c r="D319" s="1">
        <f>IFERROR(__xludf.DUMMYFUNCTION("""COMPUTED_VALUE"""),407421566)</f>
        <v>407421566</v>
      </c>
      <c r="E319" s="1">
        <f>IFERROR(__xludf.DUMMYFUNCTION("""COMPUTED_VALUE"""),468272845004)</f>
        <v>468272845004</v>
      </c>
      <c r="F319" s="1" t="str">
        <f>IFERROR(__xludf.DUMMYFUNCTION("""COMPUTED_VALUE"""),"CLOSED")</f>
        <v>CLOSED</v>
      </c>
      <c r="G319" s="1" t="str">
        <f>IFERROR(__xludf.DUMMYFUNCTION("""COMPUTED_VALUE"""),"CLOSED")</f>
        <v>CLOSED</v>
      </c>
      <c r="H319" s="1"/>
      <c r="I319" s="1" t="str">
        <f>IFERROR(__xludf.DUMMYFUNCTION("""COMPUTED_VALUE"""),"NO 1 AMSF")</f>
        <v>NO 1 AMSF</v>
      </c>
      <c r="J319" s="1" t="str">
        <f>IFERROR(__xludf.DUMMYFUNCTION("""COMPUTED_VALUE"""),"DUE DATE - 24-Sep-26 - 1,255.35")</f>
        <v>DUE DATE - 24-Sep-26 - 1,255.35</v>
      </c>
      <c r="K319" s="1" t="str">
        <f>IFERROR(__xludf.DUMMYFUNCTION("""COMPUTED_VALUE"""),"COMPLETED")</f>
        <v>COMPLETED</v>
      </c>
      <c r="L319" s="1" t="str">
        <f>IFERROR(__xludf.DUMMYFUNCTION("""COMPUTED_VALUE"""),"POSTED")</f>
        <v>POSTED</v>
      </c>
      <c r="M319" s="1" t="str">
        <f>IFERROR(__xludf.DUMMYFUNCTION("""COMPUTED_VALUE"""),"POSTED")</f>
        <v>POSTED</v>
      </c>
      <c r="N319" s="3">
        <f>IFERROR(__xludf.DUMMYFUNCTION("""COMPUTED_VALUE"""),46263)</f>
        <v>46263</v>
      </c>
      <c r="O319" s="1" t="str">
        <f>IFERROR(__xludf.DUMMYFUNCTION("""COMPUTED_VALUE"""),"FIBR UNLI ALL PLAN 999")</f>
        <v>FIBR UNLI ALL PLAN 999</v>
      </c>
      <c r="P319" s="1" t="str">
        <f>IFERROR(__xludf.DUMMYFUNCTION("""COMPUTED_VALUE"""),"LOWPLAN")</f>
        <v>LOWPLAN</v>
      </c>
      <c r="Q319" s="1" t="str">
        <f>IFERROR(__xludf.DUMMYFUNCTION("""COMPUTED_VALUE"""),"P407050")</f>
        <v>P407050</v>
      </c>
      <c r="R319" s="1" t="str">
        <f>IFERROR(__xludf.DUMMYFUNCTION("""COMPUTED_VALUE"""),"ALOS, CHARLS LAURENZ")</f>
        <v>ALOS, CHARLS LAURENZ</v>
      </c>
      <c r="S319" s="1" t="str">
        <f>IFERROR(__xludf.DUMMYFUNCTION("""COMPUTED_VALUE"""),"ORGANIC")</f>
        <v>ORGANIC</v>
      </c>
      <c r="T319" s="1" t="str">
        <f>IFERROR(__xludf.DUMMYFUNCTION("""COMPUTED_VALUE"""),"LEA REMOLLO")</f>
        <v>LEA REMOLLO</v>
      </c>
      <c r="U319" s="1" t="str">
        <f>IFERROR(__xludf.DUMMYFUNCTION("""COMPUTED_VALUE"""),"JB SALIOA")</f>
        <v>JB SALIOA</v>
      </c>
      <c r="V319" s="1" t="str">
        <f>IFERROR(__xludf.DUMMYFUNCTION("""COMPUTED_VALUE"""),"BK HSTK")</f>
        <v>BK HSTK</v>
      </c>
      <c r="W319" s="1" t="str">
        <f>IFERROR(__xludf.DUMMYFUNCTION("""COMPUTED_VALUE"""),"BK HSTK")</f>
        <v>BK HSTK</v>
      </c>
      <c r="X319" s="1" t="str">
        <f>IFERROR(__xludf.DUMMYFUNCTION("""COMPUTED_VALUE"""),"REGULAR")</f>
        <v>REGULAR</v>
      </c>
      <c r="Y319" s="1" t="str">
        <f>IFERROR(__xludf.DUMMYFUNCTION("""COMPUTED_VALUE"""),"BK_CVEU_260813")</f>
        <v>BK_CVEU_260813</v>
      </c>
      <c r="Z319" s="1" t="str">
        <f>IFERROR(__xludf.DUMMYFUNCTION("""COMPUTED_VALUE"""),"NEW CONNECT")</f>
        <v>NEW CONNECT</v>
      </c>
      <c r="AA319" s="1">
        <f>IFERROR(__xludf.DUMMYFUNCTION("""COMPUTED_VALUE"""),639660145151)</f>
        <v>639660145151</v>
      </c>
      <c r="AB319" s="1"/>
      <c r="AC319" s="1"/>
      <c r="AD319" s="1" t="str">
        <f>IFERROR(__xludf.DUMMYFUNCTION("""COMPUTED_VALUE"""),"ZONE 11")</f>
        <v>ZONE 11</v>
      </c>
      <c r="AE319" s="1" t="str">
        <f>IFERROR(__xludf.DUMMYFUNCTION("""COMPUTED_VALUE"""),"TATIC HOMES")</f>
        <v>TATIC HOMES</v>
      </c>
      <c r="AF319" s="1" t="str">
        <f>IFERROR(__xludf.DUMMYFUNCTION("""COMPUTED_VALUE"""),"BGY BULIHAN")</f>
        <v>BGY BULIHAN</v>
      </c>
      <c r="AG319" s="1" t="str">
        <f>IFERROR(__xludf.DUMMYFUNCTION("""COMPUTED_VALUE"""),"SILANG")</f>
        <v>SILANG</v>
      </c>
      <c r="AH319" s="1" t="str">
        <f>IFERROR(__xludf.DUMMYFUNCTION("""COMPUTED_VALUE"""),"BASKETBALL COURT")</f>
        <v>BASKETBALL COURT</v>
      </c>
      <c r="AI319" s="1" t="str">
        <f>IFERROR(__xludf.DUMMYFUNCTION("""COMPUTED_VALUE"""),"CLUSTER 11")</f>
        <v>CLUSTER 11</v>
      </c>
    </row>
    <row r="320" customHeight="1" spans="1:35">
      <c r="A320" s="3">
        <f>IFERROR(__xludf.DUMMYFUNCTION("""COMPUTED_VALUE"""),46262)</f>
        <v>46262</v>
      </c>
      <c r="B320" s="1" t="str">
        <f>IFERROR(__xludf.DUMMYFUNCTION("""COMPUTED_VALUE"""),"ANDREA ANDALES SELENCIO")</f>
        <v>ANDREA ANDALES SELENCIO</v>
      </c>
      <c r="C320" s="1">
        <f>IFERROR(__xludf.DUMMYFUNCTION("""COMPUTED_VALUE"""),2312165367)</f>
        <v>2312165367</v>
      </c>
      <c r="D320" s="1">
        <f>IFERROR(__xludf.DUMMYFUNCTION("""COMPUTED_VALUE"""),407419472)</f>
        <v>407419472</v>
      </c>
      <c r="E320" s="1">
        <f>IFERROR(__xludf.DUMMYFUNCTION("""COMPUTED_VALUE"""),468272037004)</f>
        <v>468272037004</v>
      </c>
      <c r="F320" s="1" t="str">
        <f>IFERROR(__xludf.DUMMYFUNCTION("""COMPUTED_VALUE"""),"CANCELLED")</f>
        <v>CANCELLED</v>
      </c>
      <c r="G320" s="1" t="str">
        <f>IFERROR(__xludf.DUMMYFUNCTION("""COMPUTED_VALUE"""),"AFD FOR REDISPATCH SEPT 19")</f>
        <v>AFD FOR REDISPATCH SEPT 19</v>
      </c>
      <c r="H320" s="1" t="str">
        <f>IFERROR(__xludf.DUMMYFUNCTION("""COMPUTED_VALUE"""),"PQGOR362233488	28-Aug-26	Regular Payment	CIS-GCASH 3.0	1,399.00	0	28-Aug-26")</f>
        <v>PQGOR362233488	28-Aug-26	Regular Payment	CIS-GCASH 3.0	1,399.00	0	28-Aug-26</v>
      </c>
      <c r="I320" s="1" t="str">
        <f>IFERROR(__xludf.DUMMYFUNCTION("""COMPUTED_VALUE"""),"WITH 1 AMSF")</f>
        <v>WITH 1 AMSF</v>
      </c>
      <c r="J320" s="1"/>
      <c r="K320" s="1" t="str">
        <f>IFERROR(__xludf.DUMMYFUNCTION("""COMPUTED_VALUE"""),"CANCELED")</f>
        <v>CANCELED</v>
      </c>
      <c r="L320" s="1" t="str">
        <f>IFERROR(__xludf.DUMMYFUNCTION("""COMPUTED_VALUE"""),"CANCELLED - RPR")</f>
        <v>CANCELLED - RPR</v>
      </c>
      <c r="M320" s="1" t="str">
        <f>IFERROR(__xludf.DUMMYFUNCTION("""COMPUTED_VALUE"""),"CANCELLED - RPR")</f>
        <v>CANCELLED - RPR</v>
      </c>
      <c r="N320" s="3"/>
      <c r="O320" s="1" t="str">
        <f>IFERROR(__xludf.DUMMYFUNCTION("""COMPUTED_VALUE"""),"FIBR PLAN 1299")</f>
        <v>FIBR PLAN 1299</v>
      </c>
      <c r="P320" s="1" t="str">
        <f>IFERROR(__xludf.DUMMYFUNCTION("""COMPUTED_VALUE"""),"LOWPLAN")</f>
        <v>LOWPLAN</v>
      </c>
      <c r="Q320" s="1" t="str">
        <f>IFERROR(__xludf.DUMMYFUNCTION("""COMPUTED_VALUE"""),"P407050")</f>
        <v>P407050</v>
      </c>
      <c r="R320" s="1" t="str">
        <f>IFERROR(__xludf.DUMMYFUNCTION("""COMPUTED_VALUE"""),"ESCARCHA, ALMA")</f>
        <v>ESCARCHA, ALMA</v>
      </c>
      <c r="S320" s="1" t="str">
        <f>IFERROR(__xludf.DUMMYFUNCTION("""COMPUTED_VALUE"""),"ORGANIC")</f>
        <v>ORGANIC</v>
      </c>
      <c r="T320" s="1" t="str">
        <f>IFERROR(__xludf.DUMMYFUNCTION("""COMPUTED_VALUE"""),"LEA REMOLLO")</f>
        <v>LEA REMOLLO</v>
      </c>
      <c r="U320" s="1" t="str">
        <f>IFERROR(__xludf.DUMMYFUNCTION("""COMPUTED_VALUE"""),"JB SALIOA")</f>
        <v>JB SALIOA</v>
      </c>
      <c r="V320" s="1" t="str">
        <f>IFERROR(__xludf.DUMMYFUNCTION("""COMPUTED_VALUE"""),"BK HSTK")</f>
        <v>BK HSTK</v>
      </c>
      <c r="W320" s="1" t="str">
        <f>IFERROR(__xludf.DUMMYFUNCTION("""COMPUTED_VALUE"""),"BK HSTK")</f>
        <v>BK HSTK</v>
      </c>
      <c r="X320" s="1" t="str">
        <f>IFERROR(__xludf.DUMMYFUNCTION("""COMPUTED_VALUE"""),"REGULAR")</f>
        <v>REGULAR</v>
      </c>
      <c r="Y320" s="1" t="str">
        <f>IFERROR(__xludf.DUMMYFUNCTION("""COMPUTED_VALUE"""),"BK_CVEU_260814")</f>
        <v>BK_CVEU_260814</v>
      </c>
      <c r="Z320" s="1" t="str">
        <f>IFERROR(__xludf.DUMMYFUNCTION("""COMPUTED_VALUE"""),"NEW CONNECT")</f>
        <v>NEW CONNECT</v>
      </c>
      <c r="AA320" s="1">
        <f>IFERROR(__xludf.DUMMYFUNCTION("""COMPUTED_VALUE"""),639241889282)</f>
        <v>639241889282</v>
      </c>
      <c r="AB320" s="1"/>
      <c r="AC320" s="1">
        <f>IFERROR(__xludf.DUMMYFUNCTION("""COMPUTED_VALUE"""),79)</f>
        <v>79</v>
      </c>
      <c r="AD320" s="1" t="str">
        <f>IFERROR(__xludf.DUMMYFUNCTION("""COMPUTED_VALUE"""),"PUROK 211")</f>
        <v>PUROK 211</v>
      </c>
      <c r="AE320" s="1"/>
      <c r="AF320" s="1" t="str">
        <f>IFERROR(__xludf.DUMMYFUNCTION("""COMPUTED_VALUE"""),"BGY ZAMBAL")</f>
        <v>BGY ZAMBAL</v>
      </c>
      <c r="AG320" s="1" t="str">
        <f>IFERROR(__xludf.DUMMYFUNCTION("""COMPUTED_VALUE"""),"TAGAYTAY")</f>
        <v>TAGAYTAY</v>
      </c>
      <c r="AH320" s="1" t="str">
        <f>IFERROR(__xludf.DUMMYFUNCTION("""COMPUTED_VALUE"""),"WAITING SHED")</f>
        <v>WAITING SHED</v>
      </c>
      <c r="AI320" s="1" t="str">
        <f>IFERROR(__xludf.DUMMYFUNCTION("""COMPUTED_VALUE"""),"CLUSTER 12")</f>
        <v>CLUSTER 12</v>
      </c>
    </row>
    <row r="321" customHeight="1" spans="1:35">
      <c r="A321" s="3">
        <f>IFERROR(__xludf.DUMMYFUNCTION("""COMPUTED_VALUE"""),46262)</f>
        <v>46262</v>
      </c>
      <c r="B321" s="1" t="str">
        <f>IFERROR(__xludf.DUMMYFUNCTION("""COMPUTED_VALUE"""),"FAITH . LOPEZ")</f>
        <v>FAITH . LOPEZ</v>
      </c>
      <c r="C321" s="1">
        <f>IFERROR(__xludf.DUMMYFUNCTION("""COMPUTED_VALUE"""),2312166305)</f>
        <v>2312166305</v>
      </c>
      <c r="D321" s="1">
        <f>IFERROR(__xludf.DUMMYFUNCTION("""COMPUTED_VALUE"""),407430182)</f>
        <v>407430182</v>
      </c>
      <c r="E321" s="1">
        <f>IFERROR(__xludf.DUMMYFUNCTION("""COMPUTED_VALUE"""),468287473004)</f>
        <v>468287473004</v>
      </c>
      <c r="F321" s="1" t="str">
        <f>IFERROR(__xludf.DUMMYFUNCTION("""COMPUTED_VALUE"""),"CANCELLED")</f>
        <v>CANCELLED</v>
      </c>
      <c r="G321" s="1" t="str">
        <f>IFERROR(__xludf.DUMMYFUNCTION("""COMPUTED_VALUE"""),"AREA SURVEY FULL NEAREST CAFAC   MDZLP70NP1 FULL 8 SPAN MDZLP70NP3 FULL 1 SPAN MDZLP70NP5 FULL 5SPAN MDZLP67NP2 FULL 12 SPAN MDZLP67NP3 FULL 10 SPAN  ASIGN CAFAC MDZLP69NP3 NOT ON SITE KAUSAP KUNA DIN ANG  AGENT NI SUBS VIA CALL TRUE")</f>
        <v>AREA SURVEY FULL NEAREST CAFAC   MDZLP70NP1 FULL 8 SPAN MDZLP70NP3 FULL 1 SPAN MDZLP70NP5 FULL 5SPAN MDZLP67NP2 FULL 12 SPAN MDZLP67NP3 FULL 10 SPAN  ASIGN CAFAC MDZLP69NP3 NOT ON SITE KAUSAP KUNA DIN ANG  AGENT NI SUBS VIA CALL TRUE</v>
      </c>
      <c r="H321" s="1"/>
      <c r="I321" s="1" t="str">
        <f>IFERROR(__xludf.DUMMYFUNCTION("""COMPUTED_VALUE"""),"NO 1 AMSF")</f>
        <v>NO 1 AMSF</v>
      </c>
      <c r="J321" s="1" t="str">
        <f>IFERROR(__xludf.DUMMYFUNCTION("""COMPUTED_VALUE"""),"NO PAYMENT")</f>
        <v>NO PAYMENT</v>
      </c>
      <c r="K321" s="1" t="str">
        <f>IFERROR(__xludf.DUMMYFUNCTION("""COMPUTED_VALUE"""),"CANCELED")</f>
        <v>CANCELED</v>
      </c>
      <c r="L321" s="1" t="str">
        <f>IFERROR(__xludf.DUMMYFUNCTION("""COMPUTED_VALUE"""),"RPR - NAP FULL")</f>
        <v>RPR - NAP FULL</v>
      </c>
      <c r="M321" s="1" t="str">
        <f>IFERROR(__xludf.DUMMYFUNCTION("""COMPUTED_VALUE"""),"RPR- NAP FULL")</f>
        <v>RPR- NAP FULL</v>
      </c>
      <c r="N321" s="3"/>
      <c r="O321" s="1" t="str">
        <f>IFERROR(__xludf.DUMMYFUNCTION("""COMPUTED_VALUE"""),"FIBER UNLI ALL PLAN 1499")</f>
        <v>FIBER UNLI ALL PLAN 1499</v>
      </c>
      <c r="P321" s="1" t="str">
        <f>IFERROR(__xludf.DUMMYFUNCTION("""COMPUTED_VALUE"""),"LOWPLAN")</f>
        <v>LOWPLAN</v>
      </c>
      <c r="Q321" s="1" t="str">
        <f>IFERROR(__xludf.DUMMYFUNCTION("""COMPUTED_VALUE"""),"P407044")</f>
        <v>P407044</v>
      </c>
      <c r="R321" s="1" t="str">
        <f>IFERROR(__xludf.DUMMYFUNCTION("""COMPUTED_VALUE"""),"AYON, MANUEL")</f>
        <v>AYON, MANUEL</v>
      </c>
      <c r="S321" s="1" t="str">
        <f>IFERROR(__xludf.DUMMYFUNCTION("""COMPUTED_VALUE"""),"FLA")</f>
        <v>FLA</v>
      </c>
      <c r="T321" s="1" t="str">
        <f>IFERROR(__xludf.DUMMYFUNCTION("""COMPUTED_VALUE"""),"JERIC NAVARRO")</f>
        <v>JERIC NAVARRO</v>
      </c>
      <c r="U321" s="1" t="str">
        <f>IFERROR(__xludf.DUMMYFUNCTION("""COMPUTED_VALUE"""),"JB SALIOA")</f>
        <v>JB SALIOA</v>
      </c>
      <c r="V321" s="1" t="str">
        <f>IFERROR(__xludf.DUMMYFUNCTION("""COMPUTED_VALUE"""),"BK REGULAR")</f>
        <v>BK REGULAR</v>
      </c>
      <c r="W321" s="1" t="str">
        <f>IFERROR(__xludf.DUMMYFUNCTION("""COMPUTED_VALUE"""),"STK REGULAR")</f>
        <v>STK REGULAR</v>
      </c>
      <c r="X321" s="1" t="str">
        <f>IFERROR(__xludf.DUMMYFUNCTION("""COMPUTED_VALUE"""),"HBBS AUG 2026")</f>
        <v>HBBS AUG 2026</v>
      </c>
      <c r="Y321" s="1" t="str">
        <f>IFERROR(__xludf.DUMMYFUNCTION("""COMPUTED_VALUE"""),"BK_CVEU_260812")</f>
        <v>BK_CVEU_260812</v>
      </c>
      <c r="Z321" s="1" t="str">
        <f>IFERROR(__xludf.DUMMYFUNCTION("""COMPUTED_VALUE"""),"NEW CONNECT")</f>
        <v>NEW CONNECT</v>
      </c>
      <c r="AA321" s="1">
        <f>IFERROR(__xludf.DUMMYFUNCTION("""COMPUTED_VALUE"""),639059172091)</f>
        <v>639059172091</v>
      </c>
      <c r="AB321" s="1">
        <f>IFERROR(__xludf.DUMMYFUNCTION("""COMPUTED_VALUE"""),639481535512)</f>
        <v>639481535512</v>
      </c>
      <c r="AC321" s="1">
        <f>IFERROR(__xludf.DUMMYFUNCTION("""COMPUTED_VALUE"""),9043)</f>
        <v>9043</v>
      </c>
      <c r="AD321" s="1" t="str">
        <f>IFERROR(__xludf.DUMMYFUNCTION("""COMPUTED_VALUE"""),"LLAMADO")</f>
        <v>LLAMADO</v>
      </c>
      <c r="AE321" s="1"/>
      <c r="AF321" s="1" t="str">
        <f>IFERROR(__xludf.DUMMYFUNCTION("""COMPUTED_VALUE"""),"BGY ASIS 3")</f>
        <v>BGY ASIS 3</v>
      </c>
      <c r="AG321" s="1" t="str">
        <f>IFERROR(__xludf.DUMMYFUNCTION("""COMPUTED_VALUE"""),"MENDEZ")</f>
        <v>MENDEZ</v>
      </c>
      <c r="AH321" s="1" t="str">
        <f>IFERROR(__xludf.DUMMYFUNCTION("""COMPUTED_VALUE"""),"ARIGATO AUTO REPAIR SHOP")</f>
        <v>ARIGATO AUTO REPAIR SHOP</v>
      </c>
      <c r="AI321" s="1" t="str">
        <f>IFERROR(__xludf.DUMMYFUNCTION("""COMPUTED_VALUE"""),"CLUSTER 12")</f>
        <v>CLUSTER 12</v>
      </c>
    </row>
    <row r="322" customHeight="1" spans="1:35">
      <c r="A322" s="3">
        <f>IFERROR(__xludf.DUMMYFUNCTION("""COMPUTED_VALUE"""),46262)</f>
        <v>46262</v>
      </c>
      <c r="B322" s="1" t="str">
        <f>IFERROR(__xludf.DUMMYFUNCTION("""COMPUTED_VALUE"""),"MIKE CHAVENTE MORALES")</f>
        <v>MIKE CHAVENTE MORALES</v>
      </c>
      <c r="C322" s="1">
        <f>IFERROR(__xludf.DUMMYFUNCTION("""COMPUTED_VALUE"""),2312166767)</f>
        <v>2312166767</v>
      </c>
      <c r="D322" s="1"/>
      <c r="E322" s="1"/>
      <c r="F322" s="1" t="str">
        <f>IFERROR(__xludf.DUMMYFUNCTION("""COMPUTED_VALUE"""),"CANCELLED")</f>
        <v>CANCELLED</v>
      </c>
      <c r="G322" s="1" t="str">
        <f>IFERROR(__xludf.DUMMYFUNCTION("""COMPUTED_VALUE"""),"CANNOT TAG DECISION DUE TO NO RETURN TO SALES RESTAGING IN CSP - RETURN TO SALES | FOUND BLACKLISTED ACCT NO 0251670358 – SAME NAME, SAME DOB, WITH OB AMOUNTING TO PHP3,109.79 FOR SETTLEMENT. UNDER SWITCHER APPLICATION. UNCLEAR CAF AND SUBS CERT. DONE VAL"&amp;"IDATION OF DOCS WITH CORRECT ENCODED INFO IN CSP | WITH 1 AMSF REQUIREMENT (BASED ON TU SCORE IN CSP) FAILED TO GET CREDIT SCORE ")</f>
        <v>CANNOT TAG DECISION DUE TO NO RETURN TO SALES RESTAGING IN CSP - RETURN TO SALES | FOUND BLACKLISTED ACCT NO 0251670358 – SAME NAME, SAME DOB, WITH OB AMOUNTING TO PHP3,109.79 FOR SETTLEMENT. UNDER SWITCHER APPLICATION. UNCLEAR CAF AND SUBS CERT. DONE VALIDATION OF DOCS WITH CORRECT ENCODED INFO IN CSP | WITH 1 AMSF REQUIREMENT (BASED ON TU SCORE IN CSP) FAILED TO GET CREDIT SCORE </v>
      </c>
      <c r="H322" s="1"/>
      <c r="I322" s="1"/>
      <c r="J322" s="1"/>
      <c r="K322" s="1"/>
      <c r="L322" s="1" t="str">
        <f>IFERROR(__xludf.DUMMYFUNCTION("""COMPUTED_VALUE"""),"CANCELLED - SYSTEM ERROR")</f>
        <v>CANCELLED - SYSTEM ERROR</v>
      </c>
      <c r="M322" s="1" t="str">
        <f>IFERROR(__xludf.DUMMYFUNCTION("""COMPUTED_VALUE"""),"CANCELLED - SYSTEM ERROR")</f>
        <v>CANCELLED - SYSTEM ERROR</v>
      </c>
      <c r="N322" s="3"/>
      <c r="O322" s="1" t="str">
        <f>IFERROR(__xludf.DUMMYFUNCTION("""COMPUTED_VALUE"""),"SWITCH FIBER 1299")</f>
        <v>SWITCH FIBER 1299</v>
      </c>
      <c r="P322" s="1" t="str">
        <f>IFERROR(__xludf.DUMMYFUNCTION("""COMPUTED_VALUE"""),"SWITCH")</f>
        <v>SWITCH</v>
      </c>
      <c r="Q322" s="1" t="str">
        <f>IFERROR(__xludf.DUMMYFUNCTION("""COMPUTED_VALUE"""),"P407050")</f>
        <v>P407050</v>
      </c>
      <c r="R322" s="1" t="str">
        <f>IFERROR(__xludf.DUMMYFUNCTION("""COMPUTED_VALUE"""),"CADERAO, RONALD")</f>
        <v>CADERAO, RONALD</v>
      </c>
      <c r="S322" s="1" t="str">
        <f>IFERROR(__xludf.DUMMYFUNCTION("""COMPUTED_VALUE"""),"ORGANIC")</f>
        <v>ORGANIC</v>
      </c>
      <c r="T322" s="1" t="str">
        <f>IFERROR(__xludf.DUMMYFUNCTION("""COMPUTED_VALUE"""),"LEA REMOLLO")</f>
        <v>LEA REMOLLO</v>
      </c>
      <c r="U322" s="1" t="str">
        <f>IFERROR(__xludf.DUMMYFUNCTION("""COMPUTED_VALUE"""),"JB SALIOA")</f>
        <v>JB SALIOA</v>
      </c>
      <c r="V322" s="1" t="str">
        <f>IFERROR(__xludf.DUMMYFUNCTION("""COMPUTED_VALUE"""),"BK HSTK")</f>
        <v>BK HSTK</v>
      </c>
      <c r="W322" s="1" t="str">
        <f>IFERROR(__xludf.DUMMYFUNCTION("""COMPUTED_VALUE"""),"BK HSTK")</f>
        <v>BK HSTK</v>
      </c>
      <c r="X322" s="1" t="str">
        <f>IFERROR(__xludf.DUMMYFUNCTION("""COMPUTED_VALUE"""),"ANTI COMPETITOR")</f>
        <v>ANTI COMPETITOR</v>
      </c>
      <c r="Y322" s="1" t="str">
        <f>IFERROR(__xludf.DUMMYFUNCTION("""COMPUTED_VALUE"""),"BK_CVEU_260811")</f>
        <v>BK_CVEU_260811</v>
      </c>
      <c r="Z322" s="1" t="str">
        <f>IFERROR(__xludf.DUMMYFUNCTION("""COMPUTED_VALUE"""),"NEW CONNECT")</f>
        <v>NEW CONNECT</v>
      </c>
      <c r="AA322" s="1">
        <f>IFERROR(__xludf.DUMMYFUNCTION("""COMPUTED_VALUE"""),639218526885)</f>
        <v>639218526885</v>
      </c>
      <c r="AB322" s="1">
        <f>IFERROR(__xludf.DUMMYFUNCTION("""COMPUTED_VALUE"""),639608539585)</f>
        <v>639608539585</v>
      </c>
      <c r="AC322" s="1"/>
      <c r="AD322" s="1" t="str">
        <f>IFERROR(__xludf.DUMMYFUNCTION("""COMPUTED_VALUE"""),"ATAR ")</f>
        <v>ATAR </v>
      </c>
      <c r="AE322" s="1" t="str">
        <f>IFERROR(__xludf.DUMMYFUNCTION("""COMPUTED_VALUE"""),"AREA F")</f>
        <v>AREA F</v>
      </c>
      <c r="AF322" s="1" t="str">
        <f>IFERROR(__xludf.DUMMYFUNCTION("""COMPUTED_VALUE"""),"BGY KAPITAN KUA")</f>
        <v>BGY KAPITAN KUA</v>
      </c>
      <c r="AG322" s="1" t="str">
        <f>IFERROR(__xludf.DUMMYFUNCTION("""COMPUTED_VALUE"""),"GEN MARIANO ALVAREZ")</f>
        <v>GEN MARIANO ALVAREZ</v>
      </c>
      <c r="AH322" s="1" t="str">
        <f>IFERROR(__xludf.DUMMYFUNCTION("""COMPUTED_VALUE"""),"-")</f>
        <v>-</v>
      </c>
      <c r="AI322" s="1" t="str">
        <f>IFERROR(__xludf.DUMMYFUNCTION("""COMPUTED_VALUE"""),"CLUSTER 11")</f>
        <v>CLUSTER 11</v>
      </c>
    </row>
    <row r="323" customHeight="1" spans="1:35">
      <c r="A323" s="3">
        <f>IFERROR(__xludf.DUMMYFUNCTION("""COMPUTED_VALUE"""),46262)</f>
        <v>46262</v>
      </c>
      <c r="B323" s="1" t="str">
        <f>IFERROR(__xludf.DUMMYFUNCTION("""COMPUTED_VALUE"""),"NEMUEL LAUDET DEL CASTILLO")</f>
        <v>NEMUEL LAUDET DEL CASTILLO</v>
      </c>
      <c r="C323" s="1">
        <f>IFERROR(__xludf.DUMMYFUNCTION("""COMPUTED_VALUE"""),2312168378)</f>
        <v>2312168378</v>
      </c>
      <c r="D323" s="1">
        <f>IFERROR(__xludf.DUMMYFUNCTION("""COMPUTED_VALUE"""),407427203)</f>
        <v>407427203</v>
      </c>
      <c r="E323" s="1">
        <f>IFERROR(__xludf.DUMMYFUNCTION("""COMPUTED_VALUE"""),468278237004)</f>
        <v>468278237004</v>
      </c>
      <c r="F323" s="1" t="str">
        <f>IFERROR(__xludf.DUMMYFUNCTION("""COMPUTED_VALUE"""),"CLOSED")</f>
        <v>CLOSED</v>
      </c>
      <c r="G323" s="1" t="str">
        <f>IFERROR(__xludf.DUMMYFUNCTION("""COMPUTED_VALUE"""),"CLOSED")</f>
        <v>CLOSED</v>
      </c>
      <c r="H323" s="1" t="str">
        <f>IFERROR(__xludf.DUMMYFUNCTION("""COMPUTED_VALUE"""),"PAID VA GCASH - AUG 29- REF - 533091884")</f>
        <v>PAID VA GCASH - AUG 29- REF - 533091884</v>
      </c>
      <c r="I323" s="1" t="str">
        <f>IFERROR(__xludf.DUMMYFUNCTION("""COMPUTED_VALUE"""),"WITH 1 AMSF")</f>
        <v>WITH 1 AMSF</v>
      </c>
      <c r="J323" s="1"/>
      <c r="K323" s="1" t="str">
        <f>IFERROR(__xludf.DUMMYFUNCTION("""COMPUTED_VALUE"""),"COMPLETED")</f>
        <v>COMPLETED</v>
      </c>
      <c r="L323" s="1" t="str">
        <f>IFERROR(__xludf.DUMMYFUNCTION("""COMPUTED_VALUE"""),"POSTED")</f>
        <v>POSTED</v>
      </c>
      <c r="M323" s="1" t="str">
        <f>IFERROR(__xludf.DUMMYFUNCTION("""COMPUTED_VALUE"""),"POSTED")</f>
        <v>POSTED</v>
      </c>
      <c r="N323" s="3">
        <f>IFERROR(__xludf.DUMMYFUNCTION("""COMPUTED_VALUE"""),46263)</f>
        <v>46263</v>
      </c>
      <c r="O323" s="1" t="str">
        <f>IFERROR(__xludf.DUMMYFUNCTION("""COMPUTED_VALUE"""),"FIBER UNLI ALL PLAN 1499")</f>
        <v>FIBER UNLI ALL PLAN 1499</v>
      </c>
      <c r="P323" s="1" t="str">
        <f>IFERROR(__xludf.DUMMYFUNCTION("""COMPUTED_VALUE"""),"LOWPLAN")</f>
        <v>LOWPLAN</v>
      </c>
      <c r="Q323" s="1" t="str">
        <f>IFERROR(__xludf.DUMMYFUNCTION("""COMPUTED_VALUE"""),"P407045")</f>
        <v>P407045</v>
      </c>
      <c r="R323" s="1" t="str">
        <f>IFERROR(__xludf.DUMMYFUNCTION("""COMPUTED_VALUE"""),"GABAY, MANUEL")</f>
        <v>GABAY, MANUEL</v>
      </c>
      <c r="S323" s="1" t="str">
        <f>IFERROR(__xludf.DUMMYFUNCTION("""COMPUTED_VALUE"""),"FLA")</f>
        <v>FLA</v>
      </c>
      <c r="T323" s="1" t="str">
        <f>IFERROR(__xludf.DUMMYFUNCTION("""COMPUTED_VALUE"""),"JERIC NAVARRO")</f>
        <v>JERIC NAVARRO</v>
      </c>
      <c r="U323" s="1" t="str">
        <f>IFERROR(__xludf.DUMMYFUNCTION("""COMPUTED_VALUE"""),"JB SALIOA")</f>
        <v>JB SALIOA</v>
      </c>
      <c r="V323" s="1" t="str">
        <f>IFERROR(__xludf.DUMMYFUNCTION("""COMPUTED_VALUE"""),"BK HSTK")</f>
        <v>BK HSTK</v>
      </c>
      <c r="W323" s="1" t="str">
        <f>IFERROR(__xludf.DUMMYFUNCTION("""COMPUTED_VALUE"""),"BK HSTK")</f>
        <v>BK HSTK</v>
      </c>
      <c r="X323" s="1" t="str">
        <f>IFERROR(__xludf.DUMMYFUNCTION("""COMPUTED_VALUE"""),"HBBS AUG 2026")</f>
        <v>HBBS AUG 2026</v>
      </c>
      <c r="Y323" s="1" t="str">
        <f>IFERROR(__xludf.DUMMYFUNCTION("""COMPUTED_VALUE"""),"BK_CVEU_260811")</f>
        <v>BK_CVEU_260811</v>
      </c>
      <c r="Z323" s="1" t="str">
        <f>IFERROR(__xludf.DUMMYFUNCTION("""COMPUTED_VALUE"""),"NEW CONNECT")</f>
        <v>NEW CONNECT</v>
      </c>
      <c r="AA323" s="1">
        <f>IFERROR(__xludf.DUMMYFUNCTION("""COMPUTED_VALUE"""),639814551645)</f>
        <v>639814551645</v>
      </c>
      <c r="AB323" s="1">
        <f>IFERROR(__xludf.DUMMYFUNCTION("""COMPUTED_VALUE"""),639081364952)</f>
        <v>639081364952</v>
      </c>
      <c r="AC323" s="1"/>
      <c r="AD323" s="1" t="str">
        <f>IFERROR(__xludf.DUMMYFUNCTION("""COMPUTED_VALUE"""),"CHEMISTRY")</f>
        <v>CHEMISTRY</v>
      </c>
      <c r="AE323" s="1" t="str">
        <f>IFERROR(__xludf.DUMMYFUNCTION("""COMPUTED_VALUE"""),"AREA F")</f>
        <v>AREA F</v>
      </c>
      <c r="AF323" s="1" t="str">
        <f>IFERROR(__xludf.DUMMYFUNCTION("""COMPUTED_VALUE"""),"BGY INOCENCIO SALUD")</f>
        <v>BGY INOCENCIO SALUD</v>
      </c>
      <c r="AG323" s="1" t="str">
        <f>IFERROR(__xludf.DUMMYFUNCTION("""COMPUTED_VALUE"""),"GEN MARIANO ALVAREZ")</f>
        <v>GEN MARIANO ALVAREZ</v>
      </c>
      <c r="AH323" s="1" t="str">
        <f>IFERROR(__xludf.DUMMYFUNCTION("""COMPUTED_VALUE"""),"-")</f>
        <v>-</v>
      </c>
      <c r="AI323" s="1" t="str">
        <f>IFERROR(__xludf.DUMMYFUNCTION("""COMPUTED_VALUE"""),"CLUSTER 11")</f>
        <v>CLUSTER 11</v>
      </c>
    </row>
    <row r="324" customHeight="1" spans="1:35">
      <c r="A324" s="3">
        <f>IFERROR(__xludf.DUMMYFUNCTION("""COMPUTED_VALUE"""),46263)</f>
        <v>46263</v>
      </c>
      <c r="B324" s="1" t="str">
        <f>IFERROR(__xludf.DUMMYFUNCTION("""COMPUTED_VALUE""")," JULIUS JOHN DE LIMA JACOB")</f>
        <v> JULIUS JOHN DE LIMA JACOB</v>
      </c>
      <c r="C324" s="1">
        <f>IFERROR(__xludf.DUMMYFUNCTION("""COMPUTED_VALUE"""),2312168401)</f>
        <v>2312168401</v>
      </c>
      <c r="D324" s="1"/>
      <c r="E324" s="1"/>
      <c r="F324" s="1" t="str">
        <f>IFERROR(__xludf.DUMMYFUNCTION("""COMPUTED_VALUE"""),"CANCELLED")</f>
        <v>CANCELLED</v>
      </c>
      <c r="G324" s="1" t="str">
        <f>IFERROR(__xludf.DUMMYFUNCTION("""COMPUTED_VALUE"""),"CANCELLED - REGULAR QR REENCODE TO HBBS")</f>
        <v>CANCELLED - REGULAR QR REENCODE TO HBBS</v>
      </c>
      <c r="H324" s="1"/>
      <c r="I324" s="1"/>
      <c r="J324" s="1"/>
      <c r="K324" s="1"/>
      <c r="L324" s="1" t="str">
        <f>IFERROR(__xludf.DUMMYFUNCTION("""COMPUTED_VALUE"""),"REENCODED")</f>
        <v>REENCODED</v>
      </c>
      <c r="M324" s="1" t="str">
        <f>IFERROR(__xludf.DUMMYFUNCTION("""COMPUTED_VALUE"""),"REENCODED")</f>
        <v>REENCODED</v>
      </c>
      <c r="N324" s="3"/>
      <c r="O324" s="1" t="str">
        <f>IFERROR(__xludf.DUMMYFUNCTION("""COMPUTED_VALUE"""),"FIBER UNLI ALL PLAN 1499")</f>
        <v>FIBER UNLI ALL PLAN 1499</v>
      </c>
      <c r="P324" s="1" t="str">
        <f>IFERROR(__xludf.DUMMYFUNCTION("""COMPUTED_VALUE"""),"LOWPLAN")</f>
        <v>LOWPLAN</v>
      </c>
      <c r="Q324" s="1" t="str">
        <f>IFERROR(__xludf.DUMMYFUNCTION("""COMPUTED_VALUE"""),"P407048 ")</f>
        <v>P407048 </v>
      </c>
      <c r="R324" s="1" t="str">
        <f>IFERROR(__xludf.DUMMYFUNCTION("""COMPUTED_VALUE"""),"YOLANGCO, JOLO")</f>
        <v>YOLANGCO, JOLO</v>
      </c>
      <c r="S324" s="1" t="str">
        <f>IFERROR(__xludf.DUMMYFUNCTION("""COMPUTED_VALUE"""),"ORGANIC")</f>
        <v>ORGANIC</v>
      </c>
      <c r="T324" s="1" t="str">
        <f>IFERROR(__xludf.DUMMYFUNCTION("""COMPUTED_VALUE"""),"JERIC NAVARRO")</f>
        <v>JERIC NAVARRO</v>
      </c>
      <c r="U324" s="1" t="str">
        <f>IFERROR(__xludf.DUMMYFUNCTION("""COMPUTED_VALUE"""),"JULIE ESPIRITU")</f>
        <v>JULIE ESPIRITU</v>
      </c>
      <c r="V324" s="1" t="str">
        <f>IFERROR(__xludf.DUMMYFUNCTION("""COMPUTED_VALUE"""),"ONLINE/CRANFORD")</f>
        <v>ONLINE/CRANFORD</v>
      </c>
      <c r="W324" s="1" t="str">
        <f>IFERROR(__xludf.DUMMYFUNCTION("""COMPUTED_VALUE"""),"STK REGULAR")</f>
        <v>STK REGULAR</v>
      </c>
      <c r="X324" s="1" t="str">
        <f>IFERROR(__xludf.DUMMYFUNCTION("""COMPUTED_VALUE"""),"REGULAR")</f>
        <v>REGULAR</v>
      </c>
      <c r="Y324" s="1" t="str">
        <f>IFERROR(__xludf.DUMMYFUNCTION("""COMPUTED_VALUE"""),"RS_ONL_CVEU_2026")</f>
        <v>RS_ONL_CVEU_2026</v>
      </c>
      <c r="Z324" s="1" t="str">
        <f>IFERROR(__xludf.DUMMYFUNCTION("""COMPUTED_VALUE"""),"NEW CONNECT")</f>
        <v>NEW CONNECT</v>
      </c>
      <c r="AA324" s="1">
        <f>IFERROR(__xludf.DUMMYFUNCTION("""COMPUTED_VALUE"""),639758220725)</f>
        <v>639758220725</v>
      </c>
      <c r="AB324" s="1"/>
      <c r="AC324" s="1"/>
      <c r="AD324" s="1" t="str">
        <f>IFERROR(__xludf.DUMMYFUNCTION("""COMPUTED_VALUE"""),"VALENCIA")</f>
        <v>VALENCIA</v>
      </c>
      <c r="AE324" s="1" t="str">
        <f>IFERROR(__xludf.DUMMYFUNCTION("""COMPUTED_VALUE"""),"GOLDEN HORIZON VILLAS PH 2")</f>
        <v>GOLDEN HORIZON VILLAS PH 2</v>
      </c>
      <c r="AF324" s="1" t="str">
        <f>IFERROR(__xludf.DUMMYFUNCTION("""COMPUTED_VALUE"""),"BGY HUGO PEREZ")</f>
        <v>BGY HUGO PEREZ</v>
      </c>
      <c r="AG324" s="1" t="str">
        <f>IFERROR(__xludf.DUMMYFUNCTION("""COMPUTED_VALUE"""),"TRECE MARTIREZ CITY")</f>
        <v>TRECE MARTIREZ CITY</v>
      </c>
      <c r="AH324" s="1"/>
      <c r="AI324" s="1" t="str">
        <f>IFERROR(__xludf.DUMMYFUNCTION("""COMPUTED_VALUE"""),"NOT AOR")</f>
        <v>NOT AOR</v>
      </c>
    </row>
    <row r="325" customHeight="1" spans="1:35">
      <c r="A325" s="3">
        <f>IFERROR(__xludf.DUMMYFUNCTION("""COMPUTED_VALUE"""),46263)</f>
        <v>46263</v>
      </c>
      <c r="B325" s="1" t="str">
        <f>IFERROR(__xludf.DUMMYFUNCTION("""COMPUTED_VALUE"""),"SHEILA MANATAD FERNANDICO")</f>
        <v>SHEILA MANATAD FERNANDICO</v>
      </c>
      <c r="C325" s="1">
        <f>IFERROR(__xludf.DUMMYFUNCTION("""COMPUTED_VALUE"""),2312181725)</f>
        <v>2312181725</v>
      </c>
      <c r="D325" s="1">
        <f>IFERROR(__xludf.DUMMYFUNCTION("""COMPUTED_VALUE"""),407440587)</f>
        <v>407440587</v>
      </c>
      <c r="E325" s="1">
        <f>IFERROR(__xludf.DUMMYFUNCTION("""COMPUTED_VALUE"""),468403819004)</f>
        <v>468403819004</v>
      </c>
      <c r="F325" s="1" t="str">
        <f>IFERROR(__xludf.DUMMYFUNCTION("""COMPUTED_VALUE"""),"CLOSED")</f>
        <v>CLOSED</v>
      </c>
      <c r="G325" s="1" t="str">
        <f>IFERROR(__xludf.DUMMYFUNCTION("""COMPUTED_VALUE"""),"CLOSED")</f>
        <v>CLOSED</v>
      </c>
      <c r="H325" s="1" t="str">
        <f>IFERROR(__xludf.DUMMYFUNCTION("""COMPUTED_VALUE"""),"PQGOR362359466	30-Aug-26	Regular Payment	CIS-GCASH 3.0	1,549.00	0	30-Aug-26")</f>
        <v>PQGOR362359466	30-Aug-26	Regular Payment	CIS-GCASH 3.0	1,549.00	0	30-Aug-26</v>
      </c>
      <c r="I325" s="1" t="str">
        <f>IFERROR(__xludf.DUMMYFUNCTION("""COMPUTED_VALUE"""),"WITH 1 AMSF")</f>
        <v>WITH 1 AMSF</v>
      </c>
      <c r="J325" s="1"/>
      <c r="K325" s="1" t="str">
        <f>IFERROR(__xludf.DUMMYFUNCTION("""COMPUTED_VALUE"""),"COMPLETED")</f>
        <v>COMPLETED</v>
      </c>
      <c r="L325" s="1" t="str">
        <f>IFERROR(__xludf.DUMMYFUNCTION("""COMPUTED_VALUE"""),"POSTED")</f>
        <v>POSTED</v>
      </c>
      <c r="M325" s="1" t="str">
        <f>IFERROR(__xludf.DUMMYFUNCTION("""COMPUTED_VALUE"""),"POSTED")</f>
        <v>POSTED</v>
      </c>
      <c r="N325" s="3">
        <f>IFERROR(__xludf.DUMMYFUNCTION("""COMPUTED_VALUE"""),46264)</f>
        <v>46264</v>
      </c>
      <c r="O325" s="1" t="str">
        <f>IFERROR(__xludf.DUMMYFUNCTION("""COMPUTED_VALUE"""),"FIBER UNLI ALL PLAN 1499")</f>
        <v>FIBER UNLI ALL PLAN 1499</v>
      </c>
      <c r="P325" s="1" t="str">
        <f>IFERROR(__xludf.DUMMYFUNCTION("""COMPUTED_VALUE"""),"LOWPLAN")</f>
        <v>LOWPLAN</v>
      </c>
      <c r="Q325" s="1" t="str">
        <f>IFERROR(__xludf.DUMMYFUNCTION("""COMPUTED_VALUE"""),"P407045")</f>
        <v>P407045</v>
      </c>
      <c r="R325" s="1" t="str">
        <f>IFERROR(__xludf.DUMMYFUNCTION("""COMPUTED_VALUE"""),"GABAY, MANUEL")</f>
        <v>GABAY, MANUEL</v>
      </c>
      <c r="S325" s="1" t="str">
        <f>IFERROR(__xludf.DUMMYFUNCTION("""COMPUTED_VALUE"""),"FLA")</f>
        <v>FLA</v>
      </c>
      <c r="T325" s="1" t="str">
        <f>IFERROR(__xludf.DUMMYFUNCTION("""COMPUTED_VALUE"""),"JERIC NAVARRO")</f>
        <v>JERIC NAVARRO</v>
      </c>
      <c r="U325" s="1" t="str">
        <f>IFERROR(__xludf.DUMMYFUNCTION("""COMPUTED_VALUE"""),"JB SALIOA")</f>
        <v>JB SALIOA</v>
      </c>
      <c r="V325" s="1" t="str">
        <f>IFERROR(__xludf.DUMMYFUNCTION("""COMPUTED_VALUE"""),"ONLINE/CRANFORD")</f>
        <v>ONLINE/CRANFORD</v>
      </c>
      <c r="W325" s="1" t="str">
        <f>IFERROR(__xludf.DUMMYFUNCTION("""COMPUTED_VALUE"""),"STK REGULAR")</f>
        <v>STK REGULAR</v>
      </c>
      <c r="X325" s="1" t="str">
        <f>IFERROR(__xludf.DUMMYFUNCTION("""COMPUTED_VALUE"""),"HBBS AUG 2026")</f>
        <v>HBBS AUG 2026</v>
      </c>
      <c r="Y325" s="1" t="str">
        <f>IFERROR(__xludf.DUMMYFUNCTION("""COMPUTED_VALUE"""),"RS_ONL_CVEU_2026")</f>
        <v>RS_ONL_CVEU_2026</v>
      </c>
      <c r="Z325" s="1" t="str">
        <f>IFERROR(__xludf.DUMMYFUNCTION("""COMPUTED_VALUE"""),"NEW CONNECT")</f>
        <v>NEW CONNECT</v>
      </c>
      <c r="AA325" s="1">
        <f>IFERROR(__xludf.DUMMYFUNCTION("""COMPUTED_VALUE"""),639677796250)</f>
        <v>639677796250</v>
      </c>
      <c r="AB325" s="1">
        <f>IFERROR(__xludf.DUMMYFUNCTION("""COMPUTED_VALUE"""),639923950955)</f>
        <v>639923950955</v>
      </c>
      <c r="AC325" s="1"/>
      <c r="AD325" s="1" t="str">
        <f>IFERROR(__xludf.DUMMYFUNCTION("""COMPUTED_VALUE"""),"PARIS")</f>
        <v>PARIS</v>
      </c>
      <c r="AE325" s="1" t="str">
        <f>IFERROR(__xludf.DUMMYFUNCTION("""COMPUTED_VALUE"""),"SAN MARINO CENTRAL")</f>
        <v>SAN MARINO CENTRAL</v>
      </c>
      <c r="AF325" s="1" t="str">
        <f>IFERROR(__xludf.DUMMYFUNCTION("""COMPUTED_VALUE"""),"BGY SALAWAG")</f>
        <v>BGY SALAWAG</v>
      </c>
      <c r="AG325" s="1" t="str">
        <f>IFERROR(__xludf.DUMMYFUNCTION("""COMPUTED_VALUE"""),"DASMARINAS")</f>
        <v>DASMARINAS</v>
      </c>
      <c r="AH325" s="1" t="str">
        <f>IFERROR(__xludf.DUMMYFUNCTION("""COMPUTED_VALUE"""),"AHS CONSUMER GOODS TRADING")</f>
        <v>AHS CONSUMER GOODS TRADING</v>
      </c>
      <c r="AI325" s="1" t="str">
        <f>IFERROR(__xludf.DUMMYFUNCTION("""COMPUTED_VALUE"""),"NOT AOR")</f>
        <v>NOT AOR</v>
      </c>
    </row>
    <row r="326" customHeight="1" spans="1:35">
      <c r="A326" s="3">
        <f>IFERROR(__xludf.DUMMYFUNCTION("""COMPUTED_VALUE"""),46263)</f>
        <v>46263</v>
      </c>
      <c r="B326" s="1" t="str">
        <f>IFERROR(__xludf.DUMMYFUNCTION("""COMPUTED_VALUE"""),"AIRA SHAINE GUARDAJARA MACABEBE")</f>
        <v>AIRA SHAINE GUARDAJARA MACABEBE</v>
      </c>
      <c r="C326" s="1">
        <f>IFERROR(__xludf.DUMMYFUNCTION("""COMPUTED_VALUE"""),2312182143)</f>
        <v>2312182143</v>
      </c>
      <c r="D326" s="1"/>
      <c r="E326" s="1"/>
      <c r="F326" s="1" t="str">
        <f>IFERROR(__xludf.DUMMYFUNCTION("""COMPUTED_VALUE"""),"CANCELLED")</f>
        <v>CANCELLED</v>
      </c>
      <c r="G326" s="1" t="str">
        <f>IFERROR(__xludf.DUMMYFUNCTION("""COMPUTED_VALUE"""),"CANNOT TAG DECISION DUE TO SYETEM ERROR TO CHANGE PAYMENT REQUIRED|RETURN TO SALES| DONE VALIDATION | CORRECT ENCODED INFO IN CSP | TU SCORING - FF - 2 (NTC) | 1 AMSF REQUIRED | |FOUND BLACKLISTED - NAME - ACCT# (0366839607) SAME NAME / DIFF ADDRESS • WIT"&amp;"H OB(6,004.05) FOR SETTLEMENT | NO EXISTING ACTIVE ACCT AND/OR PENDING/CANCELLED APPLICATION ")</f>
        <v>CANNOT TAG DECISION DUE TO SYETEM ERROR TO CHANGE PAYMENT REQUIRED|RETURN TO SALES| DONE VALIDATION | CORRECT ENCODED INFO IN CSP | TU SCORING - FF - 2 (NTC) | 1 AMSF REQUIRED | |FOUND BLACKLISTED - NAME - ACCT# (0366839607) SAME NAME / DIFF ADDRESS • WITH OB(6,004.05) FOR SETTLEMENT | NO EXISTING ACTIVE ACCT AND/OR PENDING/CANCELLED APPLICATION </v>
      </c>
      <c r="H326" s="1"/>
      <c r="I326" s="1"/>
      <c r="J326" s="1"/>
      <c r="K326" s="1"/>
      <c r="L326" s="1" t="str">
        <f>IFERROR(__xludf.DUMMYFUNCTION("""COMPUTED_VALUE"""),"CANCELLED - SYSTEM ERROR")</f>
        <v>CANCELLED - SYSTEM ERROR</v>
      </c>
      <c r="M326" s="1" t="str">
        <f>IFERROR(__xludf.DUMMYFUNCTION("""COMPUTED_VALUE"""),"CANCELLED - SYSTEM ERROR")</f>
        <v>CANCELLED - SYSTEM ERROR</v>
      </c>
      <c r="N326" s="3"/>
      <c r="O326" s="1" t="str">
        <f>IFERROR(__xludf.DUMMYFUNCTION("""COMPUTED_VALUE"""),"FIBR UNLI ALL PLAN 999")</f>
        <v>FIBR UNLI ALL PLAN 999</v>
      </c>
      <c r="P326" s="1" t="str">
        <f>IFERROR(__xludf.DUMMYFUNCTION("""COMPUTED_VALUE"""),"LOWPLAN")</f>
        <v>LOWPLAN</v>
      </c>
      <c r="Q326" s="1" t="str">
        <f>IFERROR(__xludf.DUMMYFUNCTION("""COMPUTED_VALUE"""),"P407050")</f>
        <v>P407050</v>
      </c>
      <c r="R326" s="1" t="str">
        <f>IFERROR(__xludf.DUMMYFUNCTION("""COMPUTED_VALUE"""),"BAQUIT, JAZMIN")</f>
        <v>BAQUIT, JAZMIN</v>
      </c>
      <c r="S326" s="1" t="str">
        <f>IFERROR(__xludf.DUMMYFUNCTION("""COMPUTED_VALUE"""),"ORGANIC")</f>
        <v>ORGANIC</v>
      </c>
      <c r="T326" s="1" t="str">
        <f>IFERROR(__xludf.DUMMYFUNCTION("""COMPUTED_VALUE"""),"LEA REMOLLO")</f>
        <v>LEA REMOLLO</v>
      </c>
      <c r="U326" s="1" t="str">
        <f>IFERROR(__xludf.DUMMYFUNCTION("""COMPUTED_VALUE"""),"JB SALIOA")</f>
        <v>JB SALIOA</v>
      </c>
      <c r="V326" s="1" t="str">
        <f>IFERROR(__xludf.DUMMYFUNCTION("""COMPUTED_VALUE"""),"ONLINE/CRANFORD")</f>
        <v>ONLINE/CRANFORD</v>
      </c>
      <c r="W326" s="1" t="str">
        <f>IFERROR(__xludf.DUMMYFUNCTION("""COMPUTED_VALUE"""),"STK REGULAR")</f>
        <v>STK REGULAR</v>
      </c>
      <c r="X326" s="1" t="str">
        <f>IFERROR(__xludf.DUMMYFUNCTION("""COMPUTED_VALUE"""),"REGULAR")</f>
        <v>REGULAR</v>
      </c>
      <c r="Y326" s="1" t="str">
        <f>IFERROR(__xludf.DUMMYFUNCTION("""COMPUTED_VALUE"""),"RS_ONL_CVEU_2026")</f>
        <v>RS_ONL_CVEU_2026</v>
      </c>
      <c r="Z326" s="1" t="str">
        <f>IFERROR(__xludf.DUMMYFUNCTION("""COMPUTED_VALUE"""),"NEW CONNECT")</f>
        <v>NEW CONNECT</v>
      </c>
      <c r="AA326" s="1">
        <f>IFERROR(__xludf.DUMMYFUNCTION("""COMPUTED_VALUE"""),639674390564)</f>
        <v>639674390564</v>
      </c>
      <c r="AB326" s="1">
        <f>IFERROR(__xludf.DUMMYFUNCTION("""COMPUTED_VALUE"""),639932301176)</f>
        <v>639932301176</v>
      </c>
      <c r="AC326" s="1"/>
      <c r="AD326" s="1" t="str">
        <f>IFERROR(__xludf.DUMMYFUNCTION("""COMPUTED_VALUE"""),"VERA CRUZ HOMES")</f>
        <v>VERA CRUZ HOMES</v>
      </c>
      <c r="AE326" s="1" t="str">
        <f>IFERROR(__xludf.DUMMYFUNCTION("""COMPUTED_VALUE"""),"VERA CRUZ HOMES")</f>
        <v>VERA CRUZ HOMES</v>
      </c>
      <c r="AF326" s="1" t="str">
        <f>IFERROR(__xludf.DUMMYFUNCTION("""COMPUTED_VALUE"""),"BGY RAMON CRUZ")</f>
        <v>BGY RAMON CRUZ</v>
      </c>
      <c r="AG326" s="1" t="str">
        <f>IFERROR(__xludf.DUMMYFUNCTION("""COMPUTED_VALUE"""),"GEN MARIANO ALVAREZ")</f>
        <v>GEN MARIANO ALVAREZ</v>
      </c>
      <c r="AH326" s="1" t="str">
        <f>IFERROR(__xludf.DUMMYFUNCTION("""COMPUTED_VALUE"""),"VERACRUZ MULTIPURPOSE HALL")</f>
        <v>VERACRUZ MULTIPURPOSE HALL</v>
      </c>
      <c r="AI326" s="1" t="str">
        <f>IFERROR(__xludf.DUMMYFUNCTION("""COMPUTED_VALUE"""),"CLUSTER 11")</f>
        <v>CLUSTER 11</v>
      </c>
    </row>
    <row r="327" customHeight="1" spans="1:35">
      <c r="A327" s="3">
        <f>IFERROR(__xludf.DUMMYFUNCTION("""COMPUTED_VALUE"""),46263)</f>
        <v>46263</v>
      </c>
      <c r="B327" s="1" t="str">
        <f>IFERROR(__xludf.DUMMYFUNCTION("""COMPUTED_VALUE"""),"ROWENA ERTA JAVIER")</f>
        <v>ROWENA ERTA JAVIER</v>
      </c>
      <c r="C327" s="1">
        <f>IFERROR(__xludf.DUMMYFUNCTION("""COMPUTED_VALUE"""),2312183033)</f>
        <v>2312183033</v>
      </c>
      <c r="D327" s="1">
        <f>IFERROR(__xludf.DUMMYFUNCTION("""COMPUTED_VALUE"""),407441672)</f>
        <v>407441672</v>
      </c>
      <c r="E327" s="1"/>
      <c r="F327" s="1" t="str">
        <f>IFERROR(__xludf.DUMMYFUNCTION("""COMPUTED_VALUE"""),"CANCELLED")</f>
        <v>CANCELLED</v>
      </c>
      <c r="G327" s="1" t="str">
        <f>IFERROR(__xludf.DUMMYFUNCTION("""COMPUTED_VALUE"""),"SR CANCELLED VIA HOME SALES TOOLKIT")</f>
        <v>SR CANCELLED VIA HOME SALES TOOLKIT</v>
      </c>
      <c r="H327" s="1"/>
      <c r="I327" s="1"/>
      <c r="J327" s="1"/>
      <c r="K327" s="1"/>
      <c r="L327" s="1" t="str">
        <f>IFERROR(__xludf.DUMMYFUNCTION("""COMPUTED_VALUE"""),"CANCELLED")</f>
        <v>CANCELLED</v>
      </c>
      <c r="M327" s="1" t="str">
        <f>IFERROR(__xludf.DUMMYFUNCTION("""COMPUTED_VALUE"""),"CSP CANCELLED")</f>
        <v>CSP CANCELLED</v>
      </c>
      <c r="N327" s="3"/>
      <c r="O327" s="1" t="str">
        <f>IFERROR(__xludf.DUMMYFUNCTION("""COMPUTED_VALUE"""),"FIBR PLAN 1299")</f>
        <v>FIBR PLAN 1299</v>
      </c>
      <c r="P327" s="1" t="str">
        <f>IFERROR(__xludf.DUMMYFUNCTION("""COMPUTED_VALUE"""),"LOWPLAN")</f>
        <v>LOWPLAN</v>
      </c>
      <c r="Q327" s="1" t="str">
        <f>IFERROR(__xludf.DUMMYFUNCTION("""COMPUTED_VALUE"""),"P407050")</f>
        <v>P407050</v>
      </c>
      <c r="R327" s="1" t="str">
        <f>IFERROR(__xludf.DUMMYFUNCTION("""COMPUTED_VALUE"""),"IVNO, RAZZEL")</f>
        <v>IVNO, RAZZEL</v>
      </c>
      <c r="S327" s="1" t="str">
        <f>IFERROR(__xludf.DUMMYFUNCTION("""COMPUTED_VALUE"""),"ORGANIC")</f>
        <v>ORGANIC</v>
      </c>
      <c r="T327" s="1" t="str">
        <f>IFERROR(__xludf.DUMMYFUNCTION("""COMPUTED_VALUE"""),"LEA REMOLLO")</f>
        <v>LEA REMOLLO</v>
      </c>
      <c r="U327" s="1" t="str">
        <f>IFERROR(__xludf.DUMMYFUNCTION("""COMPUTED_VALUE"""),"JB SALIOA")</f>
        <v>JB SALIOA</v>
      </c>
      <c r="V327" s="1" t="str">
        <f>IFERROR(__xludf.DUMMYFUNCTION("""COMPUTED_VALUE"""),"BK REGULAR")</f>
        <v>BK REGULAR</v>
      </c>
      <c r="W327" s="1" t="str">
        <f>IFERROR(__xludf.DUMMYFUNCTION("""COMPUTED_VALUE"""),"STK REGULAR")</f>
        <v>STK REGULAR</v>
      </c>
      <c r="X327" s="1" t="str">
        <f>IFERROR(__xludf.DUMMYFUNCTION("""COMPUTED_VALUE"""),"REGULAR")</f>
        <v>REGULAR</v>
      </c>
      <c r="Y327" s="1" t="str">
        <f>IFERROR(__xludf.DUMMYFUNCTION("""COMPUTED_VALUE"""),"BK_CVEU_260814")</f>
        <v>BK_CVEU_260814</v>
      </c>
      <c r="Z327" s="1" t="str">
        <f>IFERROR(__xludf.DUMMYFUNCTION("""COMPUTED_VALUE"""),"NEW CONNECT")</f>
        <v>NEW CONNECT</v>
      </c>
      <c r="AA327" s="1">
        <f>IFERROR(__xludf.DUMMYFUNCTION("""COMPUTED_VALUE"""),639397746589)</f>
        <v>639397746589</v>
      </c>
      <c r="AB327" s="1">
        <f>IFERROR(__xludf.DUMMYFUNCTION("""COMPUTED_VALUE"""),639929227791)</f>
        <v>639929227791</v>
      </c>
      <c r="AC327" s="1">
        <f>IFERROR(__xludf.DUMMYFUNCTION("""COMPUTED_VALUE"""),94)</f>
        <v>94</v>
      </c>
      <c r="AD327" s="1" t="str">
        <f>IFERROR(__xludf.DUMMYFUNCTION("""COMPUTED_VALUE"""),"KAYBAGAL CENTRAL")</f>
        <v>KAYBAGAL CENTRAL</v>
      </c>
      <c r="AE327" s="1"/>
      <c r="AF327" s="1" t="str">
        <f>IFERROR(__xludf.DUMMYFUNCTION("""COMPUTED_VALUE"""),"BGY KAYBAGAL CENTRAL")</f>
        <v>BGY KAYBAGAL CENTRAL</v>
      </c>
      <c r="AG327" s="1" t="str">
        <f>IFERROR(__xludf.DUMMYFUNCTION("""COMPUTED_VALUE"""),"TAGAYTAY")</f>
        <v>TAGAYTAY</v>
      </c>
      <c r="AH327" s="1" t="str">
        <f>IFERROR(__xludf.DUMMYFUNCTION("""COMPUTED_VALUE"""),"-")</f>
        <v>-</v>
      </c>
      <c r="AI327" s="1" t="str">
        <f>IFERROR(__xludf.DUMMYFUNCTION("""COMPUTED_VALUE"""),"CLUSTER 12")</f>
        <v>CLUSTER 12</v>
      </c>
    </row>
    <row r="328" customHeight="1" spans="1:35">
      <c r="A328" s="3">
        <f>IFERROR(__xludf.DUMMYFUNCTION("""COMPUTED_VALUE"""),46263)</f>
        <v>46263</v>
      </c>
      <c r="B328" s="1" t="str">
        <f>IFERROR(__xludf.DUMMYFUNCTION("""COMPUTED_VALUE"""),"JULIUS JOHN DE LIMA JACOB")</f>
        <v>JULIUS JOHN DE LIMA JACOB</v>
      </c>
      <c r="C328" s="1">
        <f>IFERROR(__xludf.DUMMYFUNCTION("""COMPUTED_VALUE"""),2312183773)</f>
        <v>2312183773</v>
      </c>
      <c r="D328" s="1"/>
      <c r="E328" s="1"/>
      <c r="F328" s="1" t="str">
        <f>IFERROR(__xludf.DUMMYFUNCTION("""COMPUTED_VALUE"""),"REENCODED")</f>
        <v>REENCODED</v>
      </c>
      <c r="G328" s="1" t="str">
        <f>IFERROR(__xludf.DUMMYFUNCTION("""COMPUTED_VALUE"""),"RTS|DONE VALIDATION|INCOMPLETE DOCS|NO PHYSICAL CAF AND SUBCERT SUBMITTED|CORRECT ENCODED INFO IN CSP|TU SCORING GG-1(NTC)| WAIVED AMSF|CLEARED FROM BLACKLISTED HITS|NO EXISTING ACT ACC AND/OR PENDING/CANCELED APPLICATION ")</f>
        <v>RTS|DONE VALIDATION|INCOMPLETE DOCS|NO PHYSICAL CAF AND SUBCERT SUBMITTED|CORRECT ENCODED INFO IN CSP|TU SCORING GG-1(NTC)| WAIVED AMSF|CLEARED FROM BLACKLISTED HITS|NO EXISTING ACT ACC AND/OR PENDING/CANCELED APPLICATION </v>
      </c>
      <c r="H328" s="1"/>
      <c r="I328" s="1"/>
      <c r="J328" s="1"/>
      <c r="K328" s="1"/>
      <c r="L328" s="1" t="str">
        <f>IFERROR(__xludf.DUMMYFUNCTION("""COMPUTED_VALUE"""),"REENCODED")</f>
        <v>REENCODED</v>
      </c>
      <c r="M328" s="1" t="str">
        <f>IFERROR(__xludf.DUMMYFUNCTION("""COMPUTED_VALUE"""),"REENCODED")</f>
        <v>REENCODED</v>
      </c>
      <c r="N328" s="3"/>
      <c r="O328" s="1" t="str">
        <f>IFERROR(__xludf.DUMMYFUNCTION("""COMPUTED_VALUE"""),"FIBER UNLI ALL PLAN 1499")</f>
        <v>FIBER UNLI ALL PLAN 1499</v>
      </c>
      <c r="P328" s="1" t="str">
        <f>IFERROR(__xludf.DUMMYFUNCTION("""COMPUTED_VALUE"""),"LOWPLAN")</f>
        <v>LOWPLAN</v>
      </c>
      <c r="Q328" s="1" t="str">
        <f>IFERROR(__xludf.DUMMYFUNCTION("""COMPUTED_VALUE"""),"P407048")</f>
        <v>P407048</v>
      </c>
      <c r="R328" s="1" t="str">
        <f>IFERROR(__xludf.DUMMYFUNCTION("""COMPUTED_VALUE"""),"YOLANGCO, JOLO")</f>
        <v>YOLANGCO, JOLO</v>
      </c>
      <c r="S328" s="1" t="str">
        <f>IFERROR(__xludf.DUMMYFUNCTION("""COMPUTED_VALUE"""),"ORGANIC")</f>
        <v>ORGANIC</v>
      </c>
      <c r="T328" s="1" t="str">
        <f>IFERROR(__xludf.DUMMYFUNCTION("""COMPUTED_VALUE"""),"JERIC NAVARRO")</f>
        <v>JERIC NAVARRO</v>
      </c>
      <c r="U328" s="1" t="str">
        <f>IFERROR(__xludf.DUMMYFUNCTION("""COMPUTED_VALUE"""),"JULIE ESPIRITU")</f>
        <v>JULIE ESPIRITU</v>
      </c>
      <c r="V328" s="1" t="str">
        <f>IFERROR(__xludf.DUMMYFUNCTION("""COMPUTED_VALUE"""),"ONLINE/CRANFORD")</f>
        <v>ONLINE/CRANFORD</v>
      </c>
      <c r="W328" s="1" t="str">
        <f>IFERROR(__xludf.DUMMYFUNCTION("""COMPUTED_VALUE"""),"STK REGULAR")</f>
        <v>STK REGULAR</v>
      </c>
      <c r="X328" s="1" t="str">
        <f>IFERROR(__xludf.DUMMYFUNCTION("""COMPUTED_VALUE"""),"HBBS AUG 2026")</f>
        <v>HBBS AUG 2026</v>
      </c>
      <c r="Y328" s="1" t="str">
        <f>IFERROR(__xludf.DUMMYFUNCTION("""COMPUTED_VALUE"""),"RS_ONL_CVEU_2026")</f>
        <v>RS_ONL_CVEU_2026</v>
      </c>
      <c r="Z328" s="1" t="str">
        <f>IFERROR(__xludf.DUMMYFUNCTION("""COMPUTED_VALUE"""),"NEW CONNECT")</f>
        <v>NEW CONNECT</v>
      </c>
      <c r="AA328" s="1">
        <f>IFERROR(__xludf.DUMMYFUNCTION("""COMPUTED_VALUE"""),639758220725)</f>
        <v>639758220725</v>
      </c>
      <c r="AB328" s="1"/>
      <c r="AC328" s="1"/>
      <c r="AD328" s="1" t="str">
        <f>IFERROR(__xludf.DUMMYFUNCTION("""COMPUTED_VALUE"""),"VALENCIA")</f>
        <v>VALENCIA</v>
      </c>
      <c r="AE328" s="1" t="str">
        <f>IFERROR(__xludf.DUMMYFUNCTION("""COMPUTED_VALUE"""),"GOLDEN HORIZON VILLAS PH 2")</f>
        <v>GOLDEN HORIZON VILLAS PH 2</v>
      </c>
      <c r="AF328" s="1" t="str">
        <f>IFERROR(__xludf.DUMMYFUNCTION("""COMPUTED_VALUE"""),"BGY HUGO PEREZ")</f>
        <v>BGY HUGO PEREZ</v>
      </c>
      <c r="AG328" s="1" t="str">
        <f>IFERROR(__xludf.DUMMYFUNCTION("""COMPUTED_VALUE"""),"TRECE MARTIREZ CITY")</f>
        <v>TRECE MARTIREZ CITY</v>
      </c>
      <c r="AH328" s="1"/>
      <c r="AI328" s="1" t="str">
        <f>IFERROR(__xludf.DUMMYFUNCTION("""COMPUTED_VALUE"""),"NOT AOR")</f>
        <v>NOT AOR</v>
      </c>
    </row>
    <row r="329" customHeight="1" spans="1:35">
      <c r="A329" s="3">
        <f>IFERROR(__xludf.DUMMYFUNCTION("""COMPUTED_VALUE"""),46263)</f>
        <v>46263</v>
      </c>
      <c r="B329" s="1" t="str">
        <f>IFERROR(__xludf.DUMMYFUNCTION("""COMPUTED_VALUE"""),"AAREN FRANCO LEONARDO")</f>
        <v>AAREN FRANCO LEONARDO</v>
      </c>
      <c r="C329" s="1">
        <f>IFERROR(__xludf.DUMMYFUNCTION("""COMPUTED_VALUE"""),2312184619)</f>
        <v>2312184619</v>
      </c>
      <c r="D329" s="1"/>
      <c r="E329" s="1"/>
      <c r="F329" s="1" t="str">
        <f>IFERROR(__xludf.DUMMYFUNCTION("""COMPUTED_VALUE"""),"REENCODED")</f>
        <v>REENCODED</v>
      </c>
      <c r="G329" s="1" t="str">
        <f>IFERROR(__xludf.DUMMYFUNCTION("""COMPUTED_VALUE"""),"(OTHERS) DISAPPROVED|INCORRECT ENCODING OF NAME IN CSP (AAREN) VS POID (ARREN) |FOUND CANCELLED ACCT (0271155433/0332630652) SAME NAME DIFF ADDRESS (0392483322/0401773509/0407265270) SAME NAME SAME ADDRESS| CALL THRU: 09621270726 11:55 AM |TALKED TO SUBS "&amp;"CONFIRM APPLYING | DONE VALIDATION | CLEARED FROM BLACKLISTED HIT|NO EXISTING ACTIVE ACCT AND/OR PENDING APPLICATION | TU SCORING - JJ - 15 (HIGH RISK) | 1 AMSF REQUIRED | CANNOT CHANGE PAYMENT REQUIRED INTO 2649")</f>
        <v>(OTHERS) DISAPPROVED|INCORRECT ENCODING OF NAME IN CSP (AAREN) VS POID (ARREN) |FOUND CANCELLED ACCT (0271155433/0332630652) SAME NAME DIFF ADDRESS (0392483322/0401773509/0407265270) SAME NAME SAME ADDRESS| CALL THRU: 09621270726 11:55 AM |TALKED TO SUBS CONFIRM APPLYING | DONE VALIDATION | CLEARED FROM BLACKLISTED HIT|NO EXISTING ACTIVE ACCT AND/OR PENDING APPLICATION | TU SCORING - JJ - 15 (HIGH RISK) | 1 AMSF REQUIRED | CANNOT CHANGE PAYMENT REQUIRED INTO 2649</v>
      </c>
      <c r="H329" s="1"/>
      <c r="I329" s="1"/>
      <c r="J329" s="1"/>
      <c r="K329" s="1"/>
      <c r="L329" s="1" t="str">
        <f>IFERROR(__xludf.DUMMYFUNCTION("""COMPUTED_VALUE"""),"REENCODED")</f>
        <v>REENCODED</v>
      </c>
      <c r="M329" s="1" t="str">
        <f>IFERROR(__xludf.DUMMYFUNCTION("""COMPUTED_VALUE"""),"REENCODED")</f>
        <v>REENCODED</v>
      </c>
      <c r="N329" s="3"/>
      <c r="O329" s="1" t="str">
        <f>IFERROR(__xludf.DUMMYFUNCTION("""COMPUTED_VALUE"""),"FIBER UNLI ALL PLAN 2599")</f>
        <v>FIBER UNLI ALL PLAN 2599</v>
      </c>
      <c r="P329" s="1" t="str">
        <f>IFERROR(__xludf.DUMMYFUNCTION("""COMPUTED_VALUE"""),"HIGHPLAN")</f>
        <v>HIGHPLAN</v>
      </c>
      <c r="Q329" s="1" t="str">
        <f>IFERROR(__xludf.DUMMYFUNCTION("""COMPUTED_VALUE"""),"P407046")</f>
        <v>P407046</v>
      </c>
      <c r="R329" s="1" t="str">
        <f>IFERROR(__xludf.DUMMYFUNCTION("""COMPUTED_VALUE"""),"MALIWAT, MARK")</f>
        <v>MALIWAT, MARK</v>
      </c>
      <c r="S329" s="1" t="str">
        <f>IFERROR(__xludf.DUMMYFUNCTION("""COMPUTED_VALUE"""),"FLA")</f>
        <v>FLA</v>
      </c>
      <c r="T329" s="1" t="str">
        <f>IFERROR(__xludf.DUMMYFUNCTION("""COMPUTED_VALUE"""),"JERIC NAVARRO")</f>
        <v>JERIC NAVARRO</v>
      </c>
      <c r="U329" s="1" t="str">
        <f>IFERROR(__xludf.DUMMYFUNCTION("""COMPUTED_VALUE"""),"JULIE ESPIRITU")</f>
        <v>JULIE ESPIRITU</v>
      </c>
      <c r="V329" s="1" t="str">
        <f>IFERROR(__xludf.DUMMYFUNCTION("""COMPUTED_VALUE"""),"ONLINE/CRANFORD")</f>
        <v>ONLINE/CRANFORD</v>
      </c>
      <c r="W329" s="1" t="str">
        <f>IFERROR(__xludf.DUMMYFUNCTION("""COMPUTED_VALUE"""),"STK REGULAR")</f>
        <v>STK REGULAR</v>
      </c>
      <c r="X329" s="1" t="str">
        <f>IFERROR(__xludf.DUMMYFUNCTION("""COMPUTED_VALUE"""),"HBBS AUG 2026")</f>
        <v>HBBS AUG 2026</v>
      </c>
      <c r="Y329" s="1" t="str">
        <f>IFERROR(__xludf.DUMMYFUNCTION("""COMPUTED_VALUE"""),"RS_ONL_CVEU_2026")</f>
        <v>RS_ONL_CVEU_2026</v>
      </c>
      <c r="Z329" s="1" t="str">
        <f>IFERROR(__xludf.DUMMYFUNCTION("""COMPUTED_VALUE"""),"NEW CONNECT")</f>
        <v>NEW CONNECT</v>
      </c>
      <c r="AA329" s="1">
        <f>IFERROR(__xludf.DUMMYFUNCTION("""COMPUTED_VALUE"""),639621270726)</f>
        <v>639621270726</v>
      </c>
      <c r="AB329" s="1">
        <f>IFERROR(__xludf.DUMMYFUNCTION("""COMPUTED_VALUE"""),639273609333)</f>
        <v>639273609333</v>
      </c>
      <c r="AC329" s="1"/>
      <c r="AD329" s="1" t="str">
        <f>IFERROR(__xludf.DUMMYFUNCTION("""COMPUTED_VALUE"""),"AARON")</f>
        <v>AARON</v>
      </c>
      <c r="AE329" s="1" t="str">
        <f>IFERROR(__xludf.DUMMYFUNCTION("""COMPUTED_VALUE"""),"ELLISTON PLACE")</f>
        <v>ELLISTON PLACE</v>
      </c>
      <c r="AF329" s="1" t="str">
        <f>IFERROR(__xludf.DUMMYFUNCTION("""COMPUTED_VALUE"""),"PASONG CAMACHILE 2")</f>
        <v>PASONG CAMACHILE 2</v>
      </c>
      <c r="AG329" s="1" t="str">
        <f>IFERROR(__xludf.DUMMYFUNCTION("""COMPUTED_VALUE"""),"GENERAL TRIAS")</f>
        <v>GENERAL TRIAS</v>
      </c>
      <c r="AH329" s="1" t="str">
        <f>IFERROR(__xludf.DUMMYFUNCTION("""COMPUTED_VALUE"""),"LTO IMUS OPEN CANAL")</f>
        <v>LTO IMUS OPEN CANAL</v>
      </c>
      <c r="AI329" s="1" t="str">
        <f>IFERROR(__xludf.DUMMYFUNCTION("""COMPUTED_VALUE"""),"NOT AOR")</f>
        <v>NOT AOR</v>
      </c>
    </row>
    <row r="330" customHeight="1" spans="1:35">
      <c r="A330" s="3">
        <f>IFERROR(__xludf.DUMMYFUNCTION("""COMPUTED_VALUE"""),46263)</f>
        <v>46263</v>
      </c>
      <c r="B330" s="1" t="str">
        <f>IFERROR(__xludf.DUMMYFUNCTION("""COMPUTED_VALUE"""),"MARK JOSEPH PALASPAS IBAÑEZ")</f>
        <v>MARK JOSEPH PALASPAS IBAÑEZ</v>
      </c>
      <c r="C330" s="1">
        <f>IFERROR(__xludf.DUMMYFUNCTION("""COMPUTED_VALUE"""),2312184424)</f>
        <v>2312184424</v>
      </c>
      <c r="D330" s="1"/>
      <c r="E330" s="1"/>
      <c r="F330" s="1" t="str">
        <f>IFERROR(__xludf.DUMMYFUNCTION("""COMPUTED_VALUE"""),"FOR ONE HUB FILING")</f>
        <v>FOR ONE HUB FILING</v>
      </c>
      <c r="G330" s="1" t="str">
        <f>IFERROR(__xludf.DUMMYFUNCTION("""COMPUTED_VALUE"""),"FOR CANCELLATION - SUBS ENCODED WRONG POID NUMBER")</f>
        <v>FOR CANCELLATION - SUBS ENCODED WRONG POID NUMBER</v>
      </c>
      <c r="H330" s="1"/>
      <c r="I330" s="1"/>
      <c r="J330" s="1"/>
      <c r="K330" s="1"/>
      <c r="L330" s="1" t="str">
        <f>IFERROR(__xludf.DUMMYFUNCTION("""COMPUTED_VALUE"""),"FOR ONE HUB FILING")</f>
        <v>FOR ONE HUB FILING</v>
      </c>
      <c r="M330" s="1" t="str">
        <f>IFERROR(__xludf.DUMMYFUNCTION("""COMPUTED_VALUE"""),"FOR ONE HUB FILING")</f>
        <v>FOR ONE HUB FILING</v>
      </c>
      <c r="N330" s="3"/>
      <c r="O330" s="1" t="str">
        <f>IFERROR(__xludf.DUMMYFUNCTION("""COMPUTED_VALUE"""),"FIBER UNLI ALL PLAN 1499")</f>
        <v>FIBER UNLI ALL PLAN 1499</v>
      </c>
      <c r="P330" s="1" t="str">
        <f>IFERROR(__xludf.DUMMYFUNCTION("""COMPUTED_VALUE"""),"LOWPLAN")</f>
        <v>LOWPLAN</v>
      </c>
      <c r="Q330" s="1" t="str">
        <f>IFERROR(__xludf.DUMMYFUNCTION("""COMPUTED_VALUE"""),"P407048")</f>
        <v>P407048</v>
      </c>
      <c r="R330" s="1" t="str">
        <f>IFERROR(__xludf.DUMMYFUNCTION("""COMPUTED_VALUE"""),"BONZA, LEE VINCENT")</f>
        <v>BONZA, LEE VINCENT</v>
      </c>
      <c r="S330" s="1" t="str">
        <f>IFERROR(__xludf.DUMMYFUNCTION("""COMPUTED_VALUE"""),"ORGANIC")</f>
        <v>ORGANIC</v>
      </c>
      <c r="T330" s="1" t="str">
        <f>IFERROR(__xludf.DUMMYFUNCTION("""COMPUTED_VALUE"""),"JERIC NAVARRO")</f>
        <v>JERIC NAVARRO</v>
      </c>
      <c r="U330" s="1" t="str">
        <f>IFERROR(__xludf.DUMMYFUNCTION("""COMPUTED_VALUE"""),"JULIE ESPIRITU")</f>
        <v>JULIE ESPIRITU</v>
      </c>
      <c r="V330" s="1" t="str">
        <f>IFERROR(__xludf.DUMMYFUNCTION("""COMPUTED_VALUE"""),"ONLINE/CRANFORD")</f>
        <v>ONLINE/CRANFORD</v>
      </c>
      <c r="W330" s="1" t="str">
        <f>IFERROR(__xludf.DUMMYFUNCTION("""COMPUTED_VALUE"""),"STK REGULAR")</f>
        <v>STK REGULAR</v>
      </c>
      <c r="X330" s="1" t="str">
        <f>IFERROR(__xludf.DUMMYFUNCTION("""COMPUTED_VALUE"""),"HBBS AUG 2026")</f>
        <v>HBBS AUG 2026</v>
      </c>
      <c r="Y330" s="1" t="str">
        <f>IFERROR(__xludf.DUMMYFUNCTION("""COMPUTED_VALUE"""),"RS_ONL_CVEU_2026")</f>
        <v>RS_ONL_CVEU_2026</v>
      </c>
      <c r="Z330" s="1" t="str">
        <f>IFERROR(__xludf.DUMMYFUNCTION("""COMPUTED_VALUE"""),"NEW CONNECT")</f>
        <v>NEW CONNECT</v>
      </c>
      <c r="AA330" s="1">
        <f>IFERROR(__xludf.DUMMYFUNCTION("""COMPUTED_VALUE"""),639670016283)</f>
        <v>639670016283</v>
      </c>
      <c r="AB330" s="1">
        <f>IFERROR(__xludf.DUMMYFUNCTION("""COMPUTED_VALUE"""),639610241473)</f>
        <v>639610241473</v>
      </c>
      <c r="AC330" s="1"/>
      <c r="AD330" s="1" t="str">
        <f>IFERROR(__xludf.DUMMYFUNCTION("""COMPUTED_VALUE"""),"VILLA MONTEVERDE")</f>
        <v>VILLA MONTEVERDE</v>
      </c>
      <c r="AE330" s="1" t="str">
        <f>IFERROR(__xludf.DUMMYFUNCTION("""COMPUTED_VALUE"""),"VILLA MONTEVERDE SUBDIVISION")</f>
        <v>VILLA MONTEVERDE SUBDIVISION</v>
      </c>
      <c r="AF330" s="1" t="str">
        <f>IFERROR(__xludf.DUMMYFUNCTION("""COMPUTED_VALUE"""),"BGY MULAWIN")</f>
        <v>BGY MULAWIN</v>
      </c>
      <c r="AG330" s="1" t="str">
        <f>IFERROR(__xludf.DUMMYFUNCTION("""COMPUTED_VALUE"""),"TANZA")</f>
        <v>TANZA</v>
      </c>
      <c r="AH330" s="1" t="str">
        <f>IFERROR(__xludf.DUMMYFUNCTION("""COMPUTED_VALUE"""),"STRAIGHT FROM THE GATE UNTIL YOU REACH A GREEN CAR ON THE LEFT (VIOS)")</f>
        <v>STRAIGHT FROM THE GATE UNTIL YOU REACH A GREEN CAR ON THE LEFT (VIOS)</v>
      </c>
      <c r="AI330" s="1" t="str">
        <f>IFERROR(__xludf.DUMMYFUNCTION("""COMPUTED_VALUE"""),"NOT AOR")</f>
        <v>NOT AOR</v>
      </c>
    </row>
    <row r="331" customHeight="1" spans="1:35">
      <c r="A331" s="3">
        <f>IFERROR(__xludf.DUMMYFUNCTION("""COMPUTED_VALUE"""),46263)</f>
        <v>46263</v>
      </c>
      <c r="B331" s="1" t="str">
        <f>IFERROR(__xludf.DUMMYFUNCTION("""COMPUTED_VALUE"""),"MARK JOSEPH PALASPAS IBAÑEZ")</f>
        <v>MARK JOSEPH PALASPAS IBAÑEZ</v>
      </c>
      <c r="C331" s="1">
        <f>IFERROR(__xludf.DUMMYFUNCTION("""COMPUTED_VALUE"""),2312185196)</f>
        <v>2312185196</v>
      </c>
      <c r="D331" s="1"/>
      <c r="E331" s="1"/>
      <c r="F331" s="1" t="str">
        <f>IFERROR(__xludf.DUMMYFUNCTION("""COMPUTED_VALUE"""),"FOR ONE HUB FILING")</f>
        <v>FOR ONE HUB FILING</v>
      </c>
      <c r="G331" s="1" t="str">
        <f>IFERROR(__xludf.DUMMYFUNCTION("""COMPUTED_VALUE"""),"UNABLE TO CANCEL DUE TO AN INVALID CHARACTER")</f>
        <v>UNABLE TO CANCEL DUE TO AN INVALID CHARACTER</v>
      </c>
      <c r="H331" s="1"/>
      <c r="I331" s="1"/>
      <c r="J331" s="1"/>
      <c r="K331" s="1"/>
      <c r="L331" s="1" t="str">
        <f>IFERROR(__xludf.DUMMYFUNCTION("""COMPUTED_VALUE"""),"FOR ONE HUB FILING")</f>
        <v>FOR ONE HUB FILING</v>
      </c>
      <c r="M331" s="1" t="str">
        <f>IFERROR(__xludf.DUMMYFUNCTION("""COMPUTED_VALUE"""),"FOR ONE HUB FILING")</f>
        <v>FOR ONE HUB FILING</v>
      </c>
      <c r="N331" s="3"/>
      <c r="O331" s="1" t="str">
        <f>IFERROR(__xludf.DUMMYFUNCTION("""COMPUTED_VALUE"""),"FIBER UNLI ALL PLAN 1499")</f>
        <v>FIBER UNLI ALL PLAN 1499</v>
      </c>
      <c r="P331" s="1" t="str">
        <f>IFERROR(__xludf.DUMMYFUNCTION("""COMPUTED_VALUE"""),"LOWPLAN")</f>
        <v>LOWPLAN</v>
      </c>
      <c r="Q331" s="1" t="str">
        <f>IFERROR(__xludf.DUMMYFUNCTION("""COMPUTED_VALUE"""),"P407048")</f>
        <v>P407048</v>
      </c>
      <c r="R331" s="1" t="str">
        <f>IFERROR(__xludf.DUMMYFUNCTION("""COMPUTED_VALUE"""),"BONZA, LEE VINCENT")</f>
        <v>BONZA, LEE VINCENT</v>
      </c>
      <c r="S331" s="1" t="str">
        <f>IFERROR(__xludf.DUMMYFUNCTION("""COMPUTED_VALUE"""),"ORGANIC")</f>
        <v>ORGANIC</v>
      </c>
      <c r="T331" s="1" t="str">
        <f>IFERROR(__xludf.DUMMYFUNCTION("""COMPUTED_VALUE"""),"JERIC NAVARRO")</f>
        <v>JERIC NAVARRO</v>
      </c>
      <c r="U331" s="1" t="str">
        <f>IFERROR(__xludf.DUMMYFUNCTION("""COMPUTED_VALUE"""),"JULIE ESPIRITU")</f>
        <v>JULIE ESPIRITU</v>
      </c>
      <c r="V331" s="1" t="str">
        <f>IFERROR(__xludf.DUMMYFUNCTION("""COMPUTED_VALUE"""),"ONLINE/CRANFORD")</f>
        <v>ONLINE/CRANFORD</v>
      </c>
      <c r="W331" s="1" t="str">
        <f>IFERROR(__xludf.DUMMYFUNCTION("""COMPUTED_VALUE"""),"STK REGULAR")</f>
        <v>STK REGULAR</v>
      </c>
      <c r="X331" s="1" t="str">
        <f>IFERROR(__xludf.DUMMYFUNCTION("""COMPUTED_VALUE"""),"HBBS AUG 2026")</f>
        <v>HBBS AUG 2026</v>
      </c>
      <c r="Y331" s="1" t="str">
        <f>IFERROR(__xludf.DUMMYFUNCTION("""COMPUTED_VALUE"""),"RS_ONL_CVEU_2026")</f>
        <v>RS_ONL_CVEU_2026</v>
      </c>
      <c r="Z331" s="1" t="str">
        <f>IFERROR(__xludf.DUMMYFUNCTION("""COMPUTED_VALUE"""),"NEW CONNECT")</f>
        <v>NEW CONNECT</v>
      </c>
      <c r="AA331" s="1">
        <f>IFERROR(__xludf.DUMMYFUNCTION("""COMPUTED_VALUE"""),639670016283)</f>
        <v>639670016283</v>
      </c>
      <c r="AB331" s="1">
        <f>IFERROR(__xludf.DUMMYFUNCTION("""COMPUTED_VALUE"""),639610241473)</f>
        <v>639610241473</v>
      </c>
      <c r="AC331" s="1"/>
      <c r="AD331" s="1" t="str">
        <f>IFERROR(__xludf.DUMMYFUNCTION("""COMPUTED_VALUE"""),"VILLA MONTEVERDE")</f>
        <v>VILLA MONTEVERDE</v>
      </c>
      <c r="AE331" s="1" t="str">
        <f>IFERROR(__xludf.DUMMYFUNCTION("""COMPUTED_VALUE"""),"VILLA MONTEVERDE SUBDIVISION")</f>
        <v>VILLA MONTEVERDE SUBDIVISION</v>
      </c>
      <c r="AF331" s="1" t="str">
        <f>IFERROR(__xludf.DUMMYFUNCTION("""COMPUTED_VALUE"""),"BGY MULAWIN")</f>
        <v>BGY MULAWIN</v>
      </c>
      <c r="AG331" s="1" t="str">
        <f>IFERROR(__xludf.DUMMYFUNCTION("""COMPUTED_VALUE"""),"TANZA")</f>
        <v>TANZA</v>
      </c>
      <c r="AH331" s="1" t="str">
        <f>IFERROR(__xludf.DUMMYFUNCTION("""COMPUTED_VALUE"""),"STRAIGHT FROM THE GATE UNTIL YOU REACH A GREEN CAR ON THE LEFT (VIOS)")</f>
        <v>STRAIGHT FROM THE GATE UNTIL YOU REACH A GREEN CAR ON THE LEFT (VIOS)</v>
      </c>
      <c r="AI331" s="1" t="str">
        <f>IFERROR(__xludf.DUMMYFUNCTION("""COMPUTED_VALUE"""),"NOT AOR")</f>
        <v>NOT AOR</v>
      </c>
    </row>
    <row r="332" customHeight="1" spans="1:35">
      <c r="A332" s="3">
        <f>IFERROR(__xludf.DUMMYFUNCTION("""COMPUTED_VALUE"""),46263)</f>
        <v>46263</v>
      </c>
      <c r="B332" s="1" t="str">
        <f>IFERROR(__xludf.DUMMYFUNCTION("""COMPUTED_VALUE"""),"MARK JOSEPH PALASPAS IBANEZ")</f>
        <v>MARK JOSEPH PALASPAS IBANEZ</v>
      </c>
      <c r="C332" s="1">
        <f>IFERROR(__xludf.DUMMYFUNCTION("""COMPUTED_VALUE"""),2312188183)</f>
        <v>2312188183</v>
      </c>
      <c r="D332" s="1">
        <f>IFERROR(__xludf.DUMMYFUNCTION("""COMPUTED_VALUE"""),407453263)</f>
        <v>407453263</v>
      </c>
      <c r="E332" s="1">
        <f>IFERROR(__xludf.DUMMYFUNCTION("""COMPUTED_VALUE"""),468420428004)</f>
        <v>468420428004</v>
      </c>
      <c r="F332" s="1" t="str">
        <f>IFERROR(__xludf.DUMMYFUNCTION("""COMPUTED_VALUE"""),"CANCELLED")</f>
        <v>CANCELLED</v>
      </c>
      <c r="G332" s="1" t="str">
        <f>IFERROR(__xludf.DUMMYFUNCTION("""COMPUTED_VALUE"""),"VISITED ASSIGN CAFAC NOT ON SITE TNZLP156NP2 UPON SURVEY ALL CAFAC INSIDE VILLA MONTEVERDE ARE ALL FULL TNZLP407NP1 TO NP8 NO VACANT PORT TNZLP408NP1 TO NP8 NO VACANT PORT SUBS ALREADY ADVISE TOK SIR MJ")</f>
        <v>VISITED ASSIGN CAFAC NOT ON SITE TNZLP156NP2 UPON SURVEY ALL CAFAC INSIDE VILLA MONTEVERDE ARE ALL FULL TNZLP407NP1 TO NP8 NO VACANT PORT TNZLP408NP1 TO NP8 NO VACANT PORT SUBS ALREADY ADVISE TOK SIR MJ</v>
      </c>
      <c r="H332" s="1"/>
      <c r="I332" s="1"/>
      <c r="J332" s="1"/>
      <c r="K332" s="1" t="str">
        <f>IFERROR(__xludf.DUMMYFUNCTION("""COMPUTED_VALUE"""),"CANCELED")</f>
        <v>CANCELED</v>
      </c>
      <c r="L332" s="1" t="str">
        <f>IFERROR(__xludf.DUMMYFUNCTION("""COMPUTED_VALUE"""),"RPR - NAP FULL")</f>
        <v>RPR - NAP FULL</v>
      </c>
      <c r="M332" s="1" t="str">
        <f>IFERROR(__xludf.DUMMYFUNCTION("""COMPUTED_VALUE"""),"RPR- NAP FULL")</f>
        <v>RPR- NAP FULL</v>
      </c>
      <c r="N332" s="3"/>
      <c r="O332" s="1" t="str">
        <f>IFERROR(__xludf.DUMMYFUNCTION("""COMPUTED_VALUE"""),"FIBER UNLI ALL PLAN 1499")</f>
        <v>FIBER UNLI ALL PLAN 1499</v>
      </c>
      <c r="P332" s="1" t="str">
        <f>IFERROR(__xludf.DUMMYFUNCTION("""COMPUTED_VALUE"""),"LOWPLAN")</f>
        <v>LOWPLAN</v>
      </c>
      <c r="Q332" s="1" t="str">
        <f>IFERROR(__xludf.DUMMYFUNCTION("""COMPUTED_VALUE"""),"P407048")</f>
        <v>P407048</v>
      </c>
      <c r="R332" s="1" t="str">
        <f>IFERROR(__xludf.DUMMYFUNCTION("""COMPUTED_VALUE"""),"BONZA, LEE VINCENT")</f>
        <v>BONZA, LEE VINCENT</v>
      </c>
      <c r="S332" s="1" t="str">
        <f>IFERROR(__xludf.DUMMYFUNCTION("""COMPUTED_VALUE"""),"ORGANIC")</f>
        <v>ORGANIC</v>
      </c>
      <c r="T332" s="1" t="str">
        <f>IFERROR(__xludf.DUMMYFUNCTION("""COMPUTED_VALUE"""),"JERIC NAVARRO")</f>
        <v>JERIC NAVARRO</v>
      </c>
      <c r="U332" s="1" t="str">
        <f>IFERROR(__xludf.DUMMYFUNCTION("""COMPUTED_VALUE"""),"JULIE ESPIRITU")</f>
        <v>JULIE ESPIRITU</v>
      </c>
      <c r="V332" s="1" t="str">
        <f>IFERROR(__xludf.DUMMYFUNCTION("""COMPUTED_VALUE"""),"ONLINE/CRANFORD")</f>
        <v>ONLINE/CRANFORD</v>
      </c>
      <c r="W332" s="1" t="str">
        <f>IFERROR(__xludf.DUMMYFUNCTION("""COMPUTED_VALUE"""),"STK REGULAR")</f>
        <v>STK REGULAR</v>
      </c>
      <c r="X332" s="1" t="str">
        <f>IFERROR(__xludf.DUMMYFUNCTION("""COMPUTED_VALUE"""),"HBBS AUG 2026")</f>
        <v>HBBS AUG 2026</v>
      </c>
      <c r="Y332" s="1" t="str">
        <f>IFERROR(__xludf.DUMMYFUNCTION("""COMPUTED_VALUE"""),"RS_ONL_CVEU_2026")</f>
        <v>RS_ONL_CVEU_2026</v>
      </c>
      <c r="Z332" s="1" t="str">
        <f>IFERROR(__xludf.DUMMYFUNCTION("""COMPUTED_VALUE"""),"NEW CONNECT")</f>
        <v>NEW CONNECT</v>
      </c>
      <c r="AA332" s="1">
        <f>IFERROR(__xludf.DUMMYFUNCTION("""COMPUTED_VALUE"""),639670016283)</f>
        <v>639670016283</v>
      </c>
      <c r="AB332" s="1">
        <f>IFERROR(__xludf.DUMMYFUNCTION("""COMPUTED_VALUE"""),639610241473)</f>
        <v>639610241473</v>
      </c>
      <c r="AC332" s="1"/>
      <c r="AD332" s="1" t="str">
        <f>IFERROR(__xludf.DUMMYFUNCTION("""COMPUTED_VALUE"""),"VILLA MONTEVERDE")</f>
        <v>VILLA MONTEVERDE</v>
      </c>
      <c r="AE332" s="1" t="str">
        <f>IFERROR(__xludf.DUMMYFUNCTION("""COMPUTED_VALUE"""),"VILLA MONTEVERDE SUBDIVISION")</f>
        <v>VILLA MONTEVERDE SUBDIVISION</v>
      </c>
      <c r="AF332" s="1" t="str">
        <f>IFERROR(__xludf.DUMMYFUNCTION("""COMPUTED_VALUE"""),"BGY MULAWIN")</f>
        <v>BGY MULAWIN</v>
      </c>
      <c r="AG332" s="1" t="str">
        <f>IFERROR(__xludf.DUMMYFUNCTION("""COMPUTED_VALUE"""),"TANZA")</f>
        <v>TANZA</v>
      </c>
      <c r="AH332" s="1" t="str">
        <f>IFERROR(__xludf.DUMMYFUNCTION("""COMPUTED_VALUE"""),"STRAIGHT FROM THE GATE UNTIL YOU REACH A GREEN CAR ON THE LEFT (VIOS)")</f>
        <v>STRAIGHT FROM THE GATE UNTIL YOU REACH A GREEN CAR ON THE LEFT (VIOS)</v>
      </c>
      <c r="AI332" s="1" t="str">
        <f>IFERROR(__xludf.DUMMYFUNCTION("""COMPUTED_VALUE"""),"NOT AOR")</f>
        <v>NOT AOR</v>
      </c>
    </row>
    <row r="333" customHeight="1" spans="1:35">
      <c r="A333" s="3">
        <f>IFERROR(__xludf.DUMMYFUNCTION("""COMPUTED_VALUE"""),46263)</f>
        <v>46263</v>
      </c>
      <c r="B333" s="1" t="str">
        <f>IFERROR(__xludf.DUMMYFUNCTION("""COMPUTED_VALUE"""),"SUSIE GERERRO TUONAN")</f>
        <v>SUSIE GERERRO TUONAN</v>
      </c>
      <c r="C333" s="1">
        <f>IFERROR(__xludf.DUMMYFUNCTION("""COMPUTED_VALUE"""),2312190229)</f>
        <v>2312190229</v>
      </c>
      <c r="D333" s="1">
        <f>IFERROR(__xludf.DUMMYFUNCTION("""COMPUTED_VALUE"""),407452909)</f>
        <v>407452909</v>
      </c>
      <c r="E333" s="1">
        <f>IFERROR(__xludf.DUMMYFUNCTION("""COMPUTED_VALUE"""),468420516004)</f>
        <v>468420516004</v>
      </c>
      <c r="F333" s="1" t="str">
        <f>IFERROR(__xludf.DUMMYFUNCTION("""COMPUTED_VALUE"""),"CLOSED")</f>
        <v>CLOSED</v>
      </c>
      <c r="G333" s="1" t="str">
        <f>IFERROR(__xludf.DUMMYFUNCTION("""COMPUTED_VALUE"""),"CLOSED")</f>
        <v>CLOSED</v>
      </c>
      <c r="H333" s="1" t="str">
        <f>IFERROR(__xludf.DUMMYFUNCTION("""COMPUTED_VALUE"""),"PAID VIA GCASH REF 738835061 AUG 31")</f>
        <v>PAID VIA GCASH REF 738835061 AUG 31</v>
      </c>
      <c r="I333" s="1" t="str">
        <f>IFERROR(__xludf.DUMMYFUNCTION("""COMPUTED_VALUE"""),"WITH 1 AMSF")</f>
        <v>WITH 1 AMSF</v>
      </c>
      <c r="J333" s="1"/>
      <c r="K333" s="1" t="str">
        <f>IFERROR(__xludf.DUMMYFUNCTION("""COMPUTED_VALUE"""),"COMPLETED")</f>
        <v>COMPLETED</v>
      </c>
      <c r="L333" s="1" t="str">
        <f>IFERROR(__xludf.DUMMYFUNCTION("""COMPUTED_VALUE"""),"POSTED")</f>
        <v>POSTED</v>
      </c>
      <c r="M333" s="1" t="str">
        <f>IFERROR(__xludf.DUMMYFUNCTION("""COMPUTED_VALUE"""),"POSTED")</f>
        <v>POSTED</v>
      </c>
      <c r="N333" s="3">
        <f>IFERROR(__xludf.DUMMYFUNCTION("""COMPUTED_VALUE"""),46265)</f>
        <v>46265</v>
      </c>
      <c r="O333" s="1" t="str">
        <f>IFERROR(__xludf.DUMMYFUNCTION("""COMPUTED_VALUE"""),"FIBR PLAN 1299")</f>
        <v>FIBR PLAN 1299</v>
      </c>
      <c r="P333" s="1" t="str">
        <f>IFERROR(__xludf.DUMMYFUNCTION("""COMPUTED_VALUE"""),"LOWPLAN")</f>
        <v>LOWPLAN</v>
      </c>
      <c r="Q333" s="1" t="str">
        <f>IFERROR(__xludf.DUMMYFUNCTION("""COMPUTED_VALUE"""),"P407045")</f>
        <v>P407045</v>
      </c>
      <c r="R333" s="1" t="str">
        <f>IFERROR(__xludf.DUMMYFUNCTION("""COMPUTED_VALUE"""),"REMOLLO, LEA")</f>
        <v>REMOLLO, LEA</v>
      </c>
      <c r="S333" s="1" t="str">
        <f>IFERROR(__xludf.DUMMYFUNCTION("""COMPUTED_VALUE"""),"FLA")</f>
        <v>FLA</v>
      </c>
      <c r="T333" s="1" t="str">
        <f>IFERROR(__xludf.DUMMYFUNCTION("""COMPUTED_VALUE"""),"JERIC NAVARRO")</f>
        <v>JERIC NAVARRO</v>
      </c>
      <c r="U333" s="1" t="str">
        <f>IFERROR(__xludf.DUMMYFUNCTION("""COMPUTED_VALUE"""),"JB SALIOA")</f>
        <v>JB SALIOA</v>
      </c>
      <c r="V333" s="1" t="str">
        <f>IFERROR(__xludf.DUMMYFUNCTION("""COMPUTED_VALUE"""),"ONLINE/CRANFORD")</f>
        <v>ONLINE/CRANFORD</v>
      </c>
      <c r="W333" s="1" t="str">
        <f>IFERROR(__xludf.DUMMYFUNCTION("""COMPUTED_VALUE"""),"STK REGULAR")</f>
        <v>STK REGULAR</v>
      </c>
      <c r="X333" s="1" t="str">
        <f>IFERROR(__xludf.DUMMYFUNCTION("""COMPUTED_VALUE"""),"REGULAR")</f>
        <v>REGULAR</v>
      </c>
      <c r="Y333" s="1" t="str">
        <f>IFERROR(__xludf.DUMMYFUNCTION("""COMPUTED_VALUE"""),"RS_ONL_CVEU_2026")</f>
        <v>RS_ONL_CVEU_2026</v>
      </c>
      <c r="Z333" s="1" t="str">
        <f>IFERROR(__xludf.DUMMYFUNCTION("""COMPUTED_VALUE"""),"NEW CONNECT")</f>
        <v>NEW CONNECT</v>
      </c>
      <c r="AA333" s="1">
        <f>IFERROR(__xludf.DUMMYFUNCTION("""COMPUTED_VALUE"""),639127124842)</f>
        <v>639127124842</v>
      </c>
      <c r="AB333" s="1"/>
      <c r="AC333" s="1"/>
      <c r="AD333" s="1" t="str">
        <f>IFERROR(__xludf.DUMMYFUNCTION("""COMPUTED_VALUE"""),"PHASE 6")</f>
        <v>PHASE 6</v>
      </c>
      <c r="AE333" s="1"/>
      <c r="AF333" s="1" t="str">
        <f>IFERROR(__xludf.DUMMYFUNCTION("""COMPUTED_VALUE"""),"BGY BANABA")</f>
        <v>BGY BANABA</v>
      </c>
      <c r="AG333" s="1" t="str">
        <f>IFERROR(__xludf.DUMMYFUNCTION("""COMPUTED_VALUE"""),"SILANG")</f>
        <v>SILANG</v>
      </c>
      <c r="AH333" s="1" t="str">
        <f>IFERROR(__xludf.DUMMYFUNCTION("""COMPUTED_VALUE"""),"UNCLE JOHN BANABA")</f>
        <v>UNCLE JOHN BANABA</v>
      </c>
      <c r="AI333" s="1" t="str">
        <f>IFERROR(__xludf.DUMMYFUNCTION("""COMPUTED_VALUE"""),"CLUSTER 11")</f>
        <v>CLUSTER 11</v>
      </c>
    </row>
    <row r="334" customHeight="1" spans="1:35">
      <c r="A334" s="3">
        <f>IFERROR(__xludf.DUMMYFUNCTION("""COMPUTED_VALUE"""),46263)</f>
        <v>46263</v>
      </c>
      <c r="B334" s="1" t="str">
        <f>IFERROR(__xludf.DUMMYFUNCTION("""COMPUTED_VALUE"""),"ARREN FRANCO LEONARDO")</f>
        <v>ARREN FRANCO LEONARDO</v>
      </c>
      <c r="C334" s="1">
        <f>IFERROR(__xludf.DUMMYFUNCTION("""COMPUTED_VALUE"""),2312190354)</f>
        <v>2312190354</v>
      </c>
      <c r="D334" s="1">
        <f>IFERROR(__xludf.DUMMYFUNCTION("""COMPUTED_VALUE"""),407455762)</f>
        <v>407455762</v>
      </c>
      <c r="E334" s="1">
        <f>IFERROR(__xludf.DUMMYFUNCTION("""COMPUTED_VALUE"""),468422136004)</f>
        <v>468422136004</v>
      </c>
      <c r="F334" s="1" t="str">
        <f>IFERROR(__xludf.DUMMYFUNCTION("""COMPUTED_VALUE"""),"CANCELLED")</f>
        <v>CANCELLED</v>
      </c>
      <c r="G334" s="1" t="str">
        <f>IFERROR(__xludf.DUMMYFUNCTION("""COMPUTED_VALUE"""),"NAP FULL")</f>
        <v>NAP FULL</v>
      </c>
      <c r="H334" s="1"/>
      <c r="I334" s="1" t="str">
        <f>IFERROR(__xludf.DUMMYFUNCTION("""COMPUTED_VALUE"""),"NO 1 AMSF")</f>
        <v>NO 1 AMSF</v>
      </c>
      <c r="J334" s="1" t="str">
        <f>IFERROR(__xludf.DUMMYFUNCTION("""COMPUTED_VALUE"""),"NO PAYMENT")</f>
        <v>NO PAYMENT</v>
      </c>
      <c r="K334" s="1" t="str">
        <f>IFERROR(__xludf.DUMMYFUNCTION("""COMPUTED_VALUE"""),"CANCELED")</f>
        <v>CANCELED</v>
      </c>
      <c r="L334" s="1" t="str">
        <f>IFERROR(__xludf.DUMMYFUNCTION("""COMPUTED_VALUE"""),"RPR - NAP FULL")</f>
        <v>RPR - NAP FULL</v>
      </c>
      <c r="M334" s="1" t="str">
        <f>IFERROR(__xludf.DUMMYFUNCTION("""COMPUTED_VALUE"""),"RPR- NAP FULL")</f>
        <v>RPR- NAP FULL</v>
      </c>
      <c r="N334" s="3"/>
      <c r="O334" s="1" t="str">
        <f>IFERROR(__xludf.DUMMYFUNCTION("""COMPUTED_VALUE"""),"FIBER UNLI ALL PLAN 2599")</f>
        <v>FIBER UNLI ALL PLAN 2599</v>
      </c>
      <c r="P334" s="1" t="str">
        <f>IFERROR(__xludf.DUMMYFUNCTION("""COMPUTED_VALUE"""),"HIGHPLAN")</f>
        <v>HIGHPLAN</v>
      </c>
      <c r="Q334" s="1" t="str">
        <f>IFERROR(__xludf.DUMMYFUNCTION("""COMPUTED_VALUE"""),"P407046")</f>
        <v>P407046</v>
      </c>
      <c r="R334" s="1" t="str">
        <f>IFERROR(__xludf.DUMMYFUNCTION("""COMPUTED_VALUE"""),"MALIWAT, MARK")</f>
        <v>MALIWAT, MARK</v>
      </c>
      <c r="S334" s="1" t="str">
        <f>IFERROR(__xludf.DUMMYFUNCTION("""COMPUTED_VALUE"""),"FLA")</f>
        <v>FLA</v>
      </c>
      <c r="T334" s="1" t="str">
        <f>IFERROR(__xludf.DUMMYFUNCTION("""COMPUTED_VALUE"""),"JERIC NAVARRO")</f>
        <v>JERIC NAVARRO</v>
      </c>
      <c r="U334" s="1" t="str">
        <f>IFERROR(__xludf.DUMMYFUNCTION("""COMPUTED_VALUE"""),"JULIE ESPIRITU")</f>
        <v>JULIE ESPIRITU</v>
      </c>
      <c r="V334" s="1" t="str">
        <f>IFERROR(__xludf.DUMMYFUNCTION("""COMPUTED_VALUE"""),"ONLINE/CRANFORD")</f>
        <v>ONLINE/CRANFORD</v>
      </c>
      <c r="W334" s="1" t="str">
        <f>IFERROR(__xludf.DUMMYFUNCTION("""COMPUTED_VALUE"""),"STK REGULAR")</f>
        <v>STK REGULAR</v>
      </c>
      <c r="X334" s="1" t="str">
        <f>IFERROR(__xludf.DUMMYFUNCTION("""COMPUTED_VALUE"""),"HBBS AUG 2026")</f>
        <v>HBBS AUG 2026</v>
      </c>
      <c r="Y334" s="1" t="str">
        <f>IFERROR(__xludf.DUMMYFUNCTION("""COMPUTED_VALUE"""),"RS_ONL_CVEU_2026")</f>
        <v>RS_ONL_CVEU_2026</v>
      </c>
      <c r="Z334" s="1" t="str">
        <f>IFERROR(__xludf.DUMMYFUNCTION("""COMPUTED_VALUE"""),"NEW CONNECT")</f>
        <v>NEW CONNECT</v>
      </c>
      <c r="AA334" s="1">
        <f>IFERROR(__xludf.DUMMYFUNCTION("""COMPUTED_VALUE"""),639621270726)</f>
        <v>639621270726</v>
      </c>
      <c r="AB334" s="1">
        <f>IFERROR(__xludf.DUMMYFUNCTION("""COMPUTED_VALUE"""),639273609333)</f>
        <v>639273609333</v>
      </c>
      <c r="AC334" s="1"/>
      <c r="AD334" s="1" t="str">
        <f>IFERROR(__xludf.DUMMYFUNCTION("""COMPUTED_VALUE"""),"AARON")</f>
        <v>AARON</v>
      </c>
      <c r="AE334" s="1" t="str">
        <f>IFERROR(__xludf.DUMMYFUNCTION("""COMPUTED_VALUE"""),"ELLISTON PLACE")</f>
        <v>ELLISTON PLACE</v>
      </c>
      <c r="AF334" s="1" t="str">
        <f>IFERROR(__xludf.DUMMYFUNCTION("""COMPUTED_VALUE"""),"PASONG CAMACHILE 2")</f>
        <v>PASONG CAMACHILE 2</v>
      </c>
      <c r="AG334" s="1" t="str">
        <f>IFERROR(__xludf.DUMMYFUNCTION("""COMPUTED_VALUE"""),"GENERAL TRIAS")</f>
        <v>GENERAL TRIAS</v>
      </c>
      <c r="AH334" s="1" t="str">
        <f>IFERROR(__xludf.DUMMYFUNCTION("""COMPUTED_VALUE"""),"LTO IMUS OPEN CANAL")</f>
        <v>LTO IMUS OPEN CANAL</v>
      </c>
      <c r="AI334" s="1" t="str">
        <f>IFERROR(__xludf.DUMMYFUNCTION("""COMPUTED_VALUE"""),"NOT AOR")</f>
        <v>NOT AOR</v>
      </c>
    </row>
    <row r="335" customHeight="1" spans="1:35">
      <c r="A335" s="3">
        <f>IFERROR(__xludf.DUMMYFUNCTION("""COMPUTED_VALUE"""),46263)</f>
        <v>46263</v>
      </c>
      <c r="B335" s="1" t="str">
        <f>IFERROR(__xludf.DUMMYFUNCTION("""COMPUTED_VALUE"""),"JULIUS JOHN DE LIMA JACOB")</f>
        <v>JULIUS JOHN DE LIMA JACOB</v>
      </c>
      <c r="C335" s="1">
        <f>IFERROR(__xludf.DUMMYFUNCTION("""COMPUTED_VALUE"""),2312190274)</f>
        <v>2312190274</v>
      </c>
      <c r="D335" s="1">
        <f>IFERROR(__xludf.DUMMYFUNCTION("""COMPUTED_VALUE"""),407449762)</f>
        <v>407449762</v>
      </c>
      <c r="E335" s="1">
        <f>IFERROR(__xludf.DUMMYFUNCTION("""COMPUTED_VALUE"""),468418311004)</f>
        <v>468418311004</v>
      </c>
      <c r="F335" s="1" t="str">
        <f>IFERROR(__xludf.DUMMYFUNCTION("""COMPUTED_VALUE"""),"CANCELLED")</f>
        <v>CANCELLED</v>
      </c>
      <c r="G335" s="1" t="str">
        <f>IFERROR(__xludf.DUMMYFUNCTION("""COMPUTED_VALUE"""),"Remarks :no fiber facilities as per guard on duty nag pa cancel request na din Si subs Call true 09758220725")</f>
        <v>Remarks :no fiber facilities as per guard on duty nag pa cancel request na din Si subs Call true 09758220725</v>
      </c>
      <c r="H335" s="1"/>
      <c r="I335" s="1" t="str">
        <f>IFERROR(__xludf.DUMMYFUNCTION("""COMPUTED_VALUE"""),"NO 1 AMSF")</f>
        <v>NO 1 AMSF</v>
      </c>
      <c r="J335" s="1" t="str">
        <f>IFERROR(__xludf.DUMMYFUNCTION("""COMPUTED_VALUE"""),"NO PAYMENT")</f>
        <v>NO PAYMENT</v>
      </c>
      <c r="K335" s="1" t="str">
        <f>IFERROR(__xludf.DUMMYFUNCTION("""COMPUTED_VALUE"""),"CANCELED")</f>
        <v>CANCELED</v>
      </c>
      <c r="L335" s="1" t="str">
        <f>IFERROR(__xludf.DUMMYFUNCTION("""COMPUTED_VALUE"""),"RPR - SUBS CANCEL REQUEST")</f>
        <v>RPR - SUBS CANCEL REQUEST</v>
      </c>
      <c r="M335" s="1" t="str">
        <f>IFERROR(__xludf.DUMMYFUNCTION("""COMPUTED_VALUE"""),"RPR- SUBS CANCEL REQUEST")</f>
        <v>RPR- SUBS CANCEL REQUEST</v>
      </c>
      <c r="N335" s="3"/>
      <c r="O335" s="1" t="str">
        <f>IFERROR(__xludf.DUMMYFUNCTION("""COMPUTED_VALUE"""),"FIBER UNLI ALL PLAN 1499")</f>
        <v>FIBER UNLI ALL PLAN 1499</v>
      </c>
      <c r="P335" s="1" t="str">
        <f>IFERROR(__xludf.DUMMYFUNCTION("""COMPUTED_VALUE"""),"LOWPLAN")</f>
        <v>LOWPLAN</v>
      </c>
      <c r="Q335" s="1" t="str">
        <f>IFERROR(__xludf.DUMMYFUNCTION("""COMPUTED_VALUE"""),"P407048")</f>
        <v>P407048</v>
      </c>
      <c r="R335" s="1" t="str">
        <f>IFERROR(__xludf.DUMMYFUNCTION("""COMPUTED_VALUE"""),"YOLANGCO, JOLO")</f>
        <v>YOLANGCO, JOLO</v>
      </c>
      <c r="S335" s="1" t="str">
        <f>IFERROR(__xludf.DUMMYFUNCTION("""COMPUTED_VALUE"""),"ORGANIC")</f>
        <v>ORGANIC</v>
      </c>
      <c r="T335" s="1" t="str">
        <f>IFERROR(__xludf.DUMMYFUNCTION("""COMPUTED_VALUE"""),"JERIC NAVARRO")</f>
        <v>JERIC NAVARRO</v>
      </c>
      <c r="U335" s="1" t="str">
        <f>IFERROR(__xludf.DUMMYFUNCTION("""COMPUTED_VALUE"""),"JULIE ESPIRITU")</f>
        <v>JULIE ESPIRITU</v>
      </c>
      <c r="V335" s="1" t="str">
        <f>IFERROR(__xludf.DUMMYFUNCTION("""COMPUTED_VALUE"""),"ONLINE/CRANFORD")</f>
        <v>ONLINE/CRANFORD</v>
      </c>
      <c r="W335" s="1" t="str">
        <f>IFERROR(__xludf.DUMMYFUNCTION("""COMPUTED_VALUE"""),"STK REGULAR")</f>
        <v>STK REGULAR</v>
      </c>
      <c r="X335" s="1" t="str">
        <f>IFERROR(__xludf.DUMMYFUNCTION("""COMPUTED_VALUE"""),"HBBS AUG 2026")</f>
        <v>HBBS AUG 2026</v>
      </c>
      <c r="Y335" s="1" t="str">
        <f>IFERROR(__xludf.DUMMYFUNCTION("""COMPUTED_VALUE"""),"RS_ONL_CVEU_2026")</f>
        <v>RS_ONL_CVEU_2026</v>
      </c>
      <c r="Z335" s="1" t="str">
        <f>IFERROR(__xludf.DUMMYFUNCTION("""COMPUTED_VALUE"""),"NEW CONNECT")</f>
        <v>NEW CONNECT</v>
      </c>
      <c r="AA335" s="1">
        <f>IFERROR(__xludf.DUMMYFUNCTION("""COMPUTED_VALUE"""),639758220725)</f>
        <v>639758220725</v>
      </c>
      <c r="AB335" s="1"/>
      <c r="AC335" s="1"/>
      <c r="AD335" s="1" t="str">
        <f>IFERROR(__xludf.DUMMYFUNCTION("""COMPUTED_VALUE"""),"VALENCIA")</f>
        <v>VALENCIA</v>
      </c>
      <c r="AE335" s="1" t="str">
        <f>IFERROR(__xludf.DUMMYFUNCTION("""COMPUTED_VALUE"""),"GOLDEN HORIZON VILLAS PH 2")</f>
        <v>GOLDEN HORIZON VILLAS PH 2</v>
      </c>
      <c r="AF335" s="1" t="str">
        <f>IFERROR(__xludf.DUMMYFUNCTION("""COMPUTED_VALUE"""),"BGY HUGO PEREZ")</f>
        <v>BGY HUGO PEREZ</v>
      </c>
      <c r="AG335" s="1" t="str">
        <f>IFERROR(__xludf.DUMMYFUNCTION("""COMPUTED_VALUE"""),"TRECE MARTIREZ CITY")</f>
        <v>TRECE MARTIREZ CITY</v>
      </c>
      <c r="AH335" s="1"/>
      <c r="AI335" s="1" t="str">
        <f>IFERROR(__xludf.DUMMYFUNCTION("""COMPUTED_VALUE"""),"NOT AOR")</f>
        <v>NOT AOR</v>
      </c>
    </row>
    <row r="336" customHeight="1" spans="1:35">
      <c r="A336" s="3">
        <f>IFERROR(__xludf.DUMMYFUNCTION("""COMPUTED_VALUE"""),46263)</f>
        <v>46263</v>
      </c>
      <c r="B336" s="1" t="str">
        <f>IFERROR(__xludf.DUMMYFUNCTION("""COMPUTED_VALUE"""),"CHESTER FLORIDA OBRA")</f>
        <v>CHESTER FLORIDA OBRA</v>
      </c>
      <c r="C336" s="1">
        <f>IFERROR(__xludf.DUMMYFUNCTION("""COMPUTED_VALUE"""),2312191070)</f>
        <v>2312191070</v>
      </c>
      <c r="D336" s="1">
        <f>IFERROR(__xludf.DUMMYFUNCTION("""COMPUTED_VALUE"""),407455347)</f>
        <v>407455347</v>
      </c>
      <c r="E336" s="1">
        <f>IFERROR(__xludf.DUMMYFUNCTION("""COMPUTED_VALUE"""),468422410004)</f>
        <v>468422410004</v>
      </c>
      <c r="F336" s="1" t="str">
        <f>IFERROR(__xludf.DUMMYFUNCTION("""COMPUTED_VALUE"""),"CLOSED")</f>
        <v>CLOSED</v>
      </c>
      <c r="G336" s="1" t="str">
        <f>IFERROR(__xludf.DUMMYFUNCTION("""COMPUTED_VALUE"""),"CLOSED")</f>
        <v>CLOSED</v>
      </c>
      <c r="H336" s="1" t="str">
        <f>IFERROR(__xludf.DUMMYFUNCTION("""COMPUTED_VALUE"""),"PAID VIA GCASH REF 149225268 SEP 3")</f>
        <v>PAID VIA GCASH REF 149225268 SEP 3</v>
      </c>
      <c r="I336" s="1" t="str">
        <f>IFERROR(__xludf.DUMMYFUNCTION("""COMPUTED_VALUE"""),"WITH 1 AMSF")</f>
        <v>WITH 1 AMSF</v>
      </c>
      <c r="J336" s="1"/>
      <c r="K336" s="1" t="str">
        <f>IFERROR(__xludf.DUMMYFUNCTION("""COMPUTED_VALUE"""),"NOT IN OFSC")</f>
        <v>NOT IN OFSC</v>
      </c>
      <c r="L336" s="1" t="str">
        <f>IFERROR(__xludf.DUMMYFUNCTION("""COMPUTED_VALUE"""),"POSTED")</f>
        <v>POSTED</v>
      </c>
      <c r="M336" s="1" t="str">
        <f>IFERROR(__xludf.DUMMYFUNCTION("""COMPUTED_VALUE"""),"POSTED")</f>
        <v>POSTED</v>
      </c>
      <c r="N336" s="3">
        <f>IFERROR(__xludf.DUMMYFUNCTION("""COMPUTED_VALUE"""),46265)</f>
        <v>46265</v>
      </c>
      <c r="O336" s="1" t="str">
        <f>IFERROR(__xludf.DUMMYFUNCTION("""COMPUTED_VALUE"""),"FIBER UNLI ALL PLAN 1499")</f>
        <v>FIBER UNLI ALL PLAN 1499</v>
      </c>
      <c r="P336" s="1" t="str">
        <f>IFERROR(__xludf.DUMMYFUNCTION("""COMPUTED_VALUE"""),"LOWPLAN")</f>
        <v>LOWPLAN</v>
      </c>
      <c r="Q336" s="1" t="str">
        <f>IFERROR(__xludf.DUMMYFUNCTION("""COMPUTED_VALUE"""),"P407050")</f>
        <v>P407050</v>
      </c>
      <c r="R336" s="1" t="str">
        <f>IFERROR(__xludf.DUMMYFUNCTION("""COMPUTED_VALUE"""),"ARENA, LYKA")</f>
        <v>ARENA, LYKA</v>
      </c>
      <c r="S336" s="1" t="str">
        <f>IFERROR(__xludf.DUMMYFUNCTION("""COMPUTED_VALUE"""),"ORGANIC")</f>
        <v>ORGANIC</v>
      </c>
      <c r="T336" s="1" t="str">
        <f>IFERROR(__xludf.DUMMYFUNCTION("""COMPUTED_VALUE"""),"LEA REMOLLO")</f>
        <v>LEA REMOLLO</v>
      </c>
      <c r="U336" s="1" t="str">
        <f>IFERROR(__xludf.DUMMYFUNCTION("""COMPUTED_VALUE"""),"JB SALIOA")</f>
        <v>JB SALIOA</v>
      </c>
      <c r="V336" s="1" t="str">
        <f>IFERROR(__xludf.DUMMYFUNCTION("""COMPUTED_VALUE"""),"ONLINE/CRANFORD")</f>
        <v>ONLINE/CRANFORD</v>
      </c>
      <c r="W336" s="1" t="str">
        <f>IFERROR(__xludf.DUMMYFUNCTION("""COMPUTED_VALUE"""),"STK REGULAR")</f>
        <v>STK REGULAR</v>
      </c>
      <c r="X336" s="1" t="str">
        <f>IFERROR(__xludf.DUMMYFUNCTION("""COMPUTED_VALUE"""),"HBBS AUG 2026")</f>
        <v>HBBS AUG 2026</v>
      </c>
      <c r="Y336" s="1" t="str">
        <f>IFERROR(__xludf.DUMMYFUNCTION("""COMPUTED_VALUE"""),"RS_ONL_CVEU_2026")</f>
        <v>RS_ONL_CVEU_2026</v>
      </c>
      <c r="Z336" s="1" t="str">
        <f>IFERROR(__xludf.DUMMYFUNCTION("""COMPUTED_VALUE"""),"NEW CONNECT")</f>
        <v>NEW CONNECT</v>
      </c>
      <c r="AA336" s="1">
        <f>IFERROR(__xludf.DUMMYFUNCTION("""COMPUTED_VALUE"""),639701156449)</f>
        <v>639701156449</v>
      </c>
      <c r="AB336" s="1">
        <f>IFERROR(__xludf.DUMMYFUNCTION("""COMPUTED_VALUE"""),639974175069)</f>
        <v>639974175069</v>
      </c>
      <c r="AC336" s="1"/>
      <c r="AD336" s="1" t="str">
        <f>IFERROR(__xludf.DUMMYFUNCTION("""COMPUTED_VALUE"""),"GREENLAND")</f>
        <v>GREENLAND</v>
      </c>
      <c r="AE336" s="1" t="str">
        <f>IFERROR(__xludf.DUMMYFUNCTION("""COMPUTED_VALUE"""),"CASA DE MONTEVERDE")</f>
        <v>CASA DE MONTEVERDE</v>
      </c>
      <c r="AF336" s="1" t="str">
        <f>IFERROR(__xludf.DUMMYFUNCTION("""COMPUTED_VALUE"""),"BGY F DE CASTRO")</f>
        <v>BGY F DE CASTRO</v>
      </c>
      <c r="AG336" s="1" t="str">
        <f>IFERROR(__xludf.DUMMYFUNCTION("""COMPUTED_VALUE"""),"GEN MARIANO ALVAREZ")</f>
        <v>GEN MARIANO ALVAREZ</v>
      </c>
      <c r="AH336" s="1" t="str">
        <f>IFERROR(__xludf.DUMMYFUNCTION("""COMPUTED_VALUE"""),"WATER TANK")</f>
        <v>WATER TANK</v>
      </c>
      <c r="AI336" s="1" t="str">
        <f>IFERROR(__xludf.DUMMYFUNCTION("""COMPUTED_VALUE"""),"CLUSTER 11")</f>
        <v>CLUSTER 11</v>
      </c>
    </row>
    <row r="337" customHeight="1" spans="1:35">
      <c r="A337" s="3">
        <f>IFERROR(__xludf.DUMMYFUNCTION("""COMPUTED_VALUE"""),46263)</f>
        <v>46263</v>
      </c>
      <c r="B337" s="1" t="str">
        <f>IFERROR(__xludf.DUMMYFUNCTION("""COMPUTED_VALUE"""),"CHRISTIAN PAUL ORCINE ORDONEZ")</f>
        <v>CHRISTIAN PAUL ORCINE ORDONEZ</v>
      </c>
      <c r="C337" s="1">
        <f>IFERROR(__xludf.DUMMYFUNCTION("""COMPUTED_VALUE"""),2312191661)</f>
        <v>2312191661</v>
      </c>
      <c r="D337" s="1">
        <f>IFERROR(__xludf.DUMMYFUNCTION("""COMPUTED_VALUE"""),407459563)</f>
        <v>407459563</v>
      </c>
      <c r="E337" s="1">
        <f>IFERROR(__xludf.DUMMYFUNCTION("""COMPUTED_VALUE"""),468429837004)</f>
        <v>468429837004</v>
      </c>
      <c r="F337" s="1" t="str">
        <f>IFERROR(__xludf.DUMMYFUNCTION("""COMPUTED_VALUE"""),"SUBS_CANCEL REQUEST")</f>
        <v>SUBS_CANCEL REQUEST</v>
      </c>
      <c r="G337" s="1" t="str">
        <f>IFERROR(__xludf.DUMMYFUNCTION("""COMPUTED_VALUE"""),"RPR AFD Format Time start  arrived  Time end  reporting  Subs Name CHRISTIAN PAUL ORCINE ORDONEZ PID 468429837004 REMARKS CANCEL REQUEST NO LONGER INTERESTED REPAIR YUN REQUEST NILA HINDI PO NEW APPLY EXISTING LINE TELEPHONE NUMBER 0468520173 PA CANCEL NA"&amp;"LANG DAW   TALK CHRISTIAN CBR 09606954282")</f>
        <v>RPR AFD Format Time start  arrived  Time end  reporting  Subs Name CHRISTIAN PAUL ORCINE ORDONEZ PID 468429837004 REMARKS CANCEL REQUEST NO LONGER INTERESTED REPAIR YUN REQUEST NILA HINDI PO NEW APPLY EXISTING LINE TELEPHONE NUMBER 0468520173 PA CANCEL NALANG DAW   TALK CHRISTIAN CBR 09606954282</v>
      </c>
      <c r="H337" s="1"/>
      <c r="I337" s="1"/>
      <c r="J337" s="1"/>
      <c r="K337" s="1" t="str">
        <f>IFERROR(__xludf.DUMMYFUNCTION("""COMPUTED_VALUE"""),"CANCELED")</f>
        <v>CANCELED</v>
      </c>
      <c r="L337" s="1" t="str">
        <f>IFERROR(__xludf.DUMMYFUNCTION("""COMPUTED_VALUE"""),"SUBS_CANCEL REQUEST")</f>
        <v>SUBS_CANCEL REQUEST</v>
      </c>
      <c r="M337" s="1" t="str">
        <f>IFERROR(__xludf.DUMMYFUNCTION("""COMPUTED_VALUE"""),"CANCELLED - SUBS CANCEL REQUEST")</f>
        <v>CANCELLED - SUBS CANCEL REQUEST</v>
      </c>
      <c r="N337" s="3"/>
      <c r="O337" s="1" t="str">
        <f>IFERROR(__xludf.DUMMYFUNCTION("""COMPUTED_VALUE"""),"FIBER UNLI ALL PLAN 1499")</f>
        <v>FIBER UNLI ALL PLAN 1499</v>
      </c>
      <c r="P337" s="1" t="str">
        <f>IFERROR(__xludf.DUMMYFUNCTION("""COMPUTED_VALUE"""),"LOWPLAN")</f>
        <v>LOWPLAN</v>
      </c>
      <c r="Q337" s="1" t="str">
        <f>IFERROR(__xludf.DUMMYFUNCTION("""COMPUTED_VALUE"""),"P407047")</f>
        <v>P407047</v>
      </c>
      <c r="R337" s="1" t="str">
        <f>IFERROR(__xludf.DUMMYFUNCTION("""COMPUTED_VALUE"""),"FRANCISCO, ROSELYN")</f>
        <v>FRANCISCO, ROSELYN</v>
      </c>
      <c r="S337" s="1" t="str">
        <f>IFERROR(__xludf.DUMMYFUNCTION("""COMPUTED_VALUE"""),"ORGANIC")</f>
        <v>ORGANIC</v>
      </c>
      <c r="T337" s="1" t="str">
        <f>IFERROR(__xludf.DUMMYFUNCTION("""COMPUTED_VALUE"""),"LEA REMOLLO")</f>
        <v>LEA REMOLLO</v>
      </c>
      <c r="U337" s="1" t="str">
        <f>IFERROR(__xludf.DUMMYFUNCTION("""COMPUTED_VALUE"""),"JB SALIOA")</f>
        <v>JB SALIOA</v>
      </c>
      <c r="V337" s="1" t="str">
        <f>IFERROR(__xludf.DUMMYFUNCTION("""COMPUTED_VALUE"""),"ONLINE/CRANFORD")</f>
        <v>ONLINE/CRANFORD</v>
      </c>
      <c r="W337" s="1" t="str">
        <f>IFERROR(__xludf.DUMMYFUNCTION("""COMPUTED_VALUE"""),"STK REGULAR")</f>
        <v>STK REGULAR</v>
      </c>
      <c r="X337" s="1" t="str">
        <f>IFERROR(__xludf.DUMMYFUNCTION("""COMPUTED_VALUE"""),"HBBS AUG 2026")</f>
        <v>HBBS AUG 2026</v>
      </c>
      <c r="Y337" s="1" t="str">
        <f>IFERROR(__xludf.DUMMYFUNCTION("""COMPUTED_VALUE"""),"RS_ONL_CVEU_2026")</f>
        <v>RS_ONL_CVEU_2026</v>
      </c>
      <c r="Z337" s="1" t="str">
        <f>IFERROR(__xludf.DUMMYFUNCTION("""COMPUTED_VALUE"""),"NEW CONNECT")</f>
        <v>NEW CONNECT</v>
      </c>
      <c r="AA337" s="1">
        <f>IFERROR(__xludf.DUMMYFUNCTION("""COMPUTED_VALUE"""),639606954282)</f>
        <v>639606954282</v>
      </c>
      <c r="AB337" s="1"/>
      <c r="AC337" s="1">
        <f>IFERROR(__xludf.DUMMYFUNCTION("""COMPUTED_VALUE"""),156)</f>
        <v>156</v>
      </c>
      <c r="AD337" s="1" t="str">
        <f>IFERROR(__xludf.DUMMYFUNCTION("""COMPUTED_VALUE"""),"MARSEILLA")</f>
        <v>MARSEILLA</v>
      </c>
      <c r="AE337" s="1"/>
      <c r="AF337" s="1" t="str">
        <f>IFERROR(__xludf.DUMMYFUNCTION("""COMPUTED_VALUE"""),"BGY BAGBAG 2")</f>
        <v>BGY BAGBAG 2</v>
      </c>
      <c r="AG337" s="1" t="str">
        <f>IFERROR(__xludf.DUMMYFUNCTION("""COMPUTED_VALUE"""),"ROSARIO")</f>
        <v>ROSARIO</v>
      </c>
      <c r="AH337" s="1" t="str">
        <f>IFERROR(__xludf.DUMMYFUNCTION("""COMPUTED_VALUE"""),"-")</f>
        <v>-</v>
      </c>
      <c r="AI337" s="1" t="str">
        <f>IFERROR(__xludf.DUMMYFUNCTION("""COMPUTED_VALUE"""),"NOT AOR")</f>
        <v>NOT AOR</v>
      </c>
    </row>
    <row r="338" customHeight="1" spans="1:35">
      <c r="A338" s="3">
        <f>IFERROR(__xludf.DUMMYFUNCTION("""COMPUTED_VALUE"""),46263)</f>
        <v>46263</v>
      </c>
      <c r="B338" s="1" t="str">
        <f>IFERROR(__xludf.DUMMYFUNCTION("""COMPUTED_VALUE"""),"SARINA BANTOG BUNGKAR")</f>
        <v>SARINA BANTOG BUNGKAR</v>
      </c>
      <c r="C338" s="1">
        <f>IFERROR(__xludf.DUMMYFUNCTION("""COMPUTED_VALUE"""),2312193130)</f>
        <v>2312193130</v>
      </c>
      <c r="D338" s="1">
        <f>IFERROR(__xludf.DUMMYFUNCTION("""COMPUTED_VALUE"""),407456467)</f>
        <v>407456467</v>
      </c>
      <c r="E338" s="1">
        <f>IFERROR(__xludf.DUMMYFUNCTION("""COMPUTED_VALUE"""),468423626004)</f>
        <v>468423626004</v>
      </c>
      <c r="F338" s="1" t="str">
        <f>IFERROR(__xludf.DUMMYFUNCTION("""COMPUTED_VALUE"""),"CLOSED")</f>
        <v>CLOSED</v>
      </c>
      <c r="G338" s="1" t="str">
        <f>IFERROR(__xludf.DUMMYFUNCTION("""COMPUTED_VALUE"""),"CLOSED")</f>
        <v>CLOSED</v>
      </c>
      <c r="H338" s="1" t="str">
        <f>IFERROR(__xludf.DUMMYFUNCTION("""COMPUTED_VALUE"""),"PAID VIA GCASH REF 834527929 AUG 31")</f>
        <v>PAID VIA GCASH REF 834527929 AUG 31</v>
      </c>
      <c r="I338" s="1" t="str">
        <f>IFERROR(__xludf.DUMMYFUNCTION("""COMPUTED_VALUE"""),"WITH 1 AMSF")</f>
        <v>WITH 1 AMSF</v>
      </c>
      <c r="J338" s="1"/>
      <c r="K338" s="1" t="str">
        <f>IFERROR(__xludf.DUMMYFUNCTION("""COMPUTED_VALUE"""),"COMPLETED")</f>
        <v>COMPLETED</v>
      </c>
      <c r="L338" s="1" t="str">
        <f>IFERROR(__xludf.DUMMYFUNCTION("""COMPUTED_VALUE"""),"POSTED")</f>
        <v>POSTED</v>
      </c>
      <c r="M338" s="1" t="str">
        <f>IFERROR(__xludf.DUMMYFUNCTION("""COMPUTED_VALUE"""),"POSTED")</f>
        <v>POSTED</v>
      </c>
      <c r="N338" s="3">
        <f>IFERROR(__xludf.DUMMYFUNCTION("""COMPUTED_VALUE"""),46265)</f>
        <v>46265</v>
      </c>
      <c r="O338" s="1" t="str">
        <f>IFERROR(__xludf.DUMMYFUNCTION("""COMPUTED_VALUE"""),"FIBR PLAN 1299")</f>
        <v>FIBR PLAN 1299</v>
      </c>
      <c r="P338" s="1" t="str">
        <f>IFERROR(__xludf.DUMMYFUNCTION("""COMPUTED_VALUE"""),"LOWPLAN")</f>
        <v>LOWPLAN</v>
      </c>
      <c r="Q338" s="1" t="str">
        <f>IFERROR(__xludf.DUMMYFUNCTION("""COMPUTED_VALUE"""),"P407045")</f>
        <v>P407045</v>
      </c>
      <c r="R338" s="1" t="str">
        <f>IFERROR(__xludf.DUMMYFUNCTION("""COMPUTED_VALUE"""),"REMOLLO, LEA")</f>
        <v>REMOLLO, LEA</v>
      </c>
      <c r="S338" s="1" t="str">
        <f>IFERROR(__xludf.DUMMYFUNCTION("""COMPUTED_VALUE"""),"FLA")</f>
        <v>FLA</v>
      </c>
      <c r="T338" s="1" t="str">
        <f>IFERROR(__xludf.DUMMYFUNCTION("""COMPUTED_VALUE"""),"JERIC NAVARRO")</f>
        <v>JERIC NAVARRO</v>
      </c>
      <c r="U338" s="1" t="str">
        <f>IFERROR(__xludf.DUMMYFUNCTION("""COMPUTED_VALUE"""),"JB SALIOA")</f>
        <v>JB SALIOA</v>
      </c>
      <c r="V338" s="1" t="str">
        <f>IFERROR(__xludf.DUMMYFUNCTION("""COMPUTED_VALUE"""),"BK HSTK")</f>
        <v>BK HSTK</v>
      </c>
      <c r="W338" s="1" t="str">
        <f>IFERROR(__xludf.DUMMYFUNCTION("""COMPUTED_VALUE"""),"BK HSTK")</f>
        <v>BK HSTK</v>
      </c>
      <c r="X338" s="1" t="str">
        <f>IFERROR(__xludf.DUMMYFUNCTION("""COMPUTED_VALUE"""),"REGULAR")</f>
        <v>REGULAR</v>
      </c>
      <c r="Y338" s="1" t="str">
        <f>IFERROR(__xludf.DUMMYFUNCTION("""COMPUTED_VALUE"""),"BK_CVEU_260813")</f>
        <v>BK_CVEU_260813</v>
      </c>
      <c r="Z338" s="1" t="str">
        <f>IFERROR(__xludf.DUMMYFUNCTION("""COMPUTED_VALUE"""),"NEW CONNECT")</f>
        <v>NEW CONNECT</v>
      </c>
      <c r="AA338" s="1">
        <f>IFERROR(__xludf.DUMMYFUNCTION("""COMPUTED_VALUE"""),639676153903)</f>
        <v>639676153903</v>
      </c>
      <c r="AB338" s="1"/>
      <c r="AC338" s="1"/>
      <c r="AD338" s="1" t="str">
        <f>IFERROR(__xludf.DUMMYFUNCTION("""COMPUTED_VALUE"""),"ZONE 7")</f>
        <v>ZONE 7</v>
      </c>
      <c r="AE338" s="1" t="str">
        <f>IFERROR(__xludf.DUMMYFUNCTION("""COMPUTED_VALUE"""),"AFP HOUSING")</f>
        <v>AFP HOUSING</v>
      </c>
      <c r="AF338" s="1" t="str">
        <f>IFERROR(__xludf.DUMMYFUNCTION("""COMPUTED_VALUE"""),"BGY BULIHAN")</f>
        <v>BGY BULIHAN</v>
      </c>
      <c r="AG338" s="1" t="str">
        <f>IFERROR(__xludf.DUMMYFUNCTION("""COMPUTED_VALUE"""),"SILANG")</f>
        <v>SILANG</v>
      </c>
      <c r="AH338" s="1" t="str">
        <f>IFERROR(__xludf.DUMMYFUNCTION("""COMPUTED_VALUE"""),"MAZENOD HOSPITAL")</f>
        <v>MAZENOD HOSPITAL</v>
      </c>
      <c r="AI338" s="1" t="str">
        <f>IFERROR(__xludf.DUMMYFUNCTION("""COMPUTED_VALUE"""),"CLUSTER 11")</f>
        <v>CLUSTER 11</v>
      </c>
    </row>
    <row r="339" customHeight="1" spans="1:35">
      <c r="A339" s="3">
        <f>IFERROR(__xludf.DUMMYFUNCTION("""COMPUTED_VALUE"""),46263)</f>
        <v>46263</v>
      </c>
      <c r="B339" s="1" t="str">
        <f>IFERROR(__xludf.DUMMYFUNCTION("""COMPUTED_VALUE"""),"JEROBOAM CANO ANORE")</f>
        <v>JEROBOAM CANO ANORE</v>
      </c>
      <c r="C339" s="1">
        <f>IFERROR(__xludf.DUMMYFUNCTION("""COMPUTED_VALUE"""),2312193421)</f>
        <v>2312193421</v>
      </c>
      <c r="D339" s="1"/>
      <c r="E339" s="1"/>
      <c r="F339" s="1" t="str">
        <f>IFERROR(__xludf.DUMMYFUNCTION("""COMPUTED_VALUE"""),"CANCELLED")</f>
        <v>CANCELLED</v>
      </c>
      <c r="G339" s="1" t="str">
        <f>IFERROR(__xludf.DUMMYFUNCTION("""COMPUTED_VALUE"""),"&amp;#8203;CANNOT TAG DECISION DUE TO CANT CHANGE PAYMENT REQUIREMENT| RTS| COMPLETE DOCS| DONE VALIDATION | CORRECT ENCODED INFO IN CSP | TU SCORING -GG - 2 (NTC) | WITH 1 AMSF REQUIREMENT | WITH BL ACC FOR SETTLEMENT-0331744794 WITH OB: 3,822.68 | WITH CANC"&amp;"ELLED APP IN DIFF ADD- 0331447285 ")</f>
        <v>&amp;#8203;CANNOT TAG DECISION DUE TO CANT CHANGE PAYMENT REQUIREMENT| RTS| COMPLETE DOCS| DONE VALIDATION | CORRECT ENCODED INFO IN CSP | TU SCORING -GG - 2 (NTC) | WITH 1 AMSF REQUIREMENT | WITH BL ACC FOR SETTLEMENT-0331744794 WITH OB: 3,822.68 | WITH CANCELLED APP IN DIFF ADD- 0331447285 </v>
      </c>
      <c r="H339" s="1"/>
      <c r="I339" s="1"/>
      <c r="J339" s="1"/>
      <c r="K339" s="1"/>
      <c r="L339" s="1" t="str">
        <f>IFERROR(__xludf.DUMMYFUNCTION("""COMPUTED_VALUE"""),"CANCELLED - SYSTEM ERROR")</f>
        <v>CANCELLED - SYSTEM ERROR</v>
      </c>
      <c r="M339" s="1" t="str">
        <f>IFERROR(__xludf.DUMMYFUNCTION("""COMPUTED_VALUE"""),"CANCELLED - SYSTEM ERROR")</f>
        <v>CANCELLED - SYSTEM ERROR</v>
      </c>
      <c r="N339" s="3"/>
      <c r="O339" s="1" t="str">
        <f>IFERROR(__xludf.DUMMYFUNCTION("""COMPUTED_VALUE"""),"FIBER UNLI ALL PLAN 1499")</f>
        <v>FIBER UNLI ALL PLAN 1499</v>
      </c>
      <c r="P339" s="1" t="str">
        <f>IFERROR(__xludf.DUMMYFUNCTION("""COMPUTED_VALUE"""),"LOWPLAN")</f>
        <v>LOWPLAN</v>
      </c>
      <c r="Q339" s="1" t="str">
        <f>IFERROR(__xludf.DUMMYFUNCTION("""COMPUTED_VALUE"""),"P407050")</f>
        <v>P407050</v>
      </c>
      <c r="R339" s="1" t="str">
        <f>IFERROR(__xludf.DUMMYFUNCTION("""COMPUTED_VALUE"""),"ARENA, LYKA")</f>
        <v>ARENA, LYKA</v>
      </c>
      <c r="S339" s="1" t="str">
        <f>IFERROR(__xludf.DUMMYFUNCTION("""COMPUTED_VALUE"""),"ORGANIC")</f>
        <v>ORGANIC</v>
      </c>
      <c r="T339" s="1" t="str">
        <f>IFERROR(__xludf.DUMMYFUNCTION("""COMPUTED_VALUE"""),"LEA REMOLLO")</f>
        <v>LEA REMOLLO</v>
      </c>
      <c r="U339" s="1" t="str">
        <f>IFERROR(__xludf.DUMMYFUNCTION("""COMPUTED_VALUE"""),"JB SALIOA")</f>
        <v>JB SALIOA</v>
      </c>
      <c r="V339" s="1" t="str">
        <f>IFERROR(__xludf.DUMMYFUNCTION("""COMPUTED_VALUE"""),"ONLINE/CRANFORD")</f>
        <v>ONLINE/CRANFORD</v>
      </c>
      <c r="W339" s="1" t="str">
        <f>IFERROR(__xludf.DUMMYFUNCTION("""COMPUTED_VALUE"""),"STK REGULAR")</f>
        <v>STK REGULAR</v>
      </c>
      <c r="X339" s="1" t="str">
        <f>IFERROR(__xludf.DUMMYFUNCTION("""COMPUTED_VALUE"""),"HBBS AUG 2026")</f>
        <v>HBBS AUG 2026</v>
      </c>
      <c r="Y339" s="1" t="str">
        <f>IFERROR(__xludf.DUMMYFUNCTION("""COMPUTED_VALUE"""),"RS_ONL_CVEU_2026")</f>
        <v>RS_ONL_CVEU_2026</v>
      </c>
      <c r="Z339" s="1" t="str">
        <f>IFERROR(__xludf.DUMMYFUNCTION("""COMPUTED_VALUE"""),"NEW CONNECT")</f>
        <v>NEW CONNECT</v>
      </c>
      <c r="AA339" s="1">
        <f>IFERROR(__xludf.DUMMYFUNCTION("""COMPUTED_VALUE"""),639380624482)</f>
        <v>639380624482</v>
      </c>
      <c r="AB339" s="1"/>
      <c r="AC339" s="1"/>
      <c r="AD339" s="1" t="str">
        <f>IFERROR(__xludf.DUMMYFUNCTION("""COMPUTED_VALUE"""),"MERCEDES")</f>
        <v>MERCEDES</v>
      </c>
      <c r="AE339" s="1" t="str">
        <f>IFERROR(__xludf.DUMMYFUNCTION("""COMPUTED_VALUE"""),"VILLA LUISA HOMES PHASE 4")</f>
        <v>VILLA LUISA HOMES PHASE 4</v>
      </c>
      <c r="AF339" s="1" t="str">
        <f>IFERROR(__xludf.DUMMYFUNCTION("""COMPUTED_VALUE"""),"BGY SAN AGUSTIN 3")</f>
        <v>BGY SAN AGUSTIN 3</v>
      </c>
      <c r="AG339" s="1" t="str">
        <f>IFERROR(__xludf.DUMMYFUNCTION("""COMPUTED_VALUE"""),"DASMARINAS")</f>
        <v>DASMARINAS</v>
      </c>
      <c r="AH339" s="1" t="str">
        <f>IFERROR(__xludf.DUMMYFUNCTION("""COMPUTED_VALUE"""),"-")</f>
        <v>-</v>
      </c>
      <c r="AI339" s="1" t="str">
        <f>IFERROR(__xludf.DUMMYFUNCTION("""COMPUTED_VALUE"""),"NOT AOR")</f>
        <v>NOT AOR</v>
      </c>
    </row>
    <row r="340" customHeight="1" spans="1:35">
      <c r="A340" s="3">
        <f>IFERROR(__xludf.DUMMYFUNCTION("""COMPUTED_VALUE"""),46264)</f>
        <v>46264</v>
      </c>
      <c r="B340" s="1" t="str">
        <f>IFERROR(__xludf.DUMMYFUNCTION("""COMPUTED_VALUE"""),"NESTOR REGIS GARCIA")</f>
        <v>NESTOR REGIS GARCIA</v>
      </c>
      <c r="C340" s="1">
        <f>IFERROR(__xludf.DUMMYFUNCTION("""COMPUTED_VALUE"""),2312207389)</f>
        <v>2312207389</v>
      </c>
      <c r="D340" s="1"/>
      <c r="E340" s="1"/>
      <c r="F340" s="1" t="str">
        <f>IFERROR(__xludf.DUMMYFUNCTION("""COMPUTED_VALUE"""),"CANCELLED")</f>
        <v>CANCELLED</v>
      </c>
      <c r="G340" s="1" t="str">
        <f>IFERROR(__xludf.DUMMYFUNCTION("""COMPUTED_VALUE"""),"CANNOT TAG DECISION DUE TO UNABLE TO CHANGE PAYMENT REQUIRED - APPROVED | ALREADY SCANNED NATIONAL ID. CLEARED FROM BLACKLIST HIT, NO EXISTING ACTIVE ACCT AND/ OR PENDING APPLICATION | DONE VALIDATION WITH SUBMITTED COMPLETE DOCS| CORRECT ENCODED INFO IN "&amp;"CSP | WITH 1 AMSF REQUIREMENTS (FF - 1 (NTC)) - APPLICATION SUBMITTED THROUGH QR CODE/URL ")</f>
        <v>CANNOT TAG DECISION DUE TO UNABLE TO CHANGE PAYMENT REQUIRED - APPROVED | ALREADY SCANNED NATIONAL ID. CLEARED FROM BLACKLIST HIT, NO EXISTING ACTIVE ACCT AND/ OR PENDING APPLICATION | DONE VALIDATION WITH SUBMITTED COMPLETE DOCS| CORRECT ENCODED INFO IN CSP | WITH 1 AMSF REQUIREMENTS (FF - 1 (NTC)) - APPLICATION SUBMITTED THROUGH QR CODE/URL </v>
      </c>
      <c r="H340" s="1"/>
      <c r="I340" s="1"/>
      <c r="J340" s="1"/>
      <c r="K340" s="1"/>
      <c r="L340" s="1" t="str">
        <f>IFERROR(__xludf.DUMMYFUNCTION("""COMPUTED_VALUE"""),"CANCELLED - SYSTEM ERROR")</f>
        <v>CANCELLED - SYSTEM ERROR</v>
      </c>
      <c r="M340" s="1" t="str">
        <f>IFERROR(__xludf.DUMMYFUNCTION("""COMPUTED_VALUE"""),"CANCELLED - SYSTEM ERROR")</f>
        <v>CANCELLED - SYSTEM ERROR</v>
      </c>
      <c r="N340" s="3"/>
      <c r="O340" s="1" t="str">
        <f>IFERROR(__xludf.DUMMYFUNCTION("""COMPUTED_VALUE"""),"FIBR NETFLIX PLAN 1599")</f>
        <v>FIBR NETFLIX PLAN 1599</v>
      </c>
      <c r="P340" s="1" t="str">
        <f>IFERROR(__xludf.DUMMYFUNCTION("""COMPUTED_VALUE"""),"LOWPLAN")</f>
        <v>LOWPLAN</v>
      </c>
      <c r="Q340" s="1" t="str">
        <f>IFERROR(__xludf.DUMMYFUNCTION("""COMPUTED_VALUE"""),"P407048")</f>
        <v>P407048</v>
      </c>
      <c r="R340" s="1" t="str">
        <f>IFERROR(__xludf.DUMMYFUNCTION("""COMPUTED_VALUE"""),"SANTOS, FRANZ IVAN")</f>
        <v>SANTOS, FRANZ IVAN</v>
      </c>
      <c r="S340" s="1" t="str">
        <f>IFERROR(__xludf.DUMMYFUNCTION("""COMPUTED_VALUE"""),"ORGANIC")</f>
        <v>ORGANIC</v>
      </c>
      <c r="T340" s="1" t="str">
        <f>IFERROR(__xludf.DUMMYFUNCTION("""COMPUTED_VALUE"""),"LEA REMOLLO")</f>
        <v>LEA REMOLLO</v>
      </c>
      <c r="U340" s="1" t="str">
        <f>IFERROR(__xludf.DUMMYFUNCTION("""COMPUTED_VALUE"""),"JB SALIOA")</f>
        <v>JB SALIOA</v>
      </c>
      <c r="V340" s="1" t="str">
        <f>IFERROR(__xludf.DUMMYFUNCTION("""COMPUTED_VALUE"""),"ONLINE/CRANFORD")</f>
        <v>ONLINE/CRANFORD</v>
      </c>
      <c r="W340" s="1" t="str">
        <f>IFERROR(__xludf.DUMMYFUNCTION("""COMPUTED_VALUE"""),"STK REGULAR")</f>
        <v>STK REGULAR</v>
      </c>
      <c r="X340" s="1" t="str">
        <f>IFERROR(__xludf.DUMMYFUNCTION("""COMPUTED_VALUE"""),"REGULAR")</f>
        <v>REGULAR</v>
      </c>
      <c r="Y340" s="1" t="str">
        <f>IFERROR(__xludf.DUMMYFUNCTION("""COMPUTED_VALUE"""),"RS_ONL_CVEU_2026")</f>
        <v>RS_ONL_CVEU_2026</v>
      </c>
      <c r="Z340" s="1" t="str">
        <f>IFERROR(__xludf.DUMMYFUNCTION("""COMPUTED_VALUE"""),"NEW CONNECT")</f>
        <v>NEW CONNECT</v>
      </c>
      <c r="AA340" s="1">
        <f>IFERROR(__xludf.DUMMYFUNCTION("""COMPUTED_VALUE"""),639670131392)</f>
        <v>639670131392</v>
      </c>
      <c r="AB340" s="1">
        <f>IFERROR(__xludf.DUMMYFUNCTION("""COMPUTED_VALUE"""),639267802577)</f>
        <v>639267802577</v>
      </c>
      <c r="AC340" s="1"/>
      <c r="AD340" s="1" t="str">
        <f>IFERROR(__xludf.DUMMYFUNCTION("""COMPUTED_VALUE"""),"PHASE 1")</f>
        <v>PHASE 1</v>
      </c>
      <c r="AE340" s="1" t="str">
        <f>IFERROR(__xludf.DUMMYFUNCTION("""COMPUTED_VALUE"""),"AMAYA BREEZE SUBD")</f>
        <v>AMAYA BREEZE SUBD</v>
      </c>
      <c r="AF340" s="1" t="str">
        <f>IFERROR(__xludf.DUMMYFUNCTION("""COMPUTED_VALUE"""),"BGY AMAYA 2")</f>
        <v>BGY AMAYA 2</v>
      </c>
      <c r="AG340" s="1" t="str">
        <f>IFERROR(__xludf.DUMMYFUNCTION("""COMPUTED_VALUE"""),"TANZA")</f>
        <v>TANZA</v>
      </c>
      <c r="AH340" s="1" t="str">
        <f>IFERROR(__xludf.DUMMYFUNCTION("""COMPUTED_VALUE"""),"PHASE 1 ST")</f>
        <v>PHASE 1 ST</v>
      </c>
      <c r="AI340" s="1" t="str">
        <f>IFERROR(__xludf.DUMMYFUNCTION("""COMPUTED_VALUE"""),"NOT AOR")</f>
        <v>NOT AOR</v>
      </c>
    </row>
    <row r="341" customHeight="1" spans="1:35">
      <c r="A341" s="3">
        <f>IFERROR(__xludf.DUMMYFUNCTION("""COMPUTED_VALUE"""),46264)</f>
        <v>46264</v>
      </c>
      <c r="B341" s="1" t="str">
        <f>IFERROR(__xludf.DUMMYFUNCTION("""COMPUTED_VALUE"""),"LIEZEL FLORES LEGASPI")</f>
        <v>LIEZEL FLORES LEGASPI</v>
      </c>
      <c r="C341" s="1">
        <f>IFERROR(__xludf.DUMMYFUNCTION("""COMPUTED_VALUE"""),2312207727)</f>
        <v>2312207727</v>
      </c>
      <c r="D341" s="1">
        <f>IFERROR(__xludf.DUMMYFUNCTION("""COMPUTED_VALUE"""),407467930)</f>
        <v>407467930</v>
      </c>
      <c r="E341" s="1">
        <f>IFERROR(__xludf.DUMMYFUNCTION("""COMPUTED_VALUE"""),468543000004)</f>
        <v>468543000004</v>
      </c>
      <c r="F341" s="1" t="str">
        <f>IFERROR(__xludf.DUMMYFUNCTION("""COMPUTED_VALUE"""),"CLOSED")</f>
        <v>CLOSED</v>
      </c>
      <c r="G341" s="1" t="str">
        <f>IFERROR(__xludf.DUMMYFUNCTION("""COMPUTED_VALUE"""),"CLOSED")</f>
        <v>CLOSED</v>
      </c>
      <c r="H341" s="1"/>
      <c r="I341" s="1" t="str">
        <f>IFERROR(__xludf.DUMMYFUNCTION("""COMPUTED_VALUE"""),"NO 1 AMSF")</f>
        <v>NO 1 AMSF</v>
      </c>
      <c r="J341" s="1" t="str">
        <f>IFERROR(__xludf.DUMMYFUNCTION("""COMPUTED_VALUE"""),"DUE DATE - 24-Sep-26 - 1,645.71")</f>
        <v>DUE DATE - 24-Sep-26 - 1,645.71</v>
      </c>
      <c r="K341" s="1" t="str">
        <f>IFERROR(__xludf.DUMMYFUNCTION("""COMPUTED_VALUE"""),"COMPLETED")</f>
        <v>COMPLETED</v>
      </c>
      <c r="L341" s="1" t="str">
        <f>IFERROR(__xludf.DUMMYFUNCTION("""COMPUTED_VALUE"""),"POSTED")</f>
        <v>POSTED</v>
      </c>
      <c r="M341" s="1" t="str">
        <f>IFERROR(__xludf.DUMMYFUNCTION("""COMPUTED_VALUE"""),"POSTED")</f>
        <v>POSTED</v>
      </c>
      <c r="N341" s="3">
        <f>IFERROR(__xludf.DUMMYFUNCTION("""COMPUTED_VALUE"""),46264)</f>
        <v>46264</v>
      </c>
      <c r="O341" s="1" t="str">
        <f>IFERROR(__xludf.DUMMYFUNCTION("""COMPUTED_VALUE"""),"FIBER UNLI ALL PLAN 1499")</f>
        <v>FIBER UNLI ALL PLAN 1499</v>
      </c>
      <c r="P341" s="1" t="str">
        <f>IFERROR(__xludf.DUMMYFUNCTION("""COMPUTED_VALUE"""),"LOWPLAN")</f>
        <v>LOWPLAN</v>
      </c>
      <c r="Q341" s="1" t="str">
        <f>IFERROR(__xludf.DUMMYFUNCTION("""COMPUTED_VALUE"""),"P407045")</f>
        <v>P407045</v>
      </c>
      <c r="R341" s="1" t="str">
        <f>IFERROR(__xludf.DUMMYFUNCTION("""COMPUTED_VALUE"""),"REMOLLO, LEA")</f>
        <v>REMOLLO, LEA</v>
      </c>
      <c r="S341" s="1" t="str">
        <f>IFERROR(__xludf.DUMMYFUNCTION("""COMPUTED_VALUE"""),"FLA")</f>
        <v>FLA</v>
      </c>
      <c r="T341" s="1" t="str">
        <f>IFERROR(__xludf.DUMMYFUNCTION("""COMPUTED_VALUE"""),"JERIC NAVARRO")</f>
        <v>JERIC NAVARRO</v>
      </c>
      <c r="U341" s="1" t="str">
        <f>IFERROR(__xludf.DUMMYFUNCTION("""COMPUTED_VALUE"""),"JB SALIOA")</f>
        <v>JB SALIOA</v>
      </c>
      <c r="V341" s="1" t="str">
        <f>IFERROR(__xludf.DUMMYFUNCTION("""COMPUTED_VALUE"""),"BK HSTK")</f>
        <v>BK HSTK</v>
      </c>
      <c r="W341" s="1" t="str">
        <f>IFERROR(__xludf.DUMMYFUNCTION("""COMPUTED_VALUE"""),"BK HSTK")</f>
        <v>BK HSTK</v>
      </c>
      <c r="X341" s="1" t="str">
        <f>IFERROR(__xludf.DUMMYFUNCTION("""COMPUTED_VALUE"""),"HBBS AUG 2026")</f>
        <v>HBBS AUG 2026</v>
      </c>
      <c r="Y341" s="1" t="str">
        <f>IFERROR(__xludf.DUMMYFUNCTION("""COMPUTED_VALUE"""),"BK_CVEU_260813")</f>
        <v>BK_CVEU_260813</v>
      </c>
      <c r="Z341" s="1" t="str">
        <f>IFERROR(__xludf.DUMMYFUNCTION("""COMPUTED_VALUE"""),"NEW CONNECT")</f>
        <v>NEW CONNECT</v>
      </c>
      <c r="AA341" s="1">
        <f>IFERROR(__xludf.DUMMYFUNCTION("""COMPUTED_VALUE"""),639453046319)</f>
        <v>639453046319</v>
      </c>
      <c r="AB341" s="1"/>
      <c r="AC341" s="1"/>
      <c r="AD341" s="1" t="str">
        <f>IFERROR(__xludf.DUMMYFUNCTION("""COMPUTED_VALUE"""),"PHASE 6")</f>
        <v>PHASE 6</v>
      </c>
      <c r="AE341" s="1"/>
      <c r="AF341" s="1" t="str">
        <f>IFERROR(__xludf.DUMMYFUNCTION("""COMPUTED_VALUE"""),"BGY BANABA")</f>
        <v>BGY BANABA</v>
      </c>
      <c r="AG341" s="1" t="str">
        <f>IFERROR(__xludf.DUMMYFUNCTION("""COMPUTED_VALUE"""),"SILANG")</f>
        <v>SILANG</v>
      </c>
      <c r="AH341" s="1" t="str">
        <f>IFERROR(__xludf.DUMMYFUNCTION("""COMPUTED_VALUE"""),"UNCLE JOHN ")</f>
        <v>UNCLE JOHN </v>
      </c>
      <c r="AI341" s="1" t="str">
        <f>IFERROR(__xludf.DUMMYFUNCTION("""COMPUTED_VALUE"""),"CLUSTER 11")</f>
        <v>CLUSTER 11</v>
      </c>
    </row>
    <row r="342" customHeight="1" spans="1:35">
      <c r="A342" s="3">
        <f>IFERROR(__xludf.DUMMYFUNCTION("""COMPUTED_VALUE"""),46264)</f>
        <v>46264</v>
      </c>
      <c r="B342" s="1" t="str">
        <f>IFERROR(__xludf.DUMMYFUNCTION("""COMPUTED_VALUE"""),"ARTHURO ISON PISTANO")</f>
        <v>ARTHURO ISON PISTANO</v>
      </c>
      <c r="C342" s="1">
        <f>IFERROR(__xludf.DUMMYFUNCTION("""COMPUTED_VALUE"""),2312208594)</f>
        <v>2312208594</v>
      </c>
      <c r="D342" s="1">
        <f>IFERROR(__xludf.DUMMYFUNCTION("""COMPUTED_VALUE"""),407468309)</f>
        <v>407468309</v>
      </c>
      <c r="E342" s="1">
        <f>IFERROR(__xludf.DUMMYFUNCTION("""COMPUTED_VALUE"""),468544081004)</f>
        <v>468544081004</v>
      </c>
      <c r="F342" s="1" t="str">
        <f>IFERROR(__xludf.DUMMYFUNCTION("""COMPUTED_VALUE"""),"CLOSED")</f>
        <v>CLOSED</v>
      </c>
      <c r="G342" s="1" t="str">
        <f>IFERROR(__xludf.DUMMYFUNCTION("""COMPUTED_VALUE"""),"CLOSED")</f>
        <v>CLOSED</v>
      </c>
      <c r="H342" s="1" t="str">
        <f>IFERROR(__xludf.DUMMYFUNCTION("""COMPUTED_VALUE"""),"PQGOR364820109	21-Sep-26	Regular Payment	CIS-GCASH 3.0	1,549.00	0	21-Sep-26")</f>
        <v>PQGOR364820109	21-Sep-26	Regular Payment	CIS-GCASH 3.0	1,549.00	0	21-Sep-26</v>
      </c>
      <c r="I342" s="1" t="str">
        <f>IFERROR(__xludf.DUMMYFUNCTION("""COMPUTED_VALUE"""),"WITH 1 AMSF")</f>
        <v>WITH 1 AMSF</v>
      </c>
      <c r="J342" s="1"/>
      <c r="K342" s="1" t="str">
        <f>IFERROR(__xludf.DUMMYFUNCTION("""COMPUTED_VALUE"""),"COMPLETED")</f>
        <v>COMPLETED</v>
      </c>
      <c r="L342" s="1" t="str">
        <f>IFERROR(__xludf.DUMMYFUNCTION("""COMPUTED_VALUE"""),"POSTED")</f>
        <v>POSTED</v>
      </c>
      <c r="M342" s="1" t="str">
        <f>IFERROR(__xludf.DUMMYFUNCTION("""COMPUTED_VALUE"""),"POSTED")</f>
        <v>POSTED</v>
      </c>
      <c r="N342" s="3">
        <f>IFERROR(__xludf.DUMMYFUNCTION("""COMPUTED_VALUE"""),46265)</f>
        <v>46265</v>
      </c>
      <c r="O342" s="1" t="str">
        <f>IFERROR(__xludf.DUMMYFUNCTION("""COMPUTED_VALUE"""),"FIBER UNLI ALL PLAN 1499")</f>
        <v>FIBER UNLI ALL PLAN 1499</v>
      </c>
      <c r="P342" s="1" t="str">
        <f>IFERROR(__xludf.DUMMYFUNCTION("""COMPUTED_VALUE"""),"LOWPLAN")</f>
        <v>LOWPLAN</v>
      </c>
      <c r="Q342" s="1" t="str">
        <f>IFERROR(__xludf.DUMMYFUNCTION("""COMPUTED_VALUE"""),"P407045")</f>
        <v>P407045</v>
      </c>
      <c r="R342" s="1" t="str">
        <f>IFERROR(__xludf.DUMMYFUNCTION("""COMPUTED_VALUE"""),"GABAY, MANUEL")</f>
        <v>GABAY, MANUEL</v>
      </c>
      <c r="S342" s="1" t="str">
        <f>IFERROR(__xludf.DUMMYFUNCTION("""COMPUTED_VALUE"""),"FLA")</f>
        <v>FLA</v>
      </c>
      <c r="T342" s="1" t="str">
        <f>IFERROR(__xludf.DUMMYFUNCTION("""COMPUTED_VALUE"""),"JERIC NAVARRO")</f>
        <v>JERIC NAVARRO</v>
      </c>
      <c r="U342" s="1" t="str">
        <f>IFERROR(__xludf.DUMMYFUNCTION("""COMPUTED_VALUE"""),"JB SALIOA")</f>
        <v>JB SALIOA</v>
      </c>
      <c r="V342" s="1" t="str">
        <f>IFERROR(__xludf.DUMMYFUNCTION("""COMPUTED_VALUE"""),"BK REGULAR")</f>
        <v>BK REGULAR</v>
      </c>
      <c r="W342" s="1" t="str">
        <f>IFERROR(__xludf.DUMMYFUNCTION("""COMPUTED_VALUE"""),"STK REGULAR")</f>
        <v>STK REGULAR</v>
      </c>
      <c r="X342" s="1" t="str">
        <f>IFERROR(__xludf.DUMMYFUNCTION("""COMPUTED_VALUE"""),"HBBS AUG 2026")</f>
        <v>HBBS AUG 2026</v>
      </c>
      <c r="Y342" s="1" t="str">
        <f>IFERROR(__xludf.DUMMYFUNCTION("""COMPUTED_VALUE"""),"BK_CVEU_260812")</f>
        <v>BK_CVEU_260812</v>
      </c>
      <c r="Z342" s="1" t="str">
        <f>IFERROR(__xludf.DUMMYFUNCTION("""COMPUTED_VALUE"""),"NEW CONNECT")</f>
        <v>NEW CONNECT</v>
      </c>
      <c r="AA342" s="1">
        <f>IFERROR(__xludf.DUMMYFUNCTION("""COMPUTED_VALUE"""),639614998458)</f>
        <v>639614998458</v>
      </c>
      <c r="AB342" s="1">
        <f>IFERROR(__xludf.DUMMYFUNCTION("""COMPUTED_VALUE"""),639538166796)</f>
        <v>639538166796</v>
      </c>
      <c r="AC342" s="1"/>
      <c r="AD342" s="1" t="str">
        <f>IFERROR(__xludf.DUMMYFUNCTION("""COMPUTED_VALUE"""),"ALFONZO")</f>
        <v>ALFONZO</v>
      </c>
      <c r="AE342" s="1"/>
      <c r="AF342" s="1" t="str">
        <f>IFERROR(__xludf.DUMMYFUNCTION("""COMPUTED_VALUE"""),"BGY GALICIA 2")</f>
        <v>BGY GALICIA 2</v>
      </c>
      <c r="AG342" s="1" t="str">
        <f>IFERROR(__xludf.DUMMYFUNCTION("""COMPUTED_VALUE"""),"MENDEZ")</f>
        <v>MENDEZ</v>
      </c>
      <c r="AH342" s="1" t="str">
        <f>IFERROR(__xludf.DUMMYFUNCTION("""COMPUTED_VALUE"""),"KITAKITS HARDWARE")</f>
        <v>KITAKITS HARDWARE</v>
      </c>
      <c r="AI342" s="1" t="str">
        <f>IFERROR(__xludf.DUMMYFUNCTION("""COMPUTED_VALUE"""),"CLUSTER 12")</f>
        <v>CLUSTER 12</v>
      </c>
    </row>
    <row r="343" customHeight="1" spans="1:35">
      <c r="A343" s="3">
        <f>IFERROR(__xludf.DUMMYFUNCTION("""COMPUTED_VALUE"""),46264)</f>
        <v>46264</v>
      </c>
      <c r="B343" s="1" t="str">
        <f>IFERROR(__xludf.DUMMYFUNCTION("""COMPUTED_VALUE"""),"SALVACION ABAD CHAVENTE")</f>
        <v>SALVACION ABAD CHAVENTE</v>
      </c>
      <c r="C343" s="1">
        <f>IFERROR(__xludf.DUMMYFUNCTION("""COMPUTED_VALUE"""),2312208974)</f>
        <v>2312208974</v>
      </c>
      <c r="D343" s="1">
        <f>IFERROR(__xludf.DUMMYFUNCTION("""COMPUTED_VALUE"""),407469607)</f>
        <v>407469607</v>
      </c>
      <c r="E343" s="1">
        <f>IFERROR(__xludf.DUMMYFUNCTION("""COMPUTED_VALUE"""),468545809004)</f>
        <v>468545809004</v>
      </c>
      <c r="F343" s="1" t="str">
        <f>IFERROR(__xludf.DUMMYFUNCTION("""COMPUTED_VALUE"""),"CANCELLED")</f>
        <v>CANCELLED</v>
      </c>
      <c r="G343" s="1" t="str">
        <f>IFERROR(__xludf.DUMMYFUNCTION("""COMPUTED_VALUE"""),"CANCELLED")</f>
        <v>CANCELLED</v>
      </c>
      <c r="H343" s="1"/>
      <c r="I343" s="1"/>
      <c r="J343" s="1"/>
      <c r="K343" s="1" t="str">
        <f>IFERROR(__xludf.DUMMYFUNCTION("""COMPUTED_VALUE"""),"NOT IN OFSC")</f>
        <v>NOT IN OFSC</v>
      </c>
      <c r="L343" s="1" t="str">
        <f>IFERROR(__xludf.DUMMYFUNCTION("""COMPUTED_VALUE"""),"CANCELLED ")</f>
        <v>CANCELLED </v>
      </c>
      <c r="M343" s="1" t="str">
        <f>IFERROR(__xludf.DUMMYFUNCTION("""COMPUTED_VALUE"""),"CANCELLED - NON COMPLIANCE")</f>
        <v>CANCELLED - NON COMPLIANCE</v>
      </c>
      <c r="N343" s="3"/>
      <c r="O343" s="1" t="str">
        <f>IFERROR(__xludf.DUMMYFUNCTION("""COMPUTED_VALUE"""),"FIBR UNLI ALL PLAN 999")</f>
        <v>FIBR UNLI ALL PLAN 999</v>
      </c>
      <c r="P343" s="1" t="str">
        <f>IFERROR(__xludf.DUMMYFUNCTION("""COMPUTED_VALUE"""),"LOWPLAN")</f>
        <v>LOWPLAN</v>
      </c>
      <c r="Q343" s="1" t="str">
        <f>IFERROR(__xludf.DUMMYFUNCTION("""COMPUTED_VALUE"""),"P407050")</f>
        <v>P407050</v>
      </c>
      <c r="R343" s="1" t="str">
        <f>IFERROR(__xludf.DUMMYFUNCTION("""COMPUTED_VALUE"""),"CADERAO, RONALD")</f>
        <v>CADERAO, RONALD</v>
      </c>
      <c r="S343" s="1" t="str">
        <f>IFERROR(__xludf.DUMMYFUNCTION("""COMPUTED_VALUE"""),"ORGANIC")</f>
        <v>ORGANIC</v>
      </c>
      <c r="T343" s="1" t="str">
        <f>IFERROR(__xludf.DUMMYFUNCTION("""COMPUTED_VALUE"""),"LEA REMOLLO")</f>
        <v>LEA REMOLLO</v>
      </c>
      <c r="U343" s="1" t="str">
        <f>IFERROR(__xludf.DUMMYFUNCTION("""COMPUTED_VALUE"""),"JB SALIOA")</f>
        <v>JB SALIOA</v>
      </c>
      <c r="V343" s="1" t="str">
        <f>IFERROR(__xludf.DUMMYFUNCTION("""COMPUTED_VALUE"""),"BK HSTK")</f>
        <v>BK HSTK</v>
      </c>
      <c r="W343" s="1" t="str">
        <f>IFERROR(__xludf.DUMMYFUNCTION("""COMPUTED_VALUE"""),"BK HSTK")</f>
        <v>BK HSTK</v>
      </c>
      <c r="X343" s="1" t="str">
        <f>IFERROR(__xludf.DUMMYFUNCTION("""COMPUTED_VALUE"""),"REGULAR")</f>
        <v>REGULAR</v>
      </c>
      <c r="Y343" s="1" t="str">
        <f>IFERROR(__xludf.DUMMYFUNCTION("""COMPUTED_VALUE"""),"BK_CVEU_260811")</f>
        <v>BK_CVEU_260811</v>
      </c>
      <c r="Z343" s="1" t="str">
        <f>IFERROR(__xludf.DUMMYFUNCTION("""COMPUTED_VALUE"""),"NEW CONNECT")</f>
        <v>NEW CONNECT</v>
      </c>
      <c r="AA343" s="1">
        <f>IFERROR(__xludf.DUMMYFUNCTION("""COMPUTED_VALUE"""),639218526885)</f>
        <v>639218526885</v>
      </c>
      <c r="AB343" s="1">
        <f>IFERROR(__xludf.DUMMYFUNCTION("""COMPUTED_VALUE"""),639608539585)</f>
        <v>639608539585</v>
      </c>
      <c r="AC343" s="1"/>
      <c r="AD343" s="1" t="str">
        <f>IFERROR(__xludf.DUMMYFUNCTION("""COMPUTED_VALUE"""),"ATAR")</f>
        <v>ATAR</v>
      </c>
      <c r="AE343" s="1"/>
      <c r="AF343" s="1" t="str">
        <f>IFERROR(__xludf.DUMMYFUNCTION("""COMPUTED_VALUE"""),"BGY KAPITAN KUA")</f>
        <v>BGY KAPITAN KUA</v>
      </c>
      <c r="AG343" s="1" t="str">
        <f>IFERROR(__xludf.DUMMYFUNCTION("""COMPUTED_VALUE"""),"GEN MARIANO ALVAREZ")</f>
        <v>GEN MARIANO ALVAREZ</v>
      </c>
      <c r="AH343" s="1" t="str">
        <f>IFERROR(__xludf.DUMMYFUNCTION("""COMPUTED_VALUE"""),"-")</f>
        <v>-</v>
      </c>
      <c r="AI343" s="1" t="str">
        <f>IFERROR(__xludf.DUMMYFUNCTION("""COMPUTED_VALUE"""),"CLUSTER 11")</f>
        <v>CLUSTER 11</v>
      </c>
    </row>
    <row r="344" customHeight="1" spans="1:35">
      <c r="A344" s="3">
        <f>IFERROR(__xludf.DUMMYFUNCTION("""COMPUTED_VALUE"""),46264)</f>
        <v>46264</v>
      </c>
      <c r="B344" s="1" t="str">
        <f>IFERROR(__xludf.DUMMYFUNCTION("""COMPUTED_VALUE"""),"CHICK EN JOO SOUTH FRIED CHICKEN HOUSE")</f>
        <v>CHICK EN JOO SOUTH FRIED CHICKEN HOUSE</v>
      </c>
      <c r="C344" s="1">
        <f>IFERROR(__xludf.DUMMYFUNCTION("""COMPUTED_VALUE"""),2312209642)</f>
        <v>2312209642</v>
      </c>
      <c r="D344" s="1">
        <f>IFERROR(__xludf.DUMMYFUNCTION("""COMPUTED_VALUE"""),407469399)</f>
        <v>407469399</v>
      </c>
      <c r="E344" s="1">
        <f>IFERROR(__xludf.DUMMYFUNCTION("""COMPUTED_VALUE"""),468545650004)</f>
        <v>468545650004</v>
      </c>
      <c r="F344" s="1" t="str">
        <f>IFERROR(__xludf.DUMMYFUNCTION("""COMPUTED_VALUE"""),"CLOSED")</f>
        <v>CLOSED</v>
      </c>
      <c r="G344" s="1" t="str">
        <f>IFERROR(__xludf.DUMMYFUNCTION("""COMPUTED_VALUE"""),"CLOSED")</f>
        <v>CLOSED</v>
      </c>
      <c r="H344" s="1" t="str">
        <f>IFERROR(__xludf.DUMMYFUNCTION("""COMPUTED_VALUE"""),"PQGOR362390286	30-Aug-26	Regular Payment	CIS-GCASH 3.0	1,399.00	0	30-Aug-26")</f>
        <v>PQGOR362390286	30-Aug-26	Regular Payment	CIS-GCASH 3.0	1,399.00	0	30-Aug-26</v>
      </c>
      <c r="I344" s="1" t="str">
        <f>IFERROR(__xludf.DUMMYFUNCTION("""COMPUTED_VALUE"""),"WITH 1 AMSF")</f>
        <v>WITH 1 AMSF</v>
      </c>
      <c r="J344" s="1"/>
      <c r="K344" s="1" t="str">
        <f>IFERROR(__xludf.DUMMYFUNCTION("""COMPUTED_VALUE"""),"COMPLETED")</f>
        <v>COMPLETED</v>
      </c>
      <c r="L344" s="1" t="str">
        <f>IFERROR(__xludf.DUMMYFUNCTION("""COMPUTED_VALUE"""),"POSTED")</f>
        <v>POSTED</v>
      </c>
      <c r="M344" s="1" t="str">
        <f>IFERROR(__xludf.DUMMYFUNCTION("""COMPUTED_VALUE"""),"POSTED")</f>
        <v>POSTED</v>
      </c>
      <c r="N344" s="3">
        <f>IFERROR(__xludf.DUMMYFUNCTION("""COMPUTED_VALUE"""),46265)</f>
        <v>46265</v>
      </c>
      <c r="O344" s="1" t="str">
        <f>IFERROR(__xludf.DUMMYFUNCTION("""COMPUTED_VALUE"""),"HOME BIZ PLAN 1299")</f>
        <v>HOME BIZ PLAN 1299</v>
      </c>
      <c r="P344" s="1" t="str">
        <f>IFERROR(__xludf.DUMMYFUNCTION("""COMPUTED_VALUE"""),"LOWPLAN")</f>
        <v>LOWPLAN</v>
      </c>
      <c r="Q344" s="1" t="str">
        <f>IFERROR(__xludf.DUMMYFUNCTION("""COMPUTED_VALUE"""),"P407044")</f>
        <v>P407044</v>
      </c>
      <c r="R344" s="1" t="str">
        <f>IFERROR(__xludf.DUMMYFUNCTION("""COMPUTED_VALUE"""),"AYON, MANUEL")</f>
        <v>AYON, MANUEL</v>
      </c>
      <c r="S344" s="1" t="str">
        <f>IFERROR(__xludf.DUMMYFUNCTION("""COMPUTED_VALUE"""),"FLA")</f>
        <v>FLA</v>
      </c>
      <c r="T344" s="1" t="str">
        <f>IFERROR(__xludf.DUMMYFUNCTION("""COMPUTED_VALUE"""),"JERIC NAVARRO")</f>
        <v>JERIC NAVARRO</v>
      </c>
      <c r="U344" s="1" t="str">
        <f>IFERROR(__xludf.DUMMYFUNCTION("""COMPUTED_VALUE"""),"JB SALIOA")</f>
        <v>JB SALIOA</v>
      </c>
      <c r="V344" s="1" t="str">
        <f>IFERROR(__xludf.DUMMYFUNCTION("""COMPUTED_VALUE"""),"BK REGULAR")</f>
        <v>BK REGULAR</v>
      </c>
      <c r="W344" s="1" t="str">
        <f>IFERROR(__xludf.DUMMYFUNCTION("""COMPUTED_VALUE"""),"STK REGULAR")</f>
        <v>STK REGULAR</v>
      </c>
      <c r="X344" s="1" t="str">
        <f>IFERROR(__xludf.DUMMYFUNCTION("""COMPUTED_VALUE"""),"REGULAR")</f>
        <v>REGULAR</v>
      </c>
      <c r="Y344" s="1" t="str">
        <f>IFERROR(__xludf.DUMMYFUNCTION("""COMPUTED_VALUE"""),"RS_HH_CVEU_2026")</f>
        <v>RS_HH_CVEU_2026</v>
      </c>
      <c r="Z344" s="1" t="str">
        <f>IFERROR(__xludf.DUMMYFUNCTION("""COMPUTED_VALUE"""),"NEW CONNECT")</f>
        <v>NEW CONNECT</v>
      </c>
      <c r="AA344" s="1">
        <f>IFERROR(__xludf.DUMMYFUNCTION("""COMPUTED_VALUE"""),639055089246)</f>
        <v>639055089246</v>
      </c>
      <c r="AB344" s="1">
        <f>IFERROR(__xludf.DUMMYFUNCTION("""COMPUTED_VALUE"""),639050680808)</f>
        <v>639050680808</v>
      </c>
      <c r="AC344" s="1">
        <f>IFERROR(__xludf.DUMMYFUNCTION("""COMPUTED_VALUE"""),210)</f>
        <v>210</v>
      </c>
      <c r="AD344" s="1" t="str">
        <f>IFERROR(__xludf.DUMMYFUNCTION("""COMPUTED_VALUE"""),"ZONE 10")</f>
        <v>ZONE 10</v>
      </c>
      <c r="AE344" s="1" t="str">
        <f>IFERROR(__xludf.DUMMYFUNCTION("""COMPUTED_VALUE"""),"AFP HOUSING")</f>
        <v>AFP HOUSING</v>
      </c>
      <c r="AF344" s="1" t="str">
        <f>IFERROR(__xludf.DUMMYFUNCTION("""COMPUTED_VALUE"""),"BGY BULIHAN")</f>
        <v>BGY BULIHAN</v>
      </c>
      <c r="AG344" s="1" t="str">
        <f>IFERROR(__xludf.DUMMYFUNCTION("""COMPUTED_VALUE"""),"SILANG")</f>
        <v>SILANG</v>
      </c>
      <c r="AH344" s="1" t="str">
        <f>IFERROR(__xludf.DUMMYFUNCTION("""COMPUTED_VALUE"""),"-")</f>
        <v>-</v>
      </c>
      <c r="AI344" s="1" t="str">
        <f>IFERROR(__xludf.DUMMYFUNCTION("""COMPUTED_VALUE"""),"CLUSTER 11")</f>
        <v>CLUSTER 11</v>
      </c>
    </row>
    <row r="345" customHeight="1" spans="1:35">
      <c r="A345" s="3">
        <f>IFERROR(__xludf.DUMMYFUNCTION("""COMPUTED_VALUE"""),46264)</f>
        <v>46264</v>
      </c>
      <c r="B345" s="1" t="str">
        <f>IFERROR(__xludf.DUMMYFUNCTION("""COMPUTED_VALUE"""),"JHANA MIGUELA CREDO ROGACION")</f>
        <v>JHANA MIGUELA CREDO ROGACION</v>
      </c>
      <c r="C345" s="1">
        <f>IFERROR(__xludf.DUMMYFUNCTION("""COMPUTED_VALUE"""),2312210649)</f>
        <v>2312210649</v>
      </c>
      <c r="D345" s="1">
        <f>IFERROR(__xludf.DUMMYFUNCTION("""COMPUTED_VALUE"""),407470591)</f>
        <v>407470591</v>
      </c>
      <c r="E345" s="1">
        <f>IFERROR(__xludf.DUMMYFUNCTION("""COMPUTED_VALUE"""),468547102004)</f>
        <v>468547102004</v>
      </c>
      <c r="F345" s="1" t="str">
        <f>IFERROR(__xludf.DUMMYFUNCTION("""COMPUTED_VALUE"""),"CLOSED")</f>
        <v>CLOSED</v>
      </c>
      <c r="G345" s="1" t="str">
        <f>IFERROR(__xludf.DUMMYFUNCTION("""COMPUTED_VALUE"""),"CLOSED")</f>
        <v>CLOSED</v>
      </c>
      <c r="H345" s="1"/>
      <c r="I345" s="1" t="str">
        <f>IFERROR(__xludf.DUMMYFUNCTION("""COMPUTED_VALUE"""),"NO 1 AMSF")</f>
        <v>NO 1 AMSF</v>
      </c>
      <c r="J345" s="1" t="str">
        <f>IFERROR(__xludf.DUMMYFUNCTION("""COMPUTED_VALUE"""),"DUE DATE - 26-Sep-26 - 1,489.26")</f>
        <v>DUE DATE - 26-Sep-26 - 1,489.26</v>
      </c>
      <c r="K345" s="1" t="str">
        <f>IFERROR(__xludf.DUMMYFUNCTION("""COMPUTED_VALUE"""),"COMPLETED")</f>
        <v>COMPLETED</v>
      </c>
      <c r="L345" s="1" t="str">
        <f>IFERROR(__xludf.DUMMYFUNCTION("""COMPUTED_VALUE"""),"POSTED")</f>
        <v>POSTED</v>
      </c>
      <c r="M345" s="1" t="str">
        <f>IFERROR(__xludf.DUMMYFUNCTION("""COMPUTED_VALUE"""),"POSTED")</f>
        <v>POSTED</v>
      </c>
      <c r="N345" s="3">
        <f>IFERROR(__xludf.DUMMYFUNCTION("""COMPUTED_VALUE"""),46266)</f>
        <v>46266</v>
      </c>
      <c r="O345" s="1" t="str">
        <f>IFERROR(__xludf.DUMMYFUNCTION("""COMPUTED_VALUE"""),"FIBR PLAN 1299")</f>
        <v>FIBR PLAN 1299</v>
      </c>
      <c r="P345" s="1" t="str">
        <f>IFERROR(__xludf.DUMMYFUNCTION("""COMPUTED_VALUE"""),"LOWPLAN")</f>
        <v>LOWPLAN</v>
      </c>
      <c r="Q345" s="1" t="str">
        <f>IFERROR(__xludf.DUMMYFUNCTION("""COMPUTED_VALUE"""),"P407050")</f>
        <v>P407050</v>
      </c>
      <c r="R345" s="1" t="str">
        <f>IFERROR(__xludf.DUMMYFUNCTION("""COMPUTED_VALUE"""),"CADERAO, RONALD")</f>
        <v>CADERAO, RONALD</v>
      </c>
      <c r="S345" s="1" t="str">
        <f>IFERROR(__xludf.DUMMYFUNCTION("""COMPUTED_VALUE"""),"ORGANIC")</f>
        <v>ORGANIC</v>
      </c>
      <c r="T345" s="1" t="str">
        <f>IFERROR(__xludf.DUMMYFUNCTION("""COMPUTED_VALUE"""),"LEA REMOLLO")</f>
        <v>LEA REMOLLO</v>
      </c>
      <c r="U345" s="1" t="str">
        <f>IFERROR(__xludf.DUMMYFUNCTION("""COMPUTED_VALUE"""),"JB SALIOA")</f>
        <v>JB SALIOA</v>
      </c>
      <c r="V345" s="1" t="str">
        <f>IFERROR(__xludf.DUMMYFUNCTION("""COMPUTED_VALUE"""),"BK REGULAR")</f>
        <v>BK REGULAR</v>
      </c>
      <c r="W345" s="1" t="str">
        <f>IFERROR(__xludf.DUMMYFUNCTION("""COMPUTED_VALUE"""),"STK REGULAR")</f>
        <v>STK REGULAR</v>
      </c>
      <c r="X345" s="1" t="str">
        <f>IFERROR(__xludf.DUMMYFUNCTION("""COMPUTED_VALUE"""),"REGULAR")</f>
        <v>REGULAR</v>
      </c>
      <c r="Y345" s="1" t="str">
        <f>IFERROR(__xludf.DUMMYFUNCTION("""COMPUTED_VALUE"""),"BK_CVEU_260808")</f>
        <v>BK_CVEU_260808</v>
      </c>
      <c r="Z345" s="1" t="str">
        <f>IFERROR(__xludf.DUMMYFUNCTION("""COMPUTED_VALUE"""),"NEW CONNECT")</f>
        <v>NEW CONNECT</v>
      </c>
      <c r="AA345" s="1">
        <f>IFERROR(__xludf.DUMMYFUNCTION("""COMPUTED_VALUE"""),639631058239)</f>
        <v>639631058239</v>
      </c>
      <c r="AB345" s="1"/>
      <c r="AC345" s="1">
        <f>IFERROR(__xludf.DUMMYFUNCTION("""COMPUTED_VALUE"""),64)</f>
        <v>64</v>
      </c>
      <c r="AD345" s="1" t="str">
        <f>IFERROR(__xludf.DUMMYFUNCTION("""COMPUTED_VALUE"""),"ZAMORA")</f>
        <v>ZAMORA</v>
      </c>
      <c r="AE345" s="1"/>
      <c r="AF345" s="1" t="str">
        <f>IFERROR(__xludf.DUMMYFUNCTION("""COMPUTED_VALUE"""),"BGY 4")</f>
        <v>BGY 4</v>
      </c>
      <c r="AG345" s="1" t="str">
        <f>IFERROR(__xludf.DUMMYFUNCTION("""COMPUTED_VALUE"""),"ALFONSO")</f>
        <v>ALFONSO</v>
      </c>
      <c r="AH345" s="1" t="str">
        <f>IFERROR(__xludf.DUMMYFUNCTION("""COMPUTED_VALUE"""),"JANCIEL ENTERPRISE")</f>
        <v>JANCIEL ENTERPRISE</v>
      </c>
      <c r="AI345" s="1" t="str">
        <f>IFERROR(__xludf.DUMMYFUNCTION("""COMPUTED_VALUE"""),"CLUSTER 12")</f>
        <v>CLUSTER 12</v>
      </c>
    </row>
    <row r="346" customHeight="1" spans="1:35">
      <c r="A346" s="3">
        <f>IFERROR(__xludf.DUMMYFUNCTION("""COMPUTED_VALUE"""),46264)</f>
        <v>46264</v>
      </c>
      <c r="B346" s="1" t="str">
        <f>IFERROR(__xludf.DUMMYFUNCTION("""COMPUTED_VALUE"""),"JHON KURT ACUNA DEMAKILING")</f>
        <v>JHON KURT ACUNA DEMAKILING</v>
      </c>
      <c r="C346" s="1">
        <f>IFERROR(__xludf.DUMMYFUNCTION("""COMPUTED_VALUE"""),2312211218)</f>
        <v>2312211218</v>
      </c>
      <c r="D346" s="1">
        <f>IFERROR(__xludf.DUMMYFUNCTION("""COMPUTED_VALUE"""),407472276)</f>
        <v>407472276</v>
      </c>
      <c r="E346" s="1">
        <f>IFERROR(__xludf.DUMMYFUNCTION("""COMPUTED_VALUE"""),468548558004)</f>
        <v>468548558004</v>
      </c>
      <c r="F346" s="1" t="str">
        <f>IFERROR(__xludf.DUMMYFUNCTION("""COMPUTED_VALUE"""),"CLOSED")</f>
        <v>CLOSED</v>
      </c>
      <c r="G346" s="1" t="str">
        <f>IFERROR(__xludf.DUMMYFUNCTION("""COMPUTED_VALUE"""),"CLOSED")</f>
        <v>CLOSED</v>
      </c>
      <c r="H346" s="1" t="str">
        <f>IFERROR(__xludf.DUMMYFUNCTION("""COMPUTED_VALUE"""),"PAID VIA GCASH - SEPT 2 - REF - 447518993")</f>
        <v>PAID VIA GCASH - SEPT 2 - REF - 447518993</v>
      </c>
      <c r="I346" s="1" t="str">
        <f>IFERROR(__xludf.DUMMYFUNCTION("""COMPUTED_VALUE"""),"WITH 1 AMSF")</f>
        <v>WITH 1 AMSF</v>
      </c>
      <c r="J346" s="1"/>
      <c r="K346" s="1" t="str">
        <f>IFERROR(__xludf.DUMMYFUNCTION("""COMPUTED_VALUE"""),"COMPLETED")</f>
        <v>COMPLETED</v>
      </c>
      <c r="L346" s="1" t="str">
        <f>IFERROR(__xludf.DUMMYFUNCTION("""COMPUTED_VALUE"""),"POSTED")</f>
        <v>POSTED</v>
      </c>
      <c r="M346" s="1" t="str">
        <f>IFERROR(__xludf.DUMMYFUNCTION("""COMPUTED_VALUE"""),"POSTED")</f>
        <v>POSTED</v>
      </c>
      <c r="N346" s="3">
        <f>IFERROR(__xludf.DUMMYFUNCTION("""COMPUTED_VALUE"""),46267)</f>
        <v>46267</v>
      </c>
      <c r="O346" s="1" t="str">
        <f>IFERROR(__xludf.DUMMYFUNCTION("""COMPUTED_VALUE"""),"FIBR PLAN 1699")</f>
        <v>FIBR PLAN 1699</v>
      </c>
      <c r="P346" s="1" t="str">
        <f>IFERROR(__xludf.DUMMYFUNCTION("""COMPUTED_VALUE"""),"HIGHPLAN")</f>
        <v>HIGHPLAN</v>
      </c>
      <c r="Q346" s="1" t="str">
        <f>IFERROR(__xludf.DUMMYFUNCTION("""COMPUTED_VALUE"""),"P407046")</f>
        <v>P407046</v>
      </c>
      <c r="R346" s="1" t="str">
        <f>IFERROR(__xludf.DUMMYFUNCTION("""COMPUTED_VALUE"""),"MALIWAT, MARK")</f>
        <v>MALIWAT, MARK</v>
      </c>
      <c r="S346" s="1" t="str">
        <f>IFERROR(__xludf.DUMMYFUNCTION("""COMPUTED_VALUE"""),"FLA")</f>
        <v>FLA</v>
      </c>
      <c r="T346" s="1" t="str">
        <f>IFERROR(__xludf.DUMMYFUNCTION("""COMPUTED_VALUE"""),"JERIC NAVARRO")</f>
        <v>JERIC NAVARRO</v>
      </c>
      <c r="U346" s="1" t="str">
        <f>IFERROR(__xludf.DUMMYFUNCTION("""COMPUTED_VALUE"""),"JB SALIOA")</f>
        <v>JB SALIOA</v>
      </c>
      <c r="V346" s="1" t="str">
        <f>IFERROR(__xludf.DUMMYFUNCTION("""COMPUTED_VALUE"""),"ONLINE/CRANFORD")</f>
        <v>ONLINE/CRANFORD</v>
      </c>
      <c r="W346" s="1" t="str">
        <f>IFERROR(__xludf.DUMMYFUNCTION("""COMPUTED_VALUE"""),"STK REGULAR")</f>
        <v>STK REGULAR</v>
      </c>
      <c r="X346" s="1" t="str">
        <f>IFERROR(__xludf.DUMMYFUNCTION("""COMPUTED_VALUE"""),"REGULAR")</f>
        <v>REGULAR</v>
      </c>
      <c r="Y346" s="1" t="str">
        <f>IFERROR(__xludf.DUMMYFUNCTION("""COMPUTED_VALUE"""),"RS_ONL_CVEU_2026")</f>
        <v>RS_ONL_CVEU_2026</v>
      </c>
      <c r="Z346" s="1" t="str">
        <f>IFERROR(__xludf.DUMMYFUNCTION("""COMPUTED_VALUE"""),"NEW CONNECT")</f>
        <v>NEW CONNECT</v>
      </c>
      <c r="AA346" s="1">
        <f>IFERROR(__xludf.DUMMYFUNCTION("""COMPUTED_VALUE"""),639914215360)</f>
        <v>639914215360</v>
      </c>
      <c r="AB346" s="1"/>
      <c r="AC346" s="1"/>
      <c r="AD346" s="1" t="str">
        <f>IFERROR(__xludf.DUMMYFUNCTION("""COMPUTED_VALUE"""),"GEN E AGUINALDO")</f>
        <v>GEN E AGUINALDO</v>
      </c>
      <c r="AE346" s="1" t="str">
        <f>IFERROR(__xludf.DUMMYFUNCTION("""COMPUTED_VALUE"""),"WIND RESIDENCES TOWER 1")</f>
        <v>WIND RESIDENCES TOWER 1</v>
      </c>
      <c r="AF346" s="1" t="str">
        <f>IFERROR(__xludf.DUMMYFUNCTION("""COMPUTED_VALUE"""),"BGY MAHARLIKA WEST")</f>
        <v>BGY MAHARLIKA WEST</v>
      </c>
      <c r="AG346" s="1" t="str">
        <f>IFERROR(__xludf.DUMMYFUNCTION("""COMPUTED_VALUE"""),"TAGAYTAY")</f>
        <v>TAGAYTAY</v>
      </c>
      <c r="AH346" s="1" t="str">
        <f>IFERROR(__xludf.DUMMYFUNCTION("""COMPUTED_VALUE"""),"TOWER 1")</f>
        <v>TOWER 1</v>
      </c>
      <c r="AI346" s="1" t="str">
        <f>IFERROR(__xludf.DUMMYFUNCTION("""COMPUTED_VALUE"""),"CLUSTER 12")</f>
        <v>CLUSTER 12</v>
      </c>
    </row>
    <row r="347" customHeight="1" spans="1:35">
      <c r="A347" s="3">
        <f>IFERROR(__xludf.DUMMYFUNCTION("""COMPUTED_VALUE"""),46264)</f>
        <v>46264</v>
      </c>
      <c r="B347" s="1" t="str">
        <f>IFERROR(__xludf.DUMMYFUNCTION("""COMPUTED_VALUE"""),"MANALO SR RIVERAL MAHUSAY")</f>
        <v>MANALO SR RIVERAL MAHUSAY</v>
      </c>
      <c r="C347" s="1">
        <f>IFERROR(__xludf.DUMMYFUNCTION("""COMPUTED_VALUE"""),2312212246)</f>
        <v>2312212246</v>
      </c>
      <c r="D347" s="1">
        <f>IFERROR(__xludf.DUMMYFUNCTION("""COMPUTED_VALUE"""),407472810)</f>
        <v>407472810</v>
      </c>
      <c r="E347" s="1">
        <f>IFERROR(__xludf.DUMMYFUNCTION("""COMPUTED_VALUE"""),468549137004)</f>
        <v>468549137004</v>
      </c>
      <c r="F347" s="1" t="str">
        <f>IFERROR(__xludf.DUMMYFUNCTION("""COMPUTED_VALUE"""),"CANCELLED")</f>
        <v>CANCELLED</v>
      </c>
      <c r="G347" s="1" t="str">
        <f>IFERROR(__xludf.DUMMYFUNCTION("""COMPUTED_VALUE"""),"PUNUAN NA SA AREA NILA SUBS. NO SLOTS AVAILABLE. SUBS ALREADY ADVISE  FULL NAP SILLP525NP3 SILLP525NP5 SILLP525NP6 SILLP525NP7")</f>
        <v>PUNUAN NA SA AREA NILA SUBS. NO SLOTS AVAILABLE. SUBS ALREADY ADVISE  FULL NAP SILLP525NP3 SILLP525NP5 SILLP525NP6 SILLP525NP7</v>
      </c>
      <c r="H347" s="1"/>
      <c r="I347" s="1"/>
      <c r="J347" s="1"/>
      <c r="K347" s="1" t="str">
        <f>IFERROR(__xludf.DUMMYFUNCTION("""COMPUTED_VALUE"""),"CANCELED")</f>
        <v>CANCELED</v>
      </c>
      <c r="L347" s="1" t="str">
        <f>IFERROR(__xludf.DUMMYFUNCTION("""COMPUTED_VALUE"""),"RPR - NAP FULL")</f>
        <v>RPR - NAP FULL</v>
      </c>
      <c r="M347" s="1" t="str">
        <f>IFERROR(__xludf.DUMMYFUNCTION("""COMPUTED_VALUE"""),"RPR- NAP FULL")</f>
        <v>RPR- NAP FULL</v>
      </c>
      <c r="N347" s="3"/>
      <c r="O347" s="1" t="str">
        <f>IFERROR(__xludf.DUMMYFUNCTION("""COMPUTED_VALUE"""),"FIBR PLAN 1299")</f>
        <v>FIBR PLAN 1299</v>
      </c>
      <c r="P347" s="1" t="str">
        <f>IFERROR(__xludf.DUMMYFUNCTION("""COMPUTED_VALUE"""),"LOWPLAN")</f>
        <v>LOWPLAN</v>
      </c>
      <c r="Q347" s="1" t="str">
        <f>IFERROR(__xludf.DUMMYFUNCTION("""COMPUTED_VALUE"""),"P407050")</f>
        <v>P407050</v>
      </c>
      <c r="R347" s="1" t="str">
        <f>IFERROR(__xludf.DUMMYFUNCTION("""COMPUTED_VALUE"""),"ALOS, CHARLS LAURENZ")</f>
        <v>ALOS, CHARLS LAURENZ</v>
      </c>
      <c r="S347" s="1" t="str">
        <f>IFERROR(__xludf.DUMMYFUNCTION("""COMPUTED_VALUE"""),"ORGANIC")</f>
        <v>ORGANIC</v>
      </c>
      <c r="T347" s="1" t="str">
        <f>IFERROR(__xludf.DUMMYFUNCTION("""COMPUTED_VALUE"""),"LEA REMOLLO")</f>
        <v>LEA REMOLLO</v>
      </c>
      <c r="U347" s="1" t="str">
        <f>IFERROR(__xludf.DUMMYFUNCTION("""COMPUTED_VALUE"""),"JB SALIOA")</f>
        <v>JB SALIOA</v>
      </c>
      <c r="V347" s="1" t="str">
        <f>IFERROR(__xludf.DUMMYFUNCTION("""COMPUTED_VALUE"""),"BK HSTK")</f>
        <v>BK HSTK</v>
      </c>
      <c r="W347" s="1" t="str">
        <f>IFERROR(__xludf.DUMMYFUNCTION("""COMPUTED_VALUE"""),"BK HSTK")</f>
        <v>BK HSTK</v>
      </c>
      <c r="X347" s="1" t="str">
        <f>IFERROR(__xludf.DUMMYFUNCTION("""COMPUTED_VALUE"""),"REGULAR")</f>
        <v>REGULAR</v>
      </c>
      <c r="Y347" s="1" t="str">
        <f>IFERROR(__xludf.DUMMYFUNCTION("""COMPUTED_VALUE"""),"BK_CVEU_260813")</f>
        <v>BK_CVEU_260813</v>
      </c>
      <c r="Z347" s="1" t="str">
        <f>IFERROR(__xludf.DUMMYFUNCTION("""COMPUTED_VALUE"""),"NEW CONNECT")</f>
        <v>NEW CONNECT</v>
      </c>
      <c r="AA347" s="1">
        <f>IFERROR(__xludf.DUMMYFUNCTION("""COMPUTED_VALUE"""),639535875041)</f>
        <v>639535875041</v>
      </c>
      <c r="AB347" s="1"/>
      <c r="AC347" s="1">
        <f>IFERROR(__xludf.DUMMYFUNCTION("""COMPUTED_VALUE"""),8192)</f>
        <v>8192</v>
      </c>
      <c r="AD347" s="1" t="str">
        <f>IFERROR(__xludf.DUMMYFUNCTION("""COMPUTED_VALUE"""),"PUROK 2")</f>
        <v>PUROK 2</v>
      </c>
      <c r="AE347" s="1"/>
      <c r="AF347" s="1" t="str">
        <f>IFERROR(__xludf.DUMMYFUNCTION("""COMPUTED_VALUE"""),"BGY HUKAY")</f>
        <v>BGY HUKAY</v>
      </c>
      <c r="AG347" s="1" t="str">
        <f>IFERROR(__xludf.DUMMYFUNCTION("""COMPUTED_VALUE"""),"SILANG")</f>
        <v>SILANG</v>
      </c>
      <c r="AH347" s="1" t="str">
        <f>IFERROR(__xludf.DUMMYFUNCTION("""COMPUTED_VALUE"""),"ELEMENTARY SCHOOL")</f>
        <v>ELEMENTARY SCHOOL</v>
      </c>
      <c r="AI347" s="1" t="str">
        <f>IFERROR(__xludf.DUMMYFUNCTION("""COMPUTED_VALUE"""),"CLUSTER 11")</f>
        <v>CLUSTER 11</v>
      </c>
    </row>
    <row r="348" customHeight="1" spans="1:35">
      <c r="A348" s="3">
        <f>IFERROR(__xludf.DUMMYFUNCTION("""COMPUTED_VALUE"""),46264)</f>
        <v>46264</v>
      </c>
      <c r="B348" s="1" t="str">
        <f>IFERROR(__xludf.DUMMYFUNCTION("""COMPUTED_VALUE"""),"SHANE MARIE LIZASO SAGURAN")</f>
        <v>SHANE MARIE LIZASO SAGURAN</v>
      </c>
      <c r="C348" s="1">
        <f>IFERROR(__xludf.DUMMYFUNCTION("""COMPUTED_VALUE"""),2312217391)</f>
        <v>2312217391</v>
      </c>
      <c r="D348" s="1">
        <f>IFERROR(__xludf.DUMMYFUNCTION("""COMPUTED_VALUE"""),407476042)</f>
        <v>407476042</v>
      </c>
      <c r="E348" s="1">
        <f>IFERROR(__xludf.DUMMYFUNCTION("""COMPUTED_VALUE"""),468552292004)</f>
        <v>468552292004</v>
      </c>
      <c r="F348" s="1" t="str">
        <f>IFERROR(__xludf.DUMMYFUNCTION("""COMPUTED_VALUE"""),"CLOSED")</f>
        <v>CLOSED</v>
      </c>
      <c r="G348" s="1" t="str">
        <f>IFERROR(__xludf.DUMMYFUNCTION("""COMPUTED_VALUE"""),"CLOSED")</f>
        <v>CLOSED</v>
      </c>
      <c r="H348" s="1" t="str">
        <f>IFERROR(__xludf.DUMMYFUNCTION("""COMPUTED_VALUE"""),"PQGOR362396156	30-Aug-26	Regular Payment	PLDT Pay Express-Web-App credit	1,000.00	0	30-Aug-26")</f>
        <v>PQGOR362396156	30-Aug-26	Regular Payment	PLDT Pay Express-Web-App credit	1,000.00	0	30-Aug-26</v>
      </c>
      <c r="I348" s="1" t="str">
        <f>IFERROR(__xludf.DUMMYFUNCTION("""COMPUTED_VALUE"""),"WITH 1 AMSF")</f>
        <v>WITH 1 AMSF</v>
      </c>
      <c r="J348" s="1"/>
      <c r="K348" s="1" t="str">
        <f>IFERROR(__xludf.DUMMYFUNCTION("""COMPUTED_VALUE"""),"COMPLETED")</f>
        <v>COMPLETED</v>
      </c>
      <c r="L348" s="1" t="str">
        <f>IFERROR(__xludf.DUMMYFUNCTION("""COMPUTED_VALUE"""),"POSTED")</f>
        <v>POSTED</v>
      </c>
      <c r="M348" s="1" t="str">
        <f>IFERROR(__xludf.DUMMYFUNCTION("""COMPUTED_VALUE"""),"POSTED")</f>
        <v>POSTED</v>
      </c>
      <c r="N348" s="3">
        <f>IFERROR(__xludf.DUMMYFUNCTION("""COMPUTED_VALUE"""),46265)</f>
        <v>46265</v>
      </c>
      <c r="O348" s="1" t="str">
        <f>IFERROR(__xludf.DUMMYFUNCTION("""COMPUTED_VALUE"""),"FIBR PLAN 1299")</f>
        <v>FIBR PLAN 1299</v>
      </c>
      <c r="P348" s="1" t="str">
        <f>IFERROR(__xludf.DUMMYFUNCTION("""COMPUTED_VALUE"""),"LOWPLAN")</f>
        <v>LOWPLAN</v>
      </c>
      <c r="Q348" s="1" t="str">
        <f>IFERROR(__xludf.DUMMYFUNCTION("""COMPUTED_VALUE"""),"P407047")</f>
        <v>P407047</v>
      </c>
      <c r="R348" s="1" t="str">
        <f>IFERROR(__xludf.DUMMYFUNCTION("""COMPUTED_VALUE"""),"FRANCISCO, ROSELYN")</f>
        <v>FRANCISCO, ROSELYN</v>
      </c>
      <c r="S348" s="1" t="str">
        <f>IFERROR(__xludf.DUMMYFUNCTION("""COMPUTED_VALUE"""),"ORGANIC")</f>
        <v>ORGANIC</v>
      </c>
      <c r="T348" s="1" t="str">
        <f>IFERROR(__xludf.DUMMYFUNCTION("""COMPUTED_VALUE"""),"LEA REMOLLO")</f>
        <v>LEA REMOLLO</v>
      </c>
      <c r="U348" s="1" t="str">
        <f>IFERROR(__xludf.DUMMYFUNCTION("""COMPUTED_VALUE"""),"JB SALIOA")</f>
        <v>JB SALIOA</v>
      </c>
      <c r="V348" s="1" t="str">
        <f>IFERROR(__xludf.DUMMYFUNCTION("""COMPUTED_VALUE"""),"BK HSTK")</f>
        <v>BK HSTK</v>
      </c>
      <c r="W348" s="1" t="str">
        <f>IFERROR(__xludf.DUMMYFUNCTION("""COMPUTED_VALUE"""),"BK HSTK")</f>
        <v>BK HSTK</v>
      </c>
      <c r="X348" s="1" t="str">
        <f>IFERROR(__xludf.DUMMYFUNCTION("""COMPUTED_VALUE"""),"REGULAR")</f>
        <v>REGULAR</v>
      </c>
      <c r="Y348" s="1" t="str">
        <f>IFERROR(__xludf.DUMMYFUNCTION("""COMPUTED_VALUE"""),"BK_CVEU_260811")</f>
        <v>BK_CVEU_260811</v>
      </c>
      <c r="Z348" s="1" t="str">
        <f>IFERROR(__xludf.DUMMYFUNCTION("""COMPUTED_VALUE"""),"NEW CONNECT")</f>
        <v>NEW CONNECT</v>
      </c>
      <c r="AA348" s="1">
        <f>IFERROR(__xludf.DUMMYFUNCTION("""COMPUTED_VALUE"""),639094593393)</f>
        <v>639094593393</v>
      </c>
      <c r="AB348" s="1">
        <f>IFERROR(__xludf.DUMMYFUNCTION("""COMPUTED_VALUE"""),639638480718)</f>
        <v>639638480718</v>
      </c>
      <c r="AC348" s="1"/>
      <c r="AD348" s="1" t="str">
        <f>IFERROR(__xludf.DUMMYFUNCTION("""COMPUTED_VALUE"""),"NICOLASA VIRATA")</f>
        <v>NICOLASA VIRATA</v>
      </c>
      <c r="AE348" s="1"/>
      <c r="AF348" s="1" t="str">
        <f>IFERROR(__xludf.DUMMYFUNCTION("""COMPUTED_VALUE"""),"BGY NICOLASA VIRATA")</f>
        <v>BGY NICOLASA VIRATA</v>
      </c>
      <c r="AG348" s="1" t="str">
        <f>IFERROR(__xludf.DUMMYFUNCTION("""COMPUTED_VALUE"""),"GEN MARIANO ALVAREZ")</f>
        <v>GEN MARIANO ALVAREZ</v>
      </c>
      <c r="AH348" s="1" t="str">
        <f>IFERROR(__xludf.DUMMYFUNCTION("""COMPUTED_VALUE"""),"TAGPUAN SIZZLING PARES")</f>
        <v>TAGPUAN SIZZLING PARES</v>
      </c>
      <c r="AI348" s="1" t="str">
        <f>IFERROR(__xludf.DUMMYFUNCTION("""COMPUTED_VALUE"""),"CLUSTER 11")</f>
        <v>CLUSTER 11</v>
      </c>
    </row>
    <row r="349" customHeight="1" spans="1:35">
      <c r="A349" s="3">
        <f>IFERROR(__xludf.DUMMYFUNCTION("""COMPUTED_VALUE"""),46264)</f>
        <v>46264</v>
      </c>
      <c r="B349" s="1" t="str">
        <f>IFERROR(__xludf.DUMMYFUNCTION("""COMPUTED_VALUE"""),"JIRAH MAE MAG-ARO TERUEL")</f>
        <v>JIRAH MAE MAG-ARO TERUEL</v>
      </c>
      <c r="C349" s="1">
        <f>IFERROR(__xludf.DUMMYFUNCTION("""COMPUTED_VALUE"""),2312219091)</f>
        <v>2312219091</v>
      </c>
      <c r="D349" s="1">
        <f>IFERROR(__xludf.DUMMYFUNCTION("""COMPUTED_VALUE"""),407477359)</f>
        <v>407477359</v>
      </c>
      <c r="E349" s="1">
        <f>IFERROR(__xludf.DUMMYFUNCTION("""COMPUTED_VALUE"""),468557399004)</f>
        <v>468557399004</v>
      </c>
      <c r="F349" s="1" t="str">
        <f>IFERROR(__xludf.DUMMYFUNCTION("""COMPUTED_VALUE"""),"AFD")</f>
        <v>AFD</v>
      </c>
      <c r="G349" s="1" t="str">
        <f>IFERROR(__xludf.DUMMYFUNCTION("""COMPUTED_VALUE"""),"RPR CALLTHRU REMARKS   SUBS REQUEST FOR CANCEL APPLICATION ALANGANIN DAW SILA SA BUDGET AYAW SAGUTIN NI SUBS AMG CALL 09763992519 09926139351")</f>
        <v>RPR CALLTHRU REMARKS   SUBS REQUEST FOR CANCEL APPLICATION ALANGANIN DAW SILA SA BUDGET AYAW SAGUTIN NI SUBS AMG CALL 09763992519 09926139351</v>
      </c>
      <c r="H349" s="1" t="str">
        <f>IFERROR(__xludf.DUMMYFUNCTION("""COMPUTED_VALUE"""),"PAID VIA CSP")</f>
        <v>PAID VIA CSP</v>
      </c>
      <c r="I349" s="1"/>
      <c r="J349" s="1"/>
      <c r="K349" s="1" t="str">
        <f>IFERROR(__xludf.DUMMYFUNCTION("""COMPUTED_VALUE"""),"CANCELED")</f>
        <v>CANCELED</v>
      </c>
      <c r="L349" s="1" t="str">
        <f>IFERROR(__xludf.DUMMYFUNCTION("""COMPUTED_VALUE"""),"AFD - RESCHEDULE")</f>
        <v>AFD - RESCHEDULE</v>
      </c>
      <c r="M349" s="1" t="str">
        <f>IFERROR(__xludf.DUMMYFUNCTION("""COMPUTED_VALUE"""),"AFD - RESCHEDULED")</f>
        <v>AFD - RESCHEDULED</v>
      </c>
      <c r="N349" s="3"/>
      <c r="O349" s="1" t="str">
        <f>IFERROR(__xludf.DUMMYFUNCTION("""COMPUTED_VALUE"""),"FIBER UNLI ALL PLAN 1499")</f>
        <v>FIBER UNLI ALL PLAN 1499</v>
      </c>
      <c r="P349" s="1" t="str">
        <f>IFERROR(__xludf.DUMMYFUNCTION("""COMPUTED_VALUE"""),"LOWPLAN")</f>
        <v>LOWPLAN</v>
      </c>
      <c r="Q349" s="1" t="str">
        <f>IFERROR(__xludf.DUMMYFUNCTION("""COMPUTED_VALUE"""),"P407045")</f>
        <v>P407045</v>
      </c>
      <c r="R349" s="1" t="str">
        <f>IFERROR(__xludf.DUMMYFUNCTION("""COMPUTED_VALUE"""),"GABAY, MANUEL")</f>
        <v>GABAY, MANUEL</v>
      </c>
      <c r="S349" s="1" t="str">
        <f>IFERROR(__xludf.DUMMYFUNCTION("""COMPUTED_VALUE"""),"FLA")</f>
        <v>FLA</v>
      </c>
      <c r="T349" s="1" t="str">
        <f>IFERROR(__xludf.DUMMYFUNCTION("""COMPUTED_VALUE"""),"JERIC NAVARRO")</f>
        <v>JERIC NAVARRO</v>
      </c>
      <c r="U349" s="1" t="str">
        <f>IFERROR(__xludf.DUMMYFUNCTION("""COMPUTED_VALUE"""),"JB SALIOA")</f>
        <v>JB SALIOA</v>
      </c>
      <c r="V349" s="1" t="str">
        <f>IFERROR(__xludf.DUMMYFUNCTION("""COMPUTED_VALUE"""),"BK HSTK")</f>
        <v>BK HSTK</v>
      </c>
      <c r="W349" s="1" t="str">
        <f>IFERROR(__xludf.DUMMYFUNCTION("""COMPUTED_VALUE"""),"BK HSTK")</f>
        <v>BK HSTK</v>
      </c>
      <c r="X349" s="1" t="str">
        <f>IFERROR(__xludf.DUMMYFUNCTION("""COMPUTED_VALUE"""),"HBBS AUG 2026")</f>
        <v>HBBS AUG 2026</v>
      </c>
      <c r="Y349" s="1" t="str">
        <f>IFERROR(__xludf.DUMMYFUNCTION("""COMPUTED_VALUE"""),"BK_CVEU_260811")</f>
        <v>BK_CVEU_260811</v>
      </c>
      <c r="Z349" s="1" t="str">
        <f>IFERROR(__xludf.DUMMYFUNCTION("""COMPUTED_VALUE"""),"NEW CONNECT")</f>
        <v>NEW CONNECT</v>
      </c>
      <c r="AA349" s="1">
        <f>IFERROR(__xludf.DUMMYFUNCTION("""COMPUTED_VALUE"""),639763992519)</f>
        <v>639763992519</v>
      </c>
      <c r="AB349" s="1">
        <f>IFERROR(__xludf.DUMMYFUNCTION("""COMPUTED_VALUE"""),639926139351)</f>
        <v>639926139351</v>
      </c>
      <c r="AC349" s="1"/>
      <c r="AD349" s="1" t="str">
        <f>IFERROR(__xludf.DUMMYFUNCTION("""COMPUTED_VALUE"""),"FRANCISCO REYES")</f>
        <v>FRANCISCO REYES</v>
      </c>
      <c r="AE349" s="1"/>
      <c r="AF349" s="1" t="str">
        <f>IFERROR(__xludf.DUMMYFUNCTION("""COMPUTED_VALUE"""),"BGY FRANCISCO REYES")</f>
        <v>BGY FRANCISCO REYES</v>
      </c>
      <c r="AG349" s="1" t="str">
        <f>IFERROR(__xludf.DUMMYFUNCTION("""COMPUTED_VALUE"""),"GEN MARIANO ALVAREZ")</f>
        <v>GEN MARIANO ALVAREZ</v>
      </c>
      <c r="AH349" s="1" t="str">
        <f>IFERROR(__xludf.DUMMYFUNCTION("""COMPUTED_VALUE"""),"-")</f>
        <v>-</v>
      </c>
      <c r="AI349" s="1" t="str">
        <f>IFERROR(__xludf.DUMMYFUNCTION("""COMPUTED_VALUE"""),"CLUSTER 11")</f>
        <v>CLUSTER 11</v>
      </c>
    </row>
    <row r="350" customHeight="1" spans="1:35">
      <c r="A350" s="3">
        <f>IFERROR(__xludf.DUMMYFUNCTION("""COMPUTED_VALUE"""),46264)</f>
        <v>46264</v>
      </c>
      <c r="B350" s="1" t="str">
        <f>IFERROR(__xludf.DUMMYFUNCTION("""COMPUTED_VALUE"""),"MARLENE ABUSCA TERRADO")</f>
        <v>MARLENE ABUSCA TERRADO</v>
      </c>
      <c r="C350" s="1">
        <f>IFERROR(__xludf.DUMMYFUNCTION("""COMPUTED_VALUE"""),2312219468)</f>
        <v>2312219468</v>
      </c>
      <c r="D350" s="1">
        <f>IFERROR(__xludf.DUMMYFUNCTION("""COMPUTED_VALUE"""),407477332)</f>
        <v>407477332</v>
      </c>
      <c r="E350" s="1">
        <f>IFERROR(__xludf.DUMMYFUNCTION("""COMPUTED_VALUE"""),468557050004)</f>
        <v>468557050004</v>
      </c>
      <c r="F350" s="1" t="str">
        <f>IFERROR(__xludf.DUMMYFUNCTION("""COMPUTED_VALUE"""),"CANCELLED")</f>
        <v>CANCELLED</v>
      </c>
      <c r="G350" s="1" t="str">
        <f>IFERROR(__xludf.DUMMYFUNCTION("""COMPUTED_VALUE"""),"CANCELLED")</f>
        <v>CANCELLED</v>
      </c>
      <c r="H350" s="1"/>
      <c r="I350" s="1"/>
      <c r="J350" s="1"/>
      <c r="K350" s="1" t="str">
        <f>IFERROR(__xludf.DUMMYFUNCTION("""COMPUTED_VALUE"""),"NOT IN OFSC")</f>
        <v>NOT IN OFSC</v>
      </c>
      <c r="L350" s="1" t="str">
        <f>IFERROR(__xludf.DUMMYFUNCTION("""COMPUTED_VALUE"""),"CANCELLED ")</f>
        <v>CANCELLED </v>
      </c>
      <c r="M350" s="1" t="str">
        <f>IFERROR(__xludf.DUMMYFUNCTION("""COMPUTED_VALUE"""),"CANCELLED - NON COMPLIANCE")</f>
        <v>CANCELLED - NON COMPLIANCE</v>
      </c>
      <c r="N350" s="3"/>
      <c r="O350" s="1" t="str">
        <f>IFERROR(__xludf.DUMMYFUNCTION("""COMPUTED_VALUE"""),"FIBR UNLI ALL PLAN 999")</f>
        <v>FIBR UNLI ALL PLAN 999</v>
      </c>
      <c r="P350" s="1" t="str">
        <f>IFERROR(__xludf.DUMMYFUNCTION("""COMPUTED_VALUE"""),"LOWPLAN")</f>
        <v>LOWPLAN</v>
      </c>
      <c r="Q350" s="1" t="str">
        <f>IFERROR(__xludf.DUMMYFUNCTION("""COMPUTED_VALUE"""),"P407050")</f>
        <v>P407050</v>
      </c>
      <c r="R350" s="1" t="str">
        <f>IFERROR(__xludf.DUMMYFUNCTION("""COMPUTED_VALUE"""),"ESCARCHA, ALMA")</f>
        <v>ESCARCHA, ALMA</v>
      </c>
      <c r="S350" s="1" t="str">
        <f>IFERROR(__xludf.DUMMYFUNCTION("""COMPUTED_VALUE"""),"ORGANIC")</f>
        <v>ORGANIC</v>
      </c>
      <c r="T350" s="1" t="str">
        <f>IFERROR(__xludf.DUMMYFUNCTION("""COMPUTED_VALUE"""),"LEA REMOLLO")</f>
        <v>LEA REMOLLO</v>
      </c>
      <c r="U350" s="1" t="str">
        <f>IFERROR(__xludf.DUMMYFUNCTION("""COMPUTED_VALUE"""),"JB SALIOA")</f>
        <v>JB SALIOA</v>
      </c>
      <c r="V350" s="1" t="str">
        <f>IFERROR(__xludf.DUMMYFUNCTION("""COMPUTED_VALUE"""),"BK HSTK")</f>
        <v>BK HSTK</v>
      </c>
      <c r="W350" s="1" t="str">
        <f>IFERROR(__xludf.DUMMYFUNCTION("""COMPUTED_VALUE"""),"BK HSTK")</f>
        <v>BK HSTK</v>
      </c>
      <c r="X350" s="1" t="str">
        <f>IFERROR(__xludf.DUMMYFUNCTION("""COMPUTED_VALUE"""),"REGULAR")</f>
        <v>REGULAR</v>
      </c>
      <c r="Y350" s="1" t="str">
        <f>IFERROR(__xludf.DUMMYFUNCTION("""COMPUTED_VALUE"""),"BK_CVEU_260811")</f>
        <v>BK_CVEU_260811</v>
      </c>
      <c r="Z350" s="1" t="str">
        <f>IFERROR(__xludf.DUMMYFUNCTION("""COMPUTED_VALUE"""),"NEW CONNECT")</f>
        <v>NEW CONNECT</v>
      </c>
      <c r="AA350" s="1">
        <f>IFERROR(__xludf.DUMMYFUNCTION("""COMPUTED_VALUE"""),639207280270)</f>
        <v>639207280270</v>
      </c>
      <c r="AB350" s="1">
        <f>IFERROR(__xludf.DUMMYFUNCTION("""COMPUTED_VALUE"""),639506426702)</f>
        <v>639506426702</v>
      </c>
      <c r="AC350" s="1"/>
      <c r="AD350" s="1" t="str">
        <f>IFERROR(__xludf.DUMMYFUNCTION("""COMPUTED_VALUE"""),"F DAGOHOY")</f>
        <v>F DAGOHOY</v>
      </c>
      <c r="AE350" s="1"/>
      <c r="AF350" s="1" t="str">
        <f>IFERROR(__xludf.DUMMYFUNCTION("""COMPUTED_VALUE"""),"BGY SAN JOSE")</f>
        <v>BGY SAN JOSE</v>
      </c>
      <c r="AG350" s="1" t="str">
        <f>IFERROR(__xludf.DUMMYFUNCTION("""COMPUTED_VALUE"""),"GEN MARIANO ALVAREZ")</f>
        <v>GEN MARIANO ALVAREZ</v>
      </c>
      <c r="AH350" s="1" t="str">
        <f>IFERROR(__xludf.DUMMYFUNCTION("""COMPUTED_VALUE"""),"-")</f>
        <v>-</v>
      </c>
      <c r="AI350" s="1" t="str">
        <f>IFERROR(__xludf.DUMMYFUNCTION("""COMPUTED_VALUE"""),"CLUSTER 11")</f>
        <v>CLUSTER 11</v>
      </c>
    </row>
    <row r="351" customHeight="1" spans="1:35">
      <c r="A351" s="3">
        <f>IFERROR(__xludf.DUMMYFUNCTION("""COMPUTED_VALUE"""),46264)</f>
        <v>46264</v>
      </c>
      <c r="B351" s="1" t="str">
        <f>IFERROR(__xludf.DUMMYFUNCTION("""COMPUTED_VALUE"""),"ROSALIE CARAGA SIMBAJON")</f>
        <v>ROSALIE CARAGA SIMBAJON</v>
      </c>
      <c r="C351" s="1">
        <f>IFERROR(__xludf.DUMMYFUNCTION("""COMPUTED_VALUE"""),2312219761)</f>
        <v>2312219761</v>
      </c>
      <c r="D351" s="1">
        <f>IFERROR(__xludf.DUMMYFUNCTION("""COMPUTED_VALUE"""),407477464)</f>
        <v>407477464</v>
      </c>
      <c r="E351" s="1">
        <f>IFERROR(__xludf.DUMMYFUNCTION("""COMPUTED_VALUE"""),468558060004)</f>
        <v>468558060004</v>
      </c>
      <c r="F351" s="1" t="str">
        <f>IFERROR(__xludf.DUMMYFUNCTION("""COMPUTED_VALUE"""),"CLOSED")</f>
        <v>CLOSED</v>
      </c>
      <c r="G351" s="1" t="str">
        <f>IFERROR(__xludf.DUMMYFUNCTION("""COMPUTED_VALUE"""),"CLOSED")</f>
        <v>CLOSED</v>
      </c>
      <c r="H351" s="1"/>
      <c r="I351" s="1" t="str">
        <f>IFERROR(__xludf.DUMMYFUNCTION("""COMPUTED_VALUE"""),"NO 1 AMSF")</f>
        <v>NO 1 AMSF</v>
      </c>
      <c r="J351" s="1" t="str">
        <f>IFERROR(__xludf.DUMMYFUNCTION("""COMPUTED_VALUE"""),"DUE DATE - 24-Sep-26 - 1,611.36")</f>
        <v>DUE DATE - 24-Sep-26 - 1,611.36</v>
      </c>
      <c r="K351" s="1" t="str">
        <f>IFERROR(__xludf.DUMMYFUNCTION("""COMPUTED_VALUE"""),"COMPLETED")</f>
        <v>COMPLETED</v>
      </c>
      <c r="L351" s="1" t="str">
        <f>IFERROR(__xludf.DUMMYFUNCTION("""COMPUTED_VALUE"""),"POSTED")</f>
        <v>POSTED</v>
      </c>
      <c r="M351" s="1" t="str">
        <f>IFERROR(__xludf.DUMMYFUNCTION("""COMPUTED_VALUE"""),"POSTED")</f>
        <v>POSTED</v>
      </c>
      <c r="N351" s="3">
        <f>IFERROR(__xludf.DUMMYFUNCTION("""COMPUTED_VALUE"""),46265)</f>
        <v>46265</v>
      </c>
      <c r="O351" s="1" t="str">
        <f>IFERROR(__xludf.DUMMYFUNCTION("""COMPUTED_VALUE"""),"FIBER UNLI ALL PLAN 1499")</f>
        <v>FIBER UNLI ALL PLAN 1499</v>
      </c>
      <c r="P351" s="1" t="str">
        <f>IFERROR(__xludf.DUMMYFUNCTION("""COMPUTED_VALUE"""),"LOWPLAN")</f>
        <v>LOWPLAN</v>
      </c>
      <c r="Q351" s="1" t="str">
        <f>IFERROR(__xludf.DUMMYFUNCTION("""COMPUTED_VALUE"""),"P407050")</f>
        <v>P407050</v>
      </c>
      <c r="R351" s="1" t="str">
        <f>IFERROR(__xludf.DUMMYFUNCTION("""COMPUTED_VALUE"""),"ARENA, LYKA")</f>
        <v>ARENA, LYKA</v>
      </c>
      <c r="S351" s="1" t="str">
        <f>IFERROR(__xludf.DUMMYFUNCTION("""COMPUTED_VALUE"""),"ORGANIC")</f>
        <v>ORGANIC</v>
      </c>
      <c r="T351" s="1" t="str">
        <f>IFERROR(__xludf.DUMMYFUNCTION("""COMPUTED_VALUE"""),"LEA REMOLLO")</f>
        <v>LEA REMOLLO</v>
      </c>
      <c r="U351" s="1" t="str">
        <f>IFERROR(__xludf.DUMMYFUNCTION("""COMPUTED_VALUE"""),"JB SALIOA")</f>
        <v>JB SALIOA</v>
      </c>
      <c r="V351" s="1" t="str">
        <f>IFERROR(__xludf.DUMMYFUNCTION("""COMPUTED_VALUE"""),"ONLINE/CRANFORD")</f>
        <v>ONLINE/CRANFORD</v>
      </c>
      <c r="W351" s="1" t="str">
        <f>IFERROR(__xludf.DUMMYFUNCTION("""COMPUTED_VALUE"""),"STK REGULAR")</f>
        <v>STK REGULAR</v>
      </c>
      <c r="X351" s="1" t="str">
        <f>IFERROR(__xludf.DUMMYFUNCTION("""COMPUTED_VALUE"""),"HBBS AUG 2026")</f>
        <v>HBBS AUG 2026</v>
      </c>
      <c r="Y351" s="1" t="str">
        <f>IFERROR(__xludf.DUMMYFUNCTION("""COMPUTED_VALUE"""),"RS_ONL_CVEU_2026")</f>
        <v>RS_ONL_CVEU_2026</v>
      </c>
      <c r="Z351" s="1" t="str">
        <f>IFERROR(__xludf.DUMMYFUNCTION("""COMPUTED_VALUE"""),"NEW CONNECT")</f>
        <v>NEW CONNECT</v>
      </c>
      <c r="AA351" s="1">
        <f>IFERROR(__xludf.DUMMYFUNCTION("""COMPUTED_VALUE"""),639703965572)</f>
        <v>639703965572</v>
      </c>
      <c r="AB351" s="1"/>
      <c r="AC351" s="1"/>
      <c r="AD351" s="1" t="str">
        <f>IFERROR(__xludf.DUMMYFUNCTION("""COMPUTED_VALUE"""),"MERCEDES")</f>
        <v>MERCEDES</v>
      </c>
      <c r="AE351" s="1" t="str">
        <f>IFERROR(__xludf.DUMMYFUNCTION("""COMPUTED_VALUE"""),"VILLA LUISA HOMES PHASE 4")</f>
        <v>VILLA LUISA HOMES PHASE 4</v>
      </c>
      <c r="AF351" s="1" t="str">
        <f>IFERROR(__xludf.DUMMYFUNCTION("""COMPUTED_VALUE"""),"BGY SAN AGUSTIN 3")</f>
        <v>BGY SAN AGUSTIN 3</v>
      </c>
      <c r="AG351" s="1" t="str">
        <f>IFERROR(__xludf.DUMMYFUNCTION("""COMPUTED_VALUE"""),"DASMARINAS")</f>
        <v>DASMARINAS</v>
      </c>
      <c r="AH351" s="1" t="str">
        <f>IFERROR(__xludf.DUMMYFUNCTION("""COMPUTED_VALUE"""),"-")</f>
        <v>-</v>
      </c>
      <c r="AI351" s="1" t="str">
        <f>IFERROR(__xludf.DUMMYFUNCTION("""COMPUTED_VALUE"""),"NOT AOR")</f>
        <v>NOT AOR</v>
      </c>
    </row>
    <row r="352" customHeight="1" spans="1:35">
      <c r="A352" s="3">
        <f>IFERROR(__xludf.DUMMYFUNCTION("""COMPUTED_VALUE"""),46264)</f>
        <v>46264</v>
      </c>
      <c r="B352" s="1" t="str">
        <f>IFERROR(__xludf.DUMMYFUNCTION("""COMPUTED_VALUE"""),"RELINDA DE GUIA ILMEDO")</f>
        <v>RELINDA DE GUIA ILMEDO</v>
      </c>
      <c r="C352" s="1">
        <f>IFERROR(__xludf.DUMMYFUNCTION("""COMPUTED_VALUE"""),2312219957)</f>
        <v>2312219957</v>
      </c>
      <c r="D352" s="1"/>
      <c r="E352" s="1"/>
      <c r="F352" s="1" t="str">
        <f>IFERROR(__xludf.DUMMYFUNCTION("""COMPUTED_VALUE"""),"CANCELLED")</f>
        <v>CANCELLED</v>
      </c>
      <c r="G352" s="1" t="str">
        <f>IFERROR(__xludf.DUMMYFUNCTION("""COMPUTED_VALUE"""),"(WITH BLACKLIST HIT FOR COMPLIANCE) RETURN TO SALES | DONE VALIDATION | CORRECT ENCODED INFO IN CSP | TU SCORING - FF - 1 (NTC) | 1 AMSF REQUIRED | WITH BLACKLISTED NAME - SAME NAME DIFF ADDRESS- ACCOUNT#:0353525670 OUTSTANDING BALANCE:6,466.47 - FOR SETT"&amp;"ELEMENT |NO EXISTING/PENDING/CANCELLED/ACTIVE | SCANNABLE NATIONAL ID ")</f>
        <v>(WITH BLACKLIST HIT FOR COMPLIANCE) RETURN TO SALES | DONE VALIDATION | CORRECT ENCODED INFO IN CSP | TU SCORING - FF - 1 (NTC) | 1 AMSF REQUIRED | WITH BLACKLISTED NAME - SAME NAME DIFF ADDRESS- ACCOUNT#:0353525670 OUTSTANDING BALANCE:6,466.47 - FOR SETTELEMENT |NO EXISTING/PENDING/CANCELLED/ACTIVE | SCANNABLE NATIONAL ID </v>
      </c>
      <c r="H352" s="1"/>
      <c r="I352" s="1"/>
      <c r="J352" s="1"/>
      <c r="K352" s="1"/>
      <c r="L352" s="1" t="str">
        <f>IFERROR(__xludf.DUMMYFUNCTION("""COMPUTED_VALUE"""),"CANCELLED - WITH OB")</f>
        <v>CANCELLED - WITH OB</v>
      </c>
      <c r="M352" s="1" t="str">
        <f>IFERROR(__xludf.DUMMYFUNCTION("""COMPUTED_VALUE"""),"CANCELLED - WITH OB")</f>
        <v>CANCELLED - WITH OB</v>
      </c>
      <c r="N352" s="3"/>
      <c r="O352" s="1" t="str">
        <f>IFERROR(__xludf.DUMMYFUNCTION("""COMPUTED_VALUE"""),"FIBR UNLI ALL PLAN 999")</f>
        <v>FIBR UNLI ALL PLAN 999</v>
      </c>
      <c r="P352" s="1" t="str">
        <f>IFERROR(__xludf.DUMMYFUNCTION("""COMPUTED_VALUE"""),"LOWPLAN")</f>
        <v>LOWPLAN</v>
      </c>
      <c r="Q352" s="1" t="str">
        <f>IFERROR(__xludf.DUMMYFUNCTION("""COMPUTED_VALUE"""),"P407050")</f>
        <v>P407050</v>
      </c>
      <c r="R352" s="1" t="str">
        <f>IFERROR(__xludf.DUMMYFUNCTION("""COMPUTED_VALUE"""),"DENACO, RODNEY")</f>
        <v>DENACO, RODNEY</v>
      </c>
      <c r="S352" s="1" t="str">
        <f>IFERROR(__xludf.DUMMYFUNCTION("""COMPUTED_VALUE"""),"ORGANIC")</f>
        <v>ORGANIC</v>
      </c>
      <c r="T352" s="1" t="str">
        <f>IFERROR(__xludf.DUMMYFUNCTION("""COMPUTED_VALUE"""),"LEA REMOLLO")</f>
        <v>LEA REMOLLO</v>
      </c>
      <c r="U352" s="1" t="str">
        <f>IFERROR(__xludf.DUMMYFUNCTION("""COMPUTED_VALUE"""),"JB SALIOA")</f>
        <v>JB SALIOA</v>
      </c>
      <c r="V352" s="1" t="str">
        <f>IFERROR(__xludf.DUMMYFUNCTION("""COMPUTED_VALUE"""),"BK HSTK")</f>
        <v>BK HSTK</v>
      </c>
      <c r="W352" s="1" t="str">
        <f>IFERROR(__xludf.DUMMYFUNCTION("""COMPUTED_VALUE"""),"BK HSTK")</f>
        <v>BK HSTK</v>
      </c>
      <c r="X352" s="1" t="str">
        <f>IFERROR(__xludf.DUMMYFUNCTION("""COMPUTED_VALUE"""),"REGULAR")</f>
        <v>REGULAR</v>
      </c>
      <c r="Y352" s="1" t="str">
        <f>IFERROR(__xludf.DUMMYFUNCTION("""COMPUTED_VALUE"""),"BK_CVEU_260811")</f>
        <v>BK_CVEU_260811</v>
      </c>
      <c r="Z352" s="1" t="str">
        <f>IFERROR(__xludf.DUMMYFUNCTION("""COMPUTED_VALUE"""),"NEW CONNECT")</f>
        <v>NEW CONNECT</v>
      </c>
      <c r="AA352" s="1">
        <f>IFERROR(__xludf.DUMMYFUNCTION("""COMPUTED_VALUE"""),639851896331)</f>
        <v>639851896331</v>
      </c>
      <c r="AB352" s="1">
        <f>IFERROR(__xludf.DUMMYFUNCTION("""COMPUTED_VALUE"""),639638068708)</f>
        <v>639638068708</v>
      </c>
      <c r="AC352" s="1"/>
      <c r="AD352" s="1" t="str">
        <f>IFERROR(__xludf.DUMMYFUNCTION("""COMPUTED_VALUE"""),"NICOLASA VIRATA")</f>
        <v>NICOLASA VIRATA</v>
      </c>
      <c r="AE352" s="1"/>
      <c r="AF352" s="1" t="str">
        <f>IFERROR(__xludf.DUMMYFUNCTION("""COMPUTED_VALUE"""),"BGY NICOLASA VIRATA")</f>
        <v>BGY NICOLASA VIRATA</v>
      </c>
      <c r="AG352" s="1" t="str">
        <f>IFERROR(__xludf.DUMMYFUNCTION("""COMPUTED_VALUE"""),"GEN MARIANO ALVAREZ")</f>
        <v>GEN MARIANO ALVAREZ</v>
      </c>
      <c r="AH352" s="1" t="str">
        <f>IFERROR(__xludf.DUMMYFUNCTION("""COMPUTED_VALUE"""),"-")</f>
        <v>-</v>
      </c>
      <c r="AI352" s="1" t="str">
        <f>IFERROR(__xludf.DUMMYFUNCTION("""COMPUTED_VALUE"""),"CLUSTER 11")</f>
        <v>CLUSTER 11</v>
      </c>
    </row>
    <row r="353" customHeight="1" spans="1:35">
      <c r="A353" s="3">
        <f>IFERROR(__xludf.DUMMYFUNCTION("""COMPUTED_VALUE"""),46265)</f>
        <v>46265</v>
      </c>
      <c r="B353" s="1" t="str">
        <f>IFERROR(__xludf.DUMMYFUNCTION("""COMPUTED_VALUE"""),"JENNY MALIMBAN BENCITO")</f>
        <v>JENNY MALIMBAN BENCITO</v>
      </c>
      <c r="C353" s="1">
        <f>IFERROR(__xludf.DUMMYFUNCTION("""COMPUTED_VALUE"""),2312233975)</f>
        <v>2312233975</v>
      </c>
      <c r="D353" s="1">
        <f>IFERROR(__xludf.DUMMYFUNCTION("""COMPUTED_VALUE"""),407481933)</f>
        <v>407481933</v>
      </c>
      <c r="E353" s="1"/>
      <c r="F353" s="1" t="str">
        <f>IFERROR(__xludf.DUMMYFUNCTION("""COMPUTED_VALUE"""),"REENCODED")</f>
        <v>REENCODED</v>
      </c>
      <c r="G353" s="1" t="str">
        <f>IFERROR(__xludf.DUMMYFUNCTION("""COMPUTED_VALUE"""),"REENCODED")</f>
        <v>REENCODED</v>
      </c>
      <c r="H353" s="1"/>
      <c r="I353" s="1"/>
      <c r="J353" s="1"/>
      <c r="K353" s="1"/>
      <c r="L353" s="1" t="str">
        <f>IFERROR(__xludf.DUMMYFUNCTION("""COMPUTED_VALUE"""),"REENCODED")</f>
        <v>REENCODED</v>
      </c>
      <c r="M353" s="1" t="str">
        <f>IFERROR(__xludf.DUMMYFUNCTION("""COMPUTED_VALUE"""),"REENCODED")</f>
        <v>REENCODED</v>
      </c>
      <c r="N353" s="3"/>
      <c r="O353" s="1" t="str">
        <f>IFERROR(__xludf.DUMMYFUNCTION("""COMPUTED_VALUE"""),"FIBER UNLI ALL PLAN 1499")</f>
        <v>FIBER UNLI ALL PLAN 1499</v>
      </c>
      <c r="P353" s="1" t="str">
        <f>IFERROR(__xludf.DUMMYFUNCTION("""COMPUTED_VALUE"""),"LOWPLAN")</f>
        <v>LOWPLAN</v>
      </c>
      <c r="Q353" s="1" t="str">
        <f>IFERROR(__xludf.DUMMYFUNCTION("""COMPUTED_VALUE"""),"P407046")</f>
        <v>P407046</v>
      </c>
      <c r="R353" s="1" t="str">
        <f>IFERROR(__xludf.DUMMYFUNCTION("""COMPUTED_VALUE"""),"MALIWAT, MARK")</f>
        <v>MALIWAT, MARK</v>
      </c>
      <c r="S353" s="1" t="str">
        <f>IFERROR(__xludf.DUMMYFUNCTION("""COMPUTED_VALUE"""),"FLA")</f>
        <v>FLA</v>
      </c>
      <c r="T353" s="1" t="str">
        <f>IFERROR(__xludf.DUMMYFUNCTION("""COMPUTED_VALUE"""),"JERIC NAVARRO")</f>
        <v>JERIC NAVARRO</v>
      </c>
      <c r="U353" s="1" t="str">
        <f>IFERROR(__xludf.DUMMYFUNCTION("""COMPUTED_VALUE"""),"JB SALIOA")</f>
        <v>JB SALIOA</v>
      </c>
      <c r="V353" s="1" t="str">
        <f>IFERROR(__xludf.DUMMYFUNCTION("""COMPUTED_VALUE"""),"ONLINE/CRANFORD")</f>
        <v>ONLINE/CRANFORD</v>
      </c>
      <c r="W353" s="1" t="str">
        <f>IFERROR(__xludf.DUMMYFUNCTION("""COMPUTED_VALUE"""),"STK REGULAR")</f>
        <v>STK REGULAR</v>
      </c>
      <c r="X353" s="1" t="str">
        <f>IFERROR(__xludf.DUMMYFUNCTION("""COMPUTED_VALUE"""),"HBBS AUG 2026")</f>
        <v>HBBS AUG 2026</v>
      </c>
      <c r="Y353" s="1" t="str">
        <f>IFERROR(__xludf.DUMMYFUNCTION("""COMPUTED_VALUE"""),"RS_ONL_CVEU_2026")</f>
        <v>RS_ONL_CVEU_2026</v>
      </c>
      <c r="Z353" s="1" t="str">
        <f>IFERROR(__xludf.DUMMYFUNCTION("""COMPUTED_VALUE"""),"NEW CONNECT")</f>
        <v>NEW CONNECT</v>
      </c>
      <c r="AA353" s="1">
        <f>IFERROR(__xludf.DUMMYFUNCTION("""COMPUTED_VALUE"""),639518912069)</f>
        <v>639518912069</v>
      </c>
      <c r="AB353" s="1">
        <f>IFERROR(__xludf.DUMMYFUNCTION("""COMPUTED_VALUE"""),639638435405)</f>
        <v>639638435405</v>
      </c>
      <c r="AC353" s="1">
        <f>IFERROR(__xludf.DUMMYFUNCTION("""COMPUTED_VALUE"""),33)</f>
        <v>33</v>
      </c>
      <c r="AD353" s="1" t="str">
        <f>IFERROR(__xludf.DUMMYFUNCTION("""COMPUTED_VALUE"""),"PUROK 2")</f>
        <v>PUROK 2</v>
      </c>
      <c r="AE353" s="1"/>
      <c r="AF353" s="1" t="str">
        <f>IFERROR(__xludf.DUMMYFUNCTION("""COMPUTED_VALUE"""),"BGY KAYMISAS")</f>
        <v>BGY KAYMISAS</v>
      </c>
      <c r="AG353" s="1" t="str">
        <f>IFERROR(__xludf.DUMMYFUNCTION("""COMPUTED_VALUE"""),"GEN EMILIO AGUINALDO")</f>
        <v>GEN EMILIO AGUINALDO</v>
      </c>
      <c r="AH353" s="1" t="str">
        <f>IFERROR(__xludf.DUMMYFUNCTION("""COMPUTED_VALUE"""),"NEAR HERNANDEZ RESIDENCE")</f>
        <v>NEAR HERNANDEZ RESIDENCE</v>
      </c>
      <c r="AI353" s="1" t="str">
        <f>IFERROR(__xludf.DUMMYFUNCTION("""COMPUTED_VALUE"""),"NOT AOR")</f>
        <v>NOT AOR</v>
      </c>
    </row>
    <row r="354" customHeight="1" spans="1:35">
      <c r="A354" s="3">
        <f>IFERROR(__xludf.DUMMYFUNCTION("""COMPUTED_VALUE"""),46265)</f>
        <v>46265</v>
      </c>
      <c r="B354" s="1" t="str">
        <f>IFERROR(__xludf.DUMMYFUNCTION("""COMPUTED_VALUE"""),"ROWENA ERTA JAVIER")</f>
        <v>ROWENA ERTA JAVIER</v>
      </c>
      <c r="C354" s="1">
        <f>IFERROR(__xludf.DUMMYFUNCTION("""COMPUTED_VALUE"""),2312234156)</f>
        <v>2312234156</v>
      </c>
      <c r="D354" s="1">
        <f>IFERROR(__xludf.DUMMYFUNCTION("""COMPUTED_VALUE"""),407484479)</f>
        <v>407484479</v>
      </c>
      <c r="E354" s="1"/>
      <c r="F354" s="1" t="str">
        <f>IFERROR(__xludf.DUMMYFUNCTION("""COMPUTED_VALUE"""),"CANCELLED")</f>
        <v>CANCELLED</v>
      </c>
      <c r="G354" s="1" t="str">
        <f>IFERROR(__xludf.DUMMYFUNCTION("""COMPUTED_VALUE"""),"(CANCELLED) SERVICE_ORDER_NO = 337546445004 CANCELLED REMARKS: .")</f>
        <v>(CANCELLED) SERVICE_ORDER_NO = 337546445004 CANCELLED REMARKS: .</v>
      </c>
      <c r="H354" s="1"/>
      <c r="I354" s="1"/>
      <c r="J354" s="1"/>
      <c r="K354" s="1"/>
      <c r="L354" s="1" t="str">
        <f>IFERROR(__xludf.DUMMYFUNCTION("""COMPUTED_VALUE"""),"CANCELLED")</f>
        <v>CANCELLED</v>
      </c>
      <c r="M354" s="1" t="str">
        <f>IFERROR(__xludf.DUMMYFUNCTION("""COMPUTED_VALUE"""),"CSP CANCELLED")</f>
        <v>CSP CANCELLED</v>
      </c>
      <c r="N354" s="3"/>
      <c r="O354" s="1" t="str">
        <f>IFERROR(__xludf.DUMMYFUNCTION("""COMPUTED_VALUE"""),"FIBR PLAN 1299")</f>
        <v>FIBR PLAN 1299</v>
      </c>
      <c r="P354" s="1" t="str">
        <f>IFERROR(__xludf.DUMMYFUNCTION("""COMPUTED_VALUE"""),"LOWPLAN")</f>
        <v>LOWPLAN</v>
      </c>
      <c r="Q354" s="1" t="str">
        <f>IFERROR(__xludf.DUMMYFUNCTION("""COMPUTED_VALUE"""),"P407050")</f>
        <v>P407050</v>
      </c>
      <c r="R354" s="1" t="str">
        <f>IFERROR(__xludf.DUMMYFUNCTION("""COMPUTED_VALUE"""),"IVNO, RAZZEL")</f>
        <v>IVNO, RAZZEL</v>
      </c>
      <c r="S354" s="1" t="str">
        <f>IFERROR(__xludf.DUMMYFUNCTION("""COMPUTED_VALUE"""),"ORGANIC")</f>
        <v>ORGANIC</v>
      </c>
      <c r="T354" s="1" t="str">
        <f>IFERROR(__xludf.DUMMYFUNCTION("""COMPUTED_VALUE"""),"LEA REMOLLO")</f>
        <v>LEA REMOLLO</v>
      </c>
      <c r="U354" s="1" t="str">
        <f>IFERROR(__xludf.DUMMYFUNCTION("""COMPUTED_VALUE"""),"JB SALIOA")</f>
        <v>JB SALIOA</v>
      </c>
      <c r="V354" s="1" t="str">
        <f>IFERROR(__xludf.DUMMYFUNCTION("""COMPUTED_VALUE"""),"H2H")</f>
        <v>H2H</v>
      </c>
      <c r="W354" s="1" t="str">
        <f>IFERROR(__xludf.DUMMYFUNCTION("""COMPUTED_VALUE"""),"STK REGULAR")</f>
        <v>STK REGULAR</v>
      </c>
      <c r="X354" s="1" t="str">
        <f>IFERROR(__xludf.DUMMYFUNCTION("""COMPUTED_VALUE"""),"REGULAR")</f>
        <v>REGULAR</v>
      </c>
      <c r="Y354" s="1" t="str">
        <f>IFERROR(__xludf.DUMMYFUNCTION("""COMPUTED_VALUE"""),"RS_HH_CVEU_2026")</f>
        <v>RS_HH_CVEU_2026</v>
      </c>
      <c r="Z354" s="1" t="str">
        <f>IFERROR(__xludf.DUMMYFUNCTION("""COMPUTED_VALUE"""),"NEW CONNECT")</f>
        <v>NEW CONNECT</v>
      </c>
      <c r="AA354" s="1">
        <f>IFERROR(__xludf.DUMMYFUNCTION("""COMPUTED_VALUE"""),639397746589)</f>
        <v>639397746589</v>
      </c>
      <c r="AB354" s="1">
        <f>IFERROR(__xludf.DUMMYFUNCTION("""COMPUTED_VALUE"""),639929227791)</f>
        <v>639929227791</v>
      </c>
      <c r="AC354" s="1">
        <f>IFERROR(__xludf.DUMMYFUNCTION("""COMPUTED_VALUE"""),94)</f>
        <v>94</v>
      </c>
      <c r="AD354" s="1" t="str">
        <f>IFERROR(__xludf.DUMMYFUNCTION("""COMPUTED_VALUE"""),"KAYBAGAL CENTRAL")</f>
        <v>KAYBAGAL CENTRAL</v>
      </c>
      <c r="AE354" s="1"/>
      <c r="AF354" s="1" t="str">
        <f>IFERROR(__xludf.DUMMYFUNCTION("""COMPUTED_VALUE"""),"BGY KAYBAGAL CENTRAL")</f>
        <v>BGY KAYBAGAL CENTRAL</v>
      </c>
      <c r="AG354" s="1" t="str">
        <f>IFERROR(__xludf.DUMMYFUNCTION("""COMPUTED_VALUE"""),"TAGAYTAY")</f>
        <v>TAGAYTAY</v>
      </c>
      <c r="AH354" s="1" t="str">
        <f>IFERROR(__xludf.DUMMYFUNCTION("""COMPUTED_VALUE"""),"TGTLP160NP5/8")</f>
        <v>TGTLP160NP5/8</v>
      </c>
      <c r="AI354" s="1" t="str">
        <f>IFERROR(__xludf.DUMMYFUNCTION("""COMPUTED_VALUE"""),"CLUSTER 12")</f>
        <v>CLUSTER 12</v>
      </c>
    </row>
    <row r="355" customHeight="1" spans="1:35">
      <c r="A355" s="3">
        <f>IFERROR(__xludf.DUMMYFUNCTION("""COMPUTED_VALUE"""),46265)</f>
        <v>46265</v>
      </c>
      <c r="B355" s="1" t="str">
        <f>IFERROR(__xludf.DUMMYFUNCTION("""COMPUTED_VALUE"""),"ROSE-ANN TAGLE AMULONG")</f>
        <v>ROSE-ANN TAGLE AMULONG</v>
      </c>
      <c r="C355" s="1">
        <f>IFERROR(__xludf.DUMMYFUNCTION("""COMPUTED_VALUE"""),2312234835)</f>
        <v>2312234835</v>
      </c>
      <c r="D355" s="1"/>
      <c r="E355" s="1"/>
      <c r="F355" s="1" t="str">
        <f>IFERROR(__xludf.DUMMYFUNCTION("""COMPUTED_VALUE"""),"CANCELLED")</f>
        <v>CANCELLED</v>
      </c>
      <c r="G355" s="1" t="str">
        <f>IFERROR(__xludf.DUMMYFUNCTION("""COMPUTED_VALUE"""),"(OTHERS) RETURN TO SALES | FOUND BLACKLISTED ACCT# (0369652214) WITH OB AMOUNTING (Php4,993.53) FOR SETTLEMENT SAME NAME DIFF ADDRESS | VALIDATED COMPLETE DOCS | CORRECT ENCODED INFO IN CSP | NO EXISTING ACTIVE ACCT AND/OR PENDING/CANCELLED APPLICATION | "&amp;"TU SCORING - GG - 1 (NTC) | 1 AMSF NOT REQUIRED | ADDITIONAL REMARKS - SCANNABLE NATIONAL ID VIA SCAN RESULT")</f>
        <v>(OTHERS) RETURN TO SALES | FOUND BLACKLISTED ACCT# (0369652214) WITH OB AMOUNTING (Php4,993.53) FOR SETTLEMENT SAME NAME DIFF ADDRESS | VALIDATED COMPLETE DOCS | CORRECT ENCODED INFO IN CSP | NO EXISTING ACTIVE ACCT AND/OR PENDING/CANCELLED APPLICATION | TU SCORING - GG - 1 (NTC) | 1 AMSF NOT REQUIRED | ADDITIONAL REMARKS - SCANNABLE NATIONAL ID VIA SCAN RESULT</v>
      </c>
      <c r="H355" s="1"/>
      <c r="I355" s="1"/>
      <c r="J355" s="1"/>
      <c r="K355" s="1"/>
      <c r="L355" s="1" t="str">
        <f>IFERROR(__xludf.DUMMYFUNCTION("""COMPUTED_VALUE"""),"CANCELLED - WITH OB")</f>
        <v>CANCELLED - WITH OB</v>
      </c>
      <c r="M355" s="1" t="str">
        <f>IFERROR(__xludf.DUMMYFUNCTION("""COMPUTED_VALUE"""),"CANCELLED - WITH OB")</f>
        <v>CANCELLED - WITH OB</v>
      </c>
      <c r="N355" s="3"/>
      <c r="O355" s="1" t="str">
        <f>IFERROR(__xludf.DUMMYFUNCTION("""COMPUTED_VALUE"""),"FIBR PLAN 1299")</f>
        <v>FIBR PLAN 1299</v>
      </c>
      <c r="P355" s="1" t="str">
        <f>IFERROR(__xludf.DUMMYFUNCTION("""COMPUTED_VALUE"""),"LOWPLAN")</f>
        <v>LOWPLAN</v>
      </c>
      <c r="Q355" s="1" t="str">
        <f>IFERROR(__xludf.DUMMYFUNCTION("""COMPUTED_VALUE"""),"P407046")</f>
        <v>P407046</v>
      </c>
      <c r="R355" s="1" t="str">
        <f>IFERROR(__xludf.DUMMYFUNCTION("""COMPUTED_VALUE"""),"MALIWAT, MARK")</f>
        <v>MALIWAT, MARK</v>
      </c>
      <c r="S355" s="1" t="str">
        <f>IFERROR(__xludf.DUMMYFUNCTION("""COMPUTED_VALUE"""),"FLA")</f>
        <v>FLA</v>
      </c>
      <c r="T355" s="1" t="str">
        <f>IFERROR(__xludf.DUMMYFUNCTION("""COMPUTED_VALUE"""),"JERIC NAVARRO")</f>
        <v>JERIC NAVARRO</v>
      </c>
      <c r="U355" s="1" t="str">
        <f>IFERROR(__xludf.DUMMYFUNCTION("""COMPUTED_VALUE"""),"JB SALIOA")</f>
        <v>JB SALIOA</v>
      </c>
      <c r="V355" s="1" t="str">
        <f>IFERROR(__xludf.DUMMYFUNCTION("""COMPUTED_VALUE"""),"ONLINE/CRANFORD")</f>
        <v>ONLINE/CRANFORD</v>
      </c>
      <c r="W355" s="1" t="str">
        <f>IFERROR(__xludf.DUMMYFUNCTION("""COMPUTED_VALUE"""),"STK REGULAR")</f>
        <v>STK REGULAR</v>
      </c>
      <c r="X355" s="1" t="str">
        <f>IFERROR(__xludf.DUMMYFUNCTION("""COMPUTED_VALUE"""),"REGULAR")</f>
        <v>REGULAR</v>
      </c>
      <c r="Y355" s="1" t="str">
        <f>IFERROR(__xludf.DUMMYFUNCTION("""COMPUTED_VALUE"""),"RS_ONL_CVEU_2026")</f>
        <v>RS_ONL_CVEU_2026</v>
      </c>
      <c r="Z355" s="1" t="str">
        <f>IFERROR(__xludf.DUMMYFUNCTION("""COMPUTED_VALUE"""),"NEW CONNECT")</f>
        <v>NEW CONNECT</v>
      </c>
      <c r="AA355" s="1">
        <f>IFERROR(__xludf.DUMMYFUNCTION("""COMPUTED_VALUE"""),639171799898)</f>
        <v>639171799898</v>
      </c>
      <c r="AB355" s="1">
        <f>IFERROR(__xludf.DUMMYFUNCTION("""COMPUTED_VALUE"""),639242157871)</f>
        <v>639242157871</v>
      </c>
      <c r="AC355" s="1">
        <f>IFERROR(__xludf.DUMMYFUNCTION("""COMPUTED_VALUE"""),117)</f>
        <v>117</v>
      </c>
      <c r="AD355" s="1" t="str">
        <f>IFERROR(__xludf.DUMMYFUNCTION("""COMPUTED_VALUE"""),"C5")</f>
        <v>C5</v>
      </c>
      <c r="AE355" s="1"/>
      <c r="AF355" s="1" t="str">
        <f>IFERROR(__xludf.DUMMYFUNCTION("""COMPUTED_VALUE"""),"BGY LUKSUHIN ILAYA")</f>
        <v>BGY LUKSUHIN ILAYA</v>
      </c>
      <c r="AG355" s="1" t="str">
        <f>IFERROR(__xludf.DUMMYFUNCTION("""COMPUTED_VALUE"""),"ALFONSO")</f>
        <v>ALFONSO</v>
      </c>
      <c r="AH355" s="1" t="str">
        <f>IFERROR(__xludf.DUMMYFUNCTION("""COMPUTED_VALUE"""),"VILLA KASSANDRA")</f>
        <v>VILLA KASSANDRA</v>
      </c>
      <c r="AI355" s="1" t="str">
        <f>IFERROR(__xludf.DUMMYFUNCTION("""COMPUTED_VALUE"""),"CLUSTER 12")</f>
        <v>CLUSTER 12</v>
      </c>
    </row>
    <row r="356" customHeight="1" spans="1:35">
      <c r="A356" s="3">
        <f>IFERROR(__xludf.DUMMYFUNCTION("""COMPUTED_VALUE"""),46265)</f>
        <v>46265</v>
      </c>
      <c r="B356" s="1" t="str">
        <f>IFERROR(__xludf.DUMMYFUNCTION("""COMPUTED_VALUE"""),"CONCHITA BETACHE MALAIT")</f>
        <v>CONCHITA BETACHE MALAIT</v>
      </c>
      <c r="C356" s="1">
        <f>IFERROR(__xludf.DUMMYFUNCTION("""COMPUTED_VALUE"""),2312235330)</f>
        <v>2312235330</v>
      </c>
      <c r="D356" s="1">
        <f>IFERROR(__xludf.DUMMYFUNCTION("""COMPUTED_VALUE"""),407485327)</f>
        <v>407485327</v>
      </c>
      <c r="E356" s="1">
        <f>IFERROR(__xludf.DUMMYFUNCTION("""COMPUTED_VALUE"""),468681816004)</f>
        <v>468681816004</v>
      </c>
      <c r="F356" s="1" t="str">
        <f>IFERROR(__xludf.DUMMYFUNCTION("""COMPUTED_VALUE"""),"CANCELLED")</f>
        <v>CANCELLED</v>
      </c>
      <c r="G356" s="1" t="str">
        <f>IFERROR(__xludf.DUMMYFUNCTION("""COMPUTED_VALUE"""),"CANCELLED")</f>
        <v>CANCELLED</v>
      </c>
      <c r="H356" s="1"/>
      <c r="I356" s="1"/>
      <c r="J356" s="1"/>
      <c r="K356" s="1" t="str">
        <f>IFERROR(__xludf.DUMMYFUNCTION("""COMPUTED_VALUE"""),"NOT IN OFSC")</f>
        <v>NOT IN OFSC</v>
      </c>
      <c r="L356" s="1" t="str">
        <f>IFERROR(__xludf.DUMMYFUNCTION("""COMPUTED_VALUE"""),"CANCELLED ")</f>
        <v>CANCELLED </v>
      </c>
      <c r="M356" s="1" t="str">
        <f>IFERROR(__xludf.DUMMYFUNCTION("""COMPUTED_VALUE"""),"CANCELLED - NON COMPLIANCE")</f>
        <v>CANCELLED - NON COMPLIANCE</v>
      </c>
      <c r="N356" s="3"/>
      <c r="O356" s="1" t="str">
        <f>IFERROR(__xludf.DUMMYFUNCTION("""COMPUTED_VALUE"""),"FIBR UNLI ALL PLAN 999")</f>
        <v>FIBR UNLI ALL PLAN 999</v>
      </c>
      <c r="P356" s="1" t="str">
        <f>IFERROR(__xludf.DUMMYFUNCTION("""COMPUTED_VALUE"""),"LOWPLAN")</f>
        <v>LOWPLAN</v>
      </c>
      <c r="Q356" s="1" t="str">
        <f>IFERROR(__xludf.DUMMYFUNCTION("""COMPUTED_VALUE"""),"P407050")</f>
        <v>P407050</v>
      </c>
      <c r="R356" s="1" t="str">
        <f>IFERROR(__xludf.DUMMYFUNCTION("""COMPUTED_VALUE"""),"DENACO, RODNEY")</f>
        <v>DENACO, RODNEY</v>
      </c>
      <c r="S356" s="1" t="str">
        <f>IFERROR(__xludf.DUMMYFUNCTION("""COMPUTED_VALUE"""),"ORGANIC")</f>
        <v>ORGANIC</v>
      </c>
      <c r="T356" s="1" t="str">
        <f>IFERROR(__xludf.DUMMYFUNCTION("""COMPUTED_VALUE"""),"LEA REMOLLO")</f>
        <v>LEA REMOLLO</v>
      </c>
      <c r="U356" s="1" t="str">
        <f>IFERROR(__xludf.DUMMYFUNCTION("""COMPUTED_VALUE"""),"JB SALIOA")</f>
        <v>JB SALIOA</v>
      </c>
      <c r="V356" s="1" t="str">
        <f>IFERROR(__xludf.DUMMYFUNCTION("""COMPUTED_VALUE"""),"H2H")</f>
        <v>H2H</v>
      </c>
      <c r="W356" s="1" t="str">
        <f>IFERROR(__xludf.DUMMYFUNCTION("""COMPUTED_VALUE"""),"STK REGULAR")</f>
        <v>STK REGULAR</v>
      </c>
      <c r="X356" s="1" t="str">
        <f>IFERROR(__xludf.DUMMYFUNCTION("""COMPUTED_VALUE"""),"REGULAR")</f>
        <v>REGULAR</v>
      </c>
      <c r="Y356" s="1" t="str">
        <f>IFERROR(__xludf.DUMMYFUNCTION("""COMPUTED_VALUE"""),"RS_HH_CVEU_2026")</f>
        <v>RS_HH_CVEU_2026</v>
      </c>
      <c r="Z356" s="1" t="str">
        <f>IFERROR(__xludf.DUMMYFUNCTION("""COMPUTED_VALUE"""),"NEW CONNECT")</f>
        <v>NEW CONNECT</v>
      </c>
      <c r="AA356" s="1">
        <f>IFERROR(__xludf.DUMMYFUNCTION("""COMPUTED_VALUE"""),639458033631)</f>
        <v>639458033631</v>
      </c>
      <c r="AB356" s="1">
        <f>IFERROR(__xludf.DUMMYFUNCTION("""COMPUTED_VALUE"""),639773793102)</f>
        <v>639773793102</v>
      </c>
      <c r="AC356" s="1">
        <f>IFERROR(__xludf.DUMMYFUNCTION("""COMPUTED_VALUE"""),13)</f>
        <v>13</v>
      </c>
      <c r="AD356" s="1" t="str">
        <f>IFERROR(__xludf.DUMMYFUNCTION("""COMPUTED_VALUE"""),"P ANTONIO")</f>
        <v>P ANTONIO</v>
      </c>
      <c r="AE356" s="1" t="str">
        <f>IFERROR(__xludf.DUMMYFUNCTION("""COMPUTED_VALUE"""),"MARY ANN VILLAGE")</f>
        <v>MARY ANN VILLAGE</v>
      </c>
      <c r="AF356" s="1" t="str">
        <f>IFERROR(__xludf.DUMMYFUNCTION("""COMPUTED_VALUE"""),"BGY 5")</f>
        <v>BGY 5</v>
      </c>
      <c r="AG356" s="1" t="str">
        <f>IFERROR(__xludf.DUMMYFUNCTION("""COMPUTED_VALUE"""),"SILANG")</f>
        <v>SILANG</v>
      </c>
      <c r="AH356" s="1" t="str">
        <f>IFERROR(__xludf.DUMMYFUNCTION("""COMPUTED_VALUE"""),"TRICYCLE TERMINAL")</f>
        <v>TRICYCLE TERMINAL</v>
      </c>
      <c r="AI356" s="1" t="str">
        <f>IFERROR(__xludf.DUMMYFUNCTION("""COMPUTED_VALUE"""),"CLUSTER 11")</f>
        <v>CLUSTER 11</v>
      </c>
    </row>
    <row r="357" customHeight="1" spans="1:35">
      <c r="A357" s="3">
        <f>IFERROR(__xludf.DUMMYFUNCTION("""COMPUTED_VALUE"""),46265)</f>
        <v>46265</v>
      </c>
      <c r="B357" s="1" t="str">
        <f>IFERROR(__xludf.DUMMYFUNCTION("""COMPUTED_VALUE"""),"ARNEL JR PAQUERGAN ARELLANO")</f>
        <v>ARNEL JR PAQUERGAN ARELLANO</v>
      </c>
      <c r="C357" s="1">
        <f>IFERROR(__xludf.DUMMYFUNCTION("""COMPUTED_VALUE"""),2312237065)</f>
        <v>2312237065</v>
      </c>
      <c r="D357" s="1">
        <f>IFERROR(__xludf.DUMMYFUNCTION("""COMPUTED_VALUE"""),407486420)</f>
        <v>407486420</v>
      </c>
      <c r="E357" s="1">
        <f>IFERROR(__xludf.DUMMYFUNCTION("""COMPUTED_VALUE"""),468682203004)</f>
        <v>468682203004</v>
      </c>
      <c r="F357" s="1" t="str">
        <f>IFERROR(__xludf.DUMMYFUNCTION("""COMPUTED_VALUE"""),"CANCELLED")</f>
        <v>CANCELLED</v>
      </c>
      <c r="G357" s="1" t="str">
        <f>IFERROR(__xludf.DUMMYFUNCTION("""COMPUTED_VALUE"""),"RPR VISITED 1ST TRY BUT CANT LOCATE SUBS CBR GIVEN RINGING ONLY ALREADY TEXTED BUT NO REPLY HINDI DIN KILALA NG NAPAGTANONGAN  ‎")</f>
        <v>RPR VISITED 1ST TRY BUT CANT LOCATE SUBS CBR GIVEN RINGING ONLY ALREADY TEXTED BUT NO REPLY HINDI DIN KILALA NG NAPAGTANONGAN  ‎</v>
      </c>
      <c r="H357" s="1"/>
      <c r="I357" s="1"/>
      <c r="J357" s="1"/>
      <c r="K357" s="1" t="str">
        <f>IFERROR(__xludf.DUMMYFUNCTION("""COMPUTED_VALUE"""),"CANCELED")</f>
        <v>CANCELED</v>
      </c>
      <c r="L357" s="1" t="str">
        <f>IFERROR(__xludf.DUMMYFUNCTION("""COMPUTED_VALUE"""),"FOR CANCELLATION")</f>
        <v>FOR CANCELLATION</v>
      </c>
      <c r="M357" s="1" t="str">
        <f>IFERROR(__xludf.DUMMYFUNCTION("""COMPUTED_VALUE"""),"FOR CANCELLATION - NON COMPLIANCE - NO PAYMENT")</f>
        <v>FOR CANCELLATION - NON COMPLIANCE - NO PAYMENT</v>
      </c>
      <c r="N357" s="3"/>
      <c r="O357" s="1" t="str">
        <f>IFERROR(__xludf.DUMMYFUNCTION("""COMPUTED_VALUE"""),"FIBR UNLI ALL PLAN 999")</f>
        <v>FIBR UNLI ALL PLAN 999</v>
      </c>
      <c r="P357" s="1" t="str">
        <f>IFERROR(__xludf.DUMMYFUNCTION("""COMPUTED_VALUE"""),"LOWPLAN")</f>
        <v>LOWPLAN</v>
      </c>
      <c r="Q357" s="1" t="str">
        <f>IFERROR(__xludf.DUMMYFUNCTION("""COMPUTED_VALUE"""),"P407047")</f>
        <v>P407047</v>
      </c>
      <c r="R357" s="1" t="str">
        <f>IFERROR(__xludf.DUMMYFUNCTION("""COMPUTED_VALUE"""),"FRANCISCO, ROSELYN")</f>
        <v>FRANCISCO, ROSELYN</v>
      </c>
      <c r="S357" s="1" t="str">
        <f>IFERROR(__xludf.DUMMYFUNCTION("""COMPUTED_VALUE"""),"ORGANIC")</f>
        <v>ORGANIC</v>
      </c>
      <c r="T357" s="1" t="str">
        <f>IFERROR(__xludf.DUMMYFUNCTION("""COMPUTED_VALUE"""),"LEA REMOLLO")</f>
        <v>LEA REMOLLO</v>
      </c>
      <c r="U357" s="1" t="str">
        <f>IFERROR(__xludf.DUMMYFUNCTION("""COMPUTED_VALUE"""),"JB SALIOA")</f>
        <v>JB SALIOA</v>
      </c>
      <c r="V357" s="1" t="str">
        <f>IFERROR(__xludf.DUMMYFUNCTION("""COMPUTED_VALUE"""),"ONLINE/CRANFORD")</f>
        <v>ONLINE/CRANFORD</v>
      </c>
      <c r="W357" s="1" t="str">
        <f>IFERROR(__xludf.DUMMYFUNCTION("""COMPUTED_VALUE"""),"STK REGULAR")</f>
        <v>STK REGULAR</v>
      </c>
      <c r="X357" s="1" t="str">
        <f>IFERROR(__xludf.DUMMYFUNCTION("""COMPUTED_VALUE"""),"REGULAR")</f>
        <v>REGULAR</v>
      </c>
      <c r="Y357" s="1" t="str">
        <f>IFERROR(__xludf.DUMMYFUNCTION("""COMPUTED_VALUE"""),"RS_ONL_CVEU_2026")</f>
        <v>RS_ONL_CVEU_2026</v>
      </c>
      <c r="Z357" s="1" t="str">
        <f>IFERROR(__xludf.DUMMYFUNCTION("""COMPUTED_VALUE"""),"NEW CONNECT")</f>
        <v>NEW CONNECT</v>
      </c>
      <c r="AA357" s="1">
        <f>IFERROR(__xludf.DUMMYFUNCTION("""COMPUTED_VALUE"""),639859862251)</f>
        <v>639859862251</v>
      </c>
      <c r="AB357" s="1"/>
      <c r="AC357" s="1"/>
      <c r="AD357" s="1" t="str">
        <f>IFERROR(__xludf.DUMMYFUNCTION("""COMPUTED_VALUE"""),"PHASE 3")</f>
        <v>PHASE 3</v>
      </c>
      <c r="AE357" s="1" t="str">
        <f>IFERROR(__xludf.DUMMYFUNCTION("""COMPUTED_VALUE"""),"CHOPLOT")</f>
        <v>CHOPLOT</v>
      </c>
      <c r="AF357" s="1" t="str">
        <f>IFERROR(__xludf.DUMMYFUNCTION("""COMPUTED_VALUE"""),"BGY PALIPARAN 3")</f>
        <v>BGY PALIPARAN 3</v>
      </c>
      <c r="AG357" s="1" t="str">
        <f>IFERROR(__xludf.DUMMYFUNCTION("""COMPUTED_VALUE"""),"DASMARINAS")</f>
        <v>DASMARINAS</v>
      </c>
      <c r="AH357" s="1" t="str">
        <f>IFERROR(__xludf.DUMMYFUNCTION("""COMPUTED_VALUE"""),"IGLESIA NI CRISTO")</f>
        <v>IGLESIA NI CRISTO</v>
      </c>
      <c r="AI357" s="1" t="str">
        <f>IFERROR(__xludf.DUMMYFUNCTION("""COMPUTED_VALUE"""),"NOT AOR")</f>
        <v>NOT AOR</v>
      </c>
    </row>
    <row r="358" customHeight="1" spans="1:35">
      <c r="A358" s="3">
        <f>IFERROR(__xludf.DUMMYFUNCTION("""COMPUTED_VALUE"""),46265)</f>
        <v>46265</v>
      </c>
      <c r="B358" s="1" t="str">
        <f>IFERROR(__xludf.DUMMYFUNCTION("""COMPUTED_VALUE"""),"RANDY GARCIA PADILLA")</f>
        <v>RANDY GARCIA PADILLA</v>
      </c>
      <c r="C358" s="1">
        <f>IFERROR(__xludf.DUMMYFUNCTION("""COMPUTED_VALUE"""),2312242328)</f>
        <v>2312242328</v>
      </c>
      <c r="D358" s="1">
        <f>IFERROR(__xludf.DUMMYFUNCTION("""COMPUTED_VALUE"""),407491068)</f>
        <v>407491068</v>
      </c>
      <c r="E358" s="1">
        <f>IFERROR(__xludf.DUMMYFUNCTION("""COMPUTED_VALUE"""),468687702004)</f>
        <v>468687702004</v>
      </c>
      <c r="F358" s="1" t="str">
        <f>IFERROR(__xludf.DUMMYFUNCTION("""COMPUTED_VALUE"""),"CLOSED")</f>
        <v>CLOSED</v>
      </c>
      <c r="G358" s="1" t="str">
        <f>IFERROR(__xludf.DUMMYFUNCTION("""COMPUTED_VALUE"""),"CLOSED")</f>
        <v>CLOSED</v>
      </c>
      <c r="H358" s="1" t="str">
        <f>IFERROR(__xludf.DUMMYFUNCTION("""COMPUTED_VALUE"""),"PAID VIA GCASH REF 050557609 SEP 6")</f>
        <v>PAID VIA GCASH REF 050557609 SEP 6</v>
      </c>
      <c r="I358" s="1" t="str">
        <f>IFERROR(__xludf.DUMMYFUNCTION("""COMPUTED_VALUE"""),"WITH 1 AMSF")</f>
        <v>WITH 1 AMSF</v>
      </c>
      <c r="J358" s="1"/>
      <c r="K358" s="1" t="str">
        <f>IFERROR(__xludf.DUMMYFUNCTION("""COMPUTED_VALUE"""),"COMPLETED")</f>
        <v>COMPLETED</v>
      </c>
      <c r="L358" s="1" t="str">
        <f>IFERROR(__xludf.DUMMYFUNCTION("""COMPUTED_VALUE"""),"POSTED")</f>
        <v>POSTED</v>
      </c>
      <c r="M358" s="1" t="str">
        <f>IFERROR(__xludf.DUMMYFUNCTION("""COMPUTED_VALUE"""),"POSTED")</f>
        <v>POSTED</v>
      </c>
      <c r="N358" s="3">
        <f>IFERROR(__xludf.DUMMYFUNCTION("""COMPUTED_VALUE"""),46267)</f>
        <v>46267</v>
      </c>
      <c r="O358" s="1" t="str">
        <f>IFERROR(__xludf.DUMMYFUNCTION("""COMPUTED_VALUE"""),"FIBR PLAN 1299")</f>
        <v>FIBR PLAN 1299</v>
      </c>
      <c r="P358" s="1" t="str">
        <f>IFERROR(__xludf.DUMMYFUNCTION("""COMPUTED_VALUE"""),"LOWPLAN")</f>
        <v>LOWPLAN</v>
      </c>
      <c r="Q358" s="1" t="str">
        <f>IFERROR(__xludf.DUMMYFUNCTION("""COMPUTED_VALUE"""),"P407050")</f>
        <v>P407050</v>
      </c>
      <c r="R358" s="1" t="str">
        <f>IFERROR(__xludf.DUMMYFUNCTION("""COMPUTED_VALUE"""),"TAMAYO, MARY ROSE ZAIRA")</f>
        <v>TAMAYO, MARY ROSE ZAIRA</v>
      </c>
      <c r="S358" s="1" t="str">
        <f>IFERROR(__xludf.DUMMYFUNCTION("""COMPUTED_VALUE"""),"ORGANIC")</f>
        <v>ORGANIC</v>
      </c>
      <c r="T358" s="1" t="str">
        <f>IFERROR(__xludf.DUMMYFUNCTION("""COMPUTED_VALUE"""),"LEA REMOLLO")</f>
        <v>LEA REMOLLO</v>
      </c>
      <c r="U358" s="1" t="str">
        <f>IFERROR(__xludf.DUMMYFUNCTION("""COMPUTED_VALUE"""),"JB SALIOA")</f>
        <v>JB SALIOA</v>
      </c>
      <c r="V358" s="1" t="str">
        <f>IFERROR(__xludf.DUMMYFUNCTION("""COMPUTED_VALUE"""),"H2H")</f>
        <v>H2H</v>
      </c>
      <c r="W358" s="1" t="str">
        <f>IFERROR(__xludf.DUMMYFUNCTION("""COMPUTED_VALUE"""),"STK REGULAR")</f>
        <v>STK REGULAR</v>
      </c>
      <c r="X358" s="1" t="str">
        <f>IFERROR(__xludf.DUMMYFUNCTION("""COMPUTED_VALUE"""),"REGULAR")</f>
        <v>REGULAR</v>
      </c>
      <c r="Y358" s="1" t="str">
        <f>IFERROR(__xludf.DUMMYFUNCTION("""COMPUTED_VALUE"""),"RS_HH_CVEU_2026")</f>
        <v>RS_HH_CVEU_2026</v>
      </c>
      <c r="Z358" s="1" t="str">
        <f>IFERROR(__xludf.DUMMYFUNCTION("""COMPUTED_VALUE"""),"NEW CONNECT")</f>
        <v>NEW CONNECT</v>
      </c>
      <c r="AA358" s="1">
        <f>IFERROR(__xludf.DUMMYFUNCTION("""COMPUTED_VALUE"""),639976606487)</f>
        <v>639976606487</v>
      </c>
      <c r="AB358" s="1">
        <f>IFERROR(__xludf.DUMMYFUNCTION("""COMPUTED_VALUE"""),639389800103)</f>
        <v>639389800103</v>
      </c>
      <c r="AC358" s="1">
        <f>IFERROR(__xludf.DUMMYFUNCTION("""COMPUTED_VALUE"""),27)</f>
        <v>27</v>
      </c>
      <c r="AD358" s="1" t="str">
        <f>IFERROR(__xludf.DUMMYFUNCTION("""COMPUTED_VALUE"""),"PUROK 1")</f>
        <v>PUROK 1</v>
      </c>
      <c r="AE358" s="1"/>
      <c r="AF358" s="1" t="str">
        <f>IFERROR(__xludf.DUMMYFUNCTION("""COMPUTED_VALUE"""),"BGY TAYWANAK IBABA")</f>
        <v>BGY TAYWANAK IBABA</v>
      </c>
      <c r="AG358" s="1" t="str">
        <f>IFERROR(__xludf.DUMMYFUNCTION("""COMPUTED_VALUE"""),"ALFONSO")</f>
        <v>ALFONSO</v>
      </c>
      <c r="AH358" s="1" t="str">
        <f>IFERROR(__xludf.DUMMYFUNCTION("""COMPUTED_VALUE"""),"SCHOOL")</f>
        <v>SCHOOL</v>
      </c>
      <c r="AI358" s="1" t="str">
        <f>IFERROR(__xludf.DUMMYFUNCTION("""COMPUTED_VALUE"""),"CLUSTER 12")</f>
        <v>CLUSTER 12</v>
      </c>
    </row>
    <row r="359" customHeight="1" spans="1:35">
      <c r="A359" s="3">
        <f>IFERROR(__xludf.DUMMYFUNCTION("""COMPUTED_VALUE"""),46265)</f>
        <v>46265</v>
      </c>
      <c r="B359" s="1" t="str">
        <f>IFERROR(__xludf.DUMMYFUNCTION("""COMPUTED_VALUE"""),"RANNEL ANZANO MENDOZA")</f>
        <v>RANNEL ANZANO MENDOZA</v>
      </c>
      <c r="C359" s="1">
        <f>IFERROR(__xludf.DUMMYFUNCTION("""COMPUTED_VALUE"""),2312243109)</f>
        <v>2312243109</v>
      </c>
      <c r="D359" s="1">
        <f>IFERROR(__xludf.DUMMYFUNCTION("""COMPUTED_VALUE"""),407503228)</f>
        <v>407503228</v>
      </c>
      <c r="E359" s="1">
        <f>IFERROR(__xludf.DUMMYFUNCTION("""COMPUTED_VALUE"""),468713350004)</f>
        <v>468713350004</v>
      </c>
      <c r="F359" s="1" t="str">
        <f>IFERROR(__xludf.DUMMYFUNCTION("""COMPUTED_VALUE"""),"CANCELLED")</f>
        <v>CANCELLED</v>
      </c>
      <c r="G359" s="1" t="str">
        <f>IFERROR(__xludf.DUMMYFUNCTION("""COMPUTED_VALUE"""),"""CALL THRU 
REMARKS: RESCHEDULE WITH NO SPECIFIC DATE, AS PER SIR RANNEL NASA TRABAHO DAW SILA MAG PM NALANG DAW SILA KAPAG AVAILABLE NA SILA 
TALK: RANNEL 
CBR: 09665965235 
""")</f>
        <v>"CALL THRU 
REMARKS: RESCHEDULE WITH NO SPECIFIC DATE, AS PER SIR RANNEL NASA TRABAHO DAW SILA MAG PM NALANG DAW SILA KAPAG AVAILABLE NA SILA 
TALK: RANNEL 
CBR: 09665965235 
"</v>
      </c>
      <c r="H359" s="1" t="str">
        <f>IFERROR(__xludf.DUMMYFUNCTION("""COMPUTED_VALUE"""),"PAID VIA CSP")</f>
        <v>PAID VIA CSP</v>
      </c>
      <c r="I359" s="1"/>
      <c r="J359" s="1"/>
      <c r="K359" s="1" t="str">
        <f>IFERROR(__xludf.DUMMYFUNCTION("""COMPUTED_VALUE"""),"CANCELED")</f>
        <v>CANCELED</v>
      </c>
      <c r="L359" s="1" t="str">
        <f>IFERROR(__xludf.DUMMYFUNCTION("""COMPUTED_VALUE"""),"AFD - RESCHEDULE")</f>
        <v>AFD - RESCHEDULE</v>
      </c>
      <c r="M359" s="1" t="str">
        <f>IFERROR(__xludf.DUMMYFUNCTION("""COMPUTED_VALUE"""),"AFD - RESCHEDULED")</f>
        <v>AFD - RESCHEDULED</v>
      </c>
      <c r="N359" s="3"/>
      <c r="O359" s="1" t="str">
        <f>IFERROR(__xludf.DUMMYFUNCTION("""COMPUTED_VALUE"""),"FIBR PLAN 1299")</f>
        <v>FIBR PLAN 1299</v>
      </c>
      <c r="P359" s="1" t="str">
        <f>IFERROR(__xludf.DUMMYFUNCTION("""COMPUTED_VALUE"""),"LOWPLAN")</f>
        <v>LOWPLAN</v>
      </c>
      <c r="Q359" s="1" t="str">
        <f>IFERROR(__xludf.DUMMYFUNCTION("""COMPUTED_VALUE"""),"P407050")</f>
        <v>P407050</v>
      </c>
      <c r="R359" s="1" t="str">
        <f>IFERROR(__xludf.DUMMYFUNCTION("""COMPUTED_VALUE"""),"MAGDARAOG, KENNETH")</f>
        <v>MAGDARAOG, KENNETH</v>
      </c>
      <c r="S359" s="1" t="str">
        <f>IFERROR(__xludf.DUMMYFUNCTION("""COMPUTED_VALUE"""),"ORGANIC")</f>
        <v>ORGANIC</v>
      </c>
      <c r="T359" s="1" t="str">
        <f>IFERROR(__xludf.DUMMYFUNCTION("""COMPUTED_VALUE"""),"LEA REMOLLO")</f>
        <v>LEA REMOLLO</v>
      </c>
      <c r="U359" s="1" t="str">
        <f>IFERROR(__xludf.DUMMYFUNCTION("""COMPUTED_VALUE"""),"JB SALIOA")</f>
        <v>JB SALIOA</v>
      </c>
      <c r="V359" s="1" t="str">
        <f>IFERROR(__xludf.DUMMYFUNCTION("""COMPUTED_VALUE"""),"H2H")</f>
        <v>H2H</v>
      </c>
      <c r="W359" s="1" t="str">
        <f>IFERROR(__xludf.DUMMYFUNCTION("""COMPUTED_VALUE"""),"STK REGULAR")</f>
        <v>STK REGULAR</v>
      </c>
      <c r="X359" s="1" t="str">
        <f>IFERROR(__xludf.DUMMYFUNCTION("""COMPUTED_VALUE"""),"REGULAR")</f>
        <v>REGULAR</v>
      </c>
      <c r="Y359" s="1" t="str">
        <f>IFERROR(__xludf.DUMMYFUNCTION("""COMPUTED_VALUE"""),"RS_HH_CVEU_2026")</f>
        <v>RS_HH_CVEU_2026</v>
      </c>
      <c r="Z359" s="1" t="str">
        <f>IFERROR(__xludf.DUMMYFUNCTION("""COMPUTED_VALUE"""),"NEW CONNECT")</f>
        <v>NEW CONNECT</v>
      </c>
      <c r="AA359" s="1">
        <f>IFERROR(__xludf.DUMMYFUNCTION("""COMPUTED_VALUE"""),639665965235)</f>
        <v>639665965235</v>
      </c>
      <c r="AB359" s="1">
        <f>IFERROR(__xludf.DUMMYFUNCTION("""COMPUTED_VALUE"""),639396051238)</f>
        <v>639396051238</v>
      </c>
      <c r="AC359" s="1">
        <f>IFERROR(__xludf.DUMMYFUNCTION("""COMPUTED_VALUE"""),37)</f>
        <v>37</v>
      </c>
      <c r="AD359" s="1" t="str">
        <f>IFERROR(__xludf.DUMMYFUNCTION("""COMPUTED_VALUE"""),"MANGAS 1")</f>
        <v>MANGAS 1</v>
      </c>
      <c r="AE359" s="1" t="str">
        <f>IFERROR(__xludf.DUMMYFUNCTION("""COMPUTED_VALUE"""),"MORALES APARTMENT ABC")</f>
        <v>MORALES APARTMENT ABC</v>
      </c>
      <c r="AF359" s="1" t="str">
        <f>IFERROR(__xludf.DUMMYFUNCTION("""COMPUTED_VALUE"""),"BGY MANGAS 1")</f>
        <v>BGY MANGAS 1</v>
      </c>
      <c r="AG359" s="1" t="str">
        <f>IFERROR(__xludf.DUMMYFUNCTION("""COMPUTED_VALUE"""),"ALFONSO")</f>
        <v>ALFONSO</v>
      </c>
      <c r="AH359" s="1" t="str">
        <f>IFERROR(__xludf.DUMMYFUNCTION("""COMPUTED_VALUE"""),"BRGY HALL")</f>
        <v>BRGY HALL</v>
      </c>
      <c r="AI359" s="1" t="str">
        <f>IFERROR(__xludf.DUMMYFUNCTION("""COMPUTED_VALUE"""),"CLUSTER 12")</f>
        <v>CLUSTER 12</v>
      </c>
    </row>
    <row r="360" customHeight="1" spans="1:35">
      <c r="A360" s="3">
        <f>IFERROR(__xludf.DUMMYFUNCTION("""COMPUTED_VALUE"""),46265)</f>
        <v>46265</v>
      </c>
      <c r="B360" s="1" t="str">
        <f>IFERROR(__xludf.DUMMYFUNCTION("""COMPUTED_VALUE"""),"ARLENE DANDAN FLORESTO-LIM")</f>
        <v>ARLENE DANDAN FLORESTO-LIM</v>
      </c>
      <c r="C360" s="1">
        <f>IFERROR(__xludf.DUMMYFUNCTION("""COMPUTED_VALUE"""),2312243583)</f>
        <v>2312243583</v>
      </c>
      <c r="D360" s="1">
        <f>IFERROR(__xludf.DUMMYFUNCTION("""COMPUTED_VALUE"""),407491025)</f>
        <v>407491025</v>
      </c>
      <c r="E360" s="1">
        <f>IFERROR(__xludf.DUMMYFUNCTION("""COMPUTED_VALUE"""),468687710004)</f>
        <v>468687710004</v>
      </c>
      <c r="F360" s="1" t="str">
        <f>IFERROR(__xludf.DUMMYFUNCTION("""COMPUTED_VALUE"""),"CANCELLED")</f>
        <v>CANCELLED</v>
      </c>
      <c r="G360" s="1" t="str">
        <f>IFERROR(__xludf.DUMMYFUNCTION("""COMPUTED_VALUE"""),"""VISITED 
REMARKS: AREA SURVEY FULL CAFAC 
ALFLP81NP2 FULL 7 SPAN 
ALFLP80NP8 FULL 10SPAN 
ASIGN CAFAC ALF196NP1 OVS 
16 SPAN FOR APPROVAL 
DALAWA LANG PO BOX NI PLDT MALAPIT NA PUMASOK SA AREA NILA 
SUBS ALREADY ADVICED 
TALK: MAAM ARLENE 
CBR: 956379"&amp;"7468""")</f>
        <v>"VISITED 
REMARKS: AREA SURVEY FULL CAFAC 
ALFLP81NP2 FULL 7 SPAN 
ALFLP80NP8 FULL 10SPAN 
ASIGN CAFAC ALF196NP1 OVS 
16 SPAN FOR APPROVAL 
DALAWA LANG PO BOX NI PLDT MALAPIT NA PUMASOK SA AREA NILA 
SUBS ALREADY ADVICED 
TALK: MAAM ARLENE 
CBR: 9563797468"</v>
      </c>
      <c r="H360" s="1"/>
      <c r="I360" s="1"/>
      <c r="J360" s="1"/>
      <c r="K360" s="1" t="str">
        <f>IFERROR(__xludf.DUMMYFUNCTION("""COMPUTED_VALUE"""),"CANCELED")</f>
        <v>CANCELED</v>
      </c>
      <c r="L360" s="1" t="str">
        <f>IFERROR(__xludf.DUMMYFUNCTION("""COMPUTED_VALUE"""),"RPR - NAP FULL")</f>
        <v>RPR - NAP FULL</v>
      </c>
      <c r="M360" s="1" t="str">
        <f>IFERROR(__xludf.DUMMYFUNCTION("""COMPUTED_VALUE"""),"RPR- NAP FULL")</f>
        <v>RPR- NAP FULL</v>
      </c>
      <c r="N360" s="3"/>
      <c r="O360" s="1" t="str">
        <f>IFERROR(__xludf.DUMMYFUNCTION("""COMPUTED_VALUE"""),"FIBER UNLI ALL PLAN 2599")</f>
        <v>FIBER UNLI ALL PLAN 2599</v>
      </c>
      <c r="P360" s="1" t="str">
        <f>IFERROR(__xludf.DUMMYFUNCTION("""COMPUTED_VALUE"""),"HIGHPLAN")</f>
        <v>HIGHPLAN</v>
      </c>
      <c r="Q360" s="1" t="str">
        <f>IFERROR(__xludf.DUMMYFUNCTION("""COMPUTED_VALUE"""),"P407050")</f>
        <v>P407050</v>
      </c>
      <c r="R360" s="1" t="str">
        <f>IFERROR(__xludf.DUMMYFUNCTION("""COMPUTED_VALUE"""),"ARENA, LYKA")</f>
        <v>ARENA, LYKA</v>
      </c>
      <c r="S360" s="1" t="str">
        <f>IFERROR(__xludf.DUMMYFUNCTION("""COMPUTED_VALUE"""),"ORGANIC")</f>
        <v>ORGANIC</v>
      </c>
      <c r="T360" s="1" t="str">
        <f>IFERROR(__xludf.DUMMYFUNCTION("""COMPUTED_VALUE"""),"LEA REMOLLO")</f>
        <v>LEA REMOLLO</v>
      </c>
      <c r="U360" s="1" t="str">
        <f>IFERROR(__xludf.DUMMYFUNCTION("""COMPUTED_VALUE"""),"JB SALIOA")</f>
        <v>JB SALIOA</v>
      </c>
      <c r="V360" s="1" t="str">
        <f>IFERROR(__xludf.DUMMYFUNCTION("""COMPUTED_VALUE"""),"H2H")</f>
        <v>H2H</v>
      </c>
      <c r="W360" s="1" t="str">
        <f>IFERROR(__xludf.DUMMYFUNCTION("""COMPUTED_VALUE"""),"STK REGULAR")</f>
        <v>STK REGULAR</v>
      </c>
      <c r="X360" s="1" t="str">
        <f>IFERROR(__xludf.DUMMYFUNCTION("""COMPUTED_VALUE"""),"HBBS AUG 2026")</f>
        <v>HBBS AUG 2026</v>
      </c>
      <c r="Y360" s="1" t="str">
        <f>IFERROR(__xludf.DUMMYFUNCTION("""COMPUTED_VALUE"""),"RS_HH_CVEU_2026")</f>
        <v>RS_HH_CVEU_2026</v>
      </c>
      <c r="Z360" s="1" t="str">
        <f>IFERROR(__xludf.DUMMYFUNCTION("""COMPUTED_VALUE"""),"NEW CONNECT")</f>
        <v>NEW CONNECT</v>
      </c>
      <c r="AA360" s="1">
        <f>IFERROR(__xludf.DUMMYFUNCTION("""COMPUTED_VALUE"""),639563797468)</f>
        <v>639563797468</v>
      </c>
      <c r="AB360" s="1"/>
      <c r="AC360" s="1"/>
      <c r="AD360" s="1" t="str">
        <f>IFERROR(__xludf.DUMMYFUNCTION("""COMPUTED_VALUE"""),"LAND OF BOUNTIFUL")</f>
        <v>LAND OF BOUNTIFUL</v>
      </c>
      <c r="AE360" s="1"/>
      <c r="AF360" s="1" t="str">
        <f>IFERROR(__xludf.DUMMYFUNCTION("""COMPUTED_VALUE"""),"BGY ESPERANZA IBABA")</f>
        <v>BGY ESPERANZA IBABA</v>
      </c>
      <c r="AG360" s="1" t="str">
        <f>IFERROR(__xludf.DUMMYFUNCTION("""COMPUTED_VALUE"""),"ALFONSO")</f>
        <v>ALFONSO</v>
      </c>
      <c r="AH360" s="1" t="str">
        <f>IFERROR(__xludf.DUMMYFUNCTION("""COMPUTED_VALUE"""),"-")</f>
        <v>-</v>
      </c>
      <c r="AI360" s="1" t="str">
        <f>IFERROR(__xludf.DUMMYFUNCTION("""COMPUTED_VALUE"""),"CLUSTER 12")</f>
        <v>CLUSTER 12</v>
      </c>
    </row>
    <row r="361" customHeight="1" spans="1:35">
      <c r="A361" s="3">
        <f>IFERROR(__xludf.DUMMYFUNCTION("""COMPUTED_VALUE"""),46265)</f>
        <v>46265</v>
      </c>
      <c r="B361" s="1" t="str">
        <f>IFERROR(__xludf.DUMMYFUNCTION("""COMPUTED_VALUE"""),"MARIA MAURENE CRISTAL . GARCIA")</f>
        <v>MARIA MAURENE CRISTAL . GARCIA</v>
      </c>
      <c r="C361" s="1">
        <f>IFERROR(__xludf.DUMMYFUNCTION("""COMPUTED_VALUE"""),2312243839)</f>
        <v>2312243839</v>
      </c>
      <c r="D361" s="1">
        <f>IFERROR(__xludf.DUMMYFUNCTION("""COMPUTED_VALUE"""),407491564)</f>
        <v>407491564</v>
      </c>
      <c r="E361" s="1">
        <f>IFERROR(__xludf.DUMMYFUNCTION("""COMPUTED_VALUE"""),468687601004)</f>
        <v>468687601004</v>
      </c>
      <c r="F361" s="1" t="str">
        <f>IFERROR(__xludf.DUMMYFUNCTION("""COMPUTED_VALUE"""),"CLOSED")</f>
        <v>CLOSED</v>
      </c>
      <c r="G361" s="1" t="str">
        <f>IFERROR(__xludf.DUMMYFUNCTION("""COMPUTED_VALUE"""),"CLOSED")</f>
        <v>CLOSED</v>
      </c>
      <c r="H361" s="1"/>
      <c r="I361" s="1" t="str">
        <f>IFERROR(__xludf.DUMMYFUNCTION("""COMPUTED_VALUE"""),"NO 1 AMSF")</f>
        <v>NO 1 AMSF</v>
      </c>
      <c r="J361" s="1" t="str">
        <f>IFERROR(__xludf.DUMMYFUNCTION("""COMPUTED_VALUE"""),"DUE DATE - 26-Sep-26 - 1,489.26")</f>
        <v>DUE DATE - 26-Sep-26 - 1,489.26</v>
      </c>
      <c r="K361" s="1" t="str">
        <f>IFERROR(__xludf.DUMMYFUNCTION("""COMPUTED_VALUE"""),"COMPLETED")</f>
        <v>COMPLETED</v>
      </c>
      <c r="L361" s="1" t="str">
        <f>IFERROR(__xludf.DUMMYFUNCTION("""COMPUTED_VALUE"""),"POSTED")</f>
        <v>POSTED</v>
      </c>
      <c r="M361" s="1" t="str">
        <f>IFERROR(__xludf.DUMMYFUNCTION("""COMPUTED_VALUE"""),"POSTED")</f>
        <v>POSTED</v>
      </c>
      <c r="N361" s="3">
        <f>IFERROR(__xludf.DUMMYFUNCTION("""COMPUTED_VALUE"""),46266)</f>
        <v>46266</v>
      </c>
      <c r="O361" s="1" t="str">
        <f>IFERROR(__xludf.DUMMYFUNCTION("""COMPUTED_VALUE"""),"FIBR PLAN 1299")</f>
        <v>FIBR PLAN 1299</v>
      </c>
      <c r="P361" s="1" t="str">
        <f>IFERROR(__xludf.DUMMYFUNCTION("""COMPUTED_VALUE"""),"LOWPLAN")</f>
        <v>LOWPLAN</v>
      </c>
      <c r="Q361" s="1" t="str">
        <f>IFERROR(__xludf.DUMMYFUNCTION("""COMPUTED_VALUE"""),"P407050")</f>
        <v>P407050</v>
      </c>
      <c r="R361" s="1" t="str">
        <f>IFERROR(__xludf.DUMMYFUNCTION("""COMPUTED_VALUE"""),"CADERAO, RONALD")</f>
        <v>CADERAO, RONALD</v>
      </c>
      <c r="S361" s="1" t="str">
        <f>IFERROR(__xludf.DUMMYFUNCTION("""COMPUTED_VALUE"""),"ORGANIC")</f>
        <v>ORGANIC</v>
      </c>
      <c r="T361" s="1" t="str">
        <f>IFERROR(__xludf.DUMMYFUNCTION("""COMPUTED_VALUE"""),"LEA REMOLLO")</f>
        <v>LEA REMOLLO</v>
      </c>
      <c r="U361" s="1" t="str">
        <f>IFERROR(__xludf.DUMMYFUNCTION("""COMPUTED_VALUE"""),"JB SALIOA")</f>
        <v>JB SALIOA</v>
      </c>
      <c r="V361" s="1" t="str">
        <f>IFERROR(__xludf.DUMMYFUNCTION("""COMPUTED_VALUE"""),"H2H")</f>
        <v>H2H</v>
      </c>
      <c r="W361" s="1" t="str">
        <f>IFERROR(__xludf.DUMMYFUNCTION("""COMPUTED_VALUE"""),"STK REGULAR")</f>
        <v>STK REGULAR</v>
      </c>
      <c r="X361" s="1" t="str">
        <f>IFERROR(__xludf.DUMMYFUNCTION("""COMPUTED_VALUE"""),"REGULAR")</f>
        <v>REGULAR</v>
      </c>
      <c r="Y361" s="1" t="str">
        <f>IFERROR(__xludf.DUMMYFUNCTION("""COMPUTED_VALUE"""),"RS_HH_CVEU_2026")</f>
        <v>RS_HH_CVEU_2026</v>
      </c>
      <c r="Z361" s="1" t="str">
        <f>IFERROR(__xludf.DUMMYFUNCTION("""COMPUTED_VALUE"""),"NEW CONNECT")</f>
        <v>NEW CONNECT</v>
      </c>
      <c r="AA361" s="1">
        <f>IFERROR(__xludf.DUMMYFUNCTION("""COMPUTED_VALUE"""),639358070931)</f>
        <v>639358070931</v>
      </c>
      <c r="AB361" s="1">
        <f>IFERROR(__xludf.DUMMYFUNCTION("""COMPUTED_VALUE"""),639634596437)</f>
        <v>639634596437</v>
      </c>
      <c r="AC361" s="1">
        <f>IFERROR(__xludf.DUMMYFUNCTION("""COMPUTED_VALUE"""),35)</f>
        <v>35</v>
      </c>
      <c r="AD361" s="1" t="str">
        <f>IFERROR(__xludf.DUMMYFUNCTION("""COMPUTED_VALUE"""),"POBLACION 5")</f>
        <v>POBLACION 5</v>
      </c>
      <c r="AE361" s="1"/>
      <c r="AF361" s="1" t="str">
        <f>IFERROR(__xludf.DUMMYFUNCTION("""COMPUTED_VALUE"""),"BGY 5")</f>
        <v>BGY 5</v>
      </c>
      <c r="AG361" s="1" t="str">
        <f>IFERROR(__xludf.DUMMYFUNCTION("""COMPUTED_VALUE"""),"AMADEO")</f>
        <v>AMADEO</v>
      </c>
      <c r="AH361" s="1" t="str">
        <f>IFERROR(__xludf.DUMMYFUNCTION("""COMPUTED_VALUE"""),"INJ SARI SARI STORE")</f>
        <v>INJ SARI SARI STORE</v>
      </c>
      <c r="AI361" s="1" t="str">
        <f>IFERROR(__xludf.DUMMYFUNCTION("""COMPUTED_VALUE"""),"CLUSTER 12")</f>
        <v>CLUSTER 12</v>
      </c>
    </row>
    <row r="362" customHeight="1" spans="1:35">
      <c r="A362" s="3">
        <f>IFERROR(__xludf.DUMMYFUNCTION("""COMPUTED_VALUE"""),46265)</f>
        <v>46265</v>
      </c>
      <c r="B362" s="1" t="str">
        <f>IFERROR(__xludf.DUMMYFUNCTION("""COMPUTED_VALUE"""),"PHILIP REY NUNEZ AMBROCIO")</f>
        <v>PHILIP REY NUNEZ AMBROCIO</v>
      </c>
      <c r="C362" s="1">
        <f>IFERROR(__xludf.DUMMYFUNCTION("""COMPUTED_VALUE"""),2312245609)</f>
        <v>2312245609</v>
      </c>
      <c r="D362" s="1">
        <f>IFERROR(__xludf.DUMMYFUNCTION("""COMPUTED_VALUE"""),407498429)</f>
        <v>407498429</v>
      </c>
      <c r="E362" s="1">
        <f>IFERROR(__xludf.DUMMYFUNCTION("""COMPUTED_VALUE"""),468692145004)</f>
        <v>468692145004</v>
      </c>
      <c r="F362" s="1" t="str">
        <f>IFERROR(__xludf.DUMMYFUNCTION("""COMPUTED_VALUE"""),"RPR")</f>
        <v>RPR</v>
      </c>
      <c r="G362" s="1" t="str">
        <f>IFERROR(__xludf.DUMMYFUNCTION("""COMPUTED_VALUE"""),"""VISITED 
‎REMARKS: SUBS REQUEST CANCEL APPLICATION BIHIRA LANG DAW UMUWI SUBS 
‎TALK PHILIP REY NUNEZ AMBROCIO 
09275449220""")</f>
        <v>"VISITED 
‎REMARKS: SUBS REQUEST CANCEL APPLICATION BIHIRA LANG DAW UMUWI SUBS 
‎TALK PHILIP REY NUNEZ AMBROCIO 
09275449220"</v>
      </c>
      <c r="H362" s="1"/>
      <c r="I362" s="1"/>
      <c r="J362" s="1"/>
      <c r="K362" s="1" t="str">
        <f>IFERROR(__xludf.DUMMYFUNCTION("""COMPUTED_VALUE"""),"CANCELED")</f>
        <v>CANCELED</v>
      </c>
      <c r="L362" s="1" t="str">
        <f>IFERROR(__xludf.DUMMYFUNCTION("""COMPUTED_VALUE"""),"RPR - SUBS CANCEL REQUEST")</f>
        <v>RPR - SUBS CANCEL REQUEST</v>
      </c>
      <c r="M362" s="1" t="str">
        <f>IFERROR(__xludf.DUMMYFUNCTION("""COMPUTED_VALUE"""),"RPR- SUBS CANCEL REQUEST")</f>
        <v>RPR- SUBS CANCEL REQUEST</v>
      </c>
      <c r="N362" s="3"/>
      <c r="O362" s="1" t="str">
        <f>IFERROR(__xludf.DUMMYFUNCTION("""COMPUTED_VALUE"""),"FIBR NETFLIX PLAN 1599")</f>
        <v>FIBR NETFLIX PLAN 1599</v>
      </c>
      <c r="P362" s="1" t="str">
        <f>IFERROR(__xludf.DUMMYFUNCTION("""COMPUTED_VALUE"""),"LOWPLAN")</f>
        <v>LOWPLAN</v>
      </c>
      <c r="Q362" s="1" t="str">
        <f>IFERROR(__xludf.DUMMYFUNCTION("""COMPUTED_VALUE"""),"P407050")</f>
        <v>P407050</v>
      </c>
      <c r="R362" s="1" t="str">
        <f>IFERROR(__xludf.DUMMYFUNCTION("""COMPUTED_VALUE"""),"BAQUIT, JAZMIN")</f>
        <v>BAQUIT, JAZMIN</v>
      </c>
      <c r="S362" s="1" t="str">
        <f>IFERROR(__xludf.DUMMYFUNCTION("""COMPUTED_VALUE"""),"ORGANIC")</f>
        <v>ORGANIC</v>
      </c>
      <c r="T362" s="1" t="str">
        <f>IFERROR(__xludf.DUMMYFUNCTION("""COMPUTED_VALUE"""),"LEA REMOLLO")</f>
        <v>LEA REMOLLO</v>
      </c>
      <c r="U362" s="1" t="str">
        <f>IFERROR(__xludf.DUMMYFUNCTION("""COMPUTED_VALUE"""),"JB SALIOA")</f>
        <v>JB SALIOA</v>
      </c>
      <c r="V362" s="1" t="str">
        <f>IFERROR(__xludf.DUMMYFUNCTION("""COMPUTED_VALUE"""),"H2H")</f>
        <v>H2H</v>
      </c>
      <c r="W362" s="1" t="str">
        <f>IFERROR(__xludf.DUMMYFUNCTION("""COMPUTED_VALUE"""),"STK REGULAR")</f>
        <v>STK REGULAR</v>
      </c>
      <c r="X362" s="1" t="str">
        <f>IFERROR(__xludf.DUMMYFUNCTION("""COMPUTED_VALUE"""),"REGULAR")</f>
        <v>REGULAR</v>
      </c>
      <c r="Y362" s="1" t="str">
        <f>IFERROR(__xludf.DUMMYFUNCTION("""COMPUTED_VALUE"""),"RS_HH_CVEU_2026")</f>
        <v>RS_HH_CVEU_2026</v>
      </c>
      <c r="Z362" s="1" t="str">
        <f>IFERROR(__xludf.DUMMYFUNCTION("""COMPUTED_VALUE"""),"NEW CONNECT")</f>
        <v>NEW CONNECT</v>
      </c>
      <c r="AA362" s="1">
        <f>IFERROR(__xludf.DUMMYFUNCTION("""COMPUTED_VALUE"""),639275449220)</f>
        <v>639275449220</v>
      </c>
      <c r="AB362" s="1"/>
      <c r="AC362" s="1"/>
      <c r="AD362" s="1" t="str">
        <f>IFERROR(__xludf.DUMMYFUNCTION("""COMPUTED_VALUE"""),"SAN RAFAEL")</f>
        <v>SAN RAFAEL</v>
      </c>
      <c r="AE362" s="1"/>
      <c r="AF362" s="1" t="str">
        <f>IFERROR(__xludf.DUMMYFUNCTION("""COMPUTED_VALUE"""),"BGY SAN GABRIEL")</f>
        <v>BGY SAN GABRIEL</v>
      </c>
      <c r="AG362" s="1" t="str">
        <f>IFERROR(__xludf.DUMMYFUNCTION("""COMPUTED_VALUE"""),"GEN MARIANO ALVAREZ")</f>
        <v>GEN MARIANO ALVAREZ</v>
      </c>
      <c r="AH362" s="1" t="str">
        <f>IFERROR(__xludf.DUMMYFUNCTION("""COMPUTED_VALUE"""),"ANDOKS")</f>
        <v>ANDOKS</v>
      </c>
      <c r="AI362" s="1" t="str">
        <f>IFERROR(__xludf.DUMMYFUNCTION("""COMPUTED_VALUE"""),"CLUSTER 11")</f>
        <v>CLUSTER 11</v>
      </c>
    </row>
    <row r="363" customHeight="1" spans="1:35">
      <c r="A363" s="3">
        <f>IFERROR(__xludf.DUMMYFUNCTION("""COMPUTED_VALUE"""),46265)</f>
        <v>46265</v>
      </c>
      <c r="B363" s="1" t="str">
        <f>IFERROR(__xludf.DUMMYFUNCTION("""COMPUTED_VALUE"""),"MARCELINO III GUEVARRA LISTANCO")</f>
        <v>MARCELINO III GUEVARRA LISTANCO</v>
      </c>
      <c r="C363" s="1">
        <f>IFERROR(__xludf.DUMMYFUNCTION("""COMPUTED_VALUE"""),2312246691)</f>
        <v>2312246691</v>
      </c>
      <c r="D363" s="1">
        <f>IFERROR(__xludf.DUMMYFUNCTION("""COMPUTED_VALUE"""),407496353)</f>
        <v>407496353</v>
      </c>
      <c r="E363" s="1"/>
      <c r="F363" s="1" t="str">
        <f>IFERROR(__xludf.DUMMYFUNCTION("""COMPUTED_VALUE"""),"FOR ONE HUB FILING")</f>
        <v>FOR ONE HUB FILING</v>
      </c>
      <c r="G363" s="1" t="str">
        <f>IFERROR(__xludf.DUMMYFUNCTION("""COMPUTED_VALUE"""),"FOR ONE HUB FILING")</f>
        <v>FOR ONE HUB FILING</v>
      </c>
      <c r="H363" s="1"/>
      <c r="I363" s="1"/>
      <c r="J363" s="1"/>
      <c r="K363" s="1"/>
      <c r="L363" s="1" t="str">
        <f>IFERROR(__xludf.DUMMYFUNCTION("""COMPUTED_VALUE"""),"REENCODED")</f>
        <v>REENCODED</v>
      </c>
      <c r="M363" s="1" t="str">
        <f>IFERROR(__xludf.DUMMYFUNCTION("""COMPUTED_VALUE"""),"REENCODED")</f>
        <v>REENCODED</v>
      </c>
      <c r="N363" s="3"/>
      <c r="O363" s="1" t="str">
        <f>IFERROR(__xludf.DUMMYFUNCTION("""COMPUTED_VALUE"""),"FIBER UNLI ALL PLAN 1499")</f>
        <v>FIBER UNLI ALL PLAN 1499</v>
      </c>
      <c r="P363" s="1" t="str">
        <f>IFERROR(__xludf.DUMMYFUNCTION("""COMPUTED_VALUE"""),"LOWPLAN")</f>
        <v>LOWPLAN</v>
      </c>
      <c r="Q363" s="1" t="str">
        <f>IFERROR(__xludf.DUMMYFUNCTION("""COMPUTED_VALUE"""),"P407045")</f>
        <v>P407045</v>
      </c>
      <c r="R363" s="1" t="str">
        <f>IFERROR(__xludf.DUMMYFUNCTION("""COMPUTED_VALUE"""),"GABAY, MANUEL")</f>
        <v>GABAY, MANUEL</v>
      </c>
      <c r="S363" s="1" t="str">
        <f>IFERROR(__xludf.DUMMYFUNCTION("""COMPUTED_VALUE"""),"FLA")</f>
        <v>FLA</v>
      </c>
      <c r="T363" s="1" t="str">
        <f>IFERROR(__xludf.DUMMYFUNCTION("""COMPUTED_VALUE"""),"JERIC NAVARRO")</f>
        <v>JERIC NAVARRO</v>
      </c>
      <c r="U363" s="1" t="str">
        <f>IFERROR(__xludf.DUMMYFUNCTION("""COMPUTED_VALUE"""),"JB SALIOA")</f>
        <v>JB SALIOA</v>
      </c>
      <c r="V363" s="1" t="str">
        <f>IFERROR(__xludf.DUMMYFUNCTION("""COMPUTED_VALUE"""),"H2H")</f>
        <v>H2H</v>
      </c>
      <c r="W363" s="1" t="str">
        <f>IFERROR(__xludf.DUMMYFUNCTION("""COMPUTED_VALUE"""),"STK REGULAR")</f>
        <v>STK REGULAR</v>
      </c>
      <c r="X363" s="1" t="str">
        <f>IFERROR(__xludf.DUMMYFUNCTION("""COMPUTED_VALUE"""),"HBBS AUG 2026")</f>
        <v>HBBS AUG 2026</v>
      </c>
      <c r="Y363" s="1" t="str">
        <f>IFERROR(__xludf.DUMMYFUNCTION("""COMPUTED_VALUE"""),"RS_HH_CVEU_2026")</f>
        <v>RS_HH_CVEU_2026</v>
      </c>
      <c r="Z363" s="1" t="str">
        <f>IFERROR(__xludf.DUMMYFUNCTION("""COMPUTED_VALUE"""),"NEW CONNECT")</f>
        <v>NEW CONNECT</v>
      </c>
      <c r="AA363" s="1">
        <f>IFERROR(__xludf.DUMMYFUNCTION("""COMPUTED_VALUE"""),639156874744)</f>
        <v>639156874744</v>
      </c>
      <c r="AB363" s="1">
        <f>IFERROR(__xludf.DUMMYFUNCTION("""COMPUTED_VALUE"""),639369087116)</f>
        <v>639369087116</v>
      </c>
      <c r="AC363" s="1">
        <f>IFERROR(__xludf.DUMMYFUNCTION("""COMPUTED_VALUE"""),449)</f>
        <v>449</v>
      </c>
      <c r="AD363" s="1" t="str">
        <f>IFERROR(__xludf.DUMMYFUNCTION("""COMPUTED_VALUE"""),"PUROK 3")</f>
        <v>PUROK 3</v>
      </c>
      <c r="AE363" s="1"/>
      <c r="AF363" s="1" t="str">
        <f>IFERROR(__xludf.DUMMYFUNCTION("""COMPUTED_VALUE"""),"BGY IBA")</f>
        <v>BGY IBA</v>
      </c>
      <c r="AG363" s="1" t="str">
        <f>IFERROR(__xludf.DUMMYFUNCTION("""COMPUTED_VALUE"""),"SILANG")</f>
        <v>SILANG</v>
      </c>
      <c r="AH363" s="1" t="str">
        <f>IFERROR(__xludf.DUMMYFUNCTION("""COMPUTED_VALUE"""),"ALMEDA GAS")</f>
        <v>ALMEDA GAS</v>
      </c>
      <c r="AI363" s="1" t="str">
        <f>IFERROR(__xludf.DUMMYFUNCTION("""COMPUTED_VALUE"""),"CLUSTER 11")</f>
        <v>CLUSTER 11</v>
      </c>
    </row>
    <row r="364" customHeight="1" spans="1:35">
      <c r="A364" s="3">
        <f>IFERROR(__xludf.DUMMYFUNCTION("""COMPUTED_VALUE"""),46265)</f>
        <v>46265</v>
      </c>
      <c r="B364" s="1" t="str">
        <f>IFERROR(__xludf.DUMMYFUNCTION("""COMPUTED_VALUE"""),"EDRICK BALASTA ANTICRISTO")</f>
        <v>EDRICK BALASTA ANTICRISTO</v>
      </c>
      <c r="C364" s="1">
        <f>IFERROR(__xludf.DUMMYFUNCTION("""COMPUTED_VALUE"""),2312247203)</f>
        <v>2312247203</v>
      </c>
      <c r="D364" s="1">
        <f>IFERROR(__xludf.DUMMYFUNCTION("""COMPUTED_VALUE"""),407499921)</f>
        <v>407499921</v>
      </c>
      <c r="E364" s="1">
        <f>IFERROR(__xludf.DUMMYFUNCTION("""COMPUTED_VALUE"""),468693525004)</f>
        <v>468693525004</v>
      </c>
      <c r="F364" s="1" t="str">
        <f>IFERROR(__xludf.DUMMYFUNCTION("""COMPUTED_VALUE"""),"CLOSED")</f>
        <v>CLOSED</v>
      </c>
      <c r="G364" s="1" t="str">
        <f>IFERROR(__xludf.DUMMYFUNCTION("""COMPUTED_VALUE"""),"CLOSED")</f>
        <v>CLOSED</v>
      </c>
      <c r="H364" s="1"/>
      <c r="I364" s="1" t="str">
        <f>IFERROR(__xludf.DUMMYFUNCTION("""COMPUTED_VALUE"""),"NO 1 AMSF")</f>
        <v>NO 1 AMSF</v>
      </c>
      <c r="J364" s="1" t="str">
        <f>IFERROR(__xludf.DUMMYFUNCTION("""COMPUTED_VALUE"""),"DUE DATE - 26-Sep-26 - 1,184.44")</f>
        <v>DUE DATE - 26-Sep-26 - 1,184.44</v>
      </c>
      <c r="K364" s="1" t="str">
        <f>IFERROR(__xludf.DUMMYFUNCTION("""COMPUTED_VALUE"""),"COMPLETED")</f>
        <v>COMPLETED</v>
      </c>
      <c r="L364" s="1" t="str">
        <f>IFERROR(__xludf.DUMMYFUNCTION("""COMPUTED_VALUE"""),"POSTED")</f>
        <v>POSTED</v>
      </c>
      <c r="M364" s="1" t="str">
        <f>IFERROR(__xludf.DUMMYFUNCTION("""COMPUTED_VALUE"""),"POSTED")</f>
        <v>POSTED</v>
      </c>
      <c r="N364" s="3">
        <f>IFERROR(__xludf.DUMMYFUNCTION("""COMPUTED_VALUE"""),46267)</f>
        <v>46267</v>
      </c>
      <c r="O364" s="1" t="str">
        <f>IFERROR(__xludf.DUMMYFUNCTION("""COMPUTED_VALUE"""),"FIBR UNLI ALL PLAN 999")</f>
        <v>FIBR UNLI ALL PLAN 999</v>
      </c>
      <c r="P364" s="1" t="str">
        <f>IFERROR(__xludf.DUMMYFUNCTION("""COMPUTED_VALUE"""),"LOWPLAN")</f>
        <v>LOWPLAN</v>
      </c>
      <c r="Q364" s="1" t="str">
        <f>IFERROR(__xludf.DUMMYFUNCTION("""COMPUTED_VALUE"""),"P407047")</f>
        <v>P407047</v>
      </c>
      <c r="R364" s="1" t="str">
        <f>IFERROR(__xludf.DUMMYFUNCTION("""COMPUTED_VALUE"""),"FRANCISCO, ROSELYN")</f>
        <v>FRANCISCO, ROSELYN</v>
      </c>
      <c r="S364" s="1" t="str">
        <f>IFERROR(__xludf.DUMMYFUNCTION("""COMPUTED_VALUE"""),"ORGANIC")</f>
        <v>ORGANIC</v>
      </c>
      <c r="T364" s="1" t="str">
        <f>IFERROR(__xludf.DUMMYFUNCTION("""COMPUTED_VALUE"""),"LEA REMOLLO")</f>
        <v>LEA REMOLLO</v>
      </c>
      <c r="U364" s="1" t="str">
        <f>IFERROR(__xludf.DUMMYFUNCTION("""COMPUTED_VALUE"""),"JB SALIOA")</f>
        <v>JB SALIOA</v>
      </c>
      <c r="V364" s="1" t="str">
        <f>IFERROR(__xludf.DUMMYFUNCTION("""COMPUTED_VALUE"""),"H2H")</f>
        <v>H2H</v>
      </c>
      <c r="W364" s="1" t="str">
        <f>IFERROR(__xludf.DUMMYFUNCTION("""COMPUTED_VALUE"""),"STK REGULAR")</f>
        <v>STK REGULAR</v>
      </c>
      <c r="X364" s="1" t="str">
        <f>IFERROR(__xludf.DUMMYFUNCTION("""COMPUTED_VALUE"""),"REGULAR")</f>
        <v>REGULAR</v>
      </c>
      <c r="Y364" s="1" t="str">
        <f>IFERROR(__xludf.DUMMYFUNCTION("""COMPUTED_VALUE"""),"RS_HH_CVEU_2026")</f>
        <v>RS_HH_CVEU_2026</v>
      </c>
      <c r="Z364" s="1" t="str">
        <f>IFERROR(__xludf.DUMMYFUNCTION("""COMPUTED_VALUE"""),"NEW CONNECT")</f>
        <v>NEW CONNECT</v>
      </c>
      <c r="AA364" s="1">
        <f>IFERROR(__xludf.DUMMYFUNCTION("""COMPUTED_VALUE"""),639197733852)</f>
        <v>639197733852</v>
      </c>
      <c r="AB364" s="1"/>
      <c r="AC364" s="1">
        <f>IFERROR(__xludf.DUMMYFUNCTION("""COMPUTED_VALUE"""),236)</f>
        <v>236</v>
      </c>
      <c r="AD364" s="1" t="str">
        <f>IFERROR(__xludf.DUMMYFUNCTION("""COMPUTED_VALUE"""),"PIER")</f>
        <v>PIER</v>
      </c>
      <c r="AE364" s="1"/>
      <c r="AF364" s="1" t="str">
        <f>IFERROR(__xludf.DUMMYFUNCTION("""COMPUTED_VALUE"""),"BGY MARAHAN 1")</f>
        <v>BGY MARAHAN 1</v>
      </c>
      <c r="AG364" s="1" t="str">
        <f>IFERROR(__xludf.DUMMYFUNCTION("""COMPUTED_VALUE"""),"ALFONSO")</f>
        <v>ALFONSO</v>
      </c>
      <c r="AH364" s="1" t="str">
        <f>IFERROR(__xludf.DUMMYFUNCTION("""COMPUTED_VALUE"""),"-")</f>
        <v>-</v>
      </c>
      <c r="AI364" s="1" t="str">
        <f>IFERROR(__xludf.DUMMYFUNCTION("""COMPUTED_VALUE"""),"CLUSTER 12")</f>
        <v>CLUSTER 12</v>
      </c>
    </row>
    <row r="365" customHeight="1" spans="1:35">
      <c r="A365" s="3">
        <f>IFERROR(__xludf.DUMMYFUNCTION("""COMPUTED_VALUE"""),46265)</f>
        <v>46265</v>
      </c>
      <c r="B365" s="1" t="str">
        <f>IFERROR(__xludf.DUMMYFUNCTION("""COMPUTED_VALUE"""),"PEPITO JR ANAHAW BALISCAO")</f>
        <v>PEPITO JR ANAHAW BALISCAO</v>
      </c>
      <c r="C365" s="1">
        <f>IFERROR(__xludf.DUMMYFUNCTION("""COMPUTED_VALUE"""),2312247322)</f>
        <v>2312247322</v>
      </c>
      <c r="D365" s="1">
        <f>IFERROR(__xludf.DUMMYFUNCTION("""COMPUTED_VALUE"""),407499395)</f>
        <v>407499395</v>
      </c>
      <c r="E365" s="1"/>
      <c r="F365" s="1" t="str">
        <f>IFERROR(__xludf.DUMMYFUNCTION("""COMPUTED_VALUE"""),"REENCODED")</f>
        <v>REENCODED</v>
      </c>
      <c r="G365" s="1" t="str">
        <f>IFERROR(__xludf.DUMMYFUNCTION("""COMPUTED_VALUE"""),"(CANCELLED) SERVICE_ORDER_NO = 337567641004 CANCELLED REMARKS: .")</f>
        <v>(CANCELLED) SERVICE_ORDER_NO = 337567641004 CANCELLED REMARKS: .</v>
      </c>
      <c r="H365" s="1"/>
      <c r="I365" s="1"/>
      <c r="J365" s="1"/>
      <c r="K365" s="1"/>
      <c r="L365" s="1" t="str">
        <f>IFERROR(__xludf.DUMMYFUNCTION("""COMPUTED_VALUE"""),"REENCODED")</f>
        <v>REENCODED</v>
      </c>
      <c r="M365" s="1" t="str">
        <f>IFERROR(__xludf.DUMMYFUNCTION("""COMPUTED_VALUE"""),"REENCODED")</f>
        <v>REENCODED</v>
      </c>
      <c r="N365" s="3"/>
      <c r="O365" s="1" t="str">
        <f>IFERROR(__xludf.DUMMYFUNCTION("""COMPUTED_VALUE"""),"FIBR UNLI ALL PLAN 999")</f>
        <v>FIBR UNLI ALL PLAN 999</v>
      </c>
      <c r="P365" s="1" t="str">
        <f>IFERROR(__xludf.DUMMYFUNCTION("""COMPUTED_VALUE"""),"LOWPLAN")</f>
        <v>LOWPLAN</v>
      </c>
      <c r="Q365" s="1" t="str">
        <f>IFERROR(__xludf.DUMMYFUNCTION("""COMPUTED_VALUE"""),"P407050")</f>
        <v>P407050</v>
      </c>
      <c r="R365" s="1" t="str">
        <f>IFERROR(__xludf.DUMMYFUNCTION("""COMPUTED_VALUE"""),"DENACO, RODNEY")</f>
        <v>DENACO, RODNEY</v>
      </c>
      <c r="S365" s="1" t="str">
        <f>IFERROR(__xludf.DUMMYFUNCTION("""COMPUTED_VALUE"""),"ORGANIC")</f>
        <v>ORGANIC</v>
      </c>
      <c r="T365" s="1" t="str">
        <f>IFERROR(__xludf.DUMMYFUNCTION("""COMPUTED_VALUE"""),"LEA REMOLLO")</f>
        <v>LEA REMOLLO</v>
      </c>
      <c r="U365" s="1" t="str">
        <f>IFERROR(__xludf.DUMMYFUNCTION("""COMPUTED_VALUE"""),"JB SALIOA")</f>
        <v>JB SALIOA</v>
      </c>
      <c r="V365" s="1" t="str">
        <f>IFERROR(__xludf.DUMMYFUNCTION("""COMPUTED_VALUE"""),"H2H")</f>
        <v>H2H</v>
      </c>
      <c r="W365" s="1" t="str">
        <f>IFERROR(__xludf.DUMMYFUNCTION("""COMPUTED_VALUE"""),"STK REGULAR")</f>
        <v>STK REGULAR</v>
      </c>
      <c r="X365" s="1" t="str">
        <f>IFERROR(__xludf.DUMMYFUNCTION("""COMPUTED_VALUE"""),"REGULAR")</f>
        <v>REGULAR</v>
      </c>
      <c r="Y365" s="1" t="str">
        <f>IFERROR(__xludf.DUMMYFUNCTION("""COMPUTED_VALUE"""),"RS_HH_CVEU_2026")</f>
        <v>RS_HH_CVEU_2026</v>
      </c>
      <c r="Z365" s="1" t="str">
        <f>IFERROR(__xludf.DUMMYFUNCTION("""COMPUTED_VALUE"""),"NEW CONNECT")</f>
        <v>NEW CONNECT</v>
      </c>
      <c r="AA365" s="1">
        <f>IFERROR(__xludf.DUMMYFUNCTION("""COMPUTED_VALUE"""),639659214014)</f>
        <v>639659214014</v>
      </c>
      <c r="AB365" s="1">
        <f>IFERROR(__xludf.DUMMYFUNCTION("""COMPUTED_VALUE"""),639169991501)</f>
        <v>639169991501</v>
      </c>
      <c r="AC365" s="1">
        <f>IFERROR(__xludf.DUMMYFUNCTION("""COMPUTED_VALUE"""),335)</f>
        <v>335</v>
      </c>
      <c r="AD365" s="1" t="str">
        <f>IFERROR(__xludf.DUMMYFUNCTION("""COMPUTED_VALUE"""),"PUROK 4")</f>
        <v>PUROK 4</v>
      </c>
      <c r="AE365" s="1"/>
      <c r="AF365" s="1" t="str">
        <f>IFERROR(__xludf.DUMMYFUNCTION("""COMPUTED_VALUE"""),"BGY MUNTING ILOG")</f>
        <v>BGY MUNTING ILOG</v>
      </c>
      <c r="AG365" s="1" t="str">
        <f>IFERROR(__xludf.DUMMYFUNCTION("""COMPUTED_VALUE"""),"SILANG")</f>
        <v>SILANG</v>
      </c>
      <c r="AH365" s="1" t="str">
        <f>IFERROR(__xludf.DUMMYFUNCTION("""COMPUTED_VALUE"""),"ELEM SCHOOL")</f>
        <v>ELEM SCHOOL</v>
      </c>
      <c r="AI365" s="1" t="str">
        <f>IFERROR(__xludf.DUMMYFUNCTION("""COMPUTED_VALUE"""),"CLUSTER 11")</f>
        <v>CLUSTER 11</v>
      </c>
    </row>
    <row r="366" customHeight="1" spans="1:35">
      <c r="A366" s="3">
        <f>IFERROR(__xludf.DUMMYFUNCTION("""COMPUTED_VALUE"""),46265)</f>
        <v>46265</v>
      </c>
      <c r="B366" s="1" t="str">
        <f>IFERROR(__xludf.DUMMYFUNCTION("""COMPUTED_VALUE"""),"JENNY MALIMBAN BENCITO")</f>
        <v>JENNY MALIMBAN BENCITO</v>
      </c>
      <c r="C366" s="1">
        <f>IFERROR(__xludf.DUMMYFUNCTION("""COMPUTED_VALUE"""),2312248200)</f>
        <v>2312248200</v>
      </c>
      <c r="D366" s="1">
        <f>IFERROR(__xludf.DUMMYFUNCTION("""COMPUTED_VALUE"""),407501764)</f>
        <v>407501764</v>
      </c>
      <c r="E366" s="1">
        <f>IFERROR(__xludf.DUMMYFUNCTION("""COMPUTED_VALUE"""),468708315004)</f>
        <v>468708315004</v>
      </c>
      <c r="F366" s="1" t="str">
        <f>IFERROR(__xludf.DUMMYFUNCTION("""COMPUTED_VALUE"""),"CANCELLED")</f>
        <v>CANCELLED</v>
      </c>
      <c r="G366" s="1" t="str">
        <f>IFERROR(__xludf.DUMMYFUNCTION("""COMPUTED_VALUE"""),"""VISITED 
TRUCKROLL: CANT PROCEED INSTALLATION DUE TO NO POLE ATTACHMENT WALANG POSTENG PAG SASABITAN PAPUNTA KILA SUBS PURO PUNO ANG DADAANAN, DI RIN SILA MAKAPAGLALAGAY NG POSTE DAHIL PURO PRIVATE ANG MGA LUPA DITO 
TALK:JENNY 
CBR:09518912069""")</f>
        <v>"VISITED 
TRUCKROLL: CANT PROCEED INSTALLATION DUE TO NO POLE ATTACHMENT WALANG POSTENG PAG SASABITAN PAPUNTA KILA SUBS PURO PUNO ANG DADAANAN, DI RIN SILA MAKAPAGLALAGAY NG POSTE DAHIL PURO PRIVATE ANG MGA LUPA DITO 
TALK:JENNY 
CBR:09518912069"</v>
      </c>
      <c r="H366" s="1"/>
      <c r="I366" s="1"/>
      <c r="J366" s="1"/>
      <c r="K366" s="1" t="str">
        <f>IFERROR(__xludf.DUMMYFUNCTION("""COMPUTED_VALUE"""),"CANCELED")</f>
        <v>CANCELED</v>
      </c>
      <c r="L366" s="1" t="str">
        <f>IFERROR(__xludf.DUMMYFUNCTION("""COMPUTED_VALUE"""),"RPR - UNMAINTAINABLE")</f>
        <v>RPR - UNMAINTAINABLE</v>
      </c>
      <c r="M366" s="1" t="str">
        <f>IFERROR(__xludf.DUMMYFUNCTION("""COMPUTED_VALUE"""),"RPR - UNMAINTAINABLE")</f>
        <v>RPR - UNMAINTAINABLE</v>
      </c>
      <c r="N366" s="3"/>
      <c r="O366" s="1" t="str">
        <f>IFERROR(__xludf.DUMMYFUNCTION("""COMPUTED_VALUE"""),"FIBER UNLI ALL PLAN 1499")</f>
        <v>FIBER UNLI ALL PLAN 1499</v>
      </c>
      <c r="P366" s="1" t="str">
        <f>IFERROR(__xludf.DUMMYFUNCTION("""COMPUTED_VALUE"""),"LOWPLAN")</f>
        <v>LOWPLAN</v>
      </c>
      <c r="Q366" s="1" t="str">
        <f>IFERROR(__xludf.DUMMYFUNCTION("""COMPUTED_VALUE"""),"P407046")</f>
        <v>P407046</v>
      </c>
      <c r="R366" s="1" t="str">
        <f>IFERROR(__xludf.DUMMYFUNCTION("""COMPUTED_VALUE"""),"MALIWAT, MARK")</f>
        <v>MALIWAT, MARK</v>
      </c>
      <c r="S366" s="1" t="str">
        <f>IFERROR(__xludf.DUMMYFUNCTION("""COMPUTED_VALUE"""),"FLA")</f>
        <v>FLA</v>
      </c>
      <c r="T366" s="1" t="str">
        <f>IFERROR(__xludf.DUMMYFUNCTION("""COMPUTED_VALUE"""),"JERIC NAVARRO")</f>
        <v>JERIC NAVARRO</v>
      </c>
      <c r="U366" s="1" t="str">
        <f>IFERROR(__xludf.DUMMYFUNCTION("""COMPUTED_VALUE"""),"JB SALIOA")</f>
        <v>JB SALIOA</v>
      </c>
      <c r="V366" s="1" t="str">
        <f>IFERROR(__xludf.DUMMYFUNCTION("""COMPUTED_VALUE"""),"ONLINE/CRANFORD")</f>
        <v>ONLINE/CRANFORD</v>
      </c>
      <c r="W366" s="1" t="str">
        <f>IFERROR(__xludf.DUMMYFUNCTION("""COMPUTED_VALUE"""),"STK REGULAR")</f>
        <v>STK REGULAR</v>
      </c>
      <c r="X366" s="1" t="str">
        <f>IFERROR(__xludf.DUMMYFUNCTION("""COMPUTED_VALUE"""),"HBBS AUG 2026")</f>
        <v>HBBS AUG 2026</v>
      </c>
      <c r="Y366" s="1" t="str">
        <f>IFERROR(__xludf.DUMMYFUNCTION("""COMPUTED_VALUE"""),"RS_ONL_CVEU_2026")</f>
        <v>RS_ONL_CVEU_2026</v>
      </c>
      <c r="Z366" s="1" t="str">
        <f>IFERROR(__xludf.DUMMYFUNCTION("""COMPUTED_VALUE"""),"NEW CONNECT")</f>
        <v>NEW CONNECT</v>
      </c>
      <c r="AA366" s="1">
        <f>IFERROR(__xludf.DUMMYFUNCTION("""COMPUTED_VALUE"""),639518912069)</f>
        <v>639518912069</v>
      </c>
      <c r="AB366" s="1">
        <f>IFERROR(__xludf.DUMMYFUNCTION("""COMPUTED_VALUE"""),639638435405)</f>
        <v>639638435405</v>
      </c>
      <c r="AC366" s="1">
        <f>IFERROR(__xludf.DUMMYFUNCTION("""COMPUTED_VALUE"""),33)</f>
        <v>33</v>
      </c>
      <c r="AD366" s="1" t="str">
        <f>IFERROR(__xludf.DUMMYFUNCTION("""COMPUTED_VALUE"""),"PUROK 2")</f>
        <v>PUROK 2</v>
      </c>
      <c r="AE366" s="1"/>
      <c r="AF366" s="1" t="str">
        <f>IFERROR(__xludf.DUMMYFUNCTION("""COMPUTED_VALUE"""),"BGY KAYMISAS")</f>
        <v>BGY KAYMISAS</v>
      </c>
      <c r="AG366" s="1" t="str">
        <f>IFERROR(__xludf.DUMMYFUNCTION("""COMPUTED_VALUE"""),"GEN EMILIO AGUINALDO")</f>
        <v>GEN EMILIO AGUINALDO</v>
      </c>
      <c r="AH366" s="1" t="str">
        <f>IFERROR(__xludf.DUMMYFUNCTION("""COMPUTED_VALUE"""),"NEAR HERNANDEZ RESIDENCE")</f>
        <v>NEAR HERNANDEZ RESIDENCE</v>
      </c>
      <c r="AI366" s="1" t="str">
        <f>IFERROR(__xludf.DUMMYFUNCTION("""COMPUTED_VALUE"""),"NOT AOR")</f>
        <v>NOT AOR</v>
      </c>
    </row>
    <row r="367" customHeight="1" spans="1:35">
      <c r="A367" s="3">
        <f>IFERROR(__xludf.DUMMYFUNCTION("""COMPUTED_VALUE"""),46239)</f>
        <v>46239</v>
      </c>
      <c r="B367" s="1" t="str">
        <f>IFERROR(__xludf.DUMMYFUNCTION("""COMPUTED_VALUE"""),"ROSANA OCAMPO CANIZA")</f>
        <v>ROSANA OCAMPO CANIZA</v>
      </c>
      <c r="C367" s="1"/>
      <c r="D367" s="1"/>
      <c r="E367" s="1"/>
      <c r="F367" s="1" t="str">
        <f>IFERROR(__xludf.DUMMYFUNCTION("""COMPUTED_VALUE"""),"CLOSED")</f>
        <v>CLOSED</v>
      </c>
      <c r="G367" s="1" t="str">
        <f>IFERROR(__xludf.DUMMYFUNCTION("""COMPUTED_VALUE"""),"CLOSED")</f>
        <v>CLOSED</v>
      </c>
      <c r="H367" s="1"/>
      <c r="I367" s="1" t="str">
        <f>IFERROR(__xludf.DUMMYFUNCTION("""COMPUTED_VALUE"""),"NO 1 AMSF")</f>
        <v>NO 1 AMSF</v>
      </c>
      <c r="J367" s="1"/>
      <c r="K367" s="1" t="str">
        <f>IFERROR(__xludf.DUMMYFUNCTION("""COMPUTED_VALUE"""),"COMPLETED")</f>
        <v>COMPLETED</v>
      </c>
      <c r="L367" s="1" t="str">
        <f>IFERROR(__xludf.DUMMYFUNCTION("""COMPUTED_VALUE"""),"POSTED")</f>
        <v>POSTED</v>
      </c>
      <c r="M367" s="1" t="str">
        <f>IFERROR(__xludf.DUMMYFUNCTION("""COMPUTED_VALUE"""),"POSTED")</f>
        <v>POSTED</v>
      </c>
      <c r="N367" s="3">
        <f>IFERROR(__xludf.DUMMYFUNCTION("""COMPUTED_VALUE"""),46275)</f>
        <v>46275</v>
      </c>
      <c r="O367" s="1" t="str">
        <f>IFERROR(__xludf.DUMMYFUNCTION("""COMPUTED_VALUE"""),"FIBR PLAN 2699")</f>
        <v>FIBR PLAN 2699</v>
      </c>
      <c r="P367" s="1" t="str">
        <f>IFERROR(__xludf.DUMMYFUNCTION("""COMPUTED_VALUE"""),"HIGHPLAN")</f>
        <v>HIGHPLAN</v>
      </c>
      <c r="Q367" s="1" t="str">
        <f>IFERROR(__xludf.DUMMYFUNCTION("""COMPUTED_VALUE"""),"P407046")</f>
        <v>P407046</v>
      </c>
      <c r="R367" s="1" t="str">
        <f>IFERROR(__xludf.DUMMYFUNCTION("""COMPUTED_VALUE"""),"MALIWAT, MARK")</f>
        <v>MALIWAT, MARK</v>
      </c>
      <c r="S367" s="1" t="str">
        <f>IFERROR(__xludf.DUMMYFUNCTION("""COMPUTED_VALUE"""),"FLA")</f>
        <v>FLA</v>
      </c>
      <c r="T367" s="1" t="str">
        <f>IFERROR(__xludf.DUMMYFUNCTION("""COMPUTED_VALUE"""),"JERIC NAVARRO")</f>
        <v>JERIC NAVARRO</v>
      </c>
      <c r="U367" s="1" t="str">
        <f>IFERROR(__xludf.DUMMYFUNCTION("""COMPUTED_VALUE"""),"JB SALIOA")</f>
        <v>JB SALIOA</v>
      </c>
      <c r="V367" s="1" t="str">
        <f>IFERROR(__xludf.DUMMYFUNCTION("""COMPUTED_VALUE"""),"BK REGULAR")</f>
        <v>BK REGULAR</v>
      </c>
      <c r="W367" s="1" t="str">
        <f>IFERROR(__xludf.DUMMYFUNCTION("""COMPUTED_VALUE"""),"STK REGULAR")</f>
        <v>STK REGULAR</v>
      </c>
      <c r="X367" s="1" t="str">
        <f>IFERROR(__xludf.DUMMYFUNCTION("""COMPUTED_VALUE"""),"REGULAR")</f>
        <v>REGULAR</v>
      </c>
      <c r="Y367" s="1" t="str">
        <f>IFERROR(__xludf.DUMMYFUNCTION("""COMPUTED_VALUE"""),"BK_CVEU_260802")</f>
        <v>BK_CVEU_260802</v>
      </c>
      <c r="Z367" s="1" t="str">
        <f>IFERROR(__xludf.DUMMYFUNCTION("""COMPUTED_VALUE"""),"NEW CONNECT")</f>
        <v>NEW CONNECT</v>
      </c>
      <c r="AA367" s="1">
        <f>IFERROR(__xludf.DUMMYFUNCTION("""COMPUTED_VALUE"""),639399106360)</f>
        <v>639399106360</v>
      </c>
      <c r="AB367" s="1">
        <f>IFERROR(__xludf.DUMMYFUNCTION("""COMPUTED_VALUE"""),639159351166)</f>
        <v>639159351166</v>
      </c>
      <c r="AC367" s="1">
        <f>IFERROR(__xludf.DUMMYFUNCTION("""COMPUTED_VALUE"""),9001)</f>
        <v>9001</v>
      </c>
      <c r="AD367" s="1" t="str">
        <f>IFERROR(__xludf.DUMMYFUNCTION("""COMPUTED_VALUE"""),"SITIO IMUS KASTILA")</f>
        <v>SITIO IMUS KASTILA</v>
      </c>
      <c r="AE367" s="1" t="str">
        <f>IFERROR(__xludf.DUMMYFUNCTION("""COMPUTED_VALUE"""),"PUROK 5")</f>
        <v>PUROK 5</v>
      </c>
      <c r="AF367" s="1" t="str">
        <f>IFERROR(__xludf.DUMMYFUNCTION("""COMPUTED_VALUE"""),"BGY KAYSUYO")</f>
        <v>BGY KAYSUYO</v>
      </c>
      <c r="AG367" s="1" t="str">
        <f>IFERROR(__xludf.DUMMYFUNCTION("""COMPUTED_VALUE"""),"ALFONSO")</f>
        <v>ALFONSO</v>
      </c>
      <c r="AH367" s="1" t="str">
        <f>IFERROR(__xludf.DUMMYFUNCTION("""COMPUTED_VALUE"""),"MANGAHAN SONYA")</f>
        <v>MANGAHAN SONYA</v>
      </c>
      <c r="AI367" s="1" t="str">
        <f>IFERROR(__xludf.DUMMYFUNCTION("""COMPUTED_VALUE"""),"CLUSTER 12")</f>
        <v>CLUSTER 12</v>
      </c>
    </row>
    <row r="368" customHeight="1" spans="1:35">
      <c r="A368" s="3">
        <f>IFERROR(__xludf.DUMMYFUNCTION("""COMPUTED_VALUE"""),46255)</f>
        <v>46255</v>
      </c>
      <c r="B368" s="1" t="str">
        <f>IFERROR(__xludf.DUMMYFUNCTION("""COMPUTED_VALUE"""),"MRA MARALIT TRUCKING SERVICES")</f>
        <v>MRA MARALIT TRUCKING SERVICES</v>
      </c>
      <c r="C368" s="1"/>
      <c r="D368" s="1"/>
      <c r="E368" s="1"/>
      <c r="F368" s="1" t="str">
        <f>IFERROR(__xludf.DUMMYFUNCTION("""COMPUTED_VALUE"""),"CLOSED")</f>
        <v>CLOSED</v>
      </c>
      <c r="G368" s="1" t="str">
        <f>IFERROR(__xludf.DUMMYFUNCTION("""COMPUTED_VALUE"""),"CLOSED")</f>
        <v>CLOSED</v>
      </c>
      <c r="H368" s="1" t="str">
        <f>IFERROR(__xludf.DUMMYFUNCTION("""COMPUTED_VALUE"""),"PAID VIA GCASH - AUG 22 - REF - 511895466")</f>
        <v>PAID VIA GCASH - AUG 22 - REF - 511895466</v>
      </c>
      <c r="I368" s="1" t="str">
        <f>IFERROR(__xludf.DUMMYFUNCTION("""COMPUTED_VALUE"""),"WITH 1 AMSF")</f>
        <v>WITH 1 AMSF</v>
      </c>
      <c r="J368" s="1"/>
      <c r="K368" s="1" t="str">
        <f>IFERROR(__xludf.DUMMYFUNCTION("""COMPUTED_VALUE"""),"CANCELED")</f>
        <v>CANCELED</v>
      </c>
      <c r="L368" s="1" t="str">
        <f>IFERROR(__xludf.DUMMYFUNCTION("""COMPUTED_VALUE"""),"POSTED")</f>
        <v>POSTED</v>
      </c>
      <c r="M368" s="1" t="str">
        <f>IFERROR(__xludf.DUMMYFUNCTION("""COMPUTED_VALUE"""),"POSTED")</f>
        <v>POSTED</v>
      </c>
      <c r="N368" s="3">
        <f>IFERROR(__xludf.DUMMYFUNCTION("""COMPUTED_VALUE"""),46268)</f>
        <v>46268</v>
      </c>
      <c r="O368" s="1" t="str">
        <f>IFERROR(__xludf.DUMMYFUNCTION("""COMPUTED_VALUE"""),"HOME BIZ PLAN 1699")</f>
        <v>HOME BIZ PLAN 1699</v>
      </c>
      <c r="P368" s="1" t="str">
        <f>IFERROR(__xludf.DUMMYFUNCTION("""COMPUTED_VALUE"""),"BIZ PLAN")</f>
        <v>BIZ PLAN</v>
      </c>
      <c r="Q368" s="1" t="str">
        <f>IFERROR(__xludf.DUMMYFUNCTION("""COMPUTED_VALUE"""),"P407044")</f>
        <v>P407044</v>
      </c>
      <c r="R368" s="1" t="str">
        <f>IFERROR(__xludf.DUMMYFUNCTION("""COMPUTED_VALUE"""),"AYON, MANUEL")</f>
        <v>AYON, MANUEL</v>
      </c>
      <c r="S368" s="1" t="str">
        <f>IFERROR(__xludf.DUMMYFUNCTION("""COMPUTED_VALUE"""),"FLA")</f>
        <v>FLA</v>
      </c>
      <c r="T368" s="1" t="str">
        <f>IFERROR(__xludf.DUMMYFUNCTION("""COMPUTED_VALUE"""),"JERIC NAVARRO")</f>
        <v>JERIC NAVARRO</v>
      </c>
      <c r="U368" s="1" t="str">
        <f>IFERROR(__xludf.DUMMYFUNCTION("""COMPUTED_VALUE"""),"JB SALIOA")</f>
        <v>JB SALIOA</v>
      </c>
      <c r="V368" s="1" t="str">
        <f>IFERROR(__xludf.DUMMYFUNCTION("""COMPUTED_VALUE"""),"BK")</f>
        <v>BK</v>
      </c>
      <c r="W368" s="1" t="str">
        <f>IFERROR(__xludf.DUMMYFUNCTION("""COMPUTED_VALUE"""),"CSP")</f>
        <v>CSP</v>
      </c>
      <c r="X368" s="1" t="str">
        <f>IFERROR(__xludf.DUMMYFUNCTION("""COMPUTED_VALUE"""),"HBBS BIZ AUG 2026")</f>
        <v>HBBS BIZ AUG 2026</v>
      </c>
      <c r="Y368" s="1" t="str">
        <f>IFERROR(__xludf.DUMMYFUNCTION("""COMPUTED_VALUE"""),"BK_CVEU_260803")</f>
        <v>BK_CVEU_260803</v>
      </c>
      <c r="Z368" s="1" t="str">
        <f>IFERROR(__xludf.DUMMYFUNCTION("""COMPUTED_VALUE"""),"NEW CONNECT")</f>
        <v>NEW CONNECT</v>
      </c>
      <c r="AA368" s="1">
        <f>IFERROR(__xludf.DUMMYFUNCTION("""COMPUTED_VALUE"""),639614474980)</f>
        <v>639614474980</v>
      </c>
      <c r="AB368" s="1">
        <f>IFERROR(__xludf.DUMMYFUNCTION("""COMPUTED_VALUE"""),639614474932)</f>
        <v>639614474932</v>
      </c>
      <c r="AC368" s="1"/>
      <c r="AD368" s="1" t="str">
        <f>IFERROR(__xludf.DUMMYFUNCTION("""COMPUTED_VALUE"""),"SABUTAN-PALIPARAN")</f>
        <v>SABUTAN-PALIPARAN</v>
      </c>
      <c r="AE368" s="1"/>
      <c r="AF368" s="1" t="str">
        <f>IFERROR(__xludf.DUMMYFUNCTION("""COMPUTED_VALUE"""),"BGY SABUTAN")</f>
        <v>BGY SABUTAN</v>
      </c>
      <c r="AG368" s="1" t="str">
        <f>IFERROR(__xludf.DUMMYFUNCTION("""COMPUTED_VALUE"""),"SILANG")</f>
        <v>SILANG</v>
      </c>
      <c r="AH368" s="1" t="str">
        <f>IFERROR(__xludf.DUMMYFUNCTION("""COMPUTED_VALUE"""),"MARLON FOOD HUB")</f>
        <v>MARLON FOOD HUB</v>
      </c>
      <c r="AI368" s="1" t="str">
        <f>IFERROR(__xludf.DUMMYFUNCTION("""COMPUTED_VALUE"""),"CLUSTER 11")</f>
        <v>CLUSTER 11</v>
      </c>
    </row>
    <row r="369" customHeight="1" spans="1:35">
      <c r="A369" s="3">
        <f>IFERROR(__xludf.DUMMYFUNCTION("""COMPUTED_VALUE"""),46258)</f>
        <v>46258</v>
      </c>
      <c r="B369" s="1" t="str">
        <f>IFERROR(__xludf.DUMMYFUNCTION("""COMPUTED_VALUE"""),"MARY CRIS ESPERA GOLEZ")</f>
        <v>MARY CRIS ESPERA GOLEZ</v>
      </c>
      <c r="C369" s="1"/>
      <c r="D369" s="1"/>
      <c r="E369" s="1"/>
      <c r="F369" s="1" t="str">
        <f>IFERROR(__xludf.DUMMYFUNCTION("""COMPUTED_VALUE"""),"CLOSED")</f>
        <v>CLOSED</v>
      </c>
      <c r="G369" s="1" t="str">
        <f>IFERROR(__xludf.DUMMYFUNCTION("""COMPUTED_VALUE"""),"CLOSED")</f>
        <v>CLOSED</v>
      </c>
      <c r="H369" s="1"/>
      <c r="I369" s="1" t="str">
        <f>IFERROR(__xludf.DUMMYFUNCTION("""COMPUTED_VALUE"""),"NO 1 AMSF")</f>
        <v>NO 1 AMSF</v>
      </c>
      <c r="J369" s="1" t="str">
        <f>IFERROR(__xludf.DUMMYFUNCTION("""COMPUTED_VALUE"""),"DUE DATE - 26-Sep-26 - 1,444.13")</f>
        <v>DUE DATE - 26-Sep-26 - 1,444.13</v>
      </c>
      <c r="K369" s="1" t="str">
        <f>IFERROR(__xludf.DUMMYFUNCTION("""COMPUTED_VALUE"""),"CANCELED")</f>
        <v>CANCELED</v>
      </c>
      <c r="L369" s="1" t="str">
        <f>IFERROR(__xludf.DUMMYFUNCTION("""COMPUTED_VALUE"""),"POSTED")</f>
        <v>POSTED</v>
      </c>
      <c r="M369" s="1" t="str">
        <f>IFERROR(__xludf.DUMMYFUNCTION("""COMPUTED_VALUE"""),"POSTED")</f>
        <v>POSTED</v>
      </c>
      <c r="N369" s="3">
        <f>IFERROR(__xludf.DUMMYFUNCTION("""COMPUTED_VALUE"""),46267)</f>
        <v>46267</v>
      </c>
      <c r="O369" s="1" t="str">
        <f>IFERROR(__xludf.DUMMYFUNCTION("""COMPUTED_VALUE"""),"FIBR PLAN 1299")</f>
        <v>FIBR PLAN 1299</v>
      </c>
      <c r="P369" s="1" t="str">
        <f>IFERROR(__xludf.DUMMYFUNCTION("""COMPUTED_VALUE"""),"LOWPLAN")</f>
        <v>LOWPLAN</v>
      </c>
      <c r="Q369" s="1" t="str">
        <f>IFERROR(__xludf.DUMMYFUNCTION("""COMPUTED_VALUE"""),"P407050")</f>
        <v>P407050</v>
      </c>
      <c r="R369" s="1" t="str">
        <f>IFERROR(__xludf.DUMMYFUNCTION("""COMPUTED_VALUE"""),"CADERAO, RONALD")</f>
        <v>CADERAO, RONALD</v>
      </c>
      <c r="S369" s="1" t="str">
        <f>IFERROR(__xludf.DUMMYFUNCTION("""COMPUTED_VALUE"""),"ORGANIC")</f>
        <v>ORGANIC</v>
      </c>
      <c r="T369" s="1" t="str">
        <f>IFERROR(__xludf.DUMMYFUNCTION("""COMPUTED_VALUE"""),"LEA REMOLLO")</f>
        <v>LEA REMOLLO</v>
      </c>
      <c r="U369" s="1" t="str">
        <f>IFERROR(__xludf.DUMMYFUNCTION("""COMPUTED_VALUE"""),"JB SALIOA")</f>
        <v>JB SALIOA</v>
      </c>
      <c r="V369" s="1" t="str">
        <f>IFERROR(__xludf.DUMMYFUNCTION("""COMPUTED_VALUE"""),"BK HSTK")</f>
        <v>BK HSTK</v>
      </c>
      <c r="W369" s="1" t="str">
        <f>IFERROR(__xludf.DUMMYFUNCTION("""COMPUTED_VALUE"""),"BK HSTK")</f>
        <v>BK HSTK</v>
      </c>
      <c r="X369" s="1" t="str">
        <f>IFERROR(__xludf.DUMMYFUNCTION("""COMPUTED_VALUE"""),"REGULAR")</f>
        <v>REGULAR</v>
      </c>
      <c r="Y369" s="1" t="str">
        <f>IFERROR(__xludf.DUMMYFUNCTION("""COMPUTED_VALUE"""),"BK_CVEU_260813")</f>
        <v>BK_CVEU_260813</v>
      </c>
      <c r="Z369" s="1" t="str">
        <f>IFERROR(__xludf.DUMMYFUNCTION("""COMPUTED_VALUE"""),"NEW CONNECT")</f>
        <v>NEW CONNECT</v>
      </c>
      <c r="AA369" s="1">
        <f>IFERROR(__xludf.DUMMYFUNCTION("""COMPUTED_VALUE"""),639859979349)</f>
        <v>639859979349</v>
      </c>
      <c r="AB369" s="1">
        <f>IFERROR(__xludf.DUMMYFUNCTION("""COMPUTED_VALUE"""),639455237126)</f>
        <v>639455237126</v>
      </c>
      <c r="AC369" s="1">
        <f>IFERROR(__xludf.DUMMYFUNCTION("""COMPUTED_VALUE"""),54)</f>
        <v>54</v>
      </c>
      <c r="AD369" s="1" t="str">
        <f>IFERROR(__xludf.DUMMYFUNCTION("""COMPUTED_VALUE"""),"BULIHAN")</f>
        <v>BULIHAN</v>
      </c>
      <c r="AE369" s="1"/>
      <c r="AF369" s="1" t="str">
        <f>IFERROR(__xludf.DUMMYFUNCTION("""COMPUTED_VALUE"""),"BGY BULIHAN")</f>
        <v>BGY BULIHAN</v>
      </c>
      <c r="AG369" s="1" t="str">
        <f>IFERROR(__xludf.DUMMYFUNCTION("""COMPUTED_VALUE"""),"SILANG")</f>
        <v>SILANG</v>
      </c>
      <c r="AH369" s="1" t="str">
        <f>IFERROR(__xludf.DUMMYFUNCTION("""COMPUTED_VALUE"""),"ESPANOLA MACHINE SHOP")</f>
        <v>ESPANOLA MACHINE SHOP</v>
      </c>
      <c r="AI369" s="1" t="str">
        <f>IFERROR(__xludf.DUMMYFUNCTION("""COMPUTED_VALUE"""),"CLUSTER 11")</f>
        <v>CLUSTER 11</v>
      </c>
    </row>
    <row r="370" customHeight="1" spans="1:35">
      <c r="A370" s="3">
        <f>IFERROR(__xludf.DUMMYFUNCTION("""COMPUTED_VALUE"""),46260)</f>
        <v>46260</v>
      </c>
      <c r="B370" s="1" t="str">
        <f>IFERROR(__xludf.DUMMYFUNCTION("""COMPUTED_VALUE"""),"MERLIN MANARIN OFIAZA")</f>
        <v>MERLIN MANARIN OFIAZA</v>
      </c>
      <c r="C370" s="1"/>
      <c r="D370" s="1"/>
      <c r="E370" s="1"/>
      <c r="F370" s="1" t="str">
        <f>IFERROR(__xludf.DUMMYFUNCTION("""COMPUTED_VALUE"""),"CLOSED")</f>
        <v>CLOSED</v>
      </c>
      <c r="G370" s="1" t="str">
        <f>IFERROR(__xludf.DUMMYFUNCTION("""COMPUTED_VALUE"""),"CLOSED")</f>
        <v>CLOSED</v>
      </c>
      <c r="H370" s="1"/>
      <c r="I370" s="1" t="str">
        <f>IFERROR(__xludf.DUMMYFUNCTION("""COMPUTED_VALUE"""),"NO 1 AMSF")</f>
        <v>NO 1 AMSF</v>
      </c>
      <c r="J370" s="1" t="str">
        <f>IFERROR(__xludf.DUMMYFUNCTION("""COMPUTED_VALUE"""),"DUE DATE - 26-Sep-26 - 1,597.36")</f>
        <v>DUE DATE - 26-Sep-26 - 1,597.36</v>
      </c>
      <c r="K370" s="1" t="str">
        <f>IFERROR(__xludf.DUMMYFUNCTION("""COMPUTED_VALUE"""),"NOT DONE")</f>
        <v>NOT DONE</v>
      </c>
      <c r="L370" s="1" t="str">
        <f>IFERROR(__xludf.DUMMYFUNCTION("""COMPUTED_VALUE"""),"POSTED")</f>
        <v>POSTED</v>
      </c>
      <c r="M370" s="1" t="str">
        <f>IFERROR(__xludf.DUMMYFUNCTION("""COMPUTED_VALUE"""),"POSTED")</f>
        <v>POSTED</v>
      </c>
      <c r="N370" s="3">
        <f>IFERROR(__xludf.DUMMYFUNCTION("""COMPUTED_VALUE"""),46267)</f>
        <v>46267</v>
      </c>
      <c r="O370" s="1" t="str">
        <f>IFERROR(__xludf.DUMMYFUNCTION("""COMPUTED_VALUE"""),"FIBER UNLI ALL PLAN 1499")</f>
        <v>FIBER UNLI ALL PLAN 1499</v>
      </c>
      <c r="P370" s="1" t="str">
        <f>IFERROR(__xludf.DUMMYFUNCTION("""COMPUTED_VALUE"""),"LOWPLAN")</f>
        <v>LOWPLAN</v>
      </c>
      <c r="Q370" s="1" t="str">
        <f>IFERROR(__xludf.DUMMYFUNCTION("""COMPUTED_VALUE"""),"P407044")</f>
        <v>P407044</v>
      </c>
      <c r="R370" s="1" t="str">
        <f>IFERROR(__xludf.DUMMYFUNCTION("""COMPUTED_VALUE"""),"CARPIO, STEPHANIE")</f>
        <v>CARPIO, STEPHANIE</v>
      </c>
      <c r="S370" s="1" t="str">
        <f>IFERROR(__xludf.DUMMYFUNCTION("""COMPUTED_VALUE"""),"FLA")</f>
        <v>FLA</v>
      </c>
      <c r="T370" s="1" t="str">
        <f>IFERROR(__xludf.DUMMYFUNCTION("""COMPUTED_VALUE"""),"JERIC NAVARRO")</f>
        <v>JERIC NAVARRO</v>
      </c>
      <c r="U370" s="1" t="str">
        <f>IFERROR(__xludf.DUMMYFUNCTION("""COMPUTED_VALUE"""),"JB SALIOA")</f>
        <v>JB SALIOA</v>
      </c>
      <c r="V370" s="1" t="str">
        <f>IFERROR(__xludf.DUMMYFUNCTION("""COMPUTED_VALUE"""),"ONLINE/CRANFORD")</f>
        <v>ONLINE/CRANFORD</v>
      </c>
      <c r="W370" s="1" t="str">
        <f>IFERROR(__xludf.DUMMYFUNCTION("""COMPUTED_VALUE"""),"STK REGULAR")</f>
        <v>STK REGULAR</v>
      </c>
      <c r="X370" s="1" t="str">
        <f>IFERROR(__xludf.DUMMYFUNCTION("""COMPUTED_VALUE"""),"HBBS AUG 2026")</f>
        <v>HBBS AUG 2026</v>
      </c>
      <c r="Y370" s="1" t="str">
        <f>IFERROR(__xludf.DUMMYFUNCTION("""COMPUTED_VALUE"""),"RS_SS_CVEU_2026")</f>
        <v>RS_SS_CVEU_2026</v>
      </c>
      <c r="Z370" s="1" t="str">
        <f>IFERROR(__xludf.DUMMYFUNCTION("""COMPUTED_VALUE"""),"NEW CONNECT")</f>
        <v>NEW CONNECT</v>
      </c>
      <c r="AA370" s="1">
        <f>IFERROR(__xludf.DUMMYFUNCTION("""COMPUTED_VALUE"""),639158849638)</f>
        <v>639158849638</v>
      </c>
      <c r="AB370" s="1"/>
      <c r="AC370" s="1"/>
      <c r="AD370" s="1" t="str">
        <f>IFERROR(__xludf.DUMMYFUNCTION("""COMPUTED_VALUE"""),"SANCHEZ")</f>
        <v>SANCHEZ</v>
      </c>
      <c r="AE370" s="1"/>
      <c r="AF370" s="1" t="str">
        <f>IFERROR(__xludf.DUMMYFUNCTION("""COMPUTED_VALUE"""),"BGY 51")</f>
        <v>BGY 51</v>
      </c>
      <c r="AG370" s="1" t="str">
        <f>IFERROR(__xludf.DUMMYFUNCTION("""COMPUTED_VALUE"""),"CAVITE CITY")</f>
        <v>CAVITE CITY</v>
      </c>
      <c r="AH370" s="1" t="str">
        <f>IFERROR(__xludf.DUMMYFUNCTION("""COMPUTED_VALUE"""),"-")</f>
        <v>-</v>
      </c>
      <c r="AI370" s="1" t="str">
        <f>IFERROR(__xludf.DUMMYFUNCTION("""COMPUTED_VALUE"""),"NOT AOR")</f>
        <v>NOT AOR</v>
      </c>
    </row>
    <row r="371" customHeight="1" spans="1:35">
      <c r="A371" s="3">
        <f>IFERROR(__xludf.DUMMYFUNCTION("""COMPUTED_VALUE"""),46260)</f>
        <v>46260</v>
      </c>
      <c r="B371" s="1" t="str">
        <f>IFERROR(__xludf.DUMMYFUNCTION("""COMPUTED_VALUE"""),"DENNIS SALUDO BITO")</f>
        <v>DENNIS SALUDO BITO</v>
      </c>
      <c r="C371" s="1"/>
      <c r="D371" s="1"/>
      <c r="E371" s="1"/>
      <c r="F371" s="1" t="str">
        <f>IFERROR(__xludf.DUMMYFUNCTION("""COMPUTED_VALUE"""),"CLOSED")</f>
        <v>CLOSED</v>
      </c>
      <c r="G371" s="1" t="str">
        <f>IFERROR(__xludf.DUMMYFUNCTION("""COMPUTED_VALUE"""),"CLOSED")</f>
        <v>CLOSED</v>
      </c>
      <c r="H371" s="1" t="str">
        <f>IFERROR(__xludf.DUMMYFUNCTION("""COMPUTED_VALUE"""),"PQGOR362359886	30-Aug-26	Regular Payment	CIS-GCASH 3.0	1,499.00	0	30-Aug-26")</f>
        <v>PQGOR362359886	30-Aug-26	Regular Payment	CIS-GCASH 3.0	1,499.00	0	30-Aug-26</v>
      </c>
      <c r="I371" s="1" t="str">
        <f>IFERROR(__xludf.DUMMYFUNCTION("""COMPUTED_VALUE"""),"WITH 1 AMSF")</f>
        <v>WITH 1 AMSF</v>
      </c>
      <c r="J371" s="1"/>
      <c r="K371" s="1" t="str">
        <f>IFERROR(__xludf.DUMMYFUNCTION("""COMPUTED_VALUE"""),"COMPLETED")</f>
        <v>COMPLETED</v>
      </c>
      <c r="L371" s="1" t="str">
        <f>IFERROR(__xludf.DUMMYFUNCTION("""COMPUTED_VALUE"""),"POSTED")</f>
        <v>POSTED</v>
      </c>
      <c r="M371" s="1" t="str">
        <f>IFERROR(__xludf.DUMMYFUNCTION("""COMPUTED_VALUE"""),"POSTED")</f>
        <v>POSTED</v>
      </c>
      <c r="N371" s="3">
        <f>IFERROR(__xludf.DUMMYFUNCTION("""COMPUTED_VALUE"""),46266)</f>
        <v>46266</v>
      </c>
      <c r="O371" s="1" t="str">
        <f>IFERROR(__xludf.DUMMYFUNCTION("""COMPUTED_VALUE"""),"FIBER UNLI ALL PLAN 1499")</f>
        <v>FIBER UNLI ALL PLAN 1499</v>
      </c>
      <c r="P371" s="1" t="str">
        <f>IFERROR(__xludf.DUMMYFUNCTION("""COMPUTED_VALUE"""),"LOWPLAN")</f>
        <v>LOWPLAN</v>
      </c>
      <c r="Q371" s="1" t="str">
        <f>IFERROR(__xludf.DUMMYFUNCTION("""COMPUTED_VALUE"""),"P407044")</f>
        <v>P407044</v>
      </c>
      <c r="R371" s="1" t="str">
        <f>IFERROR(__xludf.DUMMYFUNCTION("""COMPUTED_VALUE"""),"AYON, MANUEL")</f>
        <v>AYON, MANUEL</v>
      </c>
      <c r="S371" s="1" t="str">
        <f>IFERROR(__xludf.DUMMYFUNCTION("""COMPUTED_VALUE"""),"FLA")</f>
        <v>FLA</v>
      </c>
      <c r="T371" s="1" t="str">
        <f>IFERROR(__xludf.DUMMYFUNCTION("""COMPUTED_VALUE"""),"JERIC NAVARRO")</f>
        <v>JERIC NAVARRO</v>
      </c>
      <c r="U371" s="1" t="str">
        <f>IFERROR(__xludf.DUMMYFUNCTION("""COMPUTED_VALUE"""),"JB SALIOA")</f>
        <v>JB SALIOA</v>
      </c>
      <c r="V371" s="1" t="str">
        <f>IFERROR(__xludf.DUMMYFUNCTION("""COMPUTED_VALUE"""),"ONLINE/CRANFORD")</f>
        <v>ONLINE/CRANFORD</v>
      </c>
      <c r="W371" s="1" t="str">
        <f>IFERROR(__xludf.DUMMYFUNCTION("""COMPUTED_VALUE"""),"STK REGULAR")</f>
        <v>STK REGULAR</v>
      </c>
      <c r="X371" s="1" t="str">
        <f>IFERROR(__xludf.DUMMYFUNCTION("""COMPUTED_VALUE"""),"HBBS AUG 2026")</f>
        <v>HBBS AUG 2026</v>
      </c>
      <c r="Y371" s="1" t="str">
        <f>IFERROR(__xludf.DUMMYFUNCTION("""COMPUTED_VALUE"""),"RS_ONL_CVEU_2026")</f>
        <v>RS_ONL_CVEU_2026</v>
      </c>
      <c r="Z371" s="1" t="str">
        <f>IFERROR(__xludf.DUMMYFUNCTION("""COMPUTED_VALUE"""),"NEW CONNECT")</f>
        <v>NEW CONNECT</v>
      </c>
      <c r="AA371" s="1">
        <f>IFERROR(__xludf.DUMMYFUNCTION("""COMPUTED_VALUE"""),639615548304)</f>
        <v>639615548304</v>
      </c>
      <c r="AB371" s="1">
        <f>IFERROR(__xludf.DUMMYFUNCTION("""COMPUTED_VALUE"""),639186860725)</f>
        <v>639186860725</v>
      </c>
      <c r="AC371" s="1">
        <f>IFERROR(__xludf.DUMMYFUNCTION("""COMPUTED_VALUE"""),1030)</f>
        <v>1030</v>
      </c>
      <c r="AD371" s="1" t="str">
        <f>IFERROR(__xludf.DUMMYFUNCTION("""COMPUTED_VALUE"""),"ADELFA")</f>
        <v>ADELFA</v>
      </c>
      <c r="AE371" s="1" t="str">
        <f>IFERROR(__xludf.DUMMYFUNCTION("""COMPUTED_VALUE"""),"OREGANO")</f>
        <v>OREGANO</v>
      </c>
      <c r="AF371" s="1" t="str">
        <f>IFERROR(__xludf.DUMMYFUNCTION("""COMPUTED_VALUE"""),"BGY MADUYA")</f>
        <v>BGY MADUYA</v>
      </c>
      <c r="AG371" s="1" t="str">
        <f>IFERROR(__xludf.DUMMYFUNCTION("""COMPUTED_VALUE"""),"CARMONA")</f>
        <v>CARMONA</v>
      </c>
      <c r="AH371" s="1" t="str">
        <f>IFERROR(__xludf.DUMMYFUNCTION("""COMPUTED_VALUE"""),"ADELFA ST")</f>
        <v>ADELFA ST</v>
      </c>
      <c r="AI371" s="1" t="str">
        <f>IFERROR(__xludf.DUMMYFUNCTION("""COMPUTED_VALUE"""),"CLUSTER 11")</f>
        <v>CLUSTER 11</v>
      </c>
    </row>
    <row r="372" customHeight="1" spans="1:35">
      <c r="A372" s="3">
        <f>IFERROR(__xludf.DUMMYFUNCTION("""COMPUTED_VALUE"""),46260)</f>
        <v>46260</v>
      </c>
      <c r="B372" s="1" t="str">
        <f>IFERROR(__xludf.DUMMYFUNCTION("""COMPUTED_VALUE"""),"CZARINA MARIE CALMERIN QUILAO")</f>
        <v>CZARINA MARIE CALMERIN QUILAO</v>
      </c>
      <c r="C372" s="1"/>
      <c r="D372" s="1"/>
      <c r="E372" s="1"/>
      <c r="F372" s="1" t="str">
        <f>IFERROR(__xludf.DUMMYFUNCTION("""COMPUTED_VALUE"""),"CLOSED")</f>
        <v>CLOSED</v>
      </c>
      <c r="G372" s="1" t="str">
        <f>IFERROR(__xludf.DUMMYFUNCTION("""COMPUTED_VALUE"""),"CLOSED")</f>
        <v>CLOSED</v>
      </c>
      <c r="H372" s="1"/>
      <c r="I372" s="1" t="str">
        <f>IFERROR(__xludf.DUMMYFUNCTION("""COMPUTED_VALUE"""),"NO 1 AMSF")</f>
        <v>NO 1 AMSF</v>
      </c>
      <c r="J372" s="1" t="str">
        <f>IFERROR(__xludf.DUMMYFUNCTION("""COMPUTED_VALUE"""),"DUE DATE - 26-Sep-26 - 1,444.13")</f>
        <v>DUE DATE - 26-Sep-26 - 1,444.13</v>
      </c>
      <c r="K372" s="1" t="str">
        <f>IFERROR(__xludf.DUMMYFUNCTION("""COMPUTED_VALUE"""),"SUSPENDED")</f>
        <v>SUSPENDED</v>
      </c>
      <c r="L372" s="1" t="str">
        <f>IFERROR(__xludf.DUMMYFUNCTION("""COMPUTED_VALUE"""),"poSTED")</f>
        <v>poSTED</v>
      </c>
      <c r="M372" s="1" t="str">
        <f>IFERROR(__xludf.DUMMYFUNCTION("""COMPUTED_VALUE"""),"POSTED")</f>
        <v>POSTED</v>
      </c>
      <c r="N372" s="3">
        <f>IFERROR(__xludf.DUMMYFUNCTION("""COMPUTED_VALUE"""),46267)</f>
        <v>46267</v>
      </c>
      <c r="O372" s="1" t="str">
        <f>IFERROR(__xludf.DUMMYFUNCTION("""COMPUTED_VALUE"""),"FIBR PLAN 1299")</f>
        <v>FIBR PLAN 1299</v>
      </c>
      <c r="P372" s="1" t="str">
        <f>IFERROR(__xludf.DUMMYFUNCTION("""COMPUTED_VALUE"""),"LOWPLAN")</f>
        <v>LOWPLAN</v>
      </c>
      <c r="Q372" s="1" t="str">
        <f>IFERROR(__xludf.DUMMYFUNCTION("""COMPUTED_VALUE"""),"P407050")</f>
        <v>P407050</v>
      </c>
      <c r="R372" s="1" t="str">
        <f>IFERROR(__xludf.DUMMYFUNCTION("""COMPUTED_VALUE"""),"ESCARCHA, ALMA")</f>
        <v>ESCARCHA, ALMA</v>
      </c>
      <c r="S372" s="1" t="str">
        <f>IFERROR(__xludf.DUMMYFUNCTION("""COMPUTED_VALUE"""),"ORGANIC")</f>
        <v>ORGANIC</v>
      </c>
      <c r="T372" s="1" t="str">
        <f>IFERROR(__xludf.DUMMYFUNCTION("""COMPUTED_VALUE"""),"LEA REMOLLO")</f>
        <v>LEA REMOLLO</v>
      </c>
      <c r="U372" s="1" t="str">
        <f>IFERROR(__xludf.DUMMYFUNCTION("""COMPUTED_VALUE"""),"JB SALIOA")</f>
        <v>JB SALIOA</v>
      </c>
      <c r="V372" s="1" t="str">
        <f>IFERROR(__xludf.DUMMYFUNCTION("""COMPUTED_VALUE"""),"BK REGULAR")</f>
        <v>BK REGULAR</v>
      </c>
      <c r="W372" s="1" t="str">
        <f>IFERROR(__xludf.DUMMYFUNCTION("""COMPUTED_VALUE"""),"STK REGULAR")</f>
        <v>STK REGULAR</v>
      </c>
      <c r="X372" s="1" t="str">
        <f>IFERROR(__xludf.DUMMYFUNCTION("""COMPUTED_VALUE"""),"REGULAR")</f>
        <v>REGULAR</v>
      </c>
      <c r="Y372" s="1" t="str">
        <f>IFERROR(__xludf.DUMMYFUNCTION("""COMPUTED_VALUE"""),"BK_CVEU_260808")</f>
        <v>BK_CVEU_260808</v>
      </c>
      <c r="Z372" s="1" t="str">
        <f>IFERROR(__xludf.DUMMYFUNCTION("""COMPUTED_VALUE"""),"NEW CONNECT")</f>
        <v>NEW CONNECT</v>
      </c>
      <c r="AA372" s="1">
        <f>IFERROR(__xludf.DUMMYFUNCTION("""COMPUTED_VALUE"""),639560490769)</f>
        <v>639560490769</v>
      </c>
      <c r="AB372" s="1">
        <f>IFERROR(__xludf.DUMMYFUNCTION("""COMPUTED_VALUE"""),639638094067)</f>
        <v>639638094067</v>
      </c>
      <c r="AC372" s="1">
        <f>IFERROR(__xludf.DUMMYFUNCTION("""COMPUTED_VALUE"""),51)</f>
        <v>51</v>
      </c>
      <c r="AD372" s="1" t="str">
        <f>IFERROR(__xludf.DUMMYFUNCTION("""COMPUTED_VALUE"""),"PASONG MATANDA")</f>
        <v>PASONG MATANDA</v>
      </c>
      <c r="AE372" s="1"/>
      <c r="AF372" s="1" t="str">
        <f>IFERROR(__xludf.DUMMYFUNCTION("""COMPUTED_VALUE"""),"BGY 5")</f>
        <v>BGY 5</v>
      </c>
      <c r="AG372" s="1" t="str">
        <f>IFERROR(__xludf.DUMMYFUNCTION("""COMPUTED_VALUE"""),"AMADEO")</f>
        <v>AMADEO</v>
      </c>
      <c r="AH372" s="1" t="str">
        <f>IFERROR(__xludf.DUMMYFUNCTION("""COMPUTED_VALUE"""),"BRGY HALL")</f>
        <v>BRGY HALL</v>
      </c>
      <c r="AI372" s="1" t="str">
        <f>IFERROR(__xludf.DUMMYFUNCTION("""COMPUTED_VALUE"""),"CLUSTER 12")</f>
        <v>CLUSTER 12</v>
      </c>
    </row>
    <row r="373" customHeight="1" spans="1:35">
      <c r="A373" s="3">
        <f>IFERROR(__xludf.DUMMYFUNCTION("""COMPUTED_VALUE"""),46264)</f>
        <v>46264</v>
      </c>
      <c r="B373" s="1" t="str">
        <f>IFERROR(__xludf.DUMMYFUNCTION("""COMPUTED_VALUE"""),"JHANA MIGUELA CREDO ROGACION")</f>
        <v>JHANA MIGUELA CREDO ROGACION</v>
      </c>
      <c r="C373" s="1"/>
      <c r="D373" s="1"/>
      <c r="E373" s="1"/>
      <c r="F373" s="1" t="str">
        <f>IFERROR(__xludf.DUMMYFUNCTION("""COMPUTED_VALUE"""),"CLOSED")</f>
        <v>CLOSED</v>
      </c>
      <c r="G373" s="1" t="str">
        <f>IFERROR(__xludf.DUMMYFUNCTION("""COMPUTED_VALUE"""),"CLOSED")</f>
        <v>CLOSED</v>
      </c>
      <c r="H373" s="1"/>
      <c r="I373" s="1" t="str">
        <f>IFERROR(__xludf.DUMMYFUNCTION("""COMPUTED_VALUE"""),"NO 1 AMSF")</f>
        <v>NO 1 AMSF</v>
      </c>
      <c r="J373" s="1" t="str">
        <f>IFERROR(__xludf.DUMMYFUNCTION("""COMPUTED_VALUE"""),"DUE DATE - 26-Sep-26 - 1,489.26")</f>
        <v>DUE DATE - 26-Sep-26 - 1,489.26</v>
      </c>
      <c r="K373" s="1" t="str">
        <f>IFERROR(__xludf.DUMMYFUNCTION("""COMPUTED_VALUE"""),"COMPLETED")</f>
        <v>COMPLETED</v>
      </c>
      <c r="L373" s="1" t="str">
        <f>IFERROR(__xludf.DUMMYFUNCTION("""COMPUTED_VALUE"""),"POSTED")</f>
        <v>POSTED</v>
      </c>
      <c r="M373" s="1" t="str">
        <f>IFERROR(__xludf.DUMMYFUNCTION("""COMPUTED_VALUE"""),"POSTED")</f>
        <v>POSTED</v>
      </c>
      <c r="N373" s="3">
        <f>IFERROR(__xludf.DUMMYFUNCTION("""COMPUTED_VALUE"""),46266)</f>
        <v>46266</v>
      </c>
      <c r="O373" s="1" t="str">
        <f>IFERROR(__xludf.DUMMYFUNCTION("""COMPUTED_VALUE"""),"FIBR PLAN 1299")</f>
        <v>FIBR PLAN 1299</v>
      </c>
      <c r="P373" s="1" t="str">
        <f>IFERROR(__xludf.DUMMYFUNCTION("""COMPUTED_VALUE"""),"LOWPLAN")</f>
        <v>LOWPLAN</v>
      </c>
      <c r="Q373" s="1" t="str">
        <f>IFERROR(__xludf.DUMMYFUNCTION("""COMPUTED_VALUE"""),"P407050")</f>
        <v>P407050</v>
      </c>
      <c r="R373" s="1" t="str">
        <f>IFERROR(__xludf.DUMMYFUNCTION("""COMPUTED_VALUE"""),"CADERAO, RONALD")</f>
        <v>CADERAO, RONALD</v>
      </c>
      <c r="S373" s="1" t="str">
        <f>IFERROR(__xludf.DUMMYFUNCTION("""COMPUTED_VALUE"""),"ORGANIC")</f>
        <v>ORGANIC</v>
      </c>
      <c r="T373" s="1" t="str">
        <f>IFERROR(__xludf.DUMMYFUNCTION("""COMPUTED_VALUE"""),"LEA REMOLLO")</f>
        <v>LEA REMOLLO</v>
      </c>
      <c r="U373" s="1" t="str">
        <f>IFERROR(__xludf.DUMMYFUNCTION("""COMPUTED_VALUE"""),"JB SALIOA")</f>
        <v>JB SALIOA</v>
      </c>
      <c r="V373" s="1" t="str">
        <f>IFERROR(__xludf.DUMMYFUNCTION("""COMPUTED_VALUE"""),"BK REGULAR")</f>
        <v>BK REGULAR</v>
      </c>
      <c r="W373" s="1" t="str">
        <f>IFERROR(__xludf.DUMMYFUNCTION("""COMPUTED_VALUE"""),"STK REGULAR")</f>
        <v>STK REGULAR</v>
      </c>
      <c r="X373" s="1" t="str">
        <f>IFERROR(__xludf.DUMMYFUNCTION("""COMPUTED_VALUE"""),"REGULAR")</f>
        <v>REGULAR</v>
      </c>
      <c r="Y373" s="1" t="str">
        <f>IFERROR(__xludf.DUMMYFUNCTION("""COMPUTED_VALUE"""),"BK_CVEU_260808")</f>
        <v>BK_CVEU_260808</v>
      </c>
      <c r="Z373" s="1" t="str">
        <f>IFERROR(__xludf.DUMMYFUNCTION("""COMPUTED_VALUE"""),"NEW CONNECT")</f>
        <v>NEW CONNECT</v>
      </c>
      <c r="AA373" s="1">
        <f>IFERROR(__xludf.DUMMYFUNCTION("""COMPUTED_VALUE"""),639631058239)</f>
        <v>639631058239</v>
      </c>
      <c r="AB373" s="1"/>
      <c r="AC373" s="1">
        <f>IFERROR(__xludf.DUMMYFUNCTION("""COMPUTED_VALUE"""),64)</f>
        <v>64</v>
      </c>
      <c r="AD373" s="1" t="str">
        <f>IFERROR(__xludf.DUMMYFUNCTION("""COMPUTED_VALUE"""),"ZAMORA")</f>
        <v>ZAMORA</v>
      </c>
      <c r="AE373" s="1"/>
      <c r="AF373" s="1" t="str">
        <f>IFERROR(__xludf.DUMMYFUNCTION("""COMPUTED_VALUE"""),"BGY 4")</f>
        <v>BGY 4</v>
      </c>
      <c r="AG373" s="1" t="str">
        <f>IFERROR(__xludf.DUMMYFUNCTION("""COMPUTED_VALUE"""),"ALFONSO")</f>
        <v>ALFONSO</v>
      </c>
      <c r="AH373" s="1" t="str">
        <f>IFERROR(__xludf.DUMMYFUNCTION("""COMPUTED_VALUE"""),"JANCIEL ENTERPRISE")</f>
        <v>JANCIEL ENTERPRISE</v>
      </c>
      <c r="AI373" s="1" t="str">
        <f>IFERROR(__xludf.DUMMYFUNCTION("""COMPUTED_VALUE"""),"CLUSTER 12")</f>
        <v>CLUSTER 12</v>
      </c>
    </row>
    <row r="374" customHeight="1" spans="1:35">
      <c r="A374" s="3">
        <f>IFERROR(__xludf.DUMMYFUNCTION("""COMPUTED_VALUE"""),46264)</f>
        <v>46264</v>
      </c>
      <c r="B374" s="1" t="str">
        <f>IFERROR(__xludf.DUMMYFUNCTION("""COMPUTED_VALUE"""),"JHON KURT ACUNA DEMAKILING")</f>
        <v>JHON KURT ACUNA DEMAKILING</v>
      </c>
      <c r="C374" s="1"/>
      <c r="D374" s="1"/>
      <c r="E374" s="1"/>
      <c r="F374" s="1" t="str">
        <f>IFERROR(__xludf.DUMMYFUNCTION("""COMPUTED_VALUE"""),"CLOSED")</f>
        <v>CLOSED</v>
      </c>
      <c r="G374" s="1" t="str">
        <f>IFERROR(__xludf.DUMMYFUNCTION("""COMPUTED_VALUE"""),"CLOSED")</f>
        <v>CLOSED</v>
      </c>
      <c r="H374" s="1" t="str">
        <f>IFERROR(__xludf.DUMMYFUNCTION("""COMPUTED_VALUE"""),"PQGOR362665486	02-Sep-26	Regular Payment	CIS-GCASH 3.0	1,799.00	940312707	02-Sep-26")</f>
        <v>PQGOR362665486	02-Sep-26	Regular Payment	CIS-GCASH 3.0	1,799.00	940312707	02-Sep-26</v>
      </c>
      <c r="I374" s="1" t="str">
        <f>IFERROR(__xludf.DUMMYFUNCTION("""COMPUTED_VALUE"""),"WITH 1 AMSF")</f>
        <v>WITH 1 AMSF</v>
      </c>
      <c r="J374" s="1"/>
      <c r="K374" s="1" t="str">
        <f>IFERROR(__xludf.DUMMYFUNCTION("""COMPUTED_VALUE"""),"NOT DONE")</f>
        <v>NOT DONE</v>
      </c>
      <c r="L374" s="1" t="str">
        <f>IFERROR(__xludf.DUMMYFUNCTION("""COMPUTED_VALUE"""),"POSTED")</f>
        <v>POSTED</v>
      </c>
      <c r="M374" s="1" t="str">
        <f>IFERROR(__xludf.DUMMYFUNCTION("""COMPUTED_VALUE"""),"POSTED")</f>
        <v>POSTED</v>
      </c>
      <c r="N374" s="3">
        <f>IFERROR(__xludf.DUMMYFUNCTION("""COMPUTED_VALUE"""),46267)</f>
        <v>46267</v>
      </c>
      <c r="O374" s="1" t="str">
        <f>IFERROR(__xludf.DUMMYFUNCTION("""COMPUTED_VALUE"""),"FIBR PLAN 1699")</f>
        <v>FIBR PLAN 1699</v>
      </c>
      <c r="P374" s="1" t="str">
        <f>IFERROR(__xludf.DUMMYFUNCTION("""COMPUTED_VALUE"""),"HIGHPLAN")</f>
        <v>HIGHPLAN</v>
      </c>
      <c r="Q374" s="1" t="str">
        <f>IFERROR(__xludf.DUMMYFUNCTION("""COMPUTED_VALUE"""),"P407046")</f>
        <v>P407046</v>
      </c>
      <c r="R374" s="1" t="str">
        <f>IFERROR(__xludf.DUMMYFUNCTION("""COMPUTED_VALUE"""),"MALIWAT, MARK")</f>
        <v>MALIWAT, MARK</v>
      </c>
      <c r="S374" s="1" t="str">
        <f>IFERROR(__xludf.DUMMYFUNCTION("""COMPUTED_VALUE"""),"FLA")</f>
        <v>FLA</v>
      </c>
      <c r="T374" s="1" t="str">
        <f>IFERROR(__xludf.DUMMYFUNCTION("""COMPUTED_VALUE"""),"JERIC NAVARRO")</f>
        <v>JERIC NAVARRO</v>
      </c>
      <c r="U374" s="1" t="str">
        <f>IFERROR(__xludf.DUMMYFUNCTION("""COMPUTED_VALUE"""),"JB SALIOA")</f>
        <v>JB SALIOA</v>
      </c>
      <c r="V374" s="1" t="str">
        <f>IFERROR(__xludf.DUMMYFUNCTION("""COMPUTED_VALUE"""),"ONLINE/CRANFORD")</f>
        <v>ONLINE/CRANFORD</v>
      </c>
      <c r="W374" s="1" t="str">
        <f>IFERROR(__xludf.DUMMYFUNCTION("""COMPUTED_VALUE"""),"STK REGULAR")</f>
        <v>STK REGULAR</v>
      </c>
      <c r="X374" s="1" t="str">
        <f>IFERROR(__xludf.DUMMYFUNCTION("""COMPUTED_VALUE"""),"REGULAR")</f>
        <v>REGULAR</v>
      </c>
      <c r="Y374" s="1" t="str">
        <f>IFERROR(__xludf.DUMMYFUNCTION("""COMPUTED_VALUE"""),"RS_ONL_CVEU_2026")</f>
        <v>RS_ONL_CVEU_2026</v>
      </c>
      <c r="Z374" s="1" t="str">
        <f>IFERROR(__xludf.DUMMYFUNCTION("""COMPUTED_VALUE"""),"NEW CONNECT")</f>
        <v>NEW CONNECT</v>
      </c>
      <c r="AA374" s="1">
        <f>IFERROR(__xludf.DUMMYFUNCTION("""COMPUTED_VALUE"""),639914215360)</f>
        <v>639914215360</v>
      </c>
      <c r="AB374" s="1"/>
      <c r="AC374" s="1"/>
      <c r="AD374" s="1" t="str">
        <f>IFERROR(__xludf.DUMMYFUNCTION("""COMPUTED_VALUE"""),"GEN E AGUINALDO")</f>
        <v>GEN E AGUINALDO</v>
      </c>
      <c r="AE374" s="1" t="str">
        <f>IFERROR(__xludf.DUMMYFUNCTION("""COMPUTED_VALUE"""),"WIND RESIDENCES TOWER 1")</f>
        <v>WIND RESIDENCES TOWER 1</v>
      </c>
      <c r="AF374" s="1" t="str">
        <f>IFERROR(__xludf.DUMMYFUNCTION("""COMPUTED_VALUE"""),"BGY MAHARLIKA WEST")</f>
        <v>BGY MAHARLIKA WEST</v>
      </c>
      <c r="AG374" s="1" t="str">
        <f>IFERROR(__xludf.DUMMYFUNCTION("""COMPUTED_VALUE"""),"TAGAYTAY")</f>
        <v>TAGAYTAY</v>
      </c>
      <c r="AH374" s="1" t="str">
        <f>IFERROR(__xludf.DUMMYFUNCTION("""COMPUTED_VALUE"""),"TOWER 1")</f>
        <v>TOWER 1</v>
      </c>
      <c r="AI374" s="1" t="str">
        <f>IFERROR(__xludf.DUMMYFUNCTION("""COMPUTED_VALUE"""),"CLUSTER 12")</f>
        <v>CLUSTER 12</v>
      </c>
    </row>
    <row r="375" customHeight="1" spans="1:35">
      <c r="A375" s="3">
        <f>IFERROR(__xludf.DUMMYFUNCTION("""COMPUTED_VALUE"""),46265)</f>
        <v>46265</v>
      </c>
      <c r="B375" s="1" t="str">
        <f>IFERROR(__xludf.DUMMYFUNCTION("""COMPUTED_VALUE"""),"MARIA MAURENE CRISTAL . GARCIA")</f>
        <v>MARIA MAURENE CRISTAL . GARCIA</v>
      </c>
      <c r="C375" s="1"/>
      <c r="D375" s="1"/>
      <c r="E375" s="1"/>
      <c r="F375" s="1" t="str">
        <f>IFERROR(__xludf.DUMMYFUNCTION("""COMPUTED_VALUE"""),"CLOSED")</f>
        <v>CLOSED</v>
      </c>
      <c r="G375" s="1" t="str">
        <f>IFERROR(__xludf.DUMMYFUNCTION("""COMPUTED_VALUE"""),"CLOSED")</f>
        <v>CLOSED</v>
      </c>
      <c r="H375" s="1"/>
      <c r="I375" s="1" t="str">
        <f>IFERROR(__xludf.DUMMYFUNCTION("""COMPUTED_VALUE"""),"NO 1 AMSF")</f>
        <v>NO 1 AMSF</v>
      </c>
      <c r="J375" s="1" t="str">
        <f>IFERROR(__xludf.DUMMYFUNCTION("""COMPUTED_VALUE"""),"DUE DATE - 26-Sep-26 - 1,489.26")</f>
        <v>DUE DATE - 26-Sep-26 - 1,489.26</v>
      </c>
      <c r="K375" s="1" t="str">
        <f>IFERROR(__xludf.DUMMYFUNCTION("""COMPUTED_VALUE"""),"COMPLETED")</f>
        <v>COMPLETED</v>
      </c>
      <c r="L375" s="1" t="str">
        <f>IFERROR(__xludf.DUMMYFUNCTION("""COMPUTED_VALUE"""),"POSTED")</f>
        <v>POSTED</v>
      </c>
      <c r="M375" s="1" t="str">
        <f>IFERROR(__xludf.DUMMYFUNCTION("""COMPUTED_VALUE"""),"POSTED")</f>
        <v>POSTED</v>
      </c>
      <c r="N375" s="3">
        <f>IFERROR(__xludf.DUMMYFUNCTION("""COMPUTED_VALUE"""),46266)</f>
        <v>46266</v>
      </c>
      <c r="O375" s="1" t="str">
        <f>IFERROR(__xludf.DUMMYFUNCTION("""COMPUTED_VALUE"""),"FIBR PLAN 1299")</f>
        <v>FIBR PLAN 1299</v>
      </c>
      <c r="P375" s="1" t="str">
        <f>IFERROR(__xludf.DUMMYFUNCTION("""COMPUTED_VALUE"""),"LOWPLAN")</f>
        <v>LOWPLAN</v>
      </c>
      <c r="Q375" s="1" t="str">
        <f>IFERROR(__xludf.DUMMYFUNCTION("""COMPUTED_VALUE"""),"P407050")</f>
        <v>P407050</v>
      </c>
      <c r="R375" s="1" t="str">
        <f>IFERROR(__xludf.DUMMYFUNCTION("""COMPUTED_VALUE"""),"CADERAO, RONALD")</f>
        <v>CADERAO, RONALD</v>
      </c>
      <c r="S375" s="1" t="str">
        <f>IFERROR(__xludf.DUMMYFUNCTION("""COMPUTED_VALUE"""),"ORGANIC")</f>
        <v>ORGANIC</v>
      </c>
      <c r="T375" s="1" t="str">
        <f>IFERROR(__xludf.DUMMYFUNCTION("""COMPUTED_VALUE"""),"LEA REMOLLO")</f>
        <v>LEA REMOLLO</v>
      </c>
      <c r="U375" s="1" t="str">
        <f>IFERROR(__xludf.DUMMYFUNCTION("""COMPUTED_VALUE"""),"JB SALIOA")</f>
        <v>JB SALIOA</v>
      </c>
      <c r="V375" s="1" t="str">
        <f>IFERROR(__xludf.DUMMYFUNCTION("""COMPUTED_VALUE"""),"H2H")</f>
        <v>H2H</v>
      </c>
      <c r="W375" s="1" t="str">
        <f>IFERROR(__xludf.DUMMYFUNCTION("""COMPUTED_VALUE"""),"STK REGULAR")</f>
        <v>STK REGULAR</v>
      </c>
      <c r="X375" s="1" t="str">
        <f>IFERROR(__xludf.DUMMYFUNCTION("""COMPUTED_VALUE"""),"REGULAR")</f>
        <v>REGULAR</v>
      </c>
      <c r="Y375" s="1" t="str">
        <f>IFERROR(__xludf.DUMMYFUNCTION("""COMPUTED_VALUE"""),"RS_HH_CVEU_2026")</f>
        <v>RS_HH_CVEU_2026</v>
      </c>
      <c r="Z375" s="1" t="str">
        <f>IFERROR(__xludf.DUMMYFUNCTION("""COMPUTED_VALUE"""),"NEW CONNECT")</f>
        <v>NEW CONNECT</v>
      </c>
      <c r="AA375" s="1">
        <f>IFERROR(__xludf.DUMMYFUNCTION("""COMPUTED_VALUE"""),639358070931)</f>
        <v>639358070931</v>
      </c>
      <c r="AB375" s="1">
        <f>IFERROR(__xludf.DUMMYFUNCTION("""COMPUTED_VALUE"""),639634596437)</f>
        <v>639634596437</v>
      </c>
      <c r="AC375" s="1">
        <f>IFERROR(__xludf.DUMMYFUNCTION("""COMPUTED_VALUE"""),35)</f>
        <v>35</v>
      </c>
      <c r="AD375" s="1" t="str">
        <f>IFERROR(__xludf.DUMMYFUNCTION("""COMPUTED_VALUE"""),"POBLACION 5")</f>
        <v>POBLACION 5</v>
      </c>
      <c r="AE375" s="1"/>
      <c r="AF375" s="1" t="str">
        <f>IFERROR(__xludf.DUMMYFUNCTION("""COMPUTED_VALUE"""),"BGY 5")</f>
        <v>BGY 5</v>
      </c>
      <c r="AG375" s="1" t="str">
        <f>IFERROR(__xludf.DUMMYFUNCTION("""COMPUTED_VALUE"""),"AMADEO")</f>
        <v>AMADEO</v>
      </c>
      <c r="AH375" s="1" t="str">
        <f>IFERROR(__xludf.DUMMYFUNCTION("""COMPUTED_VALUE"""),"INJ SARI SARI STORE")</f>
        <v>INJ SARI SARI STORE</v>
      </c>
      <c r="AI375" s="1" t="str">
        <f>IFERROR(__xludf.DUMMYFUNCTION("""COMPUTED_VALUE"""),"CLUSTER 12")</f>
        <v>CLUSTER 12</v>
      </c>
    </row>
    <row r="376" customHeight="1" spans="1:35">
      <c r="A376" s="3">
        <f>IFERROR(__xludf.DUMMYFUNCTION("""COMPUTED_VALUE"""),46265)</f>
        <v>46265</v>
      </c>
      <c r="B376" s="1" t="str">
        <f>IFERROR(__xludf.DUMMYFUNCTION("""COMPUTED_VALUE"""),"EDRICK BALASTA ANTICRISTO")</f>
        <v>EDRICK BALASTA ANTICRISTO</v>
      </c>
      <c r="C376" s="1"/>
      <c r="D376" s="1"/>
      <c r="E376" s="1"/>
      <c r="F376" s="1" t="str">
        <f>IFERROR(__xludf.DUMMYFUNCTION("""COMPUTED_VALUE"""),"CLOSED")</f>
        <v>CLOSED</v>
      </c>
      <c r="G376" s="1" t="str">
        <f>IFERROR(__xludf.DUMMYFUNCTION("""COMPUTED_VALUE"""),"CLOSED")</f>
        <v>CLOSED</v>
      </c>
      <c r="H376" s="1"/>
      <c r="I376" s="1" t="str">
        <f>IFERROR(__xludf.DUMMYFUNCTION("""COMPUTED_VALUE"""),"NO 1 AMSF")</f>
        <v>NO 1 AMSF</v>
      </c>
      <c r="J376" s="1" t="str">
        <f>IFERROR(__xludf.DUMMYFUNCTION("""COMPUTED_VALUE"""),"DUE DATE - 26-Sep-26 - 1,184.44")</f>
        <v>DUE DATE - 26-Sep-26 - 1,184.44</v>
      </c>
      <c r="K376" s="1" t="str">
        <f>IFERROR(__xludf.DUMMYFUNCTION("""COMPUTED_VALUE"""),"SUSPENDED")</f>
        <v>SUSPENDED</v>
      </c>
      <c r="L376" s="1" t="str">
        <f>IFERROR(__xludf.DUMMYFUNCTION("""COMPUTED_VALUE"""),"POSTED")</f>
        <v>POSTED</v>
      </c>
      <c r="M376" s="1" t="str">
        <f>IFERROR(__xludf.DUMMYFUNCTION("""COMPUTED_VALUE"""),"POSTED")</f>
        <v>POSTED</v>
      </c>
      <c r="N376" s="3">
        <f>IFERROR(__xludf.DUMMYFUNCTION("""COMPUTED_VALUE"""),46267)</f>
        <v>46267</v>
      </c>
      <c r="O376" s="1" t="str">
        <f>IFERROR(__xludf.DUMMYFUNCTION("""COMPUTED_VALUE"""),"FIBR UNLI ALL PLAN 999")</f>
        <v>FIBR UNLI ALL PLAN 999</v>
      </c>
      <c r="P376" s="1" t="str">
        <f>IFERROR(__xludf.DUMMYFUNCTION("""COMPUTED_VALUE"""),"LOWPLAN")</f>
        <v>LOWPLAN</v>
      </c>
      <c r="Q376" s="1" t="str">
        <f>IFERROR(__xludf.DUMMYFUNCTION("""COMPUTED_VALUE"""),"P407047")</f>
        <v>P407047</v>
      </c>
      <c r="R376" s="1" t="str">
        <f>IFERROR(__xludf.DUMMYFUNCTION("""COMPUTED_VALUE"""),"FRANCISCO, ROSELYN")</f>
        <v>FRANCISCO, ROSELYN</v>
      </c>
      <c r="S376" s="1" t="str">
        <f>IFERROR(__xludf.DUMMYFUNCTION("""COMPUTED_VALUE"""),"ORGANIC")</f>
        <v>ORGANIC</v>
      </c>
      <c r="T376" s="1" t="str">
        <f>IFERROR(__xludf.DUMMYFUNCTION("""COMPUTED_VALUE"""),"LEA REMOLLO")</f>
        <v>LEA REMOLLO</v>
      </c>
      <c r="U376" s="1" t="str">
        <f>IFERROR(__xludf.DUMMYFUNCTION("""COMPUTED_VALUE"""),"JB SALIOA")</f>
        <v>JB SALIOA</v>
      </c>
      <c r="V376" s="1" t="str">
        <f>IFERROR(__xludf.DUMMYFUNCTION("""COMPUTED_VALUE"""),"H2H")</f>
        <v>H2H</v>
      </c>
      <c r="W376" s="1" t="str">
        <f>IFERROR(__xludf.DUMMYFUNCTION("""COMPUTED_VALUE"""),"STK REGULAR")</f>
        <v>STK REGULAR</v>
      </c>
      <c r="X376" s="1" t="str">
        <f>IFERROR(__xludf.DUMMYFUNCTION("""COMPUTED_VALUE"""),"REGULAR")</f>
        <v>REGULAR</v>
      </c>
      <c r="Y376" s="1" t="str">
        <f>IFERROR(__xludf.DUMMYFUNCTION("""COMPUTED_VALUE"""),"RS_HH_CVEU_2026")</f>
        <v>RS_HH_CVEU_2026</v>
      </c>
      <c r="Z376" s="1" t="str">
        <f>IFERROR(__xludf.DUMMYFUNCTION("""COMPUTED_VALUE"""),"NEW CONNECT")</f>
        <v>NEW CONNECT</v>
      </c>
      <c r="AA376" s="1">
        <f>IFERROR(__xludf.DUMMYFUNCTION("""COMPUTED_VALUE"""),639197733852)</f>
        <v>639197733852</v>
      </c>
      <c r="AB376" s="1"/>
      <c r="AC376" s="1">
        <f>IFERROR(__xludf.DUMMYFUNCTION("""COMPUTED_VALUE"""),236)</f>
        <v>236</v>
      </c>
      <c r="AD376" s="1" t="str">
        <f>IFERROR(__xludf.DUMMYFUNCTION("""COMPUTED_VALUE"""),"PIER")</f>
        <v>PIER</v>
      </c>
      <c r="AE376" s="1"/>
      <c r="AF376" s="1" t="str">
        <f>IFERROR(__xludf.DUMMYFUNCTION("""COMPUTED_VALUE"""),"BGY MARAHAN 1")</f>
        <v>BGY MARAHAN 1</v>
      </c>
      <c r="AG376" s="1" t="str">
        <f>IFERROR(__xludf.DUMMYFUNCTION("""COMPUTED_VALUE"""),"ALFONSO")</f>
        <v>ALFONSO</v>
      </c>
      <c r="AH376" s="1" t="str">
        <f>IFERROR(__xludf.DUMMYFUNCTION("""COMPUTED_VALUE"""),"-")</f>
        <v>-</v>
      </c>
      <c r="AI376" s="1" t="str">
        <f>IFERROR(__xludf.DUMMYFUNCTION("""COMPUTED_VALUE"""),"CLUSTER 12")</f>
        <v>CLUSTER 12</v>
      </c>
    </row>
    <row r="377" customHeight="1" spans="1:35">
      <c r="A377" s="3">
        <f>IFERROR(__xludf.DUMMYFUNCTION("""COMPUTED_VALUE"""),46265)</f>
        <v>46265</v>
      </c>
      <c r="B377" s="1" t="str">
        <f>IFERROR(__xludf.DUMMYFUNCTION("""COMPUTED_VALUE"""),"RANDY GARCIA PADILLA")</f>
        <v>RANDY GARCIA PADILLA</v>
      </c>
      <c r="C377" s="1"/>
      <c r="D377" s="1"/>
      <c r="E377" s="1"/>
      <c r="F377" s="1" t="str">
        <f>IFERROR(__xludf.DUMMYFUNCTION("""COMPUTED_VALUE"""),"CLOSED")</f>
        <v>CLOSED</v>
      </c>
      <c r="G377" s="1" t="str">
        <f>IFERROR(__xludf.DUMMYFUNCTION("""COMPUTED_VALUE"""),"CLOSED")</f>
        <v>CLOSED</v>
      </c>
      <c r="H377" s="1" t="str">
        <f>IFERROR(__xludf.DUMMYFUNCTION("""COMPUTED_VALUE"""),"PQGOR363177317	06-Sep-26	Regular Payment	CIS-GCASH 3.0	1,400.00	0	06-Sep-26")</f>
        <v>PQGOR363177317	06-Sep-26	Regular Payment	CIS-GCASH 3.0	1,400.00	0	06-Sep-26</v>
      </c>
      <c r="I377" s="1" t="str">
        <f>IFERROR(__xludf.DUMMYFUNCTION("""COMPUTED_VALUE"""),"WITH 1 AMSF")</f>
        <v>WITH 1 AMSF</v>
      </c>
      <c r="J377" s="1"/>
      <c r="K377" s="1" t="str">
        <f>IFERROR(__xludf.DUMMYFUNCTION("""COMPUTED_VALUE"""),"OPEN IN OFSC")</f>
        <v>OPEN IN OFSC</v>
      </c>
      <c r="L377" s="1" t="str">
        <f>IFERROR(__xludf.DUMMYFUNCTION("""COMPUTED_VALUE"""),"POSTED")</f>
        <v>POSTED</v>
      </c>
      <c r="M377" s="1" t="str">
        <f>IFERROR(__xludf.DUMMYFUNCTION("""COMPUTED_VALUE"""),"POSTED")</f>
        <v>POSTED</v>
      </c>
      <c r="N377" s="3">
        <f>IFERROR(__xludf.DUMMYFUNCTION("""COMPUTED_VALUE"""),46267)</f>
        <v>46267</v>
      </c>
      <c r="O377" s="1" t="str">
        <f>IFERROR(__xludf.DUMMYFUNCTION("""COMPUTED_VALUE"""),"FIBR PLAN 1299")</f>
        <v>FIBR PLAN 1299</v>
      </c>
      <c r="P377" s="1" t="str">
        <f>IFERROR(__xludf.DUMMYFUNCTION("""COMPUTED_VALUE"""),"LOWPLAN")</f>
        <v>LOWPLAN</v>
      </c>
      <c r="Q377" s="1" t="str">
        <f>IFERROR(__xludf.DUMMYFUNCTION("""COMPUTED_VALUE"""),"P407050")</f>
        <v>P407050</v>
      </c>
      <c r="R377" s="1" t="str">
        <f>IFERROR(__xludf.DUMMYFUNCTION("""COMPUTED_VALUE"""),"TAMAYO, MARY ROSE ZAIRA")</f>
        <v>TAMAYO, MARY ROSE ZAIRA</v>
      </c>
      <c r="S377" s="1" t="str">
        <f>IFERROR(__xludf.DUMMYFUNCTION("""COMPUTED_VALUE"""),"ORGANIC")</f>
        <v>ORGANIC</v>
      </c>
      <c r="T377" s="1" t="str">
        <f>IFERROR(__xludf.DUMMYFUNCTION("""COMPUTED_VALUE"""),"LEA REMOLLO")</f>
        <v>LEA REMOLLO</v>
      </c>
      <c r="U377" s="1" t="str">
        <f>IFERROR(__xludf.DUMMYFUNCTION("""COMPUTED_VALUE"""),"JB SALIOA")</f>
        <v>JB SALIOA</v>
      </c>
      <c r="V377" s="1" t="str">
        <f>IFERROR(__xludf.DUMMYFUNCTION("""COMPUTED_VALUE"""),"H2H")</f>
        <v>H2H</v>
      </c>
      <c r="W377" s="1" t="str">
        <f>IFERROR(__xludf.DUMMYFUNCTION("""COMPUTED_VALUE"""),"STK REGULAR")</f>
        <v>STK REGULAR</v>
      </c>
      <c r="X377" s="1" t="str">
        <f>IFERROR(__xludf.DUMMYFUNCTION("""COMPUTED_VALUE"""),"REGULAR")</f>
        <v>REGULAR</v>
      </c>
      <c r="Y377" s="1" t="str">
        <f>IFERROR(__xludf.DUMMYFUNCTION("""COMPUTED_VALUE"""),"RS_HH_CVEU_2026")</f>
        <v>RS_HH_CVEU_2026</v>
      </c>
      <c r="Z377" s="1" t="str">
        <f>IFERROR(__xludf.DUMMYFUNCTION("""COMPUTED_VALUE"""),"NEW CONNECT")</f>
        <v>NEW CONNECT</v>
      </c>
      <c r="AA377" s="1">
        <f>IFERROR(__xludf.DUMMYFUNCTION("""COMPUTED_VALUE"""),639976606487)</f>
        <v>639976606487</v>
      </c>
      <c r="AB377" s="1">
        <f>IFERROR(__xludf.DUMMYFUNCTION("""COMPUTED_VALUE"""),639389800103)</f>
        <v>639389800103</v>
      </c>
      <c r="AC377" s="1">
        <f>IFERROR(__xludf.DUMMYFUNCTION("""COMPUTED_VALUE"""),27)</f>
        <v>27</v>
      </c>
      <c r="AD377" s="1" t="str">
        <f>IFERROR(__xludf.DUMMYFUNCTION("""COMPUTED_VALUE"""),"PUROK 1")</f>
        <v>PUROK 1</v>
      </c>
      <c r="AE377" s="1"/>
      <c r="AF377" s="1" t="str">
        <f>IFERROR(__xludf.DUMMYFUNCTION("""COMPUTED_VALUE"""),"BGY TAYWANAK IBABA")</f>
        <v>BGY TAYWANAK IBABA</v>
      </c>
      <c r="AG377" s="1" t="str">
        <f>IFERROR(__xludf.DUMMYFUNCTION("""COMPUTED_VALUE"""),"ALFONSO")</f>
        <v>ALFONSO</v>
      </c>
      <c r="AH377" s="1" t="str">
        <f>IFERROR(__xludf.DUMMYFUNCTION("""COMPUTED_VALUE"""),"SCHOOL")</f>
        <v>SCHOOL</v>
      </c>
      <c r="AI377" s="1" t="str">
        <f>IFERROR(__xludf.DUMMYFUNCTION("""COMPUTED_VALUE"""),"CLUSTER 12")</f>
        <v>CLUSTER 12</v>
      </c>
    </row>
    <row r="378" customHeight="1" spans="1:35">
      <c r="A378" s="3">
        <f>IFERROR(__xludf.DUMMYFUNCTION("""COMPUTED_VALUE"""),46266)</f>
        <v>46266</v>
      </c>
      <c r="B378" s="1" t="str">
        <f>IFERROR(__xludf.DUMMYFUNCTION("""COMPUTED_VALUE"""),"PEPITO JR ANAHAW BALISCAO")</f>
        <v>PEPITO JR ANAHAW BALISCAO</v>
      </c>
      <c r="C378" s="1">
        <f>IFERROR(__xludf.DUMMYFUNCTION("""COMPUTED_VALUE"""),2312263342)</f>
        <v>2312263342</v>
      </c>
      <c r="D378" s="1">
        <f>IFERROR(__xludf.DUMMYFUNCTION("""COMPUTED_VALUE"""),407518802)</f>
        <v>407518802</v>
      </c>
      <c r="E378" s="1">
        <f>IFERROR(__xludf.DUMMYFUNCTION("""COMPUTED_VALUE"""),468802848004)</f>
        <v>468802848004</v>
      </c>
      <c r="F378" s="1" t="str">
        <f>IFERROR(__xludf.DUMMYFUNCTION("""COMPUTED_VALUE"""),"CLOSED")</f>
        <v>CLOSED</v>
      </c>
      <c r="G378" s="1" t="str">
        <f>IFERROR(__xludf.DUMMYFUNCTION("""COMPUTED_VALUE"""),"CLOSED")</f>
        <v>CLOSED</v>
      </c>
      <c r="H378" s="1" t="str">
        <f>IFERROR(__xludf.DUMMYFUNCTION("""COMPUTED_VALUE"""),"PQGOR362589994	01-Sep-26	Regular Payment	CIS-GCASH 3.0	1,000.00	0	01-Sep-26")</f>
        <v>PQGOR362589994	01-Sep-26	Regular Payment	CIS-GCASH 3.0	1,000.00	0	01-Sep-26</v>
      </c>
      <c r="I378" s="1" t="str">
        <f>IFERROR(__xludf.DUMMYFUNCTION("""COMPUTED_VALUE"""),"WITH 1 AMSF")</f>
        <v>WITH 1 AMSF</v>
      </c>
      <c r="J378" s="1"/>
      <c r="K378" s="1" t="str">
        <f>IFERROR(__xludf.DUMMYFUNCTION("""COMPUTED_VALUE"""),"COMPLETED")</f>
        <v>COMPLETED</v>
      </c>
      <c r="L378" s="1" t="str">
        <f>IFERROR(__xludf.DUMMYFUNCTION("""COMPUTED_VALUE"""),"POSTED")</f>
        <v>POSTED</v>
      </c>
      <c r="M378" s="1" t="str">
        <f>IFERROR(__xludf.DUMMYFUNCTION("""COMPUTED_VALUE"""),"POSTED")</f>
        <v>POSTED</v>
      </c>
      <c r="N378" s="3">
        <f>IFERROR(__xludf.DUMMYFUNCTION("""COMPUTED_VALUE"""),46282)</f>
        <v>46282</v>
      </c>
      <c r="O378" s="1" t="str">
        <f>IFERROR(__xludf.DUMMYFUNCTION("""COMPUTED_VALUE"""),"FIBR UNLI ALL PLAN 999")</f>
        <v>FIBR UNLI ALL PLAN 999</v>
      </c>
      <c r="P378" s="1" t="str">
        <f>IFERROR(__xludf.DUMMYFUNCTION("""COMPUTED_VALUE"""),"LOWPLAN")</f>
        <v>LOWPLAN</v>
      </c>
      <c r="Q378" s="1" t="str">
        <f>IFERROR(__xludf.DUMMYFUNCTION("""COMPUTED_VALUE"""),"P407050")</f>
        <v>P407050</v>
      </c>
      <c r="R378" s="1" t="str">
        <f>IFERROR(__xludf.DUMMYFUNCTION("""COMPUTED_VALUE"""),"DENACO, RODNEY")</f>
        <v>DENACO, RODNEY</v>
      </c>
      <c r="S378" s="1" t="str">
        <f>IFERROR(__xludf.DUMMYFUNCTION("""COMPUTED_VALUE"""),"ORGANIC")</f>
        <v>ORGANIC</v>
      </c>
      <c r="T378" s="1" t="str">
        <f>IFERROR(__xludf.DUMMYFUNCTION("""COMPUTED_VALUE"""),"LEA REMOLLO")</f>
        <v>LEA REMOLLO</v>
      </c>
      <c r="U378" s="1" t="str">
        <f>IFERROR(__xludf.DUMMYFUNCTION("""COMPUTED_VALUE"""),"JB SALIOA")</f>
        <v>JB SALIOA</v>
      </c>
      <c r="V378" s="1" t="str">
        <f>IFERROR(__xludf.DUMMYFUNCTION("""COMPUTED_VALUE"""),"BK HSTK")</f>
        <v>BK HSTK</v>
      </c>
      <c r="W378" s="1" t="str">
        <f>IFERROR(__xludf.DUMMYFUNCTION("""COMPUTED_VALUE"""),"BK HSTK")</f>
        <v>BK HSTK</v>
      </c>
      <c r="X378" s="1" t="str">
        <f>IFERROR(__xludf.DUMMYFUNCTION("""COMPUTED_VALUE"""),"REGULAR")</f>
        <v>REGULAR</v>
      </c>
      <c r="Y378" s="1" t="str">
        <f>IFERROR(__xludf.DUMMYFUNCTION("""COMPUTED_VALUE"""),"BK_CVEU_260820")</f>
        <v>BK_CVEU_260820</v>
      </c>
      <c r="Z378" s="1" t="str">
        <f>IFERROR(__xludf.DUMMYFUNCTION("""COMPUTED_VALUE"""),"NEW CONNECT")</f>
        <v>NEW CONNECT</v>
      </c>
      <c r="AA378" s="1">
        <f>IFERROR(__xludf.DUMMYFUNCTION("""COMPUTED_VALUE"""),639659214014)</f>
        <v>639659214014</v>
      </c>
      <c r="AB378" s="1">
        <f>IFERROR(__xludf.DUMMYFUNCTION("""COMPUTED_VALUE"""),639169991501)</f>
        <v>639169991501</v>
      </c>
      <c r="AC378" s="1">
        <f>IFERROR(__xludf.DUMMYFUNCTION("""COMPUTED_VALUE"""),335)</f>
        <v>335</v>
      </c>
      <c r="AD378" s="1" t="str">
        <f>IFERROR(__xludf.DUMMYFUNCTION("""COMPUTED_VALUE"""),"PUROK 4")</f>
        <v>PUROK 4</v>
      </c>
      <c r="AE378" s="1"/>
      <c r="AF378" s="1" t="str">
        <f>IFERROR(__xludf.DUMMYFUNCTION("""COMPUTED_VALUE"""),"BGY MUNTING ILOG")</f>
        <v>BGY MUNTING ILOG</v>
      </c>
      <c r="AG378" s="1" t="str">
        <f>IFERROR(__xludf.DUMMYFUNCTION("""COMPUTED_VALUE"""),"SILANG")</f>
        <v>SILANG</v>
      </c>
      <c r="AH378" s="1" t="str">
        <f>IFERROR(__xludf.DUMMYFUNCTION("""COMPUTED_VALUE"""),"ELEMENTARY SCHOOL")</f>
        <v>ELEMENTARY SCHOOL</v>
      </c>
      <c r="AI378" s="1" t="str">
        <f>IFERROR(__xludf.DUMMYFUNCTION("""COMPUTED_VALUE"""),"CLUSTER 11")</f>
        <v>CLUSTER 11</v>
      </c>
    </row>
    <row r="379" customHeight="1" spans="1:35">
      <c r="A379" s="3">
        <f>IFERROR(__xludf.DUMMYFUNCTION("""COMPUTED_VALUE"""),46266)</f>
        <v>46266</v>
      </c>
      <c r="B379" s="1" t="str">
        <f>IFERROR(__xludf.DUMMYFUNCTION("""COMPUTED_VALUE"""),"SAMUEL EFREN GABOY")</f>
        <v>SAMUEL EFREN GABOY</v>
      </c>
      <c r="C379" s="1">
        <f>IFERROR(__xludf.DUMMYFUNCTION("""COMPUTED_VALUE"""),2312266436)</f>
        <v>2312266436</v>
      </c>
      <c r="D379" s="1">
        <f>IFERROR(__xludf.DUMMYFUNCTION("""COMPUTED_VALUE"""),407513428)</f>
        <v>407513428</v>
      </c>
      <c r="E379" s="1">
        <f>IFERROR(__xludf.DUMMYFUNCTION("""COMPUTED_VALUE"""),468798862004)</f>
        <v>468798862004</v>
      </c>
      <c r="F379" s="1" t="str">
        <f>IFERROR(__xludf.DUMMYFUNCTION("""COMPUTED_VALUE"""),"CLOSED")</f>
        <v>CLOSED</v>
      </c>
      <c r="G379" s="1" t="str">
        <f>IFERROR(__xludf.DUMMYFUNCTION("""COMPUTED_VALUE"""),"CLOSED")</f>
        <v>CLOSED</v>
      </c>
      <c r="H379" s="1" t="str">
        <f>IFERROR(__xludf.DUMMYFUNCTION("""COMPUTED_VALUE"""),"PQGOR365318957	27-Sep-26	Regular Payment	CIS-GCASH 3.0	1,444.13	946544466	27-Sep-26")</f>
        <v>PQGOR365318957	27-Sep-26	Regular Payment	CIS-GCASH 3.0	1,444.13	946544466	27-Sep-26</v>
      </c>
      <c r="I379" s="1" t="str">
        <f>IFERROR(__xludf.DUMMYFUNCTION("""COMPUTED_VALUE"""),"WITH 1 AMSF")</f>
        <v>WITH 1 AMSF</v>
      </c>
      <c r="J379" s="1"/>
      <c r="K379" s="1" t="str">
        <f>IFERROR(__xludf.DUMMYFUNCTION("""COMPUTED_VALUE"""),"COMPLETED")</f>
        <v>COMPLETED</v>
      </c>
      <c r="L379" s="1" t="str">
        <f>IFERROR(__xludf.DUMMYFUNCTION("""COMPUTED_VALUE"""),"POSTED")</f>
        <v>POSTED</v>
      </c>
      <c r="M379" s="1" t="str">
        <f>IFERROR(__xludf.DUMMYFUNCTION("""COMPUTED_VALUE"""),"POSTED")</f>
        <v>POSTED</v>
      </c>
      <c r="N379" s="3">
        <f>IFERROR(__xludf.DUMMYFUNCTION("""COMPUTED_VALUE"""),46267)</f>
        <v>46267</v>
      </c>
      <c r="O379" s="1" t="str">
        <f>IFERROR(__xludf.DUMMYFUNCTION("""COMPUTED_VALUE"""),"FIBR PLAN 1299")</f>
        <v>FIBR PLAN 1299</v>
      </c>
      <c r="P379" s="1" t="str">
        <f>IFERROR(__xludf.DUMMYFUNCTION("""COMPUTED_VALUE"""),"LOWPLAN")</f>
        <v>LOWPLAN</v>
      </c>
      <c r="Q379" s="1" t="str">
        <f>IFERROR(__xludf.DUMMYFUNCTION("""COMPUTED_VALUE"""),"P407050")</f>
        <v>P407050</v>
      </c>
      <c r="R379" s="1" t="str">
        <f>IFERROR(__xludf.DUMMYFUNCTION("""COMPUTED_VALUE"""),"ALOS, CHARLS LAURENZ")</f>
        <v>ALOS, CHARLS LAURENZ</v>
      </c>
      <c r="S379" s="1" t="str">
        <f>IFERROR(__xludf.DUMMYFUNCTION("""COMPUTED_VALUE"""),"ORGANIC")</f>
        <v>ORGANIC</v>
      </c>
      <c r="T379" s="1" t="str">
        <f>IFERROR(__xludf.DUMMYFUNCTION("""COMPUTED_VALUE"""),"LEA REMOLLO")</f>
        <v>LEA REMOLLO</v>
      </c>
      <c r="U379" s="1" t="str">
        <f>IFERROR(__xludf.DUMMYFUNCTION("""COMPUTED_VALUE"""),"JB SALIOA")</f>
        <v>JB SALIOA</v>
      </c>
      <c r="V379" s="1" t="str">
        <f>IFERROR(__xludf.DUMMYFUNCTION("""COMPUTED_VALUE"""),"BK HSTK")</f>
        <v>BK HSTK</v>
      </c>
      <c r="W379" s="1" t="str">
        <f>IFERROR(__xludf.DUMMYFUNCTION("""COMPUTED_VALUE"""),"BK HSTK")</f>
        <v>BK HSTK</v>
      </c>
      <c r="X379" s="1" t="str">
        <f>IFERROR(__xludf.DUMMYFUNCTION("""COMPUTED_VALUE"""),"REGULAR")</f>
        <v>REGULAR</v>
      </c>
      <c r="Y379" s="1" t="str">
        <f>IFERROR(__xludf.DUMMYFUNCTION("""COMPUTED_VALUE"""),"BK_CVEU_260818")</f>
        <v>BK_CVEU_260818</v>
      </c>
      <c r="Z379" s="1" t="str">
        <f>IFERROR(__xludf.DUMMYFUNCTION("""COMPUTED_VALUE"""),"NEW CONNECT")</f>
        <v>NEW CONNECT</v>
      </c>
      <c r="AA379" s="1">
        <f>IFERROR(__xludf.DUMMYFUNCTION("""COMPUTED_VALUE"""),639931492257)</f>
        <v>639931492257</v>
      </c>
      <c r="AB379" s="1">
        <f>IFERROR(__xludf.DUMMYFUNCTION("""COMPUTED_VALUE"""),639453828406)</f>
        <v>639453828406</v>
      </c>
      <c r="AC379" s="1"/>
      <c r="AD379" s="1" t="str">
        <f>IFERROR(__xludf.DUMMYFUNCTION("""COMPUTED_VALUE"""),"G DE JESUS")</f>
        <v>G DE JESUS</v>
      </c>
      <c r="AE379" s="1"/>
      <c r="AF379" s="1" t="str">
        <f>IFERROR(__xludf.DUMMYFUNCTION("""COMPUTED_VALUE"""),"BGY G DE JESUS")</f>
        <v>BGY G DE JESUS</v>
      </c>
      <c r="AG379" s="1" t="str">
        <f>IFERROR(__xludf.DUMMYFUNCTION("""COMPUTED_VALUE"""),"GEN MARIANO ALVAREZ")</f>
        <v>GEN MARIANO ALVAREZ</v>
      </c>
      <c r="AH379" s="1" t="str">
        <f>IFERROR(__xludf.DUMMYFUNCTION("""COMPUTED_VALUE"""),"KEY OF HEAVEN")</f>
        <v>KEY OF HEAVEN</v>
      </c>
      <c r="AI379" s="1" t="str">
        <f>IFERROR(__xludf.DUMMYFUNCTION("""COMPUTED_VALUE"""),"CLUSTER 11")</f>
        <v>CLUSTER 11</v>
      </c>
    </row>
    <row r="380" customHeight="1" spans="1:35">
      <c r="A380" s="3">
        <f>IFERROR(__xludf.DUMMYFUNCTION("""COMPUTED_VALUE"""),46266)</f>
        <v>46266</v>
      </c>
      <c r="B380" s="1" t="str">
        <f>IFERROR(__xludf.DUMMYFUNCTION("""COMPUTED_VALUE"""),"ROSANO YERO COLETE")</f>
        <v>ROSANO YERO COLETE</v>
      </c>
      <c r="C380" s="1">
        <f>IFERROR(__xludf.DUMMYFUNCTION("""COMPUTED_VALUE"""),2312267307)</f>
        <v>2312267307</v>
      </c>
      <c r="D380" s="1">
        <f>IFERROR(__xludf.DUMMYFUNCTION("""COMPUTED_VALUE"""),407512987)</f>
        <v>407512987</v>
      </c>
      <c r="E380" s="1">
        <f>IFERROR(__xludf.DUMMYFUNCTION("""COMPUTED_VALUE"""),468798633004)</f>
        <v>468798633004</v>
      </c>
      <c r="F380" s="1" t="str">
        <f>IFERROR(__xludf.DUMMYFUNCTION("""COMPUTED_VALUE"""),"CANCELLED")</f>
        <v>CANCELLED</v>
      </c>
      <c r="G380" s="1" t="str">
        <f>IFERROR(__xludf.DUMMYFUNCTION("""COMPUTED_VALUE"""),"CANCELLED")</f>
        <v>CANCELLED</v>
      </c>
      <c r="H380" s="1" t="str">
        <f>IFERROR(__xludf.DUMMYFUNCTION("""COMPUTED_VALUE"""),"FOR CANCELLATION NO LONGER INTERESTED - AS PER SUBS AKALA NYA MAG NO CASH OUT 09/18/ FOR CANCELLATION")</f>
        <v>FOR CANCELLATION NO LONGER INTERESTED - AS PER SUBS AKALA NYA MAG NO CASH OUT 09/18/ FOR CANCELLATION</v>
      </c>
      <c r="I380" s="1"/>
      <c r="J380" s="1"/>
      <c r="K380" s="1" t="str">
        <f>IFERROR(__xludf.DUMMYFUNCTION("""COMPUTED_VALUE"""),"NOT IN OFSC")</f>
        <v>NOT IN OFSC</v>
      </c>
      <c r="L380" s="1" t="str">
        <f>IFERROR(__xludf.DUMMYFUNCTION("""COMPUTED_VALUE"""),"FOR CANCELLATION")</f>
        <v>FOR CANCELLATION</v>
      </c>
      <c r="M380" s="1" t="str">
        <f>IFERROR(__xludf.DUMMYFUNCTION("""COMPUTED_VALUE"""),"FOR CANCELLATION - NON COMPLIANCE - NO PAYMENT")</f>
        <v>FOR CANCELLATION - NON COMPLIANCE - NO PAYMENT</v>
      </c>
      <c r="N380" s="3"/>
      <c r="O380" s="1" t="str">
        <f>IFERROR(__xludf.DUMMYFUNCTION("""COMPUTED_VALUE"""),"FIBR UNLI ALL PLAN 999")</f>
        <v>FIBR UNLI ALL PLAN 999</v>
      </c>
      <c r="P380" s="1" t="str">
        <f>IFERROR(__xludf.DUMMYFUNCTION("""COMPUTED_VALUE"""),"LOWPLAN")</f>
        <v>LOWPLAN</v>
      </c>
      <c r="Q380" s="1" t="str">
        <f>IFERROR(__xludf.DUMMYFUNCTION("""COMPUTED_VALUE"""),"P407050")</f>
        <v>P407050</v>
      </c>
      <c r="R380" s="1" t="str">
        <f>IFERROR(__xludf.DUMMYFUNCTION("""COMPUTED_VALUE"""),"ESCARCHA, ALMA")</f>
        <v>ESCARCHA, ALMA</v>
      </c>
      <c r="S380" s="1" t="str">
        <f>IFERROR(__xludf.DUMMYFUNCTION("""COMPUTED_VALUE"""),"ORGANIC")</f>
        <v>ORGANIC</v>
      </c>
      <c r="T380" s="1" t="str">
        <f>IFERROR(__xludf.DUMMYFUNCTION("""COMPUTED_VALUE"""),"LEA REMOLLO")</f>
        <v>LEA REMOLLO</v>
      </c>
      <c r="U380" s="1" t="str">
        <f>IFERROR(__xludf.DUMMYFUNCTION("""COMPUTED_VALUE"""),"JB SALIOA")</f>
        <v>JB SALIOA</v>
      </c>
      <c r="V380" s="1" t="str">
        <f>IFERROR(__xludf.DUMMYFUNCTION("""COMPUTED_VALUE"""),"BK HSTK")</f>
        <v>BK HSTK</v>
      </c>
      <c r="W380" s="1" t="str">
        <f>IFERROR(__xludf.DUMMYFUNCTION("""COMPUTED_VALUE"""),"BK HSTK")</f>
        <v>BK HSTK</v>
      </c>
      <c r="X380" s="1" t="str">
        <f>IFERROR(__xludf.DUMMYFUNCTION("""COMPUTED_VALUE"""),"REGULAR")</f>
        <v>REGULAR</v>
      </c>
      <c r="Y380" s="1" t="str">
        <f>IFERROR(__xludf.DUMMYFUNCTION("""COMPUTED_VALUE"""),"BK_CVEU_260818")</f>
        <v>BK_CVEU_260818</v>
      </c>
      <c r="Z380" s="1" t="str">
        <f>IFERROR(__xludf.DUMMYFUNCTION("""COMPUTED_VALUE"""),"NEW CONNECT")</f>
        <v>NEW CONNECT</v>
      </c>
      <c r="AA380" s="1">
        <f>IFERROR(__xludf.DUMMYFUNCTION("""COMPUTED_VALUE"""),639949261762)</f>
        <v>639949261762</v>
      </c>
      <c r="AB380" s="1"/>
      <c r="AC380" s="1"/>
      <c r="AD380" s="1" t="str">
        <f>IFERROR(__xludf.DUMMYFUNCTION("""COMPUTED_VALUE"""),"LAURENTE")</f>
        <v>LAURENTE</v>
      </c>
      <c r="AE380" s="1"/>
      <c r="AF380" s="1" t="str">
        <f>IFERROR(__xludf.DUMMYFUNCTION("""COMPUTED_VALUE"""),"BGY BERNARDO PULIDO")</f>
        <v>BGY BERNARDO PULIDO</v>
      </c>
      <c r="AG380" s="1" t="str">
        <f>IFERROR(__xludf.DUMMYFUNCTION("""COMPUTED_VALUE"""),"GEN MARIANO ALVAREZ")</f>
        <v>GEN MARIANO ALVAREZ</v>
      </c>
      <c r="AH380" s="1" t="str">
        <f>IFERROR(__xludf.DUMMYFUNCTION("""COMPUTED_VALUE"""),"BRGY HALL PULIDO")</f>
        <v>BRGY HALL PULIDO</v>
      </c>
      <c r="AI380" s="1" t="str">
        <f>IFERROR(__xludf.DUMMYFUNCTION("""COMPUTED_VALUE"""),"CLUSTER 11")</f>
        <v>CLUSTER 11</v>
      </c>
    </row>
    <row r="381" customHeight="1" spans="1:35">
      <c r="A381" s="3">
        <f>IFERROR(__xludf.DUMMYFUNCTION("""COMPUTED_VALUE"""),46266)</f>
        <v>46266</v>
      </c>
      <c r="B381" s="1" t="str">
        <f>IFERROR(__xludf.DUMMYFUNCTION("""COMPUTED_VALUE"""),"RESTY BINADAY VARIAS")</f>
        <v>RESTY BINADAY VARIAS</v>
      </c>
      <c r="C381" s="1">
        <f>IFERROR(__xludf.DUMMYFUNCTION("""COMPUTED_VALUE"""),2312267849)</f>
        <v>2312267849</v>
      </c>
      <c r="D381" s="1">
        <f>IFERROR(__xludf.DUMMYFUNCTION("""COMPUTED_VALUE"""),407518918)</f>
        <v>407518918</v>
      </c>
      <c r="E381" s="1">
        <f>IFERROR(__xludf.DUMMYFUNCTION("""COMPUTED_VALUE"""),468802871004)</f>
        <v>468802871004</v>
      </c>
      <c r="F381" s="1" t="str">
        <f>IFERROR(__xludf.DUMMYFUNCTION("""COMPUTED_VALUE"""),"CLOSED")</f>
        <v>CLOSED</v>
      </c>
      <c r="G381" s="1" t="str">
        <f>IFERROR(__xludf.DUMMYFUNCTION("""COMPUTED_VALUE"""),"CLOSED")</f>
        <v>CLOSED</v>
      </c>
      <c r="H381" s="1" t="str">
        <f>IFERROR(__xludf.DUMMYFUNCTION("""COMPUTED_VALUE"""),"PAID VIA GCASH REF 446105809 SEPT 1")</f>
        <v>PAID VIA GCASH REF 446105809 SEPT 1</v>
      </c>
      <c r="I381" s="1" t="str">
        <f>IFERROR(__xludf.DUMMYFUNCTION("""COMPUTED_VALUE"""),"WITH 1 AMSF")</f>
        <v>WITH 1 AMSF</v>
      </c>
      <c r="J381" s="1"/>
      <c r="K381" s="1" t="str">
        <f>IFERROR(__xludf.DUMMYFUNCTION("""COMPUTED_VALUE"""),"COMPLETED")</f>
        <v>COMPLETED</v>
      </c>
      <c r="L381" s="1" t="str">
        <f>IFERROR(__xludf.DUMMYFUNCTION("""COMPUTED_VALUE"""),"POSTED")</f>
        <v>POSTED</v>
      </c>
      <c r="M381" s="1" t="str">
        <f>IFERROR(__xludf.DUMMYFUNCTION("""COMPUTED_VALUE"""),"POSTED")</f>
        <v>POSTED</v>
      </c>
      <c r="N381" s="3">
        <f>IFERROR(__xludf.DUMMYFUNCTION("""COMPUTED_VALUE"""),46267)</f>
        <v>46267</v>
      </c>
      <c r="O381" s="1" t="str">
        <f>IFERROR(__xludf.DUMMYFUNCTION("""COMPUTED_VALUE"""),"FIBER UNLI ALL PLAN 1499")</f>
        <v>FIBER UNLI ALL PLAN 1499</v>
      </c>
      <c r="P381" s="1" t="str">
        <f>IFERROR(__xludf.DUMMYFUNCTION("""COMPUTED_VALUE"""),"LOWPLAN")</f>
        <v>LOWPLAN</v>
      </c>
      <c r="Q381" s="1" t="str">
        <f>IFERROR(__xludf.DUMMYFUNCTION("""COMPUTED_VALUE"""),"P407045")</f>
        <v>P407045</v>
      </c>
      <c r="R381" s="1" t="str">
        <f>IFERROR(__xludf.DUMMYFUNCTION("""COMPUTED_VALUE"""),"AYON, MANUEL")</f>
        <v>AYON, MANUEL</v>
      </c>
      <c r="S381" s="1" t="str">
        <f>IFERROR(__xludf.DUMMYFUNCTION("""COMPUTED_VALUE"""),"FLA")</f>
        <v>FLA</v>
      </c>
      <c r="T381" s="1" t="str">
        <f>IFERROR(__xludf.DUMMYFUNCTION("""COMPUTED_VALUE"""),"JERIC NAVARRO")</f>
        <v>JERIC NAVARRO</v>
      </c>
      <c r="U381" s="1" t="str">
        <f>IFERROR(__xludf.DUMMYFUNCTION("""COMPUTED_VALUE"""),"JB SALIOA")</f>
        <v>JB SALIOA</v>
      </c>
      <c r="V381" s="1" t="str">
        <f>IFERROR(__xludf.DUMMYFUNCTION("""COMPUTED_VALUE"""),"ONLINE/CRANFORD")</f>
        <v>ONLINE/CRANFORD</v>
      </c>
      <c r="W381" s="1" t="str">
        <f>IFERROR(__xludf.DUMMYFUNCTION("""COMPUTED_VALUE"""),"STK REGULAR")</f>
        <v>STK REGULAR</v>
      </c>
      <c r="X381" s="1" t="str">
        <f>IFERROR(__xludf.DUMMYFUNCTION("""COMPUTED_VALUE"""),"REGULAR")</f>
        <v>REGULAR</v>
      </c>
      <c r="Y381" s="1" t="str">
        <f>IFERROR(__xludf.DUMMYFUNCTION("""COMPUTED_VALUE"""),"RS_ONL_CVEU_2026")</f>
        <v>RS_ONL_CVEU_2026</v>
      </c>
      <c r="Z381" s="1" t="str">
        <f>IFERROR(__xludf.DUMMYFUNCTION("""COMPUTED_VALUE"""),"NEW CONNECT")</f>
        <v>NEW CONNECT</v>
      </c>
      <c r="AA381" s="1">
        <f>IFERROR(__xludf.DUMMYFUNCTION("""COMPUTED_VALUE"""),639197706051)</f>
        <v>639197706051</v>
      </c>
      <c r="AB381" s="1">
        <f>IFERROR(__xludf.DUMMYFUNCTION("""COMPUTED_VALUE"""),639617619037)</f>
        <v>639617619037</v>
      </c>
      <c r="AC381" s="1">
        <f>IFERROR(__xludf.DUMMYFUNCTION("""COMPUTED_VALUE"""),26)</f>
        <v>26</v>
      </c>
      <c r="AD381" s="1" t="str">
        <f>IFERROR(__xludf.DUMMYFUNCTION("""COMPUTED_VALUE"""),"PUROK 1")</f>
        <v>PUROK 1</v>
      </c>
      <c r="AE381" s="1"/>
      <c r="AF381" s="1" t="str">
        <f>IFERROR(__xludf.DUMMYFUNCTION("""COMPUTED_VALUE"""),"BGY SINALIW MALAKI")</f>
        <v>BGY SINALIW MALAKI</v>
      </c>
      <c r="AG381" s="1" t="str">
        <f>IFERROR(__xludf.DUMMYFUNCTION("""COMPUTED_VALUE"""),"ALFONSO")</f>
        <v>ALFONSO</v>
      </c>
      <c r="AH381" s="1" t="str">
        <f>IFERROR(__xludf.DUMMYFUNCTION("""COMPUTED_VALUE"""),"PUROK 1")</f>
        <v>PUROK 1</v>
      </c>
      <c r="AI381" s="1" t="str">
        <f>IFERROR(__xludf.DUMMYFUNCTION("""COMPUTED_VALUE"""),"CLUSTER 12")</f>
        <v>CLUSTER 12</v>
      </c>
    </row>
    <row r="382" customHeight="1" spans="1:35">
      <c r="A382" s="3">
        <f>IFERROR(__xludf.DUMMYFUNCTION("""COMPUTED_VALUE"""),46266)</f>
        <v>46266</v>
      </c>
      <c r="B382" s="1" t="str">
        <f>IFERROR(__xludf.DUMMYFUNCTION("""COMPUTED_VALUE"""),"JOVAN CLAVO PAYADAN")</f>
        <v>JOVAN CLAVO PAYADAN</v>
      </c>
      <c r="C382" s="1">
        <f>IFERROR(__xludf.DUMMYFUNCTION("""COMPUTED_VALUE"""),2312274399)</f>
        <v>2312274399</v>
      </c>
      <c r="D382" s="1">
        <f>IFERROR(__xludf.DUMMYFUNCTION("""COMPUTED_VALUE"""),407517709)</f>
        <v>407517709</v>
      </c>
      <c r="E382" s="1">
        <f>IFERROR(__xludf.DUMMYFUNCTION("""COMPUTED_VALUE"""),468802448004)</f>
        <v>468802448004</v>
      </c>
      <c r="F382" s="1" t="str">
        <f>IFERROR(__xludf.DUMMYFUNCTION("""COMPUTED_VALUE"""),"CANCELLED")</f>
        <v>CANCELLED</v>
      </c>
      <c r="G382" s="1" t="str">
        <f>IFERROR(__xludf.DUMMYFUNCTION("""COMPUTED_VALUE"""),"AS PER SUBS FOR CANCEL APPLICATION NO LONGER NEEDED")</f>
        <v>AS PER SUBS FOR CANCEL APPLICATION NO LONGER NEEDED</v>
      </c>
      <c r="H382" s="1" t="str">
        <f>IFERROR(__xludf.DUMMYFUNCTION("""COMPUTED_VALUE"""),"PAID IN CSP")</f>
        <v>PAID IN CSP</v>
      </c>
      <c r="I382" s="1" t="str">
        <f>IFERROR(__xludf.DUMMYFUNCTION("""COMPUTED_VALUE"""),"NO 1 AMSF")</f>
        <v>NO 1 AMSF</v>
      </c>
      <c r="J382" s="1" t="str">
        <f>IFERROR(__xludf.DUMMYFUNCTION("""COMPUTED_VALUE"""),"CANCELLED")</f>
        <v>CANCELLED</v>
      </c>
      <c r="K382" s="1" t="str">
        <f>IFERROR(__xludf.DUMMYFUNCTION("""COMPUTED_VALUE"""),"CANCELED")</f>
        <v>CANCELED</v>
      </c>
      <c r="L382" s="1" t="str">
        <f>IFERROR(__xludf.DUMMYFUNCTION("""COMPUTED_VALUE"""),"CANCELLED")</f>
        <v>CANCELLED</v>
      </c>
      <c r="M382" s="1" t="str">
        <f>IFERROR(__xludf.DUMMYFUNCTION("""COMPUTED_VALUE"""),"RPR- SUBS CANCEL REQUEST")</f>
        <v>RPR- SUBS CANCEL REQUEST</v>
      </c>
      <c r="N382" s="3"/>
      <c r="O382" s="1" t="str">
        <f>IFERROR(__xludf.DUMMYFUNCTION("""COMPUTED_VALUE"""),"FIBR PLAN 1299")</f>
        <v>FIBR PLAN 1299</v>
      </c>
      <c r="P382" s="1" t="str">
        <f>IFERROR(__xludf.DUMMYFUNCTION("""COMPUTED_VALUE"""),"LOWPLAN")</f>
        <v>LOWPLAN</v>
      </c>
      <c r="Q382" s="1" t="str">
        <f>IFERROR(__xludf.DUMMYFUNCTION("""COMPUTED_VALUE"""),"P407045")</f>
        <v>P407045</v>
      </c>
      <c r="R382" s="1" t="str">
        <f>IFERROR(__xludf.DUMMYFUNCTION("""COMPUTED_VALUE"""),"ALINGARO, CINDY")</f>
        <v>ALINGARO, CINDY</v>
      </c>
      <c r="S382" s="1" t="str">
        <f>IFERROR(__xludf.DUMMYFUNCTION("""COMPUTED_VALUE"""),"FLA")</f>
        <v>FLA</v>
      </c>
      <c r="T382" s="1" t="str">
        <f>IFERROR(__xludf.DUMMYFUNCTION("""COMPUTED_VALUE"""),"JERIC NAVARRO")</f>
        <v>JERIC NAVARRO</v>
      </c>
      <c r="U382" s="1" t="str">
        <f>IFERROR(__xludf.DUMMYFUNCTION("""COMPUTED_VALUE"""),"JB SALIOA")</f>
        <v>JB SALIOA</v>
      </c>
      <c r="V382" s="1" t="str">
        <f>IFERROR(__xludf.DUMMYFUNCTION("""COMPUTED_VALUE"""),"BK REGULAR")</f>
        <v>BK REGULAR</v>
      </c>
      <c r="W382" s="1" t="str">
        <f>IFERROR(__xludf.DUMMYFUNCTION("""COMPUTED_VALUE"""),"STK REGULAR")</f>
        <v>STK REGULAR</v>
      </c>
      <c r="X382" s="1" t="str">
        <f>IFERROR(__xludf.DUMMYFUNCTION("""COMPUTED_VALUE"""),"REGULAR")</f>
        <v>REGULAR</v>
      </c>
      <c r="Y382" s="1" t="str">
        <f>IFERROR(__xludf.DUMMYFUNCTION("""COMPUTED_VALUE"""),"BK_CVEU_260815")</f>
        <v>BK_CVEU_260815</v>
      </c>
      <c r="Z382" s="1" t="str">
        <f>IFERROR(__xludf.DUMMYFUNCTION("""COMPUTED_VALUE"""),"NEW CONNECT")</f>
        <v>NEW CONNECT</v>
      </c>
      <c r="AA382" s="1">
        <f>IFERROR(__xludf.DUMMYFUNCTION("""COMPUTED_VALUE"""),639074659260)</f>
        <v>639074659260</v>
      </c>
      <c r="AB382" s="1">
        <f>IFERROR(__xludf.DUMMYFUNCTION("""COMPUTED_VALUE"""),639171799898)</f>
        <v>639171799898</v>
      </c>
      <c r="AC382" s="1"/>
      <c r="AD382" s="1" t="str">
        <f>IFERROR(__xludf.DUMMYFUNCTION("""COMPUTED_VALUE"""),"C5")</f>
        <v>C5</v>
      </c>
      <c r="AE382" s="1"/>
      <c r="AF382" s="1" t="str">
        <f>IFERROR(__xludf.DUMMYFUNCTION("""COMPUTED_VALUE"""),"BGY LUKSUHIN IBABA")</f>
        <v>BGY LUKSUHIN IBABA</v>
      </c>
      <c r="AG382" s="1" t="str">
        <f>IFERROR(__xludf.DUMMYFUNCTION("""COMPUTED_VALUE"""),"ALFONSO")</f>
        <v>ALFONSO</v>
      </c>
      <c r="AH382" s="1" t="str">
        <f>IFERROR(__xludf.DUMMYFUNCTION("""COMPUTED_VALUE"""),"C5 HALF COURT")</f>
        <v>C5 HALF COURT</v>
      </c>
      <c r="AI382" s="1" t="str">
        <f>IFERROR(__xludf.DUMMYFUNCTION("""COMPUTED_VALUE"""),"CLUSTER 12")</f>
        <v>CLUSTER 12</v>
      </c>
    </row>
    <row r="383" customHeight="1" spans="1:35">
      <c r="A383" s="3">
        <f>IFERROR(__xludf.DUMMYFUNCTION("""COMPUTED_VALUE"""),46266)</f>
        <v>46266</v>
      </c>
      <c r="B383" s="1" t="str">
        <f>IFERROR(__xludf.DUMMYFUNCTION("""COMPUTED_VALUE"""),"ROMEO ROLLE FEROLINO")</f>
        <v>ROMEO ROLLE FEROLINO</v>
      </c>
      <c r="C383" s="1">
        <f>IFERROR(__xludf.DUMMYFUNCTION("""COMPUTED_VALUE"""),2312275076)</f>
        <v>2312275076</v>
      </c>
      <c r="D383" s="1">
        <f>IFERROR(__xludf.DUMMYFUNCTION("""COMPUTED_VALUE"""),407521889)</f>
        <v>407521889</v>
      </c>
      <c r="E383" s="1">
        <f>IFERROR(__xludf.DUMMYFUNCTION("""COMPUTED_VALUE"""),468804856004)</f>
        <v>468804856004</v>
      </c>
      <c r="F383" s="1" t="str">
        <f>IFERROR(__xludf.DUMMYFUNCTION("""COMPUTED_VALUE"""),"CLOSED")</f>
        <v>CLOSED</v>
      </c>
      <c r="G383" s="1" t="str">
        <f>IFERROR(__xludf.DUMMYFUNCTION("""COMPUTED_VALUE"""),"CLOSED")</f>
        <v>CLOSED</v>
      </c>
      <c r="H383" s="1" t="str">
        <f>IFERROR(__xludf.DUMMYFUNCTION("""COMPUTED_VALUE"""),"PAID VIA GCASH REF 030977396 SEP 2")</f>
        <v>PAID VIA GCASH REF 030977396 SEP 2</v>
      </c>
      <c r="I383" s="1" t="str">
        <f>IFERROR(__xludf.DUMMYFUNCTION("""COMPUTED_VALUE"""),"WITH 1 AMSF")</f>
        <v>WITH 1 AMSF</v>
      </c>
      <c r="J383" s="1"/>
      <c r="K383" s="1" t="str">
        <f>IFERROR(__xludf.DUMMYFUNCTION("""COMPUTED_VALUE"""),"COMPLETED")</f>
        <v>COMPLETED</v>
      </c>
      <c r="L383" s="1" t="str">
        <f>IFERROR(__xludf.DUMMYFUNCTION("""COMPUTED_VALUE"""),"POSTED")</f>
        <v>POSTED</v>
      </c>
      <c r="M383" s="1" t="str">
        <f>IFERROR(__xludf.DUMMYFUNCTION("""COMPUTED_VALUE"""),"POSTED")</f>
        <v>POSTED</v>
      </c>
      <c r="N383" s="3">
        <f>IFERROR(__xludf.DUMMYFUNCTION("""COMPUTED_VALUE"""),46268)</f>
        <v>46268</v>
      </c>
      <c r="O383" s="1" t="str">
        <f>IFERROR(__xludf.DUMMYFUNCTION("""COMPUTED_VALUE"""),"FIBR UNLI ALL PLAN 999")</f>
        <v>FIBR UNLI ALL PLAN 999</v>
      </c>
      <c r="P383" s="1" t="str">
        <f>IFERROR(__xludf.DUMMYFUNCTION("""COMPUTED_VALUE"""),"LOWPLAN")</f>
        <v>LOWPLAN</v>
      </c>
      <c r="Q383" s="1" t="str">
        <f>IFERROR(__xludf.DUMMYFUNCTION("""COMPUTED_VALUE"""),"P407050")</f>
        <v>P407050</v>
      </c>
      <c r="R383" s="1" t="str">
        <f>IFERROR(__xludf.DUMMYFUNCTION("""COMPUTED_VALUE"""),"ESCARCHA, ALMA")</f>
        <v>ESCARCHA, ALMA</v>
      </c>
      <c r="S383" s="1" t="str">
        <f>IFERROR(__xludf.DUMMYFUNCTION("""COMPUTED_VALUE"""),"ORGANIC")</f>
        <v>ORGANIC</v>
      </c>
      <c r="T383" s="1" t="str">
        <f>IFERROR(__xludf.DUMMYFUNCTION("""COMPUTED_VALUE"""),"LEA REMOLLO")</f>
        <v>LEA REMOLLO</v>
      </c>
      <c r="U383" s="1" t="str">
        <f>IFERROR(__xludf.DUMMYFUNCTION("""COMPUTED_VALUE"""),"JB SALIOA")</f>
        <v>JB SALIOA</v>
      </c>
      <c r="V383" s="1" t="str">
        <f>IFERROR(__xludf.DUMMYFUNCTION("""COMPUTED_VALUE"""),"BK HSTK")</f>
        <v>BK HSTK</v>
      </c>
      <c r="W383" s="1" t="str">
        <f>IFERROR(__xludf.DUMMYFUNCTION("""COMPUTED_VALUE"""),"BK HSTK")</f>
        <v>BK HSTK</v>
      </c>
      <c r="X383" s="1" t="str">
        <f>IFERROR(__xludf.DUMMYFUNCTION("""COMPUTED_VALUE"""),"REGULAR")</f>
        <v>REGULAR</v>
      </c>
      <c r="Y383" s="1" t="str">
        <f>IFERROR(__xludf.DUMMYFUNCTION("""COMPUTED_VALUE"""),"BK_CVEU_260815")</f>
        <v>BK_CVEU_260815</v>
      </c>
      <c r="Z383" s="1" t="str">
        <f>IFERROR(__xludf.DUMMYFUNCTION("""COMPUTED_VALUE"""),"NEW CONNECT")</f>
        <v>NEW CONNECT</v>
      </c>
      <c r="AA383" s="1">
        <f>IFERROR(__xludf.DUMMYFUNCTION("""COMPUTED_VALUE"""),639910420466)</f>
        <v>639910420466</v>
      </c>
      <c r="AB383" s="1"/>
      <c r="AC383" s="1">
        <f>IFERROR(__xludf.DUMMYFUNCTION("""COMPUTED_VALUE"""),156)</f>
        <v>156</v>
      </c>
      <c r="AD383" s="1" t="str">
        <f>IFERROR(__xludf.DUMMYFUNCTION("""COMPUTED_VALUE"""),"QUINTIN GUIMIIT")</f>
        <v>QUINTIN GUIMIIT</v>
      </c>
      <c r="AE383" s="1"/>
      <c r="AF383" s="1" t="str">
        <f>IFERROR(__xludf.DUMMYFUNCTION("""COMPUTED_VALUE"""),"BGY MARAHAN 2")</f>
        <v>BGY MARAHAN 2</v>
      </c>
      <c r="AG383" s="1" t="str">
        <f>IFERROR(__xludf.DUMMYFUNCTION("""COMPUTED_VALUE"""),"ALFONSO")</f>
        <v>ALFONSO</v>
      </c>
      <c r="AH383" s="1" t="str">
        <f>IFERROR(__xludf.DUMMYFUNCTION("""COMPUTED_VALUE"""),"LAUNDRY")</f>
        <v>LAUNDRY</v>
      </c>
      <c r="AI383" s="1" t="str">
        <f>IFERROR(__xludf.DUMMYFUNCTION("""COMPUTED_VALUE"""),"CLUSTER 12")</f>
        <v>CLUSTER 12</v>
      </c>
    </row>
    <row r="384" customHeight="1" spans="1:35">
      <c r="A384" s="3">
        <f>IFERROR(__xludf.DUMMYFUNCTION("""COMPUTED_VALUE"""),46266)</f>
        <v>46266</v>
      </c>
      <c r="B384" s="1" t="str">
        <f>IFERROR(__xludf.DUMMYFUNCTION("""COMPUTED_VALUE"""),"WENDY MAR FLORES ALTAMIA")</f>
        <v>WENDY MAR FLORES ALTAMIA</v>
      </c>
      <c r="C384" s="1">
        <f>IFERROR(__xludf.DUMMYFUNCTION("""COMPUTED_VALUE"""),2312276600)</f>
        <v>2312276600</v>
      </c>
      <c r="D384" s="1"/>
      <c r="E384" s="1"/>
      <c r="F384" s="1" t="str">
        <f>IFERROR(__xludf.DUMMYFUNCTION("""COMPUTED_VALUE"""),"SUBS CANCEL REQUEST")</f>
        <v>SUBS CANCEL REQUEST</v>
      </c>
      <c r="G384" s="1" t="str">
        <f>IFERROR(__xludf.DUMMYFUNCTION("""COMPUTED_VALUE"""),"(NO LONGER INTERESTED ) SUBS CANCELLED | DONE VALIDATION WITH COMPLETE DOCS | CORRECT ENCODED INFO IN CSP | TU SCORING- FF - 2 (NTC)| WAIVED AMSF BASED ON CLV | CLEARED FROM BLACKLISTED HIT | FOUND ACTIVE ACCT# (0345135987) CLV_07 SAME NAME/DIFFERENT ADDR"&amp;"ESS |FOUND PENDING ACCT# (0407519582) SAME NAME/DIFFERENT ADDRESS | CALL THRU: (09505539044) 3:52| TALKED TO SUBS REQUEST TO CANCEL THIS APPLICATION AND PENDING APPLICATION DUE TO NO LONGER INTERESTED | SCANNABLE NATIONAL ID")</f>
        <v>(NO LONGER INTERESTED ) SUBS CANCELLED | DONE VALIDATION WITH COMPLETE DOCS | CORRECT ENCODED INFO IN CSP | TU SCORING- FF - 2 (NTC)| WAIVED AMSF BASED ON CLV | CLEARED FROM BLACKLISTED HIT | FOUND ACTIVE ACCT# (0345135987) CLV_07 SAME NAME/DIFFERENT ADDRESS |FOUND PENDING ACCT# (0407519582) SAME NAME/DIFFERENT ADDRESS | CALL THRU: (09505539044) 3:52| TALKED TO SUBS REQUEST TO CANCEL THIS APPLICATION AND PENDING APPLICATION DUE TO NO LONGER INTERESTED | SCANNABLE NATIONAL ID</v>
      </c>
      <c r="H384" s="1"/>
      <c r="I384" s="1"/>
      <c r="J384" s="1"/>
      <c r="K384" s="1"/>
      <c r="L384" s="1" t="str">
        <f>IFERROR(__xludf.DUMMYFUNCTION("""COMPUTED_VALUE"""),"CANCELLED - SUBS CANCEL REQUEST")</f>
        <v>CANCELLED - SUBS CANCEL REQUEST</v>
      </c>
      <c r="M384" s="1" t="str">
        <f>IFERROR(__xludf.DUMMYFUNCTION("""COMPUTED_VALUE"""),"CANCELLED - SUBS CANCEL REQUEST")</f>
        <v>CANCELLED - SUBS CANCEL REQUEST</v>
      </c>
      <c r="N384" s="3"/>
      <c r="O384" s="1" t="str">
        <f>IFERROR(__xludf.DUMMYFUNCTION("""COMPUTED_VALUE"""),"FIBR PLAN 2099")</f>
        <v>FIBR PLAN 2099</v>
      </c>
      <c r="P384" s="1" t="str">
        <f>IFERROR(__xludf.DUMMYFUNCTION("""COMPUTED_VALUE"""),"HIGHPLAN")</f>
        <v>HIGHPLAN</v>
      </c>
      <c r="Q384" s="1" t="str">
        <f>IFERROR(__xludf.DUMMYFUNCTION("""COMPUTED_VALUE"""),"P407050")</f>
        <v>P407050</v>
      </c>
      <c r="R384" s="1" t="str">
        <f>IFERROR(__xludf.DUMMYFUNCTION("""COMPUTED_VALUE"""),"RIVERA, AIRIZH JOY")</f>
        <v>RIVERA, AIRIZH JOY</v>
      </c>
      <c r="S384" s="1" t="str">
        <f>IFERROR(__xludf.DUMMYFUNCTION("""COMPUTED_VALUE"""),"ORGANIC")</f>
        <v>ORGANIC</v>
      </c>
      <c r="T384" s="1" t="str">
        <f>IFERROR(__xludf.DUMMYFUNCTION("""COMPUTED_VALUE"""),"LEA REMOLLO")</f>
        <v>LEA REMOLLO</v>
      </c>
      <c r="U384" s="1" t="str">
        <f>IFERROR(__xludf.DUMMYFUNCTION("""COMPUTED_VALUE"""),"JB SALIOA")</f>
        <v>JB SALIOA</v>
      </c>
      <c r="V384" s="1" t="str">
        <f>IFERROR(__xludf.DUMMYFUNCTION("""COMPUTED_VALUE"""),"ONLINE/CRANFORD")</f>
        <v>ONLINE/CRANFORD</v>
      </c>
      <c r="W384" s="1" t="str">
        <f>IFERROR(__xludf.DUMMYFUNCTION("""COMPUTED_VALUE"""),"STK REGULAR")</f>
        <v>STK REGULAR</v>
      </c>
      <c r="X384" s="1" t="str">
        <f>IFERROR(__xludf.DUMMYFUNCTION("""COMPUTED_VALUE"""),"REGULAR")</f>
        <v>REGULAR</v>
      </c>
      <c r="Y384" s="1" t="str">
        <f>IFERROR(__xludf.DUMMYFUNCTION("""COMPUTED_VALUE"""),"RS_ONL_CVEU_2026")</f>
        <v>RS_ONL_CVEU_2026</v>
      </c>
      <c r="Z384" s="1" t="str">
        <f>IFERROR(__xludf.DUMMYFUNCTION("""COMPUTED_VALUE"""),"NEW CONNECT")</f>
        <v>NEW CONNECT</v>
      </c>
      <c r="AA384" s="1">
        <f>IFERROR(__xludf.DUMMYFUNCTION("""COMPUTED_VALUE"""),639505539044)</f>
        <v>639505539044</v>
      </c>
      <c r="AB384" s="1">
        <f>IFERROR(__xludf.DUMMYFUNCTION("""COMPUTED_VALUE"""),639602162661)</f>
        <v>639602162661</v>
      </c>
      <c r="AC384" s="1"/>
      <c r="AD384" s="1" t="str">
        <f>IFERROR(__xludf.DUMMYFUNCTION("""COMPUTED_VALUE"""),"DBB-D")</f>
        <v>DBB-D</v>
      </c>
      <c r="AE384" s="1" t="str">
        <f>IFERROR(__xludf.DUMMYFUNCTION("""COMPUTED_VALUE"""),"DBB-D")</f>
        <v>DBB-D</v>
      </c>
      <c r="AF384" s="1" t="str">
        <f>IFERROR(__xludf.DUMMYFUNCTION("""COMPUTED_VALUE"""),"BGY SAN MATEO")</f>
        <v>BGY SAN MATEO</v>
      </c>
      <c r="AG384" s="1" t="str">
        <f>IFERROR(__xludf.DUMMYFUNCTION("""COMPUTED_VALUE"""),"DASMARINAS")</f>
        <v>DASMARINAS</v>
      </c>
      <c r="AH384" s="1" t="str">
        <f>IFERROR(__xludf.DUMMYFUNCTION("""COMPUTED_VALUE"""),"HVAC")</f>
        <v>HVAC</v>
      </c>
      <c r="AI384" s="1" t="str">
        <f>IFERROR(__xludf.DUMMYFUNCTION("""COMPUTED_VALUE"""),"NOT AOR")</f>
        <v>NOT AOR</v>
      </c>
    </row>
    <row r="385" customHeight="1" spans="1:35">
      <c r="A385" s="3">
        <f>IFERROR(__xludf.DUMMYFUNCTION("""COMPUTED_VALUE"""),46266)</f>
        <v>46266</v>
      </c>
      <c r="B385" s="1" t="str">
        <f>IFERROR(__xludf.DUMMYFUNCTION("""COMPUTED_VALUE"""),"LAVINIA ERIS BASILIO GALPA")</f>
        <v>LAVINIA ERIS BASILIO GALPA</v>
      </c>
      <c r="C385" s="1">
        <f>IFERROR(__xludf.DUMMYFUNCTION("""COMPUTED_VALUE"""),2312277379)</f>
        <v>2312277379</v>
      </c>
      <c r="D385" s="1">
        <f>IFERROR(__xludf.DUMMYFUNCTION("""COMPUTED_VALUE"""),407524144)</f>
        <v>407524144</v>
      </c>
      <c r="E385" s="1">
        <f>IFERROR(__xludf.DUMMYFUNCTION("""COMPUTED_VALUE"""),468805702004)</f>
        <v>468805702004</v>
      </c>
      <c r="F385" s="1" t="str">
        <f>IFERROR(__xludf.DUMMYFUNCTION("""COMPUTED_VALUE"""),"CLOSED")</f>
        <v>CLOSED</v>
      </c>
      <c r="G385" s="1" t="str">
        <f>IFERROR(__xludf.DUMMYFUNCTION("""COMPUTED_VALUE"""),"CLOSED")</f>
        <v>CLOSED</v>
      </c>
      <c r="H385" s="1" t="str">
        <f>IFERROR(__xludf.DUMMYFUNCTION("""COMPUTED_VALUE"""),"PQGOR365112305	24-Sep-26	Regular Payment	PLDT Pay Express-Web-App credit	1,857.04	0	24-Sep-26")</f>
        <v>PQGOR365112305	24-Sep-26	Regular Payment	PLDT Pay Express-Web-App credit	1,857.04	0	24-Sep-26</v>
      </c>
      <c r="I385" s="1" t="str">
        <f>IFERROR(__xludf.DUMMYFUNCTION("""COMPUTED_VALUE"""),"WITH 1 AMSF")</f>
        <v>WITH 1 AMSF</v>
      </c>
      <c r="J385" s="1"/>
      <c r="K385" s="1" t="str">
        <f>IFERROR(__xludf.DUMMYFUNCTION("""COMPUTED_VALUE"""),"COMPLETED")</f>
        <v>COMPLETED</v>
      </c>
      <c r="L385" s="1" t="str">
        <f>IFERROR(__xludf.DUMMYFUNCTION("""COMPUTED_VALUE"""),"POSTED")</f>
        <v>POSTED</v>
      </c>
      <c r="M385" s="1" t="str">
        <f>IFERROR(__xludf.DUMMYFUNCTION("""COMPUTED_VALUE"""),"POSTED")</f>
        <v>POSTED</v>
      </c>
      <c r="N385" s="3">
        <f>IFERROR(__xludf.DUMMYFUNCTION("""COMPUTED_VALUE"""),46267)</f>
        <v>46267</v>
      </c>
      <c r="O385" s="1" t="str">
        <f>IFERROR(__xludf.DUMMYFUNCTION("""COMPUTED_VALUE"""),"FIBR PLAN 1699")</f>
        <v>FIBR PLAN 1699</v>
      </c>
      <c r="P385" s="1" t="str">
        <f>IFERROR(__xludf.DUMMYFUNCTION("""COMPUTED_VALUE"""),"HIGHPLAN")</f>
        <v>HIGHPLAN</v>
      </c>
      <c r="Q385" s="1" t="str">
        <f>IFERROR(__xludf.DUMMYFUNCTION("""COMPUTED_VALUE"""),"P407044")</f>
        <v>P407044</v>
      </c>
      <c r="R385" s="1" t="str">
        <f>IFERROR(__xludf.DUMMYFUNCTION("""COMPUTED_VALUE"""),"OPS")</f>
        <v>OPS</v>
      </c>
      <c r="S385" s="1" t="str">
        <f>IFERROR(__xludf.DUMMYFUNCTION("""COMPUTED_VALUE"""),"FLA")</f>
        <v>FLA</v>
      </c>
      <c r="T385" s="1" t="str">
        <f>IFERROR(__xludf.DUMMYFUNCTION("""COMPUTED_VALUE"""),"JERIC NAVARRO")</f>
        <v>JERIC NAVARRO</v>
      </c>
      <c r="U385" s="1" t="str">
        <f>IFERROR(__xludf.DUMMYFUNCTION("""COMPUTED_VALUE"""),"JB SALIOA")</f>
        <v>JB SALIOA</v>
      </c>
      <c r="V385" s="1" t="str">
        <f>IFERROR(__xludf.DUMMYFUNCTION("""COMPUTED_VALUE"""),"ONLINE/CRANFORD")</f>
        <v>ONLINE/CRANFORD</v>
      </c>
      <c r="W385" s="1" t="str">
        <f>IFERROR(__xludf.DUMMYFUNCTION("""COMPUTED_VALUE"""),"STK REGULAR")</f>
        <v>STK REGULAR</v>
      </c>
      <c r="X385" s="1" t="str">
        <f>IFERROR(__xludf.DUMMYFUNCTION("""COMPUTED_VALUE"""),"REGULAR")</f>
        <v>REGULAR</v>
      </c>
      <c r="Y385" s="1" t="str">
        <f>IFERROR(__xludf.DUMMYFUNCTION("""COMPUTED_VALUE"""),"RS_ONL_CVEU_2026")</f>
        <v>RS_ONL_CVEU_2026</v>
      </c>
      <c r="Z385" s="1" t="str">
        <f>IFERROR(__xludf.DUMMYFUNCTION("""COMPUTED_VALUE"""),"NEW CONNECT")</f>
        <v>NEW CONNECT</v>
      </c>
      <c r="AA385" s="1">
        <f>IFERROR(__xludf.DUMMYFUNCTION("""COMPUTED_VALUE"""),639773866651)</f>
        <v>639773866651</v>
      </c>
      <c r="AB385" s="1">
        <f>IFERROR(__xludf.DUMMYFUNCTION("""COMPUTED_VALUE"""),639167927345)</f>
        <v>639167927345</v>
      </c>
      <c r="AC385" s="1">
        <f>IFERROR(__xludf.DUMMYFUNCTION("""COMPUTED_VALUE"""),9018)</f>
        <v>9018</v>
      </c>
      <c r="AD385" s="1" t="str">
        <f>IFERROR(__xludf.DUMMYFUNCTION("""COMPUTED_VALUE"""),"DE GUZMAN")</f>
        <v>DE GUZMAN</v>
      </c>
      <c r="AE385" s="1" t="str">
        <f>IFERROR(__xludf.DUMMYFUNCTION("""COMPUTED_VALUE"""),"PUROK 3")</f>
        <v>PUROK 3</v>
      </c>
      <c r="AF385" s="1" t="str">
        <f>IFERROR(__xludf.DUMMYFUNCTION("""COMPUTED_VALUE"""),"BGY LUMIL")</f>
        <v>BGY LUMIL</v>
      </c>
      <c r="AG385" s="1" t="str">
        <f>IFERROR(__xludf.DUMMYFUNCTION("""COMPUTED_VALUE"""),"SILANG")</f>
        <v>SILANG</v>
      </c>
      <c r="AH385" s="1" t="str">
        <f>IFERROR(__xludf.DUMMYFUNCTION("""COMPUTED_VALUE"""),"NEAR BRGY HALL")</f>
        <v>NEAR BRGY HALL</v>
      </c>
      <c r="AI385" s="1" t="str">
        <f>IFERROR(__xludf.DUMMYFUNCTION("""COMPUTED_VALUE"""),"CLUSTER 11")</f>
        <v>CLUSTER 11</v>
      </c>
    </row>
    <row r="386" customHeight="1" spans="1:35">
      <c r="A386" s="3">
        <f>IFERROR(__xludf.DUMMYFUNCTION("""COMPUTED_VALUE"""),46266)</f>
        <v>46266</v>
      </c>
      <c r="B386" s="1" t="str">
        <f>IFERROR(__xludf.DUMMYFUNCTION("""COMPUTED_VALUE"""),"EVANGELINE AURE FIJER")</f>
        <v>EVANGELINE AURE FIJER</v>
      </c>
      <c r="C386" s="1">
        <f>IFERROR(__xludf.DUMMYFUNCTION("""COMPUTED_VALUE"""),2312278393)</f>
        <v>2312278393</v>
      </c>
      <c r="D386" s="1">
        <f>IFERROR(__xludf.DUMMYFUNCTION("""COMPUTED_VALUE"""),407527909)</f>
        <v>407527909</v>
      </c>
      <c r="E386" s="1">
        <f>IFERROR(__xludf.DUMMYFUNCTION("""COMPUTED_VALUE"""),468807994004)</f>
        <v>468807994004</v>
      </c>
      <c r="F386" s="1" t="str">
        <f>IFERROR(__xludf.DUMMYFUNCTION("""COMPUTED_VALUE"""),"CLOSED")</f>
        <v>CLOSED</v>
      </c>
      <c r="G386" s="1" t="str">
        <f>IFERROR(__xludf.DUMMYFUNCTION("""COMPUTED_VALUE"""),"CLOSED")</f>
        <v>CLOSED</v>
      </c>
      <c r="H386" s="1" t="str">
        <f>IFERROR(__xludf.DUMMYFUNCTION("""COMPUTED_VALUE"""),"PAID VIA GCASH REF 041332605 SEPT 4")</f>
        <v>PAID VIA GCASH REF 041332605 SEPT 4</v>
      </c>
      <c r="I386" s="1" t="str">
        <f>IFERROR(__xludf.DUMMYFUNCTION("""COMPUTED_VALUE"""),"WITH 1 AMSF")</f>
        <v>WITH 1 AMSF</v>
      </c>
      <c r="J386" s="1"/>
      <c r="K386" s="1" t="str">
        <f>IFERROR(__xludf.DUMMYFUNCTION("""COMPUTED_VALUE"""),"COMPLETED")</f>
        <v>COMPLETED</v>
      </c>
      <c r="L386" s="1" t="str">
        <f>IFERROR(__xludf.DUMMYFUNCTION("""COMPUTED_VALUE"""),"POSTED")</f>
        <v>POSTED</v>
      </c>
      <c r="M386" s="1" t="str">
        <f>IFERROR(__xludf.DUMMYFUNCTION("""COMPUTED_VALUE"""),"POSTED")</f>
        <v>POSTED</v>
      </c>
      <c r="N386" s="3">
        <f>IFERROR(__xludf.DUMMYFUNCTION("""COMPUTED_VALUE"""),46271)</f>
        <v>46271</v>
      </c>
      <c r="O386" s="1" t="str">
        <f>IFERROR(__xludf.DUMMYFUNCTION("""COMPUTED_VALUE"""),"FIBR UNLI ALL PLAN 999")</f>
        <v>FIBR UNLI ALL PLAN 999</v>
      </c>
      <c r="P386" s="1" t="str">
        <f>IFERROR(__xludf.DUMMYFUNCTION("""COMPUTED_VALUE"""),"LOWPLAN")</f>
        <v>LOWPLAN</v>
      </c>
      <c r="Q386" s="1" t="str">
        <f>IFERROR(__xludf.DUMMYFUNCTION("""COMPUTED_VALUE"""),"P407050")</f>
        <v>P407050</v>
      </c>
      <c r="R386" s="1" t="str">
        <f>IFERROR(__xludf.DUMMYFUNCTION("""COMPUTED_VALUE"""),"ALOS, CHARLS LAURENZ")</f>
        <v>ALOS, CHARLS LAURENZ</v>
      </c>
      <c r="S386" s="1" t="str">
        <f>IFERROR(__xludf.DUMMYFUNCTION("""COMPUTED_VALUE"""),"ORGANIC")</f>
        <v>ORGANIC</v>
      </c>
      <c r="T386" s="1" t="str">
        <f>IFERROR(__xludf.DUMMYFUNCTION("""COMPUTED_VALUE"""),"LEA REMOLLO")</f>
        <v>LEA REMOLLO</v>
      </c>
      <c r="U386" s="1" t="str">
        <f>IFERROR(__xludf.DUMMYFUNCTION("""COMPUTED_VALUE"""),"JB SALIOA")</f>
        <v>JB SALIOA</v>
      </c>
      <c r="V386" s="1" t="str">
        <f>IFERROR(__xludf.DUMMYFUNCTION("""COMPUTED_VALUE"""),"BK HSTK")</f>
        <v>BK HSTK</v>
      </c>
      <c r="W386" s="1" t="str">
        <f>IFERROR(__xludf.DUMMYFUNCTION("""COMPUTED_VALUE"""),"BK HSTK")</f>
        <v>BK HSTK</v>
      </c>
      <c r="X386" s="1" t="str">
        <f>IFERROR(__xludf.DUMMYFUNCTION("""COMPUTED_VALUE"""),"REGULAR")</f>
        <v>REGULAR</v>
      </c>
      <c r="Y386" s="1" t="str">
        <f>IFERROR(__xludf.DUMMYFUNCTION("""COMPUTED_VALUE"""),"BK_CVEU_260819")</f>
        <v>BK_CVEU_260819</v>
      </c>
      <c r="Z386" s="1" t="str">
        <f>IFERROR(__xludf.DUMMYFUNCTION("""COMPUTED_VALUE"""),"NEW CONNECT")</f>
        <v>NEW CONNECT</v>
      </c>
      <c r="AA386" s="1">
        <f>IFERROR(__xludf.DUMMYFUNCTION("""COMPUTED_VALUE"""),639604085013)</f>
        <v>639604085013</v>
      </c>
      <c r="AB386" s="1"/>
      <c r="AC386" s="1">
        <f>IFERROR(__xludf.DUMMYFUNCTION("""COMPUTED_VALUE"""),25)</f>
        <v>25</v>
      </c>
      <c r="AD386" s="1" t="str">
        <f>IFERROR(__xludf.DUMMYFUNCTION("""COMPUTED_VALUE"""),"SAN PEDRO")</f>
        <v>SAN PEDRO</v>
      </c>
      <c r="AE386" s="1"/>
      <c r="AF386" s="1" t="str">
        <f>IFERROR(__xludf.DUMMYFUNCTION("""COMPUTED_VALUE"""),"BGY BUKAL")</f>
        <v>BGY BUKAL</v>
      </c>
      <c r="AG386" s="1" t="str">
        <f>IFERROR(__xludf.DUMMYFUNCTION("""COMPUTED_VALUE"""),"MENDEZ")</f>
        <v>MENDEZ</v>
      </c>
      <c r="AH386" s="1" t="str">
        <f>IFERROR(__xludf.DUMMYFUNCTION("""COMPUTED_VALUE"""),"-")</f>
        <v>-</v>
      </c>
      <c r="AI386" s="1" t="str">
        <f>IFERROR(__xludf.DUMMYFUNCTION("""COMPUTED_VALUE"""),"CLUSTER 12")</f>
        <v>CLUSTER 12</v>
      </c>
    </row>
    <row r="387" customHeight="1" spans="1:35">
      <c r="A387" s="3">
        <f>IFERROR(__xludf.DUMMYFUNCTION("""COMPUTED_VALUE"""),46266)</f>
        <v>46266</v>
      </c>
      <c r="B387" s="1" t="str">
        <f>IFERROR(__xludf.DUMMYFUNCTION("""COMPUTED_VALUE"""),"FLORDELIZA OLLER BELINO")</f>
        <v>FLORDELIZA OLLER BELINO</v>
      </c>
      <c r="C387" s="1">
        <f>IFERROR(__xludf.DUMMYFUNCTION("""COMPUTED_VALUE"""),2312278824)</f>
        <v>2312278824</v>
      </c>
      <c r="D387" s="1">
        <f>IFERROR(__xludf.DUMMYFUNCTION("""COMPUTED_VALUE"""),407526732)</f>
        <v>407526732</v>
      </c>
      <c r="E387" s="1"/>
      <c r="F387" s="1" t="str">
        <f>IFERROR(__xludf.DUMMYFUNCTION("""COMPUTED_VALUE"""),"CANCELLED")</f>
        <v>CANCELLED</v>
      </c>
      <c r="G387" s="1" t="str">
        <f>IFERROR(__xludf.DUMMYFUNCTION("""COMPUTED_VALUE"""),"CANCELLED - FOR REENCODE")</f>
        <v>CANCELLED - FOR REENCODE</v>
      </c>
      <c r="H387" s="1"/>
      <c r="I387" s="1"/>
      <c r="J387" s="1"/>
      <c r="K387" s="1"/>
      <c r="L387" s="1" t="str">
        <f>IFERROR(__xludf.DUMMYFUNCTION("""COMPUTED_VALUE"""),"REENCODED")</f>
        <v>REENCODED</v>
      </c>
      <c r="M387" s="1" t="str">
        <f>IFERROR(__xludf.DUMMYFUNCTION("""COMPUTED_VALUE"""),"REENCODED")</f>
        <v>REENCODED</v>
      </c>
      <c r="N387" s="3"/>
      <c r="O387" s="1" t="str">
        <f>IFERROR(__xludf.DUMMYFUNCTION("""COMPUTED_VALUE"""),"FIBR PLAN 1299")</f>
        <v>FIBR PLAN 1299</v>
      </c>
      <c r="P387" s="1" t="str">
        <f>IFERROR(__xludf.DUMMYFUNCTION("""COMPUTED_VALUE"""),"LOWPLAN")</f>
        <v>LOWPLAN</v>
      </c>
      <c r="Q387" s="1" t="str">
        <f>IFERROR(__xludf.DUMMYFUNCTION("""COMPUTED_VALUE"""),"P407050")</f>
        <v>P407050</v>
      </c>
      <c r="R387" s="1" t="str">
        <f>IFERROR(__xludf.DUMMYFUNCTION("""COMPUTED_VALUE"""),"MAGDARAOG, KENNETH")</f>
        <v>MAGDARAOG, KENNETH</v>
      </c>
      <c r="S387" s="1" t="str">
        <f>IFERROR(__xludf.DUMMYFUNCTION("""COMPUTED_VALUE"""),"ORGANIC")</f>
        <v>ORGANIC</v>
      </c>
      <c r="T387" s="1" t="str">
        <f>IFERROR(__xludf.DUMMYFUNCTION("""COMPUTED_VALUE"""),"LEA REMOLLO")</f>
        <v>LEA REMOLLO</v>
      </c>
      <c r="U387" s="1" t="str">
        <f>IFERROR(__xludf.DUMMYFUNCTION("""COMPUTED_VALUE"""),"JB SALIOA")</f>
        <v>JB SALIOA</v>
      </c>
      <c r="V387" s="1" t="str">
        <f>IFERROR(__xludf.DUMMYFUNCTION("""COMPUTED_VALUE"""),"BK HSTK")</f>
        <v>BK HSTK</v>
      </c>
      <c r="W387" s="1" t="str">
        <f>IFERROR(__xludf.DUMMYFUNCTION("""COMPUTED_VALUE"""),"BK HSTK")</f>
        <v>BK HSTK</v>
      </c>
      <c r="X387" s="1" t="str">
        <f>IFERROR(__xludf.DUMMYFUNCTION("""COMPUTED_VALUE"""),"REGULAR")</f>
        <v>REGULAR</v>
      </c>
      <c r="Y387" s="1" t="str">
        <f>IFERROR(__xludf.DUMMYFUNCTION("""COMPUTED_VALUE"""),"BK_CVEU_260821")</f>
        <v>BK_CVEU_260821</v>
      </c>
      <c r="Z387" s="1" t="str">
        <f>IFERROR(__xludf.DUMMYFUNCTION("""COMPUTED_VALUE"""),"NEW CONNECT")</f>
        <v>NEW CONNECT</v>
      </c>
      <c r="AA387" s="1">
        <f>IFERROR(__xludf.DUMMYFUNCTION("""COMPUTED_VALUE"""),639677161163)</f>
        <v>639677161163</v>
      </c>
      <c r="AB387" s="1">
        <f>IFERROR(__xludf.DUMMYFUNCTION("""COMPUTED_VALUE"""),639154606353)</f>
        <v>639154606353</v>
      </c>
      <c r="AC387" s="1">
        <f>IFERROR(__xludf.DUMMYFUNCTION("""COMPUTED_VALUE"""),54)</f>
        <v>54</v>
      </c>
      <c r="AD387" s="1" t="str">
        <f>IFERROR(__xludf.DUMMYFUNCTION("""COMPUTED_VALUE"""),"GUINHAWA NORTH")</f>
        <v>GUINHAWA NORTH</v>
      </c>
      <c r="AE387" s="1"/>
      <c r="AF387" s="1" t="str">
        <f>IFERROR(__xludf.DUMMYFUNCTION("""COMPUTED_VALUE"""),"BGY GUINHAWA NORTH")</f>
        <v>BGY GUINHAWA NORTH</v>
      </c>
      <c r="AG387" s="1" t="str">
        <f>IFERROR(__xludf.DUMMYFUNCTION("""COMPUTED_VALUE"""),"TAGAYTAY")</f>
        <v>TAGAYTAY</v>
      </c>
      <c r="AH387" s="1" t="str">
        <f>IFERROR(__xludf.DUMMYFUNCTION("""COMPUTED_VALUE"""),"SIETE UNO RESTAURANT")</f>
        <v>SIETE UNO RESTAURANT</v>
      </c>
      <c r="AI387" s="1" t="str">
        <f>IFERROR(__xludf.DUMMYFUNCTION("""COMPUTED_VALUE"""),"CLUSTER 12")</f>
        <v>CLUSTER 12</v>
      </c>
    </row>
    <row r="388" customHeight="1" spans="1:35">
      <c r="A388" s="3">
        <f>IFERROR(__xludf.DUMMYFUNCTION("""COMPUTED_VALUE"""),46266)</f>
        <v>46266</v>
      </c>
      <c r="B388" s="1" t="str">
        <f>IFERROR(__xludf.DUMMYFUNCTION("""COMPUTED_VALUE"""),"MONALIZA LABAY SUOD")</f>
        <v>MONALIZA LABAY SUOD</v>
      </c>
      <c r="C388" s="1">
        <f>IFERROR(__xludf.DUMMYFUNCTION("""COMPUTED_VALUE"""),2312280390)</f>
        <v>2312280390</v>
      </c>
      <c r="D388" s="1">
        <f>IFERROR(__xludf.DUMMYFUNCTION("""COMPUTED_VALUE"""),407529596)</f>
        <v>407529596</v>
      </c>
      <c r="E388" s="1">
        <f>IFERROR(__xludf.DUMMYFUNCTION("""COMPUTED_VALUE"""),468809673004)</f>
        <v>468809673004</v>
      </c>
      <c r="F388" s="1" t="str">
        <f>IFERROR(__xludf.DUMMYFUNCTION("""COMPUTED_VALUE"""),"CLOSED")</f>
        <v>CLOSED</v>
      </c>
      <c r="G388" s="1" t="str">
        <f>IFERROR(__xludf.DUMMYFUNCTION("""COMPUTED_VALUE"""),"CLOSED")</f>
        <v>CLOSED</v>
      </c>
      <c r="H388" s="1" t="str">
        <f>IFERROR(__xludf.DUMMYFUNCTION("""COMPUTED_VALUE"""),"PAID VIA GCASH - SEPT 2 - REF - 447957373")</f>
        <v>PAID VIA GCASH - SEPT 2 - REF - 447957373</v>
      </c>
      <c r="I388" s="1" t="str">
        <f>IFERROR(__xludf.DUMMYFUNCTION("""COMPUTED_VALUE"""),"WITH 1 AMSF")</f>
        <v>WITH 1 AMSF</v>
      </c>
      <c r="J388" s="1"/>
      <c r="K388" s="1" t="str">
        <f>IFERROR(__xludf.DUMMYFUNCTION("""COMPUTED_VALUE"""),"COMPLETED")</f>
        <v>COMPLETED</v>
      </c>
      <c r="L388" s="1" t="str">
        <f>IFERROR(__xludf.DUMMYFUNCTION("""COMPUTED_VALUE"""),"POSTED")</f>
        <v>POSTED</v>
      </c>
      <c r="M388" s="1" t="str">
        <f>IFERROR(__xludf.DUMMYFUNCTION("""COMPUTED_VALUE"""),"POSTED")</f>
        <v>POSTED</v>
      </c>
      <c r="N388" s="3">
        <f>IFERROR(__xludf.DUMMYFUNCTION("""COMPUTED_VALUE"""),46267)</f>
        <v>46267</v>
      </c>
      <c r="O388" s="1" t="str">
        <f>IFERROR(__xludf.DUMMYFUNCTION("""COMPUTED_VALUE"""),"FIBR PLAN 1299")</f>
        <v>FIBR PLAN 1299</v>
      </c>
      <c r="P388" s="1" t="str">
        <f>IFERROR(__xludf.DUMMYFUNCTION("""COMPUTED_VALUE"""),"LOWPLAN")</f>
        <v>LOWPLAN</v>
      </c>
      <c r="Q388" s="1" t="str">
        <f>IFERROR(__xludf.DUMMYFUNCTION("""COMPUTED_VALUE"""),"P407045")</f>
        <v>P407045</v>
      </c>
      <c r="R388" s="1" t="str">
        <f>IFERROR(__xludf.DUMMYFUNCTION("""COMPUTED_VALUE"""),"REMOLLO, LEA")</f>
        <v>REMOLLO, LEA</v>
      </c>
      <c r="S388" s="1" t="str">
        <f>IFERROR(__xludf.DUMMYFUNCTION("""COMPUTED_VALUE"""),"FLA")</f>
        <v>FLA</v>
      </c>
      <c r="T388" s="1" t="str">
        <f>IFERROR(__xludf.DUMMYFUNCTION("""COMPUTED_VALUE"""),"JERIC NAVARRO")</f>
        <v>JERIC NAVARRO</v>
      </c>
      <c r="U388" s="1" t="str">
        <f>IFERROR(__xludf.DUMMYFUNCTION("""COMPUTED_VALUE"""),"JB SALIOA")</f>
        <v>JB SALIOA</v>
      </c>
      <c r="V388" s="1" t="str">
        <f>IFERROR(__xludf.DUMMYFUNCTION("""COMPUTED_VALUE"""),"BK HSTK")</f>
        <v>BK HSTK</v>
      </c>
      <c r="W388" s="1" t="str">
        <f>IFERROR(__xludf.DUMMYFUNCTION("""COMPUTED_VALUE"""),"BK HSTK")</f>
        <v>BK HSTK</v>
      </c>
      <c r="X388" s="1" t="str">
        <f>IFERROR(__xludf.DUMMYFUNCTION("""COMPUTED_VALUE"""),"REGULAR")</f>
        <v>REGULAR</v>
      </c>
      <c r="Y388" s="1" t="str">
        <f>IFERROR(__xludf.DUMMYFUNCTION("""COMPUTED_VALUE"""),"BK_CVEU_260820")</f>
        <v>BK_CVEU_260820</v>
      </c>
      <c r="Z388" s="1" t="str">
        <f>IFERROR(__xludf.DUMMYFUNCTION("""COMPUTED_VALUE"""),"NEW CONNECT")</f>
        <v>NEW CONNECT</v>
      </c>
      <c r="AA388" s="1">
        <f>IFERROR(__xludf.DUMMYFUNCTION("""COMPUTED_VALUE"""),639381726342)</f>
        <v>639381726342</v>
      </c>
      <c r="AB388" s="1"/>
      <c r="AC388" s="1"/>
      <c r="AD388" s="1" t="str">
        <f>IFERROR(__xludf.DUMMYFUNCTION("""COMPUTED_VALUE"""),"ZONE 9")</f>
        <v>ZONE 9</v>
      </c>
      <c r="AE388" s="1"/>
      <c r="AF388" s="1" t="str">
        <f>IFERROR(__xludf.DUMMYFUNCTION("""COMPUTED_VALUE"""),"BGY BULIHAN")</f>
        <v>BGY BULIHAN</v>
      </c>
      <c r="AG388" s="1" t="str">
        <f>IFERROR(__xludf.DUMMYFUNCTION("""COMPUTED_VALUE"""),"SILANG")</f>
        <v>SILANG</v>
      </c>
      <c r="AH388" s="1" t="str">
        <f>IFERROR(__xludf.DUMMYFUNCTION("""COMPUTED_VALUE"""),"7/11")</f>
        <v>7/11</v>
      </c>
      <c r="AI388" s="1" t="str">
        <f>IFERROR(__xludf.DUMMYFUNCTION("""COMPUTED_VALUE"""),"CLUSTER 11")</f>
        <v>CLUSTER 11</v>
      </c>
    </row>
    <row r="389" customHeight="1" spans="1:35">
      <c r="A389" s="3">
        <f>IFERROR(__xludf.DUMMYFUNCTION("""COMPUTED_VALUE"""),46266)</f>
        <v>46266</v>
      </c>
      <c r="B389" s="1" t="str">
        <f>IFERROR(__xludf.DUMMYFUNCTION("""COMPUTED_VALUE"""),"JOLLYBELLE MANZANO MANZANO")</f>
        <v>JOLLYBELLE MANZANO MANZANO</v>
      </c>
      <c r="C389" s="1">
        <f>IFERROR(__xludf.DUMMYFUNCTION("""COMPUTED_VALUE"""),2312281715)</f>
        <v>2312281715</v>
      </c>
      <c r="D389" s="1">
        <f>IFERROR(__xludf.DUMMYFUNCTION("""COMPUTED_VALUE"""),407532783)</f>
        <v>407532783</v>
      </c>
      <c r="E389" s="1">
        <f>IFERROR(__xludf.DUMMYFUNCTION("""COMPUTED_VALUE"""),468817038004)</f>
        <v>468817038004</v>
      </c>
      <c r="F389" s="1" t="str">
        <f>IFERROR(__xludf.DUMMYFUNCTION("""COMPUTED_VALUE"""),"CANCELLED")</f>
        <v>CANCELLED</v>
      </c>
      <c r="G389" s="1" t="str">
        <f>IFERROR(__xludf.DUMMYFUNCTION("""COMPUTED_VALUE"""),"RPR SUBS CANCEL APPLICATION HINDI RAW PO SILA NAG KAINTINDIHAN NG MAY ARI NG PWESTO NILA")</f>
        <v>RPR SUBS CANCEL APPLICATION HINDI RAW PO SILA NAG KAINTINDIHAN NG MAY ARI NG PWESTO NILA</v>
      </c>
      <c r="H389" s="1"/>
      <c r="I389" s="1"/>
      <c r="J389" s="1" t="str">
        <f>IFERROR(__xludf.DUMMYFUNCTION("""COMPUTED_VALUE"""),"CANCELLED")</f>
        <v>CANCELLED</v>
      </c>
      <c r="K389" s="1" t="str">
        <f>IFERROR(__xludf.DUMMYFUNCTION("""COMPUTED_VALUE"""),"CANCELED")</f>
        <v>CANCELED</v>
      </c>
      <c r="L389" s="1" t="str">
        <f>IFERROR(__xludf.DUMMYFUNCTION("""COMPUTED_VALUE"""),"FOR CAMCELLATION - SUBS CANCEL")</f>
        <v>FOR CAMCELLATION - SUBS CANCEL</v>
      </c>
      <c r="M389" s="1" t="str">
        <f>IFERROR(__xludf.DUMMYFUNCTION("""COMPUTED_VALUE"""),"CANCELLED - SUBS CANCEL REQUEST")</f>
        <v>CANCELLED - SUBS CANCEL REQUEST</v>
      </c>
      <c r="N389" s="3"/>
      <c r="O389" s="1" t="str">
        <f>IFERROR(__xludf.DUMMYFUNCTION("""COMPUTED_VALUE"""),"FIBR UNLI ALL PLAN 999")</f>
        <v>FIBR UNLI ALL PLAN 999</v>
      </c>
      <c r="P389" s="1" t="str">
        <f>IFERROR(__xludf.DUMMYFUNCTION("""COMPUTED_VALUE"""),"LOWPLAN")</f>
        <v>LOWPLAN</v>
      </c>
      <c r="Q389" s="1" t="str">
        <f>IFERROR(__xludf.DUMMYFUNCTION("""COMPUTED_VALUE"""),"P407050")</f>
        <v>P407050</v>
      </c>
      <c r="R389" s="1" t="str">
        <f>IFERROR(__xludf.DUMMYFUNCTION("""COMPUTED_VALUE"""),"MAGDARAOG, KENNETH")</f>
        <v>MAGDARAOG, KENNETH</v>
      </c>
      <c r="S389" s="1" t="str">
        <f>IFERROR(__xludf.DUMMYFUNCTION("""COMPUTED_VALUE"""),"ORGANIC")</f>
        <v>ORGANIC</v>
      </c>
      <c r="T389" s="1" t="str">
        <f>IFERROR(__xludf.DUMMYFUNCTION("""COMPUTED_VALUE"""),"LEA REMOLLO")</f>
        <v>LEA REMOLLO</v>
      </c>
      <c r="U389" s="1" t="str">
        <f>IFERROR(__xludf.DUMMYFUNCTION("""COMPUTED_VALUE"""),"JB SALIOA")</f>
        <v>JB SALIOA</v>
      </c>
      <c r="V389" s="1" t="str">
        <f>IFERROR(__xludf.DUMMYFUNCTION("""COMPUTED_VALUE"""),"BK REGULAR")</f>
        <v>BK REGULAR</v>
      </c>
      <c r="W389" s="1" t="str">
        <f>IFERROR(__xludf.DUMMYFUNCTION("""COMPUTED_VALUE"""),"STK REGULAR")</f>
        <v>STK REGULAR</v>
      </c>
      <c r="X389" s="1" t="str">
        <f>IFERROR(__xludf.DUMMYFUNCTION("""COMPUTED_VALUE"""),"REGULAR")</f>
        <v>REGULAR</v>
      </c>
      <c r="Y389" s="1" t="str">
        <f>IFERROR(__xludf.DUMMYFUNCTION("""COMPUTED_VALUE"""),"BK_CVEU_260820")</f>
        <v>BK_CVEU_260820</v>
      </c>
      <c r="Z389" s="1" t="str">
        <f>IFERROR(__xludf.DUMMYFUNCTION("""COMPUTED_VALUE"""),"NEW CONNECT")</f>
        <v>NEW CONNECT</v>
      </c>
      <c r="AA389" s="1">
        <f>IFERROR(__xludf.DUMMYFUNCTION("""COMPUTED_VALUE"""),639096516475)</f>
        <v>639096516475</v>
      </c>
      <c r="AB389" s="1"/>
      <c r="AC389" s="1">
        <f>IFERROR(__xludf.DUMMYFUNCTION("""COMPUTED_VALUE"""),5)</f>
        <v>5</v>
      </c>
      <c r="AD389" s="1" t="str">
        <f>IFERROR(__xludf.DUMMYFUNCTION("""COMPUTED_VALUE"""),"NARRA 1")</f>
        <v>NARRA 1</v>
      </c>
      <c r="AE389" s="1"/>
      <c r="AF389" s="1" t="str">
        <f>IFERROR(__xludf.DUMMYFUNCTION("""COMPUTED_VALUE"""),"BGY NARRA 1")</f>
        <v>BGY NARRA 1</v>
      </c>
      <c r="AG389" s="1" t="str">
        <f>IFERROR(__xludf.DUMMYFUNCTION("""COMPUTED_VALUE"""),"SILANG")</f>
        <v>SILANG</v>
      </c>
      <c r="AH389" s="1" t="str">
        <f>IFERROR(__xludf.DUMMYFUNCTION("""COMPUTED_VALUE"""),"MARKET")</f>
        <v>MARKET</v>
      </c>
      <c r="AI389" s="1" t="str">
        <f>IFERROR(__xludf.DUMMYFUNCTION("""COMPUTED_VALUE"""),"CLUSTER 11")</f>
        <v>CLUSTER 11</v>
      </c>
    </row>
    <row r="390" customHeight="1" spans="1:35">
      <c r="A390" s="3">
        <f>IFERROR(__xludf.DUMMYFUNCTION("""COMPUTED_VALUE"""),46267)</f>
        <v>46267</v>
      </c>
      <c r="B390" s="1" t="str">
        <f>IFERROR(__xludf.DUMMYFUNCTION("""COMPUTED_VALUE"""),"MARCELINO III GUEVARRA LISTANCO")</f>
        <v>MARCELINO III GUEVARRA LISTANCO</v>
      </c>
      <c r="C390" s="1">
        <f>IFERROR(__xludf.DUMMYFUNCTION("""COMPUTED_VALUE"""),2312293393)</f>
        <v>2312293393</v>
      </c>
      <c r="D390" s="1">
        <f>IFERROR(__xludf.DUMMYFUNCTION("""COMPUTED_VALUE"""),407541782)</f>
        <v>407541782</v>
      </c>
      <c r="E390" s="1">
        <f>IFERROR(__xludf.DUMMYFUNCTION("""COMPUTED_VALUE"""),468924588004)</f>
        <v>468924588004</v>
      </c>
      <c r="F390" s="1" t="str">
        <f>IFERROR(__xludf.DUMMYFUNCTION("""COMPUTED_VALUE"""),"CLOSED")</f>
        <v>CLOSED</v>
      </c>
      <c r="G390" s="1" t="str">
        <f>IFERROR(__xludf.DUMMYFUNCTION("""COMPUTED_VALUE"""),"CLOSED")</f>
        <v>CLOSED</v>
      </c>
      <c r="H390" s="1" t="str">
        <f>IFERROR(__xludf.DUMMYFUNCTION("""COMPUTED_VALUE"""),"PAID VIA BPI - SEPT 2 - REF - R1788320003746446")</f>
        <v>PAID VIA BPI - SEPT 2 - REF - R1788320003746446</v>
      </c>
      <c r="I390" s="1" t="str">
        <f>IFERROR(__xludf.DUMMYFUNCTION("""COMPUTED_VALUE"""),"WITH 1 AMSF")</f>
        <v>WITH 1 AMSF</v>
      </c>
      <c r="J390" s="1"/>
      <c r="K390" s="1" t="str">
        <f>IFERROR(__xludf.DUMMYFUNCTION("""COMPUTED_VALUE"""),"COMPLETED")</f>
        <v>COMPLETED</v>
      </c>
      <c r="L390" s="1" t="str">
        <f>IFERROR(__xludf.DUMMYFUNCTION("""COMPUTED_VALUE"""),"POSTED")</f>
        <v>POSTED</v>
      </c>
      <c r="M390" s="1" t="str">
        <f>IFERROR(__xludf.DUMMYFUNCTION("""COMPUTED_VALUE"""),"POSTED")</f>
        <v>POSTED</v>
      </c>
      <c r="N390" s="3">
        <f>IFERROR(__xludf.DUMMYFUNCTION("""COMPUTED_VALUE"""),46268)</f>
        <v>46268</v>
      </c>
      <c r="O390" s="1" t="str">
        <f>IFERROR(__xludf.DUMMYFUNCTION("""COMPUTED_VALUE"""),"FIBER UNLI ALL PLAN 1499")</f>
        <v>FIBER UNLI ALL PLAN 1499</v>
      </c>
      <c r="P390" s="1" t="str">
        <f>IFERROR(__xludf.DUMMYFUNCTION("""COMPUTED_VALUE"""),"LOWPLAN")</f>
        <v>LOWPLAN</v>
      </c>
      <c r="Q390" s="1" t="str">
        <f>IFERROR(__xludf.DUMMYFUNCTION("""COMPUTED_VALUE"""),"P407045")</f>
        <v>P407045</v>
      </c>
      <c r="R390" s="1" t="str">
        <f>IFERROR(__xludf.DUMMYFUNCTION("""COMPUTED_VALUE"""),"GABAY, MANUEL")</f>
        <v>GABAY, MANUEL</v>
      </c>
      <c r="S390" s="1" t="str">
        <f>IFERROR(__xludf.DUMMYFUNCTION("""COMPUTED_VALUE"""),"FLA")</f>
        <v>FLA</v>
      </c>
      <c r="T390" s="1" t="str">
        <f>IFERROR(__xludf.DUMMYFUNCTION("""COMPUTED_VALUE"""),"JERIC NAVARRO")</f>
        <v>JERIC NAVARRO</v>
      </c>
      <c r="U390" s="1" t="str">
        <f>IFERROR(__xludf.DUMMYFUNCTION("""COMPUTED_VALUE"""),"JB SALIOA")</f>
        <v>JB SALIOA</v>
      </c>
      <c r="V390" s="1" t="str">
        <f>IFERROR(__xludf.DUMMYFUNCTION("""COMPUTED_VALUE"""),"BK REGULAR")</f>
        <v>BK REGULAR</v>
      </c>
      <c r="W390" s="1" t="str">
        <f>IFERROR(__xludf.DUMMYFUNCTION("""COMPUTED_VALUE"""),"CSP")</f>
        <v>CSP</v>
      </c>
      <c r="X390" s="1" t="str">
        <f>IFERROR(__xludf.DUMMYFUNCTION("""COMPUTED_VALUE"""),"HBBS AUG 2026")</f>
        <v>HBBS AUG 2026</v>
      </c>
      <c r="Y390" s="1" t="str">
        <f>IFERROR(__xludf.DUMMYFUNCTION("""COMPUTED_VALUE"""),"BK_CVEU_260820")</f>
        <v>BK_CVEU_260820</v>
      </c>
      <c r="Z390" s="1" t="str">
        <f>IFERROR(__xludf.DUMMYFUNCTION("""COMPUTED_VALUE"""),"NEW CONNECT")</f>
        <v>NEW CONNECT</v>
      </c>
      <c r="AA390" s="1">
        <f>IFERROR(__xludf.DUMMYFUNCTION("""COMPUTED_VALUE"""),639156874744)</f>
        <v>639156874744</v>
      </c>
      <c r="AB390" s="1">
        <f>IFERROR(__xludf.DUMMYFUNCTION("""COMPUTED_VALUE"""),639369087116)</f>
        <v>639369087116</v>
      </c>
      <c r="AC390" s="1">
        <f>IFERROR(__xludf.DUMMYFUNCTION("""COMPUTED_VALUE"""),449)</f>
        <v>449</v>
      </c>
      <c r="AD390" s="1" t="str">
        <f>IFERROR(__xludf.DUMMYFUNCTION("""COMPUTED_VALUE"""),"PUROK 3")</f>
        <v>PUROK 3</v>
      </c>
      <c r="AE390" s="1"/>
      <c r="AF390" s="1" t="str">
        <f>IFERROR(__xludf.DUMMYFUNCTION("""COMPUTED_VALUE"""),"BGY IBA")</f>
        <v>BGY IBA</v>
      </c>
      <c r="AG390" s="1" t="str">
        <f>IFERROR(__xludf.DUMMYFUNCTION("""COMPUTED_VALUE"""),"SILANG")</f>
        <v>SILANG</v>
      </c>
      <c r="AH390" s="1" t="str">
        <f>IFERROR(__xludf.DUMMYFUNCTION("""COMPUTED_VALUE"""),"-")</f>
        <v>-</v>
      </c>
      <c r="AI390" s="1" t="str">
        <f>IFERROR(__xludf.DUMMYFUNCTION("""COMPUTED_VALUE"""),"CLUSTER 11")</f>
        <v>CLUSTER 11</v>
      </c>
    </row>
    <row r="391" customHeight="1" spans="1:35">
      <c r="A391" s="3">
        <f>IFERROR(__xludf.DUMMYFUNCTION("""COMPUTED_VALUE"""),46267)</f>
        <v>46267</v>
      </c>
      <c r="B391" s="1" t="str">
        <f>IFERROR(__xludf.DUMMYFUNCTION("""COMPUTED_VALUE"""),"MARY JOY AZUR BINONDO")</f>
        <v>MARY JOY AZUR BINONDO</v>
      </c>
      <c r="C391" s="1">
        <f>IFERROR(__xludf.DUMMYFUNCTION("""COMPUTED_VALUE"""),2312295082)</f>
        <v>2312295082</v>
      </c>
      <c r="D391" s="1">
        <f>IFERROR(__xludf.DUMMYFUNCTION("""COMPUTED_VALUE"""),407543297)</f>
        <v>407543297</v>
      </c>
      <c r="E391" s="1">
        <f>IFERROR(__xludf.DUMMYFUNCTION("""COMPUTED_VALUE"""),468932567004)</f>
        <v>468932567004</v>
      </c>
      <c r="F391" s="1" t="str">
        <f>IFERROR(__xludf.DUMMYFUNCTION("""COMPUTED_VALUE"""),"CANCELLED")</f>
        <v>CANCELLED</v>
      </c>
      <c r="G391" s="1" t="str">
        <f>IFERROR(__xludf.DUMMYFUNCTION("""COMPUTED_VALUE"""),"Gtslp753np5,6,8 gtslp754np2 full all nearest nap subs already advice 176 amiel")</f>
        <v>Gtslp753np5,6,8 gtslp754np2 full all nearest nap subs already advice 176 amiel</v>
      </c>
      <c r="H391" s="1" t="str">
        <f>IFERROR(__xludf.DUMMYFUNCTION("""COMPUTED_VALUE"""),"PAID VIA GCASH - SEPT 2- REF - 689544442")</f>
        <v>PAID VIA GCASH - SEPT 2- REF - 689544442</v>
      </c>
      <c r="I391" s="1" t="str">
        <f>IFERROR(__xludf.DUMMYFUNCTION("""COMPUTED_VALUE"""),"WITH 1 AMSF")</f>
        <v>WITH 1 AMSF</v>
      </c>
      <c r="J391" s="1" t="str">
        <f>IFERROR(__xludf.DUMMYFUNCTION("""COMPUTED_VALUE"""),"CANCELLED")</f>
        <v>CANCELLED</v>
      </c>
      <c r="K391" s="1" t="str">
        <f>IFERROR(__xludf.DUMMYFUNCTION("""COMPUTED_VALUE"""),"CANCELED")</f>
        <v>CANCELED</v>
      </c>
      <c r="L391" s="1" t="str">
        <f>IFERROR(__xludf.DUMMYFUNCTION("""COMPUTED_VALUE"""),"CANCELLED")</f>
        <v>CANCELLED</v>
      </c>
      <c r="M391" s="1" t="str">
        <f>IFERROR(__xludf.DUMMYFUNCTION("""COMPUTED_VALUE"""),"RPR- NAP FULL")</f>
        <v>RPR- NAP FULL</v>
      </c>
      <c r="N391" s="3"/>
      <c r="O391" s="1" t="str">
        <f>IFERROR(__xludf.DUMMYFUNCTION("""COMPUTED_VALUE"""),"FIBR PLAN 1699")</f>
        <v>FIBR PLAN 1699</v>
      </c>
      <c r="P391" s="1" t="str">
        <f>IFERROR(__xludf.DUMMYFUNCTION("""COMPUTED_VALUE"""),"LOWPLAN")</f>
        <v>LOWPLAN</v>
      </c>
      <c r="Q391" s="1" t="str">
        <f>IFERROR(__xludf.DUMMYFUNCTION("""COMPUTED_VALUE"""),"P407048")</f>
        <v>P407048</v>
      </c>
      <c r="R391" s="1" t="str">
        <f>IFERROR(__xludf.DUMMYFUNCTION("""COMPUTED_VALUE"""),"SANTOS, FRANZ IVAN")</f>
        <v>SANTOS, FRANZ IVAN</v>
      </c>
      <c r="S391" s="1" t="str">
        <f>IFERROR(__xludf.DUMMYFUNCTION("""COMPUTED_VALUE"""),"ORGANIC")</f>
        <v>ORGANIC</v>
      </c>
      <c r="T391" s="1" t="str">
        <f>IFERROR(__xludf.DUMMYFUNCTION("""COMPUTED_VALUE"""),"GARCIA MICHAEL JETTS")</f>
        <v>GARCIA MICHAEL JETTS</v>
      </c>
      <c r="U391" s="1" t="str">
        <f>IFERROR(__xludf.DUMMYFUNCTION("""COMPUTED_VALUE"""),"JB SALIOA")</f>
        <v>JB SALIOA</v>
      </c>
      <c r="V391" s="1" t="str">
        <f>IFERROR(__xludf.DUMMYFUNCTION("""COMPUTED_VALUE"""),"ONLINE/CRANFORD")</f>
        <v>ONLINE/CRANFORD</v>
      </c>
      <c r="W391" s="1" t="str">
        <f>IFERROR(__xludf.DUMMYFUNCTION("""COMPUTED_VALUE"""),"STK REGULAR")</f>
        <v>STK REGULAR</v>
      </c>
      <c r="X391" s="1" t="str">
        <f>IFERROR(__xludf.DUMMYFUNCTION("""COMPUTED_VALUE"""),"REGULAR")</f>
        <v>REGULAR</v>
      </c>
      <c r="Y391" s="1" t="str">
        <f>IFERROR(__xludf.DUMMYFUNCTION("""COMPUTED_VALUE"""),"RS_ONL_CVEU_2026")</f>
        <v>RS_ONL_CVEU_2026</v>
      </c>
      <c r="Z391" s="1" t="str">
        <f>IFERROR(__xludf.DUMMYFUNCTION("""COMPUTED_VALUE"""),"NEW CONNECT")</f>
        <v>NEW CONNECT</v>
      </c>
      <c r="AA391" s="1">
        <f>IFERROR(__xludf.DUMMYFUNCTION("""COMPUTED_VALUE"""),639567941303)</f>
        <v>639567941303</v>
      </c>
      <c r="AB391" s="1">
        <f>IFERROR(__xludf.DUMMYFUNCTION("""COMPUTED_VALUE"""),639560052765)</f>
        <v>639560052765</v>
      </c>
      <c r="AC391" s="1"/>
      <c r="AD391" s="1" t="str">
        <f>IFERROR(__xludf.DUMMYFUNCTION("""COMPUTED_VALUE"""),"HOLLY")</f>
        <v>HOLLY</v>
      </c>
      <c r="AE391" s="1" t="str">
        <f>IFERROR(__xludf.DUMMYFUNCTION("""COMPUTED_VALUE"""),"LANCASTER NC SOMERSET 14")</f>
        <v>LANCASTER NC SOMERSET 14</v>
      </c>
      <c r="AF391" s="1" t="str">
        <f>IFERROR(__xludf.DUMMYFUNCTION("""COMPUTED_VALUE"""),"PASONG CAMACHILE 1")</f>
        <v>PASONG CAMACHILE 1</v>
      </c>
      <c r="AG391" s="1" t="str">
        <f>IFERROR(__xludf.DUMMYFUNCTION("""COMPUTED_VALUE"""),"GENERAL TRIAS")</f>
        <v>GENERAL TRIAS</v>
      </c>
      <c r="AH391" s="1" t="str">
        <f>IFERROR(__xludf.DUMMYFUNCTION("""COMPUTED_VALUE"""),"GUARDHOUSE")</f>
        <v>GUARDHOUSE</v>
      </c>
      <c r="AI391" s="1" t="str">
        <f>IFERROR(__xludf.DUMMYFUNCTION("""COMPUTED_VALUE"""),"NOT AOR")</f>
        <v>NOT AOR</v>
      </c>
    </row>
    <row r="392" customHeight="1" spans="1:35">
      <c r="A392" s="3">
        <f>IFERROR(__xludf.DUMMYFUNCTION("""COMPUTED_VALUE"""),46267)</f>
        <v>46267</v>
      </c>
      <c r="B392" s="1" t="str">
        <f>IFERROR(__xludf.DUMMYFUNCTION("""COMPUTED_VALUE"""),"REINZI AZARIEL DINGLASAN VELASCO")</f>
        <v>REINZI AZARIEL DINGLASAN VELASCO</v>
      </c>
      <c r="C392" s="1">
        <f>IFERROR(__xludf.DUMMYFUNCTION("""COMPUTED_VALUE"""),2312295277)</f>
        <v>2312295277</v>
      </c>
      <c r="D392" s="1">
        <f>IFERROR(__xludf.DUMMYFUNCTION("""COMPUTED_VALUE"""),407544986)</f>
        <v>407544986</v>
      </c>
      <c r="E392" s="1">
        <f>IFERROR(__xludf.DUMMYFUNCTION("""COMPUTED_VALUE"""),468932798004)</f>
        <v>468932798004</v>
      </c>
      <c r="F392" s="1" t="str">
        <f>IFERROR(__xludf.DUMMYFUNCTION("""COMPUTED_VALUE"""),"CLOSED")</f>
        <v>CLOSED</v>
      </c>
      <c r="G392" s="1" t="str">
        <f>IFERROR(__xludf.DUMMYFUNCTION("""COMPUTED_VALUE"""),"CLOSED")</f>
        <v>CLOSED</v>
      </c>
      <c r="H392" s="1" t="str">
        <f>IFERROR(__xludf.DUMMYFUNCTION("""COMPUTED_VALUE"""),"PQGOR365851099	01-Oct-26	Regular Payment	CIS-GCASH 3.0	1,534.39	0	02-Oct-26")</f>
        <v>PQGOR365851099	01-Oct-26	Regular Payment	CIS-GCASH 3.0	1,534.39	0	02-Oct-26</v>
      </c>
      <c r="I392" s="1" t="str">
        <f>IFERROR(__xludf.DUMMYFUNCTION("""COMPUTED_VALUE"""),"WITH 1 AMSF")</f>
        <v>WITH 1 AMSF</v>
      </c>
      <c r="J392" s="1"/>
      <c r="K392" s="1" t="str">
        <f>IFERROR(__xludf.DUMMYFUNCTION("""COMPUTED_VALUE"""),"COMPLETED")</f>
        <v>COMPLETED</v>
      </c>
      <c r="L392" s="1" t="str">
        <f>IFERROR(__xludf.DUMMYFUNCTION("""COMPUTED_VALUE"""),"POSTED")</f>
        <v>POSTED</v>
      </c>
      <c r="M392" s="1" t="str">
        <f>IFERROR(__xludf.DUMMYFUNCTION("""COMPUTED_VALUE"""),"POSTED")</f>
        <v>POSTED</v>
      </c>
      <c r="N392" s="3">
        <f>IFERROR(__xludf.DUMMYFUNCTION("""COMPUTED_VALUE"""),46268)</f>
        <v>46268</v>
      </c>
      <c r="O392" s="1" t="str">
        <f>IFERROR(__xludf.DUMMYFUNCTION("""COMPUTED_VALUE"""),"FIBR PLAN 1299")</f>
        <v>FIBR PLAN 1299</v>
      </c>
      <c r="P392" s="1" t="str">
        <f>IFERROR(__xludf.DUMMYFUNCTION("""COMPUTED_VALUE"""),"LOWPLAN")</f>
        <v>LOWPLAN</v>
      </c>
      <c r="Q392" s="1" t="str">
        <f>IFERROR(__xludf.DUMMYFUNCTION("""COMPUTED_VALUE"""),"P407047")</f>
        <v>P407047</v>
      </c>
      <c r="R392" s="1" t="str">
        <f>IFERROR(__xludf.DUMMYFUNCTION("""COMPUTED_VALUE"""),"FRANCISCO, ROSELYN")</f>
        <v>FRANCISCO, ROSELYN</v>
      </c>
      <c r="S392" s="1" t="str">
        <f>IFERROR(__xludf.DUMMYFUNCTION("""COMPUTED_VALUE"""),"ORGANIC")</f>
        <v>ORGANIC</v>
      </c>
      <c r="T392" s="1" t="str">
        <f>IFERROR(__xludf.DUMMYFUNCTION("""COMPUTED_VALUE"""),"LEA REMOLLO")</f>
        <v>LEA REMOLLO</v>
      </c>
      <c r="U392" s="1" t="str">
        <f>IFERROR(__xludf.DUMMYFUNCTION("""COMPUTED_VALUE"""),"JB SALIOA")</f>
        <v>JB SALIOA</v>
      </c>
      <c r="V392" s="1" t="str">
        <f>IFERROR(__xludf.DUMMYFUNCTION("""COMPUTED_VALUE"""),"BK HSTK")</f>
        <v>BK HSTK</v>
      </c>
      <c r="W392" s="1" t="str">
        <f>IFERROR(__xludf.DUMMYFUNCTION("""COMPUTED_VALUE"""),"BK HSTK")</f>
        <v>BK HSTK</v>
      </c>
      <c r="X392" s="1" t="str">
        <f>IFERROR(__xludf.DUMMYFUNCTION("""COMPUTED_VALUE"""),"REGULAR")</f>
        <v>REGULAR</v>
      </c>
      <c r="Y392" s="1" t="str">
        <f>IFERROR(__xludf.DUMMYFUNCTION("""COMPUTED_VALUE"""),"BK_CVEU_260818")</f>
        <v>BK_CVEU_260818</v>
      </c>
      <c r="Z392" s="1" t="str">
        <f>IFERROR(__xludf.DUMMYFUNCTION("""COMPUTED_VALUE"""),"NEW CONNECT")</f>
        <v>NEW CONNECT</v>
      </c>
      <c r="AA392" s="1">
        <f>IFERROR(__xludf.DUMMYFUNCTION("""COMPUTED_VALUE"""),639636001215)</f>
        <v>639636001215</v>
      </c>
      <c r="AB392" s="1">
        <f>IFERROR(__xludf.DUMMYFUNCTION("""COMPUTED_VALUE"""),639552979796)</f>
        <v>639552979796</v>
      </c>
      <c r="AC392" s="1"/>
      <c r="AD392" s="1" t="str">
        <f>IFERROR(__xludf.DUMMYFUNCTION("""COMPUTED_VALUE"""),"BOHOL")</f>
        <v>BOHOL</v>
      </c>
      <c r="AE392" s="1"/>
      <c r="AF392" s="1" t="str">
        <f>IFERROR(__xludf.DUMMYFUNCTION("""COMPUTED_VALUE"""),"BGY GAVINO MADERAN")</f>
        <v>BGY GAVINO MADERAN</v>
      </c>
      <c r="AG392" s="1" t="str">
        <f>IFERROR(__xludf.DUMMYFUNCTION("""COMPUTED_VALUE"""),"GEN MARIANO ALVAREZ")</f>
        <v>GEN MARIANO ALVAREZ</v>
      </c>
      <c r="AH392" s="1" t="str">
        <f>IFERROR(__xludf.DUMMYFUNCTION("""COMPUTED_VALUE"""),"TALIPAPA ")</f>
        <v>TALIPAPA </v>
      </c>
      <c r="AI392" s="1" t="str">
        <f>IFERROR(__xludf.DUMMYFUNCTION("""COMPUTED_VALUE"""),"CLUSTER 11")</f>
        <v>CLUSTER 11</v>
      </c>
    </row>
    <row r="393" customHeight="1" spans="1:35">
      <c r="A393" s="3">
        <f>IFERROR(__xludf.DUMMYFUNCTION("""COMPUTED_VALUE"""),46267)</f>
        <v>46267</v>
      </c>
      <c r="B393" s="1" t="str">
        <f>IFERROR(__xludf.DUMMYFUNCTION("""COMPUTED_VALUE"""),"REGINA REALCO RESARI")</f>
        <v>REGINA REALCO RESARI</v>
      </c>
      <c r="C393" s="1">
        <f>IFERROR(__xludf.DUMMYFUNCTION("""COMPUTED_VALUE"""),2312295836)</f>
        <v>2312295836</v>
      </c>
      <c r="D393" s="1">
        <f>IFERROR(__xludf.DUMMYFUNCTION("""COMPUTED_VALUE"""),407562356)</f>
        <v>407562356</v>
      </c>
      <c r="E393" s="1">
        <f>IFERROR(__xludf.DUMMYFUNCTION("""COMPUTED_VALUE"""),468945537004)</f>
        <v>468945537004</v>
      </c>
      <c r="F393" s="1" t="str">
        <f>IFERROR(__xludf.DUMMYFUNCTION("""COMPUTED_VALUE"""),"CLOSED")</f>
        <v>CLOSED</v>
      </c>
      <c r="G393" s="1" t="str">
        <f>IFERROR(__xludf.DUMMYFUNCTION("""COMPUTED_VALUE"""),"CLOSED")</f>
        <v>CLOSED</v>
      </c>
      <c r="H393" s="1" t="str">
        <f>IFERROR(__xludf.DUMMYFUNCTION("""COMPUTED_VALUE"""),"PAID VIA GCASH REF 697478423 SPT 5")</f>
        <v>PAID VIA GCASH REF 697478423 SPT 5</v>
      </c>
      <c r="I393" s="1" t="str">
        <f>IFERROR(__xludf.DUMMYFUNCTION("""COMPUTED_VALUE"""),"WITH 1 AMSF")</f>
        <v>WITH 1 AMSF</v>
      </c>
      <c r="J393" s="1"/>
      <c r="K393" s="1" t="str">
        <f>IFERROR(__xludf.DUMMYFUNCTION("""COMPUTED_VALUE"""),"COMPLETED")</f>
        <v>COMPLETED</v>
      </c>
      <c r="L393" s="1" t="str">
        <f>IFERROR(__xludf.DUMMYFUNCTION("""COMPUTED_VALUE"""),"POSTED")</f>
        <v>POSTED</v>
      </c>
      <c r="M393" s="1" t="str">
        <f>IFERROR(__xludf.DUMMYFUNCTION("""COMPUTED_VALUE"""),"POSTED")</f>
        <v>POSTED</v>
      </c>
      <c r="N393" s="3">
        <f>IFERROR(__xludf.DUMMYFUNCTION("""COMPUTED_VALUE"""),46274)</f>
        <v>46274</v>
      </c>
      <c r="O393" s="1" t="str">
        <f>IFERROR(__xludf.DUMMYFUNCTION("""COMPUTED_VALUE"""),"FIBR UNLI ALL PLAN 999")</f>
        <v>FIBR UNLI ALL PLAN 999</v>
      </c>
      <c r="P393" s="1" t="str">
        <f>IFERROR(__xludf.DUMMYFUNCTION("""COMPUTED_VALUE"""),"LOWPLAN")</f>
        <v>LOWPLAN</v>
      </c>
      <c r="Q393" s="1" t="str">
        <f>IFERROR(__xludf.DUMMYFUNCTION("""COMPUTED_VALUE"""),"P407050")</f>
        <v>P407050</v>
      </c>
      <c r="R393" s="1" t="str">
        <f>IFERROR(__xludf.DUMMYFUNCTION("""COMPUTED_VALUE"""),"ESCARCHA, ALMA")</f>
        <v>ESCARCHA, ALMA</v>
      </c>
      <c r="S393" s="1" t="str">
        <f>IFERROR(__xludf.DUMMYFUNCTION("""COMPUTED_VALUE"""),"ORGANIC")</f>
        <v>ORGANIC</v>
      </c>
      <c r="T393" s="1" t="str">
        <f>IFERROR(__xludf.DUMMYFUNCTION("""COMPUTED_VALUE"""),"LEA REMOLLO")</f>
        <v>LEA REMOLLO</v>
      </c>
      <c r="U393" s="1" t="str">
        <f>IFERROR(__xludf.DUMMYFUNCTION("""COMPUTED_VALUE"""),"JB SALIOA")</f>
        <v>JB SALIOA</v>
      </c>
      <c r="V393" s="1" t="str">
        <f>IFERROR(__xludf.DUMMYFUNCTION("""COMPUTED_VALUE"""),"BK HSTK")</f>
        <v>BK HSTK</v>
      </c>
      <c r="W393" s="1" t="str">
        <f>IFERROR(__xludf.DUMMYFUNCTION("""COMPUTED_VALUE"""),"BK HSTK")</f>
        <v>BK HSTK</v>
      </c>
      <c r="X393" s="1" t="str">
        <f>IFERROR(__xludf.DUMMYFUNCTION("""COMPUTED_VALUE"""),"REGULAR")</f>
        <v>REGULAR</v>
      </c>
      <c r="Y393" s="1" t="str">
        <f>IFERROR(__xludf.DUMMYFUNCTION("""COMPUTED_VALUE"""),"BK_CVEU_260816")</f>
        <v>BK_CVEU_260816</v>
      </c>
      <c r="Z393" s="1" t="str">
        <f>IFERROR(__xludf.DUMMYFUNCTION("""COMPUTED_VALUE"""),"NEW CONNECT")</f>
        <v>NEW CONNECT</v>
      </c>
      <c r="AA393" s="1">
        <f>IFERROR(__xludf.DUMMYFUNCTION("""COMPUTED_VALUE"""),639358538317)</f>
        <v>639358538317</v>
      </c>
      <c r="AB393" s="1"/>
      <c r="AC393" s="1"/>
      <c r="AD393" s="1" t="str">
        <f>IFERROR(__xludf.DUMMYFUNCTION("""COMPUTED_VALUE"""),"SAN PEDRO")</f>
        <v>SAN PEDRO</v>
      </c>
      <c r="AE393" s="1"/>
      <c r="AF393" s="1" t="str">
        <f>IFERROR(__xludf.DUMMYFUNCTION("""COMPUTED_VALUE"""),"BGY BUCAL")</f>
        <v>BGY BUCAL</v>
      </c>
      <c r="AG393" s="1" t="str">
        <f>IFERROR(__xludf.DUMMYFUNCTION("""COMPUTED_VALUE"""),"AMADEO")</f>
        <v>AMADEO</v>
      </c>
      <c r="AH393" s="1" t="str">
        <f>IFERROR(__xludf.DUMMYFUNCTION("""COMPUTED_VALUE"""),"-")</f>
        <v>-</v>
      </c>
      <c r="AI393" s="1" t="str">
        <f>IFERROR(__xludf.DUMMYFUNCTION("""COMPUTED_VALUE"""),"CLUSTER 12")</f>
        <v>CLUSTER 12</v>
      </c>
    </row>
    <row r="394" customHeight="1" spans="1:35">
      <c r="A394" s="3">
        <f>IFERROR(__xludf.DUMMYFUNCTION("""COMPUTED_VALUE"""),46267)</f>
        <v>46267</v>
      </c>
      <c r="B394" s="1" t="str">
        <f>IFERROR(__xludf.DUMMYFUNCTION("""COMPUTED_VALUE"""),"DANICA CABANES BENEGAS")</f>
        <v>DANICA CABANES BENEGAS</v>
      </c>
      <c r="C394" s="1">
        <f>IFERROR(__xludf.DUMMYFUNCTION("""COMPUTED_VALUE"""),2312302675)</f>
        <v>2312302675</v>
      </c>
      <c r="D394" s="1">
        <f>IFERROR(__xludf.DUMMYFUNCTION("""COMPUTED_VALUE"""),407553853)</f>
        <v>407553853</v>
      </c>
      <c r="E394" s="1">
        <f>IFERROR(__xludf.DUMMYFUNCTION("""COMPUTED_VALUE"""),468964037004)</f>
        <v>468964037004</v>
      </c>
      <c r="F394" s="1" t="str">
        <f>IFERROR(__xludf.DUMMYFUNCTION("""COMPUTED_VALUE"""),"CANCELLED")</f>
        <v>CANCELLED</v>
      </c>
      <c r="G394" s="1" t="str">
        <f>IFERROR(__xludf.DUMMYFUNCTION("""COMPUTED_VALUE"""),"RPR NO PORT AVAILABLE NEAREST CAFAC FULL  LOCK HINDI NARIN PO PWEDE MAKA KUHA SA KABILANG STREET NILA NAGAGALITA PO ANG MGA RESIDENTE PO AS PER BRGY KAGAWAD HOLD DAW PO MUNA MAG LATAG SUBS ALL READY ADVICE ACTUAL VISITED DASLPC48NP8 p6 locked DASLPC90NP2 "&amp;"full DASLPC90NP7 p4 locked DASLPC90NP3 full")</f>
        <v>RPR NO PORT AVAILABLE NEAREST CAFAC FULL  LOCK HINDI NARIN PO PWEDE MAKA KUHA SA KABILANG STREET NILA NAGAGALITA PO ANG MGA RESIDENTE PO AS PER BRGY KAGAWAD HOLD DAW PO MUNA MAG LATAG SUBS ALL READY ADVICE ACTUAL VISITED DASLPC48NP8 p6 locked DASLPC90NP2 full DASLPC90NP7 p4 locked DASLPC90NP3 full</v>
      </c>
      <c r="H394" s="1"/>
      <c r="I394" s="1"/>
      <c r="J394" s="1" t="str">
        <f>IFERROR(__xludf.DUMMYFUNCTION("""COMPUTED_VALUE"""),"CANCELLED")</f>
        <v>CANCELLED</v>
      </c>
      <c r="K394" s="1" t="str">
        <f>IFERROR(__xludf.DUMMYFUNCTION("""COMPUTED_VALUE"""),"CANCELED")</f>
        <v>CANCELED</v>
      </c>
      <c r="L394" s="1" t="str">
        <f>IFERROR(__xludf.DUMMYFUNCTION("""COMPUTED_VALUE"""),"RPR - NAP FULL")</f>
        <v>RPR - NAP FULL</v>
      </c>
      <c r="M394" s="1" t="str">
        <f>IFERROR(__xludf.DUMMYFUNCTION("""COMPUTED_VALUE"""),"RPR- NAP FULL")</f>
        <v>RPR- NAP FULL</v>
      </c>
      <c r="N394" s="3"/>
      <c r="O394" s="1" t="str">
        <f>IFERROR(__xludf.DUMMYFUNCTION("""COMPUTED_VALUE"""),"FIBR PLAN 1299")</f>
        <v>FIBR PLAN 1299</v>
      </c>
      <c r="P394" s="1" t="str">
        <f>IFERROR(__xludf.DUMMYFUNCTION("""COMPUTED_VALUE"""),"LOWPLAN")</f>
        <v>LOWPLAN</v>
      </c>
      <c r="Q394" s="1" t="str">
        <f>IFERROR(__xludf.DUMMYFUNCTION("""COMPUTED_VALUE"""),"P407046")</f>
        <v>P407046</v>
      </c>
      <c r="R394" s="1" t="str">
        <f>IFERROR(__xludf.DUMMYFUNCTION("""COMPUTED_VALUE"""),"MALIWAT, MARK")</f>
        <v>MALIWAT, MARK</v>
      </c>
      <c r="S394" s="1" t="str">
        <f>IFERROR(__xludf.DUMMYFUNCTION("""COMPUTED_VALUE"""),"FLA")</f>
        <v>FLA</v>
      </c>
      <c r="T394" s="1" t="str">
        <f>IFERROR(__xludf.DUMMYFUNCTION("""COMPUTED_VALUE"""),"JERIC NAVARRO")</f>
        <v>JERIC NAVARRO</v>
      </c>
      <c r="U394" s="1" t="str">
        <f>IFERROR(__xludf.DUMMYFUNCTION("""COMPUTED_VALUE"""),"JB SALIOA")</f>
        <v>JB SALIOA</v>
      </c>
      <c r="V394" s="1" t="str">
        <f>IFERROR(__xludf.DUMMYFUNCTION("""COMPUTED_VALUE"""),"ONLINE/CRANFORD")</f>
        <v>ONLINE/CRANFORD</v>
      </c>
      <c r="W394" s="1" t="str">
        <f>IFERROR(__xludf.DUMMYFUNCTION("""COMPUTED_VALUE"""),"STK REGULAR")</f>
        <v>STK REGULAR</v>
      </c>
      <c r="X394" s="1" t="str">
        <f>IFERROR(__xludf.DUMMYFUNCTION("""COMPUTED_VALUE"""),"REGULAR")</f>
        <v>REGULAR</v>
      </c>
      <c r="Y394" s="1" t="str">
        <f>IFERROR(__xludf.DUMMYFUNCTION("""COMPUTED_VALUE"""),"RS_ONL_CVEU_2026")</f>
        <v>RS_ONL_CVEU_2026</v>
      </c>
      <c r="Z394" s="1" t="str">
        <f>IFERROR(__xludf.DUMMYFUNCTION("""COMPUTED_VALUE"""),"NEW CONNECT")</f>
        <v>NEW CONNECT</v>
      </c>
      <c r="AA394" s="1">
        <f>IFERROR(__xludf.DUMMYFUNCTION("""COMPUTED_VALUE"""),639277416572)</f>
        <v>639277416572</v>
      </c>
      <c r="AB394" s="1">
        <f>IFERROR(__xludf.DUMMYFUNCTION("""COMPUTED_VALUE"""),639509127909)</f>
        <v>639509127909</v>
      </c>
      <c r="AC394" s="1">
        <f>IFERROR(__xludf.DUMMYFUNCTION("""COMPUTED_VALUE"""),3715)</f>
        <v>3715</v>
      </c>
      <c r="AD394" s="1" t="str">
        <f>IFERROR(__xludf.DUMMYFUNCTION("""COMPUTED_VALUE"""),"LAVENDER")</f>
        <v>LAVENDER</v>
      </c>
      <c r="AE394" s="1"/>
      <c r="AF394" s="1" t="str">
        <f>IFERROR(__xludf.DUMMYFUNCTION("""COMPUTED_VALUE"""),"BGY BUROL 3")</f>
        <v>BGY BUROL 3</v>
      </c>
      <c r="AG394" s="1" t="str">
        <f>IFERROR(__xludf.DUMMYFUNCTION("""COMPUTED_VALUE"""),"DASMARINAS")</f>
        <v>DASMARINAS</v>
      </c>
      <c r="AH394" s="1" t="str">
        <f>IFERROR(__xludf.DUMMYFUNCTION("""COMPUTED_VALUE"""),"COVERED COURT")</f>
        <v>COVERED COURT</v>
      </c>
      <c r="AI394" s="1" t="str">
        <f>IFERROR(__xludf.DUMMYFUNCTION("""COMPUTED_VALUE"""),"NOT AOR")</f>
        <v>NOT AOR</v>
      </c>
    </row>
    <row r="395" customHeight="1" spans="1:35">
      <c r="A395" s="3">
        <f>IFERROR(__xludf.DUMMYFUNCTION("""COMPUTED_VALUE"""),46267)</f>
        <v>46267</v>
      </c>
      <c r="B395" s="1" t="str">
        <f>IFERROR(__xludf.DUMMYFUNCTION("""COMPUTED_VALUE"""),"MARK OWEN ERTA JAVIER")</f>
        <v>MARK OWEN ERTA JAVIER</v>
      </c>
      <c r="C395" s="1">
        <f>IFERROR(__xludf.DUMMYFUNCTION("""COMPUTED_VALUE"""),2312302913)</f>
        <v>2312302913</v>
      </c>
      <c r="D395" s="1">
        <f>IFERROR(__xludf.DUMMYFUNCTION("""COMPUTED_VALUE"""),407552164)</f>
        <v>407552164</v>
      </c>
      <c r="E395" s="1">
        <f>IFERROR(__xludf.DUMMYFUNCTION("""COMPUTED_VALUE"""),468939801004)</f>
        <v>468939801004</v>
      </c>
      <c r="F395" s="1" t="str">
        <f>IFERROR(__xludf.DUMMYFUNCTION("""COMPUTED_VALUE"""),"CLOSED")</f>
        <v>CLOSED</v>
      </c>
      <c r="G395" s="1" t="str">
        <f>IFERROR(__xludf.DUMMYFUNCTION("""COMPUTED_VALUE"""),"CLOSED")</f>
        <v>CLOSED</v>
      </c>
      <c r="H395" s="1" t="str">
        <f>IFERROR(__xludf.DUMMYFUNCTION("""COMPUTED_VALUE"""),"PAID THRU GCASH 247446000 SEP 3")</f>
        <v>PAID THRU GCASH 247446000 SEP 3</v>
      </c>
      <c r="I395" s="1" t="str">
        <f>IFERROR(__xludf.DUMMYFUNCTION("""COMPUTED_VALUE"""),"WITH 1 AMSF")</f>
        <v>WITH 1 AMSF</v>
      </c>
      <c r="J395" s="1"/>
      <c r="K395" s="1" t="str">
        <f>IFERROR(__xludf.DUMMYFUNCTION("""COMPUTED_VALUE"""),"COMPLETED")</f>
        <v>COMPLETED</v>
      </c>
      <c r="L395" s="1" t="str">
        <f>IFERROR(__xludf.DUMMYFUNCTION("""COMPUTED_VALUE"""),"POSTED")</f>
        <v>POSTED</v>
      </c>
      <c r="M395" s="1" t="str">
        <f>IFERROR(__xludf.DUMMYFUNCTION("""COMPUTED_VALUE"""),"POSTED")</f>
        <v>POSTED</v>
      </c>
      <c r="N395" s="3">
        <f>IFERROR(__xludf.DUMMYFUNCTION("""COMPUTED_VALUE"""),46268)</f>
        <v>46268</v>
      </c>
      <c r="O395" s="1" t="str">
        <f>IFERROR(__xludf.DUMMYFUNCTION("""COMPUTED_VALUE"""),"FIBR PLAN 1299")</f>
        <v>FIBR PLAN 1299</v>
      </c>
      <c r="P395" s="1" t="str">
        <f>IFERROR(__xludf.DUMMYFUNCTION("""COMPUTED_VALUE"""),"LOWPLAN")</f>
        <v>LOWPLAN</v>
      </c>
      <c r="Q395" s="1" t="str">
        <f>IFERROR(__xludf.DUMMYFUNCTION("""COMPUTED_VALUE"""),"P407045")</f>
        <v>P407045</v>
      </c>
      <c r="R395" s="1" t="str">
        <f>IFERROR(__xludf.DUMMYFUNCTION("""COMPUTED_VALUE"""),"ALINGARO, CINDY")</f>
        <v>ALINGARO, CINDY</v>
      </c>
      <c r="S395" s="1" t="str">
        <f>IFERROR(__xludf.DUMMYFUNCTION("""COMPUTED_VALUE"""),"FLA")</f>
        <v>FLA</v>
      </c>
      <c r="T395" s="1" t="str">
        <f>IFERROR(__xludf.DUMMYFUNCTION("""COMPUTED_VALUE"""),"JERIC NAVARRO")</f>
        <v>JERIC NAVARRO</v>
      </c>
      <c r="U395" s="1" t="str">
        <f>IFERROR(__xludf.DUMMYFUNCTION("""COMPUTED_VALUE"""),"JB SALIOA")</f>
        <v>JB SALIOA</v>
      </c>
      <c r="V395" s="1" t="str">
        <f>IFERROR(__xludf.DUMMYFUNCTION("""COMPUTED_VALUE"""),"BK REGULAR")</f>
        <v>BK REGULAR</v>
      </c>
      <c r="W395" s="1" t="str">
        <f>IFERROR(__xludf.DUMMYFUNCTION("""COMPUTED_VALUE"""),"STK REGULAR")</f>
        <v>STK REGULAR</v>
      </c>
      <c r="X395" s="1" t="str">
        <f>IFERROR(__xludf.DUMMYFUNCTION("""COMPUTED_VALUE"""),"REGULAR")</f>
        <v>REGULAR</v>
      </c>
      <c r="Y395" s="1" t="str">
        <f>IFERROR(__xludf.DUMMYFUNCTION("""COMPUTED_VALUE"""),"BK_CVEU_260821")</f>
        <v>BK_CVEU_260821</v>
      </c>
      <c r="Z395" s="1" t="str">
        <f>IFERROR(__xludf.DUMMYFUNCTION("""COMPUTED_VALUE"""),"NEW CONNECT")</f>
        <v>NEW CONNECT</v>
      </c>
      <c r="AA395" s="1">
        <f>IFERROR(__xludf.DUMMYFUNCTION("""COMPUTED_VALUE"""),639929227791)</f>
        <v>639929227791</v>
      </c>
      <c r="AB395" s="1">
        <f>IFERROR(__xludf.DUMMYFUNCTION("""COMPUTED_VALUE"""),639397746589)</f>
        <v>639397746589</v>
      </c>
      <c r="AC395" s="1">
        <f>IFERROR(__xludf.DUMMYFUNCTION("""COMPUTED_VALUE"""),94)</f>
        <v>94</v>
      </c>
      <c r="AD395" s="1" t="str">
        <f>IFERROR(__xludf.DUMMYFUNCTION("""COMPUTED_VALUE"""),"KAYBAGAL CENTRAL")</f>
        <v>KAYBAGAL CENTRAL</v>
      </c>
      <c r="AE395" s="1"/>
      <c r="AF395" s="1" t="str">
        <f>IFERROR(__xludf.DUMMYFUNCTION("""COMPUTED_VALUE"""),"BGY KAYBAGAL CENTRAL")</f>
        <v>BGY KAYBAGAL CENTRAL</v>
      </c>
      <c r="AG395" s="1" t="str">
        <f>IFERROR(__xludf.DUMMYFUNCTION("""COMPUTED_VALUE"""),"TAGAYTAY")</f>
        <v>TAGAYTAY</v>
      </c>
      <c r="AH395" s="1" t="str">
        <f>IFERROR(__xludf.DUMMYFUNCTION("""COMPUTED_VALUE"""),"KAYBAGAL CENTRAL")</f>
        <v>KAYBAGAL CENTRAL</v>
      </c>
      <c r="AI395" s="1" t="str">
        <f>IFERROR(__xludf.DUMMYFUNCTION("""COMPUTED_VALUE"""),"CLUSTER 12")</f>
        <v>CLUSTER 12</v>
      </c>
    </row>
    <row r="396" customHeight="1" spans="1:35">
      <c r="A396" s="3">
        <f>IFERROR(__xludf.DUMMYFUNCTION("""COMPUTED_VALUE"""),46267)</f>
        <v>46267</v>
      </c>
      <c r="B396" s="1" t="str">
        <f>IFERROR(__xludf.DUMMYFUNCTION("""COMPUTED_VALUE"""),"JULITA ALMAZAN GENILZA")</f>
        <v>JULITA ALMAZAN GENILZA</v>
      </c>
      <c r="C396" s="1">
        <f>IFERROR(__xludf.DUMMYFUNCTION("""COMPUTED_VALUE"""),2312305531)</f>
        <v>2312305531</v>
      </c>
      <c r="D396" s="1">
        <f>IFERROR(__xludf.DUMMYFUNCTION("""COMPUTED_VALUE"""),407560337)</f>
        <v>407560337</v>
      </c>
      <c r="E396" s="1">
        <f>IFERROR(__xludf.DUMMYFUNCTION("""COMPUTED_VALUE"""),468944657004)</f>
        <v>468944657004</v>
      </c>
      <c r="F396" s="1" t="str">
        <f>IFERROR(__xludf.DUMMYFUNCTION("""COMPUTED_VALUE"""),"CANCELLED")</f>
        <v>CANCELLED</v>
      </c>
      <c r="G396" s="1" t="str">
        <f>IFERROR(__xludf.DUMMYFUNCTION("""COMPUTED_VALUE"""),"RPR  REMARKS VISITED HINDI PO KILALA SA APARTMENT SI SUBS ALREADY TEXTED BUT DIDNT REPLY CBR RINGING ONLY ")</f>
        <v>RPR  REMARKS VISITED HINDI PO KILALA SA APARTMENT SI SUBS ALREADY TEXTED BUT DIDNT REPLY CBR RINGING ONLY </v>
      </c>
      <c r="H396" s="1"/>
      <c r="I396" s="1" t="str">
        <f>IFERROR(__xludf.DUMMYFUNCTION("""COMPUTED_VALUE"""),"NO 1 AMSF")</f>
        <v>NO 1 AMSF</v>
      </c>
      <c r="J396" s="1"/>
      <c r="K396" s="1" t="str">
        <f>IFERROR(__xludf.DUMMYFUNCTION("""COMPUTED_VALUE"""),"CANCELED")</f>
        <v>CANCELED</v>
      </c>
      <c r="L396" s="1" t="str">
        <f>IFERROR(__xludf.DUMMYFUNCTION("""COMPUTED_VALUE"""),"CANCELLED")</f>
        <v>CANCELLED</v>
      </c>
      <c r="M396" s="1" t="str">
        <f>IFERROR(__xludf.DUMMYFUNCTION("""COMPUTED_VALUE"""),"RPR- SUBS UNKNOWN")</f>
        <v>RPR- SUBS UNKNOWN</v>
      </c>
      <c r="N396" s="3"/>
      <c r="O396" s="1" t="str">
        <f>IFERROR(__xludf.DUMMYFUNCTION("""COMPUTED_VALUE"""),"FIBR PLAN 1299")</f>
        <v>FIBR PLAN 1299</v>
      </c>
      <c r="P396" s="1" t="str">
        <f>IFERROR(__xludf.DUMMYFUNCTION("""COMPUTED_VALUE"""),"LOWPLAN")</f>
        <v>LOWPLAN</v>
      </c>
      <c r="Q396" s="1" t="str">
        <f>IFERROR(__xludf.DUMMYFUNCTION("""COMPUTED_VALUE"""),"P407050")</f>
        <v>P407050</v>
      </c>
      <c r="R396" s="1" t="str">
        <f>IFERROR(__xludf.DUMMYFUNCTION("""COMPUTED_VALUE"""),"CADERAO, RONALD")</f>
        <v>CADERAO, RONALD</v>
      </c>
      <c r="S396" s="1" t="str">
        <f>IFERROR(__xludf.DUMMYFUNCTION("""COMPUTED_VALUE"""),"ORGANIC")</f>
        <v>ORGANIC</v>
      </c>
      <c r="T396" s="1" t="str">
        <f>IFERROR(__xludf.DUMMYFUNCTION("""COMPUTED_VALUE"""),"LEA REMOLLO")</f>
        <v>LEA REMOLLO</v>
      </c>
      <c r="U396" s="1" t="str">
        <f>IFERROR(__xludf.DUMMYFUNCTION("""COMPUTED_VALUE"""),"JB SALIOA")</f>
        <v>JB SALIOA</v>
      </c>
      <c r="V396" s="1" t="str">
        <f>IFERROR(__xludf.DUMMYFUNCTION("""COMPUTED_VALUE"""),"ONLINE/CRANFORD")</f>
        <v>ONLINE/CRANFORD</v>
      </c>
      <c r="W396" s="1" t="str">
        <f>IFERROR(__xludf.DUMMYFUNCTION("""COMPUTED_VALUE"""),"STK REGULAR")</f>
        <v>STK REGULAR</v>
      </c>
      <c r="X396" s="1" t="str">
        <f>IFERROR(__xludf.DUMMYFUNCTION("""COMPUTED_VALUE"""),"REGULAR")</f>
        <v>REGULAR</v>
      </c>
      <c r="Y396" s="1" t="str">
        <f>IFERROR(__xludf.DUMMYFUNCTION("""COMPUTED_VALUE"""),"RS_ONL_CVEU_2026")</f>
        <v>RS_ONL_CVEU_2026</v>
      </c>
      <c r="Z396" s="1" t="str">
        <f>IFERROR(__xludf.DUMMYFUNCTION("""COMPUTED_VALUE"""),"NEW CONNECT")</f>
        <v>NEW CONNECT</v>
      </c>
      <c r="AA396" s="1">
        <f>IFERROR(__xludf.DUMMYFUNCTION("""COMPUTED_VALUE"""),639305093739)</f>
        <v>639305093739</v>
      </c>
      <c r="AB396" s="1"/>
      <c r="AC396" s="1"/>
      <c r="AD396" s="1" t="str">
        <f>IFERROR(__xludf.DUMMYFUNCTION("""COMPUTED_VALUE"""),"BLOCK C")</f>
        <v>BLOCK C</v>
      </c>
      <c r="AE396" s="1" t="str">
        <f>IFERROR(__xludf.DUMMYFUNCTION("""COMPUTED_VALUE"""),"JENNY APARTMENT")</f>
        <v>JENNY APARTMENT</v>
      </c>
      <c r="AF396" s="1" t="str">
        <f>IFERROR(__xludf.DUMMYFUNCTION("""COMPUTED_VALUE"""),"BGY SAN SIMON")</f>
        <v>BGY SAN SIMON</v>
      </c>
      <c r="AG396" s="1" t="str">
        <f>IFERROR(__xludf.DUMMYFUNCTION("""COMPUTED_VALUE"""),"DASMARINAS")</f>
        <v>DASMARINAS</v>
      </c>
      <c r="AH396" s="1" t="str">
        <f>IFERROR(__xludf.DUMMYFUNCTION("""COMPUTED_VALUE"""),"JENNY APARTMENT")</f>
        <v>JENNY APARTMENT</v>
      </c>
      <c r="AI396" s="1" t="str">
        <f>IFERROR(__xludf.DUMMYFUNCTION("""COMPUTED_VALUE"""),"NOT AOR")</f>
        <v>NOT AOR</v>
      </c>
    </row>
    <row r="397" customHeight="1" spans="1:35">
      <c r="A397" s="3">
        <f>IFERROR(__xludf.DUMMYFUNCTION("""COMPUTED_VALUE"""),46267)</f>
        <v>46267</v>
      </c>
      <c r="B397" s="1" t="str">
        <f>IFERROR(__xludf.DUMMYFUNCTION("""COMPUTED_VALUE"""),"JONATHAN . HERNANDEZ")</f>
        <v>JONATHAN . HERNANDEZ</v>
      </c>
      <c r="C397" s="1">
        <f>IFERROR(__xludf.DUMMYFUNCTION("""COMPUTED_VALUE"""),2312305870)</f>
        <v>2312305870</v>
      </c>
      <c r="D397" s="1">
        <f>IFERROR(__xludf.DUMMYFUNCTION("""COMPUTED_VALUE"""),407561554)</f>
        <v>407561554</v>
      </c>
      <c r="E397" s="1">
        <f>IFERROR(__xludf.DUMMYFUNCTION("""COMPUTED_VALUE"""),468944714004)</f>
        <v>468944714004</v>
      </c>
      <c r="F397" s="1" t="str">
        <f>IFERROR(__xludf.DUMMYFUNCTION("""COMPUTED_VALUE"""),"CLOSED")</f>
        <v>CLOSED</v>
      </c>
      <c r="G397" s="1" t="str">
        <f>IFERROR(__xludf.DUMMYFUNCTION("""COMPUTED_VALUE"""),"CLOSED")</f>
        <v>CLOSED</v>
      </c>
      <c r="H397" s="1"/>
      <c r="I397" s="1" t="str">
        <f>IFERROR(__xludf.DUMMYFUNCTION("""COMPUTED_VALUE"""),"NO 1 AMSF")</f>
        <v>NO 1 AMSF</v>
      </c>
      <c r="J397" s="1" t="str">
        <f>IFERROR(__xludf.DUMMYFUNCTION("""COMPUTED_VALUE"""),"DUE DATE - 29-Sep-26 - 1,219.90")</f>
        <v>DUE DATE - 29-Sep-26 - 1,219.90</v>
      </c>
      <c r="K397" s="1" t="str">
        <f>IFERROR(__xludf.DUMMYFUNCTION("""COMPUTED_VALUE"""),"COMPLETED")</f>
        <v>COMPLETED</v>
      </c>
      <c r="L397" s="1" t="str">
        <f>IFERROR(__xludf.DUMMYFUNCTION("""COMPUTED_VALUE"""),"POSTED")</f>
        <v>POSTED</v>
      </c>
      <c r="M397" s="1" t="str">
        <f>IFERROR(__xludf.DUMMYFUNCTION("""COMPUTED_VALUE"""),"POSTED")</f>
        <v>POSTED</v>
      </c>
      <c r="N397" s="3">
        <f>IFERROR(__xludf.DUMMYFUNCTION("""COMPUTED_VALUE"""),46269)</f>
        <v>46269</v>
      </c>
      <c r="O397" s="1" t="str">
        <f>IFERROR(__xludf.DUMMYFUNCTION("""COMPUTED_VALUE"""),"FIBR UNLI ALL PLAN 999")</f>
        <v>FIBR UNLI ALL PLAN 999</v>
      </c>
      <c r="P397" s="1" t="str">
        <f>IFERROR(__xludf.DUMMYFUNCTION("""COMPUTED_VALUE"""),"LOWPLAN")</f>
        <v>LOWPLAN</v>
      </c>
      <c r="Q397" s="1" t="str">
        <f>IFERROR(__xludf.DUMMYFUNCTION("""COMPUTED_VALUE"""),"P407050")</f>
        <v>P407050</v>
      </c>
      <c r="R397" s="1" t="str">
        <f>IFERROR(__xludf.DUMMYFUNCTION("""COMPUTED_VALUE"""),"ESCARCHA, ALMA")</f>
        <v>ESCARCHA, ALMA</v>
      </c>
      <c r="S397" s="1" t="str">
        <f>IFERROR(__xludf.DUMMYFUNCTION("""COMPUTED_VALUE"""),"ORGANIC")</f>
        <v>ORGANIC</v>
      </c>
      <c r="T397" s="1" t="str">
        <f>IFERROR(__xludf.DUMMYFUNCTION("""COMPUTED_VALUE"""),"LEA REMOLLO")</f>
        <v>LEA REMOLLO</v>
      </c>
      <c r="U397" s="1" t="str">
        <f>IFERROR(__xludf.DUMMYFUNCTION("""COMPUTED_VALUE"""),"JB SALIOA")</f>
        <v>JB SALIOA</v>
      </c>
      <c r="V397" s="1" t="str">
        <f>IFERROR(__xludf.DUMMYFUNCTION("""COMPUTED_VALUE"""),"BK HSTK")</f>
        <v>BK HSTK</v>
      </c>
      <c r="W397" s="1" t="str">
        <f>IFERROR(__xludf.DUMMYFUNCTION("""COMPUTED_VALUE"""),"BK HSTK")</f>
        <v>BK HSTK</v>
      </c>
      <c r="X397" s="1" t="str">
        <f>IFERROR(__xludf.DUMMYFUNCTION("""COMPUTED_VALUE"""),"REGULAR")</f>
        <v>REGULAR</v>
      </c>
      <c r="Y397" s="1" t="str">
        <f>IFERROR(__xludf.DUMMYFUNCTION("""COMPUTED_VALUE"""),"BK_CVEU_260818")</f>
        <v>BK_CVEU_260818</v>
      </c>
      <c r="Z397" s="1" t="str">
        <f>IFERROR(__xludf.DUMMYFUNCTION("""COMPUTED_VALUE"""),"NEW CONNECT")</f>
        <v>NEW CONNECT</v>
      </c>
      <c r="AA397" s="1">
        <f>IFERROR(__xludf.DUMMYFUNCTION("""COMPUTED_VALUE"""),639931539012)</f>
        <v>639931539012</v>
      </c>
      <c r="AB397" s="1"/>
      <c r="AC397" s="1"/>
      <c r="AD397" s="1" t="str">
        <f>IFERROR(__xludf.DUMMYFUNCTION("""COMPUTED_VALUE"""),"STRAWBERRY HILLS")</f>
        <v>STRAWBERRY HILLS</v>
      </c>
      <c r="AE397" s="1" t="str">
        <f>IFERROR(__xludf.DUMMYFUNCTION("""COMPUTED_VALUE"""),"STRAWBERRY HILLS")</f>
        <v>STRAWBERRY HILLS</v>
      </c>
      <c r="AF397" s="1" t="str">
        <f>IFERROR(__xludf.DUMMYFUNCTION("""COMPUTED_VALUE"""),"BGY FRANCISCO REYES")</f>
        <v>BGY FRANCISCO REYES</v>
      </c>
      <c r="AG397" s="1" t="str">
        <f>IFERROR(__xludf.DUMMYFUNCTION("""COMPUTED_VALUE"""),"GEN MARIANO ALVAREZ")</f>
        <v>GEN MARIANO ALVAREZ</v>
      </c>
      <c r="AH397" s="1" t="str">
        <f>IFERROR(__xludf.DUMMYFUNCTION("""COMPUTED_VALUE"""),"-")</f>
        <v>-</v>
      </c>
      <c r="AI397" s="1" t="str">
        <f>IFERROR(__xludf.DUMMYFUNCTION("""COMPUTED_VALUE"""),"CLUSTER 11")</f>
        <v>CLUSTER 11</v>
      </c>
    </row>
    <row r="398" customHeight="1" spans="1:35">
      <c r="A398" s="3">
        <f>IFERROR(__xludf.DUMMYFUNCTION("""COMPUTED_VALUE"""),46267)</f>
        <v>46267</v>
      </c>
      <c r="B398" s="1" t="str">
        <f>IFERROR(__xludf.DUMMYFUNCTION("""COMPUTED_VALUE"""),"FLORDELIZA OLLER BELINO")</f>
        <v>FLORDELIZA OLLER BELINO</v>
      </c>
      <c r="C398" s="1">
        <f>IFERROR(__xludf.DUMMYFUNCTION("""COMPUTED_VALUE"""),2312306358)</f>
        <v>2312306358</v>
      </c>
      <c r="D398" s="1">
        <f>IFERROR(__xludf.DUMMYFUNCTION("""COMPUTED_VALUE"""),407562658)</f>
        <v>407562658</v>
      </c>
      <c r="E398" s="1">
        <f>IFERROR(__xludf.DUMMYFUNCTION("""COMPUTED_VALUE"""),468945480004)</f>
        <v>468945480004</v>
      </c>
      <c r="F398" s="1" t="str">
        <f>IFERROR(__xludf.DUMMYFUNCTION("""COMPUTED_VALUE"""),"CLOSED")</f>
        <v>CLOSED</v>
      </c>
      <c r="G398" s="1" t="str">
        <f>IFERROR(__xludf.DUMMYFUNCTION("""COMPUTED_VALUE"""),"CLOSED")</f>
        <v>CLOSED</v>
      </c>
      <c r="H398" s="1" t="str">
        <f>IFERROR(__xludf.DUMMYFUNCTION("""COMPUTED_VALUE"""),"PQGOR362844573	03-Sep-26	Regular Payment	CIS-GCASH 3.0	1,399.00	940744716	03-Sep-26")</f>
        <v>PQGOR362844573	03-Sep-26	Regular Payment	CIS-GCASH 3.0	1,399.00	940744716	03-Sep-26</v>
      </c>
      <c r="I398" s="1" t="str">
        <f>IFERROR(__xludf.DUMMYFUNCTION("""COMPUTED_VALUE"""),"WITH 1 AMSF")</f>
        <v>WITH 1 AMSF</v>
      </c>
      <c r="J398" s="1"/>
      <c r="K398" s="1" t="str">
        <f>IFERROR(__xludf.DUMMYFUNCTION("""COMPUTED_VALUE"""),"COMPLETED")</f>
        <v>COMPLETED</v>
      </c>
      <c r="L398" s="1" t="str">
        <f>IFERROR(__xludf.DUMMYFUNCTION("""COMPUTED_VALUE"""),"POSTED")</f>
        <v>POSTED</v>
      </c>
      <c r="M398" s="1" t="str">
        <f>IFERROR(__xludf.DUMMYFUNCTION("""COMPUTED_VALUE"""),"POSTED")</f>
        <v>POSTED</v>
      </c>
      <c r="N398" s="3">
        <f>IFERROR(__xludf.DUMMYFUNCTION("""COMPUTED_VALUE"""),46268)</f>
        <v>46268</v>
      </c>
      <c r="O398" s="1" t="str">
        <f>IFERROR(__xludf.DUMMYFUNCTION("""COMPUTED_VALUE"""),"FIBR PLAN 1299")</f>
        <v>FIBR PLAN 1299</v>
      </c>
      <c r="P398" s="1" t="str">
        <f>IFERROR(__xludf.DUMMYFUNCTION("""COMPUTED_VALUE"""),"LOWPLAN")</f>
        <v>LOWPLAN</v>
      </c>
      <c r="Q398" s="1" t="str">
        <f>IFERROR(__xludf.DUMMYFUNCTION("""COMPUTED_VALUE"""),"P407050")</f>
        <v>P407050</v>
      </c>
      <c r="R398" s="1" t="str">
        <f>IFERROR(__xludf.DUMMYFUNCTION("""COMPUTED_VALUE"""),"MAGDARAOG, KENNETH")</f>
        <v>MAGDARAOG, KENNETH</v>
      </c>
      <c r="S398" s="1" t="str">
        <f>IFERROR(__xludf.DUMMYFUNCTION("""COMPUTED_VALUE"""),"ORGANIC")</f>
        <v>ORGANIC</v>
      </c>
      <c r="T398" s="1" t="str">
        <f>IFERROR(__xludf.DUMMYFUNCTION("""COMPUTED_VALUE"""),"LEA REMOLLO")</f>
        <v>LEA REMOLLO</v>
      </c>
      <c r="U398" s="1" t="str">
        <f>IFERROR(__xludf.DUMMYFUNCTION("""COMPUTED_VALUE"""),"JB SALIOA")</f>
        <v>JB SALIOA</v>
      </c>
      <c r="V398" s="1" t="str">
        <f>IFERROR(__xludf.DUMMYFUNCTION("""COMPUTED_VALUE"""),"BK REGULAR")</f>
        <v>BK REGULAR</v>
      </c>
      <c r="W398" s="1" t="str">
        <f>IFERROR(__xludf.DUMMYFUNCTION("""COMPUTED_VALUE"""),"STK REGULAR")</f>
        <v>STK REGULAR</v>
      </c>
      <c r="X398" s="1" t="str">
        <f>IFERROR(__xludf.DUMMYFUNCTION("""COMPUTED_VALUE"""),"REGULAR")</f>
        <v>REGULAR</v>
      </c>
      <c r="Y398" s="1" t="str">
        <f>IFERROR(__xludf.DUMMYFUNCTION("""COMPUTED_VALUE"""),"BK_CVEU_260821")</f>
        <v>BK_CVEU_260821</v>
      </c>
      <c r="Z398" s="1" t="str">
        <f>IFERROR(__xludf.DUMMYFUNCTION("""COMPUTED_VALUE"""),"NEW CONNECT")</f>
        <v>NEW CONNECT</v>
      </c>
      <c r="AA398" s="1">
        <f>IFERROR(__xludf.DUMMYFUNCTION("""COMPUTED_VALUE"""),639677161163)</f>
        <v>639677161163</v>
      </c>
      <c r="AB398" s="1">
        <f>IFERROR(__xludf.DUMMYFUNCTION("""COMPUTED_VALUE"""),639154606353)</f>
        <v>639154606353</v>
      </c>
      <c r="AC398" s="1">
        <f>IFERROR(__xludf.DUMMYFUNCTION("""COMPUTED_VALUE"""),54)</f>
        <v>54</v>
      </c>
      <c r="AD398" s="1" t="str">
        <f>IFERROR(__xludf.DUMMYFUNCTION("""COMPUTED_VALUE"""),"GUINHAWA NORTH")</f>
        <v>GUINHAWA NORTH</v>
      </c>
      <c r="AE398" s="1"/>
      <c r="AF398" s="1" t="str">
        <f>IFERROR(__xludf.DUMMYFUNCTION("""COMPUTED_VALUE"""),"BGY GUINHAWA NORTH")</f>
        <v>BGY GUINHAWA NORTH</v>
      </c>
      <c r="AG398" s="1" t="str">
        <f>IFERROR(__xludf.DUMMYFUNCTION("""COMPUTED_VALUE"""),"TAGAYTAY")</f>
        <v>TAGAYTAY</v>
      </c>
      <c r="AH398" s="1" t="str">
        <f>IFERROR(__xludf.DUMMYFUNCTION("""COMPUTED_VALUE"""),"SIETE UNO RESTAURANT")</f>
        <v>SIETE UNO RESTAURANT</v>
      </c>
      <c r="AI398" s="1" t="str">
        <f>IFERROR(__xludf.DUMMYFUNCTION("""COMPUTED_VALUE"""),"CLUSTER 12")</f>
        <v>CLUSTER 12</v>
      </c>
    </row>
    <row r="399" customHeight="1" spans="1:35">
      <c r="A399" s="3">
        <f>IFERROR(__xludf.DUMMYFUNCTION("""COMPUTED_VALUE"""),46267)</f>
        <v>46267</v>
      </c>
      <c r="B399" s="1" t="str">
        <f>IFERROR(__xludf.DUMMYFUNCTION("""COMPUTED_VALUE"""),"MELLY JOY . ARTICULO")</f>
        <v>MELLY JOY . ARTICULO</v>
      </c>
      <c r="C399" s="1">
        <f>IFERROR(__xludf.DUMMYFUNCTION("""COMPUTED_VALUE"""),2312306985)</f>
        <v>2312306985</v>
      </c>
      <c r="D399" s="1">
        <f>IFERROR(__xludf.DUMMYFUNCTION("""COMPUTED_VALUE"""),407559797)</f>
        <v>407559797</v>
      </c>
      <c r="E399" s="1">
        <f>IFERROR(__xludf.DUMMYFUNCTION("""COMPUTED_VALUE"""),468944711004)</f>
        <v>468944711004</v>
      </c>
      <c r="F399" s="1" t="str">
        <f>IFERROR(__xludf.DUMMYFUNCTION("""COMPUTED_VALUE"""),"CLOSED")</f>
        <v>CLOSED</v>
      </c>
      <c r="G399" s="1" t="str">
        <f>IFERROR(__xludf.DUMMYFUNCTION("""COMPUTED_VALUE"""),"CLOSED")</f>
        <v>CLOSED</v>
      </c>
      <c r="H399" s="1" t="str">
        <f>IFERROR(__xludf.DUMMYFUNCTION("""COMPUTED_VALUE"""),"PAID VIA GCASH - SEPT 4 - REF - 039888252")</f>
        <v>PAID VIA GCASH - SEPT 4 - REF - 039888252</v>
      </c>
      <c r="I399" s="1" t="str">
        <f>IFERROR(__xludf.DUMMYFUNCTION("""COMPUTED_VALUE"""),"WITH 1 AMSF")</f>
        <v>WITH 1 AMSF</v>
      </c>
      <c r="J399" s="1"/>
      <c r="K399" s="1" t="str">
        <f>IFERROR(__xludf.DUMMYFUNCTION("""COMPUTED_VALUE"""),"COMPLETED")</f>
        <v>COMPLETED</v>
      </c>
      <c r="L399" s="1" t="str">
        <f>IFERROR(__xludf.DUMMYFUNCTION("""COMPUTED_VALUE"""),"POSTED")</f>
        <v>POSTED</v>
      </c>
      <c r="M399" s="1" t="str">
        <f>IFERROR(__xludf.DUMMYFUNCTION("""COMPUTED_VALUE"""),"POSTED")</f>
        <v>POSTED</v>
      </c>
      <c r="N399" s="3">
        <f>IFERROR(__xludf.DUMMYFUNCTION("""COMPUTED_VALUE"""),46269)</f>
        <v>46269</v>
      </c>
      <c r="O399" s="1" t="str">
        <f>IFERROR(__xludf.DUMMYFUNCTION("""COMPUTED_VALUE"""),"FIBR UNLI ALL PLAN 999")</f>
        <v>FIBR UNLI ALL PLAN 999</v>
      </c>
      <c r="P399" s="1" t="str">
        <f>IFERROR(__xludf.DUMMYFUNCTION("""COMPUTED_VALUE"""),"LOWPLAN")</f>
        <v>LOWPLAN</v>
      </c>
      <c r="Q399" s="1" t="str">
        <f>IFERROR(__xludf.DUMMYFUNCTION("""COMPUTED_VALUE"""),"P407044")</f>
        <v>P407044</v>
      </c>
      <c r="R399" s="1" t="str">
        <f>IFERROR(__xludf.DUMMYFUNCTION("""COMPUTED_VALUE"""),"AYON, MANUEL")</f>
        <v>AYON, MANUEL</v>
      </c>
      <c r="S399" s="1" t="str">
        <f>IFERROR(__xludf.DUMMYFUNCTION("""COMPUTED_VALUE"""),"FLA")</f>
        <v>FLA</v>
      </c>
      <c r="T399" s="1" t="str">
        <f>IFERROR(__xludf.DUMMYFUNCTION("""COMPUTED_VALUE"""),"JERIC NAVARRO")</f>
        <v>JERIC NAVARRO</v>
      </c>
      <c r="U399" s="1" t="str">
        <f>IFERROR(__xludf.DUMMYFUNCTION("""COMPUTED_VALUE"""),"JB SALIOA")</f>
        <v>JB SALIOA</v>
      </c>
      <c r="V399" s="1" t="str">
        <f>IFERROR(__xludf.DUMMYFUNCTION("""COMPUTED_VALUE"""),"BK HSTK")</f>
        <v>BK HSTK</v>
      </c>
      <c r="W399" s="1" t="str">
        <f>IFERROR(__xludf.DUMMYFUNCTION("""COMPUTED_VALUE"""),"BK HSTK")</f>
        <v>BK HSTK</v>
      </c>
      <c r="X399" s="1" t="str">
        <f>IFERROR(__xludf.DUMMYFUNCTION("""COMPUTED_VALUE"""),"REGULAR")</f>
        <v>REGULAR</v>
      </c>
      <c r="Y399" s="1" t="str">
        <f>IFERROR(__xludf.DUMMYFUNCTION("""COMPUTED_VALUE"""),"BK_CVEU_260819")</f>
        <v>BK_CVEU_260819</v>
      </c>
      <c r="Z399" s="1" t="str">
        <f>IFERROR(__xludf.DUMMYFUNCTION("""COMPUTED_VALUE"""),"NEW CONNECT")</f>
        <v>NEW CONNECT</v>
      </c>
      <c r="AA399" s="1">
        <f>IFERROR(__xludf.DUMMYFUNCTION("""COMPUTED_VALUE"""),639497126924)</f>
        <v>639497126924</v>
      </c>
      <c r="AB399" s="1">
        <f>IFERROR(__xludf.DUMMYFUNCTION("""COMPUTED_VALUE"""),639654314828)</f>
        <v>639654314828</v>
      </c>
      <c r="AC399" s="1"/>
      <c r="AD399" s="1" t="str">
        <f>IFERROR(__xludf.DUMMYFUNCTION("""COMPUTED_VALUE"""),"KAP SALAZAR")</f>
        <v>KAP SALAZAR</v>
      </c>
      <c r="AE399" s="1"/>
      <c r="AF399" s="1" t="str">
        <f>IFERROR(__xludf.DUMMYFUNCTION("""COMPUTED_VALUE"""),"BGY BUKAL")</f>
        <v>BGY BUKAL</v>
      </c>
      <c r="AG399" s="1" t="str">
        <f>IFERROR(__xludf.DUMMYFUNCTION("""COMPUTED_VALUE"""),"MENDEZ")</f>
        <v>MENDEZ</v>
      </c>
      <c r="AH399" s="1" t="str">
        <f>IFERROR(__xludf.DUMMYFUNCTION("""COMPUTED_VALUE"""),"NIVAL STORE")</f>
        <v>NIVAL STORE</v>
      </c>
      <c r="AI399" s="1" t="str">
        <f>IFERROR(__xludf.DUMMYFUNCTION("""COMPUTED_VALUE"""),"CLUSTER 12")</f>
        <v>CLUSTER 12</v>
      </c>
    </row>
    <row r="400" customHeight="1" spans="1:35">
      <c r="A400" s="3">
        <f>IFERROR(__xludf.DUMMYFUNCTION("""COMPUTED_VALUE"""),46267)</f>
        <v>46267</v>
      </c>
      <c r="B400" s="1" t="str">
        <f>IFERROR(__xludf.DUMMYFUNCTION("""COMPUTED_VALUE"""),"MA CECILIA SAMUYA CHO")</f>
        <v>MA CECILIA SAMUYA CHO</v>
      </c>
      <c r="C400" s="1">
        <f>IFERROR(__xludf.DUMMYFUNCTION("""COMPUTED_VALUE"""),2312307731)</f>
        <v>2312307731</v>
      </c>
      <c r="D400" s="1"/>
      <c r="E400" s="1"/>
      <c r="F400" s="1" t="str">
        <f>IFERROR(__xludf.DUMMYFUNCTION("""COMPUTED_VALUE"""),"DISAPPROVED")</f>
        <v>DISAPPROVED</v>
      </c>
      <c r="G400" s="1" t="str">
        <f>IFERROR(__xludf.DUMMYFUNCTION("""COMPUTED_VALUE"""),"&amp;#8203;RETURN TO SALE | UNCONTACTABLE CBR FOR 2ND ESCA | FOUND ACTIVE ACC#0227891513 SAME NAME DIFF ADD UNDER CLV_09 | FOUND PENDING ACC#0407127366 SAME NAME SAME NAME ADD | FOUND CANCEL ACC#0185634442 SAME NAME DIFF ADD | CALLTHRU LANDLINE : 0284054984,6"&amp;":05 TALKED TO MS.MARIFE/MAID, SOR IS NOT AROUND , CBR :09189356417,06:06 OUT OF COVERAGE AREA , CBR : 09495730510,6:07 CANNOT BE REACHED | DONE VALIDATION | CORRECT ENCODED INFO IN CSP | SUBMITTED COMPLETE DOCS | TU SCORING FF - 15 (MID RISK) | NO 1")</f>
        <v>&amp;#8203;RETURN TO SALE | UNCONTACTABLE CBR FOR 2ND ESCA | FOUND ACTIVE ACC#0227891513 SAME NAME DIFF ADD UNDER CLV_09 | FOUND PENDING ACC#0407127366 SAME NAME SAME NAME ADD | FOUND CANCEL ACC#0185634442 SAME NAME DIFF ADD | CALLTHRU LANDLINE : 0284054984,6:05 TALKED TO MS.MARIFE/MAID, SOR IS NOT AROUND , CBR :09189356417,06:06 OUT OF COVERAGE AREA , CBR : 09495730510,6:07 CANNOT BE REACHED | DONE VALIDATION | CORRECT ENCODED INFO IN CSP | SUBMITTED COMPLETE DOCS | TU SCORING FF - 15 (MID RISK) | NO 1</v>
      </c>
      <c r="H400" s="1"/>
      <c r="I400" s="1"/>
      <c r="J400" s="1"/>
      <c r="K400" s="1"/>
      <c r="L400" s="1" t="str">
        <f>IFERROR(__xludf.DUMMYFUNCTION("""COMPUTED_VALUE"""),"REENCODED")</f>
        <v>REENCODED</v>
      </c>
      <c r="M400" s="1" t="str">
        <f>IFERROR(__xludf.DUMMYFUNCTION("""COMPUTED_VALUE"""),"REENCODED")</f>
        <v>REENCODED</v>
      </c>
      <c r="N400" s="3"/>
      <c r="O400" s="1" t="str">
        <f>IFERROR(__xludf.DUMMYFUNCTION("""COMPUTED_VALUE"""),"FIBER UNLI ALL PLAN 1499")</f>
        <v>FIBER UNLI ALL PLAN 1499</v>
      </c>
      <c r="P400" s="1" t="str">
        <f>IFERROR(__xludf.DUMMYFUNCTION("""COMPUTED_VALUE"""),"LOWPLAN")</f>
        <v>LOWPLAN</v>
      </c>
      <c r="Q400" s="1" t="str">
        <f>IFERROR(__xludf.DUMMYFUNCTION("""COMPUTED_VALUE"""),"P407044")</f>
        <v>P407044</v>
      </c>
      <c r="R400" s="1" t="str">
        <f>IFERROR(__xludf.DUMMYFUNCTION("""COMPUTED_VALUE"""),"AYON, MANUEL")</f>
        <v>AYON, MANUEL</v>
      </c>
      <c r="S400" s="1" t="str">
        <f>IFERROR(__xludf.DUMMYFUNCTION("""COMPUTED_VALUE"""),"FLA")</f>
        <v>FLA</v>
      </c>
      <c r="T400" s="1" t="str">
        <f>IFERROR(__xludf.DUMMYFUNCTION("""COMPUTED_VALUE"""),"JERIC NAVARRO")</f>
        <v>JERIC NAVARRO</v>
      </c>
      <c r="U400" s="1" t="str">
        <f>IFERROR(__xludf.DUMMYFUNCTION("""COMPUTED_VALUE"""),"JB SALIOA")</f>
        <v>JB SALIOA</v>
      </c>
      <c r="V400" s="1" t="str">
        <f>IFERROR(__xludf.DUMMYFUNCTION("""COMPUTED_VALUE"""),"BK REGULAR")</f>
        <v>BK REGULAR</v>
      </c>
      <c r="W400" s="1" t="str">
        <f>IFERROR(__xludf.DUMMYFUNCTION("""COMPUTED_VALUE"""),"CSP")</f>
        <v>CSP</v>
      </c>
      <c r="X400" s="1" t="str">
        <f>IFERROR(__xludf.DUMMYFUNCTION("""COMPUTED_VALUE"""),"HBBS AUG 2026")</f>
        <v>HBBS AUG 2026</v>
      </c>
      <c r="Y400" s="1" t="str">
        <f>IFERROR(__xludf.DUMMYFUNCTION("""COMPUTED_VALUE"""),"BK_CVEU_260817")</f>
        <v>BK_CVEU_260817</v>
      </c>
      <c r="Z400" s="1" t="str">
        <f>IFERROR(__xludf.DUMMYFUNCTION("""COMPUTED_VALUE"""),"NEW CONNECT")</f>
        <v>NEW CONNECT</v>
      </c>
      <c r="AA400" s="1">
        <f>IFERROR(__xludf.DUMMYFUNCTION("""COMPUTED_VALUE"""),639189356147)</f>
        <v>639189356147</v>
      </c>
      <c r="AB400" s="1">
        <f>IFERROR(__xludf.DUMMYFUNCTION("""COMPUTED_VALUE"""),639178904443)</f>
        <v>639178904443</v>
      </c>
      <c r="AC400" s="1"/>
      <c r="AD400" s="1" t="str">
        <f>IFERROR(__xludf.DUMMYFUNCTION("""COMPUTED_VALUE"""),"PHASE 1")</f>
        <v>PHASE 1</v>
      </c>
      <c r="AE400" s="1" t="str">
        <f>IFERROR(__xludf.DUMMYFUNCTION("""COMPUTED_VALUE"""),"MANILA SOUTHWOODS")</f>
        <v>MANILA SOUTHWOODS</v>
      </c>
      <c r="AF400" s="1" t="str">
        <f>IFERROR(__xludf.DUMMYFUNCTION("""COMPUTED_VALUE"""),"BGY CABILANG BAYBAY")</f>
        <v>BGY CABILANG BAYBAY</v>
      </c>
      <c r="AG400" s="1" t="str">
        <f>IFERROR(__xludf.DUMMYFUNCTION("""COMPUTED_VALUE"""),"CARMONA")</f>
        <v>CARMONA</v>
      </c>
      <c r="AH400" s="1" t="str">
        <f>IFERROR(__xludf.DUMMYFUNCTION("""COMPUTED_VALUE"""),"-")</f>
        <v>-</v>
      </c>
      <c r="AI400" s="1" t="str">
        <f>IFERROR(__xludf.DUMMYFUNCTION("""COMPUTED_VALUE"""),"CLUSTER 11")</f>
        <v>CLUSTER 11</v>
      </c>
    </row>
    <row r="401" customHeight="1" spans="1:35">
      <c r="A401" s="3">
        <f>IFERROR(__xludf.DUMMYFUNCTION("""COMPUTED_VALUE"""),46267)</f>
        <v>46267</v>
      </c>
      <c r="B401" s="1" t="str">
        <f>IFERROR(__xludf.DUMMYFUNCTION("""COMPUTED_VALUE"""),"EDMON EVANGELIO DELA CRUZ")</f>
        <v>EDMON EVANGELIO DELA CRUZ</v>
      </c>
      <c r="C401" s="1">
        <f>IFERROR(__xludf.DUMMYFUNCTION("""COMPUTED_VALUE"""),2312307905)</f>
        <v>2312307905</v>
      </c>
      <c r="D401" s="1">
        <f>IFERROR(__xludf.DUMMYFUNCTION("""COMPUTED_VALUE"""),407578325)</f>
        <v>407578325</v>
      </c>
      <c r="E401" s="1">
        <f>IFERROR(__xludf.DUMMYFUNCTION("""COMPUTED_VALUE"""),469376517004)</f>
        <v>469376517004</v>
      </c>
      <c r="F401" s="1" t="str">
        <f>IFERROR(__xludf.DUMMYFUNCTION("""COMPUTED_VALUE"""),"CLOSED")</f>
        <v>CLOSED</v>
      </c>
      <c r="G401" s="1" t="str">
        <f>IFERROR(__xludf.DUMMYFUNCTION("""COMPUTED_VALUE"""),"CLOSED")</f>
        <v>CLOSED</v>
      </c>
      <c r="H401" s="1" t="str">
        <f>IFERROR(__xludf.DUMMYFUNCTION("""COMPUTED_VALUE"""),"PAID VIA 7/11 266520606126 SEPT 9")</f>
        <v>PAID VIA 7/11 266520606126 SEPT 9</v>
      </c>
      <c r="I401" s="1" t="str">
        <f>IFERROR(__xludf.DUMMYFUNCTION("""COMPUTED_VALUE"""),"WITH 1 AMSF")</f>
        <v>WITH 1 AMSF</v>
      </c>
      <c r="J401" s="1"/>
      <c r="K401" s="1" t="str">
        <f>IFERROR(__xludf.DUMMYFUNCTION("""COMPUTED_VALUE"""),"COMPLETED")</f>
        <v>COMPLETED</v>
      </c>
      <c r="L401" s="1" t="str">
        <f>IFERROR(__xludf.DUMMYFUNCTION("""COMPUTED_VALUE"""),"POSTED")</f>
        <v>POSTED</v>
      </c>
      <c r="M401" s="1" t="str">
        <f>IFERROR(__xludf.DUMMYFUNCTION("""COMPUTED_VALUE"""),"POSTED")</f>
        <v>POSTED</v>
      </c>
      <c r="N401" s="3">
        <f>IFERROR(__xludf.DUMMYFUNCTION("""COMPUTED_VALUE"""),46275)</f>
        <v>46275</v>
      </c>
      <c r="O401" s="1" t="str">
        <f>IFERROR(__xludf.DUMMYFUNCTION("""COMPUTED_VALUE"""),"FIBR UNLI ALL PLAN 999")</f>
        <v>FIBR UNLI ALL PLAN 999</v>
      </c>
      <c r="P401" s="1" t="str">
        <f>IFERROR(__xludf.DUMMYFUNCTION("""COMPUTED_VALUE"""),"LOWPLAN")</f>
        <v>LOWPLAN</v>
      </c>
      <c r="Q401" s="1" t="str">
        <f>IFERROR(__xludf.DUMMYFUNCTION("""COMPUTED_VALUE"""),"P407047")</f>
        <v>P407047</v>
      </c>
      <c r="R401" s="1" t="str">
        <f>IFERROR(__xludf.DUMMYFUNCTION("""COMPUTED_VALUE"""),"FRANCISCO, ROSELYN")</f>
        <v>FRANCISCO, ROSELYN</v>
      </c>
      <c r="S401" s="1" t="str">
        <f>IFERROR(__xludf.DUMMYFUNCTION("""COMPUTED_VALUE"""),"ORGANIC")</f>
        <v>ORGANIC</v>
      </c>
      <c r="T401" s="1" t="str">
        <f>IFERROR(__xludf.DUMMYFUNCTION("""COMPUTED_VALUE"""),"LEA REMOLLO")</f>
        <v>LEA REMOLLO</v>
      </c>
      <c r="U401" s="1" t="str">
        <f>IFERROR(__xludf.DUMMYFUNCTION("""COMPUTED_VALUE"""),"JB SALIOA")</f>
        <v>JB SALIOA</v>
      </c>
      <c r="V401" s="1" t="str">
        <f>IFERROR(__xludf.DUMMYFUNCTION("""COMPUTED_VALUE"""),"BK HSTK")</f>
        <v>BK HSTK</v>
      </c>
      <c r="W401" s="1" t="str">
        <f>IFERROR(__xludf.DUMMYFUNCTION("""COMPUTED_VALUE"""),"BK HSTK")</f>
        <v>BK HSTK</v>
      </c>
      <c r="X401" s="1" t="str">
        <f>IFERROR(__xludf.DUMMYFUNCTION("""COMPUTED_VALUE"""),"REGULAR")</f>
        <v>REGULAR</v>
      </c>
      <c r="Y401" s="1" t="str">
        <f>IFERROR(__xludf.DUMMYFUNCTION("""COMPUTED_VALUE"""),"BK_CVEU_260820")</f>
        <v>BK_CVEU_260820</v>
      </c>
      <c r="Z401" s="1" t="str">
        <f>IFERROR(__xludf.DUMMYFUNCTION("""COMPUTED_VALUE"""),"NEW CONNECT")</f>
        <v>NEW CONNECT</v>
      </c>
      <c r="AA401" s="1">
        <f>IFERROR(__xludf.DUMMYFUNCTION("""COMPUTED_VALUE"""),639278591072)</f>
        <v>639278591072</v>
      </c>
      <c r="AB401" s="1"/>
      <c r="AC401" s="1"/>
      <c r="AD401" s="1" t="str">
        <f>IFERROR(__xludf.DUMMYFUNCTION("""COMPUTED_VALUE"""),"ZONE 10")</f>
        <v>ZONE 10</v>
      </c>
      <c r="AE401" s="1"/>
      <c r="AF401" s="1" t="str">
        <f>IFERROR(__xludf.DUMMYFUNCTION("""COMPUTED_VALUE"""),"BGY BULIHAN")</f>
        <v>BGY BULIHAN</v>
      </c>
      <c r="AG401" s="1" t="str">
        <f>IFERROR(__xludf.DUMMYFUNCTION("""COMPUTED_VALUE"""),"SILANG")</f>
        <v>SILANG</v>
      </c>
      <c r="AH401" s="1" t="str">
        <f>IFERROR(__xludf.DUMMYFUNCTION("""COMPUTED_VALUE"""),"BESIDE MCDO ")</f>
        <v>BESIDE MCDO </v>
      </c>
      <c r="AI401" s="1" t="str">
        <f>IFERROR(__xludf.DUMMYFUNCTION("""COMPUTED_VALUE"""),"CLUSTER 11")</f>
        <v>CLUSTER 11</v>
      </c>
    </row>
    <row r="402" customHeight="1" spans="1:35">
      <c r="A402" s="3">
        <f>IFERROR(__xludf.DUMMYFUNCTION("""COMPUTED_VALUE"""),46267)</f>
        <v>46267</v>
      </c>
      <c r="B402" s="1" t="str">
        <f>IFERROR(__xludf.DUMMYFUNCTION("""COMPUTED_VALUE"""),"GARY SOLIBAGA MACASINAG")</f>
        <v>GARY SOLIBAGA MACASINAG</v>
      </c>
      <c r="C402" s="1">
        <f>IFERROR(__xludf.DUMMYFUNCTION("""COMPUTED_VALUE"""),2312308163)</f>
        <v>2312308163</v>
      </c>
      <c r="D402" s="1">
        <f>IFERROR(__xludf.DUMMYFUNCTION("""COMPUTED_VALUE"""),407578414)</f>
        <v>407578414</v>
      </c>
      <c r="E402" s="1">
        <f>IFERROR(__xludf.DUMMYFUNCTION("""COMPUTED_VALUE"""),469375521004)</f>
        <v>469375521004</v>
      </c>
      <c r="F402" s="1" t="str">
        <f>IFERROR(__xludf.DUMMYFUNCTION("""COMPUTED_VALUE"""),"CLOSED")</f>
        <v>CLOSED</v>
      </c>
      <c r="G402" s="1" t="str">
        <f>IFERROR(__xludf.DUMMYFUNCTION("""COMPUTED_VALUE"""),"CLOSED")</f>
        <v>CLOSED</v>
      </c>
      <c r="H402" s="1" t="str">
        <f>IFERROR(__xludf.DUMMYFUNCTION("""COMPUTED_VALUE"""),"PAID VIA GCASH - SEPT 10 - REF- 270192132")</f>
        <v>PAID VIA GCASH - SEPT 10 - REF- 270192132</v>
      </c>
      <c r="I402" s="1" t="str">
        <f>IFERROR(__xludf.DUMMYFUNCTION("""COMPUTED_VALUE"""),"WITH 1 AMSF")</f>
        <v>WITH 1 AMSF</v>
      </c>
      <c r="J402" s="1"/>
      <c r="K402" s="1" t="str">
        <f>IFERROR(__xludf.DUMMYFUNCTION("""COMPUTED_VALUE"""),"COMPLETED")</f>
        <v>COMPLETED</v>
      </c>
      <c r="L402" s="1" t="str">
        <f>IFERROR(__xludf.DUMMYFUNCTION("""COMPUTED_VALUE"""),"POSTED")</f>
        <v>POSTED</v>
      </c>
      <c r="M402" s="1" t="str">
        <f>IFERROR(__xludf.DUMMYFUNCTION("""COMPUTED_VALUE"""),"POSTED")</f>
        <v>POSTED</v>
      </c>
      <c r="N402" s="3">
        <f>IFERROR(__xludf.DUMMYFUNCTION("""COMPUTED_VALUE"""),46276)</f>
        <v>46276</v>
      </c>
      <c r="O402" s="1" t="str">
        <f>IFERROR(__xludf.DUMMYFUNCTION("""COMPUTED_VALUE"""),"FIBER UNLI ALL PLAN 1499")</f>
        <v>FIBER UNLI ALL PLAN 1499</v>
      </c>
      <c r="P402" s="1" t="str">
        <f>IFERROR(__xludf.DUMMYFUNCTION("""COMPUTED_VALUE"""),"LOWPLAN")</f>
        <v>LOWPLAN</v>
      </c>
      <c r="Q402" s="1" t="str">
        <f>IFERROR(__xludf.DUMMYFUNCTION("""COMPUTED_VALUE"""),"P407050")</f>
        <v>P407050</v>
      </c>
      <c r="R402" s="1" t="str">
        <f>IFERROR(__xludf.DUMMYFUNCTION("""COMPUTED_VALUE"""),"ARENA, LYKA")</f>
        <v>ARENA, LYKA</v>
      </c>
      <c r="S402" s="1" t="str">
        <f>IFERROR(__xludf.DUMMYFUNCTION("""COMPUTED_VALUE"""),"ORGANIC")</f>
        <v>ORGANIC</v>
      </c>
      <c r="T402" s="1" t="str">
        <f>IFERROR(__xludf.DUMMYFUNCTION("""COMPUTED_VALUE"""),"LEA REMOLLO")</f>
        <v>LEA REMOLLO</v>
      </c>
      <c r="U402" s="1" t="str">
        <f>IFERROR(__xludf.DUMMYFUNCTION("""COMPUTED_VALUE"""),"JB SALIOA")</f>
        <v>JB SALIOA</v>
      </c>
      <c r="V402" s="1" t="str">
        <f>IFERROR(__xludf.DUMMYFUNCTION("""COMPUTED_VALUE"""),"BK HSTK")</f>
        <v>BK HSTK</v>
      </c>
      <c r="W402" s="1" t="str">
        <f>IFERROR(__xludf.DUMMYFUNCTION("""COMPUTED_VALUE"""),"BK HSTK")</f>
        <v>BK HSTK</v>
      </c>
      <c r="X402" s="1" t="str">
        <f>IFERROR(__xludf.DUMMYFUNCTION("""COMPUTED_VALUE"""),"REGULAR")</f>
        <v>REGULAR</v>
      </c>
      <c r="Y402" s="1" t="str">
        <f>IFERROR(__xludf.DUMMYFUNCTION("""COMPUTED_VALUE"""),"BK_CVEU_260820")</f>
        <v>BK_CVEU_260820</v>
      </c>
      <c r="Z402" s="1" t="str">
        <f>IFERROR(__xludf.DUMMYFUNCTION("""COMPUTED_VALUE"""),"NEW CONNECT")</f>
        <v>NEW CONNECT</v>
      </c>
      <c r="AA402" s="1">
        <f>IFERROR(__xludf.DUMMYFUNCTION("""COMPUTED_VALUE"""),639533679576)</f>
        <v>639533679576</v>
      </c>
      <c r="AB402" s="1"/>
      <c r="AC402" s="1"/>
      <c r="AD402" s="1" t="str">
        <f>IFERROR(__xludf.DUMMYFUNCTION("""COMPUTED_VALUE"""),"BUKLURAN 1")</f>
        <v>BUKLURAN 1</v>
      </c>
      <c r="AE402" s="1"/>
      <c r="AF402" s="1" t="str">
        <f>IFERROR(__xludf.DUMMYFUNCTION("""COMPUTED_VALUE"""),"BGY BULIHAN")</f>
        <v>BGY BULIHAN</v>
      </c>
      <c r="AG402" s="1" t="str">
        <f>IFERROR(__xludf.DUMMYFUNCTION("""COMPUTED_VALUE"""),"SILANG")</f>
        <v>SILANG</v>
      </c>
      <c r="AH402" s="1" t="str">
        <f>IFERROR(__xludf.DUMMYFUNCTION("""COMPUTED_VALUE"""),"MCDO")</f>
        <v>MCDO</v>
      </c>
      <c r="AI402" s="1" t="str">
        <f>IFERROR(__xludf.DUMMYFUNCTION("""COMPUTED_VALUE"""),"CLUSTER 11")</f>
        <v>CLUSTER 11</v>
      </c>
    </row>
    <row r="403" customHeight="1" spans="1:35">
      <c r="A403" s="3">
        <f>IFERROR(__xludf.DUMMYFUNCTION("""COMPUTED_VALUE"""),46267)</f>
        <v>46267</v>
      </c>
      <c r="B403" s="1" t="str">
        <f>IFERROR(__xludf.DUMMYFUNCTION("""COMPUTED_VALUE"""),"DENNIS SORIANO LUARTES")</f>
        <v>DENNIS SORIANO LUARTES</v>
      </c>
      <c r="C403" s="1">
        <f>IFERROR(__xludf.DUMMYFUNCTION("""COMPUTED_VALUE"""),2312308972)</f>
        <v>2312308972</v>
      </c>
      <c r="D403" s="1">
        <f>IFERROR(__xludf.DUMMYFUNCTION("""COMPUTED_VALUE"""),407566424)</f>
        <v>407566424</v>
      </c>
      <c r="E403" s="1">
        <f>IFERROR(__xludf.DUMMYFUNCTION("""COMPUTED_VALUE"""),468950855004)</f>
        <v>468950855004</v>
      </c>
      <c r="F403" s="1" t="str">
        <f>IFERROR(__xludf.DUMMYFUNCTION("""COMPUTED_VALUE"""),"CLOSED")</f>
        <v>CLOSED</v>
      </c>
      <c r="G403" s="1" t="str">
        <f>IFERROR(__xludf.DUMMYFUNCTION("""COMPUTED_VALUE"""),"CLOSED")</f>
        <v>CLOSED</v>
      </c>
      <c r="H403" s="1" t="str">
        <f>IFERROR(__xludf.DUMMYFUNCTION("""COMPUTED_VALUE"""),"PAID VIA GCASH - SEPT 3 - REF - 844054810")</f>
        <v>PAID VIA GCASH - SEPT 3 - REF - 844054810</v>
      </c>
      <c r="I403" s="1" t="str">
        <f>IFERROR(__xludf.DUMMYFUNCTION("""COMPUTED_VALUE"""),"WITH 1 AMSF")</f>
        <v>WITH 1 AMSF</v>
      </c>
      <c r="J403" s="1"/>
      <c r="K403" s="1" t="str">
        <f>IFERROR(__xludf.DUMMYFUNCTION("""COMPUTED_VALUE"""),"COMPLETED")</f>
        <v>COMPLETED</v>
      </c>
      <c r="L403" s="1" t="str">
        <f>IFERROR(__xludf.DUMMYFUNCTION("""COMPUTED_VALUE"""),"POSTED")</f>
        <v>POSTED</v>
      </c>
      <c r="M403" s="1" t="str">
        <f>IFERROR(__xludf.DUMMYFUNCTION("""COMPUTED_VALUE"""),"POSTED")</f>
        <v>POSTED</v>
      </c>
      <c r="N403" s="3">
        <f>IFERROR(__xludf.DUMMYFUNCTION("""COMPUTED_VALUE"""),46268)</f>
        <v>46268</v>
      </c>
      <c r="O403" s="1" t="str">
        <f>IFERROR(__xludf.DUMMYFUNCTION("""COMPUTED_VALUE"""),"FIBR PLAN 1299")</f>
        <v>FIBR PLAN 1299</v>
      </c>
      <c r="P403" s="1" t="str">
        <f>IFERROR(__xludf.DUMMYFUNCTION("""COMPUTED_VALUE"""),"LOWPLAN")</f>
        <v>LOWPLAN</v>
      </c>
      <c r="Q403" s="1" t="str">
        <f>IFERROR(__xludf.DUMMYFUNCTION("""COMPUTED_VALUE"""),"P407045")</f>
        <v>P407045</v>
      </c>
      <c r="R403" s="1" t="str">
        <f>IFERROR(__xludf.DUMMYFUNCTION("""COMPUTED_VALUE"""),"GABAY, MANUEL")</f>
        <v>GABAY, MANUEL</v>
      </c>
      <c r="S403" s="1" t="str">
        <f>IFERROR(__xludf.DUMMYFUNCTION("""COMPUTED_VALUE"""),"FLA")</f>
        <v>FLA</v>
      </c>
      <c r="T403" s="1" t="str">
        <f>IFERROR(__xludf.DUMMYFUNCTION("""COMPUTED_VALUE"""),"JERIC NAVARRO")</f>
        <v>JERIC NAVARRO</v>
      </c>
      <c r="U403" s="1" t="str">
        <f>IFERROR(__xludf.DUMMYFUNCTION("""COMPUTED_VALUE"""),"JB SALIOA")</f>
        <v>JB SALIOA</v>
      </c>
      <c r="V403" s="1" t="str">
        <f>IFERROR(__xludf.DUMMYFUNCTION("""COMPUTED_VALUE"""),"BK HSTK")</f>
        <v>BK HSTK</v>
      </c>
      <c r="W403" s="1" t="str">
        <f>IFERROR(__xludf.DUMMYFUNCTION("""COMPUTED_VALUE"""),"BK HSTK")</f>
        <v>BK HSTK</v>
      </c>
      <c r="X403" s="1" t="str">
        <f>IFERROR(__xludf.DUMMYFUNCTION("""COMPUTED_VALUE"""),"REGULAR")</f>
        <v>REGULAR</v>
      </c>
      <c r="Y403" s="1" t="str">
        <f>IFERROR(__xludf.DUMMYFUNCTION("""COMPUTED_VALUE"""),"BK_CVEU_260820")</f>
        <v>BK_CVEU_260820</v>
      </c>
      <c r="Z403" s="1" t="str">
        <f>IFERROR(__xludf.DUMMYFUNCTION("""COMPUTED_VALUE"""),"NEW CONNECT")</f>
        <v>NEW CONNECT</v>
      </c>
      <c r="AA403" s="1">
        <f>IFERROR(__xludf.DUMMYFUNCTION("""COMPUTED_VALUE"""),639914729726)</f>
        <v>639914729726</v>
      </c>
      <c r="AB403" s="1">
        <f>IFERROR(__xludf.DUMMYFUNCTION("""COMPUTED_VALUE"""),639480399855)</f>
        <v>639480399855</v>
      </c>
      <c r="AC403" s="1"/>
      <c r="AD403" s="1" t="str">
        <f>IFERROR(__xludf.DUMMYFUNCTION("""COMPUTED_VALUE"""),"TARTARIA")</f>
        <v>TARTARIA</v>
      </c>
      <c r="AE403" s="1"/>
      <c r="AF403" s="1" t="str">
        <f>IFERROR(__xludf.DUMMYFUNCTION("""COMPUTED_VALUE"""),"BGY TARTARIA")</f>
        <v>BGY TARTARIA</v>
      </c>
      <c r="AG403" s="1" t="str">
        <f>IFERROR(__xludf.DUMMYFUNCTION("""COMPUTED_VALUE"""),"SILANG")</f>
        <v>SILANG</v>
      </c>
      <c r="AH403" s="1" t="str">
        <f>IFERROR(__xludf.DUMMYFUNCTION("""COMPUTED_VALUE"""),"-")</f>
        <v>-</v>
      </c>
      <c r="AI403" s="1" t="str">
        <f>IFERROR(__xludf.DUMMYFUNCTION("""COMPUTED_VALUE"""),"CLUSTER 11")</f>
        <v>CLUSTER 11</v>
      </c>
    </row>
    <row r="404" customHeight="1" spans="1:35">
      <c r="A404" s="3">
        <f>IFERROR(__xludf.DUMMYFUNCTION("""COMPUTED_VALUE"""),46267)</f>
        <v>46267</v>
      </c>
      <c r="B404" s="1" t="str">
        <f>IFERROR(__xludf.DUMMYFUNCTION("""COMPUTED_VALUE"""),"RINA BUSANTE CONDE")</f>
        <v>RINA BUSANTE CONDE</v>
      </c>
      <c r="C404" s="1">
        <f>IFERROR(__xludf.DUMMYFUNCTION("""COMPUTED_VALUE"""),2312309491)</f>
        <v>2312309491</v>
      </c>
      <c r="D404" s="1">
        <f>IFERROR(__xludf.DUMMYFUNCTION("""COMPUTED_VALUE"""),407566874)</f>
        <v>407566874</v>
      </c>
      <c r="E404" s="1">
        <f>IFERROR(__xludf.DUMMYFUNCTION("""COMPUTED_VALUE"""),468951743004)</f>
        <v>468951743004</v>
      </c>
      <c r="F404" s="1" t="str">
        <f>IFERROR(__xludf.DUMMYFUNCTION("""COMPUTED_VALUE"""),"CLOSED")</f>
        <v>CLOSED</v>
      </c>
      <c r="G404" s="1" t="str">
        <f>IFERROR(__xludf.DUMMYFUNCTION("""COMPUTED_VALUE"""),"CLOSED")</f>
        <v>CLOSED</v>
      </c>
      <c r="H404" s="1" t="str">
        <f>IFERROR(__xludf.DUMMYFUNCTION("""COMPUTED_VALUE"""),"PQGOR362855560	03-Sep-26	Regular Payment	CIS-GCASH 3.0	1,700.00	940745118	03-Sep-26")</f>
        <v>PQGOR362855560	03-Sep-26	Regular Payment	CIS-GCASH 3.0	1,700.00	940745118	03-Sep-26</v>
      </c>
      <c r="I404" s="1" t="str">
        <f>IFERROR(__xludf.DUMMYFUNCTION("""COMPUTED_VALUE"""),"WITH 1 AMSF")</f>
        <v>WITH 1 AMSF</v>
      </c>
      <c r="J404" s="1" t="str">
        <f>IFERROR(__xludf.DUMMYFUNCTION("""COMPUTED_VALUE"""),"PRORATED - 163.43")</f>
        <v>PRORATED - 163.43</v>
      </c>
      <c r="K404" s="1" t="str">
        <f>IFERROR(__xludf.DUMMYFUNCTION("""COMPUTED_VALUE"""),"COMPLETED")</f>
        <v>COMPLETED</v>
      </c>
      <c r="L404" s="1" t="str">
        <f>IFERROR(__xludf.DUMMYFUNCTION("""COMPUTED_VALUE"""),"POSTED")</f>
        <v>POSTED</v>
      </c>
      <c r="M404" s="1" t="str">
        <f>IFERROR(__xludf.DUMMYFUNCTION("""COMPUTED_VALUE"""),"POSTED")</f>
        <v>POSTED</v>
      </c>
      <c r="N404" s="3">
        <f>IFERROR(__xludf.DUMMYFUNCTION("""COMPUTED_VALUE"""),46268)</f>
        <v>46268</v>
      </c>
      <c r="O404" s="1" t="str">
        <f>IFERROR(__xludf.DUMMYFUNCTION("""COMPUTED_VALUE"""),"FIBR NETFLIX PLAN 1599")</f>
        <v>FIBR NETFLIX PLAN 1599</v>
      </c>
      <c r="P404" s="1" t="str">
        <f>IFERROR(__xludf.DUMMYFUNCTION("""COMPUTED_VALUE"""),"LOWPLAN")</f>
        <v>LOWPLAN</v>
      </c>
      <c r="Q404" s="1" t="str">
        <f>IFERROR(__xludf.DUMMYFUNCTION("""COMPUTED_VALUE"""),"P407045")</f>
        <v>P407045</v>
      </c>
      <c r="R404" s="1" t="str">
        <f>IFERROR(__xludf.DUMMYFUNCTION("""COMPUTED_VALUE"""),"REMOLLO, LEA")</f>
        <v>REMOLLO, LEA</v>
      </c>
      <c r="S404" s="1" t="str">
        <f>IFERROR(__xludf.DUMMYFUNCTION("""COMPUTED_VALUE"""),"FLA")</f>
        <v>FLA</v>
      </c>
      <c r="T404" s="1" t="str">
        <f>IFERROR(__xludf.DUMMYFUNCTION("""COMPUTED_VALUE"""),"JERIC NAVARRO")</f>
        <v>JERIC NAVARRO</v>
      </c>
      <c r="U404" s="1" t="str">
        <f>IFERROR(__xludf.DUMMYFUNCTION("""COMPUTED_VALUE"""),"JB SALIOA")</f>
        <v>JB SALIOA</v>
      </c>
      <c r="V404" s="1" t="str">
        <f>IFERROR(__xludf.DUMMYFUNCTION("""COMPUTED_VALUE"""),"BK HSTK")</f>
        <v>BK HSTK</v>
      </c>
      <c r="W404" s="1" t="str">
        <f>IFERROR(__xludf.DUMMYFUNCTION("""COMPUTED_VALUE"""),"BK HSTK")</f>
        <v>BK HSTK</v>
      </c>
      <c r="X404" s="1" t="str">
        <f>IFERROR(__xludf.DUMMYFUNCTION("""COMPUTED_VALUE"""),"REGULAR")</f>
        <v>REGULAR</v>
      </c>
      <c r="Y404" s="1" t="str">
        <f>IFERROR(__xludf.DUMMYFUNCTION("""COMPUTED_VALUE"""),"BK_CVEU_260820")</f>
        <v>BK_CVEU_260820</v>
      </c>
      <c r="Z404" s="1" t="str">
        <f>IFERROR(__xludf.DUMMYFUNCTION("""COMPUTED_VALUE"""),"NEW CONNECT")</f>
        <v>NEW CONNECT</v>
      </c>
      <c r="AA404" s="1">
        <f>IFERROR(__xludf.DUMMYFUNCTION("""COMPUTED_VALUE"""),639452953243)</f>
        <v>639452953243</v>
      </c>
      <c r="AB404" s="1"/>
      <c r="AC404" s="1"/>
      <c r="AD404" s="1" t="str">
        <f>IFERROR(__xludf.DUMMYFUNCTION("""COMPUTED_VALUE"""),"BUKLURAN 2")</f>
        <v>BUKLURAN 2</v>
      </c>
      <c r="AE404" s="1"/>
      <c r="AF404" s="1" t="str">
        <f>IFERROR(__xludf.DUMMYFUNCTION("""COMPUTED_VALUE"""),"BGY BULIHAN")</f>
        <v>BGY BULIHAN</v>
      </c>
      <c r="AG404" s="1" t="str">
        <f>IFERROR(__xludf.DUMMYFUNCTION("""COMPUTED_VALUE"""),"SILANG")</f>
        <v>SILANG</v>
      </c>
      <c r="AH404" s="1" t="str">
        <f>IFERROR(__xludf.DUMMYFUNCTION("""COMPUTED_VALUE"""),"BUKLURAN 2")</f>
        <v>BUKLURAN 2</v>
      </c>
      <c r="AI404" s="1" t="str">
        <f>IFERROR(__xludf.DUMMYFUNCTION("""COMPUTED_VALUE"""),"CLUSTER 11")</f>
        <v>CLUSTER 11</v>
      </c>
    </row>
    <row r="405" customHeight="1" spans="1:35">
      <c r="A405" s="3">
        <f>IFERROR(__xludf.DUMMYFUNCTION("""COMPUTED_VALUE"""),46267)</f>
        <v>46267</v>
      </c>
      <c r="B405" s="1" t="str">
        <f>IFERROR(__xludf.DUMMYFUNCTION("""COMPUTED_VALUE"""),"EDISON SALVADOR RINA")</f>
        <v>EDISON SALVADOR RINA</v>
      </c>
      <c r="C405" s="1">
        <f>IFERROR(__xludf.DUMMYFUNCTION("""COMPUTED_VALUE"""),2312310294)</f>
        <v>2312310294</v>
      </c>
      <c r="D405" s="1">
        <f>IFERROR(__xludf.DUMMYFUNCTION("""COMPUTED_VALUE"""),407566114)</f>
        <v>407566114</v>
      </c>
      <c r="E405" s="1">
        <f>IFERROR(__xludf.DUMMYFUNCTION("""COMPUTED_VALUE"""),468949786004)</f>
        <v>468949786004</v>
      </c>
      <c r="F405" s="1" t="str">
        <f>IFERROR(__xludf.DUMMYFUNCTION("""COMPUTED_VALUE"""),"CANCELLED")</f>
        <v>CANCELLED</v>
      </c>
      <c r="G405" s="1" t="str">
        <f>IFERROR(__xludf.DUMMYFUNCTION("""COMPUTED_VALUE"""),"CANCELLED")</f>
        <v>CANCELLED</v>
      </c>
      <c r="H405" s="1" t="str">
        <f>IFERROR(__xludf.DUMMYFUNCTION("""COMPUTED_VALUE"""),"DROP CALLS 09/03/ FOR CANCELLATION")</f>
        <v>DROP CALLS 09/03/ FOR CANCELLATION</v>
      </c>
      <c r="I405" s="1"/>
      <c r="J405" s="1"/>
      <c r="K405" s="1" t="str">
        <f>IFERROR(__xludf.DUMMYFUNCTION("""COMPUTED_VALUE"""),"NOT IN OFSC")</f>
        <v>NOT IN OFSC</v>
      </c>
      <c r="L405" s="1" t="str">
        <f>IFERROR(__xludf.DUMMYFUNCTION("""COMPUTED_VALUE"""),"FOR CANCELLATION")</f>
        <v>FOR CANCELLATION</v>
      </c>
      <c r="M405" s="1" t="str">
        <f>IFERROR(__xludf.DUMMYFUNCTION("""COMPUTED_VALUE"""),"FOR CANCELLATION - NON COMPLIANCE - NO PAYMENT")</f>
        <v>FOR CANCELLATION - NON COMPLIANCE - NO PAYMENT</v>
      </c>
      <c r="N405" s="3"/>
      <c r="O405" s="1" t="str">
        <f>IFERROR(__xludf.DUMMYFUNCTION("""COMPUTED_VALUE"""),"FIBR UNLI ALL PLAN 999")</f>
        <v>FIBR UNLI ALL PLAN 999</v>
      </c>
      <c r="P405" s="1" t="str">
        <f>IFERROR(__xludf.DUMMYFUNCTION("""COMPUTED_VALUE"""),"LOWPLAN")</f>
        <v>LOWPLAN</v>
      </c>
      <c r="Q405" s="1" t="str">
        <f>IFERROR(__xludf.DUMMYFUNCTION("""COMPUTED_VALUE"""),"P407050")</f>
        <v>P407050</v>
      </c>
      <c r="R405" s="1" t="str">
        <f>IFERROR(__xludf.DUMMYFUNCTION("""COMPUTED_VALUE"""),"MENDOZA, PRINCESS")</f>
        <v>MENDOZA, PRINCESS</v>
      </c>
      <c r="S405" s="1" t="str">
        <f>IFERROR(__xludf.DUMMYFUNCTION("""COMPUTED_VALUE"""),"ORGANIC")</f>
        <v>ORGANIC</v>
      </c>
      <c r="T405" s="1" t="str">
        <f>IFERROR(__xludf.DUMMYFUNCTION("""COMPUTED_VALUE"""),"LEA REMOLLO")</f>
        <v>LEA REMOLLO</v>
      </c>
      <c r="U405" s="1" t="str">
        <f>IFERROR(__xludf.DUMMYFUNCTION("""COMPUTED_VALUE"""),"JB SALIOA")</f>
        <v>JB SALIOA</v>
      </c>
      <c r="V405" s="1" t="str">
        <f>IFERROR(__xludf.DUMMYFUNCTION("""COMPUTED_VALUE"""),"BK REGULAR")</f>
        <v>BK REGULAR</v>
      </c>
      <c r="W405" s="1" t="str">
        <f>IFERROR(__xludf.DUMMYFUNCTION("""COMPUTED_VALUE"""),"STK REGULAR")</f>
        <v>STK REGULAR</v>
      </c>
      <c r="X405" s="1" t="str">
        <f>IFERROR(__xludf.DUMMYFUNCTION("""COMPUTED_VALUE"""),"REGULAR")</f>
        <v>REGULAR</v>
      </c>
      <c r="Y405" s="1" t="str">
        <f>IFERROR(__xludf.DUMMYFUNCTION("""COMPUTED_VALUE"""),"BK_CVEU_260820")</f>
        <v>BK_CVEU_260820</v>
      </c>
      <c r="Z405" s="1" t="str">
        <f>IFERROR(__xludf.DUMMYFUNCTION("""COMPUTED_VALUE"""),"NEW CONNECT")</f>
        <v>NEW CONNECT</v>
      </c>
      <c r="AA405" s="1">
        <f>IFERROR(__xludf.DUMMYFUNCTION("""COMPUTED_VALUE"""),639307406544)</f>
        <v>639307406544</v>
      </c>
      <c r="AB405" s="1">
        <f>IFERROR(__xludf.DUMMYFUNCTION("""COMPUTED_VALUE"""),639515572480)</f>
        <v>639515572480</v>
      </c>
      <c r="AC405" s="1">
        <f>IFERROR(__xludf.DUMMYFUNCTION("""COMPUTED_VALUE"""),58)</f>
        <v>58</v>
      </c>
      <c r="AD405" s="1" t="str">
        <f>IFERROR(__xludf.DUMMYFUNCTION("""COMPUTED_VALUE"""),"SITIO ENGKANTO")</f>
        <v>SITIO ENGKANTO</v>
      </c>
      <c r="AE405" s="1"/>
      <c r="AF405" s="1" t="str">
        <f>IFERROR(__xludf.DUMMYFUNCTION("""COMPUTED_VALUE"""),"BGY MAGUYAM")</f>
        <v>BGY MAGUYAM</v>
      </c>
      <c r="AG405" s="1" t="str">
        <f>IFERROR(__xludf.DUMMYFUNCTION("""COMPUTED_VALUE"""),"SILANG")</f>
        <v>SILANG</v>
      </c>
      <c r="AH405" s="1" t="str">
        <f>IFERROR(__xludf.DUMMYFUNCTION("""COMPUTED_VALUE"""),"SITIO ENGKANTO")</f>
        <v>SITIO ENGKANTO</v>
      </c>
      <c r="AI405" s="1" t="str">
        <f>IFERROR(__xludf.DUMMYFUNCTION("""COMPUTED_VALUE"""),"CLUSTER 11")</f>
        <v>CLUSTER 11</v>
      </c>
    </row>
    <row r="406" customHeight="1" spans="1:35">
      <c r="A406" s="3">
        <f>IFERROR(__xludf.DUMMYFUNCTION("""COMPUTED_VALUE"""),46267)</f>
        <v>46267</v>
      </c>
      <c r="B406" s="1" t="str">
        <f>IFERROR(__xludf.DUMMYFUNCTION("""COMPUTED_VALUE"""),"ROMA MAE LAURORA YAMBAO")</f>
        <v>ROMA MAE LAURORA YAMBAO</v>
      </c>
      <c r="C406" s="1">
        <f>IFERROR(__xludf.DUMMYFUNCTION("""COMPUTED_VALUE"""),2312310633)</f>
        <v>2312310633</v>
      </c>
      <c r="D406" s="1">
        <f>IFERROR(__xludf.DUMMYFUNCTION("""COMPUTED_VALUE"""),407578503)</f>
        <v>407578503</v>
      </c>
      <c r="E406" s="1">
        <f>IFERROR(__xludf.DUMMYFUNCTION("""COMPUTED_VALUE"""),469375523004)</f>
        <v>469375523004</v>
      </c>
      <c r="F406" s="1" t="str">
        <f>IFERROR(__xludf.DUMMYFUNCTION("""COMPUTED_VALUE"""),"CLOSED")</f>
        <v>CLOSED</v>
      </c>
      <c r="G406" s="1" t="str">
        <f>IFERROR(__xludf.DUMMYFUNCTION("""COMPUTED_VALUE"""),"CLOSED")</f>
        <v>CLOSED</v>
      </c>
      <c r="H406" s="1"/>
      <c r="I406" s="1" t="str">
        <f>IFERROR(__xludf.DUMMYFUNCTION("""COMPUTED_VALUE"""),"NO 1 AMSF")</f>
        <v>NO 1 AMSF</v>
      </c>
      <c r="J406" s="1" t="str">
        <f>IFERROR(__xludf.DUMMYFUNCTION("""COMPUTED_VALUE"""),"DUE DATE - 29-Sep-26 - 1,752.16")</f>
        <v>DUE DATE - 29-Sep-26 - 1,752.16</v>
      </c>
      <c r="K406" s="1" t="str">
        <f>IFERROR(__xludf.DUMMYFUNCTION("""COMPUTED_VALUE"""),"COMPLETED")</f>
        <v>COMPLETED</v>
      </c>
      <c r="L406" s="1" t="str">
        <f>IFERROR(__xludf.DUMMYFUNCTION("""COMPUTED_VALUE"""),"POSTED")</f>
        <v>POSTED</v>
      </c>
      <c r="M406" s="1" t="str">
        <f>IFERROR(__xludf.DUMMYFUNCTION("""COMPUTED_VALUE"""),"POSTED")</f>
        <v>POSTED</v>
      </c>
      <c r="N406" s="3">
        <f>IFERROR(__xludf.DUMMYFUNCTION("""COMPUTED_VALUE"""),46269)</f>
        <v>46269</v>
      </c>
      <c r="O406" s="1" t="str">
        <f>IFERROR(__xludf.DUMMYFUNCTION("""COMPUTED_VALUE"""),"FIBER UNLI ALL PLAN 1499")</f>
        <v>FIBER UNLI ALL PLAN 1499</v>
      </c>
      <c r="P406" s="1" t="str">
        <f>IFERROR(__xludf.DUMMYFUNCTION("""COMPUTED_VALUE"""),"LOWPLAN")</f>
        <v>LOWPLAN</v>
      </c>
      <c r="Q406" s="1" t="str">
        <f>IFERROR(__xludf.DUMMYFUNCTION("""COMPUTED_VALUE"""),"P407050")</f>
        <v>P407050</v>
      </c>
      <c r="R406" s="1" t="str">
        <f>IFERROR(__xludf.DUMMYFUNCTION("""COMPUTED_VALUE"""),"CADERAO, RONALD")</f>
        <v>CADERAO, RONALD</v>
      </c>
      <c r="S406" s="1" t="str">
        <f>IFERROR(__xludf.DUMMYFUNCTION("""COMPUTED_VALUE"""),"ORGANIC")</f>
        <v>ORGANIC</v>
      </c>
      <c r="T406" s="1" t="str">
        <f>IFERROR(__xludf.DUMMYFUNCTION("""COMPUTED_VALUE"""),"LEA REMOLLO")</f>
        <v>LEA REMOLLO</v>
      </c>
      <c r="U406" s="1" t="str">
        <f>IFERROR(__xludf.DUMMYFUNCTION("""COMPUTED_VALUE"""),"JB SALIOA")</f>
        <v>JB SALIOA</v>
      </c>
      <c r="V406" s="1" t="str">
        <f>IFERROR(__xludf.DUMMYFUNCTION("""COMPUTED_VALUE"""),"BK REGULAR")</f>
        <v>BK REGULAR</v>
      </c>
      <c r="W406" s="1" t="str">
        <f>IFERROR(__xludf.DUMMYFUNCTION("""COMPUTED_VALUE"""),"STK REGULAR")</f>
        <v>STK REGULAR</v>
      </c>
      <c r="X406" s="1" t="str">
        <f>IFERROR(__xludf.DUMMYFUNCTION("""COMPUTED_VALUE"""),"REGULAR")</f>
        <v>REGULAR</v>
      </c>
      <c r="Y406" s="1" t="str">
        <f>IFERROR(__xludf.DUMMYFUNCTION("""COMPUTED_VALUE"""),"BK_CVEU_260820")</f>
        <v>BK_CVEU_260820</v>
      </c>
      <c r="Z406" s="1" t="str">
        <f>IFERROR(__xludf.DUMMYFUNCTION("""COMPUTED_VALUE"""),"NEW CONNECT")</f>
        <v>NEW CONNECT</v>
      </c>
      <c r="AA406" s="1">
        <f>IFERROR(__xludf.DUMMYFUNCTION("""COMPUTED_VALUE"""),639564961246)</f>
        <v>639564961246</v>
      </c>
      <c r="AB406" s="1">
        <f>IFERROR(__xludf.DUMMYFUNCTION("""COMPUTED_VALUE"""),639551482436)</f>
        <v>639551482436</v>
      </c>
      <c r="AC406" s="1">
        <f>IFERROR(__xludf.DUMMYFUNCTION("""COMPUTED_VALUE"""),328)</f>
        <v>328</v>
      </c>
      <c r="AD406" s="1" t="str">
        <f>IFERROR(__xludf.DUMMYFUNCTION("""COMPUTED_VALUE"""),"SITIO GITNA")</f>
        <v>SITIO GITNA</v>
      </c>
      <c r="AE406" s="1"/>
      <c r="AF406" s="1" t="str">
        <f>IFERROR(__xludf.DUMMYFUNCTION("""COMPUTED_VALUE"""),"BGY MAGUYAM")</f>
        <v>BGY MAGUYAM</v>
      </c>
      <c r="AG406" s="1" t="str">
        <f>IFERROR(__xludf.DUMMYFUNCTION("""COMPUTED_VALUE"""),"SILANG")</f>
        <v>SILANG</v>
      </c>
      <c r="AH406" s="1" t="str">
        <f>IFERROR(__xludf.DUMMYFUNCTION("""COMPUTED_VALUE"""),"SITIO GITNA")</f>
        <v>SITIO GITNA</v>
      </c>
      <c r="AI406" s="1" t="str">
        <f>IFERROR(__xludf.DUMMYFUNCTION("""COMPUTED_VALUE"""),"CLUSTER 11")</f>
        <v>CLUSTER 11</v>
      </c>
    </row>
    <row r="407" customHeight="1" spans="1:35">
      <c r="A407" s="3">
        <f>IFERROR(__xludf.DUMMYFUNCTION("""COMPUTED_VALUE"""),46268)</f>
        <v>46268</v>
      </c>
      <c r="B407" s="1" t="str">
        <f>IFERROR(__xludf.DUMMYFUNCTION("""COMPUTED_VALUE"""),"ROWENA ERTA JAVIER")</f>
        <v>ROWENA ERTA JAVIER</v>
      </c>
      <c r="C407" s="1">
        <f>IFERROR(__xludf.DUMMYFUNCTION("""COMPUTED_VALUE"""),2312319213)</f>
        <v>2312319213</v>
      </c>
      <c r="D407" s="1">
        <f>IFERROR(__xludf.DUMMYFUNCTION("""COMPUTED_VALUE"""),407576020)</f>
        <v>407576020</v>
      </c>
      <c r="E407" s="1">
        <f>IFERROR(__xludf.DUMMYFUNCTION("""COMPUTED_VALUE"""),469355076004)</f>
        <v>469355076004</v>
      </c>
      <c r="F407" s="1" t="str">
        <f>IFERROR(__xludf.DUMMYFUNCTION("""COMPUTED_VALUE"""),"CANCELLED")</f>
        <v>CANCELLED</v>
      </c>
      <c r="G407" s="1" t="str">
        <f>IFERROR(__xludf.DUMMYFUNCTION("""COMPUTED_VALUE"""),"CANCELLED")</f>
        <v>CANCELLED</v>
      </c>
      <c r="H407" s="1" t="str">
        <f>IFERROR(__xludf.DUMMYFUNCTION("""COMPUTED_VALUE"""),"CBR AUTO DROP CALL 9/21/ FOR CANCELLATION")</f>
        <v>CBR AUTO DROP CALL 9/21/ FOR CANCELLATION</v>
      </c>
      <c r="I407" s="1"/>
      <c r="J407" s="1"/>
      <c r="K407" s="1" t="str">
        <f>IFERROR(__xludf.DUMMYFUNCTION("""COMPUTED_VALUE"""),"NOT IN OFSC")</f>
        <v>NOT IN OFSC</v>
      </c>
      <c r="L407" s="1" t="str">
        <f>IFERROR(__xludf.DUMMYFUNCTION("""COMPUTED_VALUE"""),"FOR CANCELLATION")</f>
        <v>FOR CANCELLATION</v>
      </c>
      <c r="M407" s="1" t="str">
        <f>IFERROR(__xludf.DUMMYFUNCTION("""COMPUTED_VALUE"""),"FOR CANCELLATION - NON COMPLIANCE - NO PAYMENT")</f>
        <v>FOR CANCELLATION - NON COMPLIANCE - NO PAYMENT</v>
      </c>
      <c r="N407" s="3"/>
      <c r="O407" s="1" t="str">
        <f>IFERROR(__xludf.DUMMYFUNCTION("""COMPUTED_VALUE"""),"FIBR PLAN 1299")</f>
        <v>FIBR PLAN 1299</v>
      </c>
      <c r="P407" s="1" t="str">
        <f>IFERROR(__xludf.DUMMYFUNCTION("""COMPUTED_VALUE"""),"LOWPLAN")</f>
        <v>LOWPLAN</v>
      </c>
      <c r="Q407" s="1" t="str">
        <f>IFERROR(__xludf.DUMMYFUNCTION("""COMPUTED_VALUE"""),"P407050")</f>
        <v>P407050</v>
      </c>
      <c r="R407" s="1" t="str">
        <f>IFERROR(__xludf.DUMMYFUNCTION("""COMPUTED_VALUE"""),"IVNO, RAZZEL")</f>
        <v>IVNO, RAZZEL</v>
      </c>
      <c r="S407" s="1" t="str">
        <f>IFERROR(__xludf.DUMMYFUNCTION("""COMPUTED_VALUE"""),"FLA")</f>
        <v>FLA</v>
      </c>
      <c r="T407" s="1" t="str">
        <f>IFERROR(__xludf.DUMMYFUNCTION("""COMPUTED_VALUE"""),"LEA REMOLLO")</f>
        <v>LEA REMOLLO</v>
      </c>
      <c r="U407" s="1" t="str">
        <f>IFERROR(__xludf.DUMMYFUNCTION("""COMPUTED_VALUE"""),"JULIE ESPIRITU")</f>
        <v>JULIE ESPIRITU</v>
      </c>
      <c r="V407" s="1" t="str">
        <f>IFERROR(__xludf.DUMMYFUNCTION("""COMPUTED_VALUE"""),"BK REGULAR")</f>
        <v>BK REGULAR</v>
      </c>
      <c r="W407" s="1" t="str">
        <f>IFERROR(__xludf.DUMMYFUNCTION("""COMPUTED_VALUE"""),"STK REGULAR")</f>
        <v>STK REGULAR</v>
      </c>
      <c r="X407" s="1" t="str">
        <f>IFERROR(__xludf.DUMMYFUNCTION("""COMPUTED_VALUE"""),"REGULAR")</f>
        <v>REGULAR</v>
      </c>
      <c r="Y407" s="1" t="str">
        <f>IFERROR(__xludf.DUMMYFUNCTION("""COMPUTED_VALUE"""),"BK_CVEU_260821")</f>
        <v>BK_CVEU_260821</v>
      </c>
      <c r="Z407" s="1" t="str">
        <f>IFERROR(__xludf.DUMMYFUNCTION("""COMPUTED_VALUE"""),"NEW CONNECT")</f>
        <v>NEW CONNECT</v>
      </c>
      <c r="AA407" s="1">
        <f>IFERROR(__xludf.DUMMYFUNCTION("""COMPUTED_VALUE"""),639397746589)</f>
        <v>639397746589</v>
      </c>
      <c r="AB407" s="1">
        <f>IFERROR(__xludf.DUMMYFUNCTION("""COMPUTED_VALUE"""),639929227791)</f>
        <v>639929227791</v>
      </c>
      <c r="AC407" s="1">
        <f>IFERROR(__xludf.DUMMYFUNCTION("""COMPUTED_VALUE"""),94)</f>
        <v>94</v>
      </c>
      <c r="AD407" s="1" t="str">
        <f>IFERROR(__xludf.DUMMYFUNCTION("""COMPUTED_VALUE"""),"KAYBAGAL CENTRAL")</f>
        <v>KAYBAGAL CENTRAL</v>
      </c>
      <c r="AE407" s="1"/>
      <c r="AF407" s="1" t="str">
        <f>IFERROR(__xludf.DUMMYFUNCTION("""COMPUTED_VALUE"""),"BGY KAYBAGAL CENTRAL")</f>
        <v>BGY KAYBAGAL CENTRAL</v>
      </c>
      <c r="AG407" s="1" t="str">
        <f>IFERROR(__xludf.DUMMYFUNCTION("""COMPUTED_VALUE"""),"TAGAYTAY")</f>
        <v>TAGAYTAY</v>
      </c>
      <c r="AH407" s="1"/>
      <c r="AI407" s="1" t="str">
        <f>IFERROR(__xludf.DUMMYFUNCTION("""COMPUTED_VALUE"""),"CLUSTER 12")</f>
        <v>CLUSTER 12</v>
      </c>
    </row>
    <row r="408" customHeight="1" spans="1:35">
      <c r="A408" s="3">
        <f>IFERROR(__xludf.DUMMYFUNCTION("""COMPUTED_VALUE"""),46268)</f>
        <v>46268</v>
      </c>
      <c r="B408" s="1" t="str">
        <f>IFERROR(__xludf.DUMMYFUNCTION("""COMPUTED_VALUE"""),"ERICKA BERNICE TIONGSON COLLAMAR")</f>
        <v>ERICKA BERNICE TIONGSON COLLAMAR</v>
      </c>
      <c r="C408" s="1">
        <f>IFERROR(__xludf.DUMMYFUNCTION("""COMPUTED_VALUE"""),2312320071)</f>
        <v>2312320071</v>
      </c>
      <c r="D408" s="1">
        <f>IFERROR(__xludf.DUMMYFUNCTION("""COMPUTED_VALUE"""),407576233)</f>
        <v>407576233</v>
      </c>
      <c r="E408" s="1">
        <f>IFERROR(__xludf.DUMMYFUNCTION("""COMPUTED_VALUE"""),469356630004)</f>
        <v>469356630004</v>
      </c>
      <c r="F408" s="1" t="str">
        <f>IFERROR(__xludf.DUMMYFUNCTION("""COMPUTED_VALUE"""),"CLOSED")</f>
        <v>CLOSED</v>
      </c>
      <c r="G408" s="1" t="str">
        <f>IFERROR(__xludf.DUMMYFUNCTION("""COMPUTED_VALUE"""),"CLOSED")</f>
        <v>CLOSED</v>
      </c>
      <c r="H408" s="1" t="str">
        <f>IFERROR(__xludf.DUMMYFUNCTION("""COMPUTED_VALUE"""),"PAID VIA GCASH REF 950139937 SEP 3")</f>
        <v>PAID VIA GCASH REF 950139937 SEP 3</v>
      </c>
      <c r="I408" s="1" t="str">
        <f>IFERROR(__xludf.DUMMYFUNCTION("""COMPUTED_VALUE"""),"WITH 1 AMSF")</f>
        <v>WITH 1 AMSF</v>
      </c>
      <c r="J408" s="1"/>
      <c r="K408" s="1" t="str">
        <f>IFERROR(__xludf.DUMMYFUNCTION("""COMPUTED_VALUE"""),"COMPLETED")</f>
        <v>COMPLETED</v>
      </c>
      <c r="L408" s="1" t="str">
        <f>IFERROR(__xludf.DUMMYFUNCTION("""COMPUTED_VALUE"""),"POSTED")</f>
        <v>POSTED</v>
      </c>
      <c r="M408" s="1" t="str">
        <f>IFERROR(__xludf.DUMMYFUNCTION("""COMPUTED_VALUE"""),"POSTED")</f>
        <v>POSTED</v>
      </c>
      <c r="N408" s="3">
        <f>IFERROR(__xludf.DUMMYFUNCTION("""COMPUTED_VALUE"""),46269)</f>
        <v>46269</v>
      </c>
      <c r="O408" s="1" t="str">
        <f>IFERROR(__xludf.DUMMYFUNCTION("""COMPUTED_VALUE"""),"FIBER UNLI ALL PLAN 1499")</f>
        <v>FIBER UNLI ALL PLAN 1499</v>
      </c>
      <c r="P408" s="1" t="str">
        <f>IFERROR(__xludf.DUMMYFUNCTION("""COMPUTED_VALUE"""),"LOWPLAN")</f>
        <v>LOWPLAN</v>
      </c>
      <c r="Q408" s="1" t="str">
        <f>IFERROR(__xludf.DUMMYFUNCTION("""COMPUTED_VALUE"""),"P407046")</f>
        <v>P407046</v>
      </c>
      <c r="R408" s="1" t="str">
        <f>IFERROR(__xludf.DUMMYFUNCTION("""COMPUTED_VALUE"""),"JB SALIOA")</f>
        <v>JB SALIOA</v>
      </c>
      <c r="S408" s="1" t="str">
        <f>IFERROR(__xludf.DUMMYFUNCTION("""COMPUTED_VALUE"""),"FLA")</f>
        <v>FLA</v>
      </c>
      <c r="T408" s="1" t="str">
        <f>IFERROR(__xludf.DUMMYFUNCTION("""COMPUTED_VALUE"""),"JERIC NAVARRO")</f>
        <v>JERIC NAVARRO</v>
      </c>
      <c r="U408" s="1" t="str">
        <f>IFERROR(__xludf.DUMMYFUNCTION("""COMPUTED_VALUE"""),"JULIE ESPIRITU")</f>
        <v>JULIE ESPIRITU</v>
      </c>
      <c r="V408" s="1" t="str">
        <f>IFERROR(__xludf.DUMMYFUNCTION("""COMPUTED_VALUE"""),"ONLINE/CRANFORD")</f>
        <v>ONLINE/CRANFORD</v>
      </c>
      <c r="W408" s="1" t="str">
        <f>IFERROR(__xludf.DUMMYFUNCTION("""COMPUTED_VALUE"""),"STK REGULAR")</f>
        <v>STK REGULAR</v>
      </c>
      <c r="X408" s="1" t="str">
        <f>IFERROR(__xludf.DUMMYFUNCTION("""COMPUTED_VALUE"""),"REGULAR")</f>
        <v>REGULAR</v>
      </c>
      <c r="Y408" s="1" t="str">
        <f>IFERROR(__xludf.DUMMYFUNCTION("""COMPUTED_VALUE"""),"RS_ONL_CVEU_2026")</f>
        <v>RS_ONL_CVEU_2026</v>
      </c>
      <c r="Z408" s="1" t="str">
        <f>IFERROR(__xludf.DUMMYFUNCTION("""COMPUTED_VALUE"""),"NEW CONNECT")</f>
        <v>NEW CONNECT</v>
      </c>
      <c r="AA408" s="1">
        <f>IFERROR(__xludf.DUMMYFUNCTION("""COMPUTED_VALUE"""),639240541127)</f>
        <v>639240541127</v>
      </c>
      <c r="AB408" s="1"/>
      <c r="AC408" s="1"/>
      <c r="AD408" s="1" t="str">
        <f>IFERROR(__xludf.DUMMYFUNCTION("""COMPUTED_VALUE"""),"MABINI")</f>
        <v>MABINI</v>
      </c>
      <c r="AE408" s="1" t="str">
        <f>IFERROR(__xludf.DUMMYFUNCTION("""COMPUTED_VALUE"""),"MAGALLANES CORNER")</f>
        <v>MAGALLANES CORNER</v>
      </c>
      <c r="AF408" s="1" t="str">
        <f>IFERROR(__xludf.DUMMYFUNCTION("""COMPUTED_VALUE"""),"BGY POBLACION 2")</f>
        <v>BGY POBLACION 2</v>
      </c>
      <c r="AG408" s="1" t="str">
        <f>IFERROR(__xludf.DUMMYFUNCTION("""COMPUTED_VALUE"""),"GEN EMILIO AGUINALDO")</f>
        <v>GEN EMILIO AGUINALDO</v>
      </c>
      <c r="AH408" s="1"/>
      <c r="AI408" s="1" t="str">
        <f>IFERROR(__xludf.DUMMYFUNCTION("""COMPUTED_VALUE"""),"NOT AOR")</f>
        <v>NOT AOR</v>
      </c>
    </row>
    <row r="409" customHeight="1" spans="1:35">
      <c r="A409" s="3">
        <f>IFERROR(__xludf.DUMMYFUNCTION("""COMPUTED_VALUE"""),46268)</f>
        <v>46268</v>
      </c>
      <c r="B409" s="1" t="str">
        <f>IFERROR(__xludf.DUMMYFUNCTION("""COMPUTED_VALUE"""),"MA. DESIREE ESGUERRA ALCARAZ")</f>
        <v>MA. DESIREE ESGUERRA ALCARAZ</v>
      </c>
      <c r="C409" s="1">
        <f>IFERROR(__xludf.DUMMYFUNCTION("""COMPUTED_VALUE"""),2312321943)</f>
        <v>2312321943</v>
      </c>
      <c r="D409" s="1">
        <f>IFERROR(__xludf.DUMMYFUNCTION("""COMPUTED_VALUE"""),407576748)</f>
        <v>407576748</v>
      </c>
      <c r="E409" s="1">
        <f>IFERROR(__xludf.DUMMYFUNCTION("""COMPUTED_VALUE"""),469366787004)</f>
        <v>469366787004</v>
      </c>
      <c r="F409" s="1" t="str">
        <f>IFERROR(__xludf.DUMMYFUNCTION("""COMPUTED_VALUE"""),"CANCELLED")</f>
        <v>CANCELLED</v>
      </c>
      <c r="G409" s="1" t="str">
        <f>IFERROR(__xludf.DUMMYFUNCTION("""COMPUTED_VALUE"""),"SUBS REQUEST RESCHEDULE BY END OF MONTH TATAPUSIN NYA MUNA DAW UNG SA OTHER PROVIDER NYA BAGO SYA MAG PAKABIT NG PLDT  TALK   MA DESIREE ESGUERRA ALCARAZ CBR   09972444053  09560384733")</f>
        <v>SUBS REQUEST RESCHEDULE BY END OF MONTH TATAPUSIN NYA MUNA DAW UNG SA OTHER PROVIDER NYA BAGO SYA MAG PAKABIT NG PLDT  TALK   MA DESIREE ESGUERRA ALCARAZ CBR   09972444053  09560384733</v>
      </c>
      <c r="H409" s="1"/>
      <c r="I409" s="1"/>
      <c r="J409" s="1"/>
      <c r="K409" s="1" t="str">
        <f>IFERROR(__xludf.DUMMYFUNCTION("""COMPUTED_VALUE"""),"CANCELED")</f>
        <v>CANCELED</v>
      </c>
      <c r="L409" s="1" t="str">
        <f>IFERROR(__xludf.DUMMYFUNCTION("""COMPUTED_VALUE"""),"CANCELLED")</f>
        <v>CANCELLED</v>
      </c>
      <c r="M409" s="1" t="str">
        <f>IFERROR(__xludf.DUMMYFUNCTION("""COMPUTED_VALUE"""),"RPR- SUBS CANCEL REQUEST")</f>
        <v>RPR- SUBS CANCEL REQUEST</v>
      </c>
      <c r="N409" s="3"/>
      <c r="O409" s="1" t="str">
        <f>IFERROR(__xludf.DUMMYFUNCTION("""COMPUTED_VALUE"""),"SWITCH FIBER 1699")</f>
        <v>SWITCH FIBER 1699</v>
      </c>
      <c r="P409" s="1" t="str">
        <f>IFERROR(__xludf.DUMMYFUNCTION("""COMPUTED_VALUE"""),"LOWPLAN")</f>
        <v>LOWPLAN</v>
      </c>
      <c r="Q409" s="1" t="str">
        <f>IFERROR(__xludf.DUMMYFUNCTION("""COMPUTED_VALUE"""),"P407044")</f>
        <v>P407044</v>
      </c>
      <c r="R409" s="1" t="str">
        <f>IFERROR(__xludf.DUMMYFUNCTION("""COMPUTED_VALUE"""),"AYON, MANUEL")</f>
        <v>AYON, MANUEL</v>
      </c>
      <c r="S409" s="1" t="str">
        <f>IFERROR(__xludf.DUMMYFUNCTION("""COMPUTED_VALUE"""),"FLA")</f>
        <v>FLA</v>
      </c>
      <c r="T409" s="1" t="str">
        <f>IFERROR(__xludf.DUMMYFUNCTION("""COMPUTED_VALUE"""),"JERIC NAVARRO")</f>
        <v>JERIC NAVARRO</v>
      </c>
      <c r="U409" s="1" t="str">
        <f>IFERROR(__xludf.DUMMYFUNCTION("""COMPUTED_VALUE"""),"JULIE ESPIRITU")</f>
        <v>JULIE ESPIRITU</v>
      </c>
      <c r="V409" s="1" t="str">
        <f>IFERROR(__xludf.DUMMYFUNCTION("""COMPUTED_VALUE"""),"BK HSTK")</f>
        <v>BK HSTK</v>
      </c>
      <c r="W409" s="1" t="str">
        <f>IFERROR(__xludf.DUMMYFUNCTION("""COMPUTED_VALUE"""),"BK HSTK")</f>
        <v>BK HSTK</v>
      </c>
      <c r="X409" s="1" t="str">
        <f>IFERROR(__xludf.DUMMYFUNCTION("""COMPUTED_VALUE"""),"ANTI COMPETITOR")</f>
        <v>ANTI COMPETITOR</v>
      </c>
      <c r="Y409" s="1" t="str">
        <f>IFERROR(__xludf.DUMMYFUNCTION("""COMPUTED_VALUE"""),"BK_CVEU_260820")</f>
        <v>BK_CVEU_260820</v>
      </c>
      <c r="Z409" s="1" t="str">
        <f>IFERROR(__xludf.DUMMYFUNCTION("""COMPUTED_VALUE"""),"NEW CONNECT")</f>
        <v>NEW CONNECT</v>
      </c>
      <c r="AA409" s="1">
        <f>IFERROR(__xludf.DUMMYFUNCTION("""COMPUTED_VALUE"""),639972444053)</f>
        <v>639972444053</v>
      </c>
      <c r="AB409" s="1">
        <f>IFERROR(__xludf.DUMMYFUNCTION("""COMPUTED_VALUE"""),639560384733)</f>
        <v>639560384733</v>
      </c>
      <c r="AC409" s="1">
        <f>IFERROR(__xludf.DUMMYFUNCTION("""COMPUTED_VALUE"""),9051)</f>
        <v>9051</v>
      </c>
      <c r="AD409" s="1" t="str">
        <f>IFERROR(__xludf.DUMMYFUNCTION("""COMPUTED_VALUE"""),"PALIGAWAN")</f>
        <v>PALIGAWAN</v>
      </c>
      <c r="AE409" s="1"/>
      <c r="AF409" s="1" t="str">
        <f>IFERROR(__xludf.DUMMYFUNCTION("""COMPUTED_VALUE"""),"BGY PALIGAWAN")</f>
        <v>BGY PALIGAWAN</v>
      </c>
      <c r="AG409" s="1" t="str">
        <f>IFERROR(__xludf.DUMMYFUNCTION("""COMPUTED_VALUE"""),"SILANG")</f>
        <v>SILANG</v>
      </c>
      <c r="AH409" s="1" t="str">
        <f>IFERROR(__xludf.DUMMYFUNCTION("""COMPUTED_VALUE"""),"INFRONT OF MAYENS GARDEN / BRGY HALL")</f>
        <v>INFRONT OF MAYENS GARDEN / BRGY HALL</v>
      </c>
      <c r="AI409" s="1" t="str">
        <f>IFERROR(__xludf.DUMMYFUNCTION("""COMPUTED_VALUE"""),"CLUSTER 11")</f>
        <v>CLUSTER 11</v>
      </c>
    </row>
    <row r="410" customHeight="1" spans="1:35">
      <c r="A410" s="3">
        <f>IFERROR(__xludf.DUMMYFUNCTION("""COMPUTED_VALUE"""),46268)</f>
        <v>46268</v>
      </c>
      <c r="B410" s="1" t="str">
        <f>IFERROR(__xludf.DUMMYFUNCTION("""COMPUTED_VALUE"""),"RONNEL LUPANGO FUENTES")</f>
        <v>RONNEL LUPANGO FUENTES</v>
      </c>
      <c r="C410" s="1">
        <f>IFERROR(__xludf.DUMMYFUNCTION("""COMPUTED_VALUE"""),2312324554)</f>
        <v>2312324554</v>
      </c>
      <c r="D410" s="1">
        <f>IFERROR(__xludf.DUMMYFUNCTION("""COMPUTED_VALUE"""),407583094)</f>
        <v>407583094</v>
      </c>
      <c r="E410" s="1">
        <f>IFERROR(__xludf.DUMMYFUNCTION("""COMPUTED_VALUE"""),469406744004)</f>
        <v>469406744004</v>
      </c>
      <c r="F410" s="1" t="str">
        <f>IFERROR(__xludf.DUMMYFUNCTION("""COMPUTED_VALUE"""),"CLOSED")</f>
        <v>CLOSED</v>
      </c>
      <c r="G410" s="1" t="str">
        <f>IFERROR(__xludf.DUMMYFUNCTION("""COMPUTED_VALUE"""),"CLOSED")</f>
        <v>CLOSED</v>
      </c>
      <c r="H410" s="1" t="str">
        <f>IFERROR(__xludf.DUMMYFUNCTION("""COMPUTED_VALUE"""),"PQGOR365325155	27-Sep-26	Regular Payment	PLDT Pay Express-Web-App credit	1,219.90	0	27-Sep-26")</f>
        <v>PQGOR365325155	27-Sep-26	Regular Payment	PLDT Pay Express-Web-App credit	1,219.90	0	27-Sep-26</v>
      </c>
      <c r="I410" s="1" t="str">
        <f>IFERROR(__xludf.DUMMYFUNCTION("""COMPUTED_VALUE"""),"WITH 1 AMSF")</f>
        <v>WITH 1 AMSF</v>
      </c>
      <c r="J410" s="1"/>
      <c r="K410" s="1" t="str">
        <f>IFERROR(__xludf.DUMMYFUNCTION("""COMPUTED_VALUE"""),"COMPLETED")</f>
        <v>COMPLETED</v>
      </c>
      <c r="L410" s="1" t="str">
        <f>IFERROR(__xludf.DUMMYFUNCTION("""COMPUTED_VALUE"""),"POSTED")</f>
        <v>POSTED</v>
      </c>
      <c r="M410" s="1" t="str">
        <f>IFERROR(__xludf.DUMMYFUNCTION("""COMPUTED_VALUE"""),"POSTED")</f>
        <v>POSTED</v>
      </c>
      <c r="N410" s="3">
        <f>IFERROR(__xludf.DUMMYFUNCTION("""COMPUTED_VALUE"""),46269)</f>
        <v>46269</v>
      </c>
      <c r="O410" s="1" t="str">
        <f>IFERROR(__xludf.DUMMYFUNCTION("""COMPUTED_VALUE"""),"FIBR UNLI ALL PLAN 999")</f>
        <v>FIBR UNLI ALL PLAN 999</v>
      </c>
      <c r="P410" s="1" t="str">
        <f>IFERROR(__xludf.DUMMYFUNCTION("""COMPUTED_VALUE"""),"LOWPLAN")</f>
        <v>LOWPLAN</v>
      </c>
      <c r="Q410" s="1" t="str">
        <f>IFERROR(__xludf.DUMMYFUNCTION("""COMPUTED_VALUE"""),"P407050")</f>
        <v>P407050</v>
      </c>
      <c r="R410" s="1" t="str">
        <f>IFERROR(__xludf.DUMMYFUNCTION("""COMPUTED_VALUE"""),"MAGDARAOG, KENNETH")</f>
        <v>MAGDARAOG, KENNETH</v>
      </c>
      <c r="S410" s="1" t="str">
        <f>IFERROR(__xludf.DUMMYFUNCTION("""COMPUTED_VALUE"""),"ORGANIC")</f>
        <v>ORGANIC</v>
      </c>
      <c r="T410" s="1" t="str">
        <f>IFERROR(__xludf.DUMMYFUNCTION("""COMPUTED_VALUE"""),"LEA REMOLLO")</f>
        <v>LEA REMOLLO</v>
      </c>
      <c r="U410" s="1" t="str">
        <f>IFERROR(__xludf.DUMMYFUNCTION("""COMPUTED_VALUE"""),"JULIE ESPIRITU")</f>
        <v>JULIE ESPIRITU</v>
      </c>
      <c r="V410" s="1" t="str">
        <f>IFERROR(__xludf.DUMMYFUNCTION("""COMPUTED_VALUE"""),"BK HSTK")</f>
        <v>BK HSTK</v>
      </c>
      <c r="W410" s="1" t="str">
        <f>IFERROR(__xludf.DUMMYFUNCTION("""COMPUTED_VALUE"""),"BK HSTK")</f>
        <v>BK HSTK</v>
      </c>
      <c r="X410" s="1" t="str">
        <f>IFERROR(__xludf.DUMMYFUNCTION("""COMPUTED_VALUE"""),"REGULAR")</f>
        <v>REGULAR</v>
      </c>
      <c r="Y410" s="1" t="str">
        <f>IFERROR(__xludf.DUMMYFUNCTION("""COMPUTED_VALUE"""),"BK_CVEU_260819")</f>
        <v>BK_CVEU_260819</v>
      </c>
      <c r="Z410" s="1" t="str">
        <f>IFERROR(__xludf.DUMMYFUNCTION("""COMPUTED_VALUE"""),"NEW CONNECT")</f>
        <v>NEW CONNECT</v>
      </c>
      <c r="AA410" s="1">
        <f>IFERROR(__xludf.DUMMYFUNCTION("""COMPUTED_VALUE"""),639273865233)</f>
        <v>639273865233</v>
      </c>
      <c r="AB410" s="1">
        <f>IFERROR(__xludf.DUMMYFUNCTION("""COMPUTED_VALUE"""),639216398332)</f>
        <v>639216398332</v>
      </c>
      <c r="AC410" s="1">
        <f>IFERROR(__xludf.DUMMYFUNCTION("""COMPUTED_VALUE"""),189)</f>
        <v>189</v>
      </c>
      <c r="AD410" s="1" t="str">
        <f>IFERROR(__xludf.DUMMYFUNCTION("""COMPUTED_VALUE"""),"ANULING CERCA")</f>
        <v>ANULING CERCA</v>
      </c>
      <c r="AE410" s="1"/>
      <c r="AF410" s="1" t="str">
        <f>IFERROR(__xludf.DUMMYFUNCTION("""COMPUTED_VALUE"""),"BGY ANULING CERCA 2")</f>
        <v>BGY ANULING CERCA 2</v>
      </c>
      <c r="AG410" s="1" t="str">
        <f>IFERROR(__xludf.DUMMYFUNCTION("""COMPUTED_VALUE"""),"MENDEZ")</f>
        <v>MENDEZ</v>
      </c>
      <c r="AH410" s="1" t="str">
        <f>IFERROR(__xludf.DUMMYFUNCTION("""COMPUTED_VALUE"""),"MANUKAN")</f>
        <v>MANUKAN</v>
      </c>
      <c r="AI410" s="1" t="str">
        <f>IFERROR(__xludf.DUMMYFUNCTION("""COMPUTED_VALUE"""),"CLUSTER 12")</f>
        <v>CLUSTER 12</v>
      </c>
    </row>
    <row r="411" customHeight="1" spans="1:35">
      <c r="A411" s="3">
        <f>IFERROR(__xludf.DUMMYFUNCTION("""COMPUTED_VALUE"""),46268)</f>
        <v>46268</v>
      </c>
      <c r="B411" s="1" t="str">
        <f>IFERROR(__xludf.DUMMYFUNCTION("""COMPUTED_VALUE"""),"SHERYL OROSCO SAMILLANO")</f>
        <v>SHERYL OROSCO SAMILLANO</v>
      </c>
      <c r="C411" s="1">
        <f>IFERROR(__xludf.DUMMYFUNCTION("""COMPUTED_VALUE"""),2312325989)</f>
        <v>2312325989</v>
      </c>
      <c r="D411" s="1"/>
      <c r="E411" s="1"/>
      <c r="F411" s="1" t="str">
        <f>IFERROR(__xludf.DUMMYFUNCTION("""COMPUTED_VALUE"""),"CANCELLED")</f>
        <v>CANCELLED</v>
      </c>
      <c r="G411" s="1" t="str">
        <f>IFERROR(__xludf.DUMMYFUNCTION("""COMPUTED_VALUE"""),"&amp;#8203; CANNOT TAG DECISION DUE TO WITH SYSTEM ERROR- UNABLE TO CHANGE PAYMENT REQUIRED IN CSP | RETURNED TO SALES| FOUND WITH BLACKLISTED ACCT (0352500828) SAME NAME, SAME DOB WITH OB: PHP3,581.39 FOR SETTLEMENT | NO EXISTING ACTIVE ACCT AND/ OR PENDING "&amp;"APPLICATION | DONE VALIDATION WITH SUBMITTED COMPLETE DOCS| CORRECT ENCODED INFO IN CSP | NO 1 AMSF REQUIREMENTS (GG - 1 (NTC)) ")</f>
        <v>&amp;#8203; CANNOT TAG DECISION DUE TO WITH SYSTEM ERROR- UNABLE TO CHANGE PAYMENT REQUIRED IN CSP | RETURNED TO SALES| FOUND WITH BLACKLISTED ACCT (0352500828) SAME NAME, SAME DOB WITH OB: PHP3,581.39 FOR SETTLEMENT | NO EXISTING ACTIVE ACCT AND/ OR PENDING APPLICATION | DONE VALIDATION WITH SUBMITTED COMPLETE DOCS| CORRECT ENCODED INFO IN CSP | NO 1 AMSF REQUIREMENTS (GG - 1 (NTC)) </v>
      </c>
      <c r="H411" s="1"/>
      <c r="I411" s="1"/>
      <c r="J411" s="1"/>
      <c r="K411" s="1"/>
      <c r="L411" s="1" t="str">
        <f>IFERROR(__xludf.DUMMYFUNCTION("""COMPUTED_VALUE"""),"CANCELLED")</f>
        <v>CANCELLED</v>
      </c>
      <c r="M411" s="1" t="str">
        <f>IFERROR(__xludf.DUMMYFUNCTION("""COMPUTED_VALUE"""),"CANCELLED - WITH OB")</f>
        <v>CANCELLED - WITH OB</v>
      </c>
      <c r="N411" s="3"/>
      <c r="O411" s="1" t="str">
        <f>IFERROR(__xludf.DUMMYFUNCTION("""COMPUTED_VALUE"""),"FIBR PLAN 1299")</f>
        <v>FIBR PLAN 1299</v>
      </c>
      <c r="P411" s="1" t="str">
        <f>IFERROR(__xludf.DUMMYFUNCTION("""COMPUTED_VALUE"""),"LOWPLAN")</f>
        <v>LOWPLAN</v>
      </c>
      <c r="Q411" s="1" t="str">
        <f>IFERROR(__xludf.DUMMYFUNCTION("""COMPUTED_VALUE"""),"P407050")</f>
        <v>P407050</v>
      </c>
      <c r="R411" s="1" t="str">
        <f>IFERROR(__xludf.DUMMYFUNCTION("""COMPUTED_VALUE"""),"FRANCISCO, ROSELYN")</f>
        <v>FRANCISCO, ROSELYN</v>
      </c>
      <c r="S411" s="1" t="str">
        <f>IFERROR(__xludf.DUMMYFUNCTION("""COMPUTED_VALUE"""),"ORGANIC")</f>
        <v>ORGANIC</v>
      </c>
      <c r="T411" s="1" t="str">
        <f>IFERROR(__xludf.DUMMYFUNCTION("""COMPUTED_VALUE"""),"LEA REMOLLO")</f>
        <v>LEA REMOLLO</v>
      </c>
      <c r="U411" s="1" t="str">
        <f>IFERROR(__xludf.DUMMYFUNCTION("""COMPUTED_VALUE"""),"JULIE ESPIRITU")</f>
        <v>JULIE ESPIRITU</v>
      </c>
      <c r="V411" s="1" t="str">
        <f>IFERROR(__xludf.DUMMYFUNCTION("""COMPUTED_VALUE"""),"ONLINE/CRANFORD")</f>
        <v>ONLINE/CRANFORD</v>
      </c>
      <c r="W411" s="1" t="str">
        <f>IFERROR(__xludf.DUMMYFUNCTION("""COMPUTED_VALUE"""),"STK REGULAR")</f>
        <v>STK REGULAR</v>
      </c>
      <c r="X411" s="1" t="str">
        <f>IFERROR(__xludf.DUMMYFUNCTION("""COMPUTED_VALUE"""),"REGULAR")</f>
        <v>REGULAR</v>
      </c>
      <c r="Y411" s="1" t="str">
        <f>IFERROR(__xludf.DUMMYFUNCTION("""COMPUTED_VALUE"""),"RS_ONL_CVEU_2026")</f>
        <v>RS_ONL_CVEU_2026</v>
      </c>
      <c r="Z411" s="1" t="str">
        <f>IFERROR(__xludf.DUMMYFUNCTION("""COMPUTED_VALUE"""),"NEW CONNECT")</f>
        <v>NEW CONNECT</v>
      </c>
      <c r="AA411" s="1">
        <f>IFERROR(__xludf.DUMMYFUNCTION("""COMPUTED_VALUE"""),639269627433)</f>
        <v>639269627433</v>
      </c>
      <c r="AB411" s="1"/>
      <c r="AC411" s="1">
        <f>IFERROR(__xludf.DUMMYFUNCTION("""COMPUTED_VALUE"""),9056)</f>
        <v>9056</v>
      </c>
      <c r="AD411" s="1" t="str">
        <f>IFERROR(__xludf.DUMMYFUNCTION("""COMPUTED_VALUE"""),"PUROK 4")</f>
        <v>PUROK 4</v>
      </c>
      <c r="AE411" s="1"/>
      <c r="AF411" s="1" t="str">
        <f>IFERROR(__xludf.DUMMYFUNCTION("""COMPUTED_VALUE"""),"BGY SANTIAGO")</f>
        <v>BGY SANTIAGO</v>
      </c>
      <c r="AG411" s="1" t="str">
        <f>IFERROR(__xludf.DUMMYFUNCTION("""COMPUTED_VALUE"""),"GENERAL TRIAS")</f>
        <v>GENERAL TRIAS</v>
      </c>
      <c r="AH411" s="1" t="str">
        <f>IFERROR(__xludf.DUMMYFUNCTION("""COMPUTED_VALUE"""),"KIDNEY CARE DIALYSIS / RAAS LUGAWAN")</f>
        <v>KIDNEY CARE DIALYSIS / RAAS LUGAWAN</v>
      </c>
      <c r="AI411" s="1" t="str">
        <f>IFERROR(__xludf.DUMMYFUNCTION("""COMPUTED_VALUE"""),"NOT AOR")</f>
        <v>NOT AOR</v>
      </c>
    </row>
    <row r="412" customHeight="1" spans="1:35">
      <c r="A412" s="3">
        <f>IFERROR(__xludf.DUMMYFUNCTION("""COMPUTED_VALUE"""),46268)</f>
        <v>46268</v>
      </c>
      <c r="B412" s="1" t="str">
        <f>IFERROR(__xludf.DUMMYFUNCTION("""COMPUTED_VALUE"""),"MARITES VALENCIA BAYONA")</f>
        <v>MARITES VALENCIA BAYONA</v>
      </c>
      <c r="C412" s="1">
        <f>IFERROR(__xludf.DUMMYFUNCTION("""COMPUTED_VALUE"""),2312327910)</f>
        <v>2312327910</v>
      </c>
      <c r="D412" s="1">
        <f>IFERROR(__xludf.DUMMYFUNCTION("""COMPUTED_VALUE"""),407584325)</f>
        <v>407584325</v>
      </c>
      <c r="E412" s="1">
        <f>IFERROR(__xludf.DUMMYFUNCTION("""COMPUTED_VALUE"""),469414722004)</f>
        <v>469414722004</v>
      </c>
      <c r="F412" s="1" t="str">
        <f>IFERROR(__xludf.DUMMYFUNCTION("""COMPUTED_VALUE"""),"CLOSED")</f>
        <v>CLOSED</v>
      </c>
      <c r="G412" s="1" t="str">
        <f>IFERROR(__xludf.DUMMYFUNCTION("""COMPUTED_VALUE"""),"CLOSED")</f>
        <v>CLOSED</v>
      </c>
      <c r="H412" s="1" t="str">
        <f>IFERROR(__xludf.DUMMYFUNCTION("""COMPUTED_VALUE"""),"PAID VIA MAYA - SEPT 3 - REF - 624608267786")</f>
        <v>PAID VIA MAYA - SEPT 3 - REF - 624608267786</v>
      </c>
      <c r="I412" s="1" t="str">
        <f>IFERROR(__xludf.DUMMYFUNCTION("""COMPUTED_VALUE"""),"WITH 1 AMSF")</f>
        <v>WITH 1 AMSF</v>
      </c>
      <c r="J412" s="1"/>
      <c r="K412" s="1" t="str">
        <f>IFERROR(__xludf.DUMMYFUNCTION("""COMPUTED_VALUE"""),"COMPLETED")</f>
        <v>COMPLETED</v>
      </c>
      <c r="L412" s="1" t="str">
        <f>IFERROR(__xludf.DUMMYFUNCTION("""COMPUTED_VALUE"""),"POSTED")</f>
        <v>POSTED</v>
      </c>
      <c r="M412" s="1" t="str">
        <f>IFERROR(__xludf.DUMMYFUNCTION("""COMPUTED_VALUE"""),"POSTED")</f>
        <v>POSTED</v>
      </c>
      <c r="N412" s="3">
        <f>IFERROR(__xludf.DUMMYFUNCTION("""COMPUTED_VALUE"""),46269)</f>
        <v>46269</v>
      </c>
      <c r="O412" s="1" t="str">
        <f>IFERROR(__xludf.DUMMYFUNCTION("""COMPUTED_VALUE"""),"FIBR UNLI ALL PLAN 999")</f>
        <v>FIBR UNLI ALL PLAN 999</v>
      </c>
      <c r="P412" s="1" t="str">
        <f>IFERROR(__xludf.DUMMYFUNCTION("""COMPUTED_VALUE"""),"LOWPLAN")</f>
        <v>LOWPLAN</v>
      </c>
      <c r="Q412" s="1" t="str">
        <f>IFERROR(__xludf.DUMMYFUNCTION("""COMPUTED_VALUE"""),"P407045")</f>
        <v>P407045</v>
      </c>
      <c r="R412" s="1" t="str">
        <f>IFERROR(__xludf.DUMMYFUNCTION("""COMPUTED_VALUE"""),"REMOLLO, LEA")</f>
        <v>REMOLLO, LEA</v>
      </c>
      <c r="S412" s="1" t="str">
        <f>IFERROR(__xludf.DUMMYFUNCTION("""COMPUTED_VALUE"""),"FLA")</f>
        <v>FLA</v>
      </c>
      <c r="T412" s="1" t="str">
        <f>IFERROR(__xludf.DUMMYFUNCTION("""COMPUTED_VALUE"""),"JERIC NAVARRO")</f>
        <v>JERIC NAVARRO</v>
      </c>
      <c r="U412" s="1" t="str">
        <f>IFERROR(__xludf.DUMMYFUNCTION("""COMPUTED_VALUE"""),"JULIE ESPIRITU")</f>
        <v>JULIE ESPIRITU</v>
      </c>
      <c r="V412" s="1" t="str">
        <f>IFERROR(__xludf.DUMMYFUNCTION("""COMPUTED_VALUE"""),"BK HSTK")</f>
        <v>BK HSTK</v>
      </c>
      <c r="W412" s="1" t="str">
        <f>IFERROR(__xludf.DUMMYFUNCTION("""COMPUTED_VALUE"""),"BK HSTK")</f>
        <v>BK HSTK</v>
      </c>
      <c r="X412" s="1" t="str">
        <f>IFERROR(__xludf.DUMMYFUNCTION("""COMPUTED_VALUE"""),"REGULAR")</f>
        <v>REGULAR</v>
      </c>
      <c r="Y412" s="1" t="str">
        <f>IFERROR(__xludf.DUMMYFUNCTION("""COMPUTED_VALUE"""),"BK_CVEU_260820")</f>
        <v>BK_CVEU_260820</v>
      </c>
      <c r="Z412" s="1" t="str">
        <f>IFERROR(__xludf.DUMMYFUNCTION("""COMPUTED_VALUE"""),"NEW CONNECT")</f>
        <v>NEW CONNECT</v>
      </c>
      <c r="AA412" s="1">
        <f>IFERROR(__xludf.DUMMYFUNCTION("""COMPUTED_VALUE"""),639531925968)</f>
        <v>639531925968</v>
      </c>
      <c r="AB412" s="1"/>
      <c r="AC412" s="1">
        <f>IFERROR(__xludf.DUMMYFUNCTION("""COMPUTED_VALUE"""),452)</f>
        <v>452</v>
      </c>
      <c r="AD412" s="1" t="str">
        <f>IFERROR(__xludf.DUMMYFUNCTION("""COMPUTED_VALUE"""),"PUROK 2")</f>
        <v>PUROK 2</v>
      </c>
      <c r="AE412" s="1"/>
      <c r="AF412" s="1" t="str">
        <f>IFERROR(__xludf.DUMMYFUNCTION("""COMPUTED_VALUE"""),"BGY IBA")</f>
        <v>BGY IBA</v>
      </c>
      <c r="AG412" s="1" t="str">
        <f>IFERROR(__xludf.DUMMYFUNCTION("""COMPUTED_VALUE"""),"SILANG")</f>
        <v>SILANG</v>
      </c>
      <c r="AH412" s="1"/>
      <c r="AI412" s="1" t="str">
        <f>IFERROR(__xludf.DUMMYFUNCTION("""COMPUTED_VALUE"""),"CLUSTER 11")</f>
        <v>CLUSTER 11</v>
      </c>
    </row>
    <row r="413" customHeight="1" spans="1:35">
      <c r="A413" s="3">
        <f>IFERROR(__xludf.DUMMYFUNCTION("""COMPUTED_VALUE"""),46268)</f>
        <v>46268</v>
      </c>
      <c r="B413" s="1" t="str">
        <f>IFERROR(__xludf.DUMMYFUNCTION("""COMPUTED_VALUE"""),"LEVANNIE CRIS CONEJOS CONDE")</f>
        <v>LEVANNIE CRIS CONEJOS CONDE</v>
      </c>
      <c r="C413" s="1">
        <f>IFERROR(__xludf.DUMMYFUNCTION("""COMPUTED_VALUE"""),2312327311)</f>
        <v>2312327311</v>
      </c>
      <c r="D413" s="1">
        <f>IFERROR(__xludf.DUMMYFUNCTION("""COMPUTED_VALUE"""),407587421)</f>
        <v>407587421</v>
      </c>
      <c r="E413" s="1">
        <f>IFERROR(__xludf.DUMMYFUNCTION("""COMPUTED_VALUE"""),469432681004)</f>
        <v>469432681004</v>
      </c>
      <c r="F413" s="1" t="str">
        <f>IFERROR(__xludf.DUMMYFUNCTION("""COMPUTED_VALUE"""),"CLOSED")</f>
        <v>CLOSED</v>
      </c>
      <c r="G413" s="1" t="str">
        <f>IFERROR(__xludf.DUMMYFUNCTION("""COMPUTED_VALUE"""),"CLOSED")</f>
        <v>CLOSED</v>
      </c>
      <c r="H413" s="1" t="str">
        <f>IFERROR(__xludf.DUMMYFUNCTION("""COMPUTED_VALUE"""),"PQGOR365702314	30-Sep-26	Regular Payment	CIS-GCASH 3.0	1,850.00	0	30-Sep-26")</f>
        <v>PQGOR365702314	30-Sep-26	Regular Payment	CIS-GCASH 3.0	1,850.00	0	30-Sep-26</v>
      </c>
      <c r="I413" s="1" t="str">
        <f>IFERROR(__xludf.DUMMYFUNCTION("""COMPUTED_VALUE"""),"WITH 1 AMSF")</f>
        <v>WITH 1 AMSF</v>
      </c>
      <c r="J413" s="1"/>
      <c r="K413" s="1" t="str">
        <f>IFERROR(__xludf.DUMMYFUNCTION("""COMPUTED_VALUE"""),"COMPLETED")</f>
        <v>COMPLETED</v>
      </c>
      <c r="L413" s="1" t="str">
        <f>IFERROR(__xludf.DUMMYFUNCTION("""COMPUTED_VALUE"""),"POSTED")</f>
        <v>POSTED</v>
      </c>
      <c r="M413" s="1" t="str">
        <f>IFERROR(__xludf.DUMMYFUNCTION("""COMPUTED_VALUE"""),"POSTED")</f>
        <v>POSTED</v>
      </c>
      <c r="N413" s="3">
        <f>IFERROR(__xludf.DUMMYFUNCTION("""COMPUTED_VALUE"""),46268)</f>
        <v>46268</v>
      </c>
      <c r="O413" s="1" t="str">
        <f>IFERROR(__xludf.DUMMYFUNCTION("""COMPUTED_VALUE"""),"FIBER UNLI ALL PLAN 1499")</f>
        <v>FIBER UNLI ALL PLAN 1499</v>
      </c>
      <c r="P413" s="1" t="str">
        <f>IFERROR(__xludf.DUMMYFUNCTION("""COMPUTED_VALUE"""),"LOWPLAN")</f>
        <v>LOWPLAN</v>
      </c>
      <c r="Q413" s="1" t="str">
        <f>IFERROR(__xludf.DUMMYFUNCTION("""COMPUTED_VALUE"""),"P407050")</f>
        <v>P407050</v>
      </c>
      <c r="R413" s="1" t="str">
        <f>IFERROR(__xludf.DUMMYFUNCTION("""COMPUTED_VALUE"""),"ESCARCHA, ALMA")</f>
        <v>ESCARCHA, ALMA</v>
      </c>
      <c r="S413" s="1" t="str">
        <f>IFERROR(__xludf.DUMMYFUNCTION("""COMPUTED_VALUE"""),"ORGANIC")</f>
        <v>ORGANIC</v>
      </c>
      <c r="T413" s="1" t="str">
        <f>IFERROR(__xludf.DUMMYFUNCTION("""COMPUTED_VALUE"""),"LEA REMOLLO")</f>
        <v>LEA REMOLLO</v>
      </c>
      <c r="U413" s="1" t="str">
        <f>IFERROR(__xludf.DUMMYFUNCTION("""COMPUTED_VALUE"""),"JULIE ESPIRITU")</f>
        <v>JULIE ESPIRITU</v>
      </c>
      <c r="V413" s="1" t="str">
        <f>IFERROR(__xludf.DUMMYFUNCTION("""COMPUTED_VALUE"""),"BK HSTK")</f>
        <v>BK HSTK</v>
      </c>
      <c r="W413" s="1" t="str">
        <f>IFERROR(__xludf.DUMMYFUNCTION("""COMPUTED_VALUE"""),"BK HSTK")</f>
        <v>BK HSTK</v>
      </c>
      <c r="X413" s="1" t="str">
        <f>IFERROR(__xludf.DUMMYFUNCTION("""COMPUTED_VALUE"""),"REGULAR")</f>
        <v>REGULAR</v>
      </c>
      <c r="Y413" s="1" t="str">
        <f>IFERROR(__xludf.DUMMYFUNCTION("""COMPUTED_VALUE"""),"BK_CVEU_260819")</f>
        <v>BK_CVEU_260819</v>
      </c>
      <c r="Z413" s="1" t="str">
        <f>IFERROR(__xludf.DUMMYFUNCTION("""COMPUTED_VALUE"""),"NEW CONNECT")</f>
        <v>NEW CONNECT</v>
      </c>
      <c r="AA413" s="1">
        <f>IFERROR(__xludf.DUMMYFUNCTION("""COMPUTED_VALUE"""),639568327107)</f>
        <v>639568327107</v>
      </c>
      <c r="AB413" s="1"/>
      <c r="AC413" s="1">
        <f>IFERROR(__xludf.DUMMYFUNCTION("""COMPUTED_VALUE"""),47)</f>
        <v>47</v>
      </c>
      <c r="AD413" s="1" t="str">
        <f>IFERROR(__xludf.DUMMYFUNCTION("""COMPUTED_VALUE"""),"M DIMAPILIS")</f>
        <v>M DIMAPILIS</v>
      </c>
      <c r="AE413" s="1"/>
      <c r="AF413" s="1" t="str">
        <f>IFERROR(__xludf.DUMMYFUNCTION("""COMPUTED_VALUE"""),"BGY ANULING LEJOS 1")</f>
        <v>BGY ANULING LEJOS 1</v>
      </c>
      <c r="AG413" s="1" t="str">
        <f>IFERROR(__xludf.DUMMYFUNCTION("""COMPUTED_VALUE"""),"MENDEZ")</f>
        <v>MENDEZ</v>
      </c>
      <c r="AH413" s="1" t="str">
        <f>IFERROR(__xludf.DUMMYFUNCTION("""COMPUTED_VALUE"""),"BESIDE HOMESCAD SUBDIVISION")</f>
        <v>BESIDE HOMESCAD SUBDIVISION</v>
      </c>
      <c r="AI413" s="1" t="str">
        <f>IFERROR(__xludf.DUMMYFUNCTION("""COMPUTED_VALUE"""),"CLUSTER 12")</f>
        <v>CLUSTER 12</v>
      </c>
    </row>
    <row r="414" customHeight="1" spans="1:35">
      <c r="A414" s="3">
        <f>IFERROR(__xludf.DUMMYFUNCTION("""COMPUTED_VALUE"""),46268)</f>
        <v>46268</v>
      </c>
      <c r="B414" s="1" t="str">
        <f>IFERROR(__xludf.DUMMYFUNCTION("""COMPUTED_VALUE"""),"NOEL ALTEA BELARMINO")</f>
        <v>NOEL ALTEA BELARMINO</v>
      </c>
      <c r="C414" s="1">
        <f>IFERROR(__xludf.DUMMYFUNCTION("""COMPUTED_VALUE"""),2312331486)</f>
        <v>2312331486</v>
      </c>
      <c r="D414" s="1">
        <f>IFERROR(__xludf.DUMMYFUNCTION("""COMPUTED_VALUE"""),407589270)</f>
        <v>407589270</v>
      </c>
      <c r="E414" s="1">
        <f>IFERROR(__xludf.DUMMYFUNCTION("""COMPUTED_VALUE"""),471518236004)</f>
        <v>471518236004</v>
      </c>
      <c r="F414" s="1" t="str">
        <f>IFERROR(__xludf.DUMMYFUNCTION("""COMPUTED_VALUE"""),"CLOSED")</f>
        <v>CLOSED</v>
      </c>
      <c r="G414" s="1" t="str">
        <f>IFERROR(__xludf.DUMMYFUNCTION("""COMPUTED_VALUE"""),"CLOSED")</f>
        <v>CLOSED</v>
      </c>
      <c r="H414" s="1" t="str">
        <f>IFERROR(__xludf.DUMMYFUNCTION("""COMPUTED_VALUE"""),"PAID VIA BDO 01010 606 SEP 8")</f>
        <v>PAID VIA BDO 01010 606 SEP 8</v>
      </c>
      <c r="I414" s="1" t="str">
        <f>IFERROR(__xludf.DUMMYFUNCTION("""COMPUTED_VALUE"""),"WITH 1 AMSF")</f>
        <v>WITH 1 AMSF</v>
      </c>
      <c r="J414" s="1"/>
      <c r="K414" s="1" t="str">
        <f>IFERROR(__xludf.DUMMYFUNCTION("""COMPUTED_VALUE"""),"COMPLETED")</f>
        <v>COMPLETED</v>
      </c>
      <c r="L414" s="1" t="str">
        <f>IFERROR(__xludf.DUMMYFUNCTION("""COMPUTED_VALUE"""),"POSTED")</f>
        <v>POSTED</v>
      </c>
      <c r="M414" s="1" t="str">
        <f>IFERROR(__xludf.DUMMYFUNCTION("""COMPUTED_VALUE"""),"POSTED")</f>
        <v>POSTED</v>
      </c>
      <c r="N414" s="3">
        <f>IFERROR(__xludf.DUMMYFUNCTION("""COMPUTED_VALUE"""),2026)</f>
        <v>2026</v>
      </c>
      <c r="O414" s="1" t="str">
        <f>IFERROR(__xludf.DUMMYFUNCTION("""COMPUTED_VALUE"""),"FIBR NETFLIX PLAN 1599")</f>
        <v>FIBR NETFLIX PLAN 1599</v>
      </c>
      <c r="P414" s="1" t="str">
        <f>IFERROR(__xludf.DUMMYFUNCTION("""COMPUTED_VALUE"""),"LOWPLAN")</f>
        <v>LOWPLAN</v>
      </c>
      <c r="Q414" s="1" t="str">
        <f>IFERROR(__xludf.DUMMYFUNCTION("""COMPUTED_VALUE"""),"P407045")</f>
        <v>P407045</v>
      </c>
      <c r="R414" s="1" t="str">
        <f>IFERROR(__xludf.DUMMYFUNCTION("""COMPUTED_VALUE"""),"FARO, REFRANTA")</f>
        <v>FARO, REFRANTA</v>
      </c>
      <c r="S414" s="1" t="str">
        <f>IFERROR(__xludf.DUMMYFUNCTION("""COMPUTED_VALUE"""),"FLA")</f>
        <v>FLA</v>
      </c>
      <c r="T414" s="1" t="str">
        <f>IFERROR(__xludf.DUMMYFUNCTION("""COMPUTED_VALUE"""),"JERIC NAVARRO")</f>
        <v>JERIC NAVARRO</v>
      </c>
      <c r="U414" s="1" t="str">
        <f>IFERROR(__xludf.DUMMYFUNCTION("""COMPUTED_VALUE"""),"JULIE ESPIRITU")</f>
        <v>JULIE ESPIRITU</v>
      </c>
      <c r="V414" s="1" t="str">
        <f>IFERROR(__xludf.DUMMYFUNCTION("""COMPUTED_VALUE"""),"BK HSTK")</f>
        <v>BK HSTK</v>
      </c>
      <c r="W414" s="1" t="str">
        <f>IFERROR(__xludf.DUMMYFUNCTION("""COMPUTED_VALUE"""),"BK HSTK")</f>
        <v>BK HSTK</v>
      </c>
      <c r="X414" s="1" t="str">
        <f>IFERROR(__xludf.DUMMYFUNCTION("""COMPUTED_VALUE"""),"REGULAR")</f>
        <v>REGULAR</v>
      </c>
      <c r="Y414" s="1" t="str">
        <f>IFERROR(__xludf.DUMMYFUNCTION("""COMPUTED_VALUE"""),"BK_CVEU_260821")</f>
        <v>BK_CVEU_260821</v>
      </c>
      <c r="Z414" s="1" t="str">
        <f>IFERROR(__xludf.DUMMYFUNCTION("""COMPUTED_VALUE"""),"NEW CONNECT")</f>
        <v>NEW CONNECT</v>
      </c>
      <c r="AA414" s="1">
        <f>IFERROR(__xludf.DUMMYFUNCTION("""COMPUTED_VALUE"""),639177074454)</f>
        <v>639177074454</v>
      </c>
      <c r="AB414" s="1">
        <f>IFERROR(__xludf.DUMMYFUNCTION("""COMPUTED_VALUE"""),639175151908)</f>
        <v>639175151908</v>
      </c>
      <c r="AC414" s="1">
        <f>IFERROR(__xludf.DUMMYFUNCTION("""COMPUTED_VALUE"""),2092)</f>
        <v>2092</v>
      </c>
      <c r="AD414" s="1" t="str">
        <f>IFERROR(__xludf.DUMMYFUNCTION("""COMPUTED_VALUE"""),"ELEVE HOMES")</f>
        <v>ELEVE HOMES</v>
      </c>
      <c r="AE414" s="1" t="str">
        <f>IFERROR(__xludf.DUMMYFUNCTION("""COMPUTED_VALUE"""),"ELEVE HOMES")</f>
        <v>ELEVE HOMES</v>
      </c>
      <c r="AF414" s="1" t="str">
        <f>IFERROR(__xludf.DUMMYFUNCTION("""COMPUTED_VALUE"""),"BGY MAHARLIKA WEST")</f>
        <v>BGY MAHARLIKA WEST</v>
      </c>
      <c r="AG414" s="1" t="str">
        <f>IFERROR(__xludf.DUMMYFUNCTION("""COMPUTED_VALUE"""),"TAGAYTAY")</f>
        <v>TAGAYTAY</v>
      </c>
      <c r="AH414" s="1" t="str">
        <f>IFERROR(__xludf.DUMMYFUNCTION("""COMPUTED_VALUE"""),"RONAMAR HOTEL AND RESTAURANT")</f>
        <v>RONAMAR HOTEL AND RESTAURANT</v>
      </c>
      <c r="AI414" s="1" t="str">
        <f>IFERROR(__xludf.DUMMYFUNCTION("""COMPUTED_VALUE"""),"CLUSTER 12")</f>
        <v>CLUSTER 12</v>
      </c>
    </row>
    <row r="415" customHeight="1" spans="1:35">
      <c r="A415" s="3">
        <f>IFERROR(__xludf.DUMMYFUNCTION("""COMPUTED_VALUE"""),46268)</f>
        <v>46268</v>
      </c>
      <c r="B415" s="1" t="str">
        <f>IFERROR(__xludf.DUMMYFUNCTION("""COMPUTED_VALUE"""),"JESSIE BAUTISTA QUINZON")</f>
        <v>JESSIE BAUTISTA QUINZON</v>
      </c>
      <c r="C415" s="1">
        <f>IFERROR(__xludf.DUMMYFUNCTION("""COMPUTED_VALUE"""),2312332023)</f>
        <v>2312332023</v>
      </c>
      <c r="D415" s="1">
        <f>IFERROR(__xludf.DUMMYFUNCTION("""COMPUTED_VALUE"""),407588916)</f>
        <v>407588916</v>
      </c>
      <c r="E415" s="1">
        <f>IFERROR(__xludf.DUMMYFUNCTION("""COMPUTED_VALUE"""),469432430004)</f>
        <v>469432430004</v>
      </c>
      <c r="F415" s="1" t="str">
        <f>IFERROR(__xludf.DUMMYFUNCTION("""COMPUTED_VALUE"""),"CANCELLED")</f>
        <v>CANCELLED</v>
      </c>
      <c r="G415" s="1" t="str">
        <f>IFERROR(__xludf.DUMMYFUNCTION("""COMPUTED_VALUE"""),"CANCELLED")</f>
        <v>CANCELLED</v>
      </c>
      <c r="H415" s="1" t="str">
        <f>IFERROR(__xludf.DUMMYFUNCTION("""COMPUTED_VALUE"""),"CANNOT BE REACHED 9/21/FOR CANCELLATION")</f>
        <v>CANNOT BE REACHED 9/21/FOR CANCELLATION</v>
      </c>
      <c r="I415" s="1"/>
      <c r="J415" s="1"/>
      <c r="K415" s="1" t="str">
        <f>IFERROR(__xludf.DUMMYFUNCTION("""COMPUTED_VALUE"""),"NOT IN OFSC")</f>
        <v>NOT IN OFSC</v>
      </c>
      <c r="L415" s="1" t="str">
        <f>IFERROR(__xludf.DUMMYFUNCTION("""COMPUTED_VALUE"""),"FOR CANCELLATION")</f>
        <v>FOR CANCELLATION</v>
      </c>
      <c r="M415" s="1" t="str">
        <f>IFERROR(__xludf.DUMMYFUNCTION("""COMPUTED_VALUE"""),"FOR CANCELLATION - NON COMPLIANCE - NO PAYMENT")</f>
        <v>FOR CANCELLATION - NON COMPLIANCE - NO PAYMENT</v>
      </c>
      <c r="N415" s="3"/>
      <c r="O415" s="1" t="str">
        <f>IFERROR(__xludf.DUMMYFUNCTION("""COMPUTED_VALUE"""),"FIBR UNLI ALL PLAN 999")</f>
        <v>FIBR UNLI ALL PLAN 999</v>
      </c>
      <c r="P415" s="1" t="str">
        <f>IFERROR(__xludf.DUMMYFUNCTION("""COMPUTED_VALUE"""),"LOWPLAN")</f>
        <v>LOWPLAN</v>
      </c>
      <c r="Q415" s="1" t="str">
        <f>IFERROR(__xludf.DUMMYFUNCTION("""COMPUTED_VALUE"""),"P407050")</f>
        <v>P407050</v>
      </c>
      <c r="R415" s="1" t="str">
        <f>IFERROR(__xludf.DUMMYFUNCTION("""COMPUTED_VALUE"""),"ARENA, LYKA")</f>
        <v>ARENA, LYKA</v>
      </c>
      <c r="S415" s="1" t="str">
        <f>IFERROR(__xludf.DUMMYFUNCTION("""COMPUTED_VALUE"""),"ORGANIC")</f>
        <v>ORGANIC</v>
      </c>
      <c r="T415" s="1" t="str">
        <f>IFERROR(__xludf.DUMMYFUNCTION("""COMPUTED_VALUE"""),"LEA REMOLLO")</f>
        <v>LEA REMOLLO</v>
      </c>
      <c r="U415" s="1" t="str">
        <f>IFERROR(__xludf.DUMMYFUNCTION("""COMPUTED_VALUE"""),"JULIE ESPIRITU")</f>
        <v>JULIE ESPIRITU</v>
      </c>
      <c r="V415" s="1" t="str">
        <f>IFERROR(__xludf.DUMMYFUNCTION("""COMPUTED_VALUE"""),"BK HSTK")</f>
        <v>BK HSTK</v>
      </c>
      <c r="W415" s="1" t="str">
        <f>IFERROR(__xludf.DUMMYFUNCTION("""COMPUTED_VALUE"""),"BK HSTK")</f>
        <v>BK HSTK</v>
      </c>
      <c r="X415" s="1" t="str">
        <f>IFERROR(__xludf.DUMMYFUNCTION("""COMPUTED_VALUE"""),"REGULAR")</f>
        <v>REGULAR</v>
      </c>
      <c r="Y415" s="1" t="str">
        <f>IFERROR(__xludf.DUMMYFUNCTION("""COMPUTED_VALUE"""),"BK_CVEU_260819")</f>
        <v>BK_CVEU_260819</v>
      </c>
      <c r="Z415" s="1" t="str">
        <f>IFERROR(__xludf.DUMMYFUNCTION("""COMPUTED_VALUE"""),"NEW CONNECT")</f>
        <v>NEW CONNECT</v>
      </c>
      <c r="AA415" s="1">
        <f>IFERROR(__xludf.DUMMYFUNCTION("""COMPUTED_VALUE"""),639308284093)</f>
        <v>639308284093</v>
      </c>
      <c r="AB415" s="1"/>
      <c r="AC415" s="1">
        <f>IFERROR(__xludf.DUMMYFUNCTION("""COMPUTED_VALUE"""),264)</f>
        <v>264</v>
      </c>
      <c r="AD415" s="1" t="str">
        <f>IFERROR(__xludf.DUMMYFUNCTION("""COMPUTED_VALUE"""),"GATPANDAN")</f>
        <v>GATPANDAN</v>
      </c>
      <c r="AE415" s="1"/>
      <c r="AF415" s="1" t="str">
        <f>IFERROR(__xludf.DUMMYFUNCTION("""COMPUTED_VALUE"""),"BGY ANULING LEJOS 1")</f>
        <v>BGY ANULING LEJOS 1</v>
      </c>
      <c r="AG415" s="1" t="str">
        <f>IFERROR(__xludf.DUMMYFUNCTION("""COMPUTED_VALUE"""),"MENDEZ")</f>
        <v>MENDEZ</v>
      </c>
      <c r="AH415" s="1" t="str">
        <f>IFERROR(__xludf.DUMMYFUNCTION("""COMPUTED_VALUE"""),"ABBERRY FARM / BESIDE KUBO NAYON")</f>
        <v>ABBERRY FARM / BESIDE KUBO NAYON</v>
      </c>
      <c r="AI415" s="1" t="str">
        <f>IFERROR(__xludf.DUMMYFUNCTION("""COMPUTED_VALUE"""),"CLUSTER 12")</f>
        <v>CLUSTER 12</v>
      </c>
    </row>
    <row r="416" customHeight="1" spans="1:35">
      <c r="A416" s="3">
        <f>IFERROR(__xludf.DUMMYFUNCTION("""COMPUTED_VALUE"""),46268)</f>
        <v>46268</v>
      </c>
      <c r="B416" s="1" t="str">
        <f>IFERROR(__xludf.DUMMYFUNCTION("""COMPUTED_VALUE"""),"MA CECILIA SAMUYA CHO")</f>
        <v>MA CECILIA SAMUYA CHO</v>
      </c>
      <c r="C416" s="1">
        <f>IFERROR(__xludf.DUMMYFUNCTION("""COMPUTED_VALUE"""),2312333501)</f>
        <v>2312333501</v>
      </c>
      <c r="D416" s="1">
        <f>IFERROR(__xludf.DUMMYFUNCTION("""COMPUTED_VALUE"""),407604415)</f>
        <v>407604415</v>
      </c>
      <c r="E416" s="1">
        <f>IFERROR(__xludf.DUMMYFUNCTION("""COMPUTED_VALUE"""),469520312004)</f>
        <v>469520312004</v>
      </c>
      <c r="F416" s="1" t="str">
        <f>IFERROR(__xludf.DUMMYFUNCTION("""COMPUTED_VALUE"""),"CLOSED")</f>
        <v>CLOSED</v>
      </c>
      <c r="G416" s="1" t="str">
        <f>IFERROR(__xludf.DUMMYFUNCTION("""COMPUTED_VALUE"""),"CLOSED")</f>
        <v>CLOSED</v>
      </c>
      <c r="H416" s="1" t="str">
        <f>IFERROR(__xludf.DUMMYFUNCTION("""COMPUTED_VALUE"""),"PAID VIA GCASH - SEPT 6 - REF - 259183121")</f>
        <v>PAID VIA GCASH - SEPT 6 - REF - 259183121</v>
      </c>
      <c r="I416" s="1" t="str">
        <f>IFERROR(__xludf.DUMMYFUNCTION("""COMPUTED_VALUE"""),"WITH 1 AMSF")</f>
        <v>WITH 1 AMSF</v>
      </c>
      <c r="J416" s="1"/>
      <c r="K416" s="1" t="str">
        <f>IFERROR(__xludf.DUMMYFUNCTION("""COMPUTED_VALUE"""),"COMPLETED")</f>
        <v>COMPLETED</v>
      </c>
      <c r="L416" s="1" t="str">
        <f>IFERROR(__xludf.DUMMYFUNCTION("""COMPUTED_VALUE"""),"POSTED")</f>
        <v>POSTED</v>
      </c>
      <c r="M416" s="1" t="str">
        <f>IFERROR(__xludf.DUMMYFUNCTION("""COMPUTED_VALUE"""),"POSTED")</f>
        <v>POSTED</v>
      </c>
      <c r="N416" s="3">
        <f>IFERROR(__xludf.DUMMYFUNCTION("""COMPUTED_VALUE"""),46269)</f>
        <v>46269</v>
      </c>
      <c r="O416" s="1" t="str">
        <f>IFERROR(__xludf.DUMMYFUNCTION("""COMPUTED_VALUE"""),"FIBER UNLI ALL PLAN 1499")</f>
        <v>FIBER UNLI ALL PLAN 1499</v>
      </c>
      <c r="P416" s="1" t="str">
        <f>IFERROR(__xludf.DUMMYFUNCTION("""COMPUTED_VALUE"""),"LOWPLAN")</f>
        <v>LOWPLAN</v>
      </c>
      <c r="Q416" s="1" t="str">
        <f>IFERROR(__xludf.DUMMYFUNCTION("""COMPUTED_VALUE"""),"P407044")</f>
        <v>P407044</v>
      </c>
      <c r="R416" s="1" t="str">
        <f>IFERROR(__xludf.DUMMYFUNCTION("""COMPUTED_VALUE"""),"AYON, MANUEL")</f>
        <v>AYON, MANUEL</v>
      </c>
      <c r="S416" s="1" t="str">
        <f>IFERROR(__xludf.DUMMYFUNCTION("""COMPUTED_VALUE"""),"FLA")</f>
        <v>FLA</v>
      </c>
      <c r="T416" s="1" t="str">
        <f>IFERROR(__xludf.DUMMYFUNCTION("""COMPUTED_VALUE"""),"JERIC NAVARRO")</f>
        <v>JERIC NAVARRO</v>
      </c>
      <c r="U416" s="1" t="str">
        <f>IFERROR(__xludf.DUMMYFUNCTION("""COMPUTED_VALUE"""),"JULIE ESPIRITU")</f>
        <v>JULIE ESPIRITU</v>
      </c>
      <c r="V416" s="1" t="str">
        <f>IFERROR(__xludf.DUMMYFUNCTION("""COMPUTED_VALUE"""),"BK REGULAR")</f>
        <v>BK REGULAR</v>
      </c>
      <c r="W416" s="1" t="str">
        <f>IFERROR(__xludf.DUMMYFUNCTION("""COMPUTED_VALUE"""),"CSP")</f>
        <v>CSP</v>
      </c>
      <c r="X416" s="1" t="str">
        <f>IFERROR(__xludf.DUMMYFUNCTION("""COMPUTED_VALUE"""),"HBBS AUG 2026")</f>
        <v>HBBS AUG 2026</v>
      </c>
      <c r="Y416" s="1" t="str">
        <f>IFERROR(__xludf.DUMMYFUNCTION("""COMPUTED_VALUE"""),"BK_CVEU_260817")</f>
        <v>BK_CVEU_260817</v>
      </c>
      <c r="Z416" s="1" t="str">
        <f>IFERROR(__xludf.DUMMYFUNCTION("""COMPUTED_VALUE"""),"NEW CONNECT")</f>
        <v>NEW CONNECT</v>
      </c>
      <c r="AA416" s="1">
        <f>IFERROR(__xludf.DUMMYFUNCTION("""COMPUTED_VALUE"""),639189356147)</f>
        <v>639189356147</v>
      </c>
      <c r="AB416" s="1">
        <f>IFERROR(__xludf.DUMMYFUNCTION("""COMPUTED_VALUE"""),639178904443)</f>
        <v>639178904443</v>
      </c>
      <c r="AC416" s="1"/>
      <c r="AD416" s="1" t="str">
        <f>IFERROR(__xludf.DUMMYFUNCTION("""COMPUTED_VALUE"""),"PHASE 1")</f>
        <v>PHASE 1</v>
      </c>
      <c r="AE416" s="1" t="str">
        <f>IFERROR(__xludf.DUMMYFUNCTION("""COMPUTED_VALUE"""),"MANILA SOUTHWOODS")</f>
        <v>MANILA SOUTHWOODS</v>
      </c>
      <c r="AF416" s="1" t="str">
        <f>IFERROR(__xludf.DUMMYFUNCTION("""COMPUTED_VALUE"""),"BGY CABILANG BAYBAY")</f>
        <v>BGY CABILANG BAYBAY</v>
      </c>
      <c r="AG416" s="1" t="str">
        <f>IFERROR(__xludf.DUMMYFUNCTION("""COMPUTED_VALUE"""),"CARMONA")</f>
        <v>CARMONA</v>
      </c>
      <c r="AH416" s="1" t="str">
        <f>IFERROR(__xludf.DUMMYFUNCTION("""COMPUTED_VALUE"""),"-")</f>
        <v>-</v>
      </c>
      <c r="AI416" s="1" t="str">
        <f>IFERROR(__xludf.DUMMYFUNCTION("""COMPUTED_VALUE"""),"CLUSTER 11")</f>
        <v>CLUSTER 11</v>
      </c>
    </row>
    <row r="417" customHeight="1" spans="1:35">
      <c r="A417" s="3">
        <f>IFERROR(__xludf.DUMMYFUNCTION("""COMPUTED_VALUE"""),46268)</f>
        <v>46268</v>
      </c>
      <c r="B417" s="1" t="str">
        <f>IFERROR(__xludf.DUMMYFUNCTION("""COMPUTED_VALUE"""),"MARVIN ALCAUSE PALCIS")</f>
        <v>MARVIN ALCAUSE PALCIS</v>
      </c>
      <c r="C417" s="1">
        <f>IFERROR(__xludf.DUMMYFUNCTION("""COMPUTED_VALUE"""),2312333764)</f>
        <v>2312333764</v>
      </c>
      <c r="D417" s="1">
        <f>IFERROR(__xludf.DUMMYFUNCTION("""COMPUTED_VALUE"""),407596250)</f>
        <v>407596250</v>
      </c>
      <c r="E417" s="1">
        <f>IFERROR(__xludf.DUMMYFUNCTION("""COMPUTED_VALUE"""),469468422004)</f>
        <v>469468422004</v>
      </c>
      <c r="F417" s="1" t="str">
        <f>IFERROR(__xludf.DUMMYFUNCTION("""COMPUTED_VALUE"""),"CLOSED")</f>
        <v>CLOSED</v>
      </c>
      <c r="G417" s="1" t="str">
        <f>IFERROR(__xludf.DUMMYFUNCTION("""COMPUTED_VALUE"""),"CLOSED")</f>
        <v>CLOSED</v>
      </c>
      <c r="H417" s="1" t="str">
        <f>IFERROR(__xludf.DUMMYFUNCTION("""COMPUTED_VALUE"""),"PAID THRU MAYA 624703442540 SEP 04")</f>
        <v>PAID THRU MAYA 624703442540 SEP 04</v>
      </c>
      <c r="I417" s="1" t="str">
        <f>IFERROR(__xludf.DUMMYFUNCTION("""COMPUTED_VALUE"""),"WITH 1 AMSF")</f>
        <v>WITH 1 AMSF</v>
      </c>
      <c r="J417" s="1"/>
      <c r="K417" s="1" t="str">
        <f>IFERROR(__xludf.DUMMYFUNCTION("""COMPUTED_VALUE"""),"COMPLETED")</f>
        <v>COMPLETED</v>
      </c>
      <c r="L417" s="1" t="str">
        <f>IFERROR(__xludf.DUMMYFUNCTION("""COMPUTED_VALUE"""),"POSTED")</f>
        <v>POSTED</v>
      </c>
      <c r="M417" s="1" t="str">
        <f>IFERROR(__xludf.DUMMYFUNCTION("""COMPUTED_VALUE"""),"POSTED")</f>
        <v>POSTED</v>
      </c>
      <c r="N417" s="3">
        <f>IFERROR(__xludf.DUMMYFUNCTION("""COMPUTED_VALUE"""),46269)</f>
        <v>46269</v>
      </c>
      <c r="O417" s="1" t="str">
        <f>IFERROR(__xludf.DUMMYFUNCTION("""COMPUTED_VALUE"""),"FIBR PLAN 1299")</f>
        <v>FIBR PLAN 1299</v>
      </c>
      <c r="P417" s="1" t="str">
        <f>IFERROR(__xludf.DUMMYFUNCTION("""COMPUTED_VALUE"""),"LOWPLAN")</f>
        <v>LOWPLAN</v>
      </c>
      <c r="Q417" s="1" t="str">
        <f>IFERROR(__xludf.DUMMYFUNCTION("""COMPUTED_VALUE"""),"P407050")</f>
        <v>P407050</v>
      </c>
      <c r="R417" s="1" t="str">
        <f>IFERROR(__xludf.DUMMYFUNCTION("""COMPUTED_VALUE"""),"TAMAYO, MARY ROSE ZAIRA")</f>
        <v>TAMAYO, MARY ROSE ZAIRA</v>
      </c>
      <c r="S417" s="1" t="str">
        <f>IFERROR(__xludf.DUMMYFUNCTION("""COMPUTED_VALUE"""),"ORGANIC")</f>
        <v>ORGANIC</v>
      </c>
      <c r="T417" s="1" t="str">
        <f>IFERROR(__xludf.DUMMYFUNCTION("""COMPUTED_VALUE"""),"LEA REMOLLO")</f>
        <v>LEA REMOLLO</v>
      </c>
      <c r="U417" s="1" t="str">
        <f>IFERROR(__xludf.DUMMYFUNCTION("""COMPUTED_VALUE"""),"JULIE ESPIRITU")</f>
        <v>JULIE ESPIRITU</v>
      </c>
      <c r="V417" s="1" t="str">
        <f>IFERROR(__xludf.DUMMYFUNCTION("""COMPUTED_VALUE"""),"BK HSTK")</f>
        <v>BK HSTK</v>
      </c>
      <c r="W417" s="1" t="str">
        <f>IFERROR(__xludf.DUMMYFUNCTION("""COMPUTED_VALUE"""),"BK HSTK")</f>
        <v>BK HSTK</v>
      </c>
      <c r="X417" s="1" t="str">
        <f>IFERROR(__xludf.DUMMYFUNCTION("""COMPUTED_VALUE"""),"REGULAR")</f>
        <v>REGULAR</v>
      </c>
      <c r="Y417" s="1" t="str">
        <f>IFERROR(__xludf.DUMMYFUNCTION("""COMPUTED_VALUE"""),"BK_CVEU_260820")</f>
        <v>BK_CVEU_260820</v>
      </c>
      <c r="Z417" s="1" t="str">
        <f>IFERROR(__xludf.DUMMYFUNCTION("""COMPUTED_VALUE"""),"NEW CONNECT")</f>
        <v>NEW CONNECT</v>
      </c>
      <c r="AA417" s="1">
        <f>IFERROR(__xludf.DUMMYFUNCTION("""COMPUTED_VALUE"""),639757988745)</f>
        <v>639757988745</v>
      </c>
      <c r="AB417" s="1"/>
      <c r="AC417" s="1"/>
      <c r="AD417" s="1" t="str">
        <f>IFERROR(__xludf.DUMMYFUNCTION("""COMPUTED_VALUE"""),"BUKLURAN 1")</f>
        <v>BUKLURAN 1</v>
      </c>
      <c r="AE417" s="1"/>
      <c r="AF417" s="1" t="str">
        <f>IFERROR(__xludf.DUMMYFUNCTION("""COMPUTED_VALUE"""),"BGY BULIHAN")</f>
        <v>BGY BULIHAN</v>
      </c>
      <c r="AG417" s="1" t="str">
        <f>IFERROR(__xludf.DUMMYFUNCTION("""COMPUTED_VALUE"""),"SILANG")</f>
        <v>SILANG</v>
      </c>
      <c r="AH417" s="1" t="str">
        <f>IFERROR(__xludf.DUMMYFUNCTION("""COMPUTED_VALUE"""),"ARGUELLES AUTO AND MOTORCYCLE SUPPLY")</f>
        <v>ARGUELLES AUTO AND MOTORCYCLE SUPPLY</v>
      </c>
      <c r="AI417" s="1" t="str">
        <f>IFERROR(__xludf.DUMMYFUNCTION("""COMPUTED_VALUE"""),"CLUSTER 11")</f>
        <v>CLUSTER 11</v>
      </c>
    </row>
    <row r="418" customHeight="1" spans="1:35">
      <c r="A418" s="3">
        <f>IFERROR(__xludf.DUMMYFUNCTION("""COMPUTED_VALUE"""),46268)</f>
        <v>46268</v>
      </c>
      <c r="B418" s="1" t="str">
        <f>IFERROR(__xludf.DUMMYFUNCTION("""COMPUTED_VALUE"""),"GIORDELLE EPINO SINLAO")</f>
        <v>GIORDELLE EPINO SINLAO</v>
      </c>
      <c r="C418" s="1">
        <f>IFERROR(__xludf.DUMMYFUNCTION("""COMPUTED_VALUE"""),2312337292)</f>
        <v>2312337292</v>
      </c>
      <c r="D418" s="1">
        <f>IFERROR(__xludf.DUMMYFUNCTION("""COMPUTED_VALUE"""),407599489)</f>
        <v>407599489</v>
      </c>
      <c r="E418" s="1">
        <f>IFERROR(__xludf.DUMMYFUNCTION("""COMPUTED_VALUE"""),469470204004)</f>
        <v>469470204004</v>
      </c>
      <c r="F418" s="1" t="str">
        <f>IFERROR(__xludf.DUMMYFUNCTION("""COMPUTED_VALUE"""),"CLOSED")</f>
        <v>CLOSED</v>
      </c>
      <c r="G418" s="1" t="str">
        <f>IFERROR(__xludf.DUMMYFUNCTION("""COMPUTED_VALUE"""),"CLOSED")</f>
        <v>CLOSED</v>
      </c>
      <c r="H418" s="1" t="str">
        <f>IFERROR(__xludf.DUMMYFUNCTION("""COMPUTED_VALUE"""),"PQGOR366036120	03-Oct-26	Regular Payment	CIS-GCASH 3.0	1,220.00	0	03-Oct-26")</f>
        <v>PQGOR366036120	03-Oct-26	Regular Payment	CIS-GCASH 3.0	1,220.00	0	03-Oct-26</v>
      </c>
      <c r="I418" s="1" t="str">
        <f>IFERROR(__xludf.DUMMYFUNCTION("""COMPUTED_VALUE"""),"WITH 1 AMSF")</f>
        <v>WITH 1 AMSF</v>
      </c>
      <c r="J418" s="1"/>
      <c r="K418" s="1" t="str">
        <f>IFERROR(__xludf.DUMMYFUNCTION("""COMPUTED_VALUE"""),"COMPLETED")</f>
        <v>COMPLETED</v>
      </c>
      <c r="L418" s="1" t="str">
        <f>IFERROR(__xludf.DUMMYFUNCTION("""COMPUTED_VALUE"""),"POSTED")</f>
        <v>POSTED</v>
      </c>
      <c r="M418" s="1" t="str">
        <f>IFERROR(__xludf.DUMMYFUNCTION("""COMPUTED_VALUE"""),"POSTED")</f>
        <v>POSTED</v>
      </c>
      <c r="N418" s="3">
        <f>IFERROR(__xludf.DUMMYFUNCTION("""COMPUTED_VALUE"""),46269)</f>
        <v>46269</v>
      </c>
      <c r="O418" s="1" t="str">
        <f>IFERROR(__xludf.DUMMYFUNCTION("""COMPUTED_VALUE"""),"FIBR UNLI ALL PLAN 999")</f>
        <v>FIBR UNLI ALL PLAN 999</v>
      </c>
      <c r="P418" s="1" t="str">
        <f>IFERROR(__xludf.DUMMYFUNCTION("""COMPUTED_VALUE"""),"LOWPLAN")</f>
        <v>LOWPLAN</v>
      </c>
      <c r="Q418" s="1" t="str">
        <f>IFERROR(__xludf.DUMMYFUNCTION("""COMPUTED_VALUE"""),"P407050")</f>
        <v>P407050</v>
      </c>
      <c r="R418" s="1" t="str">
        <f>IFERROR(__xludf.DUMMYFUNCTION("""COMPUTED_VALUE"""),"IVNO, RAZZEL")</f>
        <v>IVNO, RAZZEL</v>
      </c>
      <c r="S418" s="1" t="str">
        <f>IFERROR(__xludf.DUMMYFUNCTION("""COMPUTED_VALUE"""),"ORGANIC")</f>
        <v>ORGANIC</v>
      </c>
      <c r="T418" s="1" t="str">
        <f>IFERROR(__xludf.DUMMYFUNCTION("""COMPUTED_VALUE"""),"LEA REMOLLO")</f>
        <v>LEA REMOLLO</v>
      </c>
      <c r="U418" s="1" t="str">
        <f>IFERROR(__xludf.DUMMYFUNCTION("""COMPUTED_VALUE"""),"JULIE ESPIRITU")</f>
        <v>JULIE ESPIRITU</v>
      </c>
      <c r="V418" s="1" t="str">
        <f>IFERROR(__xludf.DUMMYFUNCTION("""COMPUTED_VALUE"""),"BK HSTK")</f>
        <v>BK HSTK</v>
      </c>
      <c r="W418" s="1" t="str">
        <f>IFERROR(__xludf.DUMMYFUNCTION("""COMPUTED_VALUE"""),"BK HSTK")</f>
        <v>BK HSTK</v>
      </c>
      <c r="X418" s="1" t="str">
        <f>IFERROR(__xludf.DUMMYFUNCTION("""COMPUTED_VALUE"""),"REGULAR")</f>
        <v>REGULAR</v>
      </c>
      <c r="Y418" s="1" t="str">
        <f>IFERROR(__xludf.DUMMYFUNCTION("""COMPUTED_VALUE"""),"BK_CVEU_260818")</f>
        <v>BK_CVEU_260818</v>
      </c>
      <c r="Z418" s="1" t="str">
        <f>IFERROR(__xludf.DUMMYFUNCTION("""COMPUTED_VALUE"""),"NEW CONNECT")</f>
        <v>NEW CONNECT</v>
      </c>
      <c r="AA418" s="1">
        <f>IFERROR(__xludf.DUMMYFUNCTION("""COMPUTED_VALUE"""),639106105829)</f>
        <v>639106105829</v>
      </c>
      <c r="AB418" s="1">
        <f>IFERROR(__xludf.DUMMYFUNCTION("""COMPUTED_VALUE"""),639319150428)</f>
        <v>639319150428</v>
      </c>
      <c r="AC418" s="1"/>
      <c r="AD418" s="1" t="str">
        <f>IFERROR(__xludf.DUMMYFUNCTION("""COMPUTED_VALUE"""),"MARIE CURIE")</f>
        <v>MARIE CURIE</v>
      </c>
      <c r="AE418" s="1"/>
      <c r="AF418" s="1" t="str">
        <f>IFERROR(__xludf.DUMMYFUNCTION("""COMPUTED_VALUE"""),"BGY POBLACION 4")</f>
        <v>BGY POBLACION 4</v>
      </c>
      <c r="AG418" s="1" t="str">
        <f>IFERROR(__xludf.DUMMYFUNCTION("""COMPUTED_VALUE"""),"GEN MARIANO ALVAREZ")</f>
        <v>GEN MARIANO ALVAREZ</v>
      </c>
      <c r="AH418" s="1" t="str">
        <f>IFERROR(__xludf.DUMMYFUNCTION("""COMPUTED_VALUE"""),"MENIO SARISARI STORE")</f>
        <v>MENIO SARISARI STORE</v>
      </c>
      <c r="AI418" s="1" t="str">
        <f>IFERROR(__xludf.DUMMYFUNCTION("""COMPUTED_VALUE"""),"CLUSTER 11")</f>
        <v>CLUSTER 11</v>
      </c>
    </row>
    <row r="419" customHeight="1" spans="1:35">
      <c r="A419" s="3">
        <f>IFERROR(__xludf.DUMMYFUNCTION("""COMPUTED_VALUE"""),46268)</f>
        <v>46268</v>
      </c>
      <c r="B419" s="1" t="str">
        <f>IFERROR(__xludf.DUMMYFUNCTION("""COMPUTED_VALUE"""),"ERICA CUNANAN GONZALES")</f>
        <v>ERICA CUNANAN GONZALES</v>
      </c>
      <c r="C419" s="1">
        <f>IFERROR(__xludf.DUMMYFUNCTION("""COMPUTED_VALUE"""),2312338489)</f>
        <v>2312338489</v>
      </c>
      <c r="D419" s="1">
        <f>IFERROR(__xludf.DUMMYFUNCTION("""COMPUTED_VALUE"""),407602064)</f>
        <v>407602064</v>
      </c>
      <c r="E419" s="1">
        <f>IFERROR(__xludf.DUMMYFUNCTION("""COMPUTED_VALUE"""),469487843004)</f>
        <v>469487843004</v>
      </c>
      <c r="F419" s="1" t="str">
        <f>IFERROR(__xludf.DUMMYFUNCTION("""COMPUTED_VALUE"""),"CANCELLED")</f>
        <v>CANCELLED</v>
      </c>
      <c r="G419" s="1" t="str">
        <f>IFERROR(__xludf.DUMMYFUNCTION("""COMPUTED_VALUE"""),"CANCEL WALA NAMAN SILANG INAPPLY NA PLDT   TALK   JEPOY BALAGAT   ASAWA   CBR  09943614480")</f>
        <v>CANCEL WALA NAMAN SILANG INAPPLY NA PLDT   TALK   JEPOY BALAGAT   ASAWA   CBR  09943614480</v>
      </c>
      <c r="H419" s="1"/>
      <c r="I419" s="1"/>
      <c r="J419" s="1"/>
      <c r="K419" s="1" t="str">
        <f>IFERROR(__xludf.DUMMYFUNCTION("""COMPUTED_VALUE"""),"CANCELED")</f>
        <v>CANCELED</v>
      </c>
      <c r="L419" s="1" t="str">
        <f>IFERROR(__xludf.DUMMYFUNCTION("""COMPUTED_VALUE"""),"CANCELLED ")</f>
        <v>CANCELLED </v>
      </c>
      <c r="M419" s="1" t="str">
        <f>IFERROR(__xludf.DUMMYFUNCTION("""COMPUTED_VALUE"""),"RPR- SUBS CANCEL REQUEST")</f>
        <v>RPR- SUBS CANCEL REQUEST</v>
      </c>
      <c r="N419" s="3"/>
      <c r="O419" s="1" t="str">
        <f>IFERROR(__xludf.DUMMYFUNCTION("""COMPUTED_VALUE"""),"FIBR UNLI ALL PLAN 999")</f>
        <v>FIBR UNLI ALL PLAN 999</v>
      </c>
      <c r="P419" s="1" t="str">
        <f>IFERROR(__xludf.DUMMYFUNCTION("""COMPUTED_VALUE"""),"LOWPLAN")</f>
        <v>LOWPLAN</v>
      </c>
      <c r="Q419" s="1" t="str">
        <f>IFERROR(__xludf.DUMMYFUNCTION("""COMPUTED_VALUE"""),"P407050")</f>
        <v>P407050</v>
      </c>
      <c r="R419" s="1" t="str">
        <f>IFERROR(__xludf.DUMMYFUNCTION("""COMPUTED_VALUE"""),"MANDUCDOC, MARIANE")</f>
        <v>MANDUCDOC, MARIANE</v>
      </c>
      <c r="S419" s="1" t="str">
        <f>IFERROR(__xludf.DUMMYFUNCTION("""COMPUTED_VALUE"""),"ORGANIC")</f>
        <v>ORGANIC</v>
      </c>
      <c r="T419" s="1" t="str">
        <f>IFERROR(__xludf.DUMMYFUNCTION("""COMPUTED_VALUE"""),"LEA REMOLLO")</f>
        <v>LEA REMOLLO</v>
      </c>
      <c r="U419" s="1" t="str">
        <f>IFERROR(__xludf.DUMMYFUNCTION("""COMPUTED_VALUE"""),"JULIE ESPIRITU")</f>
        <v>JULIE ESPIRITU</v>
      </c>
      <c r="V419" s="1" t="str">
        <f>IFERROR(__xludf.DUMMYFUNCTION("""COMPUTED_VALUE"""),"BK HSTK")</f>
        <v>BK HSTK</v>
      </c>
      <c r="W419" s="1" t="str">
        <f>IFERROR(__xludf.DUMMYFUNCTION("""COMPUTED_VALUE"""),"BK HSTK")</f>
        <v>BK HSTK</v>
      </c>
      <c r="X419" s="1" t="str">
        <f>IFERROR(__xludf.DUMMYFUNCTION("""COMPUTED_VALUE"""),"REGULAR")</f>
        <v>REGULAR</v>
      </c>
      <c r="Y419" s="1" t="str">
        <f>IFERROR(__xludf.DUMMYFUNCTION("""COMPUTED_VALUE"""),"BK_CVEU_260818")</f>
        <v>BK_CVEU_260818</v>
      </c>
      <c r="Z419" s="1" t="str">
        <f>IFERROR(__xludf.DUMMYFUNCTION("""COMPUTED_VALUE"""),"NEW CONNECT")</f>
        <v>NEW CONNECT</v>
      </c>
      <c r="AA419" s="1">
        <f>IFERROR(__xludf.DUMMYFUNCTION("""COMPUTED_VALUE"""),639943614480)</f>
        <v>639943614480</v>
      </c>
      <c r="AB419" s="1"/>
      <c r="AC419" s="1"/>
      <c r="AD419" s="1" t="str">
        <f>IFERROR(__xludf.DUMMYFUNCTION("""COMPUTED_VALUE"""),"POBLACION 2")</f>
        <v>POBLACION 2</v>
      </c>
      <c r="AE419" s="1"/>
      <c r="AF419" s="1" t="str">
        <f>IFERROR(__xludf.DUMMYFUNCTION("""COMPUTED_VALUE"""),"BGY POBLACION 2")</f>
        <v>BGY POBLACION 2</v>
      </c>
      <c r="AG419" s="1" t="str">
        <f>IFERROR(__xludf.DUMMYFUNCTION("""COMPUTED_VALUE"""),"GEN MARIANO ALVAREZ")</f>
        <v>GEN MARIANO ALVAREZ</v>
      </c>
      <c r="AH419" s="1" t="str">
        <f>IFERROR(__xludf.DUMMYFUNCTION("""COMPUTED_VALUE"""),"COVERED COURT")</f>
        <v>COVERED COURT</v>
      </c>
      <c r="AI419" s="1" t="str">
        <f>IFERROR(__xludf.DUMMYFUNCTION("""COMPUTED_VALUE"""),"CLUSTER 11")</f>
        <v>CLUSTER 11</v>
      </c>
    </row>
    <row r="420" customHeight="1" spans="1:35">
      <c r="A420" s="3">
        <f>IFERROR(__xludf.DUMMYFUNCTION("""COMPUTED_VALUE"""),46269)</f>
        <v>46269</v>
      </c>
      <c r="B420" s="1" t="str">
        <f>IFERROR(__xludf.DUMMYFUNCTION("""COMPUTED_VALUE"""),"GABRIELA BAGAMASPAD TORRIJOS")</f>
        <v>GABRIELA BAGAMASPAD TORRIJOS</v>
      </c>
      <c r="C420" s="1">
        <f>IFERROR(__xludf.DUMMYFUNCTION("""COMPUTED_VALUE"""),2312349652)</f>
        <v>2312349652</v>
      </c>
      <c r="D420" s="1">
        <f>IFERROR(__xludf.DUMMYFUNCTION("""COMPUTED_VALUE"""),407609573)</f>
        <v>407609573</v>
      </c>
      <c r="E420" s="1">
        <f>IFERROR(__xludf.DUMMYFUNCTION("""COMPUTED_VALUE"""),469868177004)</f>
        <v>469868177004</v>
      </c>
      <c r="F420" s="1" t="str">
        <f>IFERROR(__xludf.DUMMYFUNCTION("""COMPUTED_VALUE"""),"CLOSED")</f>
        <v>CLOSED</v>
      </c>
      <c r="G420" s="1" t="str">
        <f>IFERROR(__xludf.DUMMYFUNCTION("""COMPUTED_VALUE"""),"CLOSED")</f>
        <v>CLOSED</v>
      </c>
      <c r="H420" s="1" t="str">
        <f>IFERROR(__xludf.DUMMYFUNCTION("""COMPUTED_VALUE"""),"PQGOR363870177	13-Sep-26	Regular Payment	CIS-GCASH 3.0	1,809.00	0	13-Sep-26")</f>
        <v>PQGOR363870177	13-Sep-26	Regular Payment	CIS-GCASH 3.0	1,809.00	0	13-Sep-26</v>
      </c>
      <c r="I420" s="1" t="str">
        <f>IFERROR(__xludf.DUMMYFUNCTION("""COMPUTED_VALUE"""),"WITH 1 AMSF")</f>
        <v>WITH 1 AMSF</v>
      </c>
      <c r="J420" s="1"/>
      <c r="K420" s="1" t="str">
        <f>IFERROR(__xludf.DUMMYFUNCTION("""COMPUTED_VALUE"""),"COMPLETED")</f>
        <v>COMPLETED</v>
      </c>
      <c r="L420" s="1" t="str">
        <f>IFERROR(__xludf.DUMMYFUNCTION("""COMPUTED_VALUE"""),"POSTED")</f>
        <v>POSTED</v>
      </c>
      <c r="M420" s="1" t="str">
        <f>IFERROR(__xludf.DUMMYFUNCTION("""COMPUTED_VALUE"""),"POSTED")</f>
        <v>POSTED</v>
      </c>
      <c r="N420" s="3">
        <f>IFERROR(__xludf.DUMMYFUNCTION("""COMPUTED_VALUE"""),46273)</f>
        <v>46273</v>
      </c>
      <c r="O420" s="1" t="str">
        <f>IFERROR(__xludf.DUMMYFUNCTION("""COMPUTED_VALUE"""),"FIBR NETFLIX PLAN 1599")</f>
        <v>FIBR NETFLIX PLAN 1599</v>
      </c>
      <c r="P420" s="1" t="str">
        <f>IFERROR(__xludf.DUMMYFUNCTION("""COMPUTED_VALUE"""),"LOWPLAN")</f>
        <v>LOWPLAN</v>
      </c>
      <c r="Q420" s="1" t="str">
        <f>IFERROR(__xludf.DUMMYFUNCTION("""COMPUTED_VALUE"""),"P407050")</f>
        <v>P407050</v>
      </c>
      <c r="R420" s="1" t="str">
        <f>IFERROR(__xludf.DUMMYFUNCTION("""COMPUTED_VALUE"""),"TAMAYO, MARY ROSE ZAIRA")</f>
        <v>TAMAYO, MARY ROSE ZAIRA</v>
      </c>
      <c r="S420" s="1" t="str">
        <f>IFERROR(__xludf.DUMMYFUNCTION("""COMPUTED_VALUE"""),"ORGANIC")</f>
        <v>ORGANIC</v>
      </c>
      <c r="T420" s="1" t="str">
        <f>IFERROR(__xludf.DUMMYFUNCTION("""COMPUTED_VALUE"""),"LEA REMOLLO")</f>
        <v>LEA REMOLLO</v>
      </c>
      <c r="U420" s="1" t="str">
        <f>IFERROR(__xludf.DUMMYFUNCTION("""COMPUTED_VALUE"""),"JB SALIOA")</f>
        <v>JB SALIOA</v>
      </c>
      <c r="V420" s="1" t="str">
        <f>IFERROR(__xludf.DUMMYFUNCTION("""COMPUTED_VALUE"""),"ONLINE/CRANFORD")</f>
        <v>ONLINE/CRANFORD</v>
      </c>
      <c r="W420" s="1" t="str">
        <f>IFERROR(__xludf.DUMMYFUNCTION("""COMPUTED_VALUE"""),"STK REGULAR")</f>
        <v>STK REGULAR</v>
      </c>
      <c r="X420" s="1" t="str">
        <f>IFERROR(__xludf.DUMMYFUNCTION("""COMPUTED_VALUE"""),"REGULAR")</f>
        <v>REGULAR</v>
      </c>
      <c r="Y420" s="1" t="str">
        <f>IFERROR(__xludf.DUMMYFUNCTION("""COMPUTED_VALUE"""),"RS_ONL_CVEU_2026")</f>
        <v>RS_ONL_CVEU_2026</v>
      </c>
      <c r="Z420" s="1" t="str">
        <f>IFERROR(__xludf.DUMMYFUNCTION("""COMPUTED_VALUE"""),"NEW CONNECT")</f>
        <v>NEW CONNECT</v>
      </c>
      <c r="AA420" s="1">
        <f>IFERROR(__xludf.DUMMYFUNCTION("""COMPUTED_VALUE"""),639692924203)</f>
        <v>639692924203</v>
      </c>
      <c r="AB420" s="1">
        <f>IFERROR(__xludf.DUMMYFUNCTION("""COMPUTED_VALUE"""),639634079002)</f>
        <v>639634079002</v>
      </c>
      <c r="AC420" s="1"/>
      <c r="AD420" s="1" t="str">
        <f>IFERROR(__xludf.DUMMYFUNCTION("""COMPUTED_VALUE"""),"GEN E AGUINALDO")</f>
        <v>GEN E AGUINALDO</v>
      </c>
      <c r="AE420" s="1"/>
      <c r="AF420" s="1" t="str">
        <f>IFERROR(__xludf.DUMMYFUNCTION("""COMPUTED_VALUE"""),"BGY ANIBAN 1")</f>
        <v>BGY ANIBAN 1</v>
      </c>
      <c r="AG420" s="1" t="str">
        <f>IFERROR(__xludf.DUMMYFUNCTION("""COMPUTED_VALUE"""),"BACOOR")</f>
        <v>BACOOR</v>
      </c>
      <c r="AH420" s="1" t="str">
        <f>IFERROR(__xludf.DUMMYFUNCTION("""COMPUTED_VALUE"""),"ANIBAN CENTRAL SCHOOL")</f>
        <v>ANIBAN CENTRAL SCHOOL</v>
      </c>
      <c r="AI420" s="1" t="str">
        <f>IFERROR(__xludf.DUMMYFUNCTION("""COMPUTED_VALUE"""),"NOT AOR")</f>
        <v>NOT AOR</v>
      </c>
    </row>
    <row r="421" customHeight="1" spans="1:35">
      <c r="A421" s="3">
        <f>IFERROR(__xludf.DUMMYFUNCTION("""COMPUTED_VALUE"""),46269)</f>
        <v>46269</v>
      </c>
      <c r="B421" s="1" t="str">
        <f>IFERROR(__xludf.DUMMYFUNCTION("""COMPUTED_VALUE"""),"ROGELIO REGODON BARET")</f>
        <v>ROGELIO REGODON BARET</v>
      </c>
      <c r="C421" s="1">
        <f>IFERROR(__xludf.DUMMYFUNCTION("""COMPUTED_VALUE"""),2312356011)</f>
        <v>2312356011</v>
      </c>
      <c r="D421" s="1">
        <f>IFERROR(__xludf.DUMMYFUNCTION("""COMPUTED_VALUE"""),407613902)</f>
        <v>407613902</v>
      </c>
      <c r="E421" s="1">
        <f>IFERROR(__xludf.DUMMYFUNCTION("""COMPUTED_VALUE"""),469907326004)</f>
        <v>469907326004</v>
      </c>
      <c r="F421" s="1" t="str">
        <f>IFERROR(__xludf.DUMMYFUNCTION("""COMPUTED_VALUE"""),"CLOSED")</f>
        <v>CLOSED</v>
      </c>
      <c r="G421" s="1" t="str">
        <f>IFERROR(__xludf.DUMMYFUNCTION("""COMPUTED_VALUE"""),"CLOSED")</f>
        <v>CLOSED</v>
      </c>
      <c r="H421" s="1" t="str">
        <f>IFERROR(__xludf.DUMMYFUNCTION("""COMPUTED_VALUE"""),"PQGOR363874551	13-Sep-26	Regular Payment	CIS-GCASH 3.0	823.67	0	13-Sep-26")</f>
        <v>PQGOR363874551	13-Sep-26	Regular Payment	CIS-GCASH 3.0	823.67	0	13-Sep-26</v>
      </c>
      <c r="I421" s="1" t="str">
        <f>IFERROR(__xludf.DUMMYFUNCTION("""COMPUTED_VALUE"""),"WITH 1 AMSF")</f>
        <v>WITH 1 AMSF</v>
      </c>
      <c r="J421" s="1" t="str">
        <f>IFERROR(__xludf.DUMMYFUNCTION("""COMPUTED_VALUE"""),"DUE DATE - 06-Sep-26	29-Sep-26	 	 	0.00	0.00	823.67	823.67")</f>
        <v>DUE DATE - 06-Sep-26	29-Sep-26	 	 	0.00	0.00	823.67	823.67</v>
      </c>
      <c r="K421" s="1" t="str">
        <f>IFERROR(__xludf.DUMMYFUNCTION("""COMPUTED_VALUE"""),"COMPLETED")</f>
        <v>COMPLETED</v>
      </c>
      <c r="L421" s="1" t="str">
        <f>IFERROR(__xludf.DUMMYFUNCTION("""COMPUTED_VALUE"""),"POSTED")</f>
        <v>POSTED</v>
      </c>
      <c r="M421" s="1" t="str">
        <f>IFERROR(__xludf.DUMMYFUNCTION("""COMPUTED_VALUE"""),"POSTED")</f>
        <v>POSTED</v>
      </c>
      <c r="N421" s="3">
        <f>IFERROR(__xludf.DUMMYFUNCTION("""COMPUTED_VALUE"""),46271)</f>
        <v>46271</v>
      </c>
      <c r="O421" s="1" t="str">
        <f>IFERROR(__xludf.DUMMYFUNCTION("""COMPUTED_VALUE"""),"SWITCH FIBER UNLI ALL PLAN 1499")</f>
        <v>SWITCH FIBER UNLI ALL PLAN 1499</v>
      </c>
      <c r="P421" s="1" t="str">
        <f>IFERROR(__xludf.DUMMYFUNCTION("""COMPUTED_VALUE"""),"SWITCH")</f>
        <v>SWITCH</v>
      </c>
      <c r="Q421" s="1" t="str">
        <f>IFERROR(__xludf.DUMMYFUNCTION("""COMPUTED_VALUE"""),"P407050")</f>
        <v>P407050</v>
      </c>
      <c r="R421" s="1" t="str">
        <f>IFERROR(__xludf.DUMMYFUNCTION("""COMPUTED_VALUE"""),"CADERAO, RONALD")</f>
        <v>CADERAO, RONALD</v>
      </c>
      <c r="S421" s="1" t="str">
        <f>IFERROR(__xludf.DUMMYFUNCTION("""COMPUTED_VALUE"""),"ORGANIC")</f>
        <v>ORGANIC</v>
      </c>
      <c r="T421" s="1" t="str">
        <f>IFERROR(__xludf.DUMMYFUNCTION("""COMPUTED_VALUE"""),"LEA REMOLLO")</f>
        <v>LEA REMOLLO</v>
      </c>
      <c r="U421" s="1" t="str">
        <f>IFERROR(__xludf.DUMMYFUNCTION("""COMPUTED_VALUE"""),"JB SALIOA")</f>
        <v>JB SALIOA</v>
      </c>
      <c r="V421" s="1" t="str">
        <f>IFERROR(__xludf.DUMMYFUNCTION("""COMPUTED_VALUE"""),"BK HSTK")</f>
        <v>BK HSTK</v>
      </c>
      <c r="W421" s="1" t="str">
        <f>IFERROR(__xludf.DUMMYFUNCTION("""COMPUTED_VALUE"""),"BK HSTK")</f>
        <v>BK HSTK</v>
      </c>
      <c r="X421" s="1" t="str">
        <f>IFERROR(__xludf.DUMMYFUNCTION("""COMPUTED_VALUE"""),"ANTI COMPETITOR")</f>
        <v>ANTI COMPETITOR</v>
      </c>
      <c r="Y421" s="1" t="str">
        <f>IFERROR(__xludf.DUMMYFUNCTION("""COMPUTED_VALUE"""),"BK_CVEU_260820")</f>
        <v>BK_CVEU_260820</v>
      </c>
      <c r="Z421" s="1" t="str">
        <f>IFERROR(__xludf.DUMMYFUNCTION("""COMPUTED_VALUE"""),"NEW CONNECT")</f>
        <v>NEW CONNECT</v>
      </c>
      <c r="AA421" s="1">
        <f>IFERROR(__xludf.DUMMYFUNCTION("""COMPUTED_VALUE"""),639175171911)</f>
        <v>639175171911</v>
      </c>
      <c r="AB421" s="1">
        <f>IFERROR(__xludf.DUMMYFUNCTION("""COMPUTED_VALUE"""),639145171911)</f>
        <v>639145171911</v>
      </c>
      <c r="AC421" s="1">
        <f>IFERROR(__xludf.DUMMYFUNCTION("""COMPUTED_VALUE"""),10)</f>
        <v>10</v>
      </c>
      <c r="AD421" s="1" t="str">
        <f>IFERROR(__xludf.DUMMYFUNCTION("""COMPUTED_VALUE"""),"SITIO MUZON")</f>
        <v>SITIO MUZON</v>
      </c>
      <c r="AE421" s="1"/>
      <c r="AF421" s="1" t="str">
        <f>IFERROR(__xludf.DUMMYFUNCTION("""COMPUTED_VALUE"""),"BGY PUTING KAHOY")</f>
        <v>BGY PUTING KAHOY</v>
      </c>
      <c r="AG421" s="1" t="str">
        <f>IFERROR(__xludf.DUMMYFUNCTION("""COMPUTED_VALUE"""),"SILANG")</f>
        <v>SILANG</v>
      </c>
      <c r="AH421" s="1" t="str">
        <f>IFERROR(__xludf.DUMMYFUNCTION("""COMPUTED_VALUE"""),"-")</f>
        <v>-</v>
      </c>
      <c r="AI421" s="1" t="str">
        <f>IFERROR(__xludf.DUMMYFUNCTION("""COMPUTED_VALUE"""),"CLUSTER 11")</f>
        <v>CLUSTER 11</v>
      </c>
    </row>
    <row r="422" customHeight="1" spans="1:35">
      <c r="A422" s="3">
        <f>IFERROR(__xludf.DUMMYFUNCTION("""COMPUTED_VALUE"""),46269)</f>
        <v>46269</v>
      </c>
      <c r="B422" s="1" t="str">
        <f>IFERROR(__xludf.DUMMYFUNCTION("""COMPUTED_VALUE"""),"DUREMDES SORIANO BATANG")</f>
        <v>DUREMDES SORIANO BATANG</v>
      </c>
      <c r="C422" s="1">
        <f>IFERROR(__xludf.DUMMYFUNCTION("""COMPUTED_VALUE"""),2312357136)</f>
        <v>2312357136</v>
      </c>
      <c r="D422" s="1">
        <f>IFERROR(__xludf.DUMMYFUNCTION("""COMPUTED_VALUE"""),407615441)</f>
        <v>407615441</v>
      </c>
      <c r="E422" s="1">
        <f>IFERROR(__xludf.DUMMYFUNCTION("""COMPUTED_VALUE"""),469914727004)</f>
        <v>469914727004</v>
      </c>
      <c r="F422" s="1" t="str">
        <f>IFERROR(__xludf.DUMMYFUNCTION("""COMPUTED_VALUE"""),"CLOSED")</f>
        <v>CLOSED</v>
      </c>
      <c r="G422" s="1" t="str">
        <f>IFERROR(__xludf.DUMMYFUNCTION("""COMPUTED_VALUE"""),"CLOSED")</f>
        <v>CLOSED</v>
      </c>
      <c r="H422" s="1" t="str">
        <f>IFERROR(__xludf.DUMMYFUNCTION("""COMPUTED_VALUE"""),"PAID VIA GCASH REF 155544442 SEPT 3")</f>
        <v>PAID VIA GCASH REF 155544442 SEPT 3</v>
      </c>
      <c r="I422" s="1" t="str">
        <f>IFERROR(__xludf.DUMMYFUNCTION("""COMPUTED_VALUE"""),"WITH 1 AMSF")</f>
        <v>WITH 1 AMSF</v>
      </c>
      <c r="J422" s="1"/>
      <c r="K422" s="1" t="str">
        <f>IFERROR(__xludf.DUMMYFUNCTION("""COMPUTED_VALUE"""),"COMPLETED")</f>
        <v>COMPLETED</v>
      </c>
      <c r="L422" s="1" t="str">
        <f>IFERROR(__xludf.DUMMYFUNCTION("""COMPUTED_VALUE"""),"POSTED")</f>
        <v>POSTED</v>
      </c>
      <c r="M422" s="1" t="str">
        <f>IFERROR(__xludf.DUMMYFUNCTION("""COMPUTED_VALUE"""),"POSTED")</f>
        <v>POSTED</v>
      </c>
      <c r="N422" s="3">
        <f>IFERROR(__xludf.DUMMYFUNCTION("""COMPUTED_VALUE"""),46272)</f>
        <v>46272</v>
      </c>
      <c r="O422" s="1" t="str">
        <f>IFERROR(__xludf.DUMMYFUNCTION("""COMPUTED_VALUE"""),"FIBER UNLI ALL PLAN 1499")</f>
        <v>FIBER UNLI ALL PLAN 1499</v>
      </c>
      <c r="P422" s="1" t="str">
        <f>IFERROR(__xludf.DUMMYFUNCTION("""COMPUTED_VALUE"""),"LOWPLAN")</f>
        <v>LOWPLAN</v>
      </c>
      <c r="Q422" s="1" t="str">
        <f>IFERROR(__xludf.DUMMYFUNCTION("""COMPUTED_VALUE"""),"P407050")</f>
        <v>P407050</v>
      </c>
      <c r="R422" s="1" t="str">
        <f>IFERROR(__xludf.DUMMYFUNCTION("""COMPUTED_VALUE"""),"ALOS, CHARLS LAURENZ")</f>
        <v>ALOS, CHARLS LAURENZ</v>
      </c>
      <c r="S422" s="1" t="str">
        <f>IFERROR(__xludf.DUMMYFUNCTION("""COMPUTED_VALUE"""),"ORGANIC")</f>
        <v>ORGANIC</v>
      </c>
      <c r="T422" s="1" t="str">
        <f>IFERROR(__xludf.DUMMYFUNCTION("""COMPUTED_VALUE"""),"LEA REMOLLO")</f>
        <v>LEA REMOLLO</v>
      </c>
      <c r="U422" s="1" t="str">
        <f>IFERROR(__xludf.DUMMYFUNCTION("""COMPUTED_VALUE"""),"JB SALIOA")</f>
        <v>JB SALIOA</v>
      </c>
      <c r="V422" s="1" t="str">
        <f>IFERROR(__xludf.DUMMYFUNCTION("""COMPUTED_VALUE"""),"BK HSTK")</f>
        <v>BK HSTK</v>
      </c>
      <c r="W422" s="1" t="str">
        <f>IFERROR(__xludf.DUMMYFUNCTION("""COMPUTED_VALUE"""),"BK HSTK")</f>
        <v>BK HSTK</v>
      </c>
      <c r="X422" s="1" t="str">
        <f>IFERROR(__xludf.DUMMYFUNCTION("""COMPUTED_VALUE"""),"REGULAR")</f>
        <v>REGULAR</v>
      </c>
      <c r="Y422" s="1" t="str">
        <f>IFERROR(__xludf.DUMMYFUNCTION("""COMPUTED_VALUE"""),"BK_CVEU_260820")</f>
        <v>BK_CVEU_260820</v>
      </c>
      <c r="Z422" s="1" t="str">
        <f>IFERROR(__xludf.DUMMYFUNCTION("""COMPUTED_VALUE"""),"NEW CONNECT")</f>
        <v>NEW CONNECT</v>
      </c>
      <c r="AA422" s="1">
        <f>IFERROR(__xludf.DUMMYFUNCTION("""COMPUTED_VALUE"""),639975725413)</f>
        <v>639975725413</v>
      </c>
      <c r="AB422" s="1"/>
      <c r="AC422" s="1">
        <f>IFERROR(__xludf.DUMMYFUNCTION("""COMPUTED_VALUE"""),9173)</f>
        <v>9173</v>
      </c>
      <c r="AD422" s="1" t="str">
        <f>IFERROR(__xludf.DUMMYFUNCTION("""COMPUTED_VALUE"""),"PUROK 6")</f>
        <v>PUROK 6</v>
      </c>
      <c r="AE422" s="1"/>
      <c r="AF422" s="1" t="str">
        <f>IFERROR(__xludf.DUMMYFUNCTION("""COMPUTED_VALUE"""),"BGY TARTARIA")</f>
        <v>BGY TARTARIA</v>
      </c>
      <c r="AG422" s="1" t="str">
        <f>IFERROR(__xludf.DUMMYFUNCTION("""COMPUTED_VALUE"""),"SILANG")</f>
        <v>SILANG</v>
      </c>
      <c r="AH422" s="1" t="str">
        <f>IFERROR(__xludf.DUMMYFUNCTION("""COMPUTED_VALUE"""),"-")</f>
        <v>-</v>
      </c>
      <c r="AI422" s="1" t="str">
        <f>IFERROR(__xludf.DUMMYFUNCTION("""COMPUTED_VALUE"""),"CLUSTER 11")</f>
        <v>CLUSTER 11</v>
      </c>
    </row>
    <row r="423" customHeight="1" spans="1:35">
      <c r="A423" s="3">
        <f>IFERROR(__xludf.DUMMYFUNCTION("""COMPUTED_VALUE"""),46269)</f>
        <v>46269</v>
      </c>
      <c r="B423" s="1" t="str">
        <f>IFERROR(__xludf.DUMMYFUNCTION("""COMPUTED_VALUE"""),"EVELYN SALDIVAR ARPILLEDA")</f>
        <v>EVELYN SALDIVAR ARPILLEDA</v>
      </c>
      <c r="C423" s="1">
        <f>IFERROR(__xludf.DUMMYFUNCTION("""COMPUTED_VALUE"""),2312357540)</f>
        <v>2312357540</v>
      </c>
      <c r="D423" s="1">
        <f>IFERROR(__xludf.DUMMYFUNCTION("""COMPUTED_VALUE"""),407617797)</f>
        <v>407617797</v>
      </c>
      <c r="E423" s="1">
        <f>IFERROR(__xludf.DUMMYFUNCTION("""COMPUTED_VALUE"""),469936690004)</f>
        <v>469936690004</v>
      </c>
      <c r="F423" s="1" t="str">
        <f>IFERROR(__xludf.DUMMYFUNCTION("""COMPUTED_VALUE"""),"CLOSED")</f>
        <v>CLOSED</v>
      </c>
      <c r="G423" s="1" t="str">
        <f>IFERROR(__xludf.DUMMYFUNCTION("""COMPUTED_VALUE"""),"CLOSED")</f>
        <v>CLOSED</v>
      </c>
      <c r="H423" s="1" t="str">
        <f>IFERROR(__xludf.DUMMYFUNCTION("""COMPUTED_VALUE"""),"PQGOR366334031	05-Oct-26	Regular Payment	CIS-GCASH 3.0	1,803.75	0	05-Oct-26")</f>
        <v>PQGOR366334031	05-Oct-26	Regular Payment	CIS-GCASH 3.0	1,803.75	0	05-Oct-26</v>
      </c>
      <c r="I423" s="1" t="str">
        <f>IFERROR(__xludf.DUMMYFUNCTION("""COMPUTED_VALUE"""),"WITH 1 AMSF")</f>
        <v>WITH 1 AMSF</v>
      </c>
      <c r="J423" s="1"/>
      <c r="K423" s="1" t="str">
        <f>IFERROR(__xludf.DUMMYFUNCTION("""COMPUTED_VALUE"""),"COMPLETED")</f>
        <v>COMPLETED</v>
      </c>
      <c r="L423" s="1" t="str">
        <f>IFERROR(__xludf.DUMMYFUNCTION("""COMPUTED_VALUE"""),"POSTED")</f>
        <v>POSTED</v>
      </c>
      <c r="M423" s="1" t="str">
        <f>IFERROR(__xludf.DUMMYFUNCTION("""COMPUTED_VALUE"""),"POSTED")</f>
        <v>POSTED</v>
      </c>
      <c r="N423" s="3">
        <f>IFERROR(__xludf.DUMMYFUNCTION("""COMPUTED_VALUE"""),46272)</f>
        <v>46272</v>
      </c>
      <c r="O423" s="1" t="str">
        <f>IFERROR(__xludf.DUMMYFUNCTION("""COMPUTED_VALUE"""),"FIBER UNLI ALL PLAN 1499")</f>
        <v>FIBER UNLI ALL PLAN 1499</v>
      </c>
      <c r="P423" s="1" t="str">
        <f>IFERROR(__xludf.DUMMYFUNCTION("""COMPUTED_VALUE"""),"LOWPLAN")</f>
        <v>LOWPLAN</v>
      </c>
      <c r="Q423" s="1" t="str">
        <f>IFERROR(__xludf.DUMMYFUNCTION("""COMPUTED_VALUE"""),"P407047")</f>
        <v>P407047</v>
      </c>
      <c r="R423" s="1" t="str">
        <f>IFERROR(__xludf.DUMMYFUNCTION("""COMPUTED_VALUE"""),"FRANCISCO, ROSELYN")</f>
        <v>FRANCISCO, ROSELYN</v>
      </c>
      <c r="S423" s="1" t="str">
        <f>IFERROR(__xludf.DUMMYFUNCTION("""COMPUTED_VALUE"""),"ORGANIC")</f>
        <v>ORGANIC</v>
      </c>
      <c r="T423" s="1" t="str">
        <f>IFERROR(__xludf.DUMMYFUNCTION("""COMPUTED_VALUE"""),"LEA REMOLLO")</f>
        <v>LEA REMOLLO</v>
      </c>
      <c r="U423" s="1" t="str">
        <f>IFERROR(__xludf.DUMMYFUNCTION("""COMPUTED_VALUE"""),"JB SALIOA")</f>
        <v>JB SALIOA</v>
      </c>
      <c r="V423" s="1" t="str">
        <f>IFERROR(__xludf.DUMMYFUNCTION("""COMPUTED_VALUE"""),"BK HSTK")</f>
        <v>BK HSTK</v>
      </c>
      <c r="W423" s="1" t="str">
        <f>IFERROR(__xludf.DUMMYFUNCTION("""COMPUTED_VALUE"""),"BK HSTK")</f>
        <v>BK HSTK</v>
      </c>
      <c r="X423" s="1" t="str">
        <f>IFERROR(__xludf.DUMMYFUNCTION("""COMPUTED_VALUE"""),"REGULAR")</f>
        <v>REGULAR</v>
      </c>
      <c r="Y423" s="1" t="str">
        <f>IFERROR(__xludf.DUMMYFUNCTION("""COMPUTED_VALUE"""),"BK_CVEU_260820")</f>
        <v>BK_CVEU_260820</v>
      </c>
      <c r="Z423" s="1" t="str">
        <f>IFERROR(__xludf.DUMMYFUNCTION("""COMPUTED_VALUE"""),"NEW CONNECT")</f>
        <v>NEW CONNECT</v>
      </c>
      <c r="AA423" s="1">
        <f>IFERROR(__xludf.DUMMYFUNCTION("""COMPUTED_VALUE"""),639166992813)</f>
        <v>639166992813</v>
      </c>
      <c r="AB423" s="1"/>
      <c r="AC423" s="1">
        <f>IFERROR(__xludf.DUMMYFUNCTION("""COMPUTED_VALUE"""),7)</f>
        <v>7</v>
      </c>
      <c r="AD423" s="1" t="str">
        <f>IFERROR(__xludf.DUMMYFUNCTION("""COMPUTED_VALUE"""),"PUROK 2")</f>
        <v>PUROK 2</v>
      </c>
      <c r="AE423" s="1"/>
      <c r="AF423" s="1" t="str">
        <f>IFERROR(__xludf.DUMMYFUNCTION("""COMPUTED_VALUE"""),"BGY LUMIL")</f>
        <v>BGY LUMIL</v>
      </c>
      <c r="AG423" s="1" t="str">
        <f>IFERROR(__xludf.DUMMYFUNCTION("""COMPUTED_VALUE"""),"SILANG")</f>
        <v>SILANG</v>
      </c>
      <c r="AH423" s="1" t="str">
        <f>IFERROR(__xludf.DUMMYFUNCTION("""COMPUTED_VALUE"""),"ATIENZA COMPOUND NEAR BRGY HALL")</f>
        <v>ATIENZA COMPOUND NEAR BRGY HALL</v>
      </c>
      <c r="AI423" s="1" t="str">
        <f>IFERROR(__xludf.DUMMYFUNCTION("""COMPUTED_VALUE"""),"CLUSTER 11")</f>
        <v>CLUSTER 11</v>
      </c>
    </row>
    <row r="424" customHeight="1" spans="1:35">
      <c r="A424" s="3">
        <f>IFERROR(__xludf.DUMMYFUNCTION("""COMPUTED_VALUE"""),46269)</f>
        <v>46269</v>
      </c>
      <c r="B424" s="1" t="str">
        <f>IFERROR(__xludf.DUMMYFUNCTION("""COMPUTED_VALUE"""),"JOEL VELLALUNA GUEVARRA")</f>
        <v>JOEL VELLALUNA GUEVARRA</v>
      </c>
      <c r="C424" s="1">
        <f>IFERROR(__xludf.DUMMYFUNCTION("""COMPUTED_VALUE"""),2312359608)</f>
        <v>2312359608</v>
      </c>
      <c r="D424" s="1">
        <f>IFERROR(__xludf.DUMMYFUNCTION("""COMPUTED_VALUE"""),407621719)</f>
        <v>407621719</v>
      </c>
      <c r="E424" s="1">
        <f>IFERROR(__xludf.DUMMYFUNCTION("""COMPUTED_VALUE"""),469950515004)</f>
        <v>469950515004</v>
      </c>
      <c r="F424" s="1" t="str">
        <f>IFERROR(__xludf.DUMMYFUNCTION("""COMPUTED_VALUE"""),"CANCELLED")</f>
        <v>CANCELLED</v>
      </c>
      <c r="G424" s="1" t="str">
        <f>IFERROR(__xludf.DUMMYFUNCTION("""COMPUTED_VALUE"""),"CANCELLED")</f>
        <v>CANCELLED</v>
      </c>
      <c r="H424" s="1" t="str">
        <f>IFERROR(__xludf.DUMMYFUNCTION("""COMPUTED_VALUE"""),"CBR UNATTENDED AS OF 9/19 - CANNOT BEN REACHED 9/21/FOR CANCELLATION")</f>
        <v>CBR UNATTENDED AS OF 9/19 - CANNOT BEN REACHED 9/21/FOR CANCELLATION</v>
      </c>
      <c r="I424" s="1"/>
      <c r="J424" s="1"/>
      <c r="K424" s="1" t="str">
        <f>IFERROR(__xludf.DUMMYFUNCTION("""COMPUTED_VALUE"""),"NOT IN OFSC")</f>
        <v>NOT IN OFSC</v>
      </c>
      <c r="L424" s="1" t="str">
        <f>IFERROR(__xludf.DUMMYFUNCTION("""COMPUTED_VALUE"""),"FOR CANCELLATION")</f>
        <v>FOR CANCELLATION</v>
      </c>
      <c r="M424" s="1" t="str">
        <f>IFERROR(__xludf.DUMMYFUNCTION("""COMPUTED_VALUE"""),"FOR CANCELLATION - NON COMPLIANCE - NO PAYMENT")</f>
        <v>FOR CANCELLATION - NON COMPLIANCE - NO PAYMENT</v>
      </c>
      <c r="N424" s="3"/>
      <c r="O424" s="1" t="str">
        <f>IFERROR(__xludf.DUMMYFUNCTION("""COMPUTED_VALUE"""),"FIBR UNLI ALL PLAN 999")</f>
        <v>FIBR UNLI ALL PLAN 999</v>
      </c>
      <c r="P424" s="1" t="str">
        <f>IFERROR(__xludf.DUMMYFUNCTION("""COMPUTED_VALUE"""),"LOWPLAN")</f>
        <v>LOWPLAN</v>
      </c>
      <c r="Q424" s="1" t="str">
        <f>IFERROR(__xludf.DUMMYFUNCTION("""COMPUTED_VALUE"""),"P407050")</f>
        <v>P407050</v>
      </c>
      <c r="R424" s="1" t="str">
        <f>IFERROR(__xludf.DUMMYFUNCTION("""COMPUTED_VALUE"""),"ALOS, CHARLS LAURENZ")</f>
        <v>ALOS, CHARLS LAURENZ</v>
      </c>
      <c r="S424" s="1" t="str">
        <f>IFERROR(__xludf.DUMMYFUNCTION("""COMPUTED_VALUE"""),"FLA")</f>
        <v>FLA</v>
      </c>
      <c r="T424" s="1" t="str">
        <f>IFERROR(__xludf.DUMMYFUNCTION("""COMPUTED_VALUE"""),"LEA REMOLLO")</f>
        <v>LEA REMOLLO</v>
      </c>
      <c r="U424" s="1" t="str">
        <f>IFERROR(__xludf.DUMMYFUNCTION("""COMPUTED_VALUE"""),"JB SALIOA")</f>
        <v>JB SALIOA</v>
      </c>
      <c r="V424" s="1" t="str">
        <f>IFERROR(__xludf.DUMMYFUNCTION("""COMPUTED_VALUE"""),"BK REGULAR")</f>
        <v>BK REGULAR</v>
      </c>
      <c r="W424" s="1" t="str">
        <f>IFERROR(__xludf.DUMMYFUNCTION("""COMPUTED_VALUE"""),"STK REGULAR")</f>
        <v>STK REGULAR</v>
      </c>
      <c r="X424" s="1" t="str">
        <f>IFERROR(__xludf.DUMMYFUNCTION("""COMPUTED_VALUE"""),"REGULAR")</f>
        <v>REGULAR</v>
      </c>
      <c r="Y424" s="1" t="str">
        <f>IFERROR(__xludf.DUMMYFUNCTION("""COMPUTED_VALUE"""),"BK_CVEU_260821")</f>
        <v>BK_CVEU_260821</v>
      </c>
      <c r="Z424" s="1" t="str">
        <f>IFERROR(__xludf.DUMMYFUNCTION("""COMPUTED_VALUE"""),"NEW CONNECT")</f>
        <v>NEW CONNECT</v>
      </c>
      <c r="AA424" s="1">
        <f>IFERROR(__xludf.DUMMYFUNCTION("""COMPUTED_VALUE"""),639561587653)</f>
        <v>639561587653</v>
      </c>
      <c r="AB424" s="1"/>
      <c r="AC424" s="1">
        <f>IFERROR(__xludf.DUMMYFUNCTION("""COMPUTED_VALUE"""),9697)</f>
        <v>9697</v>
      </c>
      <c r="AD424" s="1" t="str">
        <f>IFERROR(__xludf.DUMMYFUNCTION("""COMPUTED_VALUE"""),"MAGLABE")</f>
        <v>MAGLABE</v>
      </c>
      <c r="AE424" s="1"/>
      <c r="AF424" s="1" t="str">
        <f>IFERROR(__xludf.DUMMYFUNCTION("""COMPUTED_VALUE"""),"BGY GUINHAWA SOUTH")</f>
        <v>BGY GUINHAWA SOUTH</v>
      </c>
      <c r="AG424" s="1" t="str">
        <f>IFERROR(__xludf.DUMMYFUNCTION("""COMPUTED_VALUE"""),"TAGAYTAY")</f>
        <v>TAGAYTAY</v>
      </c>
      <c r="AH424" s="1" t="str">
        <f>IFERROR(__xludf.DUMMYFUNCTION("""COMPUTED_VALUE"""),"BIG BREW")</f>
        <v>BIG BREW</v>
      </c>
      <c r="AI424" s="1" t="str">
        <f>IFERROR(__xludf.DUMMYFUNCTION("""COMPUTED_VALUE"""),"CLUSTER 12")</f>
        <v>CLUSTER 12</v>
      </c>
    </row>
    <row r="425" customHeight="1" spans="1:35">
      <c r="A425" s="3">
        <f>IFERROR(__xludf.DUMMYFUNCTION("""COMPUTED_VALUE"""),46269)</f>
        <v>46269</v>
      </c>
      <c r="B425" s="1" t="str">
        <f>IFERROR(__xludf.DUMMYFUNCTION("""COMPUTED_VALUE"""),"LORENZO DISTOR MANALO")</f>
        <v>LORENZO DISTOR MANALO</v>
      </c>
      <c r="C425" s="1">
        <f>IFERROR(__xludf.DUMMYFUNCTION("""COMPUTED_VALUE"""),2312357872)</f>
        <v>2312357872</v>
      </c>
      <c r="D425" s="1"/>
      <c r="E425" s="1"/>
      <c r="F425" s="1" t="str">
        <f>IFERROR(__xludf.DUMMYFUNCTION("""COMPUTED_VALUE"""),"REENCODED")</f>
        <v>REENCODED</v>
      </c>
      <c r="G425" s="1" t="str">
        <f>IFERROR(__xludf.DUMMYFUNCTION("""COMPUTED_VALUE"""),"SUBS CHANGE PLAN FROM 1499 TO 1299")</f>
        <v>SUBS CHANGE PLAN FROM 1499 TO 1299</v>
      </c>
      <c r="H425" s="1"/>
      <c r="I425" s="1"/>
      <c r="J425" s="1"/>
      <c r="K425" s="1"/>
      <c r="L425" s="1" t="str">
        <f>IFERROR(__xludf.DUMMYFUNCTION("""COMPUTED_VALUE"""),"REENCODED")</f>
        <v>REENCODED</v>
      </c>
      <c r="M425" s="1" t="str">
        <f>IFERROR(__xludf.DUMMYFUNCTION("""COMPUTED_VALUE"""),"REENCODED")</f>
        <v>REENCODED</v>
      </c>
      <c r="N425" s="3"/>
      <c r="O425" s="1" t="str">
        <f>IFERROR(__xludf.DUMMYFUNCTION("""COMPUTED_VALUE"""),"FIBER UNLI ALL PLAN 1499")</f>
        <v>FIBER UNLI ALL PLAN 1499</v>
      </c>
      <c r="P425" s="1" t="str">
        <f>IFERROR(__xludf.DUMMYFUNCTION("""COMPUTED_VALUE"""),"LOWPLAN")</f>
        <v>LOWPLAN</v>
      </c>
      <c r="Q425" s="1" t="str">
        <f>IFERROR(__xludf.DUMMYFUNCTION("""COMPUTED_VALUE"""),"P407048")</f>
        <v>P407048</v>
      </c>
      <c r="R425" s="1" t="str">
        <f>IFERROR(__xludf.DUMMYFUNCTION("""COMPUTED_VALUE"""),"DEL ROSARIO, MIGGY LENARD")</f>
        <v>DEL ROSARIO, MIGGY LENARD</v>
      </c>
      <c r="S425" s="1" t="str">
        <f>IFERROR(__xludf.DUMMYFUNCTION("""COMPUTED_VALUE"""),"ORGANIC")</f>
        <v>ORGANIC</v>
      </c>
      <c r="T425" s="1" t="str">
        <f>IFERROR(__xludf.DUMMYFUNCTION("""COMPUTED_VALUE"""),"GARCIA MICHAEL JETTS")</f>
        <v>GARCIA MICHAEL JETTS</v>
      </c>
      <c r="U425" s="1" t="str">
        <f>IFERROR(__xludf.DUMMYFUNCTION("""COMPUTED_VALUE"""),"JB SALIOA")</f>
        <v>JB SALIOA</v>
      </c>
      <c r="V425" s="1" t="str">
        <f>IFERROR(__xludf.DUMMYFUNCTION("""COMPUTED_VALUE"""),"ONLINE/CRANFORD")</f>
        <v>ONLINE/CRANFORD</v>
      </c>
      <c r="W425" s="1" t="str">
        <f>IFERROR(__xludf.DUMMYFUNCTION("""COMPUTED_VALUE"""),"STK REGULAR")</f>
        <v>STK REGULAR</v>
      </c>
      <c r="X425" s="1" t="str">
        <f>IFERROR(__xludf.DUMMYFUNCTION("""COMPUTED_VALUE"""),"REGULAR")</f>
        <v>REGULAR</v>
      </c>
      <c r="Y425" s="1" t="str">
        <f>IFERROR(__xludf.DUMMYFUNCTION("""COMPUTED_VALUE"""),"RS_ONL_CVEU_2026")</f>
        <v>RS_ONL_CVEU_2026</v>
      </c>
      <c r="Z425" s="1" t="str">
        <f>IFERROR(__xludf.DUMMYFUNCTION("""COMPUTED_VALUE"""),"NEW CONNECT")</f>
        <v>NEW CONNECT</v>
      </c>
      <c r="AA425" s="1">
        <f>IFERROR(__xludf.DUMMYFUNCTION("""COMPUTED_VALUE"""),639202907225)</f>
        <v>639202907225</v>
      </c>
      <c r="AB425" s="1">
        <f>IFERROR(__xludf.DUMMYFUNCTION("""COMPUTED_VALUE"""),639539806676)</f>
        <v>639539806676</v>
      </c>
      <c r="AC425" s="1">
        <f>IFERROR(__xludf.DUMMYFUNCTION("""COMPUTED_VALUE"""),86)</f>
        <v>86</v>
      </c>
      <c r="AD425" s="1" t="str">
        <f>IFERROR(__xludf.DUMMYFUNCTION("""COMPUTED_VALUE"""),"KAPANTAYAN")</f>
        <v>KAPANTAYAN</v>
      </c>
      <c r="AE425" s="1"/>
      <c r="AF425" s="1" t="str">
        <f>IFERROR(__xludf.DUMMYFUNCTION("""COMPUTED_VALUE"""),"BGY BUCAL 1")</f>
        <v>BGY BUCAL 1</v>
      </c>
      <c r="AG425" s="1" t="str">
        <f>IFERROR(__xludf.DUMMYFUNCTION("""COMPUTED_VALUE"""),"MARAGONDON")</f>
        <v>MARAGONDON</v>
      </c>
      <c r="AH425" s="1" t="str">
        <f>IFERROR(__xludf.DUMMYFUNCTION("""COMPUTED_VALUE"""),"IN FRONT OF FORMER REY RILLO HOUSE")</f>
        <v>IN FRONT OF FORMER REY RILLO HOUSE</v>
      </c>
      <c r="AI425" s="1" t="str">
        <f>IFERROR(__xludf.DUMMYFUNCTION("""COMPUTED_VALUE"""),"NOT AOR")</f>
        <v>NOT AOR</v>
      </c>
    </row>
    <row r="426" customHeight="1" spans="1:35">
      <c r="A426" s="3">
        <f>IFERROR(__xludf.DUMMYFUNCTION("""COMPUTED_VALUE"""),46269)</f>
        <v>46269</v>
      </c>
      <c r="B426" s="1" t="str">
        <f>IFERROR(__xludf.DUMMYFUNCTION("""COMPUTED_VALUE"""),"LORENZO JR DISTOR MANALO")</f>
        <v>LORENZO JR DISTOR MANALO</v>
      </c>
      <c r="C426" s="1">
        <f>IFERROR(__xludf.DUMMYFUNCTION("""COMPUTED_VALUE"""),2312363295)</f>
        <v>2312363295</v>
      </c>
      <c r="D426" s="1">
        <f>IFERROR(__xludf.DUMMYFUNCTION("""COMPUTED_VALUE"""),407628055)</f>
        <v>407628055</v>
      </c>
      <c r="E426" s="1">
        <f>IFERROR(__xludf.DUMMYFUNCTION("""COMPUTED_VALUE"""),469972802004)</f>
        <v>469972802004</v>
      </c>
      <c r="F426" s="1" t="str">
        <f>IFERROR(__xludf.DUMMYFUNCTION("""COMPUTED_VALUE"""),"CLOSED")</f>
        <v>CLOSED</v>
      </c>
      <c r="G426" s="1" t="str">
        <f>IFERROR(__xludf.DUMMYFUNCTION("""COMPUTED_VALUE"""),"CLOSED")</f>
        <v>CLOSED</v>
      </c>
      <c r="H426" s="1" t="str">
        <f>IFERROR(__xludf.DUMMYFUNCTION("""COMPUTED_VALUE"""),"PQGOR365544183	29-Sep-26	Regular Payment	CIS-GCASH 3.0	1,444.13	0	29-Sep-26")</f>
        <v>PQGOR365544183	29-Sep-26	Regular Payment	CIS-GCASH 3.0	1,444.13	0	29-Sep-26</v>
      </c>
      <c r="I426" s="1" t="str">
        <f>IFERROR(__xludf.DUMMYFUNCTION("""COMPUTED_VALUE"""),"WITH 1 AMSF")</f>
        <v>WITH 1 AMSF</v>
      </c>
      <c r="J426" s="1"/>
      <c r="K426" s="1" t="str">
        <f>IFERROR(__xludf.DUMMYFUNCTION("""COMPUTED_VALUE"""),"COMPLETED")</f>
        <v>COMPLETED</v>
      </c>
      <c r="L426" s="1" t="str">
        <f>IFERROR(__xludf.DUMMYFUNCTION("""COMPUTED_VALUE"""),"POSTED")</f>
        <v>POSTED</v>
      </c>
      <c r="M426" s="1" t="str">
        <f>IFERROR(__xludf.DUMMYFUNCTION("""COMPUTED_VALUE"""),"POSTED")</f>
        <v>POSTED</v>
      </c>
      <c r="N426" s="3">
        <f>IFERROR(__xludf.DUMMYFUNCTION("""COMPUTED_VALUE"""),46271)</f>
        <v>46271</v>
      </c>
      <c r="O426" s="1" t="str">
        <f>IFERROR(__xludf.DUMMYFUNCTION("""COMPUTED_VALUE"""),"FIBR PLAN 1299")</f>
        <v>FIBR PLAN 1299</v>
      </c>
      <c r="P426" s="1" t="str">
        <f>IFERROR(__xludf.DUMMYFUNCTION("""COMPUTED_VALUE"""),"LOWPLAN")</f>
        <v>LOWPLAN</v>
      </c>
      <c r="Q426" s="1" t="str">
        <f>IFERROR(__xludf.DUMMYFUNCTION("""COMPUTED_VALUE"""),"P407048")</f>
        <v>P407048</v>
      </c>
      <c r="R426" s="1" t="str">
        <f>IFERROR(__xludf.DUMMYFUNCTION("""COMPUTED_VALUE"""),"DEL ROSARIO, MIGGY LENARD")</f>
        <v>DEL ROSARIO, MIGGY LENARD</v>
      </c>
      <c r="S426" s="1" t="str">
        <f>IFERROR(__xludf.DUMMYFUNCTION("""COMPUTED_VALUE"""),"ORGANIC")</f>
        <v>ORGANIC</v>
      </c>
      <c r="T426" s="1" t="str">
        <f>IFERROR(__xludf.DUMMYFUNCTION("""COMPUTED_VALUE"""),"GARCIA MICHAEL JETTS")</f>
        <v>GARCIA MICHAEL JETTS</v>
      </c>
      <c r="U426" s="1" t="str">
        <f>IFERROR(__xludf.DUMMYFUNCTION("""COMPUTED_VALUE"""),"JB SALIOA")</f>
        <v>JB SALIOA</v>
      </c>
      <c r="V426" s="1" t="str">
        <f>IFERROR(__xludf.DUMMYFUNCTION("""COMPUTED_VALUE"""),"ONLINE/CRANFORD")</f>
        <v>ONLINE/CRANFORD</v>
      </c>
      <c r="W426" s="1" t="str">
        <f>IFERROR(__xludf.DUMMYFUNCTION("""COMPUTED_VALUE"""),"STK REGULAR")</f>
        <v>STK REGULAR</v>
      </c>
      <c r="X426" s="1" t="str">
        <f>IFERROR(__xludf.DUMMYFUNCTION("""COMPUTED_VALUE"""),"REGULAR")</f>
        <v>REGULAR</v>
      </c>
      <c r="Y426" s="1" t="str">
        <f>IFERROR(__xludf.DUMMYFUNCTION("""COMPUTED_VALUE"""),"RS_ONL_CVEU_2026")</f>
        <v>RS_ONL_CVEU_2026</v>
      </c>
      <c r="Z426" s="1" t="str">
        <f>IFERROR(__xludf.DUMMYFUNCTION("""COMPUTED_VALUE"""),"NEW CONNECT")</f>
        <v>NEW CONNECT</v>
      </c>
      <c r="AA426" s="1">
        <f>IFERROR(__xludf.DUMMYFUNCTION("""COMPUTED_VALUE"""),639539806676)</f>
        <v>639539806676</v>
      </c>
      <c r="AB426" s="1"/>
      <c r="AC426" s="1">
        <f>IFERROR(__xludf.DUMMYFUNCTION("""COMPUTED_VALUE"""),89)</f>
        <v>89</v>
      </c>
      <c r="AD426" s="1" t="str">
        <f>IFERROR(__xludf.DUMMYFUNCTION("""COMPUTED_VALUE"""),"BUCAL 1")</f>
        <v>BUCAL 1</v>
      </c>
      <c r="AE426" s="1"/>
      <c r="AF426" s="1" t="str">
        <f>IFERROR(__xludf.DUMMYFUNCTION("""COMPUTED_VALUE"""),"BGY BUCAL 1")</f>
        <v>BGY BUCAL 1</v>
      </c>
      <c r="AG426" s="1" t="str">
        <f>IFERROR(__xludf.DUMMYFUNCTION("""COMPUTED_VALUE"""),"MARAGONDON")</f>
        <v>MARAGONDON</v>
      </c>
      <c r="AH426" s="1" t="str">
        <f>IFERROR(__xludf.DUMMYFUNCTION("""COMPUTED_VALUE"""),"BUCAL 1")</f>
        <v>BUCAL 1</v>
      </c>
      <c r="AI426" s="1" t="str">
        <f>IFERROR(__xludf.DUMMYFUNCTION("""COMPUTED_VALUE"""),"NOT AOR")</f>
        <v>NOT AOR</v>
      </c>
    </row>
    <row r="427" customHeight="1" spans="1:35">
      <c r="A427" s="3">
        <f>IFERROR(__xludf.DUMMYFUNCTION("""COMPUTED_VALUE"""),46269)</f>
        <v>46269</v>
      </c>
      <c r="B427" s="1" t="str">
        <f>IFERROR(__xludf.DUMMYFUNCTION("""COMPUTED_VALUE"""),"AYNA MALIK MALAHUL")</f>
        <v>AYNA MALIK MALAHUL</v>
      </c>
      <c r="C427" s="1">
        <f>IFERROR(__xludf.DUMMYFUNCTION("""COMPUTED_VALUE"""),2312365938)</f>
        <v>2312365938</v>
      </c>
      <c r="D427" s="1">
        <f>IFERROR(__xludf.DUMMYFUNCTION("""COMPUTED_VALUE"""),407639227)</f>
        <v>407639227</v>
      </c>
      <c r="E427" s="1">
        <f>IFERROR(__xludf.DUMMYFUNCTION("""COMPUTED_VALUE"""),470037610004)</f>
        <v>470037610004</v>
      </c>
      <c r="F427" s="1" t="str">
        <f>IFERROR(__xludf.DUMMYFUNCTION("""COMPUTED_VALUE"""),"CANCELLED")</f>
        <v>CANCELLED</v>
      </c>
      <c r="G427" s="1" t="str">
        <f>IFERROR(__xludf.DUMMYFUNCTION("""COMPUTED_VALUE"""),"NEAREST CAFAC IS FULL SILLP66NP4 FULL SILLP66NP5 FULL SILLP66NP8P1 ACTIVE ASSIGN CAFAC NOT ON SITE SUBS ALREADY ADVICE NA PUNUAN NA SA AREA")</f>
        <v>NEAREST CAFAC IS FULL SILLP66NP4 FULL SILLP66NP5 FULL SILLP66NP8P1 ACTIVE ASSIGN CAFAC NOT ON SITE SUBS ALREADY ADVICE NA PUNUAN NA SA AREA</v>
      </c>
      <c r="H427" s="1"/>
      <c r="I427" s="1"/>
      <c r="J427" s="1"/>
      <c r="K427" s="1" t="str">
        <f>IFERROR(__xludf.DUMMYFUNCTION("""COMPUTED_VALUE"""),"CANCELED")</f>
        <v>CANCELED</v>
      </c>
      <c r="L427" s="1" t="str">
        <f>IFERROR(__xludf.DUMMYFUNCTION("""COMPUTED_VALUE"""),"CANCELLED")</f>
        <v>CANCELLED</v>
      </c>
      <c r="M427" s="1" t="str">
        <f>IFERROR(__xludf.DUMMYFUNCTION("""COMPUTED_VALUE"""),"RPR- NAP FULL")</f>
        <v>RPR- NAP FULL</v>
      </c>
      <c r="N427" s="3"/>
      <c r="O427" s="1" t="str">
        <f>IFERROR(__xludf.DUMMYFUNCTION("""COMPUTED_VALUE"""),"FIBR UNLI ALL PLAN 999")</f>
        <v>FIBR UNLI ALL PLAN 999</v>
      </c>
      <c r="P427" s="1" t="str">
        <f>IFERROR(__xludf.DUMMYFUNCTION("""COMPUTED_VALUE"""),"LOWPLAN")</f>
        <v>LOWPLAN</v>
      </c>
      <c r="Q427" s="1" t="str">
        <f>IFERROR(__xludf.DUMMYFUNCTION("""COMPUTED_VALUE"""),"P407050")</f>
        <v>P407050</v>
      </c>
      <c r="R427" s="1" t="str">
        <f>IFERROR(__xludf.DUMMYFUNCTION("""COMPUTED_VALUE"""),"ESCARCHA, ALMA")</f>
        <v>ESCARCHA, ALMA</v>
      </c>
      <c r="S427" s="1" t="str">
        <f>IFERROR(__xludf.DUMMYFUNCTION("""COMPUTED_VALUE"""),"ORGANIC")</f>
        <v>ORGANIC</v>
      </c>
      <c r="T427" s="1" t="str">
        <f>IFERROR(__xludf.DUMMYFUNCTION("""COMPUTED_VALUE"""),"LEA REMOLLO")</f>
        <v>LEA REMOLLO</v>
      </c>
      <c r="U427" s="1" t="str">
        <f>IFERROR(__xludf.DUMMYFUNCTION("""COMPUTED_VALUE"""),"JB SALIOA")</f>
        <v>JB SALIOA</v>
      </c>
      <c r="V427" s="1" t="str">
        <f>IFERROR(__xludf.DUMMYFUNCTION("""COMPUTED_VALUE"""),"BK REGULAR")</f>
        <v>BK REGULAR</v>
      </c>
      <c r="W427" s="1" t="str">
        <f>IFERROR(__xludf.DUMMYFUNCTION("""COMPUTED_VALUE"""),"STK REGULAR")</f>
        <v>STK REGULAR</v>
      </c>
      <c r="X427" s="1" t="str">
        <f>IFERROR(__xludf.DUMMYFUNCTION("""COMPUTED_VALUE"""),"REGULAR")</f>
        <v>REGULAR</v>
      </c>
      <c r="Y427" s="1" t="str">
        <f>IFERROR(__xludf.DUMMYFUNCTION("""COMPUTED_VALUE"""),"BK_CVEU_260820")</f>
        <v>BK_CVEU_260820</v>
      </c>
      <c r="Z427" s="1" t="str">
        <f>IFERROR(__xludf.DUMMYFUNCTION("""COMPUTED_VALUE"""),"NEW CONNECT")</f>
        <v>NEW CONNECT</v>
      </c>
      <c r="AA427" s="1">
        <f>IFERROR(__xludf.DUMMYFUNCTION("""COMPUTED_VALUE"""),639561958426)</f>
        <v>639561958426</v>
      </c>
      <c r="AB427" s="1"/>
      <c r="AC427" s="1"/>
      <c r="AD427" s="1" t="str">
        <f>IFERROR(__xludf.DUMMYFUNCTION("""COMPUTED_VALUE"""),"YAKAL")</f>
        <v>YAKAL</v>
      </c>
      <c r="AE427" s="1"/>
      <c r="AF427" s="1" t="str">
        <f>IFERROR(__xludf.DUMMYFUNCTION("""COMPUTED_VALUE"""),"BGY YAKAL")</f>
        <v>BGY YAKAL</v>
      </c>
      <c r="AG427" s="1" t="str">
        <f>IFERROR(__xludf.DUMMYFUNCTION("""COMPUTED_VALUE"""),"SILANG")</f>
        <v>SILANG</v>
      </c>
      <c r="AH427" s="1" t="str">
        <f>IFERROR(__xludf.DUMMYFUNCTION("""COMPUTED_VALUE"""),"CEMETERY")</f>
        <v>CEMETERY</v>
      </c>
      <c r="AI427" s="1" t="str">
        <f>IFERROR(__xludf.DUMMYFUNCTION("""COMPUTED_VALUE"""),"CLUSTER 11")</f>
        <v>CLUSTER 11</v>
      </c>
    </row>
    <row r="428" customHeight="1" spans="1:35">
      <c r="A428" s="3">
        <f>IFERROR(__xludf.DUMMYFUNCTION("""COMPUTED_VALUE"""),46269)</f>
        <v>46269</v>
      </c>
      <c r="B428" s="1" t="str">
        <f>IFERROR(__xludf.DUMMYFUNCTION("""COMPUTED_VALUE"""),"RIVEN CLARK SERRANO GULLA")</f>
        <v>RIVEN CLARK SERRANO GULLA</v>
      </c>
      <c r="C428" s="1">
        <f>IFERROR(__xludf.DUMMYFUNCTION("""COMPUTED_VALUE"""),2312367542)</f>
        <v>2312367542</v>
      </c>
      <c r="D428" s="1">
        <f>IFERROR(__xludf.DUMMYFUNCTION("""COMPUTED_VALUE"""),407634217)</f>
        <v>407634217</v>
      </c>
      <c r="E428" s="1">
        <f>IFERROR(__xludf.DUMMYFUNCTION("""COMPUTED_VALUE"""),469997365004)</f>
        <v>469997365004</v>
      </c>
      <c r="F428" s="1" t="str">
        <f>IFERROR(__xludf.DUMMYFUNCTION("""COMPUTED_VALUE"""),"CLOSED")</f>
        <v>CLOSED</v>
      </c>
      <c r="G428" s="1" t="str">
        <f>IFERROR(__xludf.DUMMYFUNCTION("""COMPUTED_VALUE"""),"CLOSED")</f>
        <v>CLOSED</v>
      </c>
      <c r="H428" s="1" t="str">
        <f>IFERROR(__xludf.DUMMYFUNCTION("""COMPUTED_VALUE"""),"PAID THRU GCASH 044451313 SEP 5")</f>
        <v>PAID THRU GCASH 044451313 SEP 5</v>
      </c>
      <c r="I428" s="1" t="str">
        <f>IFERROR(__xludf.DUMMYFUNCTION("""COMPUTED_VALUE"""),"WITH 1 AMSF")</f>
        <v>WITH 1 AMSF</v>
      </c>
      <c r="J428" s="1"/>
      <c r="K428" s="1" t="str">
        <f>IFERROR(__xludf.DUMMYFUNCTION("""COMPUTED_VALUE"""),"COMPLETED")</f>
        <v>COMPLETED</v>
      </c>
      <c r="L428" s="1" t="str">
        <f>IFERROR(__xludf.DUMMYFUNCTION("""COMPUTED_VALUE"""),"POSTED")</f>
        <v>POSTED</v>
      </c>
      <c r="M428" s="1" t="str">
        <f>IFERROR(__xludf.DUMMYFUNCTION("""COMPUTED_VALUE"""),"POSTED")</f>
        <v>POSTED</v>
      </c>
      <c r="N428" s="3">
        <f>IFERROR(__xludf.DUMMYFUNCTION("""COMPUTED_VALUE"""),46271)</f>
        <v>46271</v>
      </c>
      <c r="O428" s="1" t="str">
        <f>IFERROR(__xludf.DUMMYFUNCTION("""COMPUTED_VALUE"""),"FIBR UNLI ALL PLAN 999")</f>
        <v>FIBR UNLI ALL PLAN 999</v>
      </c>
      <c r="P428" s="1" t="str">
        <f>IFERROR(__xludf.DUMMYFUNCTION("""COMPUTED_VALUE"""),"LOWPLAN")</f>
        <v>LOWPLAN</v>
      </c>
      <c r="Q428" s="1" t="str">
        <f>IFERROR(__xludf.DUMMYFUNCTION("""COMPUTED_VALUE"""),"P407050")</f>
        <v>P407050</v>
      </c>
      <c r="R428" s="1" t="str">
        <f>IFERROR(__xludf.DUMMYFUNCTION("""COMPUTED_VALUE"""),"ARENA, LYKA")</f>
        <v>ARENA, LYKA</v>
      </c>
      <c r="S428" s="1" t="str">
        <f>IFERROR(__xludf.DUMMYFUNCTION("""COMPUTED_VALUE"""),"ORGANIC")</f>
        <v>ORGANIC</v>
      </c>
      <c r="T428" s="1" t="str">
        <f>IFERROR(__xludf.DUMMYFUNCTION("""COMPUTED_VALUE"""),"LEA REMOLLO")</f>
        <v>LEA REMOLLO</v>
      </c>
      <c r="U428" s="1" t="str">
        <f>IFERROR(__xludf.DUMMYFUNCTION("""COMPUTED_VALUE"""),"JB SALIOA")</f>
        <v>JB SALIOA</v>
      </c>
      <c r="V428" s="1" t="str">
        <f>IFERROR(__xludf.DUMMYFUNCTION("""COMPUTED_VALUE"""),"BK HSTK")</f>
        <v>BK HSTK</v>
      </c>
      <c r="W428" s="1" t="str">
        <f>IFERROR(__xludf.DUMMYFUNCTION("""COMPUTED_VALUE"""),"BK HSTK")</f>
        <v>BK HSTK</v>
      </c>
      <c r="X428" s="1" t="str">
        <f>IFERROR(__xludf.DUMMYFUNCTION("""COMPUTED_VALUE"""),"REGULAR")</f>
        <v>REGULAR</v>
      </c>
      <c r="Y428" s="1" t="str">
        <f>IFERROR(__xludf.DUMMYFUNCTION("""COMPUTED_VALUE"""),"BK_CVEU_260820")</f>
        <v>BK_CVEU_260820</v>
      </c>
      <c r="Z428" s="1" t="str">
        <f>IFERROR(__xludf.DUMMYFUNCTION("""COMPUTED_VALUE"""),"NEW CONNECT")</f>
        <v>NEW CONNECT</v>
      </c>
      <c r="AA428" s="1">
        <f>IFERROR(__xludf.DUMMYFUNCTION("""COMPUTED_VALUE"""),639919580691)</f>
        <v>639919580691</v>
      </c>
      <c r="AB428" s="1"/>
      <c r="AC428" s="1"/>
      <c r="AD428" s="1" t="str">
        <f>IFERROR(__xludf.DUMMYFUNCTION("""COMPUTED_VALUE"""),"ZONE 5")</f>
        <v>ZONE 5</v>
      </c>
      <c r="AE428" s="1"/>
      <c r="AF428" s="1" t="str">
        <f>IFERROR(__xludf.DUMMYFUNCTION("""COMPUTED_VALUE"""),"BGY BULIHAN")</f>
        <v>BGY BULIHAN</v>
      </c>
      <c r="AG428" s="1" t="str">
        <f>IFERROR(__xludf.DUMMYFUNCTION("""COMPUTED_VALUE"""),"SILANG")</f>
        <v>SILANG</v>
      </c>
      <c r="AH428" s="1" t="str">
        <f>IFERROR(__xludf.DUMMYFUNCTION("""COMPUTED_VALUE"""),"SCHOOL")</f>
        <v>SCHOOL</v>
      </c>
      <c r="AI428" s="1" t="str">
        <f>IFERROR(__xludf.DUMMYFUNCTION("""COMPUTED_VALUE"""),"CLUSTER 11")</f>
        <v>CLUSTER 11</v>
      </c>
    </row>
    <row r="429" customHeight="1" spans="1:35">
      <c r="A429" s="3">
        <f>IFERROR(__xludf.DUMMYFUNCTION("""COMPUTED_VALUE"""),46270)</f>
        <v>46270</v>
      </c>
      <c r="B429" s="1" t="str">
        <f>IFERROR(__xludf.DUMMYFUNCTION("""COMPUTED_VALUE"""),"JHON MICHAEL CAYAO ESTANILLA")</f>
        <v>JHON MICHAEL CAYAO ESTANILLA</v>
      </c>
      <c r="C429" s="1">
        <f>IFERROR(__xludf.DUMMYFUNCTION("""COMPUTED_VALUE"""),2312379391)</f>
        <v>2312379391</v>
      </c>
      <c r="D429" s="1">
        <f>IFERROR(__xludf.DUMMYFUNCTION("""COMPUTED_VALUE"""),407651529)</f>
        <v>407651529</v>
      </c>
      <c r="E429" s="1">
        <f>IFERROR(__xludf.DUMMYFUNCTION("""COMPUTED_VALUE"""),470172839004)</f>
        <v>470172839004</v>
      </c>
      <c r="F429" s="1" t="str">
        <f>IFERROR(__xludf.DUMMYFUNCTION("""COMPUTED_VALUE"""),"CLOSED")</f>
        <v>CLOSED</v>
      </c>
      <c r="G429" s="1" t="str">
        <f>IFERROR(__xludf.DUMMYFUNCTION("""COMPUTED_VALUE"""),"CLOSED")</f>
        <v>CLOSED</v>
      </c>
      <c r="H429" s="1" t="str">
        <f>IFERROR(__xludf.DUMMYFUNCTION("""COMPUTED_VALUE"""),"PQGOR363098189	05-Sep-26	Regular Payment	CIS-GCASH 3.0	1,399.00	940746995	05-Sep-26")</f>
        <v>PQGOR363098189	05-Sep-26	Regular Payment	CIS-GCASH 3.0	1,399.00	940746995	05-Sep-26</v>
      </c>
      <c r="I429" s="1" t="str">
        <f>IFERROR(__xludf.DUMMYFUNCTION("""COMPUTED_VALUE"""),"WITH 1 AMSF")</f>
        <v>WITH 1 AMSF</v>
      </c>
      <c r="J429" s="1"/>
      <c r="K429" s="1" t="str">
        <f>IFERROR(__xludf.DUMMYFUNCTION("""COMPUTED_VALUE"""),"COMPLETED")</f>
        <v>COMPLETED</v>
      </c>
      <c r="L429" s="1" t="str">
        <f>IFERROR(__xludf.DUMMYFUNCTION("""COMPUTED_VALUE"""),"POSTED")</f>
        <v>POSTED</v>
      </c>
      <c r="M429" s="1" t="str">
        <f>IFERROR(__xludf.DUMMYFUNCTION("""COMPUTED_VALUE"""),"POSTED")</f>
        <v>POSTED</v>
      </c>
      <c r="N429" s="3">
        <f>IFERROR(__xludf.DUMMYFUNCTION("""COMPUTED_VALUE"""),46271)</f>
        <v>46271</v>
      </c>
      <c r="O429" s="1" t="str">
        <f>IFERROR(__xludf.DUMMYFUNCTION("""COMPUTED_VALUE"""),"FIBR PLAN 1299")</f>
        <v>FIBR PLAN 1299</v>
      </c>
      <c r="P429" s="1" t="str">
        <f>IFERROR(__xludf.DUMMYFUNCTION("""COMPUTED_VALUE"""),"LOWPLAN")</f>
        <v>LOWPLAN</v>
      </c>
      <c r="Q429" s="1" t="str">
        <f>IFERROR(__xludf.DUMMYFUNCTION("""COMPUTED_VALUE"""),"P407045")</f>
        <v>P407045</v>
      </c>
      <c r="R429" s="1" t="str">
        <f>IFERROR(__xludf.DUMMYFUNCTION("""COMPUTED_VALUE"""),"OPS")</f>
        <v>OPS</v>
      </c>
      <c r="S429" s="1" t="str">
        <f>IFERROR(__xludf.DUMMYFUNCTION("""COMPUTED_VALUE"""),"FLA")</f>
        <v>FLA</v>
      </c>
      <c r="T429" s="1" t="str">
        <f>IFERROR(__xludf.DUMMYFUNCTION("""COMPUTED_VALUE"""),"JERIC NAVARRO")</f>
        <v>JERIC NAVARRO</v>
      </c>
      <c r="U429" s="1" t="str">
        <f>IFERROR(__xludf.DUMMYFUNCTION("""COMPUTED_VALUE"""),"JB SALIOA")</f>
        <v>JB SALIOA</v>
      </c>
      <c r="V429" s="1" t="str">
        <f>IFERROR(__xludf.DUMMYFUNCTION("""COMPUTED_VALUE"""),"ONLINE/CRANFORD")</f>
        <v>ONLINE/CRANFORD</v>
      </c>
      <c r="W429" s="1" t="str">
        <f>IFERROR(__xludf.DUMMYFUNCTION("""COMPUTED_VALUE"""),"STK REGULAR")</f>
        <v>STK REGULAR</v>
      </c>
      <c r="X429" s="1" t="str">
        <f>IFERROR(__xludf.DUMMYFUNCTION("""COMPUTED_VALUE"""),"REGULAR")</f>
        <v>REGULAR</v>
      </c>
      <c r="Y429" s="1" t="str">
        <f>IFERROR(__xludf.DUMMYFUNCTION("""COMPUTED_VALUE"""),"RS_ONL_CVEU_2026")</f>
        <v>RS_ONL_CVEU_2026</v>
      </c>
      <c r="Z429" s="1" t="str">
        <f>IFERROR(__xludf.DUMMYFUNCTION("""COMPUTED_VALUE"""),"NEW CONNECT")</f>
        <v>NEW CONNECT</v>
      </c>
      <c r="AA429" s="1">
        <f>IFERROR(__xludf.DUMMYFUNCTION("""COMPUTED_VALUE"""),639391648397)</f>
        <v>639391648397</v>
      </c>
      <c r="AB429" s="1">
        <f>IFERROR(__xludf.DUMMYFUNCTION("""COMPUTED_VALUE"""),639952045797)</f>
        <v>639952045797</v>
      </c>
      <c r="AC429" s="1">
        <f>IFERROR(__xludf.DUMMYFUNCTION("""COMPUTED_VALUE"""),21)</f>
        <v>21</v>
      </c>
      <c r="AD429" s="1" t="str">
        <f>IFERROR(__xludf.DUMMYFUNCTION("""COMPUTED_VALUE"""),"PEDRO REYES")</f>
        <v>PEDRO REYES</v>
      </c>
      <c r="AE429" s="1" t="str">
        <f>IFERROR(__xludf.DUMMYFUNCTION("""COMPUTED_VALUE"""),"MILA-MAR APARTMENT")</f>
        <v>MILA-MAR APARTMENT</v>
      </c>
      <c r="AF429" s="1" t="str">
        <f>IFERROR(__xludf.DUMMYFUNCTION("""COMPUTED_VALUE"""),"BGY MALAGASANG 1-A")</f>
        <v>BGY MALAGASANG 1-A</v>
      </c>
      <c r="AG429" s="1" t="str">
        <f>IFERROR(__xludf.DUMMYFUNCTION("""COMPUTED_VALUE"""),"IMUS")</f>
        <v>IMUS</v>
      </c>
      <c r="AH429" s="1" t="str">
        <f>IFERROR(__xludf.DUMMYFUNCTION("""COMPUTED_VALUE"""),"-")</f>
        <v>-</v>
      </c>
      <c r="AI429" s="1" t="str">
        <f>IFERROR(__xludf.DUMMYFUNCTION("""COMPUTED_VALUE"""),"NOT AOR")</f>
        <v>NOT AOR</v>
      </c>
    </row>
    <row r="430" customHeight="1" spans="1:35">
      <c r="A430" s="3">
        <f>IFERROR(__xludf.DUMMYFUNCTION("""COMPUTED_VALUE"""),46270)</f>
        <v>46270</v>
      </c>
      <c r="B430" s="1" t="str">
        <f>IFERROR(__xludf.DUMMYFUNCTION("""COMPUTED_VALUE"""),"JOSHUA MEDINA VILLARIN")</f>
        <v>JOSHUA MEDINA VILLARIN</v>
      </c>
      <c r="C430" s="1">
        <f>IFERROR(__xludf.DUMMYFUNCTION("""COMPUTED_VALUE"""),2312379628)</f>
        <v>2312379628</v>
      </c>
      <c r="D430" s="1">
        <f>IFERROR(__xludf.DUMMYFUNCTION("""COMPUTED_VALUE"""),407650425)</f>
        <v>407650425</v>
      </c>
      <c r="E430" s="1">
        <f>IFERROR(__xludf.DUMMYFUNCTION("""COMPUTED_VALUE"""),470164460004)</f>
        <v>470164460004</v>
      </c>
      <c r="F430" s="1" t="str">
        <f>IFERROR(__xludf.DUMMYFUNCTION("""COMPUTED_VALUE"""),"CANCELLED")</f>
        <v>CANCELLED</v>
      </c>
      <c r="G430" s="1" t="str">
        <f>IFERROR(__xludf.DUMMYFUNCTION("""COMPUTED_VALUE"""),"RPR FULL CAFAC NO AVAILABLE SLOT ALL SURVEY CAFAC FULL ASSIGN CAFAC NOT ON SITE DASLPB78NP1 port 1 vacant port 8 lc DASLPB78NP2 no vacant DASLPB78NP3 d pa active DASLPB78NP4 port 3 locked vacant active DASLPB78NP5 no vacant DASLPB78NP6 mp vacamt DASLPB78N"&amp;"P7 no vacant DASLPB79NP8 d pa active DASLPB79NP2 port 5 vacant port 3 locked vacant active")</f>
        <v>RPR FULL CAFAC NO AVAILABLE SLOT ALL SURVEY CAFAC FULL ASSIGN CAFAC NOT ON SITE DASLPB78NP1 port 1 vacant port 8 lc DASLPB78NP2 no vacant DASLPB78NP3 d pa active DASLPB78NP4 port 3 locked vacant active DASLPB78NP5 no vacant DASLPB78NP6 mp vacamt DASLPB78NP7 no vacant DASLPB79NP8 d pa active DASLPB79NP2 port 5 vacant port 3 locked vacant active</v>
      </c>
      <c r="H430" s="1"/>
      <c r="I430" s="1"/>
      <c r="J430" s="1"/>
      <c r="K430" s="1" t="str">
        <f>IFERROR(__xludf.DUMMYFUNCTION("""COMPUTED_VALUE"""),"CANCELED")</f>
        <v>CANCELED</v>
      </c>
      <c r="L430" s="1" t="str">
        <f>IFERROR(__xludf.DUMMYFUNCTION("""COMPUTED_VALUE"""),"CANCELLED")</f>
        <v>CANCELLED</v>
      </c>
      <c r="M430" s="1" t="str">
        <f>IFERROR(__xludf.DUMMYFUNCTION("""COMPUTED_VALUE"""),"RPR- NAP FULL")</f>
        <v>RPR- NAP FULL</v>
      </c>
      <c r="N430" s="3"/>
      <c r="O430" s="1" t="str">
        <f>IFERROR(__xludf.DUMMYFUNCTION("""COMPUTED_VALUE"""),"FIBR PLAN 1299")</f>
        <v>FIBR PLAN 1299</v>
      </c>
      <c r="P430" s="1" t="str">
        <f>IFERROR(__xludf.DUMMYFUNCTION("""COMPUTED_VALUE"""),"LOWPLAN")</f>
        <v>LOWPLAN</v>
      </c>
      <c r="Q430" s="1" t="str">
        <f>IFERROR(__xludf.DUMMYFUNCTION("""COMPUTED_VALUE"""),"P407047")</f>
        <v>P407047</v>
      </c>
      <c r="R430" s="1" t="str">
        <f>IFERROR(__xludf.DUMMYFUNCTION("""COMPUTED_VALUE"""),"FRANCISCO, ROSELYN")</f>
        <v>FRANCISCO, ROSELYN</v>
      </c>
      <c r="S430" s="1" t="str">
        <f>IFERROR(__xludf.DUMMYFUNCTION("""COMPUTED_VALUE"""),"ORGANIC")</f>
        <v>ORGANIC</v>
      </c>
      <c r="T430" s="1" t="str">
        <f>IFERROR(__xludf.DUMMYFUNCTION("""COMPUTED_VALUE"""),"LEA REMOLLO")</f>
        <v>LEA REMOLLO</v>
      </c>
      <c r="U430" s="1" t="str">
        <f>IFERROR(__xludf.DUMMYFUNCTION("""COMPUTED_VALUE"""),"JB SALIOA")</f>
        <v>JB SALIOA</v>
      </c>
      <c r="V430" s="1" t="str">
        <f>IFERROR(__xludf.DUMMYFUNCTION("""COMPUTED_VALUE"""),"ONLINE/CRANFORD")</f>
        <v>ONLINE/CRANFORD</v>
      </c>
      <c r="W430" s="1" t="str">
        <f>IFERROR(__xludf.DUMMYFUNCTION("""COMPUTED_VALUE"""),"STK REGULAR")</f>
        <v>STK REGULAR</v>
      </c>
      <c r="X430" s="1" t="str">
        <f>IFERROR(__xludf.DUMMYFUNCTION("""COMPUTED_VALUE"""),"REGULAR")</f>
        <v>REGULAR</v>
      </c>
      <c r="Y430" s="1" t="str">
        <f>IFERROR(__xludf.DUMMYFUNCTION("""COMPUTED_VALUE"""),"RS_ONL_CVEU_2026")</f>
        <v>RS_ONL_CVEU_2026</v>
      </c>
      <c r="Z430" s="1" t="str">
        <f>IFERROR(__xludf.DUMMYFUNCTION("""COMPUTED_VALUE"""),"NEW CONNECT")</f>
        <v>NEW CONNECT</v>
      </c>
      <c r="AA430" s="1">
        <f>IFERROR(__xludf.DUMMYFUNCTION("""COMPUTED_VALUE"""),639752613133)</f>
        <v>639752613133</v>
      </c>
      <c r="AB430" s="1">
        <f>IFERROR(__xludf.DUMMYFUNCTION("""COMPUTED_VALUE"""),639272614378)</f>
        <v>639272614378</v>
      </c>
      <c r="AC430" s="1"/>
      <c r="AD430" s="1" t="str">
        <f>IFERROR(__xludf.DUMMYFUNCTION("""COMPUTED_VALUE"""),"MONTREAL")</f>
        <v>MONTREAL</v>
      </c>
      <c r="AE430" s="1" t="str">
        <f>IFERROR(__xludf.DUMMYFUNCTION("""COMPUTED_VALUE"""),"GREEN BREEZE 2 SJL APARTMENT")</f>
        <v>GREEN BREEZE 2 SJL APARTMENT</v>
      </c>
      <c r="AF430" s="1" t="str">
        <f>IFERROR(__xludf.DUMMYFUNCTION("""COMPUTED_VALUE"""),"BGY LANGKAAN 2")</f>
        <v>BGY LANGKAAN 2</v>
      </c>
      <c r="AG430" s="1" t="str">
        <f>IFERROR(__xludf.DUMMYFUNCTION("""COMPUTED_VALUE"""),"DASMARINAS")</f>
        <v>DASMARINAS</v>
      </c>
      <c r="AH430" s="1" t="str">
        <f>IFERROR(__xludf.DUMMYFUNCTION("""COMPUTED_VALUE"""),"SJL APARTMENT")</f>
        <v>SJL APARTMENT</v>
      </c>
      <c r="AI430" s="1" t="str">
        <f>IFERROR(__xludf.DUMMYFUNCTION("""COMPUTED_VALUE"""),"NOT AOR")</f>
        <v>NOT AOR</v>
      </c>
    </row>
    <row r="431" customHeight="1" spans="1:35">
      <c r="A431" s="3">
        <f>IFERROR(__xludf.DUMMYFUNCTION("""COMPUTED_VALUE"""),46270)</f>
        <v>46270</v>
      </c>
      <c r="B431" s="1" t="str">
        <f>IFERROR(__xludf.DUMMYFUNCTION("""COMPUTED_VALUE"""),"JHUNSON DOMINGO CALINOG")</f>
        <v>JHUNSON DOMINGO CALINOG</v>
      </c>
      <c r="C431" s="1">
        <f>IFERROR(__xludf.DUMMYFUNCTION("""COMPUTED_VALUE"""),2312386896)</f>
        <v>2312386896</v>
      </c>
      <c r="D431" s="1">
        <f>IFERROR(__xludf.DUMMYFUNCTION("""COMPUTED_VALUE"""),407667697)</f>
        <v>407667697</v>
      </c>
      <c r="E431" s="1">
        <f>IFERROR(__xludf.DUMMYFUNCTION("""COMPUTED_VALUE"""),470189602004)</f>
        <v>470189602004</v>
      </c>
      <c r="F431" s="1" t="str">
        <f>IFERROR(__xludf.DUMMYFUNCTION("""COMPUTED_VALUE"""),"CANCELLED")</f>
        <v>CANCELLED</v>
      </c>
      <c r="G431" s="1" t="str">
        <f>IFERROR(__xludf.DUMMYFUNCTION("""COMPUTED_VALUE"""),"VISITED BUT AS PER ANDREA HIPAG NI SUBS CANCEL REQUEST NKAPAG PAKABIT NA SILA NG CONVERGE")</f>
        <v>VISITED BUT AS PER ANDREA HIPAG NI SUBS CANCEL REQUEST NKAPAG PAKABIT NA SILA NG CONVERGE</v>
      </c>
      <c r="H431" s="1"/>
      <c r="I431" s="1"/>
      <c r="J431" s="1"/>
      <c r="K431" s="1" t="str">
        <f>IFERROR(__xludf.DUMMYFUNCTION("""COMPUTED_VALUE"""),"CANCELED")</f>
        <v>CANCELED</v>
      </c>
      <c r="L431" s="1" t="str">
        <f>IFERROR(__xludf.DUMMYFUNCTION("""COMPUTED_VALUE"""),"CANCELLED")</f>
        <v>CANCELLED</v>
      </c>
      <c r="M431" s="1" t="str">
        <f>IFERROR(__xludf.DUMMYFUNCTION("""COMPUTED_VALUE"""),"RPR- SUBS CANCEL REQUEST")</f>
        <v>RPR- SUBS CANCEL REQUEST</v>
      </c>
      <c r="N431" s="3"/>
      <c r="O431" s="1" t="str">
        <f>IFERROR(__xludf.DUMMYFUNCTION("""COMPUTED_VALUE"""),"FIBR PLAN 1299")</f>
        <v>FIBR PLAN 1299</v>
      </c>
      <c r="P431" s="1" t="str">
        <f>IFERROR(__xludf.DUMMYFUNCTION("""COMPUTED_VALUE"""),"LOWPLAN")</f>
        <v>LOWPLAN</v>
      </c>
      <c r="Q431" s="1" t="str">
        <f>IFERROR(__xludf.DUMMYFUNCTION("""COMPUTED_VALUE"""),"P407047")</f>
        <v>P407047</v>
      </c>
      <c r="R431" s="1" t="str">
        <f>IFERROR(__xludf.DUMMYFUNCTION("""COMPUTED_VALUE"""),"FRANCISCO, ROSELYN")</f>
        <v>FRANCISCO, ROSELYN</v>
      </c>
      <c r="S431" s="1" t="str">
        <f>IFERROR(__xludf.DUMMYFUNCTION("""COMPUTED_VALUE"""),"ORGANIC")</f>
        <v>ORGANIC</v>
      </c>
      <c r="T431" s="1" t="str">
        <f>IFERROR(__xludf.DUMMYFUNCTION("""COMPUTED_VALUE"""),"LEA REMOLLO")</f>
        <v>LEA REMOLLO</v>
      </c>
      <c r="U431" s="1" t="str">
        <f>IFERROR(__xludf.DUMMYFUNCTION("""COMPUTED_VALUE"""),"JB SALIOA")</f>
        <v>JB SALIOA</v>
      </c>
      <c r="V431" s="1" t="str">
        <f>IFERROR(__xludf.DUMMYFUNCTION("""COMPUTED_VALUE"""),"ONLINE/CRANFORD")</f>
        <v>ONLINE/CRANFORD</v>
      </c>
      <c r="W431" s="1" t="str">
        <f>IFERROR(__xludf.DUMMYFUNCTION("""COMPUTED_VALUE"""),"STK REGULAR")</f>
        <v>STK REGULAR</v>
      </c>
      <c r="X431" s="1" t="str">
        <f>IFERROR(__xludf.DUMMYFUNCTION("""COMPUTED_VALUE"""),"REGULAR")</f>
        <v>REGULAR</v>
      </c>
      <c r="Y431" s="1" t="str">
        <f>IFERROR(__xludf.DUMMYFUNCTION("""COMPUTED_VALUE"""),"RS_ONL_CVEU_2026")</f>
        <v>RS_ONL_CVEU_2026</v>
      </c>
      <c r="Z431" s="1" t="str">
        <f>IFERROR(__xludf.DUMMYFUNCTION("""COMPUTED_VALUE"""),"NEW CONNECT")</f>
        <v>NEW CONNECT</v>
      </c>
      <c r="AA431" s="1">
        <f>IFERROR(__xludf.DUMMYFUNCTION("""COMPUTED_VALUE"""),639976307457)</f>
        <v>639976307457</v>
      </c>
      <c r="AB431" s="1"/>
      <c r="AC431" s="1">
        <f>IFERROR(__xludf.DUMMYFUNCTION("""COMPUTED_VALUE"""),9056)</f>
        <v>9056</v>
      </c>
      <c r="AD431" s="1" t="str">
        <f>IFERROR(__xludf.DUMMYFUNCTION("""COMPUTED_VALUE"""),"PUROK 4")</f>
        <v>PUROK 4</v>
      </c>
      <c r="AE431" s="1"/>
      <c r="AF431" s="1" t="str">
        <f>IFERROR(__xludf.DUMMYFUNCTION("""COMPUTED_VALUE"""),"BGY SANTIAGO")</f>
        <v>BGY SANTIAGO</v>
      </c>
      <c r="AG431" s="1" t="str">
        <f>IFERROR(__xludf.DUMMYFUNCTION("""COMPUTED_VALUE"""),"GENERAL TRIAS")</f>
        <v>GENERAL TRIAS</v>
      </c>
      <c r="AH431" s="1" t="str">
        <f>IFERROR(__xludf.DUMMYFUNCTION("""COMPUTED_VALUE"""),"INFRONT OF KIDNEYCARE DIALYSIS")</f>
        <v>INFRONT OF KIDNEYCARE DIALYSIS</v>
      </c>
      <c r="AI431" s="1" t="str">
        <f>IFERROR(__xludf.DUMMYFUNCTION("""COMPUTED_VALUE"""),"NOT AOR")</f>
        <v>NOT AOR</v>
      </c>
    </row>
    <row r="432" customHeight="1" spans="1:35">
      <c r="A432" s="3">
        <f>IFERROR(__xludf.DUMMYFUNCTION("""COMPUTED_VALUE"""),46270)</f>
        <v>46270</v>
      </c>
      <c r="B432" s="1" t="str">
        <f>IFERROR(__xludf.DUMMYFUNCTION("""COMPUTED_VALUE"""),"PRETTY ROSE PABURADA OCLARIT")</f>
        <v>PRETTY ROSE PABURADA OCLARIT</v>
      </c>
      <c r="C432" s="1">
        <f>IFERROR(__xludf.DUMMYFUNCTION("""COMPUTED_VALUE"""),2312391042)</f>
        <v>2312391042</v>
      </c>
      <c r="D432" s="1">
        <f>IFERROR(__xludf.DUMMYFUNCTION("""COMPUTED_VALUE"""),407679091)</f>
        <v>407679091</v>
      </c>
      <c r="E432" s="1">
        <f>IFERROR(__xludf.DUMMYFUNCTION("""COMPUTED_VALUE"""),470321746004)</f>
        <v>470321746004</v>
      </c>
      <c r="F432" s="1" t="str">
        <f>IFERROR(__xludf.DUMMYFUNCTION("""COMPUTED_VALUE"""),"CLOSED")</f>
        <v>CLOSED</v>
      </c>
      <c r="G432" s="1" t="str">
        <f>IFERROR(__xludf.DUMMYFUNCTION("""COMPUTED_VALUE"""),"CLOSED")</f>
        <v>CLOSED</v>
      </c>
      <c r="H432" s="1" t="str">
        <f>IFERROR(__xludf.DUMMYFUNCTION("""COMPUTED_VALUE"""),"PAID VIA GCASH REF 359228347 SEPT 7")</f>
        <v>PAID VIA GCASH REF 359228347 SEPT 7</v>
      </c>
      <c r="I432" s="1" t="str">
        <f>IFERROR(__xludf.DUMMYFUNCTION("""COMPUTED_VALUE"""),"WITH 1 AMSF")</f>
        <v>WITH 1 AMSF</v>
      </c>
      <c r="J432" s="1"/>
      <c r="K432" s="1" t="str">
        <f>IFERROR(__xludf.DUMMYFUNCTION("""COMPUTED_VALUE"""),"COMPLETED")</f>
        <v>COMPLETED</v>
      </c>
      <c r="L432" s="1" t="str">
        <f>IFERROR(__xludf.DUMMYFUNCTION("""COMPUTED_VALUE"""),"POSTED")</f>
        <v>POSTED</v>
      </c>
      <c r="M432" s="1" t="str">
        <f>IFERROR(__xludf.DUMMYFUNCTION("""COMPUTED_VALUE"""),"POSTED")</f>
        <v>POSTED</v>
      </c>
      <c r="N432" s="3">
        <f>IFERROR(__xludf.DUMMYFUNCTION("""COMPUTED_VALUE"""),46274)</f>
        <v>46274</v>
      </c>
      <c r="O432" s="1" t="str">
        <f>IFERROR(__xludf.DUMMYFUNCTION("""COMPUTED_VALUE"""),"FIBR PLAN 1299")</f>
        <v>FIBR PLAN 1299</v>
      </c>
      <c r="P432" s="1" t="str">
        <f>IFERROR(__xludf.DUMMYFUNCTION("""COMPUTED_VALUE"""),"LOWPLAN")</f>
        <v>LOWPLAN</v>
      </c>
      <c r="Q432" s="1" t="str">
        <f>IFERROR(__xludf.DUMMYFUNCTION("""COMPUTED_VALUE"""),"P407046")</f>
        <v>P407046</v>
      </c>
      <c r="R432" s="1" t="str">
        <f>IFERROR(__xludf.DUMMYFUNCTION("""COMPUTED_VALUE"""),"FRANCISCO, ROSELYN")</f>
        <v>FRANCISCO, ROSELYN</v>
      </c>
      <c r="S432" s="1" t="str">
        <f>IFERROR(__xludf.DUMMYFUNCTION("""COMPUTED_VALUE"""),"FLA")</f>
        <v>FLA</v>
      </c>
      <c r="T432" s="1" t="str">
        <f>IFERROR(__xludf.DUMMYFUNCTION("""COMPUTED_VALUE"""),"JERIC NAVARRO")</f>
        <v>JERIC NAVARRO</v>
      </c>
      <c r="U432" s="1" t="str">
        <f>IFERROR(__xludf.DUMMYFUNCTION("""COMPUTED_VALUE"""),"JB SALIOA")</f>
        <v>JB SALIOA</v>
      </c>
      <c r="V432" s="1" t="str">
        <f>IFERROR(__xludf.DUMMYFUNCTION("""COMPUTED_VALUE"""),"ONLINE/CRANFORD")</f>
        <v>ONLINE/CRANFORD</v>
      </c>
      <c r="W432" s="1" t="str">
        <f>IFERROR(__xludf.DUMMYFUNCTION("""COMPUTED_VALUE"""),"STK REGULAR")</f>
        <v>STK REGULAR</v>
      </c>
      <c r="X432" s="1" t="str">
        <f>IFERROR(__xludf.DUMMYFUNCTION("""COMPUTED_VALUE"""),"REGULAR")</f>
        <v>REGULAR</v>
      </c>
      <c r="Y432" s="1" t="str">
        <f>IFERROR(__xludf.DUMMYFUNCTION("""COMPUTED_VALUE"""),"RS_ONL_CVEU_2026")</f>
        <v>RS_ONL_CVEU_2026</v>
      </c>
      <c r="Z432" s="1" t="str">
        <f>IFERROR(__xludf.DUMMYFUNCTION("""COMPUTED_VALUE"""),"NEW CONNECT")</f>
        <v>NEW CONNECT</v>
      </c>
      <c r="AA432" s="1">
        <f>IFERROR(__xludf.DUMMYFUNCTION("""COMPUTED_VALUE"""),639091309516)</f>
        <v>639091309516</v>
      </c>
      <c r="AB432" s="1"/>
      <c r="AC432" s="1">
        <f>IFERROR(__xludf.DUMMYFUNCTION("""COMPUTED_VALUE"""),9055)</f>
        <v>9055</v>
      </c>
      <c r="AD432" s="1" t="str">
        <f>IFERROR(__xludf.DUMMYFUNCTION("""COMPUTED_VALUE"""),"TOLENTINO EAST")</f>
        <v>TOLENTINO EAST</v>
      </c>
      <c r="AE432" s="1"/>
      <c r="AF432" s="1" t="str">
        <f>IFERROR(__xludf.DUMMYFUNCTION("""COMPUTED_VALUE"""),"BGY TOLENTINO EAST")</f>
        <v>BGY TOLENTINO EAST</v>
      </c>
      <c r="AG432" s="1" t="str">
        <f>IFERROR(__xludf.DUMMYFUNCTION("""COMPUTED_VALUE"""),"TAGAYTAY")</f>
        <v>TAGAYTAY</v>
      </c>
      <c r="AH432" s="1" t="str">
        <f>IFERROR(__xludf.DUMMYFUNCTION("""COMPUTED_VALUE"""),"-")</f>
        <v>-</v>
      </c>
      <c r="AI432" s="1" t="str">
        <f>IFERROR(__xludf.DUMMYFUNCTION("""COMPUTED_VALUE"""),"CLUSTER 12")</f>
        <v>CLUSTER 12</v>
      </c>
    </row>
    <row r="433" customHeight="1" spans="1:35">
      <c r="A433" s="3">
        <f>IFERROR(__xludf.DUMMYFUNCTION("""COMPUTED_VALUE"""),46270)</f>
        <v>46270</v>
      </c>
      <c r="B433" s="1" t="str">
        <f>IFERROR(__xludf.DUMMYFUNCTION("""COMPUTED_VALUE"""),"NESTOR REGIS GARCIA")</f>
        <v>NESTOR REGIS GARCIA</v>
      </c>
      <c r="C433" s="1">
        <f>IFERROR(__xludf.DUMMYFUNCTION("""COMPUTED_VALUE"""),2312391997)</f>
        <v>2312391997</v>
      </c>
      <c r="D433" s="1"/>
      <c r="E433" s="1"/>
      <c r="F433" s="1" t="str">
        <f>IFERROR(__xludf.DUMMYFUNCTION("""COMPUTED_VALUE"""),"CANCELLED")</f>
        <v>CANCELLED</v>
      </c>
      <c r="G433" s="1" t="str">
        <f>IFERROR(__xludf.DUMMYFUNCTION("""COMPUTED_VALUE"""),"CANNOT CHANGE PAYMENT REQUIRED- APPROVED- VALIDATE COMPLETE DOCS | DONE VALIDATION |CORRECT ENCODED INFO CSP |TU SCORING FF - 1 (NTC) REQUIRED 1 AMSF | CLEARED FROM BLACKLISTED HIT | NO EXISTING ACTIVE ACCT AND/OR PENDING/CANCELLED APPLICATION- SCANNABLE")</f>
        <v>CANNOT CHANGE PAYMENT REQUIRED- APPROVED- VALIDATE COMPLETE DOCS | DONE VALIDATION |CORRECT ENCODED INFO CSP |TU SCORING FF - 1 (NTC) REQUIRED 1 AMSF | CLEARED FROM BLACKLISTED HIT | NO EXISTING ACTIVE ACCT AND/OR PENDING/CANCELLED APPLICATION- SCANNABLE</v>
      </c>
      <c r="H433" s="1"/>
      <c r="I433" s="1"/>
      <c r="J433" s="1"/>
      <c r="K433" s="1"/>
      <c r="L433" s="1" t="str">
        <f>IFERROR(__xludf.DUMMYFUNCTION("""COMPUTED_VALUE"""),"CANCELLED")</f>
        <v>CANCELLED</v>
      </c>
      <c r="M433" s="1" t="str">
        <f>IFERROR(__xludf.DUMMYFUNCTION("""COMPUTED_VALUE"""),"CANCELLED - SYSTEM ERROR")</f>
        <v>CANCELLED - SYSTEM ERROR</v>
      </c>
      <c r="N433" s="3"/>
      <c r="O433" s="1" t="str">
        <f>IFERROR(__xludf.DUMMYFUNCTION("""COMPUTED_VALUE"""),"FIBR NETFLIX PLAN 1599")</f>
        <v>FIBR NETFLIX PLAN 1599</v>
      </c>
      <c r="P433" s="1" t="str">
        <f>IFERROR(__xludf.DUMMYFUNCTION("""COMPUTED_VALUE"""),"LOWPLAN")</f>
        <v>LOWPLAN</v>
      </c>
      <c r="Q433" s="1" t="str">
        <f>IFERROR(__xludf.DUMMYFUNCTION("""COMPUTED_VALUE"""),"P407048")</f>
        <v>P407048</v>
      </c>
      <c r="R433" s="1" t="str">
        <f>IFERROR(__xludf.DUMMYFUNCTION("""COMPUTED_VALUE"""),"SANTOS, FRANZ IVAN")</f>
        <v>SANTOS, FRANZ IVAN</v>
      </c>
      <c r="S433" s="1" t="str">
        <f>IFERROR(__xludf.DUMMYFUNCTION("""COMPUTED_VALUE"""),"ORGANIC")</f>
        <v>ORGANIC</v>
      </c>
      <c r="T433" s="1" t="str">
        <f>IFERROR(__xludf.DUMMYFUNCTION("""COMPUTED_VALUE"""),"GARCIA MICHAEL JETTS")</f>
        <v>GARCIA MICHAEL JETTS</v>
      </c>
      <c r="U433" s="1" t="str">
        <f>IFERROR(__xludf.DUMMYFUNCTION("""COMPUTED_VALUE"""),"JB SALIOA")</f>
        <v>JB SALIOA</v>
      </c>
      <c r="V433" s="1" t="str">
        <f>IFERROR(__xludf.DUMMYFUNCTION("""COMPUTED_VALUE"""),"ONLINE/CRANFORD")</f>
        <v>ONLINE/CRANFORD</v>
      </c>
      <c r="W433" s="1" t="str">
        <f>IFERROR(__xludf.DUMMYFUNCTION("""COMPUTED_VALUE"""),"STK REGULAR")</f>
        <v>STK REGULAR</v>
      </c>
      <c r="X433" s="1" t="str">
        <f>IFERROR(__xludf.DUMMYFUNCTION("""COMPUTED_VALUE"""),"REGULAR")</f>
        <v>REGULAR</v>
      </c>
      <c r="Y433" s="1" t="str">
        <f>IFERROR(__xludf.DUMMYFUNCTION("""COMPUTED_VALUE"""),"RS_ONL_CVEU_2026")</f>
        <v>RS_ONL_CVEU_2026</v>
      </c>
      <c r="Z433" s="1" t="str">
        <f>IFERROR(__xludf.DUMMYFUNCTION("""COMPUTED_VALUE"""),"NEW CONNECT")</f>
        <v>NEW CONNECT</v>
      </c>
      <c r="AA433" s="1">
        <f>IFERROR(__xludf.DUMMYFUNCTION("""COMPUTED_VALUE"""),639670131392)</f>
        <v>639670131392</v>
      </c>
      <c r="AB433" s="1">
        <f>IFERROR(__xludf.DUMMYFUNCTION("""COMPUTED_VALUE"""),639267802577)</f>
        <v>639267802577</v>
      </c>
      <c r="AC433" s="1"/>
      <c r="AD433" s="1" t="str">
        <f>IFERROR(__xludf.DUMMYFUNCTION("""COMPUTED_VALUE"""),"PHASE 1")</f>
        <v>PHASE 1</v>
      </c>
      <c r="AE433" s="1" t="str">
        <f>IFERROR(__xludf.DUMMYFUNCTION("""COMPUTED_VALUE"""),"AMAYA BREEZE")</f>
        <v>AMAYA BREEZE</v>
      </c>
      <c r="AF433" s="1" t="str">
        <f>IFERROR(__xludf.DUMMYFUNCTION("""COMPUTED_VALUE"""),"BGY AMAYA 2")</f>
        <v>BGY AMAYA 2</v>
      </c>
      <c r="AG433" s="1" t="str">
        <f>IFERROR(__xludf.DUMMYFUNCTION("""COMPUTED_VALUE"""),"TANZA")</f>
        <v>TANZA</v>
      </c>
      <c r="AH433" s="1" t="str">
        <f>IFERROR(__xludf.DUMMYFUNCTION("""COMPUTED_VALUE"""),"PHASE 1")</f>
        <v>PHASE 1</v>
      </c>
      <c r="AI433" s="1" t="str">
        <f>IFERROR(__xludf.DUMMYFUNCTION("""COMPUTED_VALUE"""),"NOT AOR")</f>
        <v>NOT AOR</v>
      </c>
    </row>
    <row r="434" customHeight="1" spans="1:35">
      <c r="A434" s="3">
        <f>IFERROR(__xludf.DUMMYFUNCTION("""COMPUTED_VALUE"""),46271)</f>
        <v>46271</v>
      </c>
      <c r="B434" s="1" t="str">
        <f>IFERROR(__xludf.DUMMYFUNCTION("""COMPUTED_VALUE"""),"ANDREA EDANO PERENA")</f>
        <v>ANDREA EDANO PERENA</v>
      </c>
      <c r="C434" s="1">
        <f>IFERROR(__xludf.DUMMYFUNCTION("""COMPUTED_VALUE"""),2312400879)</f>
        <v>2312400879</v>
      </c>
      <c r="D434" s="1">
        <f>IFERROR(__xludf.DUMMYFUNCTION("""COMPUTED_VALUE"""),407676890)</f>
        <v>407676890</v>
      </c>
      <c r="E434" s="1">
        <f>IFERROR(__xludf.DUMMYFUNCTION("""COMPUTED_VALUE"""),470320187004)</f>
        <v>470320187004</v>
      </c>
      <c r="F434" s="1" t="str">
        <f>IFERROR(__xludf.DUMMYFUNCTION("""COMPUTED_VALUE"""),"CLOSED")</f>
        <v>CLOSED</v>
      </c>
      <c r="G434" s="1" t="str">
        <f>IFERROR(__xludf.DUMMYFUNCTION("""COMPUTED_VALUE"""),"CLOSED")</f>
        <v>CLOSED</v>
      </c>
      <c r="H434" s="1" t="str">
        <f>IFERROR(__xludf.DUMMYFUNCTION("""COMPUTED_VALUE"""),"PQGOR365988971	02-Oct-26	Regular Payment	CIS-GCASH 3.0	1,184.44	0	02-Oct-26")</f>
        <v>PQGOR365988971	02-Oct-26	Regular Payment	CIS-GCASH 3.0	1,184.44	0	02-Oct-26</v>
      </c>
      <c r="I434" s="1" t="str">
        <f>IFERROR(__xludf.DUMMYFUNCTION("""COMPUTED_VALUE"""),"WITH 1 AMSF")</f>
        <v>WITH 1 AMSF</v>
      </c>
      <c r="J434" s="1"/>
      <c r="K434" s="1" t="str">
        <f>IFERROR(__xludf.DUMMYFUNCTION("""COMPUTED_VALUE"""),"COMPLETED")</f>
        <v>COMPLETED</v>
      </c>
      <c r="L434" s="1" t="str">
        <f>IFERROR(__xludf.DUMMYFUNCTION("""COMPUTED_VALUE"""),"POSTED")</f>
        <v>POSTED</v>
      </c>
      <c r="M434" s="1" t="str">
        <f>IFERROR(__xludf.DUMMYFUNCTION("""COMPUTED_VALUE"""),"POSTED")</f>
        <v>POSTED</v>
      </c>
      <c r="N434" s="3">
        <f>IFERROR(__xludf.DUMMYFUNCTION("""COMPUTED_VALUE"""),46274)</f>
        <v>46274</v>
      </c>
      <c r="O434" s="1" t="str">
        <f>IFERROR(__xludf.DUMMYFUNCTION("""COMPUTED_VALUE"""),"FIBR UNLI ALL PLAN 999")</f>
        <v>FIBR UNLI ALL PLAN 999</v>
      </c>
      <c r="P434" s="1" t="str">
        <f>IFERROR(__xludf.DUMMYFUNCTION("""COMPUTED_VALUE"""),"LOWPLAN")</f>
        <v>LOWPLAN</v>
      </c>
      <c r="Q434" s="1" t="str">
        <f>IFERROR(__xludf.DUMMYFUNCTION("""COMPUTED_VALUE"""),"P407050")</f>
        <v>P407050</v>
      </c>
      <c r="R434" s="1" t="str">
        <f>IFERROR(__xludf.DUMMYFUNCTION("""COMPUTED_VALUE"""),"ALOS, CHARLS LAURENZ")</f>
        <v>ALOS, CHARLS LAURENZ</v>
      </c>
      <c r="S434" s="1" t="str">
        <f>IFERROR(__xludf.DUMMYFUNCTION("""COMPUTED_VALUE"""),"ORGANIC")</f>
        <v>ORGANIC</v>
      </c>
      <c r="T434" s="1" t="str">
        <f>IFERROR(__xludf.DUMMYFUNCTION("""COMPUTED_VALUE"""),"LEA REMOLLO")</f>
        <v>LEA REMOLLO</v>
      </c>
      <c r="U434" s="1" t="str">
        <f>IFERROR(__xludf.DUMMYFUNCTION("""COMPUTED_VALUE"""),"JB SALIOA")</f>
        <v>JB SALIOA</v>
      </c>
      <c r="V434" s="1" t="str">
        <f>IFERROR(__xludf.DUMMYFUNCTION("""COMPUTED_VALUE"""),"ONLINE/CRANFORD")</f>
        <v>ONLINE/CRANFORD</v>
      </c>
      <c r="W434" s="1" t="str">
        <f>IFERROR(__xludf.DUMMYFUNCTION("""COMPUTED_VALUE"""),"STK REGULAR")</f>
        <v>STK REGULAR</v>
      </c>
      <c r="X434" s="1" t="str">
        <f>IFERROR(__xludf.DUMMYFUNCTION("""COMPUTED_VALUE"""),"REGULAR")</f>
        <v>REGULAR</v>
      </c>
      <c r="Y434" s="1" t="str">
        <f>IFERROR(__xludf.DUMMYFUNCTION("""COMPUTED_VALUE"""),"RS_ONL_CVEU_2026")</f>
        <v>RS_ONL_CVEU_2026</v>
      </c>
      <c r="Z434" s="1" t="str">
        <f>IFERROR(__xludf.DUMMYFUNCTION("""COMPUTED_VALUE"""),"NEW CONNECT")</f>
        <v>NEW CONNECT</v>
      </c>
      <c r="AA434" s="1">
        <f>IFERROR(__xludf.DUMMYFUNCTION("""COMPUTED_VALUE"""),639925774518)</f>
        <v>639925774518</v>
      </c>
      <c r="AB434" s="1"/>
      <c r="AC434" s="1"/>
      <c r="AD434" s="1" t="str">
        <f>IFERROR(__xludf.DUMMYFUNCTION("""COMPUTED_VALUE"""),"GEN TRIAS")</f>
        <v>GEN TRIAS</v>
      </c>
      <c r="AE434" s="1" t="str">
        <f>IFERROR(__xludf.DUMMYFUNCTION("""COMPUTED_VALUE"""),"SULIT APARTMENT")</f>
        <v>SULIT APARTMENT</v>
      </c>
      <c r="AF434" s="1" t="str">
        <f>IFERROR(__xludf.DUMMYFUNCTION("""COMPUTED_VALUE"""),"BGY 4")</f>
        <v>BGY 4</v>
      </c>
      <c r="AG434" s="1" t="str">
        <f>IFERROR(__xludf.DUMMYFUNCTION("""COMPUTED_VALUE"""),"MENDEZ")</f>
        <v>MENDEZ</v>
      </c>
      <c r="AH434" s="1" t="str">
        <f>IFERROR(__xludf.DUMMYFUNCTION("""COMPUTED_VALUE"""),"OCAMPO STORE")</f>
        <v>OCAMPO STORE</v>
      </c>
      <c r="AI434" s="1" t="str">
        <f>IFERROR(__xludf.DUMMYFUNCTION("""COMPUTED_VALUE"""),"CLUSTER 12")</f>
        <v>CLUSTER 12</v>
      </c>
    </row>
    <row r="435" customHeight="1" spans="1:35">
      <c r="A435" s="3">
        <f>IFERROR(__xludf.DUMMYFUNCTION("""COMPUTED_VALUE"""),46271)</f>
        <v>46271</v>
      </c>
      <c r="B435" s="1" t="str">
        <f>IFERROR(__xludf.DUMMYFUNCTION("""COMPUTED_VALUE"""),"MARIO RODRIGUEZ DIAZ")</f>
        <v>MARIO RODRIGUEZ DIAZ</v>
      </c>
      <c r="C435" s="1">
        <f>IFERROR(__xludf.DUMMYFUNCTION("""COMPUTED_VALUE"""),2312402114)</f>
        <v>2312402114</v>
      </c>
      <c r="D435" s="1"/>
      <c r="E435" s="1"/>
      <c r="F435" s="1" t="str">
        <f>IFERROR(__xludf.DUMMYFUNCTION("""COMPUTED_VALUE"""),"CANCELLED")</f>
        <v>CANCELLED</v>
      </c>
      <c r="G435" s="1" t="str">
        <f>IFERROR(__xludf.DUMMYFUNCTION("""COMPUTED_VALUE"""),"&amp;#8203;CANNOT TAG DECISION (CANNOT TAG PAYMENT REQUIRED TO 1649)-- RETURN TO SALES | FOUND WITH PENDING ACCT NO: 0407642694, 0407642694 ")</f>
        <v>&amp;#8203;CANNOT TAG DECISION (CANNOT TAG PAYMENT REQUIRED TO 1649)-- RETURN TO SALES | FOUND WITH PENDING ACCT NO: 0407642694, 0407642694 </v>
      </c>
      <c r="H435" s="1"/>
      <c r="I435" s="1"/>
      <c r="J435" s="1"/>
      <c r="K435" s="1"/>
      <c r="L435" s="1" t="str">
        <f>IFERROR(__xludf.DUMMYFUNCTION("""COMPUTED_VALUE"""),"CANCELLED - SYSTEM ERROR")</f>
        <v>CANCELLED - SYSTEM ERROR</v>
      </c>
      <c r="M435" s="1" t="str">
        <f>IFERROR(__xludf.DUMMYFUNCTION("""COMPUTED_VALUE"""),"CANCELLED - SYSTEM ERROR")</f>
        <v>CANCELLED - SYSTEM ERROR</v>
      </c>
      <c r="N435" s="3"/>
      <c r="O435" s="1" t="str">
        <f>IFERROR(__xludf.DUMMYFUNCTION("""COMPUTED_VALUE"""),"FIBER UNLI ALL PLAN 1499")</f>
        <v>FIBER UNLI ALL PLAN 1499</v>
      </c>
      <c r="P435" s="1" t="str">
        <f>IFERROR(__xludf.DUMMYFUNCTION("""COMPUTED_VALUE"""),"LOWPLAN")</f>
        <v>LOWPLAN</v>
      </c>
      <c r="Q435" s="1" t="str">
        <f>IFERROR(__xludf.DUMMYFUNCTION("""COMPUTED_VALUE"""),"P407048")</f>
        <v>P407048</v>
      </c>
      <c r="R435" s="1" t="str">
        <f>IFERROR(__xludf.DUMMYFUNCTION("""COMPUTED_VALUE"""),"MORADOS, MARVIN")</f>
        <v>MORADOS, MARVIN</v>
      </c>
      <c r="S435" s="1" t="str">
        <f>IFERROR(__xludf.DUMMYFUNCTION("""COMPUTED_VALUE"""),"ORGANIC")</f>
        <v>ORGANIC</v>
      </c>
      <c r="T435" s="1" t="str">
        <f>IFERROR(__xludf.DUMMYFUNCTION("""COMPUTED_VALUE"""),"GARCIA MICHAEL JETTS")</f>
        <v>GARCIA MICHAEL JETTS</v>
      </c>
      <c r="U435" s="1" t="str">
        <f>IFERROR(__xludf.DUMMYFUNCTION("""COMPUTED_VALUE"""),"JB SALIOA")</f>
        <v>JB SALIOA</v>
      </c>
      <c r="V435" s="1" t="str">
        <f>IFERROR(__xludf.DUMMYFUNCTION("""COMPUTED_VALUE"""),"ONLINE/CRANFORD")</f>
        <v>ONLINE/CRANFORD</v>
      </c>
      <c r="W435" s="1" t="str">
        <f>IFERROR(__xludf.DUMMYFUNCTION("""COMPUTED_VALUE"""),"STK REGULAR")</f>
        <v>STK REGULAR</v>
      </c>
      <c r="X435" s="1" t="str">
        <f>IFERROR(__xludf.DUMMYFUNCTION("""COMPUTED_VALUE"""),"REGULAR")</f>
        <v>REGULAR</v>
      </c>
      <c r="Y435" s="1" t="str">
        <f>IFERROR(__xludf.DUMMYFUNCTION("""COMPUTED_VALUE"""),"RS_ONL_CVEU_2026")</f>
        <v>RS_ONL_CVEU_2026</v>
      </c>
      <c r="Z435" s="1" t="str">
        <f>IFERROR(__xludf.DUMMYFUNCTION("""COMPUTED_VALUE"""),"NEW CONNECT")</f>
        <v>NEW CONNECT</v>
      </c>
      <c r="AA435" s="1">
        <f>IFERROR(__xludf.DUMMYFUNCTION("""COMPUTED_VALUE"""),639914232211)</f>
        <v>639914232211</v>
      </c>
      <c r="AB435" s="1"/>
      <c r="AC435" s="1"/>
      <c r="AD435" s="1" t="str">
        <f>IFERROR(__xludf.DUMMYFUNCTION("""COMPUTED_VALUE"""),"ATIS")</f>
        <v>ATIS</v>
      </c>
      <c r="AE435" s="1" t="str">
        <f>IFERROR(__xludf.DUMMYFUNCTION("""COMPUTED_VALUE"""),"MICARA ESTATE PHASE 5")</f>
        <v>MICARA ESTATE PHASE 5</v>
      </c>
      <c r="AF435" s="1" t="str">
        <f>IFERROR(__xludf.DUMMYFUNCTION("""COMPUTED_VALUE"""),"BGY SAHUD ULAN")</f>
        <v>BGY SAHUD ULAN</v>
      </c>
      <c r="AG435" s="1" t="str">
        <f>IFERROR(__xludf.DUMMYFUNCTION("""COMPUTED_VALUE"""),"TANZA")</f>
        <v>TANZA</v>
      </c>
      <c r="AH435" s="1" t="str">
        <f>IFERROR(__xludf.DUMMYFUNCTION("""COMPUTED_VALUE"""),"WATER TANK")</f>
        <v>WATER TANK</v>
      </c>
      <c r="AI435" s="1" t="str">
        <f>IFERROR(__xludf.DUMMYFUNCTION("""COMPUTED_VALUE"""),"NOT AOR")</f>
        <v>NOT AOR</v>
      </c>
    </row>
    <row r="436" customHeight="1" spans="1:35">
      <c r="A436" s="3">
        <f>IFERROR(__xludf.DUMMYFUNCTION("""COMPUTED_VALUE"""),46271)</f>
        <v>46271</v>
      </c>
      <c r="B436" s="1" t="str">
        <f>IFERROR(__xludf.DUMMYFUNCTION("""COMPUTED_VALUE"""),"RENANTE ASUBE DAPITANON")</f>
        <v>RENANTE ASUBE DAPITANON</v>
      </c>
      <c r="C436" s="1">
        <f>IFERROR(__xludf.DUMMYFUNCTION("""COMPUTED_VALUE"""),2312403044)</f>
        <v>2312403044</v>
      </c>
      <c r="D436" s="1">
        <f>IFERROR(__xludf.DUMMYFUNCTION("""COMPUTED_VALUE"""),407677870)</f>
        <v>407677870</v>
      </c>
      <c r="E436" s="1">
        <f>IFERROR(__xludf.DUMMYFUNCTION("""COMPUTED_VALUE"""),470321146004)</f>
        <v>470321146004</v>
      </c>
      <c r="F436" s="1" t="str">
        <f>IFERROR(__xludf.DUMMYFUNCTION("""COMPUTED_VALUE"""),"CLOSED")</f>
        <v>CLOSED</v>
      </c>
      <c r="G436" s="1" t="str">
        <f>IFERROR(__xludf.DUMMYFUNCTION("""COMPUTED_VALUE"""),"CLOSED")</f>
        <v>CLOSED</v>
      </c>
      <c r="H436" s="1" t="str">
        <f>IFERROR(__xludf.DUMMYFUNCTION("""COMPUTED_VALUE"""),"PQGOR366170478	04-Oct-26	Regular Payment	CIS-GCASH 3.0	1,255.35	0	04-Oct-26")</f>
        <v>PQGOR366170478	04-Oct-26	Regular Payment	CIS-GCASH 3.0	1,255.35	0	04-Oct-26</v>
      </c>
      <c r="I436" s="1" t="str">
        <f>IFERROR(__xludf.DUMMYFUNCTION("""COMPUTED_VALUE"""),"WITH 1 AMSF")</f>
        <v>WITH 1 AMSF</v>
      </c>
      <c r="J436" s="1"/>
      <c r="K436" s="1" t="str">
        <f>IFERROR(__xludf.DUMMYFUNCTION("""COMPUTED_VALUE"""),"COMPLETED")</f>
        <v>COMPLETED</v>
      </c>
      <c r="L436" s="1" t="str">
        <f>IFERROR(__xludf.DUMMYFUNCTION("""COMPUTED_VALUE"""),"POSTED")</f>
        <v>POSTED</v>
      </c>
      <c r="M436" s="1" t="str">
        <f>IFERROR(__xludf.DUMMYFUNCTION("""COMPUTED_VALUE"""),"POSTED")</f>
        <v>POSTED</v>
      </c>
      <c r="N436" s="3">
        <f>IFERROR(__xludf.DUMMYFUNCTION("""COMPUTED_VALUE"""),46273)</f>
        <v>46273</v>
      </c>
      <c r="O436" s="1" t="str">
        <f>IFERROR(__xludf.DUMMYFUNCTION("""COMPUTED_VALUE"""),"FIBR UNLI ALL PLAN 999")</f>
        <v>FIBR UNLI ALL PLAN 999</v>
      </c>
      <c r="P436" s="1" t="str">
        <f>IFERROR(__xludf.DUMMYFUNCTION("""COMPUTED_VALUE"""),"LOWPLAN")</f>
        <v>LOWPLAN</v>
      </c>
      <c r="Q436" s="1" t="str">
        <f>IFERROR(__xludf.DUMMYFUNCTION("""COMPUTED_VALUE"""),"P407050")</f>
        <v>P407050</v>
      </c>
      <c r="R436" s="1" t="str">
        <f>IFERROR(__xludf.DUMMYFUNCTION("""COMPUTED_VALUE"""),"MAGDARAOG, KENNETH")</f>
        <v>MAGDARAOG, KENNETH</v>
      </c>
      <c r="S436" s="1" t="str">
        <f>IFERROR(__xludf.DUMMYFUNCTION("""COMPUTED_VALUE"""),"ORGANIC")</f>
        <v>ORGANIC</v>
      </c>
      <c r="T436" s="1" t="str">
        <f>IFERROR(__xludf.DUMMYFUNCTION("""COMPUTED_VALUE"""),"LEA REMOLLO")</f>
        <v>LEA REMOLLO</v>
      </c>
      <c r="U436" s="1" t="str">
        <f>IFERROR(__xludf.DUMMYFUNCTION("""COMPUTED_VALUE"""),"JB SALIOA")</f>
        <v>JB SALIOA</v>
      </c>
      <c r="V436" s="1" t="str">
        <f>IFERROR(__xludf.DUMMYFUNCTION("""COMPUTED_VALUE"""),"BK HSTK")</f>
        <v>BK HSTK</v>
      </c>
      <c r="W436" s="1" t="str">
        <f>IFERROR(__xludf.DUMMYFUNCTION("""COMPUTED_VALUE"""),"BK HSTK")</f>
        <v>BK HSTK</v>
      </c>
      <c r="X436" s="1" t="str">
        <f>IFERROR(__xludf.DUMMYFUNCTION("""COMPUTED_VALUE"""),"REGULAR")</f>
        <v>REGULAR</v>
      </c>
      <c r="Y436" s="1" t="str">
        <f>IFERROR(__xludf.DUMMYFUNCTION("""COMPUTED_VALUE"""),"BK_CVEU_260821")</f>
        <v>BK_CVEU_260821</v>
      </c>
      <c r="Z436" s="1" t="str">
        <f>IFERROR(__xludf.DUMMYFUNCTION("""COMPUTED_VALUE"""),"NEW CONNECT")</f>
        <v>NEW CONNECT</v>
      </c>
      <c r="AA436" s="1">
        <f>IFERROR(__xludf.DUMMYFUNCTION("""COMPUTED_VALUE"""),639661428728)</f>
        <v>639661428728</v>
      </c>
      <c r="AB436" s="1"/>
      <c r="AC436" s="1">
        <f>IFERROR(__xludf.DUMMYFUNCTION("""COMPUTED_VALUE"""),50)</f>
        <v>50</v>
      </c>
      <c r="AD436" s="1" t="str">
        <f>IFERROR(__xludf.DUMMYFUNCTION("""COMPUTED_VALUE"""),"SUNGAY NORTH")</f>
        <v>SUNGAY NORTH</v>
      </c>
      <c r="AE436" s="1"/>
      <c r="AF436" s="1" t="str">
        <f>IFERROR(__xludf.DUMMYFUNCTION("""COMPUTED_VALUE"""),"BGY SUNGAY NORTH")</f>
        <v>BGY SUNGAY NORTH</v>
      </c>
      <c r="AG436" s="1" t="str">
        <f>IFERROR(__xludf.DUMMYFUNCTION("""COMPUTED_VALUE"""),"TAGAYTAY")</f>
        <v>TAGAYTAY</v>
      </c>
      <c r="AH436" s="1" t="str">
        <f>IFERROR(__xludf.DUMMYFUNCTION("""COMPUTED_VALUE"""),"JAMAICAN")</f>
        <v>JAMAICAN</v>
      </c>
      <c r="AI436" s="1" t="str">
        <f>IFERROR(__xludf.DUMMYFUNCTION("""COMPUTED_VALUE"""),"CLUSTER 12")</f>
        <v>CLUSTER 12</v>
      </c>
    </row>
    <row r="437" customHeight="1" spans="1:35">
      <c r="A437" s="3">
        <f>IFERROR(__xludf.DUMMYFUNCTION("""COMPUTED_VALUE"""),46271)</f>
        <v>46271</v>
      </c>
      <c r="B437" s="1" t="str">
        <f>IFERROR(__xludf.DUMMYFUNCTION("""COMPUTED_VALUE"""),"ALIJAH GAGANI VILLEGAS")</f>
        <v>ALIJAH GAGANI VILLEGAS</v>
      </c>
      <c r="C437" s="1">
        <f>IFERROR(__xludf.DUMMYFUNCTION("""COMPUTED_VALUE"""),2312403150)</f>
        <v>2312403150</v>
      </c>
      <c r="D437" s="1">
        <f>IFERROR(__xludf.DUMMYFUNCTION("""COMPUTED_VALUE"""),407680006)</f>
        <v>407680006</v>
      </c>
      <c r="E437" s="1">
        <f>IFERROR(__xludf.DUMMYFUNCTION("""COMPUTED_VALUE"""),470322555004)</f>
        <v>470322555004</v>
      </c>
      <c r="F437" s="1" t="str">
        <f>IFERROR(__xludf.DUMMYFUNCTION("""COMPUTED_VALUE"""),"CANCELLED")</f>
        <v>CANCELLED</v>
      </c>
      <c r="G437" s="1" t="str">
        <f>IFERROR(__xludf.DUMMYFUNCTION("""COMPUTED_VALUE"""),"AFD CALLTHRU REMARKS   SUBS RESCHED NO SPECIFIC DATE  TATAWAG NA LANG SILA SA AGENT NILA KUNG KAILAN IPAPAKABIT WALA PA DAW SILA PANG BAYAD  TALK ALIJAH GAGANI VILLEGAS 09496135178 09466323811")</f>
        <v>AFD CALLTHRU REMARKS   SUBS RESCHED NO SPECIFIC DATE  TATAWAG NA LANG SILA SA AGENT NILA KUNG KAILAN IPAPAKABIT WALA PA DAW SILA PANG BAYAD  TALK ALIJAH GAGANI VILLEGAS 09496135178 09466323811</v>
      </c>
      <c r="H437" s="1"/>
      <c r="I437" s="1"/>
      <c r="J437" s="1"/>
      <c r="K437" s="1" t="str">
        <f>IFERROR(__xludf.DUMMYFUNCTION("""COMPUTED_VALUE"""),"CANCELED")</f>
        <v>CANCELED</v>
      </c>
      <c r="L437" s="1" t="str">
        <f>IFERROR(__xludf.DUMMYFUNCTION("""COMPUTED_VALUE"""),"AFD - RESCHEDULE")</f>
        <v>AFD - RESCHEDULE</v>
      </c>
      <c r="M437" s="1" t="str">
        <f>IFERROR(__xludf.DUMMYFUNCTION("""COMPUTED_VALUE"""),"AFD - RESCHEDULED")</f>
        <v>AFD - RESCHEDULED</v>
      </c>
      <c r="N437" s="3"/>
      <c r="O437" s="1" t="str">
        <f>IFERROR(__xludf.DUMMYFUNCTION("""COMPUTED_VALUE"""),"FIBR PLAN 1299")</f>
        <v>FIBR PLAN 1299</v>
      </c>
      <c r="P437" s="1" t="str">
        <f>IFERROR(__xludf.DUMMYFUNCTION("""COMPUTED_VALUE"""),"LOWPLAN")</f>
        <v>LOWPLAN</v>
      </c>
      <c r="Q437" s="1" t="str">
        <f>IFERROR(__xludf.DUMMYFUNCTION("""COMPUTED_VALUE"""),"P407048")</f>
        <v>P407048</v>
      </c>
      <c r="R437" s="1" t="str">
        <f>IFERROR(__xludf.DUMMYFUNCTION("""COMPUTED_VALUE"""),"YOLANGCO, JOLO")</f>
        <v>YOLANGCO, JOLO</v>
      </c>
      <c r="S437" s="1" t="str">
        <f>IFERROR(__xludf.DUMMYFUNCTION("""COMPUTED_VALUE"""),"ORGANIC")</f>
        <v>ORGANIC</v>
      </c>
      <c r="T437" s="1" t="str">
        <f>IFERROR(__xludf.DUMMYFUNCTION("""COMPUTED_VALUE"""),"GARCIA MICHAEL JETTS")</f>
        <v>GARCIA MICHAEL JETTS</v>
      </c>
      <c r="U437" s="1" t="str">
        <f>IFERROR(__xludf.DUMMYFUNCTION("""COMPUTED_VALUE"""),"JULIE ESPIRITU")</f>
        <v>JULIE ESPIRITU</v>
      </c>
      <c r="V437" s="1" t="str">
        <f>IFERROR(__xludf.DUMMYFUNCTION("""COMPUTED_VALUE"""),"ONLINE/CRANFORD")</f>
        <v>ONLINE/CRANFORD</v>
      </c>
      <c r="W437" s="1" t="str">
        <f>IFERROR(__xludf.DUMMYFUNCTION("""COMPUTED_VALUE"""),"STK REGULAR")</f>
        <v>STK REGULAR</v>
      </c>
      <c r="X437" s="1" t="str">
        <f>IFERROR(__xludf.DUMMYFUNCTION("""COMPUTED_VALUE"""),"REGULAR")</f>
        <v>REGULAR</v>
      </c>
      <c r="Y437" s="1" t="str">
        <f>IFERROR(__xludf.DUMMYFUNCTION("""COMPUTED_VALUE"""),"RS_ONL_CVEU_2026")</f>
        <v>RS_ONL_CVEU_2026</v>
      </c>
      <c r="Z437" s="1" t="str">
        <f>IFERROR(__xludf.DUMMYFUNCTION("""COMPUTED_VALUE"""),"NEW CONNECT")</f>
        <v>NEW CONNECT</v>
      </c>
      <c r="AA437" s="1">
        <f>IFERROR(__xludf.DUMMYFUNCTION("""COMPUTED_VALUE"""),639496135178)</f>
        <v>639496135178</v>
      </c>
      <c r="AB437" s="1">
        <f>IFERROR(__xludf.DUMMYFUNCTION("""COMPUTED_VALUE"""),639466323811)</f>
        <v>639466323811</v>
      </c>
      <c r="AC437" s="1"/>
      <c r="AD437" s="1" t="str">
        <f>IFERROR(__xludf.DUMMYFUNCTION("""COMPUTED_VALUE"""),"LRT SITE")</f>
        <v>LRT SITE</v>
      </c>
      <c r="AE437" s="1"/>
      <c r="AF437" s="1" t="str">
        <f>IFERROR(__xludf.DUMMYFUNCTION("""COMPUTED_VALUE"""),"BGY G DE JESUS")</f>
        <v>BGY G DE JESUS</v>
      </c>
      <c r="AG437" s="1" t="str">
        <f>IFERROR(__xludf.DUMMYFUNCTION("""COMPUTED_VALUE"""),"GEN MARIANO ALVAREZ")</f>
        <v>GEN MARIANO ALVAREZ</v>
      </c>
      <c r="AH437" s="1"/>
      <c r="AI437" s="1" t="str">
        <f>IFERROR(__xludf.DUMMYFUNCTION("""COMPUTED_VALUE"""),"CLUSTER 11")</f>
        <v>CLUSTER 11</v>
      </c>
    </row>
    <row r="438" customHeight="1" spans="1:35">
      <c r="A438" s="3">
        <f>IFERROR(__xludf.DUMMYFUNCTION("""COMPUTED_VALUE"""),46271)</f>
        <v>46271</v>
      </c>
      <c r="B438" s="1" t="str">
        <f>IFERROR(__xludf.DUMMYFUNCTION("""COMPUTED_VALUE"""),"DANILYN CUNANAN PIOQUINTO")</f>
        <v>DANILYN CUNANAN PIOQUINTO</v>
      </c>
      <c r="C438" s="1">
        <f>IFERROR(__xludf.DUMMYFUNCTION("""COMPUTED_VALUE"""),2312403536)</f>
        <v>2312403536</v>
      </c>
      <c r="D438" s="1">
        <f>IFERROR(__xludf.DUMMYFUNCTION("""COMPUTED_VALUE"""),407681770)</f>
        <v>407681770</v>
      </c>
      <c r="E438" s="1">
        <f>IFERROR(__xludf.DUMMYFUNCTION("""COMPUTED_VALUE"""),470325697004)</f>
        <v>470325697004</v>
      </c>
      <c r="F438" s="1" t="str">
        <f>IFERROR(__xludf.DUMMYFUNCTION("""COMPUTED_VALUE"""),"CANCELLED")</f>
        <v>CANCELLED</v>
      </c>
      <c r="G438" s="1" t="str">
        <f>IFERROR(__xludf.DUMMYFUNCTION("""COMPUTED_VALUE"""),"CANCELLED")</f>
        <v>CANCELLED</v>
      </c>
      <c r="H438" s="1"/>
      <c r="I438" s="1" t="str">
        <f>IFERROR(__xludf.DUMMYFUNCTION("""COMPUTED_VALUE"""),"NO 1 AMSF")</f>
        <v>NO 1 AMSF</v>
      </c>
      <c r="J438" s="1"/>
      <c r="K438" s="1" t="str">
        <f>IFERROR(__xludf.DUMMYFUNCTION("""COMPUTED_VALUE"""),"CANCELED")</f>
        <v>CANCELED</v>
      </c>
      <c r="L438" s="1" t="str">
        <f>IFERROR(__xludf.DUMMYFUNCTION("""COMPUTED_VALUE"""),"CANCELLED")</f>
        <v>CANCELLED</v>
      </c>
      <c r="M438" s="1" t="str">
        <f>IFERROR(__xludf.DUMMYFUNCTION("""COMPUTED_VALUE"""),"CANCELLED")</f>
        <v>CANCELLED</v>
      </c>
      <c r="N438" s="3"/>
      <c r="O438" s="1" t="str">
        <f>IFERROR(__xludf.DUMMYFUNCTION("""COMPUTED_VALUE"""),"FIBR NETFLIX PLAN 1599")</f>
        <v>FIBR NETFLIX PLAN 1599</v>
      </c>
      <c r="P438" s="1" t="str">
        <f>IFERROR(__xludf.DUMMYFUNCTION("""COMPUTED_VALUE"""),"LOWPLAN")</f>
        <v>LOWPLAN</v>
      </c>
      <c r="Q438" s="1" t="str">
        <f>IFERROR(__xludf.DUMMYFUNCTION("""COMPUTED_VALUE"""),"P407050")</f>
        <v>P407050</v>
      </c>
      <c r="R438" s="1" t="str">
        <f>IFERROR(__xludf.DUMMYFUNCTION("""COMPUTED_VALUE"""),"ESCARCHA, ALMA")</f>
        <v>ESCARCHA, ALMA</v>
      </c>
      <c r="S438" s="1" t="str">
        <f>IFERROR(__xludf.DUMMYFUNCTION("""COMPUTED_VALUE"""),"ORGANIC")</f>
        <v>ORGANIC</v>
      </c>
      <c r="T438" s="1" t="str">
        <f>IFERROR(__xludf.DUMMYFUNCTION("""COMPUTED_VALUE"""),"LEA REMOLLO")</f>
        <v>LEA REMOLLO</v>
      </c>
      <c r="U438" s="1" t="str">
        <f>IFERROR(__xludf.DUMMYFUNCTION("""COMPUTED_VALUE"""),"JB SALIOA")</f>
        <v>JB SALIOA</v>
      </c>
      <c r="V438" s="1" t="str">
        <f>IFERROR(__xludf.DUMMYFUNCTION("""COMPUTED_VALUE"""),"BK HSTK")</f>
        <v>BK HSTK</v>
      </c>
      <c r="W438" s="1" t="str">
        <f>IFERROR(__xludf.DUMMYFUNCTION("""COMPUTED_VALUE"""),"BK HSTK")</f>
        <v>BK HSTK</v>
      </c>
      <c r="X438" s="1" t="str">
        <f>IFERROR(__xludf.DUMMYFUNCTION("""COMPUTED_VALUE"""),"REGULAR")</f>
        <v>REGULAR</v>
      </c>
      <c r="Y438" s="1" t="str">
        <f>IFERROR(__xludf.DUMMYFUNCTION("""COMPUTED_VALUE"""),"BK_CVEU_260815")</f>
        <v>BK_CVEU_260815</v>
      </c>
      <c r="Z438" s="1" t="str">
        <f>IFERROR(__xludf.DUMMYFUNCTION("""COMPUTED_VALUE"""),"NEW CONNECT")</f>
        <v>NEW CONNECT</v>
      </c>
      <c r="AA438" s="1">
        <f>IFERROR(__xludf.DUMMYFUNCTION("""COMPUTED_VALUE"""),639639042876)</f>
        <v>639639042876</v>
      </c>
      <c r="AB438" s="1">
        <f>IFERROR(__xludf.DUMMYFUNCTION("""COMPUTED_VALUE"""),639073045476)</f>
        <v>639073045476</v>
      </c>
      <c r="AC438" s="1">
        <f>IFERROR(__xludf.DUMMYFUNCTION("""COMPUTED_VALUE"""),289)</f>
        <v>289</v>
      </c>
      <c r="AD438" s="1" t="str">
        <f>IFERROR(__xludf.DUMMYFUNCTION("""COMPUTED_VALUE"""),"PIER")</f>
        <v>PIER</v>
      </c>
      <c r="AE438" s="1"/>
      <c r="AF438" s="1" t="str">
        <f>IFERROR(__xludf.DUMMYFUNCTION("""COMPUTED_VALUE"""),"BGY MARAHAN 1")</f>
        <v>BGY MARAHAN 1</v>
      </c>
      <c r="AG438" s="1" t="str">
        <f>IFERROR(__xludf.DUMMYFUNCTION("""COMPUTED_VALUE"""),"ALFONSO")</f>
        <v>ALFONSO</v>
      </c>
      <c r="AH438" s="1" t="str">
        <f>IFERROR(__xludf.DUMMYFUNCTION("""COMPUTED_VALUE"""),"THELMA STORE")</f>
        <v>THELMA STORE</v>
      </c>
      <c r="AI438" s="1" t="str">
        <f>IFERROR(__xludf.DUMMYFUNCTION("""COMPUTED_VALUE"""),"CLUSTER 12")</f>
        <v>CLUSTER 12</v>
      </c>
    </row>
    <row r="439" customHeight="1" spans="1:35">
      <c r="A439" s="3">
        <f>IFERROR(__xludf.DUMMYFUNCTION("""COMPUTED_VALUE"""),46271)</f>
        <v>46271</v>
      </c>
      <c r="B439" s="1" t="str">
        <f>IFERROR(__xludf.DUMMYFUNCTION("""COMPUTED_VALUE"""),"AIDEL PAUL GARCIA BELAMIDE")</f>
        <v>AIDEL PAUL GARCIA BELAMIDE</v>
      </c>
      <c r="C439" s="1">
        <f>IFERROR(__xludf.DUMMYFUNCTION("""COMPUTED_VALUE"""),2312404147)</f>
        <v>2312404147</v>
      </c>
      <c r="D439" s="1">
        <f>IFERROR(__xludf.DUMMYFUNCTION("""COMPUTED_VALUE"""),407681401)</f>
        <v>407681401</v>
      </c>
      <c r="E439" s="1">
        <f>IFERROR(__xludf.DUMMYFUNCTION("""COMPUTED_VALUE"""),470324853004)</f>
        <v>470324853004</v>
      </c>
      <c r="F439" s="1" t="str">
        <f>IFERROR(__xludf.DUMMYFUNCTION("""COMPUTED_VALUE"""),"CLOSED")</f>
        <v>CLOSED</v>
      </c>
      <c r="G439" s="1" t="str">
        <f>IFERROR(__xludf.DUMMYFUNCTION("""COMPUTED_VALUE"""),"CLOSED")</f>
        <v>CLOSED</v>
      </c>
      <c r="H439" s="1" t="str">
        <f>IFERROR(__xludf.DUMMYFUNCTION("""COMPUTED_VALUE"""),"PAID VIA BPI - SEPT 8 - REF - R178820021655316786")</f>
        <v>PAID VIA BPI - SEPT 8 - REF - R178820021655316786</v>
      </c>
      <c r="I439" s="1" t="str">
        <f>IFERROR(__xludf.DUMMYFUNCTION("""COMPUTED_VALUE"""),"WITH 1 AMSF")</f>
        <v>WITH 1 AMSF</v>
      </c>
      <c r="J439" s="1"/>
      <c r="K439" s="1" t="str">
        <f>IFERROR(__xludf.DUMMYFUNCTION("""COMPUTED_VALUE"""),"COMPLETED")</f>
        <v>COMPLETED</v>
      </c>
      <c r="L439" s="1" t="str">
        <f>IFERROR(__xludf.DUMMYFUNCTION("""COMPUTED_VALUE"""),"POSTED")</f>
        <v>POSTED</v>
      </c>
      <c r="M439" s="1" t="str">
        <f>IFERROR(__xludf.DUMMYFUNCTION("""COMPUTED_VALUE"""),"POSTED")</f>
        <v>POSTED</v>
      </c>
      <c r="N439" s="3">
        <f>IFERROR(__xludf.DUMMYFUNCTION("""COMPUTED_VALUE"""),46273)</f>
        <v>46273</v>
      </c>
      <c r="O439" s="1" t="str">
        <f>IFERROR(__xludf.DUMMYFUNCTION("""COMPUTED_VALUE"""),"FIBR PLAN 1699")</f>
        <v>FIBR PLAN 1699</v>
      </c>
      <c r="P439" s="1" t="str">
        <f>IFERROR(__xludf.DUMMYFUNCTION("""COMPUTED_VALUE"""),"HIGHPLAN")</f>
        <v>HIGHPLAN</v>
      </c>
      <c r="Q439" s="1" t="str">
        <f>IFERROR(__xludf.DUMMYFUNCTION("""COMPUTED_VALUE"""),"P407044")</f>
        <v>P407044</v>
      </c>
      <c r="R439" s="1" t="str">
        <f>IFERROR(__xludf.DUMMYFUNCTION("""COMPUTED_VALUE"""),"AYON, MANUEL")</f>
        <v>AYON, MANUEL</v>
      </c>
      <c r="S439" s="1" t="str">
        <f>IFERROR(__xludf.DUMMYFUNCTION("""COMPUTED_VALUE"""),"FLA")</f>
        <v>FLA</v>
      </c>
      <c r="T439" s="1" t="str">
        <f>IFERROR(__xludf.DUMMYFUNCTION("""COMPUTED_VALUE"""),"JERIC NAVARRO")</f>
        <v>JERIC NAVARRO</v>
      </c>
      <c r="U439" s="1" t="str">
        <f>IFERROR(__xludf.DUMMYFUNCTION("""COMPUTED_VALUE"""),"JB SALIOA")</f>
        <v>JB SALIOA</v>
      </c>
      <c r="V439" s="1" t="str">
        <f>IFERROR(__xludf.DUMMYFUNCTION("""COMPUTED_VALUE"""),"ONLINE/CRANFORD")</f>
        <v>ONLINE/CRANFORD</v>
      </c>
      <c r="W439" s="1" t="str">
        <f>IFERROR(__xludf.DUMMYFUNCTION("""COMPUTED_VALUE"""),"STK REGULAR")</f>
        <v>STK REGULAR</v>
      </c>
      <c r="X439" s="1" t="str">
        <f>IFERROR(__xludf.DUMMYFUNCTION("""COMPUTED_VALUE"""),"REGULAR")</f>
        <v>REGULAR</v>
      </c>
      <c r="Y439" s="1" t="str">
        <f>IFERROR(__xludf.DUMMYFUNCTION("""COMPUTED_VALUE"""),"RS_ONL_CVEU_2026")</f>
        <v>RS_ONL_CVEU_2026</v>
      </c>
      <c r="Z439" s="1" t="str">
        <f>IFERROR(__xludf.DUMMYFUNCTION("""COMPUTED_VALUE"""),"NEW CONNECT")</f>
        <v>NEW CONNECT</v>
      </c>
      <c r="AA439" s="1">
        <f>IFERROR(__xludf.DUMMYFUNCTION("""COMPUTED_VALUE"""),639171126009)</f>
        <v>639171126009</v>
      </c>
      <c r="AB439" s="1"/>
      <c r="AC439" s="1">
        <f>IFERROR(__xludf.DUMMYFUNCTION("""COMPUTED_VALUE"""),93)</f>
        <v>93</v>
      </c>
      <c r="AD439" s="1" t="str">
        <f>IFERROR(__xludf.DUMMYFUNCTION("""COMPUTED_VALUE"""),"POOC 2")</f>
        <v>POOC 2</v>
      </c>
      <c r="AE439" s="1"/>
      <c r="AF439" s="1" t="str">
        <f>IFERROR(__xludf.DUMMYFUNCTION("""COMPUTED_VALUE"""),"BGY POOC 2")</f>
        <v>BGY POOC 2</v>
      </c>
      <c r="AG439" s="1" t="str">
        <f>IFERROR(__xludf.DUMMYFUNCTION("""COMPUTED_VALUE"""),"SILANG")</f>
        <v>SILANG</v>
      </c>
      <c r="AH439" s="1" t="str">
        <f>IFERROR(__xludf.DUMMYFUNCTION("""COMPUTED_VALUE"""),"HOUSE OF BM AIDEL")</f>
        <v>HOUSE OF BM AIDEL</v>
      </c>
      <c r="AI439" s="1" t="str">
        <f>IFERROR(__xludf.DUMMYFUNCTION("""COMPUTED_VALUE"""),"CLUSTER 11")</f>
        <v>CLUSTER 11</v>
      </c>
    </row>
    <row r="440" customHeight="1" spans="1:35">
      <c r="A440" s="3">
        <f>IFERROR(__xludf.DUMMYFUNCTION("""COMPUTED_VALUE"""),46271)</f>
        <v>46271</v>
      </c>
      <c r="B440" s="1" t="str">
        <f>IFERROR(__xludf.DUMMYFUNCTION("""COMPUTED_VALUE"""),"RICARDO ALBARICO BANDINO")</f>
        <v>RICARDO ALBARICO BANDINO</v>
      </c>
      <c r="C440" s="1">
        <f>IFERROR(__xludf.DUMMYFUNCTION("""COMPUTED_VALUE"""),2312405776)</f>
        <v>2312405776</v>
      </c>
      <c r="D440" s="1">
        <f>IFERROR(__xludf.DUMMYFUNCTION("""COMPUTED_VALUE"""),407685911)</f>
        <v>407685911</v>
      </c>
      <c r="E440" s="1">
        <f>IFERROR(__xludf.DUMMYFUNCTION("""COMPUTED_VALUE"""),470330386004)</f>
        <v>470330386004</v>
      </c>
      <c r="F440" s="1" t="str">
        <f>IFERROR(__xludf.DUMMYFUNCTION("""COMPUTED_VALUE"""),"CANCELLED")</f>
        <v>CANCELLED</v>
      </c>
      <c r="G440" s="1" t="str">
        <f>IFERROR(__xludf.DUMMYFUNCTION("""COMPUTED_VALUE"""),"RPR VISITED REMARKS   ALL NAP FULL SILLP568NP3FULL 10SPAN SILLP568NP4FULL 14 SPAN SILLP568NP5FULL 15 SPAN SILLP568NP7FULL ACTIVE P7 ACTIVE P1 SUBS ALREADY ADVICE TALK WIFE NI SUBS 09974472746 09772598742")</f>
        <v>RPR VISITED REMARKS   ALL NAP FULL SILLP568NP3FULL 10SPAN SILLP568NP4FULL 14 SPAN SILLP568NP5FULL 15 SPAN SILLP568NP7FULL ACTIVE P7 ACTIVE P1 SUBS ALREADY ADVICE TALK WIFE NI SUBS 09974472746 09772598742</v>
      </c>
      <c r="H440" s="1"/>
      <c r="I440" s="1"/>
      <c r="J440" s="1"/>
      <c r="K440" s="1" t="str">
        <f>IFERROR(__xludf.DUMMYFUNCTION("""COMPUTED_VALUE"""),"CANCELED")</f>
        <v>CANCELED</v>
      </c>
      <c r="L440" s="1" t="str">
        <f>IFERROR(__xludf.DUMMYFUNCTION("""COMPUTED_VALUE"""),"CANCELLED")</f>
        <v>CANCELLED</v>
      </c>
      <c r="M440" s="1" t="str">
        <f>IFERROR(__xludf.DUMMYFUNCTION("""COMPUTED_VALUE"""),"RPR- NAP FULL")</f>
        <v>RPR- NAP FULL</v>
      </c>
      <c r="N440" s="3"/>
      <c r="O440" s="1" t="str">
        <f>IFERROR(__xludf.DUMMYFUNCTION("""COMPUTED_VALUE"""),"FIBR UNLI ALL PLAN 999")</f>
        <v>FIBR UNLI ALL PLAN 999</v>
      </c>
      <c r="P440" s="1" t="str">
        <f>IFERROR(__xludf.DUMMYFUNCTION("""COMPUTED_VALUE"""),"LOWPLAN")</f>
        <v>LOWPLAN</v>
      </c>
      <c r="Q440" s="1" t="str">
        <f>IFERROR(__xludf.DUMMYFUNCTION("""COMPUTED_VALUE"""),"P407044")</f>
        <v>P407044</v>
      </c>
      <c r="R440" s="1" t="str">
        <f>IFERROR(__xludf.DUMMYFUNCTION("""COMPUTED_VALUE"""),"AYON, MANUEL")</f>
        <v>AYON, MANUEL</v>
      </c>
      <c r="S440" s="1" t="str">
        <f>IFERROR(__xludf.DUMMYFUNCTION("""COMPUTED_VALUE"""),"FLA")</f>
        <v>FLA</v>
      </c>
      <c r="T440" s="1" t="str">
        <f>IFERROR(__xludf.DUMMYFUNCTION("""COMPUTED_VALUE"""),"JERIC NAVARRO")</f>
        <v>JERIC NAVARRO</v>
      </c>
      <c r="U440" s="1" t="str">
        <f>IFERROR(__xludf.DUMMYFUNCTION("""COMPUTED_VALUE"""),"JB SALIOA")</f>
        <v>JB SALIOA</v>
      </c>
      <c r="V440" s="1" t="str">
        <f>IFERROR(__xludf.DUMMYFUNCTION("""COMPUTED_VALUE"""),"BK REGULAR")</f>
        <v>BK REGULAR</v>
      </c>
      <c r="W440" s="1" t="str">
        <f>IFERROR(__xludf.DUMMYFUNCTION("""COMPUTED_VALUE"""),"STK REGULAR")</f>
        <v>STK REGULAR</v>
      </c>
      <c r="X440" s="1" t="str">
        <f>IFERROR(__xludf.DUMMYFUNCTION("""COMPUTED_VALUE"""),"REGULAR")</f>
        <v>REGULAR</v>
      </c>
      <c r="Y440" s="1" t="str">
        <f>IFERROR(__xludf.DUMMYFUNCTION("""COMPUTED_VALUE"""),"BK_CVEU_260820")</f>
        <v>BK_CVEU_260820</v>
      </c>
      <c r="Z440" s="1" t="str">
        <f>IFERROR(__xludf.DUMMYFUNCTION("""COMPUTED_VALUE"""),"NEW CONNECT")</f>
        <v>NEW CONNECT</v>
      </c>
      <c r="AA440" s="1">
        <f>IFERROR(__xludf.DUMMYFUNCTION("""COMPUTED_VALUE"""),639974472746)</f>
        <v>639974472746</v>
      </c>
      <c r="AB440" s="1">
        <f>IFERROR(__xludf.DUMMYFUNCTION("""COMPUTED_VALUE"""),639772598742)</f>
        <v>639772598742</v>
      </c>
      <c r="AC440" s="1">
        <f>IFERROR(__xludf.DUMMYFUNCTION("""COMPUTED_VALUE"""),9478)</f>
        <v>9478</v>
      </c>
      <c r="AD440" s="1" t="str">
        <f>IFERROR(__xludf.DUMMYFUNCTION("""COMPUTED_VALUE"""),"SITIO IBAYONG ILAT")</f>
        <v>SITIO IBAYONG ILAT</v>
      </c>
      <c r="AE440" s="1"/>
      <c r="AF440" s="1" t="str">
        <f>IFERROR(__xludf.DUMMYFUNCTION("""COMPUTED_VALUE"""),"BGY KAONG")</f>
        <v>BGY KAONG</v>
      </c>
      <c r="AG440" s="1" t="str">
        <f>IFERROR(__xludf.DUMMYFUNCTION("""COMPUTED_VALUE"""),"SILANG")</f>
        <v>SILANG</v>
      </c>
      <c r="AH440" s="1" t="str">
        <f>IFERROR(__xludf.DUMMYFUNCTION("""COMPUTED_VALUE"""),"JUNKSHOP")</f>
        <v>JUNKSHOP</v>
      </c>
      <c r="AI440" s="1" t="str">
        <f>IFERROR(__xludf.DUMMYFUNCTION("""COMPUTED_VALUE"""),"CLUSTER 11")</f>
        <v>CLUSTER 11</v>
      </c>
    </row>
    <row r="441" customHeight="1" spans="1:35">
      <c r="A441" s="3">
        <f>IFERROR(__xludf.DUMMYFUNCTION("""COMPUTED_VALUE"""),46271)</f>
        <v>46271</v>
      </c>
      <c r="B441" s="1" t="str">
        <f>IFERROR(__xludf.DUMMYFUNCTION("""COMPUTED_VALUE"""),"MARY CHRIS TOCONG PETIN")</f>
        <v>MARY CHRIS TOCONG PETIN</v>
      </c>
      <c r="C441" s="1">
        <f>IFERROR(__xludf.DUMMYFUNCTION("""COMPUTED_VALUE"""),2312406555)</f>
        <v>2312406555</v>
      </c>
      <c r="D441" s="1">
        <f>IFERROR(__xludf.DUMMYFUNCTION("""COMPUTED_VALUE"""),407698797)</f>
        <v>407698797</v>
      </c>
      <c r="E441" s="1">
        <f>IFERROR(__xludf.DUMMYFUNCTION("""COMPUTED_VALUE"""),470428868004)</f>
        <v>470428868004</v>
      </c>
      <c r="F441" s="1" t="str">
        <f>IFERROR(__xludf.DUMMYFUNCTION("""COMPUTED_VALUE"""),"CLOSED")</f>
        <v>CLOSED</v>
      </c>
      <c r="G441" s="1" t="str">
        <f>IFERROR(__xludf.DUMMYFUNCTION("""COMPUTED_VALUE"""),"CLOSED")</f>
        <v>CLOSED</v>
      </c>
      <c r="H441" s="1" t="str">
        <f>IFERROR(__xludf.DUMMYFUNCTION("""COMPUTED_VALUE"""),"PAID THRU GCASH REF 966978296 SEP 8")</f>
        <v>PAID THRU GCASH REF 966978296 SEP 8</v>
      </c>
      <c r="I441" s="1" t="str">
        <f>IFERROR(__xludf.DUMMYFUNCTION("""COMPUTED_VALUE"""),"WITH 1 AMSF")</f>
        <v>WITH 1 AMSF</v>
      </c>
      <c r="J441" s="1"/>
      <c r="K441" s="1" t="str">
        <f>IFERROR(__xludf.DUMMYFUNCTION("""COMPUTED_VALUE"""),"NOT IN OFSC")</f>
        <v>NOT IN OFSC</v>
      </c>
      <c r="L441" s="1" t="str">
        <f>IFERROR(__xludf.DUMMYFUNCTION("""COMPUTED_VALUE"""),"POSTED")</f>
        <v>POSTED</v>
      </c>
      <c r="M441" s="1" t="str">
        <f>IFERROR(__xludf.DUMMYFUNCTION("""COMPUTED_VALUE"""),"POSTED")</f>
        <v>POSTED</v>
      </c>
      <c r="N441" s="3">
        <f>IFERROR(__xludf.DUMMYFUNCTION("""COMPUTED_VALUE"""),46275)</f>
        <v>46275</v>
      </c>
      <c r="O441" s="1" t="str">
        <f>IFERROR(__xludf.DUMMYFUNCTION("""COMPUTED_VALUE"""),"FIBR UNLI ALL PLAN 999")</f>
        <v>FIBR UNLI ALL PLAN 999</v>
      </c>
      <c r="P441" s="1" t="str">
        <f>IFERROR(__xludf.DUMMYFUNCTION("""COMPUTED_VALUE"""),"LOWPLAN")</f>
        <v>LOWPLAN</v>
      </c>
      <c r="Q441" s="1" t="str">
        <f>IFERROR(__xludf.DUMMYFUNCTION("""COMPUTED_VALUE"""),"P407047")</f>
        <v>P407047</v>
      </c>
      <c r="R441" s="1" t="str">
        <f>IFERROR(__xludf.DUMMYFUNCTION("""COMPUTED_VALUE"""),"FRANCISCO, ROSELYN")</f>
        <v>FRANCISCO, ROSELYN</v>
      </c>
      <c r="S441" s="1" t="str">
        <f>IFERROR(__xludf.DUMMYFUNCTION("""COMPUTED_VALUE"""),"ORGANIC")</f>
        <v>ORGANIC</v>
      </c>
      <c r="T441" s="1" t="str">
        <f>IFERROR(__xludf.DUMMYFUNCTION("""COMPUTED_VALUE"""),"LEA REMOLLO")</f>
        <v>LEA REMOLLO</v>
      </c>
      <c r="U441" s="1" t="str">
        <f>IFERROR(__xludf.DUMMYFUNCTION("""COMPUTED_VALUE"""),"JB SALIOA")</f>
        <v>JB SALIOA</v>
      </c>
      <c r="V441" s="1" t="str">
        <f>IFERROR(__xludf.DUMMYFUNCTION("""COMPUTED_VALUE"""),"BK REGULAR")</f>
        <v>BK REGULAR</v>
      </c>
      <c r="W441" s="1" t="str">
        <f>IFERROR(__xludf.DUMMYFUNCTION("""COMPUTED_VALUE"""),"STK REGULAR")</f>
        <v>STK REGULAR</v>
      </c>
      <c r="X441" s="1" t="str">
        <f>IFERROR(__xludf.DUMMYFUNCTION("""COMPUTED_VALUE"""),"REGULAR")</f>
        <v>REGULAR</v>
      </c>
      <c r="Y441" s="1" t="str">
        <f>IFERROR(__xludf.DUMMYFUNCTION("""COMPUTED_VALUE"""),"BK_CVEU_260818")</f>
        <v>BK_CVEU_260818</v>
      </c>
      <c r="Z441" s="1" t="str">
        <f>IFERROR(__xludf.DUMMYFUNCTION("""COMPUTED_VALUE"""),"NEW CONNECT")</f>
        <v>NEW CONNECT</v>
      </c>
      <c r="AA441" s="1">
        <f>IFERROR(__xludf.DUMMYFUNCTION("""COMPUTED_VALUE"""),639958573726)</f>
        <v>639958573726</v>
      </c>
      <c r="AB441" s="1">
        <f>IFERROR(__xludf.DUMMYFUNCTION("""COMPUTED_VALUE"""),639857970272)</f>
        <v>639857970272</v>
      </c>
      <c r="AC441" s="1"/>
      <c r="AD441" s="1" t="str">
        <f>IFERROR(__xludf.DUMMYFUNCTION("""COMPUTED_VALUE"""),"CASA DE MONTEVERDE")</f>
        <v>CASA DE MONTEVERDE</v>
      </c>
      <c r="AE441" s="1" t="str">
        <f>IFERROR(__xludf.DUMMYFUNCTION("""COMPUTED_VALUE"""),"CASA DE MONTEVERDE HOMES")</f>
        <v>CASA DE MONTEVERDE HOMES</v>
      </c>
      <c r="AF441" s="1" t="str">
        <f>IFERROR(__xludf.DUMMYFUNCTION("""COMPUTED_VALUE"""),"BGY F DE CASTRO")</f>
        <v>BGY F DE CASTRO</v>
      </c>
      <c r="AG441" s="1" t="str">
        <f>IFERROR(__xludf.DUMMYFUNCTION("""COMPUTED_VALUE"""),"GEN MARIANO ALVAREZ")</f>
        <v>GEN MARIANO ALVAREZ</v>
      </c>
      <c r="AH441" s="1" t="str">
        <f>IFERROR(__xludf.DUMMYFUNCTION("""COMPUTED_VALUE"""),"WATER STATION")</f>
        <v>WATER STATION</v>
      </c>
      <c r="AI441" s="1" t="str">
        <f>IFERROR(__xludf.DUMMYFUNCTION("""COMPUTED_VALUE"""),"CLUSTER 11")</f>
        <v>CLUSTER 11</v>
      </c>
    </row>
    <row r="442" customHeight="1" spans="1:35">
      <c r="A442" s="3">
        <f>IFERROR(__xludf.DUMMYFUNCTION("""COMPUTED_VALUE"""),46271)</f>
        <v>46271</v>
      </c>
      <c r="B442" s="1" t="str">
        <f>IFERROR(__xludf.DUMMYFUNCTION("""COMPUTED_VALUE"""),"MARK REY-ANN ARANETA BELONIO")</f>
        <v>MARK REY-ANN ARANETA BELONIO</v>
      </c>
      <c r="C442" s="1">
        <f>IFERROR(__xludf.DUMMYFUNCTION("""COMPUTED_VALUE"""),2312407025)</f>
        <v>2312407025</v>
      </c>
      <c r="D442" s="1">
        <f>IFERROR(__xludf.DUMMYFUNCTION("""COMPUTED_VALUE"""),407687914)</f>
        <v>407687914</v>
      </c>
      <c r="E442" s="1">
        <f>IFERROR(__xludf.DUMMYFUNCTION("""COMPUTED_VALUE"""),470330524004)</f>
        <v>470330524004</v>
      </c>
      <c r="F442" s="1" t="str">
        <f>IFERROR(__xludf.DUMMYFUNCTION("""COMPUTED_VALUE"""),"CLOSED")</f>
        <v>CLOSED</v>
      </c>
      <c r="G442" s="1" t="str">
        <f>IFERROR(__xludf.DUMMYFUNCTION("""COMPUTED_VALUE"""),"CLOSED")</f>
        <v>CLOSED</v>
      </c>
      <c r="H442" s="1" t="str">
        <f>IFERROR(__xludf.DUMMYFUNCTION("""COMPUTED_VALUE"""),"PAID VIA GCASH REF 604105896 SEP 7")</f>
        <v>PAID VIA GCASH REF 604105896 SEP 7</v>
      </c>
      <c r="I442" s="1" t="str">
        <f>IFERROR(__xludf.DUMMYFUNCTION("""COMPUTED_VALUE"""),"WITH 1 AMSF")</f>
        <v>WITH 1 AMSF</v>
      </c>
      <c r="J442" s="1"/>
      <c r="K442" s="1" t="str">
        <f>IFERROR(__xludf.DUMMYFUNCTION("""COMPUTED_VALUE"""),"COMPLETED")</f>
        <v>COMPLETED</v>
      </c>
      <c r="L442" s="1" t="str">
        <f>IFERROR(__xludf.DUMMYFUNCTION("""COMPUTED_VALUE"""),"POSTED")</f>
        <v>POSTED</v>
      </c>
      <c r="M442" s="1" t="str">
        <f>IFERROR(__xludf.DUMMYFUNCTION("""COMPUTED_VALUE"""),"POSTED")</f>
        <v>POSTED</v>
      </c>
      <c r="N442" s="3">
        <f>IFERROR(__xludf.DUMMYFUNCTION("""COMPUTED_VALUE"""),46272)</f>
        <v>46272</v>
      </c>
      <c r="O442" s="1" t="str">
        <f>IFERROR(__xludf.DUMMYFUNCTION("""COMPUTED_VALUE"""),"FIBR NETFLIX PLAN 1599")</f>
        <v>FIBR NETFLIX PLAN 1599</v>
      </c>
      <c r="P442" s="1" t="str">
        <f>IFERROR(__xludf.DUMMYFUNCTION("""COMPUTED_VALUE"""),"LOWPLAN")</f>
        <v>LOWPLAN</v>
      </c>
      <c r="Q442" s="1" t="str">
        <f>IFERROR(__xludf.DUMMYFUNCTION("""COMPUTED_VALUE"""),"P407047")</f>
        <v>P407047</v>
      </c>
      <c r="R442" s="1" t="str">
        <f>IFERROR(__xludf.DUMMYFUNCTION("""COMPUTED_VALUE"""),"FRANCISCO, ROSELYN")</f>
        <v>FRANCISCO, ROSELYN</v>
      </c>
      <c r="S442" s="1" t="str">
        <f>IFERROR(__xludf.DUMMYFUNCTION("""COMPUTED_VALUE"""),"ORGANIC")</f>
        <v>ORGANIC</v>
      </c>
      <c r="T442" s="1" t="str">
        <f>IFERROR(__xludf.DUMMYFUNCTION("""COMPUTED_VALUE"""),"LEA REMOLLO")</f>
        <v>LEA REMOLLO</v>
      </c>
      <c r="U442" s="1" t="str">
        <f>IFERROR(__xludf.DUMMYFUNCTION("""COMPUTED_VALUE"""),"JB SALIOA")</f>
        <v>JB SALIOA</v>
      </c>
      <c r="V442" s="1" t="str">
        <f>IFERROR(__xludf.DUMMYFUNCTION("""COMPUTED_VALUE"""),"ONLINE/CRANFORD")</f>
        <v>ONLINE/CRANFORD</v>
      </c>
      <c r="W442" s="1" t="str">
        <f>IFERROR(__xludf.DUMMYFUNCTION("""COMPUTED_VALUE"""),"STK REGULAR")</f>
        <v>STK REGULAR</v>
      </c>
      <c r="X442" s="1" t="str">
        <f>IFERROR(__xludf.DUMMYFUNCTION("""COMPUTED_VALUE"""),"REGULAR")</f>
        <v>REGULAR</v>
      </c>
      <c r="Y442" s="1" t="str">
        <f>IFERROR(__xludf.DUMMYFUNCTION("""COMPUTED_VALUE"""),"RS_ONL_CVEU_2026")</f>
        <v>RS_ONL_CVEU_2026</v>
      </c>
      <c r="Z442" s="1" t="str">
        <f>IFERROR(__xludf.DUMMYFUNCTION("""COMPUTED_VALUE"""),"NEW CONNECT")</f>
        <v>NEW CONNECT</v>
      </c>
      <c r="AA442" s="1">
        <f>IFERROR(__xludf.DUMMYFUNCTION("""COMPUTED_VALUE"""),639938141035)</f>
        <v>639938141035</v>
      </c>
      <c r="AB442" s="1"/>
      <c r="AC442" s="1"/>
      <c r="AD442" s="1" t="str">
        <f>IFERROR(__xludf.DUMMYFUNCTION("""COMPUTED_VALUE"""),"PHASE 2")</f>
        <v>PHASE 2</v>
      </c>
      <c r="AE442" s="1"/>
      <c r="AF442" s="1" t="str">
        <f>IFERROR(__xludf.DUMMYFUNCTION("""COMPUTED_VALUE"""),"BGY PALIPARAN 3")</f>
        <v>BGY PALIPARAN 3</v>
      </c>
      <c r="AG442" s="1" t="str">
        <f>IFERROR(__xludf.DUMMYFUNCTION("""COMPUTED_VALUE"""),"DASMARINAS")</f>
        <v>DASMARINAS</v>
      </c>
      <c r="AH442" s="1" t="str">
        <f>IFERROR(__xludf.DUMMYFUNCTION("""COMPUTED_VALUE"""),"ELEMENTARY SCHOOL")</f>
        <v>ELEMENTARY SCHOOL</v>
      </c>
      <c r="AI442" s="1" t="str">
        <f>IFERROR(__xludf.DUMMYFUNCTION("""COMPUTED_VALUE"""),"NOT AOR")</f>
        <v>NOT AOR</v>
      </c>
    </row>
    <row r="443" customHeight="1" spans="1:35">
      <c r="A443" s="3">
        <f>IFERROR(__xludf.DUMMYFUNCTION("""COMPUTED_VALUE"""),46271)</f>
        <v>46271</v>
      </c>
      <c r="B443" s="1" t="str">
        <f>IFERROR(__xludf.DUMMYFUNCTION("""COMPUTED_VALUE"""),"ROSARIO DELOS SANTOS BONAGUA")</f>
        <v>ROSARIO DELOS SANTOS BONAGUA</v>
      </c>
      <c r="C443" s="1">
        <f>IFERROR(__xludf.DUMMYFUNCTION("""COMPUTED_VALUE"""),2312408531)</f>
        <v>2312408531</v>
      </c>
      <c r="D443" s="1">
        <f>IFERROR(__xludf.DUMMYFUNCTION("""COMPUTED_VALUE"""),407691342)</f>
        <v>407691342</v>
      </c>
      <c r="E443" s="1">
        <f>IFERROR(__xludf.DUMMYFUNCTION("""COMPUTED_VALUE"""),470333699004)</f>
        <v>470333699004</v>
      </c>
      <c r="F443" s="1" t="str">
        <f>IFERROR(__xludf.DUMMYFUNCTION("""COMPUTED_VALUE"""),"CLOSED")</f>
        <v>CLOSED</v>
      </c>
      <c r="G443" s="1" t="str">
        <f>IFERROR(__xludf.DUMMYFUNCTION("""COMPUTED_VALUE"""),"CLOSED")</f>
        <v>CLOSED</v>
      </c>
      <c r="H443" s="1" t="str">
        <f>IFERROR(__xludf.DUMMYFUNCTION("""COMPUTED_VALUE"""),"PQGOR363377061	08-Sep-26	Regular Payment	CIS-GCASH 3.0	1,400.00	941313454	08-Sep-26")</f>
        <v>PQGOR363377061	08-Sep-26	Regular Payment	CIS-GCASH 3.0	1,400.00	941313454	08-Sep-26</v>
      </c>
      <c r="I443" s="1" t="str">
        <f>IFERROR(__xludf.DUMMYFUNCTION("""COMPUTED_VALUE"""),"WITH 1 AMSF")</f>
        <v>WITH 1 AMSF</v>
      </c>
      <c r="J443" s="1" t="str">
        <f>IFERROR(__xludf.DUMMYFUNCTION("""COMPUTED_VALUE"""),"PRORATED - 44.13")</f>
        <v>PRORATED - 44.13</v>
      </c>
      <c r="K443" s="1" t="str">
        <f>IFERROR(__xludf.DUMMYFUNCTION("""COMPUTED_VALUE"""),"COMPLETED")</f>
        <v>COMPLETED</v>
      </c>
      <c r="L443" s="1" t="str">
        <f>IFERROR(__xludf.DUMMYFUNCTION("""COMPUTED_VALUE"""),"POSTED")</f>
        <v>POSTED</v>
      </c>
      <c r="M443" s="1" t="str">
        <f>IFERROR(__xludf.DUMMYFUNCTION("""COMPUTED_VALUE"""),"POSTED")</f>
        <v>POSTED</v>
      </c>
      <c r="N443" s="3">
        <f>IFERROR(__xludf.DUMMYFUNCTION("""COMPUTED_VALUE"""),46275)</f>
        <v>46275</v>
      </c>
      <c r="O443" s="1" t="str">
        <f>IFERROR(__xludf.DUMMYFUNCTION("""COMPUTED_VALUE"""),"FIBR PLAN 1299")</f>
        <v>FIBR PLAN 1299</v>
      </c>
      <c r="P443" s="1" t="str">
        <f>IFERROR(__xludf.DUMMYFUNCTION("""COMPUTED_VALUE"""),"LOWPLAN")</f>
        <v>LOWPLAN</v>
      </c>
      <c r="Q443" s="1" t="str">
        <f>IFERROR(__xludf.DUMMYFUNCTION("""COMPUTED_VALUE"""),"P407050")</f>
        <v>P407050</v>
      </c>
      <c r="R443" s="1" t="str">
        <f>IFERROR(__xludf.DUMMYFUNCTION("""COMPUTED_VALUE"""),"TAMAYO, MARY ROSE ZAIRA")</f>
        <v>TAMAYO, MARY ROSE ZAIRA</v>
      </c>
      <c r="S443" s="1" t="str">
        <f>IFERROR(__xludf.DUMMYFUNCTION("""COMPUTED_VALUE"""),"ORGANIC")</f>
        <v>ORGANIC</v>
      </c>
      <c r="T443" s="1" t="str">
        <f>IFERROR(__xludf.DUMMYFUNCTION("""COMPUTED_VALUE"""),"LEA REMOLLO")</f>
        <v>LEA REMOLLO</v>
      </c>
      <c r="U443" s="1" t="str">
        <f>IFERROR(__xludf.DUMMYFUNCTION("""COMPUTED_VALUE"""),"JB SALIOA")</f>
        <v>JB SALIOA</v>
      </c>
      <c r="V443" s="1" t="str">
        <f>IFERROR(__xludf.DUMMYFUNCTION("""COMPUTED_VALUE"""),"ONLINE/CRANFORD")</f>
        <v>ONLINE/CRANFORD</v>
      </c>
      <c r="W443" s="1" t="str">
        <f>IFERROR(__xludf.DUMMYFUNCTION("""COMPUTED_VALUE"""),"STK REGULAR")</f>
        <v>STK REGULAR</v>
      </c>
      <c r="X443" s="1" t="str">
        <f>IFERROR(__xludf.DUMMYFUNCTION("""COMPUTED_VALUE"""),"REGULAR")</f>
        <v>REGULAR</v>
      </c>
      <c r="Y443" s="1" t="str">
        <f>IFERROR(__xludf.DUMMYFUNCTION("""COMPUTED_VALUE"""),"RS_ONL_CVEU_2026")</f>
        <v>RS_ONL_CVEU_2026</v>
      </c>
      <c r="Z443" s="1" t="str">
        <f>IFERROR(__xludf.DUMMYFUNCTION("""COMPUTED_VALUE"""),"NEW CONNECT")</f>
        <v>NEW CONNECT</v>
      </c>
      <c r="AA443" s="1">
        <f>IFERROR(__xludf.DUMMYFUNCTION("""COMPUTED_VALUE"""),639636622529)</f>
        <v>639636622529</v>
      </c>
      <c r="AB443" s="1"/>
      <c r="AC443" s="1">
        <f>IFERROR(__xludf.DUMMYFUNCTION("""COMPUTED_VALUE"""),20)</f>
        <v>20</v>
      </c>
      <c r="AD443" s="1" t="str">
        <f>IFERROR(__xludf.DUMMYFUNCTION("""COMPUTED_VALUE"""),"SITIO ABUHAN")</f>
        <v>SITIO ABUHAN</v>
      </c>
      <c r="AE443" s="1"/>
      <c r="AF443" s="1" t="str">
        <f>IFERROR(__xludf.DUMMYFUNCTION("""COMPUTED_VALUE"""),"BGY MAGUYAM")</f>
        <v>BGY MAGUYAM</v>
      </c>
      <c r="AG443" s="1" t="str">
        <f>IFERROR(__xludf.DUMMYFUNCTION("""COMPUTED_VALUE"""),"SILANG")</f>
        <v>SILANG</v>
      </c>
      <c r="AH443" s="1" t="str">
        <f>IFERROR(__xludf.DUMMYFUNCTION("""COMPUTED_VALUE"""),"HANDOG INDUSTRIAL GASES")</f>
        <v>HANDOG INDUSTRIAL GASES</v>
      </c>
      <c r="AI443" s="1" t="str">
        <f>IFERROR(__xludf.DUMMYFUNCTION("""COMPUTED_VALUE"""),"CLUSTER 11")</f>
        <v>CLUSTER 11</v>
      </c>
    </row>
    <row r="444" customHeight="1" spans="1:35">
      <c r="A444" s="3">
        <f>IFERROR(__xludf.DUMMYFUNCTION("""COMPUTED_VALUE"""),46272)</f>
        <v>46272</v>
      </c>
      <c r="B444" s="1" t="str">
        <f>IFERROR(__xludf.DUMMYFUNCTION("""COMPUTED_VALUE"""),"JUDITH ESPINA AQUINO")</f>
        <v>JUDITH ESPINA AQUINO</v>
      </c>
      <c r="C444" s="1">
        <f>IFERROR(__xludf.DUMMYFUNCTION("""COMPUTED_VALUE"""),2312422223)</f>
        <v>2312422223</v>
      </c>
      <c r="D444" s="1">
        <f>IFERROR(__xludf.DUMMYFUNCTION("""COMPUTED_VALUE"""),407710932)</f>
        <v>407710932</v>
      </c>
      <c r="E444" s="1"/>
      <c r="F444" s="1" t="str">
        <f>IFERROR(__xludf.DUMMYFUNCTION("""COMPUTED_VALUE"""),"REENCODED")</f>
        <v>REENCODED</v>
      </c>
      <c r="G444" s="1" t="str">
        <f>IFERROR(__xludf.DUMMYFUNCTION("""COMPUTED_VALUE"""),"REENCODED DUE TO SYSTEM ERROR")</f>
        <v>REENCODED DUE TO SYSTEM ERROR</v>
      </c>
      <c r="H444" s="1"/>
      <c r="I444" s="1"/>
      <c r="J444" s="1"/>
      <c r="K444" s="1"/>
      <c r="L444" s="1" t="str">
        <f>IFERROR(__xludf.DUMMYFUNCTION("""COMPUTED_VALUE"""),"REENCODED")</f>
        <v>REENCODED</v>
      </c>
      <c r="M444" s="1" t="str">
        <f>IFERROR(__xludf.DUMMYFUNCTION("""COMPUTED_VALUE"""),"REENCODED")</f>
        <v>REENCODED</v>
      </c>
      <c r="N444" s="3"/>
      <c r="O444" s="1" t="str">
        <f>IFERROR(__xludf.DUMMYFUNCTION("""COMPUTED_VALUE"""),"FIBR PLAN 1699")</f>
        <v>FIBR PLAN 1699</v>
      </c>
      <c r="P444" s="1" t="str">
        <f>IFERROR(__xludf.DUMMYFUNCTION("""COMPUTED_VALUE"""),"HIGHPLAN")</f>
        <v>HIGHPLAN</v>
      </c>
      <c r="Q444" s="1" t="str">
        <f>IFERROR(__xludf.DUMMYFUNCTION("""COMPUTED_VALUE"""),"P407045")</f>
        <v>P407045</v>
      </c>
      <c r="R444" s="1" t="str">
        <f>IFERROR(__xludf.DUMMYFUNCTION("""COMPUTED_VALUE"""),"ALINGARO, CINDY")</f>
        <v>ALINGARO, CINDY</v>
      </c>
      <c r="S444" s="1" t="str">
        <f>IFERROR(__xludf.DUMMYFUNCTION("""COMPUTED_VALUE"""),"FLA")</f>
        <v>FLA</v>
      </c>
      <c r="T444" s="1" t="str">
        <f>IFERROR(__xludf.DUMMYFUNCTION("""COMPUTED_VALUE"""),"JERIC NAVARRO")</f>
        <v>JERIC NAVARRO</v>
      </c>
      <c r="U444" s="1" t="str">
        <f>IFERROR(__xludf.DUMMYFUNCTION("""COMPUTED_VALUE"""),"JB SALIOA")</f>
        <v>JB SALIOA</v>
      </c>
      <c r="V444" s="1" t="str">
        <f>IFERROR(__xludf.DUMMYFUNCTION("""COMPUTED_VALUE"""),"ONLINE/CRANFORD")</f>
        <v>ONLINE/CRANFORD</v>
      </c>
      <c r="W444" s="1" t="str">
        <f>IFERROR(__xludf.DUMMYFUNCTION("""COMPUTED_VALUE"""),"STK REGULAR")</f>
        <v>STK REGULAR</v>
      </c>
      <c r="X444" s="1" t="str">
        <f>IFERROR(__xludf.DUMMYFUNCTION("""COMPUTED_VALUE"""),"REGULAR")</f>
        <v>REGULAR</v>
      </c>
      <c r="Y444" s="1" t="str">
        <f>IFERROR(__xludf.DUMMYFUNCTION("""COMPUTED_VALUE"""),"RS_ONL_CVEU_2026")</f>
        <v>RS_ONL_CVEU_2026</v>
      </c>
      <c r="Z444" s="1" t="str">
        <f>IFERROR(__xludf.DUMMYFUNCTION("""COMPUTED_VALUE"""),"NEW CONNECT")</f>
        <v>NEW CONNECT</v>
      </c>
      <c r="AA444" s="1">
        <f>IFERROR(__xludf.DUMMYFUNCTION("""COMPUTED_VALUE"""),639351158545)</f>
        <v>639351158545</v>
      </c>
      <c r="AB444" s="1"/>
      <c r="AC444" s="1"/>
      <c r="AD444" s="1" t="str">
        <f>IFERROR(__xludf.DUMMYFUNCTION("""COMPUTED_VALUE"""),"QUINTANA EXECUTIVE HOMES")</f>
        <v>QUINTANA EXECUTIVE HOMES</v>
      </c>
      <c r="AE444" s="1" t="str">
        <f>IFERROR(__xludf.DUMMYFUNCTION("""COMPUTED_VALUE"""),"QUINTANA EXECUTIVE HOMES")</f>
        <v>QUINTANA EXECUTIVE HOMES</v>
      </c>
      <c r="AF444" s="1" t="str">
        <f>IFERROR(__xludf.DUMMYFUNCTION("""COMPUTED_VALUE"""),"BGY SAN AGUSTIN")</f>
        <v>BGY SAN AGUSTIN</v>
      </c>
      <c r="AG444" s="1" t="str">
        <f>IFERROR(__xludf.DUMMYFUNCTION("""COMPUTED_VALUE"""),"TRECE MARTIREZ CITY")</f>
        <v>TRECE MARTIREZ CITY</v>
      </c>
      <c r="AH444" s="1" t="str">
        <f>IFERROR(__xludf.DUMMYFUNCTION("""COMPUTED_VALUE"""),"QUINTANA EXEC HOMES")</f>
        <v>QUINTANA EXEC HOMES</v>
      </c>
      <c r="AI444" s="1" t="str">
        <f>IFERROR(__xludf.DUMMYFUNCTION("""COMPUTED_VALUE"""),"NOT AOR")</f>
        <v>NOT AOR</v>
      </c>
    </row>
    <row r="445" customHeight="1" spans="1:35">
      <c r="A445" s="3">
        <f>IFERROR(__xludf.DUMMYFUNCTION("""COMPUTED_VALUE"""),46272)</f>
        <v>46272</v>
      </c>
      <c r="B445" s="1" t="str">
        <f>IFERROR(__xludf.DUMMYFUNCTION("""COMPUTED_VALUE"""),"ZENY FRANCIS TIONGCO MADRID")</f>
        <v>ZENY FRANCIS TIONGCO MADRID</v>
      </c>
      <c r="C445" s="1">
        <f>IFERROR(__xludf.DUMMYFUNCTION("""COMPUTED_VALUE"""),2312425598)</f>
        <v>2312425598</v>
      </c>
      <c r="D445" s="1">
        <f>IFERROR(__xludf.DUMMYFUNCTION("""COMPUTED_VALUE"""),407703499)</f>
        <v>407703499</v>
      </c>
      <c r="E445" s="1"/>
      <c r="F445" s="1" t="str">
        <f>IFERROR(__xludf.DUMMYFUNCTION("""COMPUTED_VALUE"""),"REENCODED")</f>
        <v>REENCODED</v>
      </c>
      <c r="G445" s="1" t="str">
        <f>IFERROR(__xludf.DUMMYFUNCTION("""COMPUTED_VALUE"""),"REENCODED DUE TO SYSTEM ERROR")</f>
        <v>REENCODED DUE TO SYSTEM ERROR</v>
      </c>
      <c r="H445" s="1"/>
      <c r="I445" s="1"/>
      <c r="J445" s="1"/>
      <c r="K445" s="1"/>
      <c r="L445" s="1" t="str">
        <f>IFERROR(__xludf.DUMMYFUNCTION("""COMPUTED_VALUE"""),"REENCODED")</f>
        <v>REENCODED</v>
      </c>
      <c r="M445" s="1" t="str">
        <f>IFERROR(__xludf.DUMMYFUNCTION("""COMPUTED_VALUE"""),"REENCODED")</f>
        <v>REENCODED</v>
      </c>
      <c r="N445" s="3"/>
      <c r="O445" s="1" t="str">
        <f>IFERROR(__xludf.DUMMYFUNCTION("""COMPUTED_VALUE"""),"FIBR PLAN 1299")</f>
        <v>FIBR PLAN 1299</v>
      </c>
      <c r="P445" s="1" t="str">
        <f>IFERROR(__xludf.DUMMYFUNCTION("""COMPUTED_VALUE"""),"LOWPLAN")</f>
        <v>LOWPLAN</v>
      </c>
      <c r="Q445" s="1" t="str">
        <f>IFERROR(__xludf.DUMMYFUNCTION("""COMPUTED_VALUE"""),"P407045")</f>
        <v>P407045</v>
      </c>
      <c r="R445" s="1" t="str">
        <f>IFERROR(__xludf.DUMMYFUNCTION("""COMPUTED_VALUE"""),"REMOLLO, LEA")</f>
        <v>REMOLLO, LEA</v>
      </c>
      <c r="S445" s="1" t="str">
        <f>IFERROR(__xludf.DUMMYFUNCTION("""COMPUTED_VALUE"""),"FLA")</f>
        <v>FLA</v>
      </c>
      <c r="T445" s="1" t="str">
        <f>IFERROR(__xludf.DUMMYFUNCTION("""COMPUTED_VALUE"""),"JERIC NAVARRO")</f>
        <v>JERIC NAVARRO</v>
      </c>
      <c r="U445" s="1" t="str">
        <f>IFERROR(__xludf.DUMMYFUNCTION("""COMPUTED_VALUE"""),"JB SALIOA")</f>
        <v>JB SALIOA</v>
      </c>
      <c r="V445" s="1" t="str">
        <f>IFERROR(__xludf.DUMMYFUNCTION("""COMPUTED_VALUE"""),"ONLINE/CRANFORD")</f>
        <v>ONLINE/CRANFORD</v>
      </c>
      <c r="W445" s="1" t="str">
        <f>IFERROR(__xludf.DUMMYFUNCTION("""COMPUTED_VALUE"""),"STK REGULAR")</f>
        <v>STK REGULAR</v>
      </c>
      <c r="X445" s="1" t="str">
        <f>IFERROR(__xludf.DUMMYFUNCTION("""COMPUTED_VALUE"""),"REGULAR")</f>
        <v>REGULAR</v>
      </c>
      <c r="Y445" s="1" t="str">
        <f>IFERROR(__xludf.DUMMYFUNCTION("""COMPUTED_VALUE"""),"RS_SS_CVEU_2026")</f>
        <v>RS_SS_CVEU_2026</v>
      </c>
      <c r="Z445" s="1" t="str">
        <f>IFERROR(__xludf.DUMMYFUNCTION("""COMPUTED_VALUE"""),"NEW CONNECT")</f>
        <v>NEW CONNECT</v>
      </c>
      <c r="AA445" s="1">
        <f>IFERROR(__xludf.DUMMYFUNCTION("""COMPUTED_VALUE"""),639382433211)</f>
        <v>639382433211</v>
      </c>
      <c r="AB445" s="1"/>
      <c r="AC445" s="1"/>
      <c r="AD445" s="1" t="str">
        <f>IFERROR(__xludf.DUMMYFUNCTION("""COMPUTED_VALUE"""),"SANDPIPER")</f>
        <v>SANDPIPER</v>
      </c>
      <c r="AE445" s="1" t="str">
        <f>IFERROR(__xludf.DUMMYFUNCTION("""COMPUTED_VALUE"""),"WESTWOOD 1 LANCASTER")</f>
        <v>WESTWOOD 1 LANCASTER</v>
      </c>
      <c r="AF445" s="1" t="str">
        <f>IFERROR(__xludf.DUMMYFUNCTION("""COMPUTED_VALUE"""),"PASONG CAMACHILE 2")</f>
        <v>PASONG CAMACHILE 2</v>
      </c>
      <c r="AG445" s="1" t="str">
        <f>IFERROR(__xludf.DUMMYFUNCTION("""COMPUTED_VALUE"""),"GENERAL TRIAS")</f>
        <v>GENERAL TRIAS</v>
      </c>
      <c r="AH445" s="1" t="str">
        <f>IFERROR(__xludf.DUMMYFUNCTION("""COMPUTED_VALUE"""),"-")</f>
        <v>-</v>
      </c>
      <c r="AI445" s="1" t="str">
        <f>IFERROR(__xludf.DUMMYFUNCTION("""COMPUTED_VALUE"""),"NOT AOR")</f>
        <v>NOT AOR</v>
      </c>
    </row>
    <row r="446" customHeight="1" spans="1:35">
      <c r="A446" s="3">
        <f>IFERROR(__xludf.DUMMYFUNCTION("""COMPUTED_VALUE"""),46272)</f>
        <v>46272</v>
      </c>
      <c r="B446" s="1" t="str">
        <f>IFERROR(__xludf.DUMMYFUNCTION("""COMPUTED_VALUE"""),"FE LAUTENGCO URBANO")</f>
        <v>FE LAUTENGCO URBANO</v>
      </c>
      <c r="C446" s="1">
        <f>IFERROR(__xludf.DUMMYFUNCTION("""COMPUTED_VALUE"""),2312426640)</f>
        <v>2312426640</v>
      </c>
      <c r="D446" s="1">
        <f>IFERROR(__xludf.DUMMYFUNCTION("""COMPUTED_VALUE"""),407705688)</f>
        <v>407705688</v>
      </c>
      <c r="E446" s="1">
        <f>IFERROR(__xludf.DUMMYFUNCTION("""COMPUTED_VALUE"""),470448399004)</f>
        <v>470448399004</v>
      </c>
      <c r="F446" s="1" t="str">
        <f>IFERROR(__xludf.DUMMYFUNCTION("""COMPUTED_VALUE"""),"CLOSED")</f>
        <v>CLOSED</v>
      </c>
      <c r="G446" s="1" t="str">
        <f>IFERROR(__xludf.DUMMYFUNCTION("""COMPUTED_VALUE"""),"CLOSED")</f>
        <v>CLOSED</v>
      </c>
      <c r="H446" s="1" t="str">
        <f>IFERROR(__xludf.DUMMYFUNCTION("""COMPUTED_VALUE"""),"PQGOR363490855	09-Sep-26	Regular Payment	CIS - GOTYME 3.0	1,599.00	941311239	09-Sep-26")</f>
        <v>PQGOR363490855	09-Sep-26	Regular Payment	CIS - GOTYME 3.0	1,599.00	941311239	09-Sep-26</v>
      </c>
      <c r="I446" s="1" t="str">
        <f>IFERROR(__xludf.DUMMYFUNCTION("""COMPUTED_VALUE"""),"WITH 1 AMSF")</f>
        <v>WITH 1 AMSF</v>
      </c>
      <c r="J446" s="1" t="str">
        <f>IFERROR(__xludf.DUMMYFUNCTION("""COMPUTED_VALUE"""),"PRORATED - 153.16")</f>
        <v>PRORATED - 153.16</v>
      </c>
      <c r="K446" s="1" t="str">
        <f>IFERROR(__xludf.DUMMYFUNCTION("""COMPUTED_VALUE"""),"COMPLETED")</f>
        <v>COMPLETED</v>
      </c>
      <c r="L446" s="1" t="str">
        <f>IFERROR(__xludf.DUMMYFUNCTION("""COMPUTED_VALUE"""),"POSTED")</f>
        <v>POSTED</v>
      </c>
      <c r="M446" s="1" t="str">
        <f>IFERROR(__xludf.DUMMYFUNCTION("""COMPUTED_VALUE"""),"POSTED")</f>
        <v>POSTED</v>
      </c>
      <c r="N446" s="3">
        <f>IFERROR(__xludf.DUMMYFUNCTION("""COMPUTED_VALUE"""),46274)</f>
        <v>46274</v>
      </c>
      <c r="O446" s="1" t="str">
        <f>IFERROR(__xludf.DUMMYFUNCTION("""COMPUTED_VALUE"""),"FIBER UNLI ALL PLAN 1499")</f>
        <v>FIBER UNLI ALL PLAN 1499</v>
      </c>
      <c r="P446" s="1" t="str">
        <f>IFERROR(__xludf.DUMMYFUNCTION("""COMPUTED_VALUE"""),"LOWPLAN")</f>
        <v>LOWPLAN</v>
      </c>
      <c r="Q446" s="1" t="str">
        <f>IFERROR(__xludf.DUMMYFUNCTION("""COMPUTED_VALUE"""),"P407044")</f>
        <v>P407044</v>
      </c>
      <c r="R446" s="1" t="str">
        <f>IFERROR(__xludf.DUMMYFUNCTION("""COMPUTED_VALUE"""),"AYON, MANUEL")</f>
        <v>AYON, MANUEL</v>
      </c>
      <c r="S446" s="1" t="str">
        <f>IFERROR(__xludf.DUMMYFUNCTION("""COMPUTED_VALUE"""),"FLA")</f>
        <v>FLA</v>
      </c>
      <c r="T446" s="1" t="str">
        <f>IFERROR(__xludf.DUMMYFUNCTION("""COMPUTED_VALUE"""),"JERIC NAVARRO")</f>
        <v>JERIC NAVARRO</v>
      </c>
      <c r="U446" s="1" t="str">
        <f>IFERROR(__xludf.DUMMYFUNCTION("""COMPUTED_VALUE"""),"JB SALIOA")</f>
        <v>JB SALIOA</v>
      </c>
      <c r="V446" s="1" t="str">
        <f>IFERROR(__xludf.DUMMYFUNCTION("""COMPUTED_VALUE"""),"BK HSTK")</f>
        <v>BK HSTK</v>
      </c>
      <c r="W446" s="1" t="str">
        <f>IFERROR(__xludf.DUMMYFUNCTION("""COMPUTED_VALUE"""),"BK HSTK")</f>
        <v>BK HSTK</v>
      </c>
      <c r="X446" s="1" t="str">
        <f>IFERROR(__xludf.DUMMYFUNCTION("""COMPUTED_VALUE"""),"REGULAR")</f>
        <v>REGULAR</v>
      </c>
      <c r="Y446" s="1" t="str">
        <f>IFERROR(__xludf.DUMMYFUNCTION("""COMPUTED_VALUE"""),"BK_CVEU_260819")</f>
        <v>BK_CVEU_260819</v>
      </c>
      <c r="Z446" s="1" t="str">
        <f>IFERROR(__xludf.DUMMYFUNCTION("""COMPUTED_VALUE"""),"NEW CONNECT")</f>
        <v>NEW CONNECT</v>
      </c>
      <c r="AA446" s="1">
        <f>IFERROR(__xludf.DUMMYFUNCTION("""COMPUTED_VALUE"""),639912024224)</f>
        <v>639912024224</v>
      </c>
      <c r="AB446" s="1">
        <f>IFERROR(__xludf.DUMMYFUNCTION("""COMPUTED_VALUE"""),639918196674)</f>
        <v>639918196674</v>
      </c>
      <c r="AC446" s="1"/>
      <c r="AD446" s="1" t="str">
        <f>IFERROR(__xludf.DUMMYFUNCTION("""COMPUTED_VALUE"""),"SPRINGWOOD VILLE")</f>
        <v>SPRINGWOOD VILLE</v>
      </c>
      <c r="AE446" s="1" t="str">
        <f>IFERROR(__xludf.DUMMYFUNCTION("""COMPUTED_VALUE"""),"SPRINGWOODS VILLE")</f>
        <v>SPRINGWOODS VILLE</v>
      </c>
      <c r="AF446" s="1" t="str">
        <f>IFERROR(__xludf.DUMMYFUNCTION("""COMPUTED_VALUE"""),"BGY BUKAL")</f>
        <v>BGY BUKAL</v>
      </c>
      <c r="AG446" s="1" t="str">
        <f>IFERROR(__xludf.DUMMYFUNCTION("""COMPUTED_VALUE"""),"MENDEZ")</f>
        <v>MENDEZ</v>
      </c>
      <c r="AH446" s="1" t="str">
        <f>IFERROR(__xludf.DUMMYFUNCTION("""COMPUTED_VALUE"""),"KINSHIP RESORT")</f>
        <v>KINSHIP RESORT</v>
      </c>
      <c r="AI446" s="1" t="str">
        <f>IFERROR(__xludf.DUMMYFUNCTION("""COMPUTED_VALUE"""),"CLUSTER 12")</f>
        <v>CLUSTER 12</v>
      </c>
    </row>
    <row r="447" customHeight="1" spans="1:35">
      <c r="A447" s="3">
        <f>IFERROR(__xludf.DUMMYFUNCTION("""COMPUTED_VALUE"""),46272)</f>
        <v>46272</v>
      </c>
      <c r="B447" s="1" t="str">
        <f>IFERROR(__xludf.DUMMYFUNCTION("""COMPUTED_VALUE"""),"LOURAINE ARMIJO LIMPIADO")</f>
        <v>LOURAINE ARMIJO LIMPIADO</v>
      </c>
      <c r="C447" s="1">
        <f>IFERROR(__xludf.DUMMYFUNCTION("""COMPUTED_VALUE"""),2312426866)</f>
        <v>2312426866</v>
      </c>
      <c r="D447" s="1"/>
      <c r="E447" s="1"/>
      <c r="F447" s="1" t="str">
        <f>IFERROR(__xludf.DUMMYFUNCTION("""COMPUTED_VALUE"""),"CANCELLED")</f>
        <v>CANCELLED</v>
      </c>
      <c r="G447" s="1" t="str">
        <f>IFERROR(__xludf.DUMMYFUNCTION("""COMPUTED_VALUE"""),"CANCELLED")</f>
        <v>CANCELLED</v>
      </c>
      <c r="H447" s="1"/>
      <c r="I447" s="1"/>
      <c r="J447" s="1"/>
      <c r="K447" s="1"/>
      <c r="L447" s="1" t="str">
        <f>IFERROR(__xludf.DUMMYFUNCTION("""COMPUTED_VALUE"""),"CANCELLED")</f>
        <v>CANCELLED</v>
      </c>
      <c r="M447" s="1" t="str">
        <f>IFERROR(__xludf.DUMMYFUNCTION("""COMPUTED_VALUE"""),"CANCELLED - SYSTEM ERROR")</f>
        <v>CANCELLED - SYSTEM ERROR</v>
      </c>
      <c r="N447" s="3"/>
      <c r="O447" s="1" t="str">
        <f>IFERROR(__xludf.DUMMYFUNCTION("""COMPUTED_VALUE"""),"SWITCH FIBER UNLI ALL PLAN 1499")</f>
        <v>SWITCH FIBER UNLI ALL PLAN 1499</v>
      </c>
      <c r="P447" s="1" t="str">
        <f>IFERROR(__xludf.DUMMYFUNCTION("""COMPUTED_VALUE"""),"SWITCH")</f>
        <v>SWITCH</v>
      </c>
      <c r="Q447" s="1" t="str">
        <f>IFERROR(__xludf.DUMMYFUNCTION("""COMPUTED_VALUE"""),"P407048")</f>
        <v>P407048</v>
      </c>
      <c r="R447" s="1" t="str">
        <f>IFERROR(__xludf.DUMMYFUNCTION("""COMPUTED_VALUE"""),"ARMIJO, LOUIE")</f>
        <v>ARMIJO, LOUIE</v>
      </c>
      <c r="S447" s="1" t="str">
        <f>IFERROR(__xludf.DUMMYFUNCTION("""COMPUTED_VALUE"""),"FLA")</f>
        <v>FLA</v>
      </c>
      <c r="T447" s="1" t="str">
        <f>IFERROR(__xludf.DUMMYFUNCTION("""COMPUTED_VALUE"""),"JERIC NAVARRO")</f>
        <v>JERIC NAVARRO</v>
      </c>
      <c r="U447" s="1" t="str">
        <f>IFERROR(__xludf.DUMMYFUNCTION("""COMPUTED_VALUE"""),"JULIE ESPIRITU")</f>
        <v>JULIE ESPIRITU</v>
      </c>
      <c r="V447" s="1" t="str">
        <f>IFERROR(__xludf.DUMMYFUNCTION("""COMPUTED_VALUE"""),"ONLINE/CRANFORD")</f>
        <v>ONLINE/CRANFORD</v>
      </c>
      <c r="W447" s="1" t="str">
        <f>IFERROR(__xludf.DUMMYFUNCTION("""COMPUTED_VALUE"""),"STK REGULAR")</f>
        <v>STK REGULAR</v>
      </c>
      <c r="X447" s="1" t="str">
        <f>IFERROR(__xludf.DUMMYFUNCTION("""COMPUTED_VALUE"""),"ANTI COMPETITOR")</f>
        <v>ANTI COMPETITOR</v>
      </c>
      <c r="Y447" s="1" t="str">
        <f>IFERROR(__xludf.DUMMYFUNCTION("""COMPUTED_VALUE"""),"RS_ONL_CVEU_2026")</f>
        <v>RS_ONL_CVEU_2026</v>
      </c>
      <c r="Z447" s="1" t="str">
        <f>IFERROR(__xludf.DUMMYFUNCTION("""COMPUTED_VALUE"""),"NEW CONNECT")</f>
        <v>NEW CONNECT</v>
      </c>
      <c r="AA447" s="1">
        <f>IFERROR(__xludf.DUMMYFUNCTION("""COMPUTED_VALUE"""),639686174350)</f>
        <v>639686174350</v>
      </c>
      <c r="AB447" s="1">
        <f>IFERROR(__xludf.DUMMYFUNCTION("""COMPUTED_VALUE"""),639481751230)</f>
        <v>639481751230</v>
      </c>
      <c r="AC447" s="1"/>
      <c r="AD447" s="1" t="str">
        <f>IFERROR(__xludf.DUMMYFUNCTION("""COMPUTED_VALUE"""),"HEART FOUNDATION")</f>
        <v>HEART FOUNDATION</v>
      </c>
      <c r="AE447" s="1" t="str">
        <f>IFERROR(__xludf.DUMMYFUNCTION("""COMPUTED_VALUE"""),"HEART FOUNDATION")</f>
        <v>HEART FOUNDATION</v>
      </c>
      <c r="AF447" s="1" t="str">
        <f>IFERROR(__xludf.DUMMYFUNCTION("""COMPUTED_VALUE"""),"BGY AMAYA 1")</f>
        <v>BGY AMAYA 1</v>
      </c>
      <c r="AG447" s="1" t="str">
        <f>IFERROR(__xludf.DUMMYFUNCTION("""COMPUTED_VALUE"""),"TANZA")</f>
        <v>TANZA</v>
      </c>
      <c r="AH447" s="1"/>
      <c r="AI447" s="1" t="str">
        <f>IFERROR(__xludf.DUMMYFUNCTION("""COMPUTED_VALUE"""),"NOT AOR")</f>
        <v>NOT AOR</v>
      </c>
    </row>
    <row r="448" customHeight="1" spans="1:35">
      <c r="A448" s="3">
        <f>IFERROR(__xludf.DUMMYFUNCTION("""COMPUTED_VALUE"""),46272)</f>
        <v>46272</v>
      </c>
      <c r="B448" s="1" t="str">
        <f>IFERROR(__xludf.DUMMYFUNCTION("""COMPUTED_VALUE"""),"LOURAINE ARMIJO LIMPIADO")</f>
        <v>LOURAINE ARMIJO LIMPIADO</v>
      </c>
      <c r="C448" s="1">
        <f>IFERROR(__xludf.DUMMYFUNCTION("""COMPUTED_VALUE"""),2312427219)</f>
        <v>2312427219</v>
      </c>
      <c r="D448" s="1"/>
      <c r="E448" s="1"/>
      <c r="F448" s="1" t="str">
        <f>IFERROR(__xludf.DUMMYFUNCTION("""COMPUTED_VALUE"""),"CANCELLED")</f>
        <v>CANCELLED</v>
      </c>
      <c r="G448" s="1" t="str">
        <f>IFERROR(__xludf.DUMMYFUNCTION("""COMPUTED_VALUE"""),"CANCELLED")</f>
        <v>CANCELLED</v>
      </c>
      <c r="H448" s="1"/>
      <c r="I448" s="1"/>
      <c r="J448" s="1"/>
      <c r="K448" s="1"/>
      <c r="L448" s="1" t="str">
        <f>IFERROR(__xludf.DUMMYFUNCTION("""COMPUTED_VALUE"""),"CANCELLED")</f>
        <v>CANCELLED</v>
      </c>
      <c r="M448" s="1" t="str">
        <f>IFERROR(__xludf.DUMMYFUNCTION("""COMPUTED_VALUE"""),"CANCELLED - SYSTEM ERROR")</f>
        <v>CANCELLED - SYSTEM ERROR</v>
      </c>
      <c r="N448" s="3"/>
      <c r="O448" s="1" t="str">
        <f>IFERROR(__xludf.DUMMYFUNCTION("""COMPUTED_VALUE"""),"SWITCH FIBER UNLI ALL PLAN 1499")</f>
        <v>SWITCH FIBER UNLI ALL PLAN 1499</v>
      </c>
      <c r="P448" s="1" t="str">
        <f>IFERROR(__xludf.DUMMYFUNCTION("""COMPUTED_VALUE"""),"SWITCH")</f>
        <v>SWITCH</v>
      </c>
      <c r="Q448" s="1" t="str">
        <f>IFERROR(__xludf.DUMMYFUNCTION("""COMPUTED_VALUE"""),"P407048")</f>
        <v>P407048</v>
      </c>
      <c r="R448" s="1" t="str">
        <f>IFERROR(__xludf.DUMMYFUNCTION("""COMPUTED_VALUE"""),"ARMIJO, LOUIE")</f>
        <v>ARMIJO, LOUIE</v>
      </c>
      <c r="S448" s="1" t="str">
        <f>IFERROR(__xludf.DUMMYFUNCTION("""COMPUTED_VALUE"""),"FLA")</f>
        <v>FLA</v>
      </c>
      <c r="T448" s="1" t="str">
        <f>IFERROR(__xludf.DUMMYFUNCTION("""COMPUTED_VALUE"""),"JERIC NAVARRO")</f>
        <v>JERIC NAVARRO</v>
      </c>
      <c r="U448" s="1" t="str">
        <f>IFERROR(__xludf.DUMMYFUNCTION("""COMPUTED_VALUE"""),"JULIE ESPIRITU")</f>
        <v>JULIE ESPIRITU</v>
      </c>
      <c r="V448" s="1" t="str">
        <f>IFERROR(__xludf.DUMMYFUNCTION("""COMPUTED_VALUE"""),"ONLINE/CRANFORD")</f>
        <v>ONLINE/CRANFORD</v>
      </c>
      <c r="W448" s="1" t="str">
        <f>IFERROR(__xludf.DUMMYFUNCTION("""COMPUTED_VALUE"""),"STK REGULAR")</f>
        <v>STK REGULAR</v>
      </c>
      <c r="X448" s="1" t="str">
        <f>IFERROR(__xludf.DUMMYFUNCTION("""COMPUTED_VALUE"""),"ANTI COMPETITOR")</f>
        <v>ANTI COMPETITOR</v>
      </c>
      <c r="Y448" s="1" t="str">
        <f>IFERROR(__xludf.DUMMYFUNCTION("""COMPUTED_VALUE"""),"RS_ONL_CVEU_2026")</f>
        <v>RS_ONL_CVEU_2026</v>
      </c>
      <c r="Z448" s="1" t="str">
        <f>IFERROR(__xludf.DUMMYFUNCTION("""COMPUTED_VALUE"""),"NEW CONNECT")</f>
        <v>NEW CONNECT</v>
      </c>
      <c r="AA448" s="1">
        <f>IFERROR(__xludf.DUMMYFUNCTION("""COMPUTED_VALUE"""),639686174350)</f>
        <v>639686174350</v>
      </c>
      <c r="AB448" s="1">
        <f>IFERROR(__xludf.DUMMYFUNCTION("""COMPUTED_VALUE"""),639481751230)</f>
        <v>639481751230</v>
      </c>
      <c r="AC448" s="1"/>
      <c r="AD448" s="1"/>
      <c r="AE448" s="1"/>
      <c r="AF448" s="1" t="str">
        <f>IFERROR(__xludf.DUMMYFUNCTION("""COMPUTED_VALUE"""),"BGY AMAYA 1")</f>
        <v>BGY AMAYA 1</v>
      </c>
      <c r="AG448" s="1" t="str">
        <f>IFERROR(__xludf.DUMMYFUNCTION("""COMPUTED_VALUE"""),"TANZA")</f>
        <v>TANZA</v>
      </c>
      <c r="AH448" s="1"/>
      <c r="AI448" s="1" t="str">
        <f>IFERROR(__xludf.DUMMYFUNCTION("""COMPUTED_VALUE"""),"NOT AOR")</f>
        <v>NOT AOR</v>
      </c>
    </row>
    <row r="449" customHeight="1" spans="1:35">
      <c r="A449" s="3">
        <f>IFERROR(__xludf.DUMMYFUNCTION("""COMPUTED_VALUE"""),46272)</f>
        <v>46272</v>
      </c>
      <c r="B449" s="1" t="str">
        <f>IFERROR(__xludf.DUMMYFUNCTION("""COMPUTED_VALUE"""),"JERIKA MAE SANTOS ILANO")</f>
        <v>JERIKA MAE SANTOS ILANO</v>
      </c>
      <c r="C449" s="1">
        <f>IFERROR(__xludf.DUMMYFUNCTION("""COMPUTED_VALUE"""),2312429138)</f>
        <v>2312429138</v>
      </c>
      <c r="D449" s="1">
        <f>IFERROR(__xludf.DUMMYFUNCTION("""COMPUTED_VALUE"""),407718054)</f>
        <v>407718054</v>
      </c>
      <c r="E449" s="1">
        <f>IFERROR(__xludf.DUMMYFUNCTION("""COMPUTED_VALUE"""),470454015004)</f>
        <v>470454015004</v>
      </c>
      <c r="F449" s="1" t="str">
        <f>IFERROR(__xludf.DUMMYFUNCTION("""COMPUTED_VALUE"""),"CANCELLED")</f>
        <v>CANCELLED</v>
      </c>
      <c r="G449" s="1" t="str">
        <f>IFERROR(__xludf.DUMMYFUNCTION("""COMPUTED_VALUE"""),"CANCEL APPLICATION AS PER SUBS MAY EMERGENCY PO SILA KAYA HINDI MUNA DAW PO ITUTULOY YUNG APPLICATION")</f>
        <v>CANCEL APPLICATION AS PER SUBS MAY EMERGENCY PO SILA KAYA HINDI MUNA DAW PO ITUTULOY YUNG APPLICATION</v>
      </c>
      <c r="H449" s="1" t="str">
        <f>IFERROR(__xludf.DUMMYFUNCTION("""COMPUTED_VALUE"""),"PAID THRU GCASH 236610658 OCT 1")</f>
        <v>PAID THRU GCASH 236610658 OCT 1</v>
      </c>
      <c r="I449" s="1" t="str">
        <f>IFERROR(__xludf.DUMMYFUNCTION("""COMPUTED_VALUE"""),"WITH 1 AMSF")</f>
        <v>WITH 1 AMSF</v>
      </c>
      <c r="J449" s="1"/>
      <c r="K449" s="1" t="str">
        <f>IFERROR(__xludf.DUMMYFUNCTION("""COMPUTED_VALUE"""),"CANCELED")</f>
        <v>CANCELED</v>
      </c>
      <c r="L449" s="1" t="str">
        <f>IFERROR(__xludf.DUMMYFUNCTION("""COMPUTED_VALUE"""),"CANCELLED")</f>
        <v>CANCELLED</v>
      </c>
      <c r="M449" s="1" t="str">
        <f>IFERROR(__xludf.DUMMYFUNCTION("""COMPUTED_VALUE"""),"RPR- SUBS CANCEL REQUEST")</f>
        <v>RPR- SUBS CANCEL REQUEST</v>
      </c>
      <c r="N449" s="3"/>
      <c r="O449" s="1" t="str">
        <f>IFERROR(__xludf.DUMMYFUNCTION("""COMPUTED_VALUE"""),"FIBR PLAN 1299")</f>
        <v>FIBR PLAN 1299</v>
      </c>
      <c r="P449" s="1" t="str">
        <f>IFERROR(__xludf.DUMMYFUNCTION("""COMPUTED_VALUE"""),"LOWPLAN")</f>
        <v>LOWPLAN</v>
      </c>
      <c r="Q449" s="1" t="str">
        <f>IFERROR(__xludf.DUMMYFUNCTION("""COMPUTED_VALUE"""),"P407047")</f>
        <v>P407047</v>
      </c>
      <c r="R449" s="1" t="str">
        <f>IFERROR(__xludf.DUMMYFUNCTION("""COMPUTED_VALUE"""),"FRANCISCO, ROSELYN")</f>
        <v>FRANCISCO, ROSELYN</v>
      </c>
      <c r="S449" s="1" t="str">
        <f>IFERROR(__xludf.DUMMYFUNCTION("""COMPUTED_VALUE"""),"ORGANIC")</f>
        <v>ORGANIC</v>
      </c>
      <c r="T449" s="1" t="str">
        <f>IFERROR(__xludf.DUMMYFUNCTION("""COMPUTED_VALUE"""),"LEA REMOLLO")</f>
        <v>LEA REMOLLO</v>
      </c>
      <c r="U449" s="1" t="str">
        <f>IFERROR(__xludf.DUMMYFUNCTION("""COMPUTED_VALUE"""),"JB SALIOA")</f>
        <v>JB SALIOA</v>
      </c>
      <c r="V449" s="1" t="str">
        <f>IFERROR(__xludf.DUMMYFUNCTION("""COMPUTED_VALUE"""),"BK HSTK")</f>
        <v>BK HSTK</v>
      </c>
      <c r="W449" s="1" t="str">
        <f>IFERROR(__xludf.DUMMYFUNCTION("""COMPUTED_VALUE"""),"BK HSTK")</f>
        <v>BK HSTK</v>
      </c>
      <c r="X449" s="1" t="str">
        <f>IFERROR(__xludf.DUMMYFUNCTION("""COMPUTED_VALUE"""),"REGULAR")</f>
        <v>REGULAR</v>
      </c>
      <c r="Y449" s="1" t="str">
        <f>IFERROR(__xludf.DUMMYFUNCTION("""COMPUTED_VALUE"""),"BK_CVEU_260815")</f>
        <v>BK_CVEU_260815</v>
      </c>
      <c r="Z449" s="1" t="str">
        <f>IFERROR(__xludf.DUMMYFUNCTION("""COMPUTED_VALUE"""),"NEW CONNECT")</f>
        <v>NEW CONNECT</v>
      </c>
      <c r="AA449" s="1">
        <f>IFERROR(__xludf.DUMMYFUNCTION("""COMPUTED_VALUE"""),639322474953)</f>
        <v>639322474953</v>
      </c>
      <c r="AB449" s="1"/>
      <c r="AC449" s="1">
        <f>IFERROR(__xludf.DUMMYFUNCTION("""COMPUTED_VALUE"""),1968)</f>
        <v>1968</v>
      </c>
      <c r="AD449" s="1" t="str">
        <f>IFERROR(__xludf.DUMMYFUNCTION("""COMPUTED_VALUE"""),"MARAHAN")</f>
        <v>MARAHAN</v>
      </c>
      <c r="AE449" s="1" t="str">
        <f>IFERROR(__xludf.DUMMYFUNCTION("""COMPUTED_VALUE"""),"DIAMOND FARMLAND")</f>
        <v>DIAMOND FARMLAND</v>
      </c>
      <c r="AF449" s="1" t="str">
        <f>IFERROR(__xludf.DUMMYFUNCTION("""COMPUTED_VALUE"""),"BGY MARAHAN 1")</f>
        <v>BGY MARAHAN 1</v>
      </c>
      <c r="AG449" s="1" t="str">
        <f>IFERROR(__xludf.DUMMYFUNCTION("""COMPUTED_VALUE"""),"ALFONSO")</f>
        <v>ALFONSO</v>
      </c>
      <c r="AH449" s="1" t="str">
        <f>IFERROR(__xludf.DUMMYFUNCTION("""COMPUTED_VALUE"""),"BEFORE DUMPSITE")</f>
        <v>BEFORE DUMPSITE</v>
      </c>
      <c r="AI449" s="1" t="str">
        <f>IFERROR(__xludf.DUMMYFUNCTION("""COMPUTED_VALUE"""),"CLUSTER 12")</f>
        <v>CLUSTER 12</v>
      </c>
    </row>
    <row r="450" customHeight="1" spans="1:35">
      <c r="A450" s="3">
        <f>IFERROR(__xludf.DUMMYFUNCTION("""COMPUTED_VALUE"""),46272)</f>
        <v>46272</v>
      </c>
      <c r="B450" s="1" t="str">
        <f>IFERROR(__xludf.DUMMYFUNCTION("""COMPUTED_VALUE"""),"SWEETILY LINDE DALIGDIG")</f>
        <v>SWEETILY LINDE DALIGDIG</v>
      </c>
      <c r="C450" s="1">
        <f>IFERROR(__xludf.DUMMYFUNCTION("""COMPUTED_VALUE"""),2312430953)</f>
        <v>2312430953</v>
      </c>
      <c r="D450" s="1"/>
      <c r="E450" s="1"/>
      <c r="F450" s="1" t="str">
        <f>IFERROR(__xludf.DUMMYFUNCTION("""COMPUTED_VALUE"""),"CANCELLED")</f>
        <v>CANCELLED</v>
      </c>
      <c r="G450" s="1" t="str">
        <f>IFERROR(__xludf.DUMMYFUNCTION("""COMPUTED_VALUE"""),"(OTHERS) RETURN TO SALE| WITH BLACKLISTED ACC#0264916968 SAME NAME/DIFF ADD | OB Php7,766.74 FOR SETTLEMENT| DONE VALIDATION | CORRECT ENCODED INFO IN CSP | TU SCORING - FF - 1 (NTC) WITH 1 AMSF | NO EXISTING ACTIVE ACCT AND/OR PENDING|FOUND WITH CANCELLE"&amp;"D ACC#0261654369 SAME NAME/DIFF ADD (NO CALLOUT REQUIRED DUE TO CATCH UP STRAT) ")</f>
        <v>(OTHERS) RETURN TO SALE| WITH BLACKLISTED ACC#0264916968 SAME NAME/DIFF ADD | OB Php7,766.74 FOR SETTLEMENT| DONE VALIDATION | CORRECT ENCODED INFO IN CSP | TU SCORING - FF - 1 (NTC) WITH 1 AMSF | NO EXISTING ACTIVE ACCT AND/OR PENDING|FOUND WITH CANCELLED ACC#0261654369 SAME NAME/DIFF ADD (NO CALLOUT REQUIRED DUE TO CATCH UP STRAT) </v>
      </c>
      <c r="H450" s="1"/>
      <c r="I450" s="1"/>
      <c r="J450" s="1"/>
      <c r="K450" s="1"/>
      <c r="L450" s="1" t="str">
        <f>IFERROR(__xludf.DUMMYFUNCTION("""COMPUTED_VALUE"""),"CANCELLED - WITH OB")</f>
        <v>CANCELLED - WITH OB</v>
      </c>
      <c r="M450" s="1" t="str">
        <f>IFERROR(__xludf.DUMMYFUNCTION("""COMPUTED_VALUE"""),"CANCELLED - WITH OB")</f>
        <v>CANCELLED - WITH OB</v>
      </c>
      <c r="N450" s="3"/>
      <c r="O450" s="1" t="str">
        <f>IFERROR(__xludf.DUMMYFUNCTION("""COMPUTED_VALUE"""),"FIBR UNLI ALL PLAN 999")</f>
        <v>FIBR UNLI ALL PLAN 999</v>
      </c>
      <c r="P450" s="1" t="str">
        <f>IFERROR(__xludf.DUMMYFUNCTION("""COMPUTED_VALUE"""),"LOWPLAN")</f>
        <v>LOWPLAN</v>
      </c>
      <c r="Q450" s="1" t="str">
        <f>IFERROR(__xludf.DUMMYFUNCTION("""COMPUTED_VALUE"""),"P407050")</f>
        <v>P407050</v>
      </c>
      <c r="R450" s="1" t="str">
        <f>IFERROR(__xludf.DUMMYFUNCTION("""COMPUTED_VALUE"""),"MAGDARAOG, KENNETH")</f>
        <v>MAGDARAOG, KENNETH</v>
      </c>
      <c r="S450" s="1" t="str">
        <f>IFERROR(__xludf.DUMMYFUNCTION("""COMPUTED_VALUE"""),"ORGANIC")</f>
        <v>ORGANIC</v>
      </c>
      <c r="T450" s="1" t="str">
        <f>IFERROR(__xludf.DUMMYFUNCTION("""COMPUTED_VALUE"""),"LEA REMOLLO")</f>
        <v>LEA REMOLLO</v>
      </c>
      <c r="U450" s="1" t="str">
        <f>IFERROR(__xludf.DUMMYFUNCTION("""COMPUTED_VALUE"""),"JB SALIOA")</f>
        <v>JB SALIOA</v>
      </c>
      <c r="V450" s="1" t="str">
        <f>IFERROR(__xludf.DUMMYFUNCTION("""COMPUTED_VALUE"""),"BK REGULAR")</f>
        <v>BK REGULAR</v>
      </c>
      <c r="W450" s="1" t="str">
        <f>IFERROR(__xludf.DUMMYFUNCTION("""COMPUTED_VALUE"""),"STK REGULAR")</f>
        <v>STK REGULAR</v>
      </c>
      <c r="X450" s="1" t="str">
        <f>IFERROR(__xludf.DUMMYFUNCTION("""COMPUTED_VALUE"""),"REGULAR")</f>
        <v>REGULAR</v>
      </c>
      <c r="Y450" s="1" t="str">
        <f>IFERROR(__xludf.DUMMYFUNCTION("""COMPUTED_VALUE"""),"BK_CVEU_260818")</f>
        <v>BK_CVEU_260818</v>
      </c>
      <c r="Z450" s="1" t="str">
        <f>IFERROR(__xludf.DUMMYFUNCTION("""COMPUTED_VALUE"""),"NEW CONNECT")</f>
        <v>NEW CONNECT</v>
      </c>
      <c r="AA450" s="1">
        <f>IFERROR(__xludf.DUMMYFUNCTION("""COMPUTED_VALUE"""),639931996938)</f>
        <v>639931996938</v>
      </c>
      <c r="AB450" s="1"/>
      <c r="AC450" s="1">
        <f>IFERROR(__xludf.DUMMYFUNCTION("""COMPUTED_VALUE"""),51)</f>
        <v>51</v>
      </c>
      <c r="AD450" s="1" t="str">
        <f>IFERROR(__xludf.DUMMYFUNCTION("""COMPUTED_VALUE"""),"NICOLASA VIRATA")</f>
        <v>NICOLASA VIRATA</v>
      </c>
      <c r="AE450" s="1"/>
      <c r="AF450" s="1" t="str">
        <f>IFERROR(__xludf.DUMMYFUNCTION("""COMPUTED_VALUE"""),"BGY NICOLASA VIRATA")</f>
        <v>BGY NICOLASA VIRATA</v>
      </c>
      <c r="AG450" s="1" t="str">
        <f>IFERROR(__xludf.DUMMYFUNCTION("""COMPUTED_VALUE"""),"GEN MARIANO ALVAREZ")</f>
        <v>GEN MARIANO ALVAREZ</v>
      </c>
      <c r="AH450" s="1" t="str">
        <f>IFERROR(__xludf.DUMMYFUNCTION("""COMPUTED_VALUE"""),"TGP PHARMACY")</f>
        <v>TGP PHARMACY</v>
      </c>
      <c r="AI450" s="1" t="str">
        <f>IFERROR(__xludf.DUMMYFUNCTION("""COMPUTED_VALUE"""),"CLUSTER 11")</f>
        <v>CLUSTER 11</v>
      </c>
    </row>
    <row r="451" customHeight="1" spans="1:35">
      <c r="A451" s="3">
        <f>IFERROR(__xludf.DUMMYFUNCTION("""COMPUTED_VALUE"""),46272)</f>
        <v>46272</v>
      </c>
      <c r="B451" s="1" t="str">
        <f>IFERROR(__xludf.DUMMYFUNCTION("""COMPUTED_VALUE"""),"DIVINE APRIL PRIOL GEREZ")</f>
        <v>DIVINE APRIL PRIOL GEREZ</v>
      </c>
      <c r="C451" s="1">
        <f>IFERROR(__xludf.DUMMYFUNCTION("""COMPUTED_VALUE"""),2312432375)</f>
        <v>2312432375</v>
      </c>
      <c r="D451" s="1"/>
      <c r="E451" s="1"/>
      <c r="F451" s="1" t="str">
        <f>IFERROR(__xludf.DUMMYFUNCTION("""COMPUTED_VALUE"""),"REENCODED")</f>
        <v>REENCODED</v>
      </c>
      <c r="G451" s="1" t="str">
        <f>IFERROR(__xludf.DUMMYFUNCTION("""COMPUTED_VALUE"""),"(P-OTHERS) &amp;#8203;DISAPPROVED | INCORRECT ENCODED ADDRESS IN CSP (PHASE 2 BAUTISTA PROPERTY) VS CAF (BLK 94 LOT EXC BGY SAMPALOC 4) | Already scanned national ID. cleared from blacklist hit, no existing active acct and/ or pending application | Done Valid"&amp;"ation with submitted complete docs| NO 1 AMSF requirements (GG - 1 (NTC))")</f>
        <v>(P-OTHERS) &amp;#8203;DISAPPROVED | INCORRECT ENCODED ADDRESS IN CSP (PHASE 2 BAUTISTA PROPERTY) VS CAF (BLK 94 LOT EXC BGY SAMPALOC 4) | Already scanned national ID. cleared from blacklist hit, no existing active acct and/ or pending application | Done Validation with submitted complete docs| NO 1 AMSF requirements (GG - 1 (NTC))</v>
      </c>
      <c r="H451" s="1"/>
      <c r="I451" s="1"/>
      <c r="J451" s="1"/>
      <c r="K451" s="1"/>
      <c r="L451" s="1" t="str">
        <f>IFERROR(__xludf.DUMMYFUNCTION("""COMPUTED_VALUE"""),"REENCODED")</f>
        <v>REENCODED</v>
      </c>
      <c r="M451" s="1" t="str">
        <f>IFERROR(__xludf.DUMMYFUNCTION("""COMPUTED_VALUE"""),"REENCODED")</f>
        <v>REENCODED</v>
      </c>
      <c r="N451" s="3"/>
      <c r="O451" s="1" t="str">
        <f>IFERROR(__xludf.DUMMYFUNCTION("""COMPUTED_VALUE"""),"FIBR UNLI ALL PLAN 999")</f>
        <v>FIBR UNLI ALL PLAN 999</v>
      </c>
      <c r="P451" s="1" t="str">
        <f>IFERROR(__xludf.DUMMYFUNCTION("""COMPUTED_VALUE"""),"LOWPLAN")</f>
        <v>LOWPLAN</v>
      </c>
      <c r="Q451" s="1" t="str">
        <f>IFERROR(__xludf.DUMMYFUNCTION("""COMPUTED_VALUE"""),"P407050")</f>
        <v>P407050</v>
      </c>
      <c r="R451" s="1" t="str">
        <f>IFERROR(__xludf.DUMMYFUNCTION("""COMPUTED_VALUE"""),"TAMAYO, MARY ROSE ZAIRA")</f>
        <v>TAMAYO, MARY ROSE ZAIRA</v>
      </c>
      <c r="S451" s="1" t="str">
        <f>IFERROR(__xludf.DUMMYFUNCTION("""COMPUTED_VALUE"""),"ORGANIC")</f>
        <v>ORGANIC</v>
      </c>
      <c r="T451" s="1" t="str">
        <f>IFERROR(__xludf.DUMMYFUNCTION("""COMPUTED_VALUE"""),"LEA REMOLLO")</f>
        <v>LEA REMOLLO</v>
      </c>
      <c r="U451" s="1" t="str">
        <f>IFERROR(__xludf.DUMMYFUNCTION("""COMPUTED_VALUE"""),"JB SALIOA")</f>
        <v>JB SALIOA</v>
      </c>
      <c r="V451" s="1" t="str">
        <f>IFERROR(__xludf.DUMMYFUNCTION("""COMPUTED_VALUE"""),"ONLINE/CRANFORD")</f>
        <v>ONLINE/CRANFORD</v>
      </c>
      <c r="W451" s="1" t="str">
        <f>IFERROR(__xludf.DUMMYFUNCTION("""COMPUTED_VALUE"""),"STK REGULAR")</f>
        <v>STK REGULAR</v>
      </c>
      <c r="X451" s="1" t="str">
        <f>IFERROR(__xludf.DUMMYFUNCTION("""COMPUTED_VALUE"""),"REGULAR")</f>
        <v>REGULAR</v>
      </c>
      <c r="Y451" s="1" t="str">
        <f>IFERROR(__xludf.DUMMYFUNCTION("""COMPUTED_VALUE"""),"RS_ONL_CVEU_2026")</f>
        <v>RS_ONL_CVEU_2026</v>
      </c>
      <c r="Z451" s="1" t="str">
        <f>IFERROR(__xludf.DUMMYFUNCTION("""COMPUTED_VALUE"""),"NEW CONNECT")</f>
        <v>NEW CONNECT</v>
      </c>
      <c r="AA451" s="1">
        <f>IFERROR(__xludf.DUMMYFUNCTION("""COMPUTED_VALUE"""),639452693890)</f>
        <v>639452693890</v>
      </c>
      <c r="AB451" s="1">
        <f>IFERROR(__xludf.DUMMYFUNCTION("""COMPUTED_VALUE"""),639567188062)</f>
        <v>639567188062</v>
      </c>
      <c r="AC451" s="1"/>
      <c r="AD451" s="1" t="str">
        <f>IFERROR(__xludf.DUMMYFUNCTION("""COMPUTED_VALUE"""),"PHASE 2")</f>
        <v>PHASE 2</v>
      </c>
      <c r="AE451" s="1" t="str">
        <f>IFERROR(__xludf.DUMMYFUNCTION("""COMPUTED_VALUE"""),"BAUTISTA PROPERTY")</f>
        <v>BAUTISTA PROPERTY</v>
      </c>
      <c r="AF451" s="1" t="str">
        <f>IFERROR(__xludf.DUMMYFUNCTION("""COMPUTED_VALUE"""),"BGY SAMPALOC 4")</f>
        <v>BGY SAMPALOC 4</v>
      </c>
      <c r="AG451" s="1" t="str">
        <f>IFERROR(__xludf.DUMMYFUNCTION("""COMPUTED_VALUE"""),"DASMARINAS")</f>
        <v>DASMARINAS</v>
      </c>
      <c r="AH451" s="1" t="str">
        <f>IFERROR(__xludf.DUMMYFUNCTION("""COMPUTED_VALUE"""),"PHASE 2")</f>
        <v>PHASE 2</v>
      </c>
      <c r="AI451" s="1" t="str">
        <f>IFERROR(__xludf.DUMMYFUNCTION("""COMPUTED_VALUE"""),"NOT AOR")</f>
        <v>NOT AOR</v>
      </c>
    </row>
    <row r="452" customHeight="1" spans="1:35">
      <c r="A452" s="3">
        <f>IFERROR(__xludf.DUMMYFUNCTION("""COMPUTED_VALUE"""),46272)</f>
        <v>46272</v>
      </c>
      <c r="B452" s="1" t="str">
        <f>IFERROR(__xludf.DUMMYFUNCTION("""COMPUTED_VALUE"""),"JOSE RUTCHEL FERNANDO DANO")</f>
        <v>JOSE RUTCHEL FERNANDO DANO</v>
      </c>
      <c r="C452" s="1">
        <f>IFERROR(__xludf.DUMMYFUNCTION("""COMPUTED_VALUE"""),2312432686)</f>
        <v>2312432686</v>
      </c>
      <c r="D452" s="1">
        <f>IFERROR(__xludf.DUMMYFUNCTION("""COMPUTED_VALUE"""),407723155)</f>
        <v>407723155</v>
      </c>
      <c r="E452" s="1">
        <f>IFERROR(__xludf.DUMMYFUNCTION("""COMPUTED_VALUE"""),470456359004)</f>
        <v>470456359004</v>
      </c>
      <c r="F452" s="1" t="str">
        <f>IFERROR(__xludf.DUMMYFUNCTION("""COMPUTED_VALUE"""),"CANCELLED")</f>
        <v>CANCELLED</v>
      </c>
      <c r="G452" s="1" t="str">
        <f>IFERROR(__xludf.DUMMYFUNCTION("""COMPUTED_VALUE"""),"RPR VISITED REMARKS   FULL NAP  SILLP102NP2 full SILLP102NP1 full SILLP102NP3 full TALK JOSE RUTCHEL FERNANDO DANO 09104275435 09393527052")</f>
        <v>RPR VISITED REMARKS   FULL NAP  SILLP102NP2 full SILLP102NP1 full SILLP102NP3 full TALK JOSE RUTCHEL FERNANDO DANO 09104275435 09393527052</v>
      </c>
      <c r="H452" s="1"/>
      <c r="I452" s="1"/>
      <c r="J452" s="1"/>
      <c r="K452" s="1" t="str">
        <f>IFERROR(__xludf.DUMMYFUNCTION("""COMPUTED_VALUE"""),"CANCELED")</f>
        <v>CANCELED</v>
      </c>
      <c r="L452" s="1" t="str">
        <f>IFERROR(__xludf.DUMMYFUNCTION("""COMPUTED_VALUE"""),"CANCELLED")</f>
        <v>CANCELLED</v>
      </c>
      <c r="M452" s="1" t="str">
        <f>IFERROR(__xludf.DUMMYFUNCTION("""COMPUTED_VALUE"""),"CANCELLED - RPR")</f>
        <v>CANCELLED - RPR</v>
      </c>
      <c r="N452" s="3"/>
      <c r="O452" s="1" t="str">
        <f>IFERROR(__xludf.DUMMYFUNCTION("""COMPUTED_VALUE"""),"FIBR UNLI ALL PLAN 999")</f>
        <v>FIBR UNLI ALL PLAN 999</v>
      </c>
      <c r="P452" s="1" t="str">
        <f>IFERROR(__xludf.DUMMYFUNCTION("""COMPUTED_VALUE"""),"LOWPLAN")</f>
        <v>LOWPLAN</v>
      </c>
      <c r="Q452" s="1" t="str">
        <f>IFERROR(__xludf.DUMMYFUNCTION("""COMPUTED_VALUE"""),"P407045")</f>
        <v>P407045</v>
      </c>
      <c r="R452" s="1" t="str">
        <f>IFERROR(__xludf.DUMMYFUNCTION("""COMPUTED_VALUE"""),"REMOLLO, LEA")</f>
        <v>REMOLLO, LEA</v>
      </c>
      <c r="S452" s="1" t="str">
        <f>IFERROR(__xludf.DUMMYFUNCTION("""COMPUTED_VALUE"""),"FLA")</f>
        <v>FLA</v>
      </c>
      <c r="T452" s="1" t="str">
        <f>IFERROR(__xludf.DUMMYFUNCTION("""COMPUTED_VALUE"""),"JERIC NAVARRO")</f>
        <v>JERIC NAVARRO</v>
      </c>
      <c r="U452" s="1" t="str">
        <f>IFERROR(__xludf.DUMMYFUNCTION("""COMPUTED_VALUE"""),"JB SALIOA")</f>
        <v>JB SALIOA</v>
      </c>
      <c r="V452" s="1" t="str">
        <f>IFERROR(__xludf.DUMMYFUNCTION("""COMPUTED_VALUE"""),"BK REGULAR")</f>
        <v>BK REGULAR</v>
      </c>
      <c r="W452" s="1" t="str">
        <f>IFERROR(__xludf.DUMMYFUNCTION("""COMPUTED_VALUE"""),"STK REGULAR")</f>
        <v>STK REGULAR</v>
      </c>
      <c r="X452" s="1" t="str">
        <f>IFERROR(__xludf.DUMMYFUNCTION("""COMPUTED_VALUE"""),"REGULAR")</f>
        <v>REGULAR</v>
      </c>
      <c r="Y452" s="1" t="str">
        <f>IFERROR(__xludf.DUMMYFUNCTION("""COMPUTED_VALUE"""),"BK_CVEU_260820")</f>
        <v>BK_CVEU_260820</v>
      </c>
      <c r="Z452" s="1" t="str">
        <f>IFERROR(__xludf.DUMMYFUNCTION("""COMPUTED_VALUE"""),"NEW CONNECT")</f>
        <v>NEW CONNECT</v>
      </c>
      <c r="AA452" s="1">
        <f>IFERROR(__xludf.DUMMYFUNCTION("""COMPUTED_VALUE"""),639104275435)</f>
        <v>639104275435</v>
      </c>
      <c r="AB452" s="1">
        <f>IFERROR(__xludf.DUMMYFUNCTION("""COMPUTED_VALUE"""),639393527052)</f>
        <v>639393527052</v>
      </c>
      <c r="AC452" s="1">
        <f>IFERROR(__xludf.DUMMYFUNCTION("""COMPUTED_VALUE"""),25)</f>
        <v>25</v>
      </c>
      <c r="AD452" s="1" t="str">
        <f>IFERROR(__xludf.DUMMYFUNCTION("""COMPUTED_VALUE"""),"PUROK 1")</f>
        <v>PUROK 1</v>
      </c>
      <c r="AE452" s="1"/>
      <c r="AF452" s="1" t="str">
        <f>IFERROR(__xludf.DUMMYFUNCTION("""COMPUTED_VALUE"""),"BGY PUTING KAHOY")</f>
        <v>BGY PUTING KAHOY</v>
      </c>
      <c r="AG452" s="1" t="str">
        <f>IFERROR(__xludf.DUMMYFUNCTION("""COMPUTED_VALUE"""),"SILANG")</f>
        <v>SILANG</v>
      </c>
      <c r="AH452" s="1" t="str">
        <f>IFERROR(__xludf.DUMMYFUNCTION("""COMPUTED_VALUE"""),"-")</f>
        <v>-</v>
      </c>
      <c r="AI452" s="1" t="str">
        <f>IFERROR(__xludf.DUMMYFUNCTION("""COMPUTED_VALUE"""),"CLUSTER 11")</f>
        <v>CLUSTER 11</v>
      </c>
    </row>
    <row r="453" customHeight="1" spans="1:35">
      <c r="A453" s="3">
        <f>IFERROR(__xludf.DUMMYFUNCTION("""COMPUTED_VALUE"""),46272)</f>
        <v>46272</v>
      </c>
      <c r="B453" s="1" t="str">
        <f>IFERROR(__xludf.DUMMYFUNCTION("""COMPUTED_VALUE"""),"JIRAH MAE MAG-ARO TERUEL")</f>
        <v>JIRAH MAE MAG-ARO TERUEL</v>
      </c>
      <c r="C453" s="1">
        <f>IFERROR(__xludf.DUMMYFUNCTION("""COMPUTED_VALUE"""),2312433274)</f>
        <v>2312433274</v>
      </c>
      <c r="D453" s="1">
        <f>IFERROR(__xludf.DUMMYFUNCTION("""COMPUTED_VALUE"""),407725638)</f>
        <v>407725638</v>
      </c>
      <c r="E453" s="1">
        <f>IFERROR(__xludf.DUMMYFUNCTION("""COMPUTED_VALUE"""),470458073004)</f>
        <v>470458073004</v>
      </c>
      <c r="F453" s="1" t="str">
        <f>IFERROR(__xludf.DUMMYFUNCTION("""COMPUTED_VALUE"""),"CLOSED")</f>
        <v>CLOSED</v>
      </c>
      <c r="G453" s="1" t="str">
        <f>IFERROR(__xludf.DUMMYFUNCTION("""COMPUTED_VALUE"""),"CLOSED")</f>
        <v>CLOSED</v>
      </c>
      <c r="H453" s="1" t="str">
        <f>IFERROR(__xludf.DUMMYFUNCTION("""COMPUTED_VALUE"""),"PAID VIA GCASH - SEPT 9 - REF- 767396412")</f>
        <v>PAID VIA GCASH - SEPT 9 - REF- 767396412</v>
      </c>
      <c r="I453" s="1" t="str">
        <f>IFERROR(__xludf.DUMMYFUNCTION("""COMPUTED_VALUE"""),"WITH 1 AMSF")</f>
        <v>WITH 1 AMSF</v>
      </c>
      <c r="J453" s="1"/>
      <c r="K453" s="1" t="str">
        <f>IFERROR(__xludf.DUMMYFUNCTION("""COMPUTED_VALUE"""),"COMPLETED")</f>
        <v>COMPLETED</v>
      </c>
      <c r="L453" s="1" t="str">
        <f>IFERROR(__xludf.DUMMYFUNCTION("""COMPUTED_VALUE"""),"POSTED")</f>
        <v>POSTED</v>
      </c>
      <c r="M453" s="1" t="str">
        <f>IFERROR(__xludf.DUMMYFUNCTION("""COMPUTED_VALUE"""),"POSTED")</f>
        <v>POSTED</v>
      </c>
      <c r="N453" s="3">
        <f>IFERROR(__xludf.DUMMYFUNCTION("""COMPUTED_VALUE"""),46275)</f>
        <v>46275</v>
      </c>
      <c r="O453" s="1" t="str">
        <f>IFERROR(__xludf.DUMMYFUNCTION("""COMPUTED_VALUE"""),"FIBR UNLI ALL PLAN 999")</f>
        <v>FIBR UNLI ALL PLAN 999</v>
      </c>
      <c r="P453" s="1" t="str">
        <f>IFERROR(__xludf.DUMMYFUNCTION("""COMPUTED_VALUE"""),"LOWPLAN")</f>
        <v>LOWPLAN</v>
      </c>
      <c r="Q453" s="1" t="str">
        <f>IFERROR(__xludf.DUMMYFUNCTION("""COMPUTED_VALUE"""),"P407045")</f>
        <v>P407045</v>
      </c>
      <c r="R453" s="1" t="str">
        <f>IFERROR(__xludf.DUMMYFUNCTION("""COMPUTED_VALUE"""),"GABAY, MANUEL")</f>
        <v>GABAY, MANUEL</v>
      </c>
      <c r="S453" s="1" t="str">
        <f>IFERROR(__xludf.DUMMYFUNCTION("""COMPUTED_VALUE"""),"FLA")</f>
        <v>FLA</v>
      </c>
      <c r="T453" s="1" t="str">
        <f>IFERROR(__xludf.DUMMYFUNCTION("""COMPUTED_VALUE"""),"JERIC NAVARRO")</f>
        <v>JERIC NAVARRO</v>
      </c>
      <c r="U453" s="1" t="str">
        <f>IFERROR(__xludf.DUMMYFUNCTION("""COMPUTED_VALUE"""),"JB SALIOA")</f>
        <v>JB SALIOA</v>
      </c>
      <c r="V453" s="1" t="str">
        <f>IFERROR(__xludf.DUMMYFUNCTION("""COMPUTED_VALUE"""),"BK HSTK")</f>
        <v>BK HSTK</v>
      </c>
      <c r="W453" s="1" t="str">
        <f>IFERROR(__xludf.DUMMYFUNCTION("""COMPUTED_VALUE"""),"BK HSTK")</f>
        <v>BK HSTK</v>
      </c>
      <c r="X453" s="1" t="str">
        <f>IFERROR(__xludf.DUMMYFUNCTION("""COMPUTED_VALUE"""),"REGULAR")</f>
        <v>REGULAR</v>
      </c>
      <c r="Y453" s="1" t="str">
        <f>IFERROR(__xludf.DUMMYFUNCTION("""COMPUTED_VALUE"""),"BK_CVEU_260818")</f>
        <v>BK_CVEU_260818</v>
      </c>
      <c r="Z453" s="1" t="str">
        <f>IFERROR(__xludf.DUMMYFUNCTION("""COMPUTED_VALUE"""),"NEW CONNECT")</f>
        <v>NEW CONNECT</v>
      </c>
      <c r="AA453" s="1">
        <f>IFERROR(__xludf.DUMMYFUNCTION("""COMPUTED_VALUE"""),639763992519)</f>
        <v>639763992519</v>
      </c>
      <c r="AB453" s="1"/>
      <c r="AC453" s="1"/>
      <c r="AD453" s="1" t="str">
        <f>IFERROR(__xludf.DUMMYFUNCTION("""COMPUTED_VALUE"""),"FRANCISCO REYES")</f>
        <v>FRANCISCO REYES</v>
      </c>
      <c r="AE453" s="1"/>
      <c r="AF453" s="1" t="str">
        <f>IFERROR(__xludf.DUMMYFUNCTION("""COMPUTED_VALUE"""),"BGY FRANCISCO REYES")</f>
        <v>BGY FRANCISCO REYES</v>
      </c>
      <c r="AG453" s="1" t="str">
        <f>IFERROR(__xludf.DUMMYFUNCTION("""COMPUTED_VALUE"""),"GEN MARIANO ALVAREZ")</f>
        <v>GEN MARIANO ALVAREZ</v>
      </c>
      <c r="AH453" s="1" t="str">
        <f>IFERROR(__xludf.DUMMYFUNCTION("""COMPUTED_VALUE"""),"-")</f>
        <v>-</v>
      </c>
      <c r="AI453" s="1" t="str">
        <f>IFERROR(__xludf.DUMMYFUNCTION("""COMPUTED_VALUE"""),"CLUSTER 11")</f>
        <v>CLUSTER 11</v>
      </c>
    </row>
    <row r="454" customHeight="1" spans="1:35">
      <c r="A454" s="3">
        <f>IFERROR(__xludf.DUMMYFUNCTION("""COMPUTED_VALUE"""),46272)</f>
        <v>46272</v>
      </c>
      <c r="B454" s="1" t="str">
        <f>IFERROR(__xludf.DUMMYFUNCTION("""COMPUTED_VALUE"""),"HESUSA MAE BAQUERFO OCAMPO")</f>
        <v>HESUSA MAE BAQUERFO OCAMPO</v>
      </c>
      <c r="C454" s="1">
        <f>IFERROR(__xludf.DUMMYFUNCTION("""COMPUTED_VALUE"""),2312433598)</f>
        <v>2312433598</v>
      </c>
      <c r="D454" s="1">
        <f>IFERROR(__xludf.DUMMYFUNCTION("""COMPUTED_VALUE"""),407726146)</f>
        <v>407726146</v>
      </c>
      <c r="E454" s="1">
        <f>IFERROR(__xludf.DUMMYFUNCTION("""COMPUTED_VALUE"""),470457912004)</f>
        <v>470457912004</v>
      </c>
      <c r="F454" s="1" t="str">
        <f>IFERROR(__xludf.DUMMYFUNCTION("""COMPUTED_VALUE"""),"CLOSED")</f>
        <v>CLOSED</v>
      </c>
      <c r="G454" s="1" t="str">
        <f>IFERROR(__xludf.DUMMYFUNCTION("""COMPUTED_VALUE"""),"CLOSED")</f>
        <v>CLOSED</v>
      </c>
      <c r="H454" s="1" t="str">
        <f>IFERROR(__xludf.DUMMYFUNCTION("""COMPUTED_VALUE"""),"PAID VIA GCASH REF 056870874 SEP 7")</f>
        <v>PAID VIA GCASH REF 056870874 SEP 7</v>
      </c>
      <c r="I454" s="1" t="str">
        <f>IFERROR(__xludf.DUMMYFUNCTION("""COMPUTED_VALUE"""),"WITH 1 AMSF")</f>
        <v>WITH 1 AMSF</v>
      </c>
      <c r="J454" s="1"/>
      <c r="K454" s="1" t="str">
        <f>IFERROR(__xludf.DUMMYFUNCTION("""COMPUTED_VALUE"""),"COMPLETED")</f>
        <v>COMPLETED</v>
      </c>
      <c r="L454" s="1" t="str">
        <f>IFERROR(__xludf.DUMMYFUNCTION("""COMPUTED_VALUE"""),"POSTED")</f>
        <v>POSTED</v>
      </c>
      <c r="M454" s="1" t="str">
        <f>IFERROR(__xludf.DUMMYFUNCTION("""COMPUTED_VALUE"""),"POSTED")</f>
        <v>POSTED</v>
      </c>
      <c r="N454" s="3">
        <f>IFERROR(__xludf.DUMMYFUNCTION("""COMPUTED_VALUE"""),46276)</f>
        <v>46276</v>
      </c>
      <c r="O454" s="1" t="str">
        <f>IFERROR(__xludf.DUMMYFUNCTION("""COMPUTED_VALUE"""),"FIBR UNLI ALL PLAN 999")</f>
        <v>FIBR UNLI ALL PLAN 999</v>
      </c>
      <c r="P454" s="1" t="str">
        <f>IFERROR(__xludf.DUMMYFUNCTION("""COMPUTED_VALUE"""),"LOWPLAN")</f>
        <v>LOWPLAN</v>
      </c>
      <c r="Q454" s="1" t="str">
        <f>IFERROR(__xludf.DUMMYFUNCTION("""COMPUTED_VALUE"""),"P407047")</f>
        <v>P407047</v>
      </c>
      <c r="R454" s="1" t="str">
        <f>IFERROR(__xludf.DUMMYFUNCTION("""COMPUTED_VALUE"""),"FRANCISCO, ROSELYN")</f>
        <v>FRANCISCO, ROSELYN</v>
      </c>
      <c r="S454" s="1" t="str">
        <f>IFERROR(__xludf.DUMMYFUNCTION("""COMPUTED_VALUE"""),"ORGANIC")</f>
        <v>ORGANIC</v>
      </c>
      <c r="T454" s="1" t="str">
        <f>IFERROR(__xludf.DUMMYFUNCTION("""COMPUTED_VALUE"""),"LEA REMOLLO")</f>
        <v>LEA REMOLLO</v>
      </c>
      <c r="U454" s="1" t="str">
        <f>IFERROR(__xludf.DUMMYFUNCTION("""COMPUTED_VALUE"""),"JB SALIOA")</f>
        <v>JB SALIOA</v>
      </c>
      <c r="V454" s="1" t="str">
        <f>IFERROR(__xludf.DUMMYFUNCTION("""COMPUTED_VALUE"""),"ONLINE/CRANFORD")</f>
        <v>ONLINE/CRANFORD</v>
      </c>
      <c r="W454" s="1" t="str">
        <f>IFERROR(__xludf.DUMMYFUNCTION("""COMPUTED_VALUE"""),"STK REGULAR")</f>
        <v>STK REGULAR</v>
      </c>
      <c r="X454" s="1" t="str">
        <f>IFERROR(__xludf.DUMMYFUNCTION("""COMPUTED_VALUE"""),"REGULAR")</f>
        <v>REGULAR</v>
      </c>
      <c r="Y454" s="1" t="str">
        <f>IFERROR(__xludf.DUMMYFUNCTION("""COMPUTED_VALUE"""),"RS_ONL_CVEU_2026")</f>
        <v>RS_ONL_CVEU_2026</v>
      </c>
      <c r="Z454" s="1" t="str">
        <f>IFERROR(__xludf.DUMMYFUNCTION("""COMPUTED_VALUE"""),"NEW CONNECT")</f>
        <v>NEW CONNECT</v>
      </c>
      <c r="AA454" s="1">
        <f>IFERROR(__xludf.DUMMYFUNCTION("""COMPUTED_VALUE"""),639552770504)</f>
        <v>639552770504</v>
      </c>
      <c r="AB454" s="1">
        <f>IFERROR(__xludf.DUMMYFUNCTION("""COMPUTED_VALUE"""),639940692932)</f>
        <v>639940692932</v>
      </c>
      <c r="AC454" s="1"/>
      <c r="AD454" s="1" t="str">
        <f>IFERROR(__xludf.DUMMYFUNCTION("""COMPUTED_VALUE"""),"JORDAN")</f>
        <v>JORDAN</v>
      </c>
      <c r="AE454" s="1" t="str">
        <f>IFERROR(__xludf.DUMMYFUNCTION("""COMPUTED_VALUE"""),"GRAND RIVERSIDE PH 1")</f>
        <v>GRAND RIVERSIDE PH 1</v>
      </c>
      <c r="AF454" s="1" t="str">
        <f>IFERROR(__xludf.DUMMYFUNCTION("""COMPUTED_VALUE"""),"PASONG CAMACHILE 1")</f>
        <v>PASONG CAMACHILE 1</v>
      </c>
      <c r="AG454" s="1" t="str">
        <f>IFERROR(__xludf.DUMMYFUNCTION("""COMPUTED_VALUE"""),"GENERAL TRIAS")</f>
        <v>GENERAL TRIAS</v>
      </c>
      <c r="AH454" s="1" t="str">
        <f>IFERROR(__xludf.DUMMYFUNCTION("""COMPUTED_VALUE"""),"CONRADS CAFE NEAR FIAT SCHOOL")</f>
        <v>CONRADS CAFE NEAR FIAT SCHOOL</v>
      </c>
      <c r="AI454" s="1" t="str">
        <f>IFERROR(__xludf.DUMMYFUNCTION("""COMPUTED_VALUE"""),"NOT AOR")</f>
        <v>NOT AOR</v>
      </c>
    </row>
    <row r="455" customHeight="1" spans="1:35">
      <c r="A455" s="3">
        <f>IFERROR(__xludf.DUMMYFUNCTION("""COMPUTED_VALUE"""),46272)</f>
        <v>46272</v>
      </c>
      <c r="B455" s="1" t="str">
        <f>IFERROR(__xludf.DUMMYFUNCTION("""COMPUTED_VALUE"""),"JOSELLE ANN MARTINEZ CAILAN")</f>
        <v>JOSELLE ANN MARTINEZ CAILAN</v>
      </c>
      <c r="C455" s="1">
        <f>IFERROR(__xludf.DUMMYFUNCTION("""COMPUTED_VALUE"""),2312434043)</f>
        <v>2312434043</v>
      </c>
      <c r="D455" s="1">
        <f>IFERROR(__xludf.DUMMYFUNCTION("""COMPUTED_VALUE"""),407732073)</f>
        <v>407732073</v>
      </c>
      <c r="E455" s="1">
        <f>IFERROR(__xludf.DUMMYFUNCTION("""COMPUTED_VALUE"""),470471596004)</f>
        <v>470471596004</v>
      </c>
      <c r="F455" s="1" t="str">
        <f>IFERROR(__xludf.DUMMYFUNCTION("""COMPUTED_VALUE"""),"RPR")</f>
        <v>RPR</v>
      </c>
      <c r="G455" s="1" t="str">
        <f>IFERROR(__xludf.DUMMYFUNCTION("""COMPUTED_VALUE"""),"RPR SUBS CANCEL REQUESTS DUE TO DOUBLE APPLICATIONS KINAKABITAN NAPO NG TEAM QUIBETE ERCILLA PID 471339172004")</f>
        <v>RPR SUBS CANCEL REQUESTS DUE TO DOUBLE APPLICATIONS KINAKABITAN NAPO NG TEAM QUIBETE ERCILLA PID 471339172004</v>
      </c>
      <c r="H455" s="1" t="str">
        <f>IFERROR(__xludf.DUMMYFUNCTION("""COMPUTED_VALUE"""),"NO PAYMENT")</f>
        <v>NO PAYMENT</v>
      </c>
      <c r="I455" s="1"/>
      <c r="J455" s="1"/>
      <c r="K455" s="1" t="str">
        <f>IFERROR(__xludf.DUMMYFUNCTION("""COMPUTED_VALUE"""),"CANCELED")</f>
        <v>CANCELED</v>
      </c>
      <c r="L455" s="1" t="str">
        <f>IFERROR(__xludf.DUMMYFUNCTION("""COMPUTED_VALUE"""),"RPR - SUBS CANCEL REQUEST")</f>
        <v>RPR - SUBS CANCEL REQUEST</v>
      </c>
      <c r="M455" s="1" t="str">
        <f>IFERROR(__xludf.DUMMYFUNCTION("""COMPUTED_VALUE"""),"RPR- SUBS CANCEL REQUEST")</f>
        <v>RPR- SUBS CANCEL REQUEST</v>
      </c>
      <c r="N455" s="3"/>
      <c r="O455" s="1" t="str">
        <f>IFERROR(__xludf.DUMMYFUNCTION("""COMPUTED_VALUE"""),"FIBR PLAN 1299")</f>
        <v>FIBR PLAN 1299</v>
      </c>
      <c r="P455" s="1" t="str">
        <f>IFERROR(__xludf.DUMMYFUNCTION("""COMPUTED_VALUE"""),"LOWPLAN")</f>
        <v>LOWPLAN</v>
      </c>
      <c r="Q455" s="1" t="str">
        <f>IFERROR(__xludf.DUMMYFUNCTION("""COMPUTED_VALUE"""),"P407050")</f>
        <v>P407050</v>
      </c>
      <c r="R455" s="1" t="str">
        <f>IFERROR(__xludf.DUMMYFUNCTION("""COMPUTED_VALUE"""),"TAMAYO, MARY ROSE ZAIRA")</f>
        <v>TAMAYO, MARY ROSE ZAIRA</v>
      </c>
      <c r="S455" s="1" t="str">
        <f>IFERROR(__xludf.DUMMYFUNCTION("""COMPUTED_VALUE"""),"ORGANIC")</f>
        <v>ORGANIC</v>
      </c>
      <c r="T455" s="1" t="str">
        <f>IFERROR(__xludf.DUMMYFUNCTION("""COMPUTED_VALUE"""),"LEA REMOLLO")</f>
        <v>LEA REMOLLO</v>
      </c>
      <c r="U455" s="1" t="str">
        <f>IFERROR(__xludf.DUMMYFUNCTION("""COMPUTED_VALUE"""),"JB SALIOA")</f>
        <v>JB SALIOA</v>
      </c>
      <c r="V455" s="1" t="str">
        <f>IFERROR(__xludf.DUMMYFUNCTION("""COMPUTED_VALUE"""),"ONLINE/CRANFORD")</f>
        <v>ONLINE/CRANFORD</v>
      </c>
      <c r="W455" s="1" t="str">
        <f>IFERROR(__xludf.DUMMYFUNCTION("""COMPUTED_VALUE"""),"STK REGULAR")</f>
        <v>STK REGULAR</v>
      </c>
      <c r="X455" s="1" t="str">
        <f>IFERROR(__xludf.DUMMYFUNCTION("""COMPUTED_VALUE"""),"REGULAR")</f>
        <v>REGULAR</v>
      </c>
      <c r="Y455" s="1" t="str">
        <f>IFERROR(__xludf.DUMMYFUNCTION("""COMPUTED_VALUE"""),"RS_ONL_CVEU_2026")</f>
        <v>RS_ONL_CVEU_2026</v>
      </c>
      <c r="Z455" s="1" t="str">
        <f>IFERROR(__xludf.DUMMYFUNCTION("""COMPUTED_VALUE"""),"NEW CONNECT")</f>
        <v>NEW CONNECT</v>
      </c>
      <c r="AA455" s="1">
        <f>IFERROR(__xludf.DUMMYFUNCTION("""COMPUTED_VALUE"""),639757812044)</f>
        <v>639757812044</v>
      </c>
      <c r="AB455" s="1"/>
      <c r="AC455" s="1"/>
      <c r="AD455" s="1" t="str">
        <f>IFERROR(__xludf.DUMMYFUNCTION("""COMPUTED_VALUE"""),"GUMAMELA")</f>
        <v>GUMAMELA</v>
      </c>
      <c r="AE455" s="1" t="str">
        <f>IFERROR(__xludf.DUMMYFUNCTION("""COMPUTED_VALUE"""),"VIA VERDE VILLAGE")</f>
        <v>VIA VERDE VILLAGE</v>
      </c>
      <c r="AF455" s="1" t="str">
        <f>IFERROR(__xludf.DUMMYFUNCTION("""COMPUTED_VALUE"""),"BGY SAN AGUSTIN 2")</f>
        <v>BGY SAN AGUSTIN 2</v>
      </c>
      <c r="AG455" s="1" t="str">
        <f>IFERROR(__xludf.DUMMYFUNCTION("""COMPUTED_VALUE"""),"DASMARINAS")</f>
        <v>DASMARINAS</v>
      </c>
      <c r="AH455" s="1" t="str">
        <f>IFERROR(__xludf.DUMMYFUNCTION("""COMPUTED_VALUE"""),"CONGRESSIONAL INTEGRATED HIGH SCHOOL")</f>
        <v>CONGRESSIONAL INTEGRATED HIGH SCHOOL</v>
      </c>
      <c r="AI455" s="1" t="str">
        <f>IFERROR(__xludf.DUMMYFUNCTION("""COMPUTED_VALUE"""),"NOT AOR")</f>
        <v>NOT AOR</v>
      </c>
    </row>
    <row r="456" customHeight="1" spans="1:35">
      <c r="A456" s="3">
        <f>IFERROR(__xludf.DUMMYFUNCTION("""COMPUTED_VALUE"""),46272)</f>
        <v>46272</v>
      </c>
      <c r="B456" s="1" t="str">
        <f>IFERROR(__xludf.DUMMYFUNCTION("""COMPUTED_VALUE"""),"LOURAINE ARMIJO LIMPIADO")</f>
        <v>LOURAINE ARMIJO LIMPIADO</v>
      </c>
      <c r="C456" s="1">
        <f>IFERROR(__xludf.DUMMYFUNCTION("""COMPUTED_VALUE"""),2312434748)</f>
        <v>2312434748</v>
      </c>
      <c r="D456" s="1">
        <f>IFERROR(__xludf.DUMMYFUNCTION("""COMPUTED_VALUE"""),407856961)</f>
        <v>407856961</v>
      </c>
      <c r="E456" s="1">
        <f>IFERROR(__xludf.DUMMYFUNCTION("""COMPUTED_VALUE"""),470869914004)</f>
        <v>470869914004</v>
      </c>
      <c r="F456" s="1" t="str">
        <f>IFERROR(__xludf.DUMMYFUNCTION("""COMPUTED_VALUE"""),"RPR")</f>
        <v>RPR</v>
      </c>
      <c r="G456" s="1" t="str">
        <f>IFERROR(__xludf.DUMMYFUNCTION("""COMPUTED_VALUE"""),"VISITED ASSIGN CAFAC TNZLP518NP1 NOT ON SITE. NEAREST TNZLP8NP2. FULL TNZLP8NP3 FULL TNZLP8NP4. FULL NO OTHER NEAREST. ADVICE SOR")</f>
        <v>VISITED ASSIGN CAFAC TNZLP518NP1 NOT ON SITE. NEAREST TNZLP8NP2. FULL TNZLP8NP3 FULL TNZLP8NP4. FULL NO OTHER NEAREST. ADVICE SOR</v>
      </c>
      <c r="H456" s="1"/>
      <c r="I456" s="1"/>
      <c r="J456" s="1"/>
      <c r="K456" s="1" t="str">
        <f>IFERROR(__xludf.DUMMYFUNCTION("""COMPUTED_VALUE"""),"CANCELED")</f>
        <v>CANCELED</v>
      </c>
      <c r="L456" s="1" t="str">
        <f>IFERROR(__xludf.DUMMYFUNCTION("""COMPUTED_VALUE"""),"RPR - NAP FULL")</f>
        <v>RPR - NAP FULL</v>
      </c>
      <c r="M456" s="1" t="str">
        <f>IFERROR(__xludf.DUMMYFUNCTION("""COMPUTED_VALUE"""),"RPR- NAP FULL")</f>
        <v>RPR- NAP FULL</v>
      </c>
      <c r="N456" s="3"/>
      <c r="O456" s="1" t="str">
        <f>IFERROR(__xludf.DUMMYFUNCTION("""COMPUTED_VALUE"""),"SWITCH FIBER UNLI ALL PLAN 1499")</f>
        <v>SWITCH FIBER UNLI ALL PLAN 1499</v>
      </c>
      <c r="P456" s="1" t="str">
        <f>IFERROR(__xludf.DUMMYFUNCTION("""COMPUTED_VALUE"""),"SWITCH")</f>
        <v>SWITCH</v>
      </c>
      <c r="Q456" s="1" t="str">
        <f>IFERROR(__xludf.DUMMYFUNCTION("""COMPUTED_VALUE"""),"P407048")</f>
        <v>P407048</v>
      </c>
      <c r="R456" s="1" t="str">
        <f>IFERROR(__xludf.DUMMYFUNCTION("""COMPUTED_VALUE"""),"ARMIJO, LOUIE")</f>
        <v>ARMIJO, LOUIE</v>
      </c>
      <c r="S456" s="1" t="str">
        <f>IFERROR(__xludf.DUMMYFUNCTION("""COMPUTED_VALUE"""),"FLA")</f>
        <v>FLA</v>
      </c>
      <c r="T456" s="1" t="str">
        <f>IFERROR(__xludf.DUMMYFUNCTION("""COMPUTED_VALUE"""),"JERIC NAVARRO")</f>
        <v>JERIC NAVARRO</v>
      </c>
      <c r="U456" s="1" t="str">
        <f>IFERROR(__xludf.DUMMYFUNCTION("""COMPUTED_VALUE"""),"JULIE ESPIRITU")</f>
        <v>JULIE ESPIRITU</v>
      </c>
      <c r="V456" s="1" t="str">
        <f>IFERROR(__xludf.DUMMYFUNCTION("""COMPUTED_VALUE"""),"ONLINE/CRANFORD")</f>
        <v>ONLINE/CRANFORD</v>
      </c>
      <c r="W456" s="1" t="str">
        <f>IFERROR(__xludf.DUMMYFUNCTION("""COMPUTED_VALUE"""),"STK REGULAR")</f>
        <v>STK REGULAR</v>
      </c>
      <c r="X456" s="1" t="str">
        <f>IFERROR(__xludf.DUMMYFUNCTION("""COMPUTED_VALUE"""),"ANTI COMPETITOR")</f>
        <v>ANTI COMPETITOR</v>
      </c>
      <c r="Y456" s="1" t="str">
        <f>IFERROR(__xludf.DUMMYFUNCTION("""COMPUTED_VALUE"""),"RS_ONL_CVEU_2026")</f>
        <v>RS_ONL_CVEU_2026</v>
      </c>
      <c r="Z456" s="1" t="str">
        <f>IFERROR(__xludf.DUMMYFUNCTION("""COMPUTED_VALUE"""),"NEW CONNECT")</f>
        <v>NEW CONNECT</v>
      </c>
      <c r="AA456" s="1">
        <f>IFERROR(__xludf.DUMMYFUNCTION("""COMPUTED_VALUE"""),639686174350)</f>
        <v>639686174350</v>
      </c>
      <c r="AB456" s="1">
        <f>IFERROR(__xludf.DUMMYFUNCTION("""COMPUTED_VALUE"""),639481751230)</f>
        <v>639481751230</v>
      </c>
      <c r="AC456" s="1"/>
      <c r="AD456" s="1" t="str">
        <f>IFERROR(__xludf.DUMMYFUNCTION("""COMPUTED_VALUE"""),"HEART FOUNDATION")</f>
        <v>HEART FOUNDATION</v>
      </c>
      <c r="AE456" s="1" t="str">
        <f>IFERROR(__xludf.DUMMYFUNCTION("""COMPUTED_VALUE"""),"HEART FOUNDATION")</f>
        <v>HEART FOUNDATION</v>
      </c>
      <c r="AF456" s="1" t="str">
        <f>IFERROR(__xludf.DUMMYFUNCTION("""COMPUTED_VALUE"""),"BGY AMAYA 1")</f>
        <v>BGY AMAYA 1</v>
      </c>
      <c r="AG456" s="1" t="str">
        <f>IFERROR(__xludf.DUMMYFUNCTION("""COMPUTED_VALUE"""),"TANZA")</f>
        <v>TANZA</v>
      </c>
      <c r="AH456" s="1"/>
      <c r="AI456" s="1" t="str">
        <f>IFERROR(__xludf.DUMMYFUNCTION("""COMPUTED_VALUE"""),"NOT AOR")</f>
        <v>NOT AOR</v>
      </c>
    </row>
    <row r="457" customHeight="1" spans="1:35">
      <c r="A457" s="3">
        <f>IFERROR(__xludf.DUMMYFUNCTION("""COMPUTED_VALUE"""),46273)</f>
        <v>46273</v>
      </c>
      <c r="B457" s="1" t="str">
        <f>IFERROR(__xludf.DUMMYFUNCTION("""COMPUTED_VALUE"""),"JENNIFER TANDOG PANAGLIMA")</f>
        <v>JENNIFER TANDOG PANAGLIMA</v>
      </c>
      <c r="C457" s="1">
        <f>IFERROR(__xludf.DUMMYFUNCTION("""COMPUTED_VALUE"""),2312444670)</f>
        <v>2312444670</v>
      </c>
      <c r="D457" s="1"/>
      <c r="E457" s="1"/>
      <c r="F457" s="1" t="str">
        <f>IFERROR(__xludf.DUMMYFUNCTION("""COMPUTED_VALUE"""),"CANCELLED")</f>
        <v>CANCELLED</v>
      </c>
      <c r="G457" s="1" t="str">
        <f>IFERROR(__xludf.DUMMYFUNCTION("""COMPUTED_VALUE"""),"(PLDT_INCOMPLETE / INVALID DOCS) WITH ACTIVE TEL#0495425970 DIFFERENT ADDRESS// FOR MULTIPLE LINE APPLICATION// NEED TO SUBMIT POA OF THE NEW APPLIED ADDRESS UNDER APPLICANT'S NAME")</f>
        <v>(PLDT_INCOMPLETE / INVALID DOCS) WITH ACTIVE TEL#0495425970 DIFFERENT ADDRESS// FOR MULTIPLE LINE APPLICATION// NEED TO SUBMIT POA OF THE NEW APPLIED ADDRESS UNDER APPLICANT'S NAME</v>
      </c>
      <c r="H457" s="1"/>
      <c r="I457" s="1"/>
      <c r="J457" s="1"/>
      <c r="K457" s="1"/>
      <c r="L457" s="1" t="str">
        <f>IFERROR(__xludf.DUMMYFUNCTION("""COMPUTED_VALUE"""),"CANCELLED")</f>
        <v>CANCELLED</v>
      </c>
      <c r="M457" s="1" t="str">
        <f>IFERROR(__xludf.DUMMYFUNCTION("""COMPUTED_VALUE"""),"CANCELLED")</f>
        <v>CANCELLED</v>
      </c>
      <c r="N457" s="3"/>
      <c r="O457" s="1" t="str">
        <f>IFERROR(__xludf.DUMMYFUNCTION("""COMPUTED_VALUE"""),"FIBER UNLI ALL PLAN 1899")</f>
        <v>FIBER UNLI ALL PLAN 1899</v>
      </c>
      <c r="P457" s="1" t="str">
        <f>IFERROR(__xludf.DUMMYFUNCTION("""COMPUTED_VALUE"""),"HIGHPLAN")</f>
        <v>HIGHPLAN</v>
      </c>
      <c r="Q457" s="1" t="str">
        <f>IFERROR(__xludf.DUMMYFUNCTION("""COMPUTED_VALUE"""),"P407016")</f>
        <v>P407016</v>
      </c>
      <c r="R457" s="1" t="str">
        <f>IFERROR(__xludf.DUMMYFUNCTION("""COMPUTED_VALUE"""),"AYON, MANUEL")</f>
        <v>AYON, MANUEL</v>
      </c>
      <c r="S457" s="1" t="str">
        <f>IFERROR(__xludf.DUMMYFUNCTION("""COMPUTED_VALUE"""),"FLA")</f>
        <v>FLA</v>
      </c>
      <c r="T457" s="1" t="str">
        <f>IFERROR(__xludf.DUMMYFUNCTION("""COMPUTED_VALUE"""),"JERIC NAVARRO")</f>
        <v>JERIC NAVARRO</v>
      </c>
      <c r="U457" s="1" t="str">
        <f>IFERROR(__xludf.DUMMYFUNCTION("""COMPUTED_VALUE"""),"JB SALIOA")</f>
        <v>JB SALIOA</v>
      </c>
      <c r="V457" s="1" t="str">
        <f>IFERROR(__xludf.DUMMYFUNCTION("""COMPUTED_VALUE"""),"ONLINE/CRANFORD")</f>
        <v>ONLINE/CRANFORD</v>
      </c>
      <c r="W457" s="1" t="str">
        <f>IFERROR(__xludf.DUMMYFUNCTION("""COMPUTED_VALUE"""),"STK REGULAR")</f>
        <v>STK REGULAR</v>
      </c>
      <c r="X457" s="1" t="str">
        <f>IFERROR(__xludf.DUMMYFUNCTION("""COMPUTED_VALUE"""),"REGULAR")</f>
        <v>REGULAR</v>
      </c>
      <c r="Y457" s="1" t="str">
        <f>IFERROR(__xludf.DUMMYFUNCTION("""COMPUTED_VALUE"""),"RS_ONL_CVEU_2026")</f>
        <v>RS_ONL_CVEU_2026</v>
      </c>
      <c r="Z457" s="1" t="str">
        <f>IFERROR(__xludf.DUMMYFUNCTION("""COMPUTED_VALUE"""),"NEW CONNECT")</f>
        <v>NEW CONNECT</v>
      </c>
      <c r="AA457" s="1">
        <f>IFERROR(__xludf.DUMMYFUNCTION("""COMPUTED_VALUE"""),639998283598)</f>
        <v>639998283598</v>
      </c>
      <c r="AB457" s="1">
        <f>IFERROR(__xludf.DUMMYFUNCTION("""COMPUTED_VALUE"""),639167257298)</f>
        <v>639167257298</v>
      </c>
      <c r="AC457" s="1"/>
      <c r="AD457" s="1" t="str">
        <f>IFERROR(__xludf.DUMMYFUNCTION("""COMPUTED_VALUE"""),"PUROK 213")</f>
        <v>PUROK 213</v>
      </c>
      <c r="AE457" s="1"/>
      <c r="AF457" s="1" t="str">
        <f>IFERROR(__xludf.DUMMYFUNCTION("""COMPUTED_VALUE"""),"BGY PALOCPOC 1")</f>
        <v>BGY PALOCPOC 1</v>
      </c>
      <c r="AG457" s="1" t="str">
        <f>IFERROR(__xludf.DUMMYFUNCTION("""COMPUTED_VALUE"""),"MENDEZ")</f>
        <v>MENDEZ</v>
      </c>
      <c r="AH457" s="1" t="str">
        <f>IFERROR(__xludf.DUMMYFUNCTION("""COMPUTED_VALUE"""),"PUROK 213")</f>
        <v>PUROK 213</v>
      </c>
      <c r="AI457" s="1" t="str">
        <f>IFERROR(__xludf.DUMMYFUNCTION("""COMPUTED_VALUE"""),"CLUSTER 12")</f>
        <v>CLUSTER 12</v>
      </c>
    </row>
    <row r="458" customHeight="1" spans="1:35">
      <c r="A458" s="3">
        <f>IFERROR(__xludf.DUMMYFUNCTION("""COMPUTED_VALUE"""),46273)</f>
        <v>46273</v>
      </c>
      <c r="B458" s="1" t="str">
        <f>IFERROR(__xludf.DUMMYFUNCTION("""COMPUTED_VALUE"""),"MIRASOL DICHE PURA")</f>
        <v>MIRASOL DICHE PURA</v>
      </c>
      <c r="C458" s="1">
        <f>IFERROR(__xludf.DUMMYFUNCTION("""COMPUTED_VALUE"""),2312445193)</f>
        <v>2312445193</v>
      </c>
      <c r="D458" s="1">
        <f>IFERROR(__xludf.DUMMYFUNCTION("""COMPUTED_VALUE"""),407750942)</f>
        <v>407750942</v>
      </c>
      <c r="E458" s="1">
        <f>IFERROR(__xludf.DUMMYFUNCTION("""COMPUTED_VALUE"""),470574499004)</f>
        <v>470574499004</v>
      </c>
      <c r="F458" s="1" t="str">
        <f>IFERROR(__xludf.DUMMYFUNCTION("""COMPUTED_VALUE"""),"CLOSED")</f>
        <v>CLOSED</v>
      </c>
      <c r="G458" s="1" t="str">
        <f>IFERROR(__xludf.DUMMYFUNCTION("""COMPUTED_VALUE"""),"CLOSED")</f>
        <v>CLOSED</v>
      </c>
      <c r="H458" s="1"/>
      <c r="I458" s="1" t="str">
        <f>IFERROR(__xludf.DUMMYFUNCTION("""COMPUTED_VALUE"""),"NO 1 AMSF")</f>
        <v>NO 1 AMSF</v>
      </c>
      <c r="J458" s="1" t="str">
        <f>IFERROR(__xludf.DUMMYFUNCTION("""COMPUTED_VALUE"""),"DUE DATE - 05-Oct-26 - 1,534.39")</f>
        <v>DUE DATE - 05-Oct-26 - 1,534.39</v>
      </c>
      <c r="K458" s="1" t="str">
        <f>IFERROR(__xludf.DUMMYFUNCTION("""COMPUTED_VALUE"""),"COMPLETED")</f>
        <v>COMPLETED</v>
      </c>
      <c r="L458" s="1" t="str">
        <f>IFERROR(__xludf.DUMMYFUNCTION("""COMPUTED_VALUE"""),"POSTED")</f>
        <v>POSTED</v>
      </c>
      <c r="M458" s="1" t="str">
        <f>IFERROR(__xludf.DUMMYFUNCTION("""COMPUTED_VALUE"""),"POSTED")</f>
        <v>POSTED</v>
      </c>
      <c r="N458" s="3">
        <f>IFERROR(__xludf.DUMMYFUNCTION("""COMPUTED_VALUE"""),46275)</f>
        <v>46275</v>
      </c>
      <c r="O458" s="1" t="str">
        <f>IFERROR(__xludf.DUMMYFUNCTION("""COMPUTED_VALUE"""),"FIBR PLAN 1299")</f>
        <v>FIBR PLAN 1299</v>
      </c>
      <c r="P458" s="1" t="str">
        <f>IFERROR(__xludf.DUMMYFUNCTION("""COMPUTED_VALUE"""),"LOWPLAN")</f>
        <v>LOWPLAN</v>
      </c>
      <c r="Q458" s="1" t="str">
        <f>IFERROR(__xludf.DUMMYFUNCTION("""COMPUTED_VALUE"""),"P407020")</f>
        <v>P407020</v>
      </c>
      <c r="R458" s="1" t="str">
        <f>IFERROR(__xludf.DUMMYFUNCTION("""COMPUTED_VALUE"""),"CADERAO, RONALD")</f>
        <v>CADERAO, RONALD</v>
      </c>
      <c r="S458" s="1" t="str">
        <f>IFERROR(__xludf.DUMMYFUNCTION("""COMPUTED_VALUE"""),"ORGANIC")</f>
        <v>ORGANIC</v>
      </c>
      <c r="T458" s="1" t="str">
        <f>IFERROR(__xludf.DUMMYFUNCTION("""COMPUTED_VALUE"""),"LEA REMOLLO")</f>
        <v>LEA REMOLLO</v>
      </c>
      <c r="U458" s="1" t="str">
        <f>IFERROR(__xludf.DUMMYFUNCTION("""COMPUTED_VALUE"""),"JB SALIOA")</f>
        <v>JB SALIOA</v>
      </c>
      <c r="V458" s="1" t="str">
        <f>IFERROR(__xludf.DUMMYFUNCTION("""COMPUTED_VALUE"""),"BK REGULAR")</f>
        <v>BK REGULAR</v>
      </c>
      <c r="W458" s="1" t="str">
        <f>IFERROR(__xludf.DUMMYFUNCTION("""COMPUTED_VALUE"""),"STK REGULAR")</f>
        <v>STK REGULAR</v>
      </c>
      <c r="X458" s="1" t="str">
        <f>IFERROR(__xludf.DUMMYFUNCTION("""COMPUTED_VALUE"""),"REGULAR")</f>
        <v>REGULAR</v>
      </c>
      <c r="Y458" s="1" t="str">
        <f>IFERROR(__xludf.DUMMYFUNCTION("""COMPUTED_VALUE"""),"BK_CVEU_260817")</f>
        <v>BK_CVEU_260817</v>
      </c>
      <c r="Z458" s="1" t="str">
        <f>IFERROR(__xludf.DUMMYFUNCTION("""COMPUTED_VALUE"""),"NEW CONNECT")</f>
        <v>NEW CONNECT</v>
      </c>
      <c r="AA458" s="1">
        <f>IFERROR(__xludf.DUMMYFUNCTION("""COMPUTED_VALUE"""),639648590978)</f>
        <v>639648590978</v>
      </c>
      <c r="AB458" s="1">
        <f>IFERROR(__xludf.DUMMYFUNCTION("""COMPUTED_VALUE"""),639526131961)</f>
        <v>639526131961</v>
      </c>
      <c r="AC458" s="1"/>
      <c r="AD458" s="1" t="str">
        <f>IFERROR(__xludf.DUMMYFUNCTION("""COMPUTED_VALUE"""),"PALIGAWAN MATANDA")</f>
        <v>PALIGAWAN MATANDA</v>
      </c>
      <c r="AE458" s="1"/>
      <c r="AF458" s="1" t="str">
        <f>IFERROR(__xludf.DUMMYFUNCTION("""COMPUTED_VALUE"""),"BGY LANTIC")</f>
        <v>BGY LANTIC</v>
      </c>
      <c r="AG458" s="1" t="str">
        <f>IFERROR(__xludf.DUMMYFUNCTION("""COMPUTED_VALUE"""),"CARMONA")</f>
        <v>CARMONA</v>
      </c>
      <c r="AH458" s="1" t="str">
        <f>IFERROR(__xludf.DUMMYFUNCTION("""COMPUTED_VALUE"""),"BAKERY")</f>
        <v>BAKERY</v>
      </c>
      <c r="AI458" s="1" t="str">
        <f>IFERROR(__xludf.DUMMYFUNCTION("""COMPUTED_VALUE"""),"CLUSTER 11")</f>
        <v>CLUSTER 11</v>
      </c>
    </row>
    <row r="459" customHeight="1" spans="1:35">
      <c r="A459" s="3">
        <f>IFERROR(__xludf.DUMMYFUNCTION("""COMPUTED_VALUE"""),46273)</f>
        <v>46273</v>
      </c>
      <c r="B459" s="1" t="str">
        <f>IFERROR(__xludf.DUMMYFUNCTION("""COMPUTED_VALUE"""),"NICOLE YRIGON CONOS")</f>
        <v>NICOLE YRIGON CONOS</v>
      </c>
      <c r="C459" s="1">
        <f>IFERROR(__xludf.DUMMYFUNCTION("""COMPUTED_VALUE"""),2312445582)</f>
        <v>2312445582</v>
      </c>
      <c r="D459" s="1">
        <f>IFERROR(__xludf.DUMMYFUNCTION("""COMPUTED_VALUE"""),407787641)</f>
        <v>407787641</v>
      </c>
      <c r="E459" s="1">
        <f>IFERROR(__xludf.DUMMYFUNCTION("""COMPUTED_VALUE"""),470671143004)</f>
        <v>470671143004</v>
      </c>
      <c r="F459" s="1" t="str">
        <f>IFERROR(__xludf.DUMMYFUNCTION("""COMPUTED_VALUE"""),"CLOSED")</f>
        <v>CLOSED</v>
      </c>
      <c r="G459" s="1" t="str">
        <f>IFERROR(__xludf.DUMMYFUNCTION("""COMPUTED_VALUE"""),"CLOSED")</f>
        <v>CLOSED</v>
      </c>
      <c r="H459" s="1" t="str">
        <f>IFERROR(__xludf.DUMMYFUNCTION("""COMPUTED_VALUE"""),"PAID VIA GCASH REF 777497958 SEP 12")</f>
        <v>PAID VIA GCASH REF 777497958 SEP 12</v>
      </c>
      <c r="I459" s="1" t="str">
        <f>IFERROR(__xludf.DUMMYFUNCTION("""COMPUTED_VALUE"""),"WITH 1 AMSF")</f>
        <v>WITH 1 AMSF</v>
      </c>
      <c r="J459" s="1"/>
      <c r="K459" s="1" t="str">
        <f>IFERROR(__xludf.DUMMYFUNCTION("""COMPUTED_VALUE"""),"COMPLETED")</f>
        <v>COMPLETED</v>
      </c>
      <c r="L459" s="1" t="str">
        <f>IFERROR(__xludf.DUMMYFUNCTION("""COMPUTED_VALUE"""),"POSTED")</f>
        <v>POSTED</v>
      </c>
      <c r="M459" s="1" t="str">
        <f>IFERROR(__xludf.DUMMYFUNCTION("""COMPUTED_VALUE"""),"POSTED")</f>
        <v>POSTED</v>
      </c>
      <c r="N459" s="3">
        <f>IFERROR(__xludf.DUMMYFUNCTION("""COMPUTED_VALUE"""),46277)</f>
        <v>46277</v>
      </c>
      <c r="O459" s="1" t="str">
        <f>IFERROR(__xludf.DUMMYFUNCTION("""COMPUTED_VALUE"""),"FIBR PLAN 1299")</f>
        <v>FIBR PLAN 1299</v>
      </c>
      <c r="P459" s="1" t="str">
        <f>IFERROR(__xludf.DUMMYFUNCTION("""COMPUTED_VALUE"""),"LOWPLAN")</f>
        <v>LOWPLAN</v>
      </c>
      <c r="Q459" s="1" t="str">
        <f>IFERROR(__xludf.DUMMYFUNCTION("""COMPUTED_VALUE"""),"P407050")</f>
        <v>P407050</v>
      </c>
      <c r="R459" s="1" t="str">
        <f>IFERROR(__xludf.DUMMYFUNCTION("""COMPUTED_VALUE"""),"CADERAO, RONALD")</f>
        <v>CADERAO, RONALD</v>
      </c>
      <c r="S459" s="1" t="str">
        <f>IFERROR(__xludf.DUMMYFUNCTION("""COMPUTED_VALUE"""),"ORGANIC")</f>
        <v>ORGANIC</v>
      </c>
      <c r="T459" s="1" t="str">
        <f>IFERROR(__xludf.DUMMYFUNCTION("""COMPUTED_VALUE"""),"LEA REMOLLO")</f>
        <v>LEA REMOLLO</v>
      </c>
      <c r="U459" s="1" t="str">
        <f>IFERROR(__xludf.DUMMYFUNCTION("""COMPUTED_VALUE"""),"JB SALIOA")</f>
        <v>JB SALIOA</v>
      </c>
      <c r="V459" s="1" t="str">
        <f>IFERROR(__xludf.DUMMYFUNCTION("""COMPUTED_VALUE"""),"BK REGULAR")</f>
        <v>BK REGULAR</v>
      </c>
      <c r="W459" s="1" t="str">
        <f>IFERROR(__xludf.DUMMYFUNCTION("""COMPUTED_VALUE"""),"STK REGULAR")</f>
        <v>STK REGULAR</v>
      </c>
      <c r="X459" s="1" t="str">
        <f>IFERROR(__xludf.DUMMYFUNCTION("""COMPUTED_VALUE"""),"REGULAR")</f>
        <v>REGULAR</v>
      </c>
      <c r="Y459" s="1" t="str">
        <f>IFERROR(__xludf.DUMMYFUNCTION("""COMPUTED_VALUE"""),"BK_CVEU_260817")</f>
        <v>BK_CVEU_260817</v>
      </c>
      <c r="Z459" s="1" t="str">
        <f>IFERROR(__xludf.DUMMYFUNCTION("""COMPUTED_VALUE"""),"NEW CONNECT")</f>
        <v>NEW CONNECT</v>
      </c>
      <c r="AA459" s="1">
        <f>IFERROR(__xludf.DUMMYFUNCTION("""COMPUTED_VALUE"""),639297320913)</f>
        <v>639297320913</v>
      </c>
      <c r="AB459" s="1"/>
      <c r="AC459" s="1">
        <f>IFERROR(__xludf.DUMMYFUNCTION("""COMPUTED_VALUE"""),168)</f>
        <v>168</v>
      </c>
      <c r="AD459" s="1" t="str">
        <f>IFERROR(__xludf.DUMMYFUNCTION("""COMPUTED_VALUE"""),"SITIO PALIGAWAN MATANDA")</f>
        <v>SITIO PALIGAWAN MATANDA</v>
      </c>
      <c r="AE459" s="1"/>
      <c r="AF459" s="1" t="str">
        <f>IFERROR(__xludf.DUMMYFUNCTION("""COMPUTED_VALUE"""),"BGY LANTIC")</f>
        <v>BGY LANTIC</v>
      </c>
      <c r="AG459" s="1" t="str">
        <f>IFERROR(__xludf.DUMMYFUNCTION("""COMPUTED_VALUE"""),"CARMONA")</f>
        <v>CARMONA</v>
      </c>
      <c r="AH459" s="1" t="str">
        <f>IFERROR(__xludf.DUMMYFUNCTION("""COMPUTED_VALUE"""),"SCHOOL")</f>
        <v>SCHOOL</v>
      </c>
      <c r="AI459" s="1" t="str">
        <f>IFERROR(__xludf.DUMMYFUNCTION("""COMPUTED_VALUE"""),"CLUSTER 11")</f>
        <v>CLUSTER 11</v>
      </c>
    </row>
    <row r="460" customHeight="1" spans="1:35">
      <c r="A460" s="3">
        <f>IFERROR(__xludf.DUMMYFUNCTION("""COMPUTED_VALUE"""),46273)</f>
        <v>46273</v>
      </c>
      <c r="B460" s="1" t="str">
        <f>IFERROR(__xludf.DUMMYFUNCTION("""COMPUTED_VALUE"""),"RAUL TARRAYO YRIGON")</f>
        <v>RAUL TARRAYO YRIGON</v>
      </c>
      <c r="C460" s="1">
        <f>IFERROR(__xludf.DUMMYFUNCTION("""COMPUTED_VALUE"""),2312446143)</f>
        <v>2312446143</v>
      </c>
      <c r="D460" s="1">
        <f>IFERROR(__xludf.DUMMYFUNCTION("""COMPUTED_VALUE"""),407749170)</f>
        <v>407749170</v>
      </c>
      <c r="E460" s="1">
        <f>IFERROR(__xludf.DUMMYFUNCTION("""COMPUTED_VALUE"""),470573566004)</f>
        <v>470573566004</v>
      </c>
      <c r="F460" s="1" t="str">
        <f>IFERROR(__xludf.DUMMYFUNCTION("""COMPUTED_VALUE"""),"CLOSED")</f>
        <v>CLOSED</v>
      </c>
      <c r="G460" s="1" t="str">
        <f>IFERROR(__xludf.DUMMYFUNCTION("""COMPUTED_VALUE"""),"CLOSED")</f>
        <v>CLOSED</v>
      </c>
      <c r="H460" s="1" t="str">
        <f>IFERROR(__xludf.DUMMYFUNCTION("""COMPUTED_VALUE"""),"PAID VIA GCASH REF 367363938 SEPT 9")</f>
        <v>PAID VIA GCASH REF 367363938 SEPT 9</v>
      </c>
      <c r="I460" s="1" t="str">
        <f>IFERROR(__xludf.DUMMYFUNCTION("""COMPUTED_VALUE"""),"WITH 1 AMSF")</f>
        <v>WITH 1 AMSF</v>
      </c>
      <c r="J460" s="1"/>
      <c r="K460" s="1" t="str">
        <f>IFERROR(__xludf.DUMMYFUNCTION("""COMPUTED_VALUE"""),"COMPLETED")</f>
        <v>COMPLETED</v>
      </c>
      <c r="L460" s="1" t="str">
        <f>IFERROR(__xludf.DUMMYFUNCTION("""COMPUTED_VALUE"""),"POSTED")</f>
        <v>POSTED</v>
      </c>
      <c r="M460" s="1" t="str">
        <f>IFERROR(__xludf.DUMMYFUNCTION("""COMPUTED_VALUE"""),"POSTED")</f>
        <v>POSTED</v>
      </c>
      <c r="N460" s="3">
        <f>IFERROR(__xludf.DUMMYFUNCTION("""COMPUTED_VALUE"""),46276)</f>
        <v>46276</v>
      </c>
      <c r="O460" s="1" t="str">
        <f>IFERROR(__xludf.DUMMYFUNCTION("""COMPUTED_VALUE"""),"FIBR PLAN 1299")</f>
        <v>FIBR PLAN 1299</v>
      </c>
      <c r="P460" s="1" t="str">
        <f>IFERROR(__xludf.DUMMYFUNCTION("""COMPUTED_VALUE"""),"LOWPLAN")</f>
        <v>LOWPLAN</v>
      </c>
      <c r="Q460" s="1" t="str">
        <f>IFERROR(__xludf.DUMMYFUNCTION("""COMPUTED_VALUE"""),"P407050")</f>
        <v>P407050</v>
      </c>
      <c r="R460" s="1" t="str">
        <f>IFERROR(__xludf.DUMMYFUNCTION("""COMPUTED_VALUE"""),"CADERAO, RONALD")</f>
        <v>CADERAO, RONALD</v>
      </c>
      <c r="S460" s="1" t="str">
        <f>IFERROR(__xludf.DUMMYFUNCTION("""COMPUTED_VALUE"""),"ORGANIC")</f>
        <v>ORGANIC</v>
      </c>
      <c r="T460" s="1" t="str">
        <f>IFERROR(__xludf.DUMMYFUNCTION("""COMPUTED_VALUE"""),"LEA REMOLLO")</f>
        <v>LEA REMOLLO</v>
      </c>
      <c r="U460" s="1" t="str">
        <f>IFERROR(__xludf.DUMMYFUNCTION("""COMPUTED_VALUE"""),"JB SALIOA")</f>
        <v>JB SALIOA</v>
      </c>
      <c r="V460" s="1" t="str">
        <f>IFERROR(__xludf.DUMMYFUNCTION("""COMPUTED_VALUE"""),"BK REGULAR")</f>
        <v>BK REGULAR</v>
      </c>
      <c r="W460" s="1" t="str">
        <f>IFERROR(__xludf.DUMMYFUNCTION("""COMPUTED_VALUE"""),"STK REGULAR")</f>
        <v>STK REGULAR</v>
      </c>
      <c r="X460" s="1" t="str">
        <f>IFERROR(__xludf.DUMMYFUNCTION("""COMPUTED_VALUE"""),"REGULAR")</f>
        <v>REGULAR</v>
      </c>
      <c r="Y460" s="1" t="str">
        <f>IFERROR(__xludf.DUMMYFUNCTION("""COMPUTED_VALUE"""),"BK_CVEU_260817")</f>
        <v>BK_CVEU_260817</v>
      </c>
      <c r="Z460" s="1" t="str">
        <f>IFERROR(__xludf.DUMMYFUNCTION("""COMPUTED_VALUE"""),"NEW CONNECT")</f>
        <v>NEW CONNECT</v>
      </c>
      <c r="AA460" s="1">
        <f>IFERROR(__xludf.DUMMYFUNCTION("""COMPUTED_VALUE"""),639063404608)</f>
        <v>639063404608</v>
      </c>
      <c r="AB460" s="1">
        <f>IFERROR(__xludf.DUMMYFUNCTION("""COMPUTED_VALUE"""),639974924323)</f>
        <v>639974924323</v>
      </c>
      <c r="AC460" s="1">
        <f>IFERROR(__xludf.DUMMYFUNCTION("""COMPUTED_VALUE"""),165)</f>
        <v>165</v>
      </c>
      <c r="AD460" s="1" t="str">
        <f>IFERROR(__xludf.DUMMYFUNCTION("""COMPUTED_VALUE"""),"SITIO PALIGAWAN MATANDA")</f>
        <v>SITIO PALIGAWAN MATANDA</v>
      </c>
      <c r="AE460" s="1"/>
      <c r="AF460" s="1" t="str">
        <f>IFERROR(__xludf.DUMMYFUNCTION("""COMPUTED_VALUE"""),"BGY LANTIC")</f>
        <v>BGY LANTIC</v>
      </c>
      <c r="AG460" s="1" t="str">
        <f>IFERROR(__xludf.DUMMYFUNCTION("""COMPUTED_VALUE"""),"CARMONA")</f>
        <v>CARMONA</v>
      </c>
      <c r="AH460" s="1" t="str">
        <f>IFERROR(__xludf.DUMMYFUNCTION("""COMPUTED_VALUE"""),"SCHOOL")</f>
        <v>SCHOOL</v>
      </c>
      <c r="AI460" s="1" t="str">
        <f>IFERROR(__xludf.DUMMYFUNCTION("""COMPUTED_VALUE"""),"CLUSTER 11")</f>
        <v>CLUSTER 11</v>
      </c>
    </row>
    <row r="461" customHeight="1" spans="1:35">
      <c r="A461" s="3">
        <f>IFERROR(__xludf.DUMMYFUNCTION("""COMPUTED_VALUE"""),46273)</f>
        <v>46273</v>
      </c>
      <c r="B461" s="1" t="str">
        <f>IFERROR(__xludf.DUMMYFUNCTION("""COMPUTED_VALUE"""),"JOVILYN SAMSON FRONDOZA")</f>
        <v>JOVILYN SAMSON FRONDOZA</v>
      </c>
      <c r="C461" s="1">
        <f>IFERROR(__xludf.DUMMYFUNCTION("""COMPUTED_VALUE"""),2312446554)</f>
        <v>2312446554</v>
      </c>
      <c r="D461" s="1"/>
      <c r="E461" s="1"/>
      <c r="F461" s="1" t="str">
        <f>IFERROR(__xludf.DUMMYFUNCTION("""COMPUTED_VALUE"""),"REENCODED")</f>
        <v>REENCODED</v>
      </c>
      <c r="G461" s="1" t="str">
        <f>IFERROR(__xludf.DUMMYFUNCTION("""COMPUTED_VALUE"""),"FOR REENCODE - SYSTEM ERROR DUE TO INCORRECT CID CREATED")</f>
        <v>FOR REENCODE - SYSTEM ERROR DUE TO INCORRECT CID CREATED</v>
      </c>
      <c r="H461" s="1"/>
      <c r="I461" s="1"/>
      <c r="J461" s="1"/>
      <c r="K461" s="1"/>
      <c r="L461" s="1" t="str">
        <f>IFERROR(__xludf.DUMMYFUNCTION("""COMPUTED_VALUE"""),"REENCODED")</f>
        <v>REENCODED</v>
      </c>
      <c r="M461" s="1" t="str">
        <f>IFERROR(__xludf.DUMMYFUNCTION("""COMPUTED_VALUE"""),"REENCODED")</f>
        <v>REENCODED</v>
      </c>
      <c r="N461" s="3"/>
      <c r="O461" s="1" t="str">
        <f>IFERROR(__xludf.DUMMYFUNCTION("""COMPUTED_VALUE"""),"FIBR PLAN 1299")</f>
        <v>FIBR PLAN 1299</v>
      </c>
      <c r="P461" s="1" t="str">
        <f>IFERROR(__xludf.DUMMYFUNCTION("""COMPUTED_VALUE"""),"LOWPLAN")</f>
        <v>LOWPLAN</v>
      </c>
      <c r="Q461" s="1" t="str">
        <f>IFERROR(__xludf.DUMMYFUNCTION("""COMPUTED_VALUE"""),"P407517")</f>
        <v>P407517</v>
      </c>
      <c r="R461" s="1" t="str">
        <f>IFERROR(__xludf.DUMMYFUNCTION("""COMPUTED_VALUE"""),"GABAY, MANUEL")</f>
        <v>GABAY, MANUEL</v>
      </c>
      <c r="S461" s="1" t="str">
        <f>IFERROR(__xludf.DUMMYFUNCTION("""COMPUTED_VALUE"""),"FLA")</f>
        <v>FLA</v>
      </c>
      <c r="T461" s="1" t="str">
        <f>IFERROR(__xludf.DUMMYFUNCTION("""COMPUTED_VALUE"""),"JERIC NAVARRO")</f>
        <v>JERIC NAVARRO</v>
      </c>
      <c r="U461" s="1" t="str">
        <f>IFERROR(__xludf.DUMMYFUNCTION("""COMPUTED_VALUE"""),"JB SALIOA")</f>
        <v>JB SALIOA</v>
      </c>
      <c r="V461" s="1" t="str">
        <f>IFERROR(__xludf.DUMMYFUNCTION("""COMPUTED_VALUE"""),"BK REGULAR")</f>
        <v>BK REGULAR</v>
      </c>
      <c r="W461" s="1" t="str">
        <f>IFERROR(__xludf.DUMMYFUNCTION("""COMPUTED_VALUE"""),"STK REGULAR")</f>
        <v>STK REGULAR</v>
      </c>
      <c r="X461" s="1" t="str">
        <f>IFERROR(__xludf.DUMMYFUNCTION("""COMPUTED_VALUE"""),"REGULAR")</f>
        <v>REGULAR</v>
      </c>
      <c r="Y461" s="1" t="str">
        <f>IFERROR(__xludf.DUMMYFUNCTION("""COMPUTED_VALUE"""),"BK_CVEU_260817")</f>
        <v>BK_CVEU_260817</v>
      </c>
      <c r="Z461" s="1" t="str">
        <f>IFERROR(__xludf.DUMMYFUNCTION("""COMPUTED_VALUE"""),"NEW CONNECT")</f>
        <v>NEW CONNECT</v>
      </c>
      <c r="AA461" s="1">
        <f>IFERROR(__xludf.DUMMYFUNCTION("""COMPUTED_VALUE"""),639166329795)</f>
        <v>639166329795</v>
      </c>
      <c r="AB461" s="1">
        <f>IFERROR(__xludf.DUMMYFUNCTION("""COMPUTED_VALUE"""),639687680449)</f>
        <v>639687680449</v>
      </c>
      <c r="AC461" s="1"/>
      <c r="AD461" s="1" t="str">
        <f>IFERROR(__xludf.DUMMYFUNCTION("""COMPUTED_VALUE"""),"SITIO PALIGAWAN MATANDA")</f>
        <v>SITIO PALIGAWAN MATANDA</v>
      </c>
      <c r="AE461" s="1"/>
      <c r="AF461" s="1" t="str">
        <f>IFERROR(__xludf.DUMMYFUNCTION("""COMPUTED_VALUE"""),"BGY LANTIC")</f>
        <v>BGY LANTIC</v>
      </c>
      <c r="AG461" s="1" t="str">
        <f>IFERROR(__xludf.DUMMYFUNCTION("""COMPUTED_VALUE"""),"CARMONA")</f>
        <v>CARMONA</v>
      </c>
      <c r="AH461" s="1" t="str">
        <f>IFERROR(__xludf.DUMMYFUNCTION("""COMPUTED_VALUE"""),"TENEMENT")</f>
        <v>TENEMENT</v>
      </c>
      <c r="AI461" s="1" t="str">
        <f>IFERROR(__xludf.DUMMYFUNCTION("""COMPUTED_VALUE"""),"CLUSTER 11")</f>
        <v>CLUSTER 11</v>
      </c>
    </row>
    <row r="462" customHeight="1" spans="1:35">
      <c r="A462" s="3">
        <f>IFERROR(__xludf.DUMMYFUNCTION("""COMPUTED_VALUE"""),46273)</f>
        <v>46273</v>
      </c>
      <c r="B462" s="1" t="str">
        <f>IFERROR(__xludf.DUMMYFUNCTION("""COMPUTED_VALUE"""),"CRISANTO SUNGA NACOR")</f>
        <v>CRISANTO SUNGA NACOR</v>
      </c>
      <c r="C462" s="1">
        <f>IFERROR(__xludf.DUMMYFUNCTION("""COMPUTED_VALUE"""),2312444742)</f>
        <v>2312444742</v>
      </c>
      <c r="D462" s="1"/>
      <c r="E462" s="1"/>
      <c r="F462" s="1" t="str">
        <f>IFERROR(__xludf.DUMMYFUNCTION("""COMPUTED_VALUE"""),"CANCELLED")</f>
        <v>CANCELLED</v>
      </c>
      <c r="G462" s="1" t="str">
        <f>IFERROR(__xludf.DUMMYFUNCTION("""COMPUTED_VALUE"""),"CANCELLED")</f>
        <v>CANCELLED</v>
      </c>
      <c r="H462" s="1"/>
      <c r="I462" s="1"/>
      <c r="J462" s="1"/>
      <c r="K462" s="1"/>
      <c r="L462" s="1" t="str">
        <f>IFERROR(__xludf.DUMMYFUNCTION("""COMPUTED_VALUE"""),"CANCELLED")</f>
        <v>CANCELLED</v>
      </c>
      <c r="M462" s="1" t="str">
        <f>IFERROR(__xludf.DUMMYFUNCTION("""COMPUTED_VALUE"""),"CANCELLED - NO CAFAC")</f>
        <v>CANCELLED - NO CAFAC</v>
      </c>
      <c r="N462" s="3"/>
      <c r="O462" s="1" t="str">
        <f>IFERROR(__xludf.DUMMYFUNCTION("""COMPUTED_VALUE"""),"FIBR PLAN 1299")</f>
        <v>FIBR PLAN 1299</v>
      </c>
      <c r="P462" s="1" t="str">
        <f>IFERROR(__xludf.DUMMYFUNCTION("""COMPUTED_VALUE"""),"LOWPLAN")</f>
        <v>LOWPLAN</v>
      </c>
      <c r="Q462" s="1" t="str">
        <f>IFERROR(__xludf.DUMMYFUNCTION("""COMPUTED_VALUE"""),"P407048")</f>
        <v>P407048</v>
      </c>
      <c r="R462" s="1" t="str">
        <f>IFERROR(__xludf.DUMMYFUNCTION("""COMPUTED_VALUE"""),"MORADOS, MARVIN")</f>
        <v>MORADOS, MARVIN</v>
      </c>
      <c r="S462" s="1" t="str">
        <f>IFERROR(__xludf.DUMMYFUNCTION("""COMPUTED_VALUE"""),"ORGANIC")</f>
        <v>ORGANIC</v>
      </c>
      <c r="T462" s="1" t="str">
        <f>IFERROR(__xludf.DUMMYFUNCTION("""COMPUTED_VALUE"""),"GARCIA MICHAEL JETTS")</f>
        <v>GARCIA MICHAEL JETTS</v>
      </c>
      <c r="U462" s="1" t="str">
        <f>IFERROR(__xludf.DUMMYFUNCTION("""COMPUTED_VALUE"""),"JULIE ESPIRITU")</f>
        <v>JULIE ESPIRITU</v>
      </c>
      <c r="V462" s="1" t="str">
        <f>IFERROR(__xludf.DUMMYFUNCTION("""COMPUTED_VALUE"""),"ONLINE/CRANFORD")</f>
        <v>ONLINE/CRANFORD</v>
      </c>
      <c r="W462" s="1" t="str">
        <f>IFERROR(__xludf.DUMMYFUNCTION("""COMPUTED_VALUE"""),"STK REGULAR")</f>
        <v>STK REGULAR</v>
      </c>
      <c r="X462" s="1" t="str">
        <f>IFERROR(__xludf.DUMMYFUNCTION("""COMPUTED_VALUE"""),"REGULAR")</f>
        <v>REGULAR</v>
      </c>
      <c r="Y462" s="1" t="str">
        <f>IFERROR(__xludf.DUMMYFUNCTION("""COMPUTED_VALUE"""),"RS_ONL_CVEU_2026")</f>
        <v>RS_ONL_CVEU_2026</v>
      </c>
      <c r="Z462" s="1" t="str">
        <f>IFERROR(__xludf.DUMMYFUNCTION("""COMPUTED_VALUE"""),"NEW CONNECT")</f>
        <v>NEW CONNECT</v>
      </c>
      <c r="AA462" s="1">
        <f>IFERROR(__xludf.DUMMYFUNCTION("""COMPUTED_VALUE"""),639324427274)</f>
        <v>639324427274</v>
      </c>
      <c r="AB462" s="1"/>
      <c r="AC462" s="1"/>
      <c r="AD462" s="1" t="str">
        <f>IFERROR(__xludf.DUMMYFUNCTION("""COMPUTED_VALUE"""),"PHASE 1")</f>
        <v>PHASE 1</v>
      </c>
      <c r="AE462" s="1" t="str">
        <f>IFERROR(__xludf.DUMMYFUNCTION("""COMPUTED_VALUE"""),"GOLDEN HARIZON")</f>
        <v>GOLDEN HARIZON</v>
      </c>
      <c r="AF462" s="1" t="str">
        <f>IFERROR(__xludf.DUMMYFUNCTION("""COMPUTED_VALUE"""),"BGY HUGO PEREZ")</f>
        <v>BGY HUGO PEREZ</v>
      </c>
      <c r="AG462" s="1" t="str">
        <f>IFERROR(__xludf.DUMMYFUNCTION("""COMPUTED_VALUE"""),"TRECE MARTIREZ CITY")</f>
        <v>TRECE MARTIREZ CITY</v>
      </c>
      <c r="AH462" s="1"/>
      <c r="AI462" s="1" t="str">
        <f>IFERROR(__xludf.DUMMYFUNCTION("""COMPUTED_VALUE"""),"NOT AOR")</f>
        <v>NOT AOR</v>
      </c>
    </row>
    <row r="463" customHeight="1" spans="1:35">
      <c r="A463" s="3">
        <f>IFERROR(__xludf.DUMMYFUNCTION("""COMPUTED_VALUE"""),46273)</f>
        <v>46273</v>
      </c>
      <c r="B463" s="1" t="str">
        <f>IFERROR(__xludf.DUMMYFUNCTION("""COMPUTED_VALUE"""),"JOVILYN SAMSON FRONDOZA")</f>
        <v>JOVILYN SAMSON FRONDOZA</v>
      </c>
      <c r="C463" s="1">
        <f>IFERROR(__xludf.DUMMYFUNCTION("""COMPUTED_VALUE"""),2312451418)</f>
        <v>2312451418</v>
      </c>
      <c r="D463" s="1">
        <f>IFERROR(__xludf.DUMMYFUNCTION("""COMPUTED_VALUE"""),407779819)</f>
        <v>407779819</v>
      </c>
      <c r="E463" s="1">
        <f>IFERROR(__xludf.DUMMYFUNCTION("""COMPUTED_VALUE"""),470668092004)</f>
        <v>470668092004</v>
      </c>
      <c r="F463" s="1" t="str">
        <f>IFERROR(__xludf.DUMMYFUNCTION("""COMPUTED_VALUE"""),"CLOSED")</f>
        <v>CLOSED</v>
      </c>
      <c r="G463" s="1" t="str">
        <f>IFERROR(__xludf.DUMMYFUNCTION("""COMPUTED_VALUE"""),"CLOSED")</f>
        <v>CLOSED</v>
      </c>
      <c r="H463" s="1" t="str">
        <f>IFERROR(__xludf.DUMMYFUNCTION("""COMPUTED_VALUE"""),"PQGOR364905675	22-Sep-26	Regular Payment	CIS-GCASH 3.0	1,489.26	0	22-Sep-26")</f>
        <v>PQGOR364905675	22-Sep-26	Regular Payment	CIS-GCASH 3.0	1,489.26	0	22-Sep-26</v>
      </c>
      <c r="I463" s="1" t="str">
        <f>IFERROR(__xludf.DUMMYFUNCTION("""COMPUTED_VALUE"""),"WITH 1 AMSF")</f>
        <v>WITH 1 AMSF</v>
      </c>
      <c r="J463" s="1"/>
      <c r="K463" s="1" t="str">
        <f>IFERROR(__xludf.DUMMYFUNCTION("""COMPUTED_VALUE"""),"COMPLETED")</f>
        <v>COMPLETED</v>
      </c>
      <c r="L463" s="1" t="str">
        <f>IFERROR(__xludf.DUMMYFUNCTION("""COMPUTED_VALUE"""),"POSTED")</f>
        <v>POSTED</v>
      </c>
      <c r="M463" s="1" t="str">
        <f>IFERROR(__xludf.DUMMYFUNCTION("""COMPUTED_VALUE"""),"POSTED")</f>
        <v>POSTED</v>
      </c>
      <c r="N463" s="3">
        <f>IFERROR(__xludf.DUMMYFUNCTION("""COMPUTED_VALUE"""),46275)</f>
        <v>46275</v>
      </c>
      <c r="O463" s="1" t="str">
        <f>IFERROR(__xludf.DUMMYFUNCTION("""COMPUTED_VALUE"""),"FIBR PLAN 1299")</f>
        <v>FIBR PLAN 1299</v>
      </c>
      <c r="P463" s="1" t="str">
        <f>IFERROR(__xludf.DUMMYFUNCTION("""COMPUTED_VALUE"""),"LOWPLAN")</f>
        <v>LOWPLAN</v>
      </c>
      <c r="Q463" s="1" t="str">
        <f>IFERROR(__xludf.DUMMYFUNCTION("""COMPUTED_VALUE"""),"P407517")</f>
        <v>P407517</v>
      </c>
      <c r="R463" s="1" t="str">
        <f>IFERROR(__xludf.DUMMYFUNCTION("""COMPUTED_VALUE"""),"GABAY, MANUEL")</f>
        <v>GABAY, MANUEL</v>
      </c>
      <c r="S463" s="1" t="str">
        <f>IFERROR(__xludf.DUMMYFUNCTION("""COMPUTED_VALUE"""),"FLA")</f>
        <v>FLA</v>
      </c>
      <c r="T463" s="1" t="str">
        <f>IFERROR(__xludf.DUMMYFUNCTION("""COMPUTED_VALUE"""),"JERIC NAVARRO")</f>
        <v>JERIC NAVARRO</v>
      </c>
      <c r="U463" s="1" t="str">
        <f>IFERROR(__xludf.DUMMYFUNCTION("""COMPUTED_VALUE"""),"JB SALIOA")</f>
        <v>JB SALIOA</v>
      </c>
      <c r="V463" s="1" t="str">
        <f>IFERROR(__xludf.DUMMYFUNCTION("""COMPUTED_VALUE"""),"BK REGULAR")</f>
        <v>BK REGULAR</v>
      </c>
      <c r="W463" s="1" t="str">
        <f>IFERROR(__xludf.DUMMYFUNCTION("""COMPUTED_VALUE"""),"STK REGULAR")</f>
        <v>STK REGULAR</v>
      </c>
      <c r="X463" s="1" t="str">
        <f>IFERROR(__xludf.DUMMYFUNCTION("""COMPUTED_VALUE"""),"REGULAR")</f>
        <v>REGULAR</v>
      </c>
      <c r="Y463" s="1" t="str">
        <f>IFERROR(__xludf.DUMMYFUNCTION("""COMPUTED_VALUE"""),"BK_CVEU_260817")</f>
        <v>BK_CVEU_260817</v>
      </c>
      <c r="Z463" s="1" t="str">
        <f>IFERROR(__xludf.DUMMYFUNCTION("""COMPUTED_VALUE"""),"NEW CONNECT")</f>
        <v>NEW CONNECT</v>
      </c>
      <c r="AA463" s="1">
        <f>IFERROR(__xludf.DUMMYFUNCTION("""COMPUTED_VALUE"""),639166329795)</f>
        <v>639166329795</v>
      </c>
      <c r="AB463" s="1">
        <f>IFERROR(__xludf.DUMMYFUNCTION("""COMPUTED_VALUE"""),639687680449)</f>
        <v>639687680449</v>
      </c>
      <c r="AC463" s="1"/>
      <c r="AD463" s="1" t="str">
        <f>IFERROR(__xludf.DUMMYFUNCTION("""COMPUTED_VALUE"""),"SITIO PALIGAWAN MATANDA")</f>
        <v>SITIO PALIGAWAN MATANDA</v>
      </c>
      <c r="AE463" s="1"/>
      <c r="AF463" s="1" t="str">
        <f>IFERROR(__xludf.DUMMYFUNCTION("""COMPUTED_VALUE"""),"BGY LANTIC")</f>
        <v>BGY LANTIC</v>
      </c>
      <c r="AG463" s="1" t="str">
        <f>IFERROR(__xludf.DUMMYFUNCTION("""COMPUTED_VALUE"""),"CARMONA")</f>
        <v>CARMONA</v>
      </c>
      <c r="AH463" s="1" t="str">
        <f>IFERROR(__xludf.DUMMYFUNCTION("""COMPUTED_VALUE"""),"TENEMENT")</f>
        <v>TENEMENT</v>
      </c>
      <c r="AI463" s="1" t="str">
        <f>IFERROR(__xludf.DUMMYFUNCTION("""COMPUTED_VALUE"""),"CLUSTER 11")</f>
        <v>CLUSTER 11</v>
      </c>
    </row>
    <row r="464" customHeight="1" spans="1:35">
      <c r="A464" s="3">
        <f>IFERROR(__xludf.DUMMYFUNCTION("""COMPUTED_VALUE"""),46274)</f>
        <v>46274</v>
      </c>
      <c r="B464" s="1" t="str">
        <f>IFERROR(__xludf.DUMMYFUNCTION("""COMPUTED_VALUE"""),"JUDITH ESPINA AQUINO")</f>
        <v>JUDITH ESPINA AQUINO</v>
      </c>
      <c r="C464" s="1">
        <f>IFERROR(__xludf.DUMMYFUNCTION("""COMPUTED_VALUE"""),2312463761)</f>
        <v>2312463761</v>
      </c>
      <c r="D464" s="1"/>
      <c r="E464" s="1"/>
      <c r="F464" s="1" t="str">
        <f>IFERROR(__xludf.DUMMYFUNCTION("""COMPUTED_VALUE"""),"CANCELLED")</f>
        <v>CANCELLED</v>
      </c>
      <c r="G464" s="1" t="str">
        <f>IFERROR(__xludf.DUMMYFUNCTION("""COMPUTED_VALUE"""),"RTS | INCOMPLETE DOCS - NO SUBS CERT AND CAF SUBMITTED - QR/URL E CAF AND E SUBS CERT SUBMITTED THAT ARE NOT ACCEPTTABLE BASE IN THE EXTENDED DATA| DONE VALIDATION | CORRECT ENCODED INFO IN CSP | TU SCORING GG - 1 (NTC) | WAIVED AMSF | CLEARED BL HIT | CA"&amp;"NCELLED ACCT NO. 0407710932 - SAME NAME/SAME ADDRESS ")</f>
        <v>RTS | INCOMPLETE DOCS - NO SUBS CERT AND CAF SUBMITTED - QR/URL E CAF AND E SUBS CERT SUBMITTED THAT ARE NOT ACCEPTTABLE BASE IN THE EXTENDED DATA| DONE VALIDATION | CORRECT ENCODED INFO IN CSP | TU SCORING GG - 1 (NTC) | WAIVED AMSF | CLEARED BL HIT | CANCELLED ACCT NO. 0407710932 - SAME NAME/SAME ADDRESS </v>
      </c>
      <c r="H464" s="1"/>
      <c r="I464" s="1"/>
      <c r="J464" s="1"/>
      <c r="K464" s="1"/>
      <c r="L464" s="1" t="str">
        <f>IFERROR(__xludf.DUMMYFUNCTION("""COMPUTED_VALUE"""),"REENCODED")</f>
        <v>REENCODED</v>
      </c>
      <c r="M464" s="1" t="str">
        <f>IFERROR(__xludf.DUMMYFUNCTION("""COMPUTED_VALUE"""),"REENCODED")</f>
        <v>REENCODED</v>
      </c>
      <c r="N464" s="3"/>
      <c r="O464" s="1" t="str">
        <f>IFERROR(__xludf.DUMMYFUNCTION("""COMPUTED_VALUE"""),"FIBR PLAN 1699")</f>
        <v>FIBR PLAN 1699</v>
      </c>
      <c r="P464" s="1" t="str">
        <f>IFERROR(__xludf.DUMMYFUNCTION("""COMPUTED_VALUE"""),"HIGHPLAN")</f>
        <v>HIGHPLAN</v>
      </c>
      <c r="Q464" s="1" t="str">
        <f>IFERROR(__xludf.DUMMYFUNCTION("""COMPUTED_VALUE"""),"P407045")</f>
        <v>P407045</v>
      </c>
      <c r="R464" s="1" t="str">
        <f>IFERROR(__xludf.DUMMYFUNCTION("""COMPUTED_VALUE"""),"ALINGARO, CINDY")</f>
        <v>ALINGARO, CINDY</v>
      </c>
      <c r="S464" s="1" t="str">
        <f>IFERROR(__xludf.DUMMYFUNCTION("""COMPUTED_VALUE"""),"FLA")</f>
        <v>FLA</v>
      </c>
      <c r="T464" s="1" t="str">
        <f>IFERROR(__xludf.DUMMYFUNCTION("""COMPUTED_VALUE"""),"JERIC NAVARRO")</f>
        <v>JERIC NAVARRO</v>
      </c>
      <c r="U464" s="1" t="str">
        <f>IFERROR(__xludf.DUMMYFUNCTION("""COMPUTED_VALUE"""),"JB SALIOA")</f>
        <v>JB SALIOA</v>
      </c>
      <c r="V464" s="1" t="str">
        <f>IFERROR(__xludf.DUMMYFUNCTION("""COMPUTED_VALUE"""),"ONLINE/CRANFORD")</f>
        <v>ONLINE/CRANFORD</v>
      </c>
      <c r="W464" s="1" t="str">
        <f>IFERROR(__xludf.DUMMYFUNCTION("""COMPUTED_VALUE"""),"STK REGULAR")</f>
        <v>STK REGULAR</v>
      </c>
      <c r="X464" s="1" t="str">
        <f>IFERROR(__xludf.DUMMYFUNCTION("""COMPUTED_VALUE"""),"REGULAR")</f>
        <v>REGULAR</v>
      </c>
      <c r="Y464" s="1" t="str">
        <f>IFERROR(__xludf.DUMMYFUNCTION("""COMPUTED_VALUE"""),"RS_ONL_CVEU_2026")</f>
        <v>RS_ONL_CVEU_2026</v>
      </c>
      <c r="Z464" s="1" t="str">
        <f>IFERROR(__xludf.DUMMYFUNCTION("""COMPUTED_VALUE"""),"NEW CONNECT")</f>
        <v>NEW CONNECT</v>
      </c>
      <c r="AA464" s="1">
        <f>IFERROR(__xludf.DUMMYFUNCTION("""COMPUTED_VALUE"""),639351158545)</f>
        <v>639351158545</v>
      </c>
      <c r="AB464" s="1"/>
      <c r="AC464" s="1"/>
      <c r="AD464" s="1" t="str">
        <f>IFERROR(__xludf.DUMMYFUNCTION("""COMPUTED_VALUE"""),"QUINTANA EXECUTIVE HOMES")</f>
        <v>QUINTANA EXECUTIVE HOMES</v>
      </c>
      <c r="AE464" s="1" t="str">
        <f>IFERROR(__xludf.DUMMYFUNCTION("""COMPUTED_VALUE"""),"QUINTANA EXECUTIVE HOMES")</f>
        <v>QUINTANA EXECUTIVE HOMES</v>
      </c>
      <c r="AF464" s="1" t="str">
        <f>IFERROR(__xludf.DUMMYFUNCTION("""COMPUTED_VALUE"""),"BGY SAN AGUSTIN")</f>
        <v>BGY SAN AGUSTIN</v>
      </c>
      <c r="AG464" s="1" t="str">
        <f>IFERROR(__xludf.DUMMYFUNCTION("""COMPUTED_VALUE"""),"TRECE MARTIREZ CITY")</f>
        <v>TRECE MARTIREZ CITY</v>
      </c>
      <c r="AH464" s="1" t="str">
        <f>IFERROR(__xludf.DUMMYFUNCTION("""COMPUTED_VALUE"""),"QUINTANA EXEC HOMES")</f>
        <v>QUINTANA EXEC HOMES</v>
      </c>
      <c r="AI464" s="1" t="str">
        <f>IFERROR(__xludf.DUMMYFUNCTION("""COMPUTED_VALUE"""),"NOT AOR")</f>
        <v>NOT AOR</v>
      </c>
    </row>
    <row r="465" customHeight="1" spans="1:35">
      <c r="A465" s="3">
        <f>IFERROR(__xludf.DUMMYFUNCTION("""COMPUTED_VALUE"""),46274)</f>
        <v>46274</v>
      </c>
      <c r="B465" s="1" t="str">
        <f>IFERROR(__xludf.DUMMYFUNCTION("""COMPUTED_VALUE"""),"ZENY FRANCIS TIONGCO MADRID")</f>
        <v>ZENY FRANCIS TIONGCO MADRID</v>
      </c>
      <c r="C465" s="1">
        <f>IFERROR(__xludf.DUMMYFUNCTION("""COMPUTED_VALUE"""),2312464135)</f>
        <v>2312464135</v>
      </c>
      <c r="D465" s="1">
        <f>IFERROR(__xludf.DUMMYFUNCTION("""COMPUTED_VALUE"""),407781481)</f>
        <v>407781481</v>
      </c>
      <c r="E465" s="1">
        <f>IFERROR(__xludf.DUMMYFUNCTION("""COMPUTED_VALUE"""),470668769004)</f>
        <v>470668769004</v>
      </c>
      <c r="F465" s="1" t="str">
        <f>IFERROR(__xludf.DUMMYFUNCTION("""COMPUTED_VALUE"""),"CANCELLED")</f>
        <v>CANCELLED</v>
      </c>
      <c r="G465" s="1" t="str">
        <f>IFERROR(__xludf.DUMMYFUNCTION("""COMPUTED_VALUE"""),"REFUSE TO ENTER NEED HOA PERMIT SUBS CBR RINGING ONLY ALREADY TEXTED BUT NO REPLY   TALK GUARD CBR 09382433211")</f>
        <v>REFUSE TO ENTER NEED HOA PERMIT SUBS CBR RINGING ONLY ALREADY TEXTED BUT NO REPLY   TALK GUARD CBR 09382433211</v>
      </c>
      <c r="H465" s="1"/>
      <c r="I465" s="1" t="str">
        <f>IFERROR(__xludf.DUMMYFUNCTION("""COMPUTED_VALUE"""),"NO 1 AMSF")</f>
        <v>NO 1 AMSF</v>
      </c>
      <c r="J465" s="1"/>
      <c r="K465" s="1" t="str">
        <f>IFERROR(__xludf.DUMMYFUNCTION("""COMPUTED_VALUE"""),"CANCELED")</f>
        <v>CANCELED</v>
      </c>
      <c r="L465" s="1" t="str">
        <f>IFERROR(__xludf.DUMMYFUNCTION("""COMPUTED_VALUE"""),"CANCELLED - CSP")</f>
        <v>CANCELLED - CSP</v>
      </c>
      <c r="M465" s="1" t="str">
        <f>IFERROR(__xludf.DUMMYFUNCTION("""COMPUTED_VALUE"""),"CSP CANCELLED")</f>
        <v>CSP CANCELLED</v>
      </c>
      <c r="N465" s="3"/>
      <c r="O465" s="1" t="str">
        <f>IFERROR(__xludf.DUMMYFUNCTION("""COMPUTED_VALUE"""),"FIBR PLAN 1299")</f>
        <v>FIBR PLAN 1299</v>
      </c>
      <c r="P465" s="1" t="str">
        <f>IFERROR(__xludf.DUMMYFUNCTION("""COMPUTED_VALUE"""),"LOWPLAN")</f>
        <v>LOWPLAN</v>
      </c>
      <c r="Q465" s="1" t="str">
        <f>IFERROR(__xludf.DUMMYFUNCTION("""COMPUTED_VALUE"""),"P407045")</f>
        <v>P407045</v>
      </c>
      <c r="R465" s="1" t="str">
        <f>IFERROR(__xludf.DUMMYFUNCTION("""COMPUTED_VALUE"""),"REMOLLO, LEA")</f>
        <v>REMOLLO, LEA</v>
      </c>
      <c r="S465" s="1" t="str">
        <f>IFERROR(__xludf.DUMMYFUNCTION("""COMPUTED_VALUE"""),"FLA")</f>
        <v>FLA</v>
      </c>
      <c r="T465" s="1" t="str">
        <f>IFERROR(__xludf.DUMMYFUNCTION("""COMPUTED_VALUE"""),"JERIC NAVARRO")</f>
        <v>JERIC NAVARRO</v>
      </c>
      <c r="U465" s="1" t="str">
        <f>IFERROR(__xludf.DUMMYFUNCTION("""COMPUTED_VALUE"""),"JB SALIOA")</f>
        <v>JB SALIOA</v>
      </c>
      <c r="V465" s="1" t="str">
        <f>IFERROR(__xludf.DUMMYFUNCTION("""COMPUTED_VALUE"""),"ONLINE/CRANFORD")</f>
        <v>ONLINE/CRANFORD</v>
      </c>
      <c r="W465" s="1" t="str">
        <f>IFERROR(__xludf.DUMMYFUNCTION("""COMPUTED_VALUE"""),"STK REGULAR")</f>
        <v>STK REGULAR</v>
      </c>
      <c r="X465" s="1" t="str">
        <f>IFERROR(__xludf.DUMMYFUNCTION("""COMPUTED_VALUE"""),"HBBS SEPT 2026")</f>
        <v>HBBS SEPT 2026</v>
      </c>
      <c r="Y465" s="1" t="str">
        <f>IFERROR(__xludf.DUMMYFUNCTION("""COMPUTED_VALUE"""),"RS_SS_CVEU_2026")</f>
        <v>RS_SS_CVEU_2026</v>
      </c>
      <c r="Z465" s="1" t="str">
        <f>IFERROR(__xludf.DUMMYFUNCTION("""COMPUTED_VALUE"""),"NEW CONNECT")</f>
        <v>NEW CONNECT</v>
      </c>
      <c r="AA465" s="1">
        <f>IFERROR(__xludf.DUMMYFUNCTION("""COMPUTED_VALUE"""),639382433211)</f>
        <v>639382433211</v>
      </c>
      <c r="AB465" s="1"/>
      <c r="AC465" s="1"/>
      <c r="AD465" s="1" t="str">
        <f>IFERROR(__xludf.DUMMYFUNCTION("""COMPUTED_VALUE"""),"SANDPIPER")</f>
        <v>SANDPIPER</v>
      </c>
      <c r="AE465" s="1" t="str">
        <f>IFERROR(__xludf.DUMMYFUNCTION("""COMPUTED_VALUE"""),"WESTWOOD 1 LANCASTER")</f>
        <v>WESTWOOD 1 LANCASTER</v>
      </c>
      <c r="AF465" s="1" t="str">
        <f>IFERROR(__xludf.DUMMYFUNCTION("""COMPUTED_VALUE"""),"PASONG CAMACHILE 2")</f>
        <v>PASONG CAMACHILE 2</v>
      </c>
      <c r="AG465" s="1" t="str">
        <f>IFERROR(__xludf.DUMMYFUNCTION("""COMPUTED_VALUE"""),"GENERAL TRIAS")</f>
        <v>GENERAL TRIAS</v>
      </c>
      <c r="AH465" s="1" t="str">
        <f>IFERROR(__xludf.DUMMYFUNCTION("""COMPUTED_VALUE"""),"-")</f>
        <v>-</v>
      </c>
      <c r="AI465" s="1" t="str">
        <f>IFERROR(__xludf.DUMMYFUNCTION("""COMPUTED_VALUE"""),"NOT AOR")</f>
        <v>NOT AOR</v>
      </c>
    </row>
    <row r="466" customHeight="1" spans="1:35">
      <c r="A466" s="3">
        <f>IFERROR(__xludf.DUMMYFUNCTION("""COMPUTED_VALUE"""),46274)</f>
        <v>46274</v>
      </c>
      <c r="B466" s="1" t="str">
        <f>IFERROR(__xludf.DUMMYFUNCTION("""COMPUTED_VALUE"""),"MARIAN HAZEL HERBAS PENALES")</f>
        <v>MARIAN HAZEL HERBAS PENALES</v>
      </c>
      <c r="C466" s="1">
        <f>IFERROR(__xludf.DUMMYFUNCTION("""COMPUTED_VALUE"""),2312464724)</f>
        <v>2312464724</v>
      </c>
      <c r="D466" s="1">
        <f>IFERROR(__xludf.DUMMYFUNCTION("""COMPUTED_VALUE"""),407779614)</f>
        <v>407779614</v>
      </c>
      <c r="E466" s="1">
        <f>IFERROR(__xludf.DUMMYFUNCTION("""COMPUTED_VALUE"""),470668165004)</f>
        <v>470668165004</v>
      </c>
      <c r="F466" s="1" t="str">
        <f>IFERROR(__xludf.DUMMYFUNCTION("""COMPUTED_VALUE"""),"CLOSED")</f>
        <v>CLOSED</v>
      </c>
      <c r="G466" s="1" t="str">
        <f>IFERROR(__xludf.DUMMYFUNCTION("""COMPUTED_VALUE"""),"CLOSED")</f>
        <v>CLOSED</v>
      </c>
      <c r="H466" s="1" t="str">
        <f>IFERROR(__xludf.DUMMYFUNCTION("""COMPUTED_VALUE"""),"PAID VIA GCASH - SEPT 9- REF - 064247895")</f>
        <v>PAID VIA GCASH - SEPT 9- REF - 064247895</v>
      </c>
      <c r="I466" s="1" t="str">
        <f>IFERROR(__xludf.DUMMYFUNCTION("""COMPUTED_VALUE"""),"WITH 1 AMSF")</f>
        <v>WITH 1 AMSF</v>
      </c>
      <c r="J466" s="1"/>
      <c r="K466" s="1" t="str">
        <f>IFERROR(__xludf.DUMMYFUNCTION("""COMPUTED_VALUE"""),"COMPLETED")</f>
        <v>COMPLETED</v>
      </c>
      <c r="L466" s="1" t="str">
        <f>IFERROR(__xludf.DUMMYFUNCTION("""COMPUTED_VALUE"""),"POSTED")</f>
        <v>POSTED</v>
      </c>
      <c r="M466" s="1" t="str">
        <f>IFERROR(__xludf.DUMMYFUNCTION("""COMPUTED_VALUE"""),"POSTED")</f>
        <v>POSTED</v>
      </c>
      <c r="N466" s="3">
        <f>IFERROR(__xludf.DUMMYFUNCTION("""COMPUTED_VALUE"""),46275)</f>
        <v>46275</v>
      </c>
      <c r="O466" s="1" t="str">
        <f>IFERROR(__xludf.DUMMYFUNCTION("""COMPUTED_VALUE"""),"FIBR PLAN 1299")</f>
        <v>FIBR PLAN 1299</v>
      </c>
      <c r="P466" s="1" t="str">
        <f>IFERROR(__xludf.DUMMYFUNCTION("""COMPUTED_VALUE"""),"LOWPLAN")</f>
        <v>LOWPLAN</v>
      </c>
      <c r="Q466" s="1" t="str">
        <f>IFERROR(__xludf.DUMMYFUNCTION("""COMPUTED_VALUE"""),"P407045")</f>
        <v>P407045</v>
      </c>
      <c r="R466" s="1" t="str">
        <f>IFERROR(__xludf.DUMMYFUNCTION("""COMPUTED_VALUE"""),"REMOLLO, LEA")</f>
        <v>REMOLLO, LEA</v>
      </c>
      <c r="S466" s="1" t="str">
        <f>IFERROR(__xludf.DUMMYFUNCTION("""COMPUTED_VALUE"""),"FLA")</f>
        <v>FLA</v>
      </c>
      <c r="T466" s="1" t="str">
        <f>IFERROR(__xludf.DUMMYFUNCTION("""COMPUTED_VALUE"""),"JERIC NAVARRO")</f>
        <v>JERIC NAVARRO</v>
      </c>
      <c r="U466" s="1" t="str">
        <f>IFERROR(__xludf.DUMMYFUNCTION("""COMPUTED_VALUE"""),"JB SALIOA")</f>
        <v>JB SALIOA</v>
      </c>
      <c r="V466" s="1" t="str">
        <f>IFERROR(__xludf.DUMMYFUNCTION("""COMPUTED_VALUE"""),"BK REGULAR")</f>
        <v>BK REGULAR</v>
      </c>
      <c r="W466" s="1" t="str">
        <f>IFERROR(__xludf.DUMMYFUNCTION("""COMPUTED_VALUE"""),"STK REGULAR")</f>
        <v>STK REGULAR</v>
      </c>
      <c r="X466" s="1" t="str">
        <f>IFERROR(__xludf.DUMMYFUNCTION("""COMPUTED_VALUE"""),"HBBS SEPT 2026")</f>
        <v>HBBS SEPT 2026</v>
      </c>
      <c r="Y466" s="1" t="str">
        <f>IFERROR(__xludf.DUMMYFUNCTION("""COMPUTED_VALUE"""),"BK_CVEU_260819")</f>
        <v>BK_CVEU_260819</v>
      </c>
      <c r="Z466" s="1" t="str">
        <f>IFERROR(__xludf.DUMMYFUNCTION("""COMPUTED_VALUE"""),"NEW CONNECT")</f>
        <v>NEW CONNECT</v>
      </c>
      <c r="AA466" s="1">
        <f>IFERROR(__xludf.DUMMYFUNCTION("""COMPUTED_VALUE"""),639650944145)</f>
        <v>639650944145</v>
      </c>
      <c r="AB466" s="1"/>
      <c r="AC466" s="1">
        <f>IFERROR(__xludf.DUMMYFUNCTION("""COMPUTED_VALUE"""),9089)</f>
        <v>9089</v>
      </c>
      <c r="AD466" s="1" t="str">
        <f>IFERROR(__xludf.DUMMYFUNCTION("""COMPUTED_VALUE"""),"DIMAPILIS")</f>
        <v>DIMAPILIS</v>
      </c>
      <c r="AE466" s="1"/>
      <c r="AF466" s="1" t="str">
        <f>IFERROR(__xludf.DUMMYFUNCTION("""COMPUTED_VALUE"""),"BGY ANULING LEJOS 1")</f>
        <v>BGY ANULING LEJOS 1</v>
      </c>
      <c r="AG466" s="1" t="str">
        <f>IFERROR(__xludf.DUMMYFUNCTION("""COMPUTED_VALUE"""),"MENDEZ")</f>
        <v>MENDEZ</v>
      </c>
      <c r="AH466" s="1" t="str">
        <f>IFERROR(__xludf.DUMMYFUNCTION("""COMPUTED_VALUE"""),"ALFA MART")</f>
        <v>ALFA MART</v>
      </c>
      <c r="AI466" s="1" t="str">
        <f>IFERROR(__xludf.DUMMYFUNCTION("""COMPUTED_VALUE"""),"CLUSTER 12")</f>
        <v>CLUSTER 12</v>
      </c>
    </row>
    <row r="467" customHeight="1" spans="1:35">
      <c r="A467" s="3">
        <f>IFERROR(__xludf.DUMMYFUNCTION("""COMPUTED_VALUE"""),46274)</f>
        <v>46274</v>
      </c>
      <c r="B467" s="1" t="str">
        <f>IFERROR(__xludf.DUMMYFUNCTION("""COMPUTED_VALUE"""),"ROSA NEBIAR ENRIQUEZ")</f>
        <v>ROSA NEBIAR ENRIQUEZ</v>
      </c>
      <c r="C467" s="1">
        <f>IFERROR(__xludf.DUMMYFUNCTION("""COMPUTED_VALUE"""),2312498583)</f>
        <v>2312498583</v>
      </c>
      <c r="D467" s="1">
        <f>IFERROR(__xludf.DUMMYFUNCTION("""COMPUTED_VALUE"""),407788869)</f>
        <v>407788869</v>
      </c>
      <c r="E467" s="1">
        <f>IFERROR(__xludf.DUMMYFUNCTION("""COMPUTED_VALUE"""),470671748004)</f>
        <v>470671748004</v>
      </c>
      <c r="F467" s="1" t="str">
        <f>IFERROR(__xludf.DUMMYFUNCTION("""COMPUTED_VALUE"""),"CANCELLED")</f>
        <v>CANCELLED</v>
      </c>
      <c r="G467" s="1" t="str">
        <f>IFERROR(__xludf.DUMMYFUNCTION("""COMPUTED_VALUE"""),"CANCELLED")</f>
        <v>CANCELLED</v>
      </c>
      <c r="H467" s="1" t="str">
        <f>IFERROR(__xludf.DUMMYFUNCTION("""COMPUTED_VALUE"""),"AS PER SUBS HINDI PA DAW PO OKAY KURYENTE NILA , TATTAWAG NALANG DAW SA AGENY PAG OKAY NA/FOR CANCELLATION")</f>
        <v>AS PER SUBS HINDI PA DAW PO OKAY KURYENTE NILA , TATTAWAG NALANG DAW SA AGENY PAG OKAY NA/FOR CANCELLATION</v>
      </c>
      <c r="I467" s="1"/>
      <c r="J467" s="1"/>
      <c r="K467" s="1" t="str">
        <f>IFERROR(__xludf.DUMMYFUNCTION("""COMPUTED_VALUE"""),"NOT IN OFSC")</f>
        <v>NOT IN OFSC</v>
      </c>
      <c r="L467" s="1" t="str">
        <f>IFERROR(__xludf.DUMMYFUNCTION("""COMPUTED_VALUE"""),"FOR CANCELLATION")</f>
        <v>FOR CANCELLATION</v>
      </c>
      <c r="M467" s="1" t="str">
        <f>IFERROR(__xludf.DUMMYFUNCTION("""COMPUTED_VALUE"""),"FOR CANCELLATION - NON COMPLIANCE - NO PAYMENT")</f>
        <v>FOR CANCELLATION - NON COMPLIANCE - NO PAYMENT</v>
      </c>
      <c r="N467" s="3"/>
      <c r="O467" s="1" t="str">
        <f>IFERROR(__xludf.DUMMYFUNCTION("""COMPUTED_VALUE"""),"FIBR UNLI ALL PLAN 999")</f>
        <v>FIBR UNLI ALL PLAN 999</v>
      </c>
      <c r="P467" s="1" t="str">
        <f>IFERROR(__xludf.DUMMYFUNCTION("""COMPUTED_VALUE"""),"LOWPLAN")</f>
        <v>LOWPLAN</v>
      </c>
      <c r="Q467" s="1" t="str">
        <f>IFERROR(__xludf.DUMMYFUNCTION("""COMPUTED_VALUE"""),"P407517")</f>
        <v>P407517</v>
      </c>
      <c r="R467" s="1" t="str">
        <f>IFERROR(__xludf.DUMMYFUNCTION("""COMPUTED_VALUE"""),"GABAY, MANUEL")</f>
        <v>GABAY, MANUEL</v>
      </c>
      <c r="S467" s="1" t="str">
        <f>IFERROR(__xludf.DUMMYFUNCTION("""COMPUTED_VALUE"""),"FLA")</f>
        <v>FLA</v>
      </c>
      <c r="T467" s="1" t="str">
        <f>IFERROR(__xludf.DUMMYFUNCTION("""COMPUTED_VALUE"""),"JERIC NAVARRO")</f>
        <v>JERIC NAVARRO</v>
      </c>
      <c r="U467" s="1" t="str">
        <f>IFERROR(__xludf.DUMMYFUNCTION("""COMPUTED_VALUE"""),"JB SALIOA")</f>
        <v>JB SALIOA</v>
      </c>
      <c r="V467" s="1" t="str">
        <f>IFERROR(__xludf.DUMMYFUNCTION("""COMPUTED_VALUE"""),"BK HSTK")</f>
        <v>BK HSTK</v>
      </c>
      <c r="W467" s="1" t="str">
        <f>IFERROR(__xludf.DUMMYFUNCTION("""COMPUTED_VALUE"""),"BK HSTK")</f>
        <v>BK HSTK</v>
      </c>
      <c r="X467" s="1" t="str">
        <f>IFERROR(__xludf.DUMMYFUNCTION("""COMPUTED_VALUE"""),"REGULAR")</f>
        <v>REGULAR</v>
      </c>
      <c r="Y467" s="1" t="str">
        <f>IFERROR(__xludf.DUMMYFUNCTION("""COMPUTED_VALUE"""),"BK_CVEU_260820")</f>
        <v>BK_CVEU_260820</v>
      </c>
      <c r="Z467" s="1" t="str">
        <f>IFERROR(__xludf.DUMMYFUNCTION("""COMPUTED_VALUE"""),"NEW CONNECT")</f>
        <v>NEW CONNECT</v>
      </c>
      <c r="AA467" s="1">
        <f>IFERROR(__xludf.DUMMYFUNCTION("""COMPUTED_VALUE"""),639934995128)</f>
        <v>639934995128</v>
      </c>
      <c r="AB467" s="1">
        <f>IFERROR(__xludf.DUMMYFUNCTION("""COMPUTED_VALUE"""),639051984601)</f>
        <v>639051984601</v>
      </c>
      <c r="AC467" s="1">
        <f>IFERROR(__xludf.DUMMYFUNCTION("""COMPUTED_VALUE"""),156)</f>
        <v>156</v>
      </c>
      <c r="AD467" s="1" t="str">
        <f>IFERROR(__xludf.DUMMYFUNCTION("""COMPUTED_VALUE"""),"KANLURAN")</f>
        <v>KANLURAN</v>
      </c>
      <c r="AE467" s="1"/>
      <c r="AF467" s="1" t="str">
        <f>IFERROR(__xludf.DUMMYFUNCTION("""COMPUTED_VALUE"""),"BGY HOYO")</f>
        <v>BGY HOYO</v>
      </c>
      <c r="AG467" s="1" t="str">
        <f>IFERROR(__xludf.DUMMYFUNCTION("""COMPUTED_VALUE"""),"SILANG")</f>
        <v>SILANG</v>
      </c>
      <c r="AH467" s="1" t="str">
        <f>IFERROR(__xludf.DUMMYFUNCTION("""COMPUTED_VALUE"""),"-")</f>
        <v>-</v>
      </c>
      <c r="AI467" s="1" t="str">
        <f>IFERROR(__xludf.DUMMYFUNCTION("""COMPUTED_VALUE"""),"CLUSTER 11")</f>
        <v>CLUSTER 11</v>
      </c>
    </row>
    <row r="468" customHeight="1" spans="1:35">
      <c r="A468" s="3">
        <f>IFERROR(__xludf.DUMMYFUNCTION("""COMPUTED_VALUE"""),46274)</f>
        <v>46274</v>
      </c>
      <c r="B468" s="1" t="str">
        <f>IFERROR(__xludf.DUMMYFUNCTION("""COMPUTED_VALUE"""),"GARY MARTINEZ REVENQUE")</f>
        <v>GARY MARTINEZ REVENQUE</v>
      </c>
      <c r="C468" s="1">
        <f>IFERROR(__xludf.DUMMYFUNCTION("""COMPUTED_VALUE"""),2312466727)</f>
        <v>2312466727</v>
      </c>
      <c r="D468" s="1"/>
      <c r="E468" s="1"/>
      <c r="F468" s="1" t="str">
        <f>IFERROR(__xludf.DUMMYFUNCTION("""COMPUTED_VALUE"""),"DISAPPROVED")</f>
        <v>DISAPPROVED</v>
      </c>
      <c r="G468" s="1" t="str">
        <f>IFERROR(__xludf.DUMMYFUNCTION("""COMPUTED_VALUE"""),"(P-OTHERS) DISAPPORVED| MULTIPLE ENCODING ERROR- EMAIL ADDRESS AND ID NUMBER | IN CSP (REVENQUECRISTELA@GMAIL.COM) (4253-6578-0154-1672) VS VIA CALLED OUT (revenquecristel@gmail.com) (4253-6578-8154-1672)| CONFIRMED VIA CALLED OUT DUE TO UNSCANNABLE NATIO"&amp;"NAL - 63 951 223 2760-10:28 AM- TALKED TO SUBS | DONE VALIDATION |TU SCORING -FF - 1 (NTC) | 1 AMSF REQUIRED | CLEARED FROM BLACKLISTED HIT | NO EXISTING ACTIVE ACCT AND/OR PENDING/CANCELLED APPLICATION ")</f>
        <v>(P-OTHERS) DISAPPORVED| MULTIPLE ENCODING ERROR- EMAIL ADDRESS AND ID NUMBER | IN CSP (REVENQUECRISTELA@GMAIL.COM) (4253-6578-0154-1672) VS VIA CALLED OUT (revenquecristel@gmail.com) (4253-6578-8154-1672)| CONFIRMED VIA CALLED OUT DUE TO UNSCANNABLE NATIONAL - 63 951 223 2760-10:28 AM- TALKED TO SUBS | DONE VALIDATION |TU SCORING -FF - 1 (NTC) | 1 AMSF REQUIRED | CLEARED FROM BLACKLISTED HIT | NO EXISTING ACTIVE ACCT AND/OR PENDING/CANCELLED APPLICATION </v>
      </c>
      <c r="H468" s="1"/>
      <c r="I468" s="1"/>
      <c r="J468" s="1"/>
      <c r="K468" s="1"/>
      <c r="L468" s="1" t="str">
        <f>IFERROR(__xludf.DUMMYFUNCTION("""COMPUTED_VALUE"""),"REENCODED")</f>
        <v>REENCODED</v>
      </c>
      <c r="M468" s="1" t="str">
        <f>IFERROR(__xludf.DUMMYFUNCTION("""COMPUTED_VALUE"""),"REENCODED")</f>
        <v>REENCODED</v>
      </c>
      <c r="N468" s="3"/>
      <c r="O468" s="1" t="str">
        <f>IFERROR(__xludf.DUMMYFUNCTION("""COMPUTED_VALUE"""),"FIBR UNLI ALL PLAN 999")</f>
        <v>FIBR UNLI ALL PLAN 999</v>
      </c>
      <c r="P468" s="1" t="str">
        <f>IFERROR(__xludf.DUMMYFUNCTION("""COMPUTED_VALUE"""),"LOWPLAN")</f>
        <v>LOWPLAN</v>
      </c>
      <c r="Q468" s="1" t="str">
        <f>IFERROR(__xludf.DUMMYFUNCTION("""COMPUTED_VALUE"""),"P407047")</f>
        <v>P407047</v>
      </c>
      <c r="R468" s="1" t="str">
        <f>IFERROR(__xludf.DUMMYFUNCTION("""COMPUTED_VALUE"""),"FRANCISCO, ROSELYN")</f>
        <v>FRANCISCO, ROSELYN</v>
      </c>
      <c r="S468" s="1" t="str">
        <f>IFERROR(__xludf.DUMMYFUNCTION("""COMPUTED_VALUE"""),"ORGANIC")</f>
        <v>ORGANIC</v>
      </c>
      <c r="T468" s="1" t="str">
        <f>IFERROR(__xludf.DUMMYFUNCTION("""COMPUTED_VALUE"""),"LEA REMOLLO")</f>
        <v>LEA REMOLLO</v>
      </c>
      <c r="U468" s="1" t="str">
        <f>IFERROR(__xludf.DUMMYFUNCTION("""COMPUTED_VALUE"""),"JB SALIOA")</f>
        <v>JB SALIOA</v>
      </c>
      <c r="V468" s="1" t="str">
        <f>IFERROR(__xludf.DUMMYFUNCTION("""COMPUTED_VALUE"""),"BK HSTK")</f>
        <v>BK HSTK</v>
      </c>
      <c r="W468" s="1" t="str">
        <f>IFERROR(__xludf.DUMMYFUNCTION("""COMPUTED_VALUE"""),"BK HSTK")</f>
        <v>BK HSTK</v>
      </c>
      <c r="X468" s="1" t="str">
        <f>IFERROR(__xludf.DUMMYFUNCTION("""COMPUTED_VALUE"""),"REGULAR")</f>
        <v>REGULAR</v>
      </c>
      <c r="Y468" s="1" t="str">
        <f>IFERROR(__xludf.DUMMYFUNCTION("""COMPUTED_VALUE"""),"BK_CVEU_260820")</f>
        <v>BK_CVEU_260820</v>
      </c>
      <c r="Z468" s="1" t="str">
        <f>IFERROR(__xludf.DUMMYFUNCTION("""COMPUTED_VALUE"""),"NEW CONNECT")</f>
        <v>NEW CONNECT</v>
      </c>
      <c r="AA468" s="1">
        <f>IFERROR(__xludf.DUMMYFUNCTION("""COMPUTED_VALUE"""),639512232760)</f>
        <v>639512232760</v>
      </c>
      <c r="AB468" s="1">
        <f>IFERROR(__xludf.DUMMYFUNCTION("""COMPUTED_VALUE"""),639852669784)</f>
        <v>639852669784</v>
      </c>
      <c r="AC468" s="1"/>
      <c r="AD468" s="1" t="str">
        <f>IFERROR(__xludf.DUMMYFUNCTION("""COMPUTED_VALUE"""),"BANABA")</f>
        <v>BANABA</v>
      </c>
      <c r="AE468" s="1"/>
      <c r="AF468" s="1" t="str">
        <f>IFERROR(__xludf.DUMMYFUNCTION("""COMPUTED_VALUE"""),"BGY BANABA")</f>
        <v>BGY BANABA</v>
      </c>
      <c r="AG468" s="1" t="str">
        <f>IFERROR(__xludf.DUMMYFUNCTION("""COMPUTED_VALUE"""),"SILANG")</f>
        <v>SILANG</v>
      </c>
      <c r="AH468" s="1" t="str">
        <f>IFERROR(__xludf.DUMMYFUNCTION("""COMPUTED_VALUE"""),"DALI ")</f>
        <v>DALI </v>
      </c>
      <c r="AI468" s="1" t="str">
        <f>IFERROR(__xludf.DUMMYFUNCTION("""COMPUTED_VALUE"""),"CLUSTER 11")</f>
        <v>CLUSTER 11</v>
      </c>
    </row>
    <row r="469" customHeight="1" spans="1:35">
      <c r="A469" s="3">
        <f>IFERROR(__xludf.DUMMYFUNCTION("""COMPUTED_VALUE"""),46274)</f>
        <v>46274</v>
      </c>
      <c r="B469" s="1" t="str">
        <f>IFERROR(__xludf.DUMMYFUNCTION("""COMPUTED_VALUE"""),"ANALIE GALIZA RAMOS")</f>
        <v>ANALIE GALIZA RAMOS</v>
      </c>
      <c r="C469" s="1">
        <f>IFERROR(__xludf.DUMMYFUNCTION("""COMPUTED_VALUE"""),2312467768)</f>
        <v>2312467768</v>
      </c>
      <c r="D469" s="1"/>
      <c r="E469" s="1"/>
      <c r="F469" s="1" t="str">
        <f>IFERROR(__xludf.DUMMYFUNCTION("""COMPUTED_VALUE"""),"DISAPPROVED")</f>
        <v>DISAPPROVED</v>
      </c>
      <c r="G469" s="1" t="str">
        <f>IFERROR(__xludf.DUMMYFUNCTION("""COMPUTED_VALUE"""),"CANNOT TAG DECISION DUE TO SYSTEM ERROR-CANNOT CHANGE PAYMENT REQUIRED|APPROVED | DONE VALIDATION | CORRECT ENCODED INFO IN CSP | VALIDATED COMPLETE DOCS | TU SCORING - FF - 1 (NTC) | WITH 1 AMSF | CLEARED FROM BLACKLISTED HIT | WITH EXISTING ACTIVE ACC:0"&amp;"289287450 CLV 6|09761700304 11:45 AM|TALKED TO SUBS|SUBS CONFIRMED APPLYING FOR NEW LINE| ")</f>
        <v>CANNOT TAG DECISION DUE TO SYSTEM ERROR-CANNOT CHANGE PAYMENT REQUIRED|APPROVED | DONE VALIDATION | CORRECT ENCODED INFO IN CSP | VALIDATED COMPLETE DOCS | TU SCORING - FF - 1 (NTC) | WITH 1 AMSF | CLEARED FROM BLACKLISTED HIT | WITH EXISTING ACTIVE ACC:0289287450 CLV 6|09761700304 11:45 AM|TALKED TO SUBS|SUBS CONFIRMED APPLYING FOR NEW LINE| </v>
      </c>
      <c r="H469" s="1"/>
      <c r="I469" s="1"/>
      <c r="J469" s="1"/>
      <c r="K469" s="1"/>
      <c r="L469" s="1" t="str">
        <f>IFERROR(__xludf.DUMMYFUNCTION("""COMPUTED_VALUE"""),"CANCELLED")</f>
        <v>CANCELLED</v>
      </c>
      <c r="M469" s="1" t="str">
        <f>IFERROR(__xludf.DUMMYFUNCTION("""COMPUTED_VALUE"""),"CANCELLED - WITH OB")</f>
        <v>CANCELLED - WITH OB</v>
      </c>
      <c r="N469" s="3"/>
      <c r="O469" s="1" t="str">
        <f>IFERROR(__xludf.DUMMYFUNCTION("""COMPUTED_VALUE"""),"FIBR NETFLIX PLAN 1599")</f>
        <v>FIBR NETFLIX PLAN 1599</v>
      </c>
      <c r="P469" s="1" t="str">
        <f>IFERROR(__xludf.DUMMYFUNCTION("""COMPUTED_VALUE"""),"LOWPLAN")</f>
        <v>LOWPLAN</v>
      </c>
      <c r="Q469" s="1" t="str">
        <f>IFERROR(__xludf.DUMMYFUNCTION("""COMPUTED_VALUE"""),"P407048")</f>
        <v>P407048</v>
      </c>
      <c r="R469" s="1" t="str">
        <f>IFERROR(__xludf.DUMMYFUNCTION("""COMPUTED_VALUE"""),"SANTOS, FRANZ IVAN")</f>
        <v>SANTOS, FRANZ IVAN</v>
      </c>
      <c r="S469" s="1" t="str">
        <f>IFERROR(__xludf.DUMMYFUNCTION("""COMPUTED_VALUE"""),"ORGANIC")</f>
        <v>ORGANIC</v>
      </c>
      <c r="T469" s="1" t="str">
        <f>IFERROR(__xludf.DUMMYFUNCTION("""COMPUTED_VALUE"""),"GARCIA MICHAEL JETTS")</f>
        <v>GARCIA MICHAEL JETTS</v>
      </c>
      <c r="U469" s="1" t="str">
        <f>IFERROR(__xludf.DUMMYFUNCTION("""COMPUTED_VALUE"""),"JB SALIOA")</f>
        <v>JB SALIOA</v>
      </c>
      <c r="V469" s="1" t="str">
        <f>IFERROR(__xludf.DUMMYFUNCTION("""COMPUTED_VALUE"""),"ONLINE/CRANFORD")</f>
        <v>ONLINE/CRANFORD</v>
      </c>
      <c r="W469" s="1" t="str">
        <f>IFERROR(__xludf.DUMMYFUNCTION("""COMPUTED_VALUE"""),"STK REGULAR")</f>
        <v>STK REGULAR</v>
      </c>
      <c r="X469" s="1" t="str">
        <f>IFERROR(__xludf.DUMMYFUNCTION("""COMPUTED_VALUE"""),"HBBS SEPT 2026")</f>
        <v>HBBS SEPT 2026</v>
      </c>
      <c r="Y469" s="1" t="str">
        <f>IFERROR(__xludf.DUMMYFUNCTION("""COMPUTED_VALUE"""),"RS_ONL_CVEU_2026")</f>
        <v>RS_ONL_CVEU_2026</v>
      </c>
      <c r="Z469" s="1" t="str">
        <f>IFERROR(__xludf.DUMMYFUNCTION("""COMPUTED_VALUE"""),"NEW CONNECT")</f>
        <v>NEW CONNECT</v>
      </c>
      <c r="AA469" s="1">
        <f>IFERROR(__xludf.DUMMYFUNCTION("""COMPUTED_VALUE"""),639761700304)</f>
        <v>639761700304</v>
      </c>
      <c r="AB469" s="1">
        <f>IFERROR(__xludf.DUMMYFUNCTION("""COMPUTED_VALUE"""),639176454799)</f>
        <v>639176454799</v>
      </c>
      <c r="AC469" s="1"/>
      <c r="AD469" s="1" t="str">
        <f>IFERROR(__xludf.DUMMYFUNCTION("""COMPUTED_VALUE"""),"AMAYA BREEZE")</f>
        <v>AMAYA BREEZE</v>
      </c>
      <c r="AE469" s="1" t="str">
        <f>IFERROR(__xludf.DUMMYFUNCTION("""COMPUTED_VALUE"""),"AMAYA BREEZE SUBD")</f>
        <v>AMAYA BREEZE SUBD</v>
      </c>
      <c r="AF469" s="1" t="str">
        <f>IFERROR(__xludf.DUMMYFUNCTION("""COMPUTED_VALUE"""),"BGY AMAYA 2")</f>
        <v>BGY AMAYA 2</v>
      </c>
      <c r="AG469" s="1" t="str">
        <f>IFERROR(__xludf.DUMMYFUNCTION("""COMPUTED_VALUE"""),"TANZA")</f>
        <v>TANZA</v>
      </c>
      <c r="AH469" s="1" t="str">
        <f>IFERROR(__xludf.DUMMYFUNCTION("""COMPUTED_VALUE"""),"AMAYA BREEZE")</f>
        <v>AMAYA BREEZE</v>
      </c>
      <c r="AI469" s="1" t="str">
        <f>IFERROR(__xludf.DUMMYFUNCTION("""COMPUTED_VALUE"""),"NOT AOR")</f>
        <v>NOT AOR</v>
      </c>
    </row>
    <row r="470" customHeight="1" spans="1:35">
      <c r="A470" s="3">
        <f>IFERROR(__xludf.DUMMYFUNCTION("""COMPUTED_VALUE"""),46274)</f>
        <v>46274</v>
      </c>
      <c r="B470" s="1" t="str">
        <f>IFERROR(__xludf.DUMMYFUNCTION("""COMPUTED_VALUE"""),"RAMELYN VILLARIAS URBANO")</f>
        <v>RAMELYN VILLARIAS URBANO</v>
      </c>
      <c r="C470" s="1">
        <f>IFERROR(__xludf.DUMMYFUNCTION("""COMPUTED_VALUE"""),2312469302)</f>
        <v>2312469302</v>
      </c>
      <c r="D470" s="1">
        <f>IFERROR(__xludf.DUMMYFUNCTION("""COMPUTED_VALUE"""),407790243)</f>
        <v>407790243</v>
      </c>
      <c r="E470" s="1">
        <f>IFERROR(__xludf.DUMMYFUNCTION("""COMPUTED_VALUE"""),470672342004)</f>
        <v>470672342004</v>
      </c>
      <c r="F470" s="1" t="str">
        <f>IFERROR(__xludf.DUMMYFUNCTION("""COMPUTED_VALUE"""),"CLOSED")</f>
        <v>CLOSED</v>
      </c>
      <c r="G470" s="1" t="str">
        <f>IFERROR(__xludf.DUMMYFUNCTION("""COMPUTED_VALUE"""),"CLOSED")</f>
        <v>CLOSED</v>
      </c>
      <c r="H470" s="1" t="str">
        <f>IFERROR(__xludf.DUMMYFUNCTION("""COMPUTED_VALUE"""),"PQGOR363689374	11-Sep-26	Regular Payment	CIS-GCASH 3.0	1,299.00	941900717	11-Sep-26")</f>
        <v>PQGOR363689374	11-Sep-26	Regular Payment	CIS-GCASH 3.0	1,299.00	941900717	11-Sep-26</v>
      </c>
      <c r="I470" s="1" t="str">
        <f>IFERROR(__xludf.DUMMYFUNCTION("""COMPUTED_VALUE"""),"WITH 1 AMSF")</f>
        <v>WITH 1 AMSF</v>
      </c>
      <c r="J470" s="1" t="str">
        <f>IFERROR(__xludf.DUMMYFUNCTION("""COMPUTED_VALUE"""),"PRORATED - 41.90")</f>
        <v>PRORATED - 41.90</v>
      </c>
      <c r="K470" s="1" t="str">
        <f>IFERROR(__xludf.DUMMYFUNCTION("""COMPUTED_VALUE"""),"COMPLETED")</f>
        <v>COMPLETED</v>
      </c>
      <c r="L470" s="1" t="str">
        <f>IFERROR(__xludf.DUMMYFUNCTION("""COMPUTED_VALUE"""),"POSTED")</f>
        <v>POSTED</v>
      </c>
      <c r="M470" s="1" t="str">
        <f>IFERROR(__xludf.DUMMYFUNCTION("""COMPUTED_VALUE"""),"POSTED")</f>
        <v>POSTED</v>
      </c>
      <c r="N470" s="3">
        <f>IFERROR(__xludf.DUMMYFUNCTION("""COMPUTED_VALUE"""),46276)</f>
        <v>46276</v>
      </c>
      <c r="O470" s="1" t="str">
        <f>IFERROR(__xludf.DUMMYFUNCTION("""COMPUTED_VALUE"""),"FIBR PLAN 1299")</f>
        <v>FIBR PLAN 1299</v>
      </c>
      <c r="P470" s="1" t="str">
        <f>IFERROR(__xludf.DUMMYFUNCTION("""COMPUTED_VALUE"""),"LOWPLAN")</f>
        <v>LOWPLAN</v>
      </c>
      <c r="Q470" s="1" t="str">
        <f>IFERROR(__xludf.DUMMYFUNCTION("""COMPUTED_VALUE"""),"P407047")</f>
        <v>P407047</v>
      </c>
      <c r="R470" s="1" t="str">
        <f>IFERROR(__xludf.DUMMYFUNCTION("""COMPUTED_VALUE"""),"FRANCISCO, ROSELYN")</f>
        <v>FRANCISCO, ROSELYN</v>
      </c>
      <c r="S470" s="1" t="str">
        <f>IFERROR(__xludf.DUMMYFUNCTION("""COMPUTED_VALUE"""),"ORGANIC")</f>
        <v>ORGANIC</v>
      </c>
      <c r="T470" s="1" t="str">
        <f>IFERROR(__xludf.DUMMYFUNCTION("""COMPUTED_VALUE"""),"LEA REMOLLO")</f>
        <v>LEA REMOLLO</v>
      </c>
      <c r="U470" s="1" t="str">
        <f>IFERROR(__xludf.DUMMYFUNCTION("""COMPUTED_VALUE"""),"JB SALIOA")</f>
        <v>JB SALIOA</v>
      </c>
      <c r="V470" s="1" t="str">
        <f>IFERROR(__xludf.DUMMYFUNCTION("""COMPUTED_VALUE"""),"ONLINE/CRANFORD")</f>
        <v>ONLINE/CRANFORD</v>
      </c>
      <c r="W470" s="1" t="str">
        <f>IFERROR(__xludf.DUMMYFUNCTION("""COMPUTED_VALUE"""),"STK REGULAR")</f>
        <v>STK REGULAR</v>
      </c>
      <c r="X470" s="1" t="str">
        <f>IFERROR(__xludf.DUMMYFUNCTION("""COMPUTED_VALUE"""),"HBBS SEPT 2026")</f>
        <v>HBBS SEPT 2026</v>
      </c>
      <c r="Y470" s="1" t="str">
        <f>IFERROR(__xludf.DUMMYFUNCTION("""COMPUTED_VALUE"""),"RS_ONL_CVEU_2026")</f>
        <v>RS_ONL_CVEU_2026</v>
      </c>
      <c r="Z470" s="1" t="str">
        <f>IFERROR(__xludf.DUMMYFUNCTION("""COMPUTED_VALUE"""),"NEW CONNECT")</f>
        <v>NEW CONNECT</v>
      </c>
      <c r="AA470" s="1">
        <f>IFERROR(__xludf.DUMMYFUNCTION("""COMPUTED_VALUE"""),639977842757)</f>
        <v>639977842757</v>
      </c>
      <c r="AB470" s="1">
        <f>IFERROR(__xludf.DUMMYFUNCTION("""COMPUTED_VALUE"""),639932191318)</f>
        <v>639932191318</v>
      </c>
      <c r="AC470" s="1">
        <f>IFERROR(__xludf.DUMMYFUNCTION("""COMPUTED_VALUE"""),225)</f>
        <v>225</v>
      </c>
      <c r="AD470" s="1" t="str">
        <f>IFERROR(__xludf.DUMMYFUNCTION("""COMPUTED_VALUE"""),"PUROK 4")</f>
        <v>PUROK 4</v>
      </c>
      <c r="AE470" s="1"/>
      <c r="AF470" s="1" t="str">
        <f>IFERROR(__xludf.DUMMYFUNCTION("""COMPUTED_VALUE"""),"BGY KAYTITINGA 2")</f>
        <v>BGY KAYTITINGA 2</v>
      </c>
      <c r="AG470" s="1" t="str">
        <f>IFERROR(__xludf.DUMMYFUNCTION("""COMPUTED_VALUE"""),"ALFONSO")</f>
        <v>ALFONSO</v>
      </c>
      <c r="AH470" s="1" t="str">
        <f>IFERROR(__xludf.DUMMYFUNCTION("""COMPUTED_VALUE"""),"BESIDE CHAPEL")</f>
        <v>BESIDE CHAPEL</v>
      </c>
      <c r="AI470" s="1" t="str">
        <f>IFERROR(__xludf.DUMMYFUNCTION("""COMPUTED_VALUE"""),"CLUSTER 12")</f>
        <v>CLUSTER 12</v>
      </c>
    </row>
    <row r="471" customHeight="1" spans="1:35">
      <c r="A471" s="3">
        <f>IFERROR(__xludf.DUMMYFUNCTION("""COMPUTED_VALUE"""),46274)</f>
        <v>46274</v>
      </c>
      <c r="B471" s="1" t="str">
        <f>IFERROR(__xludf.DUMMYFUNCTION("""COMPUTED_VALUE"""),"ELVIRA GALES SALUGTA")</f>
        <v>ELVIRA GALES SALUGTA</v>
      </c>
      <c r="C471" s="1">
        <f>IFERROR(__xludf.DUMMYFUNCTION("""COMPUTED_VALUE"""),2312471369)</f>
        <v>2312471369</v>
      </c>
      <c r="D471" s="1">
        <f>IFERROR(__xludf.DUMMYFUNCTION("""COMPUTED_VALUE"""),407799585)</f>
        <v>407799585</v>
      </c>
      <c r="E471" s="1">
        <f>IFERROR(__xludf.DUMMYFUNCTION("""COMPUTED_VALUE"""),470676267004)</f>
        <v>470676267004</v>
      </c>
      <c r="F471" s="1" t="str">
        <f>IFERROR(__xludf.DUMMYFUNCTION("""COMPUTED_VALUE"""),"CANCELLED")</f>
        <v>CANCELLED</v>
      </c>
      <c r="G471" s="1" t="str">
        <f>IFERROR(__xludf.DUMMYFUNCTION("""COMPUTED_VALUE"""),"""CALLTHRU 
REMARKS: SUBS REQUIEST FOR CANCEL HINDI NDAW TUTULOY AT OCTOBER PADAW PO SILA BABALIK SA TAGAYTAY 
鈥嶵ALK: ELVIRA GALES SALUGTA 
鈥嶤BR: 09639042972""")</f>
        <v>"CALLTHRU 
REMARKS: SUBS REQUIEST FOR CANCEL HINDI NDAW TUTULOY AT OCTOBER PADAW PO SILA BABALIK SA TAGAYTAY 
鈥嶵ALK: ELVIRA GALES SALUGTA 
鈥嶤BR: 09639042972"</v>
      </c>
      <c r="H471" s="1"/>
      <c r="I471" s="1" t="str">
        <f>IFERROR(__xludf.DUMMYFUNCTION("""COMPUTED_VALUE"""),"NO 1 AMSF")</f>
        <v>NO 1 AMSF</v>
      </c>
      <c r="J471" s="1"/>
      <c r="K471" s="1" t="str">
        <f>IFERROR(__xludf.DUMMYFUNCTION("""COMPUTED_VALUE"""),"CANCELED")</f>
        <v>CANCELED</v>
      </c>
      <c r="L471" s="1" t="str">
        <f>IFERROR(__xludf.DUMMYFUNCTION("""COMPUTED_VALUE"""),"RPR - SUBS CANCEL REQUEST")</f>
        <v>RPR - SUBS CANCEL REQUEST</v>
      </c>
      <c r="M471" s="1" t="str">
        <f>IFERROR(__xludf.DUMMYFUNCTION("""COMPUTED_VALUE"""),"RPR- SUBS CANCEL REQUEST")</f>
        <v>RPR- SUBS CANCEL REQUEST</v>
      </c>
      <c r="N471" s="3"/>
      <c r="O471" s="1" t="str">
        <f>IFERROR(__xludf.DUMMYFUNCTION("""COMPUTED_VALUE"""),"FIBR PLAN 1299")</f>
        <v>FIBR PLAN 1299</v>
      </c>
      <c r="P471" s="1" t="str">
        <f>IFERROR(__xludf.DUMMYFUNCTION("""COMPUTED_VALUE"""),"LOWPLAN")</f>
        <v>LOWPLAN</v>
      </c>
      <c r="Q471" s="1" t="str">
        <f>IFERROR(__xludf.DUMMYFUNCTION("""COMPUTED_VALUE"""),"P407050")</f>
        <v>P407050</v>
      </c>
      <c r="R471" s="1" t="str">
        <f>IFERROR(__xludf.DUMMYFUNCTION("""COMPUTED_VALUE"""),"ESCARCHA, ALMA")</f>
        <v>ESCARCHA, ALMA</v>
      </c>
      <c r="S471" s="1" t="str">
        <f>IFERROR(__xludf.DUMMYFUNCTION("""COMPUTED_VALUE"""),"ORGANIC")</f>
        <v>ORGANIC</v>
      </c>
      <c r="T471" s="1" t="str">
        <f>IFERROR(__xludf.DUMMYFUNCTION("""COMPUTED_VALUE"""),"LEA REMOLLO")</f>
        <v>LEA REMOLLO</v>
      </c>
      <c r="U471" s="1" t="str">
        <f>IFERROR(__xludf.DUMMYFUNCTION("""COMPUTED_VALUE"""),"JB SALIOA")</f>
        <v>JB SALIOA</v>
      </c>
      <c r="V471" s="1" t="str">
        <f>IFERROR(__xludf.DUMMYFUNCTION("""COMPUTED_VALUE"""),"BK REGULAR")</f>
        <v>BK REGULAR</v>
      </c>
      <c r="W471" s="1" t="str">
        <f>IFERROR(__xludf.DUMMYFUNCTION("""COMPUTED_VALUE"""),"STK REGULAR")</f>
        <v>STK REGULAR</v>
      </c>
      <c r="X471" s="1" t="str">
        <f>IFERROR(__xludf.DUMMYFUNCTION("""COMPUTED_VALUE"""),"HBBS SEPT 2026")</f>
        <v>HBBS SEPT 2026</v>
      </c>
      <c r="Y471" s="1" t="str">
        <f>IFERROR(__xludf.DUMMYFUNCTION("""COMPUTED_VALUE"""),"BK_CVEU_260821")</f>
        <v>BK_CVEU_260821</v>
      </c>
      <c r="Z471" s="1" t="str">
        <f>IFERROR(__xludf.DUMMYFUNCTION("""COMPUTED_VALUE"""),"NEW CONNECT")</f>
        <v>NEW CONNECT</v>
      </c>
      <c r="AA471" s="1">
        <f>IFERROR(__xludf.DUMMYFUNCTION("""COMPUTED_VALUE"""),639639042972)</f>
        <v>639639042972</v>
      </c>
      <c r="AB471" s="1"/>
      <c r="AC471" s="1">
        <f>IFERROR(__xludf.DUMMYFUNCTION("""COMPUTED_VALUE"""),202)</f>
        <v>202</v>
      </c>
      <c r="AD471" s="1" t="str">
        <f>IFERROR(__xludf.DUMMYFUNCTION("""COMPUTED_VALUE"""),"TOLENTINO EAST")</f>
        <v>TOLENTINO EAST</v>
      </c>
      <c r="AE471" s="1"/>
      <c r="AF471" s="1" t="str">
        <f>IFERROR(__xludf.DUMMYFUNCTION("""COMPUTED_VALUE"""),"BGY TOLENTINO EAST")</f>
        <v>BGY TOLENTINO EAST</v>
      </c>
      <c r="AG471" s="1" t="str">
        <f>IFERROR(__xludf.DUMMYFUNCTION("""COMPUTED_VALUE"""),"TAGAYTAY")</f>
        <v>TAGAYTAY</v>
      </c>
      <c r="AH471" s="1" t="str">
        <f>IFERROR(__xludf.DUMMYFUNCTION("""COMPUTED_VALUE"""),"VELROSE GARDEN ")</f>
        <v>VELROSE GARDEN </v>
      </c>
      <c r="AI471" s="1" t="str">
        <f>IFERROR(__xludf.DUMMYFUNCTION("""COMPUTED_VALUE"""),"CLUSTER 12")</f>
        <v>CLUSTER 12</v>
      </c>
    </row>
    <row r="472" customHeight="1" spans="1:35">
      <c r="A472" s="3">
        <f>IFERROR(__xludf.DUMMYFUNCTION("""COMPUTED_VALUE"""),46274)</f>
        <v>46274</v>
      </c>
      <c r="B472" s="1" t="str">
        <f>IFERROR(__xludf.DUMMYFUNCTION("""COMPUTED_VALUE"""),"KARLA ALELI GALIT YAYA")</f>
        <v>KARLA ALELI GALIT YAYA</v>
      </c>
      <c r="C472" s="1">
        <f>IFERROR(__xludf.DUMMYFUNCTION("""COMPUTED_VALUE"""),2312471529)</f>
        <v>2312471529</v>
      </c>
      <c r="D472" s="1">
        <f>IFERROR(__xludf.DUMMYFUNCTION("""COMPUTED_VALUE"""),407791584)</f>
        <v>407791584</v>
      </c>
      <c r="E472" s="1">
        <f>IFERROR(__xludf.DUMMYFUNCTION("""COMPUTED_VALUE"""),470672971004)</f>
        <v>470672971004</v>
      </c>
      <c r="F472" s="1" t="str">
        <f>IFERROR(__xludf.DUMMYFUNCTION("""COMPUTED_VALUE"""),"CLOSED")</f>
        <v>CLOSED</v>
      </c>
      <c r="G472" s="1" t="str">
        <f>IFERROR(__xludf.DUMMYFUNCTION("""COMPUTED_VALUE"""),"CLOSED")</f>
        <v>CLOSED</v>
      </c>
      <c r="H472" s="1" t="str">
        <f>IFERROR(__xludf.DUMMYFUNCTION("""COMPUTED_VALUE"""),"PQGOR363899968	13-Sep-26	Regular Payment	ECPAY - SHOPEE	1,549.00	0	13-Sep-26")</f>
        <v>PQGOR363899968	13-Sep-26	Regular Payment	ECPAY - SHOPEE	1,549.00	0	13-Sep-26</v>
      </c>
      <c r="I472" s="1" t="str">
        <f>IFERROR(__xludf.DUMMYFUNCTION("""COMPUTED_VALUE"""),"WITH 1 AMSF")</f>
        <v>WITH 1 AMSF</v>
      </c>
      <c r="J472" s="1" t="str">
        <f>IFERROR(__xludf.DUMMYFUNCTION("""COMPUTED_VALUE"""),"PRORATED - : 145.07")</f>
        <v>PRORATED - : 145.07</v>
      </c>
      <c r="K472" s="1" t="str">
        <f>IFERROR(__xludf.DUMMYFUNCTION("""COMPUTED_VALUE"""),"COMPLETED")</f>
        <v>COMPLETED</v>
      </c>
      <c r="L472" s="1" t="str">
        <f>IFERROR(__xludf.DUMMYFUNCTION("""COMPUTED_VALUE"""),"POSTED")</f>
        <v>POSTED</v>
      </c>
      <c r="M472" s="1" t="str">
        <f>IFERROR(__xludf.DUMMYFUNCTION("""COMPUTED_VALUE"""),"POSTED")</f>
        <v>POSTED</v>
      </c>
      <c r="N472" s="3">
        <f>IFERROR(__xludf.DUMMYFUNCTION("""COMPUTED_VALUE"""),46275)</f>
        <v>46275</v>
      </c>
      <c r="O472" s="1" t="str">
        <f>IFERROR(__xludf.DUMMYFUNCTION("""COMPUTED_VALUE"""),"FIBER UNLI ALL PLAN 1499")</f>
        <v>FIBER UNLI ALL PLAN 1499</v>
      </c>
      <c r="P472" s="1" t="str">
        <f>IFERROR(__xludf.DUMMYFUNCTION("""COMPUTED_VALUE"""),"LOWPLAN")</f>
        <v>LOWPLAN</v>
      </c>
      <c r="Q472" s="1" t="str">
        <f>IFERROR(__xludf.DUMMYFUNCTION("""COMPUTED_VALUE"""),"P407517")</f>
        <v>P407517</v>
      </c>
      <c r="R472" s="1" t="str">
        <f>IFERROR(__xludf.DUMMYFUNCTION("""COMPUTED_VALUE"""),"GABAY, MANUEL")</f>
        <v>GABAY, MANUEL</v>
      </c>
      <c r="S472" s="1" t="str">
        <f>IFERROR(__xludf.DUMMYFUNCTION("""COMPUTED_VALUE"""),"FLA")</f>
        <v>FLA</v>
      </c>
      <c r="T472" s="1" t="str">
        <f>IFERROR(__xludf.DUMMYFUNCTION("""COMPUTED_VALUE"""),"JERIC NAVARRO")</f>
        <v>JERIC NAVARRO</v>
      </c>
      <c r="U472" s="1" t="str">
        <f>IFERROR(__xludf.DUMMYFUNCTION("""COMPUTED_VALUE"""),"JB SALIOA")</f>
        <v>JB SALIOA</v>
      </c>
      <c r="V472" s="1" t="str">
        <f>IFERROR(__xludf.DUMMYFUNCTION("""COMPUTED_VALUE"""),"BK REGULAR")</f>
        <v>BK REGULAR</v>
      </c>
      <c r="W472" s="1" t="str">
        <f>IFERROR(__xludf.DUMMYFUNCTION("""COMPUTED_VALUE"""),"STK REGULAR")</f>
        <v>STK REGULAR</v>
      </c>
      <c r="X472" s="1" t="str">
        <f>IFERROR(__xludf.DUMMYFUNCTION("""COMPUTED_VALUE"""),"HBBS SEPT 2026")</f>
        <v>HBBS SEPT 2026</v>
      </c>
      <c r="Y472" s="1" t="str">
        <f>IFERROR(__xludf.DUMMYFUNCTION("""COMPUTED_VALUE"""),"BK_CVEU_260820")</f>
        <v>BK_CVEU_260820</v>
      </c>
      <c r="Z472" s="1" t="str">
        <f>IFERROR(__xludf.DUMMYFUNCTION("""COMPUTED_VALUE"""),"NEW CONNECT")</f>
        <v>NEW CONNECT</v>
      </c>
      <c r="AA472" s="1">
        <f>IFERROR(__xludf.DUMMYFUNCTION("""COMPUTED_VALUE"""),639608933805)</f>
        <v>639608933805</v>
      </c>
      <c r="AB472" s="1">
        <f>IFERROR(__xludf.DUMMYFUNCTION("""COMPUTED_VALUE"""),639219952724)</f>
        <v>639219952724</v>
      </c>
      <c r="AC472" s="1">
        <f>IFERROR(__xludf.DUMMYFUNCTION("""COMPUTED_VALUE"""),75)</f>
        <v>75</v>
      </c>
      <c r="AD472" s="1" t="str">
        <f>IFERROR(__xludf.DUMMYFUNCTION("""COMPUTED_VALUE"""),"1ST")</f>
        <v>1ST</v>
      </c>
      <c r="AE472" s="1" t="str">
        <f>IFERROR(__xludf.DUMMYFUNCTION("""COMPUTED_VALUE"""),"PUROK 6")</f>
        <v>PUROK 6</v>
      </c>
      <c r="AF472" s="1" t="str">
        <f>IFERROR(__xludf.DUMMYFUNCTION("""COMPUTED_VALUE"""),"BGY BALUBAD")</f>
        <v>BGY BALUBAD</v>
      </c>
      <c r="AG472" s="1" t="str">
        <f>IFERROR(__xludf.DUMMYFUNCTION("""COMPUTED_VALUE"""),"SILANG")</f>
        <v>SILANG</v>
      </c>
      <c r="AH472" s="1" t="str">
        <f>IFERROR(__xludf.DUMMYFUNCTION("""COMPUTED_VALUE"""),"-")</f>
        <v>-</v>
      </c>
      <c r="AI472" s="1" t="str">
        <f>IFERROR(__xludf.DUMMYFUNCTION("""COMPUTED_VALUE"""),"CLUSTER 11")</f>
        <v>CLUSTER 11</v>
      </c>
    </row>
    <row r="473" customHeight="1" spans="1:35">
      <c r="A473" s="3">
        <f>IFERROR(__xludf.DUMMYFUNCTION("""COMPUTED_VALUE"""),46274)</f>
        <v>46274</v>
      </c>
      <c r="B473" s="1" t="str">
        <f>IFERROR(__xludf.DUMMYFUNCTION("""COMPUTED_VALUE"""),"EMERSON LICOTO ACOPIO")</f>
        <v>EMERSON LICOTO ACOPIO</v>
      </c>
      <c r="C473" s="1">
        <f>IFERROR(__xludf.DUMMYFUNCTION("""COMPUTED_VALUE"""),2312472412)</f>
        <v>2312472412</v>
      </c>
      <c r="D473" s="1">
        <f>IFERROR(__xludf.DUMMYFUNCTION("""COMPUTED_VALUE"""),407796276)</f>
        <v>407796276</v>
      </c>
      <c r="E473" s="1">
        <f>IFERROR(__xludf.DUMMYFUNCTION("""COMPUTED_VALUE"""),470674615004)</f>
        <v>470674615004</v>
      </c>
      <c r="F473" s="1" t="str">
        <f>IFERROR(__xludf.DUMMYFUNCTION("""COMPUTED_VALUE"""),"CLOSED")</f>
        <v>CLOSED</v>
      </c>
      <c r="G473" s="1" t="str">
        <f>IFERROR(__xludf.DUMMYFUNCTION("""COMPUTED_VALUE"""),"CLOSED")</f>
        <v>CLOSED</v>
      </c>
      <c r="H473" s="1"/>
      <c r="I473" s="1" t="str">
        <f>IFERROR(__xludf.DUMMYFUNCTION("""COMPUTED_VALUE"""),"NO 1 AMSF")</f>
        <v>NO 1 AMSF</v>
      </c>
      <c r="J473" s="1" t="str">
        <f>IFERROR(__xludf.DUMMYFUNCTION("""COMPUTED_VALUE"""),"DUE DATE - 05-Oct-26- 1,466.81")</f>
        <v>DUE DATE - 05-Oct-26- 1,466.81</v>
      </c>
      <c r="K473" s="1" t="str">
        <f>IFERROR(__xludf.DUMMYFUNCTION("""COMPUTED_VALUE"""),"COMPLETED")</f>
        <v>COMPLETED</v>
      </c>
      <c r="L473" s="1" t="str">
        <f>IFERROR(__xludf.DUMMYFUNCTION("""COMPUTED_VALUE"""),"POSTED")</f>
        <v>POSTED</v>
      </c>
      <c r="M473" s="1" t="str">
        <f>IFERROR(__xludf.DUMMYFUNCTION("""COMPUTED_VALUE"""),"POSTED")</f>
        <v>POSTED</v>
      </c>
      <c r="N473" s="3">
        <f>IFERROR(__xludf.DUMMYFUNCTION("""COMPUTED_VALUE"""),46275)</f>
        <v>46275</v>
      </c>
      <c r="O473" s="1" t="str">
        <f>IFERROR(__xludf.DUMMYFUNCTION("""COMPUTED_VALUE"""),"FIBR PLAN 1299")</f>
        <v>FIBR PLAN 1299</v>
      </c>
      <c r="P473" s="1" t="str">
        <f>IFERROR(__xludf.DUMMYFUNCTION("""COMPUTED_VALUE"""),"LOWPLAN")</f>
        <v>LOWPLAN</v>
      </c>
      <c r="Q473" s="1" t="str">
        <f>IFERROR(__xludf.DUMMYFUNCTION("""COMPUTED_VALUE"""),"P407047")</f>
        <v>P407047</v>
      </c>
      <c r="R473" s="1" t="str">
        <f>IFERROR(__xludf.DUMMYFUNCTION("""COMPUTED_VALUE"""),"FRANCISCO, ROSELYN")</f>
        <v>FRANCISCO, ROSELYN</v>
      </c>
      <c r="S473" s="1" t="str">
        <f>IFERROR(__xludf.DUMMYFUNCTION("""COMPUTED_VALUE"""),"ORGANIC")</f>
        <v>ORGANIC</v>
      </c>
      <c r="T473" s="1" t="str">
        <f>IFERROR(__xludf.DUMMYFUNCTION("""COMPUTED_VALUE"""),"LEA REMOLLO")</f>
        <v>LEA REMOLLO</v>
      </c>
      <c r="U473" s="1" t="str">
        <f>IFERROR(__xludf.DUMMYFUNCTION("""COMPUTED_VALUE"""),"JB SALIOA")</f>
        <v>JB SALIOA</v>
      </c>
      <c r="V473" s="1" t="str">
        <f>IFERROR(__xludf.DUMMYFUNCTION("""COMPUTED_VALUE"""),"ONLINE/CRANFORD")</f>
        <v>ONLINE/CRANFORD</v>
      </c>
      <c r="W473" s="1" t="str">
        <f>IFERROR(__xludf.DUMMYFUNCTION("""COMPUTED_VALUE"""),"STK REGULAR")</f>
        <v>STK REGULAR</v>
      </c>
      <c r="X473" s="1" t="str">
        <f>IFERROR(__xludf.DUMMYFUNCTION("""COMPUTED_VALUE"""),"HBBS SEPT 2026")</f>
        <v>HBBS SEPT 2026</v>
      </c>
      <c r="Y473" s="1" t="str">
        <f>IFERROR(__xludf.DUMMYFUNCTION("""COMPUTED_VALUE"""),"RS_ONL_CVEU_2026")</f>
        <v>RS_ONL_CVEU_2026</v>
      </c>
      <c r="Z473" s="1" t="str">
        <f>IFERROR(__xludf.DUMMYFUNCTION("""COMPUTED_VALUE"""),"NEW CONNECT")</f>
        <v>NEW CONNECT</v>
      </c>
      <c r="AA473" s="1">
        <f>IFERROR(__xludf.DUMMYFUNCTION("""COMPUTED_VALUE"""),639241692372)</f>
        <v>639241692372</v>
      </c>
      <c r="AB473" s="1"/>
      <c r="AC473" s="1"/>
      <c r="AD473" s="1" t="str">
        <f>IFERROR(__xludf.DUMMYFUNCTION("""COMPUTED_VALUE"""),"SECTION 13")</f>
        <v>SECTION 13</v>
      </c>
      <c r="AE473" s="1" t="str">
        <f>IFERROR(__xludf.DUMMYFUNCTION("""COMPUTED_VALUE"""),"PABAHAY 2000")</f>
        <v>PABAHAY 2000</v>
      </c>
      <c r="AF473" s="1" t="str">
        <f>IFERROR(__xludf.DUMMYFUNCTION("""COMPUTED_VALUE"""),"BGY PARADAHAN 2")</f>
        <v>BGY PARADAHAN 2</v>
      </c>
      <c r="AG473" s="1" t="str">
        <f>IFERROR(__xludf.DUMMYFUNCTION("""COMPUTED_VALUE"""),"TANZA")</f>
        <v>TANZA</v>
      </c>
      <c r="AH473" s="1" t="str">
        <f>IFERROR(__xludf.DUMMYFUNCTION("""COMPUTED_VALUE"""),"EFREN SARISARI STORE")</f>
        <v>EFREN SARISARI STORE</v>
      </c>
      <c r="AI473" s="1" t="str">
        <f>IFERROR(__xludf.DUMMYFUNCTION("""COMPUTED_VALUE"""),"NOT AOR")</f>
        <v>NOT AOR</v>
      </c>
    </row>
    <row r="474" customHeight="1" spans="1:35">
      <c r="A474" s="3">
        <f>IFERROR(__xludf.DUMMYFUNCTION("""COMPUTED_VALUE"""),46274)</f>
        <v>46274</v>
      </c>
      <c r="B474" s="1" t="str">
        <f>IFERROR(__xludf.DUMMYFUNCTION("""COMPUTED_VALUE"""),"LEVI JOHN FLORES PEDRINA")</f>
        <v>LEVI JOHN FLORES PEDRINA</v>
      </c>
      <c r="C474" s="1">
        <f>IFERROR(__xludf.DUMMYFUNCTION("""COMPUTED_VALUE"""),2312472010)</f>
        <v>2312472010</v>
      </c>
      <c r="D474" s="1">
        <f>IFERROR(__xludf.DUMMYFUNCTION("""COMPUTED_VALUE"""),407798090)</f>
        <v>407798090</v>
      </c>
      <c r="E474" s="1">
        <f>IFERROR(__xludf.DUMMYFUNCTION("""COMPUTED_VALUE"""),470675214004)</f>
        <v>470675214004</v>
      </c>
      <c r="F474" s="1" t="str">
        <f>IFERROR(__xludf.DUMMYFUNCTION("""COMPUTED_VALUE"""),"CLOSED")</f>
        <v>CLOSED</v>
      </c>
      <c r="G474" s="1" t="str">
        <f>IFERROR(__xludf.DUMMYFUNCTION("""COMPUTED_VALUE"""),"CLOSED")</f>
        <v>CLOSED</v>
      </c>
      <c r="H474" s="1" t="str">
        <f>IFERROR(__xludf.DUMMYFUNCTION("""COMPUTED_VALUE"""),"PAID THRU GCASH REF# 789593574 9/16/26")</f>
        <v>PAID THRU GCASH REF# 789593574 9/16/26</v>
      </c>
      <c r="I474" s="1" t="str">
        <f>IFERROR(__xludf.DUMMYFUNCTION("""COMPUTED_VALUE"""),"WITH 1 AMSF")</f>
        <v>WITH 1 AMSF</v>
      </c>
      <c r="J474" s="1"/>
      <c r="K474" s="1" t="str">
        <f>IFERROR(__xludf.DUMMYFUNCTION("""COMPUTED_VALUE"""),"COMPLETED")</f>
        <v>COMPLETED</v>
      </c>
      <c r="L474" s="1" t="str">
        <f>IFERROR(__xludf.DUMMYFUNCTION("""COMPUTED_VALUE"""),"POSTED")</f>
        <v>POSTED</v>
      </c>
      <c r="M474" s="1" t="str">
        <f>IFERROR(__xludf.DUMMYFUNCTION("""COMPUTED_VALUE"""),"POSTED")</f>
        <v>POSTED</v>
      </c>
      <c r="N474" s="3">
        <f>IFERROR(__xludf.DUMMYFUNCTION("""COMPUTED_VALUE"""),46275)</f>
        <v>46275</v>
      </c>
      <c r="O474" s="1" t="str">
        <f>IFERROR(__xludf.DUMMYFUNCTION("""COMPUTED_VALUE"""),"FIBR PLAN 1299")</f>
        <v>FIBR PLAN 1299</v>
      </c>
      <c r="P474" s="1" t="str">
        <f>IFERROR(__xludf.DUMMYFUNCTION("""COMPUTED_VALUE"""),"LOWPLAN")</f>
        <v>LOWPLAN</v>
      </c>
      <c r="Q474" s="1" t="str">
        <f>IFERROR(__xludf.DUMMYFUNCTION("""COMPUTED_VALUE"""),"P407520")</f>
        <v>P407520</v>
      </c>
      <c r="R474" s="1" t="str">
        <f>IFERROR(__xludf.DUMMYFUNCTION("""COMPUTED_VALUE"""),"MALIWAT, MARK")</f>
        <v>MALIWAT, MARK</v>
      </c>
      <c r="S474" s="1" t="str">
        <f>IFERROR(__xludf.DUMMYFUNCTION("""COMPUTED_VALUE"""),"FLA")</f>
        <v>FLA</v>
      </c>
      <c r="T474" s="1" t="str">
        <f>IFERROR(__xludf.DUMMYFUNCTION("""COMPUTED_VALUE"""),"JERIC NAVARRO")</f>
        <v>JERIC NAVARRO</v>
      </c>
      <c r="U474" s="1" t="str">
        <f>IFERROR(__xludf.DUMMYFUNCTION("""COMPUTED_VALUE"""),"MARK MALIWAT")</f>
        <v>MARK MALIWAT</v>
      </c>
      <c r="V474" s="1" t="str">
        <f>IFERROR(__xludf.DUMMYFUNCTION("""COMPUTED_VALUE"""),"ONLINE/CRANFORD")</f>
        <v>ONLINE/CRANFORD</v>
      </c>
      <c r="W474" s="1" t="str">
        <f>IFERROR(__xludf.DUMMYFUNCTION("""COMPUTED_VALUE"""),"STK REGULAR")</f>
        <v>STK REGULAR</v>
      </c>
      <c r="X474" s="1" t="str">
        <f>IFERROR(__xludf.DUMMYFUNCTION("""COMPUTED_VALUE"""),"HBBS SEPT 2026")</f>
        <v>HBBS SEPT 2026</v>
      </c>
      <c r="Y474" s="1" t="str">
        <f>IFERROR(__xludf.DUMMYFUNCTION("""COMPUTED_VALUE"""),"RS_ONL_CVEU_2026")</f>
        <v>RS_ONL_CVEU_2026</v>
      </c>
      <c r="Z474" s="1" t="str">
        <f>IFERROR(__xludf.DUMMYFUNCTION("""COMPUTED_VALUE"""),"NEW CONNECT")</f>
        <v>NEW CONNECT</v>
      </c>
      <c r="AA474" s="1">
        <f>IFERROR(__xludf.DUMMYFUNCTION("""COMPUTED_VALUE"""),639087562906)</f>
        <v>639087562906</v>
      </c>
      <c r="AB474" s="1"/>
      <c r="AC474" s="1"/>
      <c r="AD474" s="1" t="str">
        <f>IFERROR(__xludf.DUMMYFUNCTION("""COMPUTED_VALUE"""),"SAN NICOLAS 1")</f>
        <v>SAN NICOLAS 1</v>
      </c>
      <c r="AE474" s="1"/>
      <c r="AF474" s="1" t="str">
        <f>IFERROR(__xludf.DUMMYFUNCTION("""COMPUTED_VALUE"""),"BGY SAN NICOLAS 1")</f>
        <v>BGY SAN NICOLAS 1</v>
      </c>
      <c r="AG474" s="1" t="str">
        <f>IFERROR(__xludf.DUMMYFUNCTION("""COMPUTED_VALUE"""),"DASMARINAS")</f>
        <v>DASMARINAS</v>
      </c>
      <c r="AH474" s="1" t="str">
        <f>IFERROR(__xludf.DUMMYFUNCTION("""COMPUTED_VALUE"""),"BARANGAY HALL")</f>
        <v>BARANGAY HALL</v>
      </c>
      <c r="AI474" s="1" t="str">
        <f>IFERROR(__xludf.DUMMYFUNCTION("""COMPUTED_VALUE"""),"NOT AOR")</f>
        <v>NOT AOR</v>
      </c>
    </row>
    <row r="475" customHeight="1" spans="1:35">
      <c r="A475" s="3">
        <f>IFERROR(__xludf.DUMMYFUNCTION("""COMPUTED_VALUE"""),46274)</f>
        <v>46274</v>
      </c>
      <c r="B475" s="1" t="str">
        <f>IFERROR(__xludf.DUMMYFUNCTION("""COMPUTED_VALUE"""),"KENNETH DIMAPILIS VICEDO")</f>
        <v>KENNETH DIMAPILIS VICEDO</v>
      </c>
      <c r="C475" s="1">
        <f>IFERROR(__xludf.DUMMYFUNCTION("""COMPUTED_VALUE"""),2312473865)</f>
        <v>2312473865</v>
      </c>
      <c r="D475" s="1">
        <f>IFERROR(__xludf.DUMMYFUNCTION("""COMPUTED_VALUE"""),407796845)</f>
        <v>407796845</v>
      </c>
      <c r="E475" s="1">
        <f>IFERROR(__xludf.DUMMYFUNCTION("""COMPUTED_VALUE"""),470674916004)</f>
        <v>470674916004</v>
      </c>
      <c r="F475" s="1" t="str">
        <f>IFERROR(__xludf.DUMMYFUNCTION("""COMPUTED_VALUE"""),"CLOSED")</f>
        <v>CLOSED</v>
      </c>
      <c r="G475" s="1" t="str">
        <f>IFERROR(__xludf.DUMMYFUNCTION("""COMPUTED_VALUE"""),"CLOSED")</f>
        <v>CLOSED</v>
      </c>
      <c r="H475" s="1" t="str">
        <f>IFERROR(__xludf.DUMMYFUNCTION("""COMPUTED_VALUE"""),"PAID THRU GCASH 624483428 SEP 14")</f>
        <v>PAID THRU GCASH 624483428 SEP 14</v>
      </c>
      <c r="I475" s="1" t="str">
        <f>IFERROR(__xludf.DUMMYFUNCTION("""COMPUTED_VALUE"""),"WITH 1 AMSF")</f>
        <v>WITH 1 AMSF</v>
      </c>
      <c r="J475" s="1"/>
      <c r="K475" s="1" t="str">
        <f>IFERROR(__xludf.DUMMYFUNCTION("""COMPUTED_VALUE"""),"COMPLETED")</f>
        <v>COMPLETED</v>
      </c>
      <c r="L475" s="1" t="str">
        <f>IFERROR(__xludf.DUMMYFUNCTION("""COMPUTED_VALUE"""),"POSTED")</f>
        <v>POSTED</v>
      </c>
      <c r="M475" s="1" t="str">
        <f>IFERROR(__xludf.DUMMYFUNCTION("""COMPUTED_VALUE"""),"POSTED")</f>
        <v>POSTED</v>
      </c>
      <c r="N475" s="3">
        <f>IFERROR(__xludf.DUMMYFUNCTION("""COMPUTED_VALUE"""),46275)</f>
        <v>46275</v>
      </c>
      <c r="O475" s="1" t="str">
        <f>IFERROR(__xludf.DUMMYFUNCTION("""COMPUTED_VALUE"""),"FIBR UNLI ALL PLAN 999")</f>
        <v>FIBR UNLI ALL PLAN 999</v>
      </c>
      <c r="P475" s="1" t="str">
        <f>IFERROR(__xludf.DUMMYFUNCTION("""COMPUTED_VALUE"""),"LOWPLAN")</f>
        <v>LOWPLAN</v>
      </c>
      <c r="Q475" s="1" t="str">
        <f>IFERROR(__xludf.DUMMYFUNCTION("""COMPUTED_VALUE"""),"P407520")</f>
        <v>P407520</v>
      </c>
      <c r="R475" s="1" t="str">
        <f>IFERROR(__xludf.DUMMYFUNCTION("""COMPUTED_VALUE"""),"MALIWAT, MARK")</f>
        <v>MALIWAT, MARK</v>
      </c>
      <c r="S475" s="1" t="str">
        <f>IFERROR(__xludf.DUMMYFUNCTION("""COMPUTED_VALUE"""),"FLA")</f>
        <v>FLA</v>
      </c>
      <c r="T475" s="1" t="str">
        <f>IFERROR(__xludf.DUMMYFUNCTION("""COMPUTED_VALUE"""),"JERIC NAVARRO")</f>
        <v>JERIC NAVARRO</v>
      </c>
      <c r="U475" s="1" t="str">
        <f>IFERROR(__xludf.DUMMYFUNCTION("""COMPUTED_VALUE"""),"MARK MALIWAT")</f>
        <v>MARK MALIWAT</v>
      </c>
      <c r="V475" s="1" t="str">
        <f>IFERROR(__xludf.DUMMYFUNCTION("""COMPUTED_VALUE"""),"ONLINE/CRANFORD")</f>
        <v>ONLINE/CRANFORD</v>
      </c>
      <c r="W475" s="1" t="str">
        <f>IFERROR(__xludf.DUMMYFUNCTION("""COMPUTED_VALUE"""),"STK REGULAR")</f>
        <v>STK REGULAR</v>
      </c>
      <c r="X475" s="1" t="str">
        <f>IFERROR(__xludf.DUMMYFUNCTION("""COMPUTED_VALUE"""),"REGULAR")</f>
        <v>REGULAR</v>
      </c>
      <c r="Y475" s="1" t="str">
        <f>IFERROR(__xludf.DUMMYFUNCTION("""COMPUTED_VALUE"""),"RS_ONL_CVEU_2026")</f>
        <v>RS_ONL_CVEU_2026</v>
      </c>
      <c r="Z475" s="1" t="str">
        <f>IFERROR(__xludf.DUMMYFUNCTION("""COMPUTED_VALUE"""),"NEW CONNECT")</f>
        <v>NEW CONNECT</v>
      </c>
      <c r="AA475" s="1">
        <f>IFERROR(__xludf.DUMMYFUNCTION("""COMPUTED_VALUE"""),639554508544)</f>
        <v>639554508544</v>
      </c>
      <c r="AB475" s="1">
        <f>IFERROR(__xludf.DUMMYFUNCTION("""COMPUTED_VALUE"""),639464194264)</f>
        <v>639464194264</v>
      </c>
      <c r="AC475" s="1"/>
      <c r="AD475" s="1" t="str">
        <f>IFERROR(__xludf.DUMMYFUNCTION("""COMPUTED_VALUE"""),"KAYTITINGA MAGALLANES")</f>
        <v>KAYTITINGA MAGALLANES</v>
      </c>
      <c r="AE475" s="1" t="str">
        <f>IFERROR(__xludf.DUMMYFUNCTION("""COMPUTED_VALUE"""),"PUROK 4")</f>
        <v>PUROK 4</v>
      </c>
      <c r="AF475" s="1" t="str">
        <f>IFERROR(__xludf.DUMMYFUNCTION("""COMPUTED_VALUE"""),"BGY KAYTITINGA 2")</f>
        <v>BGY KAYTITINGA 2</v>
      </c>
      <c r="AG475" s="1" t="str">
        <f>IFERROR(__xludf.DUMMYFUNCTION("""COMPUTED_VALUE"""),"ALFONSO")</f>
        <v>ALFONSO</v>
      </c>
      <c r="AH475" s="1" t="str">
        <f>IFERROR(__xludf.DUMMYFUNCTION("""COMPUTED_VALUE"""),"BARANGAY HALL")</f>
        <v>BARANGAY HALL</v>
      </c>
      <c r="AI475" s="1" t="str">
        <f>IFERROR(__xludf.DUMMYFUNCTION("""COMPUTED_VALUE"""),"CLUSTER 12")</f>
        <v>CLUSTER 12</v>
      </c>
    </row>
    <row r="476" customHeight="1" spans="1:35">
      <c r="A476" s="3">
        <f>IFERROR(__xludf.DUMMYFUNCTION("""COMPUTED_VALUE"""),46274)</f>
        <v>46274</v>
      </c>
      <c r="B476" s="1" t="str">
        <f>IFERROR(__xludf.DUMMYFUNCTION("""COMPUTED_VALUE"""),"MERY JEAN POCAAN CASTRO")</f>
        <v>MERY JEAN POCAAN CASTRO</v>
      </c>
      <c r="C476" s="1">
        <f>IFERROR(__xludf.DUMMYFUNCTION("""COMPUTED_VALUE"""),2312474494)</f>
        <v>2312474494</v>
      </c>
      <c r="D476" s="1">
        <f>IFERROR(__xludf.DUMMYFUNCTION("""COMPUTED_VALUE"""),407804791)</f>
        <v>407804791</v>
      </c>
      <c r="E476" s="1">
        <f>IFERROR(__xludf.DUMMYFUNCTION("""COMPUTED_VALUE"""),470687040004)</f>
        <v>470687040004</v>
      </c>
      <c r="F476" s="1" t="str">
        <f>IFERROR(__xludf.DUMMYFUNCTION("""COMPUTED_VALUE"""),"RPR")</f>
        <v>RPR</v>
      </c>
      <c r="G476" s="1" t="str">
        <f>IFERROR(__xludf.DUMMYFUNCTION("""COMPUTED_VALUE"""),"""RPR
PID:470687040004
SUBS:MERY JEAN POCAAN CASTRO
REMARK:ALL NEAREST CAFAC IS FULL
TMSLP133NP8 F
TMSLP133NP7 F
TMSLP133NP1 F""")</f>
        <v>"RPR
PID:470687040004
SUBS:MERY JEAN POCAAN CASTRO
REMARK:ALL NEAREST CAFAC IS FULL
TMSLP133NP8 F
TMSLP133NP7 F
TMSLP133NP1 F"</v>
      </c>
      <c r="H476" s="1"/>
      <c r="I476" s="1"/>
      <c r="J476" s="1"/>
      <c r="K476" s="1" t="str">
        <f>IFERROR(__xludf.DUMMYFUNCTION("""COMPUTED_VALUE"""),"CANCELED")</f>
        <v>CANCELED</v>
      </c>
      <c r="L476" s="1" t="str">
        <f>IFERROR(__xludf.DUMMYFUNCTION("""COMPUTED_VALUE"""),"RPR - NAP FULL")</f>
        <v>RPR - NAP FULL</v>
      </c>
      <c r="M476" s="1" t="str">
        <f>IFERROR(__xludf.DUMMYFUNCTION("""COMPUTED_VALUE"""),"RPR- NAP FULL")</f>
        <v>RPR- NAP FULL</v>
      </c>
      <c r="N476" s="3"/>
      <c r="O476" s="1" t="str">
        <f>IFERROR(__xludf.DUMMYFUNCTION("""COMPUTED_VALUE"""),"FIBR PLAN 1299")</f>
        <v>FIBR PLAN 1299</v>
      </c>
      <c r="P476" s="1" t="str">
        <f>IFERROR(__xludf.DUMMYFUNCTION("""COMPUTED_VALUE"""),"LOWPLAN")</f>
        <v>LOWPLAN</v>
      </c>
      <c r="Q476" s="1" t="str">
        <f>IFERROR(__xludf.DUMMYFUNCTION("""COMPUTED_VALUE"""),"P407048")</f>
        <v>P407048</v>
      </c>
      <c r="R476" s="1" t="str">
        <f>IFERROR(__xludf.DUMMYFUNCTION("""COMPUTED_VALUE"""),"MORADOS, MARVIN")</f>
        <v>MORADOS, MARVIN</v>
      </c>
      <c r="S476" s="1" t="str">
        <f>IFERROR(__xludf.DUMMYFUNCTION("""COMPUTED_VALUE"""),"ORGANIC")</f>
        <v>ORGANIC</v>
      </c>
      <c r="T476" s="1" t="str">
        <f>IFERROR(__xludf.DUMMYFUNCTION("""COMPUTED_VALUE"""),"GARCIA MICHAEL JETTS")</f>
        <v>GARCIA MICHAEL JETTS</v>
      </c>
      <c r="U476" s="1" t="str">
        <f>IFERROR(__xludf.DUMMYFUNCTION("""COMPUTED_VALUE"""),"JB SALIOA")</f>
        <v>JB SALIOA</v>
      </c>
      <c r="V476" s="1" t="str">
        <f>IFERROR(__xludf.DUMMYFUNCTION("""COMPUTED_VALUE"""),"ONLINE/CRANFORD")</f>
        <v>ONLINE/CRANFORD</v>
      </c>
      <c r="W476" s="1" t="str">
        <f>IFERROR(__xludf.DUMMYFUNCTION("""COMPUTED_VALUE"""),"STK REGULAR")</f>
        <v>STK REGULAR</v>
      </c>
      <c r="X476" s="1" t="str">
        <f>IFERROR(__xludf.DUMMYFUNCTION("""COMPUTED_VALUE"""),"HBBS SEPT 2026")</f>
        <v>HBBS SEPT 2026</v>
      </c>
      <c r="Y476" s="1" t="str">
        <f>IFERROR(__xludf.DUMMYFUNCTION("""COMPUTED_VALUE"""),"RS_ONL_CVEU_2026")</f>
        <v>RS_ONL_CVEU_2026</v>
      </c>
      <c r="Z476" s="1" t="str">
        <f>IFERROR(__xludf.DUMMYFUNCTION("""COMPUTED_VALUE"""),"NEW CONNECT")</f>
        <v>NEW CONNECT</v>
      </c>
      <c r="AA476" s="1">
        <f>IFERROR(__xludf.DUMMYFUNCTION("""COMPUTED_VALUE"""),639554062319)</f>
        <v>639554062319</v>
      </c>
      <c r="AB476" s="1">
        <f>IFERROR(__xludf.DUMMYFUNCTION("""COMPUTED_VALUE"""),639174321637)</f>
        <v>639174321637</v>
      </c>
      <c r="AC476" s="1"/>
      <c r="AD476" s="1" t="str">
        <f>IFERROR(__xludf.DUMMYFUNCTION("""COMPUTED_VALUE"""),"PHASE 1")</f>
        <v>PHASE 1</v>
      </c>
      <c r="AE476" s="1" t="str">
        <f>IFERROR(__xludf.DUMMYFUNCTION("""COMPUTED_VALUE"""),"GOLDEN HORIZON")</f>
        <v>GOLDEN HORIZON</v>
      </c>
      <c r="AF476" s="1" t="str">
        <f>IFERROR(__xludf.DUMMYFUNCTION("""COMPUTED_VALUE"""),"BGY HUGO PEREZ")</f>
        <v>BGY HUGO PEREZ</v>
      </c>
      <c r="AG476" s="1" t="str">
        <f>IFERROR(__xludf.DUMMYFUNCTION("""COMPUTED_VALUE"""),"TRECE MARTIREZ CITY")</f>
        <v>TRECE MARTIREZ CITY</v>
      </c>
      <c r="AH476" s="1" t="str">
        <f>IFERROR(__xludf.DUMMYFUNCTION("""COMPUTED_VALUE"""),"PHASE 1")</f>
        <v>PHASE 1</v>
      </c>
      <c r="AI476" s="1" t="str">
        <f>IFERROR(__xludf.DUMMYFUNCTION("""COMPUTED_VALUE"""),"NOT AOR")</f>
        <v>NOT AOR</v>
      </c>
    </row>
    <row r="477" customHeight="1" spans="1:35">
      <c r="A477" s="3">
        <f>IFERROR(__xludf.DUMMYFUNCTION("""COMPUTED_VALUE"""),46274)</f>
        <v>46274</v>
      </c>
      <c r="B477" s="1" t="str">
        <f>IFERROR(__xludf.DUMMYFUNCTION("""COMPUTED_VALUE"""),"MICAELA VERONICA BINGHAY DELA CRUZ")</f>
        <v>MICAELA VERONICA BINGHAY DELA CRUZ</v>
      </c>
      <c r="C477" s="1">
        <f>IFERROR(__xludf.DUMMYFUNCTION("""COMPUTED_VALUE"""),2312474925)</f>
        <v>2312474925</v>
      </c>
      <c r="D477" s="1">
        <f>IFERROR(__xludf.DUMMYFUNCTION("""COMPUTED_VALUE"""),407802713)</f>
        <v>407802713</v>
      </c>
      <c r="E477" s="1">
        <f>IFERROR(__xludf.DUMMYFUNCTION("""COMPUTED_VALUE"""),470684952004)</f>
        <v>470684952004</v>
      </c>
      <c r="F477" s="1" t="str">
        <f>IFERROR(__xludf.DUMMYFUNCTION("""COMPUTED_VALUE"""),"CANCELLED")</f>
        <v>CANCELLED</v>
      </c>
      <c r="G477" s="1" t="str">
        <f>IFERROR(__xludf.DUMMYFUNCTION("""COMPUTED_VALUE"""),"""TRUCKROLL: VISITED 
REMARKS : NAP FULL ASSIGN CAFAC IMULP242 NP5 P4 ACTIVE WITH GAYGAY KASO D ALAM YUNG TEL NUMBER NUNG NAIWAN SA BAHAY 
IMULP242 NP1 P3 WITH REACTION 
IMULP242 NP2 P8 WITH REACTION 
IMULP242 NP3 FULL 
IMULP242 NP4 FULL 
IMULP242 NP6 FU"&amp;"LL 
IMULP242 NP7 FULL 
IMULP242 NP8 P2 WITH REACTION 
COORDINATED TO 176 MAAM TIN 
AND SIR DEO 
TALK:MICAELA VERONICA BINGHAY DELA CRUZ 
CBR: 09311617813""")</f>
        <v>"TRUCKROLL: VISITED 
REMARKS : NAP FULL ASSIGN CAFAC IMULP242 NP5 P4 ACTIVE WITH GAYGAY KASO D ALAM YUNG TEL NUMBER NUNG NAIWAN SA BAHAY 
IMULP242 NP1 P3 WITH REACTION 
IMULP242 NP2 P8 WITH REACTION 
IMULP242 NP3 FULL 
IMULP242 NP4 FULL 
IMULP242 NP6 FULL 
IMULP242 NP7 FULL 
IMULP242 NP8 P2 WITH REACTION 
COORDINATED TO 176 MAAM TIN 
AND SIR DEO 
TALK:MICAELA VERONICA BINGHAY DELA CRUZ 
CBR: 09311617813"</v>
      </c>
      <c r="H477" s="1" t="str">
        <f>IFERROR(__xludf.DUMMYFUNCTION("""COMPUTED_VALUE"""),"PAID VIA ONLIBE - SEPT 10 - REF - PX106247786")</f>
        <v>PAID VIA ONLIBE - SEPT 10 - REF - PX106247786</v>
      </c>
      <c r="I477" s="1" t="str">
        <f>IFERROR(__xludf.DUMMYFUNCTION("""COMPUTED_VALUE"""),"WITH 1 AMSF")</f>
        <v>WITH 1 AMSF</v>
      </c>
      <c r="J477" s="1"/>
      <c r="K477" s="1" t="str">
        <f>IFERROR(__xludf.DUMMYFUNCTION("""COMPUTED_VALUE"""),"CANCELED")</f>
        <v>CANCELED</v>
      </c>
      <c r="L477" s="1" t="str">
        <f>IFERROR(__xludf.DUMMYFUNCTION("""COMPUTED_VALUE"""),"CANCELLED")</f>
        <v>CANCELLED</v>
      </c>
      <c r="M477" s="1" t="str">
        <f>IFERROR(__xludf.DUMMYFUNCTION("""COMPUTED_VALUE"""),"RPR- NAP FULL")</f>
        <v>RPR- NAP FULL</v>
      </c>
      <c r="N477" s="3"/>
      <c r="O477" s="1" t="str">
        <f>IFERROR(__xludf.DUMMYFUNCTION("""COMPUTED_VALUE"""),"FIBER UNLI ALL PLAN 1499")</f>
        <v>FIBER UNLI ALL PLAN 1499</v>
      </c>
      <c r="P477" s="1" t="str">
        <f>IFERROR(__xludf.DUMMYFUNCTION("""COMPUTED_VALUE"""),"LOWPLAN")</f>
        <v>LOWPLAN</v>
      </c>
      <c r="Q477" s="1" t="str">
        <f>IFERROR(__xludf.DUMMYFUNCTION("""COMPUTED_VALUE"""),"P407048")</f>
        <v>P407048</v>
      </c>
      <c r="R477" s="1" t="str">
        <f>IFERROR(__xludf.DUMMYFUNCTION("""COMPUTED_VALUE"""),"BONZA, LEE VINCENT")</f>
        <v>BONZA, LEE VINCENT</v>
      </c>
      <c r="S477" s="1" t="str">
        <f>IFERROR(__xludf.DUMMYFUNCTION("""COMPUTED_VALUE"""),"ORGANIC")</f>
        <v>ORGANIC</v>
      </c>
      <c r="T477" s="1" t="str">
        <f>IFERROR(__xludf.DUMMYFUNCTION("""COMPUTED_VALUE"""),"GARCIA MICHAEL JETTS")</f>
        <v>GARCIA MICHAEL JETTS</v>
      </c>
      <c r="U477" s="1" t="str">
        <f>IFERROR(__xludf.DUMMYFUNCTION("""COMPUTED_VALUE"""),"JB SALIOA")</f>
        <v>JB SALIOA</v>
      </c>
      <c r="V477" s="1" t="str">
        <f>IFERROR(__xludf.DUMMYFUNCTION("""COMPUTED_VALUE"""),"ONLINE/CRANFORD")</f>
        <v>ONLINE/CRANFORD</v>
      </c>
      <c r="W477" s="1" t="str">
        <f>IFERROR(__xludf.DUMMYFUNCTION("""COMPUTED_VALUE"""),"STK REGULAR")</f>
        <v>STK REGULAR</v>
      </c>
      <c r="X477" s="1" t="str">
        <f>IFERROR(__xludf.DUMMYFUNCTION("""COMPUTED_VALUE"""),"HBBS SEPT 2026")</f>
        <v>HBBS SEPT 2026</v>
      </c>
      <c r="Y477" s="1" t="str">
        <f>IFERROR(__xludf.DUMMYFUNCTION("""COMPUTED_VALUE"""),"RS_ONL_CVEU_2026")</f>
        <v>RS_ONL_CVEU_2026</v>
      </c>
      <c r="Z477" s="1" t="str">
        <f>IFERROR(__xludf.DUMMYFUNCTION("""COMPUTED_VALUE"""),"NEW CONNECT")</f>
        <v>NEW CONNECT</v>
      </c>
      <c r="AA477" s="1">
        <f>IFERROR(__xludf.DUMMYFUNCTION("""COMPUTED_VALUE"""),639311617813)</f>
        <v>639311617813</v>
      </c>
      <c r="AB477" s="1">
        <f>IFERROR(__xludf.DUMMYFUNCTION("""COMPUTED_VALUE"""),639692491418)</f>
        <v>639692491418</v>
      </c>
      <c r="AC477" s="1"/>
      <c r="AD477" s="1" t="str">
        <f>IFERROR(__xludf.DUMMYFUNCTION("""COMPUTED_VALUE"""),"MIKESELL")</f>
        <v>MIKESELL</v>
      </c>
      <c r="AE477" s="1" t="str">
        <f>IFERROR(__xludf.DUMMYFUNCTION("""COMPUTED_VALUE"""),"MIKESELL SUBDIVISION")</f>
        <v>MIKESELL SUBDIVISION</v>
      </c>
      <c r="AF477" s="1" t="str">
        <f>IFERROR(__xludf.DUMMYFUNCTION("""COMPUTED_VALUE"""),"BGY PAG-ASA 2")</f>
        <v>BGY PAG-ASA 2</v>
      </c>
      <c r="AG477" s="1" t="str">
        <f>IFERROR(__xludf.DUMMYFUNCTION("""COMPUTED_VALUE"""),"IMUS")</f>
        <v>IMUS</v>
      </c>
      <c r="AH477" s="1" t="str">
        <f>IFERROR(__xludf.DUMMYFUNCTION("""COMPUTED_VALUE"""),"-")</f>
        <v>-</v>
      </c>
      <c r="AI477" s="1" t="str">
        <f>IFERROR(__xludf.DUMMYFUNCTION("""COMPUTED_VALUE"""),"NOT AOR")</f>
        <v>NOT AOR</v>
      </c>
    </row>
    <row r="478" customHeight="1" spans="1:35">
      <c r="A478" s="3">
        <f>IFERROR(__xludf.DUMMYFUNCTION("""COMPUTED_VALUE"""),46274)</f>
        <v>46274</v>
      </c>
      <c r="B478" s="1" t="str">
        <f>IFERROR(__xludf.DUMMYFUNCTION("""COMPUTED_VALUE"""),"DIVINE APRIL PRIOL GEREZ")</f>
        <v>DIVINE APRIL PRIOL GEREZ</v>
      </c>
      <c r="C478" s="1">
        <f>IFERROR(__xludf.DUMMYFUNCTION("""COMPUTED_VALUE"""),2312475378)</f>
        <v>2312475378</v>
      </c>
      <c r="D478" s="1">
        <f>IFERROR(__xludf.DUMMYFUNCTION("""COMPUTED_VALUE"""),407811461)</f>
        <v>407811461</v>
      </c>
      <c r="E478" s="1">
        <f>IFERROR(__xludf.DUMMYFUNCTION("""COMPUTED_VALUE"""),470697021004)</f>
        <v>470697021004</v>
      </c>
      <c r="F478" s="1" t="str">
        <f>IFERROR(__xludf.DUMMYFUNCTION("""COMPUTED_VALUE"""),"CLOSED")</f>
        <v>CLOSED</v>
      </c>
      <c r="G478" s="1" t="str">
        <f>IFERROR(__xludf.DUMMYFUNCTION("""COMPUTED_VALUE"""),"CLOSED")</f>
        <v>CLOSED</v>
      </c>
      <c r="H478" s="1" t="str">
        <f>IFERROR(__xludf.DUMMYFUNCTION("""COMPUTED_VALUE"""),"PAID VIA GCASH REF 973768667 SEPT 10")</f>
        <v>PAID VIA GCASH REF 973768667 SEPT 10</v>
      </c>
      <c r="I478" s="1" t="str">
        <f>IFERROR(__xludf.DUMMYFUNCTION("""COMPUTED_VALUE"""),"WITH 1 AMSF")</f>
        <v>WITH 1 AMSF</v>
      </c>
      <c r="J478" s="1"/>
      <c r="K478" s="1" t="str">
        <f>IFERROR(__xludf.DUMMYFUNCTION("""COMPUTED_VALUE"""),"COMPLETED")</f>
        <v>COMPLETED</v>
      </c>
      <c r="L478" s="1" t="str">
        <f>IFERROR(__xludf.DUMMYFUNCTION("""COMPUTED_VALUE"""),"POSTED")</f>
        <v>POSTED</v>
      </c>
      <c r="M478" s="1" t="str">
        <f>IFERROR(__xludf.DUMMYFUNCTION("""COMPUTED_VALUE"""),"POSTED")</f>
        <v>POSTED</v>
      </c>
      <c r="N478" s="3">
        <f>IFERROR(__xludf.DUMMYFUNCTION("""COMPUTED_VALUE"""),46275)</f>
        <v>46275</v>
      </c>
      <c r="O478" s="1" t="str">
        <f>IFERROR(__xludf.DUMMYFUNCTION("""COMPUTED_VALUE"""),"FIBR UNLI ALL PLAN 999")</f>
        <v>FIBR UNLI ALL PLAN 999</v>
      </c>
      <c r="P478" s="1" t="str">
        <f>IFERROR(__xludf.DUMMYFUNCTION("""COMPUTED_VALUE"""),"LOWPLAN")</f>
        <v>LOWPLAN</v>
      </c>
      <c r="Q478" s="1" t="str">
        <f>IFERROR(__xludf.DUMMYFUNCTION("""COMPUTED_VALUE"""),"P407050")</f>
        <v>P407050</v>
      </c>
      <c r="R478" s="1" t="str">
        <f>IFERROR(__xludf.DUMMYFUNCTION("""COMPUTED_VALUE"""),"TAMAYO, MARY ROSE ZAIRA")</f>
        <v>TAMAYO, MARY ROSE ZAIRA</v>
      </c>
      <c r="S478" s="1" t="str">
        <f>IFERROR(__xludf.DUMMYFUNCTION("""COMPUTED_VALUE"""),"ORGANIC")</f>
        <v>ORGANIC</v>
      </c>
      <c r="T478" s="1" t="str">
        <f>IFERROR(__xludf.DUMMYFUNCTION("""COMPUTED_VALUE"""),"LEA REMOLLO")</f>
        <v>LEA REMOLLO</v>
      </c>
      <c r="U478" s="1" t="str">
        <f>IFERROR(__xludf.DUMMYFUNCTION("""COMPUTED_VALUE"""),"JB SALIOA")</f>
        <v>JB SALIOA</v>
      </c>
      <c r="V478" s="1" t="str">
        <f>IFERROR(__xludf.DUMMYFUNCTION("""COMPUTED_VALUE"""),"ONLINE/CRANFORD")</f>
        <v>ONLINE/CRANFORD</v>
      </c>
      <c r="W478" s="1" t="str">
        <f>IFERROR(__xludf.DUMMYFUNCTION("""COMPUTED_VALUE"""),"STK REGULAR")</f>
        <v>STK REGULAR</v>
      </c>
      <c r="X478" s="1" t="str">
        <f>IFERROR(__xludf.DUMMYFUNCTION("""COMPUTED_VALUE"""),"REGULAR")</f>
        <v>REGULAR</v>
      </c>
      <c r="Y478" s="1" t="str">
        <f>IFERROR(__xludf.DUMMYFUNCTION("""COMPUTED_VALUE"""),"RS_ONL_CVEU_2026")</f>
        <v>RS_ONL_CVEU_2026</v>
      </c>
      <c r="Z478" s="1" t="str">
        <f>IFERROR(__xludf.DUMMYFUNCTION("""COMPUTED_VALUE"""),"NEW CONNECT")</f>
        <v>NEW CONNECT</v>
      </c>
      <c r="AA478" s="1">
        <f>IFERROR(__xludf.DUMMYFUNCTION("""COMPUTED_VALUE"""),639452693890)</f>
        <v>639452693890</v>
      </c>
      <c r="AB478" s="1">
        <f>IFERROR(__xludf.DUMMYFUNCTION("""COMPUTED_VALUE"""),639567188062)</f>
        <v>639567188062</v>
      </c>
      <c r="AC478" s="1"/>
      <c r="AD478" s="1" t="str">
        <f>IFERROR(__xludf.DUMMYFUNCTION("""COMPUTED_VALUE"""),"PHASE 2")</f>
        <v>PHASE 2</v>
      </c>
      <c r="AE478" s="1" t="str">
        <f>IFERROR(__xludf.DUMMYFUNCTION("""COMPUTED_VALUE"""),"BAUTISTA PROPERTY")</f>
        <v>BAUTISTA PROPERTY</v>
      </c>
      <c r="AF478" s="1" t="str">
        <f>IFERROR(__xludf.DUMMYFUNCTION("""COMPUTED_VALUE"""),"BGY SAMPALOC 4")</f>
        <v>BGY SAMPALOC 4</v>
      </c>
      <c r="AG478" s="1" t="str">
        <f>IFERROR(__xludf.DUMMYFUNCTION("""COMPUTED_VALUE"""),"DASMARINAS")</f>
        <v>DASMARINAS</v>
      </c>
      <c r="AH478" s="1" t="str">
        <f>IFERROR(__xludf.DUMMYFUNCTION("""COMPUTED_VALUE"""),"PHASE 2")</f>
        <v>PHASE 2</v>
      </c>
      <c r="AI478" s="1" t="str">
        <f>IFERROR(__xludf.DUMMYFUNCTION("""COMPUTED_VALUE"""),"NOT AOR")</f>
        <v>NOT AOR</v>
      </c>
    </row>
    <row r="479" customHeight="1" spans="1:35">
      <c r="A479" s="3">
        <f>IFERROR(__xludf.DUMMYFUNCTION("""COMPUTED_VALUE"""),46274)</f>
        <v>46274</v>
      </c>
      <c r="B479" s="1" t="str">
        <f>IFERROR(__xludf.DUMMYFUNCTION("""COMPUTED_VALUE"""),"CHARLO BERANDOY ESTORCO")</f>
        <v>CHARLO BERANDOY ESTORCO</v>
      </c>
      <c r="C479" s="1">
        <f>IFERROR(__xludf.DUMMYFUNCTION("""COMPUTED_VALUE"""),2312476207)</f>
        <v>2312476207</v>
      </c>
      <c r="D479" s="1">
        <f>IFERROR(__xludf.DUMMYFUNCTION("""COMPUTED_VALUE"""),407808142)</f>
        <v>407808142</v>
      </c>
      <c r="E479" s="1">
        <f>IFERROR(__xludf.DUMMYFUNCTION("""COMPUTED_VALUE"""),470685475004)</f>
        <v>470685475004</v>
      </c>
      <c r="F479" s="1" t="str">
        <f>IFERROR(__xludf.DUMMYFUNCTION("""COMPUTED_VALUE"""),"CLOSED")</f>
        <v>CLOSED</v>
      </c>
      <c r="G479" s="1" t="str">
        <f>IFERROR(__xludf.DUMMYFUNCTION("""COMPUTED_VALUE"""),"CLOSED")</f>
        <v>CLOSED</v>
      </c>
      <c r="H479" s="1" t="str">
        <f>IFERROR(__xludf.DUMMYFUNCTION("""COMPUTED_VALUE"""),"PAID VIA GCASH - SEP 10 - REF - 613136045")</f>
        <v>PAID VIA GCASH - SEP 10 - REF - 613136045</v>
      </c>
      <c r="I479" s="1" t="str">
        <f>IFERROR(__xludf.DUMMYFUNCTION("""COMPUTED_VALUE"""),"WITH 1 AMSF")</f>
        <v>WITH 1 AMSF</v>
      </c>
      <c r="J479" s="1"/>
      <c r="K479" s="1" t="str">
        <f>IFERROR(__xludf.DUMMYFUNCTION("""COMPUTED_VALUE"""),"COMPLETED")</f>
        <v>COMPLETED</v>
      </c>
      <c r="L479" s="1" t="str">
        <f>IFERROR(__xludf.DUMMYFUNCTION("""COMPUTED_VALUE"""),"POSTED")</f>
        <v>POSTED</v>
      </c>
      <c r="M479" s="1" t="str">
        <f>IFERROR(__xludf.DUMMYFUNCTION("""COMPUTED_VALUE"""),"POSTED")</f>
        <v>POSTED</v>
      </c>
      <c r="N479" s="3">
        <f>IFERROR(__xludf.DUMMYFUNCTION("""COMPUTED_VALUE"""),46275)</f>
        <v>46275</v>
      </c>
      <c r="O479" s="1" t="str">
        <f>IFERROR(__xludf.DUMMYFUNCTION("""COMPUTED_VALUE"""),"FIBR PLAN 1299")</f>
        <v>FIBR PLAN 1299</v>
      </c>
      <c r="P479" s="1" t="str">
        <f>IFERROR(__xludf.DUMMYFUNCTION("""COMPUTED_VALUE"""),"LOWPLAN")</f>
        <v>LOWPLAN</v>
      </c>
      <c r="Q479" s="1" t="str">
        <f>IFERROR(__xludf.DUMMYFUNCTION("""COMPUTED_VALUE"""),"P407517")</f>
        <v>P407517</v>
      </c>
      <c r="R479" s="1" t="str">
        <f>IFERROR(__xludf.DUMMYFUNCTION("""COMPUTED_VALUE"""),"GABAY, MANUEL")</f>
        <v>GABAY, MANUEL</v>
      </c>
      <c r="S479" s="1" t="str">
        <f>IFERROR(__xludf.DUMMYFUNCTION("""COMPUTED_VALUE"""),"FLA")</f>
        <v>FLA</v>
      </c>
      <c r="T479" s="1" t="str">
        <f>IFERROR(__xludf.DUMMYFUNCTION("""COMPUTED_VALUE"""),"JERIC NAVARRO")</f>
        <v>JERIC NAVARRO</v>
      </c>
      <c r="U479" s="1" t="str">
        <f>IFERROR(__xludf.DUMMYFUNCTION("""COMPUTED_VALUE"""),"JB SALIOA")</f>
        <v>JB SALIOA</v>
      </c>
      <c r="V479" s="1" t="str">
        <f>IFERROR(__xludf.DUMMYFUNCTION("""COMPUTED_VALUE"""),"ONLINE/CRANFORD")</f>
        <v>ONLINE/CRANFORD</v>
      </c>
      <c r="W479" s="1" t="str">
        <f>IFERROR(__xludf.DUMMYFUNCTION("""COMPUTED_VALUE"""),"STK REGULAR")</f>
        <v>STK REGULAR</v>
      </c>
      <c r="X479" s="1" t="str">
        <f>IFERROR(__xludf.DUMMYFUNCTION("""COMPUTED_VALUE"""),"HBBS SEPT 2026")</f>
        <v>HBBS SEPT 2026</v>
      </c>
      <c r="Y479" s="1" t="str">
        <f>IFERROR(__xludf.DUMMYFUNCTION("""COMPUTED_VALUE"""),"RS_ONL_CVEU_2026")</f>
        <v>RS_ONL_CVEU_2026</v>
      </c>
      <c r="Z479" s="1" t="str">
        <f>IFERROR(__xludf.DUMMYFUNCTION("""COMPUTED_VALUE"""),"NEW CONNECT")</f>
        <v>NEW CONNECT</v>
      </c>
      <c r="AA479" s="1">
        <f>IFERROR(__xludf.DUMMYFUNCTION("""COMPUTED_VALUE"""),639662294554)</f>
        <v>639662294554</v>
      </c>
      <c r="AB479" s="1">
        <f>IFERROR(__xludf.DUMMYFUNCTION("""COMPUTED_VALUE"""),639477655639)</f>
        <v>639477655639</v>
      </c>
      <c r="AC479" s="1"/>
      <c r="AD479" s="1" t="str">
        <f>IFERROR(__xludf.DUMMYFUNCTION("""COMPUTED_VALUE"""),"WASHINGTON")</f>
        <v>WASHINGTON</v>
      </c>
      <c r="AE479" s="1" t="str">
        <f>IFERROR(__xludf.DUMMYFUNCTION("""COMPUTED_VALUE"""),"SAN MARINO SOUTH 2")</f>
        <v>SAN MARINO SOUTH 2</v>
      </c>
      <c r="AF479" s="1" t="str">
        <f>IFERROR(__xludf.DUMMYFUNCTION("""COMPUTED_VALUE"""),"BGY SALAWAG")</f>
        <v>BGY SALAWAG</v>
      </c>
      <c r="AG479" s="1" t="str">
        <f>IFERROR(__xludf.DUMMYFUNCTION("""COMPUTED_VALUE"""),"DASMARINAS")</f>
        <v>DASMARINAS</v>
      </c>
      <c r="AH479" s="1" t="str">
        <f>IFERROR(__xludf.DUMMYFUNCTION("""COMPUTED_VALUE"""),"SAVEMORE")</f>
        <v>SAVEMORE</v>
      </c>
      <c r="AI479" s="1" t="str">
        <f>IFERROR(__xludf.DUMMYFUNCTION("""COMPUTED_VALUE"""),"NOT AOR")</f>
        <v>NOT AOR</v>
      </c>
    </row>
    <row r="480" customHeight="1" spans="1:35">
      <c r="A480" s="3">
        <f>IFERROR(__xludf.DUMMYFUNCTION("""COMPUTED_VALUE"""),46274)</f>
        <v>46274</v>
      </c>
      <c r="B480" s="1" t="str">
        <f>IFERROR(__xludf.DUMMYFUNCTION("""COMPUTED_VALUE"""),"JUDITH ESPINA AQUINO")</f>
        <v>JUDITH ESPINA AQUINO</v>
      </c>
      <c r="C480" s="1">
        <f>IFERROR(__xludf.DUMMYFUNCTION("""COMPUTED_VALUE"""),2312477303)</f>
        <v>2312477303</v>
      </c>
      <c r="D480" s="1">
        <f>IFERROR(__xludf.DUMMYFUNCTION("""COMPUTED_VALUE"""),407806530)</f>
        <v>407806530</v>
      </c>
      <c r="E480" s="1">
        <f>IFERROR(__xludf.DUMMYFUNCTION("""COMPUTED_VALUE"""),470682935004)</f>
        <v>470682935004</v>
      </c>
      <c r="F480" s="1" t="str">
        <f>IFERROR(__xludf.DUMMYFUNCTION("""COMPUTED_VALUE"""),"CLOSED")</f>
        <v>CLOSED</v>
      </c>
      <c r="G480" s="1" t="str">
        <f>IFERROR(__xludf.DUMMYFUNCTION("""COMPUTED_VALUE"""),"CLOSED")</f>
        <v>CLOSED</v>
      </c>
      <c r="H480" s="1" t="str">
        <f>IFERROR(__xludf.DUMMYFUNCTION("""COMPUTED_VALUE"""),"PAID VIA GCASH REF 171485391 SEP 10")</f>
        <v>PAID VIA GCASH REF 171485391 SEP 10</v>
      </c>
      <c r="I480" s="1" t="str">
        <f>IFERROR(__xludf.DUMMYFUNCTION("""COMPUTED_VALUE"""),"WITH 1 AMSF")</f>
        <v>WITH 1 AMSF</v>
      </c>
      <c r="J480" s="1"/>
      <c r="K480" s="1" t="str">
        <f>IFERROR(__xludf.DUMMYFUNCTION("""COMPUTED_VALUE"""),"COMPLETED")</f>
        <v>COMPLETED</v>
      </c>
      <c r="L480" s="1" t="str">
        <f>IFERROR(__xludf.DUMMYFUNCTION("""COMPUTED_VALUE"""),"POSTED")</f>
        <v>POSTED</v>
      </c>
      <c r="M480" s="1" t="str">
        <f>IFERROR(__xludf.DUMMYFUNCTION("""COMPUTED_VALUE"""),"POSTED")</f>
        <v>POSTED</v>
      </c>
      <c r="N480" s="3">
        <f>IFERROR(__xludf.DUMMYFUNCTION("""COMPUTED_VALUE"""),46275)</f>
        <v>46275</v>
      </c>
      <c r="O480" s="1" t="str">
        <f>IFERROR(__xludf.DUMMYFUNCTION("""COMPUTED_VALUE"""),"FIBR PLAN 1699")</f>
        <v>FIBR PLAN 1699</v>
      </c>
      <c r="P480" s="1" t="str">
        <f>IFERROR(__xludf.DUMMYFUNCTION("""COMPUTED_VALUE"""),"HIGHPLAN")</f>
        <v>HIGHPLAN</v>
      </c>
      <c r="Q480" s="1" t="str">
        <f>IFERROR(__xludf.DUMMYFUNCTION("""COMPUTED_VALUE"""),"P407045")</f>
        <v>P407045</v>
      </c>
      <c r="R480" s="1" t="str">
        <f>IFERROR(__xludf.DUMMYFUNCTION("""COMPUTED_VALUE"""),"ALINGARO, CINDY")</f>
        <v>ALINGARO, CINDY</v>
      </c>
      <c r="S480" s="1" t="str">
        <f>IFERROR(__xludf.DUMMYFUNCTION("""COMPUTED_VALUE"""),"FLA")</f>
        <v>FLA</v>
      </c>
      <c r="T480" s="1" t="str">
        <f>IFERROR(__xludf.DUMMYFUNCTION("""COMPUTED_VALUE"""),"JERIC NAVARRO")</f>
        <v>JERIC NAVARRO</v>
      </c>
      <c r="U480" s="1" t="str">
        <f>IFERROR(__xludf.DUMMYFUNCTION("""COMPUTED_VALUE"""),"JB SALIOA")</f>
        <v>JB SALIOA</v>
      </c>
      <c r="V480" s="1" t="str">
        <f>IFERROR(__xludf.DUMMYFUNCTION("""COMPUTED_VALUE"""),"ONLINE/CRANFORD")</f>
        <v>ONLINE/CRANFORD</v>
      </c>
      <c r="W480" s="1" t="str">
        <f>IFERROR(__xludf.DUMMYFUNCTION("""COMPUTED_VALUE"""),"STK REGULAR")</f>
        <v>STK REGULAR</v>
      </c>
      <c r="X480" s="1" t="str">
        <f>IFERROR(__xludf.DUMMYFUNCTION("""COMPUTED_VALUE"""),"HBBS SEPT 2026")</f>
        <v>HBBS SEPT 2026</v>
      </c>
      <c r="Y480" s="1" t="str">
        <f>IFERROR(__xludf.DUMMYFUNCTION("""COMPUTED_VALUE"""),"RS_ONL_CVEU_2026")</f>
        <v>RS_ONL_CVEU_2026</v>
      </c>
      <c r="Z480" s="1" t="str">
        <f>IFERROR(__xludf.DUMMYFUNCTION("""COMPUTED_VALUE"""),"NEW CONNECT")</f>
        <v>NEW CONNECT</v>
      </c>
      <c r="AA480" s="1">
        <f>IFERROR(__xludf.DUMMYFUNCTION("""COMPUTED_VALUE"""),639351158545)</f>
        <v>639351158545</v>
      </c>
      <c r="AB480" s="1"/>
      <c r="AC480" s="1"/>
      <c r="AD480" s="1" t="str">
        <f>IFERROR(__xludf.DUMMYFUNCTION("""COMPUTED_VALUE"""),"QUINTANA EXECUTIVE HOMES")</f>
        <v>QUINTANA EXECUTIVE HOMES</v>
      </c>
      <c r="AE480" s="1" t="str">
        <f>IFERROR(__xludf.DUMMYFUNCTION("""COMPUTED_VALUE"""),"QUINTANA EXECUTIVE HOMES")</f>
        <v>QUINTANA EXECUTIVE HOMES</v>
      </c>
      <c r="AF480" s="1" t="str">
        <f>IFERROR(__xludf.DUMMYFUNCTION("""COMPUTED_VALUE"""),"BGY SAN AGUSTIN")</f>
        <v>BGY SAN AGUSTIN</v>
      </c>
      <c r="AG480" s="1" t="str">
        <f>IFERROR(__xludf.DUMMYFUNCTION("""COMPUTED_VALUE"""),"TRECE MARTIREZ CITY")</f>
        <v>TRECE MARTIREZ CITY</v>
      </c>
      <c r="AH480" s="1" t="str">
        <f>IFERROR(__xludf.DUMMYFUNCTION("""COMPUTED_VALUE"""),"QUINTANA EXEC HOMES")</f>
        <v>QUINTANA EXEC HOMES</v>
      </c>
      <c r="AI480" s="1" t="str">
        <f>IFERROR(__xludf.DUMMYFUNCTION("""COMPUTED_VALUE"""),"NOT AOR")</f>
        <v>NOT AOR</v>
      </c>
    </row>
    <row r="481" customHeight="1" spans="1:35">
      <c r="A481" s="3">
        <f>IFERROR(__xludf.DUMMYFUNCTION("""COMPUTED_VALUE"""),46274)</f>
        <v>46274</v>
      </c>
      <c r="B481" s="1" t="str">
        <f>IFERROR(__xludf.DUMMYFUNCTION("""COMPUTED_VALUE"""),"MARJORIE . MERCADO")</f>
        <v>MARJORIE . MERCADO</v>
      </c>
      <c r="C481" s="1">
        <f>IFERROR(__xludf.DUMMYFUNCTION("""COMPUTED_VALUE"""),2312477638)</f>
        <v>2312477638</v>
      </c>
      <c r="D481" s="1">
        <f>IFERROR(__xludf.DUMMYFUNCTION("""COMPUTED_VALUE"""),407812344)</f>
        <v>407812344</v>
      </c>
      <c r="E481" s="1">
        <f>IFERROR(__xludf.DUMMYFUNCTION("""COMPUTED_VALUE"""),470703269004)</f>
        <v>470703269004</v>
      </c>
      <c r="F481" s="1" t="str">
        <f>IFERROR(__xludf.DUMMYFUNCTION("""COMPUTED_VALUE"""),"CLOSED")</f>
        <v>CLOSED</v>
      </c>
      <c r="G481" s="1" t="str">
        <f>IFERROR(__xludf.DUMMYFUNCTION("""COMPUTED_VALUE"""),"CLOSED")</f>
        <v>CLOSED</v>
      </c>
      <c r="H481" s="1"/>
      <c r="I481" s="1" t="str">
        <f>IFERROR(__xludf.DUMMYFUNCTION("""COMPUTED_VALUE"""),"NO 1 AMSF")</f>
        <v>NO 1 AMSF</v>
      </c>
      <c r="J481" s="1" t="str">
        <f>IFERROR(__xludf.DUMMYFUNCTION("""COMPUTED_VALUE"""),"DUE DATE - 05-Oct-26- 1,382.81")</f>
        <v>DUE DATE - 05-Oct-26- 1,382.81</v>
      </c>
      <c r="K481" s="1" t="str">
        <f>IFERROR(__xludf.DUMMYFUNCTION("""COMPUTED_VALUE"""),"COMPLETED")</f>
        <v>COMPLETED</v>
      </c>
      <c r="L481" s="1" t="str">
        <f>IFERROR(__xludf.DUMMYFUNCTION("""COMPUTED_VALUE"""),"POSTED")</f>
        <v>POSTED</v>
      </c>
      <c r="M481" s="1" t="str">
        <f>IFERROR(__xludf.DUMMYFUNCTION("""COMPUTED_VALUE"""),"POSTED")</f>
        <v>POSTED</v>
      </c>
      <c r="N481" s="3">
        <f>IFERROR(__xludf.DUMMYFUNCTION("""COMPUTED_VALUE"""),46276)</f>
        <v>46276</v>
      </c>
      <c r="O481" s="1" t="str">
        <f>IFERROR(__xludf.DUMMYFUNCTION("""COMPUTED_VALUE"""),"FIBR PLAN 1299")</f>
        <v>FIBR PLAN 1299</v>
      </c>
      <c r="P481" s="1" t="str">
        <f>IFERROR(__xludf.DUMMYFUNCTION("""COMPUTED_VALUE"""),"LOWPLAN")</f>
        <v>LOWPLAN</v>
      </c>
      <c r="Q481" s="1" t="str">
        <f>IFERROR(__xludf.DUMMYFUNCTION("""COMPUTED_VALUE"""),"P407050")</f>
        <v>P407050</v>
      </c>
      <c r="R481" s="1" t="str">
        <f>IFERROR(__xludf.DUMMYFUNCTION("""COMPUTED_VALUE"""),"ESCARCHA, ALMA")</f>
        <v>ESCARCHA, ALMA</v>
      </c>
      <c r="S481" s="1" t="str">
        <f>IFERROR(__xludf.DUMMYFUNCTION("""COMPUTED_VALUE"""),"ORGANIC")</f>
        <v>ORGANIC</v>
      </c>
      <c r="T481" s="1" t="str">
        <f>IFERROR(__xludf.DUMMYFUNCTION("""COMPUTED_VALUE"""),"LEA REMOLLO")</f>
        <v>LEA REMOLLO</v>
      </c>
      <c r="U481" s="1" t="str">
        <f>IFERROR(__xludf.DUMMYFUNCTION("""COMPUTED_VALUE"""),"JB SALIOA")</f>
        <v>JB SALIOA</v>
      </c>
      <c r="V481" s="1" t="str">
        <f>IFERROR(__xludf.DUMMYFUNCTION("""COMPUTED_VALUE"""),"BK REGULAR")</f>
        <v>BK REGULAR</v>
      </c>
      <c r="W481" s="1" t="str">
        <f>IFERROR(__xludf.DUMMYFUNCTION("""COMPUTED_VALUE"""),"STK REGULAR")</f>
        <v>STK REGULAR</v>
      </c>
      <c r="X481" s="1" t="str">
        <f>IFERROR(__xludf.DUMMYFUNCTION("""COMPUTED_VALUE"""),"HBBS SEPT 2026")</f>
        <v>HBBS SEPT 2026</v>
      </c>
      <c r="Y481" s="1" t="str">
        <f>IFERROR(__xludf.DUMMYFUNCTION("""COMPUTED_VALUE"""),"BK_CVEU_260820")</f>
        <v>BK_CVEU_260820</v>
      </c>
      <c r="Z481" s="1" t="str">
        <f>IFERROR(__xludf.DUMMYFUNCTION("""COMPUTED_VALUE"""),"NEW CONNECT")</f>
        <v>NEW CONNECT</v>
      </c>
      <c r="AA481" s="1">
        <f>IFERROR(__xludf.DUMMYFUNCTION("""COMPUTED_VALUE"""),639972659909)</f>
        <v>639972659909</v>
      </c>
      <c r="AB481" s="1">
        <f>IFERROR(__xludf.DUMMYFUNCTION("""COMPUTED_VALUE"""),639979084031)</f>
        <v>639979084031</v>
      </c>
      <c r="AC481" s="1">
        <f>IFERROR(__xludf.DUMMYFUNCTION("""COMPUTED_VALUE"""),10)</f>
        <v>10</v>
      </c>
      <c r="AD481" s="1" t="str">
        <f>IFERROR(__xludf.DUMMYFUNCTION("""COMPUTED_VALUE"""),"MAGNAYE")</f>
        <v>MAGNAYE</v>
      </c>
      <c r="AE481" s="1"/>
      <c r="AF481" s="1" t="str">
        <f>IFERROR(__xludf.DUMMYFUNCTION("""COMPUTED_VALUE"""),"BGY ULAT")</f>
        <v>BGY ULAT</v>
      </c>
      <c r="AG481" s="1" t="str">
        <f>IFERROR(__xludf.DUMMYFUNCTION("""COMPUTED_VALUE"""),"SILANG")</f>
        <v>SILANG</v>
      </c>
      <c r="AH481" s="1" t="str">
        <f>IFERROR(__xludf.DUMMYFUNCTION("""COMPUTED_VALUE"""),"-")</f>
        <v>-</v>
      </c>
      <c r="AI481" s="1" t="str">
        <f>IFERROR(__xludf.DUMMYFUNCTION("""COMPUTED_VALUE"""),"CLUSTER 11")</f>
        <v>CLUSTER 11</v>
      </c>
    </row>
    <row r="482" customHeight="1" spans="1:35">
      <c r="A482" s="3">
        <f>IFERROR(__xludf.DUMMYFUNCTION("""COMPUTED_VALUE"""),46274)</f>
        <v>46274</v>
      </c>
      <c r="B482" s="1" t="str">
        <f>IFERROR(__xludf.DUMMYFUNCTION("""COMPUTED_VALUE"""),"RUTHIE BARON DURON")</f>
        <v>RUTHIE BARON DURON</v>
      </c>
      <c r="C482" s="1">
        <f>IFERROR(__xludf.DUMMYFUNCTION("""COMPUTED_VALUE"""),2312478057)</f>
        <v>2312478057</v>
      </c>
      <c r="D482" s="1">
        <f>IFERROR(__xludf.DUMMYFUNCTION("""COMPUTED_VALUE"""),407816102)</f>
        <v>407816102</v>
      </c>
      <c r="E482" s="1">
        <f>IFERROR(__xludf.DUMMYFUNCTION("""COMPUTED_VALUE"""),470717495004)</f>
        <v>470717495004</v>
      </c>
      <c r="F482" s="1" t="str">
        <f>IFERROR(__xludf.DUMMYFUNCTION("""COMPUTED_VALUE"""),"CANCELLED")</f>
        <v>CANCELLED</v>
      </c>
      <c r="G482" s="1" t="str">
        <f>IFERROR(__xludf.DUMMYFUNCTION("""COMPUTED_VALUE"""),"WEEK OF OCTOBER   SA OCTOBER PA DAW SILA KAKABITAN NG KURYENTE NG MERALCO TALK HIPAG NI SUBS 09105023499 09984354069")</f>
        <v>WEEK OF OCTOBER   SA OCTOBER PA DAW SILA KAKABITAN NG KURYENTE NG MERALCO TALK HIPAG NI SUBS 09105023499 09984354069</v>
      </c>
      <c r="H482" s="1"/>
      <c r="I482" s="1"/>
      <c r="J482" s="1"/>
      <c r="K482" s="1" t="str">
        <f>IFERROR(__xludf.DUMMYFUNCTION("""COMPUTED_VALUE"""),"CANCELED")</f>
        <v>CANCELED</v>
      </c>
      <c r="L482" s="1" t="str">
        <f>IFERROR(__xludf.DUMMYFUNCTION("""COMPUTED_VALUE"""),"AFD - RESCHEDULE")</f>
        <v>AFD - RESCHEDULE</v>
      </c>
      <c r="M482" s="1" t="str">
        <f>IFERROR(__xludf.DUMMYFUNCTION("""COMPUTED_VALUE"""),"AFD - RESCHEDULED")</f>
        <v>AFD - RESCHEDULED</v>
      </c>
      <c r="N482" s="3"/>
      <c r="O482" s="1" t="str">
        <f>IFERROR(__xludf.DUMMYFUNCTION("""COMPUTED_VALUE"""),"FIBR PLAN 1299")</f>
        <v>FIBR PLAN 1299</v>
      </c>
      <c r="P482" s="1" t="str">
        <f>IFERROR(__xludf.DUMMYFUNCTION("""COMPUTED_VALUE"""),"LOWPLAN")</f>
        <v>LOWPLAN</v>
      </c>
      <c r="Q482" s="1" t="str">
        <f>IFERROR(__xludf.DUMMYFUNCTION("""COMPUTED_VALUE"""),"P407047")</f>
        <v>P407047</v>
      </c>
      <c r="R482" s="1" t="str">
        <f>IFERROR(__xludf.DUMMYFUNCTION("""COMPUTED_VALUE"""),"FRANCISCO, ROSELYN")</f>
        <v>FRANCISCO, ROSELYN</v>
      </c>
      <c r="S482" s="1" t="str">
        <f>IFERROR(__xludf.DUMMYFUNCTION("""COMPUTED_VALUE"""),"ORGANIC")</f>
        <v>ORGANIC</v>
      </c>
      <c r="T482" s="1" t="str">
        <f>IFERROR(__xludf.DUMMYFUNCTION("""COMPUTED_VALUE"""),"LEA REMOLLO")</f>
        <v>LEA REMOLLO</v>
      </c>
      <c r="U482" s="1" t="str">
        <f>IFERROR(__xludf.DUMMYFUNCTION("""COMPUTED_VALUE"""),"JB SALIOA")</f>
        <v>JB SALIOA</v>
      </c>
      <c r="V482" s="1" t="str">
        <f>IFERROR(__xludf.DUMMYFUNCTION("""COMPUTED_VALUE"""),"BK REGULAR")</f>
        <v>BK REGULAR</v>
      </c>
      <c r="W482" s="1" t="str">
        <f>IFERROR(__xludf.DUMMYFUNCTION("""COMPUTED_VALUE"""),"STK REGULAR")</f>
        <v>STK REGULAR</v>
      </c>
      <c r="X482" s="1" t="str">
        <f>IFERROR(__xludf.DUMMYFUNCTION("""COMPUTED_VALUE"""),"HBBS SEPT 2026")</f>
        <v>HBBS SEPT 2026</v>
      </c>
      <c r="Y482" s="1" t="str">
        <f>IFERROR(__xludf.DUMMYFUNCTION("""COMPUTED_VALUE"""),"BK_CVEU_260818")</f>
        <v>BK_CVEU_260818</v>
      </c>
      <c r="Z482" s="1" t="str">
        <f>IFERROR(__xludf.DUMMYFUNCTION("""COMPUTED_VALUE"""),"NEW CONNECT")</f>
        <v>NEW CONNECT</v>
      </c>
      <c r="AA482" s="1">
        <f>IFERROR(__xludf.DUMMYFUNCTION("""COMPUTED_VALUE"""),639105023499)</f>
        <v>639105023499</v>
      </c>
      <c r="AB482" s="1">
        <f>IFERROR(__xludf.DUMMYFUNCTION("""COMPUTED_VALUE"""),639984354069)</f>
        <v>639984354069</v>
      </c>
      <c r="AC482" s="1"/>
      <c r="AD482" s="1" t="str">
        <f>IFERROR(__xludf.DUMMYFUNCTION("""COMPUTED_VALUE"""),"SOLOMON")</f>
        <v>SOLOMON</v>
      </c>
      <c r="AE482" s="1"/>
      <c r="AF482" s="1" t="str">
        <f>IFERROR(__xludf.DUMMYFUNCTION("""COMPUTED_VALUE"""),"SEVERINO DE LAS ALAS")</f>
        <v>SEVERINO DE LAS ALAS</v>
      </c>
      <c r="AG482" s="1" t="str">
        <f>IFERROR(__xludf.DUMMYFUNCTION("""COMPUTED_VALUE"""),"GEN MARIANO ALVAREZ")</f>
        <v>GEN MARIANO ALVAREZ</v>
      </c>
      <c r="AH482" s="1" t="str">
        <f>IFERROR(__xludf.DUMMYFUNCTION("""COMPUTED_VALUE"""),"-")</f>
        <v>-</v>
      </c>
      <c r="AI482" s="1" t="str">
        <f>IFERROR(__xludf.DUMMYFUNCTION("""COMPUTED_VALUE"""),"CLUSTER 11")</f>
        <v>CLUSTER 11</v>
      </c>
    </row>
    <row r="483" customHeight="1" spans="1:35">
      <c r="A483" s="3">
        <f>IFERROR(__xludf.DUMMYFUNCTION("""COMPUTED_VALUE"""),46274)</f>
        <v>46274</v>
      </c>
      <c r="B483" s="1" t="str">
        <f>IFERROR(__xludf.DUMMYFUNCTION("""COMPUTED_VALUE"""),"RODEL TORRES DUYAO")</f>
        <v>RODEL TORRES DUYAO</v>
      </c>
      <c r="C483" s="1">
        <f>IFERROR(__xludf.DUMMYFUNCTION("""COMPUTED_VALUE"""),2312479724)</f>
        <v>2312479724</v>
      </c>
      <c r="D483" s="1">
        <f>IFERROR(__xludf.DUMMYFUNCTION("""COMPUTED_VALUE"""),407813774)</f>
        <v>407813774</v>
      </c>
      <c r="E483" s="1">
        <f>IFERROR(__xludf.DUMMYFUNCTION("""COMPUTED_VALUE"""),470704577004)</f>
        <v>470704577004</v>
      </c>
      <c r="F483" s="1" t="str">
        <f>IFERROR(__xludf.DUMMYFUNCTION("""COMPUTED_VALUE"""),"CLOSED")</f>
        <v>CLOSED</v>
      </c>
      <c r="G483" s="1" t="str">
        <f>IFERROR(__xludf.DUMMYFUNCTION("""COMPUTED_VALUE"""),"CLOSED")</f>
        <v>CLOSED</v>
      </c>
      <c r="H483" s="1"/>
      <c r="I483" s="1" t="str">
        <f>IFERROR(__xludf.DUMMYFUNCTION("""COMPUTED_VALUE"""),"NO 1 AMSF")</f>
        <v>NO 1 AMSF</v>
      </c>
      <c r="J483" s="1" t="str">
        <f>IFERROR(__xludf.DUMMYFUNCTION("""COMPUTED_VALUE"""),"DUE DATE - 05-Oct-26- 1,645.71")</f>
        <v>DUE DATE - 05-Oct-26- 1,645.71</v>
      </c>
      <c r="K483" s="1" t="str">
        <f>IFERROR(__xludf.DUMMYFUNCTION("""COMPUTED_VALUE"""),"COMPLETED")</f>
        <v>COMPLETED</v>
      </c>
      <c r="L483" s="1" t="str">
        <f>IFERROR(__xludf.DUMMYFUNCTION("""COMPUTED_VALUE"""),"POSTED")</f>
        <v>POSTED</v>
      </c>
      <c r="M483" s="1" t="str">
        <f>IFERROR(__xludf.DUMMYFUNCTION("""COMPUTED_VALUE"""),"POSTED")</f>
        <v>POSTED</v>
      </c>
      <c r="N483" s="3">
        <f>IFERROR(__xludf.DUMMYFUNCTION("""COMPUTED_VALUE"""),46275)</f>
        <v>46275</v>
      </c>
      <c r="O483" s="1" t="str">
        <f>IFERROR(__xludf.DUMMYFUNCTION("""COMPUTED_VALUE"""),"FIBER UNLI ALL PLAN 1499")</f>
        <v>FIBER UNLI ALL PLAN 1499</v>
      </c>
      <c r="P483" s="1" t="str">
        <f>IFERROR(__xludf.DUMMYFUNCTION("""COMPUTED_VALUE"""),"LOWPLAN")</f>
        <v>LOWPLAN</v>
      </c>
      <c r="Q483" s="1" t="str">
        <f>IFERROR(__xludf.DUMMYFUNCTION("""COMPUTED_VALUE"""),"P407050")</f>
        <v>P407050</v>
      </c>
      <c r="R483" s="1" t="str">
        <f>IFERROR(__xludf.DUMMYFUNCTION("""COMPUTED_VALUE"""),"MAGDARAOG, KENNETH")</f>
        <v>MAGDARAOG, KENNETH</v>
      </c>
      <c r="S483" s="1" t="str">
        <f>IFERROR(__xludf.DUMMYFUNCTION("""COMPUTED_VALUE"""),"ORGANIC")</f>
        <v>ORGANIC</v>
      </c>
      <c r="T483" s="1" t="str">
        <f>IFERROR(__xludf.DUMMYFUNCTION("""COMPUTED_VALUE"""),"LEA REMOLLO")</f>
        <v>LEA REMOLLO</v>
      </c>
      <c r="U483" s="1" t="str">
        <f>IFERROR(__xludf.DUMMYFUNCTION("""COMPUTED_VALUE"""),"JB SALIOA")</f>
        <v>JB SALIOA</v>
      </c>
      <c r="V483" s="1" t="str">
        <f>IFERROR(__xludf.DUMMYFUNCTION("""COMPUTED_VALUE"""),"BK HSTK")</f>
        <v>BK HSTK</v>
      </c>
      <c r="W483" s="1" t="str">
        <f>IFERROR(__xludf.DUMMYFUNCTION("""COMPUTED_VALUE"""),"BK HSTK")</f>
        <v>BK HSTK</v>
      </c>
      <c r="X483" s="1" t="str">
        <f>IFERROR(__xludf.DUMMYFUNCTION("""COMPUTED_VALUE"""),"HBBS SEPT 2026")</f>
        <v>HBBS SEPT 2026</v>
      </c>
      <c r="Y483" s="1" t="str">
        <f>IFERROR(__xludf.DUMMYFUNCTION("""COMPUTED_VALUE"""),"BK_CVEU_260818")</f>
        <v>BK_CVEU_260818</v>
      </c>
      <c r="Z483" s="1" t="str">
        <f>IFERROR(__xludf.DUMMYFUNCTION("""COMPUTED_VALUE"""),"NEW CONNECT")</f>
        <v>NEW CONNECT</v>
      </c>
      <c r="AA483" s="1">
        <f>IFERROR(__xludf.DUMMYFUNCTION("""COMPUTED_VALUE"""),639094548683)</f>
        <v>639094548683</v>
      </c>
      <c r="AB483" s="1">
        <f>IFERROR(__xludf.DUMMYFUNCTION("""COMPUTED_VALUE"""),639931996938)</f>
        <v>639931996938</v>
      </c>
      <c r="AC483" s="1"/>
      <c r="AD483" s="1" t="str">
        <f>IFERROR(__xludf.DUMMYFUNCTION("""COMPUTED_VALUE"""),"SAN JOSE")</f>
        <v>SAN JOSE</v>
      </c>
      <c r="AE483" s="1"/>
      <c r="AF483" s="1" t="str">
        <f>IFERROR(__xludf.DUMMYFUNCTION("""COMPUTED_VALUE"""),"BGY NICOLASA VIRATA")</f>
        <v>BGY NICOLASA VIRATA</v>
      </c>
      <c r="AG483" s="1" t="str">
        <f>IFERROR(__xludf.DUMMYFUNCTION("""COMPUTED_VALUE"""),"GEN MARIANO ALVAREZ")</f>
        <v>GEN MARIANO ALVAREZ</v>
      </c>
      <c r="AH483" s="1" t="str">
        <f>IFERROR(__xludf.DUMMYFUNCTION("""COMPUTED_VALUE"""),"-")</f>
        <v>-</v>
      </c>
      <c r="AI483" s="1" t="str">
        <f>IFERROR(__xludf.DUMMYFUNCTION("""COMPUTED_VALUE"""),"CLUSTER 11")</f>
        <v>CLUSTER 11</v>
      </c>
    </row>
    <row r="484" customHeight="1" spans="1:35">
      <c r="A484" s="3">
        <f>IFERROR(__xludf.DUMMYFUNCTION("""COMPUTED_VALUE"""),46275)</f>
        <v>46275</v>
      </c>
      <c r="B484" s="1" t="str">
        <f>IFERROR(__xludf.DUMMYFUNCTION("""COMPUTED_VALUE"""),"GARY MARTINEZ REVENQUE")</f>
        <v>GARY MARTINEZ REVENQUE</v>
      </c>
      <c r="C484" s="1">
        <f>IFERROR(__xludf.DUMMYFUNCTION("""COMPUTED_VALUE"""),2312486415)</f>
        <v>2312486415</v>
      </c>
      <c r="D484" s="1">
        <f>IFERROR(__xludf.DUMMYFUNCTION("""COMPUTED_VALUE"""),407820886)</f>
        <v>407820886</v>
      </c>
      <c r="E484" s="1">
        <f>IFERROR(__xludf.DUMMYFUNCTION("""COMPUTED_VALUE"""),470801231004)</f>
        <v>470801231004</v>
      </c>
      <c r="F484" s="1" t="str">
        <f>IFERROR(__xludf.DUMMYFUNCTION("""COMPUTED_VALUE"""),"CLOSED")</f>
        <v>CLOSED</v>
      </c>
      <c r="G484" s="1" t="str">
        <f>IFERROR(__xludf.DUMMYFUNCTION("""COMPUTED_VALUE"""),"CLOSED")</f>
        <v>CLOSED</v>
      </c>
      <c r="H484" s="1" t="str">
        <f>IFERROR(__xludf.DUMMYFUNCTION("""COMPUTED_VALUE"""),"PAID THRU GCASH REF# 393693687 SEP 18")</f>
        <v>PAID THRU GCASH REF# 393693687 SEP 18</v>
      </c>
      <c r="I484" s="1" t="str">
        <f>IFERROR(__xludf.DUMMYFUNCTION("""COMPUTED_VALUE"""),"WITH 1 AMSF")</f>
        <v>WITH 1 AMSF</v>
      </c>
      <c r="J484" s="1"/>
      <c r="K484" s="1" t="str">
        <f>IFERROR(__xludf.DUMMYFUNCTION("""COMPUTED_VALUE"""),"COMPLETED")</f>
        <v>COMPLETED</v>
      </c>
      <c r="L484" s="1" t="str">
        <f>IFERROR(__xludf.DUMMYFUNCTION("""COMPUTED_VALUE"""),"POSTED")</f>
        <v>POSTED</v>
      </c>
      <c r="M484" s="1" t="str">
        <f>IFERROR(__xludf.DUMMYFUNCTION("""COMPUTED_VALUE"""),"POSTED")</f>
        <v>POSTED</v>
      </c>
      <c r="N484" s="3">
        <f>IFERROR(__xludf.DUMMYFUNCTION("""COMPUTED_VALUE"""),46283)</f>
        <v>46283</v>
      </c>
      <c r="O484" s="1" t="str">
        <f>IFERROR(__xludf.DUMMYFUNCTION("""COMPUTED_VALUE"""),"FIBR UNLI ALL PLAN 999")</f>
        <v>FIBR UNLI ALL PLAN 999</v>
      </c>
      <c r="P484" s="1" t="str">
        <f>IFERROR(__xludf.DUMMYFUNCTION("""COMPUTED_VALUE"""),"LOWPLAN")</f>
        <v>LOWPLAN</v>
      </c>
      <c r="Q484" s="1" t="str">
        <f>IFERROR(__xludf.DUMMYFUNCTION("""COMPUTED_VALUE"""),"P407047")</f>
        <v>P407047</v>
      </c>
      <c r="R484" s="1" t="str">
        <f>IFERROR(__xludf.DUMMYFUNCTION("""COMPUTED_VALUE"""),"FRANCISCO, ROSELYN")</f>
        <v>FRANCISCO, ROSELYN</v>
      </c>
      <c r="S484" s="1" t="str">
        <f>IFERROR(__xludf.DUMMYFUNCTION("""COMPUTED_VALUE"""),"ORGANIC")</f>
        <v>ORGANIC</v>
      </c>
      <c r="T484" s="1" t="str">
        <f>IFERROR(__xludf.DUMMYFUNCTION("""COMPUTED_VALUE"""),"LEA REMOLLO")</f>
        <v>LEA REMOLLO</v>
      </c>
      <c r="U484" s="1" t="str">
        <f>IFERROR(__xludf.DUMMYFUNCTION("""COMPUTED_VALUE"""),"JULIE ESPIRITU")</f>
        <v>JULIE ESPIRITU</v>
      </c>
      <c r="V484" s="1" t="str">
        <f>IFERROR(__xludf.DUMMYFUNCTION("""COMPUTED_VALUE"""),"BK HSTK")</f>
        <v>BK HSTK</v>
      </c>
      <c r="W484" s="1" t="str">
        <f>IFERROR(__xludf.DUMMYFUNCTION("""COMPUTED_VALUE"""),"BK HSTK")</f>
        <v>BK HSTK</v>
      </c>
      <c r="X484" s="1" t="str">
        <f>IFERROR(__xludf.DUMMYFUNCTION("""COMPUTED_VALUE"""),"REGULAR")</f>
        <v>REGULAR</v>
      </c>
      <c r="Y484" s="1" t="str">
        <f>IFERROR(__xludf.DUMMYFUNCTION("""COMPUTED_VALUE"""),"BK_CVEU_260820")</f>
        <v>BK_CVEU_260820</v>
      </c>
      <c r="Z484" s="1" t="str">
        <f>IFERROR(__xludf.DUMMYFUNCTION("""COMPUTED_VALUE"""),"NEW CONNECT")</f>
        <v>NEW CONNECT</v>
      </c>
      <c r="AA484" s="1">
        <f>IFERROR(__xludf.DUMMYFUNCTION("""COMPUTED_VALUE"""),639512232760)</f>
        <v>639512232760</v>
      </c>
      <c r="AB484" s="1">
        <f>IFERROR(__xludf.DUMMYFUNCTION("""COMPUTED_VALUE"""),639852669784)</f>
        <v>639852669784</v>
      </c>
      <c r="AC484" s="1"/>
      <c r="AD484" s="1" t="str">
        <f>IFERROR(__xludf.DUMMYFUNCTION("""COMPUTED_VALUE"""),"BANABA")</f>
        <v>BANABA</v>
      </c>
      <c r="AE484" s="1"/>
      <c r="AF484" s="1" t="str">
        <f>IFERROR(__xludf.DUMMYFUNCTION("""COMPUTED_VALUE"""),"BGY BANABA")</f>
        <v>BGY BANABA</v>
      </c>
      <c r="AG484" s="1" t="str">
        <f>IFERROR(__xludf.DUMMYFUNCTION("""COMPUTED_VALUE"""),"SILANG")</f>
        <v>SILANG</v>
      </c>
      <c r="AH484" s="1" t="str">
        <f>IFERROR(__xludf.DUMMYFUNCTION("""COMPUTED_VALUE"""),"DALI")</f>
        <v>DALI</v>
      </c>
      <c r="AI484" s="1" t="str">
        <f>IFERROR(__xludf.DUMMYFUNCTION("""COMPUTED_VALUE"""),"CLUSTER 11")</f>
        <v>CLUSTER 11</v>
      </c>
    </row>
    <row r="485" customHeight="1" spans="1:35">
      <c r="A485" s="3">
        <f>IFERROR(__xludf.DUMMYFUNCTION("""COMPUTED_VALUE"""),46275)</f>
        <v>46275</v>
      </c>
      <c r="B485" s="1" t="str">
        <f>IFERROR(__xludf.DUMMYFUNCTION("""COMPUTED_VALUE"""),"JENNIFER TANDOG PANAGLIMA")</f>
        <v>JENNIFER TANDOG PANAGLIMA</v>
      </c>
      <c r="C485" s="1">
        <f>IFERROR(__xludf.DUMMYFUNCTION("""COMPUTED_VALUE"""),2312486804)</f>
        <v>2312486804</v>
      </c>
      <c r="D485" s="1">
        <f>IFERROR(__xludf.DUMMYFUNCTION("""COMPUTED_VALUE"""),407833244)</f>
        <v>407833244</v>
      </c>
      <c r="E485" s="1">
        <f>IFERROR(__xludf.DUMMYFUNCTION("""COMPUTED_VALUE"""),470817063004)</f>
        <v>470817063004</v>
      </c>
      <c r="F485" s="1" t="str">
        <f>IFERROR(__xludf.DUMMYFUNCTION("""COMPUTED_VALUE"""),"CLOSED")</f>
        <v>CLOSED</v>
      </c>
      <c r="G485" s="1" t="str">
        <f>IFERROR(__xludf.DUMMYFUNCTION("""COMPUTED_VALUE"""),"CLOSED")</f>
        <v>CLOSED</v>
      </c>
      <c r="H485" s="1" t="str">
        <f>IFERROR(__xludf.DUMMYFUNCTION("""COMPUTED_VALUE"""),"PAID VIA GCASH - SEPT 10- REF - 866828420")</f>
        <v>PAID VIA GCASH - SEPT 10- REF - 866828420</v>
      </c>
      <c r="I485" s="1" t="str">
        <f>IFERROR(__xludf.DUMMYFUNCTION("""COMPUTED_VALUE"""),"WITH 1 AMSF")</f>
        <v>WITH 1 AMSF</v>
      </c>
      <c r="J485" s="1"/>
      <c r="K485" s="1" t="str">
        <f>IFERROR(__xludf.DUMMYFUNCTION("""COMPUTED_VALUE"""),"COMPLETED")</f>
        <v>COMPLETED</v>
      </c>
      <c r="L485" s="1" t="str">
        <f>IFERROR(__xludf.DUMMYFUNCTION("""COMPUTED_VALUE"""),"POSTED")</f>
        <v>POSTED</v>
      </c>
      <c r="M485" s="1" t="str">
        <f>IFERROR(__xludf.DUMMYFUNCTION("""COMPUTED_VALUE"""),"POSTED")</f>
        <v>POSTED</v>
      </c>
      <c r="N485" s="3">
        <f>IFERROR(__xludf.DUMMYFUNCTION("""COMPUTED_VALUE"""),46276)</f>
        <v>46276</v>
      </c>
      <c r="O485" s="1" t="str">
        <f>IFERROR(__xludf.DUMMYFUNCTION("""COMPUTED_VALUE"""),"FIBER UNLI ALL PLAN 1899")</f>
        <v>FIBER UNLI ALL PLAN 1899</v>
      </c>
      <c r="P485" s="1" t="str">
        <f>IFERROR(__xludf.DUMMYFUNCTION("""COMPUTED_VALUE"""),"HIGHPLAN")</f>
        <v>HIGHPLAN</v>
      </c>
      <c r="Q485" s="1" t="str">
        <f>IFERROR(__xludf.DUMMYFUNCTION("""COMPUTED_VALUE"""),"P407516")</f>
        <v>P407516</v>
      </c>
      <c r="R485" s="1" t="str">
        <f>IFERROR(__xludf.DUMMYFUNCTION("""COMPUTED_VALUE"""),"AYON, MANUEL")</f>
        <v>AYON, MANUEL</v>
      </c>
      <c r="S485" s="1" t="str">
        <f>IFERROR(__xludf.DUMMYFUNCTION("""COMPUTED_VALUE"""),"FLA")</f>
        <v>FLA</v>
      </c>
      <c r="T485" s="1" t="str">
        <f>IFERROR(__xludf.DUMMYFUNCTION("""COMPUTED_VALUE"""),"JERIC NAVARRO")</f>
        <v>JERIC NAVARRO</v>
      </c>
      <c r="U485" s="1" t="str">
        <f>IFERROR(__xludf.DUMMYFUNCTION("""COMPUTED_VALUE"""),"JULIE ESPIRITU")</f>
        <v>JULIE ESPIRITU</v>
      </c>
      <c r="V485" s="1" t="str">
        <f>IFERROR(__xludf.DUMMYFUNCTION("""COMPUTED_VALUE"""),"ONLINE/CRANFORD")</f>
        <v>ONLINE/CRANFORD</v>
      </c>
      <c r="W485" s="1" t="str">
        <f>IFERROR(__xludf.DUMMYFUNCTION("""COMPUTED_VALUE"""),"BK HSTK")</f>
        <v>BK HSTK</v>
      </c>
      <c r="X485" s="1" t="str">
        <f>IFERROR(__xludf.DUMMYFUNCTION("""COMPUTED_VALUE"""),"HBBS SEPT 2026")</f>
        <v>HBBS SEPT 2026</v>
      </c>
      <c r="Y485" s="1" t="str">
        <f>IFERROR(__xludf.DUMMYFUNCTION("""COMPUTED_VALUE"""),"RS_ONL_CVEU_2026")</f>
        <v>RS_ONL_CVEU_2026</v>
      </c>
      <c r="Z485" s="1" t="str">
        <f>IFERROR(__xludf.DUMMYFUNCTION("""COMPUTED_VALUE"""),"NEW CONNECT")</f>
        <v>NEW CONNECT</v>
      </c>
      <c r="AA485" s="1">
        <f>IFERROR(__xludf.DUMMYFUNCTION("""COMPUTED_VALUE"""),639998283598)</f>
        <v>639998283598</v>
      </c>
      <c r="AB485" s="1">
        <f>IFERROR(__xludf.DUMMYFUNCTION("""COMPUTED_VALUE"""),639167257298)</f>
        <v>639167257298</v>
      </c>
      <c r="AC485" s="1">
        <f>IFERROR(__xludf.DUMMYFUNCTION("""COMPUTED_VALUE"""),5496)</f>
        <v>5496</v>
      </c>
      <c r="AD485" s="1" t="str">
        <f>IFERROR(__xludf.DUMMYFUNCTION("""COMPUTED_VALUE"""),"SOLEA FARM")</f>
        <v>SOLEA FARM</v>
      </c>
      <c r="AE485" s="1"/>
      <c r="AF485" s="1" t="str">
        <f>IFERROR(__xludf.DUMMYFUNCTION("""COMPUTED_VALUE"""),"BGY PALOCPOC 1")</f>
        <v>BGY PALOCPOC 1</v>
      </c>
      <c r="AG485" s="1" t="str">
        <f>IFERROR(__xludf.DUMMYFUNCTION("""COMPUTED_VALUE"""),"MENDEZ")</f>
        <v>MENDEZ</v>
      </c>
      <c r="AH485" s="1"/>
      <c r="AI485" s="1" t="str">
        <f>IFERROR(__xludf.DUMMYFUNCTION("""COMPUTED_VALUE"""),"CLUSTER 12")</f>
        <v>CLUSTER 12</v>
      </c>
    </row>
    <row r="486" customHeight="1" spans="1:35">
      <c r="A486" s="3">
        <f>IFERROR(__xludf.DUMMYFUNCTION("""COMPUTED_VALUE"""),46275)</f>
        <v>46275</v>
      </c>
      <c r="B486" s="1" t="str">
        <f>IFERROR(__xludf.DUMMYFUNCTION("""COMPUTED_VALUE"""),"JOAHWANIE MIKHAILE ESTEBAT UY")</f>
        <v>JOAHWANIE MIKHAILE ESTEBAT UY</v>
      </c>
      <c r="C486" s="1">
        <f>IFERROR(__xludf.DUMMYFUNCTION("""COMPUTED_VALUE"""),2312488076)</f>
        <v>2312488076</v>
      </c>
      <c r="D486" s="1"/>
      <c r="E486" s="1"/>
      <c r="F486" s="1" t="str">
        <f>IFERROR(__xludf.DUMMYFUNCTION("""COMPUTED_VALUE"""),"CANCELLED")</f>
        <v>CANCELLED</v>
      </c>
      <c r="G486" s="1" t="str">
        <f>IFERROR(__xludf.DUMMYFUNCTION("""COMPUTED_VALUE"""),"CANCELLED")</f>
        <v>CANCELLED</v>
      </c>
      <c r="H486" s="1"/>
      <c r="I486" s="1"/>
      <c r="J486" s="1"/>
      <c r="K486" s="1"/>
      <c r="L486" s="1" t="str">
        <f>IFERROR(__xludf.DUMMYFUNCTION("""COMPUTED_VALUE"""),"REENCODED")</f>
        <v>REENCODED</v>
      </c>
      <c r="M486" s="1" t="str">
        <f>IFERROR(__xludf.DUMMYFUNCTION("""COMPUTED_VALUE"""),"REENCODED")</f>
        <v>REENCODED</v>
      </c>
      <c r="N486" s="3"/>
      <c r="O486" s="1" t="str">
        <f>IFERROR(__xludf.DUMMYFUNCTION("""COMPUTED_VALUE"""),"FIBR PLAN 1299")</f>
        <v>FIBR PLAN 1299</v>
      </c>
      <c r="P486" s="1" t="str">
        <f>IFERROR(__xludf.DUMMYFUNCTION("""COMPUTED_VALUE"""),"LOWPLAN")</f>
        <v>LOWPLAN</v>
      </c>
      <c r="Q486" s="1" t="str">
        <f>IFERROR(__xludf.DUMMYFUNCTION("""COMPUTED_VALUE"""),"P407520")</f>
        <v>P407520</v>
      </c>
      <c r="R486" s="1" t="str">
        <f>IFERROR(__xludf.DUMMYFUNCTION("""COMPUTED_VALUE"""),"MALIWAT, MARK")</f>
        <v>MALIWAT, MARK</v>
      </c>
      <c r="S486" s="1" t="str">
        <f>IFERROR(__xludf.DUMMYFUNCTION("""COMPUTED_VALUE"""),"FLA")</f>
        <v>FLA</v>
      </c>
      <c r="T486" s="1" t="str">
        <f>IFERROR(__xludf.DUMMYFUNCTION("""COMPUTED_VALUE"""),"JERIC NAVARRO")</f>
        <v>JERIC NAVARRO</v>
      </c>
      <c r="U486" s="1" t="str">
        <f>IFERROR(__xludf.DUMMYFUNCTION("""COMPUTED_VALUE"""),"JULIE ESPIRITU")</f>
        <v>JULIE ESPIRITU</v>
      </c>
      <c r="V486" s="1" t="str">
        <f>IFERROR(__xludf.DUMMYFUNCTION("""COMPUTED_VALUE"""),"ONLINE/CRANFORD")</f>
        <v>ONLINE/CRANFORD</v>
      </c>
      <c r="W486" s="1" t="str">
        <f>IFERROR(__xludf.DUMMYFUNCTION("""COMPUTED_VALUE"""),"BK HSTK")</f>
        <v>BK HSTK</v>
      </c>
      <c r="X486" s="1" t="str">
        <f>IFERROR(__xludf.DUMMYFUNCTION("""COMPUTED_VALUE"""),"HBBS SEPT 2026")</f>
        <v>HBBS SEPT 2026</v>
      </c>
      <c r="Y486" s="1" t="str">
        <f>IFERROR(__xludf.DUMMYFUNCTION("""COMPUTED_VALUE"""),"RS_ONL_CVEU_2026")</f>
        <v>RS_ONL_CVEU_2026</v>
      </c>
      <c r="Z486" s="1" t="str">
        <f>IFERROR(__xludf.DUMMYFUNCTION("""COMPUTED_VALUE"""),"NEW CONNECT")</f>
        <v>NEW CONNECT</v>
      </c>
      <c r="AA486" s="1">
        <f>IFERROR(__xludf.DUMMYFUNCTION("""COMPUTED_VALUE"""),639510081927)</f>
        <v>639510081927</v>
      </c>
      <c r="AB486" s="1"/>
      <c r="AC486" s="1"/>
      <c r="AD486" s="1" t="str">
        <f>IFERROR(__xludf.DUMMYFUNCTION("""COMPUTED_VALUE"""),"PHASE 3")</f>
        <v>PHASE 3</v>
      </c>
      <c r="AE486" s="1" t="str">
        <f>IFERROR(__xludf.DUMMYFUNCTION("""COMPUTED_VALUE"""),"SOLAR HOMES")</f>
        <v>SOLAR HOMES</v>
      </c>
      <c r="AF486" s="1" t="str">
        <f>IFERROR(__xludf.DUMMYFUNCTION("""COMPUTED_VALUE"""),"BGY LANGKAAN 2")</f>
        <v>BGY LANGKAAN 2</v>
      </c>
      <c r="AG486" s="1" t="str">
        <f>IFERROR(__xludf.DUMMYFUNCTION("""COMPUTED_VALUE"""),"DASMARINAS")</f>
        <v>DASMARINAS</v>
      </c>
      <c r="AH486" s="1"/>
      <c r="AI486" s="1" t="str">
        <f>IFERROR(__xludf.DUMMYFUNCTION("""COMPUTED_VALUE"""),"NOT AOR")</f>
        <v>NOT AOR</v>
      </c>
    </row>
    <row r="487" customHeight="1" spans="1:35">
      <c r="A487" s="3">
        <f>IFERROR(__xludf.DUMMYFUNCTION("""COMPUTED_VALUE"""),46275)</f>
        <v>46275</v>
      </c>
      <c r="B487" s="1" t="str">
        <f>IFERROR(__xludf.DUMMYFUNCTION("""COMPUTED_VALUE"""),"REYNALDO JR. DEL CASTILLO ANGELES")</f>
        <v>REYNALDO JR. DEL CASTILLO ANGELES</v>
      </c>
      <c r="C487" s="1">
        <f>IFERROR(__xludf.DUMMYFUNCTION("""COMPUTED_VALUE"""),2312490739)</f>
        <v>2312490739</v>
      </c>
      <c r="D487" s="1"/>
      <c r="E487" s="1"/>
      <c r="F487" s="1" t="str">
        <f>IFERROR(__xludf.DUMMYFUNCTION("""COMPUTED_VALUE"""),"REENCODED")</f>
        <v>REENCODED</v>
      </c>
      <c r="G487" s="1" t="str">
        <f>IFERROR(__xludf.DUMMYFUNCTION("""COMPUTED_VALUE"""),"REENCODED DUE TO SYSTEM ERROR")</f>
        <v>REENCODED DUE TO SYSTEM ERROR</v>
      </c>
      <c r="H487" s="1"/>
      <c r="I487" s="1"/>
      <c r="J487" s="1"/>
      <c r="K487" s="1"/>
      <c r="L487" s="1" t="str">
        <f>IFERROR(__xludf.DUMMYFUNCTION("""COMPUTED_VALUE"""),"REENCODED")</f>
        <v>REENCODED</v>
      </c>
      <c r="M487" s="1" t="str">
        <f>IFERROR(__xludf.DUMMYFUNCTION("""COMPUTED_VALUE"""),"REENCODED")</f>
        <v>REENCODED</v>
      </c>
      <c r="N487" s="3"/>
      <c r="O487" s="1" t="str">
        <f>IFERROR(__xludf.DUMMYFUNCTION("""COMPUTED_VALUE"""),"FIBER UNLI ALL PLAN 1499")</f>
        <v>FIBER UNLI ALL PLAN 1499</v>
      </c>
      <c r="P487" s="1" t="str">
        <f>IFERROR(__xludf.DUMMYFUNCTION("""COMPUTED_VALUE"""),"LOWPLAN")</f>
        <v>LOWPLAN</v>
      </c>
      <c r="Q487" s="1" t="str">
        <f>IFERROR(__xludf.DUMMYFUNCTION("""COMPUTED_VALUE"""),"P407518")</f>
        <v>P407518</v>
      </c>
      <c r="R487" s="1" t="str">
        <f>IFERROR(__xludf.DUMMYFUNCTION("""COMPUTED_VALUE"""),"CARPIO, STEPHANIE")</f>
        <v>CARPIO, STEPHANIE</v>
      </c>
      <c r="S487" s="1" t="str">
        <f>IFERROR(__xludf.DUMMYFUNCTION("""COMPUTED_VALUE"""),"FLA")</f>
        <v>FLA</v>
      </c>
      <c r="T487" s="1" t="str">
        <f>IFERROR(__xludf.DUMMYFUNCTION("""COMPUTED_VALUE"""),"JERIC NAVARRO")</f>
        <v>JERIC NAVARRO</v>
      </c>
      <c r="U487" s="1" t="str">
        <f>IFERROR(__xludf.DUMMYFUNCTION("""COMPUTED_VALUE"""),"JULIE ESPIRITU")</f>
        <v>JULIE ESPIRITU</v>
      </c>
      <c r="V487" s="1" t="str">
        <f>IFERROR(__xludf.DUMMYFUNCTION("""COMPUTED_VALUE"""),"BK REGULAR")</f>
        <v>BK REGULAR</v>
      </c>
      <c r="W487" s="1" t="str">
        <f>IFERROR(__xludf.DUMMYFUNCTION("""COMPUTED_VALUE"""),"STK REGULAR")</f>
        <v>STK REGULAR</v>
      </c>
      <c r="X487" s="1" t="str">
        <f>IFERROR(__xludf.DUMMYFUNCTION("""COMPUTED_VALUE"""),"HBBS SEPT 2026")</f>
        <v>HBBS SEPT 2026</v>
      </c>
      <c r="Y487" s="1" t="str">
        <f>IFERROR(__xludf.DUMMYFUNCTION("""COMPUTED_VALUE"""),"RS_SS_CVEU_2026")</f>
        <v>RS_SS_CVEU_2026</v>
      </c>
      <c r="Z487" s="1" t="str">
        <f>IFERROR(__xludf.DUMMYFUNCTION("""COMPUTED_VALUE"""),"NEW CONNECT")</f>
        <v>NEW CONNECT</v>
      </c>
      <c r="AA487" s="1">
        <f>IFERROR(__xludf.DUMMYFUNCTION("""COMPUTED_VALUE"""),639948433775)</f>
        <v>639948433775</v>
      </c>
      <c r="AB487" s="1"/>
      <c r="AC487" s="1">
        <f>IFERROR(__xludf.DUMMYFUNCTION("""COMPUTED_VALUE"""),737)</f>
        <v>737</v>
      </c>
      <c r="AD487" s="1" t="str">
        <f>IFERROR(__xludf.DUMMYFUNCTION("""COMPUTED_VALUE"""),"ROMUALDO")</f>
        <v>ROMUALDO</v>
      </c>
      <c r="AE487" s="1"/>
      <c r="AF487" s="1" t="str">
        <f>IFERROR(__xludf.DUMMYFUNCTION("""COMPUTED_VALUE"""),"BGY 24")</f>
        <v>BGY 24</v>
      </c>
      <c r="AG487" s="1" t="str">
        <f>IFERROR(__xludf.DUMMYFUNCTION("""COMPUTED_VALUE"""),"CAVITE CITY")</f>
        <v>CAVITE CITY</v>
      </c>
      <c r="AH487" s="1" t="str">
        <f>IFERROR(__xludf.DUMMYFUNCTION("""COMPUTED_VALUE"""),"DIZON'S BAKERY")</f>
        <v>DIZON'S BAKERY</v>
      </c>
      <c r="AI487" s="1" t="str">
        <f>IFERROR(__xludf.DUMMYFUNCTION("""COMPUTED_VALUE"""),"NOT AOR")</f>
        <v>NOT AOR</v>
      </c>
    </row>
    <row r="488" customHeight="1" spans="1:35">
      <c r="A488" s="3">
        <f>IFERROR(__xludf.DUMMYFUNCTION("""COMPUTED_VALUE"""),46275)</f>
        <v>46275</v>
      </c>
      <c r="B488" s="1" t="str">
        <f>IFERROR(__xludf.DUMMYFUNCTION("""COMPUTED_VALUE"""),"DANIEL VILLELA MERCADO")</f>
        <v>DANIEL VILLELA MERCADO</v>
      </c>
      <c r="C488" s="1">
        <f>IFERROR(__xludf.DUMMYFUNCTION("""COMPUTED_VALUE"""),2312491096)</f>
        <v>2312491096</v>
      </c>
      <c r="D488" s="1">
        <f>IFERROR(__xludf.DUMMYFUNCTION("""COMPUTED_VALUE"""),407827201)</f>
        <v>407827201</v>
      </c>
      <c r="E488" s="1">
        <f>IFERROR(__xludf.DUMMYFUNCTION("""COMPUTED_VALUE"""),470811287004)</f>
        <v>470811287004</v>
      </c>
      <c r="F488" s="1" t="str">
        <f>IFERROR(__xludf.DUMMYFUNCTION("""COMPUTED_VALUE"""),"RPR")</f>
        <v>RPR</v>
      </c>
      <c r="G488" s="1" t="str">
        <f>IFERROR(__xludf.DUMMYFUNCTION("""COMPUTED_VALUE"""),"VISITED     REMARKS   CANT LOCATE   NO RESPONSE FROM CBR   HINDI SUMASAGOT SA TAWAG AT TEXT MESSAGE 09399024149")</f>
        <v>VISITED     REMARKS   CANT LOCATE   NO RESPONSE FROM CBR   HINDI SUMASAGOT SA TAWAG AT TEXT MESSAGE 09399024149</v>
      </c>
      <c r="H488" s="1"/>
      <c r="I488" s="1"/>
      <c r="J488" s="1"/>
      <c r="K488" s="1" t="str">
        <f>IFERROR(__xludf.DUMMYFUNCTION("""COMPUTED_VALUE"""),"CANCELED")</f>
        <v>CANCELED</v>
      </c>
      <c r="L488" s="1" t="str">
        <f>IFERROR(__xludf.DUMMYFUNCTION("""COMPUTED_VALUE"""),"AFD - RESCHEDULE")</f>
        <v>AFD - RESCHEDULE</v>
      </c>
      <c r="M488" s="1" t="str">
        <f>IFERROR(__xludf.DUMMYFUNCTION("""COMPUTED_VALUE"""),"AFD - RESCHEDULED")</f>
        <v>AFD - RESCHEDULED</v>
      </c>
      <c r="N488" s="3"/>
      <c r="O488" s="1" t="str">
        <f>IFERROR(__xludf.DUMMYFUNCTION("""COMPUTED_VALUE"""),"FIBR PLAN 1299")</f>
        <v>FIBR PLAN 1299</v>
      </c>
      <c r="P488" s="1" t="str">
        <f>IFERROR(__xludf.DUMMYFUNCTION("""COMPUTED_VALUE"""),"LOWPLAN")</f>
        <v>LOWPLAN</v>
      </c>
      <c r="Q488" s="1" t="str">
        <f>IFERROR(__xludf.DUMMYFUNCTION("""COMPUTED_VALUE"""),"P407517")</f>
        <v>P407517</v>
      </c>
      <c r="R488" s="1" t="str">
        <f>IFERROR(__xludf.DUMMYFUNCTION("""COMPUTED_VALUE"""),"GABAY, MANUEL")</f>
        <v>GABAY, MANUEL</v>
      </c>
      <c r="S488" s="1" t="str">
        <f>IFERROR(__xludf.DUMMYFUNCTION("""COMPUTED_VALUE"""),"FLA")</f>
        <v>FLA</v>
      </c>
      <c r="T488" s="1" t="str">
        <f>IFERROR(__xludf.DUMMYFUNCTION("""COMPUTED_VALUE"""),"JERIC NAVARRO")</f>
        <v>JERIC NAVARRO</v>
      </c>
      <c r="U488" s="1" t="str">
        <f>IFERROR(__xludf.DUMMYFUNCTION("""COMPUTED_VALUE"""),"JULIE ESPIRITU")</f>
        <v>JULIE ESPIRITU</v>
      </c>
      <c r="V488" s="1" t="str">
        <f>IFERROR(__xludf.DUMMYFUNCTION("""COMPUTED_VALUE"""),"BK HSTK")</f>
        <v>BK HSTK</v>
      </c>
      <c r="W488" s="1" t="str">
        <f>IFERROR(__xludf.DUMMYFUNCTION("""COMPUTED_VALUE"""),"BK HSTK")</f>
        <v>BK HSTK</v>
      </c>
      <c r="X488" s="1" t="str">
        <f>IFERROR(__xludf.DUMMYFUNCTION("""COMPUTED_VALUE"""),"HBBS SEPT 2026")</f>
        <v>HBBS SEPT 2026</v>
      </c>
      <c r="Y488" s="1" t="str">
        <f>IFERROR(__xludf.DUMMYFUNCTION("""COMPUTED_VALUE"""),"BK_CVEU_260820")</f>
        <v>BK_CVEU_260820</v>
      </c>
      <c r="Z488" s="1" t="str">
        <f>IFERROR(__xludf.DUMMYFUNCTION("""COMPUTED_VALUE"""),"NEW CONNECT")</f>
        <v>NEW CONNECT</v>
      </c>
      <c r="AA488" s="1">
        <f>IFERROR(__xludf.DUMMYFUNCTION("""COMPUTED_VALUE"""),639399024149)</f>
        <v>639399024149</v>
      </c>
      <c r="AB488" s="1"/>
      <c r="AC488" s="1">
        <f>IFERROR(__xludf.DUMMYFUNCTION("""COMPUTED_VALUE"""),25)</f>
        <v>25</v>
      </c>
      <c r="AD488" s="1" t="str">
        <f>IFERROR(__xludf.DUMMYFUNCTION("""COMPUTED_VALUE"""),"PUROK 4")</f>
        <v>PUROK 4</v>
      </c>
      <c r="AE488" s="1" t="str">
        <f>IFERROR(__xludf.DUMMYFUNCTION("""COMPUTED_VALUE"""),"RIVERA COMPOUND")</f>
        <v>RIVERA COMPOUND</v>
      </c>
      <c r="AF488" s="1" t="str">
        <f>IFERROR(__xludf.DUMMYFUNCTION("""COMPUTED_VALUE"""),"BGY PUTING KAHOY")</f>
        <v>BGY PUTING KAHOY</v>
      </c>
      <c r="AG488" s="1" t="str">
        <f>IFERROR(__xludf.DUMMYFUNCTION("""COMPUTED_VALUE"""),"SILANG")</f>
        <v>SILANG</v>
      </c>
      <c r="AH488" s="1"/>
      <c r="AI488" s="1" t="str">
        <f>IFERROR(__xludf.DUMMYFUNCTION("""COMPUTED_VALUE"""),"CLUSTER 11")</f>
        <v>CLUSTER 11</v>
      </c>
    </row>
    <row r="489" customHeight="1" spans="1:35">
      <c r="A489" s="3">
        <f>IFERROR(__xludf.DUMMYFUNCTION("""COMPUTED_VALUE"""),46275)</f>
        <v>46275</v>
      </c>
      <c r="B489" s="1" t="str">
        <f>IFERROR(__xludf.DUMMYFUNCTION("""COMPUTED_VALUE"""),"CLARITA DIOCTON MANI")</f>
        <v>CLARITA DIOCTON MANI</v>
      </c>
      <c r="C489" s="1">
        <f>IFERROR(__xludf.DUMMYFUNCTION("""COMPUTED_VALUE"""),2312491499)</f>
        <v>2312491499</v>
      </c>
      <c r="D489" s="1">
        <f>IFERROR(__xludf.DUMMYFUNCTION("""COMPUTED_VALUE"""),407830245)</f>
        <v>407830245</v>
      </c>
      <c r="E489" s="1">
        <f>IFERROR(__xludf.DUMMYFUNCTION("""COMPUTED_VALUE"""),470812816004)</f>
        <v>470812816004</v>
      </c>
      <c r="F489" s="1" t="str">
        <f>IFERROR(__xludf.DUMMYFUNCTION("""COMPUTED_VALUE"""),"RPR")</f>
        <v>RPR</v>
      </c>
      <c r="G489" s="1" t="str">
        <f>IFERROR(__xludf.DUMMYFUNCTION("""COMPUTED_VALUE"""),"AFD VISITED REMARKS MULTIPLE VISIT STILL  HOUSE CLOSE   CBR 09553127711 UNATTENDED   ALREADY SENT A MESSAGE STILL NO RESPONSE")</f>
        <v>AFD VISITED REMARKS MULTIPLE VISIT STILL  HOUSE CLOSE   CBR 09553127711 UNATTENDED   ALREADY SENT A MESSAGE STILL NO RESPONSE</v>
      </c>
      <c r="H489" s="1" t="str">
        <f>IFERROR(__xludf.DUMMYFUNCTION("""COMPUTED_VALUE"""),"NO PAYMENT")</f>
        <v>NO PAYMENT</v>
      </c>
      <c r="I489" s="1" t="str">
        <f>IFERROR(__xludf.DUMMYFUNCTION("""COMPUTED_VALUE"""),"NO 1 AMSF")</f>
        <v>NO 1 AMSF</v>
      </c>
      <c r="J489" s="1"/>
      <c r="K489" s="1" t="str">
        <f>IFERROR(__xludf.DUMMYFUNCTION("""COMPUTED_VALUE"""),"CANCELED")</f>
        <v>CANCELED</v>
      </c>
      <c r="L489" s="1" t="str">
        <f>IFERROR(__xludf.DUMMYFUNCTION("""COMPUTED_VALUE"""),"AFD - RESCHEDULE")</f>
        <v>AFD - RESCHEDULE</v>
      </c>
      <c r="M489" s="1" t="str">
        <f>IFERROR(__xludf.DUMMYFUNCTION("""COMPUTED_VALUE"""),"AFD - RESCHEDULED")</f>
        <v>AFD - RESCHEDULED</v>
      </c>
      <c r="N489" s="3"/>
      <c r="O489" s="1" t="str">
        <f>IFERROR(__xludf.DUMMYFUNCTION("""COMPUTED_VALUE"""),"FIBR PLAN 1299")</f>
        <v>FIBR PLAN 1299</v>
      </c>
      <c r="P489" s="1" t="str">
        <f>IFERROR(__xludf.DUMMYFUNCTION("""COMPUTED_VALUE"""),"LOWPLAN")</f>
        <v>LOWPLAN</v>
      </c>
      <c r="Q489" s="1" t="str">
        <f>IFERROR(__xludf.DUMMYFUNCTION("""COMPUTED_VALUE"""),"P407047")</f>
        <v>P407047</v>
      </c>
      <c r="R489" s="1" t="str">
        <f>IFERROR(__xludf.DUMMYFUNCTION("""COMPUTED_VALUE"""),"ARENA, LYKA")</f>
        <v>ARENA, LYKA</v>
      </c>
      <c r="S489" s="1" t="str">
        <f>IFERROR(__xludf.DUMMYFUNCTION("""COMPUTED_VALUE"""),"ORGANIC")</f>
        <v>ORGANIC</v>
      </c>
      <c r="T489" s="1" t="str">
        <f>IFERROR(__xludf.DUMMYFUNCTION("""COMPUTED_VALUE"""),"LEA REMOLLO")</f>
        <v>LEA REMOLLO</v>
      </c>
      <c r="U489" s="1" t="str">
        <f>IFERROR(__xludf.DUMMYFUNCTION("""COMPUTED_VALUE"""),"JULIE ESPIRITU")</f>
        <v>JULIE ESPIRITU</v>
      </c>
      <c r="V489" s="1" t="str">
        <f>IFERROR(__xludf.DUMMYFUNCTION("""COMPUTED_VALUE"""),"BK HSTK")</f>
        <v>BK HSTK</v>
      </c>
      <c r="W489" s="1" t="str">
        <f>IFERROR(__xludf.DUMMYFUNCTION("""COMPUTED_VALUE"""),"BK HSTK")</f>
        <v>BK HSTK</v>
      </c>
      <c r="X489" s="1" t="str">
        <f>IFERROR(__xludf.DUMMYFUNCTION("""COMPUTED_VALUE"""),"HBBS SEPT 2026")</f>
        <v>HBBS SEPT 2026</v>
      </c>
      <c r="Y489" s="1" t="str">
        <f>IFERROR(__xludf.DUMMYFUNCTION("""COMPUTED_VALUE"""),"BK_CVEU_260820")</f>
        <v>BK_CVEU_260820</v>
      </c>
      <c r="Z489" s="1" t="str">
        <f>IFERROR(__xludf.DUMMYFUNCTION("""COMPUTED_VALUE"""),"NEW CONNECT")</f>
        <v>NEW CONNECT</v>
      </c>
      <c r="AA489" s="1">
        <f>IFERROR(__xludf.DUMMYFUNCTION("""COMPUTED_VALUE"""),639553127711)</f>
        <v>639553127711</v>
      </c>
      <c r="AB489" s="1"/>
      <c r="AC489" s="1"/>
      <c r="AD489" s="1" t="str">
        <f>IFERROR(__xludf.DUMMYFUNCTION("""COMPUTED_VALUE"""),"IMPERIAL HOMES")</f>
        <v>IMPERIAL HOMES</v>
      </c>
      <c r="AE489" s="1" t="str">
        <f>IFERROR(__xludf.DUMMYFUNCTION("""COMPUTED_VALUE"""),"IMPERIAL HOMES")</f>
        <v>IMPERIAL HOMES</v>
      </c>
      <c r="AF489" s="1" t="str">
        <f>IFERROR(__xludf.DUMMYFUNCTION("""COMPUTED_VALUE"""),"BGY TARTARIA")</f>
        <v>BGY TARTARIA</v>
      </c>
      <c r="AG489" s="1" t="str">
        <f>IFERROR(__xludf.DUMMYFUNCTION("""COMPUTED_VALUE"""),"SILANG")</f>
        <v>SILANG</v>
      </c>
      <c r="AH489" s="1" t="str">
        <f>IFERROR(__xludf.DUMMYFUNCTION("""COMPUTED_VALUE"""),"LEONARDO DENTAL CLINIC")</f>
        <v>LEONARDO DENTAL CLINIC</v>
      </c>
      <c r="AI489" s="1" t="str">
        <f>IFERROR(__xludf.DUMMYFUNCTION("""COMPUTED_VALUE"""),"CLUSTER 11")</f>
        <v>CLUSTER 11</v>
      </c>
    </row>
    <row r="490" customHeight="1" spans="1:35">
      <c r="A490" s="3">
        <f>IFERROR(__xludf.DUMMYFUNCTION("""COMPUTED_VALUE"""),46275)</f>
        <v>46275</v>
      </c>
      <c r="B490" s="1" t="str">
        <f>IFERROR(__xludf.DUMMYFUNCTION("""COMPUTED_VALUE"""),"ANALIE GALIZA RAMOS")</f>
        <v>ANALIE GALIZA RAMOS</v>
      </c>
      <c r="C490" s="1">
        <f>IFERROR(__xludf.DUMMYFUNCTION("""COMPUTED_VALUE"""),2312491737)</f>
        <v>2312491737</v>
      </c>
      <c r="D490" s="1">
        <f>IFERROR(__xludf.DUMMYFUNCTION("""COMPUTED_VALUE"""),407833449)</f>
        <v>407833449</v>
      </c>
      <c r="E490" s="1">
        <f>IFERROR(__xludf.DUMMYFUNCTION("""COMPUTED_VALUE"""),470817728004)</f>
        <v>470817728004</v>
      </c>
      <c r="F490" s="1" t="str">
        <f>IFERROR(__xludf.DUMMYFUNCTION("""COMPUTED_VALUE"""),"RPR")</f>
        <v>RPR</v>
      </c>
      <c r="G490" s="1" t="str">
        <f>IFERROR(__xludf.DUMMYFUNCTION("""COMPUTED_VALUE"""),"VISITED ASSIGN CAFAC NOT ON SITE TNZLP518NP1 ALL CAFAC AT AMAYA BREEZE PHASE 1 ARE ALL FULL TNZLP90NP1 TO NP8 FULL TNZLP91NP1 TO NP8 FULL TNZLP92NP4 GIVEN VACANT P8 ACTIVE NEW RELOCATION OTHER NAP OF LCP92 FULL TNZLP93NP1 TO NP8 FULL SUBS ALREADY ADVISE T"&amp;"OK FATHER OF SOR")</f>
        <v>VISITED ASSIGN CAFAC NOT ON SITE TNZLP518NP1 ALL CAFAC AT AMAYA BREEZE PHASE 1 ARE ALL FULL TNZLP90NP1 TO NP8 FULL TNZLP91NP1 TO NP8 FULL TNZLP92NP4 GIVEN VACANT P8 ACTIVE NEW RELOCATION OTHER NAP OF LCP92 FULL TNZLP93NP1 TO NP8 FULL SUBS ALREADY ADVISE TOK FATHER OF SOR</v>
      </c>
      <c r="H490" s="1" t="str">
        <f>IFERROR(__xludf.DUMMYFUNCTION("""COMPUTED_VALUE"""),"PAID VIA CSP")</f>
        <v>PAID VIA CSP</v>
      </c>
      <c r="I490" s="1" t="str">
        <f>IFERROR(__xludf.DUMMYFUNCTION("""COMPUTED_VALUE"""),"NO 1 AMSF")</f>
        <v>NO 1 AMSF</v>
      </c>
      <c r="J490" s="1"/>
      <c r="K490" s="1" t="str">
        <f>IFERROR(__xludf.DUMMYFUNCTION("""COMPUTED_VALUE"""),"CANCELED")</f>
        <v>CANCELED</v>
      </c>
      <c r="L490" s="1" t="str">
        <f>IFERROR(__xludf.DUMMYFUNCTION("""COMPUTED_VALUE"""),"PAID")</f>
        <v>PAID</v>
      </c>
      <c r="M490" s="1" t="str">
        <f>IFERROR(__xludf.DUMMYFUNCTION("""COMPUTED_VALUE"""),"PAID - FOR INSTALLATION")</f>
        <v>PAID - FOR INSTALLATION</v>
      </c>
      <c r="N490" s="3"/>
      <c r="O490" s="1" t="str">
        <f>IFERROR(__xludf.DUMMYFUNCTION("""COMPUTED_VALUE"""),"FIBR NETFLIX PLAN 1599")</f>
        <v>FIBR NETFLIX PLAN 1599</v>
      </c>
      <c r="P490" s="1" t="str">
        <f>IFERROR(__xludf.DUMMYFUNCTION("""COMPUTED_VALUE"""),"LOWPLAN")</f>
        <v>LOWPLAN</v>
      </c>
      <c r="Q490" s="1" t="str">
        <f>IFERROR(__xludf.DUMMYFUNCTION("""COMPUTED_VALUE"""),"P407048")</f>
        <v>P407048</v>
      </c>
      <c r="R490" s="1" t="str">
        <f>IFERROR(__xludf.DUMMYFUNCTION("""COMPUTED_VALUE"""),"SANTOS, FRANZ IVAN")</f>
        <v>SANTOS, FRANZ IVAN</v>
      </c>
      <c r="S490" s="1" t="str">
        <f>IFERROR(__xludf.DUMMYFUNCTION("""COMPUTED_VALUE"""),"FLA")</f>
        <v>FLA</v>
      </c>
      <c r="T490" s="1" t="str">
        <f>IFERROR(__xludf.DUMMYFUNCTION("""COMPUTED_VALUE"""),"GARCIA MICHAEL JETTS")</f>
        <v>GARCIA MICHAEL JETTS</v>
      </c>
      <c r="U490" s="1" t="str">
        <f>IFERROR(__xludf.DUMMYFUNCTION("""COMPUTED_VALUE"""),"JB SALIOA")</f>
        <v>JB SALIOA</v>
      </c>
      <c r="V490" s="1" t="str">
        <f>IFERROR(__xludf.DUMMYFUNCTION("""COMPUTED_VALUE"""),"ONLINE/CRANFORD")</f>
        <v>ONLINE/CRANFORD</v>
      </c>
      <c r="W490" s="1" t="str">
        <f>IFERROR(__xludf.DUMMYFUNCTION("""COMPUTED_VALUE"""),"STK REGULAR")</f>
        <v>STK REGULAR</v>
      </c>
      <c r="X490" s="1" t="str">
        <f>IFERROR(__xludf.DUMMYFUNCTION("""COMPUTED_VALUE"""),"HBBS SEPT 2026")</f>
        <v>HBBS SEPT 2026</v>
      </c>
      <c r="Y490" s="1" t="str">
        <f>IFERROR(__xludf.DUMMYFUNCTION("""COMPUTED_VALUE"""),"RS_ONL_CVEU_2026")</f>
        <v>RS_ONL_CVEU_2026</v>
      </c>
      <c r="Z490" s="1" t="str">
        <f>IFERROR(__xludf.DUMMYFUNCTION("""COMPUTED_VALUE"""),"NEW CONNECT")</f>
        <v>NEW CONNECT</v>
      </c>
      <c r="AA490" s="1">
        <f>IFERROR(__xludf.DUMMYFUNCTION("""COMPUTED_VALUE"""),639761700304)</f>
        <v>639761700304</v>
      </c>
      <c r="AB490" s="1">
        <f>IFERROR(__xludf.DUMMYFUNCTION("""COMPUTED_VALUE"""),639176454799)</f>
        <v>639176454799</v>
      </c>
      <c r="AC490" s="1"/>
      <c r="AD490" s="1" t="str">
        <f>IFERROR(__xludf.DUMMYFUNCTION("""COMPUTED_VALUE"""),"AMAYA BREEZE")</f>
        <v>AMAYA BREEZE</v>
      </c>
      <c r="AE490" s="1" t="str">
        <f>IFERROR(__xludf.DUMMYFUNCTION("""COMPUTED_VALUE"""),"AMAYA BREEZE SUBD")</f>
        <v>AMAYA BREEZE SUBD</v>
      </c>
      <c r="AF490" s="1" t="str">
        <f>IFERROR(__xludf.DUMMYFUNCTION("""COMPUTED_VALUE"""),"BGY AMAYA 2")</f>
        <v>BGY AMAYA 2</v>
      </c>
      <c r="AG490" s="1" t="str">
        <f>IFERROR(__xludf.DUMMYFUNCTION("""COMPUTED_VALUE"""),"TANZA")</f>
        <v>TANZA</v>
      </c>
      <c r="AH490" s="1" t="str">
        <f>IFERROR(__xludf.DUMMYFUNCTION("""COMPUTED_VALUE"""),"AMAYA BREEZE")</f>
        <v>AMAYA BREEZE</v>
      </c>
      <c r="AI490" s="1" t="str">
        <f>IFERROR(__xludf.DUMMYFUNCTION("""COMPUTED_VALUE"""),"NOT AOR")</f>
        <v>NOT AOR</v>
      </c>
    </row>
    <row r="491" customHeight="1" spans="1:35">
      <c r="A491" s="3">
        <f>IFERROR(__xludf.DUMMYFUNCTION("""COMPUTED_VALUE"""),46275)</f>
        <v>46275</v>
      </c>
      <c r="B491" s="1" t="str">
        <f>IFERROR(__xludf.DUMMYFUNCTION("""COMPUTED_VALUE"""),"AMELIA JUMADIL FLORES")</f>
        <v>AMELIA JUMADIL FLORES</v>
      </c>
      <c r="C491" s="1">
        <f>IFERROR(__xludf.DUMMYFUNCTION("""COMPUTED_VALUE"""),2312491835)</f>
        <v>2312491835</v>
      </c>
      <c r="D491" s="1">
        <f>IFERROR(__xludf.DUMMYFUNCTION("""COMPUTED_VALUE"""),407831225)</f>
        <v>407831225</v>
      </c>
      <c r="E491" s="1">
        <f>IFERROR(__xludf.DUMMYFUNCTION("""COMPUTED_VALUE"""),470813751004)</f>
        <v>470813751004</v>
      </c>
      <c r="F491" s="1" t="str">
        <f>IFERROR(__xludf.DUMMYFUNCTION("""COMPUTED_VALUE"""),"CANCELLED")</f>
        <v>CANCELLED</v>
      </c>
      <c r="G491" s="1" t="str">
        <f>IFERROR(__xludf.DUMMYFUNCTION("""COMPUTED_VALUE"""),"REMARKS   CANT PROCEED SURVEY AND INSTALLATION   REPAIR TEAM LANG PINAPAPASOK SA BUKLOD BAHAYAN SUBDIVISION")</f>
        <v>REMARKS   CANT PROCEED SURVEY AND INSTALLATION   REPAIR TEAM LANG PINAPAPASOK SA BUKLOD BAHAYAN SUBDIVISION</v>
      </c>
      <c r="H491" s="1" t="str">
        <f>IFERROR(__xludf.DUMMYFUNCTION("""COMPUTED_VALUE"""),"PQGOR363854734	13-Sep-26	Regular Payment	CIS-GCASH 3.0	1,549.00	0	13-Sep-26")</f>
        <v>PQGOR363854734	13-Sep-26	Regular Payment	CIS-GCASH 3.0	1,549.00	0	13-Sep-26</v>
      </c>
      <c r="I491" s="1" t="str">
        <f>IFERROR(__xludf.DUMMYFUNCTION("""COMPUTED_VALUE"""),"WITH 1 AMSF")</f>
        <v>WITH 1 AMSF</v>
      </c>
      <c r="J491" s="1"/>
      <c r="K491" s="1" t="str">
        <f>IFERROR(__xludf.DUMMYFUNCTION("""COMPUTED_VALUE"""),"CANCELED")</f>
        <v>CANCELED</v>
      </c>
      <c r="L491" s="1" t="str">
        <f>IFERROR(__xludf.DUMMYFUNCTION("""COMPUTED_VALUE"""),"RPR - UNMAINTAINABLE")</f>
        <v>RPR - UNMAINTAINABLE</v>
      </c>
      <c r="M491" s="1" t="str">
        <f>IFERROR(__xludf.DUMMYFUNCTION("""COMPUTED_VALUE"""),"RPR - UNMAINTAINABLE")</f>
        <v>RPR - UNMAINTAINABLE</v>
      </c>
      <c r="N491" s="3"/>
      <c r="O491" s="1" t="str">
        <f>IFERROR(__xludf.DUMMYFUNCTION("""COMPUTED_VALUE"""),"FIBR UNLI ALL PLAN 999")</f>
        <v>FIBR UNLI ALL PLAN 999</v>
      </c>
      <c r="P491" s="1" t="str">
        <f>IFERROR(__xludf.DUMMYFUNCTION("""COMPUTED_VALUE"""),"LOWPLAN")</f>
        <v>LOWPLAN</v>
      </c>
      <c r="Q491" s="1" t="str">
        <f>IFERROR(__xludf.DUMMYFUNCTION("""COMPUTED_VALUE"""),"P407047")</f>
        <v>P407047</v>
      </c>
      <c r="R491" s="1" t="str">
        <f>IFERROR(__xludf.DUMMYFUNCTION("""COMPUTED_VALUE"""),"BAQUIT, JAZMIN")</f>
        <v>BAQUIT, JAZMIN</v>
      </c>
      <c r="S491" s="1" t="str">
        <f>IFERROR(__xludf.DUMMYFUNCTION("""COMPUTED_VALUE"""),"ORGANIC")</f>
        <v>ORGANIC</v>
      </c>
      <c r="T491" s="1" t="str">
        <f>IFERROR(__xludf.DUMMYFUNCTION("""COMPUTED_VALUE"""),"LEA REMOLLO")</f>
        <v>LEA REMOLLO</v>
      </c>
      <c r="U491" s="1" t="str">
        <f>IFERROR(__xludf.DUMMYFUNCTION("""COMPUTED_VALUE"""),"JULIE ESPIRITU")</f>
        <v>JULIE ESPIRITU</v>
      </c>
      <c r="V491" s="1" t="str">
        <f>IFERROR(__xludf.DUMMYFUNCTION("""COMPUTED_VALUE"""),"BK HSTK")</f>
        <v>BK HSTK</v>
      </c>
      <c r="W491" s="1" t="str">
        <f>IFERROR(__xludf.DUMMYFUNCTION("""COMPUTED_VALUE"""),"BK HSTK")</f>
        <v>BK HSTK</v>
      </c>
      <c r="X491" s="1" t="str">
        <f>IFERROR(__xludf.DUMMYFUNCTION("""COMPUTED_VALUE"""),"REGULAR")</f>
        <v>REGULAR</v>
      </c>
      <c r="Y491" s="1" t="str">
        <f>IFERROR(__xludf.DUMMYFUNCTION("""COMPUTED_VALUE"""),"BK_CVEU_260820")</f>
        <v>BK_CVEU_260820</v>
      </c>
      <c r="Z491" s="1" t="str">
        <f>IFERROR(__xludf.DUMMYFUNCTION("""COMPUTED_VALUE"""),"NEW CONNECT")</f>
        <v>NEW CONNECT</v>
      </c>
      <c r="AA491" s="1">
        <f>IFERROR(__xludf.DUMMYFUNCTION("""COMPUTED_VALUE"""),639979803531)</f>
        <v>639979803531</v>
      </c>
      <c r="AB491" s="1"/>
      <c r="AC491" s="1"/>
      <c r="AD491" s="1" t="str">
        <f>IFERROR(__xludf.DUMMYFUNCTION("""COMPUTED_VALUE"""),"BUKLOD BAHAYAN")</f>
        <v>BUKLOD BAHAYAN</v>
      </c>
      <c r="AE491" s="1" t="str">
        <f>IFERROR(__xludf.DUMMYFUNCTION("""COMPUTED_VALUE"""),"BUKLOD BAHAYAN")</f>
        <v>BUKLOD BAHAYAN</v>
      </c>
      <c r="AF491" s="1" t="str">
        <f>IFERROR(__xludf.DUMMYFUNCTION("""COMPUTED_VALUE"""),"BGY TARTARIA")</f>
        <v>BGY TARTARIA</v>
      </c>
      <c r="AG491" s="1" t="str">
        <f>IFERROR(__xludf.DUMMYFUNCTION("""COMPUTED_VALUE"""),"SILANG")</f>
        <v>SILANG</v>
      </c>
      <c r="AH491" s="1" t="str">
        <f>IFERROR(__xludf.DUMMYFUNCTION("""COMPUTED_VALUE"""),"PALENGKE")</f>
        <v>PALENGKE</v>
      </c>
      <c r="AI491" s="1" t="str">
        <f>IFERROR(__xludf.DUMMYFUNCTION("""COMPUTED_VALUE"""),"CLUSTER 11")</f>
        <v>CLUSTER 11</v>
      </c>
    </row>
    <row r="492" customHeight="1" spans="1:35">
      <c r="A492" s="3">
        <f>IFERROR(__xludf.DUMMYFUNCTION("""COMPUTED_VALUE"""),46275)</f>
        <v>46275</v>
      </c>
      <c r="B492" s="1" t="str">
        <f>IFERROR(__xludf.DUMMYFUNCTION("""COMPUTED_VALUE"""),"JOAHWANIE MIKHAILE ESTEBAT UY")</f>
        <v>JOAHWANIE MIKHAILE ESTEBAT UY</v>
      </c>
      <c r="C492" s="1">
        <f>IFERROR(__xludf.DUMMYFUNCTION("""COMPUTED_VALUE"""),2312492096)</f>
        <v>2312492096</v>
      </c>
      <c r="D492" s="1">
        <f>IFERROR(__xludf.DUMMYFUNCTION("""COMPUTED_VALUE"""),407831705)</f>
        <v>407831705</v>
      </c>
      <c r="E492" s="1">
        <f>IFERROR(__xludf.DUMMYFUNCTION("""COMPUTED_VALUE"""),470813895004)</f>
        <v>470813895004</v>
      </c>
      <c r="F492" s="1" t="str">
        <f>IFERROR(__xludf.DUMMYFUNCTION("""COMPUTED_VALUE"""),"CLOSED")</f>
        <v>CLOSED</v>
      </c>
      <c r="G492" s="1" t="str">
        <f>IFERROR(__xludf.DUMMYFUNCTION("""COMPUTED_VALUE"""),"CLOSED")</f>
        <v>CLOSED</v>
      </c>
      <c r="H492" s="1" t="str">
        <f>IFERROR(__xludf.DUMMYFUNCTION("""COMPUTED_VALUE"""),"PAID THRU GCASH 476408975 SEP 11")</f>
        <v>PAID THRU GCASH 476408975 SEP 11</v>
      </c>
      <c r="I492" s="1" t="str">
        <f>IFERROR(__xludf.DUMMYFUNCTION("""COMPUTED_VALUE"""),"WITH 1 AMSF")</f>
        <v>WITH 1 AMSF</v>
      </c>
      <c r="J492" s="1"/>
      <c r="K492" s="1" t="str">
        <f>IFERROR(__xludf.DUMMYFUNCTION("""COMPUTED_VALUE"""),"COMPLETED")</f>
        <v>COMPLETED</v>
      </c>
      <c r="L492" s="1" t="str">
        <f>IFERROR(__xludf.DUMMYFUNCTION("""COMPUTED_VALUE"""),"POSTED")</f>
        <v>POSTED</v>
      </c>
      <c r="M492" s="1" t="str">
        <f>IFERROR(__xludf.DUMMYFUNCTION("""COMPUTED_VALUE"""),"POSTED")</f>
        <v>POSTED</v>
      </c>
      <c r="N492" s="3">
        <f>IFERROR(__xludf.DUMMYFUNCTION("""COMPUTED_VALUE"""),46275)</f>
        <v>46275</v>
      </c>
      <c r="O492" s="1" t="str">
        <f>IFERROR(__xludf.DUMMYFUNCTION("""COMPUTED_VALUE"""),"FIBR PLAN 1299")</f>
        <v>FIBR PLAN 1299</v>
      </c>
      <c r="P492" s="1" t="str">
        <f>IFERROR(__xludf.DUMMYFUNCTION("""COMPUTED_VALUE"""),"LOWPLAN")</f>
        <v>LOWPLAN</v>
      </c>
      <c r="Q492" s="1" t="str">
        <f>IFERROR(__xludf.DUMMYFUNCTION("""COMPUTED_VALUE"""),"P407520")</f>
        <v>P407520</v>
      </c>
      <c r="R492" s="1" t="str">
        <f>IFERROR(__xludf.DUMMYFUNCTION("""COMPUTED_VALUE"""),"MALIWAT, MARK")</f>
        <v>MALIWAT, MARK</v>
      </c>
      <c r="S492" s="1" t="str">
        <f>IFERROR(__xludf.DUMMYFUNCTION("""COMPUTED_VALUE"""),"FLA")</f>
        <v>FLA</v>
      </c>
      <c r="T492" s="1" t="str">
        <f>IFERROR(__xludf.DUMMYFUNCTION("""COMPUTED_VALUE"""),"JERIC NAVARRO")</f>
        <v>JERIC NAVARRO</v>
      </c>
      <c r="U492" s="1" t="str">
        <f>IFERROR(__xludf.DUMMYFUNCTION("""COMPUTED_VALUE"""),"JULIE ESPIRITU")</f>
        <v>JULIE ESPIRITU</v>
      </c>
      <c r="V492" s="1" t="str">
        <f>IFERROR(__xludf.DUMMYFUNCTION("""COMPUTED_VALUE"""),"ONLINE/CRANFORD")</f>
        <v>ONLINE/CRANFORD</v>
      </c>
      <c r="W492" s="1" t="str">
        <f>IFERROR(__xludf.DUMMYFUNCTION("""COMPUTED_VALUE"""),"BK HSTK")</f>
        <v>BK HSTK</v>
      </c>
      <c r="X492" s="1" t="str">
        <f>IFERROR(__xludf.DUMMYFUNCTION("""COMPUTED_VALUE"""),"HBBS SEPT 2026")</f>
        <v>HBBS SEPT 2026</v>
      </c>
      <c r="Y492" s="1" t="str">
        <f>IFERROR(__xludf.DUMMYFUNCTION("""COMPUTED_VALUE"""),"RS_ONL_CVEU_2026")</f>
        <v>RS_ONL_CVEU_2026</v>
      </c>
      <c r="Z492" s="1" t="str">
        <f>IFERROR(__xludf.DUMMYFUNCTION("""COMPUTED_VALUE"""),"NEW CONNECT")</f>
        <v>NEW CONNECT</v>
      </c>
      <c r="AA492" s="1">
        <f>IFERROR(__xludf.DUMMYFUNCTION("""COMPUTED_VALUE"""),639510081927)</f>
        <v>639510081927</v>
      </c>
      <c r="AB492" s="1"/>
      <c r="AC492" s="1"/>
      <c r="AD492" s="1" t="str">
        <f>IFERROR(__xludf.DUMMYFUNCTION("""COMPUTED_VALUE"""),"PHASE 3")</f>
        <v>PHASE 3</v>
      </c>
      <c r="AE492" s="1" t="str">
        <f>IFERROR(__xludf.DUMMYFUNCTION("""COMPUTED_VALUE"""),"SOLAR HOMES")</f>
        <v>SOLAR HOMES</v>
      </c>
      <c r="AF492" s="1" t="str">
        <f>IFERROR(__xludf.DUMMYFUNCTION("""COMPUTED_VALUE"""),"BGY LANGKAAN 2")</f>
        <v>BGY LANGKAAN 2</v>
      </c>
      <c r="AG492" s="1" t="str">
        <f>IFERROR(__xludf.DUMMYFUNCTION("""COMPUTED_VALUE"""),"DASMARINAS")</f>
        <v>DASMARINAS</v>
      </c>
      <c r="AH492" s="1"/>
      <c r="AI492" s="1" t="str">
        <f>IFERROR(__xludf.DUMMYFUNCTION("""COMPUTED_VALUE"""),"NOT AOR")</f>
        <v>NOT AOR</v>
      </c>
    </row>
    <row r="493" customHeight="1" spans="1:35">
      <c r="A493" s="3">
        <f>IFERROR(__xludf.DUMMYFUNCTION("""COMPUTED_VALUE"""),46275)</f>
        <v>46275</v>
      </c>
      <c r="B493" s="1" t="str">
        <f>IFERROR(__xludf.DUMMYFUNCTION("""COMPUTED_VALUE"""),"BEA TRIXIA CASUNCAD SADUCOS")</f>
        <v>BEA TRIXIA CASUNCAD SADUCOS</v>
      </c>
      <c r="C493" s="1">
        <f>IFERROR(__xludf.DUMMYFUNCTION("""COMPUTED_VALUE"""),2312493107)</f>
        <v>2312493107</v>
      </c>
      <c r="D493" s="1"/>
      <c r="E493" s="1"/>
      <c r="F493" s="1" t="str">
        <f>IFERROR(__xludf.DUMMYFUNCTION("""COMPUTED_VALUE"""),"CANCELLED")</f>
        <v>CANCELLED</v>
      </c>
      <c r="G493" s="1" t="str">
        <f>IFERROR(__xludf.DUMMYFUNCTION("""COMPUTED_VALUE"""),"(WITH BLACKLIST HIT FOR COMPLIANCE) RETURN TO SALES | FOUND BLACKLISTED ACCT #0318002339 SAME NAME / DIFFERENT ADDRESS WITH OB OF 4,386.73 FOR SETTLEMENT | NEED TO SETTLE OB FIRST BEFORE TO PROCEED THIS APPLICATION |VALIDATED COMPLETE DOCS | CORRECT ENCOD"&amp;"ED INFO IN CSP | TU SCORING - CC - 12 (LOW RISK) | 1 AMSF NOT REQUIRED | NO EXISTING ACTIVE ACCT AND/OR PENDING/CANCELLED APPLICATION")</f>
        <v>(WITH BLACKLIST HIT FOR COMPLIANCE) RETURN TO SALES | FOUND BLACKLISTED ACCT #0318002339 SAME NAME / DIFFERENT ADDRESS WITH OB OF 4,386.73 FOR SETTLEMENT | NEED TO SETTLE OB FIRST BEFORE TO PROCEED THIS APPLICATION |VALIDATED COMPLETE DOCS | CORRECT ENCODED INFO IN CSP | TU SCORING - CC - 12 (LOW RISK) | 1 AMSF NOT REQUIRED | NO EXISTING ACTIVE ACCT AND/OR PENDING/CANCELLED APPLICATION</v>
      </c>
      <c r="H493" s="1"/>
      <c r="I493" s="1"/>
      <c r="J493" s="1"/>
      <c r="K493" s="1"/>
      <c r="L493" s="1" t="str">
        <f>IFERROR(__xludf.DUMMYFUNCTION("""COMPUTED_VALUE"""),"CANCELLED - WITH OB")</f>
        <v>CANCELLED - WITH OB</v>
      </c>
      <c r="M493" s="1" t="str">
        <f>IFERROR(__xludf.DUMMYFUNCTION("""COMPUTED_VALUE"""),"CANCELLED - WITH OB")</f>
        <v>CANCELLED - WITH OB</v>
      </c>
      <c r="N493" s="3"/>
      <c r="O493" s="1" t="str">
        <f>IFERROR(__xludf.DUMMYFUNCTION("""COMPUTED_VALUE"""),"SWITCH FIBER UNLI ALL PLAN 1499")</f>
        <v>SWITCH FIBER UNLI ALL PLAN 1499</v>
      </c>
      <c r="P493" s="1" t="str">
        <f>IFERROR(__xludf.DUMMYFUNCTION("""COMPUTED_VALUE"""),"LOWPLAN")</f>
        <v>LOWPLAN</v>
      </c>
      <c r="Q493" s="1" t="str">
        <f>IFERROR(__xludf.DUMMYFUNCTION("""COMPUTED_VALUE"""),"P407047")</f>
        <v>P407047</v>
      </c>
      <c r="R493" s="1" t="str">
        <f>IFERROR(__xludf.DUMMYFUNCTION("""COMPUTED_VALUE"""),"TAMAYO, MARY ROSE ZAIRA")</f>
        <v>TAMAYO, MARY ROSE ZAIRA</v>
      </c>
      <c r="S493" s="1" t="str">
        <f>IFERROR(__xludf.DUMMYFUNCTION("""COMPUTED_VALUE"""),"ORGANIC")</f>
        <v>ORGANIC</v>
      </c>
      <c r="T493" s="1" t="str">
        <f>IFERROR(__xludf.DUMMYFUNCTION("""COMPUTED_VALUE"""),"LEA REMOLLO")</f>
        <v>LEA REMOLLO</v>
      </c>
      <c r="U493" s="1" t="str">
        <f>IFERROR(__xludf.DUMMYFUNCTION("""COMPUTED_VALUE"""),"JULIE ESPIRITU")</f>
        <v>JULIE ESPIRITU</v>
      </c>
      <c r="V493" s="1" t="str">
        <f>IFERROR(__xludf.DUMMYFUNCTION("""COMPUTED_VALUE"""),"BK HSTK")</f>
        <v>BK HSTK</v>
      </c>
      <c r="W493" s="1" t="str">
        <f>IFERROR(__xludf.DUMMYFUNCTION("""COMPUTED_VALUE"""),"BK HSTK")</f>
        <v>BK HSTK</v>
      </c>
      <c r="X493" s="1" t="str">
        <f>IFERROR(__xludf.DUMMYFUNCTION("""COMPUTED_VALUE"""),"HBBS SEPT 2026")</f>
        <v>HBBS SEPT 2026</v>
      </c>
      <c r="Y493" s="1" t="str">
        <f>IFERROR(__xludf.DUMMYFUNCTION("""COMPUTED_VALUE"""),"BK_CVEU_260820")</f>
        <v>BK_CVEU_260820</v>
      </c>
      <c r="Z493" s="1" t="str">
        <f>IFERROR(__xludf.DUMMYFUNCTION("""COMPUTED_VALUE"""),"NEW CONNECT")</f>
        <v>NEW CONNECT</v>
      </c>
      <c r="AA493" s="1">
        <f>IFERROR(__xludf.DUMMYFUNCTION("""COMPUTED_VALUE"""),639666799552)</f>
        <v>639666799552</v>
      </c>
      <c r="AB493" s="1"/>
      <c r="AC493" s="1"/>
      <c r="AD493" s="1" t="str">
        <f>IFERROR(__xludf.DUMMYFUNCTION("""COMPUTED_VALUE"""),"THE MANDARA SUBDIVISION")</f>
        <v>THE MANDARA SUBDIVISION</v>
      </c>
      <c r="AE493" s="1" t="str">
        <f>IFERROR(__xludf.DUMMYFUNCTION("""COMPUTED_VALUE"""),"THE MANDARA SUBDIVISION")</f>
        <v>THE MANDARA SUBDIVISION</v>
      </c>
      <c r="AF493" s="1" t="str">
        <f>IFERROR(__xludf.DUMMYFUNCTION("""COMPUTED_VALUE"""),"BGY TARTARIA")</f>
        <v>BGY TARTARIA</v>
      </c>
      <c r="AG493" s="1" t="str">
        <f>IFERROR(__xludf.DUMMYFUNCTION("""COMPUTED_VALUE"""),"SILANG")</f>
        <v>SILANG</v>
      </c>
      <c r="AH493" s="1" t="str">
        <f>IFERROR(__xludf.DUMMYFUNCTION("""COMPUTED_VALUE"""),"SAVEMORE")</f>
        <v>SAVEMORE</v>
      </c>
      <c r="AI493" s="1" t="str">
        <f>IFERROR(__xludf.DUMMYFUNCTION("""COMPUTED_VALUE"""),"CLUSTER 11")</f>
        <v>CLUSTER 11</v>
      </c>
    </row>
    <row r="494" customHeight="1" spans="1:35">
      <c r="A494" s="3">
        <f>IFERROR(__xludf.DUMMYFUNCTION("""COMPUTED_VALUE"""),46275)</f>
        <v>46275</v>
      </c>
      <c r="B494" s="1" t="str">
        <f>IFERROR(__xludf.DUMMYFUNCTION("""COMPUTED_VALUE"""),"KURT EZEKIEL CANTALEJO FLORES")</f>
        <v>KURT EZEKIEL CANTALEJO FLORES</v>
      </c>
      <c r="C494" s="1">
        <f>IFERROR(__xludf.DUMMYFUNCTION("""COMPUTED_VALUE"""),2312493719)</f>
        <v>2312493719</v>
      </c>
      <c r="D494" s="1">
        <f>IFERROR(__xludf.DUMMYFUNCTION("""COMPUTED_VALUE"""),407839099)</f>
        <v>407839099</v>
      </c>
      <c r="E494" s="1">
        <f>IFERROR(__xludf.DUMMYFUNCTION("""COMPUTED_VALUE"""),470821096004)</f>
        <v>470821096004</v>
      </c>
      <c r="F494" s="1" t="str">
        <f>IFERROR(__xludf.DUMMYFUNCTION("""COMPUTED_VALUE"""),"CLOSED")</f>
        <v>CLOSED</v>
      </c>
      <c r="G494" s="1" t="str">
        <f>IFERROR(__xludf.DUMMYFUNCTION("""COMPUTED_VALUE"""),"CLOSED")</f>
        <v>CLOSED</v>
      </c>
      <c r="H494" s="1" t="str">
        <f>IFERROR(__xludf.DUMMYFUNCTION("""COMPUTED_VALUE"""),"PQGOR364096854	15-Sep-26	Regular Payment	PLDT Pay Express-Web-App credit	1,299.00	0	15-Sep-26")</f>
        <v>PQGOR364096854	15-Sep-26	Regular Payment	PLDT Pay Express-Web-App credit	1,299.00	0	15-Sep-26</v>
      </c>
      <c r="I494" s="1" t="str">
        <f>IFERROR(__xludf.DUMMYFUNCTION("""COMPUTED_VALUE"""),"WITH 1 AMSF")</f>
        <v>WITH 1 AMSF</v>
      </c>
      <c r="J494" s="1"/>
      <c r="K494" s="1" t="str">
        <f>IFERROR(__xludf.DUMMYFUNCTION("""COMPUTED_VALUE"""),"COMPLETED")</f>
        <v>COMPLETED</v>
      </c>
      <c r="L494" s="1" t="str">
        <f>IFERROR(__xludf.DUMMYFUNCTION("""COMPUTED_VALUE"""),"POSTED")</f>
        <v>POSTED</v>
      </c>
      <c r="M494" s="1" t="str">
        <f>IFERROR(__xludf.DUMMYFUNCTION("""COMPUTED_VALUE"""),"POSTED")</f>
        <v>POSTED</v>
      </c>
      <c r="N494" s="3">
        <f>IFERROR(__xludf.DUMMYFUNCTION("""COMPUTED_VALUE"""),46280)</f>
        <v>46280</v>
      </c>
      <c r="O494" s="1" t="str">
        <f>IFERROR(__xludf.DUMMYFUNCTION("""COMPUTED_VALUE"""),"FIBR PLAN 1299")</f>
        <v>FIBR PLAN 1299</v>
      </c>
      <c r="P494" s="1" t="str">
        <f>IFERROR(__xludf.DUMMYFUNCTION("""COMPUTED_VALUE"""),"LOWPLAN")</f>
        <v>LOWPLAN</v>
      </c>
      <c r="Q494" s="1" t="str">
        <f>IFERROR(__xludf.DUMMYFUNCTION("""COMPUTED_VALUE"""),"P407048")</f>
        <v>P407048</v>
      </c>
      <c r="R494" s="1" t="str">
        <f>IFERROR(__xludf.DUMMYFUNCTION("""COMPUTED_VALUE"""),"MORADOS, MARVIN")</f>
        <v>MORADOS, MARVIN</v>
      </c>
      <c r="S494" s="1" t="str">
        <f>IFERROR(__xludf.DUMMYFUNCTION("""COMPUTED_VALUE"""),"ORGANIC")</f>
        <v>ORGANIC</v>
      </c>
      <c r="T494" s="1" t="str">
        <f>IFERROR(__xludf.DUMMYFUNCTION("""COMPUTED_VALUE"""),"GARCIA MICHAEL JETTS")</f>
        <v>GARCIA MICHAEL JETTS</v>
      </c>
      <c r="U494" s="1" t="str">
        <f>IFERROR(__xludf.DUMMYFUNCTION("""COMPUTED_VALUE"""),"JULIE ESPIRITU")</f>
        <v>JULIE ESPIRITU</v>
      </c>
      <c r="V494" s="1" t="str">
        <f>IFERROR(__xludf.DUMMYFUNCTION("""COMPUTED_VALUE"""),"ONLINE/CRANFORD")</f>
        <v>ONLINE/CRANFORD</v>
      </c>
      <c r="W494" s="1" t="str">
        <f>IFERROR(__xludf.DUMMYFUNCTION("""COMPUTED_VALUE"""),"STK REGULAR")</f>
        <v>STK REGULAR</v>
      </c>
      <c r="X494" s="1" t="str">
        <f>IFERROR(__xludf.DUMMYFUNCTION("""COMPUTED_VALUE"""),"HBBS SEPT 2026")</f>
        <v>HBBS SEPT 2026</v>
      </c>
      <c r="Y494" s="1" t="str">
        <f>IFERROR(__xludf.DUMMYFUNCTION("""COMPUTED_VALUE"""),"RS_ONL_CVEU_2026")</f>
        <v>RS_ONL_CVEU_2026</v>
      </c>
      <c r="Z494" s="1" t="str">
        <f>IFERROR(__xludf.DUMMYFUNCTION("""COMPUTED_VALUE"""),"NEW CONNECT")</f>
        <v>NEW CONNECT</v>
      </c>
      <c r="AA494" s="1">
        <f>IFERROR(__xludf.DUMMYFUNCTION("""COMPUTED_VALUE"""),639319805598)</f>
        <v>639319805598</v>
      </c>
      <c r="AB494" s="1">
        <f>IFERROR(__xludf.DUMMYFUNCTION("""COMPUTED_VALUE"""),639053322592)</f>
        <v>639053322592</v>
      </c>
      <c r="AC494" s="1"/>
      <c r="AD494" s="1" t="str">
        <f>IFERROR(__xludf.DUMMYFUNCTION("""COMPUTED_VALUE"""),"REGINA VILLE CLASSIC")</f>
        <v>REGINA VILLE CLASSIC</v>
      </c>
      <c r="AE494" s="1" t="str">
        <f>IFERROR(__xludf.DUMMYFUNCTION("""COMPUTED_VALUE"""),"REGINA VILLE CLASSIC")</f>
        <v>REGINA VILLE CLASSIC</v>
      </c>
      <c r="AF494" s="1" t="str">
        <f>IFERROR(__xludf.DUMMYFUNCTION("""COMPUTED_VALUE"""),"BGY DE OCAMPO")</f>
        <v>BGY DE OCAMPO</v>
      </c>
      <c r="AG494" s="1" t="str">
        <f>IFERROR(__xludf.DUMMYFUNCTION("""COMPUTED_VALUE"""),"TRECE MARTIREZ CITY")</f>
        <v>TRECE MARTIREZ CITY</v>
      </c>
      <c r="AH494" s="1"/>
      <c r="AI494" s="1" t="str">
        <f>IFERROR(__xludf.DUMMYFUNCTION("""COMPUTED_VALUE"""),"NOT AOR")</f>
        <v>NOT AOR</v>
      </c>
    </row>
    <row r="495" customHeight="1" spans="1:35">
      <c r="A495" s="3">
        <f>IFERROR(__xludf.DUMMYFUNCTION("""COMPUTED_VALUE"""),46275)</f>
        <v>46275</v>
      </c>
      <c r="B495" s="1" t="str">
        <f>IFERROR(__xludf.DUMMYFUNCTION("""COMPUTED_VALUE"""),"LOVELY ILDEFONSO ARO")</f>
        <v>LOVELY ILDEFONSO ARO</v>
      </c>
      <c r="C495" s="1">
        <f>IFERROR(__xludf.DUMMYFUNCTION("""COMPUTED_VALUE"""),2312495549)</f>
        <v>2312495549</v>
      </c>
      <c r="D495" s="1">
        <f>IFERROR(__xludf.DUMMYFUNCTION("""COMPUTED_VALUE"""),407843657)</f>
        <v>407843657</v>
      </c>
      <c r="E495" s="1">
        <f>IFERROR(__xludf.DUMMYFUNCTION("""COMPUTED_VALUE"""),470822877004)</f>
        <v>470822877004</v>
      </c>
      <c r="F495" s="1" t="str">
        <f>IFERROR(__xludf.DUMMYFUNCTION("""COMPUTED_VALUE"""),"RPR")</f>
        <v>RPR</v>
      </c>
      <c r="G495" s="1" t="str">
        <f>IFERROR(__xludf.DUMMYFUNCTION("""COMPUTED_VALUE"""),"""VISITED鈥
鈥嶳EMARKS: FULL NAP 
SILLP581NP6 P3 ACTIVE 
SILLP581NP7 FULL NAP 
SILLP581NP8 FULL NAP 
SUBS ALREADY ADVICE NA PUNUAN NA SA AREA 
鈥嶵ALK LOVELY ILDEFONSO ARO 
09632749754 09568426945 
""")</f>
        <v>"VISITED鈥
鈥嶳EMARKS: FULL NAP 
SILLP581NP6 P3 ACTIVE 
SILLP581NP7 FULL NAP 
SILLP581NP8 FULL NAP 
SUBS ALREADY ADVICE NA PUNUAN NA SA AREA 
鈥嶵ALK LOVELY ILDEFONSO ARO 
09632749754 09568426945 
"</v>
      </c>
      <c r="H495" s="1"/>
      <c r="I495" s="1"/>
      <c r="J495" s="1"/>
      <c r="K495" s="1" t="str">
        <f>IFERROR(__xludf.DUMMYFUNCTION("""COMPUTED_VALUE"""),"CANCELED")</f>
        <v>CANCELED</v>
      </c>
      <c r="L495" s="1" t="str">
        <f>IFERROR(__xludf.DUMMYFUNCTION("""COMPUTED_VALUE"""),"RPR - NAP FULL")</f>
        <v>RPR - NAP FULL</v>
      </c>
      <c r="M495" s="1" t="str">
        <f>IFERROR(__xludf.DUMMYFUNCTION("""COMPUTED_VALUE"""),"RPR- NAP FULL")</f>
        <v>RPR- NAP FULL</v>
      </c>
      <c r="N495" s="3"/>
      <c r="O495" s="1" t="str">
        <f>IFERROR(__xludf.DUMMYFUNCTION("""COMPUTED_VALUE"""),"FIBR PLAN 1299")</f>
        <v>FIBR PLAN 1299</v>
      </c>
      <c r="P495" s="1" t="str">
        <f>IFERROR(__xludf.DUMMYFUNCTION("""COMPUTED_VALUE"""),"LOWPLAN")</f>
        <v>LOWPLAN</v>
      </c>
      <c r="Q495" s="1" t="str">
        <f>IFERROR(__xludf.DUMMYFUNCTION("""COMPUTED_VALUE"""),"P407050")</f>
        <v>P407050</v>
      </c>
      <c r="R495" s="1" t="str">
        <f>IFERROR(__xludf.DUMMYFUNCTION("""COMPUTED_VALUE"""),"CADERAO, RONALD")</f>
        <v>CADERAO, RONALD</v>
      </c>
      <c r="S495" s="1" t="str">
        <f>IFERROR(__xludf.DUMMYFUNCTION("""COMPUTED_VALUE"""),"ORGANIC")</f>
        <v>ORGANIC</v>
      </c>
      <c r="T495" s="1" t="str">
        <f>IFERROR(__xludf.DUMMYFUNCTION("""COMPUTED_VALUE"""),"LEA REMOLLO")</f>
        <v>LEA REMOLLO</v>
      </c>
      <c r="U495" s="1" t="str">
        <f>IFERROR(__xludf.DUMMYFUNCTION("""COMPUTED_VALUE"""),"JULIE ESPIRITU")</f>
        <v>JULIE ESPIRITU</v>
      </c>
      <c r="V495" s="1" t="str">
        <f>IFERROR(__xludf.DUMMYFUNCTION("""COMPUTED_VALUE"""),"BK REGULAR")</f>
        <v>BK REGULAR</v>
      </c>
      <c r="W495" s="1" t="str">
        <f>IFERROR(__xludf.DUMMYFUNCTION("""COMPUTED_VALUE"""),"STK REGULAR")</f>
        <v>STK REGULAR</v>
      </c>
      <c r="X495" s="1" t="str">
        <f>IFERROR(__xludf.DUMMYFUNCTION("""COMPUTED_VALUE"""),"HBBS SEPT 2026")</f>
        <v>HBBS SEPT 2026</v>
      </c>
      <c r="Y495" s="1" t="str">
        <f>IFERROR(__xludf.DUMMYFUNCTION("""COMPUTED_VALUE"""),"BK_CVEU_260820")</f>
        <v>BK_CVEU_260820</v>
      </c>
      <c r="Z495" s="1" t="str">
        <f>IFERROR(__xludf.DUMMYFUNCTION("""COMPUTED_VALUE"""),"NEW CONNECT")</f>
        <v>NEW CONNECT</v>
      </c>
      <c r="AA495" s="1">
        <f>IFERROR(__xludf.DUMMYFUNCTION("""COMPUTED_VALUE"""),639632749754)</f>
        <v>639632749754</v>
      </c>
      <c r="AB495" s="1">
        <f>IFERROR(__xludf.DUMMYFUNCTION("""COMPUTED_VALUE"""),639568426945)</f>
        <v>639568426945</v>
      </c>
      <c r="AC495" s="1"/>
      <c r="AD495" s="1" t="str">
        <f>IFERROR(__xludf.DUMMYFUNCTION("""COMPUTED_VALUE"""),"KAPATIRAN HOMES")</f>
        <v>KAPATIRAN HOMES</v>
      </c>
      <c r="AE495" s="1" t="str">
        <f>IFERROR(__xludf.DUMMYFUNCTION("""COMPUTED_VALUE"""),"KAPATIRAN HOMES")</f>
        <v>KAPATIRAN HOMES</v>
      </c>
      <c r="AF495" s="1" t="str">
        <f>IFERROR(__xludf.DUMMYFUNCTION("""COMPUTED_VALUE"""),"BGY BALUBAD")</f>
        <v>BGY BALUBAD</v>
      </c>
      <c r="AG495" s="1" t="str">
        <f>IFERROR(__xludf.DUMMYFUNCTION("""COMPUTED_VALUE"""),"SILANG")</f>
        <v>SILANG</v>
      </c>
      <c r="AH495" s="1"/>
      <c r="AI495" s="1" t="str">
        <f>IFERROR(__xludf.DUMMYFUNCTION("""COMPUTED_VALUE"""),"CLUSTER 11")</f>
        <v>CLUSTER 11</v>
      </c>
    </row>
    <row r="496" customHeight="1" spans="1:35">
      <c r="A496" s="3">
        <f>IFERROR(__xludf.DUMMYFUNCTION("""COMPUTED_VALUE"""),46275)</f>
        <v>46275</v>
      </c>
      <c r="B496" s="1" t="str">
        <f>IFERROR(__xludf.DUMMYFUNCTION("""COMPUTED_VALUE""")," JOVELYN . PARIENTES")</f>
        <v> JOVELYN . PARIENTES</v>
      </c>
      <c r="C496" s="1">
        <f>IFERROR(__xludf.DUMMYFUNCTION("""COMPUTED_VALUE"""),2312495792)</f>
        <v>2312495792</v>
      </c>
      <c r="D496" s="1">
        <f>IFERROR(__xludf.DUMMYFUNCTION("""COMPUTED_VALUE"""),407838920)</f>
        <v>407838920</v>
      </c>
      <c r="E496" s="1">
        <f>IFERROR(__xludf.DUMMYFUNCTION("""COMPUTED_VALUE"""),470821215004)</f>
        <v>470821215004</v>
      </c>
      <c r="F496" s="1" t="str">
        <f>IFERROR(__xludf.DUMMYFUNCTION("""COMPUTED_VALUE"""),"CANCELLED")</f>
        <v>CANCELLED</v>
      </c>
      <c r="G496" s="1" t="str">
        <f>IFERROR(__xludf.DUMMYFUNCTION("""COMPUTED_VALUE"""),"CANCELLED")</f>
        <v>CANCELLED</v>
      </c>
      <c r="H496" s="1" t="str">
        <f>IFERROR(__xludf.DUMMYFUNCTION("""COMPUTED_VALUE"""),"PAID THRU GCASH REF# 611934047 09/14/26")</f>
        <v>PAID THRU GCASH REF# 611934047 09/14/26</v>
      </c>
      <c r="I496" s="1" t="str">
        <f>IFERROR(__xludf.DUMMYFUNCTION("""COMPUTED_VALUE"""),"WITH 1 AMSF")</f>
        <v>WITH 1 AMSF</v>
      </c>
      <c r="J496" s="1" t="str">
        <f>IFERROR(__xludf.DUMMYFUNCTION("""COMPUTED_VALUE"""),"NO PAYMENT")</f>
        <v>NO PAYMENT</v>
      </c>
      <c r="K496" s="1" t="str">
        <f>IFERROR(__xludf.DUMMYFUNCTION("""COMPUTED_VALUE"""),"CANCELED")</f>
        <v>CANCELED</v>
      </c>
      <c r="L496" s="1" t="str">
        <f>IFERROR(__xludf.DUMMYFUNCTION("""COMPUTED_VALUE"""),"CANCELLED")</f>
        <v>CANCELLED</v>
      </c>
      <c r="M496" s="1" t="str">
        <f>IFERROR(__xludf.DUMMYFUNCTION("""COMPUTED_VALUE"""),"CANCELLED")</f>
        <v>CANCELLED</v>
      </c>
      <c r="N496" s="3"/>
      <c r="O496" s="1" t="str">
        <f>IFERROR(__xludf.DUMMYFUNCTION("""COMPUTED_VALUE"""),"FIBR UNLI ALL PLAN 999")</f>
        <v>FIBR UNLI ALL PLAN 999</v>
      </c>
      <c r="P496" s="1" t="str">
        <f>IFERROR(__xludf.DUMMYFUNCTION("""COMPUTED_VALUE"""),"LOWPLAN")</f>
        <v>LOWPLAN</v>
      </c>
      <c r="Q496" s="1" t="str">
        <f>IFERROR(__xludf.DUMMYFUNCTION("""COMPUTED_VALUE"""),"P407050 ")</f>
        <v>P407050 </v>
      </c>
      <c r="R496" s="1" t="str">
        <f>IFERROR(__xludf.DUMMYFUNCTION("""COMPUTED_VALUE"""),"BAQUIT, JAZMIN")</f>
        <v>BAQUIT, JAZMIN</v>
      </c>
      <c r="S496" s="1" t="str">
        <f>IFERROR(__xludf.DUMMYFUNCTION("""COMPUTED_VALUE"""),"ORGANIC")</f>
        <v>ORGANIC</v>
      </c>
      <c r="T496" s="1" t="str">
        <f>IFERROR(__xludf.DUMMYFUNCTION("""COMPUTED_VALUE"""),"LEA REMOLLO")</f>
        <v>LEA REMOLLO</v>
      </c>
      <c r="U496" s="1" t="str">
        <f>IFERROR(__xludf.DUMMYFUNCTION("""COMPUTED_VALUE"""),"MARK MALIWAT")</f>
        <v>MARK MALIWAT</v>
      </c>
      <c r="V496" s="1" t="str">
        <f>IFERROR(__xludf.DUMMYFUNCTION("""COMPUTED_VALUE"""),"BK HSTK")</f>
        <v>BK HSTK</v>
      </c>
      <c r="W496" s="1" t="str">
        <f>IFERROR(__xludf.DUMMYFUNCTION("""COMPUTED_VALUE"""),"BK HSTK")</f>
        <v>BK HSTK</v>
      </c>
      <c r="X496" s="1" t="str">
        <f>IFERROR(__xludf.DUMMYFUNCTION("""COMPUTED_VALUE"""),"REGULAR")</f>
        <v>REGULAR</v>
      </c>
      <c r="Y496" s="1" t="str">
        <f>IFERROR(__xludf.DUMMYFUNCTION("""COMPUTED_VALUE"""),"BK_CVEU_260820")</f>
        <v>BK_CVEU_260820</v>
      </c>
      <c r="Z496" s="1" t="str">
        <f>IFERROR(__xludf.DUMMYFUNCTION("""COMPUTED_VALUE"""),"NEW CONNECT")</f>
        <v>NEW CONNECT</v>
      </c>
      <c r="AA496" s="1">
        <f>IFERROR(__xludf.DUMMYFUNCTION("""COMPUTED_VALUE"""),639109625273)</f>
        <v>639109625273</v>
      </c>
      <c r="AB496" s="1"/>
      <c r="AC496" s="1">
        <f>IFERROR(__xludf.DUMMYFUNCTION("""COMPUTED_VALUE"""),65)</f>
        <v>65</v>
      </c>
      <c r="AD496" s="1" t="str">
        <f>IFERROR(__xludf.DUMMYFUNCTION("""COMPUTED_VALUE"""),"SITIO GATA")</f>
        <v>SITIO GATA</v>
      </c>
      <c r="AE496" s="1"/>
      <c r="AF496" s="1" t="str">
        <f>IFERROR(__xludf.DUMMYFUNCTION("""COMPUTED_VALUE"""),"BGY TARTARIA")</f>
        <v>BGY TARTARIA</v>
      </c>
      <c r="AG496" s="1" t="str">
        <f>IFERROR(__xludf.DUMMYFUNCTION("""COMPUTED_VALUE"""),"SILANG")</f>
        <v>SILANG</v>
      </c>
      <c r="AH496" s="1" t="str">
        <f>IFERROR(__xludf.DUMMYFUNCTION("""COMPUTED_VALUE"""),"SAVEMORE")</f>
        <v>SAVEMORE</v>
      </c>
      <c r="AI496" s="1" t="str">
        <f>IFERROR(__xludf.DUMMYFUNCTION("""COMPUTED_VALUE"""),"CLUSTER 11")</f>
        <v>CLUSTER 11</v>
      </c>
    </row>
    <row r="497" customHeight="1" spans="1:35">
      <c r="A497" s="3">
        <f>IFERROR(__xludf.DUMMYFUNCTION("""COMPUTED_VALUE"""),46275)</f>
        <v>46275</v>
      </c>
      <c r="B497" s="1" t="str">
        <f>IFERROR(__xludf.DUMMYFUNCTION("""COMPUTED_VALUE"""),"REYNALDO JR. DEL CASTILLO ANGELES")</f>
        <v>REYNALDO JR. DEL CASTILLO ANGELES</v>
      </c>
      <c r="C497" s="1">
        <f>IFERROR(__xludf.DUMMYFUNCTION("""COMPUTED_VALUE"""),2312497031)</f>
        <v>2312497031</v>
      </c>
      <c r="D497" s="1">
        <f>IFERROR(__xludf.DUMMYFUNCTION("""COMPUTED_VALUE"""),407856236)</f>
        <v>407856236</v>
      </c>
      <c r="E497" s="1">
        <f>IFERROR(__xludf.DUMMYFUNCTION("""COMPUTED_VALUE"""),470863262004)</f>
        <v>470863262004</v>
      </c>
      <c r="F497" s="1" t="str">
        <f>IFERROR(__xludf.DUMMYFUNCTION("""COMPUTED_VALUE"""),"CLOSED")</f>
        <v>CLOSED</v>
      </c>
      <c r="G497" s="1" t="str">
        <f>IFERROR(__xludf.DUMMYFUNCTION("""COMPUTED_VALUE"""),"CLOSED")</f>
        <v>CLOSED</v>
      </c>
      <c r="H497" s="1" t="str">
        <f>IFERROR(__xludf.DUMMYFUNCTION("""COMPUTED_VALUE"""),"PAID VIA MAYA - SEPT 16 - REF - 625606588615")</f>
        <v>PAID VIA MAYA - SEPT 16 - REF - 625606588615</v>
      </c>
      <c r="I497" s="1" t="str">
        <f>IFERROR(__xludf.DUMMYFUNCTION("""COMPUTED_VALUE"""),"WITH 1 AMSF")</f>
        <v>WITH 1 AMSF</v>
      </c>
      <c r="J497" s="1"/>
      <c r="K497" s="1" t="str">
        <f>IFERROR(__xludf.DUMMYFUNCTION("""COMPUTED_VALUE"""),"COMPLETED")</f>
        <v>COMPLETED</v>
      </c>
      <c r="L497" s="1" t="str">
        <f>IFERROR(__xludf.DUMMYFUNCTION("""COMPUTED_VALUE"""),"POSTED")</f>
        <v>POSTED</v>
      </c>
      <c r="M497" s="1" t="str">
        <f>IFERROR(__xludf.DUMMYFUNCTION("""COMPUTED_VALUE"""),"POSTED")</f>
        <v>POSTED</v>
      </c>
      <c r="N497" s="3">
        <f>IFERROR(__xludf.DUMMYFUNCTION("""COMPUTED_VALUE"""),46280)</f>
        <v>46280</v>
      </c>
      <c r="O497" s="1" t="str">
        <f>IFERROR(__xludf.DUMMYFUNCTION("""COMPUTED_VALUE"""),"FIBER UNLI ALL PLAN 1499")</f>
        <v>FIBER UNLI ALL PLAN 1499</v>
      </c>
      <c r="P497" s="1" t="str">
        <f>IFERROR(__xludf.DUMMYFUNCTION("""COMPUTED_VALUE"""),"LOWPLAN")</f>
        <v>LOWPLAN</v>
      </c>
      <c r="Q497" s="1" t="str">
        <f>IFERROR(__xludf.DUMMYFUNCTION("""COMPUTED_VALUE"""),"P407518")</f>
        <v>P407518</v>
      </c>
      <c r="R497" s="1" t="str">
        <f>IFERROR(__xludf.DUMMYFUNCTION("""COMPUTED_VALUE"""),"CARPIO, STEPHANIE")</f>
        <v>CARPIO, STEPHANIE</v>
      </c>
      <c r="S497" s="1" t="str">
        <f>IFERROR(__xludf.DUMMYFUNCTION("""COMPUTED_VALUE"""),"FLA")</f>
        <v>FLA</v>
      </c>
      <c r="T497" s="1" t="str">
        <f>IFERROR(__xludf.DUMMYFUNCTION("""COMPUTED_VALUE"""),"JERIC NAVARRO")</f>
        <v>JERIC NAVARRO</v>
      </c>
      <c r="U497" s="1" t="str">
        <f>IFERROR(__xludf.DUMMYFUNCTION("""COMPUTED_VALUE"""),"MARK MALIWAT")</f>
        <v>MARK MALIWAT</v>
      </c>
      <c r="V497" s="1" t="str">
        <f>IFERROR(__xludf.DUMMYFUNCTION("""COMPUTED_VALUE"""),"BK REGULAR")</f>
        <v>BK REGULAR</v>
      </c>
      <c r="W497" s="1" t="str">
        <f>IFERROR(__xludf.DUMMYFUNCTION("""COMPUTED_VALUE"""),"STK REGULAR")</f>
        <v>STK REGULAR</v>
      </c>
      <c r="X497" s="1" t="str">
        <f>IFERROR(__xludf.DUMMYFUNCTION("""COMPUTED_VALUE"""),"HBBS SEPT 2026")</f>
        <v>HBBS SEPT 2026</v>
      </c>
      <c r="Y497" s="1" t="str">
        <f>IFERROR(__xludf.DUMMYFUNCTION("""COMPUTED_VALUE"""),"RS_SS_CVEU_2026")</f>
        <v>RS_SS_CVEU_2026</v>
      </c>
      <c r="Z497" s="1" t="str">
        <f>IFERROR(__xludf.DUMMYFUNCTION("""COMPUTED_VALUE"""),"NEW CONNECT")</f>
        <v>NEW CONNECT</v>
      </c>
      <c r="AA497" s="1">
        <f>IFERROR(__xludf.DUMMYFUNCTION("""COMPUTED_VALUE"""),639948433775)</f>
        <v>639948433775</v>
      </c>
      <c r="AB497" s="1"/>
      <c r="AC497" s="1">
        <f>IFERROR(__xludf.DUMMYFUNCTION("""COMPUTED_VALUE"""),737)</f>
        <v>737</v>
      </c>
      <c r="AD497" s="1" t="str">
        <f>IFERROR(__xludf.DUMMYFUNCTION("""COMPUTED_VALUE"""),"ROMUALDO")</f>
        <v>ROMUALDO</v>
      </c>
      <c r="AE497" s="1"/>
      <c r="AF497" s="1" t="str">
        <f>IFERROR(__xludf.DUMMYFUNCTION("""COMPUTED_VALUE"""),"BGY 24")</f>
        <v>BGY 24</v>
      </c>
      <c r="AG497" s="1" t="str">
        <f>IFERROR(__xludf.DUMMYFUNCTION("""COMPUTED_VALUE"""),"CAVITE CITY")</f>
        <v>CAVITE CITY</v>
      </c>
      <c r="AH497" s="1" t="str">
        <f>IFERROR(__xludf.DUMMYFUNCTION("""COMPUTED_VALUE"""),"DIZON'S BAKERY")</f>
        <v>DIZON'S BAKERY</v>
      </c>
      <c r="AI497" s="1" t="str">
        <f>IFERROR(__xludf.DUMMYFUNCTION("""COMPUTED_VALUE"""),"NOT AOR")</f>
        <v>NOT AOR</v>
      </c>
    </row>
    <row r="498" customHeight="1" spans="1:35">
      <c r="A498" s="3">
        <f>IFERROR(__xludf.DUMMYFUNCTION("""COMPUTED_VALUE"""),46275)</f>
        <v>46275</v>
      </c>
      <c r="B498" s="1" t="str">
        <f>IFERROR(__xludf.DUMMYFUNCTION("""COMPUTED_VALUE"""),"NIKKO DIOMAMPO BARREDO")</f>
        <v>NIKKO DIOMAMPO BARREDO</v>
      </c>
      <c r="C498" s="1">
        <f>IFERROR(__xludf.DUMMYFUNCTION("""COMPUTED_VALUE"""),2312496733)</f>
        <v>2312496733</v>
      </c>
      <c r="D498" s="1"/>
      <c r="E498" s="1"/>
      <c r="F498" s="1" t="str">
        <f>IFERROR(__xludf.DUMMYFUNCTION("""COMPUTED_VALUE"""),"CANCELLED")</f>
        <v>CANCELLED</v>
      </c>
      <c r="G498" s="1" t="str">
        <f>IFERROR(__xludf.DUMMYFUNCTION("""COMPUTED_VALUE"""),"(CANCELLED) BB - SEGMENT 12 - LOW RISK")</f>
        <v>(CANCELLED) BB - SEGMENT 12 - LOW RISK</v>
      </c>
      <c r="H498" s="1"/>
      <c r="I498" s="1"/>
      <c r="J498" s="1"/>
      <c r="K498" s="1"/>
      <c r="L498" s="1" t="str">
        <f>IFERROR(__xludf.DUMMYFUNCTION("""COMPUTED_VALUE"""),"REENCODED")</f>
        <v>REENCODED</v>
      </c>
      <c r="M498" s="1" t="str">
        <f>IFERROR(__xludf.DUMMYFUNCTION("""COMPUTED_VALUE"""),"REENCODED")</f>
        <v>REENCODED</v>
      </c>
      <c r="N498" s="3"/>
      <c r="O498" s="1" t="str">
        <f>IFERROR(__xludf.DUMMYFUNCTION("""COMPUTED_VALUE"""),"FIBR PLAN 1299")</f>
        <v>FIBR PLAN 1299</v>
      </c>
      <c r="P498" s="1" t="str">
        <f>IFERROR(__xludf.DUMMYFUNCTION("""COMPUTED_VALUE"""),"LOWPLAN")</f>
        <v>LOWPLAN</v>
      </c>
      <c r="Q498" s="1" t="str">
        <f>IFERROR(__xludf.DUMMYFUNCTION("""COMPUTED_VALUE"""),"P407047")</f>
        <v>P407047</v>
      </c>
      <c r="R498" s="1" t="str">
        <f>IFERROR(__xludf.DUMMYFUNCTION("""COMPUTED_VALUE"""),"TAMAYO, MARY ROSE ZAIRA")</f>
        <v>TAMAYO, MARY ROSE ZAIRA</v>
      </c>
      <c r="S498" s="1" t="str">
        <f>IFERROR(__xludf.DUMMYFUNCTION("""COMPUTED_VALUE"""),"ORGANIC")</f>
        <v>ORGANIC</v>
      </c>
      <c r="T498" s="1" t="str">
        <f>IFERROR(__xludf.DUMMYFUNCTION("""COMPUTED_VALUE"""),"LEA REMOLLO")</f>
        <v>LEA REMOLLO</v>
      </c>
      <c r="U498" s="1" t="str">
        <f>IFERROR(__xludf.DUMMYFUNCTION("""COMPUTED_VALUE"""),"JULIE ESPIRITU")</f>
        <v>JULIE ESPIRITU</v>
      </c>
      <c r="V498" s="1" t="str">
        <f>IFERROR(__xludf.DUMMYFUNCTION("""COMPUTED_VALUE"""),"ONLINE/CRANFORD")</f>
        <v>ONLINE/CRANFORD</v>
      </c>
      <c r="W498" s="1" t="str">
        <f>IFERROR(__xludf.DUMMYFUNCTION("""COMPUTED_VALUE"""),"STK REGULAR")</f>
        <v>STK REGULAR</v>
      </c>
      <c r="X498" s="1" t="str">
        <f>IFERROR(__xludf.DUMMYFUNCTION("""COMPUTED_VALUE"""),"HBBS SEPT 2026")</f>
        <v>HBBS SEPT 2026</v>
      </c>
      <c r="Y498" s="1" t="str">
        <f>IFERROR(__xludf.DUMMYFUNCTION("""COMPUTED_VALUE"""),"RS_ONL_CVEU_2026")</f>
        <v>RS_ONL_CVEU_2026</v>
      </c>
      <c r="Z498" s="1" t="str">
        <f>IFERROR(__xludf.DUMMYFUNCTION("""COMPUTED_VALUE"""),"NEW CONNECT")</f>
        <v>NEW CONNECT</v>
      </c>
      <c r="AA498" s="1">
        <f>IFERROR(__xludf.DUMMYFUNCTION("""COMPUTED_VALUE"""),639150210101)</f>
        <v>639150210101</v>
      </c>
      <c r="AB498" s="1"/>
      <c r="AC498" s="1">
        <f>IFERROR(__xludf.DUMMYFUNCTION("""COMPUTED_VALUE"""),615)</f>
        <v>615</v>
      </c>
      <c r="AD498" s="1" t="str">
        <f>IFERROR(__xludf.DUMMYFUNCTION("""COMPUTED_VALUE"""),"MAHARLIKA WEST")</f>
        <v>MAHARLIKA WEST</v>
      </c>
      <c r="AE498" s="1" t="str">
        <f>IFERROR(__xludf.DUMMYFUNCTION("""COMPUTED_VALUE"""),"SMDC WIND RESIDENCES TOWER 1")</f>
        <v>SMDC WIND RESIDENCES TOWER 1</v>
      </c>
      <c r="AF498" s="1" t="str">
        <f>IFERROR(__xludf.DUMMYFUNCTION("""COMPUTED_VALUE"""),"BGY MAHARLIKA WEST")</f>
        <v>BGY MAHARLIKA WEST</v>
      </c>
      <c r="AG498" s="1" t="str">
        <f>IFERROR(__xludf.DUMMYFUNCTION("""COMPUTED_VALUE"""),"TAGAYTAY")</f>
        <v>TAGAYTAY</v>
      </c>
      <c r="AH498" s="1"/>
      <c r="AI498" s="1" t="str">
        <f>IFERROR(__xludf.DUMMYFUNCTION("""COMPUTED_VALUE"""),"CLUSTER 12")</f>
        <v>CLUSTER 12</v>
      </c>
    </row>
    <row r="499" customHeight="1" spans="1:35">
      <c r="A499" s="3">
        <f>IFERROR(__xludf.DUMMYFUNCTION("""COMPUTED_VALUE"""),46275)</f>
        <v>46275</v>
      </c>
      <c r="B499" s="1" t="str">
        <f>IFERROR(__xludf.DUMMYFUNCTION("""COMPUTED_VALUE"""),"NIKKO DIOMAMPO BARREDO")</f>
        <v>NIKKO DIOMAMPO BARREDO</v>
      </c>
      <c r="C499" s="1">
        <f>IFERROR(__xludf.DUMMYFUNCTION("""COMPUTED_VALUE"""),2312497370)</f>
        <v>2312497370</v>
      </c>
      <c r="D499" s="1">
        <f>IFERROR(__xludf.DUMMYFUNCTION("""COMPUTED_VALUE"""),407850343)</f>
        <v>407850343</v>
      </c>
      <c r="E499" s="1">
        <f>IFERROR(__xludf.DUMMYFUNCTION("""COMPUTED_VALUE"""),470833899004)</f>
        <v>470833899004</v>
      </c>
      <c r="F499" s="1" t="str">
        <f>IFERROR(__xludf.DUMMYFUNCTION("""COMPUTED_VALUE"""),"CLOSED")</f>
        <v>CLOSED</v>
      </c>
      <c r="G499" s="1" t="str">
        <f>IFERROR(__xludf.DUMMYFUNCTION("""COMPUTED_VALUE"""),"CLOSED")</f>
        <v>CLOSED</v>
      </c>
      <c r="H499" s="1"/>
      <c r="I499" s="1" t="str">
        <f>IFERROR(__xludf.DUMMYFUNCTION("""COMPUTED_VALUE"""),"NO 1 AMSF")</f>
        <v>NO 1 AMSF</v>
      </c>
      <c r="J499" s="1" t="str">
        <f>IFERROR(__xludf.DUMMYFUNCTION("""COMPUTED_VALUE"""),"DUE DATE - 11-Oct-26 - 1,424.71")</f>
        <v>DUE DATE - 11-Oct-26 - 1,424.71</v>
      </c>
      <c r="K499" s="1" t="str">
        <f>IFERROR(__xludf.DUMMYFUNCTION("""COMPUTED_VALUE"""),"COMPLETED")</f>
        <v>COMPLETED</v>
      </c>
      <c r="L499" s="1" t="str">
        <f>IFERROR(__xludf.DUMMYFUNCTION("""COMPUTED_VALUE"""),"POSTED")</f>
        <v>POSTED</v>
      </c>
      <c r="M499" s="1" t="str">
        <f>IFERROR(__xludf.DUMMYFUNCTION("""COMPUTED_VALUE"""),"POSTED")</f>
        <v>POSTED</v>
      </c>
      <c r="N499" s="3">
        <f>IFERROR(__xludf.DUMMYFUNCTION("""COMPUTED_VALUE"""),46280)</f>
        <v>46280</v>
      </c>
      <c r="O499" s="1" t="str">
        <f>IFERROR(__xludf.DUMMYFUNCTION("""COMPUTED_VALUE"""),"FIBR PLAN 1299")</f>
        <v>FIBR PLAN 1299</v>
      </c>
      <c r="P499" s="1" t="str">
        <f>IFERROR(__xludf.DUMMYFUNCTION("""COMPUTED_VALUE"""),"LOWPLAN")</f>
        <v>LOWPLAN</v>
      </c>
      <c r="Q499" s="1" t="str">
        <f>IFERROR(__xludf.DUMMYFUNCTION("""COMPUTED_VALUE"""),"P407047")</f>
        <v>P407047</v>
      </c>
      <c r="R499" s="1" t="str">
        <f>IFERROR(__xludf.DUMMYFUNCTION("""COMPUTED_VALUE"""),"TAMAYO, MARY ROSE ZAIRA")</f>
        <v>TAMAYO, MARY ROSE ZAIRA</v>
      </c>
      <c r="S499" s="1" t="str">
        <f>IFERROR(__xludf.DUMMYFUNCTION("""COMPUTED_VALUE"""),"ORGANIC")</f>
        <v>ORGANIC</v>
      </c>
      <c r="T499" s="1" t="str">
        <f>IFERROR(__xludf.DUMMYFUNCTION("""COMPUTED_VALUE"""),"LEA REMOLLO")</f>
        <v>LEA REMOLLO</v>
      </c>
      <c r="U499" s="1" t="str">
        <f>IFERROR(__xludf.DUMMYFUNCTION("""COMPUTED_VALUE"""),"JULIE ESPIRITU")</f>
        <v>JULIE ESPIRITU</v>
      </c>
      <c r="V499" s="1" t="str">
        <f>IFERROR(__xludf.DUMMYFUNCTION("""COMPUTED_VALUE"""),"ONLINE/CRANFORD")</f>
        <v>ONLINE/CRANFORD</v>
      </c>
      <c r="W499" s="1" t="str">
        <f>IFERROR(__xludf.DUMMYFUNCTION("""COMPUTED_VALUE"""),"STK REGULAR")</f>
        <v>STK REGULAR</v>
      </c>
      <c r="X499" s="1" t="str">
        <f>IFERROR(__xludf.DUMMYFUNCTION("""COMPUTED_VALUE"""),"HBBS SEPT 2026")</f>
        <v>HBBS SEPT 2026</v>
      </c>
      <c r="Y499" s="1" t="str">
        <f>IFERROR(__xludf.DUMMYFUNCTION("""COMPUTED_VALUE"""),"RS_ONL_CVEU_2026")</f>
        <v>RS_ONL_CVEU_2026</v>
      </c>
      <c r="Z499" s="1" t="str">
        <f>IFERROR(__xludf.DUMMYFUNCTION("""COMPUTED_VALUE"""),"NEW CONNECT")</f>
        <v>NEW CONNECT</v>
      </c>
      <c r="AA499" s="1">
        <f>IFERROR(__xludf.DUMMYFUNCTION("""COMPUTED_VALUE"""),639150210101)</f>
        <v>639150210101</v>
      </c>
      <c r="AB499" s="1"/>
      <c r="AC499" s="1">
        <f>IFERROR(__xludf.DUMMYFUNCTION("""COMPUTED_VALUE"""),615)</f>
        <v>615</v>
      </c>
      <c r="AD499" s="1" t="str">
        <f>IFERROR(__xludf.DUMMYFUNCTION("""COMPUTED_VALUE"""),"MAHARLIKA WEST")</f>
        <v>MAHARLIKA WEST</v>
      </c>
      <c r="AE499" s="1" t="str">
        <f>IFERROR(__xludf.DUMMYFUNCTION("""COMPUTED_VALUE"""),"SMDC WIND RESIDENCES TOWER 1")</f>
        <v>SMDC WIND RESIDENCES TOWER 1</v>
      </c>
      <c r="AF499" s="1" t="str">
        <f>IFERROR(__xludf.DUMMYFUNCTION("""COMPUTED_VALUE"""),"BGY MAHARLIKA WEST")</f>
        <v>BGY MAHARLIKA WEST</v>
      </c>
      <c r="AG499" s="1" t="str">
        <f>IFERROR(__xludf.DUMMYFUNCTION("""COMPUTED_VALUE"""),"TAGAYTAY")</f>
        <v>TAGAYTAY</v>
      </c>
      <c r="AH499" s="1"/>
      <c r="AI499" s="1" t="str">
        <f>IFERROR(__xludf.DUMMYFUNCTION("""COMPUTED_VALUE"""),"CLUSTER 12")</f>
        <v>CLUSTER 12</v>
      </c>
    </row>
    <row r="500" customHeight="1" spans="1:35">
      <c r="A500" s="3">
        <f>IFERROR(__xludf.DUMMYFUNCTION("""COMPUTED_VALUE"""),46275)</f>
        <v>46275</v>
      </c>
      <c r="B500" s="1" t="str">
        <f>IFERROR(__xludf.DUMMYFUNCTION("""COMPUTED_VALUE"""),"JHON JAYSON ALANO DACURO")</f>
        <v>JHON JAYSON ALANO DACURO</v>
      </c>
      <c r="C500" s="1">
        <f>IFERROR(__xludf.DUMMYFUNCTION("""COMPUTED_VALUE"""),2312497959)</f>
        <v>2312497959</v>
      </c>
      <c r="D500" s="1">
        <f>IFERROR(__xludf.DUMMYFUNCTION("""COMPUTED_VALUE"""),407847865)</f>
        <v>407847865</v>
      </c>
      <c r="E500" s="1">
        <f>IFERROR(__xludf.DUMMYFUNCTION("""COMPUTED_VALUE"""),470833028004)</f>
        <v>470833028004</v>
      </c>
      <c r="F500" s="1" t="str">
        <f>IFERROR(__xludf.DUMMYFUNCTION("""COMPUTED_VALUE"""),"RPR")</f>
        <v>RPR</v>
      </c>
      <c r="G500" s="1" t="str">
        <f>IFERROR(__xludf.DUMMYFUNCTION("""COMPUTED_VALUE"""),"RPR VISITED REMARKS   FULL NAP  SILLP576NP1 full SILLP575NP5 full SILLP576NP2 full TALK JHON JAYSON ALANO DACURO 09648415967 09953789045")</f>
        <v>RPR VISITED REMARKS   FULL NAP  SILLP576NP1 full SILLP575NP5 full SILLP576NP2 full TALK JHON JAYSON ALANO DACURO 09648415967 09953789045</v>
      </c>
      <c r="H500" s="1" t="str">
        <f>IFERROR(__xludf.DUMMYFUNCTION("""COMPUTED_VALUE"""),"NO PAYMENT")</f>
        <v>NO PAYMENT</v>
      </c>
      <c r="I500" s="1" t="str">
        <f>IFERROR(__xludf.DUMMYFUNCTION("""COMPUTED_VALUE"""),"NO 1 AMSF")</f>
        <v>NO 1 AMSF</v>
      </c>
      <c r="J500" s="1" t="str">
        <f>IFERROR(__xludf.DUMMYFUNCTION("""COMPUTED_VALUE"""),"NO PAYMENT")</f>
        <v>NO PAYMENT</v>
      </c>
      <c r="K500" s="1" t="str">
        <f>IFERROR(__xludf.DUMMYFUNCTION("""COMPUTED_VALUE"""),"CANCELED")</f>
        <v>CANCELED</v>
      </c>
      <c r="L500" s="1" t="str">
        <f>IFERROR(__xludf.DUMMYFUNCTION("""COMPUTED_VALUE"""),"RPR - NAP FULL")</f>
        <v>RPR - NAP FULL</v>
      </c>
      <c r="M500" s="1" t="str">
        <f>IFERROR(__xludf.DUMMYFUNCTION("""COMPUTED_VALUE"""),"RPR- NAP FULL")</f>
        <v>RPR- NAP FULL</v>
      </c>
      <c r="N500" s="3"/>
      <c r="O500" s="1" t="str">
        <f>IFERROR(__xludf.DUMMYFUNCTION("""COMPUTED_VALUE"""),"FIBR PLAN 1299")</f>
        <v>FIBR PLAN 1299</v>
      </c>
      <c r="P500" s="1" t="str">
        <f>IFERROR(__xludf.DUMMYFUNCTION("""COMPUTED_VALUE"""),"LOWPLAN")</f>
        <v>LOWPLAN</v>
      </c>
      <c r="Q500" s="1" t="str">
        <f>IFERROR(__xludf.DUMMYFUNCTION("""COMPUTED_VALUE"""),"P407050")</f>
        <v>P407050</v>
      </c>
      <c r="R500" s="1" t="str">
        <f>IFERROR(__xludf.DUMMYFUNCTION("""COMPUTED_VALUE"""),"MANDUCDOC, MARIANE")</f>
        <v>MANDUCDOC, MARIANE</v>
      </c>
      <c r="S500" s="1" t="str">
        <f>IFERROR(__xludf.DUMMYFUNCTION("""COMPUTED_VALUE"""),"ORGANIC")</f>
        <v>ORGANIC</v>
      </c>
      <c r="T500" s="1" t="str">
        <f>IFERROR(__xludf.DUMMYFUNCTION("""COMPUTED_VALUE"""),"LEA REMOLLO")</f>
        <v>LEA REMOLLO</v>
      </c>
      <c r="U500" s="1" t="str">
        <f>IFERROR(__xludf.DUMMYFUNCTION("""COMPUTED_VALUE"""),"JULIE ESPIRITU")</f>
        <v>JULIE ESPIRITU</v>
      </c>
      <c r="V500" s="1" t="str">
        <f>IFERROR(__xludf.DUMMYFUNCTION("""COMPUTED_VALUE"""),"BK HSTK")</f>
        <v>BK HSTK</v>
      </c>
      <c r="W500" s="1" t="str">
        <f>IFERROR(__xludf.DUMMYFUNCTION("""COMPUTED_VALUE"""),"BK HSTK")</f>
        <v>BK HSTK</v>
      </c>
      <c r="X500" s="1" t="str">
        <f>IFERROR(__xludf.DUMMYFUNCTION("""COMPUTED_VALUE"""),"HBBS SEPT 2026")</f>
        <v>HBBS SEPT 2026</v>
      </c>
      <c r="Y500" s="1" t="str">
        <f>IFERROR(__xludf.DUMMYFUNCTION("""COMPUTED_VALUE"""),"BK_CVEU_260820")</f>
        <v>BK_CVEU_260820</v>
      </c>
      <c r="Z500" s="1" t="str">
        <f>IFERROR(__xludf.DUMMYFUNCTION("""COMPUTED_VALUE"""),"NEW CONNECT")</f>
        <v>NEW CONNECT</v>
      </c>
      <c r="AA500" s="1">
        <f>IFERROR(__xludf.DUMMYFUNCTION("""COMPUTED_VALUE"""),639648415967)</f>
        <v>639648415967</v>
      </c>
      <c r="AB500" s="1">
        <f>IFERROR(__xludf.DUMMYFUNCTION("""COMPUTED_VALUE"""),639953789045)</f>
        <v>639953789045</v>
      </c>
      <c r="AC500" s="1">
        <f>IFERROR(__xludf.DUMMYFUNCTION("""COMPUTED_VALUE"""),191)</f>
        <v>191</v>
      </c>
      <c r="AD500" s="1" t="str">
        <f>IFERROR(__xludf.DUMMYFUNCTION("""COMPUTED_VALUE"""),"TARTARIA")</f>
        <v>TARTARIA</v>
      </c>
      <c r="AE500" s="1"/>
      <c r="AF500" s="1" t="str">
        <f>IFERROR(__xludf.DUMMYFUNCTION("""COMPUTED_VALUE"""),"BGY TARTARIA")</f>
        <v>BGY TARTARIA</v>
      </c>
      <c r="AG500" s="1" t="str">
        <f>IFERROR(__xludf.DUMMYFUNCTION("""COMPUTED_VALUE"""),"SILANG")</f>
        <v>SILANG</v>
      </c>
      <c r="AH500" s="1"/>
      <c r="AI500" s="1" t="str">
        <f>IFERROR(__xludf.DUMMYFUNCTION("""COMPUTED_VALUE"""),"CLUSTER 11")</f>
        <v>CLUSTER 11</v>
      </c>
    </row>
    <row r="501" customHeight="1" spans="1:35">
      <c r="A501" s="3">
        <f>IFERROR(__xludf.DUMMYFUNCTION("""COMPUTED_VALUE"""),46275)</f>
        <v>46275</v>
      </c>
      <c r="B501" s="1" t="str">
        <f>IFERROR(__xludf.DUMMYFUNCTION("""COMPUTED_VALUE""")," MARICEL PAET HONRA")</f>
        <v> MARICEL PAET HONRA</v>
      </c>
      <c r="C501" s="1">
        <f>IFERROR(__xludf.DUMMYFUNCTION("""COMPUTED_VALUE"""),2312498214)</f>
        <v>2312498214</v>
      </c>
      <c r="D501" s="1">
        <f>IFERROR(__xludf.DUMMYFUNCTION("""COMPUTED_VALUE"""),407845250)</f>
        <v>407845250</v>
      </c>
      <c r="E501" s="1">
        <f>IFERROR(__xludf.DUMMYFUNCTION("""COMPUTED_VALUE"""),470824771004)</f>
        <v>470824771004</v>
      </c>
      <c r="F501" s="1" t="str">
        <f>IFERROR(__xludf.DUMMYFUNCTION("""COMPUTED_VALUE"""),"CLOSED")</f>
        <v>CLOSED</v>
      </c>
      <c r="G501" s="1" t="str">
        <f>IFERROR(__xludf.DUMMYFUNCTION("""COMPUTED_VALUE"""),"CLOSED")</f>
        <v>CLOSED</v>
      </c>
      <c r="H501" s="1" t="str">
        <f>IFERROR(__xludf.DUMMYFUNCTION("""COMPUTED_VALUE"""),"PQGOR363792919	12-Sep-26	Regular Payment	CIS-GCASH 3.0	1,549.00	0	12-Sep-26")</f>
        <v>PQGOR363792919	12-Sep-26	Regular Payment	CIS-GCASH 3.0	1,549.00	0	12-Sep-26</v>
      </c>
      <c r="I501" s="1" t="str">
        <f>IFERROR(__xludf.DUMMYFUNCTION("""COMPUTED_VALUE"""),"WITH 1 AMSF")</f>
        <v>WITH 1 AMSF</v>
      </c>
      <c r="J501" s="1"/>
      <c r="K501" s="1" t="str">
        <f>IFERROR(__xludf.DUMMYFUNCTION("""COMPUTED_VALUE"""),"COMPLETED")</f>
        <v>COMPLETED</v>
      </c>
      <c r="L501" s="1" t="str">
        <f>IFERROR(__xludf.DUMMYFUNCTION("""COMPUTED_VALUE"""),"POSTED")</f>
        <v>POSTED</v>
      </c>
      <c r="M501" s="1" t="str">
        <f>IFERROR(__xludf.DUMMYFUNCTION("""COMPUTED_VALUE"""),"POSTED")</f>
        <v>POSTED</v>
      </c>
      <c r="N501" s="3">
        <f>IFERROR(__xludf.DUMMYFUNCTION("""COMPUTED_VALUE"""),46277)</f>
        <v>46277</v>
      </c>
      <c r="O501" s="1" t="str">
        <f>IFERROR(__xludf.DUMMYFUNCTION("""COMPUTED_VALUE"""),"FIBR PLAN 1299")</f>
        <v>FIBR PLAN 1299</v>
      </c>
      <c r="P501" s="1" t="str">
        <f>IFERROR(__xludf.DUMMYFUNCTION("""COMPUTED_VALUE"""),"LOWPLAN")</f>
        <v>LOWPLAN</v>
      </c>
      <c r="Q501" s="1" t="str">
        <f>IFERROR(__xludf.DUMMYFUNCTION("""COMPUTED_VALUE"""),"P407517 ")</f>
        <v>P407517 </v>
      </c>
      <c r="R501" s="1" t="str">
        <f>IFERROR(__xludf.DUMMYFUNCTION("""COMPUTED_VALUE"""),"GABAY, MANUEL")</f>
        <v>GABAY, MANUEL</v>
      </c>
      <c r="S501" s="1" t="str">
        <f>IFERROR(__xludf.DUMMYFUNCTION("""COMPUTED_VALUE"""),"FLA")</f>
        <v>FLA</v>
      </c>
      <c r="T501" s="1" t="str">
        <f>IFERROR(__xludf.DUMMYFUNCTION("""COMPUTED_VALUE"""),"LEA REMOLLO")</f>
        <v>LEA REMOLLO</v>
      </c>
      <c r="U501" s="1" t="str">
        <f>IFERROR(__xludf.DUMMYFUNCTION("""COMPUTED_VALUE"""),"MARK MALIWAT")</f>
        <v>MARK MALIWAT</v>
      </c>
      <c r="V501" s="1" t="str">
        <f>IFERROR(__xludf.DUMMYFUNCTION("""COMPUTED_VALUE"""),"BK HSTK")</f>
        <v>BK HSTK</v>
      </c>
      <c r="W501" s="1" t="str">
        <f>IFERROR(__xludf.DUMMYFUNCTION("""COMPUTED_VALUE"""),"BK HSTK")</f>
        <v>BK HSTK</v>
      </c>
      <c r="X501" s="1" t="str">
        <f>IFERROR(__xludf.DUMMYFUNCTION("""COMPUTED_VALUE"""),"HBBS SEPT 2026")</f>
        <v>HBBS SEPT 2026</v>
      </c>
      <c r="Y501" s="1" t="str">
        <f>IFERROR(__xludf.DUMMYFUNCTION("""COMPUTED_VALUE"""),"BK_CVEU_260821")</f>
        <v>BK_CVEU_260821</v>
      </c>
      <c r="Z501" s="1" t="str">
        <f>IFERROR(__xludf.DUMMYFUNCTION("""COMPUTED_VALUE"""),"NEW CONNECT")</f>
        <v>NEW CONNECT</v>
      </c>
      <c r="AA501" s="1">
        <f>IFERROR(__xludf.DUMMYFUNCTION("""COMPUTED_VALUE"""),639514933341)</f>
        <v>639514933341</v>
      </c>
      <c r="AB501" s="1"/>
      <c r="AC501" s="1">
        <f>IFERROR(__xludf.DUMMYFUNCTION("""COMPUTED_VALUE"""),9066)</f>
        <v>9066</v>
      </c>
      <c r="AD501" s="1" t="str">
        <f>IFERROR(__xludf.DUMMYFUNCTION("""COMPUTED_VALUE"""),"PUROK 23")</f>
        <v>PUROK 23</v>
      </c>
      <c r="AE501" s="1"/>
      <c r="AF501" s="1" t="str">
        <f>IFERROR(__xludf.DUMMYFUNCTION("""COMPUTED_VALUE"""),"BGY FRANCISCO")</f>
        <v>BGY FRANCISCO</v>
      </c>
      <c r="AG501" s="1" t="str">
        <f>IFERROR(__xludf.DUMMYFUNCTION("""COMPUTED_VALUE"""),"TAGAYTAY")</f>
        <v>TAGAYTAY</v>
      </c>
      <c r="AH501" s="1" t="str">
        <f>IFERROR(__xludf.DUMMYFUNCTION("""COMPUTED_VALUE"""),"TGTLP581NP2")</f>
        <v>TGTLP581NP2</v>
      </c>
      <c r="AI501" s="1" t="str">
        <f>IFERROR(__xludf.DUMMYFUNCTION("""COMPUTED_VALUE"""),"CLUSTER 12")</f>
        <v>CLUSTER 12</v>
      </c>
    </row>
    <row r="502" customHeight="1" spans="1:35">
      <c r="A502" s="3">
        <f>IFERROR(__xludf.DUMMYFUNCTION("""COMPUTED_VALUE"""),46275)</f>
        <v>46275</v>
      </c>
      <c r="B502" s="1" t="str">
        <f>IFERROR(__xludf.DUMMYFUNCTION("""COMPUTED_VALUE"""),"YSABEL PAULA CASUNCAD SADUCOS")</f>
        <v>YSABEL PAULA CASUNCAD SADUCOS</v>
      </c>
      <c r="C502" s="1">
        <f>IFERROR(__xludf.DUMMYFUNCTION("""COMPUTED_VALUE"""),2312498319)</f>
        <v>2312498319</v>
      </c>
      <c r="D502" s="1"/>
      <c r="E502" s="1"/>
      <c r="F502" s="1" t="str">
        <f>IFERROR(__xludf.DUMMYFUNCTION("""COMPUTED_VALUE"""),"CANCELLED")</f>
        <v>CANCELLED</v>
      </c>
      <c r="G502" s="1" t="str">
        <f>IFERROR(__xludf.DUMMYFUNCTION("""COMPUTED_VALUE"""),"WITH ACTIVE TEL# 0495012514  DIFFERENT ADDRESS NEED TO  SUBMIT POA OF THE NEW APPLIED ADDRESS  UNDER")</f>
        <v>WITH ACTIVE TEL# 0495012514  DIFFERENT ADDRESS NEED TO  SUBMIT POA OF THE NEW APPLIED ADDRESS  UNDER</v>
      </c>
      <c r="H502" s="1"/>
      <c r="I502" s="1"/>
      <c r="J502" s="1"/>
      <c r="K502" s="1"/>
      <c r="L502" s="1" t="str">
        <f>IFERROR(__xludf.DUMMYFUNCTION("""COMPUTED_VALUE"""),"CANCELLED - INCOMPLETE DOCS")</f>
        <v>CANCELLED - INCOMPLETE DOCS</v>
      </c>
      <c r="M502" s="1" t="str">
        <f>IFERROR(__xludf.DUMMYFUNCTION("""COMPUTED_VALUE"""),"CANCELLED - NON COMPLIANCE")</f>
        <v>CANCELLED - NON COMPLIANCE</v>
      </c>
      <c r="N502" s="3"/>
      <c r="O502" s="1" t="str">
        <f>IFERROR(__xludf.DUMMYFUNCTION("""COMPUTED_VALUE"""),"FIBER UNLI ALL PLAN 1499")</f>
        <v>FIBER UNLI ALL PLAN 1499</v>
      </c>
      <c r="P502" s="1" t="str">
        <f>IFERROR(__xludf.DUMMYFUNCTION("""COMPUTED_VALUE"""),"LOWPLAN")</f>
        <v>LOWPLAN</v>
      </c>
      <c r="Q502" s="1" t="str">
        <f>IFERROR(__xludf.DUMMYFUNCTION("""COMPUTED_VALUE"""),"P407050")</f>
        <v>P407050</v>
      </c>
      <c r="R502" s="1" t="str">
        <f>IFERROR(__xludf.DUMMYFUNCTION("""COMPUTED_VALUE"""),"TAMAYO, MARY ROSE ZAIRA")</f>
        <v>TAMAYO, MARY ROSE ZAIRA</v>
      </c>
      <c r="S502" s="1" t="str">
        <f>IFERROR(__xludf.DUMMYFUNCTION("""COMPUTED_VALUE"""),"ORGANIC")</f>
        <v>ORGANIC</v>
      </c>
      <c r="T502" s="1" t="str">
        <f>IFERROR(__xludf.DUMMYFUNCTION("""COMPUTED_VALUE"""),"LEA REMOLLO")</f>
        <v>LEA REMOLLO</v>
      </c>
      <c r="U502" s="1" t="str">
        <f>IFERROR(__xludf.DUMMYFUNCTION("""COMPUTED_VALUE"""),"JULIE ESPIRITU")</f>
        <v>JULIE ESPIRITU</v>
      </c>
      <c r="V502" s="1" t="str">
        <f>IFERROR(__xludf.DUMMYFUNCTION("""COMPUTED_VALUE"""),"BK HSTK")</f>
        <v>BK HSTK</v>
      </c>
      <c r="W502" s="1" t="str">
        <f>IFERROR(__xludf.DUMMYFUNCTION("""COMPUTED_VALUE"""),"BK HSTK")</f>
        <v>BK HSTK</v>
      </c>
      <c r="X502" s="1" t="str">
        <f>IFERROR(__xludf.DUMMYFUNCTION("""COMPUTED_VALUE"""),"HBBS SEPT 2026")</f>
        <v>HBBS SEPT 2026</v>
      </c>
      <c r="Y502" s="1" t="str">
        <f>IFERROR(__xludf.DUMMYFUNCTION("""COMPUTED_VALUE"""),"BK_CVEU_260820")</f>
        <v>BK_CVEU_260820</v>
      </c>
      <c r="Z502" s="1" t="str">
        <f>IFERROR(__xludf.DUMMYFUNCTION("""COMPUTED_VALUE"""),"NEW CONNECT")</f>
        <v>NEW CONNECT</v>
      </c>
      <c r="AA502" s="1">
        <f>IFERROR(__xludf.DUMMYFUNCTION("""COMPUTED_VALUE"""),639666799552)</f>
        <v>639666799552</v>
      </c>
      <c r="AB502" s="1"/>
      <c r="AC502" s="1"/>
      <c r="AD502" s="1" t="str">
        <f>IFERROR(__xludf.DUMMYFUNCTION("""COMPUTED_VALUE"""),"THE MANDARA SUBDIVISION")</f>
        <v>THE MANDARA SUBDIVISION</v>
      </c>
      <c r="AE502" s="1" t="str">
        <f>IFERROR(__xludf.DUMMYFUNCTION("""COMPUTED_VALUE"""),"THE MANDARA SUBDIVISION")</f>
        <v>THE MANDARA SUBDIVISION</v>
      </c>
      <c r="AF502" s="1" t="str">
        <f>IFERROR(__xludf.DUMMYFUNCTION("""COMPUTED_VALUE"""),"BGY TARTARIA")</f>
        <v>BGY TARTARIA</v>
      </c>
      <c r="AG502" s="1" t="str">
        <f>IFERROR(__xludf.DUMMYFUNCTION("""COMPUTED_VALUE"""),"SILANG")</f>
        <v>SILANG</v>
      </c>
      <c r="AH502" s="1" t="str">
        <f>IFERROR(__xludf.DUMMYFUNCTION("""COMPUTED_VALUE"""),"SAVEMORE")</f>
        <v>SAVEMORE</v>
      </c>
      <c r="AI502" s="1" t="str">
        <f>IFERROR(__xludf.DUMMYFUNCTION("""COMPUTED_VALUE"""),"CLUSTER 11")</f>
        <v>CLUSTER 11</v>
      </c>
    </row>
    <row r="503" customHeight="1" spans="1:35">
      <c r="A503" s="3">
        <f>IFERROR(__xludf.DUMMYFUNCTION("""COMPUTED_VALUE"""),46275)</f>
        <v>46275</v>
      </c>
      <c r="B503" s="1" t="str">
        <f>IFERROR(__xludf.DUMMYFUNCTION("""COMPUTED_VALUE""")," JIMMY ASEOCHE ROSALES")</f>
        <v> JIMMY ASEOCHE ROSALES</v>
      </c>
      <c r="C503" s="1">
        <f>IFERROR(__xludf.DUMMYFUNCTION("""COMPUTED_VALUE"""),2312498583)</f>
        <v>2312498583</v>
      </c>
      <c r="D503" s="1">
        <f>IFERROR(__xludf.DUMMYFUNCTION("""COMPUTED_VALUE"""),407851153)</f>
        <v>407851153</v>
      </c>
      <c r="E503" s="1">
        <f>IFERROR(__xludf.DUMMYFUNCTION("""COMPUTED_VALUE"""),470836260004)</f>
        <v>470836260004</v>
      </c>
      <c r="F503" s="1" t="str">
        <f>IFERROR(__xludf.DUMMYFUNCTION("""COMPUTED_VALUE"""),"FOR CANCELLATION")</f>
        <v>FOR CANCELLATION</v>
      </c>
      <c r="G503" s="1" t="str">
        <f>IFERROR(__xludf.DUMMYFUNCTION("""COMPUTED_VALUE"""),"FOR CANCELLATION")</f>
        <v>FOR CANCELLATION</v>
      </c>
      <c r="H503" s="1" t="str">
        <f>IFERROR(__xludf.DUMMYFUNCTION("""COMPUTED_VALUE"""),"CBR RINGING ONLY 9/21/ FOR CANCELLATION")</f>
        <v>CBR RINGING ONLY 9/21/ FOR CANCELLATION</v>
      </c>
      <c r="I503" s="1"/>
      <c r="J503" s="1"/>
      <c r="K503" s="1" t="str">
        <f>IFERROR(__xludf.DUMMYFUNCTION("""COMPUTED_VALUE"""),"NOT IN OFSC")</f>
        <v>NOT IN OFSC</v>
      </c>
      <c r="L503" s="1" t="str">
        <f>IFERROR(__xludf.DUMMYFUNCTION("""COMPUTED_VALUE"""),"FOR CANCELLATION")</f>
        <v>FOR CANCELLATION</v>
      </c>
      <c r="M503" s="1" t="str">
        <f>IFERROR(__xludf.DUMMYFUNCTION("""COMPUTED_VALUE"""),"FOR CANCELLATION - NON COMPLIANCE - NO PAYMENT")</f>
        <v>FOR CANCELLATION - NON COMPLIANCE - NO PAYMENT</v>
      </c>
      <c r="N503" s="3"/>
      <c r="O503" s="1" t="str">
        <f>IFERROR(__xludf.DUMMYFUNCTION("""COMPUTED_VALUE"""),"FIBR UNLI ALL PLAN 999")</f>
        <v>FIBR UNLI ALL PLAN 999</v>
      </c>
      <c r="P503" s="1" t="str">
        <f>IFERROR(__xludf.DUMMYFUNCTION("""COMPUTED_VALUE"""),"LOWPLAN")</f>
        <v>LOWPLAN</v>
      </c>
      <c r="Q503" s="1" t="str">
        <f>IFERROR(__xludf.DUMMYFUNCTION("""COMPUTED_VALUE"""),"P407047 ")</f>
        <v>P407047 </v>
      </c>
      <c r="R503" s="1" t="str">
        <f>IFERROR(__xludf.DUMMYFUNCTION("""COMPUTED_VALUE"""),"FRANCISCO, ROSELYN")</f>
        <v>FRANCISCO, ROSELYN</v>
      </c>
      <c r="S503" s="1" t="str">
        <f>IFERROR(__xludf.DUMMYFUNCTION("""COMPUTED_VALUE"""),"ORGANIC")</f>
        <v>ORGANIC</v>
      </c>
      <c r="T503" s="1" t="str">
        <f>IFERROR(__xludf.DUMMYFUNCTION("""COMPUTED_VALUE"""),"LEA REMOLLO")</f>
        <v>LEA REMOLLO</v>
      </c>
      <c r="U503" s="1" t="str">
        <f>IFERROR(__xludf.DUMMYFUNCTION("""COMPUTED_VALUE"""),"MARK MALIWAT")</f>
        <v>MARK MALIWAT</v>
      </c>
      <c r="V503" s="1" t="str">
        <f>IFERROR(__xludf.DUMMYFUNCTION("""COMPUTED_VALUE"""),"BK HSTK")</f>
        <v>BK HSTK</v>
      </c>
      <c r="W503" s="1" t="str">
        <f>IFERROR(__xludf.DUMMYFUNCTION("""COMPUTED_VALUE"""),"BK HSTK")</f>
        <v>BK HSTK</v>
      </c>
      <c r="X503" s="1" t="str">
        <f>IFERROR(__xludf.DUMMYFUNCTION("""COMPUTED_VALUE"""),"REGULAR")</f>
        <v>REGULAR</v>
      </c>
      <c r="Y503" s="1" t="str">
        <f>IFERROR(__xludf.DUMMYFUNCTION("""COMPUTED_VALUE"""),"BK_CVEU_260820")</f>
        <v>BK_CVEU_260820</v>
      </c>
      <c r="Z503" s="1" t="str">
        <f>IFERROR(__xludf.DUMMYFUNCTION("""COMPUTED_VALUE"""),"NEW CONNECT")</f>
        <v>NEW CONNECT</v>
      </c>
      <c r="AA503" s="1">
        <f>IFERROR(__xludf.DUMMYFUNCTION("""COMPUTED_VALUE"""),639925767337)</f>
        <v>639925767337</v>
      </c>
      <c r="AB503" s="1"/>
      <c r="AC503" s="1"/>
      <c r="AD503" s="1" t="str">
        <f>IFERROR(__xludf.DUMMYFUNCTION("""COMPUTED_VALUE"""),"SITIO HANOPOL")</f>
        <v>SITIO HANOPOL</v>
      </c>
      <c r="AE503" s="1" t="str">
        <f>IFERROR(__xludf.DUMMYFUNCTION("""COMPUTED_VALUE"""),"RAMOS COMPOUND")</f>
        <v>RAMOS COMPOUND</v>
      </c>
      <c r="AF503" s="1" t="str">
        <f>IFERROR(__xludf.DUMMYFUNCTION("""COMPUTED_VALUE"""),"BGY KAONG")</f>
        <v>BGY KAONG</v>
      </c>
      <c r="AG503" s="1" t="str">
        <f>IFERROR(__xludf.DUMMYFUNCTION("""COMPUTED_VALUE"""),"SILANG")</f>
        <v>SILANG</v>
      </c>
      <c r="AH503" s="1" t="str">
        <f>IFERROR(__xludf.DUMMYFUNCTION("""COMPUTED_VALUE"""),"NEAR VILLANUEVA COMPOUND")</f>
        <v>NEAR VILLANUEVA COMPOUND</v>
      </c>
      <c r="AI503" s="1" t="str">
        <f>IFERROR(__xludf.DUMMYFUNCTION("""COMPUTED_VALUE"""),"CLUSTER 11")</f>
        <v>CLUSTER 11</v>
      </c>
    </row>
    <row r="504" customHeight="1" spans="1:35">
      <c r="A504" s="3">
        <f>IFERROR(__xludf.DUMMYFUNCTION("""COMPUTED_VALUE"""),46275)</f>
        <v>46275</v>
      </c>
      <c r="B504" s="1" t="str">
        <f>IFERROR(__xludf.DUMMYFUNCTION("""COMPUTED_VALUE"""),"ANJELLA MEE BALMORES MONTALBO")</f>
        <v>ANJELLA MEE BALMORES MONTALBO</v>
      </c>
      <c r="C504" s="1">
        <f>IFERROR(__xludf.DUMMYFUNCTION("""COMPUTED_VALUE"""),2312498634)</f>
        <v>2312498634</v>
      </c>
      <c r="D504" s="1"/>
      <c r="E504" s="1"/>
      <c r="F504" s="1" t="str">
        <f>IFERROR(__xludf.DUMMYFUNCTION("""COMPUTED_VALUE"""),"SUBS CANCEL REQUEST")</f>
        <v>SUBS CANCEL REQUEST</v>
      </c>
      <c r="G504" s="1" t="str">
        <f>IFERROR(__xludf.DUMMYFUNCTION("""COMPUTED_VALUE"""),"(NO LONGER INTERESTED ) SUBSCANCELLED | FOUND ACTIVE ACC# 0406856127 CLV_01 SAME NAME | DIFF ADD | FOUND PENDING SAF# 0406922596 SAME NAME | DIFF ADD | CALL THRU CBR 09928752070 09557056274 07:25 PM | 07:26 PM | TALKED TO SOR | AS PER SOR REQUEST TO CANCE"&amp;"LLED THIS NEW APP AND THE PENDING SAF DUE TO SHE HAS ALREADY INSTALLED AN ACC | cleared from blacklist hit| Done Validation with submitted complete docs| correct encoded info in CSP |waived 1 AMSF requirements (GG - 1 (NTC) | SCANNABLE SUBMITTED NATIONAL "&amp;"ID")</f>
        <v>(NO LONGER INTERESTED ) SUBSCANCELLED | FOUND ACTIVE ACC# 0406856127 CLV_01 SAME NAME | DIFF ADD | FOUND PENDING SAF# 0406922596 SAME NAME | DIFF ADD | CALL THRU CBR 09928752070 09557056274 07:25 PM | 07:26 PM | TALKED TO SOR | AS PER SOR REQUEST TO CANCELLED THIS NEW APP AND THE PENDING SAF DUE TO SHE HAS ALREADY INSTALLED AN ACC | cleared from blacklist hit| Done Validation with submitted complete docs| correct encoded info in CSP |waived 1 AMSF requirements (GG - 1 (NTC) | SCANNABLE SUBMITTED NATIONAL ID</v>
      </c>
      <c r="H504" s="1"/>
      <c r="I504" s="1"/>
      <c r="J504" s="1"/>
      <c r="K504" s="1"/>
      <c r="L504" s="1" t="str">
        <f>IFERROR(__xludf.DUMMYFUNCTION("""COMPUTED_VALUE"""),"SUBS CANCEL REQUEST")</f>
        <v>SUBS CANCEL REQUEST</v>
      </c>
      <c r="M504" s="1" t="str">
        <f>IFERROR(__xludf.DUMMYFUNCTION("""COMPUTED_VALUE"""),"CANCELLED - SUBS CANCEL REQUEST")</f>
        <v>CANCELLED - SUBS CANCEL REQUEST</v>
      </c>
      <c r="N504" s="3"/>
      <c r="O504" s="1" t="str">
        <f>IFERROR(__xludf.DUMMYFUNCTION("""COMPUTED_VALUE"""),"FIBR UNLI ALL PLAN 999")</f>
        <v>FIBR UNLI ALL PLAN 999</v>
      </c>
      <c r="P504" s="1" t="str">
        <f>IFERROR(__xludf.DUMMYFUNCTION("""COMPUTED_VALUE"""),"LOWPLAN")</f>
        <v>LOWPLAN</v>
      </c>
      <c r="Q504" s="1" t="str">
        <f>IFERROR(__xludf.DUMMYFUNCTION("""COMPUTED_VALUE"""),"P407050")</f>
        <v>P407050</v>
      </c>
      <c r="R504" s="1" t="str">
        <f>IFERROR(__xludf.DUMMYFUNCTION("""COMPUTED_VALUE"""),"ESCARCHA, ALMA")</f>
        <v>ESCARCHA, ALMA</v>
      </c>
      <c r="S504" s="1" t="str">
        <f>IFERROR(__xludf.DUMMYFUNCTION("""COMPUTED_VALUE"""),"ORGANIC")</f>
        <v>ORGANIC</v>
      </c>
      <c r="T504" s="1" t="str">
        <f>IFERROR(__xludf.DUMMYFUNCTION("""COMPUTED_VALUE"""),"LEA REMOLLO")</f>
        <v>LEA REMOLLO</v>
      </c>
      <c r="U504" s="1" t="str">
        <f>IFERROR(__xludf.DUMMYFUNCTION("""COMPUTED_VALUE"""),"JULIE ESPIRITU")</f>
        <v>JULIE ESPIRITU</v>
      </c>
      <c r="V504" s="1" t="str">
        <f>IFERROR(__xludf.DUMMYFUNCTION("""COMPUTED_VALUE"""),"BK REGULAR")</f>
        <v>BK REGULAR</v>
      </c>
      <c r="W504" s="1" t="str">
        <f>IFERROR(__xludf.DUMMYFUNCTION("""COMPUTED_VALUE"""),"STK REGULAR")</f>
        <v>STK REGULAR</v>
      </c>
      <c r="X504" s="1" t="str">
        <f>IFERROR(__xludf.DUMMYFUNCTION("""COMPUTED_VALUE"""),"REGULAR")</f>
        <v>REGULAR</v>
      </c>
      <c r="Y504" s="1" t="str">
        <f>IFERROR(__xludf.DUMMYFUNCTION("""COMPUTED_VALUE"""),"BK_CVEU_260820")</f>
        <v>BK_CVEU_260820</v>
      </c>
      <c r="Z504" s="1" t="str">
        <f>IFERROR(__xludf.DUMMYFUNCTION("""COMPUTED_VALUE"""),"NEW CONNECT")</f>
        <v>NEW CONNECT</v>
      </c>
      <c r="AA504" s="1">
        <f>IFERROR(__xludf.DUMMYFUNCTION("""COMPUTED_VALUE"""),639928752070)</f>
        <v>639928752070</v>
      </c>
      <c r="AB504" s="1"/>
      <c r="AC504" s="1"/>
      <c r="AD504" s="1" t="str">
        <f>IFERROR(__xludf.DUMMYFUNCTION("""COMPUTED_VALUE"""),"YAKAL")</f>
        <v>YAKAL</v>
      </c>
      <c r="AE504" s="1"/>
      <c r="AF504" s="1" t="str">
        <f>IFERROR(__xludf.DUMMYFUNCTION("""COMPUTED_VALUE"""),"BGY YAKAL")</f>
        <v>BGY YAKAL</v>
      </c>
      <c r="AG504" s="1" t="str">
        <f>IFERROR(__xludf.DUMMYFUNCTION("""COMPUTED_VALUE"""),"SILANG")</f>
        <v>SILANG</v>
      </c>
      <c r="AH504" s="1" t="str">
        <f>IFERROR(__xludf.DUMMYFUNCTION("""COMPUTED_VALUE"""),"CEMETERY")</f>
        <v>CEMETERY</v>
      </c>
      <c r="AI504" s="1" t="str">
        <f>IFERROR(__xludf.DUMMYFUNCTION("""COMPUTED_VALUE"""),"CLUSTER 11")</f>
        <v>CLUSTER 11</v>
      </c>
    </row>
    <row r="505" customHeight="1" spans="1:35">
      <c r="A505" s="3">
        <f>IFERROR(__xludf.DUMMYFUNCTION("""COMPUTED_VALUE"""),46275)</f>
        <v>46275</v>
      </c>
      <c r="B505" s="1" t="str">
        <f>IFERROR(__xludf.DUMMYFUNCTION("""COMPUTED_VALUE""")," RONNEL AMENA VILLARIN")</f>
        <v> RONNEL AMENA VILLARIN</v>
      </c>
      <c r="C505" s="1">
        <f>IFERROR(__xludf.DUMMYFUNCTION("""COMPUTED_VALUE"""),2312498914)</f>
        <v>2312498914</v>
      </c>
      <c r="D505" s="1"/>
      <c r="E505" s="1"/>
      <c r="F505" s="1" t="str">
        <f>IFERROR(__xludf.DUMMYFUNCTION("""COMPUTED_VALUE"""),"CANCELLED")</f>
        <v>CANCELLED</v>
      </c>
      <c r="G505" s="1" t="str">
        <f>IFERROR(__xludf.DUMMYFUNCTION("""COMPUTED_VALUE"""),"WITH ACTIVE TEL#0464337139 DIFFERENT ADDRESS FOR MULTIPLE LINE APPLICATION NEED TO SUBMIT POA OF THE")</f>
        <v>WITH ACTIVE TEL#0464337139 DIFFERENT ADDRESS FOR MULTIPLE LINE APPLICATION NEED TO SUBMIT POA OF THE</v>
      </c>
      <c r="H505" s="1"/>
      <c r="I505" s="1"/>
      <c r="J505" s="1"/>
      <c r="K505" s="1"/>
      <c r="L505" s="1" t="str">
        <f>IFERROR(__xludf.DUMMYFUNCTION("""COMPUTED_VALUE"""),"CANCELLED - WITH ACTIVE LINE")</f>
        <v>CANCELLED - WITH ACTIVE LINE</v>
      </c>
      <c r="M505" s="1" t="str">
        <f>IFERROR(__xludf.DUMMYFUNCTION("""COMPUTED_VALUE"""),"CANCELLED - WITH ACTIVE LINE")</f>
        <v>CANCELLED - WITH ACTIVE LINE</v>
      </c>
      <c r="N505" s="3"/>
      <c r="O505" s="1" t="str">
        <f>IFERROR(__xludf.DUMMYFUNCTION("""COMPUTED_VALUE"""),"FIBR PLAN 1299")</f>
        <v>FIBR PLAN 1299</v>
      </c>
      <c r="P505" s="1" t="str">
        <f>IFERROR(__xludf.DUMMYFUNCTION("""COMPUTED_VALUE"""),"LOWPLAN")</f>
        <v>LOWPLAN</v>
      </c>
      <c r="Q505" s="1" t="str">
        <f>IFERROR(__xludf.DUMMYFUNCTION("""COMPUTED_VALUE"""),"P407050 ")</f>
        <v>P407050 </v>
      </c>
      <c r="R505" s="1" t="str">
        <f>IFERROR(__xludf.DUMMYFUNCTION("""COMPUTED_VALUE"""),"TAMAYO, MARY ROSE ZAIRA")</f>
        <v>TAMAYO, MARY ROSE ZAIRA</v>
      </c>
      <c r="S505" s="1" t="str">
        <f>IFERROR(__xludf.DUMMYFUNCTION("""COMPUTED_VALUE"""),"ORGANIC")</f>
        <v>ORGANIC</v>
      </c>
      <c r="T505" s="1" t="str">
        <f>IFERROR(__xludf.DUMMYFUNCTION("""COMPUTED_VALUE"""),"LEA REMOLLO")</f>
        <v>LEA REMOLLO</v>
      </c>
      <c r="U505" s="1" t="str">
        <f>IFERROR(__xludf.DUMMYFUNCTION("""COMPUTED_VALUE"""),"MARK MALIWAT")</f>
        <v>MARK MALIWAT</v>
      </c>
      <c r="V505" s="1" t="str">
        <f>IFERROR(__xludf.DUMMYFUNCTION("""COMPUTED_VALUE"""),"BK HSTK")</f>
        <v>BK HSTK</v>
      </c>
      <c r="W505" s="1" t="str">
        <f>IFERROR(__xludf.DUMMYFUNCTION("""COMPUTED_VALUE"""),"BK HSTK")</f>
        <v>BK HSTK</v>
      </c>
      <c r="X505" s="1" t="str">
        <f>IFERROR(__xludf.DUMMYFUNCTION("""COMPUTED_VALUE"""),"HBBS SEPT 2026")</f>
        <v>HBBS SEPT 2026</v>
      </c>
      <c r="Y505" s="1" t="str">
        <f>IFERROR(__xludf.DUMMYFUNCTION("""COMPUTED_VALUE"""),"BK_CVEU_260820")</f>
        <v>BK_CVEU_260820</v>
      </c>
      <c r="Z505" s="1" t="str">
        <f>IFERROR(__xludf.DUMMYFUNCTION("""COMPUTED_VALUE"""),"NEW CONNECT")</f>
        <v>NEW CONNECT</v>
      </c>
      <c r="AA505" s="1">
        <f>IFERROR(__xludf.DUMMYFUNCTION("""COMPUTED_VALUE"""),639668938514)</f>
        <v>639668938514</v>
      </c>
      <c r="AB505" s="1">
        <f>IFERROR(__xludf.DUMMYFUNCTION("""COMPUTED_VALUE"""),639270120099)</f>
        <v>639270120099</v>
      </c>
      <c r="AC505" s="1"/>
      <c r="AD505" s="1" t="str">
        <f>IFERROR(__xludf.DUMMYFUNCTION("""COMPUTED_VALUE"""),"ACACIA")</f>
        <v>ACACIA</v>
      </c>
      <c r="AE505" s="1"/>
      <c r="AF505" s="1" t="str">
        <f>IFERROR(__xludf.DUMMYFUNCTION("""COMPUTED_VALUE"""),"BGY ACACIA")</f>
        <v>BGY ACACIA</v>
      </c>
      <c r="AG505" s="1" t="str">
        <f>IFERROR(__xludf.DUMMYFUNCTION("""COMPUTED_VALUE"""),"SILANG")</f>
        <v>SILANG</v>
      </c>
      <c r="AH505" s="1" t="str">
        <f>IFERROR(__xludf.DUMMYFUNCTION("""COMPUTED_VALUE"""),"LUBOG COURT PHASE 1B")</f>
        <v>LUBOG COURT PHASE 1B</v>
      </c>
      <c r="AI505" s="1" t="str">
        <f>IFERROR(__xludf.DUMMYFUNCTION("""COMPUTED_VALUE"""),"CLUSTER 11")</f>
        <v>CLUSTER 11</v>
      </c>
    </row>
    <row r="506" customHeight="1" spans="1:35">
      <c r="A506" s="3">
        <f>IFERROR(__xludf.DUMMYFUNCTION("""COMPUTED_VALUE"""),46275)</f>
        <v>46275</v>
      </c>
      <c r="B506" s="1" t="str">
        <f>IFERROR(__xludf.DUMMYFUNCTION("""COMPUTED_VALUE"""),"JULIA CRUZADA LAGUIDAO")</f>
        <v>JULIA CRUZADA LAGUIDAO</v>
      </c>
      <c r="C506" s="1">
        <f>IFERROR(__xludf.DUMMYFUNCTION("""COMPUTED_VALUE"""),2312499051)</f>
        <v>2312499051</v>
      </c>
      <c r="D506" s="1">
        <f>IFERROR(__xludf.DUMMYFUNCTION("""COMPUTED_VALUE"""),407847776)</f>
        <v>407847776</v>
      </c>
      <c r="E506" s="1">
        <f>IFERROR(__xludf.DUMMYFUNCTION("""COMPUTED_VALUE"""),470826683004)</f>
        <v>470826683004</v>
      </c>
      <c r="F506" s="1" t="str">
        <f>IFERROR(__xludf.DUMMYFUNCTION("""COMPUTED_VALUE"""),"RPR")</f>
        <v>RPR</v>
      </c>
      <c r="G506" s="1" t="str">
        <f>IFERROR(__xludf.DUMMYFUNCTION("""COMPUTED_VALUE"""),"RPR VISITED  REMARKS  FULL NAP   SILLP479NP5 no vacant SILLP479NP6 no vacant SILLP479NP4 port 4 locked vacant  ACTIVE")</f>
        <v>RPR VISITED  REMARKS  FULL NAP   SILLP479NP5 no vacant SILLP479NP6 no vacant SILLP479NP4 port 4 locked vacant  ACTIVE</v>
      </c>
      <c r="H506" s="1" t="str">
        <f>IFERROR(__xludf.DUMMYFUNCTION("""COMPUTED_VALUE"""),"PAID VIA CSP")</f>
        <v>PAID VIA CSP</v>
      </c>
      <c r="I506" s="1" t="str">
        <f>IFERROR(__xludf.DUMMYFUNCTION("""COMPUTED_VALUE"""),"NO 1 AMSF")</f>
        <v>NO 1 AMSF</v>
      </c>
      <c r="J506" s="1"/>
      <c r="K506" s="1" t="str">
        <f>IFERROR(__xludf.DUMMYFUNCTION("""COMPUTED_VALUE"""),"CANCELED")</f>
        <v>CANCELED</v>
      </c>
      <c r="L506" s="1" t="str">
        <f>IFERROR(__xludf.DUMMYFUNCTION("""COMPUTED_VALUE"""),"PAID")</f>
        <v>PAID</v>
      </c>
      <c r="M506" s="1" t="str">
        <f>IFERROR(__xludf.DUMMYFUNCTION("""COMPUTED_VALUE"""),"PAID - FOR INSTALLATION")</f>
        <v>PAID - FOR INSTALLATION</v>
      </c>
      <c r="N506" s="3"/>
      <c r="O506" s="1" t="str">
        <f>IFERROR(__xludf.DUMMYFUNCTION("""COMPUTED_VALUE"""),"FIBER UNLI ALL PLAN 1499")</f>
        <v>FIBER UNLI ALL PLAN 1499</v>
      </c>
      <c r="P506" s="1" t="str">
        <f>IFERROR(__xludf.DUMMYFUNCTION("""COMPUTED_VALUE"""),"LOWPLAN")</f>
        <v>LOWPLAN</v>
      </c>
      <c r="Q506" s="1" t="str">
        <f>IFERROR(__xludf.DUMMYFUNCTION("""COMPUTED_VALUE"""),"P407047")</f>
        <v>P407047</v>
      </c>
      <c r="R506" s="1" t="str">
        <f>IFERROR(__xludf.DUMMYFUNCTION("""COMPUTED_VALUE"""),"FRANCISCO, ROSELYN")</f>
        <v>FRANCISCO, ROSELYN</v>
      </c>
      <c r="S506" s="1" t="str">
        <f>IFERROR(__xludf.DUMMYFUNCTION("""COMPUTED_VALUE"""),"ORGANIC")</f>
        <v>ORGANIC</v>
      </c>
      <c r="T506" s="1" t="str">
        <f>IFERROR(__xludf.DUMMYFUNCTION("""COMPUTED_VALUE"""),"LEA REMOLLO")</f>
        <v>LEA REMOLLO</v>
      </c>
      <c r="U506" s="1" t="str">
        <f>IFERROR(__xludf.DUMMYFUNCTION("""COMPUTED_VALUE"""),"JULIE ESPIRITU")</f>
        <v>JULIE ESPIRITU</v>
      </c>
      <c r="V506" s="1" t="str">
        <f>IFERROR(__xludf.DUMMYFUNCTION("""COMPUTED_VALUE"""),"BK REGULAR")</f>
        <v>BK REGULAR</v>
      </c>
      <c r="W506" s="1" t="str">
        <f>IFERROR(__xludf.DUMMYFUNCTION("""COMPUTED_VALUE"""),"STK REGULAR")</f>
        <v>STK REGULAR</v>
      </c>
      <c r="X506" s="1" t="str">
        <f>IFERROR(__xludf.DUMMYFUNCTION("""COMPUTED_VALUE"""),"HBBS SEPT 2026")</f>
        <v>HBBS SEPT 2026</v>
      </c>
      <c r="Y506" s="1" t="str">
        <f>IFERROR(__xludf.DUMMYFUNCTION("""COMPUTED_VALUE"""),"BK_CVEU_260820")</f>
        <v>BK_CVEU_260820</v>
      </c>
      <c r="Z506" s="1" t="str">
        <f>IFERROR(__xludf.DUMMYFUNCTION("""COMPUTED_VALUE"""),"NEW CONNECT")</f>
        <v>NEW CONNECT</v>
      </c>
      <c r="AA506" s="1">
        <f>IFERROR(__xludf.DUMMYFUNCTION("""COMPUTED_VALUE"""),639859292393)</f>
        <v>639859292393</v>
      </c>
      <c r="AB506" s="1"/>
      <c r="AC506" s="1">
        <f>IFERROR(__xludf.DUMMYFUNCTION("""COMPUTED_VALUE"""),111)</f>
        <v>111</v>
      </c>
      <c r="AD506" s="1" t="str">
        <f>IFERROR(__xludf.DUMMYFUNCTION("""COMPUTED_VALUE"""),"SANTOL")</f>
        <v>SANTOL</v>
      </c>
      <c r="AE506" s="1" t="str">
        <f>IFERROR(__xludf.DUMMYFUNCTION("""COMPUTED_VALUE"""),"PUROK 3")</f>
        <v>PUROK 3</v>
      </c>
      <c r="AF506" s="1" t="str">
        <f>IFERROR(__xludf.DUMMYFUNCTION("""COMPUTED_VALUE"""),"BGY BALUBAD")</f>
        <v>BGY BALUBAD</v>
      </c>
      <c r="AG506" s="1" t="str">
        <f>IFERROR(__xludf.DUMMYFUNCTION("""COMPUTED_VALUE"""),"SILANG")</f>
        <v>SILANG</v>
      </c>
      <c r="AH506" s="1"/>
      <c r="AI506" s="1" t="str">
        <f>IFERROR(__xludf.DUMMYFUNCTION("""COMPUTED_VALUE"""),"CLUSTER 11")</f>
        <v>CLUSTER 11</v>
      </c>
    </row>
    <row r="507" customHeight="1" spans="1:35">
      <c r="A507" s="3">
        <f>IFERROR(__xludf.DUMMYFUNCTION("""COMPUTED_VALUE"""),46276)</f>
        <v>46276</v>
      </c>
      <c r="B507" s="1" t="str">
        <f>IFERROR(__xludf.DUMMYFUNCTION("""COMPUTED_VALUE"""),"ERWIN REODIQUE OSORIO")</f>
        <v>ERWIN REODIQUE OSORIO</v>
      </c>
      <c r="C507" s="1">
        <f>IFERROR(__xludf.DUMMYFUNCTION("""COMPUTED_VALUE"""),2312508967)</f>
        <v>2312508967</v>
      </c>
      <c r="D507" s="1">
        <f>IFERROR(__xludf.DUMMYFUNCTION("""COMPUTED_VALUE"""),407865812)</f>
        <v>407865812</v>
      </c>
      <c r="E507" s="1">
        <f>IFERROR(__xludf.DUMMYFUNCTION("""COMPUTED_VALUE"""),470949368004)</f>
        <v>470949368004</v>
      </c>
      <c r="F507" s="1" t="str">
        <f>IFERROR(__xludf.DUMMYFUNCTION("""COMPUTED_VALUE"""),"CLOSED")</f>
        <v>CLOSED</v>
      </c>
      <c r="G507" s="1" t="str">
        <f>IFERROR(__xludf.DUMMYFUNCTION("""COMPUTED_VALUE"""),"CLOSED")</f>
        <v>CLOSED</v>
      </c>
      <c r="H507" s="1" t="str">
        <f>IFERROR(__xludf.DUMMYFUNCTION("""COMPUTED_VALUE"""),"PQGOR363744247	11-Sep-26	Regular Payment	CIS- MAYA 3.0	1,549.00	0	11-Sep-26")</f>
        <v>PQGOR363744247	11-Sep-26	Regular Payment	CIS- MAYA 3.0	1,549.00	0	11-Sep-26</v>
      </c>
      <c r="I507" s="1" t="str">
        <f>IFERROR(__xludf.DUMMYFUNCTION("""COMPUTED_VALUE"""),"WITH 1 AMSF")</f>
        <v>WITH 1 AMSF</v>
      </c>
      <c r="J507" s="1"/>
      <c r="K507" s="1" t="str">
        <f>IFERROR(__xludf.DUMMYFUNCTION("""COMPUTED_VALUE"""),"COMPLETED")</f>
        <v>COMPLETED</v>
      </c>
      <c r="L507" s="1" t="str">
        <f>IFERROR(__xludf.DUMMYFUNCTION("""COMPUTED_VALUE"""),"POSTED")</f>
        <v>POSTED</v>
      </c>
      <c r="M507" s="1" t="str">
        <f>IFERROR(__xludf.DUMMYFUNCTION("""COMPUTED_VALUE"""),"POSTED")</f>
        <v>POSTED</v>
      </c>
      <c r="N507" s="3">
        <f>IFERROR(__xludf.DUMMYFUNCTION("""COMPUTED_VALUE"""),46277)</f>
        <v>46277</v>
      </c>
      <c r="O507" s="1" t="str">
        <f>IFERROR(__xludf.DUMMYFUNCTION("""COMPUTED_VALUE"""),"FIBER UNLI ALL PLAN 1499")</f>
        <v>FIBER UNLI ALL PLAN 1499</v>
      </c>
      <c r="P507" s="1" t="str">
        <f>IFERROR(__xludf.DUMMYFUNCTION("""COMPUTED_VALUE"""),"LOWPLAN")</f>
        <v>LOWPLAN</v>
      </c>
      <c r="Q507" s="1" t="str">
        <f>IFERROR(__xludf.DUMMYFUNCTION("""COMPUTED_VALUE"""),"P407518")</f>
        <v>P407518</v>
      </c>
      <c r="R507" s="1" t="str">
        <f>IFERROR(__xludf.DUMMYFUNCTION("""COMPUTED_VALUE"""),"CARPIO, STEPHANIE")</f>
        <v>CARPIO, STEPHANIE</v>
      </c>
      <c r="S507" s="1" t="str">
        <f>IFERROR(__xludf.DUMMYFUNCTION("""COMPUTED_VALUE"""),"FLA")</f>
        <v>FLA</v>
      </c>
      <c r="T507" s="1" t="str">
        <f>IFERROR(__xludf.DUMMYFUNCTION("""COMPUTED_VALUE"""),"JERIC NAVARRO")</f>
        <v>JERIC NAVARRO</v>
      </c>
      <c r="U507" s="1" t="str">
        <f>IFERROR(__xludf.DUMMYFUNCTION("""COMPUTED_VALUE"""),"JB SALIOA")</f>
        <v>JB SALIOA</v>
      </c>
      <c r="V507" s="1" t="str">
        <f>IFERROR(__xludf.DUMMYFUNCTION("""COMPUTED_VALUE"""),"ONLINE/CRANFORD")</f>
        <v>ONLINE/CRANFORD</v>
      </c>
      <c r="W507" s="1" t="str">
        <f>IFERROR(__xludf.DUMMYFUNCTION("""COMPUTED_VALUE"""),"STK REGULAR")</f>
        <v>STK REGULAR</v>
      </c>
      <c r="X507" s="1" t="str">
        <f>IFERROR(__xludf.DUMMYFUNCTION("""COMPUTED_VALUE"""),"HBBS SEPT 2026")</f>
        <v>HBBS SEPT 2026</v>
      </c>
      <c r="Y507" s="1" t="str">
        <f>IFERROR(__xludf.DUMMYFUNCTION("""COMPUTED_VALUE"""),"RS_SS_CVEU_2026")</f>
        <v>RS_SS_CVEU_2026</v>
      </c>
      <c r="Z507" s="1" t="str">
        <f>IFERROR(__xludf.DUMMYFUNCTION("""COMPUTED_VALUE"""),"NEW CONNECT")</f>
        <v>NEW CONNECT</v>
      </c>
      <c r="AA507" s="1">
        <f>IFERROR(__xludf.DUMMYFUNCTION("""COMPUTED_VALUE"""),639567921686)</f>
        <v>639567921686</v>
      </c>
      <c r="AB507" s="1"/>
      <c r="AC507" s="1">
        <f>IFERROR(__xludf.DUMMYFUNCTION("""COMPUTED_VALUE"""),220)</f>
        <v>220</v>
      </c>
      <c r="AD507" s="1" t="str">
        <f>IFERROR(__xludf.DUMMYFUNCTION("""COMPUTED_VALUE"""),"BIAC NA BATO")</f>
        <v>BIAC NA BATO</v>
      </c>
      <c r="AE507" s="1"/>
      <c r="AF507" s="1" t="str">
        <f>IFERROR(__xludf.DUMMYFUNCTION("""COMPUTED_VALUE"""),"BGY SILANGAN 1")</f>
        <v>BGY SILANGAN 1</v>
      </c>
      <c r="AG507" s="1" t="str">
        <f>IFERROR(__xludf.DUMMYFUNCTION("""COMPUTED_VALUE"""),"ROSARIO")</f>
        <v>ROSARIO</v>
      </c>
      <c r="AH507" s="1" t="str">
        <f>IFERROR(__xludf.DUMMYFUNCTION("""COMPUTED_VALUE"""),"BIAC NA BATO")</f>
        <v>BIAC NA BATO</v>
      </c>
      <c r="AI507" s="1" t="str">
        <f>IFERROR(__xludf.DUMMYFUNCTION("""COMPUTED_VALUE"""),"NOT AOR")</f>
        <v>NOT AOR</v>
      </c>
    </row>
    <row r="508" customHeight="1" spans="1:35">
      <c r="A508" s="3">
        <f>IFERROR(__xludf.DUMMYFUNCTION("""COMPUTED_VALUE"""),46276)</f>
        <v>46276</v>
      </c>
      <c r="B508" s="1" t="str">
        <f>IFERROR(__xludf.DUMMYFUNCTION("""COMPUTED_VALUE"""),"JHINXTER PESO DE PADUA")</f>
        <v>JHINXTER PESO DE PADUA</v>
      </c>
      <c r="C508" s="1">
        <f>IFERROR(__xludf.DUMMYFUNCTION("""COMPUTED_VALUE"""),2312510519)</f>
        <v>2312510519</v>
      </c>
      <c r="D508" s="1">
        <f>IFERROR(__xludf.DUMMYFUNCTION("""COMPUTED_VALUE"""),407865685)</f>
        <v>407865685</v>
      </c>
      <c r="E508" s="1">
        <f>IFERROR(__xludf.DUMMYFUNCTION("""COMPUTED_VALUE"""),470949322004)</f>
        <v>470949322004</v>
      </c>
      <c r="F508" s="1" t="str">
        <f>IFERROR(__xludf.DUMMYFUNCTION("""COMPUTED_VALUE"""),"CLOSED")</f>
        <v>CLOSED</v>
      </c>
      <c r="G508" s="1" t="str">
        <f>IFERROR(__xludf.DUMMYFUNCTION("""COMPUTED_VALUE"""),"CLOSED")</f>
        <v>CLOSED</v>
      </c>
      <c r="H508" s="1"/>
      <c r="I508" s="1" t="str">
        <f>IFERROR(__xludf.DUMMYFUNCTION("""COMPUTED_VALUE"""),"NO 1 AMSF")</f>
        <v>NO 1 AMSF</v>
      </c>
      <c r="J508" s="1" t="str">
        <f>IFERROR(__xludf.DUMMYFUNCTION("""COMPUTED_VALUE"""),"DUE DATE - 11-Oct-26 - 1,424.71")</f>
        <v>DUE DATE - 11-Oct-26 - 1,424.71</v>
      </c>
      <c r="K508" s="1" t="str">
        <f>IFERROR(__xludf.DUMMYFUNCTION("""COMPUTED_VALUE"""),"COMPLETED")</f>
        <v>COMPLETED</v>
      </c>
      <c r="L508" s="1" t="str">
        <f>IFERROR(__xludf.DUMMYFUNCTION("""COMPUTED_VALUE"""),"POSTED")</f>
        <v>POSTED</v>
      </c>
      <c r="M508" s="1" t="str">
        <f>IFERROR(__xludf.DUMMYFUNCTION("""COMPUTED_VALUE"""),"POSTED")</f>
        <v>POSTED</v>
      </c>
      <c r="N508" s="3">
        <f>IFERROR(__xludf.DUMMYFUNCTION("""COMPUTED_VALUE"""),46280)</f>
        <v>46280</v>
      </c>
      <c r="O508" s="1" t="str">
        <f>IFERROR(__xludf.DUMMYFUNCTION("""COMPUTED_VALUE"""),"FIBR PLAN 1299")</f>
        <v>FIBR PLAN 1299</v>
      </c>
      <c r="P508" s="1" t="str">
        <f>IFERROR(__xludf.DUMMYFUNCTION("""COMPUTED_VALUE"""),"LOWPLAN")</f>
        <v>LOWPLAN</v>
      </c>
      <c r="Q508" s="1" t="str">
        <f>IFERROR(__xludf.DUMMYFUNCTION("""COMPUTED_VALUE"""),"P407050")</f>
        <v>P407050</v>
      </c>
      <c r="R508" s="1" t="str">
        <f>IFERROR(__xludf.DUMMYFUNCTION("""COMPUTED_VALUE"""),"ARENA, LYKA")</f>
        <v>ARENA, LYKA</v>
      </c>
      <c r="S508" s="1" t="str">
        <f>IFERROR(__xludf.DUMMYFUNCTION("""COMPUTED_VALUE"""),"ORGANIC")</f>
        <v>ORGANIC</v>
      </c>
      <c r="T508" s="1" t="str">
        <f>IFERROR(__xludf.DUMMYFUNCTION("""COMPUTED_VALUE"""),"LEA REMOLLO")</f>
        <v>LEA REMOLLO</v>
      </c>
      <c r="U508" s="1" t="str">
        <f>IFERROR(__xludf.DUMMYFUNCTION("""COMPUTED_VALUE"""),"JB SALIOA")</f>
        <v>JB SALIOA</v>
      </c>
      <c r="V508" s="1" t="str">
        <f>IFERROR(__xludf.DUMMYFUNCTION("""COMPUTED_VALUE"""),"BK HSTK")</f>
        <v>BK HSTK</v>
      </c>
      <c r="W508" s="1" t="str">
        <f>IFERROR(__xludf.DUMMYFUNCTION("""COMPUTED_VALUE"""),"BK HSTK")</f>
        <v>BK HSTK</v>
      </c>
      <c r="X508" s="1" t="str">
        <f>IFERROR(__xludf.DUMMYFUNCTION("""COMPUTED_VALUE"""),"HBBS SEPT 2026")</f>
        <v>HBBS SEPT 2026</v>
      </c>
      <c r="Y508" s="1" t="str">
        <f>IFERROR(__xludf.DUMMYFUNCTION("""COMPUTED_VALUE"""),"BK_CVEU_260820")</f>
        <v>BK_CVEU_260820</v>
      </c>
      <c r="Z508" s="1" t="str">
        <f>IFERROR(__xludf.DUMMYFUNCTION("""COMPUTED_VALUE"""),"NEW CONNECT")</f>
        <v>NEW CONNECT</v>
      </c>
      <c r="AA508" s="1">
        <f>IFERROR(__xludf.DUMMYFUNCTION("""COMPUTED_VALUE"""),639204246754)</f>
        <v>639204246754</v>
      </c>
      <c r="AB508" s="1"/>
      <c r="AC508" s="1">
        <f>IFERROR(__xludf.DUMMYFUNCTION("""COMPUTED_VALUE"""),111)</f>
        <v>111</v>
      </c>
      <c r="AD508" s="1" t="str">
        <f>IFERROR(__xludf.DUMMYFUNCTION("""COMPUTED_VALUE"""),"DAANG BALITE")</f>
        <v>DAANG BALITE</v>
      </c>
      <c r="AE508" s="1" t="str">
        <f>IFERROR(__xludf.DUMMYFUNCTION("""COMPUTED_VALUE"""),"PUROK 2")</f>
        <v>PUROK 2</v>
      </c>
      <c r="AF508" s="1" t="str">
        <f>IFERROR(__xludf.DUMMYFUNCTION("""COMPUTED_VALUE"""),"BGY TOLEDO")</f>
        <v>BGY TOLEDO</v>
      </c>
      <c r="AG508" s="1" t="str">
        <f>IFERROR(__xludf.DUMMYFUNCTION("""COMPUTED_VALUE"""),"SILANG")</f>
        <v>SILANG</v>
      </c>
      <c r="AH508" s="1" t="str">
        <f>IFERROR(__xludf.DUMMYFUNCTION("""COMPUTED_VALUE"""),"-")</f>
        <v>-</v>
      </c>
      <c r="AI508" s="1" t="str">
        <f>IFERROR(__xludf.DUMMYFUNCTION("""COMPUTED_VALUE"""),"CLUSTER 11")</f>
        <v>CLUSTER 11</v>
      </c>
    </row>
    <row r="509" customHeight="1" spans="1:35">
      <c r="A509" s="3">
        <f>IFERROR(__xludf.DUMMYFUNCTION("""COMPUTED_VALUE"""),46276)</f>
        <v>46276</v>
      </c>
      <c r="B509" s="1" t="str">
        <f>IFERROR(__xludf.DUMMYFUNCTION("""COMPUTED_VALUE"""),"ROLLY COLOCADO MANALANSAN")</f>
        <v>ROLLY COLOCADO MANALANSAN</v>
      </c>
      <c r="C509" s="1">
        <f>IFERROR(__xludf.DUMMYFUNCTION("""COMPUTED_VALUE"""),2312511470)</f>
        <v>2312511470</v>
      </c>
      <c r="D509" s="1">
        <f>IFERROR(__xludf.DUMMYFUNCTION("""COMPUTED_VALUE"""),407867564)</f>
        <v>407867564</v>
      </c>
      <c r="E509" s="1">
        <f>IFERROR(__xludf.DUMMYFUNCTION("""COMPUTED_VALUE"""),470950087004)</f>
        <v>470950087004</v>
      </c>
      <c r="F509" s="1" t="str">
        <f>IFERROR(__xludf.DUMMYFUNCTION("""COMPUTED_VALUE"""),"CLOSED")</f>
        <v>CLOSED</v>
      </c>
      <c r="G509" s="1" t="str">
        <f>IFERROR(__xludf.DUMMYFUNCTION("""COMPUTED_VALUE"""),"CLOSED")</f>
        <v>CLOSED</v>
      </c>
      <c r="H509" s="1"/>
      <c r="I509" s="1" t="str">
        <f>IFERROR(__xludf.DUMMYFUNCTION("""COMPUTED_VALUE"""),"NO 1 AMSF")</f>
        <v>NO 1 AMSF</v>
      </c>
      <c r="J509" s="1" t="str">
        <f>IFERROR(__xludf.DUMMYFUNCTION("""COMPUTED_VALUE"""),"DUE DATE - 11-Oct-26 - 1,424.71")</f>
        <v>DUE DATE - 11-Oct-26 - 1,424.71</v>
      </c>
      <c r="K509" s="1" t="str">
        <f>IFERROR(__xludf.DUMMYFUNCTION("""COMPUTED_VALUE"""),"COMPLETED")</f>
        <v>COMPLETED</v>
      </c>
      <c r="L509" s="1" t="str">
        <f>IFERROR(__xludf.DUMMYFUNCTION("""COMPUTED_VALUE"""),"POSTED")</f>
        <v>POSTED</v>
      </c>
      <c r="M509" s="1" t="str">
        <f>IFERROR(__xludf.DUMMYFUNCTION("""COMPUTED_VALUE"""),"POSTED")</f>
        <v>POSTED</v>
      </c>
      <c r="N509" s="3">
        <f>IFERROR(__xludf.DUMMYFUNCTION("""COMPUTED_VALUE"""),46280)</f>
        <v>46280</v>
      </c>
      <c r="O509" s="1" t="str">
        <f>IFERROR(__xludf.DUMMYFUNCTION("""COMPUTED_VALUE"""),"FIBR PLAN 1299")</f>
        <v>FIBR PLAN 1299</v>
      </c>
      <c r="P509" s="1" t="str">
        <f>IFERROR(__xludf.DUMMYFUNCTION("""COMPUTED_VALUE"""),"LOWPLAN")</f>
        <v>LOWPLAN</v>
      </c>
      <c r="Q509" s="1" t="str">
        <f>IFERROR(__xludf.DUMMYFUNCTION("""COMPUTED_VALUE"""),"P407050")</f>
        <v>P407050</v>
      </c>
      <c r="R509" s="1" t="str">
        <f>IFERROR(__xludf.DUMMYFUNCTION("""COMPUTED_VALUE"""),"ARENA, LYKA")</f>
        <v>ARENA, LYKA</v>
      </c>
      <c r="S509" s="1" t="str">
        <f>IFERROR(__xludf.DUMMYFUNCTION("""COMPUTED_VALUE"""),"ORGANIC")</f>
        <v>ORGANIC</v>
      </c>
      <c r="T509" s="1" t="str">
        <f>IFERROR(__xludf.DUMMYFUNCTION("""COMPUTED_VALUE"""),"LEA REMOLLO")</f>
        <v>LEA REMOLLO</v>
      </c>
      <c r="U509" s="1" t="str">
        <f>IFERROR(__xludf.DUMMYFUNCTION("""COMPUTED_VALUE"""),"JB SALIOA")</f>
        <v>JB SALIOA</v>
      </c>
      <c r="V509" s="1" t="str">
        <f>IFERROR(__xludf.DUMMYFUNCTION("""COMPUTED_VALUE"""),"BK HSTK")</f>
        <v>BK HSTK</v>
      </c>
      <c r="W509" s="1" t="str">
        <f>IFERROR(__xludf.DUMMYFUNCTION("""COMPUTED_VALUE"""),"BK HSTK")</f>
        <v>BK HSTK</v>
      </c>
      <c r="X509" s="1" t="str">
        <f>IFERROR(__xludf.DUMMYFUNCTION("""COMPUTED_VALUE"""),"HBBS SEPT 2026")</f>
        <v>HBBS SEPT 2026</v>
      </c>
      <c r="Y509" s="1" t="str">
        <f>IFERROR(__xludf.DUMMYFUNCTION("""COMPUTED_VALUE"""),"BK_CVEU_260820")</f>
        <v>BK_CVEU_260820</v>
      </c>
      <c r="Z509" s="1" t="str">
        <f>IFERROR(__xludf.DUMMYFUNCTION("""COMPUTED_VALUE"""),"NEW CONNECT")</f>
        <v>NEW CONNECT</v>
      </c>
      <c r="AA509" s="1">
        <f>IFERROR(__xludf.DUMMYFUNCTION("""COMPUTED_VALUE"""),639706170553)</f>
        <v>639706170553</v>
      </c>
      <c r="AB509" s="1"/>
      <c r="AC509" s="1">
        <f>IFERROR(__xludf.DUMMYFUNCTION("""COMPUTED_VALUE"""),108)</f>
        <v>108</v>
      </c>
      <c r="AD509" s="1" t="str">
        <f>IFERROR(__xludf.DUMMYFUNCTION("""COMPUTED_VALUE"""),"DAANG BALITE")</f>
        <v>DAANG BALITE</v>
      </c>
      <c r="AE509" s="1"/>
      <c r="AF509" s="1" t="str">
        <f>IFERROR(__xludf.DUMMYFUNCTION("""COMPUTED_VALUE"""),"BGY TOLEDO")</f>
        <v>BGY TOLEDO</v>
      </c>
      <c r="AG509" s="1" t="str">
        <f>IFERROR(__xludf.DUMMYFUNCTION("""COMPUTED_VALUE"""),"SILANG")</f>
        <v>SILANG</v>
      </c>
      <c r="AH509" s="1" t="str">
        <f>IFERROR(__xludf.DUMMYFUNCTION("""COMPUTED_VALUE"""),"-")</f>
        <v>-</v>
      </c>
      <c r="AI509" s="1" t="str">
        <f>IFERROR(__xludf.DUMMYFUNCTION("""COMPUTED_VALUE"""),"CLUSTER 11")</f>
        <v>CLUSTER 11</v>
      </c>
    </row>
    <row r="510" customHeight="1" spans="1:35">
      <c r="A510" s="3">
        <f>IFERROR(__xludf.DUMMYFUNCTION("""COMPUTED_VALUE"""),46276)</f>
        <v>46276</v>
      </c>
      <c r="B510" s="1" t="str">
        <f>IFERROR(__xludf.DUMMYFUNCTION("""COMPUTED_VALUE"""),"JOANNE DELA CRUZ VARIAS")</f>
        <v>JOANNE DELA CRUZ VARIAS</v>
      </c>
      <c r="C510" s="1">
        <f>IFERROR(__xludf.DUMMYFUNCTION("""COMPUTED_VALUE"""),2312511801)</f>
        <v>2312511801</v>
      </c>
      <c r="D510" s="1">
        <f>IFERROR(__xludf.DUMMYFUNCTION("""COMPUTED_VALUE"""),407884736)</f>
        <v>407884736</v>
      </c>
      <c r="E510" s="1">
        <f>IFERROR(__xludf.DUMMYFUNCTION("""COMPUTED_VALUE"""),470961600004)</f>
        <v>470961600004</v>
      </c>
      <c r="F510" s="1" t="str">
        <f>IFERROR(__xludf.DUMMYFUNCTION("""COMPUTED_VALUE"""),"CLOSED")</f>
        <v>CLOSED</v>
      </c>
      <c r="G510" s="1" t="str">
        <f>IFERROR(__xludf.DUMMYFUNCTION("""COMPUTED_VALUE"""),"CLOSED")</f>
        <v>CLOSED</v>
      </c>
      <c r="H510" s="1" t="str">
        <f>IFERROR(__xludf.DUMMYFUNCTION("""COMPUTED_VALUE"""),"PAID VIA GCASH 482790586 SEP 14")</f>
        <v>PAID VIA GCASH 482790586 SEP 14</v>
      </c>
      <c r="I510" s="1" t="str">
        <f>IFERROR(__xludf.DUMMYFUNCTION("""COMPUTED_VALUE"""),"WITH 1 AMSF")</f>
        <v>WITH 1 AMSF</v>
      </c>
      <c r="J510" s="1"/>
      <c r="K510" s="1" t="str">
        <f>IFERROR(__xludf.DUMMYFUNCTION("""COMPUTED_VALUE"""),"COMPLETED")</f>
        <v>COMPLETED</v>
      </c>
      <c r="L510" s="1" t="str">
        <f>IFERROR(__xludf.DUMMYFUNCTION("""COMPUTED_VALUE"""),"POSTED")</f>
        <v>POSTED</v>
      </c>
      <c r="M510" s="1" t="str">
        <f>IFERROR(__xludf.DUMMYFUNCTION("""COMPUTED_VALUE"""),"POSTED")</f>
        <v>POSTED</v>
      </c>
      <c r="N510" s="3">
        <f>IFERROR(__xludf.DUMMYFUNCTION("""COMPUTED_VALUE"""),46277)</f>
        <v>46277</v>
      </c>
      <c r="O510" s="1" t="str">
        <f>IFERROR(__xludf.DUMMYFUNCTION("""COMPUTED_VALUE"""),"FIBER UNLI ALL PLAN 1499")</f>
        <v>FIBER UNLI ALL PLAN 1499</v>
      </c>
      <c r="P510" s="1" t="str">
        <f>IFERROR(__xludf.DUMMYFUNCTION("""COMPUTED_VALUE"""),"LOWPLAN")</f>
        <v>LOWPLAN</v>
      </c>
      <c r="Q510" s="1" t="str">
        <f>IFERROR(__xludf.DUMMYFUNCTION("""COMPUTED_VALUE"""),"P407520")</f>
        <v>P407520</v>
      </c>
      <c r="R510" s="1" t="str">
        <f>IFERROR(__xludf.DUMMYFUNCTION("""COMPUTED_VALUE"""),"MALIWAT, MARK")</f>
        <v>MALIWAT, MARK</v>
      </c>
      <c r="S510" s="1" t="str">
        <f>IFERROR(__xludf.DUMMYFUNCTION("""COMPUTED_VALUE"""),"FLA")</f>
        <v>FLA</v>
      </c>
      <c r="T510" s="1" t="str">
        <f>IFERROR(__xludf.DUMMYFUNCTION("""COMPUTED_VALUE"""),"JERIC NAVARRO")</f>
        <v>JERIC NAVARRO</v>
      </c>
      <c r="U510" s="1" t="str">
        <f>IFERROR(__xludf.DUMMYFUNCTION("""COMPUTED_VALUE"""),"JB SALIOA")</f>
        <v>JB SALIOA</v>
      </c>
      <c r="V510" s="1" t="str">
        <f>IFERROR(__xludf.DUMMYFUNCTION("""COMPUTED_VALUE"""),"ONLINE/CRANFORD")</f>
        <v>ONLINE/CRANFORD</v>
      </c>
      <c r="W510" s="1" t="str">
        <f>IFERROR(__xludf.DUMMYFUNCTION("""COMPUTED_VALUE"""),"STK REGULAR")</f>
        <v>STK REGULAR</v>
      </c>
      <c r="X510" s="1" t="str">
        <f>IFERROR(__xludf.DUMMYFUNCTION("""COMPUTED_VALUE"""),"HBBS SEPT 2026")</f>
        <v>HBBS SEPT 2026</v>
      </c>
      <c r="Y510" s="1" t="str">
        <f>IFERROR(__xludf.DUMMYFUNCTION("""COMPUTED_VALUE"""),"RS_ONL_CVEU_2026")</f>
        <v>RS_ONL_CVEU_2026</v>
      </c>
      <c r="Z510" s="1" t="str">
        <f>IFERROR(__xludf.DUMMYFUNCTION("""COMPUTED_VALUE"""),"NEW CONNECT")</f>
        <v>NEW CONNECT</v>
      </c>
      <c r="AA510" s="1">
        <f>IFERROR(__xludf.DUMMYFUNCTION("""COMPUTED_VALUE"""),639542561061)</f>
        <v>639542561061</v>
      </c>
      <c r="AB510" s="1">
        <f>IFERROR(__xludf.DUMMYFUNCTION("""COMPUTED_VALUE"""),639928925535)</f>
        <v>639928925535</v>
      </c>
      <c r="AC510" s="1">
        <f>IFERROR(__xludf.DUMMYFUNCTION("""COMPUTED_VALUE"""),261)</f>
        <v>261</v>
      </c>
      <c r="AD510" s="1" t="str">
        <f>IFERROR(__xludf.DUMMYFUNCTION("""COMPUTED_VALUE"""),"BALUBAD")</f>
        <v>BALUBAD</v>
      </c>
      <c r="AE510" s="1"/>
      <c r="AF510" s="1" t="str">
        <f>IFERROR(__xludf.DUMMYFUNCTION("""COMPUTED_VALUE"""),"BGY MARAHAN 2")</f>
        <v>BGY MARAHAN 2</v>
      </c>
      <c r="AG510" s="1" t="str">
        <f>IFERROR(__xludf.DUMMYFUNCTION("""COMPUTED_VALUE"""),"ALFONSO")</f>
        <v>ALFONSO</v>
      </c>
      <c r="AH510" s="1" t="str">
        <f>IFERROR(__xludf.DUMMYFUNCTION("""COMPUTED_VALUE"""),"VARIAS COMPOUND")</f>
        <v>VARIAS COMPOUND</v>
      </c>
      <c r="AI510" s="1" t="str">
        <f>IFERROR(__xludf.DUMMYFUNCTION("""COMPUTED_VALUE"""),"CLUSTER 12")</f>
        <v>CLUSTER 12</v>
      </c>
    </row>
    <row r="511" customHeight="1" spans="1:35">
      <c r="A511" s="3">
        <f>IFERROR(__xludf.DUMMYFUNCTION("""COMPUTED_VALUE"""),46276)</f>
        <v>46276</v>
      </c>
      <c r="B511" s="1" t="str">
        <f>IFERROR(__xludf.DUMMYFUNCTION("""COMPUTED_VALUE"""),"MARY JOY ARTILLERO BORNASAL")</f>
        <v>MARY JOY ARTILLERO BORNASAL</v>
      </c>
      <c r="C511" s="1">
        <f>IFERROR(__xludf.DUMMYFUNCTION("""COMPUTED_VALUE"""),2312514047)</f>
        <v>2312514047</v>
      </c>
      <c r="D511" s="1">
        <f>IFERROR(__xludf.DUMMYFUNCTION("""COMPUTED_VALUE"""),407872746)</f>
        <v>407872746</v>
      </c>
      <c r="E511" s="1">
        <f>IFERROR(__xludf.DUMMYFUNCTION("""COMPUTED_VALUE"""),470954152004)</f>
        <v>470954152004</v>
      </c>
      <c r="F511" s="1" t="str">
        <f>IFERROR(__xludf.DUMMYFUNCTION("""COMPUTED_VALUE"""),"CLOSED")</f>
        <v>CLOSED</v>
      </c>
      <c r="G511" s="1" t="str">
        <f>IFERROR(__xludf.DUMMYFUNCTION("""COMPUTED_VALUE"""),"CLOSED")</f>
        <v>CLOSED</v>
      </c>
      <c r="H511" s="1" t="str">
        <f>IFERROR(__xludf.DUMMYFUNCTION("""COMPUTED_VALUE"""),"PAID VIA GCASH- SEPT 11 - REF- 073393042")</f>
        <v>PAID VIA GCASH- SEPT 11 - REF- 073393042</v>
      </c>
      <c r="I511" s="1" t="str">
        <f>IFERROR(__xludf.DUMMYFUNCTION("""COMPUTED_VALUE"""),"WITH 1 AMSF")</f>
        <v>WITH 1 AMSF</v>
      </c>
      <c r="J511" s="1"/>
      <c r="K511" s="1" t="str">
        <f>IFERROR(__xludf.DUMMYFUNCTION("""COMPUTED_VALUE"""),"COMPLETED")</f>
        <v>COMPLETED</v>
      </c>
      <c r="L511" s="1" t="str">
        <f>IFERROR(__xludf.DUMMYFUNCTION("""COMPUTED_VALUE"""),"POSTED")</f>
        <v>POSTED</v>
      </c>
      <c r="M511" s="1" t="str">
        <f>IFERROR(__xludf.DUMMYFUNCTION("""COMPUTED_VALUE"""),"POSTED")</f>
        <v>POSTED</v>
      </c>
      <c r="N511" s="3">
        <f>IFERROR(__xludf.DUMMYFUNCTION("""COMPUTED_VALUE"""),46276)</f>
        <v>46276</v>
      </c>
      <c r="O511" s="1" t="str">
        <f>IFERROR(__xludf.DUMMYFUNCTION("""COMPUTED_VALUE"""),"FIBER UNLI ALL PLAN 1499")</f>
        <v>FIBER UNLI ALL PLAN 1499</v>
      </c>
      <c r="P511" s="1" t="str">
        <f>IFERROR(__xludf.DUMMYFUNCTION("""COMPUTED_VALUE"""),"LOWPLAN")</f>
        <v>LOWPLAN</v>
      </c>
      <c r="Q511" s="1" t="str">
        <f>IFERROR(__xludf.DUMMYFUNCTION("""COMPUTED_VALUE"""),"P407517")</f>
        <v>P407517</v>
      </c>
      <c r="R511" s="1" t="str">
        <f>IFERROR(__xludf.DUMMYFUNCTION("""COMPUTED_VALUE"""),"GABAY, MANUEL")</f>
        <v>GABAY, MANUEL</v>
      </c>
      <c r="S511" s="1" t="str">
        <f>IFERROR(__xludf.DUMMYFUNCTION("""COMPUTED_VALUE"""),"FLA")</f>
        <v>FLA</v>
      </c>
      <c r="T511" s="1" t="str">
        <f>IFERROR(__xludf.DUMMYFUNCTION("""COMPUTED_VALUE"""),"JERIC NAVARRO")</f>
        <v>JERIC NAVARRO</v>
      </c>
      <c r="U511" s="1" t="str">
        <f>IFERROR(__xludf.DUMMYFUNCTION("""COMPUTED_VALUE"""),"JB SALIOA")</f>
        <v>JB SALIOA</v>
      </c>
      <c r="V511" s="1" t="str">
        <f>IFERROR(__xludf.DUMMYFUNCTION("""COMPUTED_VALUE"""),"BK HSTK")</f>
        <v>BK HSTK</v>
      </c>
      <c r="W511" s="1" t="str">
        <f>IFERROR(__xludf.DUMMYFUNCTION("""COMPUTED_VALUE"""),"BK HSTK")</f>
        <v>BK HSTK</v>
      </c>
      <c r="X511" s="1" t="str">
        <f>IFERROR(__xludf.DUMMYFUNCTION("""COMPUTED_VALUE"""),"HBBS SEPT 2026")</f>
        <v>HBBS SEPT 2026</v>
      </c>
      <c r="Y511" s="1" t="str">
        <f>IFERROR(__xludf.DUMMYFUNCTION("""COMPUTED_VALUE"""),"BK_CVEU_260819")</f>
        <v>BK_CVEU_260819</v>
      </c>
      <c r="Z511" s="1" t="str">
        <f>IFERROR(__xludf.DUMMYFUNCTION("""COMPUTED_VALUE"""),"NEW CONNECT")</f>
        <v>NEW CONNECT</v>
      </c>
      <c r="AA511" s="1">
        <f>IFERROR(__xludf.DUMMYFUNCTION("""COMPUTED_VALUE"""),639169565179)</f>
        <v>639169565179</v>
      </c>
      <c r="AB511" s="1">
        <f>IFERROR(__xludf.DUMMYFUNCTION("""COMPUTED_VALUE"""),639664478155)</f>
        <v>639664478155</v>
      </c>
      <c r="AC511" s="1"/>
      <c r="AD511" s="1" t="str">
        <f>IFERROR(__xludf.DUMMYFUNCTION("""COMPUTED_VALUE"""),"LIAMADO")</f>
        <v>LIAMADO</v>
      </c>
      <c r="AE511" s="1"/>
      <c r="AF511" s="1" t="str">
        <f>IFERROR(__xludf.DUMMYFUNCTION("""COMPUTED_VALUE"""),"BGY ASIS 1")</f>
        <v>BGY ASIS 1</v>
      </c>
      <c r="AG511" s="1" t="str">
        <f>IFERROR(__xludf.DUMMYFUNCTION("""COMPUTED_VALUE"""),"MENDEZ")</f>
        <v>MENDEZ</v>
      </c>
      <c r="AH511" s="1" t="str">
        <f>IFERROR(__xludf.DUMMYFUNCTION("""COMPUTED_VALUE"""),"-")</f>
        <v>-</v>
      </c>
      <c r="AI511" s="1" t="str">
        <f>IFERROR(__xludf.DUMMYFUNCTION("""COMPUTED_VALUE"""),"CLUSTER 12")</f>
        <v>CLUSTER 12</v>
      </c>
    </row>
    <row r="512" customHeight="1" spans="1:35">
      <c r="A512" s="3">
        <f>IFERROR(__xludf.DUMMYFUNCTION("""COMPUTED_VALUE"""),46276)</f>
        <v>46276</v>
      </c>
      <c r="B512" s="1" t="str">
        <f>IFERROR(__xludf.DUMMYFUNCTION("""COMPUTED_VALUE"""),"JESELYN DELA PENA CERNAL")</f>
        <v>JESELYN DELA PENA CERNAL</v>
      </c>
      <c r="C512" s="1">
        <f>IFERROR(__xludf.DUMMYFUNCTION("""COMPUTED_VALUE"""),2312514963)</f>
        <v>2312514963</v>
      </c>
      <c r="D512" s="1">
        <f>IFERROR(__xludf.DUMMYFUNCTION("""COMPUTED_VALUE"""),407881613)</f>
        <v>407881613</v>
      </c>
      <c r="E512" s="1">
        <f>IFERROR(__xludf.DUMMYFUNCTION("""COMPUTED_VALUE"""),470959178004)</f>
        <v>470959178004</v>
      </c>
      <c r="F512" s="1" t="str">
        <f>IFERROR(__xludf.DUMMYFUNCTION("""COMPUTED_VALUE"""),"CLOSED")</f>
        <v>CLOSED</v>
      </c>
      <c r="G512" s="1" t="str">
        <f>IFERROR(__xludf.DUMMYFUNCTION("""COMPUTED_VALUE"""),"CLOSED")</f>
        <v>CLOSED</v>
      </c>
      <c r="H512" s="1" t="str">
        <f>IFERROR(__xludf.DUMMYFUNCTION("""COMPUTED_VALUE"""),"PQGOR365471076	29-Sep-26	Regular Payment	CIS-GCASH 3.0	1,424.71	0	29-Sep-26")</f>
        <v>PQGOR365471076	29-Sep-26	Regular Payment	CIS-GCASH 3.0	1,424.71	0	29-Sep-26</v>
      </c>
      <c r="I512" s="1" t="str">
        <f>IFERROR(__xludf.DUMMYFUNCTION("""COMPUTED_VALUE"""),"WITH 1 AMSF")</f>
        <v>WITH 1 AMSF</v>
      </c>
      <c r="J512" s="1"/>
      <c r="K512" s="1" t="str">
        <f>IFERROR(__xludf.DUMMYFUNCTION("""COMPUTED_VALUE"""),"COMPLETED")</f>
        <v>COMPLETED</v>
      </c>
      <c r="L512" s="1" t="str">
        <f>IFERROR(__xludf.DUMMYFUNCTION("""COMPUTED_VALUE"""),"POSTED")</f>
        <v>POSTED</v>
      </c>
      <c r="M512" s="1" t="str">
        <f>IFERROR(__xludf.DUMMYFUNCTION("""COMPUTED_VALUE"""),"POSTED")</f>
        <v>POSTED</v>
      </c>
      <c r="N512" s="3">
        <f>IFERROR(__xludf.DUMMYFUNCTION("""COMPUTED_VALUE"""),46277)</f>
        <v>46277</v>
      </c>
      <c r="O512" s="1" t="str">
        <f>IFERROR(__xludf.DUMMYFUNCTION("""COMPUTED_VALUE"""),"FIBR PLAN 1299")</f>
        <v>FIBR PLAN 1299</v>
      </c>
      <c r="P512" s="1" t="str">
        <f>IFERROR(__xludf.DUMMYFUNCTION("""COMPUTED_VALUE"""),"LOWPLAN")</f>
        <v>LOWPLAN</v>
      </c>
      <c r="Q512" s="1" t="str">
        <f>IFERROR(__xludf.DUMMYFUNCTION("""COMPUTED_VALUE"""),"407048")</f>
        <v>407048</v>
      </c>
      <c r="R512" s="1" t="str">
        <f>IFERROR(__xludf.DUMMYFUNCTION("""COMPUTED_VALUE"""),"YOLANGCO, MARVIN")</f>
        <v>YOLANGCO, MARVIN</v>
      </c>
      <c r="S512" s="1" t="str">
        <f>IFERROR(__xludf.DUMMYFUNCTION("""COMPUTED_VALUE"""),"ORGANIC")</f>
        <v>ORGANIC</v>
      </c>
      <c r="T512" s="1" t="str">
        <f>IFERROR(__xludf.DUMMYFUNCTION("""COMPUTED_VALUE"""),"GARCIA MICHAEL JETTS")</f>
        <v>GARCIA MICHAEL JETTS</v>
      </c>
      <c r="U512" s="1" t="str">
        <f>IFERROR(__xludf.DUMMYFUNCTION("""COMPUTED_VALUE"""),"JB SALIOA")</f>
        <v>JB SALIOA</v>
      </c>
      <c r="V512" s="1" t="str">
        <f>IFERROR(__xludf.DUMMYFUNCTION("""COMPUTED_VALUE"""),"ONLINE/CRANFORD")</f>
        <v>ONLINE/CRANFORD</v>
      </c>
      <c r="W512" s="1" t="str">
        <f>IFERROR(__xludf.DUMMYFUNCTION("""COMPUTED_VALUE"""),"STK REGULAR")</f>
        <v>STK REGULAR</v>
      </c>
      <c r="X512" s="1" t="str">
        <f>IFERROR(__xludf.DUMMYFUNCTION("""COMPUTED_VALUE"""),"HBBS SEPT 2026")</f>
        <v>HBBS SEPT 2026</v>
      </c>
      <c r="Y512" s="1" t="str">
        <f>IFERROR(__xludf.DUMMYFUNCTION("""COMPUTED_VALUE"""),"RS_ONL_CVEU_2026")</f>
        <v>RS_ONL_CVEU_2026</v>
      </c>
      <c r="Z512" s="1" t="str">
        <f>IFERROR(__xludf.DUMMYFUNCTION("""COMPUTED_VALUE"""),"NEW CONNECT")</f>
        <v>NEW CONNECT</v>
      </c>
      <c r="AA512" s="1">
        <f>IFERROR(__xludf.DUMMYFUNCTION("""COMPUTED_VALUE"""),639304122663)</f>
        <v>639304122663</v>
      </c>
      <c r="AB512" s="1"/>
      <c r="AC512" s="1"/>
      <c r="AD512" s="1" t="str">
        <f>IFERROR(__xludf.DUMMYFUNCTION("""COMPUTED_VALUE"""),"PHASE 3")</f>
        <v>PHASE 3</v>
      </c>
      <c r="AE512" s="1" t="str">
        <f>IFERROR(__xludf.DUMMYFUNCTION("""COMPUTED_VALUE"""),"PARKLANE")</f>
        <v>PARKLANE</v>
      </c>
      <c r="AF512" s="1" t="str">
        <f>IFERROR(__xludf.DUMMYFUNCTION("""COMPUTED_VALUE"""),"BGY SAN FRANCISCO")</f>
        <v>BGY SAN FRANCISCO</v>
      </c>
      <c r="AG512" s="1" t="str">
        <f>IFERROR(__xludf.DUMMYFUNCTION("""COMPUTED_VALUE"""),"GENERAL TRIAS")</f>
        <v>GENERAL TRIAS</v>
      </c>
      <c r="AH512" s="1" t="str">
        <f>IFERROR(__xludf.DUMMYFUNCTION("""COMPUTED_VALUE"""),"PHASE 3 COURT")</f>
        <v>PHASE 3 COURT</v>
      </c>
      <c r="AI512" s="1" t="str">
        <f>IFERROR(__xludf.DUMMYFUNCTION("""COMPUTED_VALUE"""),"NOT AOR")</f>
        <v>NOT AOR</v>
      </c>
    </row>
    <row r="513" customHeight="1" spans="1:35">
      <c r="A513" s="3">
        <f>IFERROR(__xludf.DUMMYFUNCTION("""COMPUTED_VALUE"""),46276)</f>
        <v>46276</v>
      </c>
      <c r="B513" s="1" t="str">
        <f>IFERROR(__xludf.DUMMYFUNCTION("""COMPUTED_VALUE"""),"MA. JINKY MAQUILADO SARAGA")</f>
        <v>MA. JINKY MAQUILADO SARAGA</v>
      </c>
      <c r="C513" s="1">
        <f>IFERROR(__xludf.DUMMYFUNCTION("""COMPUTED_VALUE"""),2312515893)</f>
        <v>2312515893</v>
      </c>
      <c r="D513" s="1"/>
      <c r="E513" s="1"/>
      <c r="F513" s="1" t="str">
        <f>IFERROR(__xludf.DUMMYFUNCTION("""COMPUTED_VALUE"""),"CANCELLED")</f>
        <v>CANCELLED</v>
      </c>
      <c r="G513" s="1" t="str">
        <f>IFERROR(__xludf.DUMMYFUNCTION("""COMPUTED_VALUE"""),"(CANCELLED) NO FACILITIES")</f>
        <v>(CANCELLED) NO FACILITIES</v>
      </c>
      <c r="H513" s="1"/>
      <c r="I513" s="1"/>
      <c r="J513" s="1"/>
      <c r="K513" s="1"/>
      <c r="L513" s="1" t="str">
        <f>IFERROR(__xludf.DUMMYFUNCTION("""COMPUTED_VALUE"""),"CANCELLED - NO FTTH")</f>
        <v>CANCELLED - NO FTTH</v>
      </c>
      <c r="M513" s="1" t="str">
        <f>IFERROR(__xludf.DUMMYFUNCTION("""COMPUTED_VALUE"""),"CANCELLED - NO CAFAC")</f>
        <v>CANCELLED - NO CAFAC</v>
      </c>
      <c r="N513" s="3"/>
      <c r="O513" s="1" t="str">
        <f>IFERROR(__xludf.DUMMYFUNCTION("""COMPUTED_VALUE"""),"FIBR PLAN 1299")</f>
        <v>FIBR PLAN 1299</v>
      </c>
      <c r="P513" s="1" t="str">
        <f>IFERROR(__xludf.DUMMYFUNCTION("""COMPUTED_VALUE"""),"LOWPLAN")</f>
        <v>LOWPLAN</v>
      </c>
      <c r="Q513" s="1" t="str">
        <f>IFERROR(__xludf.DUMMYFUNCTION("""COMPUTED_VALUE"""),"P407048")</f>
        <v>P407048</v>
      </c>
      <c r="R513" s="1" t="str">
        <f>IFERROR(__xludf.DUMMYFUNCTION("""COMPUTED_VALUE"""),"MORADOS, MARVIN")</f>
        <v>MORADOS, MARVIN</v>
      </c>
      <c r="S513" s="1" t="str">
        <f>IFERROR(__xludf.DUMMYFUNCTION("""COMPUTED_VALUE"""),"ORGANIC")</f>
        <v>ORGANIC</v>
      </c>
      <c r="T513" s="1" t="str">
        <f>IFERROR(__xludf.DUMMYFUNCTION("""COMPUTED_VALUE"""),"GARCIA MICHAEL JETTS")</f>
        <v>GARCIA MICHAEL JETTS</v>
      </c>
      <c r="U513" s="1" t="str">
        <f>IFERROR(__xludf.DUMMYFUNCTION("""COMPUTED_VALUE"""),"JB SALIOA")</f>
        <v>JB SALIOA</v>
      </c>
      <c r="V513" s="1" t="str">
        <f>IFERROR(__xludf.DUMMYFUNCTION("""COMPUTED_VALUE"""),"ONLINE/CRANFORD")</f>
        <v>ONLINE/CRANFORD</v>
      </c>
      <c r="W513" s="1" t="str">
        <f>IFERROR(__xludf.DUMMYFUNCTION("""COMPUTED_VALUE"""),"STK REGULAR")</f>
        <v>STK REGULAR</v>
      </c>
      <c r="X513" s="1" t="str">
        <f>IFERROR(__xludf.DUMMYFUNCTION("""COMPUTED_VALUE"""),"HBBS SEPT 2026")</f>
        <v>HBBS SEPT 2026</v>
      </c>
      <c r="Y513" s="1" t="str">
        <f>IFERROR(__xludf.DUMMYFUNCTION("""COMPUTED_VALUE"""),"RS_ONL_CVEU_2026")</f>
        <v>RS_ONL_CVEU_2026</v>
      </c>
      <c r="Z513" s="1" t="str">
        <f>IFERROR(__xludf.DUMMYFUNCTION("""COMPUTED_VALUE"""),"NEW CONNECT")</f>
        <v>NEW CONNECT</v>
      </c>
      <c r="AA513" s="1">
        <f>IFERROR(__xludf.DUMMYFUNCTION("""COMPUTED_VALUE"""),639637201299)</f>
        <v>639637201299</v>
      </c>
      <c r="AB513" s="1"/>
      <c r="AC513" s="1"/>
      <c r="AD513" s="1" t="str">
        <f>IFERROR(__xludf.DUMMYFUNCTION("""COMPUTED_VALUE"""),"PHASE 2")</f>
        <v>PHASE 2</v>
      </c>
      <c r="AE513" s="1" t="str">
        <f>IFERROR(__xludf.DUMMYFUNCTION("""COMPUTED_VALUE"""),"GOLDEN HORIZON")</f>
        <v>GOLDEN HORIZON</v>
      </c>
      <c r="AF513" s="1" t="str">
        <f>IFERROR(__xludf.DUMMYFUNCTION("""COMPUTED_VALUE"""),"BGY HUGO PEREZ")</f>
        <v>BGY HUGO PEREZ</v>
      </c>
      <c r="AG513" s="1" t="str">
        <f>IFERROR(__xludf.DUMMYFUNCTION("""COMPUTED_VALUE"""),"TRECE MARTIREZ CITY")</f>
        <v>TRECE MARTIREZ CITY</v>
      </c>
      <c r="AH513" s="1" t="str">
        <f>IFERROR(__xludf.DUMMYFUNCTION("""COMPUTED_VALUE"""),"NEAR IN PALAWAN PAWNSHOP")</f>
        <v>NEAR IN PALAWAN PAWNSHOP</v>
      </c>
      <c r="AI513" s="1" t="str">
        <f>IFERROR(__xludf.DUMMYFUNCTION("""COMPUTED_VALUE"""),"NOT AOR")</f>
        <v>NOT AOR</v>
      </c>
    </row>
    <row r="514" customHeight="1" spans="1:35">
      <c r="A514" s="3">
        <f>IFERROR(__xludf.DUMMYFUNCTION("""COMPUTED_VALUE"""),46276)</f>
        <v>46276</v>
      </c>
      <c r="B514" s="1" t="str">
        <f>IFERROR(__xludf.DUMMYFUNCTION("""COMPUTED_VALUE"""),"ISIDRO JR CARAAN TOMLOD")</f>
        <v>ISIDRO JR CARAAN TOMLOD</v>
      </c>
      <c r="C514" s="1">
        <f>IFERROR(__xludf.DUMMYFUNCTION("""COMPUTED_VALUE"""),2312516927)</f>
        <v>2312516927</v>
      </c>
      <c r="D514" s="1">
        <f>IFERROR(__xludf.DUMMYFUNCTION("""COMPUTED_VALUE"""),407879821)</f>
        <v>407879821</v>
      </c>
      <c r="E514" s="1">
        <f>IFERROR(__xludf.DUMMYFUNCTION("""COMPUTED_VALUE"""),470957619004)</f>
        <v>470957619004</v>
      </c>
      <c r="F514" s="1" t="str">
        <f>IFERROR(__xludf.DUMMYFUNCTION("""COMPUTED_VALUE"""),"CANCELLED")</f>
        <v>CANCELLED</v>
      </c>
      <c r="G514" s="1" t="str">
        <f>IFERROR(__xludf.DUMMYFUNCTION("""COMPUTED_VALUE"""),"""VIA CALLTHRU 
REMARKS: SUBS REQUEST FOR CANCEL APPLICATION NA LANG PO WALA NAMAN DAW PO SILA INTEREST NA MAG APPLY SABI NG ASAWA NIYA 
AS PER SUBS 
鈥嶵ALK: ASAWA NI SUBS 
鈥嶤BR: 09641847496 
""")</f>
        <v>"VIA CALLTHRU 
REMARKS: SUBS REQUEST FOR CANCEL APPLICATION NA LANG PO WALA NAMAN DAW PO SILA INTEREST NA MAG APPLY SABI NG ASAWA NIYA 
AS PER SUBS 
鈥嶵ALK: ASAWA NI SUBS 
鈥嶤BR: 09641847496 
"</v>
      </c>
      <c r="H514" s="1"/>
      <c r="I514" s="1"/>
      <c r="J514" s="1"/>
      <c r="K514" s="1" t="str">
        <f>IFERROR(__xludf.DUMMYFUNCTION("""COMPUTED_VALUE"""),"CANCELED")</f>
        <v>CANCELED</v>
      </c>
      <c r="L514" s="1" t="str">
        <f>IFERROR(__xludf.DUMMYFUNCTION("""COMPUTED_VALUE"""),"RPR - SUBS CANCEL REQUEST")</f>
        <v>RPR - SUBS CANCEL REQUEST</v>
      </c>
      <c r="M514" s="1" t="str">
        <f>IFERROR(__xludf.DUMMYFUNCTION("""COMPUTED_VALUE"""),"RPR- SUBS CANCEL REQUEST")</f>
        <v>RPR- SUBS CANCEL REQUEST</v>
      </c>
      <c r="N514" s="3"/>
      <c r="O514" s="1" t="str">
        <f>IFERROR(__xludf.DUMMYFUNCTION("""COMPUTED_VALUE"""),"FIBR UNLI ALL PLAN 999")</f>
        <v>FIBR UNLI ALL PLAN 999</v>
      </c>
      <c r="P514" s="1" t="str">
        <f>IFERROR(__xludf.DUMMYFUNCTION("""COMPUTED_VALUE"""),"LOWPLAN")</f>
        <v>LOWPLAN</v>
      </c>
      <c r="Q514" s="1" t="str">
        <f>IFERROR(__xludf.DUMMYFUNCTION("""COMPUTED_VALUE"""),"P407050")</f>
        <v>P407050</v>
      </c>
      <c r="R514" s="1" t="str">
        <f>IFERROR(__xludf.DUMMYFUNCTION("""COMPUTED_VALUE"""),"MAGDARAOG, KENNETH")</f>
        <v>MAGDARAOG, KENNETH</v>
      </c>
      <c r="S514" s="1" t="str">
        <f>IFERROR(__xludf.DUMMYFUNCTION("""COMPUTED_VALUE"""),"ORGANIC")</f>
        <v>ORGANIC</v>
      </c>
      <c r="T514" s="1" t="str">
        <f>IFERROR(__xludf.DUMMYFUNCTION("""COMPUTED_VALUE"""),"LEA REMOLLO")</f>
        <v>LEA REMOLLO</v>
      </c>
      <c r="U514" s="1" t="str">
        <f>IFERROR(__xludf.DUMMYFUNCTION("""COMPUTED_VALUE"""),"JB SALIOA")</f>
        <v>JB SALIOA</v>
      </c>
      <c r="V514" s="1" t="str">
        <f>IFERROR(__xludf.DUMMYFUNCTION("""COMPUTED_VALUE"""),"BK REGULAR")</f>
        <v>BK REGULAR</v>
      </c>
      <c r="W514" s="1" t="str">
        <f>IFERROR(__xludf.DUMMYFUNCTION("""COMPUTED_VALUE"""),"STK REGULAR")</f>
        <v>STK REGULAR</v>
      </c>
      <c r="X514" s="1" t="str">
        <f>IFERROR(__xludf.DUMMYFUNCTION("""COMPUTED_VALUE"""),"REGULAR")</f>
        <v>REGULAR</v>
      </c>
      <c r="Y514" s="1" t="str">
        <f>IFERROR(__xludf.DUMMYFUNCTION("""COMPUTED_VALUE"""),"BK_CVEU_260821")</f>
        <v>BK_CVEU_260821</v>
      </c>
      <c r="Z514" s="1" t="str">
        <f>IFERROR(__xludf.DUMMYFUNCTION("""COMPUTED_VALUE"""),"NEW CONNECT")</f>
        <v>NEW CONNECT</v>
      </c>
      <c r="AA514" s="1">
        <f>IFERROR(__xludf.DUMMYFUNCTION("""COMPUTED_VALUE"""),639641847496)</f>
        <v>639641847496</v>
      </c>
      <c r="AB514" s="1"/>
      <c r="AC514" s="1">
        <f>IFERROR(__xludf.DUMMYFUNCTION("""COMPUTED_VALUE"""),65)</f>
        <v>65</v>
      </c>
      <c r="AD514" s="1" t="str">
        <f>IFERROR(__xludf.DUMMYFUNCTION("""COMPUTED_VALUE"""),"PUROK 48")</f>
        <v>PUROK 48</v>
      </c>
      <c r="AE514" s="1"/>
      <c r="AF514" s="1" t="str">
        <f>IFERROR(__xludf.DUMMYFUNCTION("""COMPUTED_VALUE"""),"BGY IRUHIN WEST")</f>
        <v>BGY IRUHIN WEST</v>
      </c>
      <c r="AG514" s="1" t="str">
        <f>IFERROR(__xludf.DUMMYFUNCTION("""COMPUTED_VALUE"""),"TAGAYTAY")</f>
        <v>TAGAYTAY</v>
      </c>
      <c r="AH514" s="1" t="str">
        <f>IFERROR(__xludf.DUMMYFUNCTION("""COMPUTED_VALUE"""),"-")</f>
        <v>-</v>
      </c>
      <c r="AI514" s="1" t="str">
        <f>IFERROR(__xludf.DUMMYFUNCTION("""COMPUTED_VALUE"""),"CLUSTER 12")</f>
        <v>CLUSTER 12</v>
      </c>
    </row>
    <row r="515" customHeight="1" spans="1:35">
      <c r="A515" s="3">
        <f>IFERROR(__xludf.DUMMYFUNCTION("""COMPUTED_VALUE"""),46276)</f>
        <v>46276</v>
      </c>
      <c r="B515" s="1" t="str">
        <f>IFERROR(__xludf.DUMMYFUNCTION("""COMPUTED_VALUE"""),"JOHN CEDRICK MARTINEZ DE GUIA")</f>
        <v>JOHN CEDRICK MARTINEZ DE GUIA</v>
      </c>
      <c r="C515" s="1">
        <f>IFERROR(__xludf.DUMMYFUNCTION("""COMPUTED_VALUE"""),2312517687)</f>
        <v>2312517687</v>
      </c>
      <c r="D515" s="1">
        <f>IFERROR(__xludf.DUMMYFUNCTION("""COMPUTED_VALUE"""),407886372)</f>
        <v>407886372</v>
      </c>
      <c r="E515" s="1">
        <f>IFERROR(__xludf.DUMMYFUNCTION("""COMPUTED_VALUE"""),470963386004)</f>
        <v>470963386004</v>
      </c>
      <c r="F515" s="1" t="str">
        <f>IFERROR(__xludf.DUMMYFUNCTION("""COMPUTED_VALUE"""),"CLOSED")</f>
        <v>CLOSED</v>
      </c>
      <c r="G515" s="1" t="str">
        <f>IFERROR(__xludf.DUMMYFUNCTION("""COMPUTED_VALUE"""),"CLOSED")</f>
        <v>CLOSED</v>
      </c>
      <c r="H515" s="1" t="str">
        <f>IFERROR(__xludf.DUMMYFUNCTION("""COMPUTED_VALUE"""),"PAID VIA GCASH - GCASH - OCT 14 - REF- Ref: 873638912
")</f>
        <v>PAID VIA GCASH - GCASH - OCT 14 - REF- Ref: 873638912
</v>
      </c>
      <c r="I515" s="1" t="str">
        <f>IFERROR(__xludf.DUMMYFUNCTION("""COMPUTED_VALUE"""),"WITH 1 AMSF")</f>
        <v>WITH 1 AMSF</v>
      </c>
      <c r="J515" s="1"/>
      <c r="K515" s="1" t="str">
        <f>IFERROR(__xludf.DUMMYFUNCTION("""COMPUTED_VALUE"""),"COMPLETED")</f>
        <v>COMPLETED</v>
      </c>
      <c r="L515" s="1" t="str">
        <f>IFERROR(__xludf.DUMMYFUNCTION("""COMPUTED_VALUE"""),"POSTED")</f>
        <v>POSTED</v>
      </c>
      <c r="M515" s="1" t="str">
        <f>IFERROR(__xludf.DUMMYFUNCTION("""COMPUTED_VALUE"""),"POSTED")</f>
        <v>POSTED</v>
      </c>
      <c r="N515" s="3">
        <f>IFERROR(__xludf.DUMMYFUNCTION("""COMPUTED_VALUE"""),46280)</f>
        <v>46280</v>
      </c>
      <c r="O515" s="1" t="str">
        <f>IFERROR(__xludf.DUMMYFUNCTION("""COMPUTED_VALUE"""),"FIBR NETFLIX PLAN 1599")</f>
        <v>FIBR NETFLIX PLAN 1599</v>
      </c>
      <c r="P515" s="1" t="str">
        <f>IFERROR(__xludf.DUMMYFUNCTION("""COMPUTED_VALUE"""),"LOWPLAN")</f>
        <v>LOWPLAN</v>
      </c>
      <c r="Q515" s="1" t="str">
        <f>IFERROR(__xludf.DUMMYFUNCTION("""COMPUTED_VALUE"""),"P407518")</f>
        <v>P407518</v>
      </c>
      <c r="R515" s="1" t="str">
        <f>IFERROR(__xludf.DUMMYFUNCTION("""COMPUTED_VALUE"""),"CARPIO, STEPHANIE")</f>
        <v>CARPIO, STEPHANIE</v>
      </c>
      <c r="S515" s="1" t="str">
        <f>IFERROR(__xludf.DUMMYFUNCTION("""COMPUTED_VALUE"""),"FLA")</f>
        <v>FLA</v>
      </c>
      <c r="T515" s="1" t="str">
        <f>IFERROR(__xludf.DUMMYFUNCTION("""COMPUTED_VALUE"""),"JERIC NAVARRO")</f>
        <v>JERIC NAVARRO</v>
      </c>
      <c r="U515" s="1" t="str">
        <f>IFERROR(__xludf.DUMMYFUNCTION("""COMPUTED_VALUE"""),"JB SALIOA")</f>
        <v>JB SALIOA</v>
      </c>
      <c r="V515" s="1" t="str">
        <f>IFERROR(__xludf.DUMMYFUNCTION("""COMPUTED_VALUE"""),"ONLINE/CRANFORD")</f>
        <v>ONLINE/CRANFORD</v>
      </c>
      <c r="W515" s="1" t="str">
        <f>IFERROR(__xludf.DUMMYFUNCTION("""COMPUTED_VALUE"""),"STK REGULAR")</f>
        <v>STK REGULAR</v>
      </c>
      <c r="X515" s="1" t="str">
        <f>IFERROR(__xludf.DUMMYFUNCTION("""COMPUTED_VALUE"""),"HBBS SEPT 2026")</f>
        <v>HBBS SEPT 2026</v>
      </c>
      <c r="Y515" s="1" t="str">
        <f>IFERROR(__xludf.DUMMYFUNCTION("""COMPUTED_VALUE"""),"RS_SS_CVEU_2026")</f>
        <v>RS_SS_CVEU_2026</v>
      </c>
      <c r="Z515" s="1" t="str">
        <f>IFERROR(__xludf.DUMMYFUNCTION("""COMPUTED_VALUE"""),"NEW CONNECT")</f>
        <v>NEW CONNECT</v>
      </c>
      <c r="AA515" s="1">
        <f>IFERROR(__xludf.DUMMYFUNCTION("""COMPUTED_VALUE"""),639066780730)</f>
        <v>639066780730</v>
      </c>
      <c r="AB515" s="1"/>
      <c r="AC515" s="1"/>
      <c r="AD515" s="1" t="str">
        <f>IFERROR(__xludf.DUMMYFUNCTION("""COMPUTED_VALUE"""),"ORCHARD")</f>
        <v>ORCHARD</v>
      </c>
      <c r="AE515" s="1" t="str">
        <f>IFERROR(__xludf.DUMMYFUNCTION("""COMPUTED_VALUE"""),"ORCHARD PHASE 1")</f>
        <v>ORCHARD PHASE 1</v>
      </c>
      <c r="AF515" s="1" t="str">
        <f>IFERROR(__xludf.DUMMYFUNCTION("""COMPUTED_VALUE"""),"BGY SALITRAN 3")</f>
        <v>BGY SALITRAN 3</v>
      </c>
      <c r="AG515" s="1" t="str">
        <f>IFERROR(__xludf.DUMMYFUNCTION("""COMPUTED_VALUE"""),"DASMARINAS")</f>
        <v>DASMARINAS</v>
      </c>
      <c r="AH515" s="1" t="str">
        <f>IFERROR(__xludf.DUMMYFUNCTION("""COMPUTED_VALUE"""),"NEAR ORCHARD DASMARINAS")</f>
        <v>NEAR ORCHARD DASMARINAS</v>
      </c>
      <c r="AI515" s="1" t="str">
        <f>IFERROR(__xludf.DUMMYFUNCTION("""COMPUTED_VALUE"""),"NOT AOR")</f>
        <v>NOT AOR</v>
      </c>
    </row>
    <row r="516" customHeight="1" spans="1:35">
      <c r="A516" s="3">
        <f>IFERROR(__xludf.DUMMYFUNCTION("""COMPUTED_VALUE"""),46276)</f>
        <v>46276</v>
      </c>
      <c r="B516" s="1" t="str">
        <f>IFERROR(__xludf.DUMMYFUNCTION("""COMPUTED_VALUE"""),"MELVIN DESUNIA ACOSTA")</f>
        <v>MELVIN DESUNIA ACOSTA</v>
      </c>
      <c r="C516" s="1">
        <f>IFERROR(__xludf.DUMMYFUNCTION("""COMPUTED_VALUE"""),2312517973)</f>
        <v>2312517973</v>
      </c>
      <c r="D516" s="1">
        <f>IFERROR(__xludf.DUMMYFUNCTION("""COMPUTED_VALUE"""),407885694)</f>
        <v>407885694</v>
      </c>
      <c r="E516" s="1">
        <f>IFERROR(__xludf.DUMMYFUNCTION("""COMPUTED_VALUE"""),470962835004)</f>
        <v>470962835004</v>
      </c>
      <c r="F516" s="1" t="str">
        <f>IFERROR(__xludf.DUMMYFUNCTION("""COMPUTED_VALUE"""),"CLOSED")</f>
        <v>CLOSED</v>
      </c>
      <c r="G516" s="1" t="str">
        <f>IFERROR(__xludf.DUMMYFUNCTION("""COMPUTED_VALUE"""),"CLOSED")</f>
        <v>CLOSED</v>
      </c>
      <c r="H516" s="1" t="str">
        <f>IFERROR(__xludf.DUMMYFUNCTION("""COMPUTED_VALUE"""),"PQGOR366278449	05-Oct-26	Regular Payment	CIS-GCASH 3.0	1,341.00	0	05-Oct-26")</f>
        <v>PQGOR366278449	05-Oct-26	Regular Payment	CIS-GCASH 3.0	1,341.00	0	05-Oct-26</v>
      </c>
      <c r="I516" s="1" t="str">
        <f>IFERROR(__xludf.DUMMYFUNCTION("""COMPUTED_VALUE"""),"WITH 1 AMSF")</f>
        <v>WITH 1 AMSF</v>
      </c>
      <c r="J516" s="1"/>
      <c r="K516" s="1" t="str">
        <f>IFERROR(__xludf.DUMMYFUNCTION("""COMPUTED_VALUE"""),"COMPLETED")</f>
        <v>COMPLETED</v>
      </c>
      <c r="L516" s="1" t="str">
        <f>IFERROR(__xludf.DUMMYFUNCTION("""COMPUTED_VALUE"""),"POSTED")</f>
        <v>POSTED</v>
      </c>
      <c r="M516" s="1" t="str">
        <f>IFERROR(__xludf.DUMMYFUNCTION("""COMPUTED_VALUE"""),"POSTED")</f>
        <v>POSTED</v>
      </c>
      <c r="N516" s="3">
        <f>IFERROR(__xludf.DUMMYFUNCTION("""COMPUTED_VALUE"""),46279)</f>
        <v>46279</v>
      </c>
      <c r="O516" s="1" t="str">
        <f>IFERROR(__xludf.DUMMYFUNCTION("""COMPUTED_VALUE"""),"FIBR PLAN 1299")</f>
        <v>FIBR PLAN 1299</v>
      </c>
      <c r="P516" s="1" t="str">
        <f>IFERROR(__xludf.DUMMYFUNCTION("""COMPUTED_VALUE"""),"LOWPLAN")</f>
        <v>LOWPLAN</v>
      </c>
      <c r="Q516" s="1" t="str">
        <f>IFERROR(__xludf.DUMMYFUNCTION("""COMPUTED_VALUE"""),"P407561")</f>
        <v>P407561</v>
      </c>
      <c r="R516" s="1" t="str">
        <f>IFERROR(__xludf.DUMMYFUNCTION("""COMPUTED_VALUE"""),"TAMAYO, MARY ROSE ZAIRA")</f>
        <v>TAMAYO, MARY ROSE ZAIRA</v>
      </c>
      <c r="S516" s="1" t="str">
        <f>IFERROR(__xludf.DUMMYFUNCTION("""COMPUTED_VALUE"""),"ORGANIC")</f>
        <v>ORGANIC</v>
      </c>
      <c r="T516" s="1" t="str">
        <f>IFERROR(__xludf.DUMMYFUNCTION("""COMPUTED_VALUE"""),"LEA REMOLLO")</f>
        <v>LEA REMOLLO</v>
      </c>
      <c r="U516" s="1" t="str">
        <f>IFERROR(__xludf.DUMMYFUNCTION("""COMPUTED_VALUE"""),"JB SALIOA")</f>
        <v>JB SALIOA</v>
      </c>
      <c r="V516" s="1" t="str">
        <f>IFERROR(__xludf.DUMMYFUNCTION("""COMPUTED_VALUE"""),"BK HSTK")</f>
        <v>BK HSTK</v>
      </c>
      <c r="W516" s="1" t="str">
        <f>IFERROR(__xludf.DUMMYFUNCTION("""COMPUTED_VALUE"""),"BK HSTK")</f>
        <v>BK HSTK</v>
      </c>
      <c r="X516" s="1" t="str">
        <f>IFERROR(__xludf.DUMMYFUNCTION("""COMPUTED_VALUE"""),"HBBS SEPT 2026")</f>
        <v>HBBS SEPT 2026</v>
      </c>
      <c r="Y516" s="1" t="str">
        <f>IFERROR(__xludf.DUMMYFUNCTION("""COMPUTED_VALUE"""),"BK_CVEU_260820")</f>
        <v>BK_CVEU_260820</v>
      </c>
      <c r="Z516" s="1" t="str">
        <f>IFERROR(__xludf.DUMMYFUNCTION("""COMPUTED_VALUE"""),"NEW CONNECT")</f>
        <v>NEW CONNECT</v>
      </c>
      <c r="AA516" s="1">
        <f>IFERROR(__xludf.DUMMYFUNCTION("""COMPUTED_VALUE"""),639451354142)</f>
        <v>639451354142</v>
      </c>
      <c r="AB516" s="1"/>
      <c r="AC516" s="1">
        <f>IFERROR(__xludf.DUMMYFUNCTION("""COMPUTED_VALUE"""),543)</f>
        <v>543</v>
      </c>
      <c r="AD516" s="1" t="str">
        <f>IFERROR(__xludf.DUMMYFUNCTION("""COMPUTED_VALUE"""),"LALAAN 1")</f>
        <v>LALAAN 1</v>
      </c>
      <c r="AE516" s="1"/>
      <c r="AF516" s="1" t="str">
        <f>IFERROR(__xludf.DUMMYFUNCTION("""COMPUTED_VALUE"""),"BGY LALAAN 1")</f>
        <v>BGY LALAAN 1</v>
      </c>
      <c r="AG516" s="1" t="str">
        <f>IFERROR(__xludf.DUMMYFUNCTION("""COMPUTED_VALUE"""),"SILANG")</f>
        <v>SILANG</v>
      </c>
      <c r="AH516" s="1" t="str">
        <f>IFERROR(__xludf.DUMMYFUNCTION("""COMPUTED_VALUE"""),"HYUNDAI")</f>
        <v>HYUNDAI</v>
      </c>
      <c r="AI516" s="1" t="str">
        <f>IFERROR(__xludf.DUMMYFUNCTION("""COMPUTED_VALUE"""),"CLUSTER 11")</f>
        <v>CLUSTER 11</v>
      </c>
    </row>
    <row r="517" customHeight="1" spans="1:35">
      <c r="A517" s="3">
        <f>IFERROR(__xludf.DUMMYFUNCTION("""COMPUTED_VALUE"""),46276)</f>
        <v>46276</v>
      </c>
      <c r="B517" s="1" t="str">
        <f>IFERROR(__xludf.DUMMYFUNCTION("""COMPUTED_VALUE"""),"DANILO ANTONIO BENGCO")</f>
        <v>DANILO ANTONIO BENGCO</v>
      </c>
      <c r="C517" s="1">
        <f>IFERROR(__xludf.DUMMYFUNCTION("""COMPUTED_VALUE"""),2312518635)</f>
        <v>2312518635</v>
      </c>
      <c r="D517" s="1">
        <f>IFERROR(__xludf.DUMMYFUNCTION("""COMPUTED_VALUE"""),407887042)</f>
        <v>407887042</v>
      </c>
      <c r="E517" s="1">
        <f>IFERROR(__xludf.DUMMYFUNCTION("""COMPUTED_VALUE"""),470963930004)</f>
        <v>470963930004</v>
      </c>
      <c r="F517" s="1" t="str">
        <f>IFERROR(__xludf.DUMMYFUNCTION("""COMPUTED_VALUE"""),"CLOSED")</f>
        <v>CLOSED</v>
      </c>
      <c r="G517" s="1" t="str">
        <f>IFERROR(__xludf.DUMMYFUNCTION("""COMPUTED_VALUE"""),"CLOSED")</f>
        <v>CLOSED</v>
      </c>
      <c r="H517" s="1" t="str">
        <f>IFERROR(__xludf.DUMMYFUNCTION("""COMPUTED_VALUE"""),"PAID THRU GCASH 774994311 SEP 13")</f>
        <v>PAID THRU GCASH 774994311 SEP 13</v>
      </c>
      <c r="I517" s="1" t="str">
        <f>IFERROR(__xludf.DUMMYFUNCTION("""COMPUTED_VALUE"""),"WITH 1 AMSF")</f>
        <v>WITH 1 AMSF</v>
      </c>
      <c r="J517" s="1"/>
      <c r="K517" s="1" t="str">
        <f>IFERROR(__xludf.DUMMYFUNCTION("""COMPUTED_VALUE"""),"COMPLETED")</f>
        <v>COMPLETED</v>
      </c>
      <c r="L517" s="1" t="str">
        <f>IFERROR(__xludf.DUMMYFUNCTION("""COMPUTED_VALUE"""),"POSTED")</f>
        <v>POSTED</v>
      </c>
      <c r="M517" s="1" t="str">
        <f>IFERROR(__xludf.DUMMYFUNCTION("""COMPUTED_VALUE"""),"POSTED")</f>
        <v>POSTED</v>
      </c>
      <c r="N517" s="3">
        <f>IFERROR(__xludf.DUMMYFUNCTION("""COMPUTED_VALUE"""),46277)</f>
        <v>46277</v>
      </c>
      <c r="O517" s="1" t="str">
        <f>IFERROR(__xludf.DUMMYFUNCTION("""COMPUTED_VALUE"""),"FIBR PLAN 1299")</f>
        <v>FIBR PLAN 1299</v>
      </c>
      <c r="P517" s="1" t="str">
        <f>IFERROR(__xludf.DUMMYFUNCTION("""COMPUTED_VALUE"""),"LOWPLAN")</f>
        <v>LOWPLAN</v>
      </c>
      <c r="Q517" s="1" t="str">
        <f>IFERROR(__xludf.DUMMYFUNCTION("""COMPUTED_VALUE"""),"P407520")</f>
        <v>P407520</v>
      </c>
      <c r="R517" s="1" t="str">
        <f>IFERROR(__xludf.DUMMYFUNCTION("""COMPUTED_VALUE"""),"MALIWAT, MARK")</f>
        <v>MALIWAT, MARK</v>
      </c>
      <c r="S517" s="1" t="str">
        <f>IFERROR(__xludf.DUMMYFUNCTION("""COMPUTED_VALUE"""),"FLA")</f>
        <v>FLA</v>
      </c>
      <c r="T517" s="1" t="str">
        <f>IFERROR(__xludf.DUMMYFUNCTION("""COMPUTED_VALUE"""),"JERIC NAVARRO")</f>
        <v>JERIC NAVARRO</v>
      </c>
      <c r="U517" s="1" t="str">
        <f>IFERROR(__xludf.DUMMYFUNCTION("""COMPUTED_VALUE"""),"JB SALIOA")</f>
        <v>JB SALIOA</v>
      </c>
      <c r="V517" s="1" t="str">
        <f>IFERROR(__xludf.DUMMYFUNCTION("""COMPUTED_VALUE"""),"BK HSTK")</f>
        <v>BK HSTK</v>
      </c>
      <c r="W517" s="1" t="str">
        <f>IFERROR(__xludf.DUMMYFUNCTION("""COMPUTED_VALUE"""),"BK HSTK")</f>
        <v>BK HSTK</v>
      </c>
      <c r="X517" s="1" t="str">
        <f>IFERROR(__xludf.DUMMYFUNCTION("""COMPUTED_VALUE"""),"HBBS SEPT 2026")</f>
        <v>HBBS SEPT 2026</v>
      </c>
      <c r="Y517" s="1" t="str">
        <f>IFERROR(__xludf.DUMMYFUNCTION("""COMPUTED_VALUE"""),"BK_CVEU_260820")</f>
        <v>BK_CVEU_260820</v>
      </c>
      <c r="Z517" s="1" t="str">
        <f>IFERROR(__xludf.DUMMYFUNCTION("""COMPUTED_VALUE"""),"NEW CONNECT")</f>
        <v>NEW CONNECT</v>
      </c>
      <c r="AA517" s="1">
        <f>IFERROR(__xludf.DUMMYFUNCTION("""COMPUTED_VALUE"""),639551108438)</f>
        <v>639551108438</v>
      </c>
      <c r="AB517" s="1"/>
      <c r="AC517" s="1">
        <f>IFERROR(__xludf.DUMMYFUNCTION("""COMPUTED_VALUE"""),1834)</f>
        <v>1834</v>
      </c>
      <c r="AD517" s="1" t="str">
        <f>IFERROR(__xludf.DUMMYFUNCTION("""COMPUTED_VALUE"""),"TRABA")</f>
        <v>TRABA</v>
      </c>
      <c r="AE517" s="1" t="str">
        <f>IFERROR(__xludf.DUMMYFUNCTION("""COMPUTED_VALUE"""),"PUROK 4 AMBULO COMPOUND")</f>
        <v>PUROK 4 AMBULO COMPOUND</v>
      </c>
      <c r="AF517" s="1" t="str">
        <f>IFERROR(__xludf.DUMMYFUNCTION("""COMPUTED_VALUE"""),"BGY BILUSO")</f>
        <v>BGY BILUSO</v>
      </c>
      <c r="AG517" s="1" t="str">
        <f>IFERROR(__xludf.DUMMYFUNCTION("""COMPUTED_VALUE"""),"SILANG")</f>
        <v>SILANG</v>
      </c>
      <c r="AH517" s="1" t="str">
        <f>IFERROR(__xludf.DUMMYFUNCTION("""COMPUTED_VALUE"""),"-")</f>
        <v>-</v>
      </c>
      <c r="AI517" s="1" t="str">
        <f>IFERROR(__xludf.DUMMYFUNCTION("""COMPUTED_VALUE"""),"CLUSTER 11")</f>
        <v>CLUSTER 11</v>
      </c>
    </row>
    <row r="518" customHeight="1" spans="1:35">
      <c r="A518" s="3">
        <f>IFERROR(__xludf.DUMMYFUNCTION("""COMPUTED_VALUE"""),46277)</f>
        <v>46277</v>
      </c>
      <c r="B518" s="1" t="str">
        <f>IFERROR(__xludf.DUMMYFUNCTION("""COMPUTED_VALUE"""),"RENEMAR DELOS REYES AGAG")</f>
        <v>RENEMAR DELOS REYES AGAG</v>
      </c>
      <c r="C518" s="1">
        <f>IFERROR(__xludf.DUMMYFUNCTION("""COMPUTED_VALUE"""),2312534456)</f>
        <v>2312534456</v>
      </c>
      <c r="D518" s="1">
        <f>IFERROR(__xludf.DUMMYFUNCTION("""COMPUTED_VALUE"""),407897684)</f>
        <v>407897684</v>
      </c>
      <c r="E518" s="1">
        <f>IFERROR(__xludf.DUMMYFUNCTION("""COMPUTED_VALUE"""),471070365004)</f>
        <v>471070365004</v>
      </c>
      <c r="F518" s="1" t="str">
        <f>IFERROR(__xludf.DUMMYFUNCTION("""COMPUTED_VALUE"""),"CLOSED")</f>
        <v>CLOSED</v>
      </c>
      <c r="G518" s="1" t="str">
        <f>IFERROR(__xludf.DUMMYFUNCTION("""COMPUTED_VALUE"""),"CLOSED")</f>
        <v>CLOSED</v>
      </c>
      <c r="H518" s="1" t="str">
        <f>IFERROR(__xludf.DUMMYFUNCTION("""COMPUTED_VALUE"""),"PAID VIA GCASH 623780366 SEP 13")</f>
        <v>PAID VIA GCASH 623780366 SEP 13</v>
      </c>
      <c r="I518" s="1" t="str">
        <f>IFERROR(__xludf.DUMMYFUNCTION("""COMPUTED_VALUE"""),"WITH 1 AMSF")</f>
        <v>WITH 1 AMSF</v>
      </c>
      <c r="J518" s="1"/>
      <c r="K518" s="1" t="str">
        <f>IFERROR(__xludf.DUMMYFUNCTION("""COMPUTED_VALUE"""),"COMPLETED")</f>
        <v>COMPLETED</v>
      </c>
      <c r="L518" s="1" t="str">
        <f>IFERROR(__xludf.DUMMYFUNCTION("""COMPUTED_VALUE"""),"POSTED")</f>
        <v>POSTED</v>
      </c>
      <c r="M518" s="1" t="str">
        <f>IFERROR(__xludf.DUMMYFUNCTION("""COMPUTED_VALUE"""),"POSTED")</f>
        <v>POSTED</v>
      </c>
      <c r="N518" s="3">
        <f>IFERROR(__xludf.DUMMYFUNCTION("""COMPUTED_VALUE"""),46278)</f>
        <v>46278</v>
      </c>
      <c r="O518" s="1" t="str">
        <f>IFERROR(__xludf.DUMMYFUNCTION("""COMPUTED_VALUE"""),"FIBER UNLI ALL PLAN 1899")</f>
        <v>FIBER UNLI ALL PLAN 1899</v>
      </c>
      <c r="P518" s="1" t="str">
        <f>IFERROR(__xludf.DUMMYFUNCTION("""COMPUTED_VALUE"""),"HIGHPLAN")</f>
        <v>HIGHPLAN</v>
      </c>
      <c r="Q518" s="1" t="str">
        <f>IFERROR(__xludf.DUMMYFUNCTION("""COMPUTED_VALUE"""),"P407047")</f>
        <v>P407047</v>
      </c>
      <c r="R518" s="1" t="str">
        <f>IFERROR(__xludf.DUMMYFUNCTION("""COMPUTED_VALUE"""),"FRANCISCO, ROSELYN")</f>
        <v>FRANCISCO, ROSELYN</v>
      </c>
      <c r="S518" s="1" t="str">
        <f>IFERROR(__xludf.DUMMYFUNCTION("""COMPUTED_VALUE"""),"ORGANIC")</f>
        <v>ORGANIC</v>
      </c>
      <c r="T518" s="1" t="str">
        <f>IFERROR(__xludf.DUMMYFUNCTION("""COMPUTED_VALUE"""),"LEA REMOLLO")</f>
        <v>LEA REMOLLO</v>
      </c>
      <c r="U518" s="1" t="str">
        <f>IFERROR(__xludf.DUMMYFUNCTION("""COMPUTED_VALUE"""),"JB SALIOA")</f>
        <v>JB SALIOA</v>
      </c>
      <c r="V518" s="1" t="str">
        <f>IFERROR(__xludf.DUMMYFUNCTION("""COMPUTED_VALUE"""),"BK HSTK")</f>
        <v>BK HSTK</v>
      </c>
      <c r="W518" s="1" t="str">
        <f>IFERROR(__xludf.DUMMYFUNCTION("""COMPUTED_VALUE"""),"BK HSTK")</f>
        <v>BK HSTK</v>
      </c>
      <c r="X518" s="1" t="str">
        <f>IFERROR(__xludf.DUMMYFUNCTION("""COMPUTED_VALUE"""),"HBBS SEPT 2026")</f>
        <v>HBBS SEPT 2026</v>
      </c>
      <c r="Y518" s="1" t="str">
        <f>IFERROR(__xludf.DUMMYFUNCTION("""COMPUTED_VALUE"""),"BK_CVEU_260820")</f>
        <v>BK_CVEU_260820</v>
      </c>
      <c r="Z518" s="1" t="str">
        <f>IFERROR(__xludf.DUMMYFUNCTION("""COMPUTED_VALUE"""),"NEW CONNECT")</f>
        <v>NEW CONNECT</v>
      </c>
      <c r="AA518" s="1">
        <f>IFERROR(__xludf.DUMMYFUNCTION("""COMPUTED_VALUE"""),639167303597)</f>
        <v>639167303597</v>
      </c>
      <c r="AB518" s="1"/>
      <c r="AC518" s="1">
        <f>IFERROR(__xludf.DUMMYFUNCTION("""COMPUTED_VALUE"""),9001)</f>
        <v>9001</v>
      </c>
      <c r="AD518" s="1" t="str">
        <f>IFERROR(__xludf.DUMMYFUNCTION("""COMPUTED_VALUE"""),"T ALONZO")</f>
        <v>T ALONZO</v>
      </c>
      <c r="AE518" s="1"/>
      <c r="AF518" s="1" t="str">
        <f>IFERROR(__xludf.DUMMYFUNCTION("""COMPUTED_VALUE"""),"BGY SAN JOSE")</f>
        <v>BGY SAN JOSE</v>
      </c>
      <c r="AG518" s="1" t="str">
        <f>IFERROR(__xludf.DUMMYFUNCTION("""COMPUTED_VALUE"""),"GEN MARIANO ALVAREZ")</f>
        <v>GEN MARIANO ALVAREZ</v>
      </c>
      <c r="AH518" s="1" t="str">
        <f>IFERROR(__xludf.DUMMYFUNCTION("""COMPUTED_VALUE"""),"-")</f>
        <v>-</v>
      </c>
      <c r="AI518" s="1" t="str">
        <f>IFERROR(__xludf.DUMMYFUNCTION("""COMPUTED_VALUE"""),"CLUSTER 11")</f>
        <v>CLUSTER 11</v>
      </c>
    </row>
    <row r="519" customHeight="1" spans="1:35">
      <c r="A519" s="3">
        <f>IFERROR(__xludf.DUMMYFUNCTION("""COMPUTED_VALUE"""),46277)</f>
        <v>46277</v>
      </c>
      <c r="B519" s="1" t="str">
        <f>IFERROR(__xludf.DUMMYFUNCTION("""COMPUTED_VALUE"""),"WINCIE ERMINO ALCAYDE")</f>
        <v>WINCIE ERMINO ALCAYDE</v>
      </c>
      <c r="C519" s="1">
        <f>IFERROR(__xludf.DUMMYFUNCTION("""COMPUTED_VALUE"""),2312539319)</f>
        <v>2312539319</v>
      </c>
      <c r="D519" s="1">
        <f>IFERROR(__xludf.DUMMYFUNCTION("""COMPUTED_VALUE"""),407908392)</f>
        <v>407908392</v>
      </c>
      <c r="E519" s="1">
        <f>IFERROR(__xludf.DUMMYFUNCTION("""COMPUTED_VALUE"""),471091054004)</f>
        <v>471091054004</v>
      </c>
      <c r="F519" s="1" t="str">
        <f>IFERROR(__xludf.DUMMYFUNCTION("""COMPUTED_VALUE"""),"CLOSED")</f>
        <v>CLOSED</v>
      </c>
      <c r="G519" s="1" t="str">
        <f>IFERROR(__xludf.DUMMYFUNCTION("""COMPUTED_VALUE"""),"CLOSED")</f>
        <v>CLOSED</v>
      </c>
      <c r="H519" s="1" t="str">
        <f>IFERROR(__xludf.DUMMYFUNCTION("""COMPUTED_VALUE"""),"PQGOR364708980	20-Sep-26	Regular Payment	CIS-GCASH 3.0	1,410.00	0	20-Sep-26")</f>
        <v>PQGOR364708980	20-Sep-26	Regular Payment	CIS-GCASH 3.0	1,410.00	0	20-Sep-26</v>
      </c>
      <c r="I519" s="1" t="str">
        <f>IFERROR(__xludf.DUMMYFUNCTION("""COMPUTED_VALUE"""),"WITH 1 AMSF")</f>
        <v>WITH 1 AMSF</v>
      </c>
      <c r="J519" s="1"/>
      <c r="K519" s="1" t="str">
        <f>IFERROR(__xludf.DUMMYFUNCTION("""COMPUTED_VALUE"""),"COMPLETED")</f>
        <v>COMPLETED</v>
      </c>
      <c r="L519" s="1" t="str">
        <f>IFERROR(__xludf.DUMMYFUNCTION("""COMPUTED_VALUE"""),"POSTED")</f>
        <v>POSTED</v>
      </c>
      <c r="M519" s="1" t="str">
        <f>IFERROR(__xludf.DUMMYFUNCTION("""COMPUTED_VALUE"""),"POSTED")</f>
        <v>POSTED</v>
      </c>
      <c r="N519" s="3">
        <f>IFERROR(__xludf.DUMMYFUNCTION("""COMPUTED_VALUE"""),46278)</f>
        <v>46278</v>
      </c>
      <c r="O519" s="1" t="str">
        <f>IFERROR(__xludf.DUMMYFUNCTION("""COMPUTED_VALUE"""),"FIBR PLAN 1299")</f>
        <v>FIBR PLAN 1299</v>
      </c>
      <c r="P519" s="1" t="str">
        <f>IFERROR(__xludf.DUMMYFUNCTION("""COMPUTED_VALUE"""),"LOWPLAN")</f>
        <v>LOWPLAN</v>
      </c>
      <c r="Q519" s="1" t="str">
        <f>IFERROR(__xludf.DUMMYFUNCTION("""COMPUTED_VALUE"""),"P407564")</f>
        <v>P407564</v>
      </c>
      <c r="R519" s="1" t="str">
        <f>IFERROR(__xludf.DUMMYFUNCTION("""COMPUTED_VALUE"""),"ARENA, LYKA")</f>
        <v>ARENA, LYKA</v>
      </c>
      <c r="S519" s="1" t="str">
        <f>IFERROR(__xludf.DUMMYFUNCTION("""COMPUTED_VALUE"""),"ORGANIC")</f>
        <v>ORGANIC</v>
      </c>
      <c r="T519" s="1" t="str">
        <f>IFERROR(__xludf.DUMMYFUNCTION("""COMPUTED_VALUE"""),"LEA REMOLLO")</f>
        <v>LEA REMOLLO</v>
      </c>
      <c r="U519" s="1" t="str">
        <f>IFERROR(__xludf.DUMMYFUNCTION("""COMPUTED_VALUE"""),"JB SALIOA")</f>
        <v>JB SALIOA</v>
      </c>
      <c r="V519" s="1" t="str">
        <f>IFERROR(__xludf.DUMMYFUNCTION("""COMPUTED_VALUE"""),"BK HSTK")</f>
        <v>BK HSTK</v>
      </c>
      <c r="W519" s="1" t="str">
        <f>IFERROR(__xludf.DUMMYFUNCTION("""COMPUTED_VALUE"""),"BK HSTK")</f>
        <v>BK HSTK</v>
      </c>
      <c r="X519" s="1" t="str">
        <f>IFERROR(__xludf.DUMMYFUNCTION("""COMPUTED_VALUE"""),"HBBS SEPT 2026")</f>
        <v>HBBS SEPT 2026</v>
      </c>
      <c r="Y519" s="1" t="str">
        <f>IFERROR(__xludf.DUMMYFUNCTION("""COMPUTED_VALUE"""),"BK_CVEU_260821")</f>
        <v>BK_CVEU_260821</v>
      </c>
      <c r="Z519" s="1" t="str">
        <f>IFERROR(__xludf.DUMMYFUNCTION("""COMPUTED_VALUE"""),"NEW CONNECT")</f>
        <v>NEW CONNECT</v>
      </c>
      <c r="AA519" s="1">
        <f>IFERROR(__xludf.DUMMYFUNCTION("""COMPUTED_VALUE"""),639475942511)</f>
        <v>639475942511</v>
      </c>
      <c r="AB519" s="1"/>
      <c r="AC519" s="1">
        <f>IFERROR(__xludf.DUMMYFUNCTION("""COMPUTED_VALUE"""),74)</f>
        <v>74</v>
      </c>
      <c r="AD519" s="1" t="str">
        <f>IFERROR(__xludf.DUMMYFUNCTION("""COMPUTED_VALUE"""),"PUROK 118")</f>
        <v>PUROK 118</v>
      </c>
      <c r="AE519" s="1"/>
      <c r="AF519" s="1" t="str">
        <f>IFERROR(__xludf.DUMMYFUNCTION("""COMPUTED_VALUE"""),"MENDEZ CROSSING EAST")</f>
        <v>MENDEZ CROSSING EAST</v>
      </c>
      <c r="AG519" s="1" t="str">
        <f>IFERROR(__xludf.DUMMYFUNCTION("""COMPUTED_VALUE"""),"TAGAYTAY")</f>
        <v>TAGAYTAY</v>
      </c>
      <c r="AH519" s="1" t="str">
        <f>IFERROR(__xludf.DUMMYFUNCTION("""COMPUTED_VALUE"""),"-")</f>
        <v>-</v>
      </c>
      <c r="AI519" s="1" t="str">
        <f>IFERROR(__xludf.DUMMYFUNCTION("""COMPUTED_VALUE"""),"CLUSTER 12")</f>
        <v>CLUSTER 12</v>
      </c>
    </row>
    <row r="520" customHeight="1" spans="1:35">
      <c r="A520" s="3">
        <f>IFERROR(__xludf.DUMMYFUNCTION("""COMPUTED_VALUE"""),46277)</f>
        <v>46277</v>
      </c>
      <c r="B520" s="1" t="str">
        <f>IFERROR(__xludf.DUMMYFUNCTION("""COMPUTED_VALUE"""),"LOIDA GONZALES OLIVAR")</f>
        <v>LOIDA GONZALES OLIVAR</v>
      </c>
      <c r="C520" s="1">
        <f>IFERROR(__xludf.DUMMYFUNCTION("""COMPUTED_VALUE"""),2312539848)</f>
        <v>2312539848</v>
      </c>
      <c r="D520" s="1">
        <f>IFERROR(__xludf.DUMMYFUNCTION("""COMPUTED_VALUE"""),407912314)</f>
        <v>407912314</v>
      </c>
      <c r="E520" s="1">
        <f>IFERROR(__xludf.DUMMYFUNCTION("""COMPUTED_VALUE"""),471094751004)</f>
        <v>471094751004</v>
      </c>
      <c r="F520" s="1" t="str">
        <f>IFERROR(__xludf.DUMMYFUNCTION("""COMPUTED_VALUE"""),"CLOSED")</f>
        <v>CLOSED</v>
      </c>
      <c r="G520" s="1" t="str">
        <f>IFERROR(__xludf.DUMMYFUNCTION("""COMPUTED_VALUE"""),"CLOSED")</f>
        <v>CLOSED</v>
      </c>
      <c r="H520" s="1" t="str">
        <f>IFERROR(__xludf.DUMMYFUNCTION("""COMPUTED_VALUE"""),"PAID VIA GCASH - SEPT 14 - REF-  087856753")</f>
        <v>PAID VIA GCASH - SEPT 14 - REF-  087856753</v>
      </c>
      <c r="I520" s="1" t="str">
        <f>IFERROR(__xludf.DUMMYFUNCTION("""COMPUTED_VALUE"""),"WITH 1 AMSF")</f>
        <v>WITH 1 AMSF</v>
      </c>
      <c r="J520" s="1"/>
      <c r="K520" s="1" t="str">
        <f>IFERROR(__xludf.DUMMYFUNCTION("""COMPUTED_VALUE"""),"COMPLETED")</f>
        <v>COMPLETED</v>
      </c>
      <c r="L520" s="1" t="str">
        <f>IFERROR(__xludf.DUMMYFUNCTION("""COMPUTED_VALUE"""),"POSTED")</f>
        <v>POSTED</v>
      </c>
      <c r="M520" s="1" t="str">
        <f>IFERROR(__xludf.DUMMYFUNCTION("""COMPUTED_VALUE"""),"POSTED")</f>
        <v>POSTED</v>
      </c>
      <c r="N520" s="3">
        <f>IFERROR(__xludf.DUMMYFUNCTION("""COMPUTED_VALUE"""),46278)</f>
        <v>46278</v>
      </c>
      <c r="O520" s="1" t="str">
        <f>IFERROR(__xludf.DUMMYFUNCTION("""COMPUTED_VALUE"""),"FIBR PLAN 1699")</f>
        <v>FIBR PLAN 1699</v>
      </c>
      <c r="P520" s="1" t="str">
        <f>IFERROR(__xludf.DUMMYFUNCTION("""COMPUTED_VALUE"""),"HIGHPLAN")</f>
        <v>HIGHPLAN</v>
      </c>
      <c r="Q520" s="1" t="str">
        <f>IFERROR(__xludf.DUMMYFUNCTION("""COMPUTED_VALUE"""),"P407520")</f>
        <v>P407520</v>
      </c>
      <c r="R520" s="1" t="str">
        <f>IFERROR(__xludf.DUMMYFUNCTION("""COMPUTED_VALUE"""),"MALIWAT, MARK")</f>
        <v>MALIWAT, MARK</v>
      </c>
      <c r="S520" s="1" t="str">
        <f>IFERROR(__xludf.DUMMYFUNCTION("""COMPUTED_VALUE"""),"FLA")</f>
        <v>FLA</v>
      </c>
      <c r="T520" s="1" t="str">
        <f>IFERROR(__xludf.DUMMYFUNCTION("""COMPUTED_VALUE"""),"JERIC NAVARRO")</f>
        <v>JERIC NAVARRO</v>
      </c>
      <c r="U520" s="1" t="str">
        <f>IFERROR(__xludf.DUMMYFUNCTION("""COMPUTED_VALUE"""),"JB SALIOA")</f>
        <v>JB SALIOA</v>
      </c>
      <c r="V520" s="1" t="str">
        <f>IFERROR(__xludf.DUMMYFUNCTION("""COMPUTED_VALUE"""),"ONLINE/CRANFORD")</f>
        <v>ONLINE/CRANFORD</v>
      </c>
      <c r="W520" s="1" t="str">
        <f>IFERROR(__xludf.DUMMYFUNCTION("""COMPUTED_VALUE"""),"STK REGULAR")</f>
        <v>STK REGULAR</v>
      </c>
      <c r="X520" s="1" t="str">
        <f>IFERROR(__xludf.DUMMYFUNCTION("""COMPUTED_VALUE"""),"HBBS SEPT 2026")</f>
        <v>HBBS SEPT 2026</v>
      </c>
      <c r="Y520" s="1" t="str">
        <f>IFERROR(__xludf.DUMMYFUNCTION("""COMPUTED_VALUE"""),"RS_ONL_CVEU_2026")</f>
        <v>RS_ONL_CVEU_2026</v>
      </c>
      <c r="Z520" s="1" t="str">
        <f>IFERROR(__xludf.DUMMYFUNCTION("""COMPUTED_VALUE"""),"NEW CONNECT")</f>
        <v>NEW CONNECT</v>
      </c>
      <c r="AA520" s="1">
        <f>IFERROR(__xludf.DUMMYFUNCTION("""COMPUTED_VALUE"""),639486711753)</f>
        <v>639486711753</v>
      </c>
      <c r="AB520" s="1">
        <f>IFERROR(__xludf.DUMMYFUNCTION("""COMPUTED_VALUE"""),639482149441)</f>
        <v>639482149441</v>
      </c>
      <c r="AC520" s="1">
        <f>IFERROR(__xludf.DUMMYFUNCTION("""COMPUTED_VALUE"""),3020)</f>
        <v>3020</v>
      </c>
      <c r="AD520" s="1" t="str">
        <f>IFERROR(__xludf.DUMMYFUNCTION("""COMPUTED_VALUE"""),"PUROK CENTRO")</f>
        <v>PUROK CENTRO</v>
      </c>
      <c r="AE520" s="1"/>
      <c r="AF520" s="1" t="str">
        <f>IFERROR(__xludf.DUMMYFUNCTION("""COMPUTED_VALUE"""),"BGY MAITIM 1")</f>
        <v>BGY MAITIM 1</v>
      </c>
      <c r="AG520" s="1" t="str">
        <f>IFERROR(__xludf.DUMMYFUNCTION("""COMPUTED_VALUE"""),"AMADEO")</f>
        <v>AMADEO</v>
      </c>
      <c r="AH520" s="1" t="str">
        <f>IFERROR(__xludf.DUMMYFUNCTION("""COMPUTED_VALUE"""),"BRGY HALL // CHURCH")</f>
        <v>BRGY HALL // CHURCH</v>
      </c>
      <c r="AI520" s="1" t="str">
        <f>IFERROR(__xludf.DUMMYFUNCTION("""COMPUTED_VALUE"""),"CLUSTER 12")</f>
        <v>CLUSTER 12</v>
      </c>
    </row>
    <row r="521" customHeight="1" spans="1:35">
      <c r="A521" s="3">
        <f>IFERROR(__xludf.DUMMYFUNCTION("""COMPUTED_VALUE"""),46277)</f>
        <v>46277</v>
      </c>
      <c r="B521" s="1" t="str">
        <f>IFERROR(__xludf.DUMMYFUNCTION("""COMPUTED_VALUE"""),"MICHAEL BIACOLO MABINI")</f>
        <v>MICHAEL BIACOLO MABINI</v>
      </c>
      <c r="C521" s="1">
        <f>IFERROR(__xludf.DUMMYFUNCTION("""COMPUTED_VALUE"""),2312540118)</f>
        <v>2312540118</v>
      </c>
      <c r="D521" s="1">
        <f>IFERROR(__xludf.DUMMYFUNCTION("""COMPUTED_VALUE"""),407935918)</f>
        <v>407935918</v>
      </c>
      <c r="E521" s="1">
        <f>IFERROR(__xludf.DUMMYFUNCTION("""COMPUTED_VALUE"""),471213043004)</f>
        <v>471213043004</v>
      </c>
      <c r="F521" s="1" t="str">
        <f>IFERROR(__xludf.DUMMYFUNCTION("""COMPUTED_VALUE"""),"FOR CALLOUT RSO")</f>
        <v>FOR CALLOUT RSO</v>
      </c>
      <c r="G521" s="1" t="str">
        <f>IFERROR(__xludf.DUMMYFUNCTION("""COMPUTED_VALUE"""),"FOR CALLOUT RSO")</f>
        <v>FOR CALLOUT RSO</v>
      </c>
      <c r="H521" s="1"/>
      <c r="I521" s="1"/>
      <c r="J521" s="1"/>
      <c r="K521" s="1" t="str">
        <f>IFERROR(__xludf.DUMMYFUNCTION("""COMPUTED_VALUE"""),"CANCELED")</f>
        <v>CANCELED</v>
      </c>
      <c r="L521" s="1" t="str">
        <f>IFERROR(__xludf.DUMMYFUNCTION("""COMPUTED_VALUE"""),"FOR CALLOUT RSO")</f>
        <v>FOR CALLOUT RSO</v>
      </c>
      <c r="M521" s="1" t="str">
        <f>IFERROR(__xludf.DUMMYFUNCTION("""COMPUTED_VALUE"""),"FOR CALLOUT RSO")</f>
        <v>FOR CALLOUT RSO</v>
      </c>
      <c r="N521" s="3"/>
      <c r="O521" s="1" t="str">
        <f>IFERROR(__xludf.DUMMYFUNCTION("""COMPUTED_VALUE"""),"FIBR PLAN 1299")</f>
        <v>FIBR PLAN 1299</v>
      </c>
      <c r="P521" s="1" t="str">
        <f>IFERROR(__xludf.DUMMYFUNCTION("""COMPUTED_VALUE"""),"LOWPLAN")</f>
        <v>LOWPLAN</v>
      </c>
      <c r="Q521" s="1" t="str">
        <f>IFERROR(__xludf.DUMMYFUNCTION("""COMPUTED_VALUE"""),"P407047")</f>
        <v>P407047</v>
      </c>
      <c r="R521" s="1" t="str">
        <f>IFERROR(__xludf.DUMMYFUNCTION("""COMPUTED_VALUE"""),"FRANCISCO, ROSELYN")</f>
        <v>FRANCISCO, ROSELYN</v>
      </c>
      <c r="S521" s="1" t="str">
        <f>IFERROR(__xludf.DUMMYFUNCTION("""COMPUTED_VALUE"""),"ORGANIC")</f>
        <v>ORGANIC</v>
      </c>
      <c r="T521" s="1" t="str">
        <f>IFERROR(__xludf.DUMMYFUNCTION("""COMPUTED_VALUE"""),"LEA REMOLLO")</f>
        <v>LEA REMOLLO</v>
      </c>
      <c r="U521" s="1" t="str">
        <f>IFERROR(__xludf.DUMMYFUNCTION("""COMPUTED_VALUE"""),"JB SALIOA")</f>
        <v>JB SALIOA</v>
      </c>
      <c r="V521" s="1" t="str">
        <f>IFERROR(__xludf.DUMMYFUNCTION("""COMPUTED_VALUE"""),"ONLINE/CRANFORD")</f>
        <v>ONLINE/CRANFORD</v>
      </c>
      <c r="W521" s="1" t="str">
        <f>IFERROR(__xludf.DUMMYFUNCTION("""COMPUTED_VALUE"""),"STK REGULAR")</f>
        <v>STK REGULAR</v>
      </c>
      <c r="X521" s="1" t="str">
        <f>IFERROR(__xludf.DUMMYFUNCTION("""COMPUTED_VALUE"""),"HBBS SEPT 2026")</f>
        <v>HBBS SEPT 2026</v>
      </c>
      <c r="Y521" s="1" t="str">
        <f>IFERROR(__xludf.DUMMYFUNCTION("""COMPUTED_VALUE"""),"RS_ONL_CVEU_2026")</f>
        <v>RS_ONL_CVEU_2026</v>
      </c>
      <c r="Z521" s="1" t="str">
        <f>IFERROR(__xludf.DUMMYFUNCTION("""COMPUTED_VALUE"""),"NEW CONNECT")</f>
        <v>NEW CONNECT</v>
      </c>
      <c r="AA521" s="1">
        <f>IFERROR(__xludf.DUMMYFUNCTION("""COMPUTED_VALUE"""),639772130625)</f>
        <v>639772130625</v>
      </c>
      <c r="AB521" s="1"/>
      <c r="AC521" s="1">
        <f>IFERROR(__xludf.DUMMYFUNCTION("""COMPUTED_VALUE"""),338)</f>
        <v>338</v>
      </c>
      <c r="AD521" s="1" t="str">
        <f>IFERROR(__xludf.DUMMYFUNCTION("""COMPUTED_VALUE"""),"PUROK 1")</f>
        <v>PUROK 1</v>
      </c>
      <c r="AE521" s="1"/>
      <c r="AF521" s="1" t="str">
        <f>IFERROR(__xludf.DUMMYFUNCTION("""COMPUTED_VALUE"""),"BGY CONCHU")</f>
        <v>BGY CONCHU</v>
      </c>
      <c r="AG521" s="1" t="str">
        <f>IFERROR(__xludf.DUMMYFUNCTION("""COMPUTED_VALUE"""),"TRECE MARTIREZ CITY")</f>
        <v>TRECE MARTIREZ CITY</v>
      </c>
      <c r="AH521" s="1" t="str">
        <f>IFERROR(__xludf.DUMMYFUNCTION("""COMPUTED_VALUE"""),"PUROK 1")</f>
        <v>PUROK 1</v>
      </c>
      <c r="AI521" s="1" t="str">
        <f>IFERROR(__xludf.DUMMYFUNCTION("""COMPUTED_VALUE"""),"NOT AOR")</f>
        <v>NOT AOR</v>
      </c>
    </row>
    <row r="522" customHeight="1" spans="1:35">
      <c r="A522" s="3">
        <f>IFERROR(__xludf.DUMMYFUNCTION("""COMPUTED_VALUE"""),46277)</f>
        <v>46277</v>
      </c>
      <c r="B522" s="1" t="str">
        <f>IFERROR(__xludf.DUMMYFUNCTION("""COMPUTED_VALUE"""),"MARIA TERESA CASUNCAD SADUCOS")</f>
        <v>MARIA TERESA CASUNCAD SADUCOS</v>
      </c>
      <c r="C522" s="1">
        <f>IFERROR(__xludf.DUMMYFUNCTION("""COMPUTED_VALUE"""),2312540343)</f>
        <v>2312540343</v>
      </c>
      <c r="D522" s="1">
        <f>IFERROR(__xludf.DUMMYFUNCTION("""COMPUTED_VALUE"""),407915488)</f>
        <v>407915488</v>
      </c>
      <c r="E522" s="1">
        <f>IFERROR(__xludf.DUMMYFUNCTION("""COMPUTED_VALUE"""),471518375004)</f>
        <v>471518375004</v>
      </c>
      <c r="F522" s="1" t="str">
        <f>IFERROR(__xludf.DUMMYFUNCTION("""COMPUTED_VALUE"""),"CLOSED")</f>
        <v>CLOSED</v>
      </c>
      <c r="G522" s="1" t="str">
        <f>IFERROR(__xludf.DUMMYFUNCTION("""COMPUTED_VALUE"""),"CLOSED")</f>
        <v>CLOSED</v>
      </c>
      <c r="H522" s="1" t="str">
        <f>IFERROR(__xludf.DUMMYFUNCTION("""COMPUTED_VALUE"""),"PQGOR364550169	18-Sep-26	Regular Payment	CIS-GCASH 3.0	1,549.00	943395818	18-Sep-26")</f>
        <v>PQGOR364550169	18-Sep-26	Regular Payment	CIS-GCASH 3.0	1,549.00	943395818	18-Sep-26</v>
      </c>
      <c r="I522" s="1" t="str">
        <f>IFERROR(__xludf.DUMMYFUNCTION("""COMPUTED_VALUE"""),"WITH 1 AMSF")</f>
        <v>WITH 1 AMSF</v>
      </c>
      <c r="J522" s="1"/>
      <c r="K522" s="1" t="str">
        <f>IFERROR(__xludf.DUMMYFUNCTION("""COMPUTED_VALUE"""),"COMPLETED")</f>
        <v>COMPLETED</v>
      </c>
      <c r="L522" s="1" t="str">
        <f>IFERROR(__xludf.DUMMYFUNCTION("""COMPUTED_VALUE"""),"POSTED")</f>
        <v>POSTED</v>
      </c>
      <c r="M522" s="1" t="str">
        <f>IFERROR(__xludf.DUMMYFUNCTION("""COMPUTED_VALUE"""),"POSTED")</f>
        <v>POSTED</v>
      </c>
      <c r="N522" s="3">
        <f>IFERROR(__xludf.DUMMYFUNCTION("""COMPUTED_VALUE"""),46282)</f>
        <v>46282</v>
      </c>
      <c r="O522" s="1" t="str">
        <f>IFERROR(__xludf.DUMMYFUNCTION("""COMPUTED_VALUE"""),"FIBER UNLI ALL PLAN 1499")</f>
        <v>FIBER UNLI ALL PLAN 1499</v>
      </c>
      <c r="P522" s="1" t="str">
        <f>IFERROR(__xludf.DUMMYFUNCTION("""COMPUTED_VALUE"""),"LOWPLAN")</f>
        <v>LOWPLAN</v>
      </c>
      <c r="Q522" s="1" t="str">
        <f>IFERROR(__xludf.DUMMYFUNCTION("""COMPUTED_VALUE"""),"P407561")</f>
        <v>P407561</v>
      </c>
      <c r="R522" s="1" t="str">
        <f>IFERROR(__xludf.DUMMYFUNCTION("""COMPUTED_VALUE"""),"TAMAYO, MARY ROSE ZAIRA")</f>
        <v>TAMAYO, MARY ROSE ZAIRA</v>
      </c>
      <c r="S522" s="1" t="str">
        <f>IFERROR(__xludf.DUMMYFUNCTION("""COMPUTED_VALUE"""),"ORGANIC")</f>
        <v>ORGANIC</v>
      </c>
      <c r="T522" s="1" t="str">
        <f>IFERROR(__xludf.DUMMYFUNCTION("""COMPUTED_VALUE"""),"LEA REMOLLO")</f>
        <v>LEA REMOLLO</v>
      </c>
      <c r="U522" s="1" t="str">
        <f>IFERROR(__xludf.DUMMYFUNCTION("""COMPUTED_VALUE"""),"JB SALIOA")</f>
        <v>JB SALIOA</v>
      </c>
      <c r="V522" s="1" t="str">
        <f>IFERROR(__xludf.DUMMYFUNCTION("""COMPUTED_VALUE"""),"BK HSTK")</f>
        <v>BK HSTK</v>
      </c>
      <c r="W522" s="1" t="str">
        <f>IFERROR(__xludf.DUMMYFUNCTION("""COMPUTED_VALUE"""),"BK HSTK")</f>
        <v>BK HSTK</v>
      </c>
      <c r="X522" s="1" t="str">
        <f>IFERROR(__xludf.DUMMYFUNCTION("""COMPUTED_VALUE"""),"HBBS SEPT 2026")</f>
        <v>HBBS SEPT 2026</v>
      </c>
      <c r="Y522" s="1" t="str">
        <f>IFERROR(__xludf.DUMMYFUNCTION("""COMPUTED_VALUE"""),"BK_CVEU_260820")</f>
        <v>BK_CVEU_260820</v>
      </c>
      <c r="Z522" s="1" t="str">
        <f>IFERROR(__xludf.DUMMYFUNCTION("""COMPUTED_VALUE"""),"NEW CONNECT")</f>
        <v>NEW CONNECT</v>
      </c>
      <c r="AA522" s="1">
        <f>IFERROR(__xludf.DUMMYFUNCTION("""COMPUTED_VALUE"""),639763632634)</f>
        <v>639763632634</v>
      </c>
      <c r="AB522" s="1">
        <f>IFERROR(__xludf.DUMMYFUNCTION("""COMPUTED_VALUE"""),639672505758)</f>
        <v>639672505758</v>
      </c>
      <c r="AC522" s="1"/>
      <c r="AD522" s="1" t="str">
        <f>IFERROR(__xludf.DUMMYFUNCTION("""COMPUTED_VALUE"""),"THE MANDARA")</f>
        <v>THE MANDARA</v>
      </c>
      <c r="AE522" s="1" t="str">
        <f>IFERROR(__xludf.DUMMYFUNCTION("""COMPUTED_VALUE"""),"THE MANDARA")</f>
        <v>THE MANDARA</v>
      </c>
      <c r="AF522" s="1" t="str">
        <f>IFERROR(__xludf.DUMMYFUNCTION("""COMPUTED_VALUE"""),"BGY TARTARIA")</f>
        <v>BGY TARTARIA</v>
      </c>
      <c r="AG522" s="1" t="str">
        <f>IFERROR(__xludf.DUMMYFUNCTION("""COMPUTED_VALUE"""),"SILANG")</f>
        <v>SILANG</v>
      </c>
      <c r="AH522" s="1" t="str">
        <f>IFERROR(__xludf.DUMMYFUNCTION("""COMPUTED_VALUE"""),"SAVEMORE")</f>
        <v>SAVEMORE</v>
      </c>
      <c r="AI522" s="1" t="str">
        <f>IFERROR(__xludf.DUMMYFUNCTION("""COMPUTED_VALUE"""),"CLUSTER 11")</f>
        <v>CLUSTER 11</v>
      </c>
    </row>
    <row r="523" customHeight="1" spans="1:35">
      <c r="A523" s="3">
        <f>IFERROR(__xludf.DUMMYFUNCTION("""COMPUTED_VALUE"""),46277)</f>
        <v>46277</v>
      </c>
      <c r="B523" s="1" t="str">
        <f>IFERROR(__xludf.DUMMYFUNCTION("""COMPUTED_VALUE"""),"ADELINA BATICAN TOLENTINO")</f>
        <v>ADELINA BATICAN TOLENTINO</v>
      </c>
      <c r="C523" s="1">
        <f>IFERROR(__xludf.DUMMYFUNCTION("""COMPUTED_VALUE"""),2312541859)</f>
        <v>2312541859</v>
      </c>
      <c r="D523" s="1">
        <f>IFERROR(__xludf.DUMMYFUNCTION("""COMPUTED_VALUE"""),407919823)</f>
        <v>407919823</v>
      </c>
      <c r="E523" s="1">
        <f>IFERROR(__xludf.DUMMYFUNCTION("""COMPUTED_VALUE"""),471104987004)</f>
        <v>471104987004</v>
      </c>
      <c r="F523" s="1" t="str">
        <f>IFERROR(__xludf.DUMMYFUNCTION("""COMPUTED_VALUE"""),"CLOSED")</f>
        <v>CLOSED</v>
      </c>
      <c r="G523" s="1" t="str">
        <f>IFERROR(__xludf.DUMMYFUNCTION("""COMPUTED_VALUE"""),"CLOSED")</f>
        <v>CLOSED</v>
      </c>
      <c r="H523" s="1" t="str">
        <f>IFERROR(__xludf.DUMMYFUNCTION("""COMPUTED_VALUE"""),"PQGOR364163020	15-Sep-26	Regular Payment	CIS-GCASH 3.0	1,149.00	0	15-Sep-26")</f>
        <v>PQGOR364163020	15-Sep-26	Regular Payment	CIS-GCASH 3.0	1,149.00	0	15-Sep-26</v>
      </c>
      <c r="I523" s="1" t="str">
        <f>IFERROR(__xludf.DUMMYFUNCTION("""COMPUTED_VALUE"""),"WITH 1 AMSF")</f>
        <v>WITH 1 AMSF</v>
      </c>
      <c r="J523" s="1"/>
      <c r="K523" s="1" t="str">
        <f>IFERROR(__xludf.DUMMYFUNCTION("""COMPUTED_VALUE"""),"COMPLETED")</f>
        <v>COMPLETED</v>
      </c>
      <c r="L523" s="1" t="str">
        <f>IFERROR(__xludf.DUMMYFUNCTION("""COMPUTED_VALUE"""),"POSTED")</f>
        <v>POSTED</v>
      </c>
      <c r="M523" s="1" t="str">
        <f>IFERROR(__xludf.DUMMYFUNCTION("""COMPUTED_VALUE"""),"POSTED")</f>
        <v>POSTED</v>
      </c>
      <c r="N523" s="3">
        <f>IFERROR(__xludf.DUMMYFUNCTION("""COMPUTED_VALUE"""),46283)</f>
        <v>46283</v>
      </c>
      <c r="O523" s="1" t="str">
        <f>IFERROR(__xludf.DUMMYFUNCTION("""COMPUTED_VALUE"""),"FIBR UNLI ALL PLAN 999")</f>
        <v>FIBR UNLI ALL PLAN 999</v>
      </c>
      <c r="P523" s="1" t="str">
        <f>IFERROR(__xludf.DUMMYFUNCTION("""COMPUTED_VALUE"""),"LOWPLAN")</f>
        <v>LOWPLAN</v>
      </c>
      <c r="Q523" s="1" t="str">
        <f>IFERROR(__xludf.DUMMYFUNCTION("""COMPUTED_VALUE"""),"P407561")</f>
        <v>P407561</v>
      </c>
      <c r="R523" s="1" t="str">
        <f>IFERROR(__xludf.DUMMYFUNCTION("""COMPUTED_VALUE"""),"TAMAYO, MARY ROSE ZAIRA")</f>
        <v>TAMAYO, MARY ROSE ZAIRA</v>
      </c>
      <c r="S523" s="1" t="str">
        <f>IFERROR(__xludf.DUMMYFUNCTION("""COMPUTED_VALUE"""),"ORGANIC")</f>
        <v>ORGANIC</v>
      </c>
      <c r="T523" s="1" t="str">
        <f>IFERROR(__xludf.DUMMYFUNCTION("""COMPUTED_VALUE"""),"LEA REMOLLO")</f>
        <v>LEA REMOLLO</v>
      </c>
      <c r="U523" s="1" t="str">
        <f>IFERROR(__xludf.DUMMYFUNCTION("""COMPUTED_VALUE"""),"JB SALIOA")</f>
        <v>JB SALIOA</v>
      </c>
      <c r="V523" s="1" t="str">
        <f>IFERROR(__xludf.DUMMYFUNCTION("""COMPUTED_VALUE"""),"BK REGULAR")</f>
        <v>BK REGULAR</v>
      </c>
      <c r="W523" s="1" t="str">
        <f>IFERROR(__xludf.DUMMYFUNCTION("""COMPUTED_VALUE"""),"STK REGULAR")</f>
        <v>STK REGULAR</v>
      </c>
      <c r="X523" s="1" t="str">
        <f>IFERROR(__xludf.DUMMYFUNCTION("""COMPUTED_VALUE"""),"HBBS SEPT 2026")</f>
        <v>HBBS SEPT 2026</v>
      </c>
      <c r="Y523" s="1" t="str">
        <f>IFERROR(__xludf.DUMMYFUNCTION("""COMPUTED_VALUE"""),"BK_CVEU_260817")</f>
        <v>BK_CVEU_260817</v>
      </c>
      <c r="Z523" s="1" t="str">
        <f>IFERROR(__xludf.DUMMYFUNCTION("""COMPUTED_VALUE"""),"NEW CONNECT")</f>
        <v>NEW CONNECT</v>
      </c>
      <c r="AA523" s="1">
        <f>IFERROR(__xludf.DUMMYFUNCTION("""COMPUTED_VALUE"""),639852667828)</f>
        <v>639852667828</v>
      </c>
      <c r="AB523" s="1"/>
      <c r="AC523" s="1">
        <f>IFERROR(__xludf.DUMMYFUNCTION("""COMPUTED_VALUE"""),27)</f>
        <v>27</v>
      </c>
      <c r="AD523" s="1" t="str">
        <f>IFERROR(__xludf.DUMMYFUNCTION("""COMPUTED_VALUE"""),"PALIGAWAN MATANDA")</f>
        <v>PALIGAWAN MATANDA</v>
      </c>
      <c r="AE523" s="1"/>
      <c r="AF523" s="1" t="str">
        <f>IFERROR(__xludf.DUMMYFUNCTION("""COMPUTED_VALUE"""),"BGY LANTIC")</f>
        <v>BGY LANTIC</v>
      </c>
      <c r="AG523" s="1" t="str">
        <f>IFERROR(__xludf.DUMMYFUNCTION("""COMPUTED_VALUE"""),"CARMONA")</f>
        <v>CARMONA</v>
      </c>
      <c r="AH523" s="1" t="str">
        <f>IFERROR(__xludf.DUMMYFUNCTION("""COMPUTED_VALUE"""),"-")</f>
        <v>-</v>
      </c>
      <c r="AI523" s="1" t="str">
        <f>IFERROR(__xludf.DUMMYFUNCTION("""COMPUTED_VALUE"""),"CLUSTER 11")</f>
        <v>CLUSTER 11</v>
      </c>
    </row>
    <row r="524" customHeight="1" spans="1:35">
      <c r="A524" s="3">
        <f>IFERROR(__xludf.DUMMYFUNCTION("""COMPUTED_VALUE"""),46277)</f>
        <v>46277</v>
      </c>
      <c r="B524" s="1" t="str">
        <f>IFERROR(__xludf.DUMMYFUNCTION("""COMPUTED_VALUE"""),"ROBELYN TORREON ROXAS")</f>
        <v>ROBELYN TORREON ROXAS</v>
      </c>
      <c r="C524" s="1">
        <f>IFERROR(__xludf.DUMMYFUNCTION("""COMPUTED_VALUE"""),2312542123)</f>
        <v>2312542123</v>
      </c>
      <c r="D524" s="1">
        <f>IFERROR(__xludf.DUMMYFUNCTION("""COMPUTED_VALUE"""),407954947)</f>
        <v>407954947</v>
      </c>
      <c r="E524" s="1">
        <f>IFERROR(__xludf.DUMMYFUNCTION("""COMPUTED_VALUE"""),471326727004)</f>
        <v>471326727004</v>
      </c>
      <c r="F524" s="1" t="str">
        <f>IFERROR(__xludf.DUMMYFUNCTION("""COMPUTED_VALUE"""),"CLOSED")</f>
        <v>CLOSED</v>
      </c>
      <c r="G524" s="1" t="str">
        <f>IFERROR(__xludf.DUMMYFUNCTION("""COMPUTED_VALUE"""),"CLOSED")</f>
        <v>CLOSED</v>
      </c>
      <c r="H524" s="1"/>
      <c r="I524" s="1" t="str">
        <f>IFERROR(__xludf.DUMMYFUNCTION("""COMPUTED_VALUE"""),"NO 1 AMSF")</f>
        <v>NO 1 AMSF</v>
      </c>
      <c r="J524" s="1" t="str">
        <f>IFERROR(__xludf.DUMMYFUNCTION("""COMPUTED_VALUE"""),"DUE DATE - 11-Oct-26 - 1,382.81")</f>
        <v>DUE DATE - 11-Oct-26 - 1,382.81</v>
      </c>
      <c r="K524" s="1" t="str">
        <f>IFERROR(__xludf.DUMMYFUNCTION("""COMPUTED_VALUE"""),"COMPLETED")</f>
        <v>COMPLETED</v>
      </c>
      <c r="L524" s="1" t="str">
        <f>IFERROR(__xludf.DUMMYFUNCTION("""COMPUTED_VALUE"""),"POSTED")</f>
        <v>POSTED</v>
      </c>
      <c r="M524" s="1" t="str">
        <f>IFERROR(__xludf.DUMMYFUNCTION("""COMPUTED_VALUE"""),"POSTED")</f>
        <v>POSTED</v>
      </c>
      <c r="N524" s="3">
        <f>IFERROR(__xludf.DUMMYFUNCTION("""COMPUTED_VALUE"""),46281)</f>
        <v>46281</v>
      </c>
      <c r="O524" s="1" t="str">
        <f>IFERROR(__xludf.DUMMYFUNCTION("""COMPUTED_VALUE"""),"FIBR PLAN 1299")</f>
        <v>FIBR PLAN 1299</v>
      </c>
      <c r="P524" s="1" t="str">
        <f>IFERROR(__xludf.DUMMYFUNCTION("""COMPUTED_VALUE"""),"LOWPLAN")</f>
        <v>LOWPLAN</v>
      </c>
      <c r="Q524" s="1" t="str">
        <f>IFERROR(__xludf.DUMMYFUNCTION("""COMPUTED_VALUE"""),"P407561")</f>
        <v>P407561</v>
      </c>
      <c r="R524" s="1" t="str">
        <f>IFERROR(__xludf.DUMMYFUNCTION("""COMPUTED_VALUE"""),"TAMAYO, MARY ROSE ZAIRA")</f>
        <v>TAMAYO, MARY ROSE ZAIRA</v>
      </c>
      <c r="S524" s="1" t="str">
        <f>IFERROR(__xludf.DUMMYFUNCTION("""COMPUTED_VALUE"""),"ORGANIC")</f>
        <v>ORGANIC</v>
      </c>
      <c r="T524" s="1" t="str">
        <f>IFERROR(__xludf.DUMMYFUNCTION("""COMPUTED_VALUE"""),"LEA REMOLLO")</f>
        <v>LEA REMOLLO</v>
      </c>
      <c r="U524" s="1" t="str">
        <f>IFERROR(__xludf.DUMMYFUNCTION("""COMPUTED_VALUE"""),"JB SALIOA")</f>
        <v>JB SALIOA</v>
      </c>
      <c r="V524" s="1" t="str">
        <f>IFERROR(__xludf.DUMMYFUNCTION("""COMPUTED_VALUE"""),"BK HSTK")</f>
        <v>BK HSTK</v>
      </c>
      <c r="W524" s="1" t="str">
        <f>IFERROR(__xludf.DUMMYFUNCTION("""COMPUTED_VALUE"""),"BK HSTK")</f>
        <v>BK HSTK</v>
      </c>
      <c r="X524" s="1" t="str">
        <f>IFERROR(__xludf.DUMMYFUNCTION("""COMPUTED_VALUE"""),"REGULAR")</f>
        <v>REGULAR</v>
      </c>
      <c r="Y524" s="1" t="str">
        <f>IFERROR(__xludf.DUMMYFUNCTION("""COMPUTED_VALUE"""),"BK_CVEU_260820")</f>
        <v>BK_CVEU_260820</v>
      </c>
      <c r="Z524" s="1" t="str">
        <f>IFERROR(__xludf.DUMMYFUNCTION("""COMPUTED_VALUE"""),"NEW CONNECT")</f>
        <v>NEW CONNECT</v>
      </c>
      <c r="AA524" s="1">
        <f>IFERROR(__xludf.DUMMYFUNCTION("""COMPUTED_VALUE"""),639270120099)</f>
        <v>639270120099</v>
      </c>
      <c r="AB524" s="1"/>
      <c r="AC524" s="1"/>
      <c r="AD524" s="1" t="str">
        <f>IFERROR(__xludf.DUMMYFUNCTION("""COMPUTED_VALUE"""),"ACACIA")</f>
        <v>ACACIA</v>
      </c>
      <c r="AE524" s="1"/>
      <c r="AF524" s="1" t="str">
        <f>IFERROR(__xludf.DUMMYFUNCTION("""COMPUTED_VALUE"""),"BGY ACACIA")</f>
        <v>BGY ACACIA</v>
      </c>
      <c r="AG524" s="1" t="str">
        <f>IFERROR(__xludf.DUMMYFUNCTION("""COMPUTED_VALUE"""),"SILANG")</f>
        <v>SILANG</v>
      </c>
      <c r="AH524" s="1" t="str">
        <f>IFERROR(__xludf.DUMMYFUNCTION("""COMPUTED_VALUE"""),"-")</f>
        <v>-</v>
      </c>
      <c r="AI524" s="1" t="str">
        <f>IFERROR(__xludf.DUMMYFUNCTION("""COMPUTED_VALUE"""),"CLUSTER 11")</f>
        <v>CLUSTER 11</v>
      </c>
    </row>
    <row r="525" customHeight="1" spans="1:35">
      <c r="A525" s="3">
        <f>IFERROR(__xludf.DUMMYFUNCTION("""COMPUTED_VALUE"""),46277)</f>
        <v>46277</v>
      </c>
      <c r="B525" s="1" t="str">
        <f>IFERROR(__xludf.DUMMYFUNCTION("""COMPUTED_VALUE"""),"ALBERT BIEN MANIMTIM")</f>
        <v>ALBERT BIEN MANIMTIM</v>
      </c>
      <c r="C525" s="1">
        <f>IFERROR(__xludf.DUMMYFUNCTION("""COMPUTED_VALUE"""),2312542524)</f>
        <v>2312542524</v>
      </c>
      <c r="D525" s="1"/>
      <c r="E525" s="1"/>
      <c r="F525" s="1" t="str">
        <f>IFERROR(__xludf.DUMMYFUNCTION("""COMPUTED_VALUE"""),"REENCODED")</f>
        <v>REENCODED</v>
      </c>
      <c r="G525" s="1" t="str">
        <f>IFERROR(__xludf.DUMMYFUNCTION("""COMPUTED_VALUE"""),"REENCODED DUE TO SYSTEM ERROR")</f>
        <v>REENCODED DUE TO SYSTEM ERROR</v>
      </c>
      <c r="H525" s="1"/>
      <c r="I525" s="1"/>
      <c r="J525" s="1"/>
      <c r="K525" s="1"/>
      <c r="L525" s="1" t="str">
        <f>IFERROR(__xludf.DUMMYFUNCTION("""COMPUTED_VALUE"""),"REENCODED")</f>
        <v>REENCODED</v>
      </c>
      <c r="M525" s="1" t="str">
        <f>IFERROR(__xludf.DUMMYFUNCTION("""COMPUTED_VALUE"""),"REENCODED")</f>
        <v>REENCODED</v>
      </c>
      <c r="N525" s="3"/>
      <c r="O525" s="1" t="str">
        <f>IFERROR(__xludf.DUMMYFUNCTION("""COMPUTED_VALUE"""),"FIBER UNLI ALL PLAN 1499")</f>
        <v>FIBER UNLI ALL PLAN 1499</v>
      </c>
      <c r="P525" s="1" t="str">
        <f>IFERROR(__xludf.DUMMYFUNCTION("""COMPUTED_VALUE"""),"LOWPLAN")</f>
        <v>LOWPLAN</v>
      </c>
      <c r="Q525" s="1" t="str">
        <f>IFERROR(__xludf.DUMMYFUNCTION("""COMPUTED_VALUE"""),"P407050")</f>
        <v>P407050</v>
      </c>
      <c r="R525" s="1" t="str">
        <f>IFERROR(__xludf.DUMMYFUNCTION("""COMPUTED_VALUE"""),"CADERAO, RONALD")</f>
        <v>CADERAO, RONALD</v>
      </c>
      <c r="S525" s="1" t="str">
        <f>IFERROR(__xludf.DUMMYFUNCTION("""COMPUTED_VALUE"""),"ORGANIC")</f>
        <v>ORGANIC</v>
      </c>
      <c r="T525" s="1" t="str">
        <f>IFERROR(__xludf.DUMMYFUNCTION("""COMPUTED_VALUE"""),"LEA REMOLLO")</f>
        <v>LEA REMOLLO</v>
      </c>
      <c r="U525" s="1" t="str">
        <f>IFERROR(__xludf.DUMMYFUNCTION("""COMPUTED_VALUE"""),"JB SALIOA")</f>
        <v>JB SALIOA</v>
      </c>
      <c r="V525" s="1" t="str">
        <f>IFERROR(__xludf.DUMMYFUNCTION("""COMPUTED_VALUE"""),"BK REGULAR")</f>
        <v>BK REGULAR</v>
      </c>
      <c r="W525" s="1" t="str">
        <f>IFERROR(__xludf.DUMMYFUNCTION("""COMPUTED_VALUE"""),"STK REGULAR")</f>
        <v>STK REGULAR</v>
      </c>
      <c r="X525" s="1" t="str">
        <f>IFERROR(__xludf.DUMMYFUNCTION("""COMPUTED_VALUE"""),"HBBS SEPT 2026")</f>
        <v>HBBS SEPT 2026</v>
      </c>
      <c r="Y525" s="1" t="str">
        <f>IFERROR(__xludf.DUMMYFUNCTION("""COMPUTED_VALUE"""),"BK_CVEU_260820")</f>
        <v>BK_CVEU_260820</v>
      </c>
      <c r="Z525" s="1" t="str">
        <f>IFERROR(__xludf.DUMMYFUNCTION("""COMPUTED_VALUE"""),"NEW CONNECT")</f>
        <v>NEW CONNECT</v>
      </c>
      <c r="AA525" s="1">
        <f>IFERROR(__xludf.DUMMYFUNCTION("""COMPUTED_VALUE"""),639238784468)</f>
        <v>639238784468</v>
      </c>
      <c r="AB525" s="1">
        <f>IFERROR(__xludf.DUMMYFUNCTION("""COMPUTED_VALUE"""),639071084018)</f>
        <v>639071084018</v>
      </c>
      <c r="AC525" s="1">
        <f>IFERROR(__xludf.DUMMYFUNCTION("""COMPUTED_VALUE"""),392)</f>
        <v>392</v>
      </c>
      <c r="AD525" s="1" t="str">
        <f>IFERROR(__xludf.DUMMYFUNCTION("""COMPUTED_VALUE"""),"RILES")</f>
        <v>RILES</v>
      </c>
      <c r="AE525" s="1" t="str">
        <f>IFERROR(__xludf.DUMMYFUNCTION("""COMPUTED_VALUE"""),"PUROK 4")</f>
        <v>PUROK 4</v>
      </c>
      <c r="AF525" s="1" t="str">
        <f>IFERROR(__xludf.DUMMYFUNCTION("""COMPUTED_VALUE"""),"BGY PASONG LANGKA")</f>
        <v>BGY PASONG LANGKA</v>
      </c>
      <c r="AG525" s="1" t="str">
        <f>IFERROR(__xludf.DUMMYFUNCTION("""COMPUTED_VALUE"""),"SILANG")</f>
        <v>SILANG</v>
      </c>
      <c r="AH525" s="1" t="str">
        <f>IFERROR(__xludf.DUMMYFUNCTION("""COMPUTED_VALUE"""),"-")</f>
        <v>-</v>
      </c>
      <c r="AI525" s="1" t="str">
        <f>IFERROR(__xludf.DUMMYFUNCTION("""COMPUTED_VALUE"""),"CLUSTER 11")</f>
        <v>CLUSTER 11</v>
      </c>
    </row>
    <row r="526" customHeight="1" spans="1:35">
      <c r="A526" s="3">
        <f>IFERROR(__xludf.DUMMYFUNCTION("""COMPUTED_VALUE"""),46277)</f>
        <v>46277</v>
      </c>
      <c r="B526" s="1" t="str">
        <f>IFERROR(__xludf.DUMMYFUNCTION("""COMPUTED_VALUE"""),"SHERLYN SANTOS POTENTE")</f>
        <v>SHERLYN SANTOS POTENTE</v>
      </c>
      <c r="C526" s="1">
        <f>IFERROR(__xludf.DUMMYFUNCTION("""COMPUTED_VALUE"""),2312542796)</f>
        <v>2312542796</v>
      </c>
      <c r="D526" s="1">
        <f>IFERROR(__xludf.DUMMYFUNCTION("""COMPUTED_VALUE"""),407917499)</f>
        <v>407917499</v>
      </c>
      <c r="E526" s="1">
        <f>IFERROR(__xludf.DUMMYFUNCTION("""COMPUTED_VALUE"""),471097012004)</f>
        <v>471097012004</v>
      </c>
      <c r="F526" s="1" t="str">
        <f>IFERROR(__xludf.DUMMYFUNCTION("""COMPUTED_VALUE"""),"FOR CANCELLATION")</f>
        <v>FOR CANCELLATION</v>
      </c>
      <c r="G526" s="1" t="str">
        <f>IFERROR(__xludf.DUMMYFUNCTION("""COMPUTED_VALUE"""),"FOR CANCELLATION")</f>
        <v>FOR CANCELLATION</v>
      </c>
      <c r="H526" s="1" t="str">
        <f>IFERROR(__xludf.DUMMYFUNCTION("""COMPUTED_VALUE"""),"CANCEL NA DAW PO NAINSTALLAN NA NG SPECTRUM 9/21/ FOR CANCELLATION")</f>
        <v>CANCEL NA DAW PO NAINSTALLAN NA NG SPECTRUM 9/21/ FOR CANCELLATION</v>
      </c>
      <c r="I526" s="1"/>
      <c r="J526" s="1"/>
      <c r="K526" s="1" t="str">
        <f>IFERROR(__xludf.DUMMYFUNCTION("""COMPUTED_VALUE"""),"NOT IN OFSC")</f>
        <v>NOT IN OFSC</v>
      </c>
      <c r="L526" s="1" t="str">
        <f>IFERROR(__xludf.DUMMYFUNCTION("""COMPUTED_VALUE"""),"FOR CANCELLATION")</f>
        <v>FOR CANCELLATION</v>
      </c>
      <c r="M526" s="1" t="str">
        <f>IFERROR(__xludf.DUMMYFUNCTION("""COMPUTED_VALUE"""),"FOR CANCELLATION - NON COMPLIANCE - NO PAYMENT")</f>
        <v>FOR CANCELLATION - NON COMPLIANCE - NO PAYMENT</v>
      </c>
      <c r="N526" s="3"/>
      <c r="O526" s="1" t="str">
        <f>IFERROR(__xludf.DUMMYFUNCTION("""COMPUTED_VALUE"""),"FIBR UNLI ALL PLAN 999")</f>
        <v>FIBR UNLI ALL PLAN 999</v>
      </c>
      <c r="P526" s="1" t="str">
        <f>IFERROR(__xludf.DUMMYFUNCTION("""COMPUTED_VALUE"""),"LOWPLAN")</f>
        <v>LOWPLAN</v>
      </c>
      <c r="Q526" s="1" t="str">
        <f>IFERROR(__xludf.DUMMYFUNCTION("""COMPUTED_VALUE"""),"P407050")</f>
        <v>P407050</v>
      </c>
      <c r="R526" s="1" t="str">
        <f>IFERROR(__xludf.DUMMYFUNCTION("""COMPUTED_VALUE"""),"ESCARCHA, ALMA")</f>
        <v>ESCARCHA, ALMA</v>
      </c>
      <c r="S526" s="1" t="str">
        <f>IFERROR(__xludf.DUMMYFUNCTION("""COMPUTED_VALUE"""),"ORGANIC")</f>
        <v>ORGANIC</v>
      </c>
      <c r="T526" s="1" t="str">
        <f>IFERROR(__xludf.DUMMYFUNCTION("""COMPUTED_VALUE"""),"LEA REMOLLO")</f>
        <v>LEA REMOLLO</v>
      </c>
      <c r="U526" s="1" t="str">
        <f>IFERROR(__xludf.DUMMYFUNCTION("""COMPUTED_VALUE"""),"JB SALIOA")</f>
        <v>JB SALIOA</v>
      </c>
      <c r="V526" s="1" t="str">
        <f>IFERROR(__xludf.DUMMYFUNCTION("""COMPUTED_VALUE"""),"BK REGULAR")</f>
        <v>BK REGULAR</v>
      </c>
      <c r="W526" s="1" t="str">
        <f>IFERROR(__xludf.DUMMYFUNCTION("""COMPUTED_VALUE"""),"STK REGULAR")</f>
        <v>STK REGULAR</v>
      </c>
      <c r="X526" s="1" t="str">
        <f>IFERROR(__xludf.DUMMYFUNCTION("""COMPUTED_VALUE"""),"REGULAR")</f>
        <v>REGULAR</v>
      </c>
      <c r="Y526" s="1" t="str">
        <f>IFERROR(__xludf.DUMMYFUNCTION("""COMPUTED_VALUE"""),"BK_CVEU_260820")</f>
        <v>BK_CVEU_260820</v>
      </c>
      <c r="Z526" s="1" t="str">
        <f>IFERROR(__xludf.DUMMYFUNCTION("""COMPUTED_VALUE"""),"NEW CONNECT")</f>
        <v>NEW CONNECT</v>
      </c>
      <c r="AA526" s="1">
        <f>IFERROR(__xludf.DUMMYFUNCTION("""COMPUTED_VALUE"""),639928752070)</f>
        <v>639928752070</v>
      </c>
      <c r="AB526" s="1"/>
      <c r="AC526" s="1">
        <f>IFERROR(__xludf.DUMMYFUNCTION("""COMPUTED_VALUE"""),3815)</f>
        <v>3815</v>
      </c>
      <c r="AD526" s="1" t="str">
        <f>IFERROR(__xludf.DUMMYFUNCTION("""COMPUTED_VALUE"""),"YAKAL")</f>
        <v>YAKAL</v>
      </c>
      <c r="AE526" s="1"/>
      <c r="AF526" s="1" t="str">
        <f>IFERROR(__xludf.DUMMYFUNCTION("""COMPUTED_VALUE"""),"BGY YAKAL")</f>
        <v>BGY YAKAL</v>
      </c>
      <c r="AG526" s="1" t="str">
        <f>IFERROR(__xludf.DUMMYFUNCTION("""COMPUTED_VALUE"""),"SILANG")</f>
        <v>SILANG</v>
      </c>
      <c r="AH526" s="1" t="str">
        <f>IFERROR(__xludf.DUMMYFUNCTION("""COMPUTED_VALUE"""),"PHARMACY")</f>
        <v>PHARMACY</v>
      </c>
      <c r="AI526" s="1" t="str">
        <f>IFERROR(__xludf.DUMMYFUNCTION("""COMPUTED_VALUE"""),"CLUSTER 11")</f>
        <v>CLUSTER 11</v>
      </c>
    </row>
    <row r="527" customHeight="1" spans="1:35">
      <c r="A527" s="3">
        <f>IFERROR(__xludf.DUMMYFUNCTION("""COMPUTED_VALUE"""),46277)</f>
        <v>46277</v>
      </c>
      <c r="B527" s="1" t="str">
        <f>IFERROR(__xludf.DUMMYFUNCTION("""COMPUTED_VALUE"""),"CATHERINE TANAY SECRIZ")</f>
        <v>CATHERINE TANAY SECRIZ</v>
      </c>
      <c r="C527" s="1">
        <f>IFERROR(__xludf.DUMMYFUNCTION("""COMPUTED_VALUE"""),2312543870)</f>
        <v>2312543870</v>
      </c>
      <c r="D527" s="1">
        <f>IFERROR(__xludf.DUMMYFUNCTION("""COMPUTED_VALUE"""),407949293)</f>
        <v>407949293</v>
      </c>
      <c r="E527" s="1">
        <f>IFERROR(__xludf.DUMMYFUNCTION("""COMPUTED_VALUE"""),471237099004)</f>
        <v>471237099004</v>
      </c>
      <c r="F527" s="1" t="str">
        <f>IFERROR(__xludf.DUMMYFUNCTION("""COMPUTED_VALUE"""),"CLOSED")</f>
        <v>CLOSED</v>
      </c>
      <c r="G527" s="1" t="str">
        <f>IFERROR(__xludf.DUMMYFUNCTION("""COMPUTED_VALUE"""),"CLOSED")</f>
        <v>CLOSED</v>
      </c>
      <c r="H527" s="1" t="str">
        <f>IFERROR(__xludf.DUMMYFUNCTION("""COMPUTED_VALUE"""),"PAID VIA GCASH - OCT 6 - REF - 086931583")</f>
        <v>PAID VIA GCASH - OCT 6 - REF - 086931583</v>
      </c>
      <c r="I527" s="1" t="str">
        <f>IFERROR(__xludf.DUMMYFUNCTION("""COMPUTED_VALUE"""),"WITH 1 AMSF")</f>
        <v>WITH 1 AMSF</v>
      </c>
      <c r="J527" s="1"/>
      <c r="K527" s="1" t="str">
        <f>IFERROR(__xludf.DUMMYFUNCTION("""COMPUTED_VALUE"""),"COMPLETED")</f>
        <v>COMPLETED</v>
      </c>
      <c r="L527" s="1" t="str">
        <f>IFERROR(__xludf.DUMMYFUNCTION("""COMPUTED_VALUE"""),"POSTED")</f>
        <v>POSTED</v>
      </c>
      <c r="M527" s="1" t="str">
        <f>IFERROR(__xludf.DUMMYFUNCTION("""COMPUTED_VALUE"""),"POSTED")</f>
        <v>POSTED</v>
      </c>
      <c r="N527" s="3">
        <f>IFERROR(__xludf.DUMMYFUNCTION("""COMPUTED_VALUE"""),46282)</f>
        <v>46282</v>
      </c>
      <c r="O527" s="1" t="str">
        <f>IFERROR(__xludf.DUMMYFUNCTION("""COMPUTED_VALUE"""),"FIBR PLAN 1299")</f>
        <v>FIBR PLAN 1299</v>
      </c>
      <c r="P527" s="1" t="str">
        <f>IFERROR(__xludf.DUMMYFUNCTION("""COMPUTED_VALUE"""),"LOWPLAN")</f>
        <v>LOWPLAN</v>
      </c>
      <c r="Q527" s="1" t="str">
        <f>IFERROR(__xludf.DUMMYFUNCTION("""COMPUTED_VALUE"""),"P407516")</f>
        <v>P407516</v>
      </c>
      <c r="R527" s="1" t="str">
        <f>IFERROR(__xludf.DUMMYFUNCTION("""COMPUTED_VALUE"""),"AYON, MANUEL")</f>
        <v>AYON, MANUEL</v>
      </c>
      <c r="S527" s="1" t="str">
        <f>IFERROR(__xludf.DUMMYFUNCTION("""COMPUTED_VALUE"""),"FLA")</f>
        <v>FLA</v>
      </c>
      <c r="T527" s="1" t="str">
        <f>IFERROR(__xludf.DUMMYFUNCTION("""COMPUTED_VALUE"""),"JERIC NAVARRO")</f>
        <v>JERIC NAVARRO</v>
      </c>
      <c r="U527" s="1" t="str">
        <f>IFERROR(__xludf.DUMMYFUNCTION("""COMPUTED_VALUE"""),"JULIE ESPIRITU")</f>
        <v>JULIE ESPIRITU</v>
      </c>
      <c r="V527" s="1" t="str">
        <f>IFERROR(__xludf.DUMMYFUNCTION("""COMPUTED_VALUE"""),"ONLINE/CRANFORD")</f>
        <v>ONLINE/CRANFORD</v>
      </c>
      <c r="W527" s="1" t="str">
        <f>IFERROR(__xludf.DUMMYFUNCTION("""COMPUTED_VALUE"""),"STK REGULAR")</f>
        <v>STK REGULAR</v>
      </c>
      <c r="X527" s="1" t="str">
        <f>IFERROR(__xludf.DUMMYFUNCTION("""COMPUTED_VALUE"""),"HBBS SEPT 2026")</f>
        <v>HBBS SEPT 2026</v>
      </c>
      <c r="Y527" s="1" t="str">
        <f>IFERROR(__xludf.DUMMYFUNCTION("""COMPUTED_VALUE"""),"RS_ONL_CVEU_2026")</f>
        <v>RS_ONL_CVEU_2026</v>
      </c>
      <c r="Z527" s="1" t="str">
        <f>IFERROR(__xludf.DUMMYFUNCTION("""COMPUTED_VALUE"""),"NEW CONNECT")</f>
        <v>NEW CONNECT</v>
      </c>
      <c r="AA527" s="1">
        <f>IFERROR(__xludf.DUMMYFUNCTION("""COMPUTED_VALUE"""),639457913528)</f>
        <v>639457913528</v>
      </c>
      <c r="AB527" s="1">
        <f>IFERROR(__xludf.DUMMYFUNCTION("""COMPUTED_VALUE"""),639988439698)</f>
        <v>639988439698</v>
      </c>
      <c r="AC527" s="1"/>
      <c r="AD527" s="1" t="str">
        <f>IFERROR(__xludf.DUMMYFUNCTION("""COMPUTED_VALUE"""),"PHASE 3")</f>
        <v>PHASE 3</v>
      </c>
      <c r="AE527" s="1"/>
      <c r="AF527" s="1" t="str">
        <f>IFERROR(__xludf.DUMMYFUNCTION("""COMPUTED_VALUE"""),"BGY MILAGROSA")</f>
        <v>BGY MILAGROSA</v>
      </c>
      <c r="AG527" s="1" t="str">
        <f>IFERROR(__xludf.DUMMYFUNCTION("""COMPUTED_VALUE"""),"CARMONA")</f>
        <v>CARMONA</v>
      </c>
      <c r="AH527" s="1"/>
      <c r="AI527" s="1" t="str">
        <f>IFERROR(__xludf.DUMMYFUNCTION("""COMPUTED_VALUE"""),"CLUSTER 11")</f>
        <v>CLUSTER 11</v>
      </c>
    </row>
    <row r="528" customHeight="1" spans="1:35">
      <c r="A528" s="3">
        <f>IFERROR(__xludf.DUMMYFUNCTION("""COMPUTED_VALUE"""),46278)</f>
        <v>46278</v>
      </c>
      <c r="B528" s="1" t="str">
        <f>IFERROR(__xludf.DUMMYFUNCTION("""COMPUTED_VALUE"""),"CASSANDRA NHICOLE POBLETE ENCABO")</f>
        <v>CASSANDRA NHICOLE POBLETE ENCABO</v>
      </c>
      <c r="C528" s="1">
        <f>IFERROR(__xludf.DUMMYFUNCTION("""COMPUTED_VALUE"""),2312551504)</f>
        <v>2312551504</v>
      </c>
      <c r="D528" s="1">
        <f>IFERROR(__xludf.DUMMYFUNCTION("""COMPUTED_VALUE"""),407929624)</f>
        <v>407929624</v>
      </c>
      <c r="E528" s="1">
        <f>IFERROR(__xludf.DUMMYFUNCTION("""COMPUTED_VALUE"""),471209155004)</f>
        <v>471209155004</v>
      </c>
      <c r="F528" s="1" t="str">
        <f>IFERROR(__xludf.DUMMYFUNCTION("""COMPUTED_VALUE"""),"CLOSED")</f>
        <v>CLOSED</v>
      </c>
      <c r="G528" s="1" t="str">
        <f>IFERROR(__xludf.DUMMYFUNCTION("""COMPUTED_VALUE"""),"CLOSED")</f>
        <v>CLOSED</v>
      </c>
      <c r="H528" s="1" t="str">
        <f>IFERROR(__xludf.DUMMYFUNCTION("""COMPUTED_VALUE"""),"PAID VIA GCASH - OCT 8 - REF - 258358351")</f>
        <v>PAID VIA GCASH - OCT 8 - REF - 258358351</v>
      </c>
      <c r="I528" s="1" t="str">
        <f>IFERROR(__xludf.DUMMYFUNCTION("""COMPUTED_VALUE"""),"WITH 1 AMSF")</f>
        <v>WITH 1 AMSF</v>
      </c>
      <c r="J528" s="1" t="str">
        <f>IFERROR(__xludf.DUMMYFUNCTION("""COMPUTED_VALUE"""),"DUE DATE - 11-Oct-26 - 1,781.75")</f>
        <v>DUE DATE - 11-Oct-26 - 1,781.75</v>
      </c>
      <c r="K528" s="1"/>
      <c r="L528" s="1" t="str">
        <f>IFERROR(__xludf.DUMMYFUNCTION("""COMPUTED_VALUE"""),"POSTED")</f>
        <v>POSTED</v>
      </c>
      <c r="M528" s="1" t="str">
        <f>IFERROR(__xludf.DUMMYFUNCTION("""COMPUTED_VALUE"""),"POSTED")</f>
        <v>POSTED</v>
      </c>
      <c r="N528" s="3">
        <f>IFERROR(__xludf.DUMMYFUNCTION("""COMPUTED_VALUE"""),46280)</f>
        <v>46280</v>
      </c>
      <c r="O528" s="1" t="str">
        <f>IFERROR(__xludf.DUMMYFUNCTION("""COMPUTED_VALUE"""),"FIBR NETFLIX PLAN 1599")</f>
        <v>FIBR NETFLIX PLAN 1599</v>
      </c>
      <c r="P528" s="1" t="str">
        <f>IFERROR(__xludf.DUMMYFUNCTION("""COMPUTED_VALUE"""),"LOWPLAN")</f>
        <v>LOWPLAN</v>
      </c>
      <c r="Q528" s="1" t="str">
        <f>IFERROR(__xludf.DUMMYFUNCTION("""COMPUTED_VALUE"""),"P407044")</f>
        <v>P407044</v>
      </c>
      <c r="R528" s="1" t="str">
        <f>IFERROR(__xludf.DUMMYFUNCTION("""COMPUTED_VALUE"""),"DACALCAP, ROGER")</f>
        <v>DACALCAP, ROGER</v>
      </c>
      <c r="S528" s="1" t="str">
        <f>IFERROR(__xludf.DUMMYFUNCTION("""COMPUTED_VALUE"""),"FLA")</f>
        <v>FLA</v>
      </c>
      <c r="T528" s="1" t="str">
        <f>IFERROR(__xludf.DUMMYFUNCTION("""COMPUTED_VALUE"""),"JERIC NAVARRO")</f>
        <v>JERIC NAVARRO</v>
      </c>
      <c r="U528" s="1" t="str">
        <f>IFERROR(__xludf.DUMMYFUNCTION("""COMPUTED_VALUE"""),"JB SALIOA")</f>
        <v>JB SALIOA</v>
      </c>
      <c r="V528" s="1" t="str">
        <f>IFERROR(__xludf.DUMMYFUNCTION("""COMPUTED_VALUE"""),"BK REGULAR")</f>
        <v>BK REGULAR</v>
      </c>
      <c r="W528" s="1" t="str">
        <f>IFERROR(__xludf.DUMMYFUNCTION("""COMPUTED_VALUE"""),"STK REGULAR")</f>
        <v>STK REGULAR</v>
      </c>
      <c r="X528" s="1" t="str">
        <f>IFERROR(__xludf.DUMMYFUNCTION("""COMPUTED_VALUE"""),"HBBS SEPT 2026")</f>
        <v>HBBS SEPT 2026</v>
      </c>
      <c r="Y528" s="1" t="str">
        <f>IFERROR(__xludf.DUMMYFUNCTION("""COMPUTED_VALUE"""),"BK_CVEU_260820")</f>
        <v>BK_CVEU_260820</v>
      </c>
      <c r="Z528" s="1" t="str">
        <f>IFERROR(__xludf.DUMMYFUNCTION("""COMPUTED_VALUE"""),"NEW CONNECT")</f>
        <v>NEW CONNECT</v>
      </c>
      <c r="AA528" s="1">
        <f>IFERROR(__xludf.DUMMYFUNCTION("""COMPUTED_VALUE"""),639301522679)</f>
        <v>639301522679</v>
      </c>
      <c r="AB528" s="1">
        <f>IFERROR(__xludf.DUMMYFUNCTION("""COMPUTED_VALUE"""),639666587612)</f>
        <v>639666587612</v>
      </c>
      <c r="AC528" s="1"/>
      <c r="AD528" s="1" t="str">
        <f>IFERROR(__xludf.DUMMYFUNCTION("""COMPUTED_VALUE"""),"PHASE 2A")</f>
        <v>PHASE 2A</v>
      </c>
      <c r="AE528" s="1" t="str">
        <f>IFERROR(__xludf.DUMMYFUNCTION("""COMPUTED_VALUE"""),"SUMMERFIELD SUBD")</f>
        <v>SUMMERFIELD SUBD</v>
      </c>
      <c r="AF528" s="1" t="str">
        <f>IFERROR(__xludf.DUMMYFUNCTION("""COMPUTED_VALUE"""),"BGY OSORIO")</f>
        <v>BGY OSORIO</v>
      </c>
      <c r="AG528" s="1" t="str">
        <f>IFERROR(__xludf.DUMMYFUNCTION("""COMPUTED_VALUE"""),"TRECE MARTIREZ CITY")</f>
        <v>TRECE MARTIREZ CITY</v>
      </c>
      <c r="AH528" s="1" t="str">
        <f>IFERROR(__xludf.DUMMYFUNCTION("""COMPUTED_VALUE"""),"BACK OF DIVISORIO")</f>
        <v>BACK OF DIVISORIO</v>
      </c>
      <c r="AI528" s="1" t="str">
        <f>IFERROR(__xludf.DUMMYFUNCTION("""COMPUTED_VALUE"""),"NOT AOR")</f>
        <v>NOT AOR</v>
      </c>
    </row>
    <row r="529" customHeight="1" spans="1:35">
      <c r="A529" s="3">
        <f>IFERROR(__xludf.DUMMYFUNCTION("""COMPUTED_VALUE"""),46278)</f>
        <v>46278</v>
      </c>
      <c r="B529" s="1" t="str">
        <f>IFERROR(__xludf.DUMMYFUNCTION("""COMPUTED_VALUE"""),"MARICEL MERMAL DUMALA")</f>
        <v>MARICEL MERMAL DUMALA</v>
      </c>
      <c r="C529" s="1">
        <f>IFERROR(__xludf.DUMMYFUNCTION("""COMPUTED_VALUE"""),2312552856)</f>
        <v>2312552856</v>
      </c>
      <c r="D529" s="1">
        <f>IFERROR(__xludf.DUMMYFUNCTION("""COMPUTED_VALUE"""),407930754)</f>
        <v>407930754</v>
      </c>
      <c r="E529" s="1">
        <f>IFERROR(__xludf.DUMMYFUNCTION("""COMPUTED_VALUE"""),471210886004)</f>
        <v>471210886004</v>
      </c>
      <c r="F529" s="1" t="str">
        <f>IFERROR(__xludf.DUMMYFUNCTION("""COMPUTED_VALUE"""),"CLOSED")</f>
        <v>CLOSED</v>
      </c>
      <c r="G529" s="1" t="str">
        <f>IFERROR(__xludf.DUMMYFUNCTION("""COMPUTED_VALUE"""),"CLOSED")</f>
        <v>CLOSED</v>
      </c>
      <c r="H529" s="1"/>
      <c r="I529" s="1" t="str">
        <f>IFERROR(__xludf.DUMMYFUNCTION("""COMPUTED_VALUE"""),"NO 1 AMSF")</f>
        <v>NO 1 AMSF</v>
      </c>
      <c r="J529" s="1" t="str">
        <f>IFERROR(__xludf.DUMMYFUNCTION("""COMPUTED_VALUE"""),"DUE DATE - 08-Oct-261,184.44")</f>
        <v>DUE DATE - 08-Oct-261,184.44</v>
      </c>
      <c r="K529" s="1" t="str">
        <f>IFERROR(__xludf.DUMMYFUNCTION("""COMPUTED_VALUE"""),"COMPLETED")</f>
        <v>COMPLETED</v>
      </c>
      <c r="L529" s="1" t="str">
        <f>IFERROR(__xludf.DUMMYFUNCTION("""COMPUTED_VALUE"""),"POSTED")</f>
        <v>POSTED</v>
      </c>
      <c r="M529" s="1" t="str">
        <f>IFERROR(__xludf.DUMMYFUNCTION("""COMPUTED_VALUE"""),"POSTED")</f>
        <v>POSTED</v>
      </c>
      <c r="N529" s="3">
        <f>IFERROR(__xludf.DUMMYFUNCTION("""COMPUTED_VALUE"""),46279)</f>
        <v>46279</v>
      </c>
      <c r="O529" s="1" t="str">
        <f>IFERROR(__xludf.DUMMYFUNCTION("""COMPUTED_VALUE"""),"FIBR UNLI ALL PLAN 999")</f>
        <v>FIBR UNLI ALL PLAN 999</v>
      </c>
      <c r="P529" s="1" t="str">
        <f>IFERROR(__xludf.DUMMYFUNCTION("""COMPUTED_VALUE"""),"LOWPLAN")</f>
        <v>LOWPLAN</v>
      </c>
      <c r="Q529" s="1" t="str">
        <f>IFERROR(__xludf.DUMMYFUNCTION("""COMPUTED_VALUE"""),"P407050")</f>
        <v>P407050</v>
      </c>
      <c r="R529" s="1" t="str">
        <f>IFERROR(__xludf.DUMMYFUNCTION("""COMPUTED_VALUE"""),"ESCARCHA, ALMA")</f>
        <v>ESCARCHA, ALMA</v>
      </c>
      <c r="S529" s="1" t="str">
        <f>IFERROR(__xludf.DUMMYFUNCTION("""COMPUTED_VALUE"""),"ORGANIC")</f>
        <v>ORGANIC</v>
      </c>
      <c r="T529" s="1" t="str">
        <f>IFERROR(__xludf.DUMMYFUNCTION("""COMPUTED_VALUE"""),"LEA REMOLLO")</f>
        <v>LEA REMOLLO</v>
      </c>
      <c r="U529" s="1" t="str">
        <f>IFERROR(__xludf.DUMMYFUNCTION("""COMPUTED_VALUE"""),"JB SALIOA")</f>
        <v>JB SALIOA</v>
      </c>
      <c r="V529" s="1" t="str">
        <f>IFERROR(__xludf.DUMMYFUNCTION("""COMPUTED_VALUE"""),"BK HSTK")</f>
        <v>BK HSTK</v>
      </c>
      <c r="W529" s="1" t="str">
        <f>IFERROR(__xludf.DUMMYFUNCTION("""COMPUTED_VALUE"""),"BK HSTK")</f>
        <v>BK HSTK</v>
      </c>
      <c r="X529" s="1" t="str">
        <f>IFERROR(__xludf.DUMMYFUNCTION("""COMPUTED_VALUE"""),"REGULAR")</f>
        <v>REGULAR</v>
      </c>
      <c r="Y529" s="1" t="str">
        <f>IFERROR(__xludf.DUMMYFUNCTION("""COMPUTED_VALUE"""),"BK_CVEU_260820")</f>
        <v>BK_CVEU_260820</v>
      </c>
      <c r="Z529" s="1" t="str">
        <f>IFERROR(__xludf.DUMMYFUNCTION("""COMPUTED_VALUE"""),"NEW CONNECT")</f>
        <v>NEW CONNECT</v>
      </c>
      <c r="AA529" s="1">
        <f>IFERROR(__xludf.DUMMYFUNCTION("""COMPUTED_VALUE"""),639350419353)</f>
        <v>639350419353</v>
      </c>
      <c r="AB529" s="1"/>
      <c r="AC529" s="1"/>
      <c r="AD529" s="1" t="str">
        <f>IFERROR(__xludf.DUMMYFUNCTION("""COMPUTED_VALUE"""),"SIKAP VILLE")</f>
        <v>SIKAP VILLE</v>
      </c>
      <c r="AE529" s="1" t="str">
        <f>IFERROR(__xludf.DUMMYFUNCTION("""COMPUTED_VALUE"""),"SIKAP VILLE")</f>
        <v>SIKAP VILLE</v>
      </c>
      <c r="AF529" s="1" t="str">
        <f>IFERROR(__xludf.DUMMYFUNCTION("""COMPUTED_VALUE"""),"BGY SABUTAN")</f>
        <v>BGY SABUTAN</v>
      </c>
      <c r="AG529" s="1" t="str">
        <f>IFERROR(__xludf.DUMMYFUNCTION("""COMPUTED_VALUE"""),"SILANG")</f>
        <v>SILANG</v>
      </c>
      <c r="AH529" s="1" t="str">
        <f>IFERROR(__xludf.DUMMYFUNCTION("""COMPUTED_VALUE"""),"PINOY VILLAGE")</f>
        <v>PINOY VILLAGE</v>
      </c>
      <c r="AI529" s="1" t="str">
        <f>IFERROR(__xludf.DUMMYFUNCTION("""COMPUTED_VALUE"""),"CLUSTER 11")</f>
        <v>CLUSTER 11</v>
      </c>
    </row>
    <row r="530" customHeight="1" spans="1:35">
      <c r="A530" s="3">
        <f>IFERROR(__xludf.DUMMYFUNCTION("""COMPUTED_VALUE"""),46278)</f>
        <v>46278</v>
      </c>
      <c r="B530" s="1" t="str">
        <f>IFERROR(__xludf.DUMMYFUNCTION("""COMPUTED_VALUE"""),"CHARILOU OJEDA CORTEZ")</f>
        <v>CHARILOU OJEDA CORTEZ</v>
      </c>
      <c r="C530" s="1">
        <f>IFERROR(__xludf.DUMMYFUNCTION("""COMPUTED_VALUE"""),2312553722)</f>
        <v>2312553722</v>
      </c>
      <c r="D530" s="1">
        <f>IFERROR(__xludf.DUMMYFUNCTION("""COMPUTED_VALUE"""),407940784)</f>
        <v>407940784</v>
      </c>
      <c r="E530" s="1">
        <f>IFERROR(__xludf.DUMMYFUNCTION("""COMPUTED_VALUE"""),471216756004)</f>
        <v>471216756004</v>
      </c>
      <c r="F530" s="1" t="str">
        <f>IFERROR(__xludf.DUMMYFUNCTION("""COMPUTED_VALUE"""),"CLOSED")</f>
        <v>CLOSED</v>
      </c>
      <c r="G530" s="1" t="str">
        <f>IFERROR(__xludf.DUMMYFUNCTION("""COMPUTED_VALUE"""),"CLOSED")</f>
        <v>CLOSED</v>
      </c>
      <c r="H530" s="1" t="str">
        <f>IFERROR(__xludf.DUMMYFUNCTION("""COMPUTED_VALUE"""),"PAID THRU GCASH REF 384133596 SEP 15")</f>
        <v>PAID THRU GCASH REF 384133596 SEP 15</v>
      </c>
      <c r="I530" s="1" t="str">
        <f>IFERROR(__xludf.DUMMYFUNCTION("""COMPUTED_VALUE"""),"WITH 1 AMSF")</f>
        <v>WITH 1 AMSF</v>
      </c>
      <c r="J530" s="1"/>
      <c r="K530" s="1" t="str">
        <f>IFERROR(__xludf.DUMMYFUNCTION("""COMPUTED_VALUE"""),"COMPLETED")</f>
        <v>COMPLETED</v>
      </c>
      <c r="L530" s="1" t="str">
        <f>IFERROR(__xludf.DUMMYFUNCTION("""COMPUTED_VALUE"""),"POSTED")</f>
        <v>POSTED</v>
      </c>
      <c r="M530" s="1" t="str">
        <f>IFERROR(__xludf.DUMMYFUNCTION("""COMPUTED_VALUE"""),"POSTED")</f>
        <v>POSTED</v>
      </c>
      <c r="N530" s="3">
        <f>IFERROR(__xludf.DUMMYFUNCTION("""COMPUTED_VALUE"""),46280)</f>
        <v>46280</v>
      </c>
      <c r="O530" s="1" t="str">
        <f>IFERROR(__xludf.DUMMYFUNCTION("""COMPUTED_VALUE"""),"FIBR PLAN 1699")</f>
        <v>FIBR PLAN 1699</v>
      </c>
      <c r="P530" s="1" t="str">
        <f>IFERROR(__xludf.DUMMYFUNCTION("""COMPUTED_VALUE"""),"HIGHPLAN")</f>
        <v>HIGHPLAN</v>
      </c>
      <c r="Q530" s="1" t="str">
        <f>IFERROR(__xludf.DUMMYFUNCTION("""COMPUTED_VALUE"""),"P407520")</f>
        <v>P407520</v>
      </c>
      <c r="R530" s="1" t="str">
        <f>IFERROR(__xludf.DUMMYFUNCTION("""COMPUTED_VALUE"""),"MALIWAT, MARK")</f>
        <v>MALIWAT, MARK</v>
      </c>
      <c r="S530" s="1" t="str">
        <f>IFERROR(__xludf.DUMMYFUNCTION("""COMPUTED_VALUE"""),"FLA")</f>
        <v>FLA</v>
      </c>
      <c r="T530" s="1" t="str">
        <f>IFERROR(__xludf.DUMMYFUNCTION("""COMPUTED_VALUE"""),"JERIC NAVARRO")</f>
        <v>JERIC NAVARRO</v>
      </c>
      <c r="U530" s="1" t="str">
        <f>IFERROR(__xludf.DUMMYFUNCTION("""COMPUTED_VALUE"""),"JB SALIOA")</f>
        <v>JB SALIOA</v>
      </c>
      <c r="V530" s="1" t="str">
        <f>IFERROR(__xludf.DUMMYFUNCTION("""COMPUTED_VALUE"""),"ONLINE/CRANFORD")</f>
        <v>ONLINE/CRANFORD</v>
      </c>
      <c r="W530" s="1" t="str">
        <f>IFERROR(__xludf.DUMMYFUNCTION("""COMPUTED_VALUE"""),"STK REGULAR")</f>
        <v>STK REGULAR</v>
      </c>
      <c r="X530" s="1" t="str">
        <f>IFERROR(__xludf.DUMMYFUNCTION("""COMPUTED_VALUE"""),"HBBS SEPT 2026")</f>
        <v>HBBS SEPT 2026</v>
      </c>
      <c r="Y530" s="1" t="str">
        <f>IFERROR(__xludf.DUMMYFUNCTION("""COMPUTED_VALUE"""),"RS_ONL_CVEU_2026")</f>
        <v>RS_ONL_CVEU_2026</v>
      </c>
      <c r="Z530" s="1" t="str">
        <f>IFERROR(__xludf.DUMMYFUNCTION("""COMPUTED_VALUE"""),"NEW CONNECT")</f>
        <v>NEW CONNECT</v>
      </c>
      <c r="AA530" s="1">
        <f>IFERROR(__xludf.DUMMYFUNCTION("""COMPUTED_VALUE"""),639669823324)</f>
        <v>639669823324</v>
      </c>
      <c r="AB530" s="1"/>
      <c r="AC530" s="1"/>
      <c r="AD530" s="1" t="str">
        <f>IFERROR(__xludf.DUMMYFUNCTION("""COMPUTED_VALUE"""),"PHASE 4")</f>
        <v>PHASE 4</v>
      </c>
      <c r="AE530" s="1" t="str">
        <f>IFERROR(__xludf.DUMMYFUNCTION("""COMPUTED_VALUE"""),"BOSTON HEIGHTS")</f>
        <v>BOSTON HEIGHTS</v>
      </c>
      <c r="AF530" s="1" t="str">
        <f>IFERROR(__xludf.DUMMYFUNCTION("""COMPUTED_VALUE"""),"BGY TOCLONG")</f>
        <v>BGY TOCLONG</v>
      </c>
      <c r="AG530" s="1" t="str">
        <f>IFERROR(__xludf.DUMMYFUNCTION("""COMPUTED_VALUE"""),"KAWIT")</f>
        <v>KAWIT</v>
      </c>
      <c r="AH530" s="1" t="str">
        <f>IFERROR(__xludf.DUMMYFUNCTION("""COMPUTED_VALUE"""),"PHASE 4")</f>
        <v>PHASE 4</v>
      </c>
      <c r="AI530" s="1" t="str">
        <f>IFERROR(__xludf.DUMMYFUNCTION("""COMPUTED_VALUE"""),"NOT AOR")</f>
        <v>NOT AOR</v>
      </c>
    </row>
    <row r="531" customHeight="1" spans="1:35">
      <c r="A531" s="3">
        <f>IFERROR(__xludf.DUMMYFUNCTION("""COMPUTED_VALUE"""),46278)</f>
        <v>46278</v>
      </c>
      <c r="B531" s="1" t="str">
        <f>IFERROR(__xludf.DUMMYFUNCTION("""COMPUTED_VALUE"""),"BASILIO TUMACAS ALBURO")</f>
        <v>BASILIO TUMACAS ALBURO</v>
      </c>
      <c r="C531" s="1">
        <f>IFERROR(__xludf.DUMMYFUNCTION("""COMPUTED_VALUE"""),2312554199)</f>
        <v>2312554199</v>
      </c>
      <c r="D531" s="1">
        <f>IFERROR(__xludf.DUMMYFUNCTION("""COMPUTED_VALUE"""),407958918)</f>
        <v>407958918</v>
      </c>
      <c r="E531" s="1">
        <f>IFERROR(__xludf.DUMMYFUNCTION("""COMPUTED_VALUE"""),471334936004)</f>
        <v>471334936004</v>
      </c>
      <c r="F531" s="1" t="str">
        <f>IFERROR(__xludf.DUMMYFUNCTION("""COMPUTED_VALUE"""),"CLOSED")</f>
        <v>CLOSED</v>
      </c>
      <c r="G531" s="1" t="str">
        <f>IFERROR(__xludf.DUMMYFUNCTION("""COMPUTED_VALUE"""),"CLOSED")</f>
        <v>CLOSED</v>
      </c>
      <c r="H531" s="1" t="str">
        <f>IFERROR(__xludf.DUMMYFUNCTION("""COMPUTED_VALUE"""),"PQGOR364256104	16-Sep-26	Regular Payment	CIS-GCASH 3.0	1,299.00	943394391	16-Sep-26")</f>
        <v>PQGOR364256104	16-Sep-26	Regular Payment	CIS-GCASH 3.0	1,299.00	943394391	16-Sep-26</v>
      </c>
      <c r="I531" s="1" t="str">
        <f>IFERROR(__xludf.DUMMYFUNCTION("""COMPUTED_VALUE"""),"WITH 1 AMSF")</f>
        <v>WITH 1 AMSF</v>
      </c>
      <c r="J531" s="1"/>
      <c r="K531" s="1" t="str">
        <f>IFERROR(__xludf.DUMMYFUNCTION("""COMPUTED_VALUE"""),"COMPLETED")</f>
        <v>COMPLETED</v>
      </c>
      <c r="L531" s="1" t="str">
        <f>IFERROR(__xludf.DUMMYFUNCTION("""COMPUTED_VALUE"""),"POSTED")</f>
        <v>POSTED</v>
      </c>
      <c r="M531" s="1" t="str">
        <f>IFERROR(__xludf.DUMMYFUNCTION("""COMPUTED_VALUE"""),"POSTED")</f>
        <v>POSTED</v>
      </c>
      <c r="N531" s="3">
        <f>IFERROR(__xludf.DUMMYFUNCTION("""COMPUTED_VALUE"""),46282)</f>
        <v>46282</v>
      </c>
      <c r="O531" s="1" t="str">
        <f>IFERROR(__xludf.DUMMYFUNCTION("""COMPUTED_VALUE"""),"FIBR PLAN 1299")</f>
        <v>FIBR PLAN 1299</v>
      </c>
      <c r="P531" s="1" t="str">
        <f>IFERROR(__xludf.DUMMYFUNCTION("""COMPUTED_VALUE"""),"LOWPLAN")</f>
        <v>LOWPLAN</v>
      </c>
      <c r="Q531" s="1" t="str">
        <f>IFERROR(__xludf.DUMMYFUNCTION("""COMPUTED_VALUE"""),"P407050")</f>
        <v>P407050</v>
      </c>
      <c r="R531" s="1" t="str">
        <f>IFERROR(__xludf.DUMMYFUNCTION("""COMPUTED_VALUE"""),"CADERAO, RONALD")</f>
        <v>CADERAO, RONALD</v>
      </c>
      <c r="S531" s="1" t="str">
        <f>IFERROR(__xludf.DUMMYFUNCTION("""COMPUTED_VALUE"""),"ORGANIC")</f>
        <v>ORGANIC</v>
      </c>
      <c r="T531" s="1" t="str">
        <f>IFERROR(__xludf.DUMMYFUNCTION("""COMPUTED_VALUE"""),"LEA REMOLLO")</f>
        <v>LEA REMOLLO</v>
      </c>
      <c r="U531" s="1" t="str">
        <f>IFERROR(__xludf.DUMMYFUNCTION("""COMPUTED_VALUE"""),"JB SALIOA")</f>
        <v>JB SALIOA</v>
      </c>
      <c r="V531" s="1" t="str">
        <f>IFERROR(__xludf.DUMMYFUNCTION("""COMPUTED_VALUE"""),"BK HSTK")</f>
        <v>BK HSTK</v>
      </c>
      <c r="W531" s="1" t="str">
        <f>IFERROR(__xludf.DUMMYFUNCTION("""COMPUTED_VALUE"""),"BK HSTK")</f>
        <v>BK HSTK</v>
      </c>
      <c r="X531" s="1" t="str">
        <f>IFERROR(__xludf.DUMMYFUNCTION("""COMPUTED_VALUE"""),"HBBS SEPT 2026")</f>
        <v>HBBS SEPT 2026</v>
      </c>
      <c r="Y531" s="1" t="str">
        <f>IFERROR(__xludf.DUMMYFUNCTION("""COMPUTED_VALUE"""),"BK_CVEU_260819")</f>
        <v>BK_CVEU_260819</v>
      </c>
      <c r="Z531" s="1" t="str">
        <f>IFERROR(__xludf.DUMMYFUNCTION("""COMPUTED_VALUE"""),"NEW CONNECT")</f>
        <v>NEW CONNECT</v>
      </c>
      <c r="AA531" s="1">
        <f>IFERROR(__xludf.DUMMYFUNCTION("""COMPUTED_VALUE"""),639777287129)</f>
        <v>639777287129</v>
      </c>
      <c r="AB531" s="1"/>
      <c r="AC531" s="1"/>
      <c r="AD531" s="1" t="str">
        <f>IFERROR(__xludf.DUMMYFUNCTION("""COMPUTED_VALUE"""),"J GATPANDAN")</f>
        <v>J GATPANDAN</v>
      </c>
      <c r="AE531" s="1"/>
      <c r="AF531" s="1" t="str">
        <f>IFERROR(__xludf.DUMMYFUNCTION("""COMPUTED_VALUE"""),"BGY ANULING CERCA 2")</f>
        <v>BGY ANULING CERCA 2</v>
      </c>
      <c r="AG531" s="1" t="str">
        <f>IFERROR(__xludf.DUMMYFUNCTION("""COMPUTED_VALUE"""),"MENDEZ")</f>
        <v>MENDEZ</v>
      </c>
      <c r="AH531" s="1" t="str">
        <f>IFERROR(__xludf.DUMMYFUNCTION("""COMPUTED_VALUE"""),"JULITAS CAFE")</f>
        <v>JULITAS CAFE</v>
      </c>
      <c r="AI531" s="1" t="str">
        <f>IFERROR(__xludf.DUMMYFUNCTION("""COMPUTED_VALUE"""),"CLUSTER 12")</f>
        <v>CLUSTER 12</v>
      </c>
    </row>
    <row r="532" customHeight="1" spans="1:35">
      <c r="A532" s="3">
        <f>IFERROR(__xludf.DUMMYFUNCTION("""COMPUTED_VALUE"""),46278)</f>
        <v>46278</v>
      </c>
      <c r="B532" s="1" t="str">
        <f>IFERROR(__xludf.DUMMYFUNCTION("""COMPUTED_VALUE"""),"MA THERESA HERMOSO CRISTE")</f>
        <v>MA THERESA HERMOSO CRISTE</v>
      </c>
      <c r="C532" s="1">
        <f>IFERROR(__xludf.DUMMYFUNCTION("""COMPUTED_VALUE"""),2312555868)</f>
        <v>2312555868</v>
      </c>
      <c r="D532" s="1">
        <f>IFERROR(__xludf.DUMMYFUNCTION("""COMPUTED_VALUE"""),407942515)</f>
        <v>407942515</v>
      </c>
      <c r="E532" s="1">
        <f>IFERROR(__xludf.DUMMYFUNCTION("""COMPUTED_VALUE"""),471217059004)</f>
        <v>471217059004</v>
      </c>
      <c r="F532" s="1" t="str">
        <f>IFERROR(__xludf.DUMMYFUNCTION("""COMPUTED_VALUE"""),"CLOSED")</f>
        <v>CLOSED</v>
      </c>
      <c r="G532" s="1" t="str">
        <f>IFERROR(__xludf.DUMMYFUNCTION("""COMPUTED_VALUE"""),"CLOSED")</f>
        <v>CLOSED</v>
      </c>
      <c r="H532" s="1" t="str">
        <f>IFERROR(__xludf.DUMMYFUNCTION("""COMPUTED_VALUE"""),"PQGOR366285054	05-Oct-26	Regular Payment	CIS-GCASH 3.0	1,200.00	0	05-Oct-26")</f>
        <v>PQGOR366285054	05-Oct-26	Regular Payment	CIS-GCASH 3.0	1,200.00	0	05-Oct-26</v>
      </c>
      <c r="I532" s="1" t="str">
        <f>IFERROR(__xludf.DUMMYFUNCTION("""COMPUTED_VALUE"""),"WITH 1 AMSF")</f>
        <v>WITH 1 AMSF</v>
      </c>
      <c r="J532" s="1"/>
      <c r="K532" s="1" t="str">
        <f>IFERROR(__xludf.DUMMYFUNCTION("""COMPUTED_VALUE"""),"COMPLETED")</f>
        <v>COMPLETED</v>
      </c>
      <c r="L532" s="1" t="str">
        <f>IFERROR(__xludf.DUMMYFUNCTION("""COMPUTED_VALUE"""),"POSTED")</f>
        <v>POSTED</v>
      </c>
      <c r="M532" s="1" t="str">
        <f>IFERROR(__xludf.DUMMYFUNCTION("""COMPUTED_VALUE"""),"POSTED")</f>
        <v>POSTED</v>
      </c>
      <c r="N532" s="3">
        <f>IFERROR(__xludf.DUMMYFUNCTION("""COMPUTED_VALUE"""),46279)</f>
        <v>46279</v>
      </c>
      <c r="O532" s="1" t="str">
        <f>IFERROR(__xludf.DUMMYFUNCTION("""COMPUTED_VALUE"""),"FIBR UNLI ALL PLAN 999")</f>
        <v>FIBR UNLI ALL PLAN 999</v>
      </c>
      <c r="P532" s="1" t="str">
        <f>IFERROR(__xludf.DUMMYFUNCTION("""COMPUTED_VALUE"""),"LOWPLAN")</f>
        <v>LOWPLAN</v>
      </c>
      <c r="Q532" s="1" t="str">
        <f>IFERROR(__xludf.DUMMYFUNCTION("""COMPUTED_VALUE"""),"P407050")</f>
        <v>P407050</v>
      </c>
      <c r="R532" s="1" t="str">
        <f>IFERROR(__xludf.DUMMYFUNCTION("""COMPUTED_VALUE"""),"CADERAO, RONALD")</f>
        <v>CADERAO, RONALD</v>
      </c>
      <c r="S532" s="1" t="str">
        <f>IFERROR(__xludf.DUMMYFUNCTION("""COMPUTED_VALUE"""),"ORGANIC")</f>
        <v>ORGANIC</v>
      </c>
      <c r="T532" s="1" t="str">
        <f>IFERROR(__xludf.DUMMYFUNCTION("""COMPUTED_VALUE"""),"LEA REMOLLO")</f>
        <v>LEA REMOLLO</v>
      </c>
      <c r="U532" s="1" t="str">
        <f>IFERROR(__xludf.DUMMYFUNCTION("""COMPUTED_VALUE"""),"JB SALIOA")</f>
        <v>JB SALIOA</v>
      </c>
      <c r="V532" s="1" t="str">
        <f>IFERROR(__xludf.DUMMYFUNCTION("""COMPUTED_VALUE"""),"BK REGULAR")</f>
        <v>BK REGULAR</v>
      </c>
      <c r="W532" s="1" t="str">
        <f>IFERROR(__xludf.DUMMYFUNCTION("""COMPUTED_VALUE"""),"STK REGULAR")</f>
        <v>STK REGULAR</v>
      </c>
      <c r="X532" s="1" t="str">
        <f>IFERROR(__xludf.DUMMYFUNCTION("""COMPUTED_VALUE"""),"REGULAR")</f>
        <v>REGULAR</v>
      </c>
      <c r="Y532" s="1" t="str">
        <f>IFERROR(__xludf.DUMMYFUNCTION("""COMPUTED_VALUE"""),"BK_CVEU_260815")</f>
        <v>BK_CVEU_260815</v>
      </c>
      <c r="Z532" s="1" t="str">
        <f>IFERROR(__xludf.DUMMYFUNCTION("""COMPUTED_VALUE"""),"NEW CONNECT")</f>
        <v>NEW CONNECT</v>
      </c>
      <c r="AA532" s="1">
        <f>IFERROR(__xludf.DUMMYFUNCTION("""COMPUTED_VALUE"""),639171652701)</f>
        <v>639171652701</v>
      </c>
      <c r="AB532" s="1"/>
      <c r="AC532" s="1">
        <f>IFERROR(__xludf.DUMMYFUNCTION("""COMPUTED_VALUE"""),239)</f>
        <v>239</v>
      </c>
      <c r="AD532" s="1" t="str">
        <f>IFERROR(__xludf.DUMMYFUNCTION("""COMPUTED_VALUE"""),"RIZAL")</f>
        <v>RIZAL</v>
      </c>
      <c r="AE532" s="1" t="str">
        <f>IFERROR(__xludf.DUMMYFUNCTION("""COMPUTED_VALUE"""),"POOK 4 MALIGAYA")</f>
        <v>POOK 4 MALIGAYA</v>
      </c>
      <c r="AF532" s="1" t="str">
        <f>IFERROR(__xludf.DUMMYFUNCTION("""COMPUTED_VALUE"""),"BGY 3")</f>
        <v>BGY 3</v>
      </c>
      <c r="AG532" s="1" t="str">
        <f>IFERROR(__xludf.DUMMYFUNCTION("""COMPUTED_VALUE"""),"ALFONSO")</f>
        <v>ALFONSO</v>
      </c>
      <c r="AH532" s="1" t="str">
        <f>IFERROR(__xludf.DUMMYFUNCTION("""COMPUTED_VALUE"""),"-")</f>
        <v>-</v>
      </c>
      <c r="AI532" s="1" t="str">
        <f>IFERROR(__xludf.DUMMYFUNCTION("""COMPUTED_VALUE"""),"CLUSTER 12")</f>
        <v>CLUSTER 12</v>
      </c>
    </row>
    <row r="533" customHeight="1" spans="1:35">
      <c r="A533" s="3">
        <f>IFERROR(__xludf.DUMMYFUNCTION("""COMPUTED_VALUE"""),46278)</f>
        <v>46278</v>
      </c>
      <c r="B533" s="1" t="str">
        <f>IFERROR(__xludf.DUMMYFUNCTION("""COMPUTED_VALUE"""),"KENNETH ANILAO JUNSAY")</f>
        <v>KENNETH ANILAO JUNSAY</v>
      </c>
      <c r="C533" s="1">
        <f>IFERROR(__xludf.DUMMYFUNCTION("""COMPUTED_VALUE"""),2312558155)</f>
        <v>2312558155</v>
      </c>
      <c r="D533" s="1"/>
      <c r="E533" s="1"/>
      <c r="F533" s="1" t="str">
        <f>IFERROR(__xludf.DUMMYFUNCTION("""COMPUTED_VALUE"""),"CANCELLED")</f>
        <v>CANCELLED</v>
      </c>
      <c r="G533" s="1" t="str">
        <f>IFERROR(__xludf.DUMMYFUNCTION("""COMPUTED_VALUE"""),"(WITH BLACKLIST HIT FOR COMPLIANCE) RETURN TO SALE| WITH BLACKLISTED ACC#0237412303 SAME NAME/DIFF ADD | OB Php16,441.97 FOR SETTLEMENT| DONE VALIDATION | CORRECT ENCODED INFO IN CSP | TU SCORING - FF - 5 (MID RISK) WITH 1 AMSF | NO EXISTING ACTIVE ACCT A"&amp;"ND/OR PENDING/CANCELLED APPLICATION ")</f>
        <v>(WITH BLACKLIST HIT FOR COMPLIANCE) RETURN TO SALE| WITH BLACKLISTED ACC#0237412303 SAME NAME/DIFF ADD | OB Php16,441.97 FOR SETTLEMENT| DONE VALIDATION | CORRECT ENCODED INFO IN CSP | TU SCORING - FF - 5 (MID RISK) WITH 1 AMSF | NO EXISTING ACTIVE ACCT AND/OR PENDING/CANCELLED APPLICATION </v>
      </c>
      <c r="H533" s="1"/>
      <c r="I533" s="1"/>
      <c r="J533" s="1"/>
      <c r="K533" s="1"/>
      <c r="L533" s="1" t="str">
        <f>IFERROR(__xludf.DUMMYFUNCTION("""COMPUTED_VALUE"""),"CANCELLED - WITH OB")</f>
        <v>CANCELLED - WITH OB</v>
      </c>
      <c r="M533" s="1" t="str">
        <f>IFERROR(__xludf.DUMMYFUNCTION("""COMPUTED_VALUE"""),"CANCELLED - WITH OB")</f>
        <v>CANCELLED - WITH OB</v>
      </c>
      <c r="N533" s="3"/>
      <c r="O533" s="1" t="str">
        <f>IFERROR(__xludf.DUMMYFUNCTION("""COMPUTED_VALUE"""),"FIBR PLAN 1299")</f>
        <v>FIBR PLAN 1299</v>
      </c>
      <c r="P533" s="1" t="str">
        <f>IFERROR(__xludf.DUMMYFUNCTION("""COMPUTED_VALUE"""),"LOWPLAN")</f>
        <v>LOWPLAN</v>
      </c>
      <c r="Q533" s="1" t="str">
        <f>IFERROR(__xludf.DUMMYFUNCTION("""COMPUTED_VALUE"""),"P407047")</f>
        <v>P407047</v>
      </c>
      <c r="R533" s="1" t="str">
        <f>IFERROR(__xludf.DUMMYFUNCTION("""COMPUTED_VALUE"""),"FRANCISCO, ROSELYN")</f>
        <v>FRANCISCO, ROSELYN</v>
      </c>
      <c r="S533" s="1" t="str">
        <f>IFERROR(__xludf.DUMMYFUNCTION("""COMPUTED_VALUE"""),"ORGANIC")</f>
        <v>ORGANIC</v>
      </c>
      <c r="T533" s="1" t="str">
        <f>IFERROR(__xludf.DUMMYFUNCTION("""COMPUTED_VALUE"""),"LEA REMOLLO")</f>
        <v>LEA REMOLLO</v>
      </c>
      <c r="U533" s="1" t="str">
        <f>IFERROR(__xludf.DUMMYFUNCTION("""COMPUTED_VALUE"""),"JB SALIOA")</f>
        <v>JB SALIOA</v>
      </c>
      <c r="V533" s="1" t="str">
        <f>IFERROR(__xludf.DUMMYFUNCTION("""COMPUTED_VALUE"""),"BK HSTK")</f>
        <v>BK HSTK</v>
      </c>
      <c r="W533" s="1" t="str">
        <f>IFERROR(__xludf.DUMMYFUNCTION("""COMPUTED_VALUE"""),"BK HSTK")</f>
        <v>BK HSTK</v>
      </c>
      <c r="X533" s="1" t="str">
        <f>IFERROR(__xludf.DUMMYFUNCTION("""COMPUTED_VALUE"""),"HBBS SEPT 2026")</f>
        <v>HBBS SEPT 2026</v>
      </c>
      <c r="Y533" s="1" t="str">
        <f>IFERROR(__xludf.DUMMYFUNCTION("""COMPUTED_VALUE"""),"BK_CVEU_260817")</f>
        <v>BK_CVEU_260817</v>
      </c>
      <c r="Z533" s="1" t="str">
        <f>IFERROR(__xludf.DUMMYFUNCTION("""COMPUTED_VALUE"""),"NEW CONNECT")</f>
        <v>NEW CONNECT</v>
      </c>
      <c r="AA533" s="1">
        <f>IFERROR(__xludf.DUMMYFUNCTION("""COMPUTED_VALUE"""),639157322032)</f>
        <v>639157322032</v>
      </c>
      <c r="AB533" s="1">
        <f>IFERROR(__xludf.DUMMYFUNCTION("""COMPUTED_VALUE"""),639991056492)</f>
        <v>639991056492</v>
      </c>
      <c r="AC533" s="1"/>
      <c r="AD533" s="1" t="str">
        <f>IFERROR(__xludf.DUMMYFUNCTION("""COMPUTED_VALUE"""),"PHASE 3")</f>
        <v>PHASE 3</v>
      </c>
      <c r="AE533" s="1" t="str">
        <f>IFERROR(__xludf.DUMMYFUNCTION("""COMPUTED_VALUE"""),"TERRAVERDE RESIDENCES")</f>
        <v>TERRAVERDE RESIDENCES</v>
      </c>
      <c r="AF533" s="1" t="str">
        <f>IFERROR(__xludf.DUMMYFUNCTION("""COMPUTED_VALUE"""),"BGY MABUHAY")</f>
        <v>BGY MABUHAY</v>
      </c>
      <c r="AG533" s="1" t="str">
        <f>IFERROR(__xludf.DUMMYFUNCTION("""COMPUTED_VALUE"""),"CARMONA")</f>
        <v>CARMONA</v>
      </c>
      <c r="AH533" s="1" t="str">
        <f>IFERROR(__xludf.DUMMYFUNCTION("""COMPUTED_VALUE"""),"-")</f>
        <v>-</v>
      </c>
      <c r="AI533" s="1" t="str">
        <f>IFERROR(__xludf.DUMMYFUNCTION("""COMPUTED_VALUE"""),"CLUSTER 11")</f>
        <v>CLUSTER 11</v>
      </c>
    </row>
    <row r="534" customHeight="1" spans="1:35">
      <c r="A534" s="3">
        <f>IFERROR(__xludf.DUMMYFUNCTION("""COMPUTED_VALUE"""),46279)</f>
        <v>46279</v>
      </c>
      <c r="B534" s="1" t="str">
        <f>IFERROR(__xludf.DUMMYFUNCTION("""COMPUTED_VALUE"""),"CLARISE MAY MANIBOG BONETE")</f>
        <v>CLARISE MAY MANIBOG BONETE</v>
      </c>
      <c r="C534" s="1">
        <f>IFERROR(__xludf.DUMMYFUNCTION("""COMPUTED_VALUE"""),2312571801)</f>
        <v>2312571801</v>
      </c>
      <c r="D534" s="1">
        <f>IFERROR(__xludf.DUMMYFUNCTION("""COMPUTED_VALUE"""),407971493)</f>
        <v>407971493</v>
      </c>
      <c r="E534" s="1">
        <f>IFERROR(__xludf.DUMMYFUNCTION("""COMPUTED_VALUE"""),471345713004)</f>
        <v>471345713004</v>
      </c>
      <c r="F534" s="1" t="str">
        <f>IFERROR(__xludf.DUMMYFUNCTION("""COMPUTED_VALUE"""),"CLOSED")</f>
        <v>CLOSED</v>
      </c>
      <c r="G534" s="1" t="str">
        <f>IFERROR(__xludf.DUMMYFUNCTION("""COMPUTED_VALUE"""),"CLOSED")</f>
        <v>CLOSED</v>
      </c>
      <c r="H534" s="1" t="str">
        <f>IFERROR(__xludf.DUMMYFUNCTION("""COMPUTED_VALUE"""),"PQGOR363987202	14-Sep-26	Regular Payment	CIS-GCASH 3.0	1,299.00	0	14-Sep-26")</f>
        <v>PQGOR363987202	14-Sep-26	Regular Payment	CIS-GCASH 3.0	1,299.00	0	14-Sep-26</v>
      </c>
      <c r="I534" s="1" t="str">
        <f>IFERROR(__xludf.DUMMYFUNCTION("""COMPUTED_VALUE"""),"WITH 1 AMSF")</f>
        <v>WITH 1 AMSF</v>
      </c>
      <c r="J534" s="1"/>
      <c r="K534" s="1" t="str">
        <f>IFERROR(__xludf.DUMMYFUNCTION("""COMPUTED_VALUE"""),"COMPLETED")</f>
        <v>COMPLETED</v>
      </c>
      <c r="L534" s="1" t="str">
        <f>IFERROR(__xludf.DUMMYFUNCTION("""COMPUTED_VALUE"""),"POSTED")</f>
        <v>POSTED</v>
      </c>
      <c r="M534" s="1" t="str">
        <f>IFERROR(__xludf.DUMMYFUNCTION("""COMPUTED_VALUE"""),"POSTED")</f>
        <v>POSTED</v>
      </c>
      <c r="N534" s="3">
        <f>IFERROR(__xludf.DUMMYFUNCTION("""COMPUTED_VALUE"""),46280)</f>
        <v>46280</v>
      </c>
      <c r="O534" s="1" t="str">
        <f>IFERROR(__xludf.DUMMYFUNCTION("""COMPUTED_VALUE"""),"FIBR PLAN 1299")</f>
        <v>FIBR PLAN 1299</v>
      </c>
      <c r="P534" s="1" t="str">
        <f>IFERROR(__xludf.DUMMYFUNCTION("""COMPUTED_VALUE"""),"LOWPLAN")</f>
        <v>LOWPLAN</v>
      </c>
      <c r="Q534" s="1" t="str">
        <f>IFERROR(__xludf.DUMMYFUNCTION("""COMPUTED_VALUE"""),"P407520")</f>
        <v>P407520</v>
      </c>
      <c r="R534" s="1" t="str">
        <f>IFERROR(__xludf.DUMMYFUNCTION("""COMPUTED_VALUE"""),"MALIWAT, MARK")</f>
        <v>MALIWAT, MARK</v>
      </c>
      <c r="S534" s="1" t="str">
        <f>IFERROR(__xludf.DUMMYFUNCTION("""COMPUTED_VALUE"""),"FLA")</f>
        <v>FLA</v>
      </c>
      <c r="T534" s="1" t="str">
        <f>IFERROR(__xludf.DUMMYFUNCTION("""COMPUTED_VALUE"""),"JERIC NAVARRO")</f>
        <v>JERIC NAVARRO</v>
      </c>
      <c r="U534" s="1" t="str">
        <f>IFERROR(__xludf.DUMMYFUNCTION("""COMPUTED_VALUE"""),"JB SALIOA")</f>
        <v>JB SALIOA</v>
      </c>
      <c r="V534" s="1" t="str">
        <f>IFERROR(__xludf.DUMMYFUNCTION("""COMPUTED_VALUE"""),"ONLINE/CRANFORD")</f>
        <v>ONLINE/CRANFORD</v>
      </c>
      <c r="W534" s="1" t="str">
        <f>IFERROR(__xludf.DUMMYFUNCTION("""COMPUTED_VALUE"""),"STK REGULAR")</f>
        <v>STK REGULAR</v>
      </c>
      <c r="X534" s="1" t="str">
        <f>IFERROR(__xludf.DUMMYFUNCTION("""COMPUTED_VALUE"""),"HBBS SEPT 2026")</f>
        <v>HBBS SEPT 2026</v>
      </c>
      <c r="Y534" s="1" t="str">
        <f>IFERROR(__xludf.DUMMYFUNCTION("""COMPUTED_VALUE"""),"RS_ONL_CVEU_2026")</f>
        <v>RS_ONL_CVEU_2026</v>
      </c>
      <c r="Z534" s="1" t="str">
        <f>IFERROR(__xludf.DUMMYFUNCTION("""COMPUTED_VALUE"""),"NEW CONNECT")</f>
        <v>NEW CONNECT</v>
      </c>
      <c r="AA534" s="1">
        <f>IFERROR(__xludf.DUMMYFUNCTION("""COMPUTED_VALUE"""),639305641819)</f>
        <v>639305641819</v>
      </c>
      <c r="AB534" s="1"/>
      <c r="AC534" s="1"/>
      <c r="AD534" s="1" t="str">
        <f>IFERROR(__xludf.DUMMYFUNCTION("""COMPUTED_VALUE"""),"AREA E")</f>
        <v>AREA E</v>
      </c>
      <c r="AE534" s="1"/>
      <c r="AF534" s="1" t="str">
        <f>IFERROR(__xludf.DUMMYFUNCTION("""COMPUTED_VALUE"""),"BGY COL J P ELISES")</f>
        <v>BGY COL J P ELISES</v>
      </c>
      <c r="AG534" s="1" t="str">
        <f>IFERROR(__xludf.DUMMYFUNCTION("""COMPUTED_VALUE"""),"GEN MARIANO ALVAREZ")</f>
        <v>GEN MARIANO ALVAREZ</v>
      </c>
      <c r="AH534" s="1" t="str">
        <f>IFERROR(__xludf.DUMMYFUNCTION("""COMPUTED_VALUE"""),"AREA E")</f>
        <v>AREA E</v>
      </c>
      <c r="AI534" s="1" t="str">
        <f>IFERROR(__xludf.DUMMYFUNCTION("""COMPUTED_VALUE"""),"CLUSTER 11")</f>
        <v>CLUSTER 11</v>
      </c>
    </row>
    <row r="535" customHeight="1" spans="1:35">
      <c r="A535" s="3">
        <f>IFERROR(__xludf.DUMMYFUNCTION("""COMPUTED_VALUE"""),46279)</f>
        <v>46279</v>
      </c>
      <c r="B535" s="1" t="str">
        <f>IFERROR(__xludf.DUMMYFUNCTION("""COMPUTED_VALUE"""),"GLORIA MEJIA ORLANES")</f>
        <v>GLORIA MEJIA ORLANES</v>
      </c>
      <c r="C535" s="1">
        <f>IFERROR(__xludf.DUMMYFUNCTION("""COMPUTED_VALUE"""),2312571890)</f>
        <v>2312571890</v>
      </c>
      <c r="D535" s="1"/>
      <c r="E535" s="1"/>
      <c r="F535" s="1" t="str">
        <f>IFERROR(__xludf.DUMMYFUNCTION("""COMPUTED_VALUE"""),"DISAPPROVED")</f>
        <v>DISAPPROVED</v>
      </c>
      <c r="G535" s="1" t="str">
        <f>IFERROR(__xludf.DUMMYFUNCTION("""COMPUTED_VALUE"""),"(P-OTHERS) DISAPPROVED | FOUND DUPLICATE CBR 0373916072 0381823989) DIFF NAME AND ADD | CALLED THRU CBR 639956784803 (12:42 PM-1:46 PM-5:06 PM) TRY TO CALL 3 TIMES BUT UNCONTACTED | CLEARED FROM BLACKLISTED HIT | NO EXISTING ACTIVE ACCOUNT OR PENDING APPL"&amp;"ICATION | COMPLETE DOCS | CORRECT ENCODED INFO IN CSP | TU SCORING FF - 1 (NTC) WITH 1AMSF.")</f>
        <v>(P-OTHERS) DISAPPROVED | FOUND DUPLICATE CBR 0373916072 0381823989) DIFF NAME AND ADD | CALLED THRU CBR 639956784803 (12:42 PM-1:46 PM-5:06 PM) TRY TO CALL 3 TIMES BUT UNCONTACTED | CLEARED FROM BLACKLISTED HIT | NO EXISTING ACTIVE ACCOUNT OR PENDING APPLICATION | COMPLETE DOCS | CORRECT ENCODED INFO IN CSP | TU SCORING FF - 1 (NTC) WITH 1AMSF.</v>
      </c>
      <c r="H535" s="1"/>
      <c r="I535" s="1"/>
      <c r="J535" s="1"/>
      <c r="K535" s="1"/>
      <c r="L535" s="1" t="str">
        <f>IFERROR(__xludf.DUMMYFUNCTION("""COMPUTED_VALUE"""),"DISAPPROVED")</f>
        <v>DISAPPROVED</v>
      </c>
      <c r="M535" s="1" t="str">
        <f>IFERROR(__xludf.DUMMYFUNCTION("""COMPUTED_VALUE"""),"DISAPPROVED")</f>
        <v>DISAPPROVED</v>
      </c>
      <c r="N535" s="3"/>
      <c r="O535" s="1" t="str">
        <f>IFERROR(__xludf.DUMMYFUNCTION("""COMPUTED_VALUE"""),"FIBER UNLI ALL PLAN 1499")</f>
        <v>FIBER UNLI ALL PLAN 1499</v>
      </c>
      <c r="P535" s="1" t="str">
        <f>IFERROR(__xludf.DUMMYFUNCTION("""COMPUTED_VALUE"""),"LOWPLAN")</f>
        <v>LOWPLAN</v>
      </c>
      <c r="Q535" s="1" t="str">
        <f>IFERROR(__xludf.DUMMYFUNCTION("""COMPUTED_VALUE"""),"P407048")</f>
        <v>P407048</v>
      </c>
      <c r="R535" s="1" t="str">
        <f>IFERROR(__xludf.DUMMYFUNCTION("""COMPUTED_VALUE"""),"MATUDAN, LEBRON JAMES")</f>
        <v>MATUDAN, LEBRON JAMES</v>
      </c>
      <c r="S535" s="1" t="str">
        <f>IFERROR(__xludf.DUMMYFUNCTION("""COMPUTED_VALUE"""),"FLA")</f>
        <v>FLA</v>
      </c>
      <c r="T535" s="1" t="str">
        <f>IFERROR(__xludf.DUMMYFUNCTION("""COMPUTED_VALUE"""),"GARCIA MICHAEL JETTS")</f>
        <v>GARCIA MICHAEL JETTS</v>
      </c>
      <c r="U535" s="1" t="str">
        <f>IFERROR(__xludf.DUMMYFUNCTION("""COMPUTED_VALUE"""),"JULIE ESPIRITU")</f>
        <v>JULIE ESPIRITU</v>
      </c>
      <c r="V535" s="1" t="str">
        <f>IFERROR(__xludf.DUMMYFUNCTION("""COMPUTED_VALUE"""),"ONLINE/CRANFORD")</f>
        <v>ONLINE/CRANFORD</v>
      </c>
      <c r="W535" s="1" t="str">
        <f>IFERROR(__xludf.DUMMYFUNCTION("""COMPUTED_VALUE"""),"STK REGULAR")</f>
        <v>STK REGULAR</v>
      </c>
      <c r="X535" s="1" t="str">
        <f>IFERROR(__xludf.DUMMYFUNCTION("""COMPUTED_VALUE"""),"HBBS SEPT 2026")</f>
        <v>HBBS SEPT 2026</v>
      </c>
      <c r="Y535" s="1" t="str">
        <f>IFERROR(__xludf.DUMMYFUNCTION("""COMPUTED_VALUE"""),"RS_ONL_CVEU_2026")</f>
        <v>RS_ONL_CVEU_2026</v>
      </c>
      <c r="Z535" s="1" t="str">
        <f>IFERROR(__xludf.DUMMYFUNCTION("""COMPUTED_VALUE"""),"NEW CONNECT")</f>
        <v>NEW CONNECT</v>
      </c>
      <c r="AA535" s="1">
        <f>IFERROR(__xludf.DUMMYFUNCTION("""COMPUTED_VALUE"""),639956784803)</f>
        <v>639956784803</v>
      </c>
      <c r="AB535" s="1">
        <f>IFERROR(__xludf.DUMMYFUNCTION("""COMPUTED_VALUE"""),639543494582)</f>
        <v>639543494582</v>
      </c>
      <c r="AC535" s="1"/>
      <c r="AD535" s="1" t="str">
        <f>IFERROR(__xludf.DUMMYFUNCTION("""COMPUTED_VALUE"""),"BLUE")</f>
        <v>BLUE</v>
      </c>
      <c r="AE535" s="1" t="str">
        <f>IFERROR(__xludf.DUMMYFUNCTION("""COMPUTED_VALUE"""),"WOODCRESS 4 LANCASTER")</f>
        <v>WOODCRESS 4 LANCASTER</v>
      </c>
      <c r="AF535" s="1" t="str">
        <f>IFERROR(__xludf.DUMMYFUNCTION("""COMPUTED_VALUE"""),"BGY TAPIA")</f>
        <v>BGY TAPIA</v>
      </c>
      <c r="AG535" s="1" t="str">
        <f>IFERROR(__xludf.DUMMYFUNCTION("""COMPUTED_VALUE"""),"GENERAL TRIAS")</f>
        <v>GENERAL TRIAS</v>
      </c>
      <c r="AH535" s="1"/>
      <c r="AI535" s="1" t="str">
        <f>IFERROR(__xludf.DUMMYFUNCTION("""COMPUTED_VALUE"""),"NOT AOR")</f>
        <v>NOT AOR</v>
      </c>
    </row>
    <row r="536" customHeight="1" spans="1:35">
      <c r="A536" s="3">
        <f>IFERROR(__xludf.DUMMYFUNCTION("""COMPUTED_VALUE"""),46279)</f>
        <v>46279</v>
      </c>
      <c r="B536" s="1" t="str">
        <f>IFERROR(__xludf.DUMMYFUNCTION("""COMPUTED_VALUE"""),"JIMMY JR VINASOY SUAREZ")</f>
        <v>JIMMY JR VINASOY SUAREZ</v>
      </c>
      <c r="C536" s="1">
        <f>IFERROR(__xludf.DUMMYFUNCTION("""COMPUTED_VALUE"""),2312572106)</f>
        <v>2312572106</v>
      </c>
      <c r="D536" s="1">
        <f>IFERROR(__xludf.DUMMYFUNCTION("""COMPUTED_VALUE"""),407963059)</f>
        <v>407963059</v>
      </c>
      <c r="E536" s="1">
        <f>IFERROR(__xludf.DUMMYFUNCTION("""COMPUTED_VALUE"""),471339145004)</f>
        <v>471339145004</v>
      </c>
      <c r="F536" s="1" t="str">
        <f>IFERROR(__xludf.DUMMYFUNCTION("""COMPUTED_VALUE"""),"CLOSED")</f>
        <v>CLOSED</v>
      </c>
      <c r="G536" s="1" t="str">
        <f>IFERROR(__xludf.DUMMYFUNCTION("""COMPUTED_VALUE"""),"CLOSED")</f>
        <v>CLOSED</v>
      </c>
      <c r="H536" s="1" t="str">
        <f>IFERROR(__xludf.DUMMYFUNCTION("""COMPUTED_VALUE"""),"PAID THRU GCASH REF# 787141865 9/15/26")</f>
        <v>PAID THRU GCASH REF# 787141865 9/15/26</v>
      </c>
      <c r="I536" s="1" t="str">
        <f>IFERROR(__xludf.DUMMYFUNCTION("""COMPUTED_VALUE"""),"WITH 1 AMSF")</f>
        <v>WITH 1 AMSF</v>
      </c>
      <c r="J536" s="1"/>
      <c r="K536" s="1" t="str">
        <f>IFERROR(__xludf.DUMMYFUNCTION("""COMPUTED_VALUE"""),"COMPLETED")</f>
        <v>COMPLETED</v>
      </c>
      <c r="L536" s="1" t="str">
        <f>IFERROR(__xludf.DUMMYFUNCTION("""COMPUTED_VALUE"""),"POSTED")</f>
        <v>POSTED</v>
      </c>
      <c r="M536" s="1" t="str">
        <f>IFERROR(__xludf.DUMMYFUNCTION("""COMPUTED_VALUE"""),"POSTED")</f>
        <v>POSTED</v>
      </c>
      <c r="N536" s="3">
        <f>IFERROR(__xludf.DUMMYFUNCTION("""COMPUTED_VALUE"""),46281)</f>
        <v>46281</v>
      </c>
      <c r="O536" s="1" t="str">
        <f>IFERROR(__xludf.DUMMYFUNCTION("""COMPUTED_VALUE"""),"FIBR PLAN 1299")</f>
        <v>FIBR PLAN 1299</v>
      </c>
      <c r="P536" s="1" t="str">
        <f>IFERROR(__xludf.DUMMYFUNCTION("""COMPUTED_VALUE"""),"LOWPLAN")</f>
        <v>LOWPLAN</v>
      </c>
      <c r="Q536" s="1" t="str">
        <f>IFERROR(__xludf.DUMMYFUNCTION("""COMPUTED_VALUE"""),"P407045")</f>
        <v>P407045</v>
      </c>
      <c r="R536" s="1" t="str">
        <f>IFERROR(__xludf.DUMMYFUNCTION("""COMPUTED_VALUE"""),"REMOLLO, LEA")</f>
        <v>REMOLLO, LEA</v>
      </c>
      <c r="S536" s="1" t="str">
        <f>IFERROR(__xludf.DUMMYFUNCTION("""COMPUTED_VALUE"""),"FLA")</f>
        <v>FLA</v>
      </c>
      <c r="T536" s="1" t="str">
        <f>IFERROR(__xludf.DUMMYFUNCTION("""COMPUTED_VALUE"""),"JERIC NAVARRO")</f>
        <v>JERIC NAVARRO</v>
      </c>
      <c r="U536" s="1" t="str">
        <f>IFERROR(__xludf.DUMMYFUNCTION("""COMPUTED_VALUE"""),"JB SALIOA")</f>
        <v>JB SALIOA</v>
      </c>
      <c r="V536" s="1" t="str">
        <f>IFERROR(__xludf.DUMMYFUNCTION("""COMPUTED_VALUE"""),"ONLINE/CRANFORD")</f>
        <v>ONLINE/CRANFORD</v>
      </c>
      <c r="W536" s="1" t="str">
        <f>IFERROR(__xludf.DUMMYFUNCTION("""COMPUTED_VALUE"""),"STK REGULAR")</f>
        <v>STK REGULAR</v>
      </c>
      <c r="X536" s="1" t="str">
        <f>IFERROR(__xludf.DUMMYFUNCTION("""COMPUTED_VALUE"""),"HBBS SEPT 2026")</f>
        <v>HBBS SEPT 2026</v>
      </c>
      <c r="Y536" s="1" t="str">
        <f>IFERROR(__xludf.DUMMYFUNCTION("""COMPUTED_VALUE"""),"RS_ONL_CVEU_2026")</f>
        <v>RS_ONL_CVEU_2026</v>
      </c>
      <c r="Z536" s="1" t="str">
        <f>IFERROR(__xludf.DUMMYFUNCTION("""COMPUTED_VALUE"""),"NEW CONNECT")</f>
        <v>NEW CONNECT</v>
      </c>
      <c r="AA536" s="1">
        <f>IFERROR(__xludf.DUMMYFUNCTION("""COMPUTED_VALUE"""),639507166099)</f>
        <v>639507166099</v>
      </c>
      <c r="AB536" s="1"/>
      <c r="AC536" s="1"/>
      <c r="AD536" s="1" t="str">
        <f>IFERROR(__xludf.DUMMYFUNCTION("""COMPUTED_VALUE"""),"PHASE 1")</f>
        <v>PHASE 1</v>
      </c>
      <c r="AE536" s="1" t="str">
        <f>IFERROR(__xludf.DUMMYFUNCTION("""COMPUTED_VALUE"""),"KARLAVILLE")</f>
        <v>KARLAVILLE</v>
      </c>
      <c r="AF536" s="1" t="str">
        <f>IFERROR(__xludf.DUMMYFUNCTION("""COMPUTED_VALUE"""),"BGY HUGO PEREZ")</f>
        <v>BGY HUGO PEREZ</v>
      </c>
      <c r="AG536" s="1" t="str">
        <f>IFERROR(__xludf.DUMMYFUNCTION("""COMPUTED_VALUE"""),"TRECE MARTIREZ CITY")</f>
        <v>TRECE MARTIREZ CITY</v>
      </c>
      <c r="AH536" s="1" t="str">
        <f>IFERROR(__xludf.DUMMYFUNCTION("""COMPUTED_VALUE"""),"BRGY HALL")</f>
        <v>BRGY HALL</v>
      </c>
      <c r="AI536" s="1" t="str">
        <f>IFERROR(__xludf.DUMMYFUNCTION("""COMPUTED_VALUE"""),"NOT AOR")</f>
        <v>NOT AOR</v>
      </c>
    </row>
    <row r="537" customHeight="1" spans="1:35">
      <c r="A537" s="3">
        <f>IFERROR(__xludf.DUMMYFUNCTION("""COMPUTED_VALUE"""),46279)</f>
        <v>46279</v>
      </c>
      <c r="B537" s="1" t="str">
        <f>IFERROR(__xludf.DUMMYFUNCTION("""COMPUTED_VALUE"""),"HAIDY BACEA PANGANIBAN")</f>
        <v>HAIDY BACEA PANGANIBAN</v>
      </c>
      <c r="C537" s="1">
        <f>IFERROR(__xludf.DUMMYFUNCTION("""COMPUTED_VALUE"""),2312573885)</f>
        <v>2312573885</v>
      </c>
      <c r="D537" s="1"/>
      <c r="E537" s="1"/>
      <c r="F537" s="1" t="str">
        <f>IFERROR(__xludf.DUMMYFUNCTION("""COMPUTED_VALUE"""),"CANCELLED")</f>
        <v>CANCELLED</v>
      </c>
      <c r="G537" s="1" t="str">
        <f>IFERROR(__xludf.DUMMYFUNCTION("""COMPUTED_VALUE"""),"CANCELLED DUE TO NON-COMPLIANCE")</f>
        <v>CANCELLED DUE TO NON-COMPLIANCE</v>
      </c>
      <c r="H537" s="1"/>
      <c r="I537" s="1"/>
      <c r="J537" s="1"/>
      <c r="K537" s="1"/>
      <c r="L537" s="1" t="str">
        <f>IFERROR(__xludf.DUMMYFUNCTION("""COMPUTED_VALUE"""),"CANCELLED DUE TO NON-COMPLIANCE")</f>
        <v>CANCELLED DUE TO NON-COMPLIANCE</v>
      </c>
      <c r="M537" s="1" t="str">
        <f>IFERROR(__xludf.DUMMYFUNCTION("""COMPUTED_VALUE"""),"CANCELLED - NON COMPLIANCE")</f>
        <v>CANCELLED - NON COMPLIANCE</v>
      </c>
      <c r="N537" s="3"/>
      <c r="O537" s="1" t="str">
        <f>IFERROR(__xludf.DUMMYFUNCTION("""COMPUTED_VALUE"""),"FIBER UNLI ALL PLAN 1499")</f>
        <v>FIBER UNLI ALL PLAN 1499</v>
      </c>
      <c r="P537" s="1" t="str">
        <f>IFERROR(__xludf.DUMMYFUNCTION("""COMPUTED_VALUE"""),"LOWPLAN")</f>
        <v>LOWPLAN</v>
      </c>
      <c r="Q537" s="1" t="str">
        <f>IFERROR(__xludf.DUMMYFUNCTION("""COMPUTED_VALUE"""),"P407516")</f>
        <v>P407516</v>
      </c>
      <c r="R537" s="1" t="str">
        <f>IFERROR(__xludf.DUMMYFUNCTION("""COMPUTED_VALUE"""),"AYON, MANUEL")</f>
        <v>AYON, MANUEL</v>
      </c>
      <c r="S537" s="1" t="str">
        <f>IFERROR(__xludf.DUMMYFUNCTION("""COMPUTED_VALUE"""),"FLA")</f>
        <v>FLA</v>
      </c>
      <c r="T537" s="1" t="str">
        <f>IFERROR(__xludf.DUMMYFUNCTION("""COMPUTED_VALUE"""),"JERIC NAVARRO")</f>
        <v>JERIC NAVARRO</v>
      </c>
      <c r="U537" s="1" t="str">
        <f>IFERROR(__xludf.DUMMYFUNCTION("""COMPUTED_VALUE"""),"JB SALIOA")</f>
        <v>JB SALIOA</v>
      </c>
      <c r="V537" s="1" t="str">
        <f>IFERROR(__xludf.DUMMYFUNCTION("""COMPUTED_VALUE"""),"BK REGULAR")</f>
        <v>BK REGULAR</v>
      </c>
      <c r="W537" s="1" t="str">
        <f>IFERROR(__xludf.DUMMYFUNCTION("""COMPUTED_VALUE"""),"STK REGULAR")</f>
        <v>STK REGULAR</v>
      </c>
      <c r="X537" s="1" t="str">
        <f>IFERROR(__xludf.DUMMYFUNCTION("""COMPUTED_VALUE"""),"HBBS SEPT 2026")</f>
        <v>HBBS SEPT 2026</v>
      </c>
      <c r="Y537" s="1" t="str">
        <f>IFERROR(__xludf.DUMMYFUNCTION("""COMPUTED_VALUE"""),"RS_ONL_CVEU_2026")</f>
        <v>RS_ONL_CVEU_2026</v>
      </c>
      <c r="Z537" s="1" t="str">
        <f>IFERROR(__xludf.DUMMYFUNCTION("""COMPUTED_VALUE"""),"NEW CONNECT")</f>
        <v>NEW CONNECT</v>
      </c>
      <c r="AA537" s="1">
        <f>IFERROR(__xludf.DUMMYFUNCTION("""COMPUTED_VALUE"""),639561535827)</f>
        <v>639561535827</v>
      </c>
      <c r="AB537" s="1">
        <f>IFERROR(__xludf.DUMMYFUNCTION("""COMPUTED_VALUE"""),639241218758)</f>
        <v>639241218758</v>
      </c>
      <c r="AC537" s="1">
        <f>IFERROR(__xludf.DUMMYFUNCTION("""COMPUTED_VALUE"""),74)</f>
        <v>74</v>
      </c>
      <c r="AD537" s="1" t="str">
        <f>IFERROR(__xludf.DUMMYFUNCTION("""COMPUTED_VALUE"""),"YAKAL")</f>
        <v>YAKAL</v>
      </c>
      <c r="AE537" s="1"/>
      <c r="AF537" s="1" t="str">
        <f>IFERROR(__xludf.DUMMYFUNCTION("""COMPUTED_VALUE"""),"BGY SAN MIGUEL 1")</f>
        <v>BGY SAN MIGUEL 1</v>
      </c>
      <c r="AG537" s="1" t="str">
        <f>IFERROR(__xludf.DUMMYFUNCTION("""COMPUTED_VALUE"""),"SILANG")</f>
        <v>SILANG</v>
      </c>
      <c r="AH537" s="1" t="str">
        <f>IFERROR(__xludf.DUMMYFUNCTION("""COMPUTED_VALUE"""),"-")</f>
        <v>-</v>
      </c>
      <c r="AI537" s="1" t="str">
        <f>IFERROR(__xludf.DUMMYFUNCTION("""COMPUTED_VALUE"""),"CLUSTER 11")</f>
        <v>CLUSTER 11</v>
      </c>
    </row>
    <row r="538" customHeight="1" spans="1:35">
      <c r="A538" s="3">
        <f>IFERROR(__xludf.DUMMYFUNCTION("""COMPUTED_VALUE"""),46279)</f>
        <v>46279</v>
      </c>
      <c r="B538" s="1" t="str">
        <f>IFERROR(__xludf.DUMMYFUNCTION("""COMPUTED_VALUE"""),"ALEXANDER PASEDALA PALERO")</f>
        <v>ALEXANDER PASEDALA PALERO</v>
      </c>
      <c r="C538" s="1">
        <f>IFERROR(__xludf.DUMMYFUNCTION("""COMPUTED_VALUE"""),2312574340)</f>
        <v>2312574340</v>
      </c>
      <c r="D538" s="1"/>
      <c r="E538" s="1"/>
      <c r="F538" s="1" t="str">
        <f>IFERROR(__xludf.DUMMYFUNCTION("""COMPUTED_VALUE"""),"CANCELLED")</f>
        <v>CANCELLED</v>
      </c>
      <c r="G538" s="1" t="str">
        <f>IFERROR(__xludf.DUMMYFUNCTION("""COMPUTED_VALUE"""),"CANNOT CHANGE THE PAYMENT REQUIRED DUE TO SYSTEM ERROR | APPROVED | DONE VALIDATION | COMPLETE DOCS | CORRECT ENCODED INFO IN CSP | TU SCORING - DD - 1 (NTC) | 1 AMSF REQUIRED | CLEARED FROM BLACKLISTED HIT | FOUND PENDING ACC# (0407896424) WITH SAME NAME"&amp;" SAME ADDRESS | CALL THRU: 639461970240 - 6:42 PM | TALKED TO SOR CONFIRMED TO PROCEED THE NEW APPLICATION AND CANCEL THE PENDING APP | CLEAR AND SCANNABLE NATIONAL ID ")</f>
        <v>CANNOT CHANGE THE PAYMENT REQUIRED DUE TO SYSTEM ERROR | APPROVED | DONE VALIDATION | COMPLETE DOCS | CORRECT ENCODED INFO IN CSP | TU SCORING - DD - 1 (NTC) | 1 AMSF REQUIRED | CLEARED FROM BLACKLISTED HIT | FOUND PENDING ACC# (0407896424) WITH SAME NAME SAME ADDRESS | CALL THRU: 639461970240 - 6:42 PM | TALKED TO SOR CONFIRMED TO PROCEED THE NEW APPLICATION AND CANCEL THE PENDING APP | CLEAR AND SCANNABLE NATIONAL ID </v>
      </c>
      <c r="H538" s="1"/>
      <c r="I538" s="1"/>
      <c r="J538" s="1"/>
      <c r="K538" s="1"/>
      <c r="L538" s="1" t="str">
        <f>IFERROR(__xludf.DUMMYFUNCTION("""COMPUTED_VALUE"""),"FOR ONE HUB FILING")</f>
        <v>FOR ONE HUB FILING</v>
      </c>
      <c r="M538" s="1" t="str">
        <f>IFERROR(__xludf.DUMMYFUNCTION("""COMPUTED_VALUE"""),"FOR ONE HUB FILING - SYSTEM ERROR")</f>
        <v>FOR ONE HUB FILING - SYSTEM ERROR</v>
      </c>
      <c r="N538" s="3"/>
      <c r="O538" s="1" t="str">
        <f>IFERROR(__xludf.DUMMYFUNCTION("""COMPUTED_VALUE"""),"FIBR PLAN 1299")</f>
        <v>FIBR PLAN 1299</v>
      </c>
      <c r="P538" s="1" t="str">
        <f>IFERROR(__xludf.DUMMYFUNCTION("""COMPUTED_VALUE"""),"LOWPLAN")</f>
        <v>LOWPLAN</v>
      </c>
      <c r="Q538" s="1" t="str">
        <f>IFERROR(__xludf.DUMMYFUNCTION("""COMPUTED_VALUE"""),"P407561")</f>
        <v>P407561</v>
      </c>
      <c r="R538" s="1" t="str">
        <f>IFERROR(__xludf.DUMMYFUNCTION("""COMPUTED_VALUE"""),"TAMAYO, MARY ROSE ZAIRA")</f>
        <v>TAMAYO, MARY ROSE ZAIRA</v>
      </c>
      <c r="S538" s="1" t="str">
        <f>IFERROR(__xludf.DUMMYFUNCTION("""COMPUTED_VALUE"""),"ORGANIC")</f>
        <v>ORGANIC</v>
      </c>
      <c r="T538" s="1" t="str">
        <f>IFERROR(__xludf.DUMMYFUNCTION("""COMPUTED_VALUE"""),"LEA REMOLLO")</f>
        <v>LEA REMOLLO</v>
      </c>
      <c r="U538" s="1" t="str">
        <f>IFERROR(__xludf.DUMMYFUNCTION("""COMPUTED_VALUE"""),"JB SALIOA")</f>
        <v>JB SALIOA</v>
      </c>
      <c r="V538" s="1" t="str">
        <f>IFERROR(__xludf.DUMMYFUNCTION("""COMPUTED_VALUE"""),"BK REGULAR")</f>
        <v>BK REGULAR</v>
      </c>
      <c r="W538" s="1" t="str">
        <f>IFERROR(__xludf.DUMMYFUNCTION("""COMPUTED_VALUE"""),"STK REGULAR")</f>
        <v>STK REGULAR</v>
      </c>
      <c r="X538" s="1" t="str">
        <f>IFERROR(__xludf.DUMMYFUNCTION("""COMPUTED_VALUE"""),"HBBS SEPT 2026")</f>
        <v>HBBS SEPT 2026</v>
      </c>
      <c r="Y538" s="1" t="str">
        <f>IFERROR(__xludf.DUMMYFUNCTION("""COMPUTED_VALUE"""),"BK_CVEU_260818")</f>
        <v>BK_CVEU_260818</v>
      </c>
      <c r="Z538" s="1" t="str">
        <f>IFERROR(__xludf.DUMMYFUNCTION("""COMPUTED_VALUE"""),"NEW CONNECT")</f>
        <v>NEW CONNECT</v>
      </c>
      <c r="AA538" s="1">
        <f>IFERROR(__xludf.DUMMYFUNCTION("""COMPUTED_VALUE"""),639461970240)</f>
        <v>639461970240</v>
      </c>
      <c r="AB538" s="1">
        <f>IFERROR(__xludf.DUMMYFUNCTION("""COMPUTED_VALUE"""),639161026484)</f>
        <v>639161026484</v>
      </c>
      <c r="AC538" s="1"/>
      <c r="AD538" s="1" t="str">
        <f>IFERROR(__xludf.DUMMYFUNCTION("""COMPUTED_VALUE"""),"CAPINPIN")</f>
        <v>CAPINPIN</v>
      </c>
      <c r="AE538" s="1"/>
      <c r="AF538" s="1" t="str">
        <f>IFERROR(__xludf.DUMMYFUNCTION("""COMPUTED_VALUE"""),"BGY POBLACION 1")</f>
        <v>BGY POBLACION 1</v>
      </c>
      <c r="AG538" s="1" t="str">
        <f>IFERROR(__xludf.DUMMYFUNCTION("""COMPUTED_VALUE"""),"GEN MARIANO ALVAREZ")</f>
        <v>GEN MARIANO ALVAREZ</v>
      </c>
      <c r="AH538" s="1" t="str">
        <f>IFERROR(__xludf.DUMMYFUNCTION("""COMPUTED_VALUE"""),"CARSIGMA HOSPITAL")</f>
        <v>CARSIGMA HOSPITAL</v>
      </c>
      <c r="AI538" s="1" t="str">
        <f>IFERROR(__xludf.DUMMYFUNCTION("""COMPUTED_VALUE"""),"CLUSTER 11")</f>
        <v>CLUSTER 11</v>
      </c>
    </row>
    <row r="539" customHeight="1" spans="1:35">
      <c r="A539" s="3">
        <f>IFERROR(__xludf.DUMMYFUNCTION("""COMPUTED_VALUE"""),46279)</f>
        <v>46279</v>
      </c>
      <c r="B539" s="1" t="str">
        <f>IFERROR(__xludf.DUMMYFUNCTION("""COMPUTED_VALUE"""),"ELISERIO SUSON MACAPAS")</f>
        <v>ELISERIO SUSON MACAPAS</v>
      </c>
      <c r="C539" s="1">
        <f>IFERROR(__xludf.DUMMYFUNCTION("""COMPUTED_VALUE"""),2312575360)</f>
        <v>2312575360</v>
      </c>
      <c r="D539" s="1">
        <f>IFERROR(__xludf.DUMMYFUNCTION("""COMPUTED_VALUE"""),407969553)</f>
        <v>407969553</v>
      </c>
      <c r="E539" s="1">
        <f>IFERROR(__xludf.DUMMYFUNCTION("""COMPUTED_VALUE"""),471344547004)</f>
        <v>471344547004</v>
      </c>
      <c r="F539" s="1" t="str">
        <f>IFERROR(__xludf.DUMMYFUNCTION("""COMPUTED_VALUE"""),"CLOSED")</f>
        <v>CLOSED</v>
      </c>
      <c r="G539" s="1" t="str">
        <f>IFERROR(__xludf.DUMMYFUNCTION("""COMPUTED_VALUE"""),"CLOSED")</f>
        <v>CLOSED</v>
      </c>
      <c r="H539" s="1" t="str">
        <f>IFERROR(__xludf.DUMMYFUNCTION("""COMPUTED_VALUE"""),"PAID VIA GCASH - SEPT 23 - REF- 656231638")</f>
        <v>PAID VIA GCASH - SEPT 23 - REF- 656231638</v>
      </c>
      <c r="I539" s="1" t="str">
        <f>IFERROR(__xludf.DUMMYFUNCTION("""COMPUTED_VALUE"""),"WITH 1 AMSF")</f>
        <v>WITH 1 AMSF</v>
      </c>
      <c r="J539" s="1"/>
      <c r="K539" s="1" t="str">
        <f>IFERROR(__xludf.DUMMYFUNCTION("""COMPUTED_VALUE"""),"COMPLETED")</f>
        <v>COMPLETED</v>
      </c>
      <c r="L539" s="1" t="str">
        <f>IFERROR(__xludf.DUMMYFUNCTION("""COMPUTED_VALUE"""),"POSTED")</f>
        <v>POSTED</v>
      </c>
      <c r="M539" s="1" t="str">
        <f>IFERROR(__xludf.DUMMYFUNCTION("""COMPUTED_VALUE"""),"POSTED")</f>
        <v>POSTED</v>
      </c>
      <c r="N539" s="3">
        <f>IFERROR(__xludf.DUMMYFUNCTION("""COMPUTED_VALUE"""),46280)</f>
        <v>46280</v>
      </c>
      <c r="O539" s="1" t="str">
        <f>IFERROR(__xludf.DUMMYFUNCTION("""COMPUTED_VALUE"""),"FIBR PLAN 1299")</f>
        <v>FIBR PLAN 1299</v>
      </c>
      <c r="P539" s="1" t="str">
        <f>IFERROR(__xludf.DUMMYFUNCTION("""COMPUTED_VALUE"""),"LOWPLAN")</f>
        <v>LOWPLAN</v>
      </c>
      <c r="Q539" s="1" t="str">
        <f>IFERROR(__xludf.DUMMYFUNCTION("""COMPUTED_VALUE"""),"P407517")</f>
        <v>P407517</v>
      </c>
      <c r="R539" s="1" t="str">
        <f>IFERROR(__xludf.DUMMYFUNCTION("""COMPUTED_VALUE"""),"GABAY, MANUEL")</f>
        <v>GABAY, MANUEL</v>
      </c>
      <c r="S539" s="1" t="str">
        <f>IFERROR(__xludf.DUMMYFUNCTION("""COMPUTED_VALUE"""),"FLA")</f>
        <v>FLA</v>
      </c>
      <c r="T539" s="1" t="str">
        <f>IFERROR(__xludf.DUMMYFUNCTION("""COMPUTED_VALUE"""),"JERIC NAVARRO")</f>
        <v>JERIC NAVARRO</v>
      </c>
      <c r="U539" s="1" t="str">
        <f>IFERROR(__xludf.DUMMYFUNCTION("""COMPUTED_VALUE"""),"JB SALIOA")</f>
        <v>JB SALIOA</v>
      </c>
      <c r="V539" s="1" t="str">
        <f>IFERROR(__xludf.DUMMYFUNCTION("""COMPUTED_VALUE"""),"BK REGULAR")</f>
        <v>BK REGULAR</v>
      </c>
      <c r="W539" s="1" t="str">
        <f>IFERROR(__xludf.DUMMYFUNCTION("""COMPUTED_VALUE"""),"STK REGULAR")</f>
        <v>STK REGULAR</v>
      </c>
      <c r="X539" s="1" t="str">
        <f>IFERROR(__xludf.DUMMYFUNCTION("""COMPUTED_VALUE"""),"HBBS SEPT 2026")</f>
        <v>HBBS SEPT 2026</v>
      </c>
      <c r="Y539" s="1" t="str">
        <f>IFERROR(__xludf.DUMMYFUNCTION("""COMPUTED_VALUE"""),"BK_CVEU_260821")</f>
        <v>BK_CVEU_260821</v>
      </c>
      <c r="Z539" s="1" t="str">
        <f>IFERROR(__xludf.DUMMYFUNCTION("""COMPUTED_VALUE"""),"NEW CONNECT")</f>
        <v>NEW CONNECT</v>
      </c>
      <c r="AA539" s="1">
        <f>IFERROR(__xludf.DUMMYFUNCTION("""COMPUTED_VALUE"""),639709471799)</f>
        <v>639709471799</v>
      </c>
      <c r="AB539" s="1">
        <f>IFERROR(__xludf.DUMMYFUNCTION("""COMPUTED_VALUE"""),639501510499)</f>
        <v>639501510499</v>
      </c>
      <c r="AC539" s="1">
        <f>IFERROR(__xludf.DUMMYFUNCTION("""COMPUTED_VALUE"""),775)</f>
        <v>775</v>
      </c>
      <c r="AD539" s="1" t="str">
        <f>IFERROR(__xludf.DUMMYFUNCTION("""COMPUTED_VALUE"""),"PUROK 10")</f>
        <v>PUROK 10</v>
      </c>
      <c r="AE539" s="1"/>
      <c r="AF539" s="1" t="str">
        <f>IFERROR(__xludf.DUMMYFUNCTION("""COMPUTED_VALUE"""),"BGY CALABUSO")</f>
        <v>BGY CALABUSO</v>
      </c>
      <c r="AG539" s="1" t="str">
        <f>IFERROR(__xludf.DUMMYFUNCTION("""COMPUTED_VALUE"""),"TAGAYTAY")</f>
        <v>TAGAYTAY</v>
      </c>
      <c r="AH539" s="1" t="str">
        <f>IFERROR(__xludf.DUMMYFUNCTION("""COMPUTED_VALUE"""),"-")</f>
        <v>-</v>
      </c>
      <c r="AI539" s="1" t="str">
        <f>IFERROR(__xludf.DUMMYFUNCTION("""COMPUTED_VALUE"""),"CLUSTER 12")</f>
        <v>CLUSTER 12</v>
      </c>
    </row>
    <row r="540" customHeight="1" spans="1:35">
      <c r="A540" s="3">
        <f>IFERROR(__xludf.DUMMYFUNCTION("""COMPUTED_VALUE"""),46279)</f>
        <v>46279</v>
      </c>
      <c r="B540" s="1" t="str">
        <f>IFERROR(__xludf.DUMMYFUNCTION("""COMPUTED_VALUE"""),"JESSICA BUMACOD PABLO")</f>
        <v>JESSICA BUMACOD PABLO</v>
      </c>
      <c r="C540" s="1">
        <f>IFERROR(__xludf.DUMMYFUNCTION("""COMPUTED_VALUE"""),2312575912)</f>
        <v>2312575912</v>
      </c>
      <c r="D540" s="1"/>
      <c r="E540" s="1"/>
      <c r="F540" s="1" t="str">
        <f>IFERROR(__xludf.DUMMYFUNCTION("""COMPUTED_VALUE"""),"REENCODED")</f>
        <v>REENCODED</v>
      </c>
      <c r="G540" s="1" t="str">
        <f>IFERROR(__xludf.DUMMYFUNCTION("""COMPUTED_VALUE"""),"&amp;#8203;CANNOT CHANGE PAYMENT REQUIRED DUE TO SYSTEM ERROR | APPROVED | NO BLACKLIST HIT, NO EXISTING ACTIVE ACCT AND/ OR PENDING APPLICATION | DONE VALIDATION WITH SUBMITTED COMPLETE DOCS| CORRECT ENCODED INFO IN CSP | WITH 1 AMSF REQUIREMENTS (GG - 1 (NT"&amp;"C)) SCANNABLE NATIONAL ID")</f>
        <v>&amp;#8203;CANNOT CHANGE PAYMENT REQUIRED DUE TO SYSTEM ERROR | APPROVED | NO BLACKLIST HIT, NO EXISTING ACTIVE ACCT AND/ OR PENDING APPLICATION | DONE VALIDATION WITH SUBMITTED COMPLETE DOCS| CORRECT ENCODED INFO IN CSP | WITH 1 AMSF REQUIREMENTS (GG - 1 (NTC)) SCANNABLE NATIONAL ID</v>
      </c>
      <c r="H540" s="1"/>
      <c r="I540" s="1"/>
      <c r="J540" s="1"/>
      <c r="K540" s="1"/>
      <c r="L540" s="1" t="str">
        <f>IFERROR(__xludf.DUMMYFUNCTION("""COMPUTED_VALUE"""),"REENCODED")</f>
        <v>REENCODED</v>
      </c>
      <c r="M540" s="1" t="str">
        <f>IFERROR(__xludf.DUMMYFUNCTION("""COMPUTED_VALUE"""),"REENCODED")</f>
        <v>REENCODED</v>
      </c>
      <c r="N540" s="3"/>
      <c r="O540" s="1" t="str">
        <f>IFERROR(__xludf.DUMMYFUNCTION("""COMPUTED_VALUE"""),"FIBR PLAN 1299")</f>
        <v>FIBR PLAN 1299</v>
      </c>
      <c r="P540" s="1" t="str">
        <f>IFERROR(__xludf.DUMMYFUNCTION("""COMPUTED_VALUE"""),"LOWPLAN")</f>
        <v>LOWPLAN</v>
      </c>
      <c r="Q540" s="1" t="str">
        <f>IFERROR(__xludf.DUMMYFUNCTION("""COMPUTED_VALUE"""),"P407520")</f>
        <v>P407520</v>
      </c>
      <c r="R540" s="1" t="str">
        <f>IFERROR(__xludf.DUMMYFUNCTION("""COMPUTED_VALUE"""),"MALIWAT, MARK")</f>
        <v>MALIWAT, MARK</v>
      </c>
      <c r="S540" s="1" t="str">
        <f>IFERROR(__xludf.DUMMYFUNCTION("""COMPUTED_VALUE"""),"FLA")</f>
        <v>FLA</v>
      </c>
      <c r="T540" s="1" t="str">
        <f>IFERROR(__xludf.DUMMYFUNCTION("""COMPUTED_VALUE"""),"JERIC NAVARRO")</f>
        <v>JERIC NAVARRO</v>
      </c>
      <c r="U540" s="1" t="str">
        <f>IFERROR(__xludf.DUMMYFUNCTION("""COMPUTED_VALUE"""),"JB SALIOA")</f>
        <v>JB SALIOA</v>
      </c>
      <c r="V540" s="1" t="str">
        <f>IFERROR(__xludf.DUMMYFUNCTION("""COMPUTED_VALUE"""),"ONLINE/CRANFORD")</f>
        <v>ONLINE/CRANFORD</v>
      </c>
      <c r="W540" s="1" t="str">
        <f>IFERROR(__xludf.DUMMYFUNCTION("""COMPUTED_VALUE"""),"STK REGULAR")</f>
        <v>STK REGULAR</v>
      </c>
      <c r="X540" s="1" t="str">
        <f>IFERROR(__xludf.DUMMYFUNCTION("""COMPUTED_VALUE"""),"HBBS SEPT 2026")</f>
        <v>HBBS SEPT 2026</v>
      </c>
      <c r="Y540" s="1" t="str">
        <f>IFERROR(__xludf.DUMMYFUNCTION("""COMPUTED_VALUE"""),"RS_ONL_CVEU_2026")</f>
        <v>RS_ONL_CVEU_2026</v>
      </c>
      <c r="Z540" s="1" t="str">
        <f>IFERROR(__xludf.DUMMYFUNCTION("""COMPUTED_VALUE"""),"NEW CONNECT")</f>
        <v>NEW CONNECT</v>
      </c>
      <c r="AA540" s="1">
        <f>IFERROR(__xludf.DUMMYFUNCTION("""COMPUTED_VALUE"""),639359065514)</f>
        <v>639359065514</v>
      </c>
      <c r="AB540" s="1">
        <f>IFERROR(__xludf.DUMMYFUNCTION("""COMPUTED_VALUE"""),639560030259)</f>
        <v>639560030259</v>
      </c>
      <c r="AC540" s="1">
        <f>IFERROR(__xludf.DUMMYFUNCTION("""COMPUTED_VALUE"""),41)</f>
        <v>41</v>
      </c>
      <c r="AD540" s="1" t="str">
        <f>IFERROR(__xludf.DUMMYFUNCTION("""COMPUTED_VALUE"""),"EAST ASUNCION")</f>
        <v>EAST ASUNCION</v>
      </c>
      <c r="AE540" s="1"/>
      <c r="AF540" s="1" t="str">
        <f>IFERROR(__xludf.DUMMYFUNCTION("""COMPUTED_VALUE"""),"BGY TUBUAN 1")</f>
        <v>BGY TUBUAN 1</v>
      </c>
      <c r="AG540" s="1" t="str">
        <f>IFERROR(__xludf.DUMMYFUNCTION("""COMPUTED_VALUE"""),"SILANG")</f>
        <v>SILANG</v>
      </c>
      <c r="AH540" s="1" t="str">
        <f>IFERROR(__xludf.DUMMYFUNCTION("""COMPUTED_VALUE"""),"EAST ASUNCION")</f>
        <v>EAST ASUNCION</v>
      </c>
      <c r="AI540" s="1" t="str">
        <f>IFERROR(__xludf.DUMMYFUNCTION("""COMPUTED_VALUE"""),"CLUSTER 11")</f>
        <v>CLUSTER 11</v>
      </c>
    </row>
    <row r="541" customHeight="1" spans="1:35">
      <c r="A541" s="3">
        <f>IFERROR(__xludf.DUMMYFUNCTION("""COMPUTED_VALUE"""),46279)</f>
        <v>46279</v>
      </c>
      <c r="B541" s="1" t="str">
        <f>IFERROR(__xludf.DUMMYFUNCTION("""COMPUTED_VALUE"""),"MARK ALVIN YUMUL TOBIAS")</f>
        <v>MARK ALVIN YUMUL TOBIAS</v>
      </c>
      <c r="C541" s="1">
        <f>IFERROR(__xludf.DUMMYFUNCTION("""COMPUTED_VALUE"""),2312577927)</f>
        <v>2312577927</v>
      </c>
      <c r="D541" s="1"/>
      <c r="E541" s="1"/>
      <c r="F541" s="1" t="str">
        <f>IFERROR(__xludf.DUMMYFUNCTION("""COMPUTED_VALUE"""),"DISAPPROVED")</f>
        <v>DISAPPROVED</v>
      </c>
      <c r="G541" s="1" t="str">
        <f>IFERROR(__xludf.DUMMYFUNCTION("""COMPUTED_VALUE"""),"(P-OTHERS) &amp;#8203;DISAPPROVED |FOUND CANCEL ACCT# 0258730054 0260965182 0274948043 0280706639 SAME NAME DIFF ADD|CALL THRU 09163020819 09177340135 09156401130 09171780819 SEPT 14, 2026, 4:11 PM 6:20 PM 8:31 PM |UNCONTACTED |FOUND WITH BLACKLISTED NAME #02"&amp;"74948051 SAME NAME DIFF ADD WITH OB AMOUNTING (Php8,815.78) |FOR SETTLEMENT | DONE VALIDATION |COMPLETE DOCS | CORRECT ENCODED INFO IN CSP | TU SCORING - CC - 12 (LOW RISK) | 1 AMSF NOT REQUIRED")</f>
        <v>(P-OTHERS) &amp;#8203;DISAPPROVED |FOUND CANCEL ACCT# 0258730054 0260965182 0274948043 0280706639 SAME NAME DIFF ADD|CALL THRU 09163020819 09177340135 09156401130 09171780819 SEPT 14, 2026, 4:11 PM 6:20 PM 8:31 PM |UNCONTACTED |FOUND WITH BLACKLISTED NAME #0274948051 SAME NAME DIFF ADD WITH OB AMOUNTING (Php8,815.78) |FOR SETTLEMENT | DONE VALIDATION |COMPLETE DOCS | CORRECT ENCODED INFO IN CSP | TU SCORING - CC - 12 (LOW RISK) | 1 AMSF NOT REQUIRED</v>
      </c>
      <c r="H541" s="1"/>
      <c r="I541" s="1"/>
      <c r="J541" s="1"/>
      <c r="K541" s="1"/>
      <c r="L541" s="1" t="str">
        <f>IFERROR(__xludf.DUMMYFUNCTION("""COMPUTED_VALUE"""),"DISAPPROVED - WITH OB")</f>
        <v>DISAPPROVED - WITH OB</v>
      </c>
      <c r="M541" s="1" t="str">
        <f>IFERROR(__xludf.DUMMYFUNCTION("""COMPUTED_VALUE"""),"DISAPPROVED - WITH OB")</f>
        <v>DISAPPROVED - WITH OB</v>
      </c>
      <c r="N541" s="3"/>
      <c r="O541" s="1" t="str">
        <f>IFERROR(__xludf.DUMMYFUNCTION("""COMPUTED_VALUE"""),"FIBER UNLI ALL PLAN 1499")</f>
        <v>FIBER UNLI ALL PLAN 1499</v>
      </c>
      <c r="P541" s="1" t="str">
        <f>IFERROR(__xludf.DUMMYFUNCTION("""COMPUTED_VALUE"""),"LOWPLAN")</f>
        <v>LOWPLAN</v>
      </c>
      <c r="Q541" s="1" t="str">
        <f>IFERROR(__xludf.DUMMYFUNCTION("""COMPUTED_VALUE"""),"P407520")</f>
        <v>P407520</v>
      </c>
      <c r="R541" s="1" t="str">
        <f>IFERROR(__xludf.DUMMYFUNCTION("""COMPUTED_VALUE"""),"MALIWAT, MARK")</f>
        <v>MALIWAT, MARK</v>
      </c>
      <c r="S541" s="1" t="str">
        <f>IFERROR(__xludf.DUMMYFUNCTION("""COMPUTED_VALUE"""),"FLA")</f>
        <v>FLA</v>
      </c>
      <c r="T541" s="1" t="str">
        <f>IFERROR(__xludf.DUMMYFUNCTION("""COMPUTED_VALUE"""),"JERIC NAVARRO")</f>
        <v>JERIC NAVARRO</v>
      </c>
      <c r="U541" s="1" t="str">
        <f>IFERROR(__xludf.DUMMYFUNCTION("""COMPUTED_VALUE"""),"JB SALIOA")</f>
        <v>JB SALIOA</v>
      </c>
      <c r="V541" s="1" t="str">
        <f>IFERROR(__xludf.DUMMYFUNCTION("""COMPUTED_VALUE"""),"ONLINE/CRANFORD")</f>
        <v>ONLINE/CRANFORD</v>
      </c>
      <c r="W541" s="1" t="str">
        <f>IFERROR(__xludf.DUMMYFUNCTION("""COMPUTED_VALUE"""),"STK REGULAR")</f>
        <v>STK REGULAR</v>
      </c>
      <c r="X541" s="1" t="str">
        <f>IFERROR(__xludf.DUMMYFUNCTION("""COMPUTED_VALUE"""),"HBBS SEPT 2026")</f>
        <v>HBBS SEPT 2026</v>
      </c>
      <c r="Y541" s="1" t="str">
        <f>IFERROR(__xludf.DUMMYFUNCTION("""COMPUTED_VALUE"""),"RS_ONL_CVEU_2026")</f>
        <v>RS_ONL_CVEU_2026</v>
      </c>
      <c r="Z541" s="1" t="str">
        <f>IFERROR(__xludf.DUMMYFUNCTION("""COMPUTED_VALUE"""),"NEW CONNECT")</f>
        <v>NEW CONNECT</v>
      </c>
      <c r="AA541" s="1">
        <f>IFERROR(__xludf.DUMMYFUNCTION("""COMPUTED_VALUE"""),639171780819)</f>
        <v>639171780819</v>
      </c>
      <c r="AB541" s="1"/>
      <c r="AC541" s="1"/>
      <c r="AD541" s="1" t="str">
        <f>IFERROR(__xludf.DUMMYFUNCTION("""COMPUTED_VALUE"""),"SOUTH FORBES")</f>
        <v>SOUTH FORBES</v>
      </c>
      <c r="AE541" s="1" t="str">
        <f>IFERROR(__xludf.DUMMYFUNCTION("""COMPUTED_VALUE"""),"SCANDIA SUITES 2")</f>
        <v>SCANDIA SUITES 2</v>
      </c>
      <c r="AF541" s="1" t="str">
        <f>IFERROR(__xludf.DUMMYFUNCTION("""COMPUTED_VALUE"""),"BGY INCHICAN")</f>
        <v>BGY INCHICAN</v>
      </c>
      <c r="AG541" s="1" t="str">
        <f>IFERROR(__xludf.DUMMYFUNCTION("""COMPUTED_VALUE"""),"SILANG")</f>
        <v>SILANG</v>
      </c>
      <c r="AH541" s="1" t="str">
        <f>IFERROR(__xludf.DUMMYFUNCTION("""COMPUTED_VALUE"""),"-")</f>
        <v>-</v>
      </c>
      <c r="AI541" s="1" t="str">
        <f>IFERROR(__xludf.DUMMYFUNCTION("""COMPUTED_VALUE"""),"CLUSTER 11")</f>
        <v>CLUSTER 11</v>
      </c>
    </row>
    <row r="542" customHeight="1" spans="1:35">
      <c r="A542" s="3">
        <f>IFERROR(__xludf.DUMMYFUNCTION("""COMPUTED_VALUE"""),46279)</f>
        <v>46279</v>
      </c>
      <c r="B542" s="1" t="str">
        <f>IFERROR(__xludf.DUMMYFUNCTION("""COMPUTED_VALUE"""),"MARIDEL MALIG-ON CABRERA")</f>
        <v>MARIDEL MALIG-ON CABRERA</v>
      </c>
      <c r="C542" s="1">
        <f>IFERROR(__xludf.DUMMYFUNCTION("""COMPUTED_VALUE"""),2312578344)</f>
        <v>2312578344</v>
      </c>
      <c r="D542" s="1">
        <f>IFERROR(__xludf.DUMMYFUNCTION("""COMPUTED_VALUE"""),407976487)</f>
        <v>407976487</v>
      </c>
      <c r="E542" s="1">
        <f>IFERROR(__xludf.DUMMYFUNCTION("""COMPUTED_VALUE"""),471348234004)</f>
        <v>471348234004</v>
      </c>
      <c r="F542" s="1" t="str">
        <f>IFERROR(__xludf.DUMMYFUNCTION("""COMPUTED_VALUE"""),"CLOSED")</f>
        <v>CLOSED</v>
      </c>
      <c r="G542" s="1" t="str">
        <f>IFERROR(__xludf.DUMMYFUNCTION("""COMPUTED_VALUE"""),"CLOSED")</f>
        <v>CLOSED</v>
      </c>
      <c r="H542" s="1"/>
      <c r="I542" s="1" t="str">
        <f>IFERROR(__xludf.DUMMYFUNCTION("""COMPUTED_VALUE"""),"NO 1 AMSF")</f>
        <v>NO 1 AMSF</v>
      </c>
      <c r="J542" s="1" t="str">
        <f>IFERROR(__xludf.DUMMYFUNCTION("""COMPUTED_VALUE"""),"DUE DATE - 11-Oct-26 - 1,424.71")</f>
        <v>DUE DATE - 11-Oct-26 - 1,424.71</v>
      </c>
      <c r="K542" s="1" t="str">
        <f>IFERROR(__xludf.DUMMYFUNCTION("""COMPUTED_VALUE"""),"COMPLETED")</f>
        <v>COMPLETED</v>
      </c>
      <c r="L542" s="1" t="str">
        <f>IFERROR(__xludf.DUMMYFUNCTION("""COMPUTED_VALUE"""),"POSTED")</f>
        <v>POSTED</v>
      </c>
      <c r="M542" s="1" t="str">
        <f>IFERROR(__xludf.DUMMYFUNCTION("""COMPUTED_VALUE"""),"POSTED")</f>
        <v>POSTED</v>
      </c>
      <c r="N542" s="3">
        <f>IFERROR(__xludf.DUMMYFUNCTION("""COMPUTED_VALUE"""),46280)</f>
        <v>46280</v>
      </c>
      <c r="O542" s="1" t="str">
        <f>IFERROR(__xludf.DUMMYFUNCTION("""COMPUTED_VALUE"""),"FIBR PLAN 1299")</f>
        <v>FIBR PLAN 1299</v>
      </c>
      <c r="P542" s="1" t="str">
        <f>IFERROR(__xludf.DUMMYFUNCTION("""COMPUTED_VALUE"""),"LOWPLAN")</f>
        <v>LOWPLAN</v>
      </c>
      <c r="Q542" s="1" t="str">
        <f>IFERROR(__xludf.DUMMYFUNCTION("""COMPUTED_VALUE"""),"P407561")</f>
        <v>P407561</v>
      </c>
      <c r="R542" s="1" t="str">
        <f>IFERROR(__xludf.DUMMYFUNCTION("""COMPUTED_VALUE"""),"TAMAYO, MARY ROSE ZAIRA")</f>
        <v>TAMAYO, MARY ROSE ZAIRA</v>
      </c>
      <c r="S542" s="1" t="str">
        <f>IFERROR(__xludf.DUMMYFUNCTION("""COMPUTED_VALUE"""),"ORGANIC")</f>
        <v>ORGANIC</v>
      </c>
      <c r="T542" s="1" t="str">
        <f>IFERROR(__xludf.DUMMYFUNCTION("""COMPUTED_VALUE"""),"LEA REMOLLO")</f>
        <v>LEA REMOLLO</v>
      </c>
      <c r="U542" s="1" t="str">
        <f>IFERROR(__xludf.DUMMYFUNCTION("""COMPUTED_VALUE"""),"JB SALIOA")</f>
        <v>JB SALIOA</v>
      </c>
      <c r="V542" s="1" t="str">
        <f>IFERROR(__xludf.DUMMYFUNCTION("""COMPUTED_VALUE"""),"BK HSTK")</f>
        <v>BK HSTK</v>
      </c>
      <c r="W542" s="1" t="str">
        <f>IFERROR(__xludf.DUMMYFUNCTION("""COMPUTED_VALUE"""),"BK HSTK")</f>
        <v>BK HSTK</v>
      </c>
      <c r="X542" s="1" t="str">
        <f>IFERROR(__xludf.DUMMYFUNCTION("""COMPUTED_VALUE"""),"HBBS SEPT 2026")</f>
        <v>HBBS SEPT 2026</v>
      </c>
      <c r="Y542" s="1" t="str">
        <f>IFERROR(__xludf.DUMMYFUNCTION("""COMPUTED_VALUE"""),"RS_ONL_CVEU_2026")</f>
        <v>RS_ONL_CVEU_2026</v>
      </c>
      <c r="Z542" s="1" t="str">
        <f>IFERROR(__xludf.DUMMYFUNCTION("""COMPUTED_VALUE"""),"NEW CONNECT")</f>
        <v>NEW CONNECT</v>
      </c>
      <c r="AA542" s="1">
        <f>IFERROR(__xludf.DUMMYFUNCTION("""COMPUTED_VALUE"""),639128435570)</f>
        <v>639128435570</v>
      </c>
      <c r="AB542" s="1">
        <f>IFERROR(__xludf.DUMMYFUNCTION("""COMPUTED_VALUE"""),639559185770)</f>
        <v>639559185770</v>
      </c>
      <c r="AC542" s="1"/>
      <c r="AD542" s="1" t="str">
        <f>IFERROR(__xludf.DUMMYFUNCTION("""COMPUTED_VALUE"""),"SAN MIGUEL")</f>
        <v>SAN MIGUEL</v>
      </c>
      <c r="AE542" s="1" t="str">
        <f>IFERROR(__xludf.DUMMYFUNCTION("""COMPUTED_VALUE"""),"AREA K")</f>
        <v>AREA K</v>
      </c>
      <c r="AF542" s="1" t="str">
        <f>IFERROR(__xludf.DUMMYFUNCTION("""COMPUTED_VALUE"""),"BGY SAN GABRIEL")</f>
        <v>BGY SAN GABRIEL</v>
      </c>
      <c r="AG542" s="1" t="str">
        <f>IFERROR(__xludf.DUMMYFUNCTION("""COMPUTED_VALUE"""),"GEN MARIANO ALVAREZ")</f>
        <v>GEN MARIANO ALVAREZ</v>
      </c>
      <c r="AH542" s="1" t="str">
        <f>IFERROR(__xludf.DUMMYFUNCTION("""COMPUTED_VALUE"""),"LIKOD NG MERALCO BLDG")</f>
        <v>LIKOD NG MERALCO BLDG</v>
      </c>
      <c r="AI542" s="1" t="str">
        <f>IFERROR(__xludf.DUMMYFUNCTION("""COMPUTED_VALUE"""),"CLUSTER 11")</f>
        <v>CLUSTER 11</v>
      </c>
    </row>
    <row r="543" customHeight="1" spans="1:35">
      <c r="A543" s="3">
        <f>IFERROR(__xludf.DUMMYFUNCTION("""COMPUTED_VALUE"""),46279)</f>
        <v>46279</v>
      </c>
      <c r="B543" s="1" t="str">
        <f>IFERROR(__xludf.DUMMYFUNCTION("""COMPUTED_VALUE"""),"JUAN JR MADRIAGA BLAZA")</f>
        <v>JUAN JR MADRIAGA BLAZA</v>
      </c>
      <c r="C543" s="1">
        <f>IFERROR(__xludf.DUMMYFUNCTION("""COMPUTED_VALUE"""),2312579610)</f>
        <v>2312579610</v>
      </c>
      <c r="D543" s="1">
        <f>IFERROR(__xludf.DUMMYFUNCTION("""COMPUTED_VALUE"""),407981642)</f>
        <v>407981642</v>
      </c>
      <c r="E543" s="1">
        <f>IFERROR(__xludf.DUMMYFUNCTION("""COMPUTED_VALUE"""),471355663004)</f>
        <v>471355663004</v>
      </c>
      <c r="F543" s="1" t="str">
        <f>IFERROR(__xludf.DUMMYFUNCTION("""COMPUTED_VALUE"""),"CLOSED")</f>
        <v>CLOSED</v>
      </c>
      <c r="G543" s="1" t="str">
        <f>IFERROR(__xludf.DUMMYFUNCTION("""COMPUTED_VALUE"""),"CLOSED")</f>
        <v>CLOSED</v>
      </c>
      <c r="H543" s="1" t="str">
        <f>IFERROR(__xludf.DUMMYFUNCTION("""COMPUTED_VALUE"""),"PQGOR365180790	25-Sep-26	Regular Payment	CIS-GCASH 3.0	1,300.00	0	25-Sep-26")</f>
        <v>PQGOR365180790	25-Sep-26	Regular Payment	CIS-GCASH 3.0	1,300.00	0	25-Sep-26</v>
      </c>
      <c r="I543" s="1" t="str">
        <f>IFERROR(__xludf.DUMMYFUNCTION("""COMPUTED_VALUE"""),"WITH 1 AMSF")</f>
        <v>WITH 1 AMSF</v>
      </c>
      <c r="J543" s="1"/>
      <c r="K543" s="1" t="str">
        <f>IFERROR(__xludf.DUMMYFUNCTION("""COMPUTED_VALUE"""),"COMPLETED")</f>
        <v>COMPLETED</v>
      </c>
      <c r="L543" s="1" t="str">
        <f>IFERROR(__xludf.DUMMYFUNCTION("""COMPUTED_VALUE"""),"POSTED")</f>
        <v>POSTED</v>
      </c>
      <c r="M543" s="1" t="str">
        <f>IFERROR(__xludf.DUMMYFUNCTION("""COMPUTED_VALUE"""),"POSTED")</f>
        <v>POSTED</v>
      </c>
      <c r="N543" s="3">
        <f>IFERROR(__xludf.DUMMYFUNCTION("""COMPUTED_VALUE"""),46282)</f>
        <v>46282</v>
      </c>
      <c r="O543" s="1" t="str">
        <f>IFERROR(__xludf.DUMMYFUNCTION("""COMPUTED_VALUE"""),"FIBR PLAN 1299")</f>
        <v>FIBR PLAN 1299</v>
      </c>
      <c r="P543" s="1" t="str">
        <f>IFERROR(__xludf.DUMMYFUNCTION("""COMPUTED_VALUE"""),"LOWPLAN")</f>
        <v>LOWPLAN</v>
      </c>
      <c r="Q543" s="1" t="str">
        <f>IFERROR(__xludf.DUMMYFUNCTION("""COMPUTED_VALUE"""),"P407050")</f>
        <v>P407050</v>
      </c>
      <c r="R543" s="1" t="str">
        <f>IFERROR(__xludf.DUMMYFUNCTION("""COMPUTED_VALUE"""),"CADERAO, RONALD")</f>
        <v>CADERAO, RONALD</v>
      </c>
      <c r="S543" s="1" t="str">
        <f>IFERROR(__xludf.DUMMYFUNCTION("""COMPUTED_VALUE"""),"ORGANIC")</f>
        <v>ORGANIC</v>
      </c>
      <c r="T543" s="1" t="str">
        <f>IFERROR(__xludf.DUMMYFUNCTION("""COMPUTED_VALUE"""),"LEA REMOLLO")</f>
        <v>LEA REMOLLO</v>
      </c>
      <c r="U543" s="1" t="str">
        <f>IFERROR(__xludf.DUMMYFUNCTION("""COMPUTED_VALUE"""),"JB SALIOA")</f>
        <v>JB SALIOA</v>
      </c>
      <c r="V543" s="1" t="str">
        <f>IFERROR(__xludf.DUMMYFUNCTION("""COMPUTED_VALUE"""),"BK HSTK")</f>
        <v>BK HSTK</v>
      </c>
      <c r="W543" s="1" t="str">
        <f>IFERROR(__xludf.DUMMYFUNCTION("""COMPUTED_VALUE"""),"BK HSTK")</f>
        <v>BK HSTK</v>
      </c>
      <c r="X543" s="1" t="str">
        <f>IFERROR(__xludf.DUMMYFUNCTION("""COMPUTED_VALUE"""),"HBBS SEPT 2026")</f>
        <v>HBBS SEPT 2026</v>
      </c>
      <c r="Y543" s="1" t="str">
        <f>IFERROR(__xludf.DUMMYFUNCTION("""COMPUTED_VALUE"""),"BK_CVEU_260820")</f>
        <v>BK_CVEU_260820</v>
      </c>
      <c r="Z543" s="1" t="str">
        <f>IFERROR(__xludf.DUMMYFUNCTION("""COMPUTED_VALUE"""),"NEW CONNECT")</f>
        <v>NEW CONNECT</v>
      </c>
      <c r="AA543" s="1">
        <f>IFERROR(__xludf.DUMMYFUNCTION("""COMPUTED_VALUE"""),639459769311)</f>
        <v>639459769311</v>
      </c>
      <c r="AB543" s="1">
        <f>IFERROR(__xludf.DUMMYFUNCTION("""COMPUTED_VALUE"""),639054910968)</f>
        <v>639054910968</v>
      </c>
      <c r="AC543" s="1"/>
      <c r="AD543" s="1" t="str">
        <f>IFERROR(__xludf.DUMMYFUNCTION("""COMPUTED_VALUE"""),"BUKLURAN 1")</f>
        <v>BUKLURAN 1</v>
      </c>
      <c r="AE543" s="1"/>
      <c r="AF543" s="1" t="str">
        <f>IFERROR(__xludf.DUMMYFUNCTION("""COMPUTED_VALUE"""),"BGY BULIHAN")</f>
        <v>BGY BULIHAN</v>
      </c>
      <c r="AG543" s="1" t="str">
        <f>IFERROR(__xludf.DUMMYFUNCTION("""COMPUTED_VALUE"""),"SILANG")</f>
        <v>SILANG</v>
      </c>
      <c r="AH543" s="1" t="str">
        <f>IFERROR(__xludf.DUMMYFUNCTION("""COMPUTED_VALUE"""),"BACK OF MCDONALD")</f>
        <v>BACK OF MCDONALD</v>
      </c>
      <c r="AI543" s="1" t="str">
        <f>IFERROR(__xludf.DUMMYFUNCTION("""COMPUTED_VALUE"""),"CLUSTER 11")</f>
        <v>CLUSTER 11</v>
      </c>
    </row>
    <row r="544" customHeight="1" spans="1:35">
      <c r="A544" s="3">
        <f>IFERROR(__xludf.DUMMYFUNCTION("""COMPUTED_VALUE"""),46280)</f>
        <v>46280</v>
      </c>
      <c r="B544" s="1" t="str">
        <f>IFERROR(__xludf.DUMMYFUNCTION("""COMPUTED_VALUE"""),"JESSIE NAVARRA VILLARUEL")</f>
        <v>JESSIE NAVARRA VILLARUEL</v>
      </c>
      <c r="C544" s="1">
        <f>IFERROR(__xludf.DUMMYFUNCTION("""COMPUTED_VALUE"""),2312591560)</f>
        <v>2312591560</v>
      </c>
      <c r="D544" s="1"/>
      <c r="E544" s="1"/>
      <c r="F544" s="1" t="str">
        <f>IFERROR(__xludf.DUMMYFUNCTION("""COMPUTED_VALUE"""),"RTS")</f>
        <v>RTS</v>
      </c>
      <c r="G544" s="1" t="str">
        <f>IFERROR(__xludf.DUMMYFUNCTION("""COMPUTED_VALUE"""),"(POA REQUIREMENT - MULTIPLE LINE APPLICATION) RETURN TO SALES | DONE VALIDATION WITH COMPLETE DOCS | CORRECT ENCODED INFO IN CSP | TU SCORING- DD - 5 (LOW RISK) | WAIVED AMSF | CLEARED FROM BLACKLISTED HIT |FOUND CANCELLED ACCT# (0201089735) SAME NAME/DIF"&amp;"F ADDRESS | CALL THRU: (09174222598) 11:46AM (09458324877) 11:47AM| UNCONTACTED")</f>
        <v>(POA REQUIREMENT - MULTIPLE LINE APPLICATION) RETURN TO SALES | DONE VALIDATION WITH COMPLETE DOCS | CORRECT ENCODED INFO IN CSP | TU SCORING- DD - 5 (LOW RISK) | WAIVED AMSF | CLEARED FROM BLACKLISTED HIT |FOUND CANCELLED ACCT# (0201089735) SAME NAME/DIFF ADDRESS | CALL THRU: (09174222598) 11:46AM (09458324877) 11:47AM| UNCONTACTED</v>
      </c>
      <c r="H544" s="1"/>
      <c r="I544" s="1"/>
      <c r="J544" s="1"/>
      <c r="K544" s="1"/>
      <c r="L544" s="1" t="str">
        <f>IFERROR(__xludf.DUMMYFUNCTION("""COMPUTED_VALUE"""),"RTS CUSTOMER COMPLIANCE")</f>
        <v>RTS CUSTOMER COMPLIANCE</v>
      </c>
      <c r="M544" s="1" t="str">
        <f>IFERROR(__xludf.DUMMYFUNCTION("""COMPUTED_VALUE"""),"RTS - CUSTOMER COMPLIANCE")</f>
        <v>RTS - CUSTOMER COMPLIANCE</v>
      </c>
      <c r="N544" s="3"/>
      <c r="O544" s="1" t="str">
        <f>IFERROR(__xludf.DUMMYFUNCTION("""COMPUTED_VALUE"""),"FIBER UNLI ALL PLAN 1499")</f>
        <v>FIBER UNLI ALL PLAN 1499</v>
      </c>
      <c r="P544" s="1" t="str">
        <f>IFERROR(__xludf.DUMMYFUNCTION("""COMPUTED_VALUE"""),"LOWPLAN")</f>
        <v>LOWPLAN</v>
      </c>
      <c r="Q544" s="1" t="str">
        <f>IFERROR(__xludf.DUMMYFUNCTION("""COMPUTED_VALUE"""),"P407516")</f>
        <v>P407516</v>
      </c>
      <c r="R544" s="1" t="str">
        <f>IFERROR(__xludf.DUMMYFUNCTION("""COMPUTED_VALUE"""),"AYON, MANUEL")</f>
        <v>AYON, MANUEL</v>
      </c>
      <c r="S544" s="1" t="str">
        <f>IFERROR(__xludf.DUMMYFUNCTION("""COMPUTED_VALUE"""),"FLA")</f>
        <v>FLA</v>
      </c>
      <c r="T544" s="1" t="str">
        <f>IFERROR(__xludf.DUMMYFUNCTION("""COMPUTED_VALUE"""),"JERIC NAVARRO")</f>
        <v>JERIC NAVARRO</v>
      </c>
      <c r="U544" s="1" t="str">
        <f>IFERROR(__xludf.DUMMYFUNCTION("""COMPUTED_VALUE"""),"JB SALIOA")</f>
        <v>JB SALIOA</v>
      </c>
      <c r="V544" s="1" t="str">
        <f>IFERROR(__xludf.DUMMYFUNCTION("""COMPUTED_VALUE"""),"BK HSTK")</f>
        <v>BK HSTK</v>
      </c>
      <c r="W544" s="1" t="str">
        <f>IFERROR(__xludf.DUMMYFUNCTION("""COMPUTED_VALUE"""),"BK HSTK")</f>
        <v>BK HSTK</v>
      </c>
      <c r="X544" s="1" t="str">
        <f>IFERROR(__xludf.DUMMYFUNCTION("""COMPUTED_VALUE"""),"HBBS SEPT 2026")</f>
        <v>HBBS SEPT 2026</v>
      </c>
      <c r="Y544" s="1" t="str">
        <f>IFERROR(__xludf.DUMMYFUNCTION("""COMPUTED_VALUE"""),"BK_CVEU_260820")</f>
        <v>BK_CVEU_260820</v>
      </c>
      <c r="Z544" s="1" t="str">
        <f>IFERROR(__xludf.DUMMYFUNCTION("""COMPUTED_VALUE"""),"NEW CONNECT")</f>
        <v>NEW CONNECT</v>
      </c>
      <c r="AA544" s="1">
        <f>IFERROR(__xludf.DUMMYFUNCTION("""COMPUTED_VALUE"""),639174222598)</f>
        <v>639174222598</v>
      </c>
      <c r="AB544" s="1">
        <f>IFERROR(__xludf.DUMMYFUNCTION("""COMPUTED_VALUE"""),639458324877)</f>
        <v>639458324877</v>
      </c>
      <c r="AC544" s="1"/>
      <c r="AD544" s="1" t="str">
        <f>IFERROR(__xludf.DUMMYFUNCTION("""COMPUTED_VALUE"""),"ZONE 2")</f>
        <v>ZONE 2</v>
      </c>
      <c r="AE544" s="1" t="str">
        <f>IFERROR(__xludf.DUMMYFUNCTION("""COMPUTED_VALUE"""),"AFP HOUSING")</f>
        <v>AFP HOUSING</v>
      </c>
      <c r="AF544" s="1" t="str">
        <f>IFERROR(__xludf.DUMMYFUNCTION("""COMPUTED_VALUE"""),"BGY BULIHAN")</f>
        <v>BGY BULIHAN</v>
      </c>
      <c r="AG544" s="1" t="str">
        <f>IFERROR(__xludf.DUMMYFUNCTION("""COMPUTED_VALUE"""),"SILANG")</f>
        <v>SILANG</v>
      </c>
      <c r="AH544" s="1" t="str">
        <f>IFERROR(__xludf.DUMMYFUNCTION("""COMPUTED_VALUE"""),"-")</f>
        <v>-</v>
      </c>
      <c r="AI544" s="1" t="str">
        <f>IFERROR(__xludf.DUMMYFUNCTION("""COMPUTED_VALUE"""),"CLUSTER 11")</f>
        <v>CLUSTER 11</v>
      </c>
    </row>
    <row r="545" customHeight="1" spans="1:35">
      <c r="A545" s="3">
        <f>IFERROR(__xludf.DUMMYFUNCTION("""COMPUTED_VALUE"""),46280)</f>
        <v>46280</v>
      </c>
      <c r="B545" s="1" t="str">
        <f>IFERROR(__xludf.DUMMYFUNCTION("""COMPUTED_VALUE"""),"JOMO COBILLAS FAJARDO")</f>
        <v>JOMO COBILLAS FAJARDO</v>
      </c>
      <c r="C545" s="1">
        <f>IFERROR(__xludf.DUMMYFUNCTION("""COMPUTED_VALUE"""),2312591819)</f>
        <v>2312591819</v>
      </c>
      <c r="D545" s="1">
        <f>IFERROR(__xludf.DUMMYFUNCTION("""COMPUTED_VALUE"""),407999622)</f>
        <v>407999622</v>
      </c>
      <c r="E545" s="1">
        <f>IFERROR(__xludf.DUMMYFUNCTION("""COMPUTED_VALUE"""),471510077004)</f>
        <v>471510077004</v>
      </c>
      <c r="F545" s="1" t="str">
        <f>IFERROR(__xludf.DUMMYFUNCTION("""COMPUTED_VALUE"""),"CANCELLED")</f>
        <v>CANCELLED</v>
      </c>
      <c r="G545" s="1" t="str">
        <f>IFERROR(__xludf.DUMMYFUNCTION("""COMPUTED_VALUE"""),"""CALLTHRU 
REMARKS: SUBS REQUEST CANCEL APPLICATION DUE TO AYAW PO DAW PUMAYAG UNG TATAY NIYA AT NAKA USAP NADIN NIYA ANG AGENT NA PAPA CANCEL NA LANG DAW PO AS PER SUBS 
鈥嶵ALK: SER JOMO 
鈥嶤BR: 09152253659 
""")</f>
        <v>"CALLTHRU 
REMARKS: SUBS REQUEST CANCEL APPLICATION DUE TO AYAW PO DAW PUMAYAG UNG TATAY NIYA AT NAKA USAP NADIN NIYA ANG AGENT NA PAPA CANCEL NA LANG DAW PO AS PER SUBS 
鈥嶵ALK: SER JOMO 
鈥嶤BR: 09152253659 
"</v>
      </c>
      <c r="H545" s="1"/>
      <c r="I545" s="1" t="str">
        <f>IFERROR(__xludf.DUMMYFUNCTION("""COMPUTED_VALUE"""),"NO 1 AMSF")</f>
        <v>NO 1 AMSF</v>
      </c>
      <c r="J545" s="1"/>
      <c r="K545" s="1" t="str">
        <f>IFERROR(__xludf.DUMMYFUNCTION("""COMPUTED_VALUE"""),"CANCELED")</f>
        <v>CANCELED</v>
      </c>
      <c r="L545" s="1" t="str">
        <f>IFERROR(__xludf.DUMMYFUNCTION("""COMPUTED_VALUE"""),"RPR - UNDECIDED")</f>
        <v>RPR - UNDECIDED</v>
      </c>
      <c r="M545" s="1" t="str">
        <f>IFERROR(__xludf.DUMMYFUNCTION("""COMPUTED_VALUE"""),"RPR- SUBS CANCEL REQUEST")</f>
        <v>RPR- SUBS CANCEL REQUEST</v>
      </c>
      <c r="N545" s="3"/>
      <c r="O545" s="1" t="str">
        <f>IFERROR(__xludf.DUMMYFUNCTION("""COMPUTED_VALUE"""),"FIBR UNLI ALL PLAN 999")</f>
        <v>FIBR UNLI ALL PLAN 999</v>
      </c>
      <c r="P545" s="1" t="str">
        <f>IFERROR(__xludf.DUMMYFUNCTION("""COMPUTED_VALUE"""),"LOWPLAN")</f>
        <v>LOWPLAN</v>
      </c>
      <c r="Q545" s="1" t="str">
        <f>IFERROR(__xludf.DUMMYFUNCTION("""COMPUTED_VALUE"""),"P407559")</f>
        <v>P407559</v>
      </c>
      <c r="R545" s="1" t="str">
        <f>IFERROR(__xludf.DUMMYFUNCTION("""COMPUTED_VALUE"""),"MAGDARAOG, KENNETH")</f>
        <v>MAGDARAOG, KENNETH</v>
      </c>
      <c r="S545" s="1" t="str">
        <f>IFERROR(__xludf.DUMMYFUNCTION("""COMPUTED_VALUE"""),"ORGANIC")</f>
        <v>ORGANIC</v>
      </c>
      <c r="T545" s="1" t="str">
        <f>IFERROR(__xludf.DUMMYFUNCTION("""COMPUTED_VALUE"""),"LEA REMOLLO")</f>
        <v>LEA REMOLLO</v>
      </c>
      <c r="U545" s="1" t="str">
        <f>IFERROR(__xludf.DUMMYFUNCTION("""COMPUTED_VALUE"""),"JB SALIOA")</f>
        <v>JB SALIOA</v>
      </c>
      <c r="V545" s="1" t="str">
        <f>IFERROR(__xludf.DUMMYFUNCTION("""COMPUTED_VALUE"""),"BK REGULAR")</f>
        <v>BK REGULAR</v>
      </c>
      <c r="W545" s="1" t="str">
        <f>IFERROR(__xludf.DUMMYFUNCTION("""COMPUTED_VALUE"""),"STK REGULAR")</f>
        <v>STK REGULAR</v>
      </c>
      <c r="X545" s="1" t="str">
        <f>IFERROR(__xludf.DUMMYFUNCTION("""COMPUTED_VALUE"""),"REGULAR")</f>
        <v>REGULAR</v>
      </c>
      <c r="Y545" s="1" t="str">
        <f>IFERROR(__xludf.DUMMYFUNCTION("""COMPUTED_VALUE"""),"BK_CVEU_260821")</f>
        <v>BK_CVEU_260821</v>
      </c>
      <c r="Z545" s="1" t="str">
        <f>IFERROR(__xludf.DUMMYFUNCTION("""COMPUTED_VALUE"""),"NEW CONNECT")</f>
        <v>NEW CONNECT</v>
      </c>
      <c r="AA545" s="1">
        <f>IFERROR(__xludf.DUMMYFUNCTION("""COMPUTED_VALUE"""),639152253659)</f>
        <v>639152253659</v>
      </c>
      <c r="AB545" s="1">
        <f>IFERROR(__xludf.DUMMYFUNCTION("""COMPUTED_VALUE"""),639615236709)</f>
        <v>639615236709</v>
      </c>
      <c r="AC545" s="1">
        <f>IFERROR(__xludf.DUMMYFUNCTION("""COMPUTED_VALUE"""),7353)</f>
        <v>7353</v>
      </c>
      <c r="AD545" s="1" t="str">
        <f>IFERROR(__xludf.DUMMYFUNCTION("""COMPUTED_VALUE"""),"PUROK 13")</f>
        <v>PUROK 13</v>
      </c>
      <c r="AE545" s="1"/>
      <c r="AF545" s="1" t="str">
        <f>IFERROR(__xludf.DUMMYFUNCTION("""COMPUTED_VALUE"""),"BGY CALABUSO")</f>
        <v>BGY CALABUSO</v>
      </c>
      <c r="AG545" s="1" t="str">
        <f>IFERROR(__xludf.DUMMYFUNCTION("""COMPUTED_VALUE"""),"TAGAYTAY")</f>
        <v>TAGAYTAY</v>
      </c>
      <c r="AH545" s="1" t="str">
        <f>IFERROR(__xludf.DUMMYFUNCTION("""COMPUTED_VALUE"""),"SCHOOL")</f>
        <v>SCHOOL</v>
      </c>
      <c r="AI545" s="1" t="str">
        <f>IFERROR(__xludf.DUMMYFUNCTION("""COMPUTED_VALUE"""),"CLUSTER 12")</f>
        <v>CLUSTER 12</v>
      </c>
    </row>
    <row r="546" customHeight="1" spans="1:35">
      <c r="A546" s="3">
        <f>IFERROR(__xludf.DUMMYFUNCTION("""COMPUTED_VALUE"""),46280)</f>
        <v>46280</v>
      </c>
      <c r="B546" s="1" t="str">
        <f>IFERROR(__xludf.DUMMYFUNCTION("""COMPUTED_VALUE"""),"MARIA TERESA CASUNCAD SADUCOS")</f>
        <v>MARIA TERESA CASUNCAD SADUCOS</v>
      </c>
      <c r="C546" s="1">
        <f>IFERROR(__xludf.DUMMYFUNCTION("""COMPUTED_VALUE"""),2312592222)</f>
        <v>2312592222</v>
      </c>
      <c r="D546" s="1"/>
      <c r="E546" s="1"/>
      <c r="F546" s="1" t="str">
        <f>IFERROR(__xludf.DUMMYFUNCTION("""COMPUTED_VALUE"""),"CANCELLED")</f>
        <v>CANCELLED</v>
      </c>
      <c r="G546" s="1" t="str">
        <f>IFERROR(__xludf.DUMMYFUNCTION("""COMPUTED_VALUE"""),"(NO LONGER INTERESTED ) SUBS CANCELLED | DONE VALIDATION | COMPLETE DOCS | CORRECT ENCODED INFO IN CSP | TU SCORING - FF - 1 (NTC) | 1 AMSF REQUIRED | CLEARED FROM BLACKLISTED HIT | FOUND PENDING ACC# (0407915488) WITH SAME NAME SAME ADDRESS | CALL THRU: "&amp;"639763632634 - 2:44 PM | TALKED TO SOR CONFIRMED TO CANCEL THE NEW APPLICATION AND PROCEED THE PENDING APP ")</f>
        <v>(NO LONGER INTERESTED ) SUBS CANCELLED | DONE VALIDATION | COMPLETE DOCS | CORRECT ENCODED INFO IN CSP | TU SCORING - FF - 1 (NTC) | 1 AMSF REQUIRED | CLEARED FROM BLACKLISTED HIT | FOUND PENDING ACC# (0407915488) WITH SAME NAME SAME ADDRESS | CALL THRU: 639763632634 - 2:44 PM | TALKED TO SOR CONFIRMED TO CANCEL THE NEW APPLICATION AND PROCEED THE PENDING APP </v>
      </c>
      <c r="H546" s="1"/>
      <c r="I546" s="1"/>
      <c r="J546" s="1"/>
      <c r="K546" s="1"/>
      <c r="L546" s="1" t="str">
        <f>IFERROR(__xludf.DUMMYFUNCTION("""COMPUTED_VALUE"""),"CANCELLED")</f>
        <v>CANCELLED</v>
      </c>
      <c r="M546" s="1" t="str">
        <f>IFERROR(__xludf.DUMMYFUNCTION("""COMPUTED_VALUE"""),"CANCELLED - SUBS CANCEL REQUEST")</f>
        <v>CANCELLED - SUBS CANCEL REQUEST</v>
      </c>
      <c r="N546" s="3"/>
      <c r="O546" s="1" t="str">
        <f>IFERROR(__xludf.DUMMYFUNCTION("""COMPUTED_VALUE"""),"FIBER UNLI ALL PLAN 1499")</f>
        <v>FIBER UNLI ALL PLAN 1499</v>
      </c>
      <c r="P546" s="1" t="str">
        <f>IFERROR(__xludf.DUMMYFUNCTION("""COMPUTED_VALUE"""),"LOWPLAN")</f>
        <v>LOWPLAN</v>
      </c>
      <c r="Q546" s="1" t="str">
        <f>IFERROR(__xludf.DUMMYFUNCTION("""COMPUTED_VALUE"""),"P407561")</f>
        <v>P407561</v>
      </c>
      <c r="R546" s="1" t="str">
        <f>IFERROR(__xludf.DUMMYFUNCTION("""COMPUTED_VALUE"""),"TAMAYO, MARY ROSE ZAIRA")</f>
        <v>TAMAYO, MARY ROSE ZAIRA</v>
      </c>
      <c r="S546" s="1" t="str">
        <f>IFERROR(__xludf.DUMMYFUNCTION("""COMPUTED_VALUE"""),"ORGANIC")</f>
        <v>ORGANIC</v>
      </c>
      <c r="T546" s="1" t="str">
        <f>IFERROR(__xludf.DUMMYFUNCTION("""COMPUTED_VALUE"""),"LEA REMOLLO")</f>
        <v>LEA REMOLLO</v>
      </c>
      <c r="U546" s="1" t="str">
        <f>IFERROR(__xludf.DUMMYFUNCTION("""COMPUTED_VALUE"""),"JB SALIOA")</f>
        <v>JB SALIOA</v>
      </c>
      <c r="V546" s="1" t="str">
        <f>IFERROR(__xludf.DUMMYFUNCTION("""COMPUTED_VALUE"""),"BK REGULAR")</f>
        <v>BK REGULAR</v>
      </c>
      <c r="W546" s="1" t="str">
        <f>IFERROR(__xludf.DUMMYFUNCTION("""COMPUTED_VALUE"""),"STK REGULAR")</f>
        <v>STK REGULAR</v>
      </c>
      <c r="X546" s="1" t="str">
        <f>IFERROR(__xludf.DUMMYFUNCTION("""COMPUTED_VALUE"""),"HBBS SEPT 2026")</f>
        <v>HBBS SEPT 2026</v>
      </c>
      <c r="Y546" s="1" t="str">
        <f>IFERROR(__xludf.DUMMYFUNCTION("""COMPUTED_VALUE"""),"BK_CVEU_260820")</f>
        <v>BK_CVEU_260820</v>
      </c>
      <c r="Z546" s="1" t="str">
        <f>IFERROR(__xludf.DUMMYFUNCTION("""COMPUTED_VALUE"""),"NEW CONNECT")</f>
        <v>NEW CONNECT</v>
      </c>
      <c r="AA546" s="1">
        <f>IFERROR(__xludf.DUMMYFUNCTION("""COMPUTED_VALUE"""),639763632634)</f>
        <v>639763632634</v>
      </c>
      <c r="AB546" s="1">
        <f>IFERROR(__xludf.DUMMYFUNCTION("""COMPUTED_VALUE"""),639672505758)</f>
        <v>639672505758</v>
      </c>
      <c r="AC546" s="1"/>
      <c r="AD546" s="1" t="str">
        <f>IFERROR(__xludf.DUMMYFUNCTION("""COMPUTED_VALUE"""),"THE MANDARA")</f>
        <v>THE MANDARA</v>
      </c>
      <c r="AE546" s="1" t="str">
        <f>IFERROR(__xludf.DUMMYFUNCTION("""COMPUTED_VALUE"""),"THE MANDARA")</f>
        <v>THE MANDARA</v>
      </c>
      <c r="AF546" s="1" t="str">
        <f>IFERROR(__xludf.DUMMYFUNCTION("""COMPUTED_VALUE"""),"BGY TARTARIA")</f>
        <v>BGY TARTARIA</v>
      </c>
      <c r="AG546" s="1" t="str">
        <f>IFERROR(__xludf.DUMMYFUNCTION("""COMPUTED_VALUE"""),"SILANG")</f>
        <v>SILANG</v>
      </c>
      <c r="AH546" s="1" t="str">
        <f>IFERROR(__xludf.DUMMYFUNCTION("""COMPUTED_VALUE"""),"-")</f>
        <v>-</v>
      </c>
      <c r="AI546" s="1" t="str">
        <f>IFERROR(__xludf.DUMMYFUNCTION("""COMPUTED_VALUE"""),"CLUSTER 11")</f>
        <v>CLUSTER 11</v>
      </c>
    </row>
    <row r="547" customHeight="1" spans="1:35">
      <c r="A547" s="3">
        <f>IFERROR(__xludf.DUMMYFUNCTION("""COMPUTED_VALUE"""),46280)</f>
        <v>46280</v>
      </c>
      <c r="B547" s="1" t="str">
        <f>IFERROR(__xludf.DUMMYFUNCTION("""COMPUTED_VALUE"""),"JOVEN GALLETO ERLANO")</f>
        <v>JOVEN GALLETO ERLANO</v>
      </c>
      <c r="C547" s="1">
        <f>IFERROR(__xludf.DUMMYFUNCTION("""COMPUTED_VALUE"""),2312595028)</f>
        <v>2312595028</v>
      </c>
      <c r="D547" s="1">
        <f>IFERROR(__xludf.DUMMYFUNCTION("""COMPUTED_VALUE"""),408104521)</f>
        <v>408104521</v>
      </c>
      <c r="E547" s="1">
        <f>IFERROR(__xludf.DUMMYFUNCTION("""COMPUTED_VALUE"""),471897760004)</f>
        <v>471897760004</v>
      </c>
      <c r="F547" s="1" t="str">
        <f>IFERROR(__xludf.DUMMYFUNCTION("""COMPUTED_VALUE"""),"RPR")</f>
        <v>RPR</v>
      </c>
      <c r="G547" s="1" t="str">
        <f>IFERROR(__xludf.DUMMYFUNCTION("""COMPUTED_VALUE"""),"""THRU CALL 
‎ 
‎REMARKS: RESCHEDULE WITHOUT SPECIFIC DATE AS PER SUBS HINDI PA DAW PO KASI NAAYOS LINYA NG KURYENTE NILA SA MERALCO MAG UPDATE NLNG DAW SIYA KAPAG OKAY NA MERALCO NILA CONFIRMED THRU CALL 
‎ 
‎ 
‎TALK: JOVEN GALLETO ERLANO 
‎ADV: 
‎CBR: 0"&amp;"9386550022/09704780491""")</f>
        <v>"THRU CALL 
‎ 
‎REMARKS: RESCHEDULE WITHOUT SPECIFIC DATE AS PER SUBS HINDI PA DAW PO KASI NAAYOS LINYA NG KURYENTE NILA SA MERALCO MAG UPDATE NLNG DAW SIYA KAPAG OKAY NA MERALCO NILA CONFIRMED THRU CALL 
‎ 
‎ 
‎TALK: JOVEN GALLETO ERLANO 
‎ADV: 
‎CBR: 09386550022/09704780491"</v>
      </c>
      <c r="H547" s="1"/>
      <c r="I547" s="1" t="str">
        <f>IFERROR(__xludf.DUMMYFUNCTION("""COMPUTED_VALUE"""),"NO 1 AMSF")</f>
        <v>NO 1 AMSF</v>
      </c>
      <c r="J547" s="1"/>
      <c r="K547" s="1" t="str">
        <f>IFERROR(__xludf.DUMMYFUNCTION("""COMPUTED_VALUE"""),"CANCELED")</f>
        <v>CANCELED</v>
      </c>
      <c r="L547" s="1" t="str">
        <f>IFERROR(__xludf.DUMMYFUNCTION("""COMPUTED_VALUE"""),"RPR - UNMAINTAINABLE")</f>
        <v>RPR - UNMAINTAINABLE</v>
      </c>
      <c r="M547" s="1" t="str">
        <f>IFERROR(__xludf.DUMMYFUNCTION("""COMPUTED_VALUE"""),"RPR - UNMAINTAINABLE")</f>
        <v>RPR - UNMAINTAINABLE</v>
      </c>
      <c r="N547" s="3"/>
      <c r="O547" s="1" t="str">
        <f>IFERROR(__xludf.DUMMYFUNCTION("""COMPUTED_VALUE"""),"FIBR PLAN 1299")</f>
        <v>FIBR PLAN 1299</v>
      </c>
      <c r="P547" s="1" t="str">
        <f>IFERROR(__xludf.DUMMYFUNCTION("""COMPUTED_VALUE"""),"LOWPLAN")</f>
        <v>LOWPLAN</v>
      </c>
      <c r="Q547" s="1" t="str">
        <f>IFERROR(__xludf.DUMMYFUNCTION("""COMPUTED_VALUE"""),"P407050")</f>
        <v>P407050</v>
      </c>
      <c r="R547" s="1" t="str">
        <f>IFERROR(__xludf.DUMMYFUNCTION("""COMPUTED_VALUE"""),"CADERAO, RONALD")</f>
        <v>CADERAO, RONALD</v>
      </c>
      <c r="S547" s="1" t="str">
        <f>IFERROR(__xludf.DUMMYFUNCTION("""COMPUTED_VALUE"""),"ORGANIC")</f>
        <v>ORGANIC</v>
      </c>
      <c r="T547" s="1" t="str">
        <f>IFERROR(__xludf.DUMMYFUNCTION("""COMPUTED_VALUE"""),"LEA REMOLLO")</f>
        <v>LEA REMOLLO</v>
      </c>
      <c r="U547" s="1" t="str">
        <f>IFERROR(__xludf.DUMMYFUNCTION("""COMPUTED_VALUE"""),"JB SALIOA")</f>
        <v>JB SALIOA</v>
      </c>
      <c r="V547" s="1" t="str">
        <f>IFERROR(__xludf.DUMMYFUNCTION("""COMPUTED_VALUE"""),"BK REGULAR")</f>
        <v>BK REGULAR</v>
      </c>
      <c r="W547" s="1" t="str">
        <f>IFERROR(__xludf.DUMMYFUNCTION("""COMPUTED_VALUE"""),"STK REGULAR")</f>
        <v>STK REGULAR</v>
      </c>
      <c r="X547" s="1" t="str">
        <f>IFERROR(__xludf.DUMMYFUNCTION("""COMPUTED_VALUE"""),"HBBS SEPT 2026")</f>
        <v>HBBS SEPT 2026</v>
      </c>
      <c r="Y547" s="1" t="str">
        <f>IFERROR(__xludf.DUMMYFUNCTION("""COMPUTED_VALUE"""),"BK_CVEU_260820")</f>
        <v>BK_CVEU_260820</v>
      </c>
      <c r="Z547" s="1" t="str">
        <f>IFERROR(__xludf.DUMMYFUNCTION("""COMPUTED_VALUE"""),"NEW CONNECT")</f>
        <v>NEW CONNECT</v>
      </c>
      <c r="AA547" s="1">
        <f>IFERROR(__xludf.DUMMYFUNCTION("""COMPUTED_VALUE"""),639386550022)</f>
        <v>639386550022</v>
      </c>
      <c r="AB547" s="1">
        <f>IFERROR(__xludf.DUMMYFUNCTION("""COMPUTED_VALUE"""),639704780491)</f>
        <v>639704780491</v>
      </c>
      <c r="AC547" s="1">
        <f>IFERROR(__xludf.DUMMYFUNCTION("""COMPUTED_VALUE"""),487)</f>
        <v>487</v>
      </c>
      <c r="AD547" s="1" t="str">
        <f>IFERROR(__xludf.DUMMYFUNCTION("""COMPUTED_VALUE"""),"PUROK 5")</f>
        <v>PUROK 5</v>
      </c>
      <c r="AE547" s="1"/>
      <c r="AF547" s="1" t="str">
        <f>IFERROR(__xludf.DUMMYFUNCTION("""COMPUTED_VALUE"""),"BGY PASONG LANGKA")</f>
        <v>BGY PASONG LANGKA</v>
      </c>
      <c r="AG547" s="1" t="str">
        <f>IFERROR(__xludf.DUMMYFUNCTION("""COMPUTED_VALUE"""),"SILANG")</f>
        <v>SILANG</v>
      </c>
      <c r="AH547" s="1" t="str">
        <f>IFERROR(__xludf.DUMMYFUNCTION("""COMPUTED_VALUE"""),"7/11")</f>
        <v>7/11</v>
      </c>
      <c r="AI547" s="1" t="str">
        <f>IFERROR(__xludf.DUMMYFUNCTION("""COMPUTED_VALUE"""),"CLUSTER 11")</f>
        <v>CLUSTER 11</v>
      </c>
    </row>
    <row r="548" customHeight="1" spans="1:35">
      <c r="A548" s="3">
        <f>IFERROR(__xludf.DUMMYFUNCTION("""COMPUTED_VALUE"""),46280)</f>
        <v>46280</v>
      </c>
      <c r="B548" s="1" t="str">
        <f>IFERROR(__xludf.DUMMYFUNCTION("""COMPUTED_VALUE"""),"MARY ANNE JIMENEZ CACAO")</f>
        <v>MARY ANNE JIMENEZ CACAO</v>
      </c>
      <c r="C548" s="1">
        <f>IFERROR(__xludf.DUMMYFUNCTION("""COMPUTED_VALUE"""),2312595537)</f>
        <v>2312595537</v>
      </c>
      <c r="D548" s="1">
        <f>IFERROR(__xludf.DUMMYFUNCTION("""COMPUTED_VALUE"""),408007771)</f>
        <v>408007771</v>
      </c>
      <c r="E548" s="1">
        <f>IFERROR(__xludf.DUMMYFUNCTION("""COMPUTED_VALUE"""),471517618004)</f>
        <v>471517618004</v>
      </c>
      <c r="F548" s="1" t="str">
        <f>IFERROR(__xludf.DUMMYFUNCTION("""COMPUTED_VALUE"""),"CLOSED")</f>
        <v>CLOSED</v>
      </c>
      <c r="G548" s="1" t="str">
        <f>IFERROR(__xludf.DUMMYFUNCTION("""COMPUTED_VALUE"""),"CLOSED")</f>
        <v>CLOSED</v>
      </c>
      <c r="H548" s="1"/>
      <c r="I548" s="1" t="str">
        <f>IFERROR(__xludf.DUMMYFUNCTION("""COMPUTED_VALUE"""),"NO 1 AMSF")</f>
        <v>NO 1 AMSF</v>
      </c>
      <c r="J548" s="1" t="str">
        <f>IFERROR(__xludf.DUMMYFUNCTION("""COMPUTED_VALUE"""),"DUE DATE - 11-Oct-26 - 1,645.71")</f>
        <v>DUE DATE - 11-Oct-26 - 1,645.71</v>
      </c>
      <c r="K548" s="1" t="str">
        <f>IFERROR(__xludf.DUMMYFUNCTION("""COMPUTED_VALUE"""),"COMPLETED")</f>
        <v>COMPLETED</v>
      </c>
      <c r="L548" s="1" t="str">
        <f>IFERROR(__xludf.DUMMYFUNCTION("""COMPUTED_VALUE"""),"POSTED")</f>
        <v>POSTED</v>
      </c>
      <c r="M548" s="1" t="str">
        <f>IFERROR(__xludf.DUMMYFUNCTION("""COMPUTED_VALUE"""),"POSTED")</f>
        <v>POSTED</v>
      </c>
      <c r="N548" s="3">
        <f>IFERROR(__xludf.DUMMYFUNCTION("""COMPUTED_VALUE"""),46281)</f>
        <v>46281</v>
      </c>
      <c r="O548" s="1" t="str">
        <f>IFERROR(__xludf.DUMMYFUNCTION("""COMPUTED_VALUE"""),"FIBER UNLI ALL PLAN 1499")</f>
        <v>FIBER UNLI ALL PLAN 1499</v>
      </c>
      <c r="P548" s="1" t="str">
        <f>IFERROR(__xludf.DUMMYFUNCTION("""COMPUTED_VALUE"""),"LOWPLAN")</f>
        <v>LOWPLAN</v>
      </c>
      <c r="Q548" s="1" t="str">
        <f>IFERROR(__xludf.DUMMYFUNCTION("""COMPUTED_VALUE"""),"P407563")</f>
        <v>P407563</v>
      </c>
      <c r="R548" s="1" t="str">
        <f>IFERROR(__xludf.DUMMYFUNCTION("""COMPUTED_VALUE"""),"BAQUIT, JAZMIN")</f>
        <v>BAQUIT, JAZMIN</v>
      </c>
      <c r="S548" s="1" t="str">
        <f>IFERROR(__xludf.DUMMYFUNCTION("""COMPUTED_VALUE"""),"ORGANIC")</f>
        <v>ORGANIC</v>
      </c>
      <c r="T548" s="1" t="str">
        <f>IFERROR(__xludf.DUMMYFUNCTION("""COMPUTED_VALUE"""),"LEA REMOLLO")</f>
        <v>LEA REMOLLO</v>
      </c>
      <c r="U548" s="1" t="str">
        <f>IFERROR(__xludf.DUMMYFUNCTION("""COMPUTED_VALUE"""),"JB SALIOA")</f>
        <v>JB SALIOA</v>
      </c>
      <c r="V548" s="1" t="str">
        <f>IFERROR(__xludf.DUMMYFUNCTION("""COMPUTED_VALUE"""),"BK REGULAR")</f>
        <v>BK REGULAR</v>
      </c>
      <c r="W548" s="1" t="str">
        <f>IFERROR(__xludf.DUMMYFUNCTION("""COMPUTED_VALUE"""),"STK REGULAR")</f>
        <v>STK REGULAR</v>
      </c>
      <c r="X548" s="1" t="str">
        <f>IFERROR(__xludf.DUMMYFUNCTION("""COMPUTED_VALUE"""),"HBBS SEPT 2026")</f>
        <v>HBBS SEPT 2026</v>
      </c>
      <c r="Y548" s="1" t="str">
        <f>IFERROR(__xludf.DUMMYFUNCTION("""COMPUTED_VALUE"""),"BK_CVEU_260821")</f>
        <v>BK_CVEU_260821</v>
      </c>
      <c r="Z548" s="1" t="str">
        <f>IFERROR(__xludf.DUMMYFUNCTION("""COMPUTED_VALUE"""),"NEW CONNECT")</f>
        <v>NEW CONNECT</v>
      </c>
      <c r="AA548" s="1">
        <f>IFERROR(__xludf.DUMMYFUNCTION("""COMPUTED_VALUE"""),639168703837)</f>
        <v>639168703837</v>
      </c>
      <c r="AB548" s="1"/>
      <c r="AC548" s="1">
        <f>IFERROR(__xludf.DUMMYFUNCTION("""COMPUTED_VALUE"""),7050)</f>
        <v>7050</v>
      </c>
      <c r="AD548" s="1" t="str">
        <f>IFERROR(__xludf.DUMMYFUNCTION("""COMPUTED_VALUE"""),"PUROK 14")</f>
        <v>PUROK 14</v>
      </c>
      <c r="AE548" s="1"/>
      <c r="AF548" s="1" t="str">
        <f>IFERROR(__xludf.DUMMYFUNCTION("""COMPUTED_VALUE"""),"BGY CALABUSO")</f>
        <v>BGY CALABUSO</v>
      </c>
      <c r="AG548" s="1" t="str">
        <f>IFERROR(__xludf.DUMMYFUNCTION("""COMPUTED_VALUE"""),"TAGAYTAY")</f>
        <v>TAGAYTAY</v>
      </c>
      <c r="AH548" s="1" t="str">
        <f>IFERROR(__xludf.DUMMYFUNCTION("""COMPUTED_VALUE"""),"-")</f>
        <v>-</v>
      </c>
      <c r="AI548" s="1" t="str">
        <f>IFERROR(__xludf.DUMMYFUNCTION("""COMPUTED_VALUE"""),"CLUSTER 12")</f>
        <v>CLUSTER 12</v>
      </c>
    </row>
    <row r="549" customHeight="1" spans="1:35">
      <c r="A549" s="3">
        <f>IFERROR(__xludf.DUMMYFUNCTION("""COMPUTED_VALUE"""),46280)</f>
        <v>46280</v>
      </c>
      <c r="B549" s="1" t="str">
        <f>IFERROR(__xludf.DUMMYFUNCTION("""COMPUTED_VALUE"""),"JENNYLYN JOY VERGARA OLFATO")</f>
        <v>JENNYLYN JOY VERGARA OLFATO</v>
      </c>
      <c r="C549" s="1">
        <f>IFERROR(__xludf.DUMMYFUNCTION("""COMPUTED_VALUE"""),2312596101)</f>
        <v>2312596101</v>
      </c>
      <c r="D549" s="1">
        <f>IFERROR(__xludf.DUMMYFUNCTION("""COMPUTED_VALUE"""),408018242)</f>
        <v>408018242</v>
      </c>
      <c r="E549" s="1">
        <f>IFERROR(__xludf.DUMMYFUNCTION("""COMPUTED_VALUE"""),471524982004)</f>
        <v>471524982004</v>
      </c>
      <c r="F549" s="1" t="str">
        <f>IFERROR(__xludf.DUMMYFUNCTION("""COMPUTED_VALUE"""),"RPR")</f>
        <v>RPR</v>
      </c>
      <c r="G549" s="1" t="str">
        <f>IFERROR(__xludf.DUMMYFUNCTION("""COMPUTED_VALUE"""),"""VISITED 
鈥
鈥嶳EMARKS: ALL SURVEY CAFAC FULL NO AVAILABLE CAFAC SLOT NEAR SUBS ASSIGNED CAFAC GMZFELP163NP001 P3 INSTALLED AT US BANK WITH TAGGING SUBS ALREADY ADVICED 
鈥嶨MZLP163NP1 P6 NEW INSTALLED 
鈥嶨MZLP41NP5 FULL 
鈥嶨MZLP163NP2 NOT ACTIVE 
鈥嶨MZLP163NP3"&amp;" P4 STILL ACTIVE AT RIA DANIELA ESCOTINIA 
鈥嶨MZLP163NP3 P5 STILL ACTIVE 
鈥嶨MZLP163NP4 FULL 
鈥
鈥
鈥嶵ALK: 
鈥嶢DV: JENNYLYN JOY VERGARA OLFATO 
鈥嶤BR: 09853693875""")</f>
        <v>"VISITED 
鈥
鈥嶳EMARKS: ALL SURVEY CAFAC FULL NO AVAILABLE CAFAC SLOT NEAR SUBS ASSIGNED CAFAC GMZFELP163NP001 P3 INSTALLED AT US BANK WITH TAGGING SUBS ALREADY ADVICED 
鈥嶨MZLP163NP1 P6 NEW INSTALLED 
鈥嶨MZLP41NP5 FULL 
鈥嶨MZLP163NP2 NOT ACTIVE 
鈥嶨MZLP163NP3 P4 STILL ACTIVE AT RIA DANIELA ESCOTINIA 
鈥嶨MZLP163NP3 P5 STILL ACTIVE 
鈥嶨MZLP163NP4 FULL 
鈥
鈥
鈥嶵ALK: 
鈥嶢DV: JENNYLYN JOY VERGARA OLFATO 
鈥嶤BR: 09853693875"</v>
      </c>
      <c r="H549" s="1"/>
      <c r="I549" s="1"/>
      <c r="J549" s="1"/>
      <c r="K549" s="1" t="str">
        <f>IFERROR(__xludf.DUMMYFUNCTION("""COMPUTED_VALUE"""),"CANCELED")</f>
        <v>CANCELED</v>
      </c>
      <c r="L549" s="1" t="str">
        <f>IFERROR(__xludf.DUMMYFUNCTION("""COMPUTED_VALUE"""),"RPR - NAP FULL")</f>
        <v>RPR - NAP FULL</v>
      </c>
      <c r="M549" s="1" t="str">
        <f>IFERROR(__xludf.DUMMYFUNCTION("""COMPUTED_VALUE"""),"RPR- NAP FULL")</f>
        <v>RPR- NAP FULL</v>
      </c>
      <c r="N549" s="3"/>
      <c r="O549" s="1" t="str">
        <f>IFERROR(__xludf.DUMMYFUNCTION("""COMPUTED_VALUE"""),"FIBR UNLI ALL PLAN 999")</f>
        <v>FIBR UNLI ALL PLAN 999</v>
      </c>
      <c r="P549" s="1" t="str">
        <f>IFERROR(__xludf.DUMMYFUNCTION("""COMPUTED_VALUE"""),"LOWPLAN")</f>
        <v>LOWPLAN</v>
      </c>
      <c r="Q549" s="1" t="str">
        <f>IFERROR(__xludf.DUMMYFUNCTION("""COMPUTED_VALUE"""),"P407520")</f>
        <v>P407520</v>
      </c>
      <c r="R549" s="1" t="str">
        <f>IFERROR(__xludf.DUMMYFUNCTION("""COMPUTED_VALUE"""),"MALIWAT, MARK")</f>
        <v>MALIWAT, MARK</v>
      </c>
      <c r="S549" s="1" t="str">
        <f>IFERROR(__xludf.DUMMYFUNCTION("""COMPUTED_VALUE"""),"FLA")</f>
        <v>FLA</v>
      </c>
      <c r="T549" s="1" t="str">
        <f>IFERROR(__xludf.DUMMYFUNCTION("""COMPUTED_VALUE"""),"JERIC NAVARRO")</f>
        <v>JERIC NAVARRO</v>
      </c>
      <c r="U549" s="1" t="str">
        <f>IFERROR(__xludf.DUMMYFUNCTION("""COMPUTED_VALUE"""),"JB SALIOA")</f>
        <v>JB SALIOA</v>
      </c>
      <c r="V549" s="1" t="str">
        <f>IFERROR(__xludf.DUMMYFUNCTION("""COMPUTED_VALUE"""),"ONLINE/CRANFORD")</f>
        <v>ONLINE/CRANFORD</v>
      </c>
      <c r="W549" s="1" t="str">
        <f>IFERROR(__xludf.DUMMYFUNCTION("""COMPUTED_VALUE"""),"STK REGULAR")</f>
        <v>STK REGULAR</v>
      </c>
      <c r="X549" s="1" t="str">
        <f>IFERROR(__xludf.DUMMYFUNCTION("""COMPUTED_VALUE"""),"REGULAR")</f>
        <v>REGULAR</v>
      </c>
      <c r="Y549" s="1" t="str">
        <f>IFERROR(__xludf.DUMMYFUNCTION("""COMPUTED_VALUE"""),"RS_ONL_CVEU_2026")</f>
        <v>RS_ONL_CVEU_2026</v>
      </c>
      <c r="Z549" s="1" t="str">
        <f>IFERROR(__xludf.DUMMYFUNCTION("""COMPUTED_VALUE"""),"NEW CONNECT")</f>
        <v>NEW CONNECT</v>
      </c>
      <c r="AA549" s="1">
        <f>IFERROR(__xludf.DUMMYFUNCTION("""COMPUTED_VALUE"""),639853693875)</f>
        <v>639853693875</v>
      </c>
      <c r="AB549" s="1"/>
      <c r="AC549" s="1">
        <f>IFERROR(__xludf.DUMMYFUNCTION("""COMPUTED_VALUE"""),9059)</f>
        <v>9059</v>
      </c>
      <c r="AD549" s="1" t="str">
        <f>IFERROR(__xludf.DUMMYFUNCTION("""COMPUTED_VALUE"""),"GOVERNOR DRV")</f>
        <v>GOVERNOR DRV</v>
      </c>
      <c r="AE549" s="1" t="str">
        <f>IFERROR(__xludf.DUMMYFUNCTION("""COMPUTED_VALUE"""),"AREA K")</f>
        <v>AREA K</v>
      </c>
      <c r="AF549" s="1" t="str">
        <f>IFERROR(__xludf.DUMMYFUNCTION("""COMPUTED_VALUE"""),"BGY SAN GABRIEL")</f>
        <v>BGY SAN GABRIEL</v>
      </c>
      <c r="AG549" s="1" t="str">
        <f>IFERROR(__xludf.DUMMYFUNCTION("""COMPUTED_VALUE"""),"GEN MARIANO ALVAREZ")</f>
        <v>GEN MARIANO ALVAREZ</v>
      </c>
      <c r="AH549" s="1" t="str">
        <f>IFERROR(__xludf.DUMMYFUNCTION("""COMPUTED_VALUE"""),"MORMONS CHURCH")</f>
        <v>MORMONS CHURCH</v>
      </c>
      <c r="AI549" s="1" t="str">
        <f>IFERROR(__xludf.DUMMYFUNCTION("""COMPUTED_VALUE"""),"CLUSTER 11")</f>
        <v>CLUSTER 11</v>
      </c>
    </row>
    <row r="550" customHeight="1" spans="1:35">
      <c r="A550" s="3">
        <f>IFERROR(__xludf.DUMMYFUNCTION("""COMPUTED_VALUE"""),46280)</f>
        <v>46280</v>
      </c>
      <c r="B550" s="1" t="str">
        <f>IFERROR(__xludf.DUMMYFUNCTION("""COMPUTED_VALUE"""),"ROGER LIBERTA MENODIADO")</f>
        <v>ROGER LIBERTA MENODIADO</v>
      </c>
      <c r="C550" s="1">
        <f>IFERROR(__xludf.DUMMYFUNCTION("""COMPUTED_VALUE"""),2312596772)</f>
        <v>2312596772</v>
      </c>
      <c r="D550" s="1">
        <f>IFERROR(__xludf.DUMMYFUNCTION("""COMPUTED_VALUE"""),408011019)</f>
        <v>408011019</v>
      </c>
      <c r="E550" s="1">
        <f>IFERROR(__xludf.DUMMYFUNCTION("""COMPUTED_VALUE"""),471519652004)</f>
        <v>471519652004</v>
      </c>
      <c r="F550" s="1" t="str">
        <f>IFERROR(__xludf.DUMMYFUNCTION("""COMPUTED_VALUE"""),"CLOSED")</f>
        <v>CLOSED</v>
      </c>
      <c r="G550" s="1" t="str">
        <f>IFERROR(__xludf.DUMMYFUNCTION("""COMPUTED_VALUE"""),"CLOSED")</f>
        <v>CLOSED</v>
      </c>
      <c r="H550" s="1" t="str">
        <f>IFERROR(__xludf.DUMMYFUNCTION("""COMPUTED_VALUE"""),"PAID THRU GCASH REF# 095339576 9/16/26")</f>
        <v>PAID THRU GCASH REF# 095339576 9/16/26</v>
      </c>
      <c r="I550" s="1" t="str">
        <f>IFERROR(__xludf.DUMMYFUNCTION("""COMPUTED_VALUE"""),"WITH 1 AMSF")</f>
        <v>WITH 1 AMSF</v>
      </c>
      <c r="J550" s="1"/>
      <c r="K550" s="1" t="str">
        <f>IFERROR(__xludf.DUMMYFUNCTION("""COMPUTED_VALUE"""),"COMPLETED")</f>
        <v>COMPLETED</v>
      </c>
      <c r="L550" s="1" t="str">
        <f>IFERROR(__xludf.DUMMYFUNCTION("""COMPUTED_VALUE"""),"POSTED")</f>
        <v>POSTED</v>
      </c>
      <c r="M550" s="1" t="str">
        <f>IFERROR(__xludf.DUMMYFUNCTION("""COMPUTED_VALUE"""),"POSTED")</f>
        <v>POSTED</v>
      </c>
      <c r="N550" s="3">
        <f>IFERROR(__xludf.DUMMYFUNCTION("""COMPUTED_VALUE"""),46281)</f>
        <v>46281</v>
      </c>
      <c r="O550" s="1" t="str">
        <f>IFERROR(__xludf.DUMMYFUNCTION("""COMPUTED_VALUE"""),"FIBER UNLI ALL PLAN 1499")</f>
        <v>FIBER UNLI ALL PLAN 1499</v>
      </c>
      <c r="P550" s="1" t="str">
        <f>IFERROR(__xludf.DUMMYFUNCTION("""COMPUTED_VALUE"""),"LOWPLAN")</f>
        <v>LOWPLAN</v>
      </c>
      <c r="Q550" s="1" t="str">
        <f>IFERROR(__xludf.DUMMYFUNCTION("""COMPUTED_VALUE"""),"P407520")</f>
        <v>P407520</v>
      </c>
      <c r="R550" s="1" t="str">
        <f>IFERROR(__xludf.DUMMYFUNCTION("""COMPUTED_VALUE"""),"MALIWAT, MARK")</f>
        <v>MALIWAT, MARK</v>
      </c>
      <c r="S550" s="1" t="str">
        <f>IFERROR(__xludf.DUMMYFUNCTION("""COMPUTED_VALUE"""),"FLA")</f>
        <v>FLA</v>
      </c>
      <c r="T550" s="1" t="str">
        <f>IFERROR(__xludf.DUMMYFUNCTION("""COMPUTED_VALUE"""),"JERIC NAVARRO")</f>
        <v>JERIC NAVARRO</v>
      </c>
      <c r="U550" s="1" t="str">
        <f>IFERROR(__xludf.DUMMYFUNCTION("""COMPUTED_VALUE"""),"JB SALIOA")</f>
        <v>JB SALIOA</v>
      </c>
      <c r="V550" s="1" t="str">
        <f>IFERROR(__xludf.DUMMYFUNCTION("""COMPUTED_VALUE"""),"ONLINE/CRANFORD")</f>
        <v>ONLINE/CRANFORD</v>
      </c>
      <c r="W550" s="1" t="str">
        <f>IFERROR(__xludf.DUMMYFUNCTION("""COMPUTED_VALUE"""),"STK REGULAR")</f>
        <v>STK REGULAR</v>
      </c>
      <c r="X550" s="1" t="str">
        <f>IFERROR(__xludf.DUMMYFUNCTION("""COMPUTED_VALUE"""),"HBBS SEPT 2026")</f>
        <v>HBBS SEPT 2026</v>
      </c>
      <c r="Y550" s="1" t="str">
        <f>IFERROR(__xludf.DUMMYFUNCTION("""COMPUTED_VALUE"""),"RS_ONL_CVEU_2026")</f>
        <v>RS_ONL_CVEU_2026</v>
      </c>
      <c r="Z550" s="1" t="str">
        <f>IFERROR(__xludf.DUMMYFUNCTION("""COMPUTED_VALUE"""),"NEW CONNECT")</f>
        <v>NEW CONNECT</v>
      </c>
      <c r="AA550" s="1">
        <f>IFERROR(__xludf.DUMMYFUNCTION("""COMPUTED_VALUE"""),639059519788)</f>
        <v>639059519788</v>
      </c>
      <c r="AB550" s="1">
        <f>IFERROR(__xludf.DUMMYFUNCTION("""COMPUTED_VALUE"""),639051412590)</f>
        <v>639051412590</v>
      </c>
      <c r="AC550" s="1">
        <f>IFERROR(__xludf.DUMMYFUNCTION("""COMPUTED_VALUE"""),1420)</f>
        <v>1420</v>
      </c>
      <c r="AD550" s="1" t="str">
        <f>IFERROR(__xludf.DUMMYFUNCTION("""COMPUTED_VALUE"""),"OSORIO")</f>
        <v>OSORIO</v>
      </c>
      <c r="AE550" s="1"/>
      <c r="AF550" s="1" t="str">
        <f>IFERROR(__xludf.DUMMYFUNCTION("""COMPUTED_VALUE"""),"BGY ASISAN")</f>
        <v>BGY ASISAN</v>
      </c>
      <c r="AG550" s="1" t="str">
        <f>IFERROR(__xludf.DUMMYFUNCTION("""COMPUTED_VALUE"""),"TAGAYTAY")</f>
        <v>TAGAYTAY</v>
      </c>
      <c r="AH550" s="1" t="str">
        <f>IFERROR(__xludf.DUMMYFUNCTION("""COMPUTED_VALUE"""),"-")</f>
        <v>-</v>
      </c>
      <c r="AI550" s="1" t="str">
        <f>IFERROR(__xludf.DUMMYFUNCTION("""COMPUTED_VALUE"""),"CLUSTER 12")</f>
        <v>CLUSTER 12</v>
      </c>
    </row>
    <row r="551" customHeight="1" spans="1:35">
      <c r="A551" s="3">
        <f>IFERROR(__xludf.DUMMYFUNCTION("""COMPUTED_VALUE"""),46280)</f>
        <v>46280</v>
      </c>
      <c r="B551" s="1" t="str">
        <f>IFERROR(__xludf.DUMMYFUNCTION("""COMPUTED_VALUE"""),"ESTELITA CASTILLO DINGLASAN")</f>
        <v>ESTELITA CASTILLO DINGLASAN</v>
      </c>
      <c r="C551" s="1">
        <f>IFERROR(__xludf.DUMMYFUNCTION("""COMPUTED_VALUE"""),2312596848)</f>
        <v>2312596848</v>
      </c>
      <c r="D551" s="1">
        <f>IFERROR(__xludf.DUMMYFUNCTION("""COMPUTED_VALUE"""),408015790)</f>
        <v>408015790</v>
      </c>
      <c r="E551" s="1">
        <f>IFERROR(__xludf.DUMMYFUNCTION("""COMPUTED_VALUE"""),471523517004)</f>
        <v>471523517004</v>
      </c>
      <c r="F551" s="1" t="str">
        <f>IFERROR(__xludf.DUMMYFUNCTION("""COMPUTED_VALUE"""),"CLOSED")</f>
        <v>CLOSED</v>
      </c>
      <c r="G551" s="1" t="str">
        <f>IFERROR(__xludf.DUMMYFUNCTION("""COMPUTED_VALUE"""),"CLOSED")</f>
        <v>CLOSED</v>
      </c>
      <c r="H551" s="1" t="str">
        <f>IFERROR(__xludf.DUMMYFUNCTION("""COMPUTED_VALUE"""),"PAID VIA GCASH - SEPT 16 - REF - 991213755")</f>
        <v>PAID VIA GCASH - SEPT 16 - REF - 991213755</v>
      </c>
      <c r="I551" s="1" t="str">
        <f>IFERROR(__xludf.DUMMYFUNCTION("""COMPUTED_VALUE"""),"WITH 1 AMSF")</f>
        <v>WITH 1 AMSF</v>
      </c>
      <c r="J551" s="1"/>
      <c r="K551" s="1" t="str">
        <f>IFERROR(__xludf.DUMMYFUNCTION("""COMPUTED_VALUE"""),"COMPLETED")</f>
        <v>COMPLETED</v>
      </c>
      <c r="L551" s="1" t="str">
        <f>IFERROR(__xludf.DUMMYFUNCTION("""COMPUTED_VALUE"""),"POSTED")</f>
        <v>POSTED</v>
      </c>
      <c r="M551" s="1" t="str">
        <f>IFERROR(__xludf.DUMMYFUNCTION("""COMPUTED_VALUE"""),"POSTED")</f>
        <v>POSTED</v>
      </c>
      <c r="N551" s="3">
        <f>IFERROR(__xludf.DUMMYFUNCTION("""COMPUTED_VALUE"""),46281)</f>
        <v>46281</v>
      </c>
      <c r="O551" s="1" t="str">
        <f>IFERROR(__xludf.DUMMYFUNCTION("""COMPUTED_VALUE"""),"FIBR PLAN 1299")</f>
        <v>FIBR PLAN 1299</v>
      </c>
      <c r="P551" s="1" t="str">
        <f>IFERROR(__xludf.DUMMYFUNCTION("""COMPUTED_VALUE"""),"LOWPLAN")</f>
        <v>LOWPLAN</v>
      </c>
      <c r="Q551" s="1" t="str">
        <f>IFERROR(__xludf.DUMMYFUNCTION("""COMPUTED_VALUE"""),"P407517")</f>
        <v>P407517</v>
      </c>
      <c r="R551" s="1" t="str">
        <f>IFERROR(__xludf.DUMMYFUNCTION("""COMPUTED_VALUE"""),"GABAY, MANUEL")</f>
        <v>GABAY, MANUEL</v>
      </c>
      <c r="S551" s="1" t="str">
        <f>IFERROR(__xludf.DUMMYFUNCTION("""COMPUTED_VALUE"""),"FLA")</f>
        <v>FLA</v>
      </c>
      <c r="T551" s="1" t="str">
        <f>IFERROR(__xludf.DUMMYFUNCTION("""COMPUTED_VALUE"""),"JERIC NAVARRO")</f>
        <v>JERIC NAVARRO</v>
      </c>
      <c r="U551" s="1" t="str">
        <f>IFERROR(__xludf.DUMMYFUNCTION("""COMPUTED_VALUE"""),"JULIE ESPIRITU")</f>
        <v>JULIE ESPIRITU</v>
      </c>
      <c r="V551" s="1" t="str">
        <f>IFERROR(__xludf.DUMMYFUNCTION("""COMPUTED_VALUE"""),"BK HSTK")</f>
        <v>BK HSTK</v>
      </c>
      <c r="W551" s="1" t="str">
        <f>IFERROR(__xludf.DUMMYFUNCTION("""COMPUTED_VALUE"""),"BK HSTK")</f>
        <v>BK HSTK</v>
      </c>
      <c r="X551" s="1" t="str">
        <f>IFERROR(__xludf.DUMMYFUNCTION("""COMPUTED_VALUE"""),"HBBS SEPT 2026")</f>
        <v>HBBS SEPT 2026</v>
      </c>
      <c r="Y551" s="1" t="str">
        <f>IFERROR(__xludf.DUMMYFUNCTION("""COMPUTED_VALUE"""),"BK_CVEU_260820")</f>
        <v>BK_CVEU_260820</v>
      </c>
      <c r="Z551" s="1" t="str">
        <f>IFERROR(__xludf.DUMMYFUNCTION("""COMPUTED_VALUE"""),"NEW CONNECT")</f>
        <v>NEW CONNECT</v>
      </c>
      <c r="AA551" s="1">
        <f>IFERROR(__xludf.DUMMYFUNCTION("""COMPUTED_VALUE"""),639156525889)</f>
        <v>639156525889</v>
      </c>
      <c r="AB551" s="1">
        <f>IFERROR(__xludf.DUMMYFUNCTION("""COMPUTED_VALUE"""),639669000031)</f>
        <v>639669000031</v>
      </c>
      <c r="AC551" s="1">
        <f>IFERROR(__xludf.DUMMYFUNCTION("""COMPUTED_VALUE"""),71)</f>
        <v>71</v>
      </c>
      <c r="AD551" s="1" t="str">
        <f>IFERROR(__xludf.DUMMYFUNCTION("""COMPUTED_VALUE"""),"PUROK 2")</f>
        <v>PUROK 2</v>
      </c>
      <c r="AE551" s="1"/>
      <c r="AF551" s="1" t="str">
        <f>IFERROR(__xludf.DUMMYFUNCTION("""COMPUTED_VALUE"""),"BGY PALIGAWAN")</f>
        <v>BGY PALIGAWAN</v>
      </c>
      <c r="AG551" s="1" t="str">
        <f>IFERROR(__xludf.DUMMYFUNCTION("""COMPUTED_VALUE"""),"SILANG")</f>
        <v>SILANG</v>
      </c>
      <c r="AH551" s="1"/>
      <c r="AI551" s="1" t="str">
        <f>IFERROR(__xludf.DUMMYFUNCTION("""COMPUTED_VALUE"""),"CLUSTER 11")</f>
        <v>CLUSTER 11</v>
      </c>
    </row>
    <row r="552" customHeight="1" spans="1:35">
      <c r="A552" s="3">
        <f>IFERROR(__xludf.DUMMYFUNCTION("""COMPUTED_VALUE"""),46280)</f>
        <v>46280</v>
      </c>
      <c r="B552" s="1" t="str">
        <f>IFERROR(__xludf.DUMMYFUNCTION("""COMPUTED_VALUE"""),"CARLA MAE ALAYON FENIS")</f>
        <v>CARLA MAE ALAYON FENIS</v>
      </c>
      <c r="C552" s="1">
        <f>IFERROR(__xludf.DUMMYFUNCTION("""COMPUTED_VALUE"""),2312597387)</f>
        <v>2312597387</v>
      </c>
      <c r="D552" s="1">
        <f>IFERROR(__xludf.DUMMYFUNCTION("""COMPUTED_VALUE"""),408022207)</f>
        <v>408022207</v>
      </c>
      <c r="E552" s="1">
        <f>IFERROR(__xludf.DUMMYFUNCTION("""COMPUTED_VALUE"""),471535533004)</f>
        <v>471535533004</v>
      </c>
      <c r="F552" s="1" t="str">
        <f>IFERROR(__xludf.DUMMYFUNCTION("""COMPUTED_VALUE"""),"CLOSED")</f>
        <v>CLOSED</v>
      </c>
      <c r="G552" s="1" t="str">
        <f>IFERROR(__xludf.DUMMYFUNCTION("""COMPUTED_VALUE"""),"CLOSED")</f>
        <v>CLOSED</v>
      </c>
      <c r="H552" s="1" t="str">
        <f>IFERROR(__xludf.DUMMYFUNCTION("""COMPUTED_VALUE"""),"PQGOR364182934	15-Sep-26	Regular Payment	PLDT Pay Express-Web-App credit	1,549.00	943394272	16-Sep-26")</f>
        <v>PQGOR364182934	15-Sep-26	Regular Payment	PLDT Pay Express-Web-App credit	1,549.00	943394272	16-Sep-26</v>
      </c>
      <c r="I552" s="1" t="str">
        <f>IFERROR(__xludf.DUMMYFUNCTION("""COMPUTED_VALUE"""),"WITH 1 AMSF")</f>
        <v>WITH 1 AMSF</v>
      </c>
      <c r="J552" s="1"/>
      <c r="K552" s="1" t="str">
        <f>IFERROR(__xludf.DUMMYFUNCTION("""COMPUTED_VALUE"""),"COMPLETED")</f>
        <v>COMPLETED</v>
      </c>
      <c r="L552" s="1" t="str">
        <f>IFERROR(__xludf.DUMMYFUNCTION("""COMPUTED_VALUE"""),"POSTED")</f>
        <v>POSTED</v>
      </c>
      <c r="M552" s="1" t="str">
        <f>IFERROR(__xludf.DUMMYFUNCTION("""COMPUTED_VALUE"""),"POSTED")</f>
        <v>POSTED</v>
      </c>
      <c r="N552" s="3">
        <f>IFERROR(__xludf.DUMMYFUNCTION("""COMPUTED_VALUE"""),46281)</f>
        <v>46281</v>
      </c>
      <c r="O552" s="1" t="str">
        <f>IFERROR(__xludf.DUMMYFUNCTION("""COMPUTED_VALUE"""),"FIBER UNLI ALL PLAN 1499")</f>
        <v>FIBER UNLI ALL PLAN 1499</v>
      </c>
      <c r="P552" s="1" t="str">
        <f>IFERROR(__xludf.DUMMYFUNCTION("""COMPUTED_VALUE"""),"LOWPLAN")</f>
        <v>LOWPLAN</v>
      </c>
      <c r="Q552" s="1" t="str">
        <f>IFERROR(__xludf.DUMMYFUNCTION("""COMPUTED_VALUE"""),"P407044")</f>
        <v>P407044</v>
      </c>
      <c r="R552" s="1" t="str">
        <f>IFERROR(__xludf.DUMMYFUNCTION("""COMPUTED_VALUE"""),"DACALCAP, ROGER")</f>
        <v>DACALCAP, ROGER</v>
      </c>
      <c r="S552" s="1" t="str">
        <f>IFERROR(__xludf.DUMMYFUNCTION("""COMPUTED_VALUE"""),"FLA")</f>
        <v>FLA</v>
      </c>
      <c r="T552" s="1" t="str">
        <f>IFERROR(__xludf.DUMMYFUNCTION("""COMPUTED_VALUE"""),"JERIC NAVARRO")</f>
        <v>JERIC NAVARRO</v>
      </c>
      <c r="U552" s="1" t="str">
        <f>IFERROR(__xludf.DUMMYFUNCTION("""COMPUTED_VALUE"""),"JB SALIOA")</f>
        <v>JB SALIOA</v>
      </c>
      <c r="V552" s="1" t="str">
        <f>IFERROR(__xludf.DUMMYFUNCTION("""COMPUTED_VALUE"""),"ONLINE/CRANFORD")</f>
        <v>ONLINE/CRANFORD</v>
      </c>
      <c r="W552" s="1" t="str">
        <f>IFERROR(__xludf.DUMMYFUNCTION("""COMPUTED_VALUE"""),"STK REGULAR")</f>
        <v>STK REGULAR</v>
      </c>
      <c r="X552" s="1" t="str">
        <f>IFERROR(__xludf.DUMMYFUNCTION("""COMPUTED_VALUE"""),"HBBS SEPT 2026")</f>
        <v>HBBS SEPT 2026</v>
      </c>
      <c r="Y552" s="1" t="str">
        <f>IFERROR(__xludf.DUMMYFUNCTION("""COMPUTED_VALUE"""),"RS_ONL_CVEU_2026")</f>
        <v>RS_ONL_CVEU_2026</v>
      </c>
      <c r="Z552" s="1" t="str">
        <f>IFERROR(__xludf.DUMMYFUNCTION("""COMPUTED_VALUE"""),"NEW CONNECT")</f>
        <v>NEW CONNECT</v>
      </c>
      <c r="AA552" s="1">
        <f>IFERROR(__xludf.DUMMYFUNCTION("""COMPUTED_VALUE"""),639614340029)</f>
        <v>639614340029</v>
      </c>
      <c r="AB552" s="1">
        <f>IFERROR(__xludf.DUMMYFUNCTION("""COMPUTED_VALUE"""),639638070886)</f>
        <v>639638070886</v>
      </c>
      <c r="AC552" s="1"/>
      <c r="AD552" s="1" t="str">
        <f>IFERROR(__xludf.DUMMYFUNCTION("""COMPUTED_VALUE"""),"THETA")</f>
        <v>THETA</v>
      </c>
      <c r="AE552" s="1"/>
      <c r="AF552" s="1" t="str">
        <f>IFERROR(__xludf.DUMMYFUNCTION("""COMPUTED_VALUE"""),"BGY POBLACION 3")</f>
        <v>BGY POBLACION 3</v>
      </c>
      <c r="AG552" s="1" t="str">
        <f>IFERROR(__xludf.DUMMYFUNCTION("""COMPUTED_VALUE"""),"GEN MARIANO ALVAREZ")</f>
        <v>GEN MARIANO ALVAREZ</v>
      </c>
      <c r="AH552" s="1" t="str">
        <f>IFERROR(__xludf.DUMMYFUNCTION("""COMPUTED_VALUE"""),"-")</f>
        <v>-</v>
      </c>
      <c r="AI552" s="1" t="str">
        <f>IFERROR(__xludf.DUMMYFUNCTION("""COMPUTED_VALUE"""),"CLUSTER 11")</f>
        <v>CLUSTER 11</v>
      </c>
    </row>
    <row r="553" customHeight="1" spans="1:35">
      <c r="A553" s="3">
        <f>IFERROR(__xludf.DUMMYFUNCTION("""COMPUTED_VALUE"""),46280)</f>
        <v>46280</v>
      </c>
      <c r="B553" s="1" t="str">
        <f>IFERROR(__xludf.DUMMYFUNCTION("""COMPUTED_VALUE"""),"ALYSA MAE CABALTERA MAGALLONES")</f>
        <v>ALYSA MAE CABALTERA MAGALLONES</v>
      </c>
      <c r="C553" s="1">
        <f>IFERROR(__xludf.DUMMYFUNCTION("""COMPUTED_VALUE"""),2312599523)</f>
        <v>2312599523</v>
      </c>
      <c r="D553" s="1">
        <f>IFERROR(__xludf.DUMMYFUNCTION("""COMPUTED_VALUE"""),408018862)</f>
        <v>408018862</v>
      </c>
      <c r="E553" s="1">
        <f>IFERROR(__xludf.DUMMYFUNCTION("""COMPUTED_VALUE"""),471526452004)</f>
        <v>471526452004</v>
      </c>
      <c r="F553" s="1" t="str">
        <f>IFERROR(__xludf.DUMMYFUNCTION("""COMPUTED_VALUE"""),"CLOSED")</f>
        <v>CLOSED</v>
      </c>
      <c r="G553" s="1" t="str">
        <f>IFERROR(__xludf.DUMMYFUNCTION("""COMPUTED_VALUE"""),"CLOSED")</f>
        <v>CLOSED</v>
      </c>
      <c r="H553" s="1"/>
      <c r="I553" s="1" t="str">
        <f>IFERROR(__xludf.DUMMYFUNCTION("""COMPUTED_VALUE"""),"NO 1 AMSF")</f>
        <v>NO 1 AMSF</v>
      </c>
      <c r="J553" s="1" t="str">
        <f>IFERROR(__xludf.DUMMYFUNCTION("""COMPUTED_VALUE"""),"DUE DATE - 14-Oct-26 - 1,424.71")</f>
        <v>DUE DATE - 14-Oct-26 - 1,424.71</v>
      </c>
      <c r="K553" s="1" t="str">
        <f>IFERROR(__xludf.DUMMYFUNCTION("""COMPUTED_VALUE"""),"COMPLETED")</f>
        <v>COMPLETED</v>
      </c>
      <c r="L553" s="1" t="str">
        <f>IFERROR(__xludf.DUMMYFUNCTION("""COMPUTED_VALUE"""),"POSTED")</f>
        <v>POSTED</v>
      </c>
      <c r="M553" s="1" t="str">
        <f>IFERROR(__xludf.DUMMYFUNCTION("""COMPUTED_VALUE"""),"POSTED")</f>
        <v>POSTED</v>
      </c>
      <c r="N553" s="3">
        <f>IFERROR(__xludf.DUMMYFUNCTION("""COMPUTED_VALUE"""),46283)</f>
        <v>46283</v>
      </c>
      <c r="O553" s="1" t="str">
        <f>IFERROR(__xludf.DUMMYFUNCTION("""COMPUTED_VALUE"""),"FIBR PLAN 1299")</f>
        <v>FIBR PLAN 1299</v>
      </c>
      <c r="P553" s="1" t="str">
        <f>IFERROR(__xludf.DUMMYFUNCTION("""COMPUTED_VALUE"""),"LOWPLAN")</f>
        <v>LOWPLAN</v>
      </c>
      <c r="Q553" s="1" t="str">
        <f>IFERROR(__xludf.DUMMYFUNCTION("""COMPUTED_VALUE"""),"P407559")</f>
        <v>P407559</v>
      </c>
      <c r="R553" s="1" t="str">
        <f>IFERROR(__xludf.DUMMYFUNCTION("""COMPUTED_VALUE"""),"MAGDARAOG, KENNETH")</f>
        <v>MAGDARAOG, KENNETH</v>
      </c>
      <c r="S553" s="1" t="str">
        <f>IFERROR(__xludf.DUMMYFUNCTION("""COMPUTED_VALUE"""),"ORGANIC")</f>
        <v>ORGANIC</v>
      </c>
      <c r="T553" s="1" t="str">
        <f>IFERROR(__xludf.DUMMYFUNCTION("""COMPUTED_VALUE"""),"LEA REMOLLO")</f>
        <v>LEA REMOLLO</v>
      </c>
      <c r="U553" s="1" t="str">
        <f>IFERROR(__xludf.DUMMYFUNCTION("""COMPUTED_VALUE"""),"JB SALIOA")</f>
        <v>JB SALIOA</v>
      </c>
      <c r="V553" s="1" t="str">
        <f>IFERROR(__xludf.DUMMYFUNCTION("""COMPUTED_VALUE"""),"BK REGULAR")</f>
        <v>BK REGULAR</v>
      </c>
      <c r="W553" s="1" t="str">
        <f>IFERROR(__xludf.DUMMYFUNCTION("""COMPUTED_VALUE"""),"STK REGULAR")</f>
        <v>STK REGULAR</v>
      </c>
      <c r="X553" s="1" t="str">
        <f>IFERROR(__xludf.DUMMYFUNCTION("""COMPUTED_VALUE"""),"HBBS SEPT 2026")</f>
        <v>HBBS SEPT 2026</v>
      </c>
      <c r="Y553" s="1" t="str">
        <f>IFERROR(__xludf.DUMMYFUNCTION("""COMPUTED_VALUE"""),"BK_CVEU_260820")</f>
        <v>BK_CVEU_260820</v>
      </c>
      <c r="Z553" s="1" t="str">
        <f>IFERROR(__xludf.DUMMYFUNCTION("""COMPUTED_VALUE"""),"NEW CONNECT")</f>
        <v>NEW CONNECT</v>
      </c>
      <c r="AA553" s="1">
        <f>IFERROR(__xludf.DUMMYFUNCTION("""COMPUTED_VALUE"""),639916298439)</f>
        <v>639916298439</v>
      </c>
      <c r="AB553" s="1"/>
      <c r="AC553" s="1"/>
      <c r="AD553" s="1" t="str">
        <f>IFERROR(__xludf.DUMMYFUNCTION("""COMPUTED_VALUE"""),"NARRA 1")</f>
        <v>NARRA 1</v>
      </c>
      <c r="AE553" s="1" t="str">
        <f>IFERROR(__xludf.DUMMYFUNCTION("""COMPUTED_VALUE"""),"NEW BULIHAN MARKET")</f>
        <v>NEW BULIHAN MARKET</v>
      </c>
      <c r="AF553" s="1" t="str">
        <f>IFERROR(__xludf.DUMMYFUNCTION("""COMPUTED_VALUE"""),"BGY NARRA 1")</f>
        <v>BGY NARRA 1</v>
      </c>
      <c r="AG553" s="1" t="str">
        <f>IFERROR(__xludf.DUMMYFUNCTION("""COMPUTED_VALUE"""),"SILANG")</f>
        <v>SILANG</v>
      </c>
      <c r="AH553" s="1" t="str">
        <f>IFERROR(__xludf.DUMMYFUNCTION("""COMPUTED_VALUE"""),"-")</f>
        <v>-</v>
      </c>
      <c r="AI553" s="1" t="str">
        <f>IFERROR(__xludf.DUMMYFUNCTION("""COMPUTED_VALUE"""),"CLUSTER 11")</f>
        <v>CLUSTER 11</v>
      </c>
    </row>
    <row r="554" customHeight="1" spans="1:35">
      <c r="A554" s="3">
        <f>IFERROR(__xludf.DUMMYFUNCTION("""COMPUTED_VALUE"""),46280)</f>
        <v>46280</v>
      </c>
      <c r="B554" s="1" t="str">
        <f>IFERROR(__xludf.DUMMYFUNCTION("""COMPUTED_VALUE"""),"MICHELLE MADERA GRAVADOR")</f>
        <v>MICHELLE MADERA GRAVADOR</v>
      </c>
      <c r="C554" s="1">
        <f>IFERROR(__xludf.DUMMYFUNCTION("""COMPUTED_VALUE"""),2312600288)</f>
        <v>2312600288</v>
      </c>
      <c r="D554" s="1"/>
      <c r="E554" s="1"/>
      <c r="F554" s="1" t="str">
        <f>IFERROR(__xludf.DUMMYFUNCTION("""COMPUTED_VALUE"""),"REENCODED")</f>
        <v>REENCODED</v>
      </c>
      <c r="G554" s="1" t="str">
        <f>IFERROR(__xludf.DUMMYFUNCTION("""COMPUTED_VALUE"""),"CANNOT CHANGE THE PAYMENT REQUIRED | APPROVED | CLEARED FROM BLACKLIST HIT, NO EXISTING ACTIVE ACCT AND/ OR PENDING APPLICATION | DONE VALIDATION WITH SUBMITTED COMPLETE DOCS| CORRECT ENCODED INFO IN CSP | WITH 1 AMSF REQUIREMENTS (GG - 1 (NTC)")</f>
        <v>CANNOT CHANGE THE PAYMENT REQUIRED | APPROVED | CLEARED FROM BLACKLIST HIT, NO EXISTING ACTIVE ACCT AND/ OR PENDING APPLICATION | DONE VALIDATION WITH SUBMITTED COMPLETE DOCS| CORRECT ENCODED INFO IN CSP | WITH 1 AMSF REQUIREMENTS (GG - 1 (NTC)</v>
      </c>
      <c r="H554" s="1"/>
      <c r="I554" s="1"/>
      <c r="J554" s="1"/>
      <c r="K554" s="1"/>
      <c r="L554" s="1" t="str">
        <f>IFERROR(__xludf.DUMMYFUNCTION("""COMPUTED_VALUE"""),"REENCODED")</f>
        <v>REENCODED</v>
      </c>
      <c r="M554" s="1" t="str">
        <f>IFERROR(__xludf.DUMMYFUNCTION("""COMPUTED_VALUE"""),"REENCODED")</f>
        <v>REENCODED</v>
      </c>
      <c r="N554" s="3"/>
      <c r="O554" s="1" t="str">
        <f>IFERROR(__xludf.DUMMYFUNCTION("""COMPUTED_VALUE"""),"FIBR PLAN 1299")</f>
        <v>FIBR PLAN 1299</v>
      </c>
      <c r="P554" s="1" t="str">
        <f>IFERROR(__xludf.DUMMYFUNCTION("""COMPUTED_VALUE"""),"LOWPLAN")</f>
        <v>LOWPLAN</v>
      </c>
      <c r="Q554" s="1" t="str">
        <f>IFERROR(__xludf.DUMMYFUNCTION("""COMPUTED_VALUE"""),"P407520")</f>
        <v>P407520</v>
      </c>
      <c r="R554" s="1" t="str">
        <f>IFERROR(__xludf.DUMMYFUNCTION("""COMPUTED_VALUE"""),"MALIWAT, MARK")</f>
        <v>MALIWAT, MARK</v>
      </c>
      <c r="S554" s="1" t="str">
        <f>IFERROR(__xludf.DUMMYFUNCTION("""COMPUTED_VALUE"""),"FLA")</f>
        <v>FLA</v>
      </c>
      <c r="T554" s="1" t="str">
        <f>IFERROR(__xludf.DUMMYFUNCTION("""COMPUTED_VALUE"""),"JERIC NAVARRO")</f>
        <v>JERIC NAVARRO</v>
      </c>
      <c r="U554" s="1" t="str">
        <f>IFERROR(__xludf.DUMMYFUNCTION("""COMPUTED_VALUE"""),"JB SALIOA")</f>
        <v>JB SALIOA</v>
      </c>
      <c r="V554" s="1" t="str">
        <f>IFERROR(__xludf.DUMMYFUNCTION("""COMPUTED_VALUE"""),"BK REGULAR")</f>
        <v>BK REGULAR</v>
      </c>
      <c r="W554" s="1" t="str">
        <f>IFERROR(__xludf.DUMMYFUNCTION("""COMPUTED_VALUE"""),"STK REGULAR")</f>
        <v>STK REGULAR</v>
      </c>
      <c r="X554" s="1" t="str">
        <f>IFERROR(__xludf.DUMMYFUNCTION("""COMPUTED_VALUE"""),"HBBS SEPT 2026")</f>
        <v>HBBS SEPT 2026</v>
      </c>
      <c r="Y554" s="1" t="str">
        <f>IFERROR(__xludf.DUMMYFUNCTION("""COMPUTED_VALUE"""),"BK_CVEU_260820")</f>
        <v>BK_CVEU_260820</v>
      </c>
      <c r="Z554" s="1" t="str">
        <f>IFERROR(__xludf.DUMMYFUNCTION("""COMPUTED_VALUE"""),"NEW CONNECT")</f>
        <v>NEW CONNECT</v>
      </c>
      <c r="AA554" s="1">
        <f>IFERROR(__xludf.DUMMYFUNCTION("""COMPUTED_VALUE"""),639061131012)</f>
        <v>639061131012</v>
      </c>
      <c r="AB554" s="1"/>
      <c r="AC554" s="1"/>
      <c r="AD554" s="1" t="str">
        <f>IFERROR(__xludf.DUMMYFUNCTION("""COMPUTED_VALUE"""),"BUKLURAN 3")</f>
        <v>BUKLURAN 3</v>
      </c>
      <c r="AE554" s="1"/>
      <c r="AF554" s="1" t="str">
        <f>IFERROR(__xludf.DUMMYFUNCTION("""COMPUTED_VALUE"""),"BGY BULIHAN")</f>
        <v>BGY BULIHAN</v>
      </c>
      <c r="AG554" s="1" t="str">
        <f>IFERROR(__xludf.DUMMYFUNCTION("""COMPUTED_VALUE"""),"SILANG")</f>
        <v>SILANG</v>
      </c>
      <c r="AH554" s="1" t="str">
        <f>IFERROR(__xludf.DUMMYFUNCTION("""COMPUTED_VALUE"""),"BUKLURAN 3")</f>
        <v>BUKLURAN 3</v>
      </c>
      <c r="AI554" s="1" t="str">
        <f>IFERROR(__xludf.DUMMYFUNCTION("""COMPUTED_VALUE"""),"CLUSTER 11")</f>
        <v>CLUSTER 11</v>
      </c>
    </row>
    <row r="555" customHeight="1" spans="1:35">
      <c r="A555" s="3">
        <f>IFERROR(__xludf.DUMMYFUNCTION("""COMPUTED_VALUE"""),46280)</f>
        <v>46280</v>
      </c>
      <c r="B555" s="1" t="str">
        <f>IFERROR(__xludf.DUMMYFUNCTION("""COMPUTED_VALUE"""),"KRISNA JANE TOTAAN CANCAYDA")</f>
        <v>KRISNA JANE TOTAAN CANCAYDA</v>
      </c>
      <c r="C555" s="1">
        <f>IFERROR(__xludf.DUMMYFUNCTION("""COMPUTED_VALUE"""),2312600608)</f>
        <v>2312600608</v>
      </c>
      <c r="D555" s="1">
        <f>IFERROR(__xludf.DUMMYFUNCTION("""COMPUTED_VALUE"""),408020441)</f>
        <v>408020441</v>
      </c>
      <c r="E555" s="1">
        <f>IFERROR(__xludf.DUMMYFUNCTION("""COMPUTED_VALUE"""),471528291004)</f>
        <v>471528291004</v>
      </c>
      <c r="F555" s="1" t="str">
        <f>IFERROR(__xludf.DUMMYFUNCTION("""COMPUTED_VALUE"""),"CLOSED")</f>
        <v>CLOSED</v>
      </c>
      <c r="G555" s="1" t="str">
        <f>IFERROR(__xludf.DUMMYFUNCTION("""COMPUTED_VALUE"""),"CLOSED")</f>
        <v>CLOSED</v>
      </c>
      <c r="H555" s="1" t="str">
        <f>IFERROR(__xludf.DUMMYFUNCTION("""COMPUTED_VALUE"""),"PAID VIA PAY EXPRESS SEPT 16")</f>
        <v>PAID VIA PAY EXPRESS SEPT 16</v>
      </c>
      <c r="I555" s="1" t="str">
        <f>IFERROR(__xludf.DUMMYFUNCTION("""COMPUTED_VALUE"""),"WITH 1 AMSF")</f>
        <v>WITH 1 AMSF</v>
      </c>
      <c r="J555" s="1"/>
      <c r="K555" s="1" t="str">
        <f>IFERROR(__xludf.DUMMYFUNCTION("""COMPUTED_VALUE"""),"COMPLETED")</f>
        <v>COMPLETED</v>
      </c>
      <c r="L555" s="1" t="str">
        <f>IFERROR(__xludf.DUMMYFUNCTION("""COMPUTED_VALUE"""),"POSTED")</f>
        <v>POSTED</v>
      </c>
      <c r="M555" s="1" t="str">
        <f>IFERROR(__xludf.DUMMYFUNCTION("""COMPUTED_VALUE"""),"POSTED")</f>
        <v>POSTED</v>
      </c>
      <c r="N555" s="3">
        <f>IFERROR(__xludf.DUMMYFUNCTION("""COMPUTED_VALUE"""),46281)</f>
        <v>46281</v>
      </c>
      <c r="O555" s="1" t="str">
        <f>IFERROR(__xludf.DUMMYFUNCTION("""COMPUTED_VALUE"""),"FIBER UNLI ALL PLAN 1499")</f>
        <v>FIBER UNLI ALL PLAN 1499</v>
      </c>
      <c r="P555" s="1" t="str">
        <f>IFERROR(__xludf.DUMMYFUNCTION("""COMPUTED_VALUE"""),"LOWPLAN")</f>
        <v>LOWPLAN</v>
      </c>
      <c r="Q555" s="1" t="str">
        <f>IFERROR(__xludf.DUMMYFUNCTION("""COMPUTED_VALUE"""),"P407561")</f>
        <v>P407561</v>
      </c>
      <c r="R555" s="1" t="str">
        <f>IFERROR(__xludf.DUMMYFUNCTION("""COMPUTED_VALUE"""),"TAMAYO, MARY ROSE ZAIRA")</f>
        <v>TAMAYO, MARY ROSE ZAIRA</v>
      </c>
      <c r="S555" s="1" t="str">
        <f>IFERROR(__xludf.DUMMYFUNCTION("""COMPUTED_VALUE"""),"ORGANIC")</f>
        <v>ORGANIC</v>
      </c>
      <c r="T555" s="1" t="str">
        <f>IFERROR(__xludf.DUMMYFUNCTION("""COMPUTED_VALUE"""),"JERIC NAVARRO")</f>
        <v>JERIC NAVARRO</v>
      </c>
      <c r="U555" s="1" t="str">
        <f>IFERROR(__xludf.DUMMYFUNCTION("""COMPUTED_VALUE"""),"JULIE ESPIRITU")</f>
        <v>JULIE ESPIRITU</v>
      </c>
      <c r="V555" s="1" t="str">
        <f>IFERROR(__xludf.DUMMYFUNCTION("""COMPUTED_VALUE"""),"BK REGULAR")</f>
        <v>BK REGULAR</v>
      </c>
      <c r="W555" s="1" t="str">
        <f>IFERROR(__xludf.DUMMYFUNCTION("""COMPUTED_VALUE"""),"STK REGULAR")</f>
        <v>STK REGULAR</v>
      </c>
      <c r="X555" s="1" t="str">
        <f>IFERROR(__xludf.DUMMYFUNCTION("""COMPUTED_VALUE"""),"HBBS SEPT 2026")</f>
        <v>HBBS SEPT 2026</v>
      </c>
      <c r="Y555" s="1" t="str">
        <f>IFERROR(__xludf.DUMMYFUNCTION("""COMPUTED_VALUE"""),"BK_CVEU_260820")</f>
        <v>BK_CVEU_260820</v>
      </c>
      <c r="Z555" s="1" t="str">
        <f>IFERROR(__xludf.DUMMYFUNCTION("""COMPUTED_VALUE"""),"NEW CONNECT")</f>
        <v>NEW CONNECT</v>
      </c>
      <c r="AA555" s="1">
        <f>IFERROR(__xludf.DUMMYFUNCTION("""COMPUTED_VALUE"""),639917924541)</f>
        <v>639917924541</v>
      </c>
      <c r="AB555" s="1"/>
      <c r="AC555" s="1"/>
      <c r="AD555" s="1" t="str">
        <f>IFERROR(__xludf.DUMMYFUNCTION("""COMPUTED_VALUE"""),"HERON")</f>
        <v>HERON</v>
      </c>
      <c r="AE555" s="1" t="str">
        <f>IFERROR(__xludf.DUMMYFUNCTION("""COMPUTED_VALUE"""),"RCD ROYALE HOMES  PHASE 1B")</f>
        <v>RCD ROYALE HOMES  PHASE 1B</v>
      </c>
      <c r="AF555" s="1" t="str">
        <f>IFERROR(__xludf.DUMMYFUNCTION("""COMPUTED_VALUE"""),"BGY KALUBKOB")</f>
        <v>BGY KALUBKOB</v>
      </c>
      <c r="AG555" s="1" t="str">
        <f>IFERROR(__xludf.DUMMYFUNCTION("""COMPUTED_VALUE"""),"SILANG")</f>
        <v>SILANG</v>
      </c>
      <c r="AH555" s="1" t="str">
        <f>IFERROR(__xludf.DUMMYFUNCTION("""COMPUTED_VALUE"""),"PREMIER PLAZA/BRGY HALL")</f>
        <v>PREMIER PLAZA/BRGY HALL</v>
      </c>
      <c r="AI555" s="1" t="str">
        <f>IFERROR(__xludf.DUMMYFUNCTION("""COMPUTED_VALUE"""),"CLUSTER 11")</f>
        <v>CLUSTER 11</v>
      </c>
    </row>
    <row r="556" customHeight="1" spans="1:35">
      <c r="A556" s="3">
        <f>IFERROR(__xludf.DUMMYFUNCTION("""COMPUTED_VALUE"""),46281)</f>
        <v>46281</v>
      </c>
      <c r="B556" s="1" t="str">
        <f>IFERROR(__xludf.DUMMYFUNCTION("""COMPUTED_VALUE"""),"MA.CARMELA . PABLO")</f>
        <v>MA.CARMELA . PABLO</v>
      </c>
      <c r="C556" s="1">
        <f>IFERROR(__xludf.DUMMYFUNCTION("""COMPUTED_VALUE"""),2312609306)</f>
        <v>2312609306</v>
      </c>
      <c r="D556" s="1"/>
      <c r="E556" s="1"/>
      <c r="F556" s="1" t="str">
        <f>IFERROR(__xludf.DUMMYFUNCTION("""COMPUTED_VALUE"""),"CANCELLED")</f>
        <v>CANCELLED</v>
      </c>
      <c r="G556" s="1" t="str">
        <f>IFERROR(__xludf.DUMMYFUNCTION("""COMPUTED_VALUE"""),"(WITH BLACKLIST HIT FOR COMPLIANCE) RTS | COMPLETE DOCS | DONE VALIDATION | CORRECT ENCODED INFO IN CSP | TU SCORING EE - 10 (LOW RISK) | WAIVED AMSF | BL ACCT NO. 0354683229 - SAME NAME/DIFFERENT ADDRESS - OB: 5,607.13 | CANCELLED ACCT NO. 0353967436 AND"&amp;" 0354461943 - SAME NAME/DIFFERENT ADDRESS - CALLED THRU: 09756308909 10:43 AM - TALKED TO: SUBS - CALLOUT RESULT: CONFIRMED APPLYING FOR PLDT APPLICATION - CALLOUT STATUS: CONTACTED | DUPLICATE CBR ACCT NO. 0347211818 ")</f>
        <v>(WITH BLACKLIST HIT FOR COMPLIANCE) RTS | COMPLETE DOCS | DONE VALIDATION | CORRECT ENCODED INFO IN CSP | TU SCORING EE - 10 (LOW RISK) | WAIVED AMSF | BL ACCT NO. 0354683229 - SAME NAME/DIFFERENT ADDRESS - OB: 5,607.13 | CANCELLED ACCT NO. 0353967436 AND 0354461943 - SAME NAME/DIFFERENT ADDRESS - CALLED THRU: 09756308909 10:43 AM - TALKED TO: SUBS - CALLOUT RESULT: CONFIRMED APPLYING FOR PLDT APPLICATION - CALLOUT STATUS: CONTACTED | DUPLICATE CBR ACCT NO. 0347211818 </v>
      </c>
      <c r="H556" s="1"/>
      <c r="I556" s="1"/>
      <c r="J556" s="1"/>
      <c r="K556" s="1"/>
      <c r="L556" s="1" t="str">
        <f>IFERROR(__xludf.DUMMYFUNCTION("""COMPUTED_VALUE"""),"CANCELLED - WITH OB")</f>
        <v>CANCELLED - WITH OB</v>
      </c>
      <c r="M556" s="1" t="str">
        <f>IFERROR(__xludf.DUMMYFUNCTION("""COMPUTED_VALUE"""),"CANCELLED - WITH OB")</f>
        <v>CANCELLED - WITH OB</v>
      </c>
      <c r="N556" s="3"/>
      <c r="O556" s="1" t="str">
        <f>IFERROR(__xludf.DUMMYFUNCTION("""COMPUTED_VALUE"""),"FIBR PLAN 1299")</f>
        <v>FIBR PLAN 1299</v>
      </c>
      <c r="P556" s="1" t="str">
        <f>IFERROR(__xludf.DUMMYFUNCTION("""COMPUTED_VALUE"""),"LOWPLAN")</f>
        <v>LOWPLAN</v>
      </c>
      <c r="Q556" s="1" t="str">
        <f>IFERROR(__xludf.DUMMYFUNCTION("""COMPUTED_VALUE"""),"P407520")</f>
        <v>P407520</v>
      </c>
      <c r="R556" s="1" t="str">
        <f>IFERROR(__xludf.DUMMYFUNCTION("""COMPUTED_VALUE"""),"MALIWAT, MARK")</f>
        <v>MALIWAT, MARK</v>
      </c>
      <c r="S556" s="1" t="str">
        <f>IFERROR(__xludf.DUMMYFUNCTION("""COMPUTED_VALUE"""),"FLA")</f>
        <v>FLA</v>
      </c>
      <c r="T556" s="1" t="str">
        <f>IFERROR(__xludf.DUMMYFUNCTION("""COMPUTED_VALUE"""),"JERIC NAVARRO")</f>
        <v>JERIC NAVARRO</v>
      </c>
      <c r="U556" s="1" t="str">
        <f>IFERROR(__xludf.DUMMYFUNCTION("""COMPUTED_VALUE"""),"JB SALIOA")</f>
        <v>JB SALIOA</v>
      </c>
      <c r="V556" s="1" t="str">
        <f>IFERROR(__xludf.DUMMYFUNCTION("""COMPUTED_VALUE"""),"ONLINE/CRANFORD")</f>
        <v>ONLINE/CRANFORD</v>
      </c>
      <c r="W556" s="1" t="str">
        <f>IFERROR(__xludf.DUMMYFUNCTION("""COMPUTED_VALUE"""),"STK REGULAR")</f>
        <v>STK REGULAR</v>
      </c>
      <c r="X556" s="1" t="str">
        <f>IFERROR(__xludf.DUMMYFUNCTION("""COMPUTED_VALUE"""),"HBBS SEPT 2026")</f>
        <v>HBBS SEPT 2026</v>
      </c>
      <c r="Y556" s="1" t="str">
        <f>IFERROR(__xludf.DUMMYFUNCTION("""COMPUTED_VALUE"""),"RS_ONL_CVEU_2026")</f>
        <v>RS_ONL_CVEU_2026</v>
      </c>
      <c r="Z556" s="1" t="str">
        <f>IFERROR(__xludf.DUMMYFUNCTION("""COMPUTED_VALUE"""),"NEW CONNECT")</f>
        <v>NEW CONNECT</v>
      </c>
      <c r="AA556" s="1">
        <f>IFERROR(__xludf.DUMMYFUNCTION("""COMPUTED_VALUE"""),639756308909)</f>
        <v>639756308909</v>
      </c>
      <c r="AB556" s="1">
        <f>IFERROR(__xludf.DUMMYFUNCTION("""COMPUTED_VALUE"""),639359065514)</f>
        <v>639359065514</v>
      </c>
      <c r="AC556" s="1">
        <f>IFERROR(__xludf.DUMMYFUNCTION("""COMPUTED_VALUE"""),41)</f>
        <v>41</v>
      </c>
      <c r="AD556" s="1" t="str">
        <f>IFERROR(__xludf.DUMMYFUNCTION("""COMPUTED_VALUE"""),"EAST ASUNCION")</f>
        <v>EAST ASUNCION</v>
      </c>
      <c r="AE556" s="1"/>
      <c r="AF556" s="1" t="str">
        <f>IFERROR(__xludf.DUMMYFUNCTION("""COMPUTED_VALUE"""),"BGY TUBUAN 1")</f>
        <v>BGY TUBUAN 1</v>
      </c>
      <c r="AG556" s="1" t="str">
        <f>IFERROR(__xludf.DUMMYFUNCTION("""COMPUTED_VALUE"""),"SILANG")</f>
        <v>SILANG</v>
      </c>
      <c r="AH556" s="1" t="str">
        <f>IFERROR(__xludf.DUMMYFUNCTION("""COMPUTED_VALUE"""),"EAST ASUNCION")</f>
        <v>EAST ASUNCION</v>
      </c>
      <c r="AI556" s="1" t="str">
        <f>IFERROR(__xludf.DUMMYFUNCTION("""COMPUTED_VALUE"""),"CLUSTER 11")</f>
        <v>CLUSTER 11</v>
      </c>
    </row>
    <row r="557" customHeight="1" spans="1:35">
      <c r="A557" s="3">
        <f>IFERROR(__xludf.DUMMYFUNCTION("""COMPUTED_VALUE"""),46281)</f>
        <v>46281</v>
      </c>
      <c r="B557" s="1" t="str">
        <f>IFERROR(__xludf.DUMMYFUNCTION("""COMPUTED_VALUE"""),"JASMINE ALVAREZ DIONELA")</f>
        <v>JASMINE ALVAREZ DIONELA</v>
      </c>
      <c r="C557" s="1">
        <f>IFERROR(__xludf.DUMMYFUNCTION("""COMPUTED_VALUE"""),2312610493)</f>
        <v>2312610493</v>
      </c>
      <c r="D557" s="1">
        <f>IFERROR(__xludf.DUMMYFUNCTION("""COMPUTED_VALUE"""),408037212)</f>
        <v>408037212</v>
      </c>
      <c r="E557" s="1">
        <f>IFERROR(__xludf.DUMMYFUNCTION("""COMPUTED_VALUE"""),471643542004)</f>
        <v>471643542004</v>
      </c>
      <c r="F557" s="1" t="str">
        <f>IFERROR(__xludf.DUMMYFUNCTION("""COMPUTED_VALUE"""),"RPR")</f>
        <v>RPR</v>
      </c>
      <c r="G557" s="1" t="str">
        <f>IFERROR(__xludf.DUMMYFUNCTION("""COMPUTED_VALUE"""),"RPR NO SLOT AVAILABLE FULL FACILITIES DASLP52NP8 FULL DASLP52NP7 FULL DASLP52NP5 FULL YAN LANG PUMASOK SA LOOB NG PH3 SUBS ALREDY ADVISE ")</f>
        <v>RPR NO SLOT AVAILABLE FULL FACILITIES DASLP52NP8 FULL DASLP52NP7 FULL DASLP52NP5 FULL YAN LANG PUMASOK SA LOOB NG PH3 SUBS ALREDY ADVISE </v>
      </c>
      <c r="H557" s="1"/>
      <c r="I557" s="1" t="str">
        <f>IFERROR(__xludf.DUMMYFUNCTION("""COMPUTED_VALUE"""),"NO 1 AMSF")</f>
        <v>NO 1 AMSF</v>
      </c>
      <c r="J557" s="1"/>
      <c r="K557" s="1" t="str">
        <f>IFERROR(__xludf.DUMMYFUNCTION("""COMPUTED_VALUE"""),"CANCELED")</f>
        <v>CANCELED</v>
      </c>
      <c r="L557" s="1" t="str">
        <f>IFERROR(__xludf.DUMMYFUNCTION("""COMPUTED_VALUE"""),"RPR - NAP FULL")</f>
        <v>RPR - NAP FULL</v>
      </c>
      <c r="M557" s="1" t="str">
        <f>IFERROR(__xludf.DUMMYFUNCTION("""COMPUTED_VALUE"""),"RPR- NAP FULL")</f>
        <v>RPR- NAP FULL</v>
      </c>
      <c r="N557" s="3"/>
      <c r="O557" s="1" t="str">
        <f>IFERROR(__xludf.DUMMYFUNCTION("""COMPUTED_VALUE"""),"FIBR PLAN 1299")</f>
        <v>FIBR PLAN 1299</v>
      </c>
      <c r="P557" s="1" t="str">
        <f>IFERROR(__xludf.DUMMYFUNCTION("""COMPUTED_VALUE"""),"LOWPLAN")</f>
        <v>LOWPLAN</v>
      </c>
      <c r="Q557" s="1" t="str">
        <f>IFERROR(__xludf.DUMMYFUNCTION("""COMPUTED_VALUE"""),"P407520")</f>
        <v>P407520</v>
      </c>
      <c r="R557" s="1" t="str">
        <f>IFERROR(__xludf.DUMMYFUNCTION("""COMPUTED_VALUE"""),"MALIWAT, MARK")</f>
        <v>MALIWAT, MARK</v>
      </c>
      <c r="S557" s="1" t="str">
        <f>IFERROR(__xludf.DUMMYFUNCTION("""COMPUTED_VALUE"""),"FLA")</f>
        <v>FLA</v>
      </c>
      <c r="T557" s="1" t="str">
        <f>IFERROR(__xludf.DUMMYFUNCTION("""COMPUTED_VALUE"""),"JERIC NAVARRO")</f>
        <v>JERIC NAVARRO</v>
      </c>
      <c r="U557" s="1" t="str">
        <f>IFERROR(__xludf.DUMMYFUNCTION("""COMPUTED_VALUE"""),"JB SALIOA")</f>
        <v>JB SALIOA</v>
      </c>
      <c r="V557" s="1" t="str">
        <f>IFERROR(__xludf.DUMMYFUNCTION("""COMPUTED_VALUE"""),"ONLINE/CRANFORD")</f>
        <v>ONLINE/CRANFORD</v>
      </c>
      <c r="W557" s="1" t="str">
        <f>IFERROR(__xludf.DUMMYFUNCTION("""COMPUTED_VALUE"""),"STK REGULAR")</f>
        <v>STK REGULAR</v>
      </c>
      <c r="X557" s="1" t="str">
        <f>IFERROR(__xludf.DUMMYFUNCTION("""COMPUTED_VALUE"""),"HBBS SEPT 2026")</f>
        <v>HBBS SEPT 2026</v>
      </c>
      <c r="Y557" s="1" t="str">
        <f>IFERROR(__xludf.DUMMYFUNCTION("""COMPUTED_VALUE"""),"RS_SS_CVEU_2026")</f>
        <v>RS_SS_CVEU_2026</v>
      </c>
      <c r="Z557" s="1" t="str">
        <f>IFERROR(__xludf.DUMMYFUNCTION("""COMPUTED_VALUE"""),"NEW CONNECT")</f>
        <v>NEW CONNECT</v>
      </c>
      <c r="AA557" s="1">
        <f>IFERROR(__xludf.DUMMYFUNCTION("""COMPUTED_VALUE"""),639569215240)</f>
        <v>639569215240</v>
      </c>
      <c r="AB557" s="1"/>
      <c r="AC557" s="1"/>
      <c r="AD557" s="1" t="str">
        <f>IFERROR(__xludf.DUMMYFUNCTION("""COMPUTED_VALUE"""),"PHASE 3")</f>
        <v>PHASE 3</v>
      </c>
      <c r="AE557" s="1" t="str">
        <f>IFERROR(__xludf.DUMMYFUNCTION("""COMPUTED_VALUE"""),"SOLAR HOMES")</f>
        <v>SOLAR HOMES</v>
      </c>
      <c r="AF557" s="1" t="str">
        <f>IFERROR(__xludf.DUMMYFUNCTION("""COMPUTED_VALUE"""),"BGY LANGKAAN 2")</f>
        <v>BGY LANGKAAN 2</v>
      </c>
      <c r="AG557" s="1" t="str">
        <f>IFERROR(__xludf.DUMMYFUNCTION("""COMPUTED_VALUE"""),"SILANG")</f>
        <v>SILANG</v>
      </c>
      <c r="AH557" s="1" t="str">
        <f>IFERROR(__xludf.DUMMYFUNCTION("""COMPUTED_VALUE"""),"-")</f>
        <v>-</v>
      </c>
      <c r="AI557" s="1" t="str">
        <f>IFERROR(__xludf.DUMMYFUNCTION("""COMPUTED_VALUE"""),"NOT AOR")</f>
        <v>NOT AOR</v>
      </c>
    </row>
    <row r="558" customHeight="1" spans="1:35">
      <c r="A558" s="3">
        <f>IFERROR(__xludf.DUMMYFUNCTION("""COMPUTED_VALUE"""),46281)</f>
        <v>46281</v>
      </c>
      <c r="B558" s="1" t="str">
        <f>IFERROR(__xludf.DUMMYFUNCTION("""COMPUTED_VALUE"""),"AIDEL PAUL GARCIA BELAMIDE")</f>
        <v>AIDEL PAUL GARCIA BELAMIDE</v>
      </c>
      <c r="C558" s="1">
        <f>IFERROR(__xludf.DUMMYFUNCTION("""COMPUTED_VALUE"""),2312612559)</f>
        <v>2312612559</v>
      </c>
      <c r="D558" s="1">
        <f>IFERROR(__xludf.DUMMYFUNCTION("""COMPUTED_VALUE"""),408040329)</f>
        <v>408040329</v>
      </c>
      <c r="E558" s="1">
        <f>IFERROR(__xludf.DUMMYFUNCTION("""COMPUTED_VALUE"""),471647241004)</f>
        <v>471647241004</v>
      </c>
      <c r="F558" s="1" t="str">
        <f>IFERROR(__xludf.DUMMYFUNCTION("""COMPUTED_VALUE"""),"CLOSED")</f>
        <v>CLOSED</v>
      </c>
      <c r="G558" s="1" t="str">
        <f>IFERROR(__xludf.DUMMYFUNCTION("""COMPUTED_VALUE"""),"CLOSED")</f>
        <v>CLOSED</v>
      </c>
      <c r="H558" s="1" t="str">
        <f>IFERROR(__xludf.DUMMYFUNCTION("""COMPUTED_VALUE"""),"PQGOR365031738	23-Sep-26	Regular Payment	BPI Internet Payment	1,699.00	944612846	24-Sep-26 / PQGOR365031739	23-Sep-26	Regular Payment	BPI Internet Payment	1,700.00	944612846	24-Sep-26")</f>
        <v>PQGOR365031738	23-Sep-26	Regular Payment	BPI Internet Payment	1,699.00	944612846	24-Sep-26 / PQGOR365031739	23-Sep-26	Regular Payment	BPI Internet Payment	1,700.00	944612846	24-Sep-26</v>
      </c>
      <c r="I558" s="1" t="str">
        <f>IFERROR(__xludf.DUMMYFUNCTION("""COMPUTED_VALUE"""),"WITH 1 AMSF")</f>
        <v>WITH 1 AMSF</v>
      </c>
      <c r="J558" s="1"/>
      <c r="K558" s="1" t="str">
        <f>IFERROR(__xludf.DUMMYFUNCTION("""COMPUTED_VALUE"""),"COMPLETED")</f>
        <v>COMPLETED</v>
      </c>
      <c r="L558" s="1" t="str">
        <f>IFERROR(__xludf.DUMMYFUNCTION("""COMPUTED_VALUE"""),"poSTED")</f>
        <v>poSTED</v>
      </c>
      <c r="M558" s="1" t="str">
        <f>IFERROR(__xludf.DUMMYFUNCTION("""COMPUTED_VALUE"""),"POSTED")</f>
        <v>POSTED</v>
      </c>
      <c r="N558" s="3">
        <f>IFERROR(__xludf.DUMMYFUNCTION("""COMPUTED_VALUE"""),46287)</f>
        <v>46287</v>
      </c>
      <c r="O558" s="1" t="str">
        <f>IFERROR(__xludf.DUMMYFUNCTION("""COMPUTED_VALUE"""),"FIBR PLAN 1699")</f>
        <v>FIBR PLAN 1699</v>
      </c>
      <c r="P558" s="1" t="str">
        <f>IFERROR(__xludf.DUMMYFUNCTION("""COMPUTED_VALUE"""),"HIGHPLAN")</f>
        <v>HIGHPLAN</v>
      </c>
      <c r="Q558" s="1" t="str">
        <f>IFERROR(__xludf.DUMMYFUNCTION("""COMPUTED_VALUE"""),"P407516")</f>
        <v>P407516</v>
      </c>
      <c r="R558" s="1" t="str">
        <f>IFERROR(__xludf.DUMMYFUNCTION("""COMPUTED_VALUE"""),"AYON, MANUEL")</f>
        <v>AYON, MANUEL</v>
      </c>
      <c r="S558" s="1" t="str">
        <f>IFERROR(__xludf.DUMMYFUNCTION("""COMPUTED_VALUE"""),"FLA")</f>
        <v>FLA</v>
      </c>
      <c r="T558" s="1" t="str">
        <f>IFERROR(__xludf.DUMMYFUNCTION("""COMPUTED_VALUE"""),"JERIC NAVARRO")</f>
        <v>JERIC NAVARRO</v>
      </c>
      <c r="U558" s="1" t="str">
        <f>IFERROR(__xludf.DUMMYFUNCTION("""COMPUTED_VALUE"""),"JB SALIOA")</f>
        <v>JB SALIOA</v>
      </c>
      <c r="V558" s="1" t="str">
        <f>IFERROR(__xludf.DUMMYFUNCTION("""COMPUTED_VALUE"""),"ONLINE/CRANFORD")</f>
        <v>ONLINE/CRANFORD</v>
      </c>
      <c r="W558" s="1" t="str">
        <f>IFERROR(__xludf.DUMMYFUNCTION("""COMPUTED_VALUE"""),"STK REGULAR")</f>
        <v>STK REGULAR</v>
      </c>
      <c r="X558" s="1" t="str">
        <f>IFERROR(__xludf.DUMMYFUNCTION("""COMPUTED_VALUE"""),"HBBS SEPT 2026")</f>
        <v>HBBS SEPT 2026</v>
      </c>
      <c r="Y558" s="1" t="str">
        <f>IFERROR(__xludf.DUMMYFUNCTION("""COMPUTED_VALUE"""),"RS_ONL_CVEU_2026")</f>
        <v>RS_ONL_CVEU_2026</v>
      </c>
      <c r="Z558" s="1" t="str">
        <f>IFERROR(__xludf.DUMMYFUNCTION("""COMPUTED_VALUE"""),"NEW CONNECT")</f>
        <v>NEW CONNECT</v>
      </c>
      <c r="AA558" s="1">
        <f>IFERROR(__xludf.DUMMYFUNCTION("""COMPUTED_VALUE"""),639171126009)</f>
        <v>639171126009</v>
      </c>
      <c r="AB558" s="1"/>
      <c r="AC558" s="1"/>
      <c r="AD558" s="1" t="str">
        <f>IFERROR(__xludf.DUMMYFUNCTION("""COMPUTED_VALUE"""),"ST TROPEZ")</f>
        <v>ST TROPEZ</v>
      </c>
      <c r="AE558" s="1" t="str">
        <f>IFERROR(__xludf.DUMMYFUNCTION("""COMPUTED_VALUE"""),"RIVIERA RESIDENTIAL ESTATES")</f>
        <v>RIVIERA RESIDENTIAL ESTATES</v>
      </c>
      <c r="AF558" s="1" t="str">
        <f>IFERROR(__xludf.DUMMYFUNCTION("""COMPUTED_VALUE"""),"BGY BILUSO")</f>
        <v>BGY BILUSO</v>
      </c>
      <c r="AG558" s="1" t="str">
        <f>IFERROR(__xludf.DUMMYFUNCTION("""COMPUTED_VALUE"""),"SILANG")</f>
        <v>SILANG</v>
      </c>
      <c r="AH558" s="1" t="str">
        <f>IFERROR(__xludf.DUMMYFUNCTION("""COMPUTED_VALUE"""),"-")</f>
        <v>-</v>
      </c>
      <c r="AI558" s="1" t="str">
        <f>IFERROR(__xludf.DUMMYFUNCTION("""COMPUTED_VALUE"""),"CLUSTER 11")</f>
        <v>CLUSTER 11</v>
      </c>
    </row>
    <row r="559" customHeight="1" spans="1:35">
      <c r="A559" s="3">
        <f>IFERROR(__xludf.DUMMYFUNCTION("""COMPUTED_VALUE"""),46281)</f>
        <v>46281</v>
      </c>
      <c r="B559" s="1" t="str">
        <f>IFERROR(__xludf.DUMMYFUNCTION("""COMPUTED_VALUE"""),"BRYAN PAUL BABASA PULONGBARIT")</f>
        <v>BRYAN PAUL BABASA PULONGBARIT</v>
      </c>
      <c r="C559" s="1">
        <f>IFERROR(__xludf.DUMMYFUNCTION("""COMPUTED_VALUE"""),2312612612)</f>
        <v>2312612612</v>
      </c>
      <c r="D559" s="1">
        <f>IFERROR(__xludf.DUMMYFUNCTION("""COMPUTED_VALUE"""),408037670)</f>
        <v>408037670</v>
      </c>
      <c r="E559" s="1">
        <f>IFERROR(__xludf.DUMMYFUNCTION("""COMPUTED_VALUE"""),471644935004)</f>
        <v>471644935004</v>
      </c>
      <c r="F559" s="1" t="str">
        <f>IFERROR(__xludf.DUMMYFUNCTION("""COMPUTED_VALUE"""),"CLOSED")</f>
        <v>CLOSED</v>
      </c>
      <c r="G559" s="1" t="str">
        <f>IFERROR(__xludf.DUMMYFUNCTION("""COMPUTED_VALUE"""),"CLOSED")</f>
        <v>CLOSED</v>
      </c>
      <c r="H559" s="1" t="str">
        <f>IFERROR(__xludf.DUMMYFUNCTION("""COMPUTED_VALUE"""),"PAID VIA GCASH REF 214501917 SEP 24")</f>
        <v>PAID VIA GCASH REF 214501917 SEP 24</v>
      </c>
      <c r="I559" s="1" t="str">
        <f>IFERROR(__xludf.DUMMYFUNCTION("""COMPUTED_VALUE"""),"WITH 1 AMSF")</f>
        <v>WITH 1 AMSF</v>
      </c>
      <c r="J559" s="1"/>
      <c r="K559" s="1" t="str">
        <f>IFERROR(__xludf.DUMMYFUNCTION("""COMPUTED_VALUE"""),"OPEN IN OFSC")</f>
        <v>OPEN IN OFSC</v>
      </c>
      <c r="L559" s="1" t="str">
        <f>IFERROR(__xludf.DUMMYFUNCTION("""COMPUTED_VALUE"""),"POSTED")</f>
        <v>POSTED</v>
      </c>
      <c r="M559" s="1" t="str">
        <f>IFERROR(__xludf.DUMMYFUNCTION("""COMPUTED_VALUE"""),"POSTED")</f>
        <v>POSTED</v>
      </c>
      <c r="N559" s="3">
        <f>IFERROR(__xludf.DUMMYFUNCTION("""COMPUTED_VALUE"""),46290)</f>
        <v>46290</v>
      </c>
      <c r="O559" s="1" t="str">
        <f>IFERROR(__xludf.DUMMYFUNCTION("""COMPUTED_VALUE"""),"FIBER UNLI ALL PLAN 2599")</f>
        <v>FIBER UNLI ALL PLAN 2599</v>
      </c>
      <c r="P559" s="1" t="str">
        <f>IFERROR(__xludf.DUMMYFUNCTION("""COMPUTED_VALUE"""),"HIGHPLAN")</f>
        <v>HIGHPLAN</v>
      </c>
      <c r="Q559" s="1" t="str">
        <f>IFERROR(__xludf.DUMMYFUNCTION("""COMPUTED_VALUE"""),"P407520 ")</f>
        <v>P407520 </v>
      </c>
      <c r="R559" s="1" t="str">
        <f>IFERROR(__xludf.DUMMYFUNCTION("""COMPUTED_VALUE"""),"MALIWAT, MARK")</f>
        <v>MALIWAT, MARK</v>
      </c>
      <c r="S559" s="1" t="str">
        <f>IFERROR(__xludf.DUMMYFUNCTION("""COMPUTED_VALUE"""),"FLA")</f>
        <v>FLA</v>
      </c>
      <c r="T559" s="1" t="str">
        <f>IFERROR(__xludf.DUMMYFUNCTION("""COMPUTED_VALUE"""),"JERIC NAVARRO")</f>
        <v>JERIC NAVARRO</v>
      </c>
      <c r="U559" s="1" t="str">
        <f>IFERROR(__xludf.DUMMYFUNCTION("""COMPUTED_VALUE"""),"MARK MALIWAT")</f>
        <v>MARK MALIWAT</v>
      </c>
      <c r="V559" s="1" t="str">
        <f>IFERROR(__xludf.DUMMYFUNCTION("""COMPUTED_VALUE"""),"ONLINE/CRANFORD")</f>
        <v>ONLINE/CRANFORD</v>
      </c>
      <c r="W559" s="1" t="str">
        <f>IFERROR(__xludf.DUMMYFUNCTION("""COMPUTED_VALUE"""),"STK REGULAR")</f>
        <v>STK REGULAR</v>
      </c>
      <c r="X559" s="1" t="str">
        <f>IFERROR(__xludf.DUMMYFUNCTION("""COMPUTED_VALUE"""),"HBBS SEPT 2026")</f>
        <v>HBBS SEPT 2026</v>
      </c>
      <c r="Y559" s="1" t="str">
        <f>IFERROR(__xludf.DUMMYFUNCTION("""COMPUTED_VALUE"""),"RS_ONL_CVEU_2026")</f>
        <v>RS_ONL_CVEU_2026</v>
      </c>
      <c r="Z559" s="1" t="str">
        <f>IFERROR(__xludf.DUMMYFUNCTION("""COMPUTED_VALUE"""),"NEW CONNECT")</f>
        <v>NEW CONNECT</v>
      </c>
      <c r="AA559" s="1">
        <f>IFERROR(__xludf.DUMMYFUNCTION("""COMPUTED_VALUE"""),639458838498)</f>
        <v>639458838498</v>
      </c>
      <c r="AB559" s="1"/>
      <c r="AC559" s="1">
        <f>IFERROR(__xludf.DUMMYFUNCTION("""COMPUTED_VALUE"""),1598)</f>
        <v>1598</v>
      </c>
      <c r="AD559" s="1" t="str">
        <f>IFERROR(__xludf.DUMMYFUNCTION("""COMPUTED_VALUE"""),"BERNARDO PULIDO EXT")</f>
        <v>BERNARDO PULIDO EXT</v>
      </c>
      <c r="AE559" s="1"/>
      <c r="AF559" s="1" t="str">
        <f>IFERROR(__xludf.DUMMYFUNCTION("""COMPUTED_VALUE"""),"BGY BERNARDO PULIDO")</f>
        <v>BGY BERNARDO PULIDO</v>
      </c>
      <c r="AG559" s="1" t="str">
        <f>IFERROR(__xludf.DUMMYFUNCTION("""COMPUTED_VALUE"""),"GEN MARIANO ALVAREZ")</f>
        <v>GEN MARIANO ALVAREZ</v>
      </c>
      <c r="AH559" s="1" t="str">
        <f>IFERROR(__xludf.DUMMYFUNCTION("""COMPUTED_VALUE"""),"KKNA DAYCARE")</f>
        <v>KKNA DAYCARE</v>
      </c>
      <c r="AI559" s="1" t="str">
        <f>IFERROR(__xludf.DUMMYFUNCTION("""COMPUTED_VALUE"""),"CLUSTER 11")</f>
        <v>CLUSTER 11</v>
      </c>
    </row>
    <row r="560" customHeight="1" spans="1:35">
      <c r="A560" s="3">
        <f>IFERROR(__xludf.DUMMYFUNCTION("""COMPUTED_VALUE"""),46281)</f>
        <v>46281</v>
      </c>
      <c r="B560" s="1" t="str">
        <f>IFERROR(__xludf.DUMMYFUNCTION("""COMPUTED_VALUE"""),"RONALYN MARCIANO ANGON")</f>
        <v>RONALYN MARCIANO ANGON</v>
      </c>
      <c r="C560" s="1">
        <f>IFERROR(__xludf.DUMMYFUNCTION("""COMPUTED_VALUE"""),2312613664)</f>
        <v>2312613664</v>
      </c>
      <c r="D560" s="1">
        <f>IFERROR(__xludf.DUMMYFUNCTION("""COMPUTED_VALUE"""),408039894)</f>
        <v>408039894</v>
      </c>
      <c r="E560" s="1">
        <f>IFERROR(__xludf.DUMMYFUNCTION("""COMPUTED_VALUE"""),471680278004)</f>
        <v>471680278004</v>
      </c>
      <c r="F560" s="1" t="str">
        <f>IFERROR(__xludf.DUMMYFUNCTION("""COMPUTED_VALUE"""),"CLOSED")</f>
        <v>CLOSED</v>
      </c>
      <c r="G560" s="1" t="str">
        <f>IFERROR(__xludf.DUMMYFUNCTION("""COMPUTED_VALUE"""),"CLOSED")</f>
        <v>CLOSED</v>
      </c>
      <c r="H560" s="1" t="str">
        <f>IFERROR(__xludf.DUMMYFUNCTION("""COMPUTED_VALUE"""),"NO PAYMENT")</f>
        <v>NO PAYMENT</v>
      </c>
      <c r="I560" s="1" t="str">
        <f>IFERROR(__xludf.DUMMYFUNCTION("""COMPUTED_VALUE"""),"NO 1 AMSF")</f>
        <v>NO 1 AMSF</v>
      </c>
      <c r="J560" s="1" t="str">
        <f>IFERROR(__xludf.DUMMYFUNCTION("""COMPUTED_VALUE"""),"DUE DATE - 14-Oct-26 - 1,382.81")</f>
        <v>DUE DATE - 14-Oct-26 - 1,382.81</v>
      </c>
      <c r="K560" s="1" t="str">
        <f>IFERROR(__xludf.DUMMYFUNCTION("""COMPUTED_VALUE"""),"COMPLETED")</f>
        <v>COMPLETED</v>
      </c>
      <c r="L560" s="1" t="str">
        <f>IFERROR(__xludf.DUMMYFUNCTION("""COMPUTED_VALUE"""),"POSTED")</f>
        <v>POSTED</v>
      </c>
      <c r="M560" s="1" t="str">
        <f>IFERROR(__xludf.DUMMYFUNCTION("""COMPUTED_VALUE"""),"POSTED")</f>
        <v>POSTED</v>
      </c>
      <c r="N560" s="3">
        <f>IFERROR(__xludf.DUMMYFUNCTION("""COMPUTED_VALUE"""),46284)</f>
        <v>46284</v>
      </c>
      <c r="O560" s="1" t="str">
        <f>IFERROR(__xludf.DUMMYFUNCTION("""COMPUTED_VALUE"""),"FIBR PLAN 1299")</f>
        <v>FIBR PLAN 1299</v>
      </c>
      <c r="P560" s="1" t="str">
        <f>IFERROR(__xludf.DUMMYFUNCTION("""COMPUTED_VALUE"""),"LOWPLAN")</f>
        <v>LOWPLAN</v>
      </c>
      <c r="Q560" s="1" t="str">
        <f>IFERROR(__xludf.DUMMYFUNCTION("""COMPUTED_VALUE"""),"P407044")</f>
        <v>P407044</v>
      </c>
      <c r="R560" s="1" t="str">
        <f>IFERROR(__xludf.DUMMYFUNCTION("""COMPUTED_VALUE"""),"OPS")</f>
        <v>OPS</v>
      </c>
      <c r="S560" s="1" t="str">
        <f>IFERROR(__xludf.DUMMYFUNCTION("""COMPUTED_VALUE"""),"FLA")</f>
        <v>FLA</v>
      </c>
      <c r="T560" s="1" t="str">
        <f>IFERROR(__xludf.DUMMYFUNCTION("""COMPUTED_VALUE"""),"JERIC NAVARRO")</f>
        <v>JERIC NAVARRO</v>
      </c>
      <c r="U560" s="1" t="str">
        <f>IFERROR(__xludf.DUMMYFUNCTION("""COMPUTED_VALUE"""),"JB SALIOA")</f>
        <v>JB SALIOA</v>
      </c>
      <c r="V560" s="1" t="str">
        <f>IFERROR(__xludf.DUMMYFUNCTION("""COMPUTED_VALUE"""),"ONLINE/CRANFORD")</f>
        <v>ONLINE/CRANFORD</v>
      </c>
      <c r="W560" s="1" t="str">
        <f>IFERROR(__xludf.DUMMYFUNCTION("""COMPUTED_VALUE"""),"STK REGULAR")</f>
        <v>STK REGULAR</v>
      </c>
      <c r="X560" s="1" t="str">
        <f>IFERROR(__xludf.DUMMYFUNCTION("""COMPUTED_VALUE"""),"HBBS SEPT 2026")</f>
        <v>HBBS SEPT 2026</v>
      </c>
      <c r="Y560" s="1" t="str">
        <f>IFERROR(__xludf.DUMMYFUNCTION("""COMPUTED_VALUE"""),"RS_ONL_CVEU_2026")</f>
        <v>RS_ONL_CVEU_2026</v>
      </c>
      <c r="Z560" s="1" t="str">
        <f>IFERROR(__xludf.DUMMYFUNCTION("""COMPUTED_VALUE"""),"NEW CONNECT")</f>
        <v>NEW CONNECT</v>
      </c>
      <c r="AA560" s="1">
        <f>IFERROR(__xludf.DUMMYFUNCTION("""COMPUTED_VALUE"""),639458705861)</f>
        <v>639458705861</v>
      </c>
      <c r="AB560" s="1">
        <f>IFERROR(__xludf.DUMMYFUNCTION("""COMPUTED_VALUE"""),639658024115)</f>
        <v>639658024115</v>
      </c>
      <c r="AC560" s="1">
        <f>IFERROR(__xludf.DUMMYFUNCTION("""COMPUTED_VALUE"""),3980)</f>
        <v>3980</v>
      </c>
      <c r="AD560" s="1" t="str">
        <f>IFERROR(__xludf.DUMMYFUNCTION("""COMPUTED_VALUE"""),"BUCAL 2")</f>
        <v>BUCAL 2</v>
      </c>
      <c r="AE560" s="1"/>
      <c r="AF560" s="1" t="str">
        <f>IFERROR(__xludf.DUMMYFUNCTION("""COMPUTED_VALUE"""),"BGY BUCAL 2")</f>
        <v>BGY BUCAL 2</v>
      </c>
      <c r="AG560" s="1" t="str">
        <f>IFERROR(__xludf.DUMMYFUNCTION("""COMPUTED_VALUE"""),"MARAGONDON")</f>
        <v>MARAGONDON</v>
      </c>
      <c r="AH560" s="1" t="str">
        <f>IFERROR(__xludf.DUMMYFUNCTION("""COMPUTED_VALUE"""),"BUCAL 2")</f>
        <v>BUCAL 2</v>
      </c>
      <c r="AI560" s="1" t="str">
        <f>IFERROR(__xludf.DUMMYFUNCTION("""COMPUTED_VALUE"""),"NOT AOR")</f>
        <v>NOT AOR</v>
      </c>
    </row>
    <row r="561" customHeight="1" spans="1:35">
      <c r="A561" s="3">
        <f>IFERROR(__xludf.DUMMYFUNCTION("""COMPUTED_VALUE"""),46281)</f>
        <v>46281</v>
      </c>
      <c r="B561" s="1" t="str">
        <f>IFERROR(__xludf.DUMMYFUNCTION("""COMPUTED_VALUE"""),"JEANNET VERONIA HEPOLAN")</f>
        <v>JEANNET VERONIA HEPOLAN</v>
      </c>
      <c r="C561" s="1">
        <f>IFERROR(__xludf.DUMMYFUNCTION("""COMPUTED_VALUE"""),2312615828)</f>
        <v>2312615828</v>
      </c>
      <c r="D561" s="1">
        <f>IFERROR(__xludf.DUMMYFUNCTION("""COMPUTED_VALUE"""),408043689)</f>
        <v>408043689</v>
      </c>
      <c r="E561" s="1">
        <f>IFERROR(__xludf.DUMMYFUNCTION("""COMPUTED_VALUE"""),471649573004)</f>
        <v>471649573004</v>
      </c>
      <c r="F561" s="1" t="str">
        <f>IFERROR(__xludf.DUMMYFUNCTION("""COMPUTED_VALUE"""),"CLOSED")</f>
        <v>CLOSED</v>
      </c>
      <c r="G561" s="1" t="str">
        <f>IFERROR(__xludf.DUMMYFUNCTION("""COMPUTED_VALUE"""),"CLOSED")</f>
        <v>CLOSED</v>
      </c>
      <c r="H561" s="1" t="str">
        <f>IFERROR(__xludf.DUMMYFUNCTION("""COMPUTED_VALUE"""),"PAID THRU GCASH REF# 414212771 9/23")</f>
        <v>PAID THRU GCASH REF# 414212771 9/23</v>
      </c>
      <c r="I561" s="1" t="str">
        <f>IFERROR(__xludf.DUMMYFUNCTION("""COMPUTED_VALUE"""),"WITH 1 AMSF")</f>
        <v>WITH 1 AMSF</v>
      </c>
      <c r="J561" s="1" t="str">
        <f>IFERROR(__xludf.DUMMYFUNCTION("""COMPUTED_VALUE"""),"DUE DATE - 11-Oct-26 - 1,340.90")</f>
        <v>DUE DATE - 11-Oct-26 - 1,340.90</v>
      </c>
      <c r="K561" s="1" t="str">
        <f>IFERROR(__xludf.DUMMYFUNCTION("""COMPUTED_VALUE"""),"COMPLETED")</f>
        <v>COMPLETED</v>
      </c>
      <c r="L561" s="1" t="str">
        <f>IFERROR(__xludf.DUMMYFUNCTION("""COMPUTED_VALUE"""),"POSTED")</f>
        <v>POSTED</v>
      </c>
      <c r="M561" s="1" t="str">
        <f>IFERROR(__xludf.DUMMYFUNCTION("""COMPUTED_VALUE"""),"POSTED")</f>
        <v>POSTED</v>
      </c>
      <c r="N561" s="3">
        <f>IFERROR(__xludf.DUMMYFUNCTION("""COMPUTED_VALUE"""),46282)</f>
        <v>46282</v>
      </c>
      <c r="O561" s="1" t="str">
        <f>IFERROR(__xludf.DUMMYFUNCTION("""COMPUTED_VALUE"""),"FIBR PLAN 1299")</f>
        <v>FIBR PLAN 1299</v>
      </c>
      <c r="P561" s="1" t="str">
        <f>IFERROR(__xludf.DUMMYFUNCTION("""COMPUTED_VALUE"""),"LOWPLAN")</f>
        <v>LOWPLAN</v>
      </c>
      <c r="Q561" s="1" t="str">
        <f>IFERROR(__xludf.DUMMYFUNCTION("""COMPUTED_VALUE"""),"P407564")</f>
        <v>P407564</v>
      </c>
      <c r="R561" s="1" t="str">
        <f>IFERROR(__xludf.DUMMYFUNCTION("""COMPUTED_VALUE"""),"ARENA, LYKA")</f>
        <v>ARENA, LYKA</v>
      </c>
      <c r="S561" s="1" t="str">
        <f>IFERROR(__xludf.DUMMYFUNCTION("""COMPUTED_VALUE"""),"ORGANIC")</f>
        <v>ORGANIC</v>
      </c>
      <c r="T561" s="1" t="str">
        <f>IFERROR(__xludf.DUMMYFUNCTION("""COMPUTED_VALUE"""),"LEA REMOLLO")</f>
        <v>LEA REMOLLO</v>
      </c>
      <c r="U561" s="1" t="str">
        <f>IFERROR(__xludf.DUMMYFUNCTION("""COMPUTED_VALUE"""),"JB SALIOA")</f>
        <v>JB SALIOA</v>
      </c>
      <c r="V561" s="1" t="str">
        <f>IFERROR(__xludf.DUMMYFUNCTION("""COMPUTED_VALUE"""),"BK HSTK")</f>
        <v>BK HSTK</v>
      </c>
      <c r="W561" s="1" t="str">
        <f>IFERROR(__xludf.DUMMYFUNCTION("""COMPUTED_VALUE"""),"BK HSTK")</f>
        <v>BK HSTK</v>
      </c>
      <c r="X561" s="1" t="str">
        <f>IFERROR(__xludf.DUMMYFUNCTION("""COMPUTED_VALUE"""),"HBBS SEPT 2026")</f>
        <v>HBBS SEPT 2026</v>
      </c>
      <c r="Y561" s="1" t="str">
        <f>IFERROR(__xludf.DUMMYFUNCTION("""COMPUTED_VALUE"""),"BK_CVEU_260820")</f>
        <v>BK_CVEU_260820</v>
      </c>
      <c r="Z561" s="1" t="str">
        <f>IFERROR(__xludf.DUMMYFUNCTION("""COMPUTED_VALUE"""),"NEW CONNECT")</f>
        <v>NEW CONNECT</v>
      </c>
      <c r="AA561" s="1">
        <f>IFERROR(__xludf.DUMMYFUNCTION("""COMPUTED_VALUE"""),639053002342)</f>
        <v>639053002342</v>
      </c>
      <c r="AB561" s="1"/>
      <c r="AC561" s="1">
        <f>IFERROR(__xludf.DUMMYFUNCTION("""COMPUTED_VALUE"""),9588)</f>
        <v>9588</v>
      </c>
      <c r="AD561" s="1" t="str">
        <f>IFERROR(__xludf.DUMMYFUNCTION("""COMPUTED_VALUE"""),"PLATERO")</f>
        <v>PLATERO</v>
      </c>
      <c r="AE561" s="1"/>
      <c r="AF561" s="1" t="str">
        <f>IFERROR(__xludf.DUMMYFUNCTION("""COMPUTED_VALUE"""),"BGY LUMIL")</f>
        <v>BGY LUMIL</v>
      </c>
      <c r="AG561" s="1" t="str">
        <f>IFERROR(__xludf.DUMMYFUNCTION("""COMPUTED_VALUE"""),"SILANG")</f>
        <v>SILANG</v>
      </c>
      <c r="AH561" s="1" t="str">
        <f>IFERROR(__xludf.DUMMYFUNCTION("""COMPUTED_VALUE"""),"LACTABERIA RESORT")</f>
        <v>LACTABERIA RESORT</v>
      </c>
      <c r="AI561" s="1" t="str">
        <f>IFERROR(__xludf.DUMMYFUNCTION("""COMPUTED_VALUE"""),"CLUSTER 11")</f>
        <v>CLUSTER 11</v>
      </c>
    </row>
    <row r="562" customHeight="1" spans="1:35">
      <c r="A562" s="3">
        <f>IFERROR(__xludf.DUMMYFUNCTION("""COMPUTED_VALUE"""),46281)</f>
        <v>46281</v>
      </c>
      <c r="B562" s="1" t="str">
        <f>IFERROR(__xludf.DUMMYFUNCTION("""COMPUTED_VALUE"""),"RITA BITCHARA LANTE")</f>
        <v>RITA BITCHARA LANTE</v>
      </c>
      <c r="C562" s="1">
        <f>IFERROR(__xludf.DUMMYFUNCTION("""COMPUTED_VALUE"""),2312616183)</f>
        <v>2312616183</v>
      </c>
      <c r="D562" s="1">
        <f>IFERROR(__xludf.DUMMYFUNCTION("""COMPUTED_VALUE"""),408047099)</f>
        <v>408047099</v>
      </c>
      <c r="E562" s="1">
        <f>IFERROR(__xludf.DUMMYFUNCTION("""COMPUTED_VALUE"""),471651105004)</f>
        <v>471651105004</v>
      </c>
      <c r="F562" s="1" t="str">
        <f>IFERROR(__xludf.DUMMYFUNCTION("""COMPUTED_VALUE"""),"RPR")</f>
        <v>RPR</v>
      </c>
      <c r="G562" s="1" t="str">
        <f>IFERROR(__xludf.DUMMYFUNCTION("""COMPUTED_VALUE"""),"""CALLTHRU 
REMARKS: CANCEL APPLICATION, HINDI NAG BIGAY NG REASON KUNG BAKIT IPAPA CANCEL 
TALK RITA BITCHARA LANTE 
09709847516 09074047154""")</f>
        <v>"CALLTHRU 
REMARKS: CANCEL APPLICATION, HINDI NAG BIGAY NG REASON KUNG BAKIT IPAPA CANCEL 
TALK RITA BITCHARA LANTE 
09709847516 09074047154"</v>
      </c>
      <c r="H562" s="1"/>
      <c r="I562" s="1" t="str">
        <f>IFERROR(__xludf.DUMMYFUNCTION("""COMPUTED_VALUE"""),"NO 1 AMSF")</f>
        <v>NO 1 AMSF</v>
      </c>
      <c r="J562" s="1"/>
      <c r="K562" s="1" t="str">
        <f>IFERROR(__xludf.DUMMYFUNCTION("""COMPUTED_VALUE"""),"CANCELED")</f>
        <v>CANCELED</v>
      </c>
      <c r="L562" s="1" t="str">
        <f>IFERROR(__xludf.DUMMYFUNCTION("""COMPUTED_VALUE"""),"RPR - SUBS CANCEL REQUEST")</f>
        <v>RPR - SUBS CANCEL REQUEST</v>
      </c>
      <c r="M562" s="1" t="str">
        <f>IFERROR(__xludf.DUMMYFUNCTION("""COMPUTED_VALUE"""),"RPR- SUBS CANCEL REQUEST")</f>
        <v>RPR- SUBS CANCEL REQUEST</v>
      </c>
      <c r="N562" s="3"/>
      <c r="O562" s="1" t="str">
        <f>IFERROR(__xludf.DUMMYFUNCTION("""COMPUTED_VALUE"""),"FIBR PLAN 1299")</f>
        <v>FIBR PLAN 1299</v>
      </c>
      <c r="P562" s="1" t="str">
        <f>IFERROR(__xludf.DUMMYFUNCTION("""COMPUTED_VALUE"""),"LOWPLAN")</f>
        <v>LOWPLAN</v>
      </c>
      <c r="Q562" s="1" t="str">
        <f>IFERROR(__xludf.DUMMYFUNCTION("""COMPUTED_VALUE"""),"P407047")</f>
        <v>P407047</v>
      </c>
      <c r="R562" s="1" t="str">
        <f>IFERROR(__xludf.DUMMYFUNCTION("""COMPUTED_VALUE"""),"FRANCISCO, ROSELYN")</f>
        <v>FRANCISCO, ROSELYN</v>
      </c>
      <c r="S562" s="1" t="str">
        <f>IFERROR(__xludf.DUMMYFUNCTION("""COMPUTED_VALUE"""),"ORGANIC")</f>
        <v>ORGANIC</v>
      </c>
      <c r="T562" s="1" t="str">
        <f>IFERROR(__xludf.DUMMYFUNCTION("""COMPUTED_VALUE"""),"LEA REMOLLO")</f>
        <v>LEA REMOLLO</v>
      </c>
      <c r="U562" s="1" t="str">
        <f>IFERROR(__xludf.DUMMYFUNCTION("""COMPUTED_VALUE"""),"JB SALIOA")</f>
        <v>JB SALIOA</v>
      </c>
      <c r="V562" s="1" t="str">
        <f>IFERROR(__xludf.DUMMYFUNCTION("""COMPUTED_VALUE"""),"BK HSTK")</f>
        <v>BK HSTK</v>
      </c>
      <c r="W562" s="1" t="str">
        <f>IFERROR(__xludf.DUMMYFUNCTION("""COMPUTED_VALUE"""),"BK HSTK")</f>
        <v>BK HSTK</v>
      </c>
      <c r="X562" s="1" t="str">
        <f>IFERROR(__xludf.DUMMYFUNCTION("""COMPUTED_VALUE"""),"HBBS SEPT 2026")</f>
        <v>HBBS SEPT 2026</v>
      </c>
      <c r="Y562" s="1" t="str">
        <f>IFERROR(__xludf.DUMMYFUNCTION("""COMPUTED_VALUE"""),"BK_CVEU_260820")</f>
        <v>BK_CVEU_260820</v>
      </c>
      <c r="Z562" s="1" t="str">
        <f>IFERROR(__xludf.DUMMYFUNCTION("""COMPUTED_VALUE"""),"NEW CONNECT")</f>
        <v>NEW CONNECT</v>
      </c>
      <c r="AA562" s="1">
        <f>IFERROR(__xludf.DUMMYFUNCTION("""COMPUTED_VALUE"""),639074047154)</f>
        <v>639074047154</v>
      </c>
      <c r="AB562" s="1">
        <f>IFERROR(__xludf.DUMMYFUNCTION("""COMPUTED_VALUE"""),639709847516)</f>
        <v>639709847516</v>
      </c>
      <c r="AC562" s="1">
        <f>IFERROR(__xludf.DUMMYFUNCTION("""COMPUTED_VALUE"""),5675)</f>
        <v>5675</v>
      </c>
      <c r="AD562" s="1" t="str">
        <f>IFERROR(__xludf.DUMMYFUNCTION("""COMPUTED_VALUE"""),"LUMIL")</f>
        <v>LUMIL</v>
      </c>
      <c r="AE562" s="1" t="str">
        <f>IFERROR(__xludf.DUMMYFUNCTION("""COMPUTED_VALUE"""),"PUROK 2")</f>
        <v>PUROK 2</v>
      </c>
      <c r="AF562" s="1" t="str">
        <f>IFERROR(__xludf.DUMMYFUNCTION("""COMPUTED_VALUE"""),"BGY LUMIL")</f>
        <v>BGY LUMIL</v>
      </c>
      <c r="AG562" s="1" t="str">
        <f>IFERROR(__xludf.DUMMYFUNCTION("""COMPUTED_VALUE"""),"SILANG")</f>
        <v>SILANG</v>
      </c>
      <c r="AH562" s="1" t="str">
        <f>IFERROR(__xludf.DUMMYFUNCTION("""COMPUTED_VALUE"""),"DHENNS CASSAVA CAKE")</f>
        <v>DHENNS CASSAVA CAKE</v>
      </c>
      <c r="AI562" s="1" t="str">
        <f>IFERROR(__xludf.DUMMYFUNCTION("""COMPUTED_VALUE"""),"CLUSTER 11")</f>
        <v>CLUSTER 11</v>
      </c>
    </row>
    <row r="563" customHeight="1" spans="1:35">
      <c r="A563" s="3">
        <f>IFERROR(__xludf.DUMMYFUNCTION("""COMPUTED_VALUE"""),46281)</f>
        <v>46281</v>
      </c>
      <c r="B563" s="1" t="str">
        <f>IFERROR(__xludf.DUMMYFUNCTION("""COMPUTED_VALUE"""),"EFREN MAGNO PANGANIBAN")</f>
        <v>EFREN MAGNO PANGANIBAN</v>
      </c>
      <c r="C563" s="1">
        <f>IFERROR(__xludf.DUMMYFUNCTION("""COMPUTED_VALUE"""),2312616784)</f>
        <v>2312616784</v>
      </c>
      <c r="D563" s="1"/>
      <c r="E563" s="1"/>
      <c r="F563" s="1" t="str">
        <f>IFERROR(__xludf.DUMMYFUNCTION("""COMPUTED_VALUE"""),"REENCODED")</f>
        <v>REENCODED</v>
      </c>
      <c r="G563" s="1" t="str">
        <f>IFERROR(__xludf.DUMMYFUNCTION("""COMPUTED_VALUE"""),"REENCODED DUE TO SYSTEM ERROR")</f>
        <v>REENCODED DUE TO SYSTEM ERROR</v>
      </c>
      <c r="H563" s="1"/>
      <c r="I563" s="1"/>
      <c r="J563" s="1"/>
      <c r="K563" s="1"/>
      <c r="L563" s="1" t="str">
        <f>IFERROR(__xludf.DUMMYFUNCTION("""COMPUTED_VALUE"""),"REENCODED")</f>
        <v>REENCODED</v>
      </c>
      <c r="M563" s="1" t="str">
        <f>IFERROR(__xludf.DUMMYFUNCTION("""COMPUTED_VALUE"""),"REENCODED")</f>
        <v>REENCODED</v>
      </c>
      <c r="N563" s="3"/>
      <c r="O563" s="1" t="str">
        <f>IFERROR(__xludf.DUMMYFUNCTION("""COMPUTED_VALUE"""),"FIBR UNLI ALL PLAN 999")</f>
        <v>FIBR UNLI ALL PLAN 999</v>
      </c>
      <c r="P563" s="1" t="str">
        <f>IFERROR(__xludf.DUMMYFUNCTION("""COMPUTED_VALUE"""),"LOWPLAN")</f>
        <v>LOWPLAN</v>
      </c>
      <c r="Q563" s="1" t="str">
        <f>IFERROR(__xludf.DUMMYFUNCTION("""COMPUTED_VALUE"""),"P407565")</f>
        <v>P407565</v>
      </c>
      <c r="R563" s="1" t="str">
        <f>IFERROR(__xludf.DUMMYFUNCTION("""COMPUTED_VALUE"""),"MANDUCDOC, MARIANE")</f>
        <v>MANDUCDOC, MARIANE</v>
      </c>
      <c r="S563" s="1" t="str">
        <f>IFERROR(__xludf.DUMMYFUNCTION("""COMPUTED_VALUE"""),"ORGANIC")</f>
        <v>ORGANIC</v>
      </c>
      <c r="T563" s="1" t="str">
        <f>IFERROR(__xludf.DUMMYFUNCTION("""COMPUTED_VALUE"""),"LEA REMOLLO")</f>
        <v>LEA REMOLLO</v>
      </c>
      <c r="U563" s="1" t="str">
        <f>IFERROR(__xludf.DUMMYFUNCTION("""COMPUTED_VALUE"""),"JB SALIOA")</f>
        <v>JB SALIOA</v>
      </c>
      <c r="V563" s="1" t="str">
        <f>IFERROR(__xludf.DUMMYFUNCTION("""COMPUTED_VALUE"""),"BK REGULAR")</f>
        <v>BK REGULAR</v>
      </c>
      <c r="W563" s="1" t="str">
        <f>IFERROR(__xludf.DUMMYFUNCTION("""COMPUTED_VALUE"""),"STK REGULAR")</f>
        <v>STK REGULAR</v>
      </c>
      <c r="X563" s="1" t="str">
        <f>IFERROR(__xludf.DUMMYFUNCTION("""COMPUTED_VALUE"""),"REGULAR")</f>
        <v>REGULAR</v>
      </c>
      <c r="Y563" s="1" t="str">
        <f>IFERROR(__xludf.DUMMYFUNCTION("""COMPUTED_VALUE"""),"BK_CVEU_260820")</f>
        <v>BK_CVEU_260820</v>
      </c>
      <c r="Z563" s="1" t="str">
        <f>IFERROR(__xludf.DUMMYFUNCTION("""COMPUTED_VALUE"""),"NEW CONNECT")</f>
        <v>NEW CONNECT</v>
      </c>
      <c r="AA563" s="1">
        <f>IFERROR(__xludf.DUMMYFUNCTION("""COMPUTED_VALUE"""),639345284106)</f>
        <v>639345284106</v>
      </c>
      <c r="AB563" s="1"/>
      <c r="AC563" s="1"/>
      <c r="AD563" s="1" t="str">
        <f>IFERROR(__xludf.DUMMYFUNCTION("""COMPUTED_VALUE"""),"PHASE 6")</f>
        <v>PHASE 6</v>
      </c>
      <c r="AE563" s="1" t="str">
        <f>IFERROR(__xludf.DUMMYFUNCTION("""COMPUTED_VALUE"""),"SUNTRUST VERONA")</f>
        <v>SUNTRUST VERONA</v>
      </c>
      <c r="AF563" s="1" t="str">
        <f>IFERROR(__xludf.DUMMYFUNCTION("""COMPUTED_VALUE"""),"BGY HOYO")</f>
        <v>BGY HOYO</v>
      </c>
      <c r="AG563" s="1" t="str">
        <f>IFERROR(__xludf.DUMMYFUNCTION("""COMPUTED_VALUE"""),"SILANG")</f>
        <v>SILANG</v>
      </c>
      <c r="AH563" s="1" t="str">
        <f>IFERROR(__xludf.DUMMYFUNCTION("""COMPUTED_VALUE"""),"-")</f>
        <v>-</v>
      </c>
      <c r="AI563" s="1" t="str">
        <f>IFERROR(__xludf.DUMMYFUNCTION("""COMPUTED_VALUE"""),"CLUSTER 11")</f>
        <v>CLUSTER 11</v>
      </c>
    </row>
    <row r="564" customHeight="1" spans="1:35">
      <c r="A564" s="3">
        <f>IFERROR(__xludf.DUMMYFUNCTION("""COMPUTED_VALUE"""),46281)</f>
        <v>46281</v>
      </c>
      <c r="B564" s="1" t="str">
        <f>IFERROR(__xludf.DUMMYFUNCTION("""COMPUTED_VALUE"""),"MMMDA LOGISTICS SERVICE")</f>
        <v>MMMDA LOGISTICS SERVICE</v>
      </c>
      <c r="C564" s="1">
        <f>IFERROR(__xludf.DUMMYFUNCTION("""COMPUTED_VALUE"""),2312618882)</f>
        <v>2312618882</v>
      </c>
      <c r="D564" s="1">
        <f>IFERROR(__xludf.DUMMYFUNCTION("""COMPUTED_VALUE"""),408050820)</f>
        <v>408050820</v>
      </c>
      <c r="E564" s="1">
        <f>IFERROR(__xludf.DUMMYFUNCTION("""COMPUTED_VALUE"""),471653193004)</f>
        <v>471653193004</v>
      </c>
      <c r="F564" s="1" t="str">
        <f>IFERROR(__xludf.DUMMYFUNCTION("""COMPUTED_VALUE"""),"CLOSED")</f>
        <v>CLOSED</v>
      </c>
      <c r="G564" s="1" t="str">
        <f>IFERROR(__xludf.DUMMYFUNCTION("""COMPUTED_VALUE"""),"CLOSED")</f>
        <v>CLOSED</v>
      </c>
      <c r="H564" s="1" t="str">
        <f>IFERROR(__xludf.DUMMYFUNCTION("""COMPUTED_VALUE"""),"PAID THRU UNIONBANK UB213067 SEP 17")</f>
        <v>PAID THRU UNIONBANK UB213067 SEP 17</v>
      </c>
      <c r="I564" s="1" t="str">
        <f>IFERROR(__xludf.DUMMYFUNCTION("""COMPUTED_VALUE"""),"WITH 1 AMSF")</f>
        <v>WITH 1 AMSF</v>
      </c>
      <c r="J564" s="1"/>
      <c r="K564" s="1" t="str">
        <f>IFERROR(__xludf.DUMMYFUNCTION("""COMPUTED_VALUE"""),"COMPLETED")</f>
        <v>COMPLETED</v>
      </c>
      <c r="L564" s="1" t="str">
        <f>IFERROR(__xludf.DUMMYFUNCTION("""COMPUTED_VALUE"""),"POSTED")</f>
        <v>POSTED</v>
      </c>
      <c r="M564" s="1" t="str">
        <f>IFERROR(__xludf.DUMMYFUNCTION("""COMPUTED_VALUE"""),"POSTED")</f>
        <v>POSTED</v>
      </c>
      <c r="N564" s="3">
        <f>IFERROR(__xludf.DUMMYFUNCTION("""COMPUTED_VALUE"""),46287)</f>
        <v>46287</v>
      </c>
      <c r="O564" s="1" t="str">
        <f>IFERROR(__xludf.DUMMYFUNCTION("""COMPUTED_VALUE"""),"HOME BIZ PLAN 1299")</f>
        <v>HOME BIZ PLAN 1299</v>
      </c>
      <c r="P564" s="1" t="str">
        <f>IFERROR(__xludf.DUMMYFUNCTION("""COMPUTED_VALUE"""),"LOWPLAN")</f>
        <v>LOWPLAN</v>
      </c>
      <c r="Q564" s="1" t="str">
        <f>IFERROR(__xludf.DUMMYFUNCTION("""COMPUTED_VALUE"""),"P407567")</f>
        <v>P407567</v>
      </c>
      <c r="R564" s="1" t="str">
        <f>IFERROR(__xludf.DUMMYFUNCTION("""COMPUTED_VALUE"""),"LS_ILANO LIANDRO")</f>
        <v>LS_ILANO LIANDRO</v>
      </c>
      <c r="S564" s="1" t="str">
        <f>IFERROR(__xludf.DUMMYFUNCTION("""COMPUTED_VALUE"""),"LEADSTORE")</f>
        <v>LEADSTORE</v>
      </c>
      <c r="T564" s="1" t="str">
        <f>IFERROR(__xludf.DUMMYFUNCTION("""COMPUTED_VALUE"""),"JERIC NAVARRO")</f>
        <v>JERIC NAVARRO</v>
      </c>
      <c r="U564" s="1" t="str">
        <f>IFERROR(__xludf.DUMMYFUNCTION("""COMPUTED_VALUE"""),"JB SALIOA")</f>
        <v>JB SALIOA</v>
      </c>
      <c r="V564" s="1" t="str">
        <f>IFERROR(__xludf.DUMMYFUNCTION("""COMPUTED_VALUE"""),"BK REGULAR")</f>
        <v>BK REGULAR</v>
      </c>
      <c r="W564" s="1" t="str">
        <f>IFERROR(__xludf.DUMMYFUNCTION("""COMPUTED_VALUE"""),"STK REGULAR")</f>
        <v>STK REGULAR</v>
      </c>
      <c r="X564" s="1" t="str">
        <f>IFERROR(__xludf.DUMMYFUNCTION("""COMPUTED_VALUE"""),"HBBS BIZ SEPT 2026")</f>
        <v>HBBS BIZ SEPT 2026</v>
      </c>
      <c r="Y564" s="1" t="str">
        <f>IFERROR(__xludf.DUMMYFUNCTION("""COMPUTED_VALUE"""),"RS_LS_CVEU_2026")</f>
        <v>RS_LS_CVEU_2026</v>
      </c>
      <c r="Z564" s="1" t="str">
        <f>IFERROR(__xludf.DUMMYFUNCTION("""COMPUTED_VALUE"""),"NEW CONNECT")</f>
        <v>NEW CONNECT</v>
      </c>
      <c r="AA564" s="1">
        <f>IFERROR(__xludf.DUMMYFUNCTION("""COMPUTED_VALUE"""),639176798800)</f>
        <v>639176798800</v>
      </c>
      <c r="AB564" s="1"/>
      <c r="AC564" s="1">
        <f>IFERROR(__xludf.DUMMYFUNCTION("""COMPUTED_VALUE"""),78)</f>
        <v>78</v>
      </c>
      <c r="AD564" s="1" t="str">
        <f>IFERROR(__xludf.DUMMYFUNCTION("""COMPUTED_VALUE"""),"PUROK 9")</f>
        <v>PUROK 9</v>
      </c>
      <c r="AE564" s="1"/>
      <c r="AF564" s="1" t="str">
        <f>IFERROR(__xludf.DUMMYFUNCTION("""COMPUTED_VALUE"""),"BGY LALAAN 2")</f>
        <v>BGY LALAAN 2</v>
      </c>
      <c r="AG564" s="1" t="str">
        <f>IFERROR(__xludf.DUMMYFUNCTION("""COMPUTED_VALUE"""),"SILANG")</f>
        <v>SILANG</v>
      </c>
      <c r="AH564" s="1" t="str">
        <f>IFERROR(__xludf.DUMMYFUNCTION("""COMPUTED_VALUE"""),"CHARLS GARDEN CAFE")</f>
        <v>CHARLS GARDEN CAFE</v>
      </c>
      <c r="AI564" s="1" t="str">
        <f>IFERROR(__xludf.DUMMYFUNCTION("""COMPUTED_VALUE"""),"CLUSTER 11")</f>
        <v>CLUSTER 11</v>
      </c>
    </row>
    <row r="565" customHeight="1" spans="1:35">
      <c r="A565" s="3">
        <f>IFERROR(__xludf.DUMMYFUNCTION("""COMPUTED_VALUE"""),46281)</f>
        <v>46281</v>
      </c>
      <c r="B565" s="1" t="str">
        <f>IFERROR(__xludf.DUMMYFUNCTION("""COMPUTED_VALUE"""),"ALDRIN SABIDO BARTOLOME")</f>
        <v>ALDRIN SABIDO BARTOLOME</v>
      </c>
      <c r="C565" s="1">
        <f>IFERROR(__xludf.DUMMYFUNCTION("""COMPUTED_VALUE"""),2312619157)</f>
        <v>2312619157</v>
      </c>
      <c r="D565" s="1"/>
      <c r="E565" s="1"/>
      <c r="F565" s="1" t="str">
        <f>IFERROR(__xludf.DUMMYFUNCTION("""COMPUTED_VALUE"""),"CANCELLED")</f>
        <v>CANCELLED</v>
      </c>
      <c r="G565" s="1" t="str">
        <f>IFERROR(__xludf.DUMMYFUNCTION("""COMPUTED_VALUE"""),"(WITH BLACKLIST HIT FOR COMPLIANCE) &amp;#8203;RETURN TO SALE | FOR SETTLEMENT | FOUND BLACKLIST ACC#0312967286 WITH OB : Php6,760.65 NEED TO SETTLE THE OB FIRST BEFORE PROCEED THE NW APPLICATION | FOUND CANCEL ACC#0291055885 SAME NAME SAME ADD | F| ONE VALID"&amp;"ATION | CORRECT ENCODED INFO IN CSP | SUBMITTED COMPLETE DOCS | TU SCORING GG - 1 (NTC) | 1 AMSF REQUIRED | SCANNABLE NATIONAL ID PROVIDED")</f>
        <v>(WITH BLACKLIST HIT FOR COMPLIANCE) &amp;#8203;RETURN TO SALE | FOR SETTLEMENT | FOUND BLACKLIST ACC#0312967286 WITH OB : Php6,760.65 NEED TO SETTLE THE OB FIRST BEFORE PROCEED THE NW APPLICATION | FOUND CANCEL ACC#0291055885 SAME NAME SAME ADD | F| ONE VALIDATION | CORRECT ENCODED INFO IN CSP | SUBMITTED COMPLETE DOCS | TU SCORING GG - 1 (NTC) | 1 AMSF REQUIRED | SCANNABLE NATIONAL ID PROVIDED</v>
      </c>
      <c r="H565" s="1"/>
      <c r="I565" s="1"/>
      <c r="J565" s="1"/>
      <c r="K565" s="1"/>
      <c r="L565" s="1" t="str">
        <f>IFERROR(__xludf.DUMMYFUNCTION("""COMPUTED_VALUE"""),"CANCELLED - WITH OB")</f>
        <v>CANCELLED - WITH OB</v>
      </c>
      <c r="M565" s="1" t="str">
        <f>IFERROR(__xludf.DUMMYFUNCTION("""COMPUTED_VALUE"""),"CANCELLED - WITH OB")</f>
        <v>CANCELLED - WITH OB</v>
      </c>
      <c r="N565" s="3"/>
      <c r="O565" s="1" t="str">
        <f>IFERROR(__xludf.DUMMYFUNCTION("""COMPUTED_VALUE"""),"FIBR PLAN 1299")</f>
        <v>FIBR PLAN 1299</v>
      </c>
      <c r="P565" s="1" t="str">
        <f>IFERROR(__xludf.DUMMYFUNCTION("""COMPUTED_VALUE"""),"BIZ PLAN")</f>
        <v>BIZ PLAN</v>
      </c>
      <c r="Q565" s="1" t="str">
        <f>IFERROR(__xludf.DUMMYFUNCTION("""COMPUTED_VALUE"""),"P407517")</f>
        <v>P407517</v>
      </c>
      <c r="R565" s="1" t="str">
        <f>IFERROR(__xludf.DUMMYFUNCTION("""COMPUTED_VALUE"""),"GABAY, MANUEL")</f>
        <v>GABAY, MANUEL</v>
      </c>
      <c r="S565" s="1" t="str">
        <f>IFERROR(__xludf.DUMMYFUNCTION("""COMPUTED_VALUE"""),"FLA")</f>
        <v>FLA</v>
      </c>
      <c r="T565" s="1" t="str">
        <f>IFERROR(__xludf.DUMMYFUNCTION("""COMPUTED_VALUE"""),"JERIC NAVARRO")</f>
        <v>JERIC NAVARRO</v>
      </c>
      <c r="U565" s="1" t="str">
        <f>IFERROR(__xludf.DUMMYFUNCTION("""COMPUTED_VALUE"""),"JB SALIOA")</f>
        <v>JB SALIOA</v>
      </c>
      <c r="V565" s="1" t="str">
        <f>IFERROR(__xludf.DUMMYFUNCTION("""COMPUTED_VALUE"""),"BK HSTK")</f>
        <v>BK HSTK</v>
      </c>
      <c r="W565" s="1" t="str">
        <f>IFERROR(__xludf.DUMMYFUNCTION("""COMPUTED_VALUE"""),"BK HSTK")</f>
        <v>BK HSTK</v>
      </c>
      <c r="X565" s="1" t="str">
        <f>IFERROR(__xludf.DUMMYFUNCTION("""COMPUTED_VALUE"""),"HBBS SEPT 2026")</f>
        <v>HBBS SEPT 2026</v>
      </c>
      <c r="Y565" s="1" t="str">
        <f>IFERROR(__xludf.DUMMYFUNCTION("""COMPUTED_VALUE"""),"BK_CVEU_260820")</f>
        <v>BK_CVEU_260820</v>
      </c>
      <c r="Z565" s="1" t="str">
        <f>IFERROR(__xludf.DUMMYFUNCTION("""COMPUTED_VALUE"""),"NEW CONNECT")</f>
        <v>NEW CONNECT</v>
      </c>
      <c r="AA565" s="1">
        <f>IFERROR(__xludf.DUMMYFUNCTION("""COMPUTED_VALUE"""),639932927658)</f>
        <v>639932927658</v>
      </c>
      <c r="AB565" s="1">
        <f>IFERROR(__xludf.DUMMYFUNCTION("""COMPUTED_VALUE"""),639485504212)</f>
        <v>639485504212</v>
      </c>
      <c r="AC565" s="1">
        <f>IFERROR(__xludf.DUMMYFUNCTION("""COMPUTED_VALUE"""),92)</f>
        <v>92</v>
      </c>
      <c r="AD565" s="1" t="str">
        <f>IFERROR(__xludf.DUMMYFUNCTION("""COMPUTED_VALUE"""),"PUROK 4")</f>
        <v>PUROK 4</v>
      </c>
      <c r="AE565" s="1"/>
      <c r="AF565" s="1" t="str">
        <f>IFERROR(__xludf.DUMMYFUNCTION("""COMPUTED_VALUE"""),"BGY BALITE 1")</f>
        <v>BGY BALITE 1</v>
      </c>
      <c r="AG565" s="1" t="str">
        <f>IFERROR(__xludf.DUMMYFUNCTION("""COMPUTED_VALUE"""),"SILANG")</f>
        <v>SILANG</v>
      </c>
      <c r="AH565" s="1" t="str">
        <f>IFERROR(__xludf.DUMMYFUNCTION("""COMPUTED_VALUE"""),"-")</f>
        <v>-</v>
      </c>
      <c r="AI565" s="1" t="str">
        <f>IFERROR(__xludf.DUMMYFUNCTION("""COMPUTED_VALUE"""),"CLUSTER 11")</f>
        <v>CLUSTER 11</v>
      </c>
    </row>
    <row r="566" customHeight="1" spans="1:35">
      <c r="A566" s="3">
        <f>IFERROR(__xludf.DUMMYFUNCTION("""COMPUTED_VALUE"""),46281)</f>
        <v>46281</v>
      </c>
      <c r="B566" s="1" t="str">
        <f>IFERROR(__xludf.DUMMYFUNCTION("""COMPUTED_VALUE"""),"DIANA SUPAN VIDENA")</f>
        <v>DIANA SUPAN VIDENA</v>
      </c>
      <c r="C566" s="1">
        <f>IFERROR(__xludf.DUMMYFUNCTION("""COMPUTED_VALUE"""),2312620016)</f>
        <v>2312620016</v>
      </c>
      <c r="D566" s="1">
        <f>IFERROR(__xludf.DUMMYFUNCTION("""COMPUTED_VALUE"""),408071941)</f>
        <v>408071941</v>
      </c>
      <c r="E566" s="1">
        <f>IFERROR(__xludf.DUMMYFUNCTION("""COMPUTED_VALUE"""),471765204004)</f>
        <v>471765204004</v>
      </c>
      <c r="F566" s="1" t="str">
        <f>IFERROR(__xludf.DUMMYFUNCTION("""COMPUTED_VALUE"""),"CLOSED")</f>
        <v>CLOSED</v>
      </c>
      <c r="G566" s="1" t="str">
        <f>IFERROR(__xludf.DUMMYFUNCTION("""COMPUTED_VALUE"""),"CLOSED")</f>
        <v>CLOSED</v>
      </c>
      <c r="H566" s="1" t="str">
        <f>IFERROR(__xludf.DUMMYFUNCTION("""COMPUTED_VALUE"""),"PAID VIA GCASH REF 594415557 SEP 17")</f>
        <v>PAID VIA GCASH REF 594415557 SEP 17</v>
      </c>
      <c r="I566" s="1" t="str">
        <f>IFERROR(__xludf.DUMMYFUNCTION("""COMPUTED_VALUE"""),"WITH 1 AMSF")</f>
        <v>WITH 1 AMSF</v>
      </c>
      <c r="J566" s="1"/>
      <c r="K566" s="1" t="str">
        <f>IFERROR(__xludf.DUMMYFUNCTION("""COMPUTED_VALUE"""),"COMPLETED")</f>
        <v>COMPLETED</v>
      </c>
      <c r="L566" s="1" t="str">
        <f>IFERROR(__xludf.DUMMYFUNCTION("""COMPUTED_VALUE"""),"POSTED")</f>
        <v>POSTED</v>
      </c>
      <c r="M566" s="1" t="str">
        <f>IFERROR(__xludf.DUMMYFUNCTION("""COMPUTED_VALUE"""),"POSTED")</f>
        <v>POSTED</v>
      </c>
      <c r="N566" s="3">
        <f>IFERROR(__xludf.DUMMYFUNCTION("""COMPUTED_VALUE"""),46283)</f>
        <v>46283</v>
      </c>
      <c r="O566" s="1" t="str">
        <f>IFERROR(__xludf.DUMMYFUNCTION("""COMPUTED_VALUE"""),"SWITCH FIBER UNLI ALL PLAN 1899")</f>
        <v>SWITCH FIBER UNLI ALL PLAN 1899</v>
      </c>
      <c r="P566" s="1" t="str">
        <f>IFERROR(__xludf.DUMMYFUNCTION("""COMPUTED_VALUE"""),"SWITCH")</f>
        <v>SWITCH</v>
      </c>
      <c r="Q566" s="1" t="str">
        <f>IFERROR(__xludf.DUMMYFUNCTION("""COMPUTED_VALUE"""),"P407044")</f>
        <v>P407044</v>
      </c>
      <c r="R566" s="1" t="str">
        <f>IFERROR(__xludf.DUMMYFUNCTION("""COMPUTED_VALUE"""),"OPS")</f>
        <v>OPS</v>
      </c>
      <c r="S566" s="1" t="str">
        <f>IFERROR(__xludf.DUMMYFUNCTION("""COMPUTED_VALUE"""),"FLA")</f>
        <v>FLA</v>
      </c>
      <c r="T566" s="1" t="str">
        <f>IFERROR(__xludf.DUMMYFUNCTION("""COMPUTED_VALUE"""),"JERIC NAVARRO")</f>
        <v>JERIC NAVARRO</v>
      </c>
      <c r="U566" s="1" t="str">
        <f>IFERROR(__xludf.DUMMYFUNCTION("""COMPUTED_VALUE"""),"JB SALIOA")</f>
        <v>JB SALIOA</v>
      </c>
      <c r="V566" s="1" t="str">
        <f>IFERROR(__xludf.DUMMYFUNCTION("""COMPUTED_VALUE"""),"ONLINE/CRANFORD")</f>
        <v>ONLINE/CRANFORD</v>
      </c>
      <c r="W566" s="1" t="str">
        <f>IFERROR(__xludf.DUMMYFUNCTION("""COMPUTED_VALUE"""),"STK REGULAR")</f>
        <v>STK REGULAR</v>
      </c>
      <c r="X566" s="1" t="str">
        <f>IFERROR(__xludf.DUMMYFUNCTION("""COMPUTED_VALUE"""),"ANTI COMPETITOR")</f>
        <v>ANTI COMPETITOR</v>
      </c>
      <c r="Y566" s="1" t="str">
        <f>IFERROR(__xludf.DUMMYFUNCTION("""COMPUTED_VALUE"""),"RS_ONL_CVEU_2026")</f>
        <v>RS_ONL_CVEU_2026</v>
      </c>
      <c r="Z566" s="1" t="str">
        <f>IFERROR(__xludf.DUMMYFUNCTION("""COMPUTED_VALUE"""),"NEW CONNECT")</f>
        <v>NEW CONNECT</v>
      </c>
      <c r="AA566" s="1">
        <f>IFERROR(__xludf.DUMMYFUNCTION("""COMPUTED_VALUE"""),639524811963)</f>
        <v>639524811963</v>
      </c>
      <c r="AB566" s="1">
        <f>IFERROR(__xludf.DUMMYFUNCTION("""COMPUTED_VALUE"""),639954874066)</f>
        <v>639954874066</v>
      </c>
      <c r="AC566" s="1">
        <f>IFERROR(__xludf.DUMMYFUNCTION("""COMPUTED_VALUE"""),197)</f>
        <v>197</v>
      </c>
      <c r="AD566" s="1" t="str">
        <f>IFERROR(__xludf.DUMMYFUNCTION("""COMPUTED_VALUE"""),"KAP PEPE")</f>
        <v>KAP PEPE</v>
      </c>
      <c r="AE566" s="1"/>
      <c r="AF566" s="1" t="str">
        <f>IFERROR(__xludf.DUMMYFUNCTION("""COMPUTED_VALUE"""),"BGY 5")</f>
        <v>BGY 5</v>
      </c>
      <c r="AG566" s="1" t="str">
        <f>IFERROR(__xludf.DUMMYFUNCTION("""COMPUTED_VALUE"""),"SILANG")</f>
        <v>SILANG</v>
      </c>
      <c r="AH566" s="1" t="str">
        <f>IFERROR(__xludf.DUMMYFUNCTION("""COMPUTED_VALUE"""),"KAP PEPE ST")</f>
        <v>KAP PEPE ST</v>
      </c>
      <c r="AI566" s="1" t="str">
        <f>IFERROR(__xludf.DUMMYFUNCTION("""COMPUTED_VALUE"""),"CLUSTER 11")</f>
        <v>CLUSTER 11</v>
      </c>
    </row>
    <row r="567" customHeight="1" spans="1:35">
      <c r="A567" s="3">
        <f>IFERROR(__xludf.DUMMYFUNCTION("""COMPUTED_VALUE"""),46281)</f>
        <v>46281</v>
      </c>
      <c r="B567" s="1" t="str">
        <f>IFERROR(__xludf.DUMMYFUNCTION("""COMPUTED_VALUE"""),"JOHN QUERBIE MARTIN ISABELO")</f>
        <v>JOHN QUERBIE MARTIN ISABELO</v>
      </c>
      <c r="C567" s="1">
        <f>IFERROR(__xludf.DUMMYFUNCTION("""COMPUTED_VALUE"""),2312620440)</f>
        <v>2312620440</v>
      </c>
      <c r="D567" s="1">
        <f>IFERROR(__xludf.DUMMYFUNCTION("""COMPUTED_VALUE"""),408054184)</f>
        <v>408054184</v>
      </c>
      <c r="E567" s="1">
        <f>IFERROR(__xludf.DUMMYFUNCTION("""COMPUTED_VALUE"""),471654606004)</f>
        <v>471654606004</v>
      </c>
      <c r="F567" s="1" t="str">
        <f>IFERROR(__xludf.DUMMYFUNCTION("""COMPUTED_VALUE"""),"CLOSED")</f>
        <v>CLOSED</v>
      </c>
      <c r="G567" s="1" t="str">
        <f>IFERROR(__xludf.DUMMYFUNCTION("""COMPUTED_VALUE"""),"CLOSED")</f>
        <v>CLOSED</v>
      </c>
      <c r="H567" s="1" t="str">
        <f>IFERROR(__xludf.DUMMYFUNCTION("""COMPUTED_VALUE"""),"NO PAYMENT")</f>
        <v>NO PAYMENT</v>
      </c>
      <c r="I567" s="1" t="str">
        <f>IFERROR(__xludf.DUMMYFUNCTION("""COMPUTED_VALUE"""),"NO 1 AMSF")</f>
        <v>NO 1 AMSF</v>
      </c>
      <c r="J567" s="1" t="str">
        <f>IFERROR(__xludf.DUMMYFUNCTION("""COMPUTED_VALUE"""),"DUE DATE - 11-Nov-26 - 3,338.18")</f>
        <v>DUE DATE - 11-Nov-26 - 3,338.18</v>
      </c>
      <c r="K567" s="1" t="str">
        <f>IFERROR(__xludf.DUMMYFUNCTION("""COMPUTED_VALUE"""),"COMPLETED")</f>
        <v>COMPLETED</v>
      </c>
      <c r="L567" s="1" t="str">
        <f>IFERROR(__xludf.DUMMYFUNCTION("""COMPUTED_VALUE"""),"POSTED")</f>
        <v>POSTED</v>
      </c>
      <c r="M567" s="1" t="str">
        <f>IFERROR(__xludf.DUMMYFUNCTION("""COMPUTED_VALUE"""),"POSTED")</f>
        <v>POSTED</v>
      </c>
      <c r="N567" s="3">
        <f>IFERROR(__xludf.DUMMYFUNCTION("""COMPUTED_VALUE"""),46282)</f>
        <v>46282</v>
      </c>
      <c r="O567" s="1" t="str">
        <f>IFERROR(__xludf.DUMMYFUNCTION("""COMPUTED_VALUE"""),"FIBR NETFLIX PLAN 1599")</f>
        <v>FIBR NETFLIX PLAN 1599</v>
      </c>
      <c r="P567" s="1" t="str">
        <f>IFERROR(__xludf.DUMMYFUNCTION("""COMPUTED_VALUE"""),"LOWPLAN")</f>
        <v>LOWPLAN</v>
      </c>
      <c r="Q567" s="1" t="str">
        <f>IFERROR(__xludf.DUMMYFUNCTION("""COMPUTED_VALUE"""),"P407520")</f>
        <v>P407520</v>
      </c>
      <c r="R567" s="1" t="str">
        <f>IFERROR(__xludf.DUMMYFUNCTION("""COMPUTED_VALUE"""),"MALIWAT, MARK")</f>
        <v>MALIWAT, MARK</v>
      </c>
      <c r="S567" s="1" t="str">
        <f>IFERROR(__xludf.DUMMYFUNCTION("""COMPUTED_VALUE"""),"FLA")</f>
        <v>FLA</v>
      </c>
      <c r="T567" s="1" t="str">
        <f>IFERROR(__xludf.DUMMYFUNCTION("""COMPUTED_VALUE"""),"JERIC NAVARRO")</f>
        <v>JERIC NAVARRO</v>
      </c>
      <c r="U567" s="1" t="str">
        <f>IFERROR(__xludf.DUMMYFUNCTION("""COMPUTED_VALUE"""),"JB SALIOA")</f>
        <v>JB SALIOA</v>
      </c>
      <c r="V567" s="1" t="str">
        <f>IFERROR(__xludf.DUMMYFUNCTION("""COMPUTED_VALUE"""),"ONLINE/CRANFORD")</f>
        <v>ONLINE/CRANFORD</v>
      </c>
      <c r="W567" s="1" t="str">
        <f>IFERROR(__xludf.DUMMYFUNCTION("""COMPUTED_VALUE"""),"STK REGULAR")</f>
        <v>STK REGULAR</v>
      </c>
      <c r="X567" s="1" t="str">
        <f>IFERROR(__xludf.DUMMYFUNCTION("""COMPUTED_VALUE"""),"HBBS SEPT 2026")</f>
        <v>HBBS SEPT 2026</v>
      </c>
      <c r="Y567" s="1" t="str">
        <f>IFERROR(__xludf.DUMMYFUNCTION("""COMPUTED_VALUE"""),"RS_ONL_CVEU_2026")</f>
        <v>RS_ONL_CVEU_2026</v>
      </c>
      <c r="Z567" s="1" t="str">
        <f>IFERROR(__xludf.DUMMYFUNCTION("""COMPUTED_VALUE"""),"NEW CONNECT")</f>
        <v>NEW CONNECT</v>
      </c>
      <c r="AA567" s="1">
        <f>IFERROR(__xludf.DUMMYFUNCTION("""COMPUTED_VALUE"""),639987335674)</f>
        <v>639987335674</v>
      </c>
      <c r="AB567" s="1"/>
      <c r="AC567" s="1"/>
      <c r="AD567" s="1" t="str">
        <f>IFERROR(__xludf.DUMMYFUNCTION("""COMPUTED_VALUE"""),"PUROK 4")</f>
        <v>PUROK 4</v>
      </c>
      <c r="AE567" s="1"/>
      <c r="AF567" s="1" t="str">
        <f>IFERROR(__xludf.DUMMYFUNCTION("""COMPUTED_VALUE"""),"BGY DAGATAN")</f>
        <v>BGY DAGATAN</v>
      </c>
      <c r="AG567" s="1" t="str">
        <f>IFERROR(__xludf.DUMMYFUNCTION("""COMPUTED_VALUE"""),"AMADEO")</f>
        <v>AMADEO</v>
      </c>
      <c r="AH567" s="1" t="str">
        <f>IFERROR(__xludf.DUMMYFUNCTION("""COMPUTED_VALUE"""),"BESIDE JESUS REIGNS")</f>
        <v>BESIDE JESUS REIGNS</v>
      </c>
      <c r="AI567" s="1" t="str">
        <f>IFERROR(__xludf.DUMMYFUNCTION("""COMPUTED_VALUE"""),"CLUSTER 12")</f>
        <v>CLUSTER 12</v>
      </c>
    </row>
    <row r="568" customHeight="1" spans="1:35">
      <c r="A568" s="3">
        <f>IFERROR(__xludf.DUMMYFUNCTION("""COMPUTED_VALUE"""),46281)</f>
        <v>46281</v>
      </c>
      <c r="B568" s="1" t="str">
        <f>IFERROR(__xludf.DUMMYFUNCTION("""COMPUTED_VALUE"""),"STEPHEN MONZON MONTOYA")</f>
        <v>STEPHEN MONZON MONTOYA</v>
      </c>
      <c r="C568" s="1">
        <f>IFERROR(__xludf.DUMMYFUNCTION("""COMPUTED_VALUE"""),2312620948)</f>
        <v>2312620948</v>
      </c>
      <c r="D568" s="1">
        <f>IFERROR(__xludf.DUMMYFUNCTION("""COMPUTED_VALUE"""),408055407)</f>
        <v>408055407</v>
      </c>
      <c r="E568" s="1">
        <f>IFERROR(__xludf.DUMMYFUNCTION("""COMPUTED_VALUE"""),471656245004)</f>
        <v>471656245004</v>
      </c>
      <c r="F568" s="1" t="str">
        <f>IFERROR(__xludf.DUMMYFUNCTION("""COMPUTED_VALUE"""),"CLOSED")</f>
        <v>CLOSED</v>
      </c>
      <c r="G568" s="1" t="str">
        <f>IFERROR(__xludf.DUMMYFUNCTION("""COMPUTED_VALUE"""),"CLOSED")</f>
        <v>CLOSED</v>
      </c>
      <c r="H568" s="1" t="str">
        <f>IFERROR(__xludf.DUMMYFUNCTION("""COMPUTED_VALUE"""),"PAID VIA GCASH - SEPT 19 - REF - 009079772")</f>
        <v>PAID VIA GCASH - SEPT 19 - REF - 009079772</v>
      </c>
      <c r="I568" s="1" t="str">
        <f>IFERROR(__xludf.DUMMYFUNCTION("""COMPUTED_VALUE"""),"WITH 1 AMSF")</f>
        <v>WITH 1 AMSF</v>
      </c>
      <c r="J568" s="1"/>
      <c r="K568" s="1" t="str">
        <f>IFERROR(__xludf.DUMMYFUNCTION("""COMPUTED_VALUE"""),"COMPLETED")</f>
        <v>COMPLETED</v>
      </c>
      <c r="L568" s="1" t="str">
        <f>IFERROR(__xludf.DUMMYFUNCTION("""COMPUTED_VALUE"""),"POSTED")</f>
        <v>POSTED</v>
      </c>
      <c r="M568" s="1" t="str">
        <f>IFERROR(__xludf.DUMMYFUNCTION("""COMPUTED_VALUE"""),"POSTED")</f>
        <v>POSTED</v>
      </c>
      <c r="N568" s="3">
        <f>IFERROR(__xludf.DUMMYFUNCTION("""COMPUTED_VALUE"""),46286)</f>
        <v>46286</v>
      </c>
      <c r="O568" s="1" t="str">
        <f>IFERROR(__xludf.DUMMYFUNCTION("""COMPUTED_VALUE"""),"FIBR PLAN 1299")</f>
        <v>FIBR PLAN 1299</v>
      </c>
      <c r="P568" s="1" t="str">
        <f>IFERROR(__xludf.DUMMYFUNCTION("""COMPUTED_VALUE"""),"LOWPLAN")</f>
        <v>LOWPLAN</v>
      </c>
      <c r="Q568" s="1" t="str">
        <f>IFERROR(__xludf.DUMMYFUNCTION("""COMPUTED_VALUE"""),"P407517")</f>
        <v>P407517</v>
      </c>
      <c r="R568" s="1" t="str">
        <f>IFERROR(__xludf.DUMMYFUNCTION("""COMPUTED_VALUE"""),"GABAY, MANUEL")</f>
        <v>GABAY, MANUEL</v>
      </c>
      <c r="S568" s="1" t="str">
        <f>IFERROR(__xludf.DUMMYFUNCTION("""COMPUTED_VALUE"""),"FLA")</f>
        <v>FLA</v>
      </c>
      <c r="T568" s="1" t="str">
        <f>IFERROR(__xludf.DUMMYFUNCTION("""COMPUTED_VALUE"""),"JERIC NAVARRO")</f>
        <v>JERIC NAVARRO</v>
      </c>
      <c r="U568" s="1" t="str">
        <f>IFERROR(__xludf.DUMMYFUNCTION("""COMPUTED_VALUE"""),"JB SALIOA")</f>
        <v>JB SALIOA</v>
      </c>
      <c r="V568" s="1" t="str">
        <f>IFERROR(__xludf.DUMMYFUNCTION("""COMPUTED_VALUE"""),"BK HSTK")</f>
        <v>BK HSTK</v>
      </c>
      <c r="W568" s="1" t="str">
        <f>IFERROR(__xludf.DUMMYFUNCTION("""COMPUTED_VALUE"""),"BK HSTK")</f>
        <v>BK HSTK</v>
      </c>
      <c r="X568" s="1" t="str">
        <f>IFERROR(__xludf.DUMMYFUNCTION("""COMPUTED_VALUE"""),"HBBS SEPT 2026")</f>
        <v>HBBS SEPT 2026</v>
      </c>
      <c r="Y568" s="1" t="str">
        <f>IFERROR(__xludf.DUMMYFUNCTION("""COMPUTED_VALUE"""),"BK_CVEU_260820")</f>
        <v>BK_CVEU_260820</v>
      </c>
      <c r="Z568" s="1" t="str">
        <f>IFERROR(__xludf.DUMMYFUNCTION("""COMPUTED_VALUE"""),"NEW CONNECT")</f>
        <v>NEW CONNECT</v>
      </c>
      <c r="AA568" s="1">
        <f>IFERROR(__xludf.DUMMYFUNCTION("""COMPUTED_VALUE"""),639618287329)</f>
        <v>639618287329</v>
      </c>
      <c r="AB568" s="1">
        <f>IFERROR(__xludf.DUMMYFUNCTION("""COMPUTED_VALUE"""),639184923114)</f>
        <v>639184923114</v>
      </c>
      <c r="AC568" s="1">
        <f>IFERROR(__xludf.DUMMYFUNCTION("""COMPUTED_VALUE"""),2561)</f>
        <v>2561</v>
      </c>
      <c r="AD568" s="1" t="str">
        <f>IFERROR(__xludf.DUMMYFUNCTION("""COMPUTED_VALUE"""),"BAYACAL")</f>
        <v>BAYACAL</v>
      </c>
      <c r="AE568" s="1" t="str">
        <f>IFERROR(__xludf.DUMMYFUNCTION("""COMPUTED_VALUE"""),"PINOY VILLAGE")</f>
        <v>PINOY VILLAGE</v>
      </c>
      <c r="AF568" s="1" t="str">
        <f>IFERROR(__xludf.DUMMYFUNCTION("""COMPUTED_VALUE"""),"BGY SABUTAN")</f>
        <v>BGY SABUTAN</v>
      </c>
      <c r="AG568" s="1" t="str">
        <f>IFERROR(__xludf.DUMMYFUNCTION("""COMPUTED_VALUE"""),"SILANG")</f>
        <v>SILANG</v>
      </c>
      <c r="AH568" s="1" t="str">
        <f>IFERROR(__xludf.DUMMYFUNCTION("""COMPUTED_VALUE"""),"-")</f>
        <v>-</v>
      </c>
      <c r="AI568" s="1" t="str">
        <f>IFERROR(__xludf.DUMMYFUNCTION("""COMPUTED_VALUE"""),"CLUSTER 11")</f>
        <v>CLUSTER 11</v>
      </c>
    </row>
    <row r="569" customHeight="1" spans="1:35">
      <c r="A569" s="3">
        <f>IFERROR(__xludf.DUMMYFUNCTION("""COMPUTED_VALUE"""),46282)</f>
        <v>46282</v>
      </c>
      <c r="B569" s="1" t="str">
        <f>IFERROR(__xludf.DUMMYFUNCTION("""COMPUTED_VALUE"""),"MICHELLE MADERA GRAVADOR")</f>
        <v>MICHELLE MADERA GRAVADOR</v>
      </c>
      <c r="C569" s="1">
        <f>IFERROR(__xludf.DUMMYFUNCTION("""COMPUTED_VALUE"""),2312633653)</f>
        <v>2312633653</v>
      </c>
      <c r="D569" s="1">
        <f>IFERROR(__xludf.DUMMYFUNCTION("""COMPUTED_VALUE"""),408073189)</f>
        <v>408073189</v>
      </c>
      <c r="E569" s="1">
        <f>IFERROR(__xludf.DUMMYFUNCTION("""COMPUTED_VALUE"""),471765413004)</f>
        <v>471765413004</v>
      </c>
      <c r="F569" s="1" t="str">
        <f>IFERROR(__xludf.DUMMYFUNCTION("""COMPUTED_VALUE"""),"RPR")</f>
        <v>RPR</v>
      </c>
      <c r="G569" s="1" t="str">
        <f>IFERROR(__xludf.DUMMYFUNCTION("""COMPUTED_VALUE"""),"""CALLTHRU 
REMARKS: CANCEL SERVICE ORDER REQUEST. CUSTOMER NO LONGER INTERESTED IN CONTINUING HER PLDT APPLICATION. 
TALK MICHELLE MADERA GRAVADOR 
09061131012 
""")</f>
        <v>"CALLTHRU 
REMARKS: CANCEL SERVICE ORDER REQUEST. CUSTOMER NO LONGER INTERESTED IN CONTINUING HER PLDT APPLICATION. 
TALK MICHELLE MADERA GRAVADOR 
09061131012 
"</v>
      </c>
      <c r="H569" s="1"/>
      <c r="I569" s="1" t="str">
        <f>IFERROR(__xludf.DUMMYFUNCTION("""COMPUTED_VALUE"""),"NO 1 AMSF")</f>
        <v>NO 1 AMSF</v>
      </c>
      <c r="J569" s="1"/>
      <c r="K569" s="1" t="str">
        <f>IFERROR(__xludf.DUMMYFUNCTION("""COMPUTED_VALUE"""),"CANCELED")</f>
        <v>CANCELED</v>
      </c>
      <c r="L569" s="1" t="str">
        <f>IFERROR(__xludf.DUMMYFUNCTION("""COMPUTED_VALUE"""),"RPR - SUBS CANCEL REQUEST")</f>
        <v>RPR - SUBS CANCEL REQUEST</v>
      </c>
      <c r="M569" s="1" t="str">
        <f>IFERROR(__xludf.DUMMYFUNCTION("""COMPUTED_VALUE"""),"RPR- SUBS CANCEL REQUEST")</f>
        <v>RPR- SUBS CANCEL REQUEST</v>
      </c>
      <c r="N569" s="3"/>
      <c r="O569" s="1" t="str">
        <f>IFERROR(__xludf.DUMMYFUNCTION("""COMPUTED_VALUE"""),"FIBR PLAN 1299")</f>
        <v>FIBR PLAN 1299</v>
      </c>
      <c r="P569" s="1" t="str">
        <f>IFERROR(__xludf.DUMMYFUNCTION("""COMPUTED_VALUE"""),"LOWPLAN")</f>
        <v>LOWPLAN</v>
      </c>
      <c r="Q569" s="1" t="str">
        <f>IFERROR(__xludf.DUMMYFUNCTION("""COMPUTED_VALUE"""),"P407520")</f>
        <v>P407520</v>
      </c>
      <c r="R569" s="1" t="str">
        <f>IFERROR(__xludf.DUMMYFUNCTION("""COMPUTED_VALUE"""),"MALIWAT, MARK")</f>
        <v>MALIWAT, MARK</v>
      </c>
      <c r="S569" s="1" t="str">
        <f>IFERROR(__xludf.DUMMYFUNCTION("""COMPUTED_VALUE"""),"FLA")</f>
        <v>FLA</v>
      </c>
      <c r="T569" s="1" t="str">
        <f>IFERROR(__xludf.DUMMYFUNCTION("""COMPUTED_VALUE"""),"JERIC NAVARRO")</f>
        <v>JERIC NAVARRO</v>
      </c>
      <c r="U569" s="1" t="str">
        <f>IFERROR(__xludf.DUMMYFUNCTION("""COMPUTED_VALUE"""),"JULIE ESPIRITU")</f>
        <v>JULIE ESPIRITU</v>
      </c>
      <c r="V569" s="1" t="str">
        <f>IFERROR(__xludf.DUMMYFUNCTION("""COMPUTED_VALUE"""),"BK REGULAR")</f>
        <v>BK REGULAR</v>
      </c>
      <c r="W569" s="1" t="str">
        <f>IFERROR(__xludf.DUMMYFUNCTION("""COMPUTED_VALUE"""),"STK REGULAR")</f>
        <v>STK REGULAR</v>
      </c>
      <c r="X569" s="1" t="str">
        <f>IFERROR(__xludf.DUMMYFUNCTION("""COMPUTED_VALUE"""),"HBBS SEPT 2026")</f>
        <v>HBBS SEPT 2026</v>
      </c>
      <c r="Y569" s="1" t="str">
        <f>IFERROR(__xludf.DUMMYFUNCTION("""COMPUTED_VALUE"""),"BK_CVEU_260820")</f>
        <v>BK_CVEU_260820</v>
      </c>
      <c r="Z569" s="1" t="str">
        <f>IFERROR(__xludf.DUMMYFUNCTION("""COMPUTED_VALUE"""),"NEW CONNECT")</f>
        <v>NEW CONNECT</v>
      </c>
      <c r="AA569" s="1">
        <f>IFERROR(__xludf.DUMMYFUNCTION("""COMPUTED_VALUE"""),639061131012)</f>
        <v>639061131012</v>
      </c>
      <c r="AB569" s="1"/>
      <c r="AC569" s="1"/>
      <c r="AD569" s="1" t="str">
        <f>IFERROR(__xludf.DUMMYFUNCTION("""COMPUTED_VALUE"""),"BUKLURAN 3")</f>
        <v>BUKLURAN 3</v>
      </c>
      <c r="AE569" s="1"/>
      <c r="AF569" s="1" t="str">
        <f>IFERROR(__xludf.DUMMYFUNCTION("""COMPUTED_VALUE"""),"BGY BULIHAN")</f>
        <v>BGY BULIHAN</v>
      </c>
      <c r="AG569" s="1" t="str">
        <f>IFERROR(__xludf.DUMMYFUNCTION("""COMPUTED_VALUE"""),"SILANG")</f>
        <v>SILANG</v>
      </c>
      <c r="AH569" s="1"/>
      <c r="AI569" s="1" t="str">
        <f>IFERROR(__xludf.DUMMYFUNCTION("""COMPUTED_VALUE"""),"CLUSTER 11")</f>
        <v>CLUSTER 11</v>
      </c>
    </row>
    <row r="570" customHeight="1" spans="1:35">
      <c r="A570" s="3">
        <f>IFERROR(__xludf.DUMMYFUNCTION("""COMPUTED_VALUE"""),46282)</f>
        <v>46282</v>
      </c>
      <c r="B570" s="1" t="str">
        <f>IFERROR(__xludf.DUMMYFUNCTION("""COMPUTED_VALUE"""),"EFREN MAGNO PANGANIBAN")</f>
        <v>EFREN MAGNO PANGANIBAN</v>
      </c>
      <c r="C570" s="1">
        <f>IFERROR(__xludf.DUMMYFUNCTION("""COMPUTED_VALUE"""),2312634246)</f>
        <v>2312634246</v>
      </c>
      <c r="D570" s="1">
        <f>IFERROR(__xludf.DUMMYFUNCTION("""COMPUTED_VALUE"""),408077737)</f>
        <v>408077737</v>
      </c>
      <c r="E570" s="1">
        <f>IFERROR(__xludf.DUMMYFUNCTION("""COMPUTED_VALUE"""),471770847004)</f>
        <v>471770847004</v>
      </c>
      <c r="F570" s="1" t="str">
        <f>IFERROR(__xludf.DUMMYFUNCTION("""COMPUTED_VALUE"""),"CANCELLED")</f>
        <v>CANCELLED</v>
      </c>
      <c r="G570" s="1" t="str">
        <f>IFERROR(__xludf.DUMMYFUNCTION("""COMPUTED_VALUE"""),"AUTO - AGING")</f>
        <v>AUTO - AGING</v>
      </c>
      <c r="H570" s="1" t="str">
        <f>IFERROR(__xludf.DUMMYFUNCTION("""COMPUTED_VALUE"""),"INALAM YUNG ACC# THEN PINATAY YUNG CALL 9/21")</f>
        <v>INALAM YUNG ACC# THEN PINATAY YUNG CALL 9/21</v>
      </c>
      <c r="I570" s="1"/>
      <c r="J570" s="1"/>
      <c r="K570" s="1" t="str">
        <f>IFERROR(__xludf.DUMMYFUNCTION("""COMPUTED_VALUE"""),"NOT IN OFSC")</f>
        <v>NOT IN OFSC</v>
      </c>
      <c r="L570" s="1" t="str">
        <f>IFERROR(__xludf.DUMMYFUNCTION("""COMPUTED_VALUE"""),"CANCELLED")</f>
        <v>CANCELLED</v>
      </c>
      <c r="M570" s="1" t="str">
        <f>IFERROR(__xludf.DUMMYFUNCTION("""COMPUTED_VALUE"""),"CANCELLED - AGING")</f>
        <v>CANCELLED - AGING</v>
      </c>
      <c r="N570" s="3"/>
      <c r="O570" s="1" t="str">
        <f>IFERROR(__xludf.DUMMYFUNCTION("""COMPUTED_VALUE"""),"FIBR UNLI ALL PLAN 999")</f>
        <v>FIBR UNLI ALL PLAN 999</v>
      </c>
      <c r="P570" s="1" t="str">
        <f>IFERROR(__xludf.DUMMYFUNCTION("""COMPUTED_VALUE"""),"LOWPLAN")</f>
        <v>LOWPLAN</v>
      </c>
      <c r="Q570" s="1" t="str">
        <f>IFERROR(__xludf.DUMMYFUNCTION("""COMPUTED_VALUE"""),"P407565")</f>
        <v>P407565</v>
      </c>
      <c r="R570" s="1" t="str">
        <f>IFERROR(__xludf.DUMMYFUNCTION("""COMPUTED_VALUE"""),"MANDUCDOC, MARIANE")</f>
        <v>MANDUCDOC, MARIANE</v>
      </c>
      <c r="S570" s="1" t="str">
        <f>IFERROR(__xludf.DUMMYFUNCTION("""COMPUTED_VALUE"""),"ORGANIC")</f>
        <v>ORGANIC</v>
      </c>
      <c r="T570" s="1" t="str">
        <f>IFERROR(__xludf.DUMMYFUNCTION("""COMPUTED_VALUE"""),"LEA REMOLLO")</f>
        <v>LEA REMOLLO</v>
      </c>
      <c r="U570" s="1" t="str">
        <f>IFERROR(__xludf.DUMMYFUNCTION("""COMPUTED_VALUE"""),"JULIE ESPIRITU")</f>
        <v>JULIE ESPIRITU</v>
      </c>
      <c r="V570" s="1" t="str">
        <f>IFERROR(__xludf.DUMMYFUNCTION("""COMPUTED_VALUE"""),"BK REGULAR")</f>
        <v>BK REGULAR</v>
      </c>
      <c r="W570" s="1" t="str">
        <f>IFERROR(__xludf.DUMMYFUNCTION("""COMPUTED_VALUE"""),"STK REGULAR")</f>
        <v>STK REGULAR</v>
      </c>
      <c r="X570" s="1" t="str">
        <f>IFERROR(__xludf.DUMMYFUNCTION("""COMPUTED_VALUE"""),"REGULAR")</f>
        <v>REGULAR</v>
      </c>
      <c r="Y570" s="1" t="str">
        <f>IFERROR(__xludf.DUMMYFUNCTION("""COMPUTED_VALUE"""),"BK_CVEU_260820")</f>
        <v>BK_CVEU_260820</v>
      </c>
      <c r="Z570" s="1" t="str">
        <f>IFERROR(__xludf.DUMMYFUNCTION("""COMPUTED_VALUE"""),"NEW CONNECT")</f>
        <v>NEW CONNECT</v>
      </c>
      <c r="AA570" s="1">
        <f>IFERROR(__xludf.DUMMYFUNCTION("""COMPUTED_VALUE"""),639345284106)</f>
        <v>639345284106</v>
      </c>
      <c r="AB570" s="1"/>
      <c r="AC570" s="1"/>
      <c r="AD570" s="1" t="str">
        <f>IFERROR(__xludf.DUMMYFUNCTION("""COMPUTED_VALUE"""),"PHASE 6")</f>
        <v>PHASE 6</v>
      </c>
      <c r="AE570" s="1" t="str">
        <f>IFERROR(__xludf.DUMMYFUNCTION("""COMPUTED_VALUE"""),"SUNTRUST VERONA")</f>
        <v>SUNTRUST VERONA</v>
      </c>
      <c r="AF570" s="1" t="str">
        <f>IFERROR(__xludf.DUMMYFUNCTION("""COMPUTED_VALUE"""),"BGY HOYO")</f>
        <v>BGY HOYO</v>
      </c>
      <c r="AG570" s="1" t="str">
        <f>IFERROR(__xludf.DUMMYFUNCTION("""COMPUTED_VALUE"""),"SILANG")</f>
        <v>SILANG</v>
      </c>
      <c r="AH570" s="1" t="str">
        <f>IFERROR(__xludf.DUMMYFUNCTION("""COMPUTED_VALUE"""),"-")</f>
        <v>-</v>
      </c>
      <c r="AI570" s="1" t="str">
        <f>IFERROR(__xludf.DUMMYFUNCTION("""COMPUTED_VALUE"""),"CLUSTER 11")</f>
        <v>CLUSTER 11</v>
      </c>
    </row>
    <row r="571" customHeight="1" spans="1:35">
      <c r="A571" s="3">
        <f>IFERROR(__xludf.DUMMYFUNCTION("""COMPUTED_VALUE"""),46282)</f>
        <v>46282</v>
      </c>
      <c r="B571" s="1" t="str">
        <f>IFERROR(__xludf.DUMMYFUNCTION("""COMPUTED_VALUE""")," JUDITH DORADO VILLARUEL")</f>
        <v> JUDITH DORADO VILLARUEL</v>
      </c>
      <c r="C571" s="1">
        <f>IFERROR(__xludf.DUMMYFUNCTION("""COMPUTED_VALUE"""),2312641515)</f>
        <v>2312641515</v>
      </c>
      <c r="D571" s="1"/>
      <c r="E571" s="1"/>
      <c r="F571" s="1" t="str">
        <f>IFERROR(__xludf.DUMMYFUNCTION("""COMPUTED_VALUE"""),"CANCELLED")</f>
        <v>CANCELLED</v>
      </c>
      <c r="G571" s="1" t="str">
        <f>IFERROR(__xludf.DUMMYFUNCTION("""COMPUTED_VALUE"""),"(POA REQUIREMENT - MULTIPLE LINE APPLICATION) RETURN TO SALES | DONE VALIDATION | INVALID DOCS - NO INDICATED 50 PESOS IN SUBSCERT | CLEARED FROM BLACKLISTED HIT|NO EXISTING ACTIVE ACCT AND/OR PENDING/CANCELLED APPLICATION | TU SCORING - FF - 1 (NTC) | 1 "&amp;"AMSF REQUIRED | ")</f>
        <v>(POA REQUIREMENT - MULTIPLE LINE APPLICATION) RETURN TO SALES | DONE VALIDATION | INVALID DOCS - NO INDICATED 50 PESOS IN SUBSCERT | CLEARED FROM BLACKLISTED HIT|NO EXISTING ACTIVE ACCT AND/OR PENDING/CANCELLED APPLICATION | TU SCORING - FF - 1 (NTC) | 1 AMSF REQUIRED | </v>
      </c>
      <c r="H571" s="1"/>
      <c r="I571" s="1"/>
      <c r="J571" s="1"/>
      <c r="K571" s="1"/>
      <c r="L571" s="1" t="str">
        <f>IFERROR(__xludf.DUMMYFUNCTION("""COMPUTED_VALUE"""),"CANCELLED - NON COMPLIANCE")</f>
        <v>CANCELLED - NON COMPLIANCE</v>
      </c>
      <c r="M571" s="1" t="str">
        <f>IFERROR(__xludf.DUMMYFUNCTION("""COMPUTED_VALUE"""),"CANCELLED - NON COMPLIANCE")</f>
        <v>CANCELLED - NON COMPLIANCE</v>
      </c>
      <c r="N571" s="3"/>
      <c r="O571" s="1" t="str">
        <f>IFERROR(__xludf.DUMMYFUNCTION("""COMPUTED_VALUE"""),"FIBER UNLI ALL PLAN 1499")</f>
        <v>FIBER UNLI ALL PLAN 1499</v>
      </c>
      <c r="P571" s="1" t="str">
        <f>IFERROR(__xludf.DUMMYFUNCTION("""COMPUTED_VALUE"""),"HIGHPLAN")</f>
        <v>HIGHPLAN</v>
      </c>
      <c r="Q571" s="1" t="str">
        <f>IFERROR(__xludf.DUMMYFUNCTION("""COMPUTED_VALUE"""),"P407516 ")</f>
        <v>P407516 </v>
      </c>
      <c r="R571" s="1" t="str">
        <f>IFERROR(__xludf.DUMMYFUNCTION("""COMPUTED_VALUE"""),"AYON, MANUEL")</f>
        <v>AYON, MANUEL</v>
      </c>
      <c r="S571" s="1" t="str">
        <f>IFERROR(__xludf.DUMMYFUNCTION("""COMPUTED_VALUE"""),"FLA")</f>
        <v>FLA</v>
      </c>
      <c r="T571" s="1" t="str">
        <f>IFERROR(__xludf.DUMMYFUNCTION("""COMPUTED_VALUE"""),"JERIC NAVARRO")</f>
        <v>JERIC NAVARRO</v>
      </c>
      <c r="U571" s="1" t="str">
        <f>IFERROR(__xludf.DUMMYFUNCTION("""COMPUTED_VALUE"""),"MARK MALIWAT")</f>
        <v>MARK MALIWAT</v>
      </c>
      <c r="V571" s="1" t="str">
        <f>IFERROR(__xludf.DUMMYFUNCTION("""COMPUTED_VALUE"""),"BK HSTK")</f>
        <v>BK HSTK</v>
      </c>
      <c r="W571" s="1" t="str">
        <f>IFERROR(__xludf.DUMMYFUNCTION("""COMPUTED_VALUE"""),"BK HSTK")</f>
        <v>BK HSTK</v>
      </c>
      <c r="X571" s="1" t="str">
        <f>IFERROR(__xludf.DUMMYFUNCTION("""COMPUTED_VALUE"""),"HBBS SEPT 2026")</f>
        <v>HBBS SEPT 2026</v>
      </c>
      <c r="Y571" s="1" t="str">
        <f>IFERROR(__xludf.DUMMYFUNCTION("""COMPUTED_VALUE"""),"BK_CVEU_260820")</f>
        <v>BK_CVEU_260820</v>
      </c>
      <c r="Z571" s="1" t="str">
        <f>IFERROR(__xludf.DUMMYFUNCTION("""COMPUTED_VALUE"""),"NEW CONNECT")</f>
        <v>NEW CONNECT</v>
      </c>
      <c r="AA571" s="1">
        <f>IFERROR(__xludf.DUMMYFUNCTION("""COMPUTED_VALUE"""),639458324877)</f>
        <v>639458324877</v>
      </c>
      <c r="AB571" s="1">
        <f>IFERROR(__xludf.DUMMYFUNCTION("""COMPUTED_VALUE"""),639175555633)</f>
        <v>639175555633</v>
      </c>
      <c r="AC571" s="1"/>
      <c r="AD571" s="1" t="str">
        <f>IFERROR(__xludf.DUMMYFUNCTION("""COMPUTED_VALUE"""),"AFP HOUSING ZONE 2")</f>
        <v>AFP HOUSING ZONE 2</v>
      </c>
      <c r="AE571" s="1"/>
      <c r="AF571" s="1" t="str">
        <f>IFERROR(__xludf.DUMMYFUNCTION("""COMPUTED_VALUE"""),"BGY BULIHAN")</f>
        <v>BGY BULIHAN</v>
      </c>
      <c r="AG571" s="1" t="str">
        <f>IFERROR(__xludf.DUMMYFUNCTION("""COMPUTED_VALUE"""),"SILANG")</f>
        <v>SILANG</v>
      </c>
      <c r="AH571" s="1" t="str">
        <f>IFERROR(__xludf.DUMMYFUNCTION("""COMPUTED_VALUE"""),"COVERED COURT")</f>
        <v>COVERED COURT</v>
      </c>
      <c r="AI571" s="1" t="str">
        <f>IFERROR(__xludf.DUMMYFUNCTION("""COMPUTED_VALUE"""),"CLUSTER 11")</f>
        <v>CLUSTER 11</v>
      </c>
    </row>
    <row r="572" customHeight="1" spans="1:35">
      <c r="A572" s="3">
        <f>IFERROR(__xludf.DUMMYFUNCTION("""COMPUTED_VALUE"""),46282)</f>
        <v>46282</v>
      </c>
      <c r="B572" s="1" t="str">
        <f>IFERROR(__xludf.DUMMYFUNCTION("""COMPUTED_VALUE""")," MINERVA GUPANA PINEDA")</f>
        <v> MINERVA GUPANA PINEDA</v>
      </c>
      <c r="C572" s="1">
        <f>IFERROR(__xludf.DUMMYFUNCTION("""COMPUTED_VALUE"""),2312642050)</f>
        <v>2312642050</v>
      </c>
      <c r="D572" s="1"/>
      <c r="E572" s="1"/>
      <c r="F572" s="1" t="str">
        <f>IFERROR(__xludf.DUMMYFUNCTION("""COMPUTED_VALUE"""),"CANCELLED")</f>
        <v>CANCELLED</v>
      </c>
      <c r="G572" s="1" t="str">
        <f>IFERROR(__xludf.DUMMYFUNCTION("""COMPUTED_VALUE"""),"WITH ACTIVE ACCOUNTS DIFFERENT ADDRESSES (383229111
387926461) FOR MULTIPLE  LINE APPLICATION NEED")</f>
        <v>WITH ACTIVE ACCOUNTS DIFFERENT ADDRESSES (383229111
387926461) FOR MULTIPLE  LINE APPLICATION NEED</v>
      </c>
      <c r="H572" s="1"/>
      <c r="I572" s="1"/>
      <c r="J572" s="1"/>
      <c r="K572" s="1"/>
      <c r="L572" s="1" t="str">
        <f>IFERROR(__xludf.DUMMYFUNCTION("""COMPUTED_VALUE"""),"CANCELLED - WITH ACTIVE LINE")</f>
        <v>CANCELLED - WITH ACTIVE LINE</v>
      </c>
      <c r="M572" s="1" t="str">
        <f>IFERROR(__xludf.DUMMYFUNCTION("""COMPUTED_VALUE"""),"CANCELLED - WITH ACTIVE LINE")</f>
        <v>CANCELLED - WITH ACTIVE LINE</v>
      </c>
      <c r="N572" s="3"/>
      <c r="O572" s="1" t="str">
        <f>IFERROR(__xludf.DUMMYFUNCTION("""COMPUTED_VALUE"""),"SWITCH FIBER UNLI ALL PLAN 1499")</f>
        <v>SWITCH FIBER UNLI ALL PLAN 1499</v>
      </c>
      <c r="P572" s="1" t="str">
        <f>IFERROR(__xludf.DUMMYFUNCTION("""COMPUTED_VALUE"""),"HIGHPLAN")</f>
        <v>HIGHPLAN</v>
      </c>
      <c r="Q572" s="1" t="str">
        <f>IFERROR(__xludf.DUMMYFUNCTION("""COMPUTED_VALUE"""),"P407564 ")</f>
        <v>P407564 </v>
      </c>
      <c r="R572" s="1" t="str">
        <f>IFERROR(__xludf.DUMMYFUNCTION("""COMPUTED_VALUE"""),"ARENA, LYKA")</f>
        <v>ARENA, LYKA</v>
      </c>
      <c r="S572" s="1" t="str">
        <f>IFERROR(__xludf.DUMMYFUNCTION("""COMPUTED_VALUE"""),"ORGANIC")</f>
        <v>ORGANIC</v>
      </c>
      <c r="T572" s="1" t="str">
        <f>IFERROR(__xludf.DUMMYFUNCTION("""COMPUTED_VALUE"""),"LEA REMOLLO")</f>
        <v>LEA REMOLLO</v>
      </c>
      <c r="U572" s="1" t="str">
        <f>IFERROR(__xludf.DUMMYFUNCTION("""COMPUTED_VALUE"""),"MARK MALIWAT")</f>
        <v>MARK MALIWAT</v>
      </c>
      <c r="V572" s="1" t="str">
        <f>IFERROR(__xludf.DUMMYFUNCTION("""COMPUTED_VALUE"""),"BK HSTK")</f>
        <v>BK HSTK</v>
      </c>
      <c r="W572" s="1" t="str">
        <f>IFERROR(__xludf.DUMMYFUNCTION("""COMPUTED_VALUE"""),"BK HSTK")</f>
        <v>BK HSTK</v>
      </c>
      <c r="X572" s="1" t="str">
        <f>IFERROR(__xludf.DUMMYFUNCTION("""COMPUTED_VALUE"""),"HBBS SEPT 2026")</f>
        <v>HBBS SEPT 2026</v>
      </c>
      <c r="Y572" s="1" t="str">
        <f>IFERROR(__xludf.DUMMYFUNCTION("""COMPUTED_VALUE"""),"BK_CVEU_260815")</f>
        <v>BK_CVEU_260815</v>
      </c>
      <c r="Z572" s="1" t="str">
        <f>IFERROR(__xludf.DUMMYFUNCTION("""COMPUTED_VALUE"""),"NEW CONNECT")</f>
        <v>NEW CONNECT</v>
      </c>
      <c r="AA572" s="1">
        <f>IFERROR(__xludf.DUMMYFUNCTION("""COMPUTED_VALUE"""),639178773373)</f>
        <v>639178773373</v>
      </c>
      <c r="AB572" s="1"/>
      <c r="AC572" s="1">
        <f>IFERROR(__xludf.DUMMYFUNCTION("""COMPUTED_VALUE"""),74)</f>
        <v>74</v>
      </c>
      <c r="AD572" s="1" t="str">
        <f>IFERROR(__xludf.DUMMYFUNCTION("""COMPUTED_VALUE"""),"PUROK 1")</f>
        <v>PUROK 1</v>
      </c>
      <c r="AE572" s="1"/>
      <c r="AF572" s="1" t="str">
        <f>IFERROR(__xludf.DUMMYFUNCTION("""COMPUTED_VALUE"""),"BGY LUKSUHIN ILAYA")</f>
        <v>BGY LUKSUHIN ILAYA</v>
      </c>
      <c r="AG572" s="1" t="str">
        <f>IFERROR(__xludf.DUMMYFUNCTION("""COMPUTED_VALUE"""),"ALFONSO")</f>
        <v>ALFONSO</v>
      </c>
      <c r="AH572" s="1" t="str">
        <f>IFERROR(__xludf.DUMMYFUNCTION("""COMPUTED_VALUE"""),"ALFAMART")</f>
        <v>ALFAMART</v>
      </c>
      <c r="AI572" s="1" t="str">
        <f>IFERROR(__xludf.DUMMYFUNCTION("""COMPUTED_VALUE"""),"CLUSTER 12")</f>
        <v>CLUSTER 12</v>
      </c>
    </row>
    <row r="573" customHeight="1" spans="1:35">
      <c r="A573" s="3">
        <f>IFERROR(__xludf.DUMMYFUNCTION("""COMPUTED_VALUE"""),46282)</f>
        <v>46282</v>
      </c>
      <c r="B573" s="1" t="str">
        <f>IFERROR(__xludf.DUMMYFUNCTION("""COMPUTED_VALUE"""),"MARY ANN SINO CASAS")</f>
        <v>MARY ANN SINO CASAS</v>
      </c>
      <c r="C573" s="1">
        <f>IFERROR(__xludf.DUMMYFUNCTION("""COMPUTED_VALUE"""),2312642354)</f>
        <v>2312642354</v>
      </c>
      <c r="D573" s="1">
        <f>IFERROR(__xludf.DUMMYFUNCTION("""COMPUTED_VALUE"""),408104874)</f>
        <v>408104874</v>
      </c>
      <c r="E573" s="1">
        <f>IFERROR(__xludf.DUMMYFUNCTION("""COMPUTED_VALUE"""),471899204004)</f>
        <v>471899204004</v>
      </c>
      <c r="F573" s="1" t="str">
        <f>IFERROR(__xludf.DUMMYFUNCTION("""COMPUTED_VALUE"""),"CLOSED")</f>
        <v>CLOSED</v>
      </c>
      <c r="G573" s="1" t="str">
        <f>IFERROR(__xludf.DUMMYFUNCTION("""COMPUTED_VALUE"""),"CLOSED")</f>
        <v>CLOSED</v>
      </c>
      <c r="H573" s="1" t="str">
        <f>IFERROR(__xludf.DUMMYFUNCTION("""COMPUTED_VALUE"""),"PQGOR364931202	22-Sep-26	Regular Payment	CIS-GCASH 3.0	1,299.00	0	22-Sep-26")</f>
        <v>PQGOR364931202	22-Sep-26	Regular Payment	CIS-GCASH 3.0	1,299.00	0	22-Sep-26</v>
      </c>
      <c r="I573" s="1" t="str">
        <f>IFERROR(__xludf.DUMMYFUNCTION("""COMPUTED_VALUE"""),"WITH 1 AMSF")</f>
        <v>WITH 1 AMSF</v>
      </c>
      <c r="J573" s="1"/>
      <c r="K573" s="1" t="str">
        <f>IFERROR(__xludf.DUMMYFUNCTION("""COMPUTED_VALUE"""),"COMPLETED")</f>
        <v>COMPLETED</v>
      </c>
      <c r="L573" s="1" t="str">
        <f>IFERROR(__xludf.DUMMYFUNCTION("""COMPUTED_VALUE"""),"POSTED")</f>
        <v>POSTED</v>
      </c>
      <c r="M573" s="1" t="str">
        <f>IFERROR(__xludf.DUMMYFUNCTION("""COMPUTED_VALUE"""),"POSTED")</f>
        <v>POSTED</v>
      </c>
      <c r="N573" s="3">
        <f>IFERROR(__xludf.DUMMYFUNCTION("""COMPUTED_VALUE"""),46285)</f>
        <v>46285</v>
      </c>
      <c r="O573" s="1" t="str">
        <f>IFERROR(__xludf.DUMMYFUNCTION("""COMPUTED_VALUE"""),"FIBR PLAN 1299")</f>
        <v>FIBR PLAN 1299</v>
      </c>
      <c r="P573" s="1" t="str">
        <f>IFERROR(__xludf.DUMMYFUNCTION("""COMPUTED_VALUE"""),"LOWPLAN")</f>
        <v>LOWPLAN</v>
      </c>
      <c r="Q573" s="1" t="str">
        <f>IFERROR(__xludf.DUMMYFUNCTION("""COMPUTED_VALUE"""),"P407564")</f>
        <v>P407564</v>
      </c>
      <c r="R573" s="1" t="str">
        <f>IFERROR(__xludf.DUMMYFUNCTION("""COMPUTED_VALUE"""),"ARENA, LYKA")</f>
        <v>ARENA, LYKA</v>
      </c>
      <c r="S573" s="1" t="str">
        <f>IFERROR(__xludf.DUMMYFUNCTION("""COMPUTED_VALUE"""),"ORGANIC")</f>
        <v>ORGANIC</v>
      </c>
      <c r="T573" s="1" t="str">
        <f>IFERROR(__xludf.DUMMYFUNCTION("""COMPUTED_VALUE"""),"LEA REMOLLO")</f>
        <v>LEA REMOLLO</v>
      </c>
      <c r="U573" s="1" t="str">
        <f>IFERROR(__xludf.DUMMYFUNCTION("""COMPUTED_VALUE"""),"JULIE ESPIRITU")</f>
        <v>JULIE ESPIRITU</v>
      </c>
      <c r="V573" s="1" t="str">
        <f>IFERROR(__xludf.DUMMYFUNCTION("""COMPUTED_VALUE"""),"BK HSTK")</f>
        <v>BK HSTK</v>
      </c>
      <c r="W573" s="1" t="str">
        <f>IFERROR(__xludf.DUMMYFUNCTION("""COMPUTED_VALUE"""),"BK HSTK")</f>
        <v>BK HSTK</v>
      </c>
      <c r="X573" s="1" t="str">
        <f>IFERROR(__xludf.DUMMYFUNCTION("""COMPUTED_VALUE"""),"HBBS SEPT 2026")</f>
        <v>HBBS SEPT 2026</v>
      </c>
      <c r="Y573" s="1" t="str">
        <f>IFERROR(__xludf.DUMMYFUNCTION("""COMPUTED_VALUE"""),"BK_CVEU_260817")</f>
        <v>BK_CVEU_260817</v>
      </c>
      <c r="Z573" s="1" t="str">
        <f>IFERROR(__xludf.DUMMYFUNCTION("""COMPUTED_VALUE"""),"NEW CONNECT")</f>
        <v>NEW CONNECT</v>
      </c>
      <c r="AA573" s="1">
        <f>IFERROR(__xludf.DUMMYFUNCTION("""COMPUTED_VALUE"""),639101507933)</f>
        <v>639101507933</v>
      </c>
      <c r="AB573" s="1"/>
      <c r="AC573" s="1"/>
      <c r="AD573" s="1" t="str">
        <f>IFERROR(__xludf.DUMMYFUNCTION("""COMPUTED_VALUE"""),"EVERLASTING")</f>
        <v>EVERLASTING</v>
      </c>
      <c r="AE573" s="1" t="str">
        <f>IFERROR(__xludf.DUMMYFUNCTION("""COMPUTED_VALUE"""),"CEDAR 1")</f>
        <v>CEDAR 1</v>
      </c>
      <c r="AF573" s="1" t="str">
        <f>IFERROR(__xludf.DUMMYFUNCTION("""COMPUTED_VALUE"""),"BGY LANTIC")</f>
        <v>BGY LANTIC</v>
      </c>
      <c r="AG573" s="1" t="str">
        <f>IFERROR(__xludf.DUMMYFUNCTION("""COMPUTED_VALUE"""),"CARMONA")</f>
        <v>CARMONA</v>
      </c>
      <c r="AH573" s="1"/>
      <c r="AI573" s="1" t="str">
        <f>IFERROR(__xludf.DUMMYFUNCTION("""COMPUTED_VALUE"""),"CLUSTER 11")</f>
        <v>CLUSTER 11</v>
      </c>
    </row>
    <row r="574" customHeight="1" spans="1:35">
      <c r="A574" s="3">
        <f>IFERROR(__xludf.DUMMYFUNCTION("""COMPUTED_VALUE"""),46282)</f>
        <v>46282</v>
      </c>
      <c r="B574" s="1" t="str">
        <f>IFERROR(__xludf.DUMMYFUNCTION("""COMPUTED_VALUE"""),"RICHARD BARCELISCO ALFANTA")</f>
        <v>RICHARD BARCELISCO ALFANTA</v>
      </c>
      <c r="C574" s="1">
        <f>IFERROR(__xludf.DUMMYFUNCTION("""COMPUTED_VALUE"""),2312642550)</f>
        <v>2312642550</v>
      </c>
      <c r="D574" s="1">
        <f>IFERROR(__xludf.DUMMYFUNCTION("""COMPUTED_VALUE"""),408086043)</f>
        <v>408086043</v>
      </c>
      <c r="E574" s="1">
        <f>IFERROR(__xludf.DUMMYFUNCTION("""COMPUTED_VALUE"""),471776445004)</f>
        <v>471776445004</v>
      </c>
      <c r="F574" s="1" t="str">
        <f>IFERROR(__xludf.DUMMYFUNCTION("""COMPUTED_VALUE"""),"CLOSED")</f>
        <v>CLOSED</v>
      </c>
      <c r="G574" s="1" t="str">
        <f>IFERROR(__xludf.DUMMYFUNCTION("""COMPUTED_VALUE"""),"CLOSED")</f>
        <v>CLOSED</v>
      </c>
      <c r="H574" s="1"/>
      <c r="I574" s="1" t="str">
        <f>IFERROR(__xludf.DUMMYFUNCTION("""COMPUTED_VALUE"""),"NO 1 AMSF")</f>
        <v>NO 1 AMSF</v>
      </c>
      <c r="J574" s="1" t="str">
        <f>IFERROR(__xludf.DUMMYFUNCTION("""COMPUTED_VALUE"""),"DUE DATE - 14-Oct-26 - 1,382.81")</f>
        <v>DUE DATE - 14-Oct-26 - 1,382.81</v>
      </c>
      <c r="K574" s="1" t="str">
        <f>IFERROR(__xludf.DUMMYFUNCTION("""COMPUTED_VALUE"""),"COMPLETED")</f>
        <v>COMPLETED</v>
      </c>
      <c r="L574" s="1" t="str">
        <f>IFERROR(__xludf.DUMMYFUNCTION("""COMPUTED_VALUE"""),"POSTED")</f>
        <v>POSTED</v>
      </c>
      <c r="M574" s="1" t="str">
        <f>IFERROR(__xludf.DUMMYFUNCTION("""COMPUTED_VALUE"""),"POSTED")</f>
        <v>POSTED</v>
      </c>
      <c r="N574" s="3">
        <f>IFERROR(__xludf.DUMMYFUNCTION("""COMPUTED_VALUE"""),46284)</f>
        <v>46284</v>
      </c>
      <c r="O574" s="1" t="str">
        <f>IFERROR(__xludf.DUMMYFUNCTION("""COMPUTED_VALUE"""),"FIBR PLAN 1299")</f>
        <v>FIBR PLAN 1299</v>
      </c>
      <c r="P574" s="1" t="str">
        <f>IFERROR(__xludf.DUMMYFUNCTION("""COMPUTED_VALUE"""),"LOWPLAN")</f>
        <v>LOWPLAN</v>
      </c>
      <c r="Q574" s="1" t="str">
        <f>IFERROR(__xludf.DUMMYFUNCTION("""COMPUTED_VALUE"""),"P407050 ")</f>
        <v>P407050 </v>
      </c>
      <c r="R574" s="1" t="str">
        <f>IFERROR(__xludf.DUMMYFUNCTION("""COMPUTED_VALUE"""),"ESCARCHA, ALMA")</f>
        <v>ESCARCHA, ALMA</v>
      </c>
      <c r="S574" s="1" t="str">
        <f>IFERROR(__xludf.DUMMYFUNCTION("""COMPUTED_VALUE"""),"ORGANIC")</f>
        <v>ORGANIC</v>
      </c>
      <c r="T574" s="1" t="str">
        <f>IFERROR(__xludf.DUMMYFUNCTION("""COMPUTED_VALUE"""),"LEA REMOLLO")</f>
        <v>LEA REMOLLO</v>
      </c>
      <c r="U574" s="1" t="str">
        <f>IFERROR(__xludf.DUMMYFUNCTION("""COMPUTED_VALUE"""),"MARK MALIWAT")</f>
        <v>MARK MALIWAT</v>
      </c>
      <c r="V574" s="1" t="str">
        <f>IFERROR(__xludf.DUMMYFUNCTION("""COMPUTED_VALUE"""),"BK HSTK")</f>
        <v>BK HSTK</v>
      </c>
      <c r="W574" s="1" t="str">
        <f>IFERROR(__xludf.DUMMYFUNCTION("""COMPUTED_VALUE"""),"BK HSTK")</f>
        <v>BK HSTK</v>
      </c>
      <c r="X574" s="1" t="str">
        <f>IFERROR(__xludf.DUMMYFUNCTION("""COMPUTED_VALUE"""),"HBBS SEPT 2026")</f>
        <v>HBBS SEPT 2026</v>
      </c>
      <c r="Y574" s="1" t="str">
        <f>IFERROR(__xludf.DUMMYFUNCTION("""COMPUTED_VALUE"""),"BK_CVEU_260819")</f>
        <v>BK_CVEU_260819</v>
      </c>
      <c r="Z574" s="1" t="str">
        <f>IFERROR(__xludf.DUMMYFUNCTION("""COMPUTED_VALUE"""),"NEW CONNECT")</f>
        <v>NEW CONNECT</v>
      </c>
      <c r="AA574" s="1">
        <f>IFERROR(__xludf.DUMMYFUNCTION("""COMPUTED_VALUE"""),639638800928)</f>
        <v>639638800928</v>
      </c>
      <c r="AB574" s="1">
        <f>IFERROR(__xludf.DUMMYFUNCTION("""COMPUTED_VALUE"""),639306719703)</f>
        <v>639306719703</v>
      </c>
      <c r="AC574" s="1">
        <f>IFERROR(__xludf.DUMMYFUNCTION("""COMPUTED_VALUE"""),1674)</f>
        <v>1674</v>
      </c>
      <c r="AD574" s="1" t="str">
        <f>IFERROR(__xludf.DUMMYFUNCTION("""COMPUTED_VALUE"""),"ASIS 3")</f>
        <v>ASIS 3</v>
      </c>
      <c r="AE574" s="1"/>
      <c r="AF574" s="1" t="str">
        <f>IFERROR(__xludf.DUMMYFUNCTION("""COMPUTED_VALUE"""),"BGY ASIS 3")</f>
        <v>BGY ASIS 3</v>
      </c>
      <c r="AG574" s="1" t="str">
        <f>IFERROR(__xludf.DUMMYFUNCTION("""COMPUTED_VALUE"""),"MENDEZ")</f>
        <v>MENDEZ</v>
      </c>
      <c r="AH574" s="1" t="str">
        <f>IFERROR(__xludf.DUMMYFUNCTION("""COMPUTED_VALUE"""),"MAYSILI")</f>
        <v>MAYSILI</v>
      </c>
      <c r="AI574" s="1" t="str">
        <f>IFERROR(__xludf.DUMMYFUNCTION("""COMPUTED_VALUE"""),"CLUSTER 12")</f>
        <v>CLUSTER 12</v>
      </c>
    </row>
    <row r="575" customHeight="1" spans="1:35">
      <c r="A575" s="3">
        <f>IFERROR(__xludf.DUMMYFUNCTION("""COMPUTED_VALUE"""),46282)</f>
        <v>46282</v>
      </c>
      <c r="B575" s="1" t="str">
        <f>IFERROR(__xludf.DUMMYFUNCTION("""COMPUTED_VALUE""")," JAMILLE DIONISIO VITO")</f>
        <v> JAMILLE DIONISIO VITO</v>
      </c>
      <c r="C575" s="1">
        <f>IFERROR(__xludf.DUMMYFUNCTION("""COMPUTED_VALUE"""),2312642882)</f>
        <v>2312642882</v>
      </c>
      <c r="D575" s="1"/>
      <c r="E575" s="1"/>
      <c r="F575" s="1" t="str">
        <f>IFERROR(__xludf.DUMMYFUNCTION("""COMPUTED_VALUE"""),"CANCELLED")</f>
        <v>CANCELLED</v>
      </c>
      <c r="G575" s="1" t="str">
        <f>IFERROR(__xludf.DUMMYFUNCTION("""COMPUTED_VALUE"""),"WITH ACTIVE TEL#0464124687  DIFFERENT ADDRESS NEED TO SUBMIT POA OF THE NEW APPLIED ADDRESS UNDER SO")</f>
        <v>WITH ACTIVE TEL#0464124687  DIFFERENT ADDRESS NEED TO SUBMIT POA OF THE NEW APPLIED ADDRESS UNDER SO</v>
      </c>
      <c r="H575" s="1"/>
      <c r="I575" s="1"/>
      <c r="J575" s="1"/>
      <c r="K575" s="1"/>
      <c r="L575" s="1" t="str">
        <f>IFERROR(__xludf.DUMMYFUNCTION("""COMPUTED_VALUE"""),"CANCELLED - WITH ACTIVE LINE")</f>
        <v>CANCELLED - WITH ACTIVE LINE</v>
      </c>
      <c r="M575" s="1" t="str">
        <f>IFERROR(__xludf.DUMMYFUNCTION("""COMPUTED_VALUE"""),"CANCELLED - WITH ACTIVE LINE")</f>
        <v>CANCELLED - WITH ACTIVE LINE</v>
      </c>
      <c r="N575" s="3"/>
      <c r="O575" s="1" t="str">
        <f>IFERROR(__xludf.DUMMYFUNCTION("""COMPUTED_VALUE"""),"FIBR PLAN 1299")</f>
        <v>FIBR PLAN 1299</v>
      </c>
      <c r="P575" s="1" t="str">
        <f>IFERROR(__xludf.DUMMYFUNCTION("""COMPUTED_VALUE"""),"LOWPLAN")</f>
        <v>LOWPLAN</v>
      </c>
      <c r="Q575" s="1" t="str">
        <f>IFERROR(__xludf.DUMMYFUNCTION("""COMPUTED_VALUE"""),"P407561 ")</f>
        <v>P407561 </v>
      </c>
      <c r="R575" s="1" t="str">
        <f>IFERROR(__xludf.DUMMYFUNCTION("""COMPUTED_VALUE"""),"TAMAYO, MARY ROSE ZAIRA")</f>
        <v>TAMAYO, MARY ROSE ZAIRA</v>
      </c>
      <c r="S575" s="1" t="str">
        <f>IFERROR(__xludf.DUMMYFUNCTION("""COMPUTED_VALUE"""),"ORGANIC")</f>
        <v>ORGANIC</v>
      </c>
      <c r="T575" s="1" t="str">
        <f>IFERROR(__xludf.DUMMYFUNCTION("""COMPUTED_VALUE"""),"LEA REMOLLO")</f>
        <v>LEA REMOLLO</v>
      </c>
      <c r="U575" s="1" t="str">
        <f>IFERROR(__xludf.DUMMYFUNCTION("""COMPUTED_VALUE"""),"MARK MALIWAT")</f>
        <v>MARK MALIWAT</v>
      </c>
      <c r="V575" s="1" t="str">
        <f>IFERROR(__xludf.DUMMYFUNCTION("""COMPUTED_VALUE"""),"BK HSTK")</f>
        <v>BK HSTK</v>
      </c>
      <c r="W575" s="1" t="str">
        <f>IFERROR(__xludf.DUMMYFUNCTION("""COMPUTED_VALUE"""),"BK HSTK")</f>
        <v>BK HSTK</v>
      </c>
      <c r="X575" s="1" t="str">
        <f>IFERROR(__xludf.DUMMYFUNCTION("""COMPUTED_VALUE"""),"HBBS SEPT 2026")</f>
        <v>HBBS SEPT 2026</v>
      </c>
      <c r="Y575" s="1" t="str">
        <f>IFERROR(__xludf.DUMMYFUNCTION("""COMPUTED_VALUE"""),"BK_CVEU_260817")</f>
        <v>BK_CVEU_260817</v>
      </c>
      <c r="Z575" s="1" t="str">
        <f>IFERROR(__xludf.DUMMYFUNCTION("""COMPUTED_VALUE"""),"NEW CONNECT")</f>
        <v>NEW CONNECT</v>
      </c>
      <c r="AA575" s="1">
        <f>IFERROR(__xludf.DUMMYFUNCTION("""COMPUTED_VALUE"""),639214972841)</f>
        <v>639214972841</v>
      </c>
      <c r="AB575" s="1"/>
      <c r="AC575" s="1"/>
      <c r="AD575" s="1" t="str">
        <f>IFERROR(__xludf.DUMMYFUNCTION("""COMPUTED_VALUE"""),"CEDAR")</f>
        <v>CEDAR</v>
      </c>
      <c r="AE575" s="1" t="str">
        <f>IFERROR(__xludf.DUMMYFUNCTION("""COMPUTED_VALUE"""),"CARMONA ESTATES CEDAR 2")</f>
        <v>CARMONA ESTATES CEDAR 2</v>
      </c>
      <c r="AF575" s="1" t="str">
        <f>IFERROR(__xludf.DUMMYFUNCTION("""COMPUTED_VALUE"""),"BGY LANTIC")</f>
        <v>BGY LANTIC</v>
      </c>
      <c r="AG575" s="1" t="str">
        <f>IFERROR(__xludf.DUMMYFUNCTION("""COMPUTED_VALUE"""),"CARMONA")</f>
        <v>CARMONA</v>
      </c>
      <c r="AH575" s="1" t="str">
        <f>IFERROR(__xludf.DUMMYFUNCTION("""COMPUTED_VALUE"""),"CLUBHOUSE")</f>
        <v>CLUBHOUSE</v>
      </c>
      <c r="AI575" s="1" t="str">
        <f>IFERROR(__xludf.DUMMYFUNCTION("""COMPUTED_VALUE"""),"CLUSTER 11")</f>
        <v>CLUSTER 11</v>
      </c>
    </row>
    <row r="576" customHeight="1" spans="1:35">
      <c r="A576" s="3">
        <f>IFERROR(__xludf.DUMMYFUNCTION("""COMPUTED_VALUE"""),46282)</f>
        <v>46282</v>
      </c>
      <c r="B576" s="1" t="str">
        <f>IFERROR(__xludf.DUMMYFUNCTION("""COMPUTED_VALUE""")," LEILA FERMA LEONIZO")</f>
        <v> LEILA FERMA LEONIZO</v>
      </c>
      <c r="C576" s="1">
        <f>IFERROR(__xludf.DUMMYFUNCTION("""COMPUTED_VALUE"""),2312643289)</f>
        <v>2312643289</v>
      </c>
      <c r="D576" s="1">
        <f>IFERROR(__xludf.DUMMYFUNCTION("""COMPUTED_VALUE"""),408105404)</f>
        <v>408105404</v>
      </c>
      <c r="E576" s="1">
        <f>IFERROR(__xludf.DUMMYFUNCTION("""COMPUTED_VALUE"""),471906240004)</f>
        <v>471906240004</v>
      </c>
      <c r="F576" s="1" t="str">
        <f>IFERROR(__xludf.DUMMYFUNCTION("""COMPUTED_VALUE"""),"CLOSED")</f>
        <v>CLOSED</v>
      </c>
      <c r="G576" s="1" t="str">
        <f>IFERROR(__xludf.DUMMYFUNCTION("""COMPUTED_VALUE"""),"CLOSED")</f>
        <v>CLOSED</v>
      </c>
      <c r="H576" s="1" t="str">
        <f>IFERROR(__xludf.DUMMYFUNCTION("""COMPUTED_VALUE"""),"PAID THRU MAYA REF# 626107865922 SEP 18")</f>
        <v>PAID THRU MAYA REF# 626107865922 SEP 18</v>
      </c>
      <c r="I576" s="1" t="str">
        <f>IFERROR(__xludf.DUMMYFUNCTION("""COMPUTED_VALUE"""),"WITH 1 AMSF")</f>
        <v>WITH 1 AMSF</v>
      </c>
      <c r="J576" s="1"/>
      <c r="K576" s="1" t="str">
        <f>IFERROR(__xludf.DUMMYFUNCTION("""COMPUTED_VALUE"""),"COMPLETED")</f>
        <v>COMPLETED</v>
      </c>
      <c r="L576" s="1" t="str">
        <f>IFERROR(__xludf.DUMMYFUNCTION("""COMPUTED_VALUE"""),"POSTED")</f>
        <v>POSTED</v>
      </c>
      <c r="M576" s="1" t="str">
        <f>IFERROR(__xludf.DUMMYFUNCTION("""COMPUTED_VALUE"""),"POSTED")</f>
        <v>POSTED</v>
      </c>
      <c r="N576" s="3">
        <f>IFERROR(__xludf.DUMMYFUNCTION("""COMPUTED_VALUE"""),46284)</f>
        <v>46284</v>
      </c>
      <c r="O576" s="1" t="str">
        <f>IFERROR(__xludf.DUMMYFUNCTION("""COMPUTED_VALUE"""),"FIBR UNLI ALL PLAN 999")</f>
        <v>FIBR UNLI ALL PLAN 999</v>
      </c>
      <c r="P576" s="1" t="str">
        <f>IFERROR(__xludf.DUMMYFUNCTION("""COMPUTED_VALUE"""),"LOWPLAN")</f>
        <v>LOWPLAN</v>
      </c>
      <c r="Q576" s="1" t="str">
        <f>IFERROR(__xludf.DUMMYFUNCTION("""COMPUTED_VALUE"""),"P407050 ")</f>
        <v>P407050 </v>
      </c>
      <c r="R576" s="1" t="str">
        <f>IFERROR(__xludf.DUMMYFUNCTION("""COMPUTED_VALUE"""),"ESCARCHA, ALMA")</f>
        <v>ESCARCHA, ALMA</v>
      </c>
      <c r="S576" s="1" t="str">
        <f>IFERROR(__xludf.DUMMYFUNCTION("""COMPUTED_VALUE"""),"ORGANIC")</f>
        <v>ORGANIC</v>
      </c>
      <c r="T576" s="1" t="str">
        <f>IFERROR(__xludf.DUMMYFUNCTION("""COMPUTED_VALUE"""),"LEA REMOLLO")</f>
        <v>LEA REMOLLO</v>
      </c>
      <c r="U576" s="1" t="str">
        <f>IFERROR(__xludf.DUMMYFUNCTION("""COMPUTED_VALUE"""),"MARK MALIWAT")</f>
        <v>MARK MALIWAT</v>
      </c>
      <c r="V576" s="1" t="str">
        <f>IFERROR(__xludf.DUMMYFUNCTION("""COMPUTED_VALUE"""),"BK HSTK")</f>
        <v>BK HSTK</v>
      </c>
      <c r="W576" s="1" t="str">
        <f>IFERROR(__xludf.DUMMYFUNCTION("""COMPUTED_VALUE"""),"BK HSTK")</f>
        <v>BK HSTK</v>
      </c>
      <c r="X576" s="1" t="str">
        <f>IFERROR(__xludf.DUMMYFUNCTION("""COMPUTED_VALUE"""),"HBBS SEPT 2026")</f>
        <v>HBBS SEPT 2026</v>
      </c>
      <c r="Y576" s="1" t="str">
        <f>IFERROR(__xludf.DUMMYFUNCTION("""COMPUTED_VALUE"""),"BK_CVEU_260819")</f>
        <v>BK_CVEU_260819</v>
      </c>
      <c r="Z576" s="1" t="str">
        <f>IFERROR(__xludf.DUMMYFUNCTION("""COMPUTED_VALUE"""),"NEW CONNECT")</f>
        <v>NEW CONNECT</v>
      </c>
      <c r="AA576" s="1">
        <f>IFERROR(__xludf.DUMMYFUNCTION("""COMPUTED_VALUE"""),639262881535)</f>
        <v>639262881535</v>
      </c>
      <c r="AB576" s="1">
        <f>IFERROR(__xludf.DUMMYFUNCTION("""COMPUTED_VALUE"""),639563826411)</f>
        <v>639563826411</v>
      </c>
      <c r="AC576" s="1">
        <f>IFERROR(__xludf.DUMMYFUNCTION("""COMPUTED_VALUE"""),468)</f>
        <v>468</v>
      </c>
      <c r="AD576" s="1" t="str">
        <f>IFERROR(__xludf.DUMMYFUNCTION("""COMPUTED_VALUE"""),"ZAMORA")</f>
        <v>ZAMORA</v>
      </c>
      <c r="AE576" s="1"/>
      <c r="AF576" s="1" t="str">
        <f>IFERROR(__xludf.DUMMYFUNCTION("""COMPUTED_VALUE"""),"BGY ASIS 1")</f>
        <v>BGY ASIS 1</v>
      </c>
      <c r="AG576" s="1" t="str">
        <f>IFERROR(__xludf.DUMMYFUNCTION("""COMPUTED_VALUE"""),"MENDEZ")</f>
        <v>MENDEZ</v>
      </c>
      <c r="AH576" s="1" t="str">
        <f>IFERROR(__xludf.DUMMYFUNCTION("""COMPUTED_VALUE"""),"ALFAMART")</f>
        <v>ALFAMART</v>
      </c>
      <c r="AI576" s="1" t="str">
        <f>IFERROR(__xludf.DUMMYFUNCTION("""COMPUTED_VALUE"""),"CLUSTER 12")</f>
        <v>CLUSTER 12</v>
      </c>
    </row>
    <row r="577" customHeight="1" spans="1:35">
      <c r="A577" s="3">
        <f>IFERROR(__xludf.DUMMYFUNCTION("""COMPUTED_VALUE"""),46282)</f>
        <v>46282</v>
      </c>
      <c r="B577" s="1" t="str">
        <f>IFERROR(__xludf.DUMMYFUNCTION("""COMPUTED_VALUE"""),"SHARA JANE TACATA GALVAN")</f>
        <v>SHARA JANE TACATA GALVAN</v>
      </c>
      <c r="C577" s="1">
        <f>IFERROR(__xludf.DUMMYFUNCTION("""COMPUTED_VALUE"""),2312643462)</f>
        <v>2312643462</v>
      </c>
      <c r="D577" s="1"/>
      <c r="E577" s="1"/>
      <c r="F577" s="1" t="str">
        <f>IFERROR(__xludf.DUMMYFUNCTION("""COMPUTED_VALUE"""),"CANCELLED")</f>
        <v>CANCELLED</v>
      </c>
      <c r="G577" s="1" t="str">
        <f>IFERROR(__xludf.DUMMYFUNCTION("""COMPUTED_VALUE"""),"WITH PENDING PID#470564828004  UNDER CAVITE LOWLAND")</f>
        <v>WITH PENDING PID#470564828004  UNDER CAVITE LOWLAND</v>
      </c>
      <c r="H577" s="1"/>
      <c r="I577" s="1"/>
      <c r="J577" s="1"/>
      <c r="K577" s="1"/>
      <c r="L577" s="1" t="str">
        <f>IFERROR(__xludf.DUMMYFUNCTION("""COMPUTED_VALUE"""),"CANCELLED")</f>
        <v>CANCELLED</v>
      </c>
      <c r="M577" s="1" t="str">
        <f>IFERROR(__xludf.DUMMYFUNCTION("""COMPUTED_VALUE"""),"CANCELLED - WITH PENDING PID")</f>
        <v>CANCELLED - WITH PENDING PID</v>
      </c>
      <c r="N577" s="3"/>
      <c r="O577" s="1" t="str">
        <f>IFERROR(__xludf.DUMMYFUNCTION("""COMPUTED_VALUE"""),"FIBER UNLI ALL PLAN 1499")</f>
        <v>FIBER UNLI ALL PLAN 1499</v>
      </c>
      <c r="P577" s="1" t="str">
        <f>IFERROR(__xludf.DUMMYFUNCTION("""COMPUTED_VALUE"""),"LOWPLAN")</f>
        <v>LOWPLAN</v>
      </c>
      <c r="Q577" s="1" t="str">
        <f>IFERROR(__xludf.DUMMYFUNCTION("""COMPUTED_VALUE"""),"P407565")</f>
        <v>P407565</v>
      </c>
      <c r="R577" s="1" t="str">
        <f>IFERROR(__xludf.DUMMYFUNCTION("""COMPUTED_VALUE"""),"MANDUCDOC, MARIANE")</f>
        <v>MANDUCDOC, MARIANE</v>
      </c>
      <c r="S577" s="1" t="str">
        <f>IFERROR(__xludf.DUMMYFUNCTION("""COMPUTED_VALUE"""),"ORGANIC")</f>
        <v>ORGANIC</v>
      </c>
      <c r="T577" s="1" t="str">
        <f>IFERROR(__xludf.DUMMYFUNCTION("""COMPUTED_VALUE"""),"LEA REMOLLO")</f>
        <v>LEA REMOLLO</v>
      </c>
      <c r="U577" s="1" t="str">
        <f>IFERROR(__xludf.DUMMYFUNCTION("""COMPUTED_VALUE"""),"JULIE ESPIRITU")</f>
        <v>JULIE ESPIRITU</v>
      </c>
      <c r="V577" s="1" t="str">
        <f>IFERROR(__xludf.DUMMYFUNCTION("""COMPUTED_VALUE"""),"BK HSTK")</f>
        <v>BK HSTK</v>
      </c>
      <c r="W577" s="1" t="str">
        <f>IFERROR(__xludf.DUMMYFUNCTION("""COMPUTED_VALUE"""),"BK HSTK")</f>
        <v>BK HSTK</v>
      </c>
      <c r="X577" s="1" t="str">
        <f>IFERROR(__xludf.DUMMYFUNCTION("""COMPUTED_VALUE"""),"HBBS SEPT 2026")</f>
        <v>HBBS SEPT 2026</v>
      </c>
      <c r="Y577" s="1" t="str">
        <f>IFERROR(__xludf.DUMMYFUNCTION("""COMPUTED_VALUE"""),"BK_CVEU_260818")</f>
        <v>BK_CVEU_260818</v>
      </c>
      <c r="Z577" s="1" t="str">
        <f>IFERROR(__xludf.DUMMYFUNCTION("""COMPUTED_VALUE"""),"NEW CONNECT")</f>
        <v>NEW CONNECT</v>
      </c>
      <c r="AA577" s="1">
        <f>IFERROR(__xludf.DUMMYFUNCTION("""COMPUTED_VALUE"""),639702747641)</f>
        <v>639702747641</v>
      </c>
      <c r="AB577" s="1">
        <f>IFERROR(__xludf.DUMMYFUNCTION("""COMPUTED_VALUE"""),639665273852)</f>
        <v>639665273852</v>
      </c>
      <c r="AC577" s="1"/>
      <c r="AD577" s="1" t="str">
        <f>IFERROR(__xludf.DUMMYFUNCTION("""COMPUTED_VALUE"""),"JOLO")</f>
        <v>JOLO</v>
      </c>
      <c r="AE577" s="1" t="str">
        <f>IFERROR(__xludf.DUMMYFUNCTION("""COMPUTED_VALUE"""),"YELLOWBELLE")</f>
        <v>YELLOWBELLE</v>
      </c>
      <c r="AF577" s="1" t="str">
        <f>IFERROR(__xludf.DUMMYFUNCTION("""COMPUTED_VALUE"""),"BGY GAVINO MADERAN")</f>
        <v>BGY GAVINO MADERAN</v>
      </c>
      <c r="AG577" s="1" t="str">
        <f>IFERROR(__xludf.DUMMYFUNCTION("""COMPUTED_VALUE"""),"GEN MARIANO ALVAREZ")</f>
        <v>GEN MARIANO ALVAREZ</v>
      </c>
      <c r="AH577" s="1"/>
      <c r="AI577" s="1" t="str">
        <f>IFERROR(__xludf.DUMMYFUNCTION("""COMPUTED_VALUE"""),"CLUSTER 11")</f>
        <v>CLUSTER 11</v>
      </c>
    </row>
    <row r="578" customHeight="1" spans="1:35">
      <c r="A578" s="3">
        <f>IFERROR(__xludf.DUMMYFUNCTION("""COMPUTED_VALUE"""),46282)</f>
        <v>46282</v>
      </c>
      <c r="B578" s="1" t="str">
        <f>IFERROR(__xludf.DUMMYFUNCTION("""COMPUTED_VALUE"""),"JESSICA BUMACOD PABLO")</f>
        <v>JESSICA BUMACOD PABLO</v>
      </c>
      <c r="C578" s="1">
        <f>IFERROR(__xludf.DUMMYFUNCTION("""COMPUTED_VALUE"""),2312643670)</f>
        <v>2312643670</v>
      </c>
      <c r="D578" s="1">
        <f>IFERROR(__xludf.DUMMYFUNCTION("""COMPUTED_VALUE"""),408092434)</f>
        <v>408092434</v>
      </c>
      <c r="E578" s="1">
        <f>IFERROR(__xludf.DUMMYFUNCTION("""COMPUTED_VALUE"""),471779648004)</f>
        <v>471779648004</v>
      </c>
      <c r="F578" s="1" t="str">
        <f>IFERROR(__xludf.DUMMYFUNCTION("""COMPUTED_VALUE"""),"CLOSED")</f>
        <v>CLOSED</v>
      </c>
      <c r="G578" s="1" t="str">
        <f>IFERROR(__xludf.DUMMYFUNCTION("""COMPUTED_VALUE"""),"CLOSED")</f>
        <v>CLOSED</v>
      </c>
      <c r="H578" s="1" t="str">
        <f>IFERROR(__xludf.DUMMYFUNCTION("""COMPUTED_VALUE"""),"PAID THRU GCASH REF 394173785 SEP 8")</f>
        <v>PAID THRU GCASH REF 394173785 SEP 8</v>
      </c>
      <c r="I578" s="1" t="str">
        <f>IFERROR(__xludf.DUMMYFUNCTION("""COMPUTED_VALUE"""),"WITH 1 AMSF")</f>
        <v>WITH 1 AMSF</v>
      </c>
      <c r="J578" s="1"/>
      <c r="K578" s="1" t="str">
        <f>IFERROR(__xludf.DUMMYFUNCTION("""COMPUTED_VALUE"""),"COMPLETED")</f>
        <v>COMPLETED</v>
      </c>
      <c r="L578" s="1" t="str">
        <f>IFERROR(__xludf.DUMMYFUNCTION("""COMPUTED_VALUE"""),"POSTED")</f>
        <v>POSTED</v>
      </c>
      <c r="M578" s="1" t="str">
        <f>IFERROR(__xludf.DUMMYFUNCTION("""COMPUTED_VALUE"""),"POSTED")</f>
        <v>POSTED</v>
      </c>
      <c r="N578" s="3">
        <f>IFERROR(__xludf.DUMMYFUNCTION("""COMPUTED_VALUE"""),46283)</f>
        <v>46283</v>
      </c>
      <c r="O578" s="1" t="str">
        <f>IFERROR(__xludf.DUMMYFUNCTION("""COMPUTED_VALUE"""),"FIBR PLAN 1299")</f>
        <v>FIBR PLAN 1299</v>
      </c>
      <c r="P578" s="1" t="str">
        <f>IFERROR(__xludf.DUMMYFUNCTION("""COMPUTED_VALUE"""),"LOWPLAN")</f>
        <v>LOWPLAN</v>
      </c>
      <c r="Q578" s="1" t="str">
        <f>IFERROR(__xludf.DUMMYFUNCTION("""COMPUTED_VALUE"""),"P407520")</f>
        <v>P407520</v>
      </c>
      <c r="R578" s="1" t="str">
        <f>IFERROR(__xludf.DUMMYFUNCTION("""COMPUTED_VALUE"""),"MALIWAT, MARK")</f>
        <v>MALIWAT, MARK</v>
      </c>
      <c r="S578" s="1" t="str">
        <f>IFERROR(__xludf.DUMMYFUNCTION("""COMPUTED_VALUE"""),"FLA")</f>
        <v>FLA</v>
      </c>
      <c r="T578" s="1" t="str">
        <f>IFERROR(__xludf.DUMMYFUNCTION("""COMPUTED_VALUE"""),"JERIC NAVARRO")</f>
        <v>JERIC NAVARRO</v>
      </c>
      <c r="U578" s="1" t="str">
        <f>IFERROR(__xludf.DUMMYFUNCTION("""COMPUTED_VALUE"""),"MARK MALIWAT")</f>
        <v>MARK MALIWAT</v>
      </c>
      <c r="V578" s="1" t="str">
        <f>IFERROR(__xludf.DUMMYFUNCTION("""COMPUTED_VALUE"""),"ONLINE/CRANFORD")</f>
        <v>ONLINE/CRANFORD</v>
      </c>
      <c r="W578" s="1" t="str">
        <f>IFERROR(__xludf.DUMMYFUNCTION("""COMPUTED_VALUE"""),"STK REGULAR")</f>
        <v>STK REGULAR</v>
      </c>
      <c r="X578" s="1" t="str">
        <f>IFERROR(__xludf.DUMMYFUNCTION("""COMPUTED_VALUE"""),"HBBS SEPT 2026")</f>
        <v>HBBS SEPT 2026</v>
      </c>
      <c r="Y578" s="1" t="str">
        <f>IFERROR(__xludf.DUMMYFUNCTION("""COMPUTED_VALUE"""),"RS_ONL_CVEU_2026")</f>
        <v>RS_ONL_CVEU_2026</v>
      </c>
      <c r="Z578" s="1" t="str">
        <f>IFERROR(__xludf.DUMMYFUNCTION("""COMPUTED_VALUE"""),"NEW CONNECT")</f>
        <v>NEW CONNECT</v>
      </c>
      <c r="AA578" s="1">
        <f>IFERROR(__xludf.DUMMYFUNCTION("""COMPUTED_VALUE"""),639359065514)</f>
        <v>639359065514</v>
      </c>
      <c r="AB578" s="1">
        <f>IFERROR(__xludf.DUMMYFUNCTION("""COMPUTED_VALUE"""),639560030259)</f>
        <v>639560030259</v>
      </c>
      <c r="AC578" s="1">
        <f>IFERROR(__xludf.DUMMYFUNCTION("""COMPUTED_VALUE"""),41)</f>
        <v>41</v>
      </c>
      <c r="AD578" s="1" t="str">
        <f>IFERROR(__xludf.DUMMYFUNCTION("""COMPUTED_VALUE"""),"EAST ASUNCION")</f>
        <v>EAST ASUNCION</v>
      </c>
      <c r="AE578" s="1"/>
      <c r="AF578" s="1" t="str">
        <f>IFERROR(__xludf.DUMMYFUNCTION("""COMPUTED_VALUE"""),"BGY TUBUAN 1")</f>
        <v>BGY TUBUAN 1</v>
      </c>
      <c r="AG578" s="1" t="str">
        <f>IFERROR(__xludf.DUMMYFUNCTION("""COMPUTED_VALUE"""),"SILANG")</f>
        <v>SILANG</v>
      </c>
      <c r="AH578" s="1" t="str">
        <f>IFERROR(__xludf.DUMMYFUNCTION("""COMPUTED_VALUE"""),"EAST ASUNCION")</f>
        <v>EAST ASUNCION</v>
      </c>
      <c r="AI578" s="1" t="str">
        <f>IFERROR(__xludf.DUMMYFUNCTION("""COMPUTED_VALUE"""),"CLUSTER 11")</f>
        <v>CLUSTER 11</v>
      </c>
    </row>
    <row r="579" customHeight="1" spans="1:35">
      <c r="A579" s="3">
        <f>IFERROR(__xludf.DUMMYFUNCTION("""COMPUTED_VALUE"""),46282)</f>
        <v>46282</v>
      </c>
      <c r="B579" s="1" t="str">
        <f>IFERROR(__xludf.DUMMYFUNCTION("""COMPUTED_VALUE"""),"ALELI JEAN ARANAS MANUEL")</f>
        <v>ALELI JEAN ARANAS MANUEL</v>
      </c>
      <c r="C579" s="1">
        <f>IFERROR(__xludf.DUMMYFUNCTION("""COMPUTED_VALUE"""),2312643805)</f>
        <v>2312643805</v>
      </c>
      <c r="D579" s="1"/>
      <c r="E579" s="1"/>
      <c r="F579" s="1" t="str">
        <f>IFERROR(__xludf.DUMMYFUNCTION("""COMPUTED_VALUE"""),"CANCELLED")</f>
        <v>CANCELLED</v>
      </c>
      <c r="G579" s="1" t="str">
        <f>IFERROR(__xludf.DUMMYFUNCTION("""COMPUTED_VALUE"""),"(WITH BLACKLISTED ACCOUNT FOR SETTLEMENT) RETURN TO SALES | DONE VALIDATION | CORRECT ENCODED INFO IN CSP | TU SCORING - GG - 1 (NTC) | 1 AMSF REQUIRED | WITH BLACKLISTED ACC #0309042980 OB:5,978.34| NO EXISTING ACTIVE ACCT AND/OR PENDING/CANCELLED APPLIC"&amp;"ATION ")</f>
        <v>(WITH BLACKLISTED ACCOUNT FOR SETTLEMENT) RETURN TO SALES | DONE VALIDATION | CORRECT ENCODED INFO IN CSP | TU SCORING - GG - 1 (NTC) | 1 AMSF REQUIRED | WITH BLACKLISTED ACC #0309042980 OB:5,978.34| NO EXISTING ACTIVE ACCT AND/OR PENDING/CANCELLED APPLICATION </v>
      </c>
      <c r="H579" s="1"/>
      <c r="I579" s="1"/>
      <c r="J579" s="1"/>
      <c r="K579" s="1"/>
      <c r="L579" s="1" t="str">
        <f>IFERROR(__xludf.DUMMYFUNCTION("""COMPUTED_VALUE"""),"CANCELLED - WITH OB")</f>
        <v>CANCELLED - WITH OB</v>
      </c>
      <c r="M579" s="1" t="str">
        <f>IFERROR(__xludf.DUMMYFUNCTION("""COMPUTED_VALUE"""),"CANCELLED - WITH OB")</f>
        <v>CANCELLED - WITH OB</v>
      </c>
      <c r="N579" s="3"/>
      <c r="O579" s="1" t="str">
        <f>IFERROR(__xludf.DUMMYFUNCTION("""COMPUTED_VALUE"""),"FIBR PLAN 1699")</f>
        <v>FIBR PLAN 1699</v>
      </c>
      <c r="P579" s="1" t="str">
        <f>IFERROR(__xludf.DUMMYFUNCTION("""COMPUTED_VALUE"""),"HIGHPLAN")</f>
        <v>HIGHPLAN</v>
      </c>
      <c r="Q579" s="1" t="str">
        <f>IFERROR(__xludf.DUMMYFUNCTION("""COMPUTED_VALUE"""),"P407517")</f>
        <v>P407517</v>
      </c>
      <c r="R579" s="1" t="str">
        <f>IFERROR(__xludf.DUMMYFUNCTION("""COMPUTED_VALUE"""),"GABAY, MANUEL")</f>
        <v>GABAY, MANUEL</v>
      </c>
      <c r="S579" s="1" t="str">
        <f>IFERROR(__xludf.DUMMYFUNCTION("""COMPUTED_VALUE"""),"FLA")</f>
        <v>FLA</v>
      </c>
      <c r="T579" s="1" t="str">
        <f>IFERROR(__xludf.DUMMYFUNCTION("""COMPUTED_VALUE"""),"JERIC NAVARRO")</f>
        <v>JERIC NAVARRO</v>
      </c>
      <c r="U579" s="1" t="str">
        <f>IFERROR(__xludf.DUMMYFUNCTION("""COMPUTED_VALUE"""),"JULIE ESPIRITU")</f>
        <v>JULIE ESPIRITU</v>
      </c>
      <c r="V579" s="1" t="str">
        <f>IFERROR(__xludf.DUMMYFUNCTION("""COMPUTED_VALUE"""),"ONLINE/CRANFORD")</f>
        <v>ONLINE/CRANFORD</v>
      </c>
      <c r="W579" s="1" t="str">
        <f>IFERROR(__xludf.DUMMYFUNCTION("""COMPUTED_VALUE"""),"STK REGULAR")</f>
        <v>STK REGULAR</v>
      </c>
      <c r="X579" s="1" t="str">
        <f>IFERROR(__xludf.DUMMYFUNCTION("""COMPUTED_VALUE"""),"HBBS SEPT 2026")</f>
        <v>HBBS SEPT 2026</v>
      </c>
      <c r="Y579" s="1" t="str">
        <f>IFERROR(__xludf.DUMMYFUNCTION("""COMPUTED_VALUE"""),"RS_ONL_CVEU_2026")</f>
        <v>RS_ONL_CVEU_2026</v>
      </c>
      <c r="Z579" s="1" t="str">
        <f>IFERROR(__xludf.DUMMYFUNCTION("""COMPUTED_VALUE"""),"NEW CONNECT")</f>
        <v>NEW CONNECT</v>
      </c>
      <c r="AA579" s="1">
        <f>IFERROR(__xludf.DUMMYFUNCTION("""COMPUTED_VALUE"""),639974172524)</f>
        <v>639974172524</v>
      </c>
      <c r="AB579" s="1">
        <f>IFERROR(__xludf.DUMMYFUNCTION("""COMPUTED_VALUE"""),639100271169)</f>
        <v>639100271169</v>
      </c>
      <c r="AC579" s="1"/>
      <c r="AD579" s="1" t="str">
        <f>IFERROR(__xludf.DUMMYFUNCTION("""COMPUTED_VALUE"""),"WASHINGTON")</f>
        <v>WASHINGTON</v>
      </c>
      <c r="AE579" s="1" t="str">
        <f>IFERROR(__xludf.DUMMYFUNCTION("""COMPUTED_VALUE"""),"SAN MARINO CITY SOUTH 2")</f>
        <v>SAN MARINO CITY SOUTH 2</v>
      </c>
      <c r="AF579" s="1" t="str">
        <f>IFERROR(__xludf.DUMMYFUNCTION("""COMPUTED_VALUE"""),"BGY SALAWAG")</f>
        <v>BGY SALAWAG</v>
      </c>
      <c r="AG579" s="1" t="str">
        <f>IFERROR(__xludf.DUMMYFUNCTION("""COMPUTED_VALUE"""),"DASMARINAS")</f>
        <v>DASMARINAS</v>
      </c>
      <c r="AH579" s="1"/>
      <c r="AI579" s="1" t="str">
        <f>IFERROR(__xludf.DUMMYFUNCTION("""COMPUTED_VALUE"""),"NOT AOR")</f>
        <v>NOT AOR</v>
      </c>
    </row>
    <row r="580" customHeight="1" spans="1:35">
      <c r="A580" s="3">
        <f>IFERROR(__xludf.DUMMYFUNCTION("""COMPUTED_VALUE"""),46282)</f>
        <v>46282</v>
      </c>
      <c r="B580" s="1" t="str">
        <f>IFERROR(__xludf.DUMMYFUNCTION("""COMPUTED_VALUE"""),"JUDITH PANISEL MAALAO")</f>
        <v>JUDITH PANISEL MAALAO</v>
      </c>
      <c r="C580" s="1">
        <f>IFERROR(__xludf.DUMMYFUNCTION("""COMPUTED_VALUE"""),2312646449)</f>
        <v>2312646449</v>
      </c>
      <c r="D580" s="1">
        <f>IFERROR(__xludf.DUMMYFUNCTION("""COMPUTED_VALUE"""),408096723)</f>
        <v>408096723</v>
      </c>
      <c r="E580" s="1">
        <f>IFERROR(__xludf.DUMMYFUNCTION("""COMPUTED_VALUE"""),471790746004)</f>
        <v>471790746004</v>
      </c>
      <c r="F580" s="1" t="str">
        <f>IFERROR(__xludf.DUMMYFUNCTION("""COMPUTED_VALUE"""),"CLOSED")</f>
        <v>CLOSED</v>
      </c>
      <c r="G580" s="1" t="str">
        <f>IFERROR(__xludf.DUMMYFUNCTION("""COMPUTED_VALUE"""),"CLOSED")</f>
        <v>CLOSED</v>
      </c>
      <c r="H580" s="1" t="str">
        <f>IFERROR(__xludf.DUMMYFUNCTION("""COMPUTED_VALUE"""),"PQGOR364825049	21-Sep-26	Regular Payment	CIS-GCASH 3.0	1,299.00	944001315	21-Sep-26")</f>
        <v>PQGOR364825049	21-Sep-26	Regular Payment	CIS-GCASH 3.0	1,299.00	944001315	21-Sep-26</v>
      </c>
      <c r="I580" s="1" t="str">
        <f>IFERROR(__xludf.DUMMYFUNCTION("""COMPUTED_VALUE"""),"WITH 1 AMSF")</f>
        <v>WITH 1 AMSF</v>
      </c>
      <c r="J580" s="1"/>
      <c r="K580" s="1" t="str">
        <f>IFERROR(__xludf.DUMMYFUNCTION("""COMPUTED_VALUE"""),"COMPLETED")</f>
        <v>COMPLETED</v>
      </c>
      <c r="L580" s="1" t="str">
        <f>IFERROR(__xludf.DUMMYFUNCTION("""COMPUTED_VALUE"""),"POSTED")</f>
        <v>POSTED</v>
      </c>
      <c r="M580" s="1" t="str">
        <f>IFERROR(__xludf.DUMMYFUNCTION("""COMPUTED_VALUE"""),"POSTED")</f>
        <v>POSTED</v>
      </c>
      <c r="N580" s="3">
        <f>IFERROR(__xludf.DUMMYFUNCTION("""COMPUTED_VALUE"""),46284)</f>
        <v>46284</v>
      </c>
      <c r="O580" s="1" t="str">
        <f>IFERROR(__xludf.DUMMYFUNCTION("""COMPUTED_VALUE"""),"1299")</f>
        <v>1299</v>
      </c>
      <c r="P580" s="1" t="str">
        <f>IFERROR(__xludf.DUMMYFUNCTION("""COMPUTED_VALUE"""),"LOWPLAN")</f>
        <v>LOWPLAN</v>
      </c>
      <c r="Q580" s="1" t="str">
        <f>IFERROR(__xludf.DUMMYFUNCTION("""COMPUTED_VALUE"""),"P407561")</f>
        <v>P407561</v>
      </c>
      <c r="R580" s="1" t="str">
        <f>IFERROR(__xludf.DUMMYFUNCTION("""COMPUTED_VALUE"""),"TAMAYO, MARY ROSE ZAIRA")</f>
        <v>TAMAYO, MARY ROSE ZAIRA</v>
      </c>
      <c r="S580" s="1" t="str">
        <f>IFERROR(__xludf.DUMMYFUNCTION("""COMPUTED_VALUE"""),"ORGANIC")</f>
        <v>ORGANIC</v>
      </c>
      <c r="T580" s="1" t="str">
        <f>IFERROR(__xludf.DUMMYFUNCTION("""COMPUTED_VALUE"""),"LEA REMOLLO")</f>
        <v>LEA REMOLLO</v>
      </c>
      <c r="U580" s="1" t="str">
        <f>IFERROR(__xludf.DUMMYFUNCTION("""COMPUTED_VALUE"""),"JULIE ESPIRITU")</f>
        <v>JULIE ESPIRITU</v>
      </c>
      <c r="V580" s="1" t="str">
        <f>IFERROR(__xludf.DUMMYFUNCTION("""COMPUTED_VALUE"""),"BK REGULAR")</f>
        <v>BK REGULAR</v>
      </c>
      <c r="W580" s="1" t="str">
        <f>IFERROR(__xludf.DUMMYFUNCTION("""COMPUTED_VALUE"""),"STK REGULAR")</f>
        <v>STK REGULAR</v>
      </c>
      <c r="X580" s="1" t="str">
        <f>IFERROR(__xludf.DUMMYFUNCTION("""COMPUTED_VALUE"""),"HBBS SEPT 2026")</f>
        <v>HBBS SEPT 2026</v>
      </c>
      <c r="Y580" s="1" t="str">
        <f>IFERROR(__xludf.DUMMYFUNCTION("""COMPUTED_VALUE"""),"BK_CVEU_260820")</f>
        <v>BK_CVEU_260820</v>
      </c>
      <c r="Z580" s="1" t="str">
        <f>IFERROR(__xludf.DUMMYFUNCTION("""COMPUTED_VALUE"""),"NEW CONNECT")</f>
        <v>NEW CONNECT</v>
      </c>
      <c r="AA580" s="1">
        <f>IFERROR(__xludf.DUMMYFUNCTION("""COMPUTED_VALUE"""),639385816429)</f>
        <v>639385816429</v>
      </c>
      <c r="AB580" s="1"/>
      <c r="AC580" s="1"/>
      <c r="AD580" s="1" t="str">
        <f>IFERROR(__xludf.DUMMYFUNCTION("""COMPUTED_VALUE"""),"NARRA 1")</f>
        <v>NARRA 1</v>
      </c>
      <c r="AE580" s="1"/>
      <c r="AF580" s="1" t="str">
        <f>IFERROR(__xludf.DUMMYFUNCTION("""COMPUTED_VALUE"""),"BGY NARRA 1")</f>
        <v>BGY NARRA 1</v>
      </c>
      <c r="AG580" s="1" t="str">
        <f>IFERROR(__xludf.DUMMYFUNCTION("""COMPUTED_VALUE"""),"SILANG")</f>
        <v>SILANG</v>
      </c>
      <c r="AH580" s="1" t="str">
        <f>IFERROR(__xludf.DUMMYFUNCTION("""COMPUTED_VALUE"""),"COVERED COURT")</f>
        <v>COVERED COURT</v>
      </c>
      <c r="AI580" s="1" t="str">
        <f>IFERROR(__xludf.DUMMYFUNCTION("""COMPUTED_VALUE"""),"CLUSTER 11")</f>
        <v>CLUSTER 11</v>
      </c>
    </row>
    <row r="581" customHeight="1" spans="1:35">
      <c r="A581" s="3">
        <f>IFERROR(__xludf.DUMMYFUNCTION("""COMPUTED_VALUE"""),46283)</f>
        <v>46283</v>
      </c>
      <c r="B581" s="1" t="str">
        <f>IFERROR(__xludf.DUMMYFUNCTION("""COMPUTED_VALUE"""),"RENANTE ROMASANTA MENDOZA")</f>
        <v>RENANTE ROMASANTA MENDOZA</v>
      </c>
      <c r="C581" s="1">
        <f>IFERROR(__xludf.DUMMYFUNCTION("""COMPUTED_VALUE"""),2312654777)</f>
        <v>2312654777</v>
      </c>
      <c r="D581" s="1">
        <f>IFERROR(__xludf.DUMMYFUNCTION("""COMPUTED_VALUE"""),408110823)</f>
        <v>408110823</v>
      </c>
      <c r="E581" s="1">
        <f>IFERROR(__xludf.DUMMYFUNCTION("""COMPUTED_VALUE"""),471919311004)</f>
        <v>471919311004</v>
      </c>
      <c r="F581" s="1" t="str">
        <f>IFERROR(__xludf.DUMMYFUNCTION("""COMPUTED_VALUE"""),"CLOSED")</f>
        <v>CLOSED</v>
      </c>
      <c r="G581" s="1" t="str">
        <f>IFERROR(__xludf.DUMMYFUNCTION("""COMPUTED_VALUE"""),"CLOSED")</f>
        <v>CLOSED</v>
      </c>
      <c r="H581" s="1" t="str">
        <f>IFERROR(__xludf.DUMMYFUNCTION("""COMPUTED_VALUE"""),"PAID THRU GCASH 796813735 SEP 18")</f>
        <v>PAID THRU GCASH 796813735 SEP 18</v>
      </c>
      <c r="I581" s="1" t="str">
        <f>IFERROR(__xludf.DUMMYFUNCTION("""COMPUTED_VALUE"""),"WITH 1 AMSF")</f>
        <v>WITH 1 AMSF</v>
      </c>
      <c r="J581" s="1"/>
      <c r="K581" s="1" t="str">
        <f>IFERROR(__xludf.DUMMYFUNCTION("""COMPUTED_VALUE"""),"COMPLETED")</f>
        <v>COMPLETED</v>
      </c>
      <c r="L581" s="1" t="str">
        <f>IFERROR(__xludf.DUMMYFUNCTION("""COMPUTED_VALUE"""),"POSTED")</f>
        <v>POSTED</v>
      </c>
      <c r="M581" s="1" t="str">
        <f>IFERROR(__xludf.DUMMYFUNCTION("""COMPUTED_VALUE"""),"POSTED")</f>
        <v>POSTED</v>
      </c>
      <c r="N581" s="3">
        <f>IFERROR(__xludf.DUMMYFUNCTION("""COMPUTED_VALUE"""),46287)</f>
        <v>46287</v>
      </c>
      <c r="O581" s="1" t="str">
        <f>IFERROR(__xludf.DUMMYFUNCTION("""COMPUTED_VALUE"""),"FIBR UNLI ALL PLAN 999")</f>
        <v>FIBR UNLI ALL PLAN 999</v>
      </c>
      <c r="P581" s="1" t="str">
        <f>IFERROR(__xludf.DUMMYFUNCTION("""COMPUTED_VALUE"""),"LOWPLAN")</f>
        <v>LOWPLAN</v>
      </c>
      <c r="Q581" s="1" t="str">
        <f>IFERROR(__xludf.DUMMYFUNCTION("""COMPUTED_VALUE"""),"P407050")</f>
        <v>P407050</v>
      </c>
      <c r="R581" s="1" t="str">
        <f>IFERROR(__xludf.DUMMYFUNCTION("""COMPUTED_VALUE"""),"ESCARCHA, ALMA")</f>
        <v>ESCARCHA, ALMA</v>
      </c>
      <c r="S581" s="1" t="str">
        <f>IFERROR(__xludf.DUMMYFUNCTION("""COMPUTED_VALUE"""),"ORGANIC")</f>
        <v>ORGANIC</v>
      </c>
      <c r="T581" s="1" t="str">
        <f>IFERROR(__xludf.DUMMYFUNCTION("""COMPUTED_VALUE"""),"LEA REMOLLO")</f>
        <v>LEA REMOLLO</v>
      </c>
      <c r="U581" s="1" t="str">
        <f>IFERROR(__xludf.DUMMYFUNCTION("""COMPUTED_VALUE"""),"JB SALIOA")</f>
        <v>JB SALIOA</v>
      </c>
      <c r="V581" s="1" t="str">
        <f>IFERROR(__xludf.DUMMYFUNCTION("""COMPUTED_VALUE"""),"ONLINE/CRANFORD")</f>
        <v>ONLINE/CRANFORD</v>
      </c>
      <c r="W581" s="1" t="str">
        <f>IFERROR(__xludf.DUMMYFUNCTION("""COMPUTED_VALUE"""),"STK REGULAR")</f>
        <v>STK REGULAR</v>
      </c>
      <c r="X581" s="1" t="str">
        <f>IFERROR(__xludf.DUMMYFUNCTION("""COMPUTED_VALUE"""),"REGULAR")</f>
        <v>REGULAR</v>
      </c>
      <c r="Y581" s="1" t="str">
        <f>IFERROR(__xludf.DUMMYFUNCTION("""COMPUTED_VALUE"""),"RS_ONL_CVEU_2026")</f>
        <v>RS_ONL_CVEU_2026</v>
      </c>
      <c r="Z581" s="1" t="str">
        <f>IFERROR(__xludf.DUMMYFUNCTION("""COMPUTED_VALUE"""),"NEW CONNECT")</f>
        <v>NEW CONNECT</v>
      </c>
      <c r="AA581" s="1">
        <f>IFERROR(__xludf.DUMMYFUNCTION("""COMPUTED_VALUE"""),639456127158)</f>
        <v>639456127158</v>
      </c>
      <c r="AB581" s="1">
        <f>IFERROR(__xludf.DUMMYFUNCTION("""COMPUTED_VALUE"""),639814042679)</f>
        <v>639814042679</v>
      </c>
      <c r="AC581" s="1">
        <f>IFERROR(__xludf.DUMMYFUNCTION("""COMPUTED_VALUE"""),182)</f>
        <v>182</v>
      </c>
      <c r="AD581" s="1" t="str">
        <f>IFERROR(__xludf.DUMMYFUNCTION("""COMPUTED_VALUE"""),"POINSETTIA")</f>
        <v>POINSETTIA</v>
      </c>
      <c r="AE581" s="1"/>
      <c r="AF581" s="1" t="str">
        <f>IFERROR(__xludf.DUMMYFUNCTION("""COMPUTED_VALUE"""),"BGY SULSUGIN")</f>
        <v>BGY SULSUGIN</v>
      </c>
      <c r="AG581" s="1" t="str">
        <f>IFERROR(__xludf.DUMMYFUNCTION("""COMPUTED_VALUE"""),"ALFONSO")</f>
        <v>ALFONSO</v>
      </c>
      <c r="AH581" s="1" t="str">
        <f>IFERROR(__xludf.DUMMYFUNCTION("""COMPUTED_VALUE"""),"BESIDE KHALAKUTI CAFE")</f>
        <v>BESIDE KHALAKUTI CAFE</v>
      </c>
      <c r="AI581" s="1" t="str">
        <f>IFERROR(__xludf.DUMMYFUNCTION("""COMPUTED_VALUE"""),"CLUSTER 12")</f>
        <v>CLUSTER 12</v>
      </c>
    </row>
    <row r="582" customHeight="1" spans="1:35">
      <c r="A582" s="3">
        <f>IFERROR(__xludf.DUMMYFUNCTION("""COMPUTED_VALUE"""),46283)</f>
        <v>46283</v>
      </c>
      <c r="B582" s="1" t="str">
        <f>IFERROR(__xludf.DUMMYFUNCTION("""COMPUTED_VALUE"""),"ARTURO GO ROJAS")</f>
        <v>ARTURO GO ROJAS</v>
      </c>
      <c r="C582" s="1">
        <f>IFERROR(__xludf.DUMMYFUNCTION("""COMPUTED_VALUE"""),2312657440)</f>
        <v>2312657440</v>
      </c>
      <c r="D582" s="1">
        <f>IFERROR(__xludf.DUMMYFUNCTION("""COMPUTED_VALUE"""),408112796)</f>
        <v>408112796</v>
      </c>
      <c r="E582" s="1">
        <f>IFERROR(__xludf.DUMMYFUNCTION("""COMPUTED_VALUE"""),471920629004)</f>
        <v>471920629004</v>
      </c>
      <c r="F582" s="1" t="str">
        <f>IFERROR(__xludf.DUMMYFUNCTION("""COMPUTED_VALUE"""),"RPR")</f>
        <v>RPR</v>
      </c>
      <c r="G582" s="1" t="str">
        <f>IFERROR(__xludf.DUMMYFUNCTION("""COMPUTED_VALUE"""),"CANCEL APLICATION AS PER SUBS .MAY OTHER PROVIDER NA DAW SYA. TALK ARTURO GO ROJAS")</f>
        <v>CANCEL APLICATION AS PER SUBS .MAY OTHER PROVIDER NA DAW SYA. TALK ARTURO GO ROJAS</v>
      </c>
      <c r="H582" s="1" t="str">
        <f>IFERROR(__xludf.DUMMYFUNCTION("""COMPUTED_VALUE"""),"NO PAYMENT")</f>
        <v>NO PAYMENT</v>
      </c>
      <c r="I582" s="1" t="str">
        <f>IFERROR(__xludf.DUMMYFUNCTION("""COMPUTED_VALUE"""),"NO 1 AMSF")</f>
        <v>NO 1 AMSF</v>
      </c>
      <c r="J582" s="1" t="str">
        <f>IFERROR(__xludf.DUMMYFUNCTION("""COMPUTED_VALUE"""),"NO PAYMENT")</f>
        <v>NO PAYMENT</v>
      </c>
      <c r="K582" s="1" t="str">
        <f>IFERROR(__xludf.DUMMYFUNCTION("""COMPUTED_VALUE"""),"CANCELED")</f>
        <v>CANCELED</v>
      </c>
      <c r="L582" s="1" t="str">
        <f>IFERROR(__xludf.DUMMYFUNCTION("""COMPUTED_VALUE"""),"RPR - SUBS CANCEL REQUEST")</f>
        <v>RPR - SUBS CANCEL REQUEST</v>
      </c>
      <c r="M582" s="1" t="str">
        <f>IFERROR(__xludf.DUMMYFUNCTION("""COMPUTED_VALUE"""),"RPR- SUBS CANCEL REQUEST")</f>
        <v>RPR- SUBS CANCEL REQUEST</v>
      </c>
      <c r="N582" s="3"/>
      <c r="O582" s="1" t="str">
        <f>IFERROR(__xludf.DUMMYFUNCTION("""COMPUTED_VALUE"""),"FIBER UNLI ALL PLAN 2599")</f>
        <v>FIBER UNLI ALL PLAN 2599</v>
      </c>
      <c r="P582" s="1" t="str">
        <f>IFERROR(__xludf.DUMMYFUNCTION("""COMPUTED_VALUE"""),"HIGHPLAN")</f>
        <v>HIGHPLAN</v>
      </c>
      <c r="Q582" s="1" t="str">
        <f>IFERROR(__xludf.DUMMYFUNCTION("""COMPUTED_VALUE"""),"P407520")</f>
        <v>P407520</v>
      </c>
      <c r="R582" s="1" t="str">
        <f>IFERROR(__xludf.DUMMYFUNCTION("""COMPUTED_VALUE"""),"MALIWAT, MARK")</f>
        <v>MALIWAT, MARK</v>
      </c>
      <c r="S582" s="1" t="str">
        <f>IFERROR(__xludf.DUMMYFUNCTION("""COMPUTED_VALUE"""),"FLA")</f>
        <v>FLA</v>
      </c>
      <c r="T582" s="1" t="str">
        <f>IFERROR(__xludf.DUMMYFUNCTION("""COMPUTED_VALUE"""),"JERIC NAVARRO")</f>
        <v>JERIC NAVARRO</v>
      </c>
      <c r="U582" s="1" t="str">
        <f>IFERROR(__xludf.DUMMYFUNCTION("""COMPUTED_VALUE"""),"JB SALIOA")</f>
        <v>JB SALIOA</v>
      </c>
      <c r="V582" s="1" t="str">
        <f>IFERROR(__xludf.DUMMYFUNCTION("""COMPUTED_VALUE"""),"BK HSTK")</f>
        <v>BK HSTK</v>
      </c>
      <c r="W582" s="1" t="str">
        <f>IFERROR(__xludf.DUMMYFUNCTION("""COMPUTED_VALUE"""),"BK HSTK")</f>
        <v>BK HSTK</v>
      </c>
      <c r="X582" s="1" t="str">
        <f>IFERROR(__xludf.DUMMYFUNCTION("""COMPUTED_VALUE"""),"HBBS SEPT 2026")</f>
        <v>HBBS SEPT 2026</v>
      </c>
      <c r="Y582" s="1" t="str">
        <f>IFERROR(__xludf.DUMMYFUNCTION("""COMPUTED_VALUE"""),"BK_CVEU_260820")</f>
        <v>BK_CVEU_260820</v>
      </c>
      <c r="Z582" s="1" t="str">
        <f>IFERROR(__xludf.DUMMYFUNCTION("""COMPUTED_VALUE"""),"NEW CONNECT")</f>
        <v>NEW CONNECT</v>
      </c>
      <c r="AA582" s="1">
        <f>IFERROR(__xludf.DUMMYFUNCTION("""COMPUTED_VALUE"""),639272861516)</f>
        <v>639272861516</v>
      </c>
      <c r="AB582" s="1"/>
      <c r="AC582" s="1">
        <f>IFERROR(__xludf.DUMMYFUNCTION("""COMPUTED_VALUE"""),9689)</f>
        <v>9689</v>
      </c>
      <c r="AD582" s="1" t="str">
        <f>IFERROR(__xludf.DUMMYFUNCTION("""COMPUTED_VALUE"""),"PUROK 5")</f>
        <v>PUROK 5</v>
      </c>
      <c r="AE582" s="1"/>
      <c r="AF582" s="1" t="str">
        <f>IFERROR(__xludf.DUMMYFUNCTION("""COMPUTED_VALUE"""),"BGY PULONG BUNGA")</f>
        <v>BGY PULONG BUNGA</v>
      </c>
      <c r="AG582" s="1" t="str">
        <f>IFERROR(__xludf.DUMMYFUNCTION("""COMPUTED_VALUE"""),"SILANG")</f>
        <v>SILANG</v>
      </c>
      <c r="AH582" s="1" t="str">
        <f>IFERROR(__xludf.DUMMYFUNCTION("""COMPUTED_VALUE"""),"-")</f>
        <v>-</v>
      </c>
      <c r="AI582" s="1" t="str">
        <f>IFERROR(__xludf.DUMMYFUNCTION("""COMPUTED_VALUE"""),"CLUSTER 11")</f>
        <v>CLUSTER 11</v>
      </c>
    </row>
    <row r="583" customHeight="1" spans="1:35">
      <c r="A583" s="3">
        <f>IFERROR(__xludf.DUMMYFUNCTION("""COMPUTED_VALUE"""),46283)</f>
        <v>46283</v>
      </c>
      <c r="B583" s="1" t="str">
        <f>IFERROR(__xludf.DUMMYFUNCTION("""COMPUTED_VALUE"""),"LUIGIE PINEDA JORDAN")</f>
        <v>LUIGIE PINEDA JORDAN</v>
      </c>
      <c r="C583" s="1">
        <f>IFERROR(__xludf.DUMMYFUNCTION("""COMPUTED_VALUE"""),2312657906)</f>
        <v>2312657906</v>
      </c>
      <c r="D583" s="1">
        <f>IFERROR(__xludf.DUMMYFUNCTION("""COMPUTED_VALUE"""),408111420)</f>
        <v>408111420</v>
      </c>
      <c r="E583" s="1">
        <f>IFERROR(__xludf.DUMMYFUNCTION("""COMPUTED_VALUE"""),471918808004)</f>
        <v>471918808004</v>
      </c>
      <c r="F583" s="1" t="str">
        <f>IFERROR(__xludf.DUMMYFUNCTION("""COMPUTED_VALUE"""),"CLOSED")</f>
        <v>CLOSED</v>
      </c>
      <c r="G583" s="1" t="str">
        <f>IFERROR(__xludf.DUMMYFUNCTION("""COMPUTED_VALUE"""),"CLOSED")</f>
        <v>CLOSED</v>
      </c>
      <c r="H583" s="1"/>
      <c r="I583" s="1" t="str">
        <f>IFERROR(__xludf.DUMMYFUNCTION("""COMPUTED_VALUE"""),"NO 1 AMSF")</f>
        <v>NO 1 AMSF</v>
      </c>
      <c r="J583" s="1" t="str">
        <f>IFERROR(__xludf.DUMMYFUNCTION("""COMPUTED_VALUE"""),"DUE DATE - 14-Oct-26 - 2,132.78")</f>
        <v>DUE DATE - 14-Oct-26 - 2,132.78</v>
      </c>
      <c r="K583" s="1" t="str">
        <f>IFERROR(__xludf.DUMMYFUNCTION("""COMPUTED_VALUE"""),"COMPLETED")</f>
        <v>COMPLETED</v>
      </c>
      <c r="L583" s="1" t="str">
        <f>IFERROR(__xludf.DUMMYFUNCTION("""COMPUTED_VALUE"""),"POSTED")</f>
        <v>POSTED</v>
      </c>
      <c r="M583" s="1" t="str">
        <f>IFERROR(__xludf.DUMMYFUNCTION("""COMPUTED_VALUE"""),"POSTED")</f>
        <v>POSTED</v>
      </c>
      <c r="N583" s="3">
        <f>IFERROR(__xludf.DUMMYFUNCTION("""COMPUTED_VALUE"""),46283)</f>
        <v>46283</v>
      </c>
      <c r="O583" s="1" t="str">
        <f>IFERROR(__xludf.DUMMYFUNCTION("""COMPUTED_VALUE"""),"FIBER UNLI ALL PLAN 1899")</f>
        <v>FIBER UNLI ALL PLAN 1899</v>
      </c>
      <c r="P583" s="1" t="str">
        <f>IFERROR(__xludf.DUMMYFUNCTION("""COMPUTED_VALUE"""),"HIGHPLAN")</f>
        <v>HIGHPLAN</v>
      </c>
      <c r="Q583" s="1" t="str">
        <f>IFERROR(__xludf.DUMMYFUNCTION("""COMPUTED_VALUE"""),"P407050")</f>
        <v>P407050</v>
      </c>
      <c r="R583" s="1" t="str">
        <f>IFERROR(__xludf.DUMMYFUNCTION("""COMPUTED_VALUE"""),"CADERAO, RONALD")</f>
        <v>CADERAO, RONALD</v>
      </c>
      <c r="S583" s="1" t="str">
        <f>IFERROR(__xludf.DUMMYFUNCTION("""COMPUTED_VALUE"""),"ORGANIC")</f>
        <v>ORGANIC</v>
      </c>
      <c r="T583" s="1" t="str">
        <f>IFERROR(__xludf.DUMMYFUNCTION("""COMPUTED_VALUE"""),"LEA REMOLLO")</f>
        <v>LEA REMOLLO</v>
      </c>
      <c r="U583" s="1" t="str">
        <f>IFERROR(__xludf.DUMMYFUNCTION("""COMPUTED_VALUE"""),"JB SALIOA")</f>
        <v>JB SALIOA</v>
      </c>
      <c r="V583" s="1" t="str">
        <f>IFERROR(__xludf.DUMMYFUNCTION("""COMPUTED_VALUE"""),"BK HSTK")</f>
        <v>BK HSTK</v>
      </c>
      <c r="W583" s="1" t="str">
        <f>IFERROR(__xludf.DUMMYFUNCTION("""COMPUTED_VALUE"""),"BK HSTK")</f>
        <v>BK HSTK</v>
      </c>
      <c r="X583" s="1" t="str">
        <f>IFERROR(__xludf.DUMMYFUNCTION("""COMPUTED_VALUE"""),"HBBS SEPT 2026")</f>
        <v>HBBS SEPT 2026</v>
      </c>
      <c r="Y583" s="1" t="str">
        <f>IFERROR(__xludf.DUMMYFUNCTION("""COMPUTED_VALUE"""),"BK_CVEU_260820")</f>
        <v>BK_CVEU_260820</v>
      </c>
      <c r="Z583" s="1" t="str">
        <f>IFERROR(__xludf.DUMMYFUNCTION("""COMPUTED_VALUE"""),"NEW CONNECT")</f>
        <v>NEW CONNECT</v>
      </c>
      <c r="AA583" s="1">
        <f>IFERROR(__xludf.DUMMYFUNCTION("""COMPUTED_VALUE"""),639630177743)</f>
        <v>639630177743</v>
      </c>
      <c r="AB583" s="1">
        <f>IFERROR(__xludf.DUMMYFUNCTION("""COMPUTED_VALUE"""),639451171100)</f>
        <v>639451171100</v>
      </c>
      <c r="AC583" s="1">
        <f>IFERROR(__xludf.DUMMYFUNCTION("""COMPUTED_VALUE"""),1405)</f>
        <v>1405</v>
      </c>
      <c r="AD583" s="1" t="str">
        <f>IFERROR(__xludf.DUMMYFUNCTION("""COMPUTED_VALUE"""),"PULONG BUNGA")</f>
        <v>PULONG BUNGA</v>
      </c>
      <c r="AE583" s="1"/>
      <c r="AF583" s="1" t="str">
        <f>IFERROR(__xludf.DUMMYFUNCTION("""COMPUTED_VALUE"""),"BGY PULONG BUNGA")</f>
        <v>BGY PULONG BUNGA</v>
      </c>
      <c r="AG583" s="1" t="str">
        <f>IFERROR(__xludf.DUMMYFUNCTION("""COMPUTED_VALUE"""),"SILANG")</f>
        <v>SILANG</v>
      </c>
      <c r="AH583" s="1" t="str">
        <f>IFERROR(__xludf.DUMMYFUNCTION("""COMPUTED_VALUE"""),"-")</f>
        <v>-</v>
      </c>
      <c r="AI583" s="1" t="str">
        <f>IFERROR(__xludf.DUMMYFUNCTION("""COMPUTED_VALUE"""),"CLUSTER 11")</f>
        <v>CLUSTER 11</v>
      </c>
    </row>
    <row r="584" customHeight="1" spans="1:35">
      <c r="A584" s="3">
        <f>IFERROR(__xludf.DUMMYFUNCTION("""COMPUTED_VALUE"""),46283)</f>
        <v>46283</v>
      </c>
      <c r="B584" s="1" t="str">
        <f>IFERROR(__xludf.DUMMYFUNCTION("""COMPUTED_VALUE"""),"ARSENITA ESTRADA ALMERO")</f>
        <v>ARSENITA ESTRADA ALMERO</v>
      </c>
      <c r="C584" s="1">
        <f>IFERROR(__xludf.DUMMYFUNCTION("""COMPUTED_VALUE"""),2312658427)</f>
        <v>2312658427</v>
      </c>
      <c r="D584" s="1">
        <f>IFERROR(__xludf.DUMMYFUNCTION("""COMPUTED_VALUE"""),408112672)</f>
        <v>408112672</v>
      </c>
      <c r="E584" s="1">
        <f>IFERROR(__xludf.DUMMYFUNCTION("""COMPUTED_VALUE"""),471920578004)</f>
        <v>471920578004</v>
      </c>
      <c r="F584" s="1" t="str">
        <f>IFERROR(__xludf.DUMMYFUNCTION("""COMPUTED_VALUE"""),"CLOSED")</f>
        <v>CLOSED</v>
      </c>
      <c r="G584" s="1" t="str">
        <f>IFERROR(__xludf.DUMMYFUNCTION("""COMPUTED_VALUE"""),"CLOSED")</f>
        <v>CLOSED</v>
      </c>
      <c r="H584" s="1"/>
      <c r="I584" s="1" t="str">
        <f>IFERROR(__xludf.DUMMYFUNCTION("""COMPUTED_VALUE"""),"NO 1 AMSF")</f>
        <v>NO 1 AMSF</v>
      </c>
      <c r="J584" s="1" t="str">
        <f>IFERROR(__xludf.DUMMYFUNCTION("""COMPUTED_VALUE"""),"DUE DATE - 17-Oct-26 - 1,438.71")</f>
        <v>DUE DATE - 17-Oct-26 - 1,438.71</v>
      </c>
      <c r="K584" s="1" t="str">
        <f>IFERROR(__xludf.DUMMYFUNCTION("""COMPUTED_VALUE"""),"COMPLETED")</f>
        <v>COMPLETED</v>
      </c>
      <c r="L584" s="1" t="str">
        <f>IFERROR(__xludf.DUMMYFUNCTION("""COMPUTED_VALUE"""),"POSTED")</f>
        <v>POSTED</v>
      </c>
      <c r="M584" s="1" t="str">
        <f>IFERROR(__xludf.DUMMYFUNCTION("""COMPUTED_VALUE"""),"POSTED")</f>
        <v>POSTED</v>
      </c>
      <c r="N584" s="3">
        <f>IFERROR(__xludf.DUMMYFUNCTION("""COMPUTED_VALUE"""),46286)</f>
        <v>46286</v>
      </c>
      <c r="O584" s="1" t="str">
        <f>IFERROR(__xludf.DUMMYFUNCTION("""COMPUTED_VALUE"""),"FIBR PLAN 1299")</f>
        <v>FIBR PLAN 1299</v>
      </c>
      <c r="P584" s="1" t="str">
        <f>IFERROR(__xludf.DUMMYFUNCTION("""COMPUTED_VALUE"""),"LOWPLAN")</f>
        <v>LOWPLAN</v>
      </c>
      <c r="Q584" s="1" t="str">
        <f>IFERROR(__xludf.DUMMYFUNCTION("""COMPUTED_VALUE"""),"P407563")</f>
        <v>P407563</v>
      </c>
      <c r="R584" s="1" t="str">
        <f>IFERROR(__xludf.DUMMYFUNCTION("""COMPUTED_VALUE"""),"BAQUIT, JAZMIN")</f>
        <v>BAQUIT, JAZMIN</v>
      </c>
      <c r="S584" s="1" t="str">
        <f>IFERROR(__xludf.DUMMYFUNCTION("""COMPUTED_VALUE"""),"ORGANIC")</f>
        <v>ORGANIC</v>
      </c>
      <c r="T584" s="1" t="str">
        <f>IFERROR(__xludf.DUMMYFUNCTION("""COMPUTED_VALUE"""),"LEA REMOLLO")</f>
        <v>LEA REMOLLO</v>
      </c>
      <c r="U584" s="1" t="str">
        <f>IFERROR(__xludf.DUMMYFUNCTION("""COMPUTED_VALUE"""),"JB SALIOA")</f>
        <v>JB SALIOA</v>
      </c>
      <c r="V584" s="1" t="str">
        <f>IFERROR(__xludf.DUMMYFUNCTION("""COMPUTED_VALUE"""),"BK HSTK")</f>
        <v>BK HSTK</v>
      </c>
      <c r="W584" s="1" t="str">
        <f>IFERROR(__xludf.DUMMYFUNCTION("""COMPUTED_VALUE"""),"BK HSTK")</f>
        <v>BK HSTK</v>
      </c>
      <c r="X584" s="1" t="str">
        <f>IFERROR(__xludf.DUMMYFUNCTION("""COMPUTED_VALUE"""),"HBBS SEPT 2026")</f>
        <v>HBBS SEPT 2026</v>
      </c>
      <c r="Y584" s="1" t="str">
        <f>IFERROR(__xludf.DUMMYFUNCTION("""COMPUTED_VALUE"""),"BK_CVEU_260820")</f>
        <v>BK_CVEU_260820</v>
      </c>
      <c r="Z584" s="1" t="str">
        <f>IFERROR(__xludf.DUMMYFUNCTION("""COMPUTED_VALUE"""),"NEW CONNECT")</f>
        <v>NEW CONNECT</v>
      </c>
      <c r="AA584" s="1">
        <f>IFERROR(__xludf.DUMMYFUNCTION("""COMPUTED_VALUE"""),639633578147)</f>
        <v>639633578147</v>
      </c>
      <c r="AB584" s="1"/>
      <c r="AC584" s="1">
        <f>IFERROR(__xludf.DUMMYFUNCTION("""COMPUTED_VALUE"""),9195)</f>
        <v>9195</v>
      </c>
      <c r="AD584" s="1" t="str">
        <f>IFERROR(__xludf.DUMMYFUNCTION("""COMPUTED_VALUE"""),"PUROK 4")</f>
        <v>PUROK 4</v>
      </c>
      <c r="AE584" s="1"/>
      <c r="AF584" s="1" t="str">
        <f>IFERROR(__xludf.DUMMYFUNCTION("""COMPUTED_VALUE"""),"BGY PULONG BUNGA")</f>
        <v>BGY PULONG BUNGA</v>
      </c>
      <c r="AG584" s="1" t="str">
        <f>IFERROR(__xludf.DUMMYFUNCTION("""COMPUTED_VALUE"""),"SILANG")</f>
        <v>SILANG</v>
      </c>
      <c r="AH584" s="1" t="str">
        <f>IFERROR(__xludf.DUMMYFUNCTION("""COMPUTED_VALUE"""),"-")</f>
        <v>-</v>
      </c>
      <c r="AI584" s="1" t="str">
        <f>IFERROR(__xludf.DUMMYFUNCTION("""COMPUTED_VALUE"""),"CLUSTER 11")</f>
        <v>CLUSTER 11</v>
      </c>
    </row>
    <row r="585" customHeight="1" spans="1:35">
      <c r="A585" s="3">
        <f>IFERROR(__xludf.DUMMYFUNCTION("""COMPUTED_VALUE"""),46283)</f>
        <v>46283</v>
      </c>
      <c r="B585" s="1" t="str">
        <f>IFERROR(__xludf.DUMMYFUNCTION("""COMPUTED_VALUE"""),"TRISHA ANNE ELNAR BERDIN")</f>
        <v>TRISHA ANNE ELNAR BERDIN</v>
      </c>
      <c r="C585" s="1">
        <f>IFERROR(__xludf.DUMMYFUNCTION("""COMPUTED_VALUE"""),2312658846)</f>
        <v>2312658846</v>
      </c>
      <c r="D585" s="1">
        <f>IFERROR(__xludf.DUMMYFUNCTION("""COMPUTED_VALUE"""),408114462)</f>
        <v>408114462</v>
      </c>
      <c r="E585" s="1">
        <f>IFERROR(__xludf.DUMMYFUNCTION("""COMPUTED_VALUE"""),471923537004)</f>
        <v>471923537004</v>
      </c>
      <c r="F585" s="1" t="str">
        <f>IFERROR(__xludf.DUMMYFUNCTION("""COMPUTED_VALUE"""),"CLOSED")</f>
        <v>CLOSED</v>
      </c>
      <c r="G585" s="1" t="str">
        <f>IFERROR(__xludf.DUMMYFUNCTION("""COMPUTED_VALUE"""),"CLOSED")</f>
        <v>CLOSED</v>
      </c>
      <c r="H585" s="1" t="str">
        <f>IFERROR(__xludf.DUMMYFUNCTION("""COMPUTED_VALUE"""),"PAID THRU PAYEXPRESS REF# PX1447357158  SEP 18")</f>
        <v>PAID THRU PAYEXPRESS REF# PX1447357158  SEP 18</v>
      </c>
      <c r="I585" s="1" t="str">
        <f>IFERROR(__xludf.DUMMYFUNCTION("""COMPUTED_VALUE"""),"WITH 1 AMSF")</f>
        <v>WITH 1 AMSF</v>
      </c>
      <c r="J585" s="1"/>
      <c r="K585" s="1" t="str">
        <f>IFERROR(__xludf.DUMMYFUNCTION("""COMPUTED_VALUE"""),"COMPLETED")</f>
        <v>COMPLETED</v>
      </c>
      <c r="L585" s="1" t="str">
        <f>IFERROR(__xludf.DUMMYFUNCTION("""COMPUTED_VALUE"""),"POSTED")</f>
        <v>POSTED</v>
      </c>
      <c r="M585" s="1" t="str">
        <f>IFERROR(__xludf.DUMMYFUNCTION("""COMPUTED_VALUE"""),"POSTED")</f>
        <v>POSTED</v>
      </c>
      <c r="N585" s="3">
        <f>IFERROR(__xludf.DUMMYFUNCTION("""COMPUTED_VALUE"""),46284)</f>
        <v>46284</v>
      </c>
      <c r="O585" s="1" t="str">
        <f>IFERROR(__xludf.DUMMYFUNCTION("""COMPUTED_VALUE"""),"FIBR PLAN 1299")</f>
        <v>FIBR PLAN 1299</v>
      </c>
      <c r="P585" s="1" t="str">
        <f>IFERROR(__xludf.DUMMYFUNCTION("""COMPUTED_VALUE"""),"LOWPLAN")</f>
        <v>LOWPLAN</v>
      </c>
      <c r="Q585" s="1" t="str">
        <f>IFERROR(__xludf.DUMMYFUNCTION("""COMPUTED_VALUE"""),"P407564")</f>
        <v>P407564</v>
      </c>
      <c r="R585" s="1" t="str">
        <f>IFERROR(__xludf.DUMMYFUNCTION("""COMPUTED_VALUE"""),"ARENA, LYKA")</f>
        <v>ARENA, LYKA</v>
      </c>
      <c r="S585" s="1" t="str">
        <f>IFERROR(__xludf.DUMMYFUNCTION("""COMPUTED_VALUE"""),"ORGANIC")</f>
        <v>ORGANIC</v>
      </c>
      <c r="T585" s="1" t="str">
        <f>IFERROR(__xludf.DUMMYFUNCTION("""COMPUTED_VALUE"""),"LEA REMOLLO")</f>
        <v>LEA REMOLLO</v>
      </c>
      <c r="U585" s="1" t="str">
        <f>IFERROR(__xludf.DUMMYFUNCTION("""COMPUTED_VALUE"""),"JB SALIOA")</f>
        <v>JB SALIOA</v>
      </c>
      <c r="V585" s="1" t="str">
        <f>IFERROR(__xludf.DUMMYFUNCTION("""COMPUTED_VALUE"""),"BK HSTK")</f>
        <v>BK HSTK</v>
      </c>
      <c r="W585" s="1" t="str">
        <f>IFERROR(__xludf.DUMMYFUNCTION("""COMPUTED_VALUE"""),"BK HSTK")</f>
        <v>BK HSTK</v>
      </c>
      <c r="X585" s="1" t="str">
        <f>IFERROR(__xludf.DUMMYFUNCTION("""COMPUTED_VALUE"""),"HBBS SEPT 2026")</f>
        <v>HBBS SEPT 2026</v>
      </c>
      <c r="Y585" s="1" t="str">
        <f>IFERROR(__xludf.DUMMYFUNCTION("""COMPUTED_VALUE"""),"BK_CVEU_260821")</f>
        <v>BK_CVEU_260821</v>
      </c>
      <c r="Z585" s="1" t="str">
        <f>IFERROR(__xludf.DUMMYFUNCTION("""COMPUTED_VALUE"""),"NEW CONNECT")</f>
        <v>NEW CONNECT</v>
      </c>
      <c r="AA585" s="1">
        <f>IFERROR(__xludf.DUMMYFUNCTION("""COMPUTED_VALUE"""),639539257983)</f>
        <v>639539257983</v>
      </c>
      <c r="AB585" s="1"/>
      <c r="AC585" s="1">
        <f>IFERROR(__xludf.DUMMYFUNCTION("""COMPUTED_VALUE"""),191)</f>
        <v>191</v>
      </c>
      <c r="AD585" s="1" t="str">
        <f>IFERROR(__xludf.DUMMYFUNCTION("""COMPUTED_VALUE"""),"FRANCISCO")</f>
        <v>FRANCISCO</v>
      </c>
      <c r="AE585" s="1"/>
      <c r="AF585" s="1" t="str">
        <f>IFERROR(__xludf.DUMMYFUNCTION("""COMPUTED_VALUE"""),"BGY FRANCISCO")</f>
        <v>BGY FRANCISCO</v>
      </c>
      <c r="AG585" s="1" t="str">
        <f>IFERROR(__xludf.DUMMYFUNCTION("""COMPUTED_VALUE"""),"TAGAYTAY")</f>
        <v>TAGAYTAY</v>
      </c>
      <c r="AH585" s="1" t="str">
        <f>IFERROR(__xludf.DUMMYFUNCTION("""COMPUTED_VALUE"""),"BRGY HALL ")</f>
        <v>BRGY HALL </v>
      </c>
      <c r="AI585" s="1" t="str">
        <f>IFERROR(__xludf.DUMMYFUNCTION("""COMPUTED_VALUE"""),"CLUSTER 12")</f>
        <v>CLUSTER 12</v>
      </c>
    </row>
    <row r="586" customHeight="1" spans="1:35">
      <c r="A586" s="3">
        <f>IFERROR(__xludf.DUMMYFUNCTION("""COMPUTED_VALUE"""),46283)</f>
        <v>46283</v>
      </c>
      <c r="B586" s="1" t="str">
        <f>IFERROR(__xludf.DUMMYFUNCTION("""COMPUTED_VALUE"""),"ALBERT BIEN MANIMTIM")</f>
        <v>ALBERT BIEN MANIMTIM</v>
      </c>
      <c r="C586" s="1">
        <f>IFERROR(__xludf.DUMMYFUNCTION("""COMPUTED_VALUE"""),2312659326)</f>
        <v>2312659326</v>
      </c>
      <c r="D586" s="1">
        <f>IFERROR(__xludf.DUMMYFUNCTION("""COMPUTED_VALUE"""),408115477)</f>
        <v>408115477</v>
      </c>
      <c r="E586" s="1">
        <f>IFERROR(__xludf.DUMMYFUNCTION("""COMPUTED_VALUE"""),471923768004)</f>
        <v>471923768004</v>
      </c>
      <c r="F586" s="1" t="str">
        <f>IFERROR(__xludf.DUMMYFUNCTION("""COMPUTED_VALUE"""),"RPR")</f>
        <v>RPR</v>
      </c>
      <c r="G586" s="1" t="str">
        <f>IFERROR(__xludf.DUMMYFUNCTION("""COMPUTED_VALUE"""),"""VISITED 
REMARKS :FULL NAP 
SILLP617NP1 PORT 6 LOCKED VACANT - ACTIVE 
SILLP111NP7 NO VACANT 
TALK ALBERT BIEN MANIMTIM 
CBR 09238784468""")</f>
        <v>"VISITED 
REMARKS :FULL NAP 
SILLP617NP1 PORT 6 LOCKED VACANT - ACTIVE 
SILLP111NP7 NO VACANT 
TALK ALBERT BIEN MANIMTIM 
CBR 09238784468"</v>
      </c>
      <c r="H586" s="1"/>
      <c r="I586" s="1" t="str">
        <f>IFERROR(__xludf.DUMMYFUNCTION("""COMPUTED_VALUE"""),"NO 1 AMSF")</f>
        <v>NO 1 AMSF</v>
      </c>
      <c r="J586" s="1"/>
      <c r="K586" s="1" t="str">
        <f>IFERROR(__xludf.DUMMYFUNCTION("""COMPUTED_VALUE"""),"CANCELED")</f>
        <v>CANCELED</v>
      </c>
      <c r="L586" s="1" t="str">
        <f>IFERROR(__xludf.DUMMYFUNCTION("""COMPUTED_VALUE"""),"RPR - NAP FULL")</f>
        <v>RPR - NAP FULL</v>
      </c>
      <c r="M586" s="1" t="str">
        <f>IFERROR(__xludf.DUMMYFUNCTION("""COMPUTED_VALUE"""),"RPR- NAP FULL")</f>
        <v>RPR- NAP FULL</v>
      </c>
      <c r="N586" s="3"/>
      <c r="O586" s="1" t="str">
        <f>IFERROR(__xludf.DUMMYFUNCTION("""COMPUTED_VALUE"""),"FIBER UNLI ALL PLAN 1499")</f>
        <v>FIBER UNLI ALL PLAN 1499</v>
      </c>
      <c r="P586" s="1" t="str">
        <f>IFERROR(__xludf.DUMMYFUNCTION("""COMPUTED_VALUE"""),"LOWPLAN")</f>
        <v>LOWPLAN</v>
      </c>
      <c r="Q586" s="1" t="str">
        <f>IFERROR(__xludf.DUMMYFUNCTION("""COMPUTED_VALUE"""),"P407050")</f>
        <v>P407050</v>
      </c>
      <c r="R586" s="1" t="str">
        <f>IFERROR(__xludf.DUMMYFUNCTION("""COMPUTED_VALUE"""),"CADERAO, RONALD")</f>
        <v>CADERAO, RONALD</v>
      </c>
      <c r="S586" s="1" t="str">
        <f>IFERROR(__xludf.DUMMYFUNCTION("""COMPUTED_VALUE"""),"ORGANIC")</f>
        <v>ORGANIC</v>
      </c>
      <c r="T586" s="1" t="str">
        <f>IFERROR(__xludf.DUMMYFUNCTION("""COMPUTED_VALUE"""),"LEA REMOLLO")</f>
        <v>LEA REMOLLO</v>
      </c>
      <c r="U586" s="1" t="str">
        <f>IFERROR(__xludf.DUMMYFUNCTION("""COMPUTED_VALUE"""),"JB SALIOA")</f>
        <v>JB SALIOA</v>
      </c>
      <c r="V586" s="1" t="str">
        <f>IFERROR(__xludf.DUMMYFUNCTION("""COMPUTED_VALUE"""),"BK REGULAR")</f>
        <v>BK REGULAR</v>
      </c>
      <c r="W586" s="1" t="str">
        <f>IFERROR(__xludf.DUMMYFUNCTION("""COMPUTED_VALUE"""),"STK REGULAR")</f>
        <v>STK REGULAR</v>
      </c>
      <c r="X586" s="1" t="str">
        <f>IFERROR(__xludf.DUMMYFUNCTION("""COMPUTED_VALUE"""),"HBBS SEPT 2026")</f>
        <v>HBBS SEPT 2026</v>
      </c>
      <c r="Y586" s="1" t="str">
        <f>IFERROR(__xludf.DUMMYFUNCTION("""COMPUTED_VALUE"""),"BK_CVEU_260820")</f>
        <v>BK_CVEU_260820</v>
      </c>
      <c r="Z586" s="1" t="str">
        <f>IFERROR(__xludf.DUMMYFUNCTION("""COMPUTED_VALUE"""),"NEW CONNECT")</f>
        <v>NEW CONNECT</v>
      </c>
      <c r="AA586" s="1">
        <f>IFERROR(__xludf.DUMMYFUNCTION("""COMPUTED_VALUE"""),639238784468)</f>
        <v>639238784468</v>
      </c>
      <c r="AB586" s="1">
        <f>IFERROR(__xludf.DUMMYFUNCTION("""COMPUTED_VALUE"""),639071084018)</f>
        <v>639071084018</v>
      </c>
      <c r="AC586" s="1">
        <f>IFERROR(__xludf.DUMMYFUNCTION("""COMPUTED_VALUE"""),392)</f>
        <v>392</v>
      </c>
      <c r="AD586" s="1" t="str">
        <f>IFERROR(__xludf.DUMMYFUNCTION("""COMPUTED_VALUE"""),"RILES")</f>
        <v>RILES</v>
      </c>
      <c r="AE586" s="1" t="str">
        <f>IFERROR(__xludf.DUMMYFUNCTION("""COMPUTED_VALUE"""),"PUROK 4")</f>
        <v>PUROK 4</v>
      </c>
      <c r="AF586" s="1" t="str">
        <f>IFERROR(__xludf.DUMMYFUNCTION("""COMPUTED_VALUE"""),"BGY PASONG LANGKA")</f>
        <v>BGY PASONG LANGKA</v>
      </c>
      <c r="AG586" s="1" t="str">
        <f>IFERROR(__xludf.DUMMYFUNCTION("""COMPUTED_VALUE"""),"SILANG")</f>
        <v>SILANG</v>
      </c>
      <c r="AH586" s="1" t="str">
        <f>IFERROR(__xludf.DUMMYFUNCTION("""COMPUTED_VALUE"""),"-")</f>
        <v>-</v>
      </c>
      <c r="AI586" s="1" t="str">
        <f>IFERROR(__xludf.DUMMYFUNCTION("""COMPUTED_VALUE"""),"CLUSTER 11")</f>
        <v>CLUSTER 11</v>
      </c>
    </row>
    <row r="587" customHeight="1" spans="1:35">
      <c r="A587" s="3">
        <f>IFERROR(__xludf.DUMMYFUNCTION("""COMPUTED_VALUE"""),46283)</f>
        <v>46283</v>
      </c>
      <c r="B587" s="1" t="str">
        <f>IFERROR(__xludf.DUMMYFUNCTION("""COMPUTED_VALUE"""),"JAVIER RAMOS JUNIO")</f>
        <v>JAVIER RAMOS JUNIO</v>
      </c>
      <c r="C587" s="1">
        <f>IFERROR(__xludf.DUMMYFUNCTION("""COMPUTED_VALUE"""),2312660884)</f>
        <v>2312660884</v>
      </c>
      <c r="D587" s="1">
        <f>IFERROR(__xludf.DUMMYFUNCTION("""COMPUTED_VALUE"""),408117348)</f>
        <v>408117348</v>
      </c>
      <c r="E587" s="1">
        <f>IFERROR(__xludf.DUMMYFUNCTION("""COMPUTED_VALUE"""),471926129004)</f>
        <v>471926129004</v>
      </c>
      <c r="F587" s="1" t="str">
        <f>IFERROR(__xludf.DUMMYFUNCTION("""COMPUTED_VALUE"""),"RPR")</f>
        <v>RPR</v>
      </c>
      <c r="G587" s="1" t="str">
        <f>IFERROR(__xludf.DUMMYFUNCTION("""COMPUTED_VALUE"""),"""CALLTHRU 
VISITED 
REMARKS: RESCHEDULE NO SPECIFIC DATE, NASA BATANGAS PA DAW SILA. MAG MESSAGE NA LANG DAW PAG NANDITO NA SILA SA SILANG 
TALK JAVIER RAMOS JUNIO 
09072015404""")</f>
        <v>"CALLTHRU 
VISITED 
REMARKS: RESCHEDULE NO SPECIFIC DATE, NASA BATANGAS PA DAW SILA. MAG MESSAGE NA LANG DAW PAG NANDITO NA SILA SA SILANG 
TALK JAVIER RAMOS JUNIO 
09072015404"</v>
      </c>
      <c r="H587" s="1"/>
      <c r="I587" s="1"/>
      <c r="J587" s="1"/>
      <c r="K587" s="1" t="str">
        <f>IFERROR(__xludf.DUMMYFUNCTION("""COMPUTED_VALUE"""),"CANCELED")</f>
        <v>CANCELED</v>
      </c>
      <c r="L587" s="1" t="str">
        <f>IFERROR(__xludf.DUMMYFUNCTION("""COMPUTED_VALUE"""),"RPR - RESCHEDULE")</f>
        <v>RPR - RESCHEDULE</v>
      </c>
      <c r="M587" s="1" t="str">
        <f>IFERROR(__xludf.DUMMYFUNCTION("""COMPUTED_VALUE"""),"AFD - RESCHEDULED")</f>
        <v>AFD - RESCHEDULED</v>
      </c>
      <c r="N587" s="3"/>
      <c r="O587" s="1" t="str">
        <f>IFERROR(__xludf.DUMMYFUNCTION("""COMPUTED_VALUE"""),"FIBR PLAN 1299")</f>
        <v>FIBR PLAN 1299</v>
      </c>
      <c r="P587" s="1" t="str">
        <f>IFERROR(__xludf.DUMMYFUNCTION("""COMPUTED_VALUE"""),"LOWPLAN")</f>
        <v>LOWPLAN</v>
      </c>
      <c r="Q587" s="1" t="str">
        <f>IFERROR(__xludf.DUMMYFUNCTION("""COMPUTED_VALUE"""),"P407563")</f>
        <v>P407563</v>
      </c>
      <c r="R587" s="1" t="str">
        <f>IFERROR(__xludf.DUMMYFUNCTION("""COMPUTED_VALUE"""),"BAQUIT, JAZMIN")</f>
        <v>BAQUIT, JAZMIN</v>
      </c>
      <c r="S587" s="1" t="str">
        <f>IFERROR(__xludf.DUMMYFUNCTION("""COMPUTED_VALUE"""),"ORGANIC")</f>
        <v>ORGANIC</v>
      </c>
      <c r="T587" s="1" t="str">
        <f>IFERROR(__xludf.DUMMYFUNCTION("""COMPUTED_VALUE"""),"LEA REMOLLO")</f>
        <v>LEA REMOLLO</v>
      </c>
      <c r="U587" s="1" t="str">
        <f>IFERROR(__xludf.DUMMYFUNCTION("""COMPUTED_VALUE"""),"JB SALIOA")</f>
        <v>JB SALIOA</v>
      </c>
      <c r="V587" s="1" t="str">
        <f>IFERROR(__xludf.DUMMYFUNCTION("""COMPUTED_VALUE"""),"BK REGULAR")</f>
        <v>BK REGULAR</v>
      </c>
      <c r="W587" s="1" t="str">
        <f>IFERROR(__xludf.DUMMYFUNCTION("""COMPUTED_VALUE"""),"STK REGULAR")</f>
        <v>STK REGULAR</v>
      </c>
      <c r="X587" s="1" t="str">
        <f>IFERROR(__xludf.DUMMYFUNCTION("""COMPUTED_VALUE"""),"HBBS SEPT 2026")</f>
        <v>HBBS SEPT 2026</v>
      </c>
      <c r="Y587" s="1" t="str">
        <f>IFERROR(__xludf.DUMMYFUNCTION("""COMPUTED_VALUE"""),"BK_CVEU_260820")</f>
        <v>BK_CVEU_260820</v>
      </c>
      <c r="Z587" s="1" t="str">
        <f>IFERROR(__xludf.DUMMYFUNCTION("""COMPUTED_VALUE"""),"NEW CONNECT")</f>
        <v>NEW CONNECT</v>
      </c>
      <c r="AA587" s="1">
        <f>IFERROR(__xludf.DUMMYFUNCTION("""COMPUTED_VALUE"""),639072015404)</f>
        <v>639072015404</v>
      </c>
      <c r="AB587" s="1"/>
      <c r="AC587" s="1">
        <f>IFERROR(__xludf.DUMMYFUNCTION("""COMPUTED_VALUE"""),295)</f>
        <v>295</v>
      </c>
      <c r="AD587" s="1" t="str">
        <f>IFERROR(__xludf.DUMMYFUNCTION("""COMPUTED_VALUE"""),"PASONG LANGKA")</f>
        <v>PASONG LANGKA</v>
      </c>
      <c r="AE587" s="1" t="str">
        <f>IFERROR(__xludf.DUMMYFUNCTION("""COMPUTED_VALUE"""),"PUROK 1")</f>
        <v>PUROK 1</v>
      </c>
      <c r="AF587" s="1" t="str">
        <f>IFERROR(__xludf.DUMMYFUNCTION("""COMPUTED_VALUE"""),"BGY PASONG LANGKA")</f>
        <v>BGY PASONG LANGKA</v>
      </c>
      <c r="AG587" s="1" t="str">
        <f>IFERROR(__xludf.DUMMYFUNCTION("""COMPUTED_VALUE"""),"SILANG")</f>
        <v>SILANG</v>
      </c>
      <c r="AH587" s="1" t="str">
        <f>IFERROR(__xludf.DUMMYFUNCTION("""COMPUTED_VALUE"""),"-")</f>
        <v>-</v>
      </c>
      <c r="AI587" s="1" t="str">
        <f>IFERROR(__xludf.DUMMYFUNCTION("""COMPUTED_VALUE"""),"CLUSTER 11")</f>
        <v>CLUSTER 11</v>
      </c>
    </row>
    <row r="588" customHeight="1" spans="1:35">
      <c r="A588" s="3">
        <f>IFERROR(__xludf.DUMMYFUNCTION("""COMPUTED_VALUE"""),46283)</f>
        <v>46283</v>
      </c>
      <c r="B588" s="1" t="str">
        <f>IFERROR(__xludf.DUMMYFUNCTION("""COMPUTED_VALUE"""),"CHRISTOPHER RYAN AMOYO LACANDAZO")</f>
        <v>CHRISTOPHER RYAN AMOYO LACANDAZO</v>
      </c>
      <c r="C588" s="1">
        <f>IFERROR(__xludf.DUMMYFUNCTION("""COMPUTED_VALUE"""),2312663314)</f>
        <v>2312663314</v>
      </c>
      <c r="D588" s="1">
        <f>IFERROR(__xludf.DUMMYFUNCTION("""COMPUTED_VALUE"""),408128285)</f>
        <v>408128285</v>
      </c>
      <c r="E588" s="1">
        <f>IFERROR(__xludf.DUMMYFUNCTION("""COMPUTED_VALUE"""),471934279004)</f>
        <v>471934279004</v>
      </c>
      <c r="F588" s="1" t="str">
        <f>IFERROR(__xludf.DUMMYFUNCTION("""COMPUTED_VALUE"""),"CLOSED")</f>
        <v>CLOSED</v>
      </c>
      <c r="G588" s="1" t="str">
        <f>IFERROR(__xludf.DUMMYFUNCTION("""COMPUTED_VALUE"""),"CLOSED")</f>
        <v>CLOSED</v>
      </c>
      <c r="H588" s="1" t="str">
        <f>IFERROR(__xludf.DUMMYFUNCTION("""COMPUTED_VALUE"""),"PAID VIA GCASH - SEPT 19 - REF - 009373854")</f>
        <v>PAID VIA GCASH - SEPT 19 - REF - 009373854</v>
      </c>
      <c r="I588" s="1" t="str">
        <f>IFERROR(__xludf.DUMMYFUNCTION("""COMPUTED_VALUE"""),"WITH 1 AMSF")</f>
        <v>WITH 1 AMSF</v>
      </c>
      <c r="J588" s="1"/>
      <c r="K588" s="1" t="str">
        <f>IFERROR(__xludf.DUMMYFUNCTION("""COMPUTED_VALUE"""),"COMPLETED")</f>
        <v>COMPLETED</v>
      </c>
      <c r="L588" s="1" t="str">
        <f>IFERROR(__xludf.DUMMYFUNCTION("""COMPUTED_VALUE"""),"POSTED")</f>
        <v>POSTED</v>
      </c>
      <c r="M588" s="1" t="str">
        <f>IFERROR(__xludf.DUMMYFUNCTION("""COMPUTED_VALUE"""),"POSTED")</f>
        <v>POSTED</v>
      </c>
      <c r="N588" s="3">
        <f>IFERROR(__xludf.DUMMYFUNCTION("""COMPUTED_VALUE"""),46285)</f>
        <v>46285</v>
      </c>
      <c r="O588" s="1" t="str">
        <f>IFERROR(__xludf.DUMMYFUNCTION("""COMPUTED_VALUE"""),"FIBR PLAN 1699")</f>
        <v>FIBR PLAN 1699</v>
      </c>
      <c r="P588" s="1" t="str">
        <f>IFERROR(__xludf.DUMMYFUNCTION("""COMPUTED_VALUE"""),"HIGHPLAN")</f>
        <v>HIGHPLAN</v>
      </c>
      <c r="Q588" s="1" t="str">
        <f>IFERROR(__xludf.DUMMYFUNCTION("""COMPUTED_VALUE"""),"P407517")</f>
        <v>P407517</v>
      </c>
      <c r="R588" s="1" t="str">
        <f>IFERROR(__xludf.DUMMYFUNCTION("""COMPUTED_VALUE"""),"GABAY, MANUEL")</f>
        <v>GABAY, MANUEL</v>
      </c>
      <c r="S588" s="1" t="str">
        <f>IFERROR(__xludf.DUMMYFUNCTION("""COMPUTED_VALUE"""),"FLA")</f>
        <v>FLA</v>
      </c>
      <c r="T588" s="1" t="str">
        <f>IFERROR(__xludf.DUMMYFUNCTION("""COMPUTED_VALUE"""),"JERIC NAVARRO")</f>
        <v>JERIC NAVARRO</v>
      </c>
      <c r="U588" s="1" t="str">
        <f>IFERROR(__xludf.DUMMYFUNCTION("""COMPUTED_VALUE"""),"JB SALIOA")</f>
        <v>JB SALIOA</v>
      </c>
      <c r="V588" s="1" t="str">
        <f>IFERROR(__xludf.DUMMYFUNCTION("""COMPUTED_VALUE"""),"ONLINE/CRANFORD")</f>
        <v>ONLINE/CRANFORD</v>
      </c>
      <c r="W588" s="1" t="str">
        <f>IFERROR(__xludf.DUMMYFUNCTION("""COMPUTED_VALUE"""),"STK REGULAR")</f>
        <v>STK REGULAR</v>
      </c>
      <c r="X588" s="1" t="str">
        <f>IFERROR(__xludf.DUMMYFUNCTION("""COMPUTED_VALUE"""),"HBBS SEPT 2026")</f>
        <v>HBBS SEPT 2026</v>
      </c>
      <c r="Y588" s="1" t="str">
        <f>IFERROR(__xludf.DUMMYFUNCTION("""COMPUTED_VALUE"""),"RS_ONL_CVEU_2026")</f>
        <v>RS_ONL_CVEU_2026</v>
      </c>
      <c r="Z588" s="1" t="str">
        <f>IFERROR(__xludf.DUMMYFUNCTION("""COMPUTED_VALUE"""),"NEW CONNECT")</f>
        <v>NEW CONNECT</v>
      </c>
      <c r="AA588" s="1">
        <f>IFERROR(__xludf.DUMMYFUNCTION("""COMPUTED_VALUE"""),639184120574)</f>
        <v>639184120574</v>
      </c>
      <c r="AB588" s="1">
        <f>IFERROR(__xludf.DUMMYFUNCTION("""COMPUTED_VALUE"""),639974172524)</f>
        <v>639974172524</v>
      </c>
      <c r="AC588" s="1"/>
      <c r="AD588" s="1" t="str">
        <f>IFERROR(__xludf.DUMMYFUNCTION("""COMPUTED_VALUE"""),"WASHINGTON")</f>
        <v>WASHINGTON</v>
      </c>
      <c r="AE588" s="1" t="str">
        <f>IFERROR(__xludf.DUMMYFUNCTION("""COMPUTED_VALUE"""),"SAN MARINO SOUTH 2")</f>
        <v>SAN MARINO SOUTH 2</v>
      </c>
      <c r="AF588" s="1" t="str">
        <f>IFERROR(__xludf.DUMMYFUNCTION("""COMPUTED_VALUE"""),"BGY SALAWAG")</f>
        <v>BGY SALAWAG</v>
      </c>
      <c r="AG588" s="1" t="str">
        <f>IFERROR(__xludf.DUMMYFUNCTION("""COMPUTED_VALUE"""),"DASMARINAS")</f>
        <v>DASMARINAS</v>
      </c>
      <c r="AH588" s="1" t="str">
        <f>IFERROR(__xludf.DUMMYFUNCTION("""COMPUTED_VALUE"""),"INFRONT OF TLC SERVICE")</f>
        <v>INFRONT OF TLC SERVICE</v>
      </c>
      <c r="AI588" s="1" t="str">
        <f>IFERROR(__xludf.DUMMYFUNCTION("""COMPUTED_VALUE"""),"NOT AOR")</f>
        <v>NOT AOR</v>
      </c>
    </row>
    <row r="589" customHeight="1" spans="1:35">
      <c r="A589" s="3">
        <f>IFERROR(__xludf.DUMMYFUNCTION("""COMPUTED_VALUE"""),46283)</f>
        <v>46283</v>
      </c>
      <c r="B589" s="1" t="str">
        <f>IFERROR(__xludf.DUMMYFUNCTION("""COMPUTED_VALUE"""),"ANDROMEDA MAE VILLANO CAUBIC")</f>
        <v>ANDROMEDA MAE VILLANO CAUBIC</v>
      </c>
      <c r="C589" s="1">
        <f>IFERROR(__xludf.DUMMYFUNCTION("""COMPUTED_VALUE"""),2312665926)</f>
        <v>2312665926</v>
      </c>
      <c r="D589" s="1">
        <f>IFERROR(__xludf.DUMMYFUNCTION("""COMPUTED_VALUE"""),408135575)</f>
        <v>408135575</v>
      </c>
      <c r="E589" s="1">
        <f>IFERROR(__xludf.DUMMYFUNCTION("""COMPUTED_VALUE"""),471962030004)</f>
        <v>471962030004</v>
      </c>
      <c r="F589" s="1" t="str">
        <f>IFERROR(__xludf.DUMMYFUNCTION("""COMPUTED_VALUE"""),"RPR")</f>
        <v>RPR</v>
      </c>
      <c r="G589" s="1" t="str">
        <f>IFERROR(__xludf.DUMMYFUNCTION("""COMPUTED_VALUE"""),"TRUCK ROLL VISITED REAMARKS CANCEL REQUEST NAG DOBLE APPLICATION DAW SILA ANG IPROCEED YUNG SA NANAY NYA KASI MICHELLE VILLANO CAUBIC 471916389004 TALK ANDROMEDA MAE VILLANO CAUBIC CBR 09931231285")</f>
        <v>TRUCK ROLL VISITED REAMARKS CANCEL REQUEST NAG DOBLE APPLICATION DAW SILA ANG IPROCEED YUNG SA NANAY NYA KASI MICHELLE VILLANO CAUBIC 471916389004 TALK ANDROMEDA MAE VILLANO CAUBIC CBR 09931231285</v>
      </c>
      <c r="H589" s="1" t="str">
        <f>IFERROR(__xludf.DUMMYFUNCTION("""COMPUTED_VALUE"""),"NO PAYMENT")</f>
        <v>NO PAYMENT</v>
      </c>
      <c r="I589" s="1" t="str">
        <f>IFERROR(__xludf.DUMMYFUNCTION("""COMPUTED_VALUE"""),"NO 1 AMSF")</f>
        <v>NO 1 AMSF</v>
      </c>
      <c r="J589" s="1" t="str">
        <f>IFERROR(__xludf.DUMMYFUNCTION("""COMPUTED_VALUE"""),"NO PAYMENT")</f>
        <v>NO PAYMENT</v>
      </c>
      <c r="K589" s="1" t="str">
        <f>IFERROR(__xludf.DUMMYFUNCTION("""COMPUTED_VALUE"""),"CANCELED")</f>
        <v>CANCELED</v>
      </c>
      <c r="L589" s="1" t="str">
        <f>IFERROR(__xludf.DUMMYFUNCTION("""COMPUTED_VALUE"""),"RPR - SUBS CANCEL REQUEST")</f>
        <v>RPR - SUBS CANCEL REQUEST</v>
      </c>
      <c r="M589" s="1" t="str">
        <f>IFERROR(__xludf.DUMMYFUNCTION("""COMPUTED_VALUE"""),"RPR- SUBS CANCEL REQUEST")</f>
        <v>RPR- SUBS CANCEL REQUEST</v>
      </c>
      <c r="N589" s="3"/>
      <c r="O589" s="1" t="str">
        <f>IFERROR(__xludf.DUMMYFUNCTION("""COMPUTED_VALUE"""),"FIBR PLAN 1299")</f>
        <v>FIBR PLAN 1299</v>
      </c>
      <c r="P589" s="1" t="str">
        <f>IFERROR(__xludf.DUMMYFUNCTION("""COMPUTED_VALUE"""),"LOWPLAN")</f>
        <v>LOWPLAN</v>
      </c>
      <c r="Q589" s="1" t="str">
        <f>IFERROR(__xludf.DUMMYFUNCTION("""COMPUTED_VALUE"""),"P407520")</f>
        <v>P407520</v>
      </c>
      <c r="R589" s="1" t="str">
        <f>IFERROR(__xludf.DUMMYFUNCTION("""COMPUTED_VALUE"""),"MALIWAT, MARK")</f>
        <v>MALIWAT, MARK</v>
      </c>
      <c r="S589" s="1" t="str">
        <f>IFERROR(__xludf.DUMMYFUNCTION("""COMPUTED_VALUE"""),"FLA")</f>
        <v>FLA</v>
      </c>
      <c r="T589" s="1" t="str">
        <f>IFERROR(__xludf.DUMMYFUNCTION("""COMPUTED_VALUE"""),"JERIC NAVARRO")</f>
        <v>JERIC NAVARRO</v>
      </c>
      <c r="U589" s="1" t="str">
        <f>IFERROR(__xludf.DUMMYFUNCTION("""COMPUTED_VALUE"""),"JB SALIOA")</f>
        <v>JB SALIOA</v>
      </c>
      <c r="V589" s="1" t="str">
        <f>IFERROR(__xludf.DUMMYFUNCTION("""COMPUTED_VALUE"""),"ONLINE/CRANFORD")</f>
        <v>ONLINE/CRANFORD</v>
      </c>
      <c r="W589" s="1" t="str">
        <f>IFERROR(__xludf.DUMMYFUNCTION("""COMPUTED_VALUE"""),"STK REGULAR")</f>
        <v>STK REGULAR</v>
      </c>
      <c r="X589" s="1" t="str">
        <f>IFERROR(__xludf.DUMMYFUNCTION("""COMPUTED_VALUE"""),"HBBS SEPT 2026")</f>
        <v>HBBS SEPT 2026</v>
      </c>
      <c r="Y589" s="1" t="str">
        <f>IFERROR(__xludf.DUMMYFUNCTION("""COMPUTED_VALUE"""),"RS_ONL_CVEU_2026")</f>
        <v>RS_ONL_CVEU_2026</v>
      </c>
      <c r="Z589" s="1" t="str">
        <f>IFERROR(__xludf.DUMMYFUNCTION("""COMPUTED_VALUE"""),"NEW CONNECT")</f>
        <v>NEW CONNECT</v>
      </c>
      <c r="AA589" s="1">
        <f>IFERROR(__xludf.DUMMYFUNCTION("""COMPUTED_VALUE"""),639931231285)</f>
        <v>639931231285</v>
      </c>
      <c r="AB589" s="1">
        <f>IFERROR(__xludf.DUMMYFUNCTION("""COMPUTED_VALUE"""),639471081489)</f>
        <v>639471081489</v>
      </c>
      <c r="AC589" s="1"/>
      <c r="AD589" s="1" t="str">
        <f>IFERROR(__xludf.DUMMYFUNCTION("""COMPUTED_VALUE"""),"EVERLASTING")</f>
        <v>EVERLASTING</v>
      </c>
      <c r="AE589" s="1"/>
      <c r="AF589" s="1" t="str">
        <f>IFERROR(__xludf.DUMMYFUNCTION("""COMPUTED_VALUE"""),"BGY STA CRISTINA 1")</f>
        <v>BGY STA CRISTINA 1</v>
      </c>
      <c r="AG589" s="1" t="str">
        <f>IFERROR(__xludf.DUMMYFUNCTION("""COMPUTED_VALUE"""),"DASMARINAS")</f>
        <v>DASMARINAS</v>
      </c>
      <c r="AH589" s="1" t="str">
        <f>IFERROR(__xludf.DUMMYFUNCTION("""COMPUTED_VALUE"""),"EVERLASTING ST")</f>
        <v>EVERLASTING ST</v>
      </c>
      <c r="AI589" s="1" t="str">
        <f>IFERROR(__xludf.DUMMYFUNCTION("""COMPUTED_VALUE"""),"NOT AOR")</f>
        <v>NOT AOR</v>
      </c>
    </row>
    <row r="590" customHeight="1" spans="1:35">
      <c r="A590" s="3">
        <f>IFERROR(__xludf.DUMMYFUNCTION("""COMPUTED_VALUE"""),46283)</f>
        <v>46283</v>
      </c>
      <c r="B590" s="1" t="str">
        <f>IFERROR(__xludf.DUMMYFUNCTION("""COMPUTED_VALUE"""),"ARNEL JIMENEZ VILLANUEVA")</f>
        <v>ARNEL JIMENEZ VILLANUEVA</v>
      </c>
      <c r="C590" s="1">
        <f>IFERROR(__xludf.DUMMYFUNCTION("""COMPUTED_VALUE"""),2312666238)</f>
        <v>2312666238</v>
      </c>
      <c r="D590" s="1">
        <f>IFERROR(__xludf.DUMMYFUNCTION("""COMPUTED_VALUE"""),408132797)</f>
        <v>408132797</v>
      </c>
      <c r="E590" s="1">
        <f>IFERROR(__xludf.DUMMYFUNCTION("""COMPUTED_VALUE"""),471954536004)</f>
        <v>471954536004</v>
      </c>
      <c r="F590" s="1" t="str">
        <f>IFERROR(__xludf.DUMMYFUNCTION("""COMPUTED_VALUE"""),"RPR")</f>
        <v>RPR</v>
      </c>
      <c r="G590" s="1" t="str">
        <f>IFERROR(__xludf.DUMMYFUNCTION("""COMPUTED_VALUE"""),"FULL NAP  SILLP494NP4 no vacant SILLP562NP8 port 8 locked vacant -ACTIVE SILLP589NP4 no vacant")</f>
        <v>FULL NAP  SILLP494NP4 no vacant SILLP562NP8 port 8 locked vacant -ACTIVE SILLP589NP4 no vacant</v>
      </c>
      <c r="H590" s="1" t="str">
        <f>IFERROR(__xludf.DUMMYFUNCTION("""COMPUTED_VALUE"""),"NO PAYMENT")</f>
        <v>NO PAYMENT</v>
      </c>
      <c r="I590" s="1" t="str">
        <f>IFERROR(__xludf.DUMMYFUNCTION("""COMPUTED_VALUE"""),"NO 1 AMSF")</f>
        <v>NO 1 AMSF</v>
      </c>
      <c r="J590" s="1" t="str">
        <f>IFERROR(__xludf.DUMMYFUNCTION("""COMPUTED_VALUE"""),"NO PAYMENT")</f>
        <v>NO PAYMENT</v>
      </c>
      <c r="K590" s="1" t="str">
        <f>IFERROR(__xludf.DUMMYFUNCTION("""COMPUTED_VALUE"""),"CANCELED")</f>
        <v>CANCELED</v>
      </c>
      <c r="L590" s="1" t="str">
        <f>IFERROR(__xludf.DUMMYFUNCTION("""COMPUTED_VALUE"""),"RPR - NAP FULL")</f>
        <v>RPR - NAP FULL</v>
      </c>
      <c r="M590" s="1" t="str">
        <f>IFERROR(__xludf.DUMMYFUNCTION("""COMPUTED_VALUE"""),"RPR- NAP FULL")</f>
        <v>RPR- NAP FULL</v>
      </c>
      <c r="N590" s="3"/>
      <c r="O590" s="1" t="str">
        <f>IFERROR(__xludf.DUMMYFUNCTION("""COMPUTED_VALUE"""),"FIBER UNLI ALL PLAN 1499")</f>
        <v>FIBER UNLI ALL PLAN 1499</v>
      </c>
      <c r="P590" s="1" t="str">
        <f>IFERROR(__xludf.DUMMYFUNCTION("""COMPUTED_VALUE"""),"LOWPLAN")</f>
        <v>LOWPLAN</v>
      </c>
      <c r="Q590" s="1" t="str">
        <f>IFERROR(__xludf.DUMMYFUNCTION("""COMPUTED_VALUE"""),"P407050")</f>
        <v>P407050</v>
      </c>
      <c r="R590" s="1" t="str">
        <f>IFERROR(__xludf.DUMMYFUNCTION("""COMPUTED_VALUE"""),"CADERAO, RONALD")</f>
        <v>CADERAO, RONALD</v>
      </c>
      <c r="S590" s="1" t="str">
        <f>IFERROR(__xludf.DUMMYFUNCTION("""COMPUTED_VALUE"""),"ORGANIC")</f>
        <v>ORGANIC</v>
      </c>
      <c r="T590" s="1" t="str">
        <f>IFERROR(__xludf.DUMMYFUNCTION("""COMPUTED_VALUE"""),"LEA REMOLLO")</f>
        <v>LEA REMOLLO</v>
      </c>
      <c r="U590" s="1" t="str">
        <f>IFERROR(__xludf.DUMMYFUNCTION("""COMPUTED_VALUE"""),"JB SALIOA")</f>
        <v>JB SALIOA</v>
      </c>
      <c r="V590" s="1" t="str">
        <f>IFERROR(__xludf.DUMMYFUNCTION("""COMPUTED_VALUE"""),"BK HSTK")</f>
        <v>BK HSTK</v>
      </c>
      <c r="W590" s="1" t="str">
        <f>IFERROR(__xludf.DUMMYFUNCTION("""COMPUTED_VALUE"""),"BK HSTK")</f>
        <v>BK HSTK</v>
      </c>
      <c r="X590" s="1" t="str">
        <f>IFERROR(__xludf.DUMMYFUNCTION("""COMPUTED_VALUE"""),"HBBS SEPT 2026")</f>
        <v>HBBS SEPT 2026</v>
      </c>
      <c r="Y590" s="1" t="str">
        <f>IFERROR(__xludf.DUMMYFUNCTION("""COMPUTED_VALUE"""),"BK_CVEU_260820")</f>
        <v>BK_CVEU_260820</v>
      </c>
      <c r="Z590" s="1" t="str">
        <f>IFERROR(__xludf.DUMMYFUNCTION("""COMPUTED_VALUE"""),"NEW CONNECT")</f>
        <v>NEW CONNECT</v>
      </c>
      <c r="AA590" s="1">
        <f>IFERROR(__xludf.DUMMYFUNCTION("""COMPUTED_VALUE"""),639945266498)</f>
        <v>639945266498</v>
      </c>
      <c r="AB590" s="1"/>
      <c r="AC590" s="1"/>
      <c r="AD590" s="1" t="str">
        <f>IFERROR(__xludf.DUMMYFUNCTION("""COMPUTED_VALUE"""),"IPIL 2")</f>
        <v>IPIL 2</v>
      </c>
      <c r="AE590" s="1"/>
      <c r="AF590" s="1" t="str">
        <f>IFERROR(__xludf.DUMMYFUNCTION("""COMPUTED_VALUE"""),"BGY IPIL 2")</f>
        <v>BGY IPIL 2</v>
      </c>
      <c r="AG590" s="1" t="str">
        <f>IFERROR(__xludf.DUMMYFUNCTION("""COMPUTED_VALUE"""),"SILANG")</f>
        <v>SILANG</v>
      </c>
      <c r="AH590" s="1" t="str">
        <f>IFERROR(__xludf.DUMMYFUNCTION("""COMPUTED_VALUE"""),"-")</f>
        <v>-</v>
      </c>
      <c r="AI590" s="1" t="str">
        <f>IFERROR(__xludf.DUMMYFUNCTION("""COMPUTED_VALUE"""),"CLUSTER 11")</f>
        <v>CLUSTER 11</v>
      </c>
    </row>
    <row r="591" customHeight="1" spans="1:35">
      <c r="A591" s="3">
        <f>IFERROR(__xludf.DUMMYFUNCTION("""COMPUTED_VALUE"""),46284)</f>
        <v>46284</v>
      </c>
      <c r="B591" s="1" t="str">
        <f>IFERROR(__xludf.DUMMYFUNCTION("""COMPUTED_VALUE"""),"JUDITH DORADO VILLARUEL")</f>
        <v>JUDITH DORADO VILLARUEL</v>
      </c>
      <c r="C591" s="1">
        <f>IFERROR(__xludf.DUMMYFUNCTION("""COMPUTED_VALUE"""),2312673687)</f>
        <v>2312673687</v>
      </c>
      <c r="D591" s="1">
        <f>IFERROR(__xludf.DUMMYFUNCTION("""COMPUTED_VALUE"""),408144450)</f>
        <v>408144450</v>
      </c>
      <c r="E591" s="1">
        <f>IFERROR(__xludf.DUMMYFUNCTION("""COMPUTED_VALUE"""),472016879004)</f>
        <v>472016879004</v>
      </c>
      <c r="F591" s="1" t="str">
        <f>IFERROR(__xludf.DUMMYFUNCTION("""COMPUTED_VALUE"""),"RPR")</f>
        <v>RPR</v>
      </c>
      <c r="G591" s="1" t="str">
        <f>IFERROR(__xludf.DUMMYFUNCTION("""COMPUTED_VALUE"""),"NO AVAILABLE SLOT ALL SURVEY CAFAC FULL ASSIGNED CAFAC NOT ON SITE SILFELP491NP006 full SILFELP491NP007 p7 locked SILFELP454NP008 full SUBS ALREADY ADVISE")</f>
        <v>NO AVAILABLE SLOT ALL SURVEY CAFAC FULL ASSIGNED CAFAC NOT ON SITE SILFELP491NP006 full SILFELP491NP007 p7 locked SILFELP454NP008 full SUBS ALREADY ADVISE</v>
      </c>
      <c r="H591" s="1" t="str">
        <f>IFERROR(__xludf.DUMMYFUNCTION("""COMPUTED_VALUE"""),"NO PAYMENT")</f>
        <v>NO PAYMENT</v>
      </c>
      <c r="I591" s="1" t="str">
        <f>IFERROR(__xludf.DUMMYFUNCTION("""COMPUTED_VALUE"""),"NO 1 AMSF")</f>
        <v>NO 1 AMSF</v>
      </c>
      <c r="J591" s="1" t="str">
        <f>IFERROR(__xludf.DUMMYFUNCTION("""COMPUTED_VALUE"""),"NO PAYMENT")</f>
        <v>NO PAYMENT</v>
      </c>
      <c r="K591" s="1" t="str">
        <f>IFERROR(__xludf.DUMMYFUNCTION("""COMPUTED_VALUE"""),"CANCELED")</f>
        <v>CANCELED</v>
      </c>
      <c r="L591" s="1" t="str">
        <f>IFERROR(__xludf.DUMMYFUNCTION("""COMPUTED_VALUE"""),"RPR - NAP FULL")</f>
        <v>RPR - NAP FULL</v>
      </c>
      <c r="M591" s="1" t="str">
        <f>IFERROR(__xludf.DUMMYFUNCTION("""COMPUTED_VALUE"""),"RPR- NAP FULL")</f>
        <v>RPR- NAP FULL</v>
      </c>
      <c r="N591" s="3"/>
      <c r="O591" s="1" t="str">
        <f>IFERROR(__xludf.DUMMYFUNCTION("""COMPUTED_VALUE"""),"FIBER UNLI ALL PLAN 1499")</f>
        <v>FIBER UNLI ALL PLAN 1499</v>
      </c>
      <c r="P591" s="1" t="str">
        <f>IFERROR(__xludf.DUMMYFUNCTION("""COMPUTED_VALUE"""),"LOWPLAN")</f>
        <v>LOWPLAN</v>
      </c>
      <c r="Q591" s="1" t="str">
        <f>IFERROR(__xludf.DUMMYFUNCTION("""COMPUTED_VALUE"""),"P407516")</f>
        <v>P407516</v>
      </c>
      <c r="R591" s="1" t="str">
        <f>IFERROR(__xludf.DUMMYFUNCTION("""COMPUTED_VALUE"""),"AYON, MANUEL")</f>
        <v>AYON, MANUEL</v>
      </c>
      <c r="S591" s="1" t="str">
        <f>IFERROR(__xludf.DUMMYFUNCTION("""COMPUTED_VALUE"""),"FLA")</f>
        <v>FLA</v>
      </c>
      <c r="T591" s="1" t="str">
        <f>IFERROR(__xludf.DUMMYFUNCTION("""COMPUTED_VALUE"""),"JERIC NAVARRO")</f>
        <v>JERIC NAVARRO</v>
      </c>
      <c r="U591" s="1" t="str">
        <f>IFERROR(__xludf.DUMMYFUNCTION("""COMPUTED_VALUE"""),"JB SALIOA")</f>
        <v>JB SALIOA</v>
      </c>
      <c r="V591" s="1" t="str">
        <f>IFERROR(__xludf.DUMMYFUNCTION("""COMPUTED_VALUE"""),"BK HSTK")</f>
        <v>BK HSTK</v>
      </c>
      <c r="W591" s="1" t="str">
        <f>IFERROR(__xludf.DUMMYFUNCTION("""COMPUTED_VALUE"""),"BK HSTK")</f>
        <v>BK HSTK</v>
      </c>
      <c r="X591" s="1" t="str">
        <f>IFERROR(__xludf.DUMMYFUNCTION("""COMPUTED_VALUE"""),"HBBS SEPT 2026")</f>
        <v>HBBS SEPT 2026</v>
      </c>
      <c r="Y591" s="1" t="str">
        <f>IFERROR(__xludf.DUMMYFUNCTION("""COMPUTED_VALUE"""),"BK_CVEU_260820")</f>
        <v>BK_CVEU_260820</v>
      </c>
      <c r="Z591" s="1" t="str">
        <f>IFERROR(__xludf.DUMMYFUNCTION("""COMPUTED_VALUE"""),"NEW CONNECT")</f>
        <v>NEW CONNECT</v>
      </c>
      <c r="AA591" s="1">
        <f>IFERROR(__xludf.DUMMYFUNCTION("""COMPUTED_VALUE"""),639458324877)</f>
        <v>639458324877</v>
      </c>
      <c r="AB591" s="1">
        <f>IFERROR(__xludf.DUMMYFUNCTION("""COMPUTED_VALUE"""),639175555633)</f>
        <v>639175555633</v>
      </c>
      <c r="AC591" s="1"/>
      <c r="AD591" s="1" t="str">
        <f>IFERROR(__xludf.DUMMYFUNCTION("""COMPUTED_VALUE"""),"ZONE 2")</f>
        <v>ZONE 2</v>
      </c>
      <c r="AE591" s="1" t="str">
        <f>IFERROR(__xludf.DUMMYFUNCTION("""COMPUTED_VALUE"""),"AFP HOUSING")</f>
        <v>AFP HOUSING</v>
      </c>
      <c r="AF591" s="1" t="str">
        <f>IFERROR(__xludf.DUMMYFUNCTION("""COMPUTED_VALUE"""),"BGY BULIHAN")</f>
        <v>BGY BULIHAN</v>
      </c>
      <c r="AG591" s="1" t="str">
        <f>IFERROR(__xludf.DUMMYFUNCTION("""COMPUTED_VALUE"""),"SILANG")</f>
        <v>SILANG</v>
      </c>
      <c r="AH591" s="1" t="str">
        <f>IFERROR(__xludf.DUMMYFUNCTION("""COMPUTED_VALUE"""),"-")</f>
        <v>-</v>
      </c>
      <c r="AI591" s="1" t="str">
        <f>IFERROR(__xludf.DUMMYFUNCTION("""COMPUTED_VALUE"""),"CLUSTER 11")</f>
        <v>CLUSTER 11</v>
      </c>
    </row>
    <row r="592" customHeight="1" spans="1:35">
      <c r="A592" s="3">
        <f>IFERROR(__xludf.DUMMYFUNCTION("""COMPUTED_VALUE"""),46284)</f>
        <v>46284</v>
      </c>
      <c r="B592" s="1" t="str">
        <f>IFERROR(__xludf.DUMMYFUNCTION("""COMPUTED_VALUE"""),"JULIE ANN MONTERO BERNABE")</f>
        <v>JULIE ANN MONTERO BERNABE</v>
      </c>
      <c r="C592" s="1">
        <f>IFERROR(__xludf.DUMMYFUNCTION("""COMPUTED_VALUE"""),2312674578)</f>
        <v>2312674578</v>
      </c>
      <c r="D592" s="1">
        <f>IFERROR(__xludf.DUMMYFUNCTION("""COMPUTED_VALUE"""),408146747)</f>
        <v>408146747</v>
      </c>
      <c r="E592" s="1">
        <f>IFERROR(__xludf.DUMMYFUNCTION("""COMPUTED_VALUE"""),472018055004)</f>
        <v>472018055004</v>
      </c>
      <c r="F592" s="1" t="str">
        <f>IFERROR(__xludf.DUMMYFUNCTION("""COMPUTED_VALUE"""),"CLOSED")</f>
        <v>CLOSED</v>
      </c>
      <c r="G592" s="1" t="str">
        <f>IFERROR(__xludf.DUMMYFUNCTION("""COMPUTED_VALUE"""),"CLOSED")</f>
        <v>CLOSED</v>
      </c>
      <c r="H592" s="1" t="str">
        <f>IFERROR(__xludf.DUMMYFUNCTION("""COMPUTED_VALUE"""),"PAID VIA GCASH - REF - 405950149")</f>
        <v>PAID VIA GCASH - REF - 405950149</v>
      </c>
      <c r="I592" s="1" t="str">
        <f>IFERROR(__xludf.DUMMYFUNCTION("""COMPUTED_VALUE"""),"WITH 1 AMSF")</f>
        <v>WITH 1 AMSF</v>
      </c>
      <c r="J592" s="1"/>
      <c r="K592" s="1" t="str">
        <f>IFERROR(__xludf.DUMMYFUNCTION("""COMPUTED_VALUE"""),"COMPLETED")</f>
        <v>COMPLETED</v>
      </c>
      <c r="L592" s="1" t="str">
        <f>IFERROR(__xludf.DUMMYFUNCTION("""COMPUTED_VALUE"""),"POSTED")</f>
        <v>POSTED</v>
      </c>
      <c r="M592" s="1" t="str">
        <f>IFERROR(__xludf.DUMMYFUNCTION("""COMPUTED_VALUE"""),"POSTED")</f>
        <v>POSTED</v>
      </c>
      <c r="N592" s="3">
        <f>IFERROR(__xludf.DUMMYFUNCTION("""COMPUTED_VALUE"""),46285)</f>
        <v>46285</v>
      </c>
      <c r="O592" s="1" t="str">
        <f>IFERROR(__xludf.DUMMYFUNCTION("""COMPUTED_VALUE"""),"FIBR PLAN 1699")</f>
        <v>FIBR PLAN 1699</v>
      </c>
      <c r="P592" s="1" t="str">
        <f>IFERROR(__xludf.DUMMYFUNCTION("""COMPUTED_VALUE"""),"HIGHPLAN")</f>
        <v>HIGHPLAN</v>
      </c>
      <c r="Q592" s="1" t="str">
        <f>IFERROR(__xludf.DUMMYFUNCTION("""COMPUTED_VALUE"""),"P407045")</f>
        <v>P407045</v>
      </c>
      <c r="R592" s="1" t="str">
        <f>IFERROR(__xludf.DUMMYFUNCTION("""COMPUTED_VALUE"""),"REMOLLO, LEA")</f>
        <v>REMOLLO, LEA</v>
      </c>
      <c r="S592" s="1" t="str">
        <f>IFERROR(__xludf.DUMMYFUNCTION("""COMPUTED_VALUE"""),"FLA")</f>
        <v>FLA</v>
      </c>
      <c r="T592" s="1" t="str">
        <f>IFERROR(__xludf.DUMMYFUNCTION("""COMPUTED_VALUE"""),"JERIC NAVARRO")</f>
        <v>JERIC NAVARRO</v>
      </c>
      <c r="U592" s="1" t="str">
        <f>IFERROR(__xludf.DUMMYFUNCTION("""COMPUTED_VALUE"""),"JB SALIOA")</f>
        <v>JB SALIOA</v>
      </c>
      <c r="V592" s="1" t="str">
        <f>IFERROR(__xludf.DUMMYFUNCTION("""COMPUTED_VALUE"""),"ONLINE/CRANFORD")</f>
        <v>ONLINE/CRANFORD</v>
      </c>
      <c r="W592" s="1" t="str">
        <f>IFERROR(__xludf.DUMMYFUNCTION("""COMPUTED_VALUE"""),"STK REGULAR")</f>
        <v>STK REGULAR</v>
      </c>
      <c r="X592" s="1" t="str">
        <f>IFERROR(__xludf.DUMMYFUNCTION("""COMPUTED_VALUE"""),"HBBS SEPT 2026")</f>
        <v>HBBS SEPT 2026</v>
      </c>
      <c r="Y592" s="1" t="str">
        <f>IFERROR(__xludf.DUMMYFUNCTION("""COMPUTED_VALUE"""),"RS_ONL_CVEU_2026")</f>
        <v>RS_ONL_CVEU_2026</v>
      </c>
      <c r="Z592" s="1" t="str">
        <f>IFERROR(__xludf.DUMMYFUNCTION("""COMPUTED_VALUE"""),"NEW CONNECT")</f>
        <v>NEW CONNECT</v>
      </c>
      <c r="AA592" s="1">
        <f>IFERROR(__xludf.DUMMYFUNCTION("""COMPUTED_VALUE"""),639294869739)</f>
        <v>639294869739</v>
      </c>
      <c r="AB592" s="1"/>
      <c r="AC592" s="1"/>
      <c r="AD592" s="1" t="str">
        <f>IFERROR(__xludf.DUMMYFUNCTION("""COMPUTED_VALUE"""),"EXTENSION")</f>
        <v>EXTENSION</v>
      </c>
      <c r="AE592" s="1" t="str">
        <f>IFERROR(__xludf.DUMMYFUNCTION("""COMPUTED_VALUE"""),"GREEN PLACE HOMES 2")</f>
        <v>GREEN PLACE HOMES 2</v>
      </c>
      <c r="AF592" s="1" t="str">
        <f>IFERROR(__xludf.DUMMYFUNCTION("""COMPUTED_VALUE"""),"BGY MALAGASANG 2-B")</f>
        <v>BGY MALAGASANG 2-B</v>
      </c>
      <c r="AG592" s="1" t="str">
        <f>IFERROR(__xludf.DUMMYFUNCTION("""COMPUTED_VALUE"""),"IMUS")</f>
        <v>IMUS</v>
      </c>
      <c r="AH592" s="1" t="str">
        <f>IFERROR(__xludf.DUMMYFUNCTION("""COMPUTED_VALUE"""),"EXTENSION")</f>
        <v>EXTENSION</v>
      </c>
      <c r="AI592" s="1" t="str">
        <f>IFERROR(__xludf.DUMMYFUNCTION("""COMPUTED_VALUE"""),"NOT AOR")</f>
        <v>NOT AOR</v>
      </c>
    </row>
    <row r="593" customHeight="1" spans="1:35">
      <c r="A593" s="3">
        <f>IFERROR(__xludf.DUMMYFUNCTION("""COMPUTED_VALUE"""),46284)</f>
        <v>46284</v>
      </c>
      <c r="B593" s="1" t="str">
        <f>IFERROR(__xludf.DUMMYFUNCTION("""COMPUTED_VALUE"""),"WINSTON ESTORES AJERO")</f>
        <v>WINSTON ESTORES AJERO</v>
      </c>
      <c r="C593" s="1">
        <f>IFERROR(__xludf.DUMMYFUNCTION("""COMPUTED_VALUE"""),2312676030)</f>
        <v>2312676030</v>
      </c>
      <c r="D593" s="1">
        <f>IFERROR(__xludf.DUMMYFUNCTION("""COMPUTED_VALUE"""),408147689)</f>
        <v>408147689</v>
      </c>
      <c r="E593" s="1">
        <f>IFERROR(__xludf.DUMMYFUNCTION("""COMPUTED_VALUE"""),472018697004)</f>
        <v>472018697004</v>
      </c>
      <c r="F593" s="1" t="str">
        <f>IFERROR(__xludf.DUMMYFUNCTION("""COMPUTED_VALUE"""),"RPR")</f>
        <v>RPR</v>
      </c>
      <c r="G593" s="1" t="str">
        <f>IFERROR(__xludf.DUMMYFUNCTION("""COMPUTED_VALUE"""),"2X STILL FOUND HOUSE CLOSED ALLREADY CALL AND TEXT MASSAGES BUT NO RESPONDES")</f>
        <v>2X STILL FOUND HOUSE CLOSED ALLREADY CALL AND TEXT MASSAGES BUT NO RESPONDES</v>
      </c>
      <c r="H593" s="1" t="str">
        <f>IFERROR(__xludf.DUMMYFUNCTION("""COMPUTED_VALUE"""),"NO PAYMENT")</f>
        <v>NO PAYMENT</v>
      </c>
      <c r="I593" s="1" t="str">
        <f>IFERROR(__xludf.DUMMYFUNCTION("""COMPUTED_VALUE"""),"NO 1 AMSF")</f>
        <v>NO 1 AMSF</v>
      </c>
      <c r="J593" s="1" t="str">
        <f>IFERROR(__xludf.DUMMYFUNCTION("""COMPUTED_VALUE"""),"NO PAYMENT")</f>
        <v>NO PAYMENT</v>
      </c>
      <c r="K593" s="1" t="str">
        <f>IFERROR(__xludf.DUMMYFUNCTION("""COMPUTED_VALUE"""),"CANCELED")</f>
        <v>CANCELED</v>
      </c>
      <c r="L593" s="1" t="str">
        <f>IFERROR(__xludf.DUMMYFUNCTION("""COMPUTED_VALUE"""),"AFD - RESCHEDULE")</f>
        <v>AFD - RESCHEDULE</v>
      </c>
      <c r="M593" s="1" t="str">
        <f>IFERROR(__xludf.DUMMYFUNCTION("""COMPUTED_VALUE"""),"AFD - RESCHEDULED")</f>
        <v>AFD - RESCHEDULED</v>
      </c>
      <c r="N593" s="3"/>
      <c r="O593" s="1" t="str">
        <f>IFERROR(__xludf.DUMMYFUNCTION("""COMPUTED_VALUE"""),"FIBR PLAN 1299")</f>
        <v>FIBR PLAN 1299</v>
      </c>
      <c r="P593" s="1" t="str">
        <f>IFERROR(__xludf.DUMMYFUNCTION("""COMPUTED_VALUE"""),"LOWPLAN")</f>
        <v>LOWPLAN</v>
      </c>
      <c r="Q593" s="1" t="str">
        <f>IFERROR(__xludf.DUMMYFUNCTION("""COMPUTED_VALUE"""),"P407559")</f>
        <v>P407559</v>
      </c>
      <c r="R593" s="1" t="str">
        <f>IFERROR(__xludf.DUMMYFUNCTION("""COMPUTED_VALUE"""),"MAGDARAOG, KENNETH")</f>
        <v>MAGDARAOG, KENNETH</v>
      </c>
      <c r="S593" s="1" t="str">
        <f>IFERROR(__xludf.DUMMYFUNCTION("""COMPUTED_VALUE"""),"ORGANIC")</f>
        <v>ORGANIC</v>
      </c>
      <c r="T593" s="1" t="str">
        <f>IFERROR(__xludf.DUMMYFUNCTION("""COMPUTED_VALUE"""),"LEA REMOLLO")</f>
        <v>LEA REMOLLO</v>
      </c>
      <c r="U593" s="1" t="str">
        <f>IFERROR(__xludf.DUMMYFUNCTION("""COMPUTED_VALUE"""),"JB SALIOA")</f>
        <v>JB SALIOA</v>
      </c>
      <c r="V593" s="1" t="str">
        <f>IFERROR(__xludf.DUMMYFUNCTION("""COMPUTED_VALUE"""),"BK HSTK")</f>
        <v>BK HSTK</v>
      </c>
      <c r="W593" s="1" t="str">
        <f>IFERROR(__xludf.DUMMYFUNCTION("""COMPUTED_VALUE"""),"BK HSTK")</f>
        <v>BK HSTK</v>
      </c>
      <c r="X593" s="1" t="str">
        <f>IFERROR(__xludf.DUMMYFUNCTION("""COMPUTED_VALUE"""),"HBBS SEPT 2026")</f>
        <v>HBBS SEPT 2026</v>
      </c>
      <c r="Y593" s="1" t="str">
        <f>IFERROR(__xludf.DUMMYFUNCTION("""COMPUTED_VALUE"""),"BK_CVEU_260820")</f>
        <v>BK_CVEU_260820</v>
      </c>
      <c r="Z593" s="1" t="str">
        <f>IFERROR(__xludf.DUMMYFUNCTION("""COMPUTED_VALUE"""),"NEW CONNECT")</f>
        <v>NEW CONNECT</v>
      </c>
      <c r="AA593" s="1">
        <f>IFERROR(__xludf.DUMMYFUNCTION("""COMPUTED_VALUE"""),639555811954)</f>
        <v>639555811954</v>
      </c>
      <c r="AB593" s="1"/>
      <c r="AC593" s="1"/>
      <c r="AD593" s="1" t="str">
        <f>IFERROR(__xludf.DUMMYFUNCTION("""COMPUTED_VALUE"""),"PINOY VILLAGE")</f>
        <v>PINOY VILLAGE</v>
      </c>
      <c r="AE593" s="1" t="str">
        <f>IFERROR(__xludf.DUMMYFUNCTION("""COMPUTED_VALUE"""),"PINOY VILLAGE")</f>
        <v>PINOY VILLAGE</v>
      </c>
      <c r="AF593" s="1" t="str">
        <f>IFERROR(__xludf.DUMMYFUNCTION("""COMPUTED_VALUE"""),"BGY SABUTAN")</f>
        <v>BGY SABUTAN</v>
      </c>
      <c r="AG593" s="1" t="str">
        <f>IFERROR(__xludf.DUMMYFUNCTION("""COMPUTED_VALUE"""),"SILANG")</f>
        <v>SILANG</v>
      </c>
      <c r="AH593" s="1" t="str">
        <f>IFERROR(__xludf.DUMMYFUNCTION("""COMPUTED_VALUE"""),"-")</f>
        <v>-</v>
      </c>
      <c r="AI593" s="1" t="str">
        <f>IFERROR(__xludf.DUMMYFUNCTION("""COMPUTED_VALUE"""),"CLUSTER 11")</f>
        <v>CLUSTER 11</v>
      </c>
    </row>
    <row r="594" customHeight="1" spans="1:35">
      <c r="A594" s="3">
        <f>IFERROR(__xludf.DUMMYFUNCTION("""COMPUTED_VALUE"""),46284)</f>
        <v>46284</v>
      </c>
      <c r="B594" s="1" t="str">
        <f>IFERROR(__xludf.DUMMYFUNCTION("""COMPUTED_VALUE"""),"DANDY BENOSA BAYOT")</f>
        <v>DANDY BENOSA BAYOT</v>
      </c>
      <c r="C594" s="1">
        <f>IFERROR(__xludf.DUMMYFUNCTION("""COMPUTED_VALUE"""),2312676340)</f>
        <v>2312676340</v>
      </c>
      <c r="D594" s="1">
        <f>IFERROR(__xludf.DUMMYFUNCTION("""COMPUTED_VALUE"""),408146798)</f>
        <v>408146798</v>
      </c>
      <c r="E594" s="1">
        <f>IFERROR(__xludf.DUMMYFUNCTION("""COMPUTED_VALUE"""),472017959004)</f>
        <v>472017959004</v>
      </c>
      <c r="F594" s="1" t="str">
        <f>IFERROR(__xludf.DUMMYFUNCTION("""COMPUTED_VALUE"""),"CLOSED")</f>
        <v>CLOSED</v>
      </c>
      <c r="G594" s="1" t="str">
        <f>IFERROR(__xludf.DUMMYFUNCTION("""COMPUTED_VALUE"""),"CLOSED")</f>
        <v>CLOSED</v>
      </c>
      <c r="H594" s="1"/>
      <c r="I594" s="1" t="str">
        <f>IFERROR(__xludf.DUMMYFUNCTION("""COMPUTED_VALUE"""),"NO 1 AMSF")</f>
        <v>NO 1 AMSF</v>
      </c>
      <c r="J594" s="1" t="str">
        <f>IFERROR(__xludf.DUMMYFUNCTION("""COMPUTED_VALUE"""),"DUE DATE - 17-Oct-26  - 1,424.71")</f>
        <v>DUE DATE - 17-Oct-26  - 1,424.71</v>
      </c>
      <c r="K594" s="1" t="str">
        <f>IFERROR(__xludf.DUMMYFUNCTION("""COMPUTED_VALUE"""),"COMPLETED")</f>
        <v>COMPLETED</v>
      </c>
      <c r="L594" s="1" t="str">
        <f>IFERROR(__xludf.DUMMYFUNCTION("""COMPUTED_VALUE"""),"POSTED")</f>
        <v>POSTED</v>
      </c>
      <c r="M594" s="1" t="str">
        <f>IFERROR(__xludf.DUMMYFUNCTION("""COMPUTED_VALUE"""),"POSTED")</f>
        <v>POSTED</v>
      </c>
      <c r="N594" s="3">
        <f>IFERROR(__xludf.DUMMYFUNCTION("""COMPUTED_VALUE"""),46286)</f>
        <v>46286</v>
      </c>
      <c r="O594" s="1" t="str">
        <f>IFERROR(__xludf.DUMMYFUNCTION("""COMPUTED_VALUE"""),"FIBR PLAN 1299")</f>
        <v>FIBR PLAN 1299</v>
      </c>
      <c r="P594" s="1" t="str">
        <f>IFERROR(__xludf.DUMMYFUNCTION("""COMPUTED_VALUE"""),"LOWPLAN")</f>
        <v>LOWPLAN</v>
      </c>
      <c r="Q594" s="1" t="str">
        <f>IFERROR(__xludf.DUMMYFUNCTION("""COMPUTED_VALUE"""),"P407050")</f>
        <v>P407050</v>
      </c>
      <c r="R594" s="1" t="str">
        <f>IFERROR(__xludf.DUMMYFUNCTION("""COMPUTED_VALUE"""),"CADERAO, RONALD")</f>
        <v>CADERAO, RONALD</v>
      </c>
      <c r="S594" s="1" t="str">
        <f>IFERROR(__xludf.DUMMYFUNCTION("""COMPUTED_VALUE"""),"ORGANIC")</f>
        <v>ORGANIC</v>
      </c>
      <c r="T594" s="1" t="str">
        <f>IFERROR(__xludf.DUMMYFUNCTION("""COMPUTED_VALUE"""),"LEA REMOLLO")</f>
        <v>LEA REMOLLO</v>
      </c>
      <c r="U594" s="1" t="str">
        <f>IFERROR(__xludf.DUMMYFUNCTION("""COMPUTED_VALUE"""),"JB SALIOA")</f>
        <v>JB SALIOA</v>
      </c>
      <c r="V594" s="1" t="str">
        <f>IFERROR(__xludf.DUMMYFUNCTION("""COMPUTED_VALUE"""),"BK HSTK")</f>
        <v>BK HSTK</v>
      </c>
      <c r="W594" s="1" t="str">
        <f>IFERROR(__xludf.DUMMYFUNCTION("""COMPUTED_VALUE"""),"BK HSTK")</f>
        <v>BK HSTK</v>
      </c>
      <c r="X594" s="1" t="str">
        <f>IFERROR(__xludf.DUMMYFUNCTION("""COMPUTED_VALUE"""),"HBBS SEPT 2026")</f>
        <v>HBBS SEPT 2026</v>
      </c>
      <c r="Y594" s="1" t="str">
        <f>IFERROR(__xludf.DUMMYFUNCTION("""COMPUTED_VALUE"""),"BK_CVEU_260820")</f>
        <v>BK_CVEU_260820</v>
      </c>
      <c r="Z594" s="1" t="str">
        <f>IFERROR(__xludf.DUMMYFUNCTION("""COMPUTED_VALUE"""),"NEW CONNECT")</f>
        <v>NEW CONNECT</v>
      </c>
      <c r="AA594" s="1">
        <f>IFERROR(__xludf.DUMMYFUNCTION("""COMPUTED_VALUE"""),639202279592)</f>
        <v>639202279592</v>
      </c>
      <c r="AB594" s="1"/>
      <c r="AC594" s="1">
        <f>IFERROR(__xludf.DUMMYFUNCTION("""COMPUTED_VALUE"""),210)</f>
        <v>210</v>
      </c>
      <c r="AD594" s="1" t="str">
        <f>IFERROR(__xludf.DUMMYFUNCTION("""COMPUTED_VALUE"""),"PUROK 6")</f>
        <v>PUROK 6</v>
      </c>
      <c r="AE594" s="1"/>
      <c r="AF594" s="1" t="str">
        <f>IFERROR(__xludf.DUMMYFUNCTION("""COMPUTED_VALUE"""),"BGY DAGATAN")</f>
        <v>BGY DAGATAN</v>
      </c>
      <c r="AG594" s="1" t="str">
        <f>IFERROR(__xludf.DUMMYFUNCTION("""COMPUTED_VALUE"""),"AMADEO")</f>
        <v>AMADEO</v>
      </c>
      <c r="AH594" s="1" t="str">
        <f>IFERROR(__xludf.DUMMYFUNCTION("""COMPUTED_VALUE"""),"LOLO DANNY STORE")</f>
        <v>LOLO DANNY STORE</v>
      </c>
      <c r="AI594" s="1" t="str">
        <f>IFERROR(__xludf.DUMMYFUNCTION("""COMPUTED_VALUE"""),"CLUSTER 12")</f>
        <v>CLUSTER 12</v>
      </c>
    </row>
    <row r="595" customHeight="1" spans="1:35">
      <c r="A595" s="3">
        <f>IFERROR(__xludf.DUMMYFUNCTION("""COMPUTED_VALUE"""),46284)</f>
        <v>46284</v>
      </c>
      <c r="B595" s="1" t="str">
        <f>IFERROR(__xludf.DUMMYFUNCTION("""COMPUTED_VALUE"""),"LESLIE ANN PENARANDA REDUBLA")</f>
        <v>LESLIE ANN PENARANDA REDUBLA</v>
      </c>
      <c r="C595" s="1">
        <f>IFERROR(__xludf.DUMMYFUNCTION("""COMPUTED_VALUE"""),2312676838)</f>
        <v>2312676838</v>
      </c>
      <c r="D595" s="1">
        <f>IFERROR(__xludf.DUMMYFUNCTION("""COMPUTED_VALUE"""),408146798)</f>
        <v>408146798</v>
      </c>
      <c r="E595" s="1">
        <f>IFERROR(__xludf.DUMMYFUNCTION("""COMPUTED_VALUE"""),472315333004)</f>
        <v>472315333004</v>
      </c>
      <c r="F595" s="1" t="str">
        <f>IFERROR(__xludf.DUMMYFUNCTION("""COMPUTED_VALUE"""),"CLOSED")</f>
        <v>CLOSED</v>
      </c>
      <c r="G595" s="1" t="str">
        <f>IFERROR(__xludf.DUMMYFUNCTION("""COMPUTED_VALUE"""),"CLOSED")</f>
        <v>CLOSED</v>
      </c>
      <c r="H595" s="1"/>
      <c r="I595" s="1" t="str">
        <f>IFERROR(__xludf.DUMMYFUNCTION("""COMPUTED_VALUE"""),"NO 1 AMSF")</f>
        <v>NO 1 AMSF</v>
      </c>
      <c r="J595" s="1" t="str">
        <f>IFERROR(__xludf.DUMMYFUNCTION("""COMPUTED_VALUE"""),"DUE DATE - 17-Oct-26 - 1,424.71")</f>
        <v>DUE DATE - 17-Oct-26 - 1,424.71</v>
      </c>
      <c r="K595" s="1" t="str">
        <f>IFERROR(__xludf.DUMMYFUNCTION("""COMPUTED_VALUE"""),"COMPLETED")</f>
        <v>COMPLETED</v>
      </c>
      <c r="L595" s="1" t="str">
        <f>IFERROR(__xludf.DUMMYFUNCTION("""COMPUTED_VALUE"""),"POSTED")</f>
        <v>POSTED</v>
      </c>
      <c r="M595" s="1" t="str">
        <f>IFERROR(__xludf.DUMMYFUNCTION("""COMPUTED_VALUE"""),"POSTED")</f>
        <v>POSTED</v>
      </c>
      <c r="N595" s="3">
        <f>IFERROR(__xludf.DUMMYFUNCTION("""COMPUTED_VALUE"""),46288)</f>
        <v>46288</v>
      </c>
      <c r="O595" s="1" t="str">
        <f>IFERROR(__xludf.DUMMYFUNCTION("""COMPUTED_VALUE"""),"FIBR PLAN 1299")</f>
        <v>FIBR PLAN 1299</v>
      </c>
      <c r="P595" s="1" t="str">
        <f>IFERROR(__xludf.DUMMYFUNCTION("""COMPUTED_VALUE"""),"LOWPLAN")</f>
        <v>LOWPLAN</v>
      </c>
      <c r="Q595" s="1" t="str">
        <f>IFERROR(__xludf.DUMMYFUNCTION("""COMPUTED_VALUE"""),"P407561")</f>
        <v>P407561</v>
      </c>
      <c r="R595" s="1" t="str">
        <f>IFERROR(__xludf.DUMMYFUNCTION("""COMPUTED_VALUE"""),"TAMAYO, MARY ROSE ZAIRA")</f>
        <v>TAMAYO, MARY ROSE ZAIRA</v>
      </c>
      <c r="S595" s="1" t="str">
        <f>IFERROR(__xludf.DUMMYFUNCTION("""COMPUTED_VALUE"""),"ORGANIC")</f>
        <v>ORGANIC</v>
      </c>
      <c r="T595" s="1" t="str">
        <f>IFERROR(__xludf.DUMMYFUNCTION("""COMPUTED_VALUE"""),"LEA REMOLLO")</f>
        <v>LEA REMOLLO</v>
      </c>
      <c r="U595" s="1" t="str">
        <f>IFERROR(__xludf.DUMMYFUNCTION("""COMPUTED_VALUE"""),"JB SALIOA")</f>
        <v>JB SALIOA</v>
      </c>
      <c r="V595" s="1" t="str">
        <f>IFERROR(__xludf.DUMMYFUNCTION("""COMPUTED_VALUE"""),"BK REGULAR")</f>
        <v>BK REGULAR</v>
      </c>
      <c r="W595" s="1" t="str">
        <f>IFERROR(__xludf.DUMMYFUNCTION("""COMPUTED_VALUE"""),"STK REGULAR")</f>
        <v>STK REGULAR</v>
      </c>
      <c r="X595" s="1" t="str">
        <f>IFERROR(__xludf.DUMMYFUNCTION("""COMPUTED_VALUE"""),"HBBS SEPT 2026")</f>
        <v>HBBS SEPT 2026</v>
      </c>
      <c r="Y595" s="1" t="str">
        <f>IFERROR(__xludf.DUMMYFUNCTION("""COMPUTED_VALUE"""),"BK_CVEU_260821")</f>
        <v>BK_CVEU_260821</v>
      </c>
      <c r="Z595" s="1" t="str">
        <f>IFERROR(__xludf.DUMMYFUNCTION("""COMPUTED_VALUE"""),"NEW CONNECT")</f>
        <v>NEW CONNECT</v>
      </c>
      <c r="AA595" s="1">
        <f>IFERROR(__xludf.DUMMYFUNCTION("""COMPUTED_VALUE"""),639649711293)</f>
        <v>639649711293</v>
      </c>
      <c r="AB595" s="1"/>
      <c r="AC595" s="1">
        <f>IFERROR(__xludf.DUMMYFUNCTION("""COMPUTED_VALUE"""),1537)</f>
        <v>1537</v>
      </c>
      <c r="AD595" s="1" t="str">
        <f>IFERROR(__xludf.DUMMYFUNCTION("""COMPUTED_VALUE"""),"MARAAN")</f>
        <v>MARAAN</v>
      </c>
      <c r="AE595" s="1" t="str">
        <f>IFERROR(__xludf.DUMMYFUNCTION("""COMPUTED_VALUE"""),"PUROK 150")</f>
        <v>PUROK 150</v>
      </c>
      <c r="AF595" s="1" t="str">
        <f>IFERROR(__xludf.DUMMYFUNCTION("""COMPUTED_VALUE"""),"PATUTONG MALAKI SO")</f>
        <v>PATUTONG MALAKI SO</v>
      </c>
      <c r="AG595" s="1" t="str">
        <f>IFERROR(__xludf.DUMMYFUNCTION("""COMPUTED_VALUE"""),"TAGAYTAY")</f>
        <v>TAGAYTAY</v>
      </c>
      <c r="AH595" s="1" t="str">
        <f>IFERROR(__xludf.DUMMYFUNCTION("""COMPUTED_VALUE"""),"-")</f>
        <v>-</v>
      </c>
      <c r="AI595" s="1" t="str">
        <f>IFERROR(__xludf.DUMMYFUNCTION("""COMPUTED_VALUE"""),"CLUSTER 12")</f>
        <v>CLUSTER 12</v>
      </c>
    </row>
    <row r="596" customHeight="1" spans="1:35">
      <c r="A596" s="3">
        <f>IFERROR(__xludf.DUMMYFUNCTION("""COMPUTED_VALUE"""),46284)</f>
        <v>46284</v>
      </c>
      <c r="B596" s="1" t="str">
        <f>IFERROR(__xludf.DUMMYFUNCTION("""COMPUTED_VALUE"""),"PAULINO JR SAURO DIMARANAN")</f>
        <v>PAULINO JR SAURO DIMARANAN</v>
      </c>
      <c r="C596" s="1">
        <f>IFERROR(__xludf.DUMMYFUNCTION("""COMPUTED_VALUE"""),2312677126)</f>
        <v>2312677126</v>
      </c>
      <c r="D596" s="1">
        <f>IFERROR(__xludf.DUMMYFUNCTION("""COMPUTED_VALUE"""),408149924)</f>
        <v>408149924</v>
      </c>
      <c r="E596" s="1">
        <f>IFERROR(__xludf.DUMMYFUNCTION("""COMPUTED_VALUE"""),472019455004)</f>
        <v>472019455004</v>
      </c>
      <c r="F596" s="1" t="str">
        <f>IFERROR(__xludf.DUMMYFUNCTION("""COMPUTED_VALUE"""),"CLOSED")</f>
        <v>CLOSED</v>
      </c>
      <c r="G596" s="1" t="str">
        <f>IFERROR(__xludf.DUMMYFUNCTION("""COMPUTED_VALUE"""),"CLOSED")</f>
        <v>CLOSED</v>
      </c>
      <c r="H596" s="1" t="str">
        <f>IFERROR(__xludf.DUMMYFUNCTION("""COMPUTED_VALUE"""),"PAID VIA MAYA 60051712 SEPT 21")</f>
        <v>PAID VIA MAYA 60051712 SEPT 21</v>
      </c>
      <c r="I596" s="1" t="str">
        <f>IFERROR(__xludf.DUMMYFUNCTION("""COMPUTED_VALUE"""),"WITH 1 AMSF")</f>
        <v>WITH 1 AMSF</v>
      </c>
      <c r="J596" s="1"/>
      <c r="K596" s="1" t="str">
        <f>IFERROR(__xludf.DUMMYFUNCTION("""COMPUTED_VALUE"""),"COMPLETED")</f>
        <v>COMPLETED</v>
      </c>
      <c r="L596" s="1" t="str">
        <f>IFERROR(__xludf.DUMMYFUNCTION("""COMPUTED_VALUE"""),"POSTED")</f>
        <v>POSTED</v>
      </c>
      <c r="M596" s="1" t="str">
        <f>IFERROR(__xludf.DUMMYFUNCTION("""COMPUTED_VALUE"""),"POSTED")</f>
        <v>POSTED</v>
      </c>
      <c r="N596" s="3">
        <f>IFERROR(__xludf.DUMMYFUNCTION("""COMPUTED_VALUE"""),46286)</f>
        <v>46286</v>
      </c>
      <c r="O596" s="1" t="str">
        <f>IFERROR(__xludf.DUMMYFUNCTION("""COMPUTED_VALUE"""),"FIBER UNLI ALL PLAN 1499")</f>
        <v>FIBER UNLI ALL PLAN 1499</v>
      </c>
      <c r="P596" s="1" t="str">
        <f>IFERROR(__xludf.DUMMYFUNCTION("""COMPUTED_VALUE"""),"LOWPLAN")</f>
        <v>LOWPLAN</v>
      </c>
      <c r="Q596" s="1" t="str">
        <f>IFERROR(__xludf.DUMMYFUNCTION("""COMPUTED_VALUE"""),"P407050")</f>
        <v>P407050</v>
      </c>
      <c r="R596" s="1" t="str">
        <f>IFERROR(__xludf.DUMMYFUNCTION("""COMPUTED_VALUE"""),"DEPOSITARIO, IAN")</f>
        <v>DEPOSITARIO, IAN</v>
      </c>
      <c r="S596" s="1" t="str">
        <f>IFERROR(__xludf.DUMMYFUNCTION("""COMPUTED_VALUE"""),"ORGANIC")</f>
        <v>ORGANIC</v>
      </c>
      <c r="T596" s="1" t="str">
        <f>IFERROR(__xludf.DUMMYFUNCTION("""COMPUTED_VALUE"""),"LEA REMOLLO")</f>
        <v>LEA REMOLLO</v>
      </c>
      <c r="U596" s="1" t="str">
        <f>IFERROR(__xludf.DUMMYFUNCTION("""COMPUTED_VALUE"""),"JB SALIOA")</f>
        <v>JB SALIOA</v>
      </c>
      <c r="V596" s="1" t="str">
        <f>IFERROR(__xludf.DUMMYFUNCTION("""COMPUTED_VALUE"""),"BK HSTK")</f>
        <v>BK HSTK</v>
      </c>
      <c r="W596" s="1" t="str">
        <f>IFERROR(__xludf.DUMMYFUNCTION("""COMPUTED_VALUE"""),"BK HSTK")</f>
        <v>BK HSTK</v>
      </c>
      <c r="X596" s="1" t="str">
        <f>IFERROR(__xludf.DUMMYFUNCTION("""COMPUTED_VALUE"""),"HBBS SEPT 2026")</f>
        <v>HBBS SEPT 2026</v>
      </c>
      <c r="Y596" s="1" t="str">
        <f>IFERROR(__xludf.DUMMYFUNCTION("""COMPUTED_VALUE"""),"BK_CVEU_260819")</f>
        <v>BK_CVEU_260819</v>
      </c>
      <c r="Z596" s="1" t="str">
        <f>IFERROR(__xludf.DUMMYFUNCTION("""COMPUTED_VALUE"""),"NEW CONNECT")</f>
        <v>NEW CONNECT</v>
      </c>
      <c r="AA596" s="1">
        <f>IFERROR(__xludf.DUMMYFUNCTION("""COMPUTED_VALUE"""),639611592473)</f>
        <v>639611592473</v>
      </c>
      <c r="AB596" s="1"/>
      <c r="AC596" s="1">
        <f>IFERROR(__xludf.DUMMYFUNCTION("""COMPUTED_VALUE"""),63)</f>
        <v>63</v>
      </c>
      <c r="AD596" s="1" t="str">
        <f>IFERROR(__xludf.DUMMYFUNCTION("""COMPUTED_VALUE"""),"ZAMORA")</f>
        <v>ZAMORA</v>
      </c>
      <c r="AE596" s="1"/>
      <c r="AF596" s="1" t="str">
        <f>IFERROR(__xludf.DUMMYFUNCTION("""COMPUTED_VALUE"""),"BGY ASIS 1")</f>
        <v>BGY ASIS 1</v>
      </c>
      <c r="AG596" s="1" t="str">
        <f>IFERROR(__xludf.DUMMYFUNCTION("""COMPUTED_VALUE"""),"MENDEZ")</f>
        <v>MENDEZ</v>
      </c>
      <c r="AH596" s="1" t="str">
        <f>IFERROR(__xludf.DUMMYFUNCTION("""COMPUTED_VALUE"""),"-")</f>
        <v>-</v>
      </c>
      <c r="AI596" s="1" t="str">
        <f>IFERROR(__xludf.DUMMYFUNCTION("""COMPUTED_VALUE"""),"CLUSTER 12")</f>
        <v>CLUSTER 12</v>
      </c>
    </row>
    <row r="597" customHeight="1" spans="1:35">
      <c r="A597" s="3">
        <f>IFERROR(__xludf.DUMMYFUNCTION("""COMPUTED_VALUE"""),46284)</f>
        <v>46284</v>
      </c>
      <c r="B597" s="1" t="str">
        <f>IFERROR(__xludf.DUMMYFUNCTION("""COMPUTED_VALUE"""),"CHRISTIANNE JADE YADAO FERNANDEZ")</f>
        <v>CHRISTIANNE JADE YADAO FERNANDEZ</v>
      </c>
      <c r="C597" s="1">
        <f>IFERROR(__xludf.DUMMYFUNCTION("""COMPUTED_VALUE"""),2312679296)</f>
        <v>2312679296</v>
      </c>
      <c r="D597" s="1">
        <f>IFERROR(__xludf.DUMMYFUNCTION("""COMPUTED_VALUE"""),408155088)</f>
        <v>408155088</v>
      </c>
      <c r="E597" s="1">
        <f>IFERROR(__xludf.DUMMYFUNCTION("""COMPUTED_VALUE"""),472032215004)</f>
        <v>472032215004</v>
      </c>
      <c r="F597" s="1" t="str">
        <f>IFERROR(__xludf.DUMMYFUNCTION("""COMPUTED_VALUE"""),"CANCELLED")</f>
        <v>CANCELLED</v>
      </c>
      <c r="G597" s="1" t="str">
        <f>IFERROR(__xludf.DUMMYFUNCTION("""COMPUTED_VALUE"""),"AUTO - AGING")</f>
        <v>AUTO - AGING</v>
      </c>
      <c r="H597" s="1"/>
      <c r="I597" s="1"/>
      <c r="J597" s="1"/>
      <c r="K597" s="1" t="str">
        <f>IFERROR(__xludf.DUMMYFUNCTION("""COMPUTED_VALUE"""),"NOT IN OFSC")</f>
        <v>NOT IN OFSC</v>
      </c>
      <c r="L597" s="1" t="str">
        <f>IFERROR(__xludf.DUMMYFUNCTION("""COMPUTED_VALUE"""),"CANCELLED")</f>
        <v>CANCELLED</v>
      </c>
      <c r="M597" s="1" t="str">
        <f>IFERROR(__xludf.DUMMYFUNCTION("""COMPUTED_VALUE"""),"CANCELLED - AGING")</f>
        <v>CANCELLED - AGING</v>
      </c>
      <c r="N597" s="3"/>
      <c r="O597" s="1" t="str">
        <f>IFERROR(__xludf.DUMMYFUNCTION("""COMPUTED_VALUE"""),"FIBR UNLI ALL PLAN 999")</f>
        <v>FIBR UNLI ALL PLAN 999</v>
      </c>
      <c r="P597" s="1" t="str">
        <f>IFERROR(__xludf.DUMMYFUNCTION("""COMPUTED_VALUE"""),"LOWPLAN")</f>
        <v>LOWPLAN</v>
      </c>
      <c r="Q597" s="1" t="str">
        <f>IFERROR(__xludf.DUMMYFUNCTION("""COMPUTED_VALUE"""),"P407563")</f>
        <v>P407563</v>
      </c>
      <c r="R597" s="1" t="str">
        <f>IFERROR(__xludf.DUMMYFUNCTION("""COMPUTED_VALUE"""),"BAQUIT, JAZMIN")</f>
        <v>BAQUIT, JAZMIN</v>
      </c>
      <c r="S597" s="1" t="str">
        <f>IFERROR(__xludf.DUMMYFUNCTION("""COMPUTED_VALUE"""),"ORGANIC")</f>
        <v>ORGANIC</v>
      </c>
      <c r="T597" s="1" t="str">
        <f>IFERROR(__xludf.DUMMYFUNCTION("""COMPUTED_VALUE"""),"LEA REMOLLO")</f>
        <v>LEA REMOLLO</v>
      </c>
      <c r="U597" s="1" t="str">
        <f>IFERROR(__xludf.DUMMYFUNCTION("""COMPUTED_VALUE"""),"JB SALIOA")</f>
        <v>JB SALIOA</v>
      </c>
      <c r="V597" s="1" t="str">
        <f>IFERROR(__xludf.DUMMYFUNCTION("""COMPUTED_VALUE"""),"ONLINE/CRANFORD")</f>
        <v>ONLINE/CRANFORD</v>
      </c>
      <c r="W597" s="1" t="str">
        <f>IFERROR(__xludf.DUMMYFUNCTION("""COMPUTED_VALUE"""),"STK REGULAR")</f>
        <v>STK REGULAR</v>
      </c>
      <c r="X597" s="1" t="str">
        <f>IFERROR(__xludf.DUMMYFUNCTION("""COMPUTED_VALUE"""),"REGULAR")</f>
        <v>REGULAR</v>
      </c>
      <c r="Y597" s="1" t="str">
        <f>IFERROR(__xludf.DUMMYFUNCTION("""COMPUTED_VALUE"""),"RS_ONL_CVEU_2026")</f>
        <v>RS_ONL_CVEU_2026</v>
      </c>
      <c r="Z597" s="1" t="str">
        <f>IFERROR(__xludf.DUMMYFUNCTION("""COMPUTED_VALUE"""),"NEW CONNECT")</f>
        <v>NEW CONNECT</v>
      </c>
      <c r="AA597" s="1">
        <f>IFERROR(__xludf.DUMMYFUNCTION("""COMPUTED_VALUE"""),639560664586)</f>
        <v>639560664586</v>
      </c>
      <c r="AB597" s="1"/>
      <c r="AC597" s="1"/>
      <c r="AD597" s="1" t="str">
        <f>IFERROR(__xludf.DUMMYFUNCTION("""COMPUTED_VALUE"""),"SAN AGUSTIN")</f>
        <v>SAN AGUSTIN</v>
      </c>
      <c r="AE597" s="1" t="str">
        <f>IFERROR(__xludf.DUMMYFUNCTION("""COMPUTED_VALUE"""),"AREA K")</f>
        <v>AREA K</v>
      </c>
      <c r="AF597" s="1" t="str">
        <f>IFERROR(__xludf.DUMMYFUNCTION("""COMPUTED_VALUE"""),"BGY SAN GABRIEL")</f>
        <v>BGY SAN GABRIEL</v>
      </c>
      <c r="AG597" s="1" t="str">
        <f>IFERROR(__xludf.DUMMYFUNCTION("""COMPUTED_VALUE"""),"GEN MARIANO ALVAREZ")</f>
        <v>GEN MARIANO ALVAREZ</v>
      </c>
      <c r="AH597" s="1" t="str">
        <f>IFERROR(__xludf.DUMMYFUNCTION("""COMPUTED_VALUE"""),"AREA K")</f>
        <v>AREA K</v>
      </c>
      <c r="AI597" s="1" t="str">
        <f>IFERROR(__xludf.DUMMYFUNCTION("""COMPUTED_VALUE"""),"CLUSTER 11")</f>
        <v>CLUSTER 11</v>
      </c>
    </row>
    <row r="598" customHeight="1" spans="1:35">
      <c r="A598" s="3">
        <f>IFERROR(__xludf.DUMMYFUNCTION("""COMPUTED_VALUE"""),46284)</f>
        <v>46284</v>
      </c>
      <c r="B598" s="1" t="str">
        <f>IFERROR(__xludf.DUMMYFUNCTION("""COMPUTED_VALUE"""),"MHARVIN RAMIREZ BESA")</f>
        <v>MHARVIN RAMIREZ BESA</v>
      </c>
      <c r="C598" s="1">
        <f>IFERROR(__xludf.DUMMYFUNCTION("""COMPUTED_VALUE"""),2312679339)</f>
        <v>2312679339</v>
      </c>
      <c r="D598" s="1">
        <f>IFERROR(__xludf.DUMMYFUNCTION("""COMPUTED_VALUE"""),408156076)</f>
        <v>408156076</v>
      </c>
      <c r="E598" s="1">
        <f>IFERROR(__xludf.DUMMYFUNCTION("""COMPUTED_VALUE"""),472033304004)</f>
        <v>472033304004</v>
      </c>
      <c r="F598" s="1" t="str">
        <f>IFERROR(__xludf.DUMMYFUNCTION("""COMPUTED_VALUE"""),"CANCELLED")</f>
        <v>CANCELLED</v>
      </c>
      <c r="G598" s="1" t="str">
        <f>IFERROR(__xludf.DUMMYFUNCTION("""COMPUTED_VALUE"""),"SUBS CANCEL REQUEST, INSTALLATION HOLD BY HOA HINDI UPDATED ANG MONTHLY DUES, HNDI WILLING SI SUBS BAYARAN ANG MONTHLY DUE KASI RENTER LANG SIYA 09356207707")</f>
        <v>SUBS CANCEL REQUEST, INSTALLATION HOLD BY HOA HINDI UPDATED ANG MONTHLY DUES, HNDI WILLING SI SUBS BAYARAN ANG MONTHLY DUE KASI RENTER LANG SIYA 09356207707</v>
      </c>
      <c r="H598" s="1" t="str">
        <f>IFERROR(__xludf.DUMMYFUNCTION("""COMPUTED_VALUE"""),"NO PAYMENT")</f>
        <v>NO PAYMENT</v>
      </c>
      <c r="I598" s="1" t="str">
        <f>IFERROR(__xludf.DUMMYFUNCTION("""COMPUTED_VALUE"""),"NO 1 AMSF")</f>
        <v>NO 1 AMSF</v>
      </c>
      <c r="J598" s="1" t="str">
        <f>IFERROR(__xludf.DUMMYFUNCTION("""COMPUTED_VALUE"""),"NO PAYMENT")</f>
        <v>NO PAYMENT</v>
      </c>
      <c r="K598" s="1" t="str">
        <f>IFERROR(__xludf.DUMMYFUNCTION("""COMPUTED_VALUE"""),"CANCELED")</f>
        <v>CANCELED</v>
      </c>
      <c r="L598" s="1" t="str">
        <f>IFERROR(__xludf.DUMMYFUNCTION("""COMPUTED_VALUE"""),"RPR - SUBS CANCEL REQUEST")</f>
        <v>RPR - SUBS CANCEL REQUEST</v>
      </c>
      <c r="M598" s="1" t="str">
        <f>IFERROR(__xludf.DUMMYFUNCTION("""COMPUTED_VALUE"""),"RPR- SUBS CANCEL REQUEST")</f>
        <v>RPR- SUBS CANCEL REQUEST</v>
      </c>
      <c r="N598" s="3"/>
      <c r="O598" s="1" t="str">
        <f>IFERROR(__xludf.DUMMYFUNCTION("""COMPUTED_VALUE"""),"FIBR PLAN 1299")</f>
        <v>FIBR PLAN 1299</v>
      </c>
      <c r="P598" s="1" t="str">
        <f>IFERROR(__xludf.DUMMYFUNCTION("""COMPUTED_VALUE"""),"LOWPLAN")</f>
        <v>LOWPLAN</v>
      </c>
      <c r="Q598" s="1" t="str">
        <f>IFERROR(__xludf.DUMMYFUNCTION("""COMPUTED_VALUE"""),"P407048")</f>
        <v>P407048</v>
      </c>
      <c r="R598" s="1" t="str">
        <f>IFERROR(__xludf.DUMMYFUNCTION("""COMPUTED_VALUE"""),"BONZA, LEE VINCENT")</f>
        <v>BONZA, LEE VINCENT</v>
      </c>
      <c r="S598" s="1" t="str">
        <f>IFERROR(__xludf.DUMMYFUNCTION("""COMPUTED_VALUE"""),"ORGANIC")</f>
        <v>ORGANIC</v>
      </c>
      <c r="T598" s="1" t="str">
        <f>IFERROR(__xludf.DUMMYFUNCTION("""COMPUTED_VALUE"""),"GARCIA MICHAEL JETTS")</f>
        <v>GARCIA MICHAEL JETTS</v>
      </c>
      <c r="U598" s="1" t="str">
        <f>IFERROR(__xludf.DUMMYFUNCTION("""COMPUTED_VALUE"""),"JULIE ESPIRITU")</f>
        <v>JULIE ESPIRITU</v>
      </c>
      <c r="V598" s="1" t="str">
        <f>IFERROR(__xludf.DUMMYFUNCTION("""COMPUTED_VALUE"""),"ONLINE/CRANFORD")</f>
        <v>ONLINE/CRANFORD</v>
      </c>
      <c r="W598" s="1" t="str">
        <f>IFERROR(__xludf.DUMMYFUNCTION("""COMPUTED_VALUE"""),"STK REGULAR")</f>
        <v>STK REGULAR</v>
      </c>
      <c r="X598" s="1" t="str">
        <f>IFERROR(__xludf.DUMMYFUNCTION("""COMPUTED_VALUE"""),"HBBS SEPT 2026")</f>
        <v>HBBS SEPT 2026</v>
      </c>
      <c r="Y598" s="1" t="str">
        <f>IFERROR(__xludf.DUMMYFUNCTION("""COMPUTED_VALUE"""),"RS_ONL_CVEU_2026")</f>
        <v>RS_ONL_CVEU_2026</v>
      </c>
      <c r="Z598" s="1" t="str">
        <f>IFERROR(__xludf.DUMMYFUNCTION("""COMPUTED_VALUE"""),"NEW CONNECT")</f>
        <v>NEW CONNECT</v>
      </c>
      <c r="AA598" s="1">
        <f>IFERROR(__xludf.DUMMYFUNCTION("""COMPUTED_VALUE"""),639356207707)</f>
        <v>639356207707</v>
      </c>
      <c r="AB598" s="1">
        <f>IFERROR(__xludf.DUMMYFUNCTION("""COMPUTED_VALUE"""),639754826494)</f>
        <v>639754826494</v>
      </c>
      <c r="AC598" s="1"/>
      <c r="AD598" s="1" t="str">
        <f>IFERROR(__xludf.DUMMYFUNCTION("""COMPUTED_VALUE"""),"PHASE 4")</f>
        <v>PHASE 4</v>
      </c>
      <c r="AE598" s="1" t="str">
        <f>IFERROR(__xludf.DUMMYFUNCTION("""COMPUTED_VALUE"""),"GREENVILLE HOMES")</f>
        <v>GREENVILLE HOMES</v>
      </c>
      <c r="AF598" s="1" t="str">
        <f>IFERROR(__xludf.DUMMYFUNCTION("""COMPUTED_VALUE"""),"BGY SAHUD ULAN")</f>
        <v>BGY SAHUD ULAN</v>
      </c>
      <c r="AG598" s="1" t="str">
        <f>IFERROR(__xludf.DUMMYFUNCTION("""COMPUTED_VALUE"""),"TANZA")</f>
        <v>TANZA</v>
      </c>
      <c r="AH598" s="1"/>
      <c r="AI598" s="1" t="str">
        <f>IFERROR(__xludf.DUMMYFUNCTION("""COMPUTED_VALUE"""),"NOT AOR")</f>
        <v>NOT AOR</v>
      </c>
    </row>
    <row r="599" customHeight="1" spans="1:35">
      <c r="A599" s="3">
        <f>IFERROR(__xludf.DUMMYFUNCTION("""COMPUTED_VALUE"""),46284)</f>
        <v>46284</v>
      </c>
      <c r="B599" s="1" t="str">
        <f>IFERROR(__xludf.DUMMYFUNCTION("""COMPUTED_VALUE"""),"KRISTINE HONEYBELLE . DORIMON")</f>
        <v>KRISTINE HONEYBELLE . DORIMON</v>
      </c>
      <c r="C599" s="1">
        <f>IFERROR(__xludf.DUMMYFUNCTION("""COMPUTED_VALUE"""),2312679569)</f>
        <v>2312679569</v>
      </c>
      <c r="D599" s="1">
        <f>IFERROR(__xludf.DUMMYFUNCTION("""COMPUTED_VALUE"""),408153514)</f>
        <v>408153514</v>
      </c>
      <c r="E599" s="1">
        <f>IFERROR(__xludf.DUMMYFUNCTION("""COMPUTED_VALUE"""),472032162004)</f>
        <v>472032162004</v>
      </c>
      <c r="F599" s="1" t="str">
        <f>IFERROR(__xludf.DUMMYFUNCTION("""COMPUTED_VALUE"""),"CANCELLED")</f>
        <v>CANCELLED</v>
      </c>
      <c r="G599" s="1" t="str">
        <f>IFERROR(__xludf.DUMMYFUNCTION("""COMPUTED_VALUE"""),"""VISITED 
‎REMARKS: NAP FULL ASSIGNED CAFAC NOT ONSITE SUBS ALREADY ADVISED 
SILLP196NP3FULL 10SPAN 
SILLP196NP4FULL 7SPAN 
SILLP196NP5FULL 18SPAN 
‎ 
TALK: KRISTINE HONEYBELLE DORIMON 
‎CBR: 09184092997""")</f>
        <v>"VISITED 
‎REMARKS: NAP FULL ASSIGNED CAFAC NOT ONSITE SUBS ALREADY ADVISED 
SILLP196NP3FULL 10SPAN 
SILLP196NP4FULL 7SPAN 
SILLP196NP5FULL 18SPAN 
‎ 
TALK: KRISTINE HONEYBELLE DORIMON 
‎CBR: 09184092997"</v>
      </c>
      <c r="H599" s="1"/>
      <c r="I599" s="1"/>
      <c r="J599" s="1"/>
      <c r="K599" s="1" t="str">
        <f>IFERROR(__xludf.DUMMYFUNCTION("""COMPUTED_VALUE"""),"CANCELED")</f>
        <v>CANCELED</v>
      </c>
      <c r="L599" s="1" t="str">
        <f>IFERROR(__xludf.DUMMYFUNCTION("""COMPUTED_VALUE"""),"RPR - NAP FULL")</f>
        <v>RPR - NAP FULL</v>
      </c>
      <c r="M599" s="1" t="str">
        <f>IFERROR(__xludf.DUMMYFUNCTION("""COMPUTED_VALUE"""),"RPR- NAP FULL")</f>
        <v>RPR- NAP FULL</v>
      </c>
      <c r="N599" s="3"/>
      <c r="O599" s="1" t="str">
        <f>IFERROR(__xludf.DUMMYFUNCTION("""COMPUTED_VALUE"""),"FIBER UNLI ALL PLAN 1499")</f>
        <v>FIBER UNLI ALL PLAN 1499</v>
      </c>
      <c r="P599" s="1" t="str">
        <f>IFERROR(__xludf.DUMMYFUNCTION("""COMPUTED_VALUE"""),"LOWPLAN")</f>
        <v>LOWPLAN</v>
      </c>
      <c r="Q599" s="1" t="str">
        <f>IFERROR(__xludf.DUMMYFUNCTION("""COMPUTED_VALUE"""),"P407559")</f>
        <v>P407559</v>
      </c>
      <c r="R599" s="1" t="str">
        <f>IFERROR(__xludf.DUMMYFUNCTION("""COMPUTED_VALUE"""),"MAGDARAOG, KENNETH")</f>
        <v>MAGDARAOG, KENNETH</v>
      </c>
      <c r="S599" s="1" t="str">
        <f>IFERROR(__xludf.DUMMYFUNCTION("""COMPUTED_VALUE"""),"ORGANIC")</f>
        <v>ORGANIC</v>
      </c>
      <c r="T599" s="1" t="str">
        <f>IFERROR(__xludf.DUMMYFUNCTION("""COMPUTED_VALUE"""),"LEA REMOLLO")</f>
        <v>LEA REMOLLO</v>
      </c>
      <c r="U599" s="1" t="str">
        <f>IFERROR(__xludf.DUMMYFUNCTION("""COMPUTED_VALUE"""),"JB SALIOA")</f>
        <v>JB SALIOA</v>
      </c>
      <c r="V599" s="1" t="str">
        <f>IFERROR(__xludf.DUMMYFUNCTION("""COMPUTED_VALUE"""),"BK HSTK")</f>
        <v>BK HSTK</v>
      </c>
      <c r="W599" s="1" t="str">
        <f>IFERROR(__xludf.DUMMYFUNCTION("""COMPUTED_VALUE"""),"BK HSTK")</f>
        <v>BK HSTK</v>
      </c>
      <c r="X599" s="1" t="str">
        <f>IFERROR(__xludf.DUMMYFUNCTION("""COMPUTED_VALUE"""),"HBBS SEPT 2026")</f>
        <v>HBBS SEPT 2026</v>
      </c>
      <c r="Y599" s="1" t="str">
        <f>IFERROR(__xludf.DUMMYFUNCTION("""COMPUTED_VALUE"""),"BK_CVEU_260821")</f>
        <v>BK_CVEU_260821</v>
      </c>
      <c r="Z599" s="1" t="str">
        <f>IFERROR(__xludf.DUMMYFUNCTION("""COMPUTED_VALUE"""),"NEW CONNECT")</f>
        <v>NEW CONNECT</v>
      </c>
      <c r="AA599" s="1">
        <f>IFERROR(__xludf.DUMMYFUNCTION("""COMPUTED_VALUE"""),639184092997)</f>
        <v>639184092997</v>
      </c>
      <c r="AB599" s="1"/>
      <c r="AC599" s="1">
        <f>IFERROR(__xludf.DUMMYFUNCTION("""COMPUTED_VALUE"""),24)</f>
        <v>24</v>
      </c>
      <c r="AD599" s="1" t="str">
        <f>IFERROR(__xludf.DUMMYFUNCTION("""COMPUTED_VALUE"""),"FRANCISCO")</f>
        <v>FRANCISCO</v>
      </c>
      <c r="AE599" s="1" t="str">
        <f>IFERROR(__xludf.DUMMYFUNCTION("""COMPUTED_VALUE"""),"UNIT C")</f>
        <v>UNIT C</v>
      </c>
      <c r="AF599" s="1" t="str">
        <f>IFERROR(__xludf.DUMMYFUNCTION("""COMPUTED_VALUE"""),"BGY FRANCISCO")</f>
        <v>BGY FRANCISCO</v>
      </c>
      <c r="AG599" s="1" t="str">
        <f>IFERROR(__xludf.DUMMYFUNCTION("""COMPUTED_VALUE"""),"TAGAYTAY")</f>
        <v>TAGAYTAY</v>
      </c>
      <c r="AH599" s="1" t="str">
        <f>IFERROR(__xludf.DUMMYFUNCTION("""COMPUTED_VALUE"""),"PINA COLINA RESORT ")</f>
        <v>PINA COLINA RESORT </v>
      </c>
      <c r="AI599" s="1" t="str">
        <f>IFERROR(__xludf.DUMMYFUNCTION("""COMPUTED_VALUE"""),"CLUSTER 12")</f>
        <v>CLUSTER 12</v>
      </c>
    </row>
    <row r="600" customHeight="1" spans="1:35">
      <c r="A600" s="3">
        <f>IFERROR(__xludf.DUMMYFUNCTION("""COMPUTED_VALUE"""),46284)</f>
        <v>46284</v>
      </c>
      <c r="B600" s="1" t="str">
        <f>IFERROR(__xludf.DUMMYFUNCTION("""COMPUTED_VALUE"""),"MARLON SAMSON SILANG")</f>
        <v>MARLON SAMSON SILANG</v>
      </c>
      <c r="C600" s="1">
        <f>IFERROR(__xludf.DUMMYFUNCTION("""COMPUTED_VALUE"""),2312681134)</f>
        <v>2312681134</v>
      </c>
      <c r="D600" s="1"/>
      <c r="E600" s="1"/>
      <c r="F600" s="1" t="str">
        <f>IFERROR(__xludf.DUMMYFUNCTION("""COMPUTED_VALUE"""),"REENCODED")</f>
        <v>REENCODED</v>
      </c>
      <c r="G600" s="1" t="str">
        <f>IFERROR(__xludf.DUMMYFUNCTION("""COMPUTED_VALUE"""),"REENCODED DUE TO SYSTEM ERROR")</f>
        <v>REENCODED DUE TO SYSTEM ERROR</v>
      </c>
      <c r="H600" s="1"/>
      <c r="I600" s="1"/>
      <c r="J600" s="1"/>
      <c r="K600" s="1"/>
      <c r="L600" s="1" t="str">
        <f>IFERROR(__xludf.DUMMYFUNCTION("""COMPUTED_VALUE"""),"REENCODED")</f>
        <v>REENCODED</v>
      </c>
      <c r="M600" s="1" t="str">
        <f>IFERROR(__xludf.DUMMYFUNCTION("""COMPUTED_VALUE"""),"REENCODED")</f>
        <v>REENCODED</v>
      </c>
      <c r="N600" s="3"/>
      <c r="O600" s="1" t="str">
        <f>IFERROR(__xludf.DUMMYFUNCTION("""COMPUTED_VALUE"""),"FIBR PLAN 1299")</f>
        <v>FIBR PLAN 1299</v>
      </c>
      <c r="P600" s="1" t="str">
        <f>IFERROR(__xludf.DUMMYFUNCTION("""COMPUTED_VALUE"""),"LOWPLAN")</f>
        <v>LOWPLAN</v>
      </c>
      <c r="Q600" s="1" t="str">
        <f>IFERROR(__xludf.DUMMYFUNCTION("""COMPUTED_VALUE"""),"P407517")</f>
        <v>P407517</v>
      </c>
      <c r="R600" s="1" t="str">
        <f>IFERROR(__xludf.DUMMYFUNCTION("""COMPUTED_VALUE"""),"GABAY, MANUEL")</f>
        <v>GABAY, MANUEL</v>
      </c>
      <c r="S600" s="1" t="str">
        <f>IFERROR(__xludf.DUMMYFUNCTION("""COMPUTED_VALUE"""),"FLA")</f>
        <v>FLA</v>
      </c>
      <c r="T600" s="1" t="str">
        <f>IFERROR(__xludf.DUMMYFUNCTION("""COMPUTED_VALUE"""),"JERIC NAVARRO")</f>
        <v>JERIC NAVARRO</v>
      </c>
      <c r="U600" s="1" t="str">
        <f>IFERROR(__xludf.DUMMYFUNCTION("""COMPUTED_VALUE"""),"JB SALIOA")</f>
        <v>JB SALIOA</v>
      </c>
      <c r="V600" s="1" t="str">
        <f>IFERROR(__xludf.DUMMYFUNCTION("""COMPUTED_VALUE"""),"BK REGULAR")</f>
        <v>BK REGULAR</v>
      </c>
      <c r="W600" s="1" t="str">
        <f>IFERROR(__xludf.DUMMYFUNCTION("""COMPUTED_VALUE"""),"STK REGULAR")</f>
        <v>STK REGULAR</v>
      </c>
      <c r="X600" s="1" t="str">
        <f>IFERROR(__xludf.DUMMYFUNCTION("""COMPUTED_VALUE"""),"HBBS SEPT 2026")</f>
        <v>HBBS SEPT 2026</v>
      </c>
      <c r="Y600" s="1" t="str">
        <f>IFERROR(__xludf.DUMMYFUNCTION("""COMPUTED_VALUE"""),"BK_CVEU_260817")</f>
        <v>BK_CVEU_260817</v>
      </c>
      <c r="Z600" s="1" t="str">
        <f>IFERROR(__xludf.DUMMYFUNCTION("""COMPUTED_VALUE"""),"NEW CONNECT")</f>
        <v>NEW CONNECT</v>
      </c>
      <c r="AA600" s="1">
        <f>IFERROR(__xludf.DUMMYFUNCTION("""COMPUTED_VALUE"""),639853669159)</f>
        <v>639853669159</v>
      </c>
      <c r="AB600" s="1">
        <f>IFERROR(__xludf.DUMMYFUNCTION("""COMPUTED_VALUE"""),639509594390)</f>
        <v>639509594390</v>
      </c>
      <c r="AC600" s="1"/>
      <c r="AD600" s="1" t="str">
        <f>IFERROR(__xludf.DUMMYFUNCTION("""COMPUTED_VALUE"""),"PALIGAWAN MATANDA")</f>
        <v>PALIGAWAN MATANDA</v>
      </c>
      <c r="AE600" s="1"/>
      <c r="AF600" s="1" t="str">
        <f>IFERROR(__xludf.DUMMYFUNCTION("""COMPUTED_VALUE"""),"BGY LANTIC")</f>
        <v>BGY LANTIC</v>
      </c>
      <c r="AG600" s="1" t="str">
        <f>IFERROR(__xludf.DUMMYFUNCTION("""COMPUTED_VALUE"""),"CARMONA")</f>
        <v>CARMONA</v>
      </c>
      <c r="AH600" s="1" t="str">
        <f>IFERROR(__xludf.DUMMYFUNCTION("""COMPUTED_VALUE"""),"-")</f>
        <v>-</v>
      </c>
      <c r="AI600" s="1" t="str">
        <f>IFERROR(__xludf.DUMMYFUNCTION("""COMPUTED_VALUE"""),"CLUSTER 11")</f>
        <v>CLUSTER 11</v>
      </c>
    </row>
    <row r="601" customHeight="1" spans="1:35">
      <c r="A601" s="3">
        <f>IFERROR(__xludf.DUMMYFUNCTION("""COMPUTED_VALUE"""),46285)</f>
        <v>46285</v>
      </c>
      <c r="B601" s="1" t="str">
        <f>IFERROR(__xludf.DUMMYFUNCTION("""COMPUTED_VALUE"""),"JEFFERSON MENDOZA RODRIGUEZ")</f>
        <v>JEFFERSON MENDOZA RODRIGUEZ</v>
      </c>
      <c r="C601" s="1">
        <f>IFERROR(__xludf.DUMMYFUNCTION("""COMPUTED_VALUE"""),2312691952)</f>
        <v>2312691952</v>
      </c>
      <c r="D601" s="1"/>
      <c r="E601" s="1"/>
      <c r="F601" s="1" t="str">
        <f>IFERROR(__xludf.DUMMYFUNCTION("""COMPUTED_VALUE"""),"CANCELLED")</f>
        <v>CANCELLED</v>
      </c>
      <c r="G601" s="1" t="str">
        <f>IFERROR(__xludf.DUMMYFUNCTION("""COMPUTED_VALUE"""),"&amp;#8203;CANNOT CHANGE PAYMENT REQUIRED DUE TO SYSTEM ERROR - APPROVED | DONE VALIDATION | CORRECT ENCODED IN CSP | COMPLETE DOCS SUBMITTED | TU - SCRORING - GG - 1 (NTC) | WITH 1 AMSF REQUIRED | CLEARED FROM BLACKLISTED HIT | NO EXISTING ACTIVE/PENDING/CAN"&amp;"CEL APPLICATION |")</f>
        <v>&amp;#8203;CANNOT CHANGE PAYMENT REQUIRED DUE TO SYSTEM ERROR - APPROVED | DONE VALIDATION | CORRECT ENCODED IN CSP | COMPLETE DOCS SUBMITTED | TU - SCRORING - GG - 1 (NTC) | WITH 1 AMSF REQUIRED | CLEARED FROM BLACKLISTED HIT | NO EXISTING ACTIVE/PENDING/CANCEL APPLICATION |</v>
      </c>
      <c r="H601" s="1"/>
      <c r="I601" s="1"/>
      <c r="J601" s="1"/>
      <c r="K601" s="1"/>
      <c r="L601" s="1" t="str">
        <f>IFERROR(__xludf.DUMMYFUNCTION("""COMPUTED_VALUE"""),"REENCODED")</f>
        <v>REENCODED</v>
      </c>
      <c r="M601" s="1" t="str">
        <f>IFERROR(__xludf.DUMMYFUNCTION("""COMPUTED_VALUE"""),"REENCODED")</f>
        <v>REENCODED</v>
      </c>
      <c r="N601" s="3"/>
      <c r="O601" s="1" t="str">
        <f>IFERROR(__xludf.DUMMYFUNCTION("""COMPUTED_VALUE"""),"FIBR PLAN 1299")</f>
        <v>FIBR PLAN 1299</v>
      </c>
      <c r="P601" s="1" t="str">
        <f>IFERROR(__xludf.DUMMYFUNCTION("""COMPUTED_VALUE"""),"LOWPLAN")</f>
        <v>LOWPLAN</v>
      </c>
      <c r="Q601" s="1" t="str">
        <f>IFERROR(__xludf.DUMMYFUNCTION("""COMPUTED_VALUE"""),"P407045")</f>
        <v>P407045</v>
      </c>
      <c r="R601" s="1" t="str">
        <f>IFERROR(__xludf.DUMMYFUNCTION("""COMPUTED_VALUE"""),"REMOLLO, LEA")</f>
        <v>REMOLLO, LEA</v>
      </c>
      <c r="S601" s="1" t="str">
        <f>IFERROR(__xludf.DUMMYFUNCTION("""COMPUTED_VALUE"""),"FLA")</f>
        <v>FLA</v>
      </c>
      <c r="T601" s="1" t="str">
        <f>IFERROR(__xludf.DUMMYFUNCTION("""COMPUTED_VALUE"""),"JERIC NAVARRO")</f>
        <v>JERIC NAVARRO</v>
      </c>
      <c r="U601" s="1" t="str">
        <f>IFERROR(__xludf.DUMMYFUNCTION("""COMPUTED_VALUE"""),"JB SALIOA")</f>
        <v>JB SALIOA</v>
      </c>
      <c r="V601" s="1" t="str">
        <f>IFERROR(__xludf.DUMMYFUNCTION("""COMPUTED_VALUE"""),"ONLINE/CRANFORD")</f>
        <v>ONLINE/CRANFORD</v>
      </c>
      <c r="W601" s="1" t="str">
        <f>IFERROR(__xludf.DUMMYFUNCTION("""COMPUTED_VALUE"""),"STK REGULAR")</f>
        <v>STK REGULAR</v>
      </c>
      <c r="X601" s="1" t="str">
        <f>IFERROR(__xludf.DUMMYFUNCTION("""COMPUTED_VALUE"""),"HBBS SEPT 2026")</f>
        <v>HBBS SEPT 2026</v>
      </c>
      <c r="Y601" s="1" t="str">
        <f>IFERROR(__xludf.DUMMYFUNCTION("""COMPUTED_VALUE"""),"RS_ONL_CVEU_2026")</f>
        <v>RS_ONL_CVEU_2026</v>
      </c>
      <c r="Z601" s="1" t="str">
        <f>IFERROR(__xludf.DUMMYFUNCTION("""COMPUTED_VALUE"""),"NEW CONNECT")</f>
        <v>NEW CONNECT</v>
      </c>
      <c r="AA601" s="1">
        <f>IFERROR(__xludf.DUMMYFUNCTION("""COMPUTED_VALUE"""),639608395205)</f>
        <v>639608395205</v>
      </c>
      <c r="AB601" s="1"/>
      <c r="AC601" s="1"/>
      <c r="AD601" s="1" t="str">
        <f>IFERROR(__xludf.DUMMYFUNCTION("""COMPUTED_VALUE"""),"PHASE 2")</f>
        <v>PHASE 2</v>
      </c>
      <c r="AE601" s="1" t="str">
        <f>IFERROR(__xludf.DUMMYFUNCTION("""COMPUTED_VALUE"""),"VALLE VERDE")</f>
        <v>VALLE VERDE</v>
      </c>
      <c r="AF601" s="1" t="str">
        <f>IFERROR(__xludf.DUMMYFUNCTION("""COMPUTED_VALUE"""),"BGY LANGKAAN 2")</f>
        <v>BGY LANGKAAN 2</v>
      </c>
      <c r="AG601" s="1" t="str">
        <f>IFERROR(__xludf.DUMMYFUNCTION("""COMPUTED_VALUE"""),"DASMARINAS")</f>
        <v>DASMARINAS</v>
      </c>
      <c r="AH601" s="1" t="str">
        <f>IFERROR(__xludf.DUMMYFUNCTION("""COMPUTED_VALUE"""),"PHASE 2")</f>
        <v>PHASE 2</v>
      </c>
      <c r="AI601" s="1" t="str">
        <f>IFERROR(__xludf.DUMMYFUNCTION("""COMPUTED_VALUE"""),"NOT AOR")</f>
        <v>NOT AOR</v>
      </c>
    </row>
    <row r="602" customHeight="1" spans="1:35">
      <c r="A602" s="3">
        <f>IFERROR(__xludf.DUMMYFUNCTION("""COMPUTED_VALUE"""),46285)</f>
        <v>46285</v>
      </c>
      <c r="B602" s="1" t="str">
        <f>IFERROR(__xludf.DUMMYFUNCTION("""COMPUTED_VALUE"""),"JASON CRUZ MACASINAG")</f>
        <v>JASON CRUZ MACASINAG</v>
      </c>
      <c r="C602" s="1">
        <f>IFERROR(__xludf.DUMMYFUNCTION("""COMPUTED_VALUE"""),2312692593)</f>
        <v>2312692593</v>
      </c>
      <c r="D602" s="1">
        <f>IFERROR(__xludf.DUMMYFUNCTION("""COMPUTED_VALUE"""),408184681)</f>
        <v>408184681</v>
      </c>
      <c r="E602" s="1">
        <f>IFERROR(__xludf.DUMMYFUNCTION("""COMPUTED_VALUE"""),472158891004)</f>
        <v>472158891004</v>
      </c>
      <c r="F602" s="1" t="str">
        <f>IFERROR(__xludf.DUMMYFUNCTION("""COMPUTED_VALUE"""),"RPR")</f>
        <v>RPR</v>
      </c>
      <c r="G602" s="1" t="str">
        <f>IFERROR(__xludf.DUMMYFUNCTION("""COMPUTED_VALUE"""),"no pldt fiber facilities inside CASAMA SUBDVISION already adv wife of sor anne")</f>
        <v>no pldt fiber facilities inside CASAMA SUBDVISION already adv wife of sor anne</v>
      </c>
      <c r="H602" s="1"/>
      <c r="I602" s="1" t="str">
        <f>IFERROR(__xludf.DUMMYFUNCTION("""COMPUTED_VALUE"""),"NO 1 AMSF")</f>
        <v>NO 1 AMSF</v>
      </c>
      <c r="J602" s="1"/>
      <c r="K602" s="1" t="str">
        <f>IFERROR(__xludf.DUMMYFUNCTION("""COMPUTED_VALUE"""),"CANCELED")</f>
        <v>CANCELED</v>
      </c>
      <c r="L602" s="1" t="str">
        <f>IFERROR(__xludf.DUMMYFUNCTION("""COMPUTED_VALUE"""),"RPR - NAP FULL")</f>
        <v>RPR - NAP FULL</v>
      </c>
      <c r="M602" s="1" t="str">
        <f>IFERROR(__xludf.DUMMYFUNCTION("""COMPUTED_VALUE"""),"RPR- NAP FULL")</f>
        <v>RPR- NAP FULL</v>
      </c>
      <c r="N602" s="3"/>
      <c r="O602" s="1" t="str">
        <f>IFERROR(__xludf.DUMMYFUNCTION("""COMPUTED_VALUE"""),"FIBER UNLI ALL PLAN 1499")</f>
        <v>FIBER UNLI ALL PLAN 1499</v>
      </c>
      <c r="P602" s="1" t="str">
        <f>IFERROR(__xludf.DUMMYFUNCTION("""COMPUTED_VALUE"""),"LOWPLAN")</f>
        <v>LOWPLAN</v>
      </c>
      <c r="Q602" s="1" t="str">
        <f>IFERROR(__xludf.DUMMYFUNCTION("""COMPUTED_VALUE"""),"P407563")</f>
        <v>P407563</v>
      </c>
      <c r="R602" s="1" t="str">
        <f>IFERROR(__xludf.DUMMYFUNCTION("""COMPUTED_VALUE"""),"BAQUIT, JAZMIN")</f>
        <v>BAQUIT, JAZMIN</v>
      </c>
      <c r="S602" s="1" t="str">
        <f>IFERROR(__xludf.DUMMYFUNCTION("""COMPUTED_VALUE"""),"ORGANIC")</f>
        <v>ORGANIC</v>
      </c>
      <c r="T602" s="1" t="str">
        <f>IFERROR(__xludf.DUMMYFUNCTION("""COMPUTED_VALUE"""),"LEA REMOLLO")</f>
        <v>LEA REMOLLO</v>
      </c>
      <c r="U602" s="1" t="str">
        <f>IFERROR(__xludf.DUMMYFUNCTION("""COMPUTED_VALUE"""),"JB SALIOA")</f>
        <v>JB SALIOA</v>
      </c>
      <c r="V602" s="1" t="str">
        <f>IFERROR(__xludf.DUMMYFUNCTION("""COMPUTED_VALUE"""),"ONLINE/CRANFORD")</f>
        <v>ONLINE/CRANFORD</v>
      </c>
      <c r="W602" s="1" t="str">
        <f>IFERROR(__xludf.DUMMYFUNCTION("""COMPUTED_VALUE"""),"STK REGULAR")</f>
        <v>STK REGULAR</v>
      </c>
      <c r="X602" s="1" t="str">
        <f>IFERROR(__xludf.DUMMYFUNCTION("""COMPUTED_VALUE"""),"HBBS SEPT 2026")</f>
        <v>HBBS SEPT 2026</v>
      </c>
      <c r="Y602" s="1" t="str">
        <f>IFERROR(__xludf.DUMMYFUNCTION("""COMPUTED_VALUE"""),"RS_ONL_CVEU_2026")</f>
        <v>RS_ONL_CVEU_2026</v>
      </c>
      <c r="Z602" s="1" t="str">
        <f>IFERROR(__xludf.DUMMYFUNCTION("""COMPUTED_VALUE"""),"NEW CONNECT")</f>
        <v>NEW CONNECT</v>
      </c>
      <c r="AA602" s="1">
        <f>IFERROR(__xludf.DUMMYFUNCTION("""COMPUTED_VALUE"""),639079211675)</f>
        <v>639079211675</v>
      </c>
      <c r="AB602" s="1"/>
      <c r="AC602" s="1"/>
      <c r="AD602" s="1" t="str">
        <f>IFERROR(__xludf.DUMMYFUNCTION("""COMPUTED_VALUE"""),"CASAMA")</f>
        <v>CASAMA</v>
      </c>
      <c r="AE602" s="1" t="str">
        <f>IFERROR(__xludf.DUMMYFUNCTION("""COMPUTED_VALUE"""),"CASAMA SUBDIVISION")</f>
        <v>CASAMA SUBDIVISION</v>
      </c>
      <c r="AF602" s="1" t="str">
        <f>IFERROR(__xludf.DUMMYFUNCTION("""COMPUTED_VALUE"""),"BGY SANJA MAYOR")</f>
        <v>BGY SANJA MAYOR</v>
      </c>
      <c r="AG602" s="1" t="str">
        <f>IFERROR(__xludf.DUMMYFUNCTION("""COMPUTED_VALUE"""),"TANZA")</f>
        <v>TANZA</v>
      </c>
      <c r="AH602" s="1" t="str">
        <f>IFERROR(__xludf.DUMMYFUNCTION("""COMPUTED_VALUE"""),"-")</f>
        <v>-</v>
      </c>
      <c r="AI602" s="1" t="str">
        <f>IFERROR(__xludf.DUMMYFUNCTION("""COMPUTED_VALUE"""),"NOT AOR")</f>
        <v>NOT AOR</v>
      </c>
    </row>
    <row r="603" customHeight="1" spans="1:35">
      <c r="A603" s="3">
        <f>IFERROR(__xludf.DUMMYFUNCTION("""COMPUTED_VALUE"""),46285)</f>
        <v>46285</v>
      </c>
      <c r="B603" s="1" t="str">
        <f>IFERROR(__xludf.DUMMYFUNCTION("""COMPUTED_VALUE"""),"MARLON SAMSON SAMSON")</f>
        <v>MARLON SAMSON SAMSON</v>
      </c>
      <c r="C603" s="1">
        <f>IFERROR(__xludf.DUMMYFUNCTION("""COMPUTED_VALUE"""),2312693321)</f>
        <v>2312693321</v>
      </c>
      <c r="D603" s="1"/>
      <c r="E603" s="1"/>
      <c r="F603" s="1" t="str">
        <f>IFERROR(__xludf.DUMMYFUNCTION("""COMPUTED_VALUE"""),"DISAPPROVED")</f>
        <v>DISAPPROVED</v>
      </c>
      <c r="G603" s="1" t="str">
        <f>IFERROR(__xludf.DUMMYFUNCTION("""COMPUTED_VALUE"""),"(INCORRECT ENCODED NAME_2) &amp;#8203;DISAPPROVED | INCORRECT ENCODED LAST NAME IN CSP-SAMSON VS POID- SILANG | DONE VALIDATION | SUBMITTED COMPLETE DOCS | TU SCORING GG - 1 (NTC) | 1 AMSF REQUIRED | CLEARED FROM BLACKLISTED HIT | NO EXISTING ACTIVE ACCT AND/"&amp;"OR PENDING/CANCELLED APPLICATION")</f>
        <v>(INCORRECT ENCODED NAME_2) &amp;#8203;DISAPPROVED | INCORRECT ENCODED LAST NAME IN CSP-SAMSON VS POID- SILANG | DONE VALIDATION | SUBMITTED COMPLETE DOCS | TU SCORING GG - 1 (NTC) | 1 AMSF REQUIRED | CLEARED FROM BLACKLISTED HIT | NO EXISTING ACTIVE ACCT AND/OR PENDING/CANCELLED APPLICATION</v>
      </c>
      <c r="H603" s="1"/>
      <c r="I603" s="1"/>
      <c r="J603" s="1"/>
      <c r="K603" s="1"/>
      <c r="L603" s="1" t="str">
        <f>IFERROR(__xludf.DUMMYFUNCTION("""COMPUTED_VALUE"""),"DISAPPROVED")</f>
        <v>DISAPPROVED</v>
      </c>
      <c r="M603" s="1" t="str">
        <f>IFERROR(__xludf.DUMMYFUNCTION("""COMPUTED_VALUE"""),"DISAPPROVED")</f>
        <v>DISAPPROVED</v>
      </c>
      <c r="N603" s="3"/>
      <c r="O603" s="1" t="str">
        <f>IFERROR(__xludf.DUMMYFUNCTION("""COMPUTED_VALUE"""),"FIBR PLAN 1299")</f>
        <v>FIBR PLAN 1299</v>
      </c>
      <c r="P603" s="1" t="str">
        <f>IFERROR(__xludf.DUMMYFUNCTION("""COMPUTED_VALUE"""),"LOWPLAN")</f>
        <v>LOWPLAN</v>
      </c>
      <c r="Q603" s="1" t="str">
        <f>IFERROR(__xludf.DUMMYFUNCTION("""COMPUTED_VALUE"""),"P407517")</f>
        <v>P407517</v>
      </c>
      <c r="R603" s="1" t="str">
        <f>IFERROR(__xludf.DUMMYFUNCTION("""COMPUTED_VALUE"""),"GABAY, MANUEL")</f>
        <v>GABAY, MANUEL</v>
      </c>
      <c r="S603" s="1" t="str">
        <f>IFERROR(__xludf.DUMMYFUNCTION("""COMPUTED_VALUE"""),"FLA")</f>
        <v>FLA</v>
      </c>
      <c r="T603" s="1" t="str">
        <f>IFERROR(__xludf.DUMMYFUNCTION("""COMPUTED_VALUE"""),"JERIC NAVARRO")</f>
        <v>JERIC NAVARRO</v>
      </c>
      <c r="U603" s="1" t="str">
        <f>IFERROR(__xludf.DUMMYFUNCTION("""COMPUTED_VALUE"""),"MARK MALIWAT")</f>
        <v>MARK MALIWAT</v>
      </c>
      <c r="V603" s="1" t="str">
        <f>IFERROR(__xludf.DUMMYFUNCTION("""COMPUTED_VALUE"""),"BK REGULAR")</f>
        <v>BK REGULAR</v>
      </c>
      <c r="W603" s="1" t="str">
        <f>IFERROR(__xludf.DUMMYFUNCTION("""COMPUTED_VALUE"""),"STK REGULAR")</f>
        <v>STK REGULAR</v>
      </c>
      <c r="X603" s="1" t="str">
        <f>IFERROR(__xludf.DUMMYFUNCTION("""COMPUTED_VALUE"""),"HBBS SEPT 2026")</f>
        <v>HBBS SEPT 2026</v>
      </c>
      <c r="Y603" s="1" t="str">
        <f>IFERROR(__xludf.DUMMYFUNCTION("""COMPUTED_VALUE"""),"BK_CVEU_260817")</f>
        <v>BK_CVEU_260817</v>
      </c>
      <c r="Z603" s="1" t="str">
        <f>IFERROR(__xludf.DUMMYFUNCTION("""COMPUTED_VALUE"""),"NEW CONNECT")</f>
        <v>NEW CONNECT</v>
      </c>
      <c r="AA603" s="1">
        <f>IFERROR(__xludf.DUMMYFUNCTION("""COMPUTED_VALUE"""),639853669159)</f>
        <v>639853669159</v>
      </c>
      <c r="AB603" s="1">
        <f>IFERROR(__xludf.DUMMYFUNCTION("""COMPUTED_VALUE"""),639509594390)</f>
        <v>639509594390</v>
      </c>
      <c r="AC603" s="1"/>
      <c r="AD603" s="1" t="str">
        <f>IFERROR(__xludf.DUMMYFUNCTION("""COMPUTED_VALUE"""),"PALIGAWAN MATANDA")</f>
        <v>PALIGAWAN MATANDA</v>
      </c>
      <c r="AE603" s="1"/>
      <c r="AF603" s="1" t="str">
        <f>IFERROR(__xludf.DUMMYFUNCTION("""COMPUTED_VALUE"""),"BGY LANTIC")</f>
        <v>BGY LANTIC</v>
      </c>
      <c r="AG603" s="1" t="str">
        <f>IFERROR(__xludf.DUMMYFUNCTION("""COMPUTED_VALUE"""),"CARMONA")</f>
        <v>CARMONA</v>
      </c>
      <c r="AH603" s="1" t="str">
        <f>IFERROR(__xludf.DUMMYFUNCTION("""COMPUTED_VALUE"""),"-")</f>
        <v>-</v>
      </c>
      <c r="AI603" s="1" t="str">
        <f>IFERROR(__xludf.DUMMYFUNCTION("""COMPUTED_VALUE"""),"CLUSTER 11")</f>
        <v>CLUSTER 11</v>
      </c>
    </row>
    <row r="604" customHeight="1" spans="1:35">
      <c r="A604" s="3">
        <f>IFERROR(__xludf.DUMMYFUNCTION("""COMPUTED_VALUE"""),46285)</f>
        <v>46285</v>
      </c>
      <c r="B604" s="1" t="str">
        <f>IFERROR(__xludf.DUMMYFUNCTION("""COMPUTED_VALUE"""),"MARLON SAMSON SILANG")</f>
        <v>MARLON SAMSON SILANG</v>
      </c>
      <c r="C604" s="1">
        <f>IFERROR(__xludf.DUMMYFUNCTION("""COMPUTED_VALUE"""),2312693670)</f>
        <v>2312693670</v>
      </c>
      <c r="D604" s="1"/>
      <c r="E604" s="1"/>
      <c r="F604" s="1" t="str">
        <f>IFERROR(__xludf.DUMMYFUNCTION("""COMPUTED_VALUE"""),"REENCODED")</f>
        <v>REENCODED</v>
      </c>
      <c r="G604" s="1" t="str">
        <f>IFERROR(__xludf.DUMMYFUNCTION("""COMPUTED_VALUE"""),"REENCODED DUE TO SYSTEM ERROR")</f>
        <v>REENCODED DUE TO SYSTEM ERROR</v>
      </c>
      <c r="H604" s="1"/>
      <c r="I604" s="1"/>
      <c r="J604" s="1"/>
      <c r="K604" s="1"/>
      <c r="L604" s="1" t="str">
        <f>IFERROR(__xludf.DUMMYFUNCTION("""COMPUTED_VALUE"""),"REENCODED")</f>
        <v>REENCODED</v>
      </c>
      <c r="M604" s="1" t="str">
        <f>IFERROR(__xludf.DUMMYFUNCTION("""COMPUTED_VALUE"""),"REENCODED")</f>
        <v>REENCODED</v>
      </c>
      <c r="N604" s="3"/>
      <c r="O604" s="1" t="str">
        <f>IFERROR(__xludf.DUMMYFUNCTION("""COMPUTED_VALUE"""),"FIBR PLAN 1299")</f>
        <v>FIBR PLAN 1299</v>
      </c>
      <c r="P604" s="1" t="str">
        <f>IFERROR(__xludf.DUMMYFUNCTION("""COMPUTED_VALUE"""),"LOWPLAN")</f>
        <v>LOWPLAN</v>
      </c>
      <c r="Q604" s="1" t="str">
        <f>IFERROR(__xludf.DUMMYFUNCTION("""COMPUTED_VALUE"""),"P407517")</f>
        <v>P407517</v>
      </c>
      <c r="R604" s="1" t="str">
        <f>IFERROR(__xludf.DUMMYFUNCTION("""COMPUTED_VALUE"""),"GABAY, MANUEL")</f>
        <v>GABAY, MANUEL</v>
      </c>
      <c r="S604" s="1" t="str">
        <f>IFERROR(__xludf.DUMMYFUNCTION("""COMPUTED_VALUE"""),"FLA")</f>
        <v>FLA</v>
      </c>
      <c r="T604" s="1" t="str">
        <f>IFERROR(__xludf.DUMMYFUNCTION("""COMPUTED_VALUE"""),"JERIC NAVARRO")</f>
        <v>JERIC NAVARRO</v>
      </c>
      <c r="U604" s="1" t="str">
        <f>IFERROR(__xludf.DUMMYFUNCTION("""COMPUTED_VALUE"""),"JB SALIOA")</f>
        <v>JB SALIOA</v>
      </c>
      <c r="V604" s="1" t="str">
        <f>IFERROR(__xludf.DUMMYFUNCTION("""COMPUTED_VALUE"""),"BK REGULAR")</f>
        <v>BK REGULAR</v>
      </c>
      <c r="W604" s="1" t="str">
        <f>IFERROR(__xludf.DUMMYFUNCTION("""COMPUTED_VALUE"""),"STK REGULAR")</f>
        <v>STK REGULAR</v>
      </c>
      <c r="X604" s="1" t="str">
        <f>IFERROR(__xludf.DUMMYFUNCTION("""COMPUTED_VALUE"""),"HBBS SEPT 2026")</f>
        <v>HBBS SEPT 2026</v>
      </c>
      <c r="Y604" s="1" t="str">
        <f>IFERROR(__xludf.DUMMYFUNCTION("""COMPUTED_VALUE"""),"BK_CVEU_260817")</f>
        <v>BK_CVEU_260817</v>
      </c>
      <c r="Z604" s="1" t="str">
        <f>IFERROR(__xludf.DUMMYFUNCTION("""COMPUTED_VALUE"""),"NEW CONNECT")</f>
        <v>NEW CONNECT</v>
      </c>
      <c r="AA604" s="1">
        <f>IFERROR(__xludf.DUMMYFUNCTION("""COMPUTED_VALUE"""),639853669159)</f>
        <v>639853669159</v>
      </c>
      <c r="AB604" s="1">
        <f>IFERROR(__xludf.DUMMYFUNCTION("""COMPUTED_VALUE"""),639509594390)</f>
        <v>639509594390</v>
      </c>
      <c r="AC604" s="1"/>
      <c r="AD604" s="1" t="str">
        <f>IFERROR(__xludf.DUMMYFUNCTION("""COMPUTED_VALUE"""),"PALIGAWAN MATANDA")</f>
        <v>PALIGAWAN MATANDA</v>
      </c>
      <c r="AE604" s="1" t="str">
        <f>IFERROR(__xludf.DUMMYFUNCTION("""COMPUTED_VALUE"""),"PALIGAWAN MATANDA")</f>
        <v>PALIGAWAN MATANDA</v>
      </c>
      <c r="AF604" s="1" t="str">
        <f>IFERROR(__xludf.DUMMYFUNCTION("""COMPUTED_VALUE"""),"BGY LANTIC")</f>
        <v>BGY LANTIC</v>
      </c>
      <c r="AG604" s="1" t="str">
        <f>IFERROR(__xludf.DUMMYFUNCTION("""COMPUTED_VALUE"""),"CARMONA")</f>
        <v>CARMONA</v>
      </c>
      <c r="AH604" s="1" t="str">
        <f>IFERROR(__xludf.DUMMYFUNCTION("""COMPUTED_VALUE"""),"-")</f>
        <v>-</v>
      </c>
      <c r="AI604" s="1" t="str">
        <f>IFERROR(__xludf.DUMMYFUNCTION("""COMPUTED_VALUE"""),"CLUSTER 11")</f>
        <v>CLUSTER 11</v>
      </c>
    </row>
    <row r="605" customHeight="1" spans="1:35">
      <c r="A605" s="3">
        <f>IFERROR(__xludf.DUMMYFUNCTION("""COMPUTED_VALUE"""),46285)</f>
        <v>46285</v>
      </c>
      <c r="B605" s="1" t="str">
        <f>IFERROR(__xludf.DUMMYFUNCTION("""COMPUTED_VALUE"""),"ROSALI BRUSAS ROLLO")</f>
        <v>ROSALI BRUSAS ROLLO</v>
      </c>
      <c r="C605" s="1">
        <f>IFERROR(__xludf.DUMMYFUNCTION("""COMPUTED_VALUE"""),2312693998)</f>
        <v>2312693998</v>
      </c>
      <c r="D605" s="1">
        <f>IFERROR(__xludf.DUMMYFUNCTION("""COMPUTED_VALUE"""),408175585)</f>
        <v>408175585</v>
      </c>
      <c r="E605" s="1">
        <f>IFERROR(__xludf.DUMMYFUNCTION("""COMPUTED_VALUE"""),472152151004)</f>
        <v>472152151004</v>
      </c>
      <c r="F605" s="1" t="str">
        <f>IFERROR(__xludf.DUMMYFUNCTION("""COMPUTED_VALUE"""),"CLOSED")</f>
        <v>CLOSED</v>
      </c>
      <c r="G605" s="1" t="str">
        <f>IFERROR(__xludf.DUMMYFUNCTION("""COMPUTED_VALUE"""),"CLOSED")</f>
        <v>CLOSED</v>
      </c>
      <c r="H605" s="1" t="str">
        <f>IFERROR(__xludf.DUMMYFUNCTION("""COMPUTED_VALUE"""),"PAID VIA GCASH - SEPT 21 - REF - 506416509")</f>
        <v>PAID VIA GCASH - SEPT 21 - REF - 506416509</v>
      </c>
      <c r="I605" s="1" t="str">
        <f>IFERROR(__xludf.DUMMYFUNCTION("""COMPUTED_VALUE"""),"WITH 1 AMSF")</f>
        <v>WITH 1 AMSF</v>
      </c>
      <c r="J605" s="1"/>
      <c r="K605" s="1" t="str">
        <f>IFERROR(__xludf.DUMMYFUNCTION("""COMPUTED_VALUE"""),"CANCELED")</f>
        <v>CANCELED</v>
      </c>
      <c r="L605" s="1" t="str">
        <f>IFERROR(__xludf.DUMMYFUNCTION("""COMPUTED_VALUE"""),"POSTED")</f>
        <v>POSTED</v>
      </c>
      <c r="M605" s="1" t="str">
        <f>IFERROR(__xludf.DUMMYFUNCTION("""COMPUTED_VALUE"""),"POSTED")</f>
        <v>POSTED</v>
      </c>
      <c r="N605" s="3">
        <f>IFERROR(__xludf.DUMMYFUNCTION("""COMPUTED_VALUE"""),46287)</f>
        <v>46287</v>
      </c>
      <c r="O605" s="1" t="str">
        <f>IFERROR(__xludf.DUMMYFUNCTION("""COMPUTED_VALUE"""),"FIBR PLAN 1299")</f>
        <v>FIBR PLAN 1299</v>
      </c>
      <c r="P605" s="1" t="str">
        <f>IFERROR(__xludf.DUMMYFUNCTION("""COMPUTED_VALUE"""),"LOWPLAN")</f>
        <v>LOWPLAN</v>
      </c>
      <c r="Q605" s="1" t="str">
        <f>IFERROR(__xludf.DUMMYFUNCTION("""COMPUTED_VALUE"""),"P407044")</f>
        <v>P407044</v>
      </c>
      <c r="R605" s="1" t="str">
        <f>IFERROR(__xludf.DUMMYFUNCTION("""COMPUTED_VALUE"""),"DACALCAP, ROGER")</f>
        <v>DACALCAP, ROGER</v>
      </c>
      <c r="S605" s="1" t="str">
        <f>IFERROR(__xludf.DUMMYFUNCTION("""COMPUTED_VALUE"""),"FLA")</f>
        <v>FLA</v>
      </c>
      <c r="T605" s="1" t="str">
        <f>IFERROR(__xludf.DUMMYFUNCTION("""COMPUTED_VALUE"""),"JERIC NAVARRO")</f>
        <v>JERIC NAVARRO</v>
      </c>
      <c r="U605" s="1" t="str">
        <f>IFERROR(__xludf.DUMMYFUNCTION("""COMPUTED_VALUE"""),"JB SALIOA")</f>
        <v>JB SALIOA</v>
      </c>
      <c r="V605" s="1" t="str">
        <f>IFERROR(__xludf.DUMMYFUNCTION("""COMPUTED_VALUE"""),"ONLINE/CRANFORD")</f>
        <v>ONLINE/CRANFORD</v>
      </c>
      <c r="W605" s="1" t="str">
        <f>IFERROR(__xludf.DUMMYFUNCTION("""COMPUTED_VALUE"""),"STK REGULAR")</f>
        <v>STK REGULAR</v>
      </c>
      <c r="X605" s="1" t="str">
        <f>IFERROR(__xludf.DUMMYFUNCTION("""COMPUTED_VALUE"""),"HBBS SEPT 2026")</f>
        <v>HBBS SEPT 2026</v>
      </c>
      <c r="Y605" s="1" t="str">
        <f>IFERROR(__xludf.DUMMYFUNCTION("""COMPUTED_VALUE"""),"RS_ONL_CVEU_2026")</f>
        <v>RS_ONL_CVEU_2026</v>
      </c>
      <c r="Z605" s="1" t="str">
        <f>IFERROR(__xludf.DUMMYFUNCTION("""COMPUTED_VALUE"""),"NEW CONNECT")</f>
        <v>NEW CONNECT</v>
      </c>
      <c r="AA605" s="1">
        <f>IFERROR(__xludf.DUMMYFUNCTION("""COMPUTED_VALUE"""),639764101789)</f>
        <v>639764101789</v>
      </c>
      <c r="AB605" s="1">
        <f>IFERROR(__xludf.DUMMYFUNCTION("""COMPUTED_VALUE"""),639760423967)</f>
        <v>639760423967</v>
      </c>
      <c r="AC605" s="1">
        <f>IFERROR(__xludf.DUMMYFUNCTION("""COMPUTED_VALUE"""),189)</f>
        <v>189</v>
      </c>
      <c r="AD605" s="1" t="str">
        <f>IFERROR(__xludf.DUMMYFUNCTION("""COMPUTED_VALUE"""),"PUROK 5")</f>
        <v>PUROK 5</v>
      </c>
      <c r="AE605" s="1"/>
      <c r="AF605" s="1" t="str">
        <f>IFERROR(__xludf.DUMMYFUNCTION("""COMPUTED_VALUE"""),"BGY KAYTITINGA 2")</f>
        <v>BGY KAYTITINGA 2</v>
      </c>
      <c r="AG605" s="1" t="str">
        <f>IFERROR(__xludf.DUMMYFUNCTION("""COMPUTED_VALUE"""),"ALFONSO")</f>
        <v>ALFONSO</v>
      </c>
      <c r="AH605" s="1" t="str">
        <f>IFERROR(__xludf.DUMMYFUNCTION("""COMPUTED_VALUE"""),"INFRONT OF CENSON APARTMENT")</f>
        <v>INFRONT OF CENSON APARTMENT</v>
      </c>
      <c r="AI605" s="1" t="str">
        <f>IFERROR(__xludf.DUMMYFUNCTION("""COMPUTED_VALUE"""),"CLUSTER 12")</f>
        <v>CLUSTER 12</v>
      </c>
    </row>
    <row r="606" customHeight="1" spans="1:35">
      <c r="A606" s="3">
        <f>IFERROR(__xludf.DUMMYFUNCTION("""COMPUTED_VALUE"""),46285)</f>
        <v>46285</v>
      </c>
      <c r="B606" s="1" t="str">
        <f>IFERROR(__xludf.DUMMYFUNCTION("""COMPUTED_VALUE"""),"EUGENIA RORALDO PERENA")</f>
        <v>EUGENIA RORALDO PERENA</v>
      </c>
      <c r="C606" s="1">
        <f>IFERROR(__xludf.DUMMYFUNCTION("""COMPUTED_VALUE"""),2312694341)</f>
        <v>2312694341</v>
      </c>
      <c r="D606" s="1">
        <f>IFERROR(__xludf.DUMMYFUNCTION("""COMPUTED_VALUE"""),408178878)</f>
        <v>408178878</v>
      </c>
      <c r="E606" s="1">
        <f>IFERROR(__xludf.DUMMYFUNCTION("""COMPUTED_VALUE"""),472155541004)</f>
        <v>472155541004</v>
      </c>
      <c r="F606" s="1" t="str">
        <f>IFERROR(__xludf.DUMMYFUNCTION("""COMPUTED_VALUE"""),"CLOSED")</f>
        <v>CLOSED</v>
      </c>
      <c r="G606" s="1" t="str">
        <f>IFERROR(__xludf.DUMMYFUNCTION("""COMPUTED_VALUE"""),"CLOSED")</f>
        <v>CLOSED</v>
      </c>
      <c r="H606" s="1" t="str">
        <f>IFERROR(__xludf.DUMMYFUNCTION("""COMPUTED_VALUE"""),"PAID VIA GCASH - SEPT 22 - REF- 708559318")</f>
        <v>PAID VIA GCASH - SEPT 22 - REF- 708559318</v>
      </c>
      <c r="I606" s="1" t="str">
        <f>IFERROR(__xludf.DUMMYFUNCTION("""COMPUTED_VALUE"""),"WITH 1 AMSF")</f>
        <v>WITH 1 AMSF</v>
      </c>
      <c r="J606" s="1"/>
      <c r="K606" s="1" t="str">
        <f>IFERROR(__xludf.DUMMYFUNCTION("""COMPUTED_VALUE"""),"COMPLETED")</f>
        <v>COMPLETED</v>
      </c>
      <c r="L606" s="1" t="str">
        <f>IFERROR(__xludf.DUMMYFUNCTION("""COMPUTED_VALUE"""),"POSTED")</f>
        <v>POSTED</v>
      </c>
      <c r="M606" s="1" t="str">
        <f>IFERROR(__xludf.DUMMYFUNCTION("""COMPUTED_VALUE"""),"POSTED")</f>
        <v>POSTED</v>
      </c>
      <c r="N606" s="3">
        <f>IFERROR(__xludf.DUMMYFUNCTION("""COMPUTED_VALUE"""),46287)</f>
        <v>46287</v>
      </c>
      <c r="O606" s="1" t="str">
        <f>IFERROR(__xludf.DUMMYFUNCTION("""COMPUTED_VALUE"""),"FIBR PLAN 1299")</f>
        <v>FIBR PLAN 1299</v>
      </c>
      <c r="P606" s="1" t="str">
        <f>IFERROR(__xludf.DUMMYFUNCTION("""COMPUTED_VALUE"""),"LOWPLAN")</f>
        <v>LOWPLAN</v>
      </c>
      <c r="Q606" s="1" t="str">
        <f>IFERROR(__xludf.DUMMYFUNCTION("""COMPUTED_VALUE"""),"P407050")</f>
        <v>P407050</v>
      </c>
      <c r="R606" s="1" t="str">
        <f>IFERROR(__xludf.DUMMYFUNCTION("""COMPUTED_VALUE"""),"LOPEZ, JENIELYN")</f>
        <v>LOPEZ, JENIELYN</v>
      </c>
      <c r="S606" s="1" t="str">
        <f>IFERROR(__xludf.DUMMYFUNCTION("""COMPUTED_VALUE"""),"ORGANIC")</f>
        <v>ORGANIC</v>
      </c>
      <c r="T606" s="1" t="str">
        <f>IFERROR(__xludf.DUMMYFUNCTION("""COMPUTED_VALUE"""),"LEA REMOLLO")</f>
        <v>LEA REMOLLO</v>
      </c>
      <c r="U606" s="1" t="str">
        <f>IFERROR(__xludf.DUMMYFUNCTION("""COMPUTED_VALUE"""),"JB SALIOA")</f>
        <v>JB SALIOA</v>
      </c>
      <c r="V606" s="1" t="str">
        <f>IFERROR(__xludf.DUMMYFUNCTION("""COMPUTED_VALUE"""),"BK REGULAR")</f>
        <v>BK REGULAR</v>
      </c>
      <c r="W606" s="1" t="str">
        <f>IFERROR(__xludf.DUMMYFUNCTION("""COMPUTED_VALUE"""),"STK REGULAR")</f>
        <v>STK REGULAR</v>
      </c>
      <c r="X606" s="1" t="str">
        <f>IFERROR(__xludf.DUMMYFUNCTION("""COMPUTED_VALUE"""),"HBBS SEPT 2026")</f>
        <v>HBBS SEPT 2026</v>
      </c>
      <c r="Y606" s="1" t="str">
        <f>IFERROR(__xludf.DUMMYFUNCTION("""COMPUTED_VALUE"""),"BK_CVEU_260819")</f>
        <v>BK_CVEU_260819</v>
      </c>
      <c r="Z606" s="1" t="str">
        <f>IFERROR(__xludf.DUMMYFUNCTION("""COMPUTED_VALUE"""),"NEW CONNECT")</f>
        <v>NEW CONNECT</v>
      </c>
      <c r="AA606" s="1">
        <f>IFERROR(__xludf.DUMMYFUNCTION("""COMPUTED_VALUE"""),639367001329)</f>
        <v>639367001329</v>
      </c>
      <c r="AB606" s="1"/>
      <c r="AC606" s="1">
        <f>IFERROR(__xludf.DUMMYFUNCTION("""COMPUTED_VALUE"""),83)</f>
        <v>83</v>
      </c>
      <c r="AD606" s="1" t="str">
        <f>IFERROR(__xludf.DUMMYFUNCTION("""COMPUTED_VALUE"""),"ZAMORA")</f>
        <v>ZAMORA</v>
      </c>
      <c r="AE606" s="1"/>
      <c r="AF606" s="1" t="str">
        <f>IFERROR(__xludf.DUMMYFUNCTION("""COMPUTED_VALUE"""),"BGY ASIS 1")</f>
        <v>BGY ASIS 1</v>
      </c>
      <c r="AG606" s="1" t="str">
        <f>IFERROR(__xludf.DUMMYFUNCTION("""COMPUTED_VALUE"""),"MENDEZ")</f>
        <v>MENDEZ</v>
      </c>
      <c r="AH606" s="1" t="str">
        <f>IFERROR(__xludf.DUMMYFUNCTION("""COMPUTED_VALUE"""),"GRAINSMART")</f>
        <v>GRAINSMART</v>
      </c>
      <c r="AI606" s="1" t="str">
        <f>IFERROR(__xludf.DUMMYFUNCTION("""COMPUTED_VALUE"""),"CLUSTER 12")</f>
        <v>CLUSTER 12</v>
      </c>
    </row>
    <row r="607" customHeight="1" spans="1:35">
      <c r="A607" s="3">
        <f>IFERROR(__xludf.DUMMYFUNCTION("""COMPUTED_VALUE"""),46285)</f>
        <v>46285</v>
      </c>
      <c r="B607" s="1" t="str">
        <f>IFERROR(__xludf.DUMMYFUNCTION("""COMPUTED_VALUE"""),"KIMVERLY JANE PAHIT PINEDA")</f>
        <v>KIMVERLY JANE PAHIT PINEDA</v>
      </c>
      <c r="C607" s="1">
        <f>IFERROR(__xludf.DUMMYFUNCTION("""COMPUTED_VALUE"""),2312696376)</f>
        <v>2312696376</v>
      </c>
      <c r="D607" s="1"/>
      <c r="E607" s="1"/>
      <c r="F607" s="1" t="str">
        <f>IFERROR(__xludf.DUMMYFUNCTION("""COMPUTED_VALUE"""),"CANCELLED")</f>
        <v>CANCELLED</v>
      </c>
      <c r="G607" s="1" t="str">
        <f>IFERROR(__xludf.DUMMYFUNCTION("""COMPUTED_VALUE"""),"(WITH BLACKLIST HIT FOR COMPLIANCE) RETURN TO SALES | DONE VALIDATION | CORRECT ENCODED INFO IN CSP | TU SCORING -GG - 1 (NTC) | REQUIRED AMSF | BLACKLISTED - NAME - ACCT#: 0291577555 | SAME NAME / DIFFERENT ADDRESS | OUTSTANDING: Php3,677.48 | FOR SETTLE"&amp;"MENT | WITH CANCELLED APPLICATION 0291576427 | SAME NAME/DIFF ADDRESS | CALL THRU: 639178773373 -2:16 PM/(09303895268/09461704433/09952836076 -INCORRECT NUMBERS)-:1:18 PM | BK SR- SUBS IS UNCONTACTED (UNATTENDED)")</f>
        <v>(WITH BLACKLIST HIT FOR COMPLIANCE) RETURN TO SALES | DONE VALIDATION | CORRECT ENCODED INFO IN CSP | TU SCORING -GG - 1 (NTC) | REQUIRED AMSF | BLACKLISTED - NAME - ACCT#: 0291577555 | SAME NAME / DIFFERENT ADDRESS | OUTSTANDING: Php3,677.48 | FOR SETTLEMENT | WITH CANCELLED APPLICATION 0291576427 | SAME NAME/DIFF ADDRESS | CALL THRU: 639178773373 -2:16 PM/(09303895268/09461704433/09952836076 -INCORRECT NUMBERS)-:1:18 PM | BK SR- SUBS IS UNCONTACTED (UNATTENDED)</v>
      </c>
      <c r="H607" s="1"/>
      <c r="I607" s="1"/>
      <c r="J607" s="1"/>
      <c r="K607" s="1"/>
      <c r="L607" s="1" t="str">
        <f>IFERROR(__xludf.DUMMYFUNCTION("""COMPUTED_VALUE"""),"CANCELLED - WITH OB")</f>
        <v>CANCELLED - WITH OB</v>
      </c>
      <c r="M607" s="1" t="str">
        <f>IFERROR(__xludf.DUMMYFUNCTION("""COMPUTED_VALUE"""),"CANCELLED - WITH OB")</f>
        <v>CANCELLED - WITH OB</v>
      </c>
      <c r="N607" s="3"/>
      <c r="O607" s="1" t="str">
        <f>IFERROR(__xludf.DUMMYFUNCTION("""COMPUTED_VALUE"""),"FIBER UNLI ALL PLAN 1499")</f>
        <v>FIBER UNLI ALL PLAN 1499</v>
      </c>
      <c r="P607" s="1" t="str">
        <f>IFERROR(__xludf.DUMMYFUNCTION("""COMPUTED_VALUE"""),"LOWPLAN")</f>
        <v>LOWPLAN</v>
      </c>
      <c r="Q607" s="1" t="str">
        <f>IFERROR(__xludf.DUMMYFUNCTION("""COMPUTED_VALUE"""),"P407564")</f>
        <v>P407564</v>
      </c>
      <c r="R607" s="1" t="str">
        <f>IFERROR(__xludf.DUMMYFUNCTION("""COMPUTED_VALUE"""),"ARENA, LYKA")</f>
        <v>ARENA, LYKA</v>
      </c>
      <c r="S607" s="1" t="str">
        <f>IFERROR(__xludf.DUMMYFUNCTION("""COMPUTED_VALUE"""),"ORGANIC")</f>
        <v>ORGANIC</v>
      </c>
      <c r="T607" s="1" t="str">
        <f>IFERROR(__xludf.DUMMYFUNCTION("""COMPUTED_VALUE"""),"LEA REMOLLO")</f>
        <v>LEA REMOLLO</v>
      </c>
      <c r="U607" s="1" t="str">
        <f>IFERROR(__xludf.DUMMYFUNCTION("""COMPUTED_VALUE"""),"JB SALIOA")</f>
        <v>JB SALIOA</v>
      </c>
      <c r="V607" s="1" t="str">
        <f>IFERROR(__xludf.DUMMYFUNCTION("""COMPUTED_VALUE"""),"BK HSTK")</f>
        <v>BK HSTK</v>
      </c>
      <c r="W607" s="1" t="str">
        <f>IFERROR(__xludf.DUMMYFUNCTION("""COMPUTED_VALUE"""),"BK HSTK")</f>
        <v>BK HSTK</v>
      </c>
      <c r="X607" s="1" t="str">
        <f>IFERROR(__xludf.DUMMYFUNCTION("""COMPUTED_VALUE"""),"HBBS SEPT 2026")</f>
        <v>HBBS SEPT 2026</v>
      </c>
      <c r="Y607" s="1" t="str">
        <f>IFERROR(__xludf.DUMMYFUNCTION("""COMPUTED_VALUE"""),"BK_CVEU_260815")</f>
        <v>BK_CVEU_260815</v>
      </c>
      <c r="Z607" s="1" t="str">
        <f>IFERROR(__xludf.DUMMYFUNCTION("""COMPUTED_VALUE"""),"NEW CONNECT")</f>
        <v>NEW CONNECT</v>
      </c>
      <c r="AA607" s="1">
        <f>IFERROR(__xludf.DUMMYFUNCTION("""COMPUTED_VALUE"""),639178773373)</f>
        <v>639178773373</v>
      </c>
      <c r="AB607" s="1"/>
      <c r="AC607" s="1">
        <f>IFERROR(__xludf.DUMMYFUNCTION("""COMPUTED_VALUE"""),74)</f>
        <v>74</v>
      </c>
      <c r="AD607" s="1" t="str">
        <f>IFERROR(__xludf.DUMMYFUNCTION("""COMPUTED_VALUE"""),"PUROK 1")</f>
        <v>PUROK 1</v>
      </c>
      <c r="AE607" s="1"/>
      <c r="AF607" s="1" t="str">
        <f>IFERROR(__xludf.DUMMYFUNCTION("""COMPUTED_VALUE"""),"BGY LUKSUHIN ILAYA")</f>
        <v>BGY LUKSUHIN ILAYA</v>
      </c>
      <c r="AG607" s="1" t="str">
        <f>IFERROR(__xludf.DUMMYFUNCTION("""COMPUTED_VALUE"""),"ALFONSO")</f>
        <v>ALFONSO</v>
      </c>
      <c r="AH607" s="1" t="str">
        <f>IFERROR(__xludf.DUMMYFUNCTION("""COMPUTED_VALUE"""),"RAM STORE")</f>
        <v>RAM STORE</v>
      </c>
      <c r="AI607" s="1" t="str">
        <f>IFERROR(__xludf.DUMMYFUNCTION("""COMPUTED_VALUE"""),"CLUSTER 12")</f>
        <v>CLUSTER 12</v>
      </c>
    </row>
    <row r="608" customHeight="1" spans="1:35">
      <c r="A608" s="3">
        <f>IFERROR(__xludf.DUMMYFUNCTION("""COMPUTED_VALUE"""),46285)</f>
        <v>46285</v>
      </c>
      <c r="B608" s="1" t="str">
        <f>IFERROR(__xludf.DUMMYFUNCTION("""COMPUTED_VALUE"""),"LEONARDO JR SASAN MOJAR")</f>
        <v>LEONARDO JR SASAN MOJAR</v>
      </c>
      <c r="C608" s="1">
        <f>IFERROR(__xludf.DUMMYFUNCTION("""COMPUTED_VALUE"""),2312696690)</f>
        <v>2312696690</v>
      </c>
      <c r="D608" s="1">
        <f>IFERROR(__xludf.DUMMYFUNCTION("""COMPUTED_VALUE"""),408179955)</f>
        <v>408179955</v>
      </c>
      <c r="E608" s="1">
        <f>IFERROR(__xludf.DUMMYFUNCTION("""COMPUTED_VALUE"""),472155829004)</f>
        <v>472155829004</v>
      </c>
      <c r="F608" s="1" t="str">
        <f>IFERROR(__xludf.DUMMYFUNCTION("""COMPUTED_VALUE"""),"CLOSED")</f>
        <v>CLOSED</v>
      </c>
      <c r="G608" s="1" t="str">
        <f>IFERROR(__xludf.DUMMYFUNCTION("""COMPUTED_VALUE"""),"CLOSED")</f>
        <v>CLOSED</v>
      </c>
      <c r="H608" s="1" t="str">
        <f>IFERROR(__xludf.DUMMYFUNCTION("""COMPUTED_VALUE"""),"PAID VIA GCASH - SEPT 21 - REF - 505870698")</f>
        <v>PAID VIA GCASH - SEPT 21 - REF - 505870698</v>
      </c>
      <c r="I608" s="1" t="str">
        <f>IFERROR(__xludf.DUMMYFUNCTION("""COMPUTED_VALUE"""),"WITH 1 AMSF")</f>
        <v>WITH 1 AMSF</v>
      </c>
      <c r="J608" s="1"/>
      <c r="K608" s="1" t="str">
        <f>IFERROR(__xludf.DUMMYFUNCTION("""COMPUTED_VALUE"""),"COMPLETED")</f>
        <v>COMPLETED</v>
      </c>
      <c r="L608" s="1" t="str">
        <f>IFERROR(__xludf.DUMMYFUNCTION("""COMPUTED_VALUE"""),"POSTED")</f>
        <v>POSTED</v>
      </c>
      <c r="M608" s="1" t="str">
        <f>IFERROR(__xludf.DUMMYFUNCTION("""COMPUTED_VALUE"""),"POSTED")</f>
        <v>POSTED</v>
      </c>
      <c r="N608" s="3">
        <f>IFERROR(__xludf.DUMMYFUNCTION("""COMPUTED_VALUE"""),46286)</f>
        <v>46286</v>
      </c>
      <c r="O608" s="1" t="str">
        <f>IFERROR(__xludf.DUMMYFUNCTION("""COMPUTED_VALUE"""),"FIBR PLAN 1299")</f>
        <v>FIBR PLAN 1299</v>
      </c>
      <c r="P608" s="1" t="str">
        <f>IFERROR(__xludf.DUMMYFUNCTION("""COMPUTED_VALUE"""),"LOWPLAN")</f>
        <v>LOWPLAN</v>
      </c>
      <c r="Q608" s="1" t="str">
        <f>IFERROR(__xludf.DUMMYFUNCTION("""COMPUTED_VALUE"""),"P407047")</f>
        <v>P407047</v>
      </c>
      <c r="R608" s="1" t="str">
        <f>IFERROR(__xludf.DUMMYFUNCTION("""COMPUTED_VALUE"""),"FRANCISCO, ROSELYN")</f>
        <v>FRANCISCO, ROSELYN</v>
      </c>
      <c r="S608" s="1" t="str">
        <f>IFERROR(__xludf.DUMMYFUNCTION("""COMPUTED_VALUE"""),"ORGANIC")</f>
        <v>ORGANIC</v>
      </c>
      <c r="T608" s="1" t="str">
        <f>IFERROR(__xludf.DUMMYFUNCTION("""COMPUTED_VALUE"""),"LEA REMOLLO")</f>
        <v>LEA REMOLLO</v>
      </c>
      <c r="U608" s="1" t="str">
        <f>IFERROR(__xludf.DUMMYFUNCTION("""COMPUTED_VALUE"""),"JB SALIOA")</f>
        <v>JB SALIOA</v>
      </c>
      <c r="V608" s="1" t="str">
        <f>IFERROR(__xludf.DUMMYFUNCTION("""COMPUTED_VALUE"""),"BK REGULAR")</f>
        <v>BK REGULAR</v>
      </c>
      <c r="W608" s="1" t="str">
        <f>IFERROR(__xludf.DUMMYFUNCTION("""COMPUTED_VALUE"""),"STK REGULAR")</f>
        <v>STK REGULAR</v>
      </c>
      <c r="X608" s="1" t="str">
        <f>IFERROR(__xludf.DUMMYFUNCTION("""COMPUTED_VALUE"""),"HBBS SEPT 2026")</f>
        <v>HBBS SEPT 2026</v>
      </c>
      <c r="Y608" s="1" t="str">
        <f>IFERROR(__xludf.DUMMYFUNCTION("""COMPUTED_VALUE"""),"BK_CVEU_260817")</f>
        <v>BK_CVEU_260817</v>
      </c>
      <c r="Z608" s="1" t="str">
        <f>IFERROR(__xludf.DUMMYFUNCTION("""COMPUTED_VALUE"""),"NEW CONNECT")</f>
        <v>NEW CONNECT</v>
      </c>
      <c r="AA608" s="1">
        <f>IFERROR(__xludf.DUMMYFUNCTION("""COMPUTED_VALUE"""),639692093254)</f>
        <v>639692093254</v>
      </c>
      <c r="AB608" s="1">
        <f>IFERROR(__xludf.DUMMYFUNCTION("""COMPUTED_VALUE"""),639059624427)</f>
        <v>639059624427</v>
      </c>
      <c r="AC608" s="1">
        <f>IFERROR(__xludf.DUMMYFUNCTION("""COMPUTED_VALUE"""),174)</f>
        <v>174</v>
      </c>
      <c r="AD608" s="1" t="str">
        <f>IFERROR(__xludf.DUMMYFUNCTION("""COMPUTED_VALUE"""),"PALIGAWAN MATANDA")</f>
        <v>PALIGAWAN MATANDA</v>
      </c>
      <c r="AE608" s="1"/>
      <c r="AF608" s="1" t="str">
        <f>IFERROR(__xludf.DUMMYFUNCTION("""COMPUTED_VALUE"""),"BGY LANTIC")</f>
        <v>BGY LANTIC</v>
      </c>
      <c r="AG608" s="1" t="str">
        <f>IFERROR(__xludf.DUMMYFUNCTION("""COMPUTED_VALUE"""),"CARMONA")</f>
        <v>CARMONA</v>
      </c>
      <c r="AH608" s="1" t="str">
        <f>IFERROR(__xludf.DUMMYFUNCTION("""COMPUTED_VALUE"""),"INFRONT OF TENEMENT BLDG")</f>
        <v>INFRONT OF TENEMENT BLDG</v>
      </c>
      <c r="AI608" s="1" t="str">
        <f>IFERROR(__xludf.DUMMYFUNCTION("""COMPUTED_VALUE"""),"CLUSTER 11")</f>
        <v>CLUSTER 11</v>
      </c>
    </row>
    <row r="609" customHeight="1" spans="1:35">
      <c r="A609" s="3">
        <f>IFERROR(__xludf.DUMMYFUNCTION("""COMPUTED_VALUE"""),46285)</f>
        <v>46285</v>
      </c>
      <c r="B609" s="1" t="str">
        <f>IFERROR(__xludf.DUMMYFUNCTION("""COMPUTED_VALUE"""),"MARLON SAMSON SILANG")</f>
        <v>MARLON SAMSON SILANG</v>
      </c>
      <c r="C609" s="1">
        <f>IFERROR(__xludf.DUMMYFUNCTION("""COMPUTED_VALUE"""),2312696313)</f>
        <v>2312696313</v>
      </c>
      <c r="D609" s="1">
        <f>IFERROR(__xludf.DUMMYFUNCTION("""COMPUTED_VALUE"""),408180236)</f>
        <v>408180236</v>
      </c>
      <c r="E609" s="1">
        <f>IFERROR(__xludf.DUMMYFUNCTION("""COMPUTED_VALUE"""),472156308004)</f>
        <v>472156308004</v>
      </c>
      <c r="F609" s="1" t="str">
        <f>IFERROR(__xludf.DUMMYFUNCTION("""COMPUTED_VALUE"""),"CLOSED")</f>
        <v>CLOSED</v>
      </c>
      <c r="G609" s="1" t="str">
        <f>IFERROR(__xludf.DUMMYFUNCTION("""COMPUTED_VALUE"""),"CLOSED")</f>
        <v>CLOSED</v>
      </c>
      <c r="H609" s="1" t="str">
        <f>IFERROR(__xludf.DUMMYFUNCTION("""COMPUTED_VALUE"""),"PQGOR364791001	21-Sep-26	Regular Payment	CIS-GCASH 3.0	1,299.00	0	21-Sep-26")</f>
        <v>PQGOR364791001	21-Sep-26	Regular Payment	CIS-GCASH 3.0	1,299.00	0	21-Sep-26</v>
      </c>
      <c r="I609" s="1" t="str">
        <f>IFERROR(__xludf.DUMMYFUNCTION("""COMPUTED_VALUE"""),"WITH 1 AMSF")</f>
        <v>WITH 1 AMSF</v>
      </c>
      <c r="J609" s="1"/>
      <c r="K609" s="1" t="str">
        <f>IFERROR(__xludf.DUMMYFUNCTION("""COMPUTED_VALUE"""),"COMPLETED")</f>
        <v>COMPLETED</v>
      </c>
      <c r="L609" s="1" t="str">
        <f>IFERROR(__xludf.DUMMYFUNCTION("""COMPUTED_VALUE"""),"POSTED")</f>
        <v>POSTED</v>
      </c>
      <c r="M609" s="1" t="str">
        <f>IFERROR(__xludf.DUMMYFUNCTION("""COMPUTED_VALUE"""),"POSTED")</f>
        <v>POSTED</v>
      </c>
      <c r="N609" s="3">
        <f>IFERROR(__xludf.DUMMYFUNCTION("""COMPUTED_VALUE"""),46287)</f>
        <v>46287</v>
      </c>
      <c r="O609" s="1" t="str">
        <f>IFERROR(__xludf.DUMMYFUNCTION("""COMPUTED_VALUE"""),"FIBR PLAN 1299")</f>
        <v>FIBR PLAN 1299</v>
      </c>
      <c r="P609" s="1" t="str">
        <f>IFERROR(__xludf.DUMMYFUNCTION("""COMPUTED_VALUE"""),"LOWPLAN")</f>
        <v>LOWPLAN</v>
      </c>
      <c r="Q609" s="1" t="str">
        <f>IFERROR(__xludf.DUMMYFUNCTION("""COMPUTED_VALUE"""),"P407517")</f>
        <v>P407517</v>
      </c>
      <c r="R609" s="1" t="str">
        <f>IFERROR(__xludf.DUMMYFUNCTION("""COMPUTED_VALUE"""),"GABAY, MANUEL")</f>
        <v>GABAY, MANUEL</v>
      </c>
      <c r="S609" s="1" t="str">
        <f>IFERROR(__xludf.DUMMYFUNCTION("""COMPUTED_VALUE"""),"FLA")</f>
        <v>FLA</v>
      </c>
      <c r="T609" s="1" t="str">
        <f>IFERROR(__xludf.DUMMYFUNCTION("""COMPUTED_VALUE"""),"JERIC NAVARRO")</f>
        <v>JERIC NAVARRO</v>
      </c>
      <c r="U609" s="1" t="str">
        <f>IFERROR(__xludf.DUMMYFUNCTION("""COMPUTED_VALUE"""),"JB SALIOA")</f>
        <v>JB SALIOA</v>
      </c>
      <c r="V609" s="1" t="str">
        <f>IFERROR(__xludf.DUMMYFUNCTION("""COMPUTED_VALUE"""),"BK REGULAR")</f>
        <v>BK REGULAR</v>
      </c>
      <c r="W609" s="1" t="str">
        <f>IFERROR(__xludf.DUMMYFUNCTION("""COMPUTED_VALUE"""),"STK REGULAR")</f>
        <v>STK REGULAR</v>
      </c>
      <c r="X609" s="1" t="str">
        <f>IFERROR(__xludf.DUMMYFUNCTION("""COMPUTED_VALUE"""),"HBBS SEPT 2026")</f>
        <v>HBBS SEPT 2026</v>
      </c>
      <c r="Y609" s="1" t="str">
        <f>IFERROR(__xludf.DUMMYFUNCTION("""COMPUTED_VALUE"""),"BK_CVEU_260817")</f>
        <v>BK_CVEU_260817</v>
      </c>
      <c r="Z609" s="1" t="str">
        <f>IFERROR(__xludf.DUMMYFUNCTION("""COMPUTED_VALUE"""),"NEW CONNECT")</f>
        <v>NEW CONNECT</v>
      </c>
      <c r="AA609" s="1">
        <f>IFERROR(__xludf.DUMMYFUNCTION("""COMPUTED_VALUE"""),639853669159)</f>
        <v>639853669159</v>
      </c>
      <c r="AB609" s="1">
        <f>IFERROR(__xludf.DUMMYFUNCTION("""COMPUTED_VALUE"""),639509594390)</f>
        <v>639509594390</v>
      </c>
      <c r="AC609" s="1"/>
      <c r="AD609" s="1" t="str">
        <f>IFERROR(__xludf.DUMMYFUNCTION("""COMPUTED_VALUE"""),"PALIGAWAN MATANDA")</f>
        <v>PALIGAWAN MATANDA</v>
      </c>
      <c r="AE609" s="1" t="str">
        <f>IFERROR(__xludf.DUMMYFUNCTION("""COMPUTED_VALUE"""),"PALIGAWAN MATANDA")</f>
        <v>PALIGAWAN MATANDA</v>
      </c>
      <c r="AF609" s="1" t="str">
        <f>IFERROR(__xludf.DUMMYFUNCTION("""COMPUTED_VALUE"""),"BGY LANTIC")</f>
        <v>BGY LANTIC</v>
      </c>
      <c r="AG609" s="1" t="str">
        <f>IFERROR(__xludf.DUMMYFUNCTION("""COMPUTED_VALUE"""),"CARMONA")</f>
        <v>CARMONA</v>
      </c>
      <c r="AH609" s="1" t="str">
        <f>IFERROR(__xludf.DUMMYFUNCTION("""COMPUTED_VALUE"""),"-")</f>
        <v>-</v>
      </c>
      <c r="AI609" s="1" t="str">
        <f>IFERROR(__xludf.DUMMYFUNCTION("""COMPUTED_VALUE"""),"CLUSTER 11")</f>
        <v>CLUSTER 11</v>
      </c>
    </row>
    <row r="610" customHeight="1" spans="1:35">
      <c r="A610" s="3">
        <f>IFERROR(__xludf.DUMMYFUNCTION("""COMPUTED_VALUE"""),46285)</f>
        <v>46285</v>
      </c>
      <c r="B610" s="1" t="str">
        <f>IFERROR(__xludf.DUMMYFUNCTION("""COMPUTED_VALUE"""),"ANGEL REYN DAWIS CAFE")</f>
        <v>ANGEL REYN DAWIS CAFE</v>
      </c>
      <c r="C610" s="1">
        <f>IFERROR(__xludf.DUMMYFUNCTION("""COMPUTED_VALUE"""),2312697363)</f>
        <v>2312697363</v>
      </c>
      <c r="D610" s="1">
        <f>IFERROR(__xludf.DUMMYFUNCTION("""COMPUTED_VALUE"""),408182735)</f>
        <v>408182735</v>
      </c>
      <c r="E610" s="1">
        <f>IFERROR(__xludf.DUMMYFUNCTION("""COMPUTED_VALUE"""),472157304004)</f>
        <v>472157304004</v>
      </c>
      <c r="F610" s="1" t="str">
        <f>IFERROR(__xludf.DUMMYFUNCTION("""COMPUTED_VALUE"""),"CANCELLED")</f>
        <v>CANCELLED</v>
      </c>
      <c r="G610" s="1" t="str">
        <f>IFERROR(__xludf.DUMMYFUNCTION("""COMPUTED_VALUE"""),"""VISITED 
REMARKS: ALL NAP FULL 
SILLP294NP5 full 5SPAN 
SILLP294NP6FULL 8SPAN 
SILLP294NP8FULL 10SPAN 
SILLP294NP7FULL 11SPAN 
SUBS ALREADY ADVICE 
TALK ANGEL REYN DAWIS CAFE 
09510770904 09218697358""")</f>
        <v>"VISITED 
REMARKS: ALL NAP FULL 
SILLP294NP5 full 5SPAN 
SILLP294NP6FULL 8SPAN 
SILLP294NP8FULL 10SPAN 
SILLP294NP7FULL 11SPAN 
SUBS ALREADY ADVICE 
TALK ANGEL REYN DAWIS CAFE 
09510770904 09218697358"</v>
      </c>
      <c r="H610" s="1"/>
      <c r="I610" s="1" t="str">
        <f>IFERROR(__xludf.DUMMYFUNCTION("""COMPUTED_VALUE"""),"NO 1 AMSF")</f>
        <v>NO 1 AMSF</v>
      </c>
      <c r="J610" s="1"/>
      <c r="K610" s="1" t="str">
        <f>IFERROR(__xludf.DUMMYFUNCTION("""COMPUTED_VALUE"""),"OPEN IN OFSC")</f>
        <v>OPEN IN OFSC</v>
      </c>
      <c r="L610" s="1" t="str">
        <f>IFERROR(__xludf.DUMMYFUNCTION("""COMPUTED_VALUE"""),"RPR - NAP FULL")</f>
        <v>RPR - NAP FULL</v>
      </c>
      <c r="M610" s="1" t="str">
        <f>IFERROR(__xludf.DUMMYFUNCTION("""COMPUTED_VALUE"""),"RPR- NAP FULL")</f>
        <v>RPR- NAP FULL</v>
      </c>
      <c r="N610" s="3"/>
      <c r="O610" s="1" t="str">
        <f>IFERROR(__xludf.DUMMYFUNCTION("""COMPUTED_VALUE"""),"FIBER UNLI ALL PLAN 1499")</f>
        <v>FIBER UNLI ALL PLAN 1499</v>
      </c>
      <c r="P610" s="1" t="str">
        <f>IFERROR(__xludf.DUMMYFUNCTION("""COMPUTED_VALUE"""),"LOWPLAN")</f>
        <v>LOWPLAN</v>
      </c>
      <c r="Q610" s="1" t="str">
        <f>IFERROR(__xludf.DUMMYFUNCTION("""COMPUTED_VALUE"""),"P407516")</f>
        <v>P407516</v>
      </c>
      <c r="R610" s="1" t="str">
        <f>IFERROR(__xludf.DUMMYFUNCTION("""COMPUTED_VALUE"""),"TAMAYO, MARY ROSE ZAIRA")</f>
        <v>TAMAYO, MARY ROSE ZAIRA</v>
      </c>
      <c r="S610" s="1" t="str">
        <f>IFERROR(__xludf.DUMMYFUNCTION("""COMPUTED_VALUE"""),"ORGANIC")</f>
        <v>ORGANIC</v>
      </c>
      <c r="T610" s="1" t="str">
        <f>IFERROR(__xludf.DUMMYFUNCTION("""COMPUTED_VALUE"""),"LEA REMOLLO")</f>
        <v>LEA REMOLLO</v>
      </c>
      <c r="U610" s="1" t="str">
        <f>IFERROR(__xludf.DUMMYFUNCTION("""COMPUTED_VALUE"""),"JB SALIOA")</f>
        <v>JB SALIOA</v>
      </c>
      <c r="V610" s="1" t="str">
        <f>IFERROR(__xludf.DUMMYFUNCTION("""COMPUTED_VALUE"""),"BK HSTK")</f>
        <v>BK HSTK</v>
      </c>
      <c r="W610" s="1" t="str">
        <f>IFERROR(__xludf.DUMMYFUNCTION("""COMPUTED_VALUE"""),"BK HSTK")</f>
        <v>BK HSTK</v>
      </c>
      <c r="X610" s="1" t="str">
        <f>IFERROR(__xludf.DUMMYFUNCTION("""COMPUTED_VALUE"""),"HBBS SEPT 2026")</f>
        <v>HBBS SEPT 2026</v>
      </c>
      <c r="Y610" s="1" t="str">
        <f>IFERROR(__xludf.DUMMYFUNCTION("""COMPUTED_VALUE"""),"BK_CVEU_260820")</f>
        <v>BK_CVEU_260820</v>
      </c>
      <c r="Z610" s="1" t="str">
        <f>IFERROR(__xludf.DUMMYFUNCTION("""COMPUTED_VALUE"""),"NEW CONNECT")</f>
        <v>NEW CONNECT</v>
      </c>
      <c r="AA610" s="1">
        <f>IFERROR(__xludf.DUMMYFUNCTION("""COMPUTED_VALUE"""),639510770904)</f>
        <v>639510770904</v>
      </c>
      <c r="AB610" s="1">
        <f>IFERROR(__xludf.DUMMYFUNCTION("""COMPUTED_VALUE"""),639218697358)</f>
        <v>639218697358</v>
      </c>
      <c r="AC610" s="1"/>
      <c r="AD610" s="1" t="str">
        <f>IFERROR(__xludf.DUMMYFUNCTION("""COMPUTED_VALUE"""),"SITIO BALIKATAN")</f>
        <v>SITIO BALIKATAN</v>
      </c>
      <c r="AE610" s="1"/>
      <c r="AF610" s="1" t="str">
        <f>IFERROR(__xludf.DUMMYFUNCTION("""COMPUTED_VALUE"""),"BGY MAGUYAM")</f>
        <v>BGY MAGUYAM</v>
      </c>
      <c r="AG610" s="1" t="str">
        <f>IFERROR(__xludf.DUMMYFUNCTION("""COMPUTED_VALUE"""),"SILANG")</f>
        <v>SILANG</v>
      </c>
      <c r="AH610" s="1" t="str">
        <f>IFERROR(__xludf.DUMMYFUNCTION("""COMPUTED_VALUE"""),"-")</f>
        <v>-</v>
      </c>
      <c r="AI610" s="1" t="str">
        <f>IFERROR(__xludf.DUMMYFUNCTION("""COMPUTED_VALUE"""),"CLUSTER 11")</f>
        <v>CLUSTER 11</v>
      </c>
    </row>
    <row r="611" customHeight="1" spans="1:35">
      <c r="A611" s="3">
        <f>IFERROR(__xludf.DUMMYFUNCTION("""COMPUTED_VALUE"""),46285)</f>
        <v>46285</v>
      </c>
      <c r="B611" s="1" t="str">
        <f>IFERROR(__xludf.DUMMYFUNCTION("""COMPUTED_VALUE"""),"MARK JAY GALING PAGASPAS")</f>
        <v>MARK JAY GALING PAGASPAS</v>
      </c>
      <c r="C611" s="1">
        <f>IFERROR(__xludf.DUMMYFUNCTION("""COMPUTED_VALUE"""),2312698736)</f>
        <v>2312698736</v>
      </c>
      <c r="D611" s="1"/>
      <c r="E611" s="1"/>
      <c r="F611" s="1" t="str">
        <f>IFERROR(__xludf.DUMMYFUNCTION("""COMPUTED_VALUE"""),"CANCELLED")</f>
        <v>CANCELLED</v>
      </c>
      <c r="G611" s="1" t="str">
        <f>IFERROR(__xludf.DUMMYFUNCTION("""COMPUTED_VALUE"""),"RETURN TO SALES | DONE VALIDATION | CORRECT ENCODED INFO IN CSP | VALIDATED COMPLETE DOCS | TU SCORING - GG - 1 (NTC) | WITH 1 AMSF | WITH BLACKLISTED ACC:0313391639 |BLACKLISTED NAME|WITH OB:6,570.33 | NO EXISTING ACTIVE ACC AND OR/PENDING/CANCELLED APPL"&amp;"ICATION ")</f>
        <v>RETURN TO SALES | DONE VALIDATION | CORRECT ENCODED INFO IN CSP | VALIDATED COMPLETE DOCS | TU SCORING - GG - 1 (NTC) | WITH 1 AMSF | WITH BLACKLISTED ACC:0313391639 |BLACKLISTED NAME|WITH OB:6,570.33 | NO EXISTING ACTIVE ACC AND OR/PENDING/CANCELLED APPLICATION </v>
      </c>
      <c r="H611" s="1"/>
      <c r="I611" s="1"/>
      <c r="J611" s="1"/>
      <c r="K611" s="1"/>
      <c r="L611" s="1" t="str">
        <f>IFERROR(__xludf.DUMMYFUNCTION("""COMPUTED_VALUE"""),"CANCELLED WITH OB")</f>
        <v>CANCELLED WITH OB</v>
      </c>
      <c r="M611" s="1" t="str">
        <f>IFERROR(__xludf.DUMMYFUNCTION("""COMPUTED_VALUE"""),"CANCELLED - WITH OB")</f>
        <v>CANCELLED - WITH OB</v>
      </c>
      <c r="N611" s="3"/>
      <c r="O611" s="1" t="str">
        <f>IFERROR(__xludf.DUMMYFUNCTION("""COMPUTED_VALUE"""),"FIBER UNLI ALL PLAN 1499")</f>
        <v>FIBER UNLI ALL PLAN 1499</v>
      </c>
      <c r="P611" s="1" t="str">
        <f>IFERROR(__xludf.DUMMYFUNCTION("""COMPUTED_VALUE"""),"LOWPLAN")</f>
        <v>LOWPLAN</v>
      </c>
      <c r="Q611" s="1" t="str">
        <f>IFERROR(__xludf.DUMMYFUNCTION("""COMPUTED_VALUE"""),"P407050")</f>
        <v>P407050</v>
      </c>
      <c r="R611" s="1" t="str">
        <f>IFERROR(__xludf.DUMMYFUNCTION("""COMPUTED_VALUE"""),"CADERAO, RONALD")</f>
        <v>CADERAO, RONALD</v>
      </c>
      <c r="S611" s="1" t="str">
        <f>IFERROR(__xludf.DUMMYFUNCTION("""COMPUTED_VALUE"""),"ORGANIC")</f>
        <v>ORGANIC</v>
      </c>
      <c r="T611" s="1" t="str">
        <f>IFERROR(__xludf.DUMMYFUNCTION("""COMPUTED_VALUE"""),"LEA REMOLLO")</f>
        <v>LEA REMOLLO</v>
      </c>
      <c r="U611" s="1" t="str">
        <f>IFERROR(__xludf.DUMMYFUNCTION("""COMPUTED_VALUE"""),"JB SALIOA")</f>
        <v>JB SALIOA</v>
      </c>
      <c r="V611" s="1" t="str">
        <f>IFERROR(__xludf.DUMMYFUNCTION("""COMPUTED_VALUE"""),"ONLINE/CRANFORD")</f>
        <v>ONLINE/CRANFORD</v>
      </c>
      <c r="W611" s="1" t="str">
        <f>IFERROR(__xludf.DUMMYFUNCTION("""COMPUTED_VALUE"""),"STK REGULAR")</f>
        <v>STK REGULAR</v>
      </c>
      <c r="X611" s="1" t="str">
        <f>IFERROR(__xludf.DUMMYFUNCTION("""COMPUTED_VALUE"""),"HBBS SEPT 2026")</f>
        <v>HBBS SEPT 2026</v>
      </c>
      <c r="Y611" s="1" t="str">
        <f>IFERROR(__xludf.DUMMYFUNCTION("""COMPUTED_VALUE"""),"RS_ONL_CVEU_2026")</f>
        <v>RS_ONL_CVEU_2026</v>
      </c>
      <c r="Z611" s="1" t="str">
        <f>IFERROR(__xludf.DUMMYFUNCTION("""COMPUTED_VALUE"""),"NEW CONNECT")</f>
        <v>NEW CONNECT</v>
      </c>
      <c r="AA611" s="1">
        <f>IFERROR(__xludf.DUMMYFUNCTION("""COMPUTED_VALUE"""),639912698059)</f>
        <v>639912698059</v>
      </c>
      <c r="AB611" s="1"/>
      <c r="AC611" s="1"/>
      <c r="AD611" s="1" t="str">
        <f>IFERROR(__xludf.DUMMYFUNCTION("""COMPUTED_VALUE"""),"PABAHAY")</f>
        <v>PABAHAY</v>
      </c>
      <c r="AE611" s="1" t="str">
        <f>IFERROR(__xludf.DUMMYFUNCTION("""COMPUTED_VALUE"""),"GOLDEN HORIZON")</f>
        <v>GOLDEN HORIZON</v>
      </c>
      <c r="AF611" s="1" t="str">
        <f>IFERROR(__xludf.DUMMYFUNCTION("""COMPUTED_VALUE"""),"BGY HUGO PEREZ")</f>
        <v>BGY HUGO PEREZ</v>
      </c>
      <c r="AG611" s="1" t="str">
        <f>IFERROR(__xludf.DUMMYFUNCTION("""COMPUTED_VALUE"""),"TRECE MARTIREZ CITY")</f>
        <v>TRECE MARTIREZ CITY</v>
      </c>
      <c r="AH611" s="1" t="str">
        <f>IFERROR(__xludf.DUMMYFUNCTION("""COMPUTED_VALUE"""),"-")</f>
        <v>-</v>
      </c>
      <c r="AI611" s="1" t="str">
        <f>IFERROR(__xludf.DUMMYFUNCTION("""COMPUTED_VALUE"""),"NOT AOR")</f>
        <v>NOT AOR</v>
      </c>
    </row>
    <row r="612" customHeight="1" spans="1:35">
      <c r="A612" s="3">
        <f>IFERROR(__xludf.DUMMYFUNCTION("""COMPUTED_VALUE"""),46285)</f>
        <v>46285</v>
      </c>
      <c r="B612" s="1" t="str">
        <f>IFERROR(__xludf.DUMMYFUNCTION("""COMPUTED_VALUE"""),"MICHAEL CORRO PILLA")</f>
        <v>MICHAEL CORRO PILLA</v>
      </c>
      <c r="C612" s="1">
        <f>IFERROR(__xludf.DUMMYFUNCTION("""COMPUTED_VALUE"""),2312699300)</f>
        <v>2312699300</v>
      </c>
      <c r="D612" s="1"/>
      <c r="E612" s="1"/>
      <c r="F612" s="1" t="str">
        <f>IFERROR(__xludf.DUMMYFUNCTION("""COMPUTED_VALUE"""),"SUBS CANCEL REQUEST")</f>
        <v>SUBS CANCEL REQUEST</v>
      </c>
      <c r="G612" s="1" t="str">
        <f>IFERROR(__xludf.DUMMYFUNCTION("""COMPUTED_VALUE"""),"(NO LONGER INTERESTED ) SUBS CANCELLED | FOUND BLACKLISTED ACCT #0354805057 SAME NAME / DIFFERENT ADDRESS WITH OB OF 8,135.95 FOR SETTLEMENT | NEED TO SETTLE OB FIRST BEFORE TO PROCEED THIS APPLICATION | FOUND CANCELLED ACCT #0230790299/0302833451 SAME NA"&amp;"ME / DIFFERENT ADDRESS |CALLTHRU: 09674936594 Sep 20 2026 05;14 PM TALKED TO SUBS NO LONGER INTERESTED | VALIDATED COMPLETE DOCS | DONE VALIDATION | CORRECT ENCODED INFO IN CSP | TU SCORING - GG - 1 (NTC)| 1 AMSF REQUIRED | UNABLE TO CHANGE THE PAYMENT RE"&amp;"QUIRED DUE T")</f>
        <v>(NO LONGER INTERESTED ) SUBS CANCELLED | FOUND BLACKLISTED ACCT #0354805057 SAME NAME / DIFFERENT ADDRESS WITH OB OF 8,135.95 FOR SETTLEMENT | NEED TO SETTLE OB FIRST BEFORE TO PROCEED THIS APPLICATION | FOUND CANCELLED ACCT #0230790299/0302833451 SAME NAME / DIFFERENT ADDRESS |CALLTHRU: 09674936594 Sep 20 2026 05;14 PM TALKED TO SUBS NO LONGER INTERESTED | VALIDATED COMPLETE DOCS | DONE VALIDATION | CORRECT ENCODED INFO IN CSP | TU SCORING - GG - 1 (NTC)| 1 AMSF REQUIRED | UNABLE TO CHANGE THE PAYMENT REQUIRED DUE T</v>
      </c>
      <c r="H612" s="1"/>
      <c r="I612" s="1"/>
      <c r="J612" s="1"/>
      <c r="K612" s="1"/>
      <c r="L612" s="1" t="str">
        <f>IFERROR(__xludf.DUMMYFUNCTION("""COMPUTED_VALUE"""),"SUBS CANCEL REQUEST")</f>
        <v>SUBS CANCEL REQUEST</v>
      </c>
      <c r="M612" s="1" t="str">
        <f>IFERROR(__xludf.DUMMYFUNCTION("""COMPUTED_VALUE"""),"CANCELLED - SUBS CANCEL REQUEST")</f>
        <v>CANCELLED - SUBS CANCEL REQUEST</v>
      </c>
      <c r="N612" s="3"/>
      <c r="O612" s="1" t="str">
        <f>IFERROR(__xludf.DUMMYFUNCTION("""COMPUTED_VALUE"""),"FIBER UNLI ALL PLAN 2599")</f>
        <v>FIBER UNLI ALL PLAN 2599</v>
      </c>
      <c r="P612" s="1" t="str">
        <f>IFERROR(__xludf.DUMMYFUNCTION("""COMPUTED_VALUE"""),"HIGHPLAN")</f>
        <v>HIGHPLAN</v>
      </c>
      <c r="Q612" s="1" t="str">
        <f>IFERROR(__xludf.DUMMYFUNCTION("""COMPUTED_VALUE"""),"P407045")</f>
        <v>P407045</v>
      </c>
      <c r="R612" s="1" t="str">
        <f>IFERROR(__xludf.DUMMYFUNCTION("""COMPUTED_VALUE"""),"REMOLLO, LEA")</f>
        <v>REMOLLO, LEA</v>
      </c>
      <c r="S612" s="1" t="str">
        <f>IFERROR(__xludf.DUMMYFUNCTION("""COMPUTED_VALUE"""),"FLA")</f>
        <v>FLA</v>
      </c>
      <c r="T612" s="1" t="str">
        <f>IFERROR(__xludf.DUMMYFUNCTION("""COMPUTED_VALUE"""),"JERIC NAVARRO")</f>
        <v>JERIC NAVARRO</v>
      </c>
      <c r="U612" s="1" t="str">
        <f>IFERROR(__xludf.DUMMYFUNCTION("""COMPUTED_VALUE"""),"JB SALIOA")</f>
        <v>JB SALIOA</v>
      </c>
      <c r="V612" s="1" t="str">
        <f>IFERROR(__xludf.DUMMYFUNCTION("""COMPUTED_VALUE"""),"BK REGULAR")</f>
        <v>BK REGULAR</v>
      </c>
      <c r="W612" s="1" t="str">
        <f>IFERROR(__xludf.DUMMYFUNCTION("""COMPUTED_VALUE"""),"STK REGULAR")</f>
        <v>STK REGULAR</v>
      </c>
      <c r="X612" s="1" t="str">
        <f>IFERROR(__xludf.DUMMYFUNCTION("""COMPUTED_VALUE"""),"HBBS SEPT 2026")</f>
        <v>HBBS SEPT 2026</v>
      </c>
      <c r="Y612" s="1" t="str">
        <f>IFERROR(__xludf.DUMMYFUNCTION("""COMPUTED_VALUE"""),"BK_CVEU_260818")</f>
        <v>BK_CVEU_260818</v>
      </c>
      <c r="Z612" s="1" t="str">
        <f>IFERROR(__xludf.DUMMYFUNCTION("""COMPUTED_VALUE"""),"NEW CONNECT")</f>
        <v>NEW CONNECT</v>
      </c>
      <c r="AA612" s="1">
        <f>IFERROR(__xludf.DUMMYFUNCTION("""COMPUTED_VALUE"""),639674936594)</f>
        <v>639674936594</v>
      </c>
      <c r="AB612" s="1"/>
      <c r="AC612" s="1"/>
      <c r="AD612" s="1" t="str">
        <f>IFERROR(__xludf.DUMMYFUNCTION("""COMPUTED_VALUE"""),"MOUNT APO")</f>
        <v>MOUNT APO</v>
      </c>
      <c r="AE612" s="1"/>
      <c r="AF612" s="1" t="str">
        <f>IFERROR(__xludf.DUMMYFUNCTION("""COMPUTED_VALUE"""),"BGY COL J P ELISES")</f>
        <v>BGY COL J P ELISES</v>
      </c>
      <c r="AG612" s="1" t="str">
        <f>IFERROR(__xludf.DUMMYFUNCTION("""COMPUTED_VALUE"""),"GEN MARIANO ALVAREZ")</f>
        <v>GEN MARIANO ALVAREZ</v>
      </c>
      <c r="AH612" s="1" t="str">
        <f>IFERROR(__xludf.DUMMYFUNCTION("""COMPUTED_VALUE"""),"-")</f>
        <v>-</v>
      </c>
      <c r="AI612" s="1" t="str">
        <f>IFERROR(__xludf.DUMMYFUNCTION("""COMPUTED_VALUE"""),"CLUSTER 11")</f>
        <v>CLUSTER 11</v>
      </c>
    </row>
    <row r="613" customHeight="1" spans="1:35">
      <c r="A613" s="3">
        <f>IFERROR(__xludf.DUMMYFUNCTION("""COMPUTED_VALUE"""),46285)</f>
        <v>46285</v>
      </c>
      <c r="B613" s="1" t="str">
        <f>IFERROR(__xludf.DUMMYFUNCTION("""COMPUTED_VALUE"""),"ASHLEY TRISH CELESTRA MARTELINO")</f>
        <v>ASHLEY TRISH CELESTRA MARTELINO</v>
      </c>
      <c r="C613" s="1">
        <f>IFERROR(__xludf.DUMMYFUNCTION("""COMPUTED_VALUE"""),2312700101)</f>
        <v>2312700101</v>
      </c>
      <c r="D613" s="1">
        <f>IFERROR(__xludf.DUMMYFUNCTION("""COMPUTED_VALUE"""),408186943)</f>
        <v>408186943</v>
      </c>
      <c r="E613" s="1">
        <f>IFERROR(__xludf.DUMMYFUNCTION("""COMPUTED_VALUE"""),472161462004)</f>
        <v>472161462004</v>
      </c>
      <c r="F613" s="1" t="str">
        <f>IFERROR(__xludf.DUMMYFUNCTION("""COMPUTED_VALUE"""),"CLOSED")</f>
        <v>CLOSED</v>
      </c>
      <c r="G613" s="1" t="str">
        <f>IFERROR(__xludf.DUMMYFUNCTION("""COMPUTED_VALUE"""),"CLOSED")</f>
        <v>CLOSED</v>
      </c>
      <c r="H613" s="1" t="str">
        <f>IFERROR(__xludf.DUMMYFUNCTION("""COMPUTED_VALUE"""),"PQGOR367480482	16-Oct-26	Regular Payment	CIS-GCASH 3.0	1,694.00	0	16-Oct-2")</f>
        <v>PQGOR367480482	16-Oct-26	Regular Payment	CIS-GCASH 3.0	1,694.00	0	16-Oct-2</v>
      </c>
      <c r="I613" s="1" t="str">
        <f>IFERROR(__xludf.DUMMYFUNCTION("""COMPUTED_VALUE"""),"WITH 1 AMSF")</f>
        <v>WITH 1 AMSF</v>
      </c>
      <c r="J613" s="1" t="str">
        <f>IFERROR(__xludf.DUMMYFUNCTION("""COMPUTED_VALUE"""),"DUE DATE - 17-Oct-26 - 1,694.07")</f>
        <v>DUE DATE - 17-Oct-26 - 1,694.07</v>
      </c>
      <c r="K613" s="1" t="str">
        <f>IFERROR(__xludf.DUMMYFUNCTION("""COMPUTED_VALUE"""),"COMPLETED")</f>
        <v>COMPLETED</v>
      </c>
      <c r="L613" s="1" t="str">
        <f>IFERROR(__xludf.DUMMYFUNCTION("""COMPUTED_VALUE"""),"POSTED")</f>
        <v>POSTED</v>
      </c>
      <c r="M613" s="1" t="str">
        <f>IFERROR(__xludf.DUMMYFUNCTION("""COMPUTED_VALUE"""),"POSTED")</f>
        <v>POSTED</v>
      </c>
      <c r="N613" s="3">
        <f>IFERROR(__xludf.DUMMYFUNCTION("""COMPUTED_VALUE"""),46286)</f>
        <v>46286</v>
      </c>
      <c r="O613" s="1" t="str">
        <f>IFERROR(__xludf.DUMMYFUNCTION("""COMPUTED_VALUE"""),"FIBER UNLI ALL PLAN 1499")</f>
        <v>FIBER UNLI ALL PLAN 1499</v>
      </c>
      <c r="P613" s="1" t="str">
        <f>IFERROR(__xludf.DUMMYFUNCTION("""COMPUTED_VALUE"""),"LOWPLAN")</f>
        <v>LOWPLAN</v>
      </c>
      <c r="Q613" s="1" t="str">
        <f>IFERROR(__xludf.DUMMYFUNCTION("""COMPUTED_VALUE"""),"P407044")</f>
        <v>P407044</v>
      </c>
      <c r="R613" s="1" t="str">
        <f>IFERROR(__xludf.DUMMYFUNCTION("""COMPUTED_VALUE"""),"DACALCAP, ROGER")</f>
        <v>DACALCAP, ROGER</v>
      </c>
      <c r="S613" s="1" t="str">
        <f>IFERROR(__xludf.DUMMYFUNCTION("""COMPUTED_VALUE"""),"FLA")</f>
        <v>FLA</v>
      </c>
      <c r="T613" s="1" t="str">
        <f>IFERROR(__xludf.DUMMYFUNCTION("""COMPUTED_VALUE"""),"JERIC NAVARRO")</f>
        <v>JERIC NAVARRO</v>
      </c>
      <c r="U613" s="1" t="str">
        <f>IFERROR(__xludf.DUMMYFUNCTION("""COMPUTED_VALUE"""),"JB SALIOA")</f>
        <v>JB SALIOA</v>
      </c>
      <c r="V613" s="1" t="str">
        <f>IFERROR(__xludf.DUMMYFUNCTION("""COMPUTED_VALUE"""),"ONLINE/CRANFORD")</f>
        <v>ONLINE/CRANFORD</v>
      </c>
      <c r="W613" s="1" t="str">
        <f>IFERROR(__xludf.DUMMYFUNCTION("""COMPUTED_VALUE"""),"STK REGULAR")</f>
        <v>STK REGULAR</v>
      </c>
      <c r="X613" s="1" t="str">
        <f>IFERROR(__xludf.DUMMYFUNCTION("""COMPUTED_VALUE"""),"HBBS SEPT 2026")</f>
        <v>HBBS SEPT 2026</v>
      </c>
      <c r="Y613" s="1" t="str">
        <f>IFERROR(__xludf.DUMMYFUNCTION("""COMPUTED_VALUE"""),"RS_ONL_CVEU_2026")</f>
        <v>RS_ONL_CVEU_2026</v>
      </c>
      <c r="Z613" s="1" t="str">
        <f>IFERROR(__xludf.DUMMYFUNCTION("""COMPUTED_VALUE"""),"NEW CONNECT")</f>
        <v>NEW CONNECT</v>
      </c>
      <c r="AA613" s="1">
        <f>IFERROR(__xludf.DUMMYFUNCTION("""COMPUTED_VALUE"""),639701539668)</f>
        <v>639701539668</v>
      </c>
      <c r="AB613" s="1">
        <f>IFERROR(__xludf.DUMMYFUNCTION("""COMPUTED_VALUE"""),639503022193)</f>
        <v>639503022193</v>
      </c>
      <c r="AC613" s="1"/>
      <c r="AD613" s="1" t="str">
        <f>IFERROR(__xludf.DUMMYFUNCTION("""COMPUTED_VALUE"""),"MATALINO")</f>
        <v>MATALINO</v>
      </c>
      <c r="AE613" s="1"/>
      <c r="AF613" s="1" t="str">
        <f>IFERROR(__xludf.DUMMYFUNCTION("""COMPUTED_VALUE"""),"BGY BERNARDO PULIDO")</f>
        <v>BGY BERNARDO PULIDO</v>
      </c>
      <c r="AG613" s="1" t="str">
        <f>IFERROR(__xludf.DUMMYFUNCTION("""COMPUTED_VALUE"""),"GEN MARIANO ALVAREZ")</f>
        <v>GEN MARIANO ALVAREZ</v>
      </c>
      <c r="AH613" s="1" t="str">
        <f>IFERROR(__xludf.DUMMYFUNCTION("""COMPUTED_VALUE"""),"-")</f>
        <v>-</v>
      </c>
      <c r="AI613" s="1" t="str">
        <f>IFERROR(__xludf.DUMMYFUNCTION("""COMPUTED_VALUE"""),"CLUSTER 11")</f>
        <v>CLUSTER 11</v>
      </c>
    </row>
    <row r="614" customHeight="1" spans="1:35">
      <c r="A614" s="3">
        <f>IFERROR(__xludf.DUMMYFUNCTION("""COMPUTED_VALUE"""),46285)</f>
        <v>46285</v>
      </c>
      <c r="B614" s="1" t="str">
        <f>IFERROR(__xludf.DUMMYFUNCTION("""COMPUTED_VALUE"""),"AGERICO RIOFLORIDO ANGELES")</f>
        <v>AGERICO RIOFLORIDO ANGELES</v>
      </c>
      <c r="C614" s="1">
        <f>IFERROR(__xludf.DUMMYFUNCTION("""COMPUTED_VALUE"""),2312700514)</f>
        <v>2312700514</v>
      </c>
      <c r="D614" s="1">
        <f>IFERROR(__xludf.DUMMYFUNCTION("""COMPUTED_VALUE"""),408187664)</f>
        <v>408187664</v>
      </c>
      <c r="E614" s="1">
        <f>IFERROR(__xludf.DUMMYFUNCTION("""COMPUTED_VALUE"""),472162186004)</f>
        <v>472162186004</v>
      </c>
      <c r="F614" s="1" t="str">
        <f>IFERROR(__xludf.DUMMYFUNCTION("""COMPUTED_VALUE"""),"CANCELLED")</f>
        <v>CANCELLED</v>
      </c>
      <c r="G614" s="1" t="str">
        <f>IFERROR(__xludf.DUMMYFUNCTION("""COMPUTED_VALUE"""),"CANCELLED")</f>
        <v>CANCELLED</v>
      </c>
      <c r="H614" s="1"/>
      <c r="I614" s="1"/>
      <c r="J614" s="1"/>
      <c r="K614" s="1" t="str">
        <f>IFERROR(__xludf.DUMMYFUNCTION("""COMPUTED_VALUE"""),"CANCELED")</f>
        <v>CANCELED</v>
      </c>
      <c r="L614" s="1" t="str">
        <f>IFERROR(__xludf.DUMMYFUNCTION("""COMPUTED_VALUE"""),"CSP - CANCELLED")</f>
        <v>CSP - CANCELLED</v>
      </c>
      <c r="M614" s="1" t="str">
        <f>IFERROR(__xludf.DUMMYFUNCTION("""COMPUTED_VALUE"""),"CSP CANCELLED")</f>
        <v>CSP CANCELLED</v>
      </c>
      <c r="N614" s="3"/>
      <c r="O614" s="1" t="str">
        <f>IFERROR(__xludf.DUMMYFUNCTION("""COMPUTED_VALUE"""),"FIBR PLAN 1299")</f>
        <v>FIBR PLAN 1299</v>
      </c>
      <c r="P614" s="1" t="str">
        <f>IFERROR(__xludf.DUMMYFUNCTION("""COMPUTED_VALUE"""),"LOWPLAN")</f>
        <v>LOWPLAN</v>
      </c>
      <c r="Q614" s="1" t="str">
        <f>IFERROR(__xludf.DUMMYFUNCTION("""COMPUTED_VALUE"""),"P407520")</f>
        <v>P407520</v>
      </c>
      <c r="R614" s="1" t="str">
        <f>IFERROR(__xludf.DUMMYFUNCTION("""COMPUTED_VALUE"""),"MALIWAT, MARK")</f>
        <v>MALIWAT, MARK</v>
      </c>
      <c r="S614" s="1" t="str">
        <f>IFERROR(__xludf.DUMMYFUNCTION("""COMPUTED_VALUE"""),"FLA")</f>
        <v>FLA</v>
      </c>
      <c r="T614" s="1" t="str">
        <f>IFERROR(__xludf.DUMMYFUNCTION("""COMPUTED_VALUE"""),"JERIC NAVARRO")</f>
        <v>JERIC NAVARRO</v>
      </c>
      <c r="U614" s="1" t="str">
        <f>IFERROR(__xludf.DUMMYFUNCTION("""COMPUTED_VALUE"""),"JB SALIOA")</f>
        <v>JB SALIOA</v>
      </c>
      <c r="V614" s="1" t="str">
        <f>IFERROR(__xludf.DUMMYFUNCTION("""COMPUTED_VALUE"""),"ONLINE/CRANFORD")</f>
        <v>ONLINE/CRANFORD</v>
      </c>
      <c r="W614" s="1" t="str">
        <f>IFERROR(__xludf.DUMMYFUNCTION("""COMPUTED_VALUE"""),"STK REGULAR")</f>
        <v>STK REGULAR</v>
      </c>
      <c r="X614" s="1" t="str">
        <f>IFERROR(__xludf.DUMMYFUNCTION("""COMPUTED_VALUE"""),"HBBS SEPT 2026")</f>
        <v>HBBS SEPT 2026</v>
      </c>
      <c r="Y614" s="1" t="str">
        <f>IFERROR(__xludf.DUMMYFUNCTION("""COMPUTED_VALUE"""),"RS_ONL_CVEU_2026")</f>
        <v>RS_ONL_CVEU_2026</v>
      </c>
      <c r="Z614" s="1" t="str">
        <f>IFERROR(__xludf.DUMMYFUNCTION("""COMPUTED_VALUE"""),"NEW CONNECT")</f>
        <v>NEW CONNECT</v>
      </c>
      <c r="AA614" s="1">
        <f>IFERROR(__xludf.DUMMYFUNCTION("""COMPUTED_VALUE"""),639994062020)</f>
        <v>639994062020</v>
      </c>
      <c r="AB614" s="1">
        <f>IFERROR(__xludf.DUMMYFUNCTION("""COMPUTED_VALUE"""),639512182712)</f>
        <v>639512182712</v>
      </c>
      <c r="AC614" s="1">
        <f>IFERROR(__xludf.DUMMYFUNCTION("""COMPUTED_VALUE"""),9043)</f>
        <v>9043</v>
      </c>
      <c r="AD614" s="1" t="str">
        <f>IFERROR(__xludf.DUMMYFUNCTION("""COMPUTED_VALUE"""),"KALIHON")</f>
        <v>KALIHON</v>
      </c>
      <c r="AE614" s="1"/>
      <c r="AF614" s="1" t="str">
        <f>IFERROR(__xludf.DUMMYFUNCTION("""COMPUTED_VALUE"""),"BGY SINALIW MALAKI")</f>
        <v>BGY SINALIW MALAKI</v>
      </c>
      <c r="AG614" s="1" t="str">
        <f>IFERROR(__xludf.DUMMYFUNCTION("""COMPUTED_VALUE"""),"ALFONSO")</f>
        <v>ALFONSO</v>
      </c>
      <c r="AH614" s="1" t="str">
        <f>IFERROR(__xludf.DUMMYFUNCTION("""COMPUTED_VALUE"""),"NEAR WATER TANK AND TOWER")</f>
        <v>NEAR WATER TANK AND TOWER</v>
      </c>
      <c r="AI614" s="1" t="str">
        <f>IFERROR(__xludf.DUMMYFUNCTION("""COMPUTED_VALUE"""),"CLUSTER 12")</f>
        <v>CLUSTER 12</v>
      </c>
    </row>
    <row r="615" customHeight="1" spans="1:35">
      <c r="A615" s="3">
        <f>IFERROR(__xludf.DUMMYFUNCTION("""COMPUTED_VALUE"""),46286)</f>
        <v>46286</v>
      </c>
      <c r="B615" s="1" t="str">
        <f>IFERROR(__xludf.DUMMYFUNCTION("""COMPUTED_VALUE"""),"JEFFERSON MENDOZA RODRIGUEZ")</f>
        <v>JEFFERSON MENDOZA RODRIGUEZ</v>
      </c>
      <c r="C615" s="1">
        <f>IFERROR(__xludf.DUMMYFUNCTION("""COMPUTED_VALUE"""),2312713094)</f>
        <v>2312713094</v>
      </c>
      <c r="D615" s="1">
        <f>IFERROR(__xludf.DUMMYFUNCTION("""COMPUTED_VALUE"""),408206030)</f>
        <v>408206030</v>
      </c>
      <c r="E615" s="1">
        <f>IFERROR(__xludf.DUMMYFUNCTION("""COMPUTED_VALUE"""),472323663004)</f>
        <v>472323663004</v>
      </c>
      <c r="F615" s="1" t="str">
        <f>IFERROR(__xludf.DUMMYFUNCTION("""COMPUTED_VALUE"""),"CLOSED")</f>
        <v>CLOSED</v>
      </c>
      <c r="G615" s="1" t="str">
        <f>IFERROR(__xludf.DUMMYFUNCTION("""COMPUTED_VALUE"""),"CLOSED")</f>
        <v>CLOSED</v>
      </c>
      <c r="H615" s="1" t="str">
        <f>IFERROR(__xludf.DUMMYFUNCTION("""COMPUTED_VALUE"""),"PAID VIA GCASH - SEPT 24 - REF - 515563408")</f>
        <v>PAID VIA GCASH - SEPT 24 - REF - 515563408</v>
      </c>
      <c r="I615" s="1" t="str">
        <f>IFERROR(__xludf.DUMMYFUNCTION("""COMPUTED_VALUE"""),"WITH 1 AMSF")</f>
        <v>WITH 1 AMSF</v>
      </c>
      <c r="J615" s="1"/>
      <c r="K615" s="1" t="str">
        <f>IFERROR(__xludf.DUMMYFUNCTION("""COMPUTED_VALUE"""),"SUSPENDED")</f>
        <v>SUSPENDED</v>
      </c>
      <c r="L615" s="1" t="str">
        <f>IFERROR(__xludf.DUMMYFUNCTION("""COMPUTED_VALUE"""),"POSTED")</f>
        <v>POSTED</v>
      </c>
      <c r="M615" s="1" t="str">
        <f>IFERROR(__xludf.DUMMYFUNCTION("""COMPUTED_VALUE"""),"POSTED")</f>
        <v>POSTED</v>
      </c>
      <c r="N615" s="3">
        <f>IFERROR(__xludf.DUMMYFUNCTION("""COMPUTED_VALUE"""),46290)</f>
        <v>46290</v>
      </c>
      <c r="O615" s="1" t="str">
        <f>IFERROR(__xludf.DUMMYFUNCTION("""COMPUTED_VALUE"""),"FIBR PLAN 1299")</f>
        <v>FIBR PLAN 1299</v>
      </c>
      <c r="P615" s="1" t="str">
        <f>IFERROR(__xludf.DUMMYFUNCTION("""COMPUTED_VALUE"""),"LOWPLAN")</f>
        <v>LOWPLAN</v>
      </c>
      <c r="Q615" s="1" t="str">
        <f>IFERROR(__xludf.DUMMYFUNCTION("""COMPUTED_VALUE"""),"P407045")</f>
        <v>P407045</v>
      </c>
      <c r="R615" s="1" t="str">
        <f>IFERROR(__xludf.DUMMYFUNCTION("""COMPUTED_VALUE"""),"REMOLLO, LEA")</f>
        <v>REMOLLO, LEA</v>
      </c>
      <c r="S615" s="1" t="str">
        <f>IFERROR(__xludf.DUMMYFUNCTION("""COMPUTED_VALUE"""),"FLA")</f>
        <v>FLA</v>
      </c>
      <c r="T615" s="1" t="str">
        <f>IFERROR(__xludf.DUMMYFUNCTION("""COMPUTED_VALUE"""),"JERIC NAVARRO")</f>
        <v>JERIC NAVARRO</v>
      </c>
      <c r="U615" s="1" t="str">
        <f>IFERROR(__xludf.DUMMYFUNCTION("""COMPUTED_VALUE"""),"JB SALIOA")</f>
        <v>JB SALIOA</v>
      </c>
      <c r="V615" s="1" t="str">
        <f>IFERROR(__xludf.DUMMYFUNCTION("""COMPUTED_VALUE"""),"ONLINE/CRANFORD")</f>
        <v>ONLINE/CRANFORD</v>
      </c>
      <c r="W615" s="1" t="str">
        <f>IFERROR(__xludf.DUMMYFUNCTION("""COMPUTED_VALUE"""),"STK REGULAR")</f>
        <v>STK REGULAR</v>
      </c>
      <c r="X615" s="1" t="str">
        <f>IFERROR(__xludf.DUMMYFUNCTION("""COMPUTED_VALUE"""),"HBBS SEPT 2026")</f>
        <v>HBBS SEPT 2026</v>
      </c>
      <c r="Y615" s="1" t="str">
        <f>IFERROR(__xludf.DUMMYFUNCTION("""COMPUTED_VALUE"""),"RS_ONL_CVEU_2026")</f>
        <v>RS_ONL_CVEU_2026</v>
      </c>
      <c r="Z615" s="1" t="str">
        <f>IFERROR(__xludf.DUMMYFUNCTION("""COMPUTED_VALUE"""),"NEW CONNECT")</f>
        <v>NEW CONNECT</v>
      </c>
      <c r="AA615" s="1">
        <f>IFERROR(__xludf.DUMMYFUNCTION("""COMPUTED_VALUE"""),639608395205)</f>
        <v>639608395205</v>
      </c>
      <c r="AB615" s="1"/>
      <c r="AC615" s="1"/>
      <c r="AD615" s="1" t="str">
        <f>IFERROR(__xludf.DUMMYFUNCTION("""COMPUTED_VALUE"""),"VALLE VERDE")</f>
        <v>VALLE VERDE</v>
      </c>
      <c r="AE615" s="1" t="str">
        <f>IFERROR(__xludf.DUMMYFUNCTION("""COMPUTED_VALUE"""),"VALLE VERDE PHASE 2")</f>
        <v>VALLE VERDE PHASE 2</v>
      </c>
      <c r="AF615" s="1" t="str">
        <f>IFERROR(__xludf.DUMMYFUNCTION("""COMPUTED_VALUE"""),"BGY LANGKAAN 2")</f>
        <v>BGY LANGKAAN 2</v>
      </c>
      <c r="AG615" s="1" t="str">
        <f>IFERROR(__xludf.DUMMYFUNCTION("""COMPUTED_VALUE"""),"DASMARINAS")</f>
        <v>DASMARINAS</v>
      </c>
      <c r="AH615" s="1" t="str">
        <f>IFERROR(__xludf.DUMMYFUNCTION("""COMPUTED_VALUE"""),"PHASE 2")</f>
        <v>PHASE 2</v>
      </c>
      <c r="AI615" s="1" t="str">
        <f>IFERROR(__xludf.DUMMYFUNCTION("""COMPUTED_VALUE"""),"NOT AOR")</f>
        <v>NOT AOR</v>
      </c>
    </row>
    <row r="616" customHeight="1" spans="1:35">
      <c r="A616" s="3">
        <f>IFERROR(__xludf.DUMMYFUNCTION("""COMPUTED_VALUE"""),46286)</f>
        <v>46286</v>
      </c>
      <c r="B616" s="1" t="str">
        <f>IFERROR(__xludf.DUMMYFUNCTION("""COMPUTED_VALUE"""),"CHERRY JEAN BA-AL ATORDIDO")</f>
        <v>CHERRY JEAN BA-AL ATORDIDO</v>
      </c>
      <c r="C616" s="1">
        <f>IFERROR(__xludf.DUMMYFUNCTION("""COMPUTED_VALUE"""),2312717813)</f>
        <v>2312717813</v>
      </c>
      <c r="D616" s="1">
        <f>IFERROR(__xludf.DUMMYFUNCTION("""COMPUTED_VALUE"""),408205840)</f>
        <v>408205840</v>
      </c>
      <c r="E616" s="1">
        <f>IFERROR(__xludf.DUMMYFUNCTION("""COMPUTED_VALUE"""),472323757004)</f>
        <v>472323757004</v>
      </c>
      <c r="F616" s="1" t="str">
        <f>IFERROR(__xludf.DUMMYFUNCTION("""COMPUTED_VALUE"""),"CANCELLED")</f>
        <v>CANCELLED</v>
      </c>
      <c r="G616" s="1" t="str">
        <f>IFERROR(__xludf.DUMMYFUNCTION("""COMPUTED_VALUE"""),"""CALLTHRU 
REMARKS:AS PER SUBS DIPA DAW NAKAKAPAG PAALAM SA PAGDADAANAN NG LINYA RESCHEDULE NO SPECIFIC DATE 
CBR:09501690951 
TALK:CHERRY 
""")</f>
        <v>"CALLTHRU 
REMARKS:AS PER SUBS DIPA DAW NAKAKAPAG PAALAM SA PAGDADAANAN NG LINYA RESCHEDULE NO SPECIFIC DATE 
CBR:09501690951 
TALK:CHERRY 
"</v>
      </c>
      <c r="H616" s="1"/>
      <c r="I616" s="1"/>
      <c r="J616" s="1"/>
      <c r="K616" s="1" t="str">
        <f>IFERROR(__xludf.DUMMYFUNCTION("""COMPUTED_VALUE"""),"CANCELED")</f>
        <v>CANCELED</v>
      </c>
      <c r="L616" s="1" t="str">
        <f>IFERROR(__xludf.DUMMYFUNCTION("""COMPUTED_VALUE"""),"RPR - UNMAINTAINABLE")</f>
        <v>RPR - UNMAINTAINABLE</v>
      </c>
      <c r="M616" s="1" t="str">
        <f>IFERROR(__xludf.DUMMYFUNCTION("""COMPUTED_VALUE"""),"RPR - UNMAINTAINABLE")</f>
        <v>RPR - UNMAINTAINABLE</v>
      </c>
      <c r="N616" s="3"/>
      <c r="O616" s="1" t="str">
        <f>IFERROR(__xludf.DUMMYFUNCTION("""COMPUTED_VALUE"""),"FIBR UNLI ALL PLAN 999")</f>
        <v>FIBR UNLI ALL PLAN 999</v>
      </c>
      <c r="P616" s="1" t="str">
        <f>IFERROR(__xludf.DUMMYFUNCTION("""COMPUTED_VALUE"""),"LOWPLAN")</f>
        <v>LOWPLAN</v>
      </c>
      <c r="Q616" s="1" t="str">
        <f>IFERROR(__xludf.DUMMYFUNCTION("""COMPUTED_VALUE"""),"P407561")</f>
        <v>P407561</v>
      </c>
      <c r="R616" s="1" t="str">
        <f>IFERROR(__xludf.DUMMYFUNCTION("""COMPUTED_VALUE"""),"TAMAYO, MARY ROSE ZAIRA")</f>
        <v>TAMAYO, MARY ROSE ZAIRA</v>
      </c>
      <c r="S616" s="1" t="str">
        <f>IFERROR(__xludf.DUMMYFUNCTION("""COMPUTED_VALUE"""),"ORGANIC")</f>
        <v>ORGANIC</v>
      </c>
      <c r="T616" s="1" t="str">
        <f>IFERROR(__xludf.DUMMYFUNCTION("""COMPUTED_VALUE"""),"LEA REMOLLO")</f>
        <v>LEA REMOLLO</v>
      </c>
      <c r="U616" s="1" t="str">
        <f>IFERROR(__xludf.DUMMYFUNCTION("""COMPUTED_VALUE"""),"JB SALIOA")</f>
        <v>JB SALIOA</v>
      </c>
      <c r="V616" s="1" t="str">
        <f>IFERROR(__xludf.DUMMYFUNCTION("""COMPUTED_VALUE"""),"BK HSTK")</f>
        <v>BK HSTK</v>
      </c>
      <c r="W616" s="1" t="str">
        <f>IFERROR(__xludf.DUMMYFUNCTION("""COMPUTED_VALUE"""),"BK HSTK")</f>
        <v>BK HSTK</v>
      </c>
      <c r="X616" s="1" t="str">
        <f>IFERROR(__xludf.DUMMYFUNCTION("""COMPUTED_VALUE"""),"REGULAR")</f>
        <v>REGULAR</v>
      </c>
      <c r="Y616" s="1" t="str">
        <f>IFERROR(__xludf.DUMMYFUNCTION("""COMPUTED_VALUE"""),"BK_CVEU_260819")</f>
        <v>BK_CVEU_260819</v>
      </c>
      <c r="Z616" s="1" t="str">
        <f>IFERROR(__xludf.DUMMYFUNCTION("""COMPUTED_VALUE"""),"NEW CONNECT")</f>
        <v>NEW CONNECT</v>
      </c>
      <c r="AA616" s="1">
        <f>IFERROR(__xludf.DUMMYFUNCTION("""COMPUTED_VALUE"""),639501690951)</f>
        <v>639501690951</v>
      </c>
      <c r="AB616" s="1"/>
      <c r="AC616" s="1">
        <f>IFERROR(__xludf.DUMMYFUNCTION("""COMPUTED_VALUE"""),30)</f>
        <v>30</v>
      </c>
      <c r="AD616" s="1" t="str">
        <f>IFERROR(__xludf.DUMMYFUNCTION("""COMPUTED_VALUE"""),"JP RIZAL")</f>
        <v>JP RIZAL</v>
      </c>
      <c r="AE616" s="1"/>
      <c r="AF616" s="1" t="str">
        <f>IFERROR(__xludf.DUMMYFUNCTION("""COMPUTED_VALUE"""),"BGY GALICIA 3")</f>
        <v>BGY GALICIA 3</v>
      </c>
      <c r="AG616" s="1" t="str">
        <f>IFERROR(__xludf.DUMMYFUNCTION("""COMPUTED_VALUE"""),"MENDEZ")</f>
        <v>MENDEZ</v>
      </c>
      <c r="AH616" s="1" t="str">
        <f>IFERROR(__xludf.DUMMYFUNCTION("""COMPUTED_VALUE"""),"DALI // FISH 2 GO")</f>
        <v>DALI // FISH 2 GO</v>
      </c>
      <c r="AI616" s="1" t="str">
        <f>IFERROR(__xludf.DUMMYFUNCTION("""COMPUTED_VALUE"""),"CLUSTER 12")</f>
        <v>CLUSTER 12</v>
      </c>
    </row>
    <row r="617" customHeight="1" spans="1:35">
      <c r="A617" s="3">
        <f>IFERROR(__xludf.DUMMYFUNCTION("""COMPUTED_VALUE"""),46286)</f>
        <v>46286</v>
      </c>
      <c r="B617" s="1" t="str">
        <f>IFERROR(__xludf.DUMMYFUNCTION("""COMPUTED_VALUE"""),"JAMAICA ANN CACAPIT SILVA")</f>
        <v>JAMAICA ANN CACAPIT SILVA</v>
      </c>
      <c r="C617" s="1">
        <f>IFERROR(__xludf.DUMMYFUNCTION("""COMPUTED_VALUE"""),2312718387)</f>
        <v>2312718387</v>
      </c>
      <c r="D617" s="1"/>
      <c r="E617" s="1"/>
      <c r="F617" s="1" t="str">
        <f>IFERROR(__xludf.DUMMYFUNCTION("""COMPUTED_VALUE"""),"CANCELLED")</f>
        <v>CANCELLED</v>
      </c>
      <c r="G617" s="1" t="str">
        <f>IFERROR(__xludf.DUMMYFUNCTION("""COMPUTED_VALUE"""),"(OTHERS) RETURN TO SALES |WITH BLACKLISTED ADDRESS - ACC# 0364467656 INACTIVE: Apr 8, 2026 LESS THAN A YEAR- PLEASE PROVIDE CLEARANCE DOCS UNDER SUBS NAME AND APPLIED ADDRESS| VALIDATED COMPLETE DOCS | CORRECT ENCODED INFO IN CSP | |NO EXISTING ACTIVE ACC"&amp;"T AND CANCEL/OR PENDING APPLICATION | TU SCORING - GG - 1 (NTC) | 1 AMSF REQUIRED | FOUND SAME CBR CALLTHRU: 639062801706 3:23 PM TALK TO SUBS AND VERIFY THE SAME CBR ")</f>
        <v>(OTHERS) RETURN TO SALES |WITH BLACKLISTED ADDRESS - ACC# 0364467656 INACTIVE: Apr 8, 2026 LESS THAN A YEAR- PLEASE PROVIDE CLEARANCE DOCS UNDER SUBS NAME AND APPLIED ADDRESS| VALIDATED COMPLETE DOCS | CORRECT ENCODED INFO IN CSP | |NO EXISTING ACTIVE ACCT AND CANCEL/OR PENDING APPLICATION | TU SCORING - GG - 1 (NTC) | 1 AMSF REQUIRED | FOUND SAME CBR CALLTHRU: 639062801706 3:23 PM TALK TO SUBS AND VERIFY THE SAME CBR </v>
      </c>
      <c r="H617" s="1"/>
      <c r="I617" s="1"/>
      <c r="J617" s="1"/>
      <c r="K617" s="1"/>
      <c r="L617" s="1" t="str">
        <f>IFERROR(__xludf.DUMMYFUNCTION("""COMPUTED_VALUE"""),"CANCELLED - NON COMPLIANCE")</f>
        <v>CANCELLED - NON COMPLIANCE</v>
      </c>
      <c r="M617" s="1" t="str">
        <f>IFERROR(__xludf.DUMMYFUNCTION("""COMPUTED_VALUE"""),"CANCELLED - NON COMPLIANCE")</f>
        <v>CANCELLED - NON COMPLIANCE</v>
      </c>
      <c r="N617" s="3"/>
      <c r="O617" s="1" t="str">
        <f>IFERROR(__xludf.DUMMYFUNCTION("""COMPUTED_VALUE"""),"FIBR PLAN 1299")</f>
        <v>FIBR PLAN 1299</v>
      </c>
      <c r="P617" s="1" t="str">
        <f>IFERROR(__xludf.DUMMYFUNCTION("""COMPUTED_VALUE"""),"LOWPLAN")</f>
        <v>LOWPLAN</v>
      </c>
      <c r="Q617" s="1" t="str">
        <f>IFERROR(__xludf.DUMMYFUNCTION("""COMPUTED_VALUE"""),"P407517")</f>
        <v>P407517</v>
      </c>
      <c r="R617" s="1" t="str">
        <f>IFERROR(__xludf.DUMMYFUNCTION("""COMPUTED_VALUE"""),"GABAY, MANUEL")</f>
        <v>GABAY, MANUEL</v>
      </c>
      <c r="S617" s="1" t="str">
        <f>IFERROR(__xludf.DUMMYFUNCTION("""COMPUTED_VALUE"""),"FLA")</f>
        <v>FLA</v>
      </c>
      <c r="T617" s="1" t="str">
        <f>IFERROR(__xludf.DUMMYFUNCTION("""COMPUTED_VALUE"""),"JERIC NAVARRO")</f>
        <v>JERIC NAVARRO</v>
      </c>
      <c r="U617" s="1" t="str">
        <f>IFERROR(__xludf.DUMMYFUNCTION("""COMPUTED_VALUE"""),"JB SALIOA")</f>
        <v>JB SALIOA</v>
      </c>
      <c r="V617" s="1" t="str">
        <f>IFERROR(__xludf.DUMMYFUNCTION("""COMPUTED_VALUE"""),"BK REGULAR")</f>
        <v>BK REGULAR</v>
      </c>
      <c r="W617" s="1" t="str">
        <f>IFERROR(__xludf.DUMMYFUNCTION("""COMPUTED_VALUE"""),"STK REGULAR")</f>
        <v>STK REGULAR</v>
      </c>
      <c r="X617" s="1" t="str">
        <f>IFERROR(__xludf.DUMMYFUNCTION("""COMPUTED_VALUE"""),"HBBS SEPT 2026")</f>
        <v>HBBS SEPT 2026</v>
      </c>
      <c r="Y617" s="1" t="str">
        <f>IFERROR(__xludf.DUMMYFUNCTION("""COMPUTED_VALUE"""),"BK_CVEU_260819")</f>
        <v>BK_CVEU_260819</v>
      </c>
      <c r="Z617" s="1" t="str">
        <f>IFERROR(__xludf.DUMMYFUNCTION("""COMPUTED_VALUE"""),"NEW CONNECT")</f>
        <v>NEW CONNECT</v>
      </c>
      <c r="AA617" s="1">
        <f>IFERROR(__xludf.DUMMYFUNCTION("""COMPUTED_VALUE"""),639062801706)</f>
        <v>639062801706</v>
      </c>
      <c r="AB617" s="1">
        <f>IFERROR(__xludf.DUMMYFUNCTION("""COMPUTED_VALUE"""),639776770013)</f>
        <v>639776770013</v>
      </c>
      <c r="AC617" s="1">
        <f>IFERROR(__xludf.DUMMYFUNCTION("""COMPUTED_VALUE"""),54)</f>
        <v>54</v>
      </c>
      <c r="AD617" s="1" t="str">
        <f>IFERROR(__xludf.DUMMYFUNCTION("""COMPUTED_VALUE"""),"LLAMADO")</f>
        <v>LLAMADO</v>
      </c>
      <c r="AE617" s="1"/>
      <c r="AF617" s="1" t="str">
        <f>IFERROR(__xludf.DUMMYFUNCTION("""COMPUTED_VALUE"""),"BGY 5")</f>
        <v>BGY 5</v>
      </c>
      <c r="AG617" s="1" t="str">
        <f>IFERROR(__xludf.DUMMYFUNCTION("""COMPUTED_VALUE"""),"MENDEZ")</f>
        <v>MENDEZ</v>
      </c>
      <c r="AH617" s="1" t="str">
        <f>IFERROR(__xludf.DUMMYFUNCTION("""COMPUTED_VALUE"""),"-")</f>
        <v>-</v>
      </c>
      <c r="AI617" s="1" t="str">
        <f>IFERROR(__xludf.DUMMYFUNCTION("""COMPUTED_VALUE"""),"CLUSTER 12")</f>
        <v>CLUSTER 12</v>
      </c>
    </row>
    <row r="618" customHeight="1" spans="1:35">
      <c r="A618" s="3">
        <f>IFERROR(__xludf.DUMMYFUNCTION("""COMPUTED_VALUE"""),46286)</f>
        <v>46286</v>
      </c>
      <c r="B618" s="1" t="str">
        <f>IFERROR(__xludf.DUMMYFUNCTION("""COMPUTED_VALUE"""),"ANTONIO GALERO BARON")</f>
        <v>ANTONIO GALERO BARON</v>
      </c>
      <c r="C618" s="1">
        <f>IFERROR(__xludf.DUMMYFUNCTION("""COMPUTED_VALUE"""),2312719537)</f>
        <v>2312719537</v>
      </c>
      <c r="D618" s="1">
        <f>IFERROR(__xludf.DUMMYFUNCTION("""COMPUTED_VALUE"""),408241286)</f>
        <v>408241286</v>
      </c>
      <c r="E618" s="1">
        <f>IFERROR(__xludf.DUMMYFUNCTION("""COMPUTED_VALUE"""),472454414004)</f>
        <v>472454414004</v>
      </c>
      <c r="F618" s="1" t="str">
        <f>IFERROR(__xludf.DUMMYFUNCTION("""COMPUTED_VALUE"""),"CLOSED")</f>
        <v>CLOSED</v>
      </c>
      <c r="G618" s="1" t="str">
        <f>IFERROR(__xludf.DUMMYFUNCTION("""COMPUTED_VALUE"""),"CLOSED")</f>
        <v>CLOSED</v>
      </c>
      <c r="H618" s="1" t="str">
        <f>IFERROR(__xludf.DUMMYFUNCTION("""COMPUTED_VALUE"""),"PAID THRU GCASH REF# 109885792 9/22")</f>
        <v>PAID THRU GCASH REF# 109885792 9/22</v>
      </c>
      <c r="I618" s="1" t="str">
        <f>IFERROR(__xludf.DUMMYFUNCTION("""COMPUTED_VALUE"""),"WITH 1 AMSF")</f>
        <v>WITH 1 AMSF</v>
      </c>
      <c r="J618" s="1"/>
      <c r="K618" s="1" t="str">
        <f>IFERROR(__xludf.DUMMYFUNCTION("""COMPUTED_VALUE"""),"COMPLETED")</f>
        <v>COMPLETED</v>
      </c>
      <c r="L618" s="1" t="str">
        <f>IFERROR(__xludf.DUMMYFUNCTION("""COMPUTED_VALUE"""),"POSTED")</f>
        <v>POSTED</v>
      </c>
      <c r="M618" s="1" t="str">
        <f>IFERROR(__xludf.DUMMYFUNCTION("""COMPUTED_VALUE"""),"POSTED")</f>
        <v>POSTED</v>
      </c>
      <c r="N618" s="3">
        <f>IFERROR(__xludf.DUMMYFUNCTION("""COMPUTED_VALUE"""),46288)</f>
        <v>46288</v>
      </c>
      <c r="O618" s="1" t="str">
        <f>IFERROR(__xludf.DUMMYFUNCTION("""COMPUTED_VALUE"""),"FIBR NETFLIX PLAN 1599")</f>
        <v>FIBR NETFLIX PLAN 1599</v>
      </c>
      <c r="P618" s="1" t="str">
        <f>IFERROR(__xludf.DUMMYFUNCTION("""COMPUTED_VALUE"""),"LOWPLAN")</f>
        <v>LOWPLAN</v>
      </c>
      <c r="Q618" s="1" t="str">
        <f>IFERROR(__xludf.DUMMYFUNCTION("""COMPUTED_VALUE"""),"P407519")</f>
        <v>P407519</v>
      </c>
      <c r="R618" s="1" t="str">
        <f>IFERROR(__xludf.DUMMYFUNCTION("""COMPUTED_VALUE"""),"DACALCAP, ROGER")</f>
        <v>DACALCAP, ROGER</v>
      </c>
      <c r="S618" s="1" t="str">
        <f>IFERROR(__xludf.DUMMYFUNCTION("""COMPUTED_VALUE"""),"FLA")</f>
        <v>FLA</v>
      </c>
      <c r="T618" s="1" t="str">
        <f>IFERROR(__xludf.DUMMYFUNCTION("""COMPUTED_VALUE"""),"JERIC NAVARRO")</f>
        <v>JERIC NAVARRO</v>
      </c>
      <c r="U618" s="1" t="str">
        <f>IFERROR(__xludf.DUMMYFUNCTION("""COMPUTED_VALUE"""),"JB SALIOA")</f>
        <v>JB SALIOA</v>
      </c>
      <c r="V618" s="1" t="str">
        <f>IFERROR(__xludf.DUMMYFUNCTION("""COMPUTED_VALUE"""),"BK REGULAR")</f>
        <v>BK REGULAR</v>
      </c>
      <c r="W618" s="1" t="str">
        <f>IFERROR(__xludf.DUMMYFUNCTION("""COMPUTED_VALUE"""),"STK REGULAR")</f>
        <v>STK REGULAR</v>
      </c>
      <c r="X618" s="1" t="str">
        <f>IFERROR(__xludf.DUMMYFUNCTION("""COMPUTED_VALUE"""),"HBBS SEPT 2026")</f>
        <v>HBBS SEPT 2026</v>
      </c>
      <c r="Y618" s="1" t="str">
        <f>IFERROR(__xludf.DUMMYFUNCTION("""COMPUTED_VALUE"""),"BK_CVEU_260820")</f>
        <v>BK_CVEU_260820</v>
      </c>
      <c r="Z618" s="1" t="str">
        <f>IFERROR(__xludf.DUMMYFUNCTION("""COMPUTED_VALUE"""),"NEW CONNECT")</f>
        <v>NEW CONNECT</v>
      </c>
      <c r="AA618" s="1">
        <f>IFERROR(__xludf.DUMMYFUNCTION("""COMPUTED_VALUE"""),639516058596)</f>
        <v>639516058596</v>
      </c>
      <c r="AB618" s="1">
        <f>IFERROR(__xludf.DUMMYFUNCTION("""COMPUTED_VALUE"""),639385956150)</f>
        <v>639385956150</v>
      </c>
      <c r="AC618" s="1">
        <f>IFERROR(__xludf.DUMMYFUNCTION("""COMPUTED_VALUE"""),9007)</f>
        <v>9007</v>
      </c>
      <c r="AD618" s="1" t="str">
        <f>IFERROR(__xludf.DUMMYFUNCTION("""COMPUTED_VALUE"""),"SITIO ILANG ILANG")</f>
        <v>SITIO ILANG ILANG</v>
      </c>
      <c r="AE618" s="1"/>
      <c r="AF618" s="1" t="str">
        <f>IFERROR(__xludf.DUMMYFUNCTION("""COMPUTED_VALUE"""),"BGY BATAS")</f>
        <v>BGY BATAS</v>
      </c>
      <c r="AG618" s="1" t="str">
        <f>IFERROR(__xludf.DUMMYFUNCTION("""COMPUTED_VALUE"""),"SILANG")</f>
        <v>SILANG</v>
      </c>
      <c r="AH618" s="1" t="str">
        <f>IFERROR(__xludf.DUMMYFUNCTION("""COMPUTED_VALUE"""),"MASKUREDXGROUP95")</f>
        <v>MASKUREDXGROUP95</v>
      </c>
      <c r="AI618" s="1" t="str">
        <f>IFERROR(__xludf.DUMMYFUNCTION("""COMPUTED_VALUE"""),"CLUSTER 11")</f>
        <v>CLUSTER 11</v>
      </c>
    </row>
    <row r="619" customHeight="1" spans="1:35">
      <c r="A619" s="3">
        <f>IFERROR(__xludf.DUMMYFUNCTION("""COMPUTED_VALUE"""),46286)</f>
        <v>46286</v>
      </c>
      <c r="B619" s="1" t="str">
        <f>IFERROR(__xludf.DUMMYFUNCTION("""COMPUTED_VALUE"""),"REIGNER SIEGO MOSUELA")</f>
        <v>REIGNER SIEGO MOSUELA</v>
      </c>
      <c r="C619" s="1">
        <f>IFERROR(__xludf.DUMMYFUNCTION("""COMPUTED_VALUE"""),2312720206)</f>
        <v>2312720206</v>
      </c>
      <c r="D619" s="1">
        <f>IFERROR(__xludf.DUMMYFUNCTION("""COMPUTED_VALUE"""),408211344)</f>
        <v>408211344</v>
      </c>
      <c r="E619" s="1">
        <f>IFERROR(__xludf.DUMMYFUNCTION("""COMPUTED_VALUE"""),472327940004)</f>
        <v>472327940004</v>
      </c>
      <c r="F619" s="1" t="str">
        <f>IFERROR(__xludf.DUMMYFUNCTION("""COMPUTED_VALUE"""),"CLOSED")</f>
        <v>CLOSED</v>
      </c>
      <c r="G619" s="1" t="str">
        <f>IFERROR(__xludf.DUMMYFUNCTION("""COMPUTED_VALUE"""),"CLOSED")</f>
        <v>CLOSED</v>
      </c>
      <c r="H619" s="1" t="str">
        <f>IFERROR(__xludf.DUMMYFUNCTION("""COMPUTED_VALUE"""),"PAID THRU GCASH REF# 912643936 9/23")</f>
        <v>PAID THRU GCASH REF# 912643936 9/23</v>
      </c>
      <c r="I619" s="1" t="str">
        <f>IFERROR(__xludf.DUMMYFUNCTION("""COMPUTED_VALUE"""),"WITH 1 AMSF")</f>
        <v>WITH 1 AMSF</v>
      </c>
      <c r="J619" s="1"/>
      <c r="K619" s="1" t="str">
        <f>IFERROR(__xludf.DUMMYFUNCTION("""COMPUTED_VALUE"""),"COMPLETED")</f>
        <v>COMPLETED</v>
      </c>
      <c r="L619" s="1" t="str">
        <f>IFERROR(__xludf.DUMMYFUNCTION("""COMPUTED_VALUE"""),"POSTED")</f>
        <v>POSTED</v>
      </c>
      <c r="M619" s="1" t="str">
        <f>IFERROR(__xludf.DUMMYFUNCTION("""COMPUTED_VALUE"""),"POSTED")</f>
        <v>POSTED</v>
      </c>
      <c r="N619" s="3">
        <f>IFERROR(__xludf.DUMMYFUNCTION("""COMPUTED_VALUE"""),46288)</f>
        <v>46288</v>
      </c>
      <c r="O619" s="1" t="str">
        <f>IFERROR(__xludf.DUMMYFUNCTION("""COMPUTED_VALUE"""),"FIBER UNLI ALL PLAN 2599")</f>
        <v>FIBER UNLI ALL PLAN 2599</v>
      </c>
      <c r="P619" s="1" t="str">
        <f>IFERROR(__xludf.DUMMYFUNCTION("""COMPUTED_VALUE"""),"HIGHPLAN")</f>
        <v>HIGHPLAN</v>
      </c>
      <c r="Q619" s="1" t="str">
        <f>IFERROR(__xludf.DUMMYFUNCTION("""COMPUTED_VALUE"""),"P407045")</f>
        <v>P407045</v>
      </c>
      <c r="R619" s="1" t="str">
        <f>IFERROR(__xludf.DUMMYFUNCTION("""COMPUTED_VALUE"""),"REMOLLO, LEA")</f>
        <v>REMOLLO, LEA</v>
      </c>
      <c r="S619" s="1" t="str">
        <f>IFERROR(__xludf.DUMMYFUNCTION("""COMPUTED_VALUE"""),"FLA")</f>
        <v>FLA</v>
      </c>
      <c r="T619" s="1" t="str">
        <f>IFERROR(__xludf.DUMMYFUNCTION("""COMPUTED_VALUE"""),"JERIC NAVARRO")</f>
        <v>JERIC NAVARRO</v>
      </c>
      <c r="U619" s="1" t="str">
        <f>IFERROR(__xludf.DUMMYFUNCTION("""COMPUTED_VALUE"""),"JB SALIOA")</f>
        <v>JB SALIOA</v>
      </c>
      <c r="V619" s="1" t="str">
        <f>IFERROR(__xludf.DUMMYFUNCTION("""COMPUTED_VALUE"""),"BK REGULAR")</f>
        <v>BK REGULAR</v>
      </c>
      <c r="W619" s="1" t="str">
        <f>IFERROR(__xludf.DUMMYFUNCTION("""COMPUTED_VALUE"""),"STK REGULAR")</f>
        <v>STK REGULAR</v>
      </c>
      <c r="X619" s="1" t="str">
        <f>IFERROR(__xludf.DUMMYFUNCTION("""COMPUTED_VALUE"""),"HBBS SEPT 2026")</f>
        <v>HBBS SEPT 2026</v>
      </c>
      <c r="Y619" s="1" t="str">
        <f>IFERROR(__xludf.DUMMYFUNCTION("""COMPUTED_VALUE"""),"BK_CVEU_260818")</f>
        <v>BK_CVEU_260818</v>
      </c>
      <c r="Z619" s="1" t="str">
        <f>IFERROR(__xludf.DUMMYFUNCTION("""COMPUTED_VALUE"""),"NEW CONNECT")</f>
        <v>NEW CONNECT</v>
      </c>
      <c r="AA619" s="1">
        <f>IFERROR(__xludf.DUMMYFUNCTION("""COMPUTED_VALUE"""),639674936594)</f>
        <v>639674936594</v>
      </c>
      <c r="AB619" s="1"/>
      <c r="AC619" s="1"/>
      <c r="AD619" s="1" t="str">
        <f>IFERROR(__xludf.DUMMYFUNCTION("""COMPUTED_VALUE"""),"MOUNT APO")</f>
        <v>MOUNT APO</v>
      </c>
      <c r="AE619" s="1"/>
      <c r="AF619" s="1" t="str">
        <f>IFERROR(__xludf.DUMMYFUNCTION("""COMPUTED_VALUE"""),"BGY COL J P ELISES")</f>
        <v>BGY COL J P ELISES</v>
      </c>
      <c r="AG619" s="1" t="str">
        <f>IFERROR(__xludf.DUMMYFUNCTION("""COMPUTED_VALUE"""),"GEN MARIANO ALVAREZ")</f>
        <v>GEN MARIANO ALVAREZ</v>
      </c>
      <c r="AH619" s="1"/>
      <c r="AI619" s="1" t="str">
        <f>IFERROR(__xludf.DUMMYFUNCTION("""COMPUTED_VALUE"""),"CLUSTER 11")</f>
        <v>CLUSTER 11</v>
      </c>
    </row>
    <row r="620" customHeight="1" spans="1:35">
      <c r="A620" s="3">
        <f>IFERROR(__xludf.DUMMYFUNCTION("""COMPUTED_VALUE"""),46286)</f>
        <v>46286</v>
      </c>
      <c r="B620" s="1" t="str">
        <f>IFERROR(__xludf.DUMMYFUNCTION("""COMPUTED_VALUE"""),"OLIVIA AGUILAR MARIANO")</f>
        <v>OLIVIA AGUILAR MARIANO</v>
      </c>
      <c r="C620" s="1">
        <f>IFERROR(__xludf.DUMMYFUNCTION("""COMPUTED_VALUE"""),2312721972)</f>
        <v>2312721972</v>
      </c>
      <c r="D620" s="1">
        <f>IFERROR(__xludf.DUMMYFUNCTION("""COMPUTED_VALUE"""),408219027)</f>
        <v>408219027</v>
      </c>
      <c r="E620" s="1">
        <f>IFERROR(__xludf.DUMMYFUNCTION("""COMPUTED_VALUE"""),472332699004)</f>
        <v>472332699004</v>
      </c>
      <c r="F620" s="1" t="str">
        <f>IFERROR(__xludf.DUMMYFUNCTION("""COMPUTED_VALUE"""),"CLOSED")</f>
        <v>CLOSED</v>
      </c>
      <c r="G620" s="1" t="str">
        <f>IFERROR(__xludf.DUMMYFUNCTION("""COMPUTED_VALUE"""),"CLOSED")</f>
        <v>CLOSED</v>
      </c>
      <c r="H620" s="1" t="str">
        <f>IFERROR(__xludf.DUMMYFUNCTION("""COMPUTED_VALUE"""),"PQGOR364892985	22-Sep-26	Regular Payment	CIS-GCASH 3.0	1,600.00	0	22-Sep-26")</f>
        <v>PQGOR364892985	22-Sep-26	Regular Payment	CIS-GCASH 3.0	1,600.00	0	22-Sep-26</v>
      </c>
      <c r="I620" s="1" t="str">
        <f>IFERROR(__xludf.DUMMYFUNCTION("""COMPUTED_VALUE"""),"WITH 1 AMSF")</f>
        <v>WITH 1 AMSF</v>
      </c>
      <c r="J620" s="1"/>
      <c r="K620" s="1" t="str">
        <f>IFERROR(__xludf.DUMMYFUNCTION("""COMPUTED_VALUE"""),"COMPLETED")</f>
        <v>COMPLETED</v>
      </c>
      <c r="L620" s="1" t="str">
        <f>IFERROR(__xludf.DUMMYFUNCTION("""COMPUTED_VALUE"""),"POSTED")</f>
        <v>POSTED</v>
      </c>
      <c r="M620" s="1" t="str">
        <f>IFERROR(__xludf.DUMMYFUNCTION("""COMPUTED_VALUE"""),"POSTED")</f>
        <v>POSTED</v>
      </c>
      <c r="N620" s="3">
        <f>IFERROR(__xludf.DUMMYFUNCTION("""COMPUTED_VALUE"""),46287)</f>
        <v>46287</v>
      </c>
      <c r="O620" s="1" t="str">
        <f>IFERROR(__xludf.DUMMYFUNCTION("""COMPUTED_VALUE"""),"FIBR NETFLIX PLAN 1599")</f>
        <v>FIBR NETFLIX PLAN 1599</v>
      </c>
      <c r="P620" s="1" t="str">
        <f>IFERROR(__xludf.DUMMYFUNCTION("""COMPUTED_VALUE"""),"LOWPLAN")</f>
        <v>LOWPLAN</v>
      </c>
      <c r="Q620" s="1" t="str">
        <f>IFERROR(__xludf.DUMMYFUNCTION("""COMPUTED_VALUE"""),"P407515")</f>
        <v>P407515</v>
      </c>
      <c r="R620" s="1" t="str">
        <f>IFERROR(__xludf.DUMMYFUNCTION("""COMPUTED_VALUE"""),"FARO, REFRANTA")</f>
        <v>FARO, REFRANTA</v>
      </c>
      <c r="S620" s="1" t="str">
        <f>IFERROR(__xludf.DUMMYFUNCTION("""COMPUTED_VALUE"""),"FLA")</f>
        <v>FLA</v>
      </c>
      <c r="T620" s="1" t="str">
        <f>IFERROR(__xludf.DUMMYFUNCTION("""COMPUTED_VALUE"""),"JERIC NAVARRO")</f>
        <v>JERIC NAVARRO</v>
      </c>
      <c r="U620" s="1" t="str">
        <f>IFERROR(__xludf.DUMMYFUNCTION("""COMPUTED_VALUE"""),"JB SALIOA")</f>
        <v>JB SALIOA</v>
      </c>
      <c r="V620" s="1" t="str">
        <f>IFERROR(__xludf.DUMMYFUNCTION("""COMPUTED_VALUE"""),"BK HSTK")</f>
        <v>BK HSTK</v>
      </c>
      <c r="W620" s="1" t="str">
        <f>IFERROR(__xludf.DUMMYFUNCTION("""COMPUTED_VALUE"""),"BK HSTK")</f>
        <v>BK HSTK</v>
      </c>
      <c r="X620" s="1" t="str">
        <f>IFERROR(__xludf.DUMMYFUNCTION("""COMPUTED_VALUE"""),"HBBS SEPT 2026")</f>
        <v>HBBS SEPT 2026</v>
      </c>
      <c r="Y620" s="1" t="str">
        <f>IFERROR(__xludf.DUMMYFUNCTION("""COMPUTED_VALUE"""),"BK_CVEU_260818")</f>
        <v>BK_CVEU_260818</v>
      </c>
      <c r="Z620" s="1" t="str">
        <f>IFERROR(__xludf.DUMMYFUNCTION("""COMPUTED_VALUE"""),"NEW CONNECT")</f>
        <v>NEW CONNECT</v>
      </c>
      <c r="AA620" s="1">
        <f>IFERROR(__xludf.DUMMYFUNCTION("""COMPUTED_VALUE"""),639208396735)</f>
        <v>639208396735</v>
      </c>
      <c r="AB620" s="1"/>
      <c r="AC620" s="1"/>
      <c r="AD620" s="1" t="str">
        <f>IFERROR(__xludf.DUMMYFUNCTION("""COMPUTED_VALUE"""),"SAN JOSE")</f>
        <v>SAN JOSE</v>
      </c>
      <c r="AE620" s="1"/>
      <c r="AF620" s="1" t="str">
        <f>IFERROR(__xludf.DUMMYFUNCTION("""COMPUTED_VALUE"""),"BGY SAN JOSE")</f>
        <v>BGY SAN JOSE</v>
      </c>
      <c r="AG620" s="1" t="str">
        <f>IFERROR(__xludf.DUMMYFUNCTION("""COMPUTED_VALUE"""),"GEN MARIANO ALVAREZ")</f>
        <v>GEN MARIANO ALVAREZ</v>
      </c>
      <c r="AH620" s="1" t="str">
        <f>IFERROR(__xludf.DUMMYFUNCTION("""COMPUTED_VALUE"""),"-")</f>
        <v>-</v>
      </c>
      <c r="AI620" s="1" t="str">
        <f>IFERROR(__xludf.DUMMYFUNCTION("""COMPUTED_VALUE"""),"CLUSTER 11")</f>
        <v>CLUSTER 11</v>
      </c>
    </row>
    <row r="621" customHeight="1" spans="1:35">
      <c r="A621" s="3">
        <f>IFERROR(__xludf.DUMMYFUNCTION("""COMPUTED_VALUE"""),46286)</f>
        <v>46286</v>
      </c>
      <c r="B621" s="1" t="str">
        <f>IFERROR(__xludf.DUMMYFUNCTION("""COMPUTED_VALUE"""),"ERWIN PERNIA RAET")</f>
        <v>ERWIN PERNIA RAET</v>
      </c>
      <c r="C621" s="1">
        <f>IFERROR(__xludf.DUMMYFUNCTION("""COMPUTED_VALUE"""),2312722536)</f>
        <v>2312722536</v>
      </c>
      <c r="D621" s="1">
        <f>IFERROR(__xludf.DUMMYFUNCTION("""COMPUTED_VALUE"""),408222230)</f>
        <v>408222230</v>
      </c>
      <c r="E621" s="1">
        <f>IFERROR(__xludf.DUMMYFUNCTION("""COMPUTED_VALUE"""),472335821004)</f>
        <v>472335821004</v>
      </c>
      <c r="F621" s="1" t="str">
        <f>IFERROR(__xludf.DUMMYFUNCTION("""COMPUTED_VALUE"""),"CLOSED")</f>
        <v>CLOSED</v>
      </c>
      <c r="G621" s="1" t="str">
        <f>IFERROR(__xludf.DUMMYFUNCTION("""COMPUTED_VALUE"""),"CLOSED")</f>
        <v>CLOSED</v>
      </c>
      <c r="H621" s="1" t="str">
        <f>IFERROR(__xludf.DUMMYFUNCTION("""COMPUTED_VALUE"""),"PQGOR364896829	22-Sep-26	Regular Payment	CIS-GCASH 3.0	1,600.00	0	22-Sep-26")</f>
        <v>PQGOR364896829	22-Sep-26	Regular Payment	CIS-GCASH 3.0	1,600.00	0	22-Sep-26</v>
      </c>
      <c r="I621" s="1" t="str">
        <f>IFERROR(__xludf.DUMMYFUNCTION("""COMPUTED_VALUE"""),"WITH 1 AMSF")</f>
        <v>WITH 1 AMSF</v>
      </c>
      <c r="J621" s="1"/>
      <c r="K621" s="1" t="str">
        <f>IFERROR(__xludf.DUMMYFUNCTION("""COMPUTED_VALUE"""),"NOT IN OFSC")</f>
        <v>NOT IN OFSC</v>
      </c>
      <c r="L621" s="1" t="str">
        <f>IFERROR(__xludf.DUMMYFUNCTION("""COMPUTED_VALUE"""),"POSTED")</f>
        <v>POSTED</v>
      </c>
      <c r="M621" s="1" t="str">
        <f>IFERROR(__xludf.DUMMYFUNCTION("""COMPUTED_VALUE"""),"POSTED")</f>
        <v>POSTED</v>
      </c>
      <c r="N621" s="3">
        <f>IFERROR(__xludf.DUMMYFUNCTION("""COMPUTED_VALUE"""),46291)</f>
        <v>46291</v>
      </c>
      <c r="O621" s="1" t="str">
        <f>IFERROR(__xludf.DUMMYFUNCTION("""COMPUTED_VALUE"""),"FIBR NETFLIX PLAN 1599")</f>
        <v>FIBR NETFLIX PLAN 1599</v>
      </c>
      <c r="P621" s="1" t="str">
        <f>IFERROR(__xludf.DUMMYFUNCTION("""COMPUTED_VALUE"""),"LOWPLAN")</f>
        <v>LOWPLAN</v>
      </c>
      <c r="Q621" s="1" t="str">
        <f>IFERROR(__xludf.DUMMYFUNCTION("""COMPUTED_VALUE"""),"P407515")</f>
        <v>P407515</v>
      </c>
      <c r="R621" s="1" t="str">
        <f>IFERROR(__xludf.DUMMYFUNCTION("""COMPUTED_VALUE"""),"FARO, REFRANTA")</f>
        <v>FARO, REFRANTA</v>
      </c>
      <c r="S621" s="1" t="str">
        <f>IFERROR(__xludf.DUMMYFUNCTION("""COMPUTED_VALUE"""),"FLA")</f>
        <v>FLA</v>
      </c>
      <c r="T621" s="1" t="str">
        <f>IFERROR(__xludf.DUMMYFUNCTION("""COMPUTED_VALUE"""),"JERIC NAVARRO")</f>
        <v>JERIC NAVARRO</v>
      </c>
      <c r="U621" s="1" t="str">
        <f>IFERROR(__xludf.DUMMYFUNCTION("""COMPUTED_VALUE"""),"JB SALIOA")</f>
        <v>JB SALIOA</v>
      </c>
      <c r="V621" s="1" t="str">
        <f>IFERROR(__xludf.DUMMYFUNCTION("""COMPUTED_VALUE"""),"BK REGULAR")</f>
        <v>BK REGULAR</v>
      </c>
      <c r="W621" s="1" t="str">
        <f>IFERROR(__xludf.DUMMYFUNCTION("""COMPUTED_VALUE"""),"STK REGULAR")</f>
        <v>STK REGULAR</v>
      </c>
      <c r="X621" s="1" t="str">
        <f>IFERROR(__xludf.DUMMYFUNCTION("""COMPUTED_VALUE"""),"HBBS SEPT 2026")</f>
        <v>HBBS SEPT 2026</v>
      </c>
      <c r="Y621" s="1" t="str">
        <f>IFERROR(__xludf.DUMMYFUNCTION("""COMPUTED_VALUE"""),"BK_CVEU_260818")</f>
        <v>BK_CVEU_260818</v>
      </c>
      <c r="Z621" s="1" t="str">
        <f>IFERROR(__xludf.DUMMYFUNCTION("""COMPUTED_VALUE"""),"NEW CONNECT")</f>
        <v>NEW CONNECT</v>
      </c>
      <c r="AA621" s="1">
        <f>IFERROR(__xludf.DUMMYFUNCTION("""COMPUTED_VALUE"""),9936527966)</f>
        <v>9936527966</v>
      </c>
      <c r="AB621" s="1">
        <f>IFERROR(__xludf.DUMMYFUNCTION("""COMPUTED_VALUE"""),9485864921)</f>
        <v>9485864921</v>
      </c>
      <c r="AC621" s="1"/>
      <c r="AD621" s="1" t="str">
        <f>IFERROR(__xludf.DUMMYFUNCTION("""COMPUTED_VALUE"""),"G DE JESUS")</f>
        <v>G DE JESUS</v>
      </c>
      <c r="AE621" s="1"/>
      <c r="AF621" s="1" t="str">
        <f>IFERROR(__xludf.DUMMYFUNCTION("""COMPUTED_VALUE"""),"BGY G DE JESUS")</f>
        <v>BGY G DE JESUS</v>
      </c>
      <c r="AG621" s="1" t="str">
        <f>IFERROR(__xludf.DUMMYFUNCTION("""COMPUTED_VALUE"""),"GEN MARIANO ALVAREZ")</f>
        <v>GEN MARIANO ALVAREZ</v>
      </c>
      <c r="AH621" s="1" t="str">
        <f>IFERROR(__xludf.DUMMYFUNCTION("""COMPUTED_VALUE"""),"G DE JESUS")</f>
        <v>G DE JESUS</v>
      </c>
      <c r="AI621" s="1" t="str">
        <f>IFERROR(__xludf.DUMMYFUNCTION("""COMPUTED_VALUE"""),"CLUSTER 11")</f>
        <v>CLUSTER 11</v>
      </c>
    </row>
    <row r="622" customHeight="1" spans="1:35">
      <c r="A622" s="3">
        <f>IFERROR(__xludf.DUMMYFUNCTION("""COMPUTED_VALUE"""),46286)</f>
        <v>46286</v>
      </c>
      <c r="B622" s="1" t="str">
        <f>IFERROR(__xludf.DUMMYFUNCTION("""COMPUTED_VALUE"""),"JOHARI MOHAMMAD MOTEA")</f>
        <v>JOHARI MOHAMMAD MOTEA</v>
      </c>
      <c r="C622" s="1">
        <f>IFERROR(__xludf.DUMMYFUNCTION("""COMPUTED_VALUE"""),2312722808)</f>
        <v>2312722808</v>
      </c>
      <c r="D622" s="1"/>
      <c r="E622" s="1"/>
      <c r="F622" s="1" t="str">
        <f>IFERROR(__xludf.DUMMYFUNCTION("""COMPUTED_VALUE"""),"CANCELLED")</f>
        <v>CANCELLED</v>
      </c>
      <c r="G622" s="1" t="str">
        <f>IFERROR(__xludf.DUMMYFUNCTION("""COMPUTED_VALUE"""),"CANCELLED")</f>
        <v>CANCELLED</v>
      </c>
      <c r="H622" s="1"/>
      <c r="I622" s="1"/>
      <c r="J622" s="1"/>
      <c r="K622" s="1"/>
      <c r="L622" s="1" t="str">
        <f>IFERROR(__xludf.DUMMYFUNCTION("""COMPUTED_VALUE"""),"CANCELLED")</f>
        <v>CANCELLED</v>
      </c>
      <c r="M622" s="1" t="str">
        <f>IFERROR(__xludf.DUMMYFUNCTION("""COMPUTED_VALUE"""),"CANCELLED - SUBS CANCEL REQUEST")</f>
        <v>CANCELLED - SUBS CANCEL REQUEST</v>
      </c>
      <c r="N622" s="3"/>
      <c r="O622" s="1" t="str">
        <f>IFERROR(__xludf.DUMMYFUNCTION("""COMPUTED_VALUE"""),"FIBR PLAN 1299")</f>
        <v>FIBR PLAN 1299</v>
      </c>
      <c r="P622" s="1" t="str">
        <f>IFERROR(__xludf.DUMMYFUNCTION("""COMPUTED_VALUE"""),"LOWPLAN")</f>
        <v>LOWPLAN</v>
      </c>
      <c r="Q622" s="1" t="str">
        <f>IFERROR(__xludf.DUMMYFUNCTION("""COMPUTED_VALUE"""),"P407047")</f>
        <v>P407047</v>
      </c>
      <c r="R622" s="1" t="str">
        <f>IFERROR(__xludf.DUMMYFUNCTION("""COMPUTED_VALUE"""),"FRANCISCO, ROSELYN")</f>
        <v>FRANCISCO, ROSELYN</v>
      </c>
      <c r="S622" s="1" t="str">
        <f>IFERROR(__xludf.DUMMYFUNCTION("""COMPUTED_VALUE"""),"ORGANIC")</f>
        <v>ORGANIC</v>
      </c>
      <c r="T622" s="1" t="str">
        <f>IFERROR(__xludf.DUMMYFUNCTION("""COMPUTED_VALUE"""),"LEA REMOLLO")</f>
        <v>LEA REMOLLO</v>
      </c>
      <c r="U622" s="1" t="str">
        <f>IFERROR(__xludf.DUMMYFUNCTION("""COMPUTED_VALUE"""),"JB SALIOA")</f>
        <v>JB SALIOA</v>
      </c>
      <c r="V622" s="1" t="str">
        <f>IFERROR(__xludf.DUMMYFUNCTION("""COMPUTED_VALUE"""),"ONLINE/CRANFORD")</f>
        <v>ONLINE/CRANFORD</v>
      </c>
      <c r="W622" s="1" t="str">
        <f>IFERROR(__xludf.DUMMYFUNCTION("""COMPUTED_VALUE"""),"STK REGULAR")</f>
        <v>STK REGULAR</v>
      </c>
      <c r="X622" s="1" t="str">
        <f>IFERROR(__xludf.DUMMYFUNCTION("""COMPUTED_VALUE"""),"HBBS SEPT 2026")</f>
        <v>HBBS SEPT 2026</v>
      </c>
      <c r="Y622" s="1" t="str">
        <f>IFERROR(__xludf.DUMMYFUNCTION("""COMPUTED_VALUE"""),"RS_SS_CVEU_2026")</f>
        <v>RS_SS_CVEU_2026</v>
      </c>
      <c r="Z622" s="1" t="str">
        <f>IFERROR(__xludf.DUMMYFUNCTION("""COMPUTED_VALUE"""),"NEW CONNECT")</f>
        <v>NEW CONNECT</v>
      </c>
      <c r="AA622" s="1">
        <f>IFERROR(__xludf.DUMMYFUNCTION("""COMPUTED_VALUE"""),639854276155)</f>
        <v>639854276155</v>
      </c>
      <c r="AB622" s="1">
        <f>IFERROR(__xludf.DUMMYFUNCTION("""COMPUTED_VALUE"""),639813552241)</f>
        <v>639813552241</v>
      </c>
      <c r="AC622" s="1"/>
      <c r="AD622" s="1" t="str">
        <f>IFERROR(__xludf.DUMMYFUNCTION("""COMPUTED_VALUE"""),"PHASE 1")</f>
        <v>PHASE 1</v>
      </c>
      <c r="AE622" s="1"/>
      <c r="AF622" s="1" t="str">
        <f>IFERROR(__xludf.DUMMYFUNCTION("""COMPUTED_VALUE"""),"BGY H-2")</f>
        <v>BGY H-2</v>
      </c>
      <c r="AG622" s="1" t="str">
        <f>IFERROR(__xludf.DUMMYFUNCTION("""COMPUTED_VALUE"""),"DASMARINAS")</f>
        <v>DASMARINAS</v>
      </c>
      <c r="AH622" s="1" t="str">
        <f>IFERROR(__xludf.DUMMYFUNCTION("""COMPUTED_VALUE"""),"PHASE 1")</f>
        <v>PHASE 1</v>
      </c>
      <c r="AI622" s="1" t="str">
        <f>IFERROR(__xludf.DUMMYFUNCTION("""COMPUTED_VALUE"""),"NOT AOR")</f>
        <v>NOT AOR</v>
      </c>
    </row>
    <row r="623" customHeight="1" spans="1:35">
      <c r="A623" s="3">
        <f>IFERROR(__xludf.DUMMYFUNCTION("""COMPUTED_VALUE"""),46286)</f>
        <v>46286</v>
      </c>
      <c r="B623" s="1" t="str">
        <f>IFERROR(__xludf.DUMMYFUNCTION("""COMPUTED_VALUE"""),"KARMELLO JUAN CABRAL DE LEON")</f>
        <v>KARMELLO JUAN CABRAL DE LEON</v>
      </c>
      <c r="C623" s="1">
        <f>IFERROR(__xludf.DUMMYFUNCTION("""COMPUTED_VALUE"""),2312722972)</f>
        <v>2312722972</v>
      </c>
      <c r="D623" s="1"/>
      <c r="E623" s="1"/>
      <c r="F623" s="1" t="str">
        <f>IFERROR(__xludf.DUMMYFUNCTION("""COMPUTED_VALUE"""),"CANCELLED")</f>
        <v>CANCELLED</v>
      </c>
      <c r="G623" s="1" t="str">
        <f>IFERROR(__xludf.DUMMYFUNCTION("""COMPUTED_VALUE"""),"CANCELLED")</f>
        <v>CANCELLED</v>
      </c>
      <c r="H623" s="1"/>
      <c r="I623" s="1"/>
      <c r="J623" s="1"/>
      <c r="K623" s="1"/>
      <c r="L623" s="1" t="str">
        <f>IFERROR(__xludf.DUMMYFUNCTION("""COMPUTED_VALUE"""),"CANCELLED")</f>
        <v>CANCELLED</v>
      </c>
      <c r="M623" s="1" t="str">
        <f>IFERROR(__xludf.DUMMYFUNCTION("""COMPUTED_VALUE"""),"CANCELLED - SUBS CANCEL REQUEST")</f>
        <v>CANCELLED - SUBS CANCEL REQUEST</v>
      </c>
      <c r="N623" s="3"/>
      <c r="O623" s="1" t="str">
        <f>IFERROR(__xludf.DUMMYFUNCTION("""COMPUTED_VALUE"""),"FIBER UNLI ALL PLAN 1899")</f>
        <v>FIBER UNLI ALL PLAN 1899</v>
      </c>
      <c r="P623" s="1" t="str">
        <f>IFERROR(__xludf.DUMMYFUNCTION("""COMPUTED_VALUE"""),"HIGHPLAN")</f>
        <v>HIGHPLAN</v>
      </c>
      <c r="Q623" s="1" t="str">
        <f>IFERROR(__xludf.DUMMYFUNCTION("""COMPUTED_VALUE"""),"P407520")</f>
        <v>P407520</v>
      </c>
      <c r="R623" s="1" t="str">
        <f>IFERROR(__xludf.DUMMYFUNCTION("""COMPUTED_VALUE"""),"MALIWAT, MARK")</f>
        <v>MALIWAT, MARK</v>
      </c>
      <c r="S623" s="1" t="str">
        <f>IFERROR(__xludf.DUMMYFUNCTION("""COMPUTED_VALUE"""),"FLA")</f>
        <v>FLA</v>
      </c>
      <c r="T623" s="1" t="str">
        <f>IFERROR(__xludf.DUMMYFUNCTION("""COMPUTED_VALUE"""),"JERIC NAVARRO")</f>
        <v>JERIC NAVARRO</v>
      </c>
      <c r="U623" s="1" t="str">
        <f>IFERROR(__xludf.DUMMYFUNCTION("""COMPUTED_VALUE"""),"JB SALIOA")</f>
        <v>JB SALIOA</v>
      </c>
      <c r="V623" s="1" t="str">
        <f>IFERROR(__xludf.DUMMYFUNCTION("""COMPUTED_VALUE"""),"BK REGULAR")</f>
        <v>BK REGULAR</v>
      </c>
      <c r="W623" s="1" t="str">
        <f>IFERROR(__xludf.DUMMYFUNCTION("""COMPUTED_VALUE"""),"STK REGULAR")</f>
        <v>STK REGULAR</v>
      </c>
      <c r="X623" s="1" t="str">
        <f>IFERROR(__xludf.DUMMYFUNCTION("""COMPUTED_VALUE"""),"HBBS SEPT 2026")</f>
        <v>HBBS SEPT 2026</v>
      </c>
      <c r="Y623" s="1" t="str">
        <f>IFERROR(__xludf.DUMMYFUNCTION("""COMPUTED_VALUE"""),"BK_CVEU_260820")</f>
        <v>BK_CVEU_260820</v>
      </c>
      <c r="Z623" s="1" t="str">
        <f>IFERROR(__xludf.DUMMYFUNCTION("""COMPUTED_VALUE"""),"NEW CONNECT")</f>
        <v>NEW CONNECT</v>
      </c>
      <c r="AA623" s="1">
        <f>IFERROR(__xludf.DUMMYFUNCTION("""COMPUTED_VALUE"""),639177913872)</f>
        <v>639177913872</v>
      </c>
      <c r="AB623" s="1"/>
      <c r="AC623" s="1">
        <f>IFERROR(__xludf.DUMMYFUNCTION("""COMPUTED_VALUE"""),27)</f>
        <v>27</v>
      </c>
      <c r="AD623" s="1" t="str">
        <f>IFERROR(__xludf.DUMMYFUNCTION("""COMPUTED_VALUE"""),"BALI MANSIONS")</f>
        <v>BALI MANSIONS</v>
      </c>
      <c r="AE623" s="1" t="str">
        <f>IFERROR(__xludf.DUMMYFUNCTION("""COMPUTED_VALUE"""),"SOUTH FORBES")</f>
        <v>SOUTH FORBES</v>
      </c>
      <c r="AF623" s="1" t="str">
        <f>IFERROR(__xludf.DUMMYFUNCTION("""COMPUTED_VALUE"""),"BGY INCHICAN")</f>
        <v>BGY INCHICAN</v>
      </c>
      <c r="AG623" s="1" t="str">
        <f>IFERROR(__xludf.DUMMYFUNCTION("""COMPUTED_VALUE"""),"SILANG")</f>
        <v>SILANG</v>
      </c>
      <c r="AH623" s="1" t="str">
        <f>IFERROR(__xludf.DUMMYFUNCTION("""COMPUTED_VALUE"""),"BALI MANSIONS")</f>
        <v>BALI MANSIONS</v>
      </c>
      <c r="AI623" s="1" t="str">
        <f>IFERROR(__xludf.DUMMYFUNCTION("""COMPUTED_VALUE"""),"CLUSTER 11")</f>
        <v>CLUSTER 11</v>
      </c>
    </row>
    <row r="624" customHeight="1" spans="1:35">
      <c r="A624" s="3">
        <f>IFERROR(__xludf.DUMMYFUNCTION("""COMPUTED_VALUE"""),46286)</f>
        <v>46286</v>
      </c>
      <c r="B624" s="1" t="str">
        <f>IFERROR(__xludf.DUMMYFUNCTION("""COMPUTED_VALUE"""),"RAMON JR ROGUEL GREFALDEO")</f>
        <v>RAMON JR ROGUEL GREFALDEO</v>
      </c>
      <c r="C624" s="1">
        <f>IFERROR(__xludf.DUMMYFUNCTION("""COMPUTED_VALUE"""),2312723139)</f>
        <v>2312723139</v>
      </c>
      <c r="D624" s="1"/>
      <c r="E624" s="1"/>
      <c r="F624" s="1" t="str">
        <f>IFERROR(__xludf.DUMMYFUNCTION("""COMPUTED_VALUE"""),"CANCELLED")</f>
        <v>CANCELLED</v>
      </c>
      <c r="G624" s="1" t="str">
        <f>IFERROR(__xludf.DUMMYFUNCTION("""COMPUTED_VALUE"""),"(SUB CHANGED MIND) GG - SEGMENT 1 - NEW TO CREDIT - HIGH RISK")</f>
        <v>(SUB CHANGED MIND) GG - SEGMENT 1 - NEW TO CREDIT - HIGH RISK</v>
      </c>
      <c r="H624" s="1"/>
      <c r="I624" s="1"/>
      <c r="J624" s="1"/>
      <c r="K624" s="1"/>
      <c r="L624" s="1" t="str">
        <f>IFERROR(__xludf.DUMMYFUNCTION("""COMPUTED_VALUE"""),"CANCELLED")</f>
        <v>CANCELLED</v>
      </c>
      <c r="M624" s="1" t="str">
        <f>IFERROR(__xludf.DUMMYFUNCTION("""COMPUTED_VALUE"""),"CANCELLED - SUBS CANCEL REQUEST")</f>
        <v>CANCELLED - SUBS CANCEL REQUEST</v>
      </c>
      <c r="N624" s="3"/>
      <c r="O624" s="1" t="str">
        <f>IFERROR(__xludf.DUMMYFUNCTION("""COMPUTED_VALUE"""),"FIBR PLAN 1299")</f>
        <v>FIBR PLAN 1299</v>
      </c>
      <c r="P624" s="1" t="str">
        <f>IFERROR(__xludf.DUMMYFUNCTION("""COMPUTED_VALUE"""),"LOWPLAN")</f>
        <v>LOWPLAN</v>
      </c>
      <c r="Q624" s="1" t="str">
        <f>IFERROR(__xludf.DUMMYFUNCTION("""COMPUTED_VALUE"""),"P407520")</f>
        <v>P407520</v>
      </c>
      <c r="R624" s="1" t="str">
        <f>IFERROR(__xludf.DUMMYFUNCTION("""COMPUTED_VALUE"""),"MALIWAT, MARK")</f>
        <v>MALIWAT, MARK</v>
      </c>
      <c r="S624" s="1" t="str">
        <f>IFERROR(__xludf.DUMMYFUNCTION("""COMPUTED_VALUE"""),"FLA")</f>
        <v>FLA</v>
      </c>
      <c r="T624" s="1" t="str">
        <f>IFERROR(__xludf.DUMMYFUNCTION("""COMPUTED_VALUE"""),"JERIC NAVARRO")</f>
        <v>JERIC NAVARRO</v>
      </c>
      <c r="U624" s="1" t="str">
        <f>IFERROR(__xludf.DUMMYFUNCTION("""COMPUTED_VALUE"""),"JB SALIOA")</f>
        <v>JB SALIOA</v>
      </c>
      <c r="V624" s="1" t="str">
        <f>IFERROR(__xludf.DUMMYFUNCTION("""COMPUTED_VALUE"""),"BK REGULAR")</f>
        <v>BK REGULAR</v>
      </c>
      <c r="W624" s="1" t="str">
        <f>IFERROR(__xludf.DUMMYFUNCTION("""COMPUTED_VALUE"""),"STK REGULAR")</f>
        <v>STK REGULAR</v>
      </c>
      <c r="X624" s="1" t="str">
        <f>IFERROR(__xludf.DUMMYFUNCTION("""COMPUTED_VALUE"""),"HBBS SEPT 2026")</f>
        <v>HBBS SEPT 2026</v>
      </c>
      <c r="Y624" s="1" t="str">
        <f>IFERROR(__xludf.DUMMYFUNCTION("""COMPUTED_VALUE"""),"BK_CVEU_260815")</f>
        <v>BK_CVEU_260815</v>
      </c>
      <c r="Z624" s="1" t="str">
        <f>IFERROR(__xludf.DUMMYFUNCTION("""COMPUTED_VALUE"""),"NEW CONNECT")</f>
        <v>NEW CONNECT</v>
      </c>
      <c r="AA624" s="1">
        <f>IFERROR(__xludf.DUMMYFUNCTION("""COMPUTED_VALUE"""),639614190394)</f>
        <v>639614190394</v>
      </c>
      <c r="AB624" s="1"/>
      <c r="AC624" s="1"/>
      <c r="AD624" s="1" t="str">
        <f>IFERROR(__xludf.DUMMYFUNCTION("""COMPUTED_VALUE"""),"CALLE ONSE")</f>
        <v>CALLE ONSE</v>
      </c>
      <c r="AE624" s="1" t="str">
        <f>IFERROR(__xludf.DUMMYFUNCTION("""COMPUTED_VALUE"""),"SITIO PAG-ONG")</f>
        <v>SITIO PAG-ONG</v>
      </c>
      <c r="AF624" s="1" t="str">
        <f>IFERROR(__xludf.DUMMYFUNCTION("""COMPUTED_VALUE"""),"BGY PAJO")</f>
        <v>BGY PAJO</v>
      </c>
      <c r="AG624" s="1" t="str">
        <f>IFERROR(__xludf.DUMMYFUNCTION("""COMPUTED_VALUE"""),"ALFONSO")</f>
        <v>ALFONSO</v>
      </c>
      <c r="AH624" s="1" t="str">
        <f>IFERROR(__xludf.DUMMYFUNCTION("""COMPUTED_VALUE"""),"CALLE ONSE")</f>
        <v>CALLE ONSE</v>
      </c>
      <c r="AI624" s="1" t="str">
        <f>IFERROR(__xludf.DUMMYFUNCTION("""COMPUTED_VALUE"""),"CLUSTER 12")</f>
        <v>CLUSTER 12</v>
      </c>
    </row>
    <row r="625" customHeight="1" spans="1:35">
      <c r="A625" s="3">
        <f>IFERROR(__xludf.DUMMYFUNCTION("""COMPUTED_VALUE"""),46286)</f>
        <v>46286</v>
      </c>
      <c r="B625" s="1" t="str">
        <f>IFERROR(__xludf.DUMMYFUNCTION("""COMPUTED_VALUE"""),"ZENY FRANCIS TIONGCO MADRID")</f>
        <v>ZENY FRANCIS TIONGCO MADRID</v>
      </c>
      <c r="C625" s="1">
        <f>IFERROR(__xludf.DUMMYFUNCTION("""COMPUTED_VALUE"""),2312723273)</f>
        <v>2312723273</v>
      </c>
      <c r="D625" s="1"/>
      <c r="E625" s="1"/>
      <c r="F625" s="1" t="str">
        <f>IFERROR(__xludf.DUMMYFUNCTION("""COMPUTED_VALUE"""),"CANCELLED")</f>
        <v>CANCELLED</v>
      </c>
      <c r="G625" s="1" t="str">
        <f>IFERROR(__xludf.DUMMYFUNCTION("""COMPUTED_VALUE"""),"(PLDT_NO LONGER INTERESTED) FF - SEGMENT 1 - NEW TO CREDIT - MID RISK")</f>
        <v>(PLDT_NO LONGER INTERESTED) FF - SEGMENT 1 - NEW TO CREDIT - MID RISK</v>
      </c>
      <c r="H625" s="1"/>
      <c r="I625" s="1"/>
      <c r="J625" s="1"/>
      <c r="K625" s="1"/>
      <c r="L625" s="1" t="str">
        <f>IFERROR(__xludf.DUMMYFUNCTION("""COMPUTED_VALUE"""),"CANCELLED")</f>
        <v>CANCELLED</v>
      </c>
      <c r="M625" s="1" t="str">
        <f>IFERROR(__xludf.DUMMYFUNCTION("""COMPUTED_VALUE"""),"CANCELLED - SUBS CANCEL REQUEST")</f>
        <v>CANCELLED - SUBS CANCEL REQUEST</v>
      </c>
      <c r="N625" s="3"/>
      <c r="O625" s="1" t="str">
        <f>IFERROR(__xludf.DUMMYFUNCTION("""COMPUTED_VALUE"""),"FIBR PLAN 1299")</f>
        <v>FIBR PLAN 1299</v>
      </c>
      <c r="P625" s="1" t="str">
        <f>IFERROR(__xludf.DUMMYFUNCTION("""COMPUTED_VALUE"""),"LOWPLAN")</f>
        <v>LOWPLAN</v>
      </c>
      <c r="Q625" s="1" t="str">
        <f>IFERROR(__xludf.DUMMYFUNCTION("""COMPUTED_VALUE"""),"P407048 ")</f>
        <v>P407048 </v>
      </c>
      <c r="R625" s="1" t="str">
        <f>IFERROR(__xludf.DUMMYFUNCTION("""COMPUTED_VALUE"""),"OPS")</f>
        <v>OPS</v>
      </c>
      <c r="S625" s="1" t="str">
        <f>IFERROR(__xludf.DUMMYFUNCTION("""COMPUTED_VALUE"""),"FLA")</f>
        <v>FLA</v>
      </c>
      <c r="T625" s="1" t="str">
        <f>IFERROR(__xludf.DUMMYFUNCTION("""COMPUTED_VALUE"""),"JERIC NAVARRO")</f>
        <v>JERIC NAVARRO</v>
      </c>
      <c r="U625" s="1" t="str">
        <f>IFERROR(__xludf.DUMMYFUNCTION("""COMPUTED_VALUE"""),"JB SALIOA")</f>
        <v>JB SALIOA</v>
      </c>
      <c r="V625" s="1" t="str">
        <f>IFERROR(__xludf.DUMMYFUNCTION("""COMPUTED_VALUE"""),"ONLINE/CRANFORD")</f>
        <v>ONLINE/CRANFORD</v>
      </c>
      <c r="W625" s="1" t="str">
        <f>IFERROR(__xludf.DUMMYFUNCTION("""COMPUTED_VALUE"""),"STK REGULAR")</f>
        <v>STK REGULAR</v>
      </c>
      <c r="X625" s="1" t="str">
        <f>IFERROR(__xludf.DUMMYFUNCTION("""COMPUTED_VALUE"""),"HBBS SEPT 2026")</f>
        <v>HBBS SEPT 2026</v>
      </c>
      <c r="Y625" s="1" t="str">
        <f>IFERROR(__xludf.DUMMYFUNCTION("""COMPUTED_VALUE"""),"RS_SS_CVEU_2026")</f>
        <v>RS_SS_CVEU_2026</v>
      </c>
      <c r="Z625" s="1" t="str">
        <f>IFERROR(__xludf.DUMMYFUNCTION("""COMPUTED_VALUE"""),"NEW CONNECT")</f>
        <v>NEW CONNECT</v>
      </c>
      <c r="AA625" s="1">
        <f>IFERROR(__xludf.DUMMYFUNCTION("""COMPUTED_VALUE"""),639382433211)</f>
        <v>639382433211</v>
      </c>
      <c r="AB625" s="1"/>
      <c r="AC625" s="1"/>
      <c r="AD625" s="1" t="str">
        <f>IFERROR(__xludf.DUMMYFUNCTION("""COMPUTED_VALUE"""),"SANDPIPER")</f>
        <v>SANDPIPER</v>
      </c>
      <c r="AE625" s="1" t="str">
        <f>IFERROR(__xludf.DUMMYFUNCTION("""COMPUTED_VALUE"""),"WESTWOOD 1 LANCASTER")</f>
        <v>WESTWOOD 1 LANCASTER</v>
      </c>
      <c r="AF625" s="1" t="str">
        <f>IFERROR(__xludf.DUMMYFUNCTION("""COMPUTED_VALUE"""),"PASONG CAMACHILE 2")</f>
        <v>PASONG CAMACHILE 2</v>
      </c>
      <c r="AG625" s="1" t="str">
        <f>IFERROR(__xludf.DUMMYFUNCTION("""COMPUTED_VALUE"""),"GENERAL TRIAS")</f>
        <v>GENERAL TRIAS</v>
      </c>
      <c r="AH625" s="1" t="str">
        <f>IFERROR(__xludf.DUMMYFUNCTION("""COMPUTED_VALUE"""),"SANDPIPER ST")</f>
        <v>SANDPIPER ST</v>
      </c>
      <c r="AI625" s="1" t="str">
        <f>IFERROR(__xludf.DUMMYFUNCTION("""COMPUTED_VALUE"""),"NOT AOR")</f>
        <v>NOT AOR</v>
      </c>
    </row>
    <row r="626" customHeight="1" spans="1:35">
      <c r="A626" s="3">
        <f>IFERROR(__xludf.DUMMYFUNCTION("""COMPUTED_VALUE"""),46286)</f>
        <v>46286</v>
      </c>
      <c r="B626" s="1" t="str">
        <f>IFERROR(__xludf.DUMMYFUNCTION("""COMPUTED_VALUE"""),"ARNEL AMANTE VILLENA")</f>
        <v>ARNEL AMANTE VILLENA</v>
      </c>
      <c r="C626" s="1">
        <f>IFERROR(__xludf.DUMMYFUNCTION("""COMPUTED_VALUE"""),2312723476)</f>
        <v>2312723476</v>
      </c>
      <c r="D626" s="1">
        <f>IFERROR(__xludf.DUMMYFUNCTION("""COMPUTED_VALUE"""),408222877)</f>
        <v>408222877</v>
      </c>
      <c r="E626" s="1">
        <f>IFERROR(__xludf.DUMMYFUNCTION("""COMPUTED_VALUE"""),472335675004)</f>
        <v>472335675004</v>
      </c>
      <c r="F626" s="1" t="str">
        <f>IFERROR(__xludf.DUMMYFUNCTION("""COMPUTED_VALUE"""),"FOR PAYMENT")</f>
        <v>FOR PAYMENT</v>
      </c>
      <c r="G626" s="1" t="str">
        <f>IFERROR(__xludf.DUMMYFUNCTION("""COMPUTED_VALUE"""),"FOR PAYMENT")</f>
        <v>FOR PAYMENT</v>
      </c>
      <c r="H626" s="1"/>
      <c r="I626" s="1"/>
      <c r="J626" s="1"/>
      <c r="K626" s="1" t="str">
        <f>IFERROR(__xludf.DUMMYFUNCTION("""COMPUTED_VALUE"""),"NOT IN OFSC")</f>
        <v>NOT IN OFSC</v>
      </c>
      <c r="L626" s="1" t="str">
        <f>IFERROR(__xludf.DUMMYFUNCTION("""COMPUTED_VALUE"""),"FOR PAYMENT")</f>
        <v>FOR PAYMENT</v>
      </c>
      <c r="M626" s="1" t="str">
        <f>IFERROR(__xludf.DUMMYFUNCTION("""COMPUTED_VALUE"""),"FOR PAYMENT - FOR CALL OUT")</f>
        <v>FOR PAYMENT - FOR CALL OUT</v>
      </c>
      <c r="N626" s="3"/>
      <c r="O626" s="1" t="str">
        <f>IFERROR(__xludf.DUMMYFUNCTION("""COMPUTED_VALUE"""),"FIBR UNLI ALL PLAN 999")</f>
        <v>FIBR UNLI ALL PLAN 999</v>
      </c>
      <c r="P626" s="1" t="str">
        <f>IFERROR(__xludf.DUMMYFUNCTION("""COMPUTED_VALUE"""),"LOWPLAN")</f>
        <v>LOWPLAN</v>
      </c>
      <c r="Q626" s="1" t="str">
        <f>IFERROR(__xludf.DUMMYFUNCTION("""COMPUTED_VALUE"""),"P407559")</f>
        <v>P407559</v>
      </c>
      <c r="R626" s="1" t="str">
        <f>IFERROR(__xludf.DUMMYFUNCTION("""COMPUTED_VALUE"""),"MAGDARAOG, KENNETH")</f>
        <v>MAGDARAOG, KENNETH</v>
      </c>
      <c r="S626" s="1" t="str">
        <f>IFERROR(__xludf.DUMMYFUNCTION("""COMPUTED_VALUE"""),"ORGANIC")</f>
        <v>ORGANIC</v>
      </c>
      <c r="T626" s="1" t="str">
        <f>IFERROR(__xludf.DUMMYFUNCTION("""COMPUTED_VALUE"""),"LEA REMOLLO")</f>
        <v>LEA REMOLLO</v>
      </c>
      <c r="U626" s="1" t="str">
        <f>IFERROR(__xludf.DUMMYFUNCTION("""COMPUTED_VALUE"""),"JB SALIOA")</f>
        <v>JB SALIOA</v>
      </c>
      <c r="V626" s="1" t="str">
        <f>IFERROR(__xludf.DUMMYFUNCTION("""COMPUTED_VALUE"""),"BK HSTK")</f>
        <v>BK HSTK</v>
      </c>
      <c r="W626" s="1" t="str">
        <f>IFERROR(__xludf.DUMMYFUNCTION("""COMPUTED_VALUE"""),"BK HSTK")</f>
        <v>BK HSTK</v>
      </c>
      <c r="X626" s="1" t="str">
        <f>IFERROR(__xludf.DUMMYFUNCTION("""COMPUTED_VALUE"""),"REGULAR")</f>
        <v>REGULAR</v>
      </c>
      <c r="Y626" s="1" t="str">
        <f>IFERROR(__xludf.DUMMYFUNCTION("""COMPUTED_VALUE"""),"BK_CVEU_260818")</f>
        <v>BK_CVEU_260818</v>
      </c>
      <c r="Z626" s="1" t="str">
        <f>IFERROR(__xludf.DUMMYFUNCTION("""COMPUTED_VALUE"""),"NEW CONNECT")</f>
        <v>NEW CONNECT</v>
      </c>
      <c r="AA626" s="1">
        <f>IFERROR(__xludf.DUMMYFUNCTION("""COMPUTED_VALUE"""),639346368975)</f>
        <v>639346368975</v>
      </c>
      <c r="AB626" s="1"/>
      <c r="AC626" s="1">
        <f>IFERROR(__xludf.DUMMYFUNCTION("""COMPUTED_VALUE"""),91)</f>
        <v>91</v>
      </c>
      <c r="AD626" s="1" t="str">
        <f>IFERROR(__xludf.DUMMYFUNCTION("""COMPUTED_VALUE"""),"F REYES")</f>
        <v>F REYES</v>
      </c>
      <c r="AE626" s="1"/>
      <c r="AF626" s="1" t="str">
        <f>IFERROR(__xludf.DUMMYFUNCTION("""COMPUTED_VALUE"""),"BGY FRANCISCO REYES")</f>
        <v>BGY FRANCISCO REYES</v>
      </c>
      <c r="AG626" s="1" t="str">
        <f>IFERROR(__xludf.DUMMYFUNCTION("""COMPUTED_VALUE"""),"GEN MARIANO ALVAREZ")</f>
        <v>GEN MARIANO ALVAREZ</v>
      </c>
      <c r="AH626" s="1" t="str">
        <f>IFERROR(__xludf.DUMMYFUNCTION("""COMPUTED_VALUE"""),"JHAIRON BAKERY")</f>
        <v>JHAIRON BAKERY</v>
      </c>
      <c r="AI626" s="1" t="str">
        <f>IFERROR(__xludf.DUMMYFUNCTION("""COMPUTED_VALUE"""),"CLUSTER 11")</f>
        <v>CLUSTER 11</v>
      </c>
    </row>
    <row r="627" customHeight="1" spans="1:35">
      <c r="A627" s="3">
        <f>IFERROR(__xludf.DUMMYFUNCTION("""COMPUTED_VALUE"""),46286)</f>
        <v>46286</v>
      </c>
      <c r="B627" s="1" t="str">
        <f>IFERROR(__xludf.DUMMYFUNCTION("""COMPUTED_VALUE"""),"MARY GRACE LOBA PAMPLINA")</f>
        <v>MARY GRACE LOBA PAMPLINA</v>
      </c>
      <c r="C627" s="1">
        <f>IFERROR(__xludf.DUMMYFUNCTION("""COMPUTED_VALUE"""),2312723739)</f>
        <v>2312723739</v>
      </c>
      <c r="D627" s="1"/>
      <c r="E627" s="1"/>
      <c r="F627" s="1" t="str">
        <f>IFERROR(__xludf.DUMMYFUNCTION("""COMPUTED_VALUE"""),"CANCELLED")</f>
        <v>CANCELLED</v>
      </c>
      <c r="G627" s="1" t="str">
        <f>IFERROR(__xludf.DUMMYFUNCTION("""COMPUTED_VALUE"""),"(FAILED TO PROVIDE DOCS) GG - SEGMENT 1 - NEW TO CREDIT - HIGH RISK")</f>
        <v>(FAILED TO PROVIDE DOCS) GG - SEGMENT 1 - NEW TO CREDIT - HIGH RISK</v>
      </c>
      <c r="H627" s="1"/>
      <c r="I627" s="1"/>
      <c r="J627" s="1"/>
      <c r="K627" s="1"/>
      <c r="L627" s="1" t="str">
        <f>IFERROR(__xludf.DUMMYFUNCTION("""COMPUTED_VALUE"""),"CANCELLED")</f>
        <v>CANCELLED</v>
      </c>
      <c r="M627" s="1" t="str">
        <f>IFERROR(__xludf.DUMMYFUNCTION("""COMPUTED_VALUE"""),"CANCELLED - SUBS CANCEL REQUEST")</f>
        <v>CANCELLED - SUBS CANCEL REQUEST</v>
      </c>
      <c r="N627" s="3"/>
      <c r="O627" s="1" t="str">
        <f>IFERROR(__xludf.DUMMYFUNCTION("""COMPUTED_VALUE"""),"FIBR PLAN 1299")</f>
        <v>FIBR PLAN 1299</v>
      </c>
      <c r="P627" s="1" t="str">
        <f>IFERROR(__xludf.DUMMYFUNCTION("""COMPUTED_VALUE"""),"LOWPLAN")</f>
        <v>LOWPLAN</v>
      </c>
      <c r="Q627" s="1" t="str">
        <f>IFERROR(__xludf.DUMMYFUNCTION("""COMPUTED_VALUE"""),"P407520")</f>
        <v>P407520</v>
      </c>
      <c r="R627" s="1" t="str">
        <f>IFERROR(__xludf.DUMMYFUNCTION("""COMPUTED_VALUE"""),"MALIWAT, MARK")</f>
        <v>MALIWAT, MARK</v>
      </c>
      <c r="S627" s="1" t="str">
        <f>IFERROR(__xludf.DUMMYFUNCTION("""COMPUTED_VALUE"""),"FLA")</f>
        <v>FLA</v>
      </c>
      <c r="T627" s="1" t="str">
        <f>IFERROR(__xludf.DUMMYFUNCTION("""COMPUTED_VALUE"""),"JERIC NAVARRO")</f>
        <v>JERIC NAVARRO</v>
      </c>
      <c r="U627" s="1" t="str">
        <f>IFERROR(__xludf.DUMMYFUNCTION("""COMPUTED_VALUE"""),"JB SALIOA")</f>
        <v>JB SALIOA</v>
      </c>
      <c r="V627" s="1" t="str">
        <f>IFERROR(__xludf.DUMMYFUNCTION("""COMPUTED_VALUE"""),"BK REGULAR")</f>
        <v>BK REGULAR</v>
      </c>
      <c r="W627" s="1" t="str">
        <f>IFERROR(__xludf.DUMMYFUNCTION("""COMPUTED_VALUE"""),"STK REGULAR")</f>
        <v>STK REGULAR</v>
      </c>
      <c r="X627" s="1" t="str">
        <f>IFERROR(__xludf.DUMMYFUNCTION("""COMPUTED_VALUE"""),"HBBS SEPT 2026")</f>
        <v>HBBS SEPT 2026</v>
      </c>
      <c r="Y627" s="1" t="str">
        <f>IFERROR(__xludf.DUMMYFUNCTION("""COMPUTED_VALUE"""),"BK_CVEU_260816")</f>
        <v>BK_CVEU_260816</v>
      </c>
      <c r="Z627" s="1" t="str">
        <f>IFERROR(__xludf.DUMMYFUNCTION("""COMPUTED_VALUE"""),"NEW CONNECT")</f>
        <v>NEW CONNECT</v>
      </c>
      <c r="AA627" s="1">
        <f>IFERROR(__xludf.DUMMYFUNCTION("""COMPUTED_VALUE"""),639701878021)</f>
        <v>639701878021</v>
      </c>
      <c r="AB627" s="1">
        <f>IFERROR(__xludf.DUMMYFUNCTION("""COMPUTED_VALUE"""),639701806559)</f>
        <v>639701806559</v>
      </c>
      <c r="AC627" s="1">
        <f>IFERROR(__xludf.DUMMYFUNCTION("""COMPUTED_VALUE"""),213)</f>
        <v>213</v>
      </c>
      <c r="AD627" s="1" t="str">
        <f>IFERROR(__xludf.DUMMYFUNCTION("""COMPUTED_VALUE"""),"A MABINI")</f>
        <v>A MABINI</v>
      </c>
      <c r="AE627" s="1"/>
      <c r="AF627" s="1" t="str">
        <f>IFERROR(__xludf.DUMMYFUNCTION("""COMPUTED_VALUE"""),"BGY 5")</f>
        <v>BGY 5</v>
      </c>
      <c r="AG627" s="1" t="str">
        <f>IFERROR(__xludf.DUMMYFUNCTION("""COMPUTED_VALUE"""),"AMADEO")</f>
        <v>AMADEO</v>
      </c>
      <c r="AH627" s="1" t="str">
        <f>IFERROR(__xludf.DUMMYFUNCTION("""COMPUTED_VALUE"""),"A MABINI ST")</f>
        <v>A MABINI ST</v>
      </c>
      <c r="AI627" s="1" t="str">
        <f>IFERROR(__xludf.DUMMYFUNCTION("""COMPUTED_VALUE"""),"CLUSTER 12")</f>
        <v>CLUSTER 12</v>
      </c>
    </row>
    <row r="628" customHeight="1" spans="1:35">
      <c r="A628" s="3">
        <f>IFERROR(__xludf.DUMMYFUNCTION("""COMPUTED_VALUE"""),46286)</f>
        <v>46286</v>
      </c>
      <c r="B628" s="1" t="str">
        <f>IFERROR(__xludf.DUMMYFUNCTION("""COMPUTED_VALUE"""),"HARVEY FERRER FORMANES")</f>
        <v>HARVEY FERRER FORMANES</v>
      </c>
      <c r="C628" s="1">
        <f>IFERROR(__xludf.DUMMYFUNCTION("""COMPUTED_VALUE"""),2312724004)</f>
        <v>2312724004</v>
      </c>
      <c r="D628" s="1">
        <f>IFERROR(__xludf.DUMMYFUNCTION("""COMPUTED_VALUE"""),408241359)</f>
        <v>408241359</v>
      </c>
      <c r="E628" s="1">
        <f>IFERROR(__xludf.DUMMYFUNCTION("""COMPUTED_VALUE"""),472454586004)</f>
        <v>472454586004</v>
      </c>
      <c r="F628" s="1" t="str">
        <f>IFERROR(__xludf.DUMMYFUNCTION("""COMPUTED_VALUE"""),"FOR CANCELLATION")</f>
        <v>FOR CANCELLATION</v>
      </c>
      <c r="G628" s="1" t="str">
        <f>IFERROR(__xludf.DUMMYFUNCTION("""COMPUTED_VALUE"""),"FOR CANCELLATION")</f>
        <v>FOR CANCELLATION</v>
      </c>
      <c r="H628" s="1"/>
      <c r="I628" s="1"/>
      <c r="J628" s="1"/>
      <c r="K628" s="1" t="str">
        <f>IFERROR(__xludf.DUMMYFUNCTION("""COMPUTED_VALUE"""),"NOT DONE")</f>
        <v>NOT DONE</v>
      </c>
      <c r="L628" s="1" t="str">
        <f>IFERROR(__xludf.DUMMYFUNCTION("""COMPUTED_VALUE"""),"FOR CANCELLATION")</f>
        <v>FOR CANCELLATION</v>
      </c>
      <c r="M628" s="1" t="str">
        <f>IFERROR(__xludf.DUMMYFUNCTION("""COMPUTED_VALUE"""),"FOR CANCELLATION - WRONG PLAN TAGGED")</f>
        <v>FOR CANCELLATION - WRONG PLAN TAGGED</v>
      </c>
      <c r="N628" s="3"/>
      <c r="O628" s="1" t="str">
        <f>IFERROR(__xludf.DUMMYFUNCTION("""COMPUTED_VALUE"""),"FIBR NETFLIX PLAN 1599")</f>
        <v>FIBR NETFLIX PLAN 1599</v>
      </c>
      <c r="P628" s="1" t="str">
        <f>IFERROR(__xludf.DUMMYFUNCTION("""COMPUTED_VALUE"""),"LOWPLAN")</f>
        <v>LOWPLAN</v>
      </c>
      <c r="Q628" s="1" t="str">
        <f>IFERROR(__xludf.DUMMYFUNCTION("""COMPUTED_VALUE"""),"P407048")</f>
        <v>P407048</v>
      </c>
      <c r="R628" s="1" t="str">
        <f>IFERROR(__xludf.DUMMYFUNCTION("""COMPUTED_VALUE"""),"SANTOS, FRANZ IVAN")</f>
        <v>SANTOS, FRANZ IVAN</v>
      </c>
      <c r="S628" s="1" t="str">
        <f>IFERROR(__xludf.DUMMYFUNCTION("""COMPUTED_VALUE"""),"FLA")</f>
        <v>FLA</v>
      </c>
      <c r="T628" s="1" t="str">
        <f>IFERROR(__xludf.DUMMYFUNCTION("""COMPUTED_VALUE"""),"JERIC NAVARRO")</f>
        <v>JERIC NAVARRO</v>
      </c>
      <c r="U628" s="1" t="str">
        <f>IFERROR(__xludf.DUMMYFUNCTION("""COMPUTED_VALUE"""),"JB SALIOA")</f>
        <v>JB SALIOA</v>
      </c>
      <c r="V628" s="1" t="str">
        <f>IFERROR(__xludf.DUMMYFUNCTION("""COMPUTED_VALUE"""),"BK REGULAR")</f>
        <v>BK REGULAR</v>
      </c>
      <c r="W628" s="1" t="str">
        <f>IFERROR(__xludf.DUMMYFUNCTION("""COMPUTED_VALUE"""),"STK REGULAR")</f>
        <v>STK REGULAR</v>
      </c>
      <c r="X628" s="1" t="str">
        <f>IFERROR(__xludf.DUMMYFUNCTION("""COMPUTED_VALUE"""),"HBBS SEPT 2026")</f>
        <v>HBBS SEPT 2026</v>
      </c>
      <c r="Y628" s="1" t="str">
        <f>IFERROR(__xludf.DUMMYFUNCTION("""COMPUTED_VALUE"""),"RS_SS_CVEU_2026")</f>
        <v>RS_SS_CVEU_2026</v>
      </c>
      <c r="Z628" s="1" t="str">
        <f>IFERROR(__xludf.DUMMYFUNCTION("""COMPUTED_VALUE"""),"NEW CONNECT")</f>
        <v>NEW CONNECT</v>
      </c>
      <c r="AA628" s="1">
        <f>IFERROR(__xludf.DUMMYFUNCTION("""COMPUTED_VALUE"""),639972483524)</f>
        <v>639972483524</v>
      </c>
      <c r="AB628" s="1"/>
      <c r="AC628" s="1">
        <f>IFERROR(__xludf.DUMMYFUNCTION("""COMPUTED_VALUE"""),177)</f>
        <v>177</v>
      </c>
      <c r="AD628" s="1" t="str">
        <f>IFERROR(__xludf.DUMMYFUNCTION("""COMPUTED_VALUE"""),"CALLE CENA")</f>
        <v>CALLE CENA</v>
      </c>
      <c r="AE628" s="1"/>
      <c r="AF628" s="1" t="str">
        <f>IFERROR(__xludf.DUMMYFUNCTION("""COMPUTED_VALUE"""),"BGY LABAC")</f>
        <v>BGY LABAC</v>
      </c>
      <c r="AG628" s="1" t="str">
        <f>IFERROR(__xludf.DUMMYFUNCTION("""COMPUTED_VALUE"""),"NAIC")</f>
        <v>NAIC</v>
      </c>
      <c r="AH628" s="1" t="str">
        <f>IFERROR(__xludf.DUMMYFUNCTION("""COMPUTED_VALUE"""),"CALLE CENA")</f>
        <v>CALLE CENA</v>
      </c>
      <c r="AI628" s="1" t="str">
        <f>IFERROR(__xludf.DUMMYFUNCTION("""COMPUTED_VALUE"""),"NOT AOR")</f>
        <v>NOT AOR</v>
      </c>
    </row>
    <row r="629" customHeight="1" spans="1:35">
      <c r="A629" s="3">
        <f>IFERROR(__xludf.DUMMYFUNCTION("""COMPUTED_VALUE"""),46287)</f>
        <v>46287</v>
      </c>
      <c r="B629" s="1" t="str">
        <f>IFERROR(__xludf.DUMMYFUNCTION("""COMPUTED_VALUE"""),"ROSE ARIANE SANTIAGO FAIGMANI")</f>
        <v>ROSE ARIANE SANTIAGO FAIGMANI</v>
      </c>
      <c r="C629" s="1">
        <f>IFERROR(__xludf.DUMMYFUNCTION("""COMPUTED_VALUE"""),2312738579)</f>
        <v>2312738579</v>
      </c>
      <c r="D629" s="1"/>
      <c r="E629" s="1"/>
      <c r="F629" s="1" t="str">
        <f>IFERROR(__xludf.DUMMYFUNCTION("""COMPUTED_VALUE"""),"BLACKLISTED DISAPPROVED")</f>
        <v>BLACKLISTED DISAPPROVED</v>
      </c>
      <c r="G629" s="1" t="str">
        <f>IFERROR(__xludf.DUMMYFUNCTION("""COMPUTED_VALUE"""),"(OTHERS) DISAPPROVED | CANNOT RESTAGE TO SUBS CANCELLED | DONE VALIDATION | CORRECT ENCODED INFO IN CSP | TU SCORING - DD - 8 (LOW RISK) | WAIVED AMSF | NO EXISTING ACTIVE ACCT AND/OR PENDING/CANCELLED APPLICATION | FOUND BLACKLISTED ACCT# 0230795401 • SA"&amp;"ME NAME / DIFFERENT ADDRESS • OB: 4,231.83 | FOUND DUPLICATE CBR DIFF NAME / DIFF ADD 0335614526, 0338879474, 0341488885 CALL TRU : 639055873482 4:32 PM 6:08 PM 8:14 PM | SUBS RELATIVE ON SAME CBR")</f>
        <v>(OTHERS) DISAPPROVED | CANNOT RESTAGE TO SUBS CANCELLED | DONE VALIDATION | CORRECT ENCODED INFO IN CSP | TU SCORING - DD - 8 (LOW RISK) | WAIVED AMSF | NO EXISTING ACTIVE ACCT AND/OR PENDING/CANCELLED APPLICATION | FOUND BLACKLISTED ACCT# 0230795401 • SAME NAME / DIFFERENT ADDRESS • OB: 4,231.83 | FOUND DUPLICATE CBR DIFF NAME / DIFF ADD 0335614526, 0338879474, 0341488885 CALL TRU : 639055873482 4:32 PM 6:08 PM 8:14 PM | SUBS RELATIVE ON SAME CBR</v>
      </c>
      <c r="H629" s="1"/>
      <c r="I629" s="1"/>
      <c r="J629" s="1"/>
      <c r="K629" s="1"/>
      <c r="L629" s="1" t="str">
        <f>IFERROR(__xludf.DUMMYFUNCTION("""COMPUTED_VALUE"""),"FOR ONE HUB FILING")</f>
        <v>FOR ONE HUB FILING</v>
      </c>
      <c r="M629" s="1" t="str">
        <f>IFERROR(__xludf.DUMMYFUNCTION("""COMPUTED_VALUE"""),"DISAPPROVED - WITH OB")</f>
        <v>DISAPPROVED - WITH OB</v>
      </c>
      <c r="N629" s="3"/>
      <c r="O629" s="1" t="str">
        <f>IFERROR(__xludf.DUMMYFUNCTION("""COMPUTED_VALUE"""),"FIBR PLAN 1699")</f>
        <v>FIBR PLAN 1699</v>
      </c>
      <c r="P629" s="1" t="str">
        <f>IFERROR(__xludf.DUMMYFUNCTION("""COMPUTED_VALUE"""),"HIGHPLAN")</f>
        <v>HIGHPLAN</v>
      </c>
      <c r="Q629" s="1" t="str">
        <f>IFERROR(__xludf.DUMMYFUNCTION("""COMPUTED_VALUE"""),"P407516")</f>
        <v>P407516</v>
      </c>
      <c r="R629" s="1" t="str">
        <f>IFERROR(__xludf.DUMMYFUNCTION("""COMPUTED_VALUE"""),"AYON, MANUEL")</f>
        <v>AYON, MANUEL</v>
      </c>
      <c r="S629" s="1" t="str">
        <f>IFERROR(__xludf.DUMMYFUNCTION("""COMPUTED_VALUE"""),"FLA")</f>
        <v>FLA</v>
      </c>
      <c r="T629" s="1" t="str">
        <f>IFERROR(__xludf.DUMMYFUNCTION("""COMPUTED_VALUE"""),"JERIC NAVARRO")</f>
        <v>JERIC NAVARRO</v>
      </c>
      <c r="U629" s="1" t="str">
        <f>IFERROR(__xludf.DUMMYFUNCTION("""COMPUTED_VALUE"""),"JB SALIOA")</f>
        <v>JB SALIOA</v>
      </c>
      <c r="V629" s="1" t="str">
        <f>IFERROR(__xludf.DUMMYFUNCTION("""COMPUTED_VALUE"""),"ONLINE/CRANFORD")</f>
        <v>ONLINE/CRANFORD</v>
      </c>
      <c r="W629" s="1" t="str">
        <f>IFERROR(__xludf.DUMMYFUNCTION("""COMPUTED_VALUE"""),"STK REGULAR")</f>
        <v>STK REGULAR</v>
      </c>
      <c r="X629" s="1" t="str">
        <f>IFERROR(__xludf.DUMMYFUNCTION("""COMPUTED_VALUE"""),"HBBS SEPT 2026")</f>
        <v>HBBS SEPT 2026</v>
      </c>
      <c r="Y629" s="1" t="str">
        <f>IFERROR(__xludf.DUMMYFUNCTION("""COMPUTED_VALUE"""),"RS_ONL_CVEU_2026")</f>
        <v>RS_ONL_CVEU_2026</v>
      </c>
      <c r="Z629" s="1" t="str">
        <f>IFERROR(__xludf.DUMMYFUNCTION("""COMPUTED_VALUE"""),"NEW CONNECT")</f>
        <v>NEW CONNECT</v>
      </c>
      <c r="AA629" s="1">
        <f>IFERROR(__xludf.DUMMYFUNCTION("""COMPUTED_VALUE"""),639055873482)</f>
        <v>639055873482</v>
      </c>
      <c r="AB629" s="1">
        <f>IFERROR(__xludf.DUMMYFUNCTION("""COMPUTED_VALUE"""),639391311611)</f>
        <v>639391311611</v>
      </c>
      <c r="AC629" s="1"/>
      <c r="AD629" s="1" t="str">
        <f>IFERROR(__xludf.DUMMYFUNCTION("""COMPUTED_VALUE"""),"ESGUERRA")</f>
        <v>ESGUERRA</v>
      </c>
      <c r="AE629" s="1"/>
      <c r="AF629" s="1" t="str">
        <f>IFERROR(__xludf.DUMMYFUNCTION("""COMPUTED_VALUE"""),"BGY MIGUEL MOJICA")</f>
        <v>BGY MIGUEL MOJICA</v>
      </c>
      <c r="AG629" s="1" t="str">
        <f>IFERROR(__xludf.DUMMYFUNCTION("""COMPUTED_VALUE"""),"MENDEZ")</f>
        <v>MENDEZ</v>
      </c>
      <c r="AH629" s="1" t="str">
        <f>IFERROR(__xludf.DUMMYFUNCTION("""COMPUTED_VALUE"""),"ESGUERRA ST")</f>
        <v>ESGUERRA ST</v>
      </c>
      <c r="AI629" s="1" t="str">
        <f>IFERROR(__xludf.DUMMYFUNCTION("""COMPUTED_VALUE"""),"CLUSTER 12")</f>
        <v>CLUSTER 12</v>
      </c>
    </row>
    <row r="630" customHeight="1" spans="1:35">
      <c r="A630" s="3">
        <f>IFERROR(__xludf.DUMMYFUNCTION("""COMPUTED_VALUE"""),46287)</f>
        <v>46287</v>
      </c>
      <c r="B630" s="1" t="str">
        <f>IFERROR(__xludf.DUMMYFUNCTION("""COMPUTED_VALUE"""),"SWEETILY LINDE DALIGDIG")</f>
        <v>SWEETILY LINDE DALIGDIG</v>
      </c>
      <c r="C630" s="1">
        <f>IFERROR(__xludf.DUMMYFUNCTION("""COMPUTED_VALUE"""),2312739577)</f>
        <v>2312739577</v>
      </c>
      <c r="D630" s="1"/>
      <c r="E630" s="1"/>
      <c r="F630" s="1" t="str">
        <f>IFERROR(__xludf.DUMMYFUNCTION("""COMPUTED_VALUE"""),"CANCELLED")</f>
        <v>CANCELLED</v>
      </c>
      <c r="G630" s="1" t="str">
        <f>IFERROR(__xludf.DUMMYFUNCTION("""COMPUTED_VALUE"""),"CANCELLED")</f>
        <v>CANCELLED</v>
      </c>
      <c r="H630" s="1"/>
      <c r="I630" s="1"/>
      <c r="J630" s="1"/>
      <c r="K630" s="1"/>
      <c r="L630" s="1" t="str">
        <f>IFERROR(__xludf.DUMMYFUNCTION("""COMPUTED_VALUE"""),"CANCELLED WITH OB")</f>
        <v>CANCELLED WITH OB</v>
      </c>
      <c r="M630" s="1" t="str">
        <f>IFERROR(__xludf.DUMMYFUNCTION("""COMPUTED_VALUE"""),"CANCELLED - WITH OB")</f>
        <v>CANCELLED - WITH OB</v>
      </c>
      <c r="N630" s="3"/>
      <c r="O630" s="1" t="str">
        <f>IFERROR(__xludf.DUMMYFUNCTION("""COMPUTED_VALUE"""),"FIBR UNLI ALL PLAN 999")</f>
        <v>FIBR UNLI ALL PLAN 999</v>
      </c>
      <c r="P630" s="1" t="str">
        <f>IFERROR(__xludf.DUMMYFUNCTION("""COMPUTED_VALUE"""),"LOWPLAN")</f>
        <v>LOWPLAN</v>
      </c>
      <c r="Q630" s="1" t="str">
        <f>IFERROR(__xludf.DUMMYFUNCTION("""COMPUTED_VALUE"""),"P407050")</f>
        <v>P407050</v>
      </c>
      <c r="R630" s="1" t="str">
        <f>IFERROR(__xludf.DUMMYFUNCTION("""COMPUTED_VALUE"""),"MAGDARAOG, KENNETH")</f>
        <v>MAGDARAOG, KENNETH</v>
      </c>
      <c r="S630" s="1" t="str">
        <f>IFERROR(__xludf.DUMMYFUNCTION("""COMPUTED_VALUE"""),"ORGANIC")</f>
        <v>ORGANIC</v>
      </c>
      <c r="T630" s="1" t="str">
        <f>IFERROR(__xludf.DUMMYFUNCTION("""COMPUTED_VALUE"""),"LEA REMOLLO")</f>
        <v>LEA REMOLLO</v>
      </c>
      <c r="U630" s="1" t="str">
        <f>IFERROR(__xludf.DUMMYFUNCTION("""COMPUTED_VALUE"""),"JB SALIOA")</f>
        <v>JB SALIOA</v>
      </c>
      <c r="V630" s="1" t="str">
        <f>IFERROR(__xludf.DUMMYFUNCTION("""COMPUTED_VALUE"""),"BK REGULAR")</f>
        <v>BK REGULAR</v>
      </c>
      <c r="W630" s="1" t="str">
        <f>IFERROR(__xludf.DUMMYFUNCTION("""COMPUTED_VALUE"""),"STK REGULAR")</f>
        <v>STK REGULAR</v>
      </c>
      <c r="X630" s="1" t="str">
        <f>IFERROR(__xludf.DUMMYFUNCTION("""COMPUTED_VALUE"""),"HBBS SEPT 2026")</f>
        <v>HBBS SEPT 2026</v>
      </c>
      <c r="Y630" s="1" t="str">
        <f>IFERROR(__xludf.DUMMYFUNCTION("""COMPUTED_VALUE"""),"BK_CVEU_260825")</f>
        <v>BK_CVEU_260825</v>
      </c>
      <c r="Z630" s="1" t="str">
        <f>IFERROR(__xludf.DUMMYFUNCTION("""COMPUTED_VALUE"""),"NEW CONNECT")</f>
        <v>NEW CONNECT</v>
      </c>
      <c r="AA630" s="1">
        <f>IFERROR(__xludf.DUMMYFUNCTION("""COMPUTED_VALUE"""),639931996938)</f>
        <v>639931996938</v>
      </c>
      <c r="AB630" s="1"/>
      <c r="AC630" s="1">
        <f>IFERROR(__xludf.DUMMYFUNCTION("""COMPUTED_VALUE"""),51)</f>
        <v>51</v>
      </c>
      <c r="AD630" s="1" t="str">
        <f>IFERROR(__xludf.DUMMYFUNCTION("""COMPUTED_VALUE"""),"NICOLASA VIRATA")</f>
        <v>NICOLASA VIRATA</v>
      </c>
      <c r="AE630" s="1"/>
      <c r="AF630" s="1" t="str">
        <f>IFERROR(__xludf.DUMMYFUNCTION("""COMPUTED_VALUE"""),"BGY NICOLASA VIRATA")</f>
        <v>BGY NICOLASA VIRATA</v>
      </c>
      <c r="AG630" s="1" t="str">
        <f>IFERROR(__xludf.DUMMYFUNCTION("""COMPUTED_VALUE"""),"GEN MARIANO ALVAREZ")</f>
        <v>GEN MARIANO ALVAREZ</v>
      </c>
      <c r="AH630" s="1" t="str">
        <f>IFERROR(__xludf.DUMMYFUNCTION("""COMPUTED_VALUE"""),"TGP PHARMACY")</f>
        <v>TGP PHARMACY</v>
      </c>
      <c r="AI630" s="1" t="str">
        <f>IFERROR(__xludf.DUMMYFUNCTION("""COMPUTED_VALUE"""),"CLUSTER 11")</f>
        <v>CLUSTER 11</v>
      </c>
    </row>
    <row r="631" customHeight="1" spans="1:35">
      <c r="A631" s="3">
        <f>IFERROR(__xludf.DUMMYFUNCTION("""COMPUTED_VALUE"""),46287)</f>
        <v>46287</v>
      </c>
      <c r="B631" s="1" t="str">
        <f>IFERROR(__xludf.DUMMYFUNCTION("""COMPUTED_VALUE"""),"ANALIE GALIZA RAMOS")</f>
        <v>ANALIE GALIZA RAMOS</v>
      </c>
      <c r="C631" s="1">
        <f>IFERROR(__xludf.DUMMYFUNCTION("""COMPUTED_VALUE"""),2312739926)</f>
        <v>2312739926</v>
      </c>
      <c r="D631" s="1"/>
      <c r="E631" s="1"/>
      <c r="F631" s="1" t="str">
        <f>IFERROR(__xludf.DUMMYFUNCTION("""COMPUTED_VALUE"""),"CANCELLED")</f>
        <v>CANCELLED</v>
      </c>
      <c r="G631" s="1" t="str">
        <f>IFERROR(__xludf.DUMMYFUNCTION("""COMPUTED_VALUE"""),"(BUDGET CONSTRAINT) FF - SEGMENT 1 - NEW TO CREDIT - MID RISK")</f>
        <v>(BUDGET CONSTRAINT) FF - SEGMENT 1 - NEW TO CREDIT - MID RISK</v>
      </c>
      <c r="H631" s="1"/>
      <c r="I631" s="1"/>
      <c r="J631" s="1"/>
      <c r="K631" s="1"/>
      <c r="L631" s="1" t="str">
        <f>IFERROR(__xludf.DUMMYFUNCTION("""COMPUTED_VALUE"""),"CANCELLED WITH OB")</f>
        <v>CANCELLED WITH OB</v>
      </c>
      <c r="M631" s="1" t="str">
        <f>IFERROR(__xludf.DUMMYFUNCTION("""COMPUTED_VALUE"""),"CANCELLED - SUBS CANCEL REQUEST")</f>
        <v>CANCELLED - SUBS CANCEL REQUEST</v>
      </c>
      <c r="N631" s="3"/>
      <c r="O631" s="1" t="str">
        <f>IFERROR(__xludf.DUMMYFUNCTION("""COMPUTED_VALUE"""),"FIBR NETFLIX PLAN 1599")</f>
        <v>FIBR NETFLIX PLAN 1599</v>
      </c>
      <c r="P631" s="1" t="str">
        <f>IFERROR(__xludf.DUMMYFUNCTION("""COMPUTED_VALUE"""),"LOWPLAN")</f>
        <v>LOWPLAN</v>
      </c>
      <c r="Q631" s="1" t="str">
        <f>IFERROR(__xludf.DUMMYFUNCTION("""COMPUTED_VALUE"""),"P407048")</f>
        <v>P407048</v>
      </c>
      <c r="R631" s="1" t="str">
        <f>IFERROR(__xludf.DUMMYFUNCTION("""COMPUTED_VALUE"""),"SANTOS, FRANZ IVAN")</f>
        <v>SANTOS, FRANZ IVAN</v>
      </c>
      <c r="S631" s="1" t="str">
        <f>IFERROR(__xludf.DUMMYFUNCTION("""COMPUTED_VALUE"""),"ORGANIC")</f>
        <v>ORGANIC</v>
      </c>
      <c r="T631" s="1" t="str">
        <f>IFERROR(__xludf.DUMMYFUNCTION("""COMPUTED_VALUE"""),"GARCIA MICHAEL JETTS")</f>
        <v>GARCIA MICHAEL JETTS</v>
      </c>
      <c r="U631" s="1" t="str">
        <f>IFERROR(__xludf.DUMMYFUNCTION("""COMPUTED_VALUE"""),"JB SALIOA")</f>
        <v>JB SALIOA</v>
      </c>
      <c r="V631" s="1" t="str">
        <f>IFERROR(__xludf.DUMMYFUNCTION("""COMPUTED_VALUE"""),"ONLINE/CRANFORD")</f>
        <v>ONLINE/CRANFORD</v>
      </c>
      <c r="W631" s="1" t="str">
        <f>IFERROR(__xludf.DUMMYFUNCTION("""COMPUTED_VALUE"""),"STK REGULAR")</f>
        <v>STK REGULAR</v>
      </c>
      <c r="X631" s="1" t="str">
        <f>IFERROR(__xludf.DUMMYFUNCTION("""COMPUTED_VALUE"""),"HBBS SEPT 2026")</f>
        <v>HBBS SEPT 2026</v>
      </c>
      <c r="Y631" s="1" t="str">
        <f>IFERROR(__xludf.DUMMYFUNCTION("""COMPUTED_VALUE"""),"RS_ONL_CVEU_2026")</f>
        <v>RS_ONL_CVEU_2026</v>
      </c>
      <c r="Z631" s="1" t="str">
        <f>IFERROR(__xludf.DUMMYFUNCTION("""COMPUTED_VALUE"""),"NEW CONNECT")</f>
        <v>NEW CONNECT</v>
      </c>
      <c r="AA631" s="1">
        <f>IFERROR(__xludf.DUMMYFUNCTION("""COMPUTED_VALUE"""),639761700304)</f>
        <v>639761700304</v>
      </c>
      <c r="AB631" s="1"/>
      <c r="AC631" s="1"/>
      <c r="AD631" s="1" t="str">
        <f>IFERROR(__xludf.DUMMYFUNCTION("""COMPUTED_VALUE"""),"AMAYA BREEZE")</f>
        <v>AMAYA BREEZE</v>
      </c>
      <c r="AE631" s="1" t="str">
        <f>IFERROR(__xludf.DUMMYFUNCTION("""COMPUTED_VALUE"""),"AMAYA BREEZE SUBD")</f>
        <v>AMAYA BREEZE SUBD</v>
      </c>
      <c r="AF631" s="1" t="str">
        <f>IFERROR(__xludf.DUMMYFUNCTION("""COMPUTED_VALUE"""),"BGY AMAYA 2")</f>
        <v>BGY AMAYA 2</v>
      </c>
      <c r="AG631" s="1" t="str">
        <f>IFERROR(__xludf.DUMMYFUNCTION("""COMPUTED_VALUE"""),"TANZA")</f>
        <v>TANZA</v>
      </c>
      <c r="AH631" s="1" t="str">
        <f>IFERROR(__xludf.DUMMYFUNCTION("""COMPUTED_VALUE"""),"AMAYA BREEZE")</f>
        <v>AMAYA BREEZE</v>
      </c>
      <c r="AI631" s="1" t="str">
        <f>IFERROR(__xludf.DUMMYFUNCTION("""COMPUTED_VALUE"""),"NOT AOR")</f>
        <v>NOT AOR</v>
      </c>
    </row>
    <row r="632" customHeight="1" spans="1:35">
      <c r="A632" s="3">
        <f>IFERROR(__xludf.DUMMYFUNCTION("""COMPUTED_VALUE"""),46287)</f>
        <v>46287</v>
      </c>
      <c r="B632" s="1" t="str">
        <f>IFERROR(__xludf.DUMMYFUNCTION("""COMPUTED_VALUE"""),"ROMNIC ORTAZON SACAY")</f>
        <v>ROMNIC ORTAZON SACAY</v>
      </c>
      <c r="C632" s="1">
        <f>IFERROR(__xludf.DUMMYFUNCTION("""COMPUTED_VALUE"""),2312739676)</f>
        <v>2312739676</v>
      </c>
      <c r="D632" s="1"/>
      <c r="E632" s="1"/>
      <c r="F632" s="1" t="str">
        <f>IFERROR(__xludf.DUMMYFUNCTION("""COMPUTED_VALUE"""),"CANCELLED")</f>
        <v>CANCELLED</v>
      </c>
      <c r="G632" s="1" t="str">
        <f>IFERROR(__xludf.DUMMYFUNCTION("""COMPUTED_VALUE"""),"CANCELLED")</f>
        <v>CANCELLED</v>
      </c>
      <c r="H632" s="1"/>
      <c r="I632" s="1"/>
      <c r="J632" s="1"/>
      <c r="K632" s="1"/>
      <c r="L632" s="1" t="str">
        <f>IFERROR(__xludf.DUMMYFUNCTION("""COMPUTED_VALUE"""),"SUBS CANCEL REQUEST")</f>
        <v>SUBS CANCEL REQUEST</v>
      </c>
      <c r="M632" s="1" t="str">
        <f>IFERROR(__xludf.DUMMYFUNCTION("""COMPUTED_VALUE"""),"CANCELLED - SUBS CANCEL REQUEST")</f>
        <v>CANCELLED - SUBS CANCEL REQUEST</v>
      </c>
      <c r="N632" s="3"/>
      <c r="O632" s="1" t="str">
        <f>IFERROR(__xludf.DUMMYFUNCTION("""COMPUTED_VALUE"""),"FIBR PLAN 1299")</f>
        <v>FIBR PLAN 1299</v>
      </c>
      <c r="P632" s="1" t="str">
        <f>IFERROR(__xludf.DUMMYFUNCTION("""COMPUTED_VALUE"""),"LOWPLAN")</f>
        <v>LOWPLAN</v>
      </c>
      <c r="Q632" s="1" t="str">
        <f>IFERROR(__xludf.DUMMYFUNCTION("""COMPUTED_VALUE"""),"P407050")</f>
        <v>P407050</v>
      </c>
      <c r="R632" s="1" t="str">
        <f>IFERROR(__xludf.DUMMYFUNCTION("""COMPUTED_VALUE"""),"IVNO, RAZZEL")</f>
        <v>IVNO, RAZZEL</v>
      </c>
      <c r="S632" s="1" t="str">
        <f>IFERROR(__xludf.DUMMYFUNCTION("""COMPUTED_VALUE"""),"ORGANIC")</f>
        <v>ORGANIC</v>
      </c>
      <c r="T632" s="1" t="str">
        <f>IFERROR(__xludf.DUMMYFUNCTION("""COMPUTED_VALUE"""),"LEA REMOLLO")</f>
        <v>LEA REMOLLO</v>
      </c>
      <c r="U632" s="1" t="str">
        <f>IFERROR(__xludf.DUMMYFUNCTION("""COMPUTED_VALUE"""),"JULIE ESPIRITU")</f>
        <v>JULIE ESPIRITU</v>
      </c>
      <c r="V632" s="1" t="str">
        <f>IFERROR(__xludf.DUMMYFUNCTION("""COMPUTED_VALUE"""),"BK HSTK")</f>
        <v>BK HSTK</v>
      </c>
      <c r="W632" s="1" t="str">
        <f>IFERROR(__xludf.DUMMYFUNCTION("""COMPUTED_VALUE"""),"BK HSTK")</f>
        <v>BK HSTK</v>
      </c>
      <c r="X632" s="1" t="str">
        <f>IFERROR(__xludf.DUMMYFUNCTION("""COMPUTED_VALUE"""),"HBBS SEPT 2026")</f>
        <v>HBBS SEPT 2026</v>
      </c>
      <c r="Y632" s="1" t="str">
        <f>IFERROR(__xludf.DUMMYFUNCTION("""COMPUTED_VALUE"""),"BK_CVEU_260824")</f>
        <v>BK_CVEU_260824</v>
      </c>
      <c r="Z632" s="1" t="str">
        <f>IFERROR(__xludf.DUMMYFUNCTION("""COMPUTED_VALUE"""),"NEW CONNECT")</f>
        <v>NEW CONNECT</v>
      </c>
      <c r="AA632" s="1">
        <f>IFERROR(__xludf.DUMMYFUNCTION("""COMPUTED_VALUE"""),639914606078)</f>
        <v>639914606078</v>
      </c>
      <c r="AB632" s="1">
        <f>IFERROR(__xludf.DUMMYFUNCTION("""COMPUTED_VALUE"""),639756257931)</f>
        <v>639756257931</v>
      </c>
      <c r="AC632" s="1"/>
      <c r="AD632" s="1" t="str">
        <f>IFERROR(__xludf.DUMMYFUNCTION("""COMPUTED_VALUE"""),"CALUMPANG")</f>
        <v>CALUMPANG</v>
      </c>
      <c r="AE632" s="1"/>
      <c r="AF632" s="1" t="str">
        <f>IFERROR(__xludf.DUMMYFUNCTION("""COMPUTED_VALUE"""),"BGY LANTIC")</f>
        <v>BGY LANTIC</v>
      </c>
      <c r="AG632" s="1" t="str">
        <f>IFERROR(__xludf.DUMMYFUNCTION("""COMPUTED_VALUE"""),"CARMONA")</f>
        <v>CARMONA</v>
      </c>
      <c r="AH632" s="1" t="str">
        <f>IFERROR(__xludf.DUMMYFUNCTION("""COMPUTED_VALUE"""),"RM ROSANO PAINT CENTER")</f>
        <v>RM ROSANO PAINT CENTER</v>
      </c>
      <c r="AI632" s="1" t="str">
        <f>IFERROR(__xludf.DUMMYFUNCTION("""COMPUTED_VALUE"""),"CLUSTER 11")</f>
        <v>CLUSTER 11</v>
      </c>
    </row>
    <row r="633" customHeight="1" spans="1:35">
      <c r="A633" s="3">
        <f>IFERROR(__xludf.DUMMYFUNCTION("""COMPUTED_VALUE"""),46287)</f>
        <v>46287</v>
      </c>
      <c r="B633" s="1" t="str">
        <f>IFERROR(__xludf.DUMMYFUNCTION("""COMPUTED_VALUE"""),"ALFREDO JR PENALBA CUBIO")</f>
        <v>ALFREDO JR PENALBA CUBIO</v>
      </c>
      <c r="C633" s="1">
        <f>IFERROR(__xludf.DUMMYFUNCTION("""COMPUTED_VALUE"""),2312741163)</f>
        <v>2312741163</v>
      </c>
      <c r="D633" s="1"/>
      <c r="E633" s="1"/>
      <c r="F633" s="1" t="str">
        <f>IFERROR(__xludf.DUMMYFUNCTION("""COMPUTED_VALUE"""),"CANCELLED")</f>
        <v>CANCELLED</v>
      </c>
      <c r="G633" s="1" t="str">
        <f>IFERROR(__xludf.DUMMYFUNCTION("""COMPUTED_VALUE"""),"CANCELLED")</f>
        <v>CANCELLED</v>
      </c>
      <c r="H633" s="1"/>
      <c r="I633" s="1"/>
      <c r="J633" s="1"/>
      <c r="K633" s="1"/>
      <c r="L633" s="1" t="str">
        <f>IFERROR(__xludf.DUMMYFUNCTION("""COMPUTED_VALUE"""),"CANCELLED")</f>
        <v>CANCELLED</v>
      </c>
      <c r="M633" s="1" t="str">
        <f>IFERROR(__xludf.DUMMYFUNCTION("""COMPUTED_VALUE"""),"CANCELLED - SUBS CANCEL REQUEST")</f>
        <v>CANCELLED - SUBS CANCEL REQUEST</v>
      </c>
      <c r="N633" s="3"/>
      <c r="O633" s="1" t="str">
        <f>IFERROR(__xludf.DUMMYFUNCTION("""COMPUTED_VALUE"""),"FIBR PLAN 1299")</f>
        <v>FIBR PLAN 1299</v>
      </c>
      <c r="P633" s="1" t="str">
        <f>IFERROR(__xludf.DUMMYFUNCTION("""COMPUTED_VALUE"""),"LOWPLAN")</f>
        <v>LOWPLAN</v>
      </c>
      <c r="Q633" s="1" t="str">
        <f>IFERROR(__xludf.DUMMYFUNCTION("""COMPUTED_VALUE"""),"P407050")</f>
        <v>P407050</v>
      </c>
      <c r="R633" s="1" t="str">
        <f>IFERROR(__xludf.DUMMYFUNCTION("""COMPUTED_VALUE"""),"BAQUIT, JAZMIN")</f>
        <v>BAQUIT, JAZMIN</v>
      </c>
      <c r="S633" s="1" t="str">
        <f>IFERROR(__xludf.DUMMYFUNCTION("""COMPUTED_VALUE"""),"ORGANIC")</f>
        <v>ORGANIC</v>
      </c>
      <c r="T633" s="1" t="str">
        <f>IFERROR(__xludf.DUMMYFUNCTION("""COMPUTED_VALUE"""),"LEA REMOLLO")</f>
        <v>LEA REMOLLO</v>
      </c>
      <c r="U633" s="1" t="str">
        <f>IFERROR(__xludf.DUMMYFUNCTION("""COMPUTED_VALUE"""),"JB SALIOA")</f>
        <v>JB SALIOA</v>
      </c>
      <c r="V633" s="1" t="str">
        <f>IFERROR(__xludf.DUMMYFUNCTION("""COMPUTED_VALUE"""),"BK REGULAR")</f>
        <v>BK REGULAR</v>
      </c>
      <c r="W633" s="1" t="str">
        <f>IFERROR(__xludf.DUMMYFUNCTION("""COMPUTED_VALUE"""),"STK REGULAR")</f>
        <v>STK REGULAR</v>
      </c>
      <c r="X633" s="1" t="str">
        <f>IFERROR(__xludf.DUMMYFUNCTION("""COMPUTED_VALUE"""),"HBBS SEPT 2026")</f>
        <v>HBBS SEPT 2026</v>
      </c>
      <c r="Y633" s="1" t="str">
        <f>IFERROR(__xludf.DUMMYFUNCTION("""COMPUTED_VALUE"""),"BK_CVEU_260826")</f>
        <v>BK_CVEU_260826</v>
      </c>
      <c r="Z633" s="1" t="str">
        <f>IFERROR(__xludf.DUMMYFUNCTION("""COMPUTED_VALUE"""),"NEW CONNECT")</f>
        <v>NEW CONNECT</v>
      </c>
      <c r="AA633" s="1">
        <f>IFERROR(__xludf.DUMMYFUNCTION("""COMPUTED_VALUE"""),639668822552)</f>
        <v>639668822552</v>
      </c>
      <c r="AB633" s="1"/>
      <c r="AC633" s="1"/>
      <c r="AD633" s="1" t="str">
        <f>IFERROR(__xludf.DUMMYFUNCTION("""COMPUTED_VALUE"""),"PANUNGYAN 2")</f>
        <v>PANUNGYAN 2</v>
      </c>
      <c r="AE633" s="1"/>
      <c r="AF633" s="1" t="str">
        <f>IFERROR(__xludf.DUMMYFUNCTION("""COMPUTED_VALUE"""),"BGY PANUNGYAN 2")</f>
        <v>BGY PANUNGYAN 2</v>
      </c>
      <c r="AG633" s="1" t="str">
        <f>IFERROR(__xludf.DUMMYFUNCTION("""COMPUTED_VALUE"""),"MENDEZ")</f>
        <v>MENDEZ</v>
      </c>
      <c r="AH633" s="1" t="str">
        <f>IFERROR(__xludf.DUMMYFUNCTION("""COMPUTED_VALUE"""),"BARANGAY HALL")</f>
        <v>BARANGAY HALL</v>
      </c>
      <c r="AI633" s="1" t="str">
        <f>IFERROR(__xludf.DUMMYFUNCTION("""COMPUTED_VALUE"""),"CLUSTER 12")</f>
        <v>CLUSTER 12</v>
      </c>
    </row>
    <row r="634" customHeight="1" spans="1:35">
      <c r="A634" s="3">
        <f>IFERROR(__xludf.DUMMYFUNCTION("""COMPUTED_VALUE"""),46287)</f>
        <v>46287</v>
      </c>
      <c r="B634" s="1" t="str">
        <f>IFERROR(__xludf.DUMMYFUNCTION("""COMPUTED_VALUE"""),"MILTES LEGASPI TEMPLADO")</f>
        <v>MILTES LEGASPI TEMPLADO</v>
      </c>
      <c r="C634" s="1">
        <f>IFERROR(__xludf.DUMMYFUNCTION("""COMPUTED_VALUE"""),2312741598)</f>
        <v>2312741598</v>
      </c>
      <c r="D634" s="1"/>
      <c r="E634" s="1"/>
      <c r="F634" s="1" t="str">
        <f>IFERROR(__xludf.DUMMYFUNCTION("""COMPUTED_VALUE"""),"CANCELLED")</f>
        <v>CANCELLED</v>
      </c>
      <c r="G634" s="1" t="str">
        <f>IFERROR(__xludf.DUMMYFUNCTION("""COMPUTED_VALUE"""),"(SUB CHANGED MIND) FF - SEGMENT 2 - NEW TO CREDIT - MID RISK")</f>
        <v>(SUB CHANGED MIND) FF - SEGMENT 2 - NEW TO CREDIT - MID RISK</v>
      </c>
      <c r="H634" s="1"/>
      <c r="I634" s="1"/>
      <c r="J634" s="1"/>
      <c r="K634" s="1"/>
      <c r="L634" s="1" t="str">
        <f>IFERROR(__xludf.DUMMYFUNCTION("""COMPUTED_VALUE"""),"CANCELLED")</f>
        <v>CANCELLED</v>
      </c>
      <c r="M634" s="1" t="str">
        <f>IFERROR(__xludf.DUMMYFUNCTION("""COMPUTED_VALUE"""),"CANCELLED - SUBS CANCEL REQUEST")</f>
        <v>CANCELLED - SUBS CANCEL REQUEST</v>
      </c>
      <c r="N634" s="3"/>
      <c r="O634" s="1" t="str">
        <f>IFERROR(__xludf.DUMMYFUNCTION("""COMPUTED_VALUE"""),"FIBR UNLI ALL PLAN 999")</f>
        <v>FIBR UNLI ALL PLAN 999</v>
      </c>
      <c r="P634" s="1" t="str">
        <f>IFERROR(__xludf.DUMMYFUNCTION("""COMPUTED_VALUE"""),"LOWPLAN")</f>
        <v>LOWPLAN</v>
      </c>
      <c r="Q634" s="1" t="str">
        <f>IFERROR(__xludf.DUMMYFUNCTION("""COMPUTED_VALUE"""),"P407050")</f>
        <v>P407050</v>
      </c>
      <c r="R634" s="1" t="str">
        <f>IFERROR(__xludf.DUMMYFUNCTION("""COMPUTED_VALUE"""),"CADERAO, RONALD")</f>
        <v>CADERAO, RONALD</v>
      </c>
      <c r="S634" s="1" t="str">
        <f>IFERROR(__xludf.DUMMYFUNCTION("""COMPUTED_VALUE"""),"ORGANIC")</f>
        <v>ORGANIC</v>
      </c>
      <c r="T634" s="1" t="str">
        <f>IFERROR(__xludf.DUMMYFUNCTION("""COMPUTED_VALUE"""),"LEA REMOLLO")</f>
        <v>LEA REMOLLO</v>
      </c>
      <c r="U634" s="1" t="str">
        <f>IFERROR(__xludf.DUMMYFUNCTION("""COMPUTED_VALUE"""),"JB SALIOA")</f>
        <v>JB SALIOA</v>
      </c>
      <c r="V634" s="1" t="str">
        <f>IFERROR(__xludf.DUMMYFUNCTION("""COMPUTED_VALUE"""),"BK REGULAR")</f>
        <v>BK REGULAR</v>
      </c>
      <c r="W634" s="1" t="str">
        <f>IFERROR(__xludf.DUMMYFUNCTION("""COMPUTED_VALUE"""),"STK REGULAR")</f>
        <v>STK REGULAR</v>
      </c>
      <c r="X634" s="1" t="str">
        <f>IFERROR(__xludf.DUMMYFUNCTION("""COMPUTED_VALUE"""),"REGULAR")</f>
        <v>REGULAR</v>
      </c>
      <c r="Y634" s="1" t="str">
        <f>IFERROR(__xludf.DUMMYFUNCTION("""COMPUTED_VALUE"""),"BK_CVEU_260822")</f>
        <v>BK_CVEU_260822</v>
      </c>
      <c r="Z634" s="1" t="str">
        <f>IFERROR(__xludf.DUMMYFUNCTION("""COMPUTED_VALUE"""),"NEW CONNECT")</f>
        <v>NEW CONNECT</v>
      </c>
      <c r="AA634" s="1">
        <f>IFERROR(__xludf.DUMMYFUNCTION("""COMPUTED_VALUE"""),639708670285)</f>
        <v>639708670285</v>
      </c>
      <c r="AB634" s="1"/>
      <c r="AC634" s="1">
        <f>IFERROR(__xludf.DUMMYFUNCTION("""COMPUTED_VALUE"""),139)</f>
        <v>139</v>
      </c>
      <c r="AD634" s="1" t="str">
        <f>IFERROR(__xludf.DUMMYFUNCTION("""COMPUTED_VALUE"""),"RIZAL")</f>
        <v>RIZAL</v>
      </c>
      <c r="AE634" s="1"/>
      <c r="AF634" s="1" t="str">
        <f>IFERROR(__xludf.DUMMYFUNCTION("""COMPUTED_VALUE"""),"BGY 3")</f>
        <v>BGY 3</v>
      </c>
      <c r="AG634" s="1" t="str">
        <f>IFERROR(__xludf.DUMMYFUNCTION("""COMPUTED_VALUE"""),"ALFONSO")</f>
        <v>ALFONSO</v>
      </c>
      <c r="AH634" s="1" t="str">
        <f>IFERROR(__xludf.DUMMYFUNCTION("""COMPUTED_VALUE"""),"INFRONT OF POB 3 HALL")</f>
        <v>INFRONT OF POB 3 HALL</v>
      </c>
      <c r="AI634" s="1" t="str">
        <f>IFERROR(__xludf.DUMMYFUNCTION("""COMPUTED_VALUE"""),"CLUSTER 12")</f>
        <v>CLUSTER 12</v>
      </c>
    </row>
    <row r="635" customHeight="1" spans="1:35">
      <c r="A635" s="3">
        <f>IFERROR(__xludf.DUMMYFUNCTION("""COMPUTED_VALUE"""),46287)</f>
        <v>46287</v>
      </c>
      <c r="B635" s="1" t="str">
        <f>IFERROR(__xludf.DUMMYFUNCTION("""COMPUTED_VALUE"""),"CHERRY GIL CAPUNO DELEN")</f>
        <v>CHERRY GIL CAPUNO DELEN</v>
      </c>
      <c r="C635" s="1">
        <f>IFERROR(__xludf.DUMMYFUNCTION("""COMPUTED_VALUE"""),2312741510)</f>
        <v>2312741510</v>
      </c>
      <c r="D635" s="1"/>
      <c r="E635" s="1"/>
      <c r="F635" s="1" t="str">
        <f>IFERROR(__xludf.DUMMYFUNCTION("""COMPUTED_VALUE"""),"CANCELLED")</f>
        <v>CANCELLED</v>
      </c>
      <c r="G635" s="1" t="str">
        <f>IFERROR(__xludf.DUMMYFUNCTION("""COMPUTED_VALUE"""),"CANCELLED")</f>
        <v>CANCELLED</v>
      </c>
      <c r="H635" s="1"/>
      <c r="I635" s="1"/>
      <c r="J635" s="1"/>
      <c r="K635" s="1"/>
      <c r="L635" s="1" t="str">
        <f>IFERROR(__xludf.DUMMYFUNCTION("""COMPUTED_VALUE"""),"CANCELLED")</f>
        <v>CANCELLED</v>
      </c>
      <c r="M635" s="1" t="str">
        <f>IFERROR(__xludf.DUMMYFUNCTION("""COMPUTED_VALUE"""),"CANCELLED - SUBS CANCEL REQUEST")</f>
        <v>CANCELLED - SUBS CANCEL REQUEST</v>
      </c>
      <c r="N635" s="3"/>
      <c r="O635" s="1" t="str">
        <f>IFERROR(__xludf.DUMMYFUNCTION("""COMPUTED_VALUE"""),"FIBR UNLI ALL PLAN 999")</f>
        <v>FIBR UNLI ALL PLAN 999</v>
      </c>
      <c r="P635" s="1" t="str">
        <f>IFERROR(__xludf.DUMMYFUNCTION("""COMPUTED_VALUE"""),"LOWPLAN")</f>
        <v>LOWPLAN</v>
      </c>
      <c r="Q635" s="1" t="str">
        <f>IFERROR(__xludf.DUMMYFUNCTION("""COMPUTED_VALUE"""),"P407050")</f>
        <v>P407050</v>
      </c>
      <c r="R635" s="1" t="str">
        <f>IFERROR(__xludf.DUMMYFUNCTION("""COMPUTED_VALUE"""),"ALOS, CHARLS LAURENZ")</f>
        <v>ALOS, CHARLS LAURENZ</v>
      </c>
      <c r="S635" s="1" t="str">
        <f>IFERROR(__xludf.DUMMYFUNCTION("""COMPUTED_VALUE"""),"ORGANIC")</f>
        <v>ORGANIC</v>
      </c>
      <c r="T635" s="1" t="str">
        <f>IFERROR(__xludf.DUMMYFUNCTION("""COMPUTED_VALUE"""),"LEA REMOLLO")</f>
        <v>LEA REMOLLO</v>
      </c>
      <c r="U635" s="1" t="str">
        <f>IFERROR(__xludf.DUMMYFUNCTION("""COMPUTED_VALUE"""),"JULIE ESPIRITU")</f>
        <v>JULIE ESPIRITU</v>
      </c>
      <c r="V635" s="1" t="str">
        <f>IFERROR(__xludf.DUMMYFUNCTION("""COMPUTED_VALUE"""),"BK HSTK")</f>
        <v>BK HSTK</v>
      </c>
      <c r="W635" s="1" t="str">
        <f>IFERROR(__xludf.DUMMYFUNCTION("""COMPUTED_VALUE"""),"BK HSTK")</f>
        <v>BK HSTK</v>
      </c>
      <c r="X635" s="1" t="str">
        <f>IFERROR(__xludf.DUMMYFUNCTION("""COMPUTED_VALUE"""),"REGULAR")</f>
        <v>REGULAR</v>
      </c>
      <c r="Y635" s="1" t="str">
        <f>IFERROR(__xludf.DUMMYFUNCTION("""COMPUTED_VALUE"""),"BK_CVEU_260813")</f>
        <v>BK_CVEU_260813</v>
      </c>
      <c r="Z635" s="1" t="str">
        <f>IFERROR(__xludf.DUMMYFUNCTION("""COMPUTED_VALUE"""),"NEW CONNECT")</f>
        <v>NEW CONNECT</v>
      </c>
      <c r="AA635" s="1">
        <f>IFERROR(__xludf.DUMMYFUNCTION("""COMPUTED_VALUE"""),639278054453)</f>
        <v>639278054453</v>
      </c>
      <c r="AB635" s="1"/>
      <c r="AC635" s="1">
        <f>IFERROR(__xludf.DUMMYFUNCTION("""COMPUTED_VALUE"""),23)</f>
        <v>23</v>
      </c>
      <c r="AD635" s="1" t="str">
        <f>IFERROR(__xludf.DUMMYFUNCTION("""COMPUTED_VALUE"""),"PUROK 7")</f>
        <v>PUROK 7</v>
      </c>
      <c r="AE635" s="1"/>
      <c r="AF635" s="1" t="str">
        <f>IFERROR(__xludf.DUMMYFUNCTION("""COMPUTED_VALUE"""),"BGY LITLIT")</f>
        <v>BGY LITLIT</v>
      </c>
      <c r="AG635" s="1" t="str">
        <f>IFERROR(__xludf.DUMMYFUNCTION("""COMPUTED_VALUE"""),"SILANG")</f>
        <v>SILANG</v>
      </c>
      <c r="AH635" s="1" t="str">
        <f>IFERROR(__xludf.DUMMYFUNCTION("""COMPUTED_VALUE"""),"-")</f>
        <v>-</v>
      </c>
      <c r="AI635" s="1" t="str">
        <f>IFERROR(__xludf.DUMMYFUNCTION("""COMPUTED_VALUE"""),"CLUSTER 11")</f>
        <v>CLUSTER 11</v>
      </c>
    </row>
    <row r="636" customHeight="1" spans="1:35">
      <c r="A636" s="3">
        <f>IFERROR(__xludf.DUMMYFUNCTION("""COMPUTED_VALUE"""),46287)</f>
        <v>46287</v>
      </c>
      <c r="B636" s="1" t="str">
        <f>IFERROR(__xludf.DUMMYFUNCTION("""COMPUTED_VALUE"""),"JOHN RAY MARQUEZ LECAROS")</f>
        <v>JOHN RAY MARQUEZ LECAROS</v>
      </c>
      <c r="C636" s="1">
        <f>IFERROR(__xludf.DUMMYFUNCTION("""COMPUTED_VALUE"""),2312741990)</f>
        <v>2312741990</v>
      </c>
      <c r="D636" s="1"/>
      <c r="E636" s="1"/>
      <c r="F636" s="1" t="str">
        <f>IFERROR(__xludf.DUMMYFUNCTION("""COMPUTED_VALUE"""),"CANCELLED")</f>
        <v>CANCELLED</v>
      </c>
      <c r="G636" s="1" t="str">
        <f>IFERROR(__xludf.DUMMYFUNCTION("""COMPUTED_VALUE"""),"CANCELLED")</f>
        <v>CANCELLED</v>
      </c>
      <c r="H636" s="1"/>
      <c r="I636" s="1"/>
      <c r="J636" s="1"/>
      <c r="K636" s="1"/>
      <c r="L636" s="1" t="str">
        <f>IFERROR(__xludf.DUMMYFUNCTION("""COMPUTED_VALUE"""),"CANCELLED")</f>
        <v>CANCELLED</v>
      </c>
      <c r="M636" s="1" t="str">
        <f>IFERROR(__xludf.DUMMYFUNCTION("""COMPUTED_VALUE"""),"CANCELLED - SUBS CANCEL REQUEST")</f>
        <v>CANCELLED - SUBS CANCEL REQUEST</v>
      </c>
      <c r="N636" s="3"/>
      <c r="O636" s="1" t="str">
        <f>IFERROR(__xludf.DUMMYFUNCTION("""COMPUTED_VALUE"""),"FIBR PLAN 2099")</f>
        <v>FIBR PLAN 2099</v>
      </c>
      <c r="P636" s="1" t="str">
        <f>IFERROR(__xludf.DUMMYFUNCTION("""COMPUTED_VALUE"""),"HIGHPLAN")</f>
        <v>HIGHPLAN</v>
      </c>
      <c r="Q636" s="1" t="str">
        <f>IFERROR(__xludf.DUMMYFUNCTION("""COMPUTED_VALUE"""),"P407046")</f>
        <v>P407046</v>
      </c>
      <c r="R636" s="1" t="str">
        <f>IFERROR(__xludf.DUMMYFUNCTION("""COMPUTED_VALUE"""),"MALIWAT, MARK")</f>
        <v>MALIWAT, MARK</v>
      </c>
      <c r="S636" s="1" t="str">
        <f>IFERROR(__xludf.DUMMYFUNCTION("""COMPUTED_VALUE"""),"FLA")</f>
        <v>FLA</v>
      </c>
      <c r="T636" s="1" t="str">
        <f>IFERROR(__xludf.DUMMYFUNCTION("""COMPUTED_VALUE"""),"JERIC NAVARRO")</f>
        <v>JERIC NAVARRO</v>
      </c>
      <c r="U636" s="1" t="str">
        <f>IFERROR(__xludf.DUMMYFUNCTION("""COMPUTED_VALUE"""),"JB SALIOA")</f>
        <v>JB SALIOA</v>
      </c>
      <c r="V636" s="1" t="str">
        <f>IFERROR(__xludf.DUMMYFUNCTION("""COMPUTED_VALUE"""),"ONLINE/CRANFORD")</f>
        <v>ONLINE/CRANFORD</v>
      </c>
      <c r="W636" s="1" t="str">
        <f>IFERROR(__xludf.DUMMYFUNCTION("""COMPUTED_VALUE"""),"STK REGULAR")</f>
        <v>STK REGULAR</v>
      </c>
      <c r="X636" s="1" t="str">
        <f>IFERROR(__xludf.DUMMYFUNCTION("""COMPUTED_VALUE"""),"HBBS SEPT 2026")</f>
        <v>HBBS SEPT 2026</v>
      </c>
      <c r="Y636" s="1" t="str">
        <f>IFERROR(__xludf.DUMMYFUNCTION("""COMPUTED_VALUE"""),"RS_ONL_CVEU_2026")</f>
        <v>RS_ONL_CVEU_2026</v>
      </c>
      <c r="Z636" s="1" t="str">
        <f>IFERROR(__xludf.DUMMYFUNCTION("""COMPUTED_VALUE"""),"NEW CONNECT")</f>
        <v>NEW CONNECT</v>
      </c>
      <c r="AA636" s="1">
        <f>IFERROR(__xludf.DUMMYFUNCTION("""COMPUTED_VALUE"""),639394835354)</f>
        <v>639394835354</v>
      </c>
      <c r="AB636" s="1"/>
      <c r="AC636" s="1"/>
      <c r="AD636" s="1" t="str">
        <f>IFERROR(__xludf.DUMMYFUNCTION("""COMPUTED_VALUE"""),"PHASE 1")</f>
        <v>PHASE 1</v>
      </c>
      <c r="AE636" s="1" t="str">
        <f>IFERROR(__xludf.DUMMYFUNCTION("""COMPUTED_VALUE"""),"TIERRA VISTA")</f>
        <v>TIERRA VISTA</v>
      </c>
      <c r="AF636" s="1" t="str">
        <f>IFERROR(__xludf.DUMMYFUNCTION("""COMPUTED_VALUE"""),"BGY SANTIAGO")</f>
        <v>BGY SANTIAGO</v>
      </c>
      <c r="AG636" s="1" t="str">
        <f>IFERROR(__xludf.DUMMYFUNCTION("""COMPUTED_VALUE"""),"GENERAL TRIAS")</f>
        <v>GENERAL TRIAS</v>
      </c>
      <c r="AH636" s="1" t="str">
        <f>IFERROR(__xludf.DUMMYFUNCTION("""COMPUTED_VALUE"""),"7/11")</f>
        <v>7/11</v>
      </c>
      <c r="AI636" s="1" t="str">
        <f>IFERROR(__xludf.DUMMYFUNCTION("""COMPUTED_VALUE"""),"NOT AOR")</f>
        <v>NOT AOR</v>
      </c>
    </row>
    <row r="637" customHeight="1" spans="1:35">
      <c r="A637" s="3">
        <f>IFERROR(__xludf.DUMMYFUNCTION("""COMPUTED_VALUE"""),46287)</f>
        <v>46287</v>
      </c>
      <c r="B637" s="1" t="str">
        <f>IFERROR(__xludf.DUMMYFUNCTION("""COMPUTED_VALUE"""),"RELINDA DE GUIA ILMEDO")</f>
        <v>RELINDA DE GUIA ILMEDO</v>
      </c>
      <c r="C637" s="1">
        <f>IFERROR(__xludf.DUMMYFUNCTION("""COMPUTED_VALUE"""),2312742113)</f>
        <v>2312742113</v>
      </c>
      <c r="D637" s="1"/>
      <c r="E637" s="1"/>
      <c r="F637" s="1" t="str">
        <f>IFERROR(__xludf.DUMMYFUNCTION("""COMPUTED_VALUE"""),"CANCELLED")</f>
        <v>CANCELLED</v>
      </c>
      <c r="G637" s="1" t="str">
        <f>IFERROR(__xludf.DUMMYFUNCTION("""COMPUTED_VALUE"""),"CANCELLED")</f>
        <v>CANCELLED</v>
      </c>
      <c r="H637" s="1"/>
      <c r="I637" s="1"/>
      <c r="J637" s="1"/>
      <c r="K637" s="1"/>
      <c r="L637" s="1" t="str">
        <f>IFERROR(__xludf.DUMMYFUNCTION("""COMPUTED_VALUE"""),"CANCELLED - WITH OB")</f>
        <v>CANCELLED - WITH OB</v>
      </c>
      <c r="M637" s="1" t="str">
        <f>IFERROR(__xludf.DUMMYFUNCTION("""COMPUTED_VALUE"""),"CANCELLED - WITH OB")</f>
        <v>CANCELLED - WITH OB</v>
      </c>
      <c r="N637" s="3"/>
      <c r="O637" s="1" t="str">
        <f>IFERROR(__xludf.DUMMYFUNCTION("""COMPUTED_VALUE"""),"FIBR UNLI ALL PLAN 999")</f>
        <v>FIBR UNLI ALL PLAN 999</v>
      </c>
      <c r="P637" s="1" t="str">
        <f>IFERROR(__xludf.DUMMYFUNCTION("""COMPUTED_VALUE"""),"LOWPLAN")</f>
        <v>LOWPLAN</v>
      </c>
      <c r="Q637" s="1" t="str">
        <f>IFERROR(__xludf.DUMMYFUNCTION("""COMPUTED_VALUE"""),"P407050")</f>
        <v>P407050</v>
      </c>
      <c r="R637" s="1" t="str">
        <f>IFERROR(__xludf.DUMMYFUNCTION("""COMPUTED_VALUE"""),"DENACO, RODNEY")</f>
        <v>DENACO, RODNEY</v>
      </c>
      <c r="S637" s="1" t="str">
        <f>IFERROR(__xludf.DUMMYFUNCTION("""COMPUTED_VALUE"""),"ORGANIC")</f>
        <v>ORGANIC</v>
      </c>
      <c r="T637" s="1" t="str">
        <f>IFERROR(__xludf.DUMMYFUNCTION("""COMPUTED_VALUE"""),"LEA REMOLLO")</f>
        <v>LEA REMOLLO</v>
      </c>
      <c r="U637" s="1" t="str">
        <f>IFERROR(__xludf.DUMMYFUNCTION("""COMPUTED_VALUE"""),"JULIE ESPIRITU")</f>
        <v>JULIE ESPIRITU</v>
      </c>
      <c r="V637" s="1" t="str">
        <f>IFERROR(__xludf.DUMMYFUNCTION("""COMPUTED_VALUE"""),"BK REGULAR")</f>
        <v>BK REGULAR</v>
      </c>
      <c r="W637" s="1" t="str">
        <f>IFERROR(__xludf.DUMMYFUNCTION("""COMPUTED_VALUE"""),"STK REGULAR")</f>
        <v>STK REGULAR</v>
      </c>
      <c r="X637" s="1" t="str">
        <f>IFERROR(__xludf.DUMMYFUNCTION("""COMPUTED_VALUE"""),"REGULAR")</f>
        <v>REGULAR</v>
      </c>
      <c r="Y637" s="1" t="str">
        <f>IFERROR(__xludf.DUMMYFUNCTION("""COMPUTED_VALUE"""),"BK_CVEU_260811")</f>
        <v>BK_CVEU_260811</v>
      </c>
      <c r="Z637" s="1" t="str">
        <f>IFERROR(__xludf.DUMMYFUNCTION("""COMPUTED_VALUE"""),"NEW CONNECT")</f>
        <v>NEW CONNECT</v>
      </c>
      <c r="AA637" s="1">
        <f>IFERROR(__xludf.DUMMYFUNCTION("""COMPUTED_VALUE"""),639851896331)</f>
        <v>639851896331</v>
      </c>
      <c r="AB637" s="1">
        <f>IFERROR(__xludf.DUMMYFUNCTION("""COMPUTED_VALUE"""),639638068708)</f>
        <v>639638068708</v>
      </c>
      <c r="AC637" s="1"/>
      <c r="AD637" s="1" t="str">
        <f>IFERROR(__xludf.DUMMYFUNCTION("""COMPUTED_VALUE"""),"NICOLASA VIRATA")</f>
        <v>NICOLASA VIRATA</v>
      </c>
      <c r="AE637" s="1"/>
      <c r="AF637" s="1" t="str">
        <f>IFERROR(__xludf.DUMMYFUNCTION("""COMPUTED_VALUE"""),"BGY NICOLASA VIRATA")</f>
        <v>BGY NICOLASA VIRATA</v>
      </c>
      <c r="AG637" s="1" t="str">
        <f>IFERROR(__xludf.DUMMYFUNCTION("""COMPUTED_VALUE"""),"GEN MARIANO ALVAREZ")</f>
        <v>GEN MARIANO ALVAREZ</v>
      </c>
      <c r="AH637" s="1" t="str">
        <f>IFERROR(__xludf.DUMMYFUNCTION("""COMPUTED_VALUE"""),"-")</f>
        <v>-</v>
      </c>
      <c r="AI637" s="1" t="str">
        <f>IFERROR(__xludf.DUMMYFUNCTION("""COMPUTED_VALUE"""),"CLUSTER 11")</f>
        <v>CLUSTER 11</v>
      </c>
    </row>
    <row r="638" customHeight="1" spans="1:35">
      <c r="A638" s="3">
        <f>IFERROR(__xludf.DUMMYFUNCTION("""COMPUTED_VALUE"""),46287)</f>
        <v>46287</v>
      </c>
      <c r="B638" s="1" t="str">
        <f>IFERROR(__xludf.DUMMYFUNCTION("""COMPUTED_VALUE"""),"JESSIE BOY SALANGSANG ARIOLA")</f>
        <v>JESSIE BOY SALANGSANG ARIOLA</v>
      </c>
      <c r="C638" s="1">
        <f>IFERROR(__xludf.DUMMYFUNCTION("""COMPUTED_VALUE"""),2312742357)</f>
        <v>2312742357</v>
      </c>
      <c r="D638" s="1"/>
      <c r="E638" s="1"/>
      <c r="F638" s="1" t="str">
        <f>IFERROR(__xludf.DUMMYFUNCTION("""COMPUTED_VALUE"""),"CANCELLED")</f>
        <v>CANCELLED</v>
      </c>
      <c r="G638" s="1" t="str">
        <f>IFERROR(__xludf.DUMMYFUNCTION("""COMPUTED_VALUE"""),"CANCELLED")</f>
        <v>CANCELLED</v>
      </c>
      <c r="H638" s="1"/>
      <c r="I638" s="1"/>
      <c r="J638" s="1"/>
      <c r="K638" s="1"/>
      <c r="L638" s="1" t="str">
        <f>IFERROR(__xludf.DUMMYFUNCTION("""COMPUTED_VALUE"""),"CANCELLED - WITH OB")</f>
        <v>CANCELLED - WITH OB</v>
      </c>
      <c r="M638" s="1" t="str">
        <f>IFERROR(__xludf.DUMMYFUNCTION("""COMPUTED_VALUE"""),"CANCELLED - WITH OB")</f>
        <v>CANCELLED - WITH OB</v>
      </c>
      <c r="N638" s="3"/>
      <c r="O638" s="1" t="str">
        <f>IFERROR(__xludf.DUMMYFUNCTION("""COMPUTED_VALUE"""),"FIBR PLAN 1299")</f>
        <v>FIBR PLAN 1299</v>
      </c>
      <c r="P638" s="1" t="str">
        <f>IFERROR(__xludf.DUMMYFUNCTION("""COMPUTED_VALUE"""),"LOWPLAN")</f>
        <v>LOWPLAN</v>
      </c>
      <c r="Q638" s="1" t="str">
        <f>IFERROR(__xludf.DUMMYFUNCTION("""COMPUTED_VALUE"""),"P407050")</f>
        <v>P407050</v>
      </c>
      <c r="R638" s="1" t="str">
        <f>IFERROR(__xludf.DUMMYFUNCTION("""COMPUTED_VALUE"""),"IVNO, RAZZEL")</f>
        <v>IVNO, RAZZEL</v>
      </c>
      <c r="S638" s="1" t="str">
        <f>IFERROR(__xludf.DUMMYFUNCTION("""COMPUTED_VALUE"""),"ORGANIC")</f>
        <v>ORGANIC</v>
      </c>
      <c r="T638" s="1" t="str">
        <f>IFERROR(__xludf.DUMMYFUNCTION("""COMPUTED_VALUE"""),"LEA REMOLLO")</f>
        <v>LEA REMOLLO</v>
      </c>
      <c r="U638" s="1" t="str">
        <f>IFERROR(__xludf.DUMMYFUNCTION("""COMPUTED_VALUE"""),"JB SALIOA")</f>
        <v>JB SALIOA</v>
      </c>
      <c r="V638" s="1" t="str">
        <f>IFERROR(__xludf.DUMMYFUNCTION("""COMPUTED_VALUE"""),"BK REGULAR")</f>
        <v>BK REGULAR</v>
      </c>
      <c r="W638" s="1" t="str">
        <f>IFERROR(__xludf.DUMMYFUNCTION("""COMPUTED_VALUE"""),"STK REGULAR")</f>
        <v>STK REGULAR</v>
      </c>
      <c r="X638" s="1" t="str">
        <f>IFERROR(__xludf.DUMMYFUNCTION("""COMPUTED_VALUE"""),"HBBS SEPT 2026")</f>
        <v>HBBS SEPT 2026</v>
      </c>
      <c r="Y638" s="1" t="str">
        <f>IFERROR(__xludf.DUMMYFUNCTION("""COMPUTED_VALUE"""),"BK_CVEU_260828")</f>
        <v>BK_CVEU_260828</v>
      </c>
      <c r="Z638" s="1" t="str">
        <f>IFERROR(__xludf.DUMMYFUNCTION("""COMPUTED_VALUE"""),"NEW CONNECT")</f>
        <v>NEW CONNECT</v>
      </c>
      <c r="AA638" s="1">
        <f>IFERROR(__xludf.DUMMYFUNCTION("""COMPUTED_VALUE"""),639171661799)</f>
        <v>639171661799</v>
      </c>
      <c r="AB638" s="1">
        <f>IFERROR(__xludf.DUMMYFUNCTION("""COMPUTED_VALUE"""),639289700873)</f>
        <v>639289700873</v>
      </c>
      <c r="AC638" s="1">
        <f>IFERROR(__xludf.DUMMYFUNCTION("""COMPUTED_VALUE"""),10)</f>
        <v>10</v>
      </c>
      <c r="AD638" s="1" t="str">
        <f>IFERROR(__xludf.DUMMYFUNCTION("""COMPUTED_VALUE"""),"MAGLABE")</f>
        <v>MAGLABE</v>
      </c>
      <c r="AE638" s="1"/>
      <c r="AF638" s="1" t="str">
        <f>IFERROR(__xludf.DUMMYFUNCTION("""COMPUTED_VALUE"""),"BGY GUINHAWA SOUTH")</f>
        <v>BGY GUINHAWA SOUTH</v>
      </c>
      <c r="AG638" s="1" t="str">
        <f>IFERROR(__xludf.DUMMYFUNCTION("""COMPUTED_VALUE"""),"TAGAYTAY")</f>
        <v>TAGAYTAY</v>
      </c>
      <c r="AH638" s="1" t="str">
        <f>IFERROR(__xludf.DUMMYFUNCTION("""COMPUTED_VALUE"""),"ANTONIA BAKERY")</f>
        <v>ANTONIA BAKERY</v>
      </c>
      <c r="AI638" s="1" t="str">
        <f>IFERROR(__xludf.DUMMYFUNCTION("""COMPUTED_VALUE"""),"CLUSTER 12")</f>
        <v>CLUSTER 12</v>
      </c>
    </row>
    <row r="639" customHeight="1" spans="1:35">
      <c r="A639" s="3">
        <f>IFERROR(__xludf.DUMMYFUNCTION("""COMPUTED_VALUE"""),46287)</f>
        <v>46287</v>
      </c>
      <c r="B639" s="1" t="str">
        <f>IFERROR(__xludf.DUMMYFUNCTION("""COMPUTED_VALUE"""),"JOVELYN MARTINEZ LOJERA")</f>
        <v>JOVELYN MARTINEZ LOJERA</v>
      </c>
      <c r="C639" s="1">
        <f>IFERROR(__xludf.DUMMYFUNCTION("""COMPUTED_VALUE"""),2312742630)</f>
        <v>2312742630</v>
      </c>
      <c r="D639" s="1"/>
      <c r="E639" s="1"/>
      <c r="F639" s="1" t="str">
        <f>IFERROR(__xludf.DUMMYFUNCTION("""COMPUTED_VALUE"""),"CANCELLED")</f>
        <v>CANCELLED</v>
      </c>
      <c r="G639" s="1" t="str">
        <f>IFERROR(__xludf.DUMMYFUNCTION("""COMPUTED_VALUE"""),"CANCELLED")</f>
        <v>CANCELLED</v>
      </c>
      <c r="H639" s="1"/>
      <c r="I639" s="1"/>
      <c r="J639" s="1"/>
      <c r="K639" s="1"/>
      <c r="L639" s="1" t="str">
        <f>IFERROR(__xludf.DUMMYFUNCTION("""COMPUTED_VALUE"""),"CANCELLED - WITH OB")</f>
        <v>CANCELLED - WITH OB</v>
      </c>
      <c r="M639" s="1" t="str">
        <f>IFERROR(__xludf.DUMMYFUNCTION("""COMPUTED_VALUE"""),"CANCELLED - WITH OB")</f>
        <v>CANCELLED - WITH OB</v>
      </c>
      <c r="N639" s="3"/>
      <c r="O639" s="1" t="str">
        <f>IFERROR(__xludf.DUMMYFUNCTION("""COMPUTED_VALUE"""),"FIBR UNLI ALL PLAN 999")</f>
        <v>FIBR UNLI ALL PLAN 999</v>
      </c>
      <c r="P639" s="1" t="str">
        <f>IFERROR(__xludf.DUMMYFUNCTION("""COMPUTED_VALUE"""),"LOWPLAN")</f>
        <v>LOWPLAN</v>
      </c>
      <c r="Q639" s="1" t="str">
        <f>IFERROR(__xludf.DUMMYFUNCTION("""COMPUTED_VALUE"""),"P407050")</f>
        <v>P407050</v>
      </c>
      <c r="R639" s="1" t="str">
        <f>IFERROR(__xludf.DUMMYFUNCTION("""COMPUTED_VALUE"""),"ESCARCHA, ALMA")</f>
        <v>ESCARCHA, ALMA</v>
      </c>
      <c r="S639" s="1" t="str">
        <f>IFERROR(__xludf.DUMMYFUNCTION("""COMPUTED_VALUE"""),"ORGANIC")</f>
        <v>ORGANIC</v>
      </c>
      <c r="T639" s="1" t="str">
        <f>IFERROR(__xludf.DUMMYFUNCTION("""COMPUTED_VALUE"""),"LEA REMOLLO")</f>
        <v>LEA REMOLLO</v>
      </c>
      <c r="U639" s="1" t="str">
        <f>IFERROR(__xludf.DUMMYFUNCTION("""COMPUTED_VALUE"""),"JULIE ESPIRITU")</f>
        <v>JULIE ESPIRITU</v>
      </c>
      <c r="V639" s="1" t="str">
        <f>IFERROR(__xludf.DUMMYFUNCTION("""COMPUTED_VALUE"""),"BK REGULAR")</f>
        <v>BK REGULAR</v>
      </c>
      <c r="W639" s="1" t="str">
        <f>IFERROR(__xludf.DUMMYFUNCTION("""COMPUTED_VALUE"""),"STK REGULAR")</f>
        <v>STK REGULAR</v>
      </c>
      <c r="X639" s="1" t="str">
        <f>IFERROR(__xludf.DUMMYFUNCTION("""COMPUTED_VALUE"""),"REGULAR")</f>
        <v>REGULAR</v>
      </c>
      <c r="Y639" s="1" t="str">
        <f>IFERROR(__xludf.DUMMYFUNCTION("""COMPUTED_VALUE"""),"BK_CVEU_260805")</f>
        <v>BK_CVEU_260805</v>
      </c>
      <c r="Z639" s="1" t="str">
        <f>IFERROR(__xludf.DUMMYFUNCTION("""COMPUTED_VALUE"""),"NEW CONNECT")</f>
        <v>NEW CONNECT</v>
      </c>
      <c r="AA639" s="1">
        <f>IFERROR(__xludf.DUMMYFUNCTION("""COMPUTED_VALUE"""),639455225965)</f>
        <v>639455225965</v>
      </c>
      <c r="AB639" s="1"/>
      <c r="AC639" s="1"/>
      <c r="AD639" s="1" t="str">
        <f>IFERROR(__xludf.DUMMYFUNCTION("""COMPUTED_VALUE"""),"KALUBKOB")</f>
        <v>KALUBKOB</v>
      </c>
      <c r="AE639" s="1"/>
      <c r="AF639" s="1" t="str">
        <f>IFERROR(__xludf.DUMMYFUNCTION("""COMPUTED_VALUE"""),"BGY ASIS 1")</f>
        <v>BGY ASIS 1</v>
      </c>
      <c r="AG639" s="1" t="str">
        <f>IFERROR(__xludf.DUMMYFUNCTION("""COMPUTED_VALUE"""),"MENDEZ")</f>
        <v>MENDEZ</v>
      </c>
      <c r="AH639" s="1" t="str">
        <f>IFERROR(__xludf.DUMMYFUNCTION("""COMPUTED_VALUE"""),"AMY STORE")</f>
        <v>AMY STORE</v>
      </c>
      <c r="AI639" s="1" t="str">
        <f>IFERROR(__xludf.DUMMYFUNCTION("""COMPUTED_VALUE"""),"CLUSTER 12")</f>
        <v>CLUSTER 12</v>
      </c>
    </row>
    <row r="640" customHeight="1" spans="1:35">
      <c r="A640" s="3">
        <f>IFERROR(__xludf.DUMMYFUNCTION("""COMPUTED_VALUE"""),46287)</f>
        <v>46287</v>
      </c>
      <c r="B640" s="1" t="str">
        <f>IFERROR(__xludf.DUMMYFUNCTION("""COMPUTED_VALUE"""),"CRISTOBAL MENDOZA TALATALA")</f>
        <v>CRISTOBAL MENDOZA TALATALA</v>
      </c>
      <c r="C640" s="1">
        <f>IFERROR(__xludf.DUMMYFUNCTION("""COMPUTED_VALUE"""),2312743706)</f>
        <v>2312743706</v>
      </c>
      <c r="D640" s="1"/>
      <c r="E640" s="1"/>
      <c r="F640" s="1" t="str">
        <f>IFERROR(__xludf.DUMMYFUNCTION("""COMPUTED_VALUE"""),"CANCELLED")</f>
        <v>CANCELLED</v>
      </c>
      <c r="G640" s="1" t="str">
        <f>IFERROR(__xludf.DUMMYFUNCTION("""COMPUTED_VALUE"""),"CANCELLED")</f>
        <v>CANCELLED</v>
      </c>
      <c r="H640" s="1"/>
      <c r="I640" s="1"/>
      <c r="J640" s="1"/>
      <c r="K640" s="1"/>
      <c r="L640" s="1" t="str">
        <f>IFERROR(__xludf.DUMMYFUNCTION("""COMPUTED_VALUE"""),"CANCELLED - WITH OB")</f>
        <v>CANCELLED - WITH OB</v>
      </c>
      <c r="M640" s="1" t="str">
        <f>IFERROR(__xludf.DUMMYFUNCTION("""COMPUTED_VALUE"""),"CANCELLED - WITH OB")</f>
        <v>CANCELLED - WITH OB</v>
      </c>
      <c r="N640" s="3"/>
      <c r="O640" s="1" t="str">
        <f>IFERROR(__xludf.DUMMYFUNCTION("""COMPUTED_VALUE"""),"FIBR PLAN 1299")</f>
        <v>FIBR PLAN 1299</v>
      </c>
      <c r="P640" s="1" t="str">
        <f>IFERROR(__xludf.DUMMYFUNCTION("""COMPUTED_VALUE"""),"LOWPLAN")</f>
        <v>LOWPLAN</v>
      </c>
      <c r="Q640" s="1" t="str">
        <f>IFERROR(__xludf.DUMMYFUNCTION("""COMPUTED_VALUE"""),"P407050")</f>
        <v>P407050</v>
      </c>
      <c r="R640" s="1" t="str">
        <f>IFERROR(__xludf.DUMMYFUNCTION("""COMPUTED_VALUE"""),"TAMAYO, MARY ROSE ZAIRA")</f>
        <v>TAMAYO, MARY ROSE ZAIRA</v>
      </c>
      <c r="S640" s="1" t="str">
        <f>IFERROR(__xludf.DUMMYFUNCTION("""COMPUTED_VALUE"""),"ORGANIC")</f>
        <v>ORGANIC</v>
      </c>
      <c r="T640" s="1" t="str">
        <f>IFERROR(__xludf.DUMMYFUNCTION("""COMPUTED_VALUE"""),"LEA REMOLLO")</f>
        <v>LEA REMOLLO</v>
      </c>
      <c r="U640" s="1" t="str">
        <f>IFERROR(__xludf.DUMMYFUNCTION("""COMPUTED_VALUE"""),"JB SALIOA")</f>
        <v>JB SALIOA</v>
      </c>
      <c r="V640" s="1" t="str">
        <f>IFERROR(__xludf.DUMMYFUNCTION("""COMPUTED_VALUE"""),"BK REGULAR")</f>
        <v>BK REGULAR</v>
      </c>
      <c r="W640" s="1" t="str">
        <f>IFERROR(__xludf.DUMMYFUNCTION("""COMPUTED_VALUE"""),"STK REGULAR")</f>
        <v>STK REGULAR</v>
      </c>
      <c r="X640" s="1" t="str">
        <f>IFERROR(__xludf.DUMMYFUNCTION("""COMPUTED_VALUE"""),"HBBS SEPT 2026")</f>
        <v>HBBS SEPT 2026</v>
      </c>
      <c r="Y640" s="1" t="str">
        <f>IFERROR(__xludf.DUMMYFUNCTION("""COMPUTED_VALUE"""),"BK_CVEU_260827")</f>
        <v>BK_CVEU_260827</v>
      </c>
      <c r="Z640" s="1" t="str">
        <f>IFERROR(__xludf.DUMMYFUNCTION("""COMPUTED_VALUE"""),"NEW CONNECT")</f>
        <v>NEW CONNECT</v>
      </c>
      <c r="AA640" s="1">
        <f>IFERROR(__xludf.DUMMYFUNCTION("""COMPUTED_VALUE"""),639951927353)</f>
        <v>639951927353</v>
      </c>
      <c r="AB640" s="1">
        <f>IFERROR(__xludf.DUMMYFUNCTION("""COMPUTED_VALUE"""),639153768809)</f>
        <v>639153768809</v>
      </c>
      <c r="AC640" s="1">
        <f>IFERROR(__xludf.DUMMYFUNCTION("""COMPUTED_VALUE"""),22)</f>
        <v>22</v>
      </c>
      <c r="AD640" s="1" t="str">
        <f>IFERROR(__xludf.DUMMYFUNCTION("""COMPUTED_VALUE"""),"GOVERNORS")</f>
        <v>GOVERNORS</v>
      </c>
      <c r="AE640" s="1"/>
      <c r="AF640" s="1" t="str">
        <f>IFERROR(__xludf.DUMMYFUNCTION("""COMPUTED_VALUE"""),"BGY BULIHAN")</f>
        <v>BGY BULIHAN</v>
      </c>
      <c r="AG640" s="1" t="str">
        <f>IFERROR(__xludf.DUMMYFUNCTION("""COMPUTED_VALUE"""),"SILANG")</f>
        <v>SILANG</v>
      </c>
      <c r="AH640" s="1" t="str">
        <f>IFERROR(__xludf.DUMMYFUNCTION("""COMPUTED_VALUE"""),"BULIHAN CARWASH")</f>
        <v>BULIHAN CARWASH</v>
      </c>
      <c r="AI640" s="1" t="str">
        <f>IFERROR(__xludf.DUMMYFUNCTION("""COMPUTED_VALUE"""),"CLUSTER 11")</f>
        <v>CLUSTER 11</v>
      </c>
    </row>
    <row r="641" customHeight="1" spans="1:35">
      <c r="A641" s="3">
        <f>IFERROR(__xludf.DUMMYFUNCTION("""COMPUTED_VALUE"""),46288)</f>
        <v>46288</v>
      </c>
      <c r="B641" s="1" t="str">
        <f>IFERROR(__xludf.DUMMYFUNCTION("""COMPUTED_VALUE"""),"DIVINA PENALBA HERRERA")</f>
        <v>DIVINA PENALBA HERRERA</v>
      </c>
      <c r="C641" s="1">
        <f>IFERROR(__xludf.DUMMYFUNCTION("""COMPUTED_VALUE"""),2312754861)</f>
        <v>2312754861</v>
      </c>
      <c r="D641" s="1">
        <f>IFERROR(__xludf.DUMMYFUNCTION("""COMPUTED_VALUE"""),408277825)</f>
        <v>408277825</v>
      </c>
      <c r="E641" s="1">
        <f>IFERROR(__xludf.DUMMYFUNCTION("""COMPUTED_VALUE"""),472581788004)</f>
        <v>472581788004</v>
      </c>
      <c r="F641" s="1" t="str">
        <f>IFERROR(__xludf.DUMMYFUNCTION("""COMPUTED_VALUE"""),"CANCELLED")</f>
        <v>CANCELLED</v>
      </c>
      <c r="G641" s="1" t="str">
        <f>IFERROR(__xludf.DUMMYFUNCTION("""COMPUTED_VALUE"""),"""THRU CALL 
‎REMARKS SUBS REQUEST FOR CANCEL AT MERON DAW SILANG NA KUHANG PROVIDER NA NO CASH OUT 
TALK DIVINA PENALBA HERRERA 09763895865 
""")</f>
        <v>"THRU CALL 
‎REMARKS SUBS REQUEST FOR CANCEL AT MERON DAW SILANG NA KUHANG PROVIDER NA NO CASH OUT 
TALK DIVINA PENALBA HERRERA 09763895865 
"</v>
      </c>
      <c r="H641" s="1"/>
      <c r="I641" s="1" t="str">
        <f>IFERROR(__xludf.DUMMYFUNCTION("""COMPUTED_VALUE"""),"NO 1 AMSF")</f>
        <v>NO 1 AMSF</v>
      </c>
      <c r="J641" s="1"/>
      <c r="K641" s="1" t="str">
        <f>IFERROR(__xludf.DUMMYFUNCTION("""COMPUTED_VALUE"""),"OPEN IN OFSC")</f>
        <v>OPEN IN OFSC</v>
      </c>
      <c r="L641" s="1" t="str">
        <f>IFERROR(__xludf.DUMMYFUNCTION("""COMPUTED_VALUE"""),"RPR - SUBS CANCEL REQUEST")</f>
        <v>RPR - SUBS CANCEL REQUEST</v>
      </c>
      <c r="M641" s="1" t="str">
        <f>IFERROR(__xludf.DUMMYFUNCTION("""COMPUTED_VALUE"""),"RPR- SUBS CANCEL REQUEST")</f>
        <v>RPR- SUBS CANCEL REQUEST</v>
      </c>
      <c r="N641" s="3"/>
      <c r="O641" s="1" t="str">
        <f>IFERROR(__xludf.DUMMYFUNCTION("""COMPUTED_VALUE"""),"FIBR PLAN 1299")</f>
        <v>FIBR PLAN 1299</v>
      </c>
      <c r="P641" s="1" t="str">
        <f>IFERROR(__xludf.DUMMYFUNCTION("""COMPUTED_VALUE"""),"LOWPLAN")</f>
        <v>LOWPLAN</v>
      </c>
      <c r="Q641" s="1" t="str">
        <f>IFERROR(__xludf.DUMMYFUNCTION("""COMPUTED_VALUE"""),"P407050")</f>
        <v>P407050</v>
      </c>
      <c r="R641" s="1" t="str">
        <f>IFERROR(__xludf.DUMMYFUNCTION("""COMPUTED_VALUE"""),"ESCARCHA, ALMA")</f>
        <v>ESCARCHA, ALMA</v>
      </c>
      <c r="S641" s="1" t="str">
        <f>IFERROR(__xludf.DUMMYFUNCTION("""COMPUTED_VALUE"""),"ORGANIC")</f>
        <v>ORGANIC</v>
      </c>
      <c r="T641" s="1" t="str">
        <f>IFERROR(__xludf.DUMMYFUNCTION("""COMPUTED_VALUE"""),"LEA REMOLLO")</f>
        <v>LEA REMOLLO</v>
      </c>
      <c r="U641" s="1" t="str">
        <f>IFERROR(__xludf.DUMMYFUNCTION("""COMPUTED_VALUE"""),"JB SALIOA")</f>
        <v>JB SALIOA</v>
      </c>
      <c r="V641" s="1" t="str">
        <f>IFERROR(__xludf.DUMMYFUNCTION("""COMPUTED_VALUE"""),"BK HSTK")</f>
        <v>BK HSTK</v>
      </c>
      <c r="W641" s="1" t="str">
        <f>IFERROR(__xludf.DUMMYFUNCTION("""COMPUTED_VALUE"""),"BK HSTK")</f>
        <v>BK HSTK</v>
      </c>
      <c r="X641" s="1" t="str">
        <f>IFERROR(__xludf.DUMMYFUNCTION("""COMPUTED_VALUE"""),"HBBS SEPT 2026")</f>
        <v>HBBS SEPT 2026</v>
      </c>
      <c r="Y641" s="1" t="str">
        <f>IFERROR(__xludf.DUMMYFUNCTION("""COMPUTED_VALUE"""),"BK_CVEU_260826")</f>
        <v>BK_CVEU_260826</v>
      </c>
      <c r="Z641" s="1" t="str">
        <f>IFERROR(__xludf.DUMMYFUNCTION("""COMPUTED_VALUE"""),"NEW CONNECT")</f>
        <v>NEW CONNECT</v>
      </c>
      <c r="AA641" s="1">
        <f>IFERROR(__xludf.DUMMYFUNCTION("""COMPUTED_VALUE"""),639763895865)</f>
        <v>639763895865</v>
      </c>
      <c r="AB641" s="1"/>
      <c r="AC641" s="1">
        <f>IFERROR(__xludf.DUMMYFUNCTION("""COMPUTED_VALUE"""),12)</f>
        <v>12</v>
      </c>
      <c r="AD641" s="1" t="str">
        <f>IFERROR(__xludf.DUMMYFUNCTION("""COMPUTED_VALUE"""),"SAN FRANCISCO")</f>
        <v>SAN FRANCISCO</v>
      </c>
      <c r="AE641" s="1"/>
      <c r="AF641" s="1" t="str">
        <f>IFERROR(__xludf.DUMMYFUNCTION("""COMPUTED_VALUE"""),"BGY ASIS 1")</f>
        <v>BGY ASIS 1</v>
      </c>
      <c r="AG641" s="1" t="str">
        <f>IFERROR(__xludf.DUMMYFUNCTION("""COMPUTED_VALUE"""),"MENDEZ")</f>
        <v>MENDEZ</v>
      </c>
      <c r="AH641" s="1" t="str">
        <f>IFERROR(__xludf.DUMMYFUNCTION("""COMPUTED_VALUE"""),"WATER STATION")</f>
        <v>WATER STATION</v>
      </c>
      <c r="AI641" s="1" t="str">
        <f>IFERROR(__xludf.DUMMYFUNCTION("""COMPUTED_VALUE"""),"CLUSTER 12")</f>
        <v>CLUSTER 12</v>
      </c>
    </row>
    <row r="642" customHeight="1" spans="1:35">
      <c r="A642" s="3">
        <f>IFERROR(__xludf.DUMMYFUNCTION("""COMPUTED_VALUE"""),46288)</f>
        <v>46288</v>
      </c>
      <c r="B642" s="1" t="str">
        <f>IFERROR(__xludf.DUMMYFUNCTION("""COMPUTED_VALUE"""),"ROMEL DIMAPILIS NIBAY")</f>
        <v>ROMEL DIMAPILIS NIBAY</v>
      </c>
      <c r="C642" s="1">
        <f>IFERROR(__xludf.DUMMYFUNCTION("""COMPUTED_VALUE"""),2312756403)</f>
        <v>2312756403</v>
      </c>
      <c r="D642" s="1">
        <f>IFERROR(__xludf.DUMMYFUNCTION("""COMPUTED_VALUE"""),408279755)</f>
        <v>408279755</v>
      </c>
      <c r="E642" s="1">
        <f>IFERROR(__xludf.DUMMYFUNCTION("""COMPUTED_VALUE"""),472583068004)</f>
        <v>472583068004</v>
      </c>
      <c r="F642" s="1" t="str">
        <f>IFERROR(__xludf.DUMMYFUNCTION("""COMPUTED_VALUE"""),"CLOSED")</f>
        <v>CLOSED</v>
      </c>
      <c r="G642" s="1" t="str">
        <f>IFERROR(__xludf.DUMMYFUNCTION("""COMPUTED_VALUE"""),"CLOSED")</f>
        <v>CLOSED</v>
      </c>
      <c r="H642" s="1" t="str">
        <f>IFERROR(__xludf.DUMMYFUNCTION("""COMPUTED_VALUE"""),"PAID VIA GCASH - SEPT 24 - REF - 213111427")</f>
        <v>PAID VIA GCASH - SEPT 24 - REF - 213111427</v>
      </c>
      <c r="I642" s="1" t="str">
        <f>IFERROR(__xludf.DUMMYFUNCTION("""COMPUTED_VALUE"""),"WITH 1 AMSF")</f>
        <v>WITH 1 AMSF</v>
      </c>
      <c r="J642" s="1"/>
      <c r="K642" s="1" t="str">
        <f>IFERROR(__xludf.DUMMYFUNCTION("""COMPUTED_VALUE"""),"OPEN IN OFSC")</f>
        <v>OPEN IN OFSC</v>
      </c>
      <c r="L642" s="1" t="str">
        <f>IFERROR(__xludf.DUMMYFUNCTION("""COMPUTED_VALUE"""),"POSTED")</f>
        <v>POSTED</v>
      </c>
      <c r="M642" s="1" t="str">
        <f>IFERROR(__xludf.DUMMYFUNCTION("""COMPUTED_VALUE"""),"POSTED")</f>
        <v>POSTED</v>
      </c>
      <c r="N642" s="3">
        <f>IFERROR(__xludf.DUMMYFUNCTION("""COMPUTED_VALUE"""),46291)</f>
        <v>46291</v>
      </c>
      <c r="O642" s="1" t="str">
        <f>IFERROR(__xludf.DUMMYFUNCTION("""COMPUTED_VALUE"""),"FIBR PLAN 1299")</f>
        <v>FIBR PLAN 1299</v>
      </c>
      <c r="P642" s="1" t="str">
        <f>IFERROR(__xludf.DUMMYFUNCTION("""COMPUTED_VALUE"""),"LOWPLAN")</f>
        <v>LOWPLAN</v>
      </c>
      <c r="Q642" s="1" t="str">
        <f>IFERROR(__xludf.DUMMYFUNCTION("""COMPUTED_VALUE"""),"P407517")</f>
        <v>P407517</v>
      </c>
      <c r="R642" s="1" t="str">
        <f>IFERROR(__xludf.DUMMYFUNCTION("""COMPUTED_VALUE"""),"GABAY, MANUEL")</f>
        <v>GABAY, MANUEL</v>
      </c>
      <c r="S642" s="1" t="str">
        <f>IFERROR(__xludf.DUMMYFUNCTION("""COMPUTED_VALUE"""),"FLA")</f>
        <v>FLA</v>
      </c>
      <c r="T642" s="1" t="str">
        <f>IFERROR(__xludf.DUMMYFUNCTION("""COMPUTED_VALUE"""),"JERIC NAVARRO")</f>
        <v>JERIC NAVARRO</v>
      </c>
      <c r="U642" s="1" t="str">
        <f>IFERROR(__xludf.DUMMYFUNCTION("""COMPUTED_VALUE"""),"JB SALIOA")</f>
        <v>JB SALIOA</v>
      </c>
      <c r="V642" s="1" t="str">
        <f>IFERROR(__xludf.DUMMYFUNCTION("""COMPUTED_VALUE"""),"BK REGULAR")</f>
        <v>BK REGULAR</v>
      </c>
      <c r="W642" s="1" t="str">
        <f>IFERROR(__xludf.DUMMYFUNCTION("""COMPUTED_VALUE"""),"STK REGULAR")</f>
        <v>STK REGULAR</v>
      </c>
      <c r="X642" s="1" t="str">
        <f>IFERROR(__xludf.DUMMYFUNCTION("""COMPUTED_VALUE"""),"HBBS SEPT 2026")</f>
        <v>HBBS SEPT 2026</v>
      </c>
      <c r="Y642" s="1" t="str">
        <f>IFERROR(__xludf.DUMMYFUNCTION("""COMPUTED_VALUE"""),"BK_CVEU_260826")</f>
        <v>BK_CVEU_260826</v>
      </c>
      <c r="Z642" s="1" t="str">
        <f>IFERROR(__xludf.DUMMYFUNCTION("""COMPUTED_VALUE"""),"NEW CONNECT")</f>
        <v>NEW CONNECT</v>
      </c>
      <c r="AA642" s="1">
        <f>IFERROR(__xludf.DUMMYFUNCTION("""COMPUTED_VALUE"""),639177367652)</f>
        <v>639177367652</v>
      </c>
      <c r="AB642" s="1"/>
      <c r="AC642" s="1">
        <f>IFERROR(__xludf.DUMMYFUNCTION("""COMPUTED_VALUE"""),54)</f>
        <v>54</v>
      </c>
      <c r="AD642" s="1" t="str">
        <f>IFERROR(__xludf.DUMMYFUNCTION("""COMPUTED_VALUE"""),"LLAMADO")</f>
        <v>LLAMADO</v>
      </c>
      <c r="AE642" s="1" t="str">
        <f>IFERROR(__xludf.DUMMYFUNCTION("""COMPUTED_VALUE"""),"MEEJAYS BLDG UNIT C 2/F")</f>
        <v>MEEJAYS BLDG UNIT C 2/F</v>
      </c>
      <c r="AF642" s="1" t="str">
        <f>IFERROR(__xludf.DUMMYFUNCTION("""COMPUTED_VALUE"""),"BGY 5")</f>
        <v>BGY 5</v>
      </c>
      <c r="AG642" s="1" t="str">
        <f>IFERROR(__xludf.DUMMYFUNCTION("""COMPUTED_VALUE"""),"MENDEZ")</f>
        <v>MENDEZ</v>
      </c>
      <c r="AH642" s="1" t="str">
        <f>IFERROR(__xludf.DUMMYFUNCTION("""COMPUTED_VALUE"""),"SHELL")</f>
        <v>SHELL</v>
      </c>
      <c r="AI642" s="1" t="str">
        <f>IFERROR(__xludf.DUMMYFUNCTION("""COMPUTED_VALUE"""),"CLUSTER 12")</f>
        <v>CLUSTER 12</v>
      </c>
    </row>
    <row r="643" customHeight="1" spans="1:35">
      <c r="A643" s="3">
        <f>IFERROR(__xludf.DUMMYFUNCTION("""COMPUTED_VALUE"""),46288)</f>
        <v>46288</v>
      </c>
      <c r="B643" s="1" t="str">
        <f>IFERROR(__xludf.DUMMYFUNCTION("""COMPUTED_VALUE"""),"NOEL ALDRIN ALCANTARA LEGASPI")</f>
        <v>NOEL ALDRIN ALCANTARA LEGASPI</v>
      </c>
      <c r="C643" s="1">
        <f>IFERROR(__xludf.DUMMYFUNCTION("""COMPUTED_VALUE"""),2312758470)</f>
        <v>2312758470</v>
      </c>
      <c r="D643" s="1">
        <f>IFERROR(__xludf.DUMMYFUNCTION("""COMPUTED_VALUE"""),408286131)</f>
        <v>408286131</v>
      </c>
      <c r="E643" s="1">
        <f>IFERROR(__xludf.DUMMYFUNCTION("""COMPUTED_VALUE"""),472587004004)</f>
        <v>472587004004</v>
      </c>
      <c r="F643" s="1" t="str">
        <f>IFERROR(__xludf.DUMMYFUNCTION("""COMPUTED_VALUE"""),"REENCODED")</f>
        <v>REENCODED</v>
      </c>
      <c r="G643" s="1" t="str">
        <f>IFERROR(__xludf.DUMMYFUNCTION("""COMPUTED_VALUE"""),"REENCODED DUE TO SYSTEM ERROR")</f>
        <v>REENCODED DUE TO SYSTEM ERROR</v>
      </c>
      <c r="H643" s="1" t="str">
        <f>IFERROR(__xludf.DUMMYFUNCTION("""COMPUTED_VALUE"""),"REPROCESS ")</f>
        <v>REPROCESS </v>
      </c>
      <c r="I643" s="1" t="str">
        <f>IFERROR(__xludf.DUMMYFUNCTION("""COMPUTED_VALUE"""),"WITH 1 AMSF")</f>
        <v>WITH 1 AMSF</v>
      </c>
      <c r="J643" s="1"/>
      <c r="K643" s="1" t="str">
        <f>IFERROR(__xludf.DUMMYFUNCTION("""COMPUTED_VALUE"""),"OPEN IN OFSC")</f>
        <v>OPEN IN OFSC</v>
      </c>
      <c r="L643" s="1" t="str">
        <f>IFERROR(__xludf.DUMMYFUNCTION("""COMPUTED_VALUE"""),"REENCODED")</f>
        <v>REENCODED</v>
      </c>
      <c r="M643" s="1" t="str">
        <f>IFERROR(__xludf.DUMMYFUNCTION("""COMPUTED_VALUE"""),"REENCODED")</f>
        <v>REENCODED</v>
      </c>
      <c r="N643" s="3"/>
      <c r="O643" s="1" t="str">
        <f>IFERROR(__xludf.DUMMYFUNCTION("""COMPUTED_VALUE"""),"FIBER UNLI ALL PLAN 1899")</f>
        <v>FIBER UNLI ALL PLAN 1899</v>
      </c>
      <c r="P643" s="1" t="str">
        <f>IFERROR(__xludf.DUMMYFUNCTION("""COMPUTED_VALUE"""),"HIGHPLAN")</f>
        <v>HIGHPLAN</v>
      </c>
      <c r="Q643" s="1" t="str">
        <f>IFERROR(__xludf.DUMMYFUNCTION("""COMPUTED_VALUE"""),"P407520")</f>
        <v>P407520</v>
      </c>
      <c r="R643" s="1" t="str">
        <f>IFERROR(__xludf.DUMMYFUNCTION("""COMPUTED_VALUE"""),"MALIWAT, MARK")</f>
        <v>MALIWAT, MARK</v>
      </c>
      <c r="S643" s="1" t="str">
        <f>IFERROR(__xludf.DUMMYFUNCTION("""COMPUTED_VALUE"""),"FLA")</f>
        <v>FLA</v>
      </c>
      <c r="T643" s="1" t="str">
        <f>IFERROR(__xludf.DUMMYFUNCTION("""COMPUTED_VALUE"""),"JERIC NAVARRO")</f>
        <v>JERIC NAVARRO</v>
      </c>
      <c r="U643" s="1" t="str">
        <f>IFERROR(__xludf.DUMMYFUNCTION("""COMPUTED_VALUE"""),"JB SALIOA")</f>
        <v>JB SALIOA</v>
      </c>
      <c r="V643" s="1" t="str">
        <f>IFERROR(__xludf.DUMMYFUNCTION("""COMPUTED_VALUE"""),"ONLINE/CRANFORD")</f>
        <v>ONLINE/CRANFORD</v>
      </c>
      <c r="W643" s="1" t="str">
        <f>IFERROR(__xludf.DUMMYFUNCTION("""COMPUTED_VALUE"""),"STK REGULAR")</f>
        <v>STK REGULAR</v>
      </c>
      <c r="X643" s="1" t="str">
        <f>IFERROR(__xludf.DUMMYFUNCTION("""COMPUTED_VALUE"""),"HBBS SEPT 2026")</f>
        <v>HBBS SEPT 2026</v>
      </c>
      <c r="Y643" s="1" t="str">
        <f>IFERROR(__xludf.DUMMYFUNCTION("""COMPUTED_VALUE"""),"RS_ONL_CVEU_2026")</f>
        <v>RS_ONL_CVEU_2026</v>
      </c>
      <c r="Z643" s="1" t="str">
        <f>IFERROR(__xludf.DUMMYFUNCTION("""COMPUTED_VALUE"""),"NEW CONNECT")</f>
        <v>NEW CONNECT</v>
      </c>
      <c r="AA643" s="1">
        <f>IFERROR(__xludf.DUMMYFUNCTION("""COMPUTED_VALUE"""),639914067848)</f>
        <v>639914067848</v>
      </c>
      <c r="AB643" s="1">
        <f>IFERROR(__xludf.DUMMYFUNCTION("""COMPUTED_VALUE"""),639919323784)</f>
        <v>639919323784</v>
      </c>
      <c r="AC643" s="1"/>
      <c r="AD643" s="1" t="str">
        <f>IFERROR(__xludf.DUMMYFUNCTION("""COMPUTED_VALUE"""),"OLEA")</f>
        <v>OLEA</v>
      </c>
      <c r="AE643" s="1" t="str">
        <f>IFERROR(__xludf.DUMMYFUNCTION("""COMPUTED_VALUE"""),"SOMERSET 6 LANCASTER NEW CITY")</f>
        <v>SOMERSET 6 LANCASTER NEW CITY</v>
      </c>
      <c r="AF643" s="1" t="str">
        <f>IFERROR(__xludf.DUMMYFUNCTION("""COMPUTED_VALUE"""),"BGY NAVARRO")</f>
        <v>BGY NAVARRO</v>
      </c>
      <c r="AG643" s="1" t="str">
        <f>IFERROR(__xludf.DUMMYFUNCTION("""COMPUTED_VALUE"""),"GENERAL TRIAS")</f>
        <v>GENERAL TRIAS</v>
      </c>
      <c r="AH643" s="1" t="str">
        <f>IFERROR(__xludf.DUMMYFUNCTION("""COMPUTED_VALUE"""),"-")</f>
        <v>-</v>
      </c>
      <c r="AI643" s="1" t="str">
        <f>IFERROR(__xludf.DUMMYFUNCTION("""COMPUTED_VALUE"""),"NOT AOR")</f>
        <v>NOT AOR</v>
      </c>
    </row>
    <row r="644" customHeight="1" spans="1:35">
      <c r="A644" s="3">
        <f>IFERROR(__xludf.DUMMYFUNCTION("""COMPUTED_VALUE"""),46288)</f>
        <v>46288</v>
      </c>
      <c r="B644" s="1" t="str">
        <f>IFERROR(__xludf.DUMMYFUNCTION("""COMPUTED_VALUE"""),"LEANDRO WENCESLAO DELA CRUZ")</f>
        <v>LEANDRO WENCESLAO DELA CRUZ</v>
      </c>
      <c r="C644" s="1">
        <f>IFERROR(__xludf.DUMMYFUNCTION("""COMPUTED_VALUE"""),2312759647)</f>
        <v>2312759647</v>
      </c>
      <c r="D644" s="1"/>
      <c r="E644" s="1"/>
      <c r="F644" s="1" t="str">
        <f>IFERROR(__xludf.DUMMYFUNCTION("""COMPUTED_VALUE"""),"CANCELLED")</f>
        <v>CANCELLED</v>
      </c>
      <c r="G644" s="1" t="str">
        <f>IFERROR(__xludf.DUMMYFUNCTION("""COMPUTED_VALUE"""),"CANCELLED")</f>
        <v>CANCELLED</v>
      </c>
      <c r="H644" s="1"/>
      <c r="I644" s="1"/>
      <c r="J644" s="1"/>
      <c r="K644" s="1"/>
      <c r="L644" s="1" t="str">
        <f>IFERROR(__xludf.DUMMYFUNCTION("""COMPUTED_VALUE"""),"CANCELLED - WITH OB")</f>
        <v>CANCELLED - WITH OB</v>
      </c>
      <c r="M644" s="1" t="str">
        <f>IFERROR(__xludf.DUMMYFUNCTION("""COMPUTED_VALUE"""),"CANCELLED - WITH OB")</f>
        <v>CANCELLED - WITH OB</v>
      </c>
      <c r="N644" s="3"/>
      <c r="O644" s="1" t="str">
        <f>IFERROR(__xludf.DUMMYFUNCTION("""COMPUTED_VALUE"""),"SWITCH FIBER UNLI ALL PLAN 1499")</f>
        <v>SWITCH FIBER UNLI ALL PLAN 1499</v>
      </c>
      <c r="P644" s="1" t="str">
        <f>IFERROR(__xludf.DUMMYFUNCTION("""COMPUTED_VALUE"""),"SWITCH")</f>
        <v>SWITCH</v>
      </c>
      <c r="Q644" s="1" t="str">
        <f>IFERROR(__xludf.DUMMYFUNCTION("""COMPUTED_VALUE"""),"P407047")</f>
        <v>P407047</v>
      </c>
      <c r="R644" s="1" t="str">
        <f>IFERROR(__xludf.DUMMYFUNCTION("""COMPUTED_VALUE"""),"FRANCISCO, ROSELYN")</f>
        <v>FRANCISCO, ROSELYN</v>
      </c>
      <c r="S644" s="1" t="str">
        <f>IFERROR(__xludf.DUMMYFUNCTION("""COMPUTED_VALUE"""),"ORGANIC")</f>
        <v>ORGANIC</v>
      </c>
      <c r="T644" s="1" t="str">
        <f>IFERROR(__xludf.DUMMYFUNCTION("""COMPUTED_VALUE"""),"LEA REMOLLO")</f>
        <v>LEA REMOLLO</v>
      </c>
      <c r="U644" s="1" t="str">
        <f>IFERROR(__xludf.DUMMYFUNCTION("""COMPUTED_VALUE"""),"JB SALIOA")</f>
        <v>JB SALIOA</v>
      </c>
      <c r="V644" s="1" t="str">
        <f>IFERROR(__xludf.DUMMYFUNCTION("""COMPUTED_VALUE"""),"BK REGULAR")</f>
        <v>BK REGULAR</v>
      </c>
      <c r="W644" s="1" t="str">
        <f>IFERROR(__xludf.DUMMYFUNCTION("""COMPUTED_VALUE"""),"STK REGULAR")</f>
        <v>STK REGULAR</v>
      </c>
      <c r="X644" s="1" t="str">
        <f>IFERROR(__xludf.DUMMYFUNCTION("""COMPUTED_VALUE"""),"ANTI COMPETITOR")</f>
        <v>ANTI COMPETITOR</v>
      </c>
      <c r="Y644" s="1" t="str">
        <f>IFERROR(__xludf.DUMMYFUNCTION("""COMPUTED_VALUE"""),"BK_CVEU_260827")</f>
        <v>BK_CVEU_260827</v>
      </c>
      <c r="Z644" s="1" t="str">
        <f>IFERROR(__xludf.DUMMYFUNCTION("""COMPUTED_VALUE"""),"NEW CONNECT")</f>
        <v>NEW CONNECT</v>
      </c>
      <c r="AA644" s="1">
        <f>IFERROR(__xludf.DUMMYFUNCTION("""COMPUTED_VALUE"""),639770780190)</f>
        <v>639770780190</v>
      </c>
      <c r="AB644" s="1"/>
      <c r="AC644" s="1"/>
      <c r="AD644" s="1"/>
      <c r="AE644" s="1"/>
      <c r="AF644" s="1"/>
      <c r="AG644" s="1"/>
      <c r="AH644" s="1"/>
      <c r="AI644" s="1"/>
    </row>
    <row r="645" customHeight="1" spans="1:35">
      <c r="A645" s="3">
        <f>IFERROR(__xludf.DUMMYFUNCTION("""COMPUTED_VALUE"""),46288)</f>
        <v>46288</v>
      </c>
      <c r="B645" s="1" t="str">
        <f>IFERROR(__xludf.DUMMYFUNCTION("""COMPUTED_VALUE"""),"NOEL ALDRIN ALCANTARA LEGASPI")</f>
        <v>NOEL ALDRIN ALCANTARA LEGASPI</v>
      </c>
      <c r="C645" s="1">
        <f>IFERROR(__xludf.DUMMYFUNCTION("""COMPUTED_VALUE"""),2312759973)</f>
        <v>2312759973</v>
      </c>
      <c r="D645" s="1">
        <f>IFERROR(__xludf.DUMMYFUNCTION("""COMPUTED_VALUE"""),408287502)</f>
        <v>408287502</v>
      </c>
      <c r="E645" s="1">
        <f>IFERROR(__xludf.DUMMYFUNCTION("""COMPUTED_VALUE"""),472587710004)</f>
        <v>472587710004</v>
      </c>
      <c r="F645" s="1" t="str">
        <f>IFERROR(__xludf.DUMMYFUNCTION("""COMPUTED_VALUE"""),"CLOSED")</f>
        <v>CLOSED</v>
      </c>
      <c r="G645" s="1" t="str">
        <f>IFERROR(__xludf.DUMMYFUNCTION("""COMPUTED_VALUE"""),"CLOSED")</f>
        <v>CLOSED</v>
      </c>
      <c r="H645" s="1" t="str">
        <f>IFERROR(__xludf.DUMMYFUNCTION("""COMPUTED_VALUE"""),"PAID VIA GCASH REF 417558771 SEP 24")</f>
        <v>PAID VIA GCASH REF 417558771 SEP 24</v>
      </c>
      <c r="I645" s="1" t="str">
        <f>IFERROR(__xludf.DUMMYFUNCTION("""COMPUTED_VALUE"""),"WITH 1 AMSF")</f>
        <v>WITH 1 AMSF</v>
      </c>
      <c r="J645" s="1"/>
      <c r="K645" s="1" t="str">
        <f>IFERROR(__xludf.DUMMYFUNCTION("""COMPUTED_VALUE"""),"COMPLETED")</f>
        <v>COMPLETED</v>
      </c>
      <c r="L645" s="1" t="str">
        <f>IFERROR(__xludf.DUMMYFUNCTION("""COMPUTED_VALUE"""),"POSTED")</f>
        <v>POSTED</v>
      </c>
      <c r="M645" s="1" t="str">
        <f>IFERROR(__xludf.DUMMYFUNCTION("""COMPUTED_VALUE"""),"POSTED")</f>
        <v>POSTED</v>
      </c>
      <c r="N645" s="3">
        <f>IFERROR(__xludf.DUMMYFUNCTION("""COMPUTED_VALUE"""),46289)</f>
        <v>46289</v>
      </c>
      <c r="O645" s="1" t="str">
        <f>IFERROR(__xludf.DUMMYFUNCTION("""COMPUTED_VALUE"""),"FIBER UNLI ALL PLAN 1899")</f>
        <v>FIBER UNLI ALL PLAN 1899</v>
      </c>
      <c r="P645" s="1" t="str">
        <f>IFERROR(__xludf.DUMMYFUNCTION("""COMPUTED_VALUE"""),"HIGHPLAN")</f>
        <v>HIGHPLAN</v>
      </c>
      <c r="Q645" s="1" t="str">
        <f>IFERROR(__xludf.DUMMYFUNCTION("""COMPUTED_VALUE"""),"P407520")</f>
        <v>P407520</v>
      </c>
      <c r="R645" s="1" t="str">
        <f>IFERROR(__xludf.DUMMYFUNCTION("""COMPUTED_VALUE"""),"MALIWAT, MARK")</f>
        <v>MALIWAT, MARK</v>
      </c>
      <c r="S645" s="1" t="str">
        <f>IFERROR(__xludf.DUMMYFUNCTION("""COMPUTED_VALUE"""),"FLA")</f>
        <v>FLA</v>
      </c>
      <c r="T645" s="1" t="str">
        <f>IFERROR(__xludf.DUMMYFUNCTION("""COMPUTED_VALUE"""),"JERIC NAVARRO")</f>
        <v>JERIC NAVARRO</v>
      </c>
      <c r="U645" s="1" t="str">
        <f>IFERROR(__xludf.DUMMYFUNCTION("""COMPUTED_VALUE"""),"JB SALIOA")</f>
        <v>JB SALIOA</v>
      </c>
      <c r="V645" s="1" t="str">
        <f>IFERROR(__xludf.DUMMYFUNCTION("""COMPUTED_VALUE"""),"ONLINE/CRANFORD")</f>
        <v>ONLINE/CRANFORD</v>
      </c>
      <c r="W645" s="1" t="str">
        <f>IFERROR(__xludf.DUMMYFUNCTION("""COMPUTED_VALUE"""),"STK REGULAR")</f>
        <v>STK REGULAR</v>
      </c>
      <c r="X645" s="1" t="str">
        <f>IFERROR(__xludf.DUMMYFUNCTION("""COMPUTED_VALUE"""),"HBBS SEPT 2026")</f>
        <v>HBBS SEPT 2026</v>
      </c>
      <c r="Y645" s="1" t="str">
        <f>IFERROR(__xludf.DUMMYFUNCTION("""COMPUTED_VALUE"""),"RS_ONL_CVEU_2026")</f>
        <v>RS_ONL_CVEU_2026</v>
      </c>
      <c r="Z645" s="1" t="str">
        <f>IFERROR(__xludf.DUMMYFUNCTION("""COMPUTED_VALUE"""),"NEW CONNECT")</f>
        <v>NEW CONNECT</v>
      </c>
      <c r="AA645" s="1">
        <f>IFERROR(__xludf.DUMMYFUNCTION("""COMPUTED_VALUE"""),639914067848)</f>
        <v>639914067848</v>
      </c>
      <c r="AB645" s="1">
        <f>IFERROR(__xludf.DUMMYFUNCTION("""COMPUTED_VALUE"""),639919323784)</f>
        <v>639919323784</v>
      </c>
      <c r="AC645" s="1"/>
      <c r="AD645" s="1" t="str">
        <f>IFERROR(__xludf.DUMMYFUNCTION("""COMPUTED_VALUE"""),"OLEA")</f>
        <v>OLEA</v>
      </c>
      <c r="AE645" s="1" t="str">
        <f>IFERROR(__xludf.DUMMYFUNCTION("""COMPUTED_VALUE"""),"SOMERSET 6 LANCASTER NEW CITY")</f>
        <v>SOMERSET 6 LANCASTER NEW CITY</v>
      </c>
      <c r="AF645" s="1" t="str">
        <f>IFERROR(__xludf.DUMMYFUNCTION("""COMPUTED_VALUE"""),"BGY NAVARRO")</f>
        <v>BGY NAVARRO</v>
      </c>
      <c r="AG645" s="1" t="str">
        <f>IFERROR(__xludf.DUMMYFUNCTION("""COMPUTED_VALUE"""),"GENERAL TRIAS")</f>
        <v>GENERAL TRIAS</v>
      </c>
      <c r="AH645" s="1" t="str">
        <f>IFERROR(__xludf.DUMMYFUNCTION("""COMPUTED_VALUE"""),"-")</f>
        <v>-</v>
      </c>
      <c r="AI645" s="1" t="str">
        <f>IFERROR(__xludf.DUMMYFUNCTION("""COMPUTED_VALUE"""),"NOT AOR")</f>
        <v>NOT AOR</v>
      </c>
    </row>
    <row r="646" customHeight="1" spans="1:35">
      <c r="A646" s="3">
        <f>IFERROR(__xludf.DUMMYFUNCTION("""COMPUTED_VALUE"""),46288)</f>
        <v>46288</v>
      </c>
      <c r="B646" s="1" t="str">
        <f>IFERROR(__xludf.DUMMYFUNCTION("""COMPUTED_VALUE"""),"FORTUNATO GRET ATULI")</f>
        <v>FORTUNATO GRET ATULI</v>
      </c>
      <c r="C646" s="1">
        <f>IFERROR(__xludf.DUMMYFUNCTION("""COMPUTED_VALUE"""),2312760753)</f>
        <v>2312760753</v>
      </c>
      <c r="D646" s="1"/>
      <c r="E646" s="1"/>
      <c r="F646" s="1" t="str">
        <f>IFERROR(__xludf.DUMMYFUNCTION("""COMPUTED_VALUE"""),"CANCELLED")</f>
        <v>CANCELLED</v>
      </c>
      <c r="G646" s="1" t="str">
        <f>IFERROR(__xludf.DUMMYFUNCTION("""COMPUTED_VALUE"""),"CANCELLED")</f>
        <v>CANCELLED</v>
      </c>
      <c r="H646" s="1"/>
      <c r="I646" s="1"/>
      <c r="J646" s="1"/>
      <c r="K646" s="1"/>
      <c r="L646" s="1" t="str">
        <f>IFERROR(__xludf.DUMMYFUNCTION("""COMPUTED_VALUE"""),"CANCELLED")</f>
        <v>CANCELLED</v>
      </c>
      <c r="M646" s="1" t="str">
        <f>IFERROR(__xludf.DUMMYFUNCTION("""COMPUTED_VALUE"""),"CANCELLED")</f>
        <v>CANCELLED</v>
      </c>
      <c r="N646" s="3"/>
      <c r="O646" s="1" t="str">
        <f>IFERROR(__xludf.DUMMYFUNCTION("""COMPUTED_VALUE"""),"FIBR UNLI ALL PLAN 999")</f>
        <v>FIBR UNLI ALL PLAN 999</v>
      </c>
      <c r="P646" s="1" t="str">
        <f>IFERROR(__xludf.DUMMYFUNCTION("""COMPUTED_VALUE"""),"LOWPLAN")</f>
        <v>LOWPLAN</v>
      </c>
      <c r="Q646" s="1" t="str">
        <f>IFERROR(__xludf.DUMMYFUNCTION("""COMPUTED_VALUE"""),"P407050")</f>
        <v>P407050</v>
      </c>
      <c r="R646" s="1" t="str">
        <f>IFERROR(__xludf.DUMMYFUNCTION("""COMPUTED_VALUE"""),"ESCARCHA, ALMA")</f>
        <v>ESCARCHA, ALMA</v>
      </c>
      <c r="S646" s="1" t="str">
        <f>IFERROR(__xludf.DUMMYFUNCTION("""COMPUTED_VALUE"""),"ORGANIC")</f>
        <v>ORGANIC</v>
      </c>
      <c r="T646" s="1" t="str">
        <f>IFERROR(__xludf.DUMMYFUNCTION("""COMPUTED_VALUE"""),"LEA REMOLLO")</f>
        <v>LEA REMOLLO</v>
      </c>
      <c r="U646" s="1" t="str">
        <f>IFERROR(__xludf.DUMMYFUNCTION("""COMPUTED_VALUE"""),"JB SALIOA")</f>
        <v>JB SALIOA</v>
      </c>
      <c r="V646" s="1" t="str">
        <f>IFERROR(__xludf.DUMMYFUNCTION("""COMPUTED_VALUE"""),"BK REGULAR")</f>
        <v>BK REGULAR</v>
      </c>
      <c r="W646" s="1" t="str">
        <f>IFERROR(__xludf.DUMMYFUNCTION("""COMPUTED_VALUE"""),"STK REGULAR")</f>
        <v>STK REGULAR</v>
      </c>
      <c r="X646" s="1" t="str">
        <f>IFERROR(__xludf.DUMMYFUNCTION("""COMPUTED_VALUE"""),"REGULAR")</f>
        <v>REGULAR</v>
      </c>
      <c r="Y646" s="1" t="str">
        <f>IFERROR(__xludf.DUMMYFUNCTION("""COMPUTED_VALUE"""),"BK_CVEU_260826")</f>
        <v>BK_CVEU_260826</v>
      </c>
      <c r="Z646" s="1" t="str">
        <f>IFERROR(__xludf.DUMMYFUNCTION("""COMPUTED_VALUE"""),"NEW CONNECT")</f>
        <v>NEW CONNECT</v>
      </c>
      <c r="AA646" s="1">
        <f>IFERROR(__xludf.DUMMYFUNCTION("""COMPUTED_VALUE"""),639675621197)</f>
        <v>639675621197</v>
      </c>
      <c r="AB646" s="1"/>
      <c r="AC646" s="1"/>
      <c r="AD646" s="1"/>
      <c r="AE646" s="1"/>
      <c r="AF646" s="1"/>
      <c r="AG646" s="1"/>
      <c r="AH646" s="1"/>
      <c r="AI646" s="1"/>
    </row>
    <row r="647" customHeight="1" spans="1:35">
      <c r="A647" s="3">
        <f>IFERROR(__xludf.DUMMYFUNCTION("""COMPUTED_VALUE"""),46288)</f>
        <v>46288</v>
      </c>
      <c r="B647" s="1" t="str">
        <f>IFERROR(__xludf.DUMMYFUNCTION("""COMPUTED_VALUE"""),"RENIE ROSE POLIQUIT CAPARANGA")</f>
        <v>RENIE ROSE POLIQUIT CAPARANGA</v>
      </c>
      <c r="C647" s="1">
        <f>IFERROR(__xludf.DUMMYFUNCTION("""COMPUTED_VALUE"""),2312760941)</f>
        <v>2312760941</v>
      </c>
      <c r="D647" s="1"/>
      <c r="E647" s="1"/>
      <c r="F647" s="1" t="str">
        <f>IFERROR(__xludf.DUMMYFUNCTION("""COMPUTED_VALUE"""),"CANCELLED")</f>
        <v>CANCELLED</v>
      </c>
      <c r="G647" s="1" t="str">
        <f>IFERROR(__xludf.DUMMYFUNCTION("""COMPUTED_VALUE"""),"CANCELLED")</f>
        <v>CANCELLED</v>
      </c>
      <c r="H647" s="1"/>
      <c r="I647" s="1"/>
      <c r="J647" s="1"/>
      <c r="K647" s="1"/>
      <c r="L647" s="1" t="str">
        <f>IFERROR(__xludf.DUMMYFUNCTION("""COMPUTED_VALUE"""),"CANCELLED")</f>
        <v>CANCELLED</v>
      </c>
      <c r="M647" s="1" t="str">
        <f>IFERROR(__xludf.DUMMYFUNCTION("""COMPUTED_VALUE"""),"CANCELLED")</f>
        <v>CANCELLED</v>
      </c>
      <c r="N647" s="3"/>
      <c r="O647" s="1" t="str">
        <f>IFERROR(__xludf.DUMMYFUNCTION("""COMPUTED_VALUE"""),"FIBR UNLI ALL PLAN 999")</f>
        <v>FIBR UNLI ALL PLAN 999</v>
      </c>
      <c r="P647" s="1" t="str">
        <f>IFERROR(__xludf.DUMMYFUNCTION("""COMPUTED_VALUE"""),"LOWPLAN")</f>
        <v>LOWPLAN</v>
      </c>
      <c r="Q647" s="1" t="str">
        <f>IFERROR(__xludf.DUMMYFUNCTION("""COMPUTED_VALUE"""),"P407050")</f>
        <v>P407050</v>
      </c>
      <c r="R647" s="1" t="str">
        <f>IFERROR(__xludf.DUMMYFUNCTION("""COMPUTED_VALUE"""),"ARENA, LYKA")</f>
        <v>ARENA, LYKA</v>
      </c>
      <c r="S647" s="1" t="str">
        <f>IFERROR(__xludf.DUMMYFUNCTION("""COMPUTED_VALUE"""),"ORGANIC")</f>
        <v>ORGANIC</v>
      </c>
      <c r="T647" s="1" t="str">
        <f>IFERROR(__xludf.DUMMYFUNCTION("""COMPUTED_VALUE"""),"LEA REMOLLO")</f>
        <v>LEA REMOLLO</v>
      </c>
      <c r="U647" s="1" t="str">
        <f>IFERROR(__xludf.DUMMYFUNCTION("""COMPUTED_VALUE"""),"JB SALIOA")</f>
        <v>JB SALIOA</v>
      </c>
      <c r="V647" s="1" t="str">
        <f>IFERROR(__xludf.DUMMYFUNCTION("""COMPUTED_VALUE"""),"BK HSTK")</f>
        <v>BK HSTK</v>
      </c>
      <c r="W647" s="1" t="str">
        <f>IFERROR(__xludf.DUMMYFUNCTION("""COMPUTED_VALUE"""),"BK HSTK")</f>
        <v>BK HSTK</v>
      </c>
      <c r="X647" s="1" t="str">
        <f>IFERROR(__xludf.DUMMYFUNCTION("""COMPUTED_VALUE"""),"REGULAR")</f>
        <v>REGULAR</v>
      </c>
      <c r="Y647" s="1" t="str">
        <f>IFERROR(__xludf.DUMMYFUNCTION("""COMPUTED_VALUE"""),"BK_CVEU_260825")</f>
        <v>BK_CVEU_260825</v>
      </c>
      <c r="Z647" s="1" t="str">
        <f>IFERROR(__xludf.DUMMYFUNCTION("""COMPUTED_VALUE"""),"NEW CONNECT")</f>
        <v>NEW CONNECT</v>
      </c>
      <c r="AA647" s="1">
        <f>IFERROR(__xludf.DUMMYFUNCTION("""COMPUTED_VALUE"""),639919380686)</f>
        <v>639919380686</v>
      </c>
      <c r="AB647" s="1"/>
      <c r="AC647" s="1"/>
      <c r="AD647" s="1"/>
      <c r="AE647" s="1"/>
      <c r="AF647" s="1"/>
      <c r="AG647" s="1"/>
      <c r="AH647" s="1"/>
      <c r="AI647" s="1"/>
    </row>
    <row r="648" customHeight="1" spans="1:35">
      <c r="A648" s="3">
        <f>IFERROR(__xludf.DUMMYFUNCTION("""COMPUTED_VALUE"""),46288)</f>
        <v>46288</v>
      </c>
      <c r="B648" s="1" t="str">
        <f>IFERROR(__xludf.DUMMYFUNCTION("""COMPUTED_VALUE"""),"ROMNICK ORTAZON SACAY")</f>
        <v>ROMNICK ORTAZON SACAY</v>
      </c>
      <c r="C648" s="1">
        <f>IFERROR(__xludf.DUMMYFUNCTION("""COMPUTED_VALUE"""),2312761444)</f>
        <v>2312761444</v>
      </c>
      <c r="D648" s="1"/>
      <c r="E648" s="1"/>
      <c r="F648" s="1" t="str">
        <f>IFERROR(__xludf.DUMMYFUNCTION("""COMPUTED_VALUE"""),"CANCELLED")</f>
        <v>CANCELLED</v>
      </c>
      <c r="G648" s="1" t="str">
        <f>IFERROR(__xludf.DUMMYFUNCTION("""COMPUTED_VALUE"""),"CANCELLED")</f>
        <v>CANCELLED</v>
      </c>
      <c r="H648" s="1"/>
      <c r="I648" s="1"/>
      <c r="J648" s="1"/>
      <c r="K648" s="1"/>
      <c r="L648" s="1" t="str">
        <f>IFERROR(__xludf.DUMMYFUNCTION("""COMPUTED_VALUE"""),"CANCELLED")</f>
        <v>CANCELLED</v>
      </c>
      <c r="M648" s="1" t="str">
        <f>IFERROR(__xludf.DUMMYFUNCTION("""COMPUTED_VALUE"""),"CANCELLED")</f>
        <v>CANCELLED</v>
      </c>
      <c r="N648" s="3"/>
      <c r="O648" s="1" t="str">
        <f>IFERROR(__xludf.DUMMYFUNCTION("""COMPUTED_VALUE"""),"FIBR PLAN 1299")</f>
        <v>FIBR PLAN 1299</v>
      </c>
      <c r="P648" s="1" t="str">
        <f>IFERROR(__xludf.DUMMYFUNCTION("""COMPUTED_VALUE"""),"LOWPLAN")</f>
        <v>LOWPLAN</v>
      </c>
      <c r="Q648" s="1" t="str">
        <f>IFERROR(__xludf.DUMMYFUNCTION("""COMPUTED_VALUE"""),"P407050")</f>
        <v>P407050</v>
      </c>
      <c r="R648" s="1" t="str">
        <f>IFERROR(__xludf.DUMMYFUNCTION("""COMPUTED_VALUE"""),"IVNO, RAZZEL")</f>
        <v>IVNO, RAZZEL</v>
      </c>
      <c r="S648" s="1" t="str">
        <f>IFERROR(__xludf.DUMMYFUNCTION("""COMPUTED_VALUE"""),"ORGANIC")</f>
        <v>ORGANIC</v>
      </c>
      <c r="T648" s="1" t="str">
        <f>IFERROR(__xludf.DUMMYFUNCTION("""COMPUTED_VALUE"""),"LEA REMOLLO")</f>
        <v>LEA REMOLLO</v>
      </c>
      <c r="U648" s="1" t="str">
        <f>IFERROR(__xludf.DUMMYFUNCTION("""COMPUTED_VALUE"""),"JB SALIOA")</f>
        <v>JB SALIOA</v>
      </c>
      <c r="V648" s="1" t="str">
        <f>IFERROR(__xludf.DUMMYFUNCTION("""COMPUTED_VALUE"""),"BK HSTK")</f>
        <v>BK HSTK</v>
      </c>
      <c r="W648" s="1" t="str">
        <f>IFERROR(__xludf.DUMMYFUNCTION("""COMPUTED_VALUE"""),"BK HSTK")</f>
        <v>BK HSTK</v>
      </c>
      <c r="X648" s="1" t="str">
        <f>IFERROR(__xludf.DUMMYFUNCTION("""COMPUTED_VALUE"""),"HBBS SEPT 2026")</f>
        <v>HBBS SEPT 2026</v>
      </c>
      <c r="Y648" s="1" t="str">
        <f>IFERROR(__xludf.DUMMYFUNCTION("""COMPUTED_VALUE"""),"BK_CVEU_260824")</f>
        <v>BK_CVEU_260824</v>
      </c>
      <c r="Z648" s="1" t="str">
        <f>IFERROR(__xludf.DUMMYFUNCTION("""COMPUTED_VALUE"""),"NEW CONNECT")</f>
        <v>NEW CONNECT</v>
      </c>
      <c r="AA648" s="1">
        <f>IFERROR(__xludf.DUMMYFUNCTION("""COMPUTED_VALUE"""),639914606078)</f>
        <v>639914606078</v>
      </c>
      <c r="AB648" s="1">
        <f>IFERROR(__xludf.DUMMYFUNCTION("""COMPUTED_VALUE"""),639756257931)</f>
        <v>639756257931</v>
      </c>
      <c r="AC648" s="1"/>
      <c r="AD648" s="1"/>
      <c r="AE648" s="1"/>
      <c r="AF648" s="1"/>
      <c r="AG648" s="1"/>
      <c r="AH648" s="1"/>
      <c r="AI648" s="1"/>
    </row>
    <row r="649" customHeight="1" spans="1:35">
      <c r="A649" s="3">
        <f>IFERROR(__xludf.DUMMYFUNCTION("""COMPUTED_VALUE"""),46288)</f>
        <v>46288</v>
      </c>
      <c r="B649" s="1" t="str">
        <f>IFERROR(__xludf.DUMMYFUNCTION("""COMPUTED_VALUE"""),"RAIZEN GUEVARRA PERIDO")</f>
        <v>RAIZEN GUEVARRA PERIDO</v>
      </c>
      <c r="C649" s="1">
        <f>IFERROR(__xludf.DUMMYFUNCTION("""COMPUTED_VALUE"""),2312761834)</f>
        <v>2312761834</v>
      </c>
      <c r="D649" s="1">
        <f>IFERROR(__xludf.DUMMYFUNCTION("""COMPUTED_VALUE"""),408292956)</f>
        <v>408292956</v>
      </c>
      <c r="E649" s="1">
        <f>IFERROR(__xludf.DUMMYFUNCTION("""COMPUTED_VALUE"""),472591133004)</f>
        <v>472591133004</v>
      </c>
      <c r="F649" s="1" t="str">
        <f>IFERROR(__xludf.DUMMYFUNCTION("""COMPUTED_VALUE"""),"CLOSED")</f>
        <v>CLOSED</v>
      </c>
      <c r="G649" s="1" t="str">
        <f>IFERROR(__xludf.DUMMYFUNCTION("""COMPUTED_VALUE"""),"CLOSED")</f>
        <v>CLOSED</v>
      </c>
      <c r="H649" s="1" t="str">
        <f>IFERROR(__xludf.DUMMYFUNCTION("""COMPUTED_VALUE"""),"PAID VIA GCASH- SEPT 24 - REF - 213078547")</f>
        <v>PAID VIA GCASH- SEPT 24 - REF - 213078547</v>
      </c>
      <c r="I649" s="1" t="str">
        <f>IFERROR(__xludf.DUMMYFUNCTION("""COMPUTED_VALUE"""),"WITH 1 AMSF")</f>
        <v>WITH 1 AMSF</v>
      </c>
      <c r="J649" s="1"/>
      <c r="K649" s="1" t="str">
        <f>IFERROR(__xludf.DUMMYFUNCTION("""COMPUTED_VALUE"""),"SUSPENDED")</f>
        <v>SUSPENDED</v>
      </c>
      <c r="L649" s="1" t="str">
        <f>IFERROR(__xludf.DUMMYFUNCTION("""COMPUTED_VALUE"""),"POSTED")</f>
        <v>POSTED</v>
      </c>
      <c r="M649" s="1" t="str">
        <f>IFERROR(__xludf.DUMMYFUNCTION("""COMPUTED_VALUE"""),"POSTED")</f>
        <v>POSTED</v>
      </c>
      <c r="N649" s="3">
        <f>IFERROR(__xludf.DUMMYFUNCTION("""COMPUTED_VALUE"""),46290)</f>
        <v>46290</v>
      </c>
      <c r="O649" s="1" t="str">
        <f>IFERROR(__xludf.DUMMYFUNCTION("""COMPUTED_VALUE"""),"FIBR NETFLIX PLAN 1599")</f>
        <v>FIBR NETFLIX PLAN 1599</v>
      </c>
      <c r="P649" s="1" t="str">
        <f>IFERROR(__xludf.DUMMYFUNCTION("""COMPUTED_VALUE"""),"LOWPLAN")</f>
        <v>LOWPLAN</v>
      </c>
      <c r="Q649" s="1" t="str">
        <f>IFERROR(__xludf.DUMMYFUNCTION("""COMPUTED_VALUE"""),"P407517")</f>
        <v>P407517</v>
      </c>
      <c r="R649" s="1" t="str">
        <f>IFERROR(__xludf.DUMMYFUNCTION("""COMPUTED_VALUE"""),"GABAY, MANUEL")</f>
        <v>GABAY, MANUEL</v>
      </c>
      <c r="S649" s="1" t="str">
        <f>IFERROR(__xludf.DUMMYFUNCTION("""COMPUTED_VALUE"""),"FLA")</f>
        <v>FLA</v>
      </c>
      <c r="T649" s="1" t="str">
        <f>IFERROR(__xludf.DUMMYFUNCTION("""COMPUTED_VALUE"""),"JERIC NAVARRO")</f>
        <v>JERIC NAVARRO</v>
      </c>
      <c r="U649" s="1" t="str">
        <f>IFERROR(__xludf.DUMMYFUNCTION("""COMPUTED_VALUE"""),"JB SALIOA")</f>
        <v>JB SALIOA</v>
      </c>
      <c r="V649" s="1" t="str">
        <f>IFERROR(__xludf.DUMMYFUNCTION("""COMPUTED_VALUE"""),"ONLINE/CRANFORD")</f>
        <v>ONLINE/CRANFORD</v>
      </c>
      <c r="W649" s="1" t="str">
        <f>IFERROR(__xludf.DUMMYFUNCTION("""COMPUTED_VALUE"""),"STK REGULAR")</f>
        <v>STK REGULAR</v>
      </c>
      <c r="X649" s="1" t="str">
        <f>IFERROR(__xludf.DUMMYFUNCTION("""COMPUTED_VALUE"""),"HBBS SEPT 2026")</f>
        <v>HBBS SEPT 2026</v>
      </c>
      <c r="Y649" s="1" t="str">
        <f>IFERROR(__xludf.DUMMYFUNCTION("""COMPUTED_VALUE"""),"RS_ONL_CVEU_2026")</f>
        <v>RS_ONL_CVEU_2026</v>
      </c>
      <c r="Z649" s="1" t="str">
        <f>IFERROR(__xludf.DUMMYFUNCTION("""COMPUTED_VALUE"""),"NEW CONNECT")</f>
        <v>NEW CONNECT</v>
      </c>
      <c r="AA649" s="1">
        <f>IFERROR(__xludf.DUMMYFUNCTION("""COMPUTED_VALUE"""),639156275251)</f>
        <v>639156275251</v>
      </c>
      <c r="AB649" s="1">
        <f>IFERROR(__xludf.DUMMYFUNCTION("""COMPUTED_VALUE"""),639624875344)</f>
        <v>639624875344</v>
      </c>
      <c r="AC649" s="1">
        <f>IFERROR(__xludf.DUMMYFUNCTION("""COMPUTED_VALUE"""),173)</f>
        <v>173</v>
      </c>
      <c r="AD649" s="1" t="str">
        <f>IFERROR(__xludf.DUMMYFUNCTION("""COMPUTED_VALUE"""),"DAANG BALITE")</f>
        <v>DAANG BALITE</v>
      </c>
      <c r="AE649" s="1" t="str">
        <f>IFERROR(__xludf.DUMMYFUNCTION("""COMPUTED_VALUE"""),"PUROK 2")</f>
        <v>PUROK 2</v>
      </c>
      <c r="AF649" s="1" t="str">
        <f>IFERROR(__xludf.DUMMYFUNCTION("""COMPUTED_VALUE"""),"BGY TOLEDO")</f>
        <v>BGY TOLEDO</v>
      </c>
      <c r="AG649" s="1" t="str">
        <f>IFERROR(__xludf.DUMMYFUNCTION("""COMPUTED_VALUE"""),"SILANG")</f>
        <v>SILANG</v>
      </c>
      <c r="AH649" s="1" t="str">
        <f>IFERROR(__xludf.DUMMYFUNCTION("""COMPUTED_VALUE"""),"BESIDE LYKAH ZACHS KITCHEN")</f>
        <v>BESIDE LYKAH ZACHS KITCHEN</v>
      </c>
      <c r="AI649" s="1" t="str">
        <f>IFERROR(__xludf.DUMMYFUNCTION("""COMPUTED_VALUE"""),"CLUSTER 11")</f>
        <v>CLUSTER 11</v>
      </c>
    </row>
    <row r="650" customHeight="1" spans="1:35">
      <c r="A650" s="3">
        <f>IFERROR(__xludf.DUMMYFUNCTION("""COMPUTED_VALUE"""),46288)</f>
        <v>46288</v>
      </c>
      <c r="B650" s="1" t="str">
        <f>IFERROR(__xludf.DUMMYFUNCTION("""COMPUTED_VALUE"""),"JOVELYN MARTINEZ LOJERA")</f>
        <v>JOVELYN MARTINEZ LOJERA</v>
      </c>
      <c r="C650" s="1">
        <f>IFERROR(__xludf.DUMMYFUNCTION("""COMPUTED_VALUE"""),2312762295)</f>
        <v>2312762295</v>
      </c>
      <c r="D650" s="1"/>
      <c r="E650" s="1"/>
      <c r="F650" s="1" t="str">
        <f>IFERROR(__xludf.DUMMYFUNCTION("""COMPUTED_VALUE"""),"CANCELLED")</f>
        <v>CANCELLED</v>
      </c>
      <c r="G650" s="1" t="str">
        <f>IFERROR(__xludf.DUMMYFUNCTION("""COMPUTED_VALUE"""),"CANCELLED")</f>
        <v>CANCELLED</v>
      </c>
      <c r="H650" s="1"/>
      <c r="I650" s="1"/>
      <c r="J650" s="1"/>
      <c r="K650" s="1"/>
      <c r="L650" s="1" t="str">
        <f>IFERROR(__xludf.DUMMYFUNCTION("""COMPUTED_VALUE"""),"CANCELLED")</f>
        <v>CANCELLED</v>
      </c>
      <c r="M650" s="1" t="str">
        <f>IFERROR(__xludf.DUMMYFUNCTION("""COMPUTED_VALUE"""),"CANCELLED")</f>
        <v>CANCELLED</v>
      </c>
      <c r="N650" s="3"/>
      <c r="O650" s="1" t="str">
        <f>IFERROR(__xludf.DUMMYFUNCTION("""COMPUTED_VALUE"""),"FIBR UNLI ALL PLAN 999")</f>
        <v>FIBR UNLI ALL PLAN 999</v>
      </c>
      <c r="P650" s="1" t="str">
        <f>IFERROR(__xludf.DUMMYFUNCTION("""COMPUTED_VALUE"""),"LOWPLAN")</f>
        <v>LOWPLAN</v>
      </c>
      <c r="Q650" s="1" t="str">
        <f>IFERROR(__xludf.DUMMYFUNCTION("""COMPUTED_VALUE"""),"P407050")</f>
        <v>P407050</v>
      </c>
      <c r="R650" s="1" t="str">
        <f>IFERROR(__xludf.DUMMYFUNCTION("""COMPUTED_VALUE"""),"ESCARCHA, ALMA")</f>
        <v>ESCARCHA, ALMA</v>
      </c>
      <c r="S650" s="1" t="str">
        <f>IFERROR(__xludf.DUMMYFUNCTION("""COMPUTED_VALUE"""),"ORGANIC")</f>
        <v>ORGANIC</v>
      </c>
      <c r="T650" s="1" t="str">
        <f>IFERROR(__xludf.DUMMYFUNCTION("""COMPUTED_VALUE"""),"LEA REMOLLO")</f>
        <v>LEA REMOLLO</v>
      </c>
      <c r="U650" s="1" t="str">
        <f>IFERROR(__xludf.DUMMYFUNCTION("""COMPUTED_VALUE"""),"JB SALIOA")</f>
        <v>JB SALIOA</v>
      </c>
      <c r="V650" s="1" t="str">
        <f>IFERROR(__xludf.DUMMYFUNCTION("""COMPUTED_VALUE"""),"BK HSTK")</f>
        <v>BK HSTK</v>
      </c>
      <c r="W650" s="1" t="str">
        <f>IFERROR(__xludf.DUMMYFUNCTION("""COMPUTED_VALUE"""),"BK HSTK")</f>
        <v>BK HSTK</v>
      </c>
      <c r="X650" s="1" t="str">
        <f>IFERROR(__xludf.DUMMYFUNCTION("""COMPUTED_VALUE"""),"REGULAR")</f>
        <v>REGULAR</v>
      </c>
      <c r="Y650" s="1" t="str">
        <f>IFERROR(__xludf.DUMMYFUNCTION("""COMPUTED_VALUE"""),"BK_CVEU_260826")</f>
        <v>BK_CVEU_260826</v>
      </c>
      <c r="Z650" s="1" t="str">
        <f>IFERROR(__xludf.DUMMYFUNCTION("""COMPUTED_VALUE"""),"NEW CONNECT")</f>
        <v>NEW CONNECT</v>
      </c>
      <c r="AA650" s="1">
        <f>IFERROR(__xludf.DUMMYFUNCTION("""COMPUTED_VALUE"""),639455225965)</f>
        <v>639455225965</v>
      </c>
      <c r="AB650" s="1"/>
      <c r="AC650" s="1"/>
      <c r="AD650" s="1"/>
      <c r="AE650" s="1"/>
      <c r="AF650" s="1"/>
      <c r="AG650" s="1"/>
      <c r="AH650" s="1"/>
      <c r="AI650" s="1"/>
    </row>
    <row r="651" customHeight="1" spans="1:35">
      <c r="A651" s="3">
        <f>IFERROR(__xludf.DUMMYFUNCTION("""COMPUTED_VALUE"""),46288)</f>
        <v>46288</v>
      </c>
      <c r="B651" s="1" t="str">
        <f>IFERROR(__xludf.DUMMYFUNCTION("""COMPUTED_VALUE"""),"ELIZABETH MACHA TRINIDAD")</f>
        <v>ELIZABETH MACHA TRINIDAD</v>
      </c>
      <c r="C651" s="1">
        <f>IFERROR(__xludf.DUMMYFUNCTION("""COMPUTED_VALUE"""),2312762538)</f>
        <v>2312762538</v>
      </c>
      <c r="D651" s="1"/>
      <c r="E651" s="1"/>
      <c r="F651" s="1" t="str">
        <f>IFERROR(__xludf.DUMMYFUNCTION("""COMPUTED_VALUE"""),"CANCELLED")</f>
        <v>CANCELLED</v>
      </c>
      <c r="G651" s="1" t="str">
        <f>IFERROR(__xludf.DUMMYFUNCTION("""COMPUTED_VALUE"""),"CANCELLED")</f>
        <v>CANCELLED</v>
      </c>
      <c r="H651" s="1"/>
      <c r="I651" s="1"/>
      <c r="J651" s="1"/>
      <c r="K651" s="1"/>
      <c r="L651" s="1" t="str">
        <f>IFERROR(__xludf.DUMMYFUNCTION("""COMPUTED_VALUE"""),"CANCELLED")</f>
        <v>CANCELLED</v>
      </c>
      <c r="M651" s="1" t="str">
        <f>IFERROR(__xludf.DUMMYFUNCTION("""COMPUTED_VALUE"""),"CANCELLED")</f>
        <v>CANCELLED</v>
      </c>
      <c r="N651" s="3"/>
      <c r="O651" s="1" t="str">
        <f>IFERROR(__xludf.DUMMYFUNCTION("""COMPUTED_VALUE"""),"FIBR UNLI ALL PLAN 999")</f>
        <v>FIBR UNLI ALL PLAN 999</v>
      </c>
      <c r="P651" s="1" t="str">
        <f>IFERROR(__xludf.DUMMYFUNCTION("""COMPUTED_VALUE"""),"LOWPLAN")</f>
        <v>LOWPLAN</v>
      </c>
      <c r="Q651" s="1" t="str">
        <f>IFERROR(__xludf.DUMMYFUNCTION("""COMPUTED_VALUE"""),"P407050")</f>
        <v>P407050</v>
      </c>
      <c r="R651" s="1" t="str">
        <f>IFERROR(__xludf.DUMMYFUNCTION("""COMPUTED_VALUE"""),"TAMAYO, MARY ROSE ZAIRA")</f>
        <v>TAMAYO, MARY ROSE ZAIRA</v>
      </c>
      <c r="S651" s="1" t="str">
        <f>IFERROR(__xludf.DUMMYFUNCTION("""COMPUTED_VALUE"""),"ORGANIC")</f>
        <v>ORGANIC</v>
      </c>
      <c r="T651" s="1" t="str">
        <f>IFERROR(__xludf.DUMMYFUNCTION("""COMPUTED_VALUE"""),"LEA REMOLLO")</f>
        <v>LEA REMOLLO</v>
      </c>
      <c r="U651" s="1" t="str">
        <f>IFERROR(__xludf.DUMMYFUNCTION("""COMPUTED_VALUE"""),"JB SALIOA")</f>
        <v>JB SALIOA</v>
      </c>
      <c r="V651" s="1" t="str">
        <f>IFERROR(__xludf.DUMMYFUNCTION("""COMPUTED_VALUE"""),"BK REGULAR")</f>
        <v>BK REGULAR</v>
      </c>
      <c r="W651" s="1" t="str">
        <f>IFERROR(__xludf.DUMMYFUNCTION("""COMPUTED_VALUE"""),"STK REGULAR")</f>
        <v>STK REGULAR</v>
      </c>
      <c r="X651" s="1" t="str">
        <f>IFERROR(__xludf.DUMMYFUNCTION("""COMPUTED_VALUE"""),"REGULAR")</f>
        <v>REGULAR</v>
      </c>
      <c r="Y651" s="1" t="str">
        <f>IFERROR(__xludf.DUMMYFUNCTION("""COMPUTED_VALUE"""),"BK_CVEU_260824")</f>
        <v>BK_CVEU_260824</v>
      </c>
      <c r="Z651" s="1" t="str">
        <f>IFERROR(__xludf.DUMMYFUNCTION("""COMPUTED_VALUE"""),"NEW CONNECT")</f>
        <v>NEW CONNECT</v>
      </c>
      <c r="AA651" s="1">
        <f>IFERROR(__xludf.DUMMYFUNCTION("""COMPUTED_VALUE"""),639614238609)</f>
        <v>639614238609</v>
      </c>
      <c r="AB651" s="1"/>
      <c r="AC651" s="1"/>
      <c r="AD651" s="1"/>
      <c r="AE651" s="1"/>
      <c r="AF651" s="1"/>
      <c r="AG651" s="1"/>
      <c r="AH651" s="1"/>
      <c r="AI651" s="1"/>
    </row>
    <row r="652" customHeight="1" spans="1:35">
      <c r="A652" s="3">
        <f>IFERROR(__xludf.DUMMYFUNCTION("""COMPUTED_VALUE"""),46288)</f>
        <v>46288</v>
      </c>
      <c r="B652" s="1" t="str">
        <f>IFERROR(__xludf.DUMMYFUNCTION("""COMPUTED_VALUE"""),"PAMELA MAURIN RICAPLAZA")</f>
        <v>PAMELA MAURIN RICAPLAZA</v>
      </c>
      <c r="C652" s="1">
        <f>IFERROR(__xludf.DUMMYFUNCTION("""COMPUTED_VALUE"""),2312762929)</f>
        <v>2312762929</v>
      </c>
      <c r="D652" s="1">
        <f>IFERROR(__xludf.DUMMYFUNCTION("""COMPUTED_VALUE"""),408296250)</f>
        <v>408296250</v>
      </c>
      <c r="E652" s="1">
        <f>IFERROR(__xludf.DUMMYFUNCTION("""COMPUTED_VALUE"""),472591952004)</f>
        <v>472591952004</v>
      </c>
      <c r="F652" s="1" t="str">
        <f>IFERROR(__xludf.DUMMYFUNCTION("""COMPUTED_VALUE"""),"CLOSED")</f>
        <v>CLOSED</v>
      </c>
      <c r="G652" s="1" t="str">
        <f>IFERROR(__xludf.DUMMYFUNCTION("""COMPUTED_VALUE"""),"CLOSED")</f>
        <v>CLOSED</v>
      </c>
      <c r="H652" s="1" t="str">
        <f>IFERROR(__xludf.DUMMYFUNCTION("""COMPUTED_VALUE"""),"PAID THRU GCASH REF# 116366956 9/24")</f>
        <v>PAID THRU GCASH REF# 116366956 9/24</v>
      </c>
      <c r="I652" s="1" t="str">
        <f>IFERROR(__xludf.DUMMYFUNCTION("""COMPUTED_VALUE"""),"WITH 1 AMSF")</f>
        <v>WITH 1 AMSF</v>
      </c>
      <c r="J652" s="1"/>
      <c r="K652" s="1" t="str">
        <f>IFERROR(__xludf.DUMMYFUNCTION("""COMPUTED_VALUE"""),"OPEN IN OFSC")</f>
        <v>OPEN IN OFSC</v>
      </c>
      <c r="L652" s="1" t="str">
        <f>IFERROR(__xludf.DUMMYFUNCTION("""COMPUTED_VALUE"""),"POSTED")</f>
        <v>POSTED</v>
      </c>
      <c r="M652" s="1" t="str">
        <f>IFERROR(__xludf.DUMMYFUNCTION("""COMPUTED_VALUE"""),"POSTED")</f>
        <v>POSTED</v>
      </c>
      <c r="N652" s="3">
        <f>IFERROR(__xludf.DUMMYFUNCTION("""COMPUTED_VALUE"""),46294)</f>
        <v>46294</v>
      </c>
      <c r="O652" s="1" t="str">
        <f>IFERROR(__xludf.DUMMYFUNCTION("""COMPUTED_VALUE"""),"FIBR PLAN 1299")</f>
        <v>FIBR PLAN 1299</v>
      </c>
      <c r="P652" s="1" t="str">
        <f>IFERROR(__xludf.DUMMYFUNCTION("""COMPUTED_VALUE"""),"LOWPLAN")</f>
        <v>LOWPLAN</v>
      </c>
      <c r="Q652" s="1" t="str">
        <f>IFERROR(__xludf.DUMMYFUNCTION("""COMPUTED_VALUE"""),"P407564")</f>
        <v>P407564</v>
      </c>
      <c r="R652" s="1" t="str">
        <f>IFERROR(__xludf.DUMMYFUNCTION("""COMPUTED_VALUE"""),"ARENA, LYKA")</f>
        <v>ARENA, LYKA</v>
      </c>
      <c r="S652" s="1" t="str">
        <f>IFERROR(__xludf.DUMMYFUNCTION("""COMPUTED_VALUE"""),"ORGANIC")</f>
        <v>ORGANIC</v>
      </c>
      <c r="T652" s="1" t="str">
        <f>IFERROR(__xludf.DUMMYFUNCTION("""COMPUTED_VALUE"""),"LEA REMOLLO")</f>
        <v>LEA REMOLLO</v>
      </c>
      <c r="U652" s="1" t="str">
        <f>IFERROR(__xludf.DUMMYFUNCTION("""COMPUTED_VALUE"""),"JB SALIOA")</f>
        <v>JB SALIOA</v>
      </c>
      <c r="V652" s="1" t="str">
        <f>IFERROR(__xludf.DUMMYFUNCTION("""COMPUTED_VALUE"""),"BK HSTK")</f>
        <v>BK HSTK</v>
      </c>
      <c r="W652" s="1" t="str">
        <f>IFERROR(__xludf.DUMMYFUNCTION("""COMPUTED_VALUE"""),"BK HSTK")</f>
        <v>BK HSTK</v>
      </c>
      <c r="X652" s="1" t="str">
        <f>IFERROR(__xludf.DUMMYFUNCTION("""COMPUTED_VALUE"""),"HBBS SEPT 2026")</f>
        <v>HBBS SEPT 2026</v>
      </c>
      <c r="Y652" s="1" t="str">
        <f>IFERROR(__xludf.DUMMYFUNCTION("""COMPUTED_VALUE"""),"BK_CVEU_260824")</f>
        <v>BK_CVEU_260824</v>
      </c>
      <c r="Z652" s="1" t="str">
        <f>IFERROR(__xludf.DUMMYFUNCTION("""COMPUTED_VALUE"""),"NEW CONNECT")</f>
        <v>NEW CONNECT</v>
      </c>
      <c r="AA652" s="1">
        <f>IFERROR(__xludf.DUMMYFUNCTION("""COMPUTED_VALUE"""),639511835728)</f>
        <v>639511835728</v>
      </c>
      <c r="AB652" s="1"/>
      <c r="AC652" s="1">
        <f>IFERROR(__xludf.DUMMYFUNCTION("""COMPUTED_VALUE"""),9513)</f>
        <v>9513</v>
      </c>
      <c r="AD652" s="1" t="str">
        <f>IFERROR(__xludf.DUMMYFUNCTION("""COMPUTED_VALUE"""),"CAMIA")</f>
        <v>CAMIA</v>
      </c>
      <c r="AE652" s="1"/>
      <c r="AF652" s="1" t="str">
        <f>IFERROR(__xludf.DUMMYFUNCTION("""COMPUTED_VALUE"""),"BGY MADUYA")</f>
        <v>BGY MADUYA</v>
      </c>
      <c r="AG652" s="1" t="str">
        <f>IFERROR(__xludf.DUMMYFUNCTION("""COMPUTED_VALUE"""),"CARMONA")</f>
        <v>CARMONA</v>
      </c>
      <c r="AH652" s="1" t="str">
        <f>IFERROR(__xludf.DUMMYFUNCTION("""COMPUTED_VALUE"""),"GLORIA BALAY")</f>
        <v>GLORIA BALAY</v>
      </c>
      <c r="AI652" s="1" t="str">
        <f>IFERROR(__xludf.DUMMYFUNCTION("""COMPUTED_VALUE"""),"CLUSTER 11")</f>
        <v>CLUSTER 11</v>
      </c>
    </row>
    <row r="653" customHeight="1" spans="1:35">
      <c r="A653" s="3">
        <f>IFERROR(__xludf.DUMMYFUNCTION("""COMPUTED_VALUE"""),46288)</f>
        <v>46288</v>
      </c>
      <c r="B653" s="1" t="str">
        <f>IFERROR(__xludf.DUMMYFUNCTION("""COMPUTED_VALUE"""),"MARY ANGELEEN ARENAS ISO")</f>
        <v>MARY ANGELEEN ARENAS ISO</v>
      </c>
      <c r="C653" s="1">
        <f>IFERROR(__xludf.DUMMYFUNCTION("""COMPUTED_VALUE"""),2312763226)</f>
        <v>2312763226</v>
      </c>
      <c r="D653" s="1">
        <f>IFERROR(__xludf.DUMMYFUNCTION("""COMPUTED_VALUE"""),408296307)</f>
        <v>408296307</v>
      </c>
      <c r="E653" s="1">
        <f>IFERROR(__xludf.DUMMYFUNCTION("""COMPUTED_VALUE"""),472592078004)</f>
        <v>472592078004</v>
      </c>
      <c r="F653" s="1" t="str">
        <f>IFERROR(__xludf.DUMMYFUNCTION("""COMPUTED_VALUE"""),"CANCELLED")</f>
        <v>CANCELLED</v>
      </c>
      <c r="G653" s="1" t="str">
        <f>IFERROR(__xludf.DUMMYFUNCTION("""COMPUTED_VALUE"""),"""‎VISTED 
‎REMARKS: NAP FULL ASIGNE CAFAC NOT ON SITE 
AMALP2NP5FULL12SPAN 
AMALP76NP313SPAN P4ACTIVE (046) 482 0714 
AMALP2NP8FULL14SPAN 
AMALP93NP5FULL15SPAN 
AMALP2NP6FULL13SPAN 
SUBS ALLREADY ADVICES 
TALK:MARY ANGELEEN ARENAS ISO 
‎CBR : 09682511775"&amp;"""")</f>
        <v>"‎VISTED 
‎REMARKS: NAP FULL ASIGNE CAFAC NOT ON SITE 
AMALP2NP5FULL12SPAN 
AMALP76NP313SPAN P4ACTIVE (046) 482 0714 
AMALP2NP8FULL14SPAN 
AMALP93NP5FULL15SPAN 
AMALP2NP6FULL13SPAN 
SUBS ALLREADY ADVICES 
TALK:MARY ANGELEEN ARENAS ISO 
‎CBR : 09682511775"</v>
      </c>
      <c r="H653" s="1"/>
      <c r="I653" s="1" t="str">
        <f>IFERROR(__xludf.DUMMYFUNCTION("""COMPUTED_VALUE"""),"NO 1 AMSF")</f>
        <v>NO 1 AMSF</v>
      </c>
      <c r="J653" s="1"/>
      <c r="K653" s="1" t="str">
        <f>IFERROR(__xludf.DUMMYFUNCTION("""COMPUTED_VALUE"""),"OPEN IN OFSC")</f>
        <v>OPEN IN OFSC</v>
      </c>
      <c r="L653" s="1" t="str">
        <f>IFERROR(__xludf.DUMMYFUNCTION("""COMPUTED_VALUE"""),"RPR - NAP FULL")</f>
        <v>RPR - NAP FULL</v>
      </c>
      <c r="M653" s="1" t="str">
        <f>IFERROR(__xludf.DUMMYFUNCTION("""COMPUTED_VALUE"""),"RPR- NAP FULL")</f>
        <v>RPR- NAP FULL</v>
      </c>
      <c r="N653" s="3"/>
      <c r="O653" s="1" t="str">
        <f>IFERROR(__xludf.DUMMYFUNCTION("""COMPUTED_VALUE"""),"FIBR PLAN 1299")</f>
        <v>FIBR PLAN 1299</v>
      </c>
      <c r="P653" s="1" t="str">
        <f>IFERROR(__xludf.DUMMYFUNCTION("""COMPUTED_VALUE"""),"LOWPLAN")</f>
        <v>LOWPLAN</v>
      </c>
      <c r="Q653" s="1" t="str">
        <f>IFERROR(__xludf.DUMMYFUNCTION("""COMPUTED_VALUE"""),"P407563")</f>
        <v>P407563</v>
      </c>
      <c r="R653" s="1" t="str">
        <f>IFERROR(__xludf.DUMMYFUNCTION("""COMPUTED_VALUE"""),"BAQUIT, JAZMIN")</f>
        <v>BAQUIT, JAZMIN</v>
      </c>
      <c r="S653" s="1" t="str">
        <f>IFERROR(__xludf.DUMMYFUNCTION("""COMPUTED_VALUE"""),"ORGANIC")</f>
        <v>ORGANIC</v>
      </c>
      <c r="T653" s="1" t="str">
        <f>IFERROR(__xludf.DUMMYFUNCTION("""COMPUTED_VALUE"""),"LEA REMOLLO")</f>
        <v>LEA REMOLLO</v>
      </c>
      <c r="U653" s="1" t="str">
        <f>IFERROR(__xludf.DUMMYFUNCTION("""COMPUTED_VALUE"""),"JB SALIOA")</f>
        <v>JB SALIOA</v>
      </c>
      <c r="V653" s="1" t="str">
        <f>IFERROR(__xludf.DUMMYFUNCTION("""COMPUTED_VALUE"""),"BK HSTK")</f>
        <v>BK HSTK</v>
      </c>
      <c r="W653" s="1" t="str">
        <f>IFERROR(__xludf.DUMMYFUNCTION("""COMPUTED_VALUE"""),"BK HSTK")</f>
        <v>BK HSTK</v>
      </c>
      <c r="X653" s="1" t="str">
        <f>IFERROR(__xludf.DUMMYFUNCTION("""COMPUTED_VALUE"""),"HBBS SEPT 2026")</f>
        <v>HBBS SEPT 2026</v>
      </c>
      <c r="Y653" s="1" t="str">
        <f>IFERROR(__xludf.DUMMYFUNCTION("""COMPUTED_VALUE"""),"BK_CVEU_260823")</f>
        <v>BK_CVEU_260823</v>
      </c>
      <c r="Z653" s="1" t="str">
        <f>IFERROR(__xludf.DUMMYFUNCTION("""COMPUTED_VALUE"""),"NEW CONNECT")</f>
        <v>NEW CONNECT</v>
      </c>
      <c r="AA653" s="1">
        <f>IFERROR(__xludf.DUMMYFUNCTION("""COMPUTED_VALUE"""),639682511775)</f>
        <v>639682511775</v>
      </c>
      <c r="AB653" s="1"/>
      <c r="AC653" s="1">
        <f>IFERROR(__xludf.DUMMYFUNCTION("""COMPUTED_VALUE"""),8001)</f>
        <v>8001</v>
      </c>
      <c r="AD653" s="1" t="str">
        <f>IFERROR(__xludf.DUMMYFUNCTION("""COMPUTED_VALUE"""),"CRISANTO M DELOS REYES")</f>
        <v>CRISANTO M DELOS REYES</v>
      </c>
      <c r="AE653" s="1"/>
      <c r="AF653" s="1" t="str">
        <f>IFERROR(__xludf.DUMMYFUNCTION("""COMPUTED_VALUE"""),"BGY BANAYBANAY")</f>
        <v>BGY BANAYBANAY</v>
      </c>
      <c r="AG653" s="1" t="str">
        <f>IFERROR(__xludf.DUMMYFUNCTION("""COMPUTED_VALUE"""),"AMADEO")</f>
        <v>AMADEO</v>
      </c>
      <c r="AH653" s="1" t="str">
        <f>IFERROR(__xludf.DUMMYFUNCTION("""COMPUTED_VALUE"""),"PETRON")</f>
        <v>PETRON</v>
      </c>
      <c r="AI653" s="1" t="str">
        <f>IFERROR(__xludf.DUMMYFUNCTION("""COMPUTED_VALUE"""),"CLUSTER 12")</f>
        <v>CLUSTER 12</v>
      </c>
    </row>
    <row r="654" customHeight="1" spans="1:35">
      <c r="A654" s="3">
        <f>IFERROR(__xludf.DUMMYFUNCTION("""COMPUTED_VALUE"""),46288)</f>
        <v>46288</v>
      </c>
      <c r="B654" s="1" t="str">
        <f>IFERROR(__xludf.DUMMYFUNCTION("""COMPUTED_VALUE"""),"CRISTINA FABIAN BOLING")</f>
        <v>CRISTINA FABIAN BOLING</v>
      </c>
      <c r="C654" s="1">
        <f>IFERROR(__xludf.DUMMYFUNCTION("""COMPUTED_VALUE"""),2312763495)</f>
        <v>2312763495</v>
      </c>
      <c r="D654" s="1"/>
      <c r="E654" s="1"/>
      <c r="F654" s="1" t="str">
        <f>IFERROR(__xludf.DUMMYFUNCTION("""COMPUTED_VALUE"""),"RTS")</f>
        <v>RTS</v>
      </c>
      <c r="G654" s="1" t="str">
        <f>IFERROR(__xludf.DUMMYFUNCTION("""COMPUTED_VALUE"""),"WITH ACTIVE SERVICE UNDER ACCT # 0399630843 / 0339630062 PLS PROVIDE POA PRIOR TO APPRVL OF NEW APP")</f>
        <v>WITH ACTIVE SERVICE UNDER ACCT # 0399630843 / 0339630062 PLS PROVIDE POA PRIOR TO APPRVL OF NEW APP</v>
      </c>
      <c r="H654" s="1"/>
      <c r="I654" s="1"/>
      <c r="J654" s="1"/>
      <c r="K654" s="1"/>
      <c r="L654" s="1" t="str">
        <f>IFERROR(__xludf.DUMMYFUNCTION("""COMPUTED_VALUE"""),"CUSTOMERS COMPLIANCE - REQS")</f>
        <v>CUSTOMERS COMPLIANCE - REQS</v>
      </c>
      <c r="M654" s="1" t="str">
        <f>IFERROR(__xludf.DUMMYFUNCTION("""COMPUTED_VALUE"""),"CUSTOMERS COMPLIANCE - REQS")</f>
        <v>CUSTOMERS COMPLIANCE - REQS</v>
      </c>
      <c r="N654" s="3"/>
      <c r="O654" s="1" t="str">
        <f>IFERROR(__xludf.DUMMYFUNCTION("""COMPUTED_VALUE"""),"FIBER UNLI ALL PLAN 1499")</f>
        <v>FIBER UNLI ALL PLAN 1499</v>
      </c>
      <c r="P654" s="1" t="str">
        <f>IFERROR(__xludf.DUMMYFUNCTION("""COMPUTED_VALUE"""),"LOWPLAN")</f>
        <v>LOWPLAN</v>
      </c>
      <c r="Q654" s="1" t="str">
        <f>IFERROR(__xludf.DUMMYFUNCTION("""COMPUTED_VALUE"""),"P407561")</f>
        <v>P407561</v>
      </c>
      <c r="R654" s="1" t="str">
        <f>IFERROR(__xludf.DUMMYFUNCTION("""COMPUTED_VALUE"""),"DIESTA, RHODA")</f>
        <v>DIESTA, RHODA</v>
      </c>
      <c r="S654" s="1" t="str">
        <f>IFERROR(__xludf.DUMMYFUNCTION("""COMPUTED_VALUE"""),"ORGANIC")</f>
        <v>ORGANIC</v>
      </c>
      <c r="T654" s="1" t="str">
        <f>IFERROR(__xludf.DUMMYFUNCTION("""COMPUTED_VALUE"""),"LEA REMOLLO")</f>
        <v>LEA REMOLLO</v>
      </c>
      <c r="U654" s="1" t="str">
        <f>IFERROR(__xludf.DUMMYFUNCTION("""COMPUTED_VALUE"""),"JB SALIOA")</f>
        <v>JB SALIOA</v>
      </c>
      <c r="V654" s="1" t="str">
        <f>IFERROR(__xludf.DUMMYFUNCTION("""COMPUTED_VALUE"""),"BK HSTK")</f>
        <v>BK HSTK</v>
      </c>
      <c r="W654" s="1" t="str">
        <f>IFERROR(__xludf.DUMMYFUNCTION("""COMPUTED_VALUE"""),"BK HSTK")</f>
        <v>BK HSTK</v>
      </c>
      <c r="X654" s="1" t="str">
        <f>IFERROR(__xludf.DUMMYFUNCTION("""COMPUTED_VALUE"""),"HBBS SEPT 2026")</f>
        <v>HBBS SEPT 2026</v>
      </c>
      <c r="Y654" s="1" t="str">
        <f>IFERROR(__xludf.DUMMYFUNCTION("""COMPUTED_VALUE"""),"BK_CVEU_260824")</f>
        <v>BK_CVEU_260824</v>
      </c>
      <c r="Z654" s="1" t="str">
        <f>IFERROR(__xludf.DUMMYFUNCTION("""COMPUTED_VALUE"""),"NEW CONNECT")</f>
        <v>NEW CONNECT</v>
      </c>
      <c r="AA654" s="1">
        <f>IFERROR(__xludf.DUMMYFUNCTION("""COMPUTED_VALUE"""),639506838815)</f>
        <v>639506838815</v>
      </c>
      <c r="AB654" s="1"/>
      <c r="AC654" s="1">
        <f>IFERROR(__xludf.DUMMYFUNCTION("""COMPUTED_VALUE"""),9474)</f>
        <v>9474</v>
      </c>
      <c r="AD654" s="1" t="str">
        <f>IFERROR(__xludf.DUMMYFUNCTION("""COMPUTED_VALUE"""),"PASEO ORTIZ")</f>
        <v>PASEO ORTIZ</v>
      </c>
      <c r="AE654" s="1"/>
      <c r="AF654" s="1" t="str">
        <f>IFERROR(__xludf.DUMMYFUNCTION("""COMPUTED_VALUE"""),"BGY MADUYA")</f>
        <v>BGY MADUYA</v>
      </c>
      <c r="AG654" s="1" t="str">
        <f>IFERROR(__xludf.DUMMYFUNCTION("""COMPUTED_VALUE"""),"CARMONA")</f>
        <v>CARMONA</v>
      </c>
      <c r="AH654" s="1" t="str">
        <f>IFERROR(__xludf.DUMMYFUNCTION("""COMPUTED_VALUE"""),"-")</f>
        <v>-</v>
      </c>
      <c r="AI654" s="1" t="str">
        <f>IFERROR(__xludf.DUMMYFUNCTION("""COMPUTED_VALUE"""),"CLUSTER 11")</f>
        <v>CLUSTER 11</v>
      </c>
    </row>
    <row r="655" customHeight="1" spans="1:35">
      <c r="A655" s="3">
        <f>IFERROR(__xludf.DUMMYFUNCTION("""COMPUTED_VALUE"""),46288)</f>
        <v>46288</v>
      </c>
      <c r="B655" s="1" t="str">
        <f>IFERROR(__xludf.DUMMYFUNCTION("""COMPUTED_VALUE"""),"LERMA RENDON LOMUNTAD")</f>
        <v>LERMA RENDON LOMUNTAD</v>
      </c>
      <c r="C655" s="1">
        <f>IFERROR(__xludf.DUMMYFUNCTION("""COMPUTED_VALUE"""),2312764689)</f>
        <v>2312764689</v>
      </c>
      <c r="D655" s="1">
        <f>IFERROR(__xludf.DUMMYFUNCTION("""COMPUTED_VALUE"""),408298989)</f>
        <v>408298989</v>
      </c>
      <c r="E655" s="1">
        <f>IFERROR(__xludf.DUMMYFUNCTION("""COMPUTED_VALUE"""),472597250004)</f>
        <v>472597250004</v>
      </c>
      <c r="F655" s="1" t="str">
        <f>IFERROR(__xludf.DUMMYFUNCTION("""COMPUTED_VALUE"""),"RPR")</f>
        <v>RPR</v>
      </c>
      <c r="G655" s="1" t="str">
        <f>IFERROR(__xludf.DUMMYFUNCTION("""COMPUTED_VALUE"""),"""VISITED 
REMARKS: ALL NAP FULL 
SILLP453NP3 full 8SPAN 
SILLP587NP4 full 12 SPAN 
SILLP453NP1 full 14SPAN 
SUBS ALREADY ADVICE 
TALK LERMA RENDON LOMUNTAD 
09367438481 
""")</f>
        <v>"VISITED 
REMARKS: ALL NAP FULL 
SILLP453NP3 full 8SPAN 
SILLP587NP4 full 12 SPAN 
SILLP453NP1 full 14SPAN 
SUBS ALREADY ADVICE 
TALK LERMA RENDON LOMUNTAD 
09367438481 
"</v>
      </c>
      <c r="H655" s="1"/>
      <c r="I655" s="1"/>
      <c r="J655" s="1"/>
      <c r="K655" s="1" t="str">
        <f>IFERROR(__xludf.DUMMYFUNCTION("""COMPUTED_VALUE"""),"NOT DONE")</f>
        <v>NOT DONE</v>
      </c>
      <c r="L655" s="1" t="str">
        <f>IFERROR(__xludf.DUMMYFUNCTION("""COMPUTED_VALUE"""),"RPR - NAP FULL")</f>
        <v>RPR - NAP FULL</v>
      </c>
      <c r="M655" s="1" t="str">
        <f>IFERROR(__xludf.DUMMYFUNCTION("""COMPUTED_VALUE"""),"RPR- NAP FULL")</f>
        <v>RPR- NAP FULL</v>
      </c>
      <c r="N655" s="3"/>
      <c r="O655" s="1" t="str">
        <f>IFERROR(__xludf.DUMMYFUNCTION("""COMPUTED_VALUE"""),"FIBR PLAN 1299")</f>
        <v>FIBR PLAN 1299</v>
      </c>
      <c r="P655" s="1" t="str">
        <f>IFERROR(__xludf.DUMMYFUNCTION("""COMPUTED_VALUE"""),"LOWPLAN")</f>
        <v>LOWPLAN</v>
      </c>
      <c r="Q655" s="1" t="str">
        <f>IFERROR(__xludf.DUMMYFUNCTION("""COMPUTED_VALUE"""),"P407561")</f>
        <v>P407561</v>
      </c>
      <c r="R655" s="1" t="str">
        <f>IFERROR(__xludf.DUMMYFUNCTION("""COMPUTED_VALUE"""),"DIESTA, RHODA")</f>
        <v>DIESTA, RHODA</v>
      </c>
      <c r="S655" s="1" t="str">
        <f>IFERROR(__xludf.DUMMYFUNCTION("""COMPUTED_VALUE"""),"ORGANIC")</f>
        <v>ORGANIC</v>
      </c>
      <c r="T655" s="1" t="str">
        <f>IFERROR(__xludf.DUMMYFUNCTION("""COMPUTED_VALUE"""),"LEA REMOLLO")</f>
        <v>LEA REMOLLO</v>
      </c>
      <c r="U655" s="1" t="str">
        <f>IFERROR(__xludf.DUMMYFUNCTION("""COMPUTED_VALUE"""),"JB SALIOA")</f>
        <v>JB SALIOA</v>
      </c>
      <c r="V655" s="1" t="str">
        <f>IFERROR(__xludf.DUMMYFUNCTION("""COMPUTED_VALUE"""),"BK HSTK")</f>
        <v>BK HSTK</v>
      </c>
      <c r="W655" s="1" t="str">
        <f>IFERROR(__xludf.DUMMYFUNCTION("""COMPUTED_VALUE"""),"BK HSTK")</f>
        <v>BK HSTK</v>
      </c>
      <c r="X655" s="1" t="str">
        <f>IFERROR(__xludf.DUMMYFUNCTION("""COMPUTED_VALUE"""),"HBBS SEPT 2026")</f>
        <v>HBBS SEPT 2026</v>
      </c>
      <c r="Y655" s="1" t="str">
        <f>IFERROR(__xludf.DUMMYFUNCTION("""COMPUTED_VALUE"""),"BK_CVEU_260827")</f>
        <v>BK_CVEU_260827</v>
      </c>
      <c r="Z655" s="1" t="str">
        <f>IFERROR(__xludf.DUMMYFUNCTION("""COMPUTED_VALUE"""),"NEW CONNECT")</f>
        <v>NEW CONNECT</v>
      </c>
      <c r="AA655" s="1">
        <f>IFERROR(__xludf.DUMMYFUNCTION("""COMPUTED_VALUE"""),639367438481)</f>
        <v>639367438481</v>
      </c>
      <c r="AB655" s="1"/>
      <c r="AC655" s="1">
        <f>IFERROR(__xludf.DUMMYFUNCTION("""COMPUTED_VALUE"""),215)</f>
        <v>215</v>
      </c>
      <c r="AD655" s="1" t="str">
        <f>IFERROR(__xludf.DUMMYFUNCTION("""COMPUTED_VALUE"""),"215 / 006-BL-EXC")</f>
        <v>215 / 006-BL-EXC</v>
      </c>
      <c r="AE655" s="1" t="str">
        <f>IFERROR(__xludf.DUMMYFUNCTION("""COMPUTED_VALUE"""),"PHASE 1A")</f>
        <v>PHASE 1A</v>
      </c>
      <c r="AF655" s="1" t="str">
        <f>IFERROR(__xludf.DUMMYFUNCTION("""COMPUTED_VALUE"""),"BGY ACACIA")</f>
        <v>BGY ACACIA</v>
      </c>
      <c r="AG655" s="1" t="str">
        <f>IFERROR(__xludf.DUMMYFUNCTION("""COMPUTED_VALUE"""),"SILANG")</f>
        <v>SILANG</v>
      </c>
      <c r="AH655" s="1" t="str">
        <f>IFERROR(__xludf.DUMMYFUNCTION("""COMPUTED_VALUE"""),"COURT")</f>
        <v>COURT</v>
      </c>
      <c r="AI655" s="1" t="str">
        <f>IFERROR(__xludf.DUMMYFUNCTION("""COMPUTED_VALUE"""),"CLUSTER 11")</f>
        <v>CLUSTER 11</v>
      </c>
    </row>
    <row r="656" customHeight="1" spans="1:35">
      <c r="A656" s="3">
        <f>IFERROR(__xludf.DUMMYFUNCTION("""COMPUTED_VALUE"""),46289)</f>
        <v>46289</v>
      </c>
      <c r="B656" s="1" t="str">
        <f>IFERROR(__xludf.DUMMYFUNCTION("""COMPUTED_VALUE"""),"MARK KELVIN BURCE PALAPAG")</f>
        <v>MARK KELVIN BURCE PALAPAG</v>
      </c>
      <c r="C656" s="1">
        <f>IFERROR(__xludf.DUMMYFUNCTION("""COMPUTED_VALUE"""),2312773433)</f>
        <v>2312773433</v>
      </c>
      <c r="D656" s="1">
        <f>IFERROR(__xludf.DUMMYFUNCTION("""COMPUTED_VALUE"""),408310792)</f>
        <v>408310792</v>
      </c>
      <c r="E656" s="1">
        <f>IFERROR(__xludf.DUMMYFUNCTION("""COMPUTED_VALUE"""),472734314004)</f>
        <v>472734314004</v>
      </c>
      <c r="F656" s="1" t="str">
        <f>IFERROR(__xludf.DUMMYFUNCTION("""COMPUTED_VALUE"""),"CLOSED")</f>
        <v>CLOSED</v>
      </c>
      <c r="G656" s="1" t="str">
        <f>IFERROR(__xludf.DUMMYFUNCTION("""COMPUTED_VALUE"""),"CLOSED")</f>
        <v>CLOSED</v>
      </c>
      <c r="H656" s="1" t="str">
        <f>IFERROR(__xludf.DUMMYFUNCTION("""COMPUTED_VALUE"""),"PAID VIA GCASH REF 0408310792 SEP 24")</f>
        <v>PAID VIA GCASH REF 0408310792 SEP 24</v>
      </c>
      <c r="I656" s="1" t="str">
        <f>IFERROR(__xludf.DUMMYFUNCTION("""COMPUTED_VALUE"""),"WITH 1 AMSF")</f>
        <v>WITH 1 AMSF</v>
      </c>
      <c r="J656" s="1"/>
      <c r="K656" s="1" t="str">
        <f>IFERROR(__xludf.DUMMYFUNCTION("""COMPUTED_VALUE"""),"OPEN IN OFSC")</f>
        <v>OPEN IN OFSC</v>
      </c>
      <c r="L656" s="1" t="str">
        <f>IFERROR(__xludf.DUMMYFUNCTION("""COMPUTED_VALUE"""),"POSTED")</f>
        <v>POSTED</v>
      </c>
      <c r="M656" s="1" t="str">
        <f>IFERROR(__xludf.DUMMYFUNCTION("""COMPUTED_VALUE"""),"POSTED")</f>
        <v>POSTED</v>
      </c>
      <c r="N656" s="3">
        <f>IFERROR(__xludf.DUMMYFUNCTION("""COMPUTED_VALUE"""),46290)</f>
        <v>46290</v>
      </c>
      <c r="O656" s="1" t="str">
        <f>IFERROR(__xludf.DUMMYFUNCTION("""COMPUTED_VALUE"""),"FIBR PLAN 1699")</f>
        <v>FIBR PLAN 1699</v>
      </c>
      <c r="P656" s="1" t="str">
        <f>IFERROR(__xludf.DUMMYFUNCTION("""COMPUTED_VALUE"""),"HIGHPLAN")</f>
        <v>HIGHPLAN</v>
      </c>
      <c r="Q656" s="1" t="str">
        <f>IFERROR(__xludf.DUMMYFUNCTION("""COMPUTED_VALUE"""),"P407516 ")</f>
        <v>P407516 </v>
      </c>
      <c r="R656" s="1" t="str">
        <f>IFERROR(__xludf.DUMMYFUNCTION("""COMPUTED_VALUE"""),"AYON, MANUEL")</f>
        <v>AYON, MANUEL</v>
      </c>
      <c r="S656" s="1" t="str">
        <f>IFERROR(__xludf.DUMMYFUNCTION("""COMPUTED_VALUE"""),"FLA")</f>
        <v>FLA</v>
      </c>
      <c r="T656" s="1" t="str">
        <f>IFERROR(__xludf.DUMMYFUNCTION("""COMPUTED_VALUE"""),"JERIC NAVARRO")</f>
        <v>JERIC NAVARRO</v>
      </c>
      <c r="U656" s="1" t="str">
        <f>IFERROR(__xludf.DUMMYFUNCTION("""COMPUTED_VALUE"""),"MARK MALIWAT")</f>
        <v>MARK MALIWAT</v>
      </c>
      <c r="V656" s="1" t="str">
        <f>IFERROR(__xludf.DUMMYFUNCTION("""COMPUTED_VALUE"""),"ONLINE/CRANFORD")</f>
        <v>ONLINE/CRANFORD</v>
      </c>
      <c r="W656" s="1" t="str">
        <f>IFERROR(__xludf.DUMMYFUNCTION("""COMPUTED_VALUE"""),"BK HSTK")</f>
        <v>BK HSTK</v>
      </c>
      <c r="X656" s="1" t="str">
        <f>IFERROR(__xludf.DUMMYFUNCTION("""COMPUTED_VALUE"""),"HBBS SEPT 2026")</f>
        <v>HBBS SEPT 2026</v>
      </c>
      <c r="Y656" s="1" t="str">
        <f>IFERROR(__xludf.DUMMYFUNCTION("""COMPUTED_VALUE"""),"RS_ONL_CVEU_2026")</f>
        <v>RS_ONL_CVEU_2026</v>
      </c>
      <c r="Z656" s="1" t="str">
        <f>IFERROR(__xludf.DUMMYFUNCTION("""COMPUTED_VALUE"""),"NEW CONNECT")</f>
        <v>NEW CONNECT</v>
      </c>
      <c r="AA656" s="1">
        <f>IFERROR(__xludf.DUMMYFUNCTION("""COMPUTED_VALUE"""),639216322605)</f>
        <v>639216322605</v>
      </c>
      <c r="AB656" s="1">
        <f>IFERROR(__xludf.DUMMYFUNCTION("""COMPUTED_VALUE"""),639939883799)</f>
        <v>639939883799</v>
      </c>
      <c r="AC656" s="1">
        <f>IFERROR(__xludf.DUMMYFUNCTION("""COMPUTED_VALUE"""),1110)</f>
        <v>1110</v>
      </c>
      <c r="AD656" s="1" t="str">
        <f>IFERROR(__xludf.DUMMYFUNCTION("""COMPUTED_VALUE"""),"ESGUERRA")</f>
        <v>ESGUERRA</v>
      </c>
      <c r="AE656" s="1"/>
      <c r="AF656" s="1" t="str">
        <f>IFERROR(__xludf.DUMMYFUNCTION("""COMPUTED_VALUE"""),"BGY MIGUEL MOJICA")</f>
        <v>BGY MIGUEL MOJICA</v>
      </c>
      <c r="AG656" s="1" t="str">
        <f>IFERROR(__xludf.DUMMYFUNCTION("""COMPUTED_VALUE"""),"MENDEZ")</f>
        <v>MENDEZ</v>
      </c>
      <c r="AH656" s="1" t="str">
        <f>IFERROR(__xludf.DUMMYFUNCTION("""COMPUTED_VALUE"""),"BARANGAY HALL")</f>
        <v>BARANGAY HALL</v>
      </c>
      <c r="AI656" s="1" t="str">
        <f>IFERROR(__xludf.DUMMYFUNCTION("""COMPUTED_VALUE"""),"CLUSTER 12")</f>
        <v>CLUSTER 12</v>
      </c>
    </row>
    <row r="657" customHeight="1" spans="1:35">
      <c r="A657" s="3">
        <f>IFERROR(__xludf.DUMMYFUNCTION("""COMPUTED_VALUE"""),46289)</f>
        <v>46289</v>
      </c>
      <c r="B657" s="1" t="str">
        <f>IFERROR(__xludf.DUMMYFUNCTION("""COMPUTED_VALUE"""),"GREGORIO JR LOPEZ OSIS")</f>
        <v>GREGORIO JR LOPEZ OSIS</v>
      </c>
      <c r="C657" s="1">
        <f>IFERROR(__xludf.DUMMYFUNCTION("""COMPUTED_VALUE"""),2312773956)</f>
        <v>2312773956</v>
      </c>
      <c r="D657" s="1"/>
      <c r="E657" s="1"/>
      <c r="F657" s="1" t="str">
        <f>IFERROR(__xludf.DUMMYFUNCTION("""COMPUTED_VALUE"""),"FOR ONE HUB FILING")</f>
        <v>FOR ONE HUB FILING</v>
      </c>
      <c r="G657" s="1" t="str">
        <f>IFERROR(__xludf.DUMMYFUNCTION("""COMPUTED_VALUE"""),"FOR ONE HUB FILING")</f>
        <v>FOR ONE HUB FILING</v>
      </c>
      <c r="H657" s="1"/>
      <c r="I657" s="1"/>
      <c r="J657" s="1"/>
      <c r="K657" s="1"/>
      <c r="L657" s="1" t="str">
        <f>IFERROR(__xludf.DUMMYFUNCTION("""COMPUTED_VALUE"""),"FOR ONE HUB FILING")</f>
        <v>FOR ONE HUB FILING</v>
      </c>
      <c r="M657" s="1" t="str">
        <f>IFERROR(__xludf.DUMMYFUNCTION("""COMPUTED_VALUE"""),"FOR ONE HUB FILING")</f>
        <v>FOR ONE HUB FILING</v>
      </c>
      <c r="N657" s="3"/>
      <c r="O657" s="1" t="str">
        <f>IFERROR(__xludf.DUMMYFUNCTION("""COMPUTED_VALUE"""),"FIBR PLAN 1299")</f>
        <v>FIBR PLAN 1299</v>
      </c>
      <c r="P657" s="1" t="str">
        <f>IFERROR(__xludf.DUMMYFUNCTION("""COMPUTED_VALUE"""),"LOWPLAN")</f>
        <v>LOWPLAN</v>
      </c>
      <c r="Q657" s="1" t="str">
        <f>IFERROR(__xludf.DUMMYFUNCTION("""COMPUTED_VALUE"""),"P407516 ")</f>
        <v>P407516 </v>
      </c>
      <c r="R657" s="1" t="str">
        <f>IFERROR(__xludf.DUMMYFUNCTION("""COMPUTED_VALUE"""),"AYON, MANUEL")</f>
        <v>AYON, MANUEL</v>
      </c>
      <c r="S657" s="1" t="str">
        <f>IFERROR(__xludf.DUMMYFUNCTION("""COMPUTED_VALUE"""),"FLA")</f>
        <v>FLA</v>
      </c>
      <c r="T657" s="1" t="str">
        <f>IFERROR(__xludf.DUMMYFUNCTION("""COMPUTED_VALUE"""),"JERIC NAVARRO")</f>
        <v>JERIC NAVARRO</v>
      </c>
      <c r="U657" s="1" t="str">
        <f>IFERROR(__xludf.DUMMYFUNCTION("""COMPUTED_VALUE"""),"MARK MALIWAT")</f>
        <v>MARK MALIWAT</v>
      </c>
      <c r="V657" s="1" t="str">
        <f>IFERROR(__xludf.DUMMYFUNCTION("""COMPUTED_VALUE"""),"H2H")</f>
        <v>H2H</v>
      </c>
      <c r="W657" s="1" t="str">
        <f>IFERROR(__xludf.DUMMYFUNCTION("""COMPUTED_VALUE"""),"BK HSTK")</f>
        <v>BK HSTK</v>
      </c>
      <c r="X657" s="1" t="str">
        <f>IFERROR(__xludf.DUMMYFUNCTION("""COMPUTED_VALUE"""),"HBBS SEPT 2026")</f>
        <v>HBBS SEPT 2026</v>
      </c>
      <c r="Y657" s="1" t="str">
        <f>IFERROR(__xludf.DUMMYFUNCTION("""COMPUTED_VALUE"""),"BK_CVEU_260828")</f>
        <v>BK_CVEU_260828</v>
      </c>
      <c r="Z657" s="1" t="str">
        <f>IFERROR(__xludf.DUMMYFUNCTION("""COMPUTED_VALUE"""),"NEW CONNECT")</f>
        <v>NEW CONNECT</v>
      </c>
      <c r="AA657" s="1">
        <f>IFERROR(__xludf.DUMMYFUNCTION("""COMPUTED_VALUE"""),639271471716)</f>
        <v>639271471716</v>
      </c>
      <c r="AB657" s="1">
        <f>IFERROR(__xludf.DUMMYFUNCTION("""COMPUTED_VALUE"""),639463569662)</f>
        <v>639463569662</v>
      </c>
      <c r="AC657" s="1"/>
      <c r="AD657" s="1" t="str">
        <f>IFERROR(__xludf.DUMMYFUNCTION("""COMPUTED_VALUE"""),"PABAHAYA")</f>
        <v>PABAHAYA</v>
      </c>
      <c r="AE657" s="1" t="str">
        <f>IFERROR(__xludf.DUMMYFUNCTION("""COMPUTED_VALUE"""),"PABAHAY PHASE 1")</f>
        <v>PABAHAY PHASE 1</v>
      </c>
      <c r="AF657" s="1" t="str">
        <f>IFERROR(__xludf.DUMMYFUNCTION("""COMPUTED_VALUE"""),"BGY ZAMBAL")</f>
        <v>BGY ZAMBAL</v>
      </c>
      <c r="AG657" s="1" t="str">
        <f>IFERROR(__xludf.DUMMYFUNCTION("""COMPUTED_VALUE"""),"TAGAYTAY")</f>
        <v>TAGAYTAY</v>
      </c>
      <c r="AH657" s="1" t="str">
        <f>IFERROR(__xludf.DUMMYFUNCTION("""COMPUTED_VALUE"""),"BARANGAY HALL")</f>
        <v>BARANGAY HALL</v>
      </c>
      <c r="AI657" s="1" t="str">
        <f>IFERROR(__xludf.DUMMYFUNCTION("""COMPUTED_VALUE"""),"CLUSTER 12")</f>
        <v>CLUSTER 12</v>
      </c>
    </row>
    <row r="658" customHeight="1" spans="1:35">
      <c r="A658" s="3">
        <f>IFERROR(__xludf.DUMMYFUNCTION("""COMPUTED_VALUE"""),46289)</f>
        <v>46289</v>
      </c>
      <c r="B658" s="1" t="str">
        <f>IFERROR(__xludf.DUMMYFUNCTION("""COMPUTED_VALUE"""),"JOHN KENNEDY VELASCO VALENCIA")</f>
        <v>JOHN KENNEDY VELASCO VALENCIA</v>
      </c>
      <c r="C658" s="1">
        <f>IFERROR(__xludf.DUMMYFUNCTION("""COMPUTED_VALUE"""),2312778586)</f>
        <v>2312778586</v>
      </c>
      <c r="D658" s="1">
        <f>IFERROR(__xludf.DUMMYFUNCTION("""COMPUTED_VALUE"""),408316111)</f>
        <v>408316111</v>
      </c>
      <c r="E658" s="1">
        <f>IFERROR(__xludf.DUMMYFUNCTION("""COMPUTED_VALUE"""),472739914004)</f>
        <v>472739914004</v>
      </c>
      <c r="F658" s="1" t="str">
        <f>IFERROR(__xludf.DUMMYFUNCTION("""COMPUTED_VALUE"""),"RPR")</f>
        <v>RPR</v>
      </c>
      <c r="G658" s="1" t="str">
        <f>IFERROR(__xludf.DUMMYFUNCTION("""COMPUTED_VALUE"""),"""CALLTHRU 
REMARKS: CANCEL APLICATION AS PER SUBS 
TALK JOHN KENNEDY VELASCO VALENCIA 
09062485240 09560743175""")</f>
        <v>"CALLTHRU 
REMARKS: CANCEL APLICATION AS PER SUBS 
TALK JOHN KENNEDY VELASCO VALENCIA 
09062485240 09560743175"</v>
      </c>
      <c r="H658" s="1"/>
      <c r="I658" s="1" t="str">
        <f>IFERROR(__xludf.DUMMYFUNCTION("""COMPUTED_VALUE"""),"NO 1 AMSF")</f>
        <v>NO 1 AMSF</v>
      </c>
      <c r="J658" s="1"/>
      <c r="K658" s="1" t="str">
        <f>IFERROR(__xludf.DUMMYFUNCTION("""COMPUTED_VALUE"""),"NOT IN OFSC")</f>
        <v>NOT IN OFSC</v>
      </c>
      <c r="L658" s="1" t="str">
        <f>IFERROR(__xludf.DUMMYFUNCTION("""COMPUTED_VALUE"""),"RPR - SUBS CANCEL REQUEST")</f>
        <v>RPR - SUBS CANCEL REQUEST</v>
      </c>
      <c r="M658" s="1" t="str">
        <f>IFERROR(__xludf.DUMMYFUNCTION("""COMPUTED_VALUE"""),"RPR- SUBS CANCEL REQUEST")</f>
        <v>RPR- SUBS CANCEL REQUEST</v>
      </c>
      <c r="N658" s="3"/>
      <c r="O658" s="1" t="str">
        <f>IFERROR(__xludf.DUMMYFUNCTION("""COMPUTED_VALUE"""),"FIBR PLAN 1299")</f>
        <v>FIBR PLAN 1299</v>
      </c>
      <c r="P658" s="1" t="str">
        <f>IFERROR(__xludf.DUMMYFUNCTION("""COMPUTED_VALUE"""),"LOWPLAN")</f>
        <v>LOWPLAN</v>
      </c>
      <c r="Q658" s="1" t="str">
        <f>IFERROR(__xludf.DUMMYFUNCTION("""COMPUTED_VALUE"""),"P407050 ")</f>
        <v>P407050 </v>
      </c>
      <c r="R658" s="1" t="str">
        <f>IFERROR(__xludf.DUMMYFUNCTION("""COMPUTED_VALUE"""),"CADERAO, RONALD")</f>
        <v>CADERAO, RONALD</v>
      </c>
      <c r="S658" s="1" t="str">
        <f>IFERROR(__xludf.DUMMYFUNCTION("""COMPUTED_VALUE"""),"ORGANIC")</f>
        <v>ORGANIC</v>
      </c>
      <c r="T658" s="1" t="str">
        <f>IFERROR(__xludf.DUMMYFUNCTION("""COMPUTED_VALUE"""),"LEA REMOLLO")</f>
        <v>LEA REMOLLO</v>
      </c>
      <c r="U658" s="1" t="str">
        <f>IFERROR(__xludf.DUMMYFUNCTION("""COMPUTED_VALUE"""),"MARK MALIWAT")</f>
        <v>MARK MALIWAT</v>
      </c>
      <c r="V658" s="1" t="str">
        <f>IFERROR(__xludf.DUMMYFUNCTION("""COMPUTED_VALUE"""),"H2H")</f>
        <v>H2H</v>
      </c>
      <c r="W658" s="1" t="str">
        <f>IFERROR(__xludf.DUMMYFUNCTION("""COMPUTED_VALUE"""),"BK HSTK")</f>
        <v>BK HSTK</v>
      </c>
      <c r="X658" s="1" t="str">
        <f>IFERROR(__xludf.DUMMYFUNCTION("""COMPUTED_VALUE"""),"HBBS SEPT 2026")</f>
        <v>HBBS SEPT 2026</v>
      </c>
      <c r="Y658" s="1" t="str">
        <f>IFERROR(__xludf.DUMMYFUNCTION("""COMPUTED_VALUE"""),"BK_CVEU_260827")</f>
        <v>BK_CVEU_260827</v>
      </c>
      <c r="Z658" s="1" t="str">
        <f>IFERROR(__xludf.DUMMYFUNCTION("""COMPUTED_VALUE"""),"NEW CONNECT")</f>
        <v>NEW CONNECT</v>
      </c>
      <c r="AA658" s="1">
        <f>IFERROR(__xludf.DUMMYFUNCTION("""COMPUTED_VALUE"""),639062485240)</f>
        <v>639062485240</v>
      </c>
      <c r="AB658" s="1">
        <f>IFERROR(__xludf.DUMMYFUNCTION("""COMPUTED_VALUE"""),639560743175)</f>
        <v>639560743175</v>
      </c>
      <c r="AC658" s="1"/>
      <c r="AD658" s="1" t="str">
        <f>IFERROR(__xludf.DUMMYFUNCTION("""COMPUTED_VALUE"""),"POOC")</f>
        <v>POOC</v>
      </c>
      <c r="AE658" s="1"/>
      <c r="AF658" s="1" t="str">
        <f>IFERROR(__xludf.DUMMYFUNCTION("""COMPUTED_VALUE"""),"BGY LUMIL")</f>
        <v>BGY LUMIL</v>
      </c>
      <c r="AG658" s="1" t="str">
        <f>IFERROR(__xludf.DUMMYFUNCTION("""COMPUTED_VALUE"""),"SILANG")</f>
        <v>SILANG</v>
      </c>
      <c r="AH658" s="1" t="str">
        <f>IFERROR(__xludf.DUMMYFUNCTION("""COMPUTED_VALUE"""),"DALI")</f>
        <v>DALI</v>
      </c>
      <c r="AI658" s="1" t="str">
        <f>IFERROR(__xludf.DUMMYFUNCTION("""COMPUTED_VALUE"""),"CLUSTER 11")</f>
        <v>CLUSTER 11</v>
      </c>
    </row>
    <row r="659" customHeight="1" spans="1:35">
      <c r="A659" s="3">
        <f>IFERROR(__xludf.DUMMYFUNCTION("""COMPUTED_VALUE"""),46289)</f>
        <v>46289</v>
      </c>
      <c r="B659" s="1" t="str">
        <f>IFERROR(__xludf.DUMMYFUNCTION("""COMPUTED_VALUE""")," JOCEBELL RIEL MENDOZA")</f>
        <v> JOCEBELL RIEL MENDOZA</v>
      </c>
      <c r="C659" s="1">
        <f>IFERROR(__xludf.DUMMYFUNCTION("""COMPUTED_VALUE"""),2312780562)</f>
        <v>2312780562</v>
      </c>
      <c r="D659" s="1"/>
      <c r="E659" s="1"/>
      <c r="F659" s="1" t="str">
        <f>IFERROR(__xludf.DUMMYFUNCTION("""COMPUTED_VALUE"""),"CANCELLED")</f>
        <v>CANCELLED</v>
      </c>
      <c r="G659" s="1" t="str">
        <f>IFERROR(__xludf.DUMMYFUNCTION("""COMPUTED_VALUE"""),"(WITH BLACKLISTED ACCOUNT FOR SETTLEMENT) RTS | COMPLETE DOCS | DONE VALIDATION | CORRECT ENCODED INFO IN CSP | TU SCORING FF - 1 (NTC) | 1 AMSF | BL ACCT NO. 0349866781 - SAME NAME/DIFFERENT ADDRESS - OB: 3,341.36 | NO PENDING/CANCELLED/ACTIVE ACCT APPLI"&amp;"CATION | DUPLICATE CBR ACCT NO. 0338209789 - CALLED THRU: 09309476925 2:08 PM - TALKED TO: SUBS - CALLOUT RESULT: CONFIRMED APPLYING FOR PLDT APPLICATION - CALLOUT STATUS: CONTACTED ")</f>
        <v>(WITH BLACKLISTED ACCOUNT FOR SETTLEMENT) RTS | COMPLETE DOCS | DONE VALIDATION | CORRECT ENCODED INFO IN CSP | TU SCORING FF - 1 (NTC) | 1 AMSF | BL ACCT NO. 0349866781 - SAME NAME/DIFFERENT ADDRESS - OB: 3,341.36 | NO PENDING/CANCELLED/ACTIVE ACCT APPLICATION | DUPLICATE CBR ACCT NO. 0338209789 - CALLED THRU: 09309476925 2:08 PM - TALKED TO: SUBS - CALLOUT RESULT: CONFIRMED APPLYING FOR PLDT APPLICATION - CALLOUT STATUS: CONTACTED </v>
      </c>
      <c r="H659" s="1"/>
      <c r="I659" s="1"/>
      <c r="J659" s="1"/>
      <c r="K659" s="1"/>
      <c r="L659" s="1" t="str">
        <f>IFERROR(__xludf.DUMMYFUNCTION("""COMPUTED_VALUE"""),"CANCELLED - WITH OB")</f>
        <v>CANCELLED - WITH OB</v>
      </c>
      <c r="M659" s="1" t="str">
        <f>IFERROR(__xludf.DUMMYFUNCTION("""COMPUTED_VALUE"""),"CANCELLED - WITH OB")</f>
        <v>CANCELLED - WITH OB</v>
      </c>
      <c r="N659" s="3"/>
      <c r="O659" s="1" t="str">
        <f>IFERROR(__xludf.DUMMYFUNCTION("""COMPUTED_VALUE"""),"FIBER UNLI ALL PLAN 1499")</f>
        <v>FIBER UNLI ALL PLAN 1499</v>
      </c>
      <c r="P659" s="1" t="str">
        <f>IFERROR(__xludf.DUMMYFUNCTION("""COMPUTED_VALUE"""),"LOWPLAN")</f>
        <v>LOWPLAN</v>
      </c>
      <c r="Q659" s="1" t="str">
        <f>IFERROR(__xludf.DUMMYFUNCTION("""COMPUTED_VALUE"""),"P407050 ")</f>
        <v>P407050 </v>
      </c>
      <c r="R659" s="1" t="str">
        <f>IFERROR(__xludf.DUMMYFUNCTION("""COMPUTED_VALUE"""),"CADERAO, RONALD")</f>
        <v>CADERAO, RONALD</v>
      </c>
      <c r="S659" s="1" t="str">
        <f>IFERROR(__xludf.DUMMYFUNCTION("""COMPUTED_VALUE"""),"ORGANIC")</f>
        <v>ORGANIC</v>
      </c>
      <c r="T659" s="1" t="str">
        <f>IFERROR(__xludf.DUMMYFUNCTION("""COMPUTED_VALUE"""),"LEA REMOLLO")</f>
        <v>LEA REMOLLO</v>
      </c>
      <c r="U659" s="1" t="str">
        <f>IFERROR(__xludf.DUMMYFUNCTION("""COMPUTED_VALUE"""),"MARK MALIWAT")</f>
        <v>MARK MALIWAT</v>
      </c>
      <c r="V659" s="1" t="str">
        <f>IFERROR(__xludf.DUMMYFUNCTION("""COMPUTED_VALUE"""),"H2H")</f>
        <v>H2H</v>
      </c>
      <c r="W659" s="1" t="str">
        <f>IFERROR(__xludf.DUMMYFUNCTION("""COMPUTED_VALUE"""),"BK HSTK")</f>
        <v>BK HSTK</v>
      </c>
      <c r="X659" s="1" t="str">
        <f>IFERROR(__xludf.DUMMYFUNCTION("""COMPUTED_VALUE"""),"HBBS SEPT 2026")</f>
        <v>HBBS SEPT 2026</v>
      </c>
      <c r="Y659" s="1" t="str">
        <f>IFERROR(__xludf.DUMMYFUNCTION("""COMPUTED_VALUE"""),"BK_CVEU_260827")</f>
        <v>BK_CVEU_260827</v>
      </c>
      <c r="Z659" s="1" t="str">
        <f>IFERROR(__xludf.DUMMYFUNCTION("""COMPUTED_VALUE"""),"NEW CONNECT")</f>
        <v>NEW CONNECT</v>
      </c>
      <c r="AA659" s="1">
        <f>IFERROR(__xludf.DUMMYFUNCTION("""COMPUTED_VALUE"""),639309476925)</f>
        <v>639309476925</v>
      </c>
      <c r="AB659" s="1">
        <f>IFERROR(__xludf.DUMMYFUNCTION("""COMPUTED_VALUE"""),639922760217)</f>
        <v>639922760217</v>
      </c>
      <c r="AC659" s="1">
        <f>IFERROR(__xludf.DUMMYFUNCTION("""COMPUTED_VALUE"""),1377)</f>
        <v>1377</v>
      </c>
      <c r="AD659" s="1" t="str">
        <f>IFERROR(__xludf.DUMMYFUNCTION("""COMPUTED_VALUE"""),"OREGANO")</f>
        <v>OREGANO</v>
      </c>
      <c r="AE659" s="1"/>
      <c r="AF659" s="1" t="str">
        <f>IFERROR(__xludf.DUMMYFUNCTION("""COMPUTED_VALUE"""),"BGY ULAT")</f>
        <v>BGY ULAT</v>
      </c>
      <c r="AG659" s="1" t="str">
        <f>IFERROR(__xludf.DUMMYFUNCTION("""COMPUTED_VALUE"""),"SILANG")</f>
        <v>SILANG</v>
      </c>
      <c r="AH659" s="1"/>
      <c r="AI659" s="1" t="str">
        <f>IFERROR(__xludf.DUMMYFUNCTION("""COMPUTED_VALUE"""),"CLUSTER 11")</f>
        <v>CLUSTER 11</v>
      </c>
    </row>
    <row r="660" customHeight="1" spans="1:35">
      <c r="A660" s="3">
        <f>IFERROR(__xludf.DUMMYFUNCTION("""COMPUTED_VALUE"""),46289)</f>
        <v>46289</v>
      </c>
      <c r="B660" s="1" t="str">
        <f>IFERROR(__xludf.DUMMYFUNCTION("""COMPUTED_VALUE"""),"JAME KAVEN GALVEZ LEGASPI")</f>
        <v>JAME KAVEN GALVEZ LEGASPI</v>
      </c>
      <c r="C660" s="1">
        <f>IFERROR(__xludf.DUMMYFUNCTION("""COMPUTED_VALUE"""),2312781232)</f>
        <v>2312781232</v>
      </c>
      <c r="D660" s="1"/>
      <c r="E660" s="1"/>
      <c r="F660" s="1" t="str">
        <f>IFERROR(__xludf.DUMMYFUNCTION("""COMPUTED_VALUE"""),"CANCELLED")</f>
        <v>CANCELLED</v>
      </c>
      <c r="G660" s="1" t="str">
        <f>IFERROR(__xludf.DUMMYFUNCTION("""COMPUTED_VALUE"""),"CANCELLED")</f>
        <v>CANCELLED</v>
      </c>
      <c r="H660" s="1"/>
      <c r="I660" s="1"/>
      <c r="J660" s="1"/>
      <c r="K660" s="1"/>
      <c r="L660" s="1" t="str">
        <f>IFERROR(__xludf.DUMMYFUNCTION("""COMPUTED_VALUE"""),"CANCELLED")</f>
        <v>CANCELLED</v>
      </c>
      <c r="M660" s="1" t="str">
        <f>IFERROR(__xludf.DUMMYFUNCTION("""COMPUTED_VALUE"""),"CANCELLED")</f>
        <v>CANCELLED</v>
      </c>
      <c r="N660" s="3"/>
      <c r="O660" s="1" t="str">
        <f>IFERROR(__xludf.DUMMYFUNCTION("""COMPUTED_VALUE"""),"FIBR NETFLIX PLAN 1599")</f>
        <v>FIBR NETFLIX PLAN 1599</v>
      </c>
      <c r="P660" s="1" t="str">
        <f>IFERROR(__xludf.DUMMYFUNCTION("""COMPUTED_VALUE"""),"LOWPLAN")</f>
        <v>LOWPLAN</v>
      </c>
      <c r="Q660" s="1" t="str">
        <f>IFERROR(__xludf.DUMMYFUNCTION("""COMPUTED_VALUE"""),"P407050")</f>
        <v>P407050</v>
      </c>
      <c r="R660" s="1" t="str">
        <f>IFERROR(__xludf.DUMMYFUNCTION("""COMPUTED_VALUE"""),"TAMAYO, MARY ROSE ZAIRA")</f>
        <v>TAMAYO, MARY ROSE ZAIRA</v>
      </c>
      <c r="S660" s="1" t="str">
        <f>IFERROR(__xludf.DUMMYFUNCTION("""COMPUTED_VALUE"""),"ORGANIC")</f>
        <v>ORGANIC</v>
      </c>
      <c r="T660" s="1" t="str">
        <f>IFERROR(__xludf.DUMMYFUNCTION("""COMPUTED_VALUE"""),"LEA REMOLLO")</f>
        <v>LEA REMOLLO</v>
      </c>
      <c r="U660" s="1" t="str">
        <f>IFERROR(__xludf.DUMMYFUNCTION("""COMPUTED_VALUE"""),"JULIE ESPIRITU")</f>
        <v>JULIE ESPIRITU</v>
      </c>
      <c r="V660" s="1" t="str">
        <f>IFERROR(__xludf.DUMMYFUNCTION("""COMPUTED_VALUE"""),"BK REGULAR")</f>
        <v>BK REGULAR</v>
      </c>
      <c r="W660" s="1" t="str">
        <f>IFERROR(__xludf.DUMMYFUNCTION("""COMPUTED_VALUE"""),"STK REGULAR")</f>
        <v>STK REGULAR</v>
      </c>
      <c r="X660" s="1" t="str">
        <f>IFERROR(__xludf.DUMMYFUNCTION("""COMPUTED_VALUE"""),"HBBS SEPT 2026")</f>
        <v>HBBS SEPT 2026</v>
      </c>
      <c r="Y660" s="1" t="str">
        <f>IFERROR(__xludf.DUMMYFUNCTION("""COMPUTED_VALUE"""),"BK_CVEU_260825")</f>
        <v>BK_CVEU_260825</v>
      </c>
      <c r="Z660" s="1" t="str">
        <f>IFERROR(__xludf.DUMMYFUNCTION("""COMPUTED_VALUE"""),"NEW CONNECT")</f>
        <v>NEW CONNECT</v>
      </c>
      <c r="AA660" s="1">
        <f>IFERROR(__xludf.DUMMYFUNCTION("""COMPUTED_VALUE"""),639930211404)</f>
        <v>639930211404</v>
      </c>
      <c r="AB660" s="1"/>
      <c r="AC660" s="1"/>
      <c r="AD660" s="1" t="str">
        <f>IFERROR(__xludf.DUMMYFUNCTION("""COMPUTED_VALUE"""),"SAN JOSE")</f>
        <v>SAN JOSE</v>
      </c>
      <c r="AE660" s="1"/>
      <c r="AF660" s="1" t="str">
        <f>IFERROR(__xludf.DUMMYFUNCTION("""COMPUTED_VALUE"""),"BGY SAN JOSE")</f>
        <v>BGY SAN JOSE</v>
      </c>
      <c r="AG660" s="1" t="str">
        <f>IFERROR(__xludf.DUMMYFUNCTION("""COMPUTED_VALUE"""),"GEN MARIANO ALVAREZ")</f>
        <v>GEN MARIANO ALVAREZ</v>
      </c>
      <c r="AH660" s="1" t="str">
        <f>IFERROR(__xludf.DUMMYFUNCTION("""COMPUTED_VALUE"""),"HALF COURT")</f>
        <v>HALF COURT</v>
      </c>
      <c r="AI660" s="1" t="str">
        <f>IFERROR(__xludf.DUMMYFUNCTION("""COMPUTED_VALUE"""),"CLUSTER 11")</f>
        <v>CLUSTER 11</v>
      </c>
    </row>
    <row r="661" customHeight="1" spans="1:35">
      <c r="A661" s="3">
        <f>IFERROR(__xludf.DUMMYFUNCTION("""COMPUTED_VALUE"""),46289)</f>
        <v>46289</v>
      </c>
      <c r="B661" s="1" t="str">
        <f>IFERROR(__xludf.DUMMYFUNCTION("""COMPUTED_VALUE""")," PRINCESS YARAH BANTIGUE MACAUYAG")</f>
        <v> PRINCESS YARAH BANTIGUE MACAUYAG</v>
      </c>
      <c r="C661" s="1">
        <f>IFERROR(__xludf.DUMMYFUNCTION("""COMPUTED_VALUE"""),2312781442)</f>
        <v>2312781442</v>
      </c>
      <c r="D661" s="1">
        <f>IFERROR(__xludf.DUMMYFUNCTION("""COMPUTED_VALUE"""),408321360)</f>
        <v>408321360</v>
      </c>
      <c r="E661" s="1">
        <f>IFERROR(__xludf.DUMMYFUNCTION("""COMPUTED_VALUE"""),472745670004)</f>
        <v>472745670004</v>
      </c>
      <c r="F661" s="1" t="str">
        <f>IFERROR(__xludf.DUMMYFUNCTION("""COMPUTED_VALUE"""),"FOR PAYMENT")</f>
        <v>FOR PAYMENT</v>
      </c>
      <c r="G661" s="1" t="str">
        <f>IFERROR(__xludf.DUMMYFUNCTION("""COMPUTED_VALUE"""),"FOR PAYMENT")</f>
        <v>FOR PAYMENT</v>
      </c>
      <c r="H661" s="1"/>
      <c r="I661" s="1"/>
      <c r="J661" s="1"/>
      <c r="K661" s="1" t="str">
        <f>IFERROR(__xludf.DUMMYFUNCTION("""COMPUTED_VALUE"""),"NOT IN OFSC")</f>
        <v>NOT IN OFSC</v>
      </c>
      <c r="L661" s="1" t="str">
        <f>IFERROR(__xludf.DUMMYFUNCTION("""COMPUTED_VALUE"""),"FOR PAYMENT")</f>
        <v>FOR PAYMENT</v>
      </c>
      <c r="M661" s="1" t="str">
        <f>IFERROR(__xludf.DUMMYFUNCTION("""COMPUTED_VALUE"""),"FOR PAYMENT - FOR CALL OUT")</f>
        <v>FOR PAYMENT - FOR CALL OUT</v>
      </c>
      <c r="N661" s="3"/>
      <c r="O661" s="1" t="str">
        <f>IFERROR(__xludf.DUMMYFUNCTION("""COMPUTED_VALUE"""),"FIBR UNLI ALL PLAN 999")</f>
        <v>FIBR UNLI ALL PLAN 999</v>
      </c>
      <c r="P661" s="1" t="str">
        <f>IFERROR(__xludf.DUMMYFUNCTION("""COMPUTED_VALUE"""),"LOWPLAN")</f>
        <v>LOWPLAN</v>
      </c>
      <c r="Q661" s="1" t="str">
        <f>IFERROR(__xludf.DUMMYFUNCTION("""COMPUTED_VALUE"""),"P407050 ")</f>
        <v>P407050 </v>
      </c>
      <c r="R661" s="1" t="str">
        <f>IFERROR(__xludf.DUMMYFUNCTION("""COMPUTED_VALUE"""),"CADERAO, RONALD")</f>
        <v>CADERAO, RONALD</v>
      </c>
      <c r="S661" s="1" t="str">
        <f>IFERROR(__xludf.DUMMYFUNCTION("""COMPUTED_VALUE"""),"ORGANIC")</f>
        <v>ORGANIC</v>
      </c>
      <c r="T661" s="1" t="str">
        <f>IFERROR(__xludf.DUMMYFUNCTION("""COMPUTED_VALUE"""),"LEA REMOLLO")</f>
        <v>LEA REMOLLO</v>
      </c>
      <c r="U661" s="1" t="str">
        <f>IFERROR(__xludf.DUMMYFUNCTION("""COMPUTED_VALUE"""),"MARK MALIWAT")</f>
        <v>MARK MALIWAT</v>
      </c>
      <c r="V661" s="1" t="str">
        <f>IFERROR(__xludf.DUMMYFUNCTION("""COMPUTED_VALUE"""),"BK HSTK")</f>
        <v>BK HSTK</v>
      </c>
      <c r="W661" s="1" t="str">
        <f>IFERROR(__xludf.DUMMYFUNCTION("""COMPUTED_VALUE"""),"BK HSTK")</f>
        <v>BK HSTK</v>
      </c>
      <c r="X661" s="1" t="str">
        <f>IFERROR(__xludf.DUMMYFUNCTION("""COMPUTED_VALUE"""),"HBBS SEPT 2026")</f>
        <v>HBBS SEPT 2026</v>
      </c>
      <c r="Y661" s="1" t="str">
        <f>IFERROR(__xludf.DUMMYFUNCTION("""COMPUTED_VALUE"""),"BK_CVEU_260827")</f>
        <v>BK_CVEU_260827</v>
      </c>
      <c r="Z661" s="1" t="str">
        <f>IFERROR(__xludf.DUMMYFUNCTION("""COMPUTED_VALUE"""),"NEW CONNECT")</f>
        <v>NEW CONNECT</v>
      </c>
      <c r="AA661" s="1">
        <f>IFERROR(__xludf.DUMMYFUNCTION("""COMPUTED_VALUE"""),639455560280)</f>
        <v>639455560280</v>
      </c>
      <c r="AB661" s="1"/>
      <c r="AC661" s="1">
        <f>IFERROR(__xludf.DUMMYFUNCTION("""COMPUTED_VALUE"""),42)</f>
        <v>42</v>
      </c>
      <c r="AD661" s="1" t="str">
        <f>IFERROR(__xludf.DUMMYFUNCTION("""COMPUTED_VALUE"""),"AGUINALDO")</f>
        <v>AGUINALDO</v>
      </c>
      <c r="AE661" s="1"/>
      <c r="AF661" s="1" t="str">
        <f>IFERROR(__xludf.DUMMYFUNCTION("""COMPUTED_VALUE"""),"BGY LALAAN 2")</f>
        <v>BGY LALAAN 2</v>
      </c>
      <c r="AG661" s="1" t="str">
        <f>IFERROR(__xludf.DUMMYFUNCTION("""COMPUTED_VALUE"""),"SILANG")</f>
        <v>SILANG</v>
      </c>
      <c r="AH661" s="1" t="str">
        <f>IFERROR(__xludf.DUMMYFUNCTION("""COMPUTED_VALUE"""),"NAIS LAUNDRY")</f>
        <v>NAIS LAUNDRY</v>
      </c>
      <c r="AI661" s="1" t="str">
        <f>IFERROR(__xludf.DUMMYFUNCTION("""COMPUTED_VALUE"""),"CLUSTER 11")</f>
        <v>CLUSTER 11</v>
      </c>
    </row>
    <row r="662" customHeight="1" spans="1:35">
      <c r="A662" s="3">
        <f>IFERROR(__xludf.DUMMYFUNCTION("""COMPUTED_VALUE"""),46289)</f>
        <v>46289</v>
      </c>
      <c r="B662" s="1" t="str">
        <f>IFERROR(__xludf.DUMMYFUNCTION("""COMPUTED_VALUE"""),"ANNA ROSE FRANCISCO SAMSON")</f>
        <v>ANNA ROSE FRANCISCO SAMSON</v>
      </c>
      <c r="C662" s="1">
        <f>IFERROR(__xludf.DUMMYFUNCTION("""COMPUTED_VALUE"""),2312781453)</f>
        <v>2312781453</v>
      </c>
      <c r="D662" s="1"/>
      <c r="E662" s="1"/>
      <c r="F662" s="1" t="str">
        <f>IFERROR(__xludf.DUMMYFUNCTION("""COMPUTED_VALUE"""),"CANCELLED")</f>
        <v>CANCELLED</v>
      </c>
      <c r="G662" s="1" t="str">
        <f>IFERROR(__xludf.DUMMYFUNCTION("""COMPUTED_VALUE"""),"CANCELLED")</f>
        <v>CANCELLED</v>
      </c>
      <c r="H662" s="1"/>
      <c r="I662" s="1"/>
      <c r="J662" s="1"/>
      <c r="K662" s="1"/>
      <c r="L662" s="1" t="str">
        <f>IFERROR(__xludf.DUMMYFUNCTION("""COMPUTED_VALUE"""),"CANCELLED")</f>
        <v>CANCELLED</v>
      </c>
      <c r="M662" s="1" t="str">
        <f>IFERROR(__xludf.DUMMYFUNCTION("""COMPUTED_VALUE"""),"CANCELLED")</f>
        <v>CANCELLED</v>
      </c>
      <c r="N662" s="3"/>
      <c r="O662" s="1" t="str">
        <f>IFERROR(__xludf.DUMMYFUNCTION("""COMPUTED_VALUE"""),"FIBR PLAN 1299")</f>
        <v>FIBR PLAN 1299</v>
      </c>
      <c r="P662" s="1" t="str">
        <f>IFERROR(__xludf.DUMMYFUNCTION("""COMPUTED_VALUE"""),"LOWPLAN")</f>
        <v>LOWPLAN</v>
      </c>
      <c r="Q662" s="1" t="str">
        <f>IFERROR(__xludf.DUMMYFUNCTION("""COMPUTED_VALUE"""),"P407561")</f>
        <v>P407561</v>
      </c>
      <c r="R662" s="1" t="str">
        <f>IFERROR(__xludf.DUMMYFUNCTION("""COMPUTED_VALUE"""),"IVNO, RAZZEL")</f>
        <v>IVNO, RAZZEL</v>
      </c>
      <c r="S662" s="1" t="str">
        <f>IFERROR(__xludf.DUMMYFUNCTION("""COMPUTED_VALUE"""),"ORGANIC")</f>
        <v>ORGANIC</v>
      </c>
      <c r="T662" s="1" t="str">
        <f>IFERROR(__xludf.DUMMYFUNCTION("""COMPUTED_VALUE"""),"LEA REMOLLO")</f>
        <v>LEA REMOLLO</v>
      </c>
      <c r="U662" s="1" t="str">
        <f>IFERROR(__xludf.DUMMYFUNCTION("""COMPUTED_VALUE"""),"JULIE ESPIRITU")</f>
        <v>JULIE ESPIRITU</v>
      </c>
      <c r="V662" s="1" t="str">
        <f>IFERROR(__xludf.DUMMYFUNCTION("""COMPUTED_VALUE"""),"BK REGULAR")</f>
        <v>BK REGULAR</v>
      </c>
      <c r="W662" s="1" t="str">
        <f>IFERROR(__xludf.DUMMYFUNCTION("""COMPUTED_VALUE"""),"STK REGULAR")</f>
        <v>STK REGULAR</v>
      </c>
      <c r="X662" s="1" t="str">
        <f>IFERROR(__xludf.DUMMYFUNCTION("""COMPUTED_VALUE"""),"HBBS SEPT 2026")</f>
        <v>HBBS SEPT 2026</v>
      </c>
      <c r="Y662" s="1" t="str">
        <f>IFERROR(__xludf.DUMMYFUNCTION("""COMPUTED_VALUE"""),"BK_CVEU_260827")</f>
        <v>BK_CVEU_260827</v>
      </c>
      <c r="Z662" s="1" t="str">
        <f>IFERROR(__xludf.DUMMYFUNCTION("""COMPUTED_VALUE"""),"NEW CONNECT")</f>
        <v>NEW CONNECT</v>
      </c>
      <c r="AA662" s="1">
        <f>IFERROR(__xludf.DUMMYFUNCTION("""COMPUTED_VALUE"""),639534400853)</f>
        <v>639534400853</v>
      </c>
      <c r="AB662" s="1">
        <f>IFERROR(__xludf.DUMMYFUNCTION("""COMPUTED_VALUE"""),639558937597)</f>
        <v>639558937597</v>
      </c>
      <c r="AC662" s="1"/>
      <c r="AD662" s="1" t="str">
        <f>IFERROR(__xludf.DUMMYFUNCTION("""COMPUTED_VALUE"""),"PUROK 2")</f>
        <v>PUROK 2</v>
      </c>
      <c r="AE662" s="1"/>
      <c r="AF662" s="1" t="str">
        <f>IFERROR(__xludf.DUMMYFUNCTION("""COMPUTED_VALUE"""),"BGY MALABAG")</f>
        <v>BGY MALABAG</v>
      </c>
      <c r="AG662" s="1" t="str">
        <f>IFERROR(__xludf.DUMMYFUNCTION("""COMPUTED_VALUE"""),"SILANG")</f>
        <v>SILANG</v>
      </c>
      <c r="AH662" s="1" t="str">
        <f>IFERROR(__xludf.DUMMYFUNCTION("""COMPUTED_VALUE"""),"BESIDE CAPA HARDWARE")</f>
        <v>BESIDE CAPA HARDWARE</v>
      </c>
      <c r="AI662" s="1" t="str">
        <f>IFERROR(__xludf.DUMMYFUNCTION("""COMPUTED_VALUE"""),"CLUSTER 11")</f>
        <v>CLUSTER 11</v>
      </c>
    </row>
    <row r="663" customHeight="1" spans="1:35">
      <c r="A663" s="3">
        <f>IFERROR(__xludf.DUMMYFUNCTION("""COMPUTED_VALUE"""),46289)</f>
        <v>46289</v>
      </c>
      <c r="B663" s="1" t="str">
        <f>IFERROR(__xludf.DUMMYFUNCTION("""COMPUTED_VALUE"""),"EDILBERTA MAIZO RIDDLE")</f>
        <v>EDILBERTA MAIZO RIDDLE</v>
      </c>
      <c r="C663" s="1">
        <f>IFERROR(__xludf.DUMMYFUNCTION("""COMPUTED_VALUE"""),2312781737)</f>
        <v>2312781737</v>
      </c>
      <c r="D663" s="1"/>
      <c r="E663" s="1"/>
      <c r="F663" s="1" t="str">
        <f>IFERROR(__xludf.DUMMYFUNCTION("""COMPUTED_VALUE"""),"CANCELLED")</f>
        <v>CANCELLED</v>
      </c>
      <c r="G663" s="1" t="str">
        <f>IFERROR(__xludf.DUMMYFUNCTION("""COMPUTED_VALUE"""),"CANCELLED")</f>
        <v>CANCELLED</v>
      </c>
      <c r="H663" s="1"/>
      <c r="I663" s="1"/>
      <c r="J663" s="1"/>
      <c r="K663" s="1"/>
      <c r="L663" s="1" t="str">
        <f>IFERROR(__xludf.DUMMYFUNCTION("""COMPUTED_VALUE"""),"CANCELLED")</f>
        <v>CANCELLED</v>
      </c>
      <c r="M663" s="1" t="str">
        <f>IFERROR(__xludf.DUMMYFUNCTION("""COMPUTED_VALUE"""),"CANCELLED")</f>
        <v>CANCELLED</v>
      </c>
      <c r="N663" s="3"/>
      <c r="O663" s="1" t="str">
        <f>IFERROR(__xludf.DUMMYFUNCTION("""COMPUTED_VALUE"""),"FIBR PLAN 1299")</f>
        <v>FIBR PLAN 1299</v>
      </c>
      <c r="P663" s="1" t="str">
        <f>IFERROR(__xludf.DUMMYFUNCTION("""COMPUTED_VALUE"""),"LOWPLAN")</f>
        <v>LOWPLAN</v>
      </c>
      <c r="Q663" s="1" t="str">
        <f>IFERROR(__xludf.DUMMYFUNCTION("""COMPUTED_VALUE"""),"P407044")</f>
        <v>P407044</v>
      </c>
      <c r="R663" s="1" t="str">
        <f>IFERROR(__xludf.DUMMYFUNCTION("""COMPUTED_VALUE"""),"REMOLLO, LEA")</f>
        <v>REMOLLO, LEA</v>
      </c>
      <c r="S663" s="1" t="str">
        <f>IFERROR(__xludf.DUMMYFUNCTION("""COMPUTED_VALUE"""),"FLA")</f>
        <v>FLA</v>
      </c>
      <c r="T663" s="1" t="str">
        <f>IFERROR(__xludf.DUMMYFUNCTION("""COMPUTED_VALUE"""),"JERIC NAVARRO")</f>
        <v>JERIC NAVARRO</v>
      </c>
      <c r="U663" s="1" t="str">
        <f>IFERROR(__xludf.DUMMYFUNCTION("""COMPUTED_VALUE"""),"JULIE ESPIRITU")</f>
        <v>JULIE ESPIRITU</v>
      </c>
      <c r="V663" s="1" t="str">
        <f>IFERROR(__xludf.DUMMYFUNCTION("""COMPUTED_VALUE"""),"BK REGULAR")</f>
        <v>BK REGULAR</v>
      </c>
      <c r="W663" s="1" t="str">
        <f>IFERROR(__xludf.DUMMYFUNCTION("""COMPUTED_VALUE"""),"STK REGULAR")</f>
        <v>STK REGULAR</v>
      </c>
      <c r="X663" s="1" t="str">
        <f>IFERROR(__xludf.DUMMYFUNCTION("""COMPUTED_VALUE"""),"HBBS SEPT 2026")</f>
        <v>HBBS SEPT 2026</v>
      </c>
      <c r="Y663" s="1" t="str">
        <f>IFERROR(__xludf.DUMMYFUNCTION("""COMPUTED_VALUE"""),"BK_CVEU_260827")</f>
        <v>BK_CVEU_260827</v>
      </c>
      <c r="Z663" s="1" t="str">
        <f>IFERROR(__xludf.DUMMYFUNCTION("""COMPUTED_VALUE"""),"NEW CONNECT")</f>
        <v>NEW CONNECT</v>
      </c>
      <c r="AA663" s="1">
        <f>IFERROR(__xludf.DUMMYFUNCTION("""COMPUTED_VALUE"""),639671543412)</f>
        <v>639671543412</v>
      </c>
      <c r="AB663" s="1"/>
      <c r="AC663" s="1">
        <f>IFERROR(__xludf.DUMMYFUNCTION("""COMPUTED_VALUE"""),267)</f>
        <v>267</v>
      </c>
      <c r="AD663" s="1" t="str">
        <f>IFERROR(__xludf.DUMMYFUNCTION("""COMPUTED_VALUE"""),"IBABA")</f>
        <v>IBABA</v>
      </c>
      <c r="AE663" s="1"/>
      <c r="AF663" s="1" t="str">
        <f>IFERROR(__xludf.DUMMYFUNCTION("""COMPUTED_VALUE"""),"BGY IBA")</f>
        <v>BGY IBA</v>
      </c>
      <c r="AG663" s="1" t="str">
        <f>IFERROR(__xludf.DUMMYFUNCTION("""COMPUTED_VALUE"""),"SILANG")</f>
        <v>SILANG</v>
      </c>
      <c r="AH663" s="1" t="str">
        <f>IFERROR(__xludf.DUMMYFUNCTION("""COMPUTED_VALUE"""),"-")</f>
        <v>-</v>
      </c>
      <c r="AI663" s="1" t="str">
        <f>IFERROR(__xludf.DUMMYFUNCTION("""COMPUTED_VALUE"""),"CLUSTER 11")</f>
        <v>CLUSTER 11</v>
      </c>
    </row>
    <row r="664" customHeight="1" spans="1:35">
      <c r="A664" s="3">
        <f>IFERROR(__xludf.DUMMYFUNCTION("""COMPUTED_VALUE"""),46289)</f>
        <v>46289</v>
      </c>
      <c r="B664" s="1" t="str">
        <f>IFERROR(__xludf.DUMMYFUNCTION("""COMPUTED_VALUE"""),"ADELFA TARAYO ARANAS")</f>
        <v>ADELFA TARAYO ARANAS</v>
      </c>
      <c r="C664" s="1">
        <f>IFERROR(__xludf.DUMMYFUNCTION("""COMPUTED_VALUE"""),2312781936)</f>
        <v>2312781936</v>
      </c>
      <c r="D664" s="1"/>
      <c r="E664" s="1"/>
      <c r="F664" s="1" t="str">
        <f>IFERROR(__xludf.DUMMYFUNCTION("""COMPUTED_VALUE"""),"CANCELLED")</f>
        <v>CANCELLED</v>
      </c>
      <c r="G664" s="1" t="str">
        <f>IFERROR(__xludf.DUMMYFUNCTION("""COMPUTED_VALUE"""),"CANCELLED")</f>
        <v>CANCELLED</v>
      </c>
      <c r="H664" s="1"/>
      <c r="I664" s="1"/>
      <c r="J664" s="1"/>
      <c r="K664" s="1"/>
      <c r="L664" s="1" t="str">
        <f>IFERROR(__xludf.DUMMYFUNCTION("""COMPUTED_VALUE"""),"CANCELLED")</f>
        <v>CANCELLED</v>
      </c>
      <c r="M664" s="1" t="str">
        <f>IFERROR(__xludf.DUMMYFUNCTION("""COMPUTED_VALUE"""),"CANCELLED")</f>
        <v>CANCELLED</v>
      </c>
      <c r="N664" s="3"/>
      <c r="O664" s="1" t="str">
        <f>IFERROR(__xludf.DUMMYFUNCTION("""COMPUTED_VALUE"""),"FIBR NETFLIX PLAN 1599")</f>
        <v>FIBR NETFLIX PLAN 1599</v>
      </c>
      <c r="P664" s="1" t="str">
        <f>IFERROR(__xludf.DUMMYFUNCTION("""COMPUTED_VALUE"""),"LOWPLAN")</f>
        <v>LOWPLAN</v>
      </c>
      <c r="Q664" s="1" t="str">
        <f>IFERROR(__xludf.DUMMYFUNCTION("""COMPUTED_VALUE"""),"P401649")</f>
        <v>P401649</v>
      </c>
      <c r="R664" s="1" t="str">
        <f>IFERROR(__xludf.DUMMYFUNCTION("""COMPUTED_VALUE"""),"FRANCISCO, ROSELYN")</f>
        <v>FRANCISCO, ROSELYN</v>
      </c>
      <c r="S664" s="1" t="str">
        <f>IFERROR(__xludf.DUMMYFUNCTION("""COMPUTED_VALUE"""),"ORGANIC")</f>
        <v>ORGANIC</v>
      </c>
      <c r="T664" s="1" t="str">
        <f>IFERROR(__xludf.DUMMYFUNCTION("""COMPUTED_VALUE"""),"LEA REMOLLO")</f>
        <v>LEA REMOLLO</v>
      </c>
      <c r="U664" s="1" t="str">
        <f>IFERROR(__xludf.DUMMYFUNCTION("""COMPUTED_VALUE"""),"JULIE ESPIRITU")</f>
        <v>JULIE ESPIRITU</v>
      </c>
      <c r="V664" s="1" t="str">
        <f>IFERROR(__xludf.DUMMYFUNCTION("""COMPUTED_VALUE"""),"BK REGULAR")</f>
        <v>BK REGULAR</v>
      </c>
      <c r="W664" s="1" t="str">
        <f>IFERROR(__xludf.DUMMYFUNCTION("""COMPUTED_VALUE"""),"STK REGULAR")</f>
        <v>STK REGULAR</v>
      </c>
      <c r="X664" s="1" t="str">
        <f>IFERROR(__xludf.DUMMYFUNCTION("""COMPUTED_VALUE"""),"HBBS SEPT 2026")</f>
        <v>HBBS SEPT 2026</v>
      </c>
      <c r="Y664" s="1" t="str">
        <f>IFERROR(__xludf.DUMMYFUNCTION("""COMPUTED_VALUE"""),"BK_CVEU_260825")</f>
        <v>BK_CVEU_260825</v>
      </c>
      <c r="Z664" s="1" t="str">
        <f>IFERROR(__xludf.DUMMYFUNCTION("""COMPUTED_VALUE"""),"NEW CONNECT")</f>
        <v>NEW CONNECT</v>
      </c>
      <c r="AA664" s="1">
        <f>IFERROR(__xludf.DUMMYFUNCTION("""COMPUTED_VALUE"""),639632685490)</f>
        <v>639632685490</v>
      </c>
      <c r="AB664" s="1">
        <f>IFERROR(__xludf.DUMMYFUNCTION("""COMPUTED_VALUE"""),639637835491)</f>
        <v>639637835491</v>
      </c>
      <c r="AC664" s="1"/>
      <c r="AD664" s="1" t="str">
        <f>IFERROR(__xludf.DUMMYFUNCTION("""COMPUTED_VALUE"""),"TANGLAD")</f>
        <v>TANGLAD</v>
      </c>
      <c r="AE664" s="1"/>
      <c r="AF664" s="1" t="str">
        <f>IFERROR(__xludf.DUMMYFUNCTION("""COMPUTED_VALUE"""),"BGY RAMON CRUZ")</f>
        <v>BGY RAMON CRUZ</v>
      </c>
      <c r="AG664" s="1" t="str">
        <f>IFERROR(__xludf.DUMMYFUNCTION("""COMPUTED_VALUE"""),"GEN MARIANO ALVAREZ")</f>
        <v>GEN MARIANO ALVAREZ</v>
      </c>
      <c r="AH664" s="1" t="str">
        <f>IFERROR(__xludf.DUMMYFUNCTION("""COMPUTED_VALUE"""),"AMPE STORE")</f>
        <v>AMPE STORE</v>
      </c>
      <c r="AI664" s="1" t="str">
        <f>IFERROR(__xludf.DUMMYFUNCTION("""COMPUTED_VALUE"""),"CLUSTER 11")</f>
        <v>CLUSTER 11</v>
      </c>
    </row>
    <row r="665" customHeight="1" spans="1:35">
      <c r="A665" s="3">
        <f>IFERROR(__xludf.DUMMYFUNCTION("""COMPUTED_VALUE"""),46289)</f>
        <v>46289</v>
      </c>
      <c r="B665" s="1" t="str">
        <f>IFERROR(__xludf.DUMMYFUNCTION("""COMPUTED_VALUE"""),"YANCY JAY FERRER HORTINELA")</f>
        <v>YANCY JAY FERRER HORTINELA</v>
      </c>
      <c r="C665" s="1">
        <f>IFERROR(__xludf.DUMMYFUNCTION("""COMPUTED_VALUE"""),2312782090)</f>
        <v>2312782090</v>
      </c>
      <c r="D665" s="1"/>
      <c r="E665" s="1"/>
      <c r="F665" s="1" t="str">
        <f>IFERROR(__xludf.DUMMYFUNCTION("""COMPUTED_VALUE"""),"CANCELLED")</f>
        <v>CANCELLED</v>
      </c>
      <c r="G665" s="1" t="str">
        <f>IFERROR(__xludf.DUMMYFUNCTION("""COMPUTED_VALUE"""),"CANCELLED")</f>
        <v>CANCELLED</v>
      </c>
      <c r="H665" s="1"/>
      <c r="I665" s="1"/>
      <c r="J665" s="1"/>
      <c r="K665" s="1"/>
      <c r="L665" s="1" t="str">
        <f>IFERROR(__xludf.DUMMYFUNCTION("""COMPUTED_VALUE"""),"CANCELLED")</f>
        <v>CANCELLED</v>
      </c>
      <c r="M665" s="1" t="str">
        <f>IFERROR(__xludf.DUMMYFUNCTION("""COMPUTED_VALUE"""),"CANCELLED")</f>
        <v>CANCELLED</v>
      </c>
      <c r="N665" s="3"/>
      <c r="O665" s="1" t="str">
        <f>IFERROR(__xludf.DUMMYFUNCTION("""COMPUTED_VALUE"""),"FIBR PLAN 1699")</f>
        <v>FIBR PLAN 1699</v>
      </c>
      <c r="P665" s="1" t="str">
        <f>IFERROR(__xludf.DUMMYFUNCTION("""COMPUTED_VALUE"""),"HIGHPLAN")</f>
        <v>HIGHPLAN</v>
      </c>
      <c r="Q665" s="1" t="str">
        <f>IFERROR(__xludf.DUMMYFUNCTION("""COMPUTED_VALUE"""),"P407046")</f>
        <v>P407046</v>
      </c>
      <c r="R665" s="1" t="str">
        <f>IFERROR(__xludf.DUMMYFUNCTION("""COMPUTED_VALUE"""),"REMOLLO, LEA")</f>
        <v>REMOLLO, LEA</v>
      </c>
      <c r="S665" s="1" t="str">
        <f>IFERROR(__xludf.DUMMYFUNCTION("""COMPUTED_VALUE"""),"FLA")</f>
        <v>FLA</v>
      </c>
      <c r="T665" s="1" t="str">
        <f>IFERROR(__xludf.DUMMYFUNCTION("""COMPUTED_VALUE"""),"JERIC NAVARRO")</f>
        <v>JERIC NAVARRO</v>
      </c>
      <c r="U665" s="1" t="str">
        <f>IFERROR(__xludf.DUMMYFUNCTION("""COMPUTED_VALUE"""),"JULIE ESPIRITU")</f>
        <v>JULIE ESPIRITU</v>
      </c>
      <c r="V665" s="1" t="str">
        <f>IFERROR(__xludf.DUMMYFUNCTION("""COMPUTED_VALUE"""),"BK REGULAR")</f>
        <v>BK REGULAR</v>
      </c>
      <c r="W665" s="1" t="str">
        <f>IFERROR(__xludf.DUMMYFUNCTION("""COMPUTED_VALUE"""),"STK REGULAR")</f>
        <v>STK REGULAR</v>
      </c>
      <c r="X665" s="1" t="str">
        <f>IFERROR(__xludf.DUMMYFUNCTION("""COMPUTED_VALUE"""),"HBBS SEPT 2026")</f>
        <v>HBBS SEPT 2026</v>
      </c>
      <c r="Y665" s="1" t="str">
        <f>IFERROR(__xludf.DUMMYFUNCTION("""COMPUTED_VALUE"""),"BK_CVEU_260825")</f>
        <v>BK_CVEU_260825</v>
      </c>
      <c r="Z665" s="1" t="str">
        <f>IFERROR(__xludf.DUMMYFUNCTION("""COMPUTED_VALUE"""),"NEW CONNECT")</f>
        <v>NEW CONNECT</v>
      </c>
      <c r="AA665" s="1">
        <f>IFERROR(__xludf.DUMMYFUNCTION("""COMPUTED_VALUE"""),639610771030)</f>
        <v>639610771030</v>
      </c>
      <c r="AB665" s="1"/>
      <c r="AC665" s="1">
        <f>IFERROR(__xludf.DUMMYFUNCTION("""COMPUTED_VALUE"""),25)</f>
        <v>25</v>
      </c>
      <c r="AD665" s="1" t="str">
        <f>IFERROR(__xludf.DUMMYFUNCTION("""COMPUTED_VALUE"""),"P MONTOYA")</f>
        <v>P MONTOYA</v>
      </c>
      <c r="AE665" s="1"/>
      <c r="AF665" s="1" t="str">
        <f>IFERROR(__xludf.DUMMYFUNCTION("""COMPUTED_VALUE"""),"BGY 4")</f>
        <v>BGY 4</v>
      </c>
      <c r="AG665" s="1" t="str">
        <f>IFERROR(__xludf.DUMMYFUNCTION("""COMPUTED_VALUE"""),"SILANG")</f>
        <v>SILANG</v>
      </c>
      <c r="AH665" s="1" t="str">
        <f>IFERROR(__xludf.DUMMYFUNCTION("""COMPUTED_VALUE"""),"BRGY 4")</f>
        <v>BRGY 4</v>
      </c>
      <c r="AI665" s="1" t="str">
        <f>IFERROR(__xludf.DUMMYFUNCTION("""COMPUTED_VALUE"""),"CLUSTER 11")</f>
        <v>CLUSTER 11</v>
      </c>
    </row>
    <row r="666" customHeight="1" spans="1:35">
      <c r="A666" s="3">
        <f>IFERROR(__xludf.DUMMYFUNCTION("""COMPUTED_VALUE"""),46289)</f>
        <v>46289</v>
      </c>
      <c r="B666" s="1" t="str">
        <f>IFERROR(__xludf.DUMMYFUNCTION("""COMPUTED_VALUE"""),"ROSE ANN PULAR PAGATPAT")</f>
        <v>ROSE ANN PULAR PAGATPAT</v>
      </c>
      <c r="C666" s="1">
        <f>IFERROR(__xludf.DUMMYFUNCTION("""COMPUTED_VALUE"""),2312783414)</f>
        <v>2312783414</v>
      </c>
      <c r="D666" s="1">
        <f>IFERROR(__xludf.DUMMYFUNCTION("""COMPUTED_VALUE"""),408327482)</f>
        <v>408327482</v>
      </c>
      <c r="E666" s="1">
        <f>IFERROR(__xludf.DUMMYFUNCTION("""COMPUTED_VALUE"""),472750381004)</f>
        <v>472750381004</v>
      </c>
      <c r="F666" s="1" t="str">
        <f>IFERROR(__xludf.DUMMYFUNCTION("""COMPUTED_VALUE"""),"RPR")</f>
        <v>RPR</v>
      </c>
      <c r="G666" s="1" t="str">
        <f>IFERROR(__xludf.DUMMYFUNCTION("""COMPUTED_VALUE"""),"Remarks : no fiber facilities as per guard on duty subs all ready advice Talk Sor Cbr 09672576421")</f>
        <v>Remarks : no fiber facilities as per guard on duty subs all ready advice Talk Sor Cbr 09672576421</v>
      </c>
      <c r="H666" s="1"/>
      <c r="I666" s="1"/>
      <c r="J666" s="1"/>
      <c r="K666" s="1" t="str">
        <f>IFERROR(__xludf.DUMMYFUNCTION("""COMPUTED_VALUE"""),"OPEN IN OFSC")</f>
        <v>OPEN IN OFSC</v>
      </c>
      <c r="L666" s="1" t="str">
        <f>IFERROR(__xludf.DUMMYFUNCTION("""COMPUTED_VALUE"""),"RPR - NO FTTH")</f>
        <v>RPR - NO FTTH</v>
      </c>
      <c r="M666" s="1" t="str">
        <f>IFERROR(__xludf.DUMMYFUNCTION("""COMPUTED_VALUE"""),"OPEN")</f>
        <v>OPEN</v>
      </c>
      <c r="N666" s="3"/>
      <c r="O666" s="1" t="str">
        <f>IFERROR(__xludf.DUMMYFUNCTION("""COMPUTED_VALUE"""),"FIBR PLAN 1299")</f>
        <v>FIBR PLAN 1299</v>
      </c>
      <c r="P666" s="1" t="str">
        <f>IFERROR(__xludf.DUMMYFUNCTION("""COMPUTED_VALUE"""),"LOWPLAN")</f>
        <v>LOWPLAN</v>
      </c>
      <c r="Q666" s="1" t="str">
        <f>IFERROR(__xludf.DUMMYFUNCTION("""COMPUTED_VALUE"""),"P407048")</f>
        <v>P407048</v>
      </c>
      <c r="R666" s="1" t="str">
        <f>IFERROR(__xludf.DUMMYFUNCTION("""COMPUTED_VALUE"""),"MORADOS, MARVIN")</f>
        <v>MORADOS, MARVIN</v>
      </c>
      <c r="S666" s="1" t="str">
        <f>IFERROR(__xludf.DUMMYFUNCTION("""COMPUTED_VALUE"""),"FLA")</f>
        <v>FLA</v>
      </c>
      <c r="T666" s="1" t="str">
        <f>IFERROR(__xludf.DUMMYFUNCTION("""COMPUTED_VALUE"""),"JERIC NAVARRO")</f>
        <v>JERIC NAVARRO</v>
      </c>
      <c r="U666" s="1" t="str">
        <f>IFERROR(__xludf.DUMMYFUNCTION("""COMPUTED_VALUE"""),"JULIE ESPIRITU")</f>
        <v>JULIE ESPIRITU</v>
      </c>
      <c r="V666" s="1" t="str">
        <f>IFERROR(__xludf.DUMMYFUNCTION("""COMPUTED_VALUE"""),"ONLINE/CRANFORD")</f>
        <v>ONLINE/CRANFORD</v>
      </c>
      <c r="W666" s="1" t="str">
        <f>IFERROR(__xludf.DUMMYFUNCTION("""COMPUTED_VALUE"""),"STK REGULAR")</f>
        <v>STK REGULAR</v>
      </c>
      <c r="X666" s="1" t="str">
        <f>IFERROR(__xludf.DUMMYFUNCTION("""COMPUTED_VALUE"""),"HBBS SEPT 2026")</f>
        <v>HBBS SEPT 2026</v>
      </c>
      <c r="Y666" s="1" t="str">
        <f>IFERROR(__xludf.DUMMYFUNCTION("""COMPUTED_VALUE"""),"RS_ONL_CVEU_2026")</f>
        <v>RS_ONL_CVEU_2026</v>
      </c>
      <c r="Z666" s="1" t="str">
        <f>IFERROR(__xludf.DUMMYFUNCTION("""COMPUTED_VALUE"""),"NEW CONNECT")</f>
        <v>NEW CONNECT</v>
      </c>
      <c r="AA666" s="1">
        <f>IFERROR(__xludf.DUMMYFUNCTION("""COMPUTED_VALUE"""),639666901588)</f>
        <v>639666901588</v>
      </c>
      <c r="AB666" s="1">
        <f>IFERROR(__xludf.DUMMYFUNCTION("""COMPUTED_VALUE"""),639672576421)</f>
        <v>639672576421</v>
      </c>
      <c r="AC666" s="1"/>
      <c r="AD666" s="1" t="str">
        <f>IFERROR(__xludf.DUMMYFUNCTION("""COMPUTED_VALUE"""),"17TH")</f>
        <v>17TH</v>
      </c>
      <c r="AE666" s="1" t="str">
        <f>IFERROR(__xludf.DUMMYFUNCTION("""COMPUTED_VALUE"""),"PACIFICTOWN PHASE 2")</f>
        <v>PACIFICTOWN PHASE 2</v>
      </c>
      <c r="AF666" s="1" t="str">
        <f>IFERROR(__xludf.DUMMYFUNCTION("""COMPUTED_VALUE"""),"BGY CONCHU")</f>
        <v>BGY CONCHU</v>
      </c>
      <c r="AG666" s="1" t="str">
        <f>IFERROR(__xludf.DUMMYFUNCTION("""COMPUTED_VALUE"""),"TRECE MARTIREZ CITY")</f>
        <v>TRECE MARTIREZ CITY</v>
      </c>
      <c r="AH666" s="1" t="str">
        <f>IFERROR(__xludf.DUMMYFUNCTION("""COMPUTED_VALUE"""),"PETRO GAZZ")</f>
        <v>PETRO GAZZ</v>
      </c>
      <c r="AI666" s="1" t="str">
        <f>IFERROR(__xludf.DUMMYFUNCTION("""COMPUTED_VALUE"""),"NOT AOR")</f>
        <v>NOT AOR</v>
      </c>
    </row>
    <row r="667" customHeight="1" spans="1:35">
      <c r="A667" s="3">
        <f>IFERROR(__xludf.DUMMYFUNCTION("""COMPUTED_VALUE"""),46289)</f>
        <v>46289</v>
      </c>
      <c r="B667" s="1" t="str">
        <f>IFERROR(__xludf.DUMMYFUNCTION("""COMPUTED_VALUE"""),"MARIVIC MONTANO MALACAD")</f>
        <v>MARIVIC MONTANO MALACAD</v>
      </c>
      <c r="C667" s="1">
        <f>IFERROR(__xludf.DUMMYFUNCTION("""COMPUTED_VALUE"""),2312783921)</f>
        <v>2312783921</v>
      </c>
      <c r="D667" s="1">
        <f>IFERROR(__xludf.DUMMYFUNCTION("""COMPUTED_VALUE"""),408330335)</f>
        <v>408330335</v>
      </c>
      <c r="E667" s="1">
        <f>IFERROR(__xludf.DUMMYFUNCTION("""COMPUTED_VALUE"""),472750985004)</f>
        <v>472750985004</v>
      </c>
      <c r="F667" s="1" t="str">
        <f>IFERROR(__xludf.DUMMYFUNCTION("""COMPUTED_VALUE"""),"CANCELLED")</f>
        <v>CANCELLED</v>
      </c>
      <c r="G667" s="1" t="str">
        <f>IFERROR(__xludf.DUMMYFUNCTION("""COMPUTED_VALUE"""),"UNDECIDEAD PO SILA  SA APPLICATION NILA AYAW PO DIN NILA KUMUHA NG PERMET PARA SA INSTALLATION SA LOOB NG STRAWBERRY HILLS")</f>
        <v>UNDECIDEAD PO SILA  SA APPLICATION NILA AYAW PO DIN NILA KUMUHA NG PERMET PARA SA INSTALLATION SA LOOB NG STRAWBERRY HILLS</v>
      </c>
      <c r="H667" s="1"/>
      <c r="I667" s="1" t="str">
        <f>IFERROR(__xludf.DUMMYFUNCTION("""COMPUTED_VALUE"""),"NO 1 AMSF")</f>
        <v>NO 1 AMSF</v>
      </c>
      <c r="J667" s="1"/>
      <c r="K667" s="1" t="str">
        <f>IFERROR(__xludf.DUMMYFUNCTION("""COMPUTED_VALUE"""),"CANCELED")</f>
        <v>CANCELED</v>
      </c>
      <c r="L667" s="1" t="str">
        <f>IFERROR(__xludf.DUMMYFUNCTION("""COMPUTED_VALUE"""),"CANCELLED")</f>
        <v>CANCELLED</v>
      </c>
      <c r="M667" s="1" t="str">
        <f>IFERROR(__xludf.DUMMYFUNCTION("""COMPUTED_VALUE"""),"CANCELLED")</f>
        <v>CANCELLED</v>
      </c>
      <c r="N667" s="3"/>
      <c r="O667" s="1" t="str">
        <f>IFERROR(__xludf.DUMMYFUNCTION("""COMPUTED_VALUE"""),"FIBR PLAN 1299")</f>
        <v>FIBR PLAN 1299</v>
      </c>
      <c r="P667" s="1" t="str">
        <f>IFERROR(__xludf.DUMMYFUNCTION("""COMPUTED_VALUE"""),"LOWPLAN")</f>
        <v>LOWPLAN</v>
      </c>
      <c r="Q667" s="1" t="str">
        <f>IFERROR(__xludf.DUMMYFUNCTION("""COMPUTED_VALUE"""),"P407559")</f>
        <v>P407559</v>
      </c>
      <c r="R667" s="1" t="str">
        <f>IFERROR(__xludf.DUMMYFUNCTION("""COMPUTED_VALUE"""),"MAGDARAOG, KENNETH")</f>
        <v>MAGDARAOG, KENNETH</v>
      </c>
      <c r="S667" s="1" t="str">
        <f>IFERROR(__xludf.DUMMYFUNCTION("""COMPUTED_VALUE"""),"ORGANIC")</f>
        <v>ORGANIC</v>
      </c>
      <c r="T667" s="1" t="str">
        <f>IFERROR(__xludf.DUMMYFUNCTION("""COMPUTED_VALUE"""),"LEA REMOLLO")</f>
        <v>LEA REMOLLO</v>
      </c>
      <c r="U667" s="1" t="str">
        <f>IFERROR(__xludf.DUMMYFUNCTION("""COMPUTED_VALUE"""),"JULIE ESPIRITU")</f>
        <v>JULIE ESPIRITU</v>
      </c>
      <c r="V667" s="1" t="str">
        <f>IFERROR(__xludf.DUMMYFUNCTION("""COMPUTED_VALUE"""),"BK HSTK")</f>
        <v>BK HSTK</v>
      </c>
      <c r="W667" s="1" t="str">
        <f>IFERROR(__xludf.DUMMYFUNCTION("""COMPUTED_VALUE"""),"BK HSTK")</f>
        <v>BK HSTK</v>
      </c>
      <c r="X667" s="1" t="str">
        <f>IFERROR(__xludf.DUMMYFUNCTION("""COMPUTED_VALUE"""),"HBBS SEPT 2026")</f>
        <v>HBBS SEPT 2026</v>
      </c>
      <c r="Y667" s="1" t="str">
        <f>IFERROR(__xludf.DUMMYFUNCTION("""COMPUTED_VALUE"""),"BK_CVEU_260825")</f>
        <v>BK_CVEU_260825</v>
      </c>
      <c r="Z667" s="1" t="str">
        <f>IFERROR(__xludf.DUMMYFUNCTION("""COMPUTED_VALUE"""),"NEW CONNECT")</f>
        <v>NEW CONNECT</v>
      </c>
      <c r="AA667" s="1">
        <f>IFERROR(__xludf.DUMMYFUNCTION("""COMPUTED_VALUE"""),639508811090)</f>
        <v>639508811090</v>
      </c>
      <c r="AB667" s="1">
        <f>IFERROR(__xludf.DUMMYFUNCTION("""COMPUTED_VALUE"""),639458931817)</f>
        <v>639458931817</v>
      </c>
      <c r="AC667" s="1">
        <f>IFERROR(__xludf.DUMMYFUNCTION("""COMPUTED_VALUE"""),24)</f>
        <v>24</v>
      </c>
      <c r="AD667" s="1" t="str">
        <f>IFERROR(__xludf.DUMMYFUNCTION("""COMPUTED_VALUE"""),"STRAWBERRY HILLS")</f>
        <v>STRAWBERRY HILLS</v>
      </c>
      <c r="AE667" s="1" t="str">
        <f>IFERROR(__xludf.DUMMYFUNCTION("""COMPUTED_VALUE"""),"STRAWBERRY HILLS")</f>
        <v>STRAWBERRY HILLS</v>
      </c>
      <c r="AF667" s="1" t="str">
        <f>IFERROR(__xludf.DUMMYFUNCTION("""COMPUTED_VALUE"""),"BGY FRANCISCO REYES")</f>
        <v>BGY FRANCISCO REYES</v>
      </c>
      <c r="AG667" s="1" t="str">
        <f>IFERROR(__xludf.DUMMYFUNCTION("""COMPUTED_VALUE"""),"GEN MARIANO ALVAREZ")</f>
        <v>GEN MARIANO ALVAREZ</v>
      </c>
      <c r="AH667" s="1" t="str">
        <f>IFERROR(__xludf.DUMMYFUNCTION("""COMPUTED_VALUE"""),"HALF COURT / CHURCH")</f>
        <v>HALF COURT / CHURCH</v>
      </c>
      <c r="AI667" s="1" t="str">
        <f>IFERROR(__xludf.DUMMYFUNCTION("""COMPUTED_VALUE"""),"CLUSTER 11")</f>
        <v>CLUSTER 11</v>
      </c>
    </row>
    <row r="668" customHeight="1" spans="1:35">
      <c r="A668" s="3">
        <f>IFERROR(__xludf.DUMMYFUNCTION("""COMPUTED_VALUE"""),46289)</f>
        <v>46289</v>
      </c>
      <c r="B668" s="1" t="str">
        <f>IFERROR(__xludf.DUMMYFUNCTION("""COMPUTED_VALUE""")," GRAVY JER BAQUIRAN BARCENA")</f>
        <v> GRAVY JER BAQUIRAN BARCENA</v>
      </c>
      <c r="C668" s="1">
        <f>IFERROR(__xludf.DUMMYFUNCTION("""COMPUTED_VALUE"""),2312784473)</f>
        <v>2312784473</v>
      </c>
      <c r="D668" s="1">
        <f>IFERROR(__xludf.DUMMYFUNCTION("""COMPUTED_VALUE"""),408333326)</f>
        <v>408333326</v>
      </c>
      <c r="E668" s="1">
        <f>IFERROR(__xludf.DUMMYFUNCTION("""COMPUTED_VALUE"""),472754658004)</f>
        <v>472754658004</v>
      </c>
      <c r="F668" s="1" t="str">
        <f>IFERROR(__xludf.DUMMYFUNCTION("""COMPUTED_VALUE"""),"CLOSED")</f>
        <v>CLOSED</v>
      </c>
      <c r="G668" s="1" t="str">
        <f>IFERROR(__xludf.DUMMYFUNCTION("""COMPUTED_VALUE"""),"CLOSED")</f>
        <v>CLOSED</v>
      </c>
      <c r="H668" s="1" t="str">
        <f>IFERROR(__xludf.DUMMYFUNCTION("""COMPUTED_VALUE"""),"PAID THRU GCASH REF 919043793 SEP 25")</f>
        <v>PAID THRU GCASH REF 919043793 SEP 25</v>
      </c>
      <c r="I668" s="1" t="str">
        <f>IFERROR(__xludf.DUMMYFUNCTION("""COMPUTED_VALUE"""),"WITH 1 AMSF")</f>
        <v>WITH 1 AMSF</v>
      </c>
      <c r="J668" s="1"/>
      <c r="K668" s="1" t="str">
        <f>IFERROR(__xludf.DUMMYFUNCTION("""COMPUTED_VALUE"""),"NOT IN OFSC")</f>
        <v>NOT IN OFSC</v>
      </c>
      <c r="L668" s="1" t="str">
        <f>IFERROR(__xludf.DUMMYFUNCTION("""COMPUTED_VALUE"""),"POSTED")</f>
        <v>POSTED</v>
      </c>
      <c r="M668" s="1" t="str">
        <f>IFERROR(__xludf.DUMMYFUNCTION("""COMPUTED_VALUE"""),"POSTED")</f>
        <v>POSTED</v>
      </c>
      <c r="N668" s="3">
        <f>IFERROR(__xludf.DUMMYFUNCTION("""COMPUTED_VALUE"""),46292)</f>
        <v>46292</v>
      </c>
      <c r="O668" s="1" t="str">
        <f>IFERROR(__xludf.DUMMYFUNCTION("""COMPUTED_VALUE"""),"FIBR PLAN 1299")</f>
        <v>FIBR PLAN 1299</v>
      </c>
      <c r="P668" s="1" t="str">
        <f>IFERROR(__xludf.DUMMYFUNCTION("""COMPUTED_VALUE"""),"LOWPLAN")</f>
        <v>LOWPLAN</v>
      </c>
      <c r="Q668" s="1" t="str">
        <f>IFERROR(__xludf.DUMMYFUNCTION("""COMPUTED_VALUE"""),"P407564 ")</f>
        <v>P407564 </v>
      </c>
      <c r="R668" s="1" t="str">
        <f>IFERROR(__xludf.DUMMYFUNCTION("""COMPUTED_VALUE"""),"ARENA, LYKA")</f>
        <v>ARENA, LYKA</v>
      </c>
      <c r="S668" s="1" t="str">
        <f>IFERROR(__xludf.DUMMYFUNCTION("""COMPUTED_VALUE"""),"ORGANIC")</f>
        <v>ORGANIC</v>
      </c>
      <c r="T668" s="1" t="str">
        <f>IFERROR(__xludf.DUMMYFUNCTION("""COMPUTED_VALUE"""),"LEA REMOLLO")</f>
        <v>LEA REMOLLO</v>
      </c>
      <c r="U668" s="1" t="str">
        <f>IFERROR(__xludf.DUMMYFUNCTION("""COMPUTED_VALUE"""),"MARK MALIWAT")</f>
        <v>MARK MALIWAT</v>
      </c>
      <c r="V668" s="1" t="str">
        <f>IFERROR(__xludf.DUMMYFUNCTION("""COMPUTED_VALUE"""),"BK HSTK")</f>
        <v>BK HSTK</v>
      </c>
      <c r="W668" s="1" t="str">
        <f>IFERROR(__xludf.DUMMYFUNCTION("""COMPUTED_VALUE"""),"BK HSTK")</f>
        <v>BK HSTK</v>
      </c>
      <c r="X668" s="1" t="str">
        <f>IFERROR(__xludf.DUMMYFUNCTION("""COMPUTED_VALUE"""),"HBBS SEPT 2026")</f>
        <v>HBBS SEPT 2026</v>
      </c>
      <c r="Y668" s="1" t="str">
        <f>IFERROR(__xludf.DUMMYFUNCTION("""COMPUTED_VALUE"""),"BK_CVEU_260825")</f>
        <v>BK_CVEU_260825</v>
      </c>
      <c r="Z668" s="1" t="str">
        <f>IFERROR(__xludf.DUMMYFUNCTION("""COMPUTED_VALUE"""),"NEW CONNECT")</f>
        <v>NEW CONNECT</v>
      </c>
      <c r="AA668" s="1">
        <f>IFERROR(__xludf.DUMMYFUNCTION("""COMPUTED_VALUE"""),639540740776)</f>
        <v>639540740776</v>
      </c>
      <c r="AB668" s="1"/>
      <c r="AC668" s="1"/>
      <c r="AD668" s="1" t="str">
        <f>IFERROR(__xludf.DUMMYFUNCTION("""COMPUTED_VALUE"""),"F REYES")</f>
        <v>F REYES</v>
      </c>
      <c r="AE668" s="1" t="str">
        <f>IFERROR(__xludf.DUMMYFUNCTION("""COMPUTED_VALUE"""),"EXTENSION")</f>
        <v>EXTENSION</v>
      </c>
      <c r="AF668" s="1" t="str">
        <f>IFERROR(__xludf.DUMMYFUNCTION("""COMPUTED_VALUE"""),"BGY FRANCISCO REYES")</f>
        <v>BGY FRANCISCO REYES</v>
      </c>
      <c r="AG668" s="1" t="str">
        <f>IFERROR(__xludf.DUMMYFUNCTION("""COMPUTED_VALUE"""),"GEN MARIANO ALVAREZ")</f>
        <v>GEN MARIANO ALVAREZ</v>
      </c>
      <c r="AH668" s="1" t="str">
        <f>IFERROR(__xludf.DUMMYFUNCTION("""COMPUTED_VALUE"""),"LRT")</f>
        <v>LRT</v>
      </c>
      <c r="AI668" s="1" t="str">
        <f>IFERROR(__xludf.DUMMYFUNCTION("""COMPUTED_VALUE"""),"CLUSTER 11")</f>
        <v>CLUSTER 11</v>
      </c>
    </row>
    <row r="669" customHeight="1" spans="1:35">
      <c r="A669" s="3">
        <f>IFERROR(__xludf.DUMMYFUNCTION("""COMPUTED_VALUE"""),46289)</f>
        <v>46289</v>
      </c>
      <c r="B669" s="1" t="str">
        <f>IFERROR(__xludf.DUMMYFUNCTION("""COMPUTED_VALUE"""),"RUEL PENALBA SANCHEZ")</f>
        <v>RUEL PENALBA SANCHEZ</v>
      </c>
      <c r="C669" s="1">
        <f>IFERROR(__xludf.DUMMYFUNCTION("""COMPUTED_VALUE"""),2312784399)</f>
        <v>2312784399</v>
      </c>
      <c r="D669" s="1">
        <f>IFERROR(__xludf.DUMMYFUNCTION("""COMPUTED_VALUE"""),408332478)</f>
        <v>408332478</v>
      </c>
      <c r="E669" s="1"/>
      <c r="F669" s="1" t="str">
        <f>IFERROR(__xludf.DUMMYFUNCTION("""COMPUTED_VALUE"""),"CANCELLED")</f>
        <v>CANCELLED</v>
      </c>
      <c r="G669" s="1" t="str">
        <f>IFERROR(__xludf.DUMMYFUNCTION("""COMPUTED_VALUE"""),"CANCELLED SR, KINDLY REPROCESS TRANSACTION IF NEEDED")</f>
        <v>CANCELLED SR, KINDLY REPROCESS TRANSACTION IF NEEDED</v>
      </c>
      <c r="H669" s="1"/>
      <c r="I669" s="1"/>
      <c r="J669" s="1"/>
      <c r="K669" s="1"/>
      <c r="L669" s="1" t="str">
        <f>IFERROR(__xludf.DUMMYFUNCTION("""COMPUTED_VALUE"""),"CANCELLED")</f>
        <v>CANCELLED</v>
      </c>
      <c r="M669" s="1" t="str">
        <f>IFERROR(__xludf.DUMMYFUNCTION("""COMPUTED_VALUE"""),"CANCELLED - NO SR GENERATED - SYSTEM ERROR")</f>
        <v>CANCELLED - NO SR GENERATED - SYSTEM ERROR</v>
      </c>
      <c r="N669" s="3"/>
      <c r="O669" s="1" t="str">
        <f>IFERROR(__xludf.DUMMYFUNCTION("""COMPUTED_VALUE"""),"FIBR PLAN 1299")</f>
        <v>FIBR PLAN 1299</v>
      </c>
      <c r="P669" s="1" t="str">
        <f>IFERROR(__xludf.DUMMYFUNCTION("""COMPUTED_VALUE"""),"LOWPLAN")</f>
        <v>LOWPLAN</v>
      </c>
      <c r="Q669" s="1" t="str">
        <f>IFERROR(__xludf.DUMMYFUNCTION("""COMPUTED_VALUE"""),"P407563")</f>
        <v>P407563</v>
      </c>
      <c r="R669" s="1" t="str">
        <f>IFERROR(__xludf.DUMMYFUNCTION("""COMPUTED_VALUE"""),"BAQUIT, JAZMIN")</f>
        <v>BAQUIT, JAZMIN</v>
      </c>
      <c r="S669" s="1" t="str">
        <f>IFERROR(__xludf.DUMMYFUNCTION("""COMPUTED_VALUE"""),"ORGANIC")</f>
        <v>ORGANIC</v>
      </c>
      <c r="T669" s="1" t="str">
        <f>IFERROR(__xludf.DUMMYFUNCTION("""COMPUTED_VALUE"""),"LEA REMOLLO")</f>
        <v>LEA REMOLLO</v>
      </c>
      <c r="U669" s="1" t="str">
        <f>IFERROR(__xludf.DUMMYFUNCTION("""COMPUTED_VALUE"""),"JULIE ESPIRITU")</f>
        <v>JULIE ESPIRITU</v>
      </c>
      <c r="V669" s="1" t="str">
        <f>IFERROR(__xludf.DUMMYFUNCTION("""COMPUTED_VALUE"""),"BK HSTK")</f>
        <v>BK HSTK</v>
      </c>
      <c r="W669" s="1" t="str">
        <f>IFERROR(__xludf.DUMMYFUNCTION("""COMPUTED_VALUE"""),"BK HSTK")</f>
        <v>BK HSTK</v>
      </c>
      <c r="X669" s="1" t="str">
        <f>IFERROR(__xludf.DUMMYFUNCTION("""COMPUTED_VALUE"""),"HBBS SEPT 2026")</f>
        <v>HBBS SEPT 2026</v>
      </c>
      <c r="Y669" s="1" t="str">
        <f>IFERROR(__xludf.DUMMYFUNCTION("""COMPUTED_VALUE"""),"BK_CVEU_260825")</f>
        <v>BK_CVEU_260825</v>
      </c>
      <c r="Z669" s="1" t="str">
        <f>IFERROR(__xludf.DUMMYFUNCTION("""COMPUTED_VALUE"""),"NEW CONNECT")</f>
        <v>NEW CONNECT</v>
      </c>
      <c r="AA669" s="1">
        <f>IFERROR(__xludf.DUMMYFUNCTION("""COMPUTED_VALUE"""),639193424806)</f>
        <v>639193424806</v>
      </c>
      <c r="AB669" s="1">
        <f>IFERROR(__xludf.DUMMYFUNCTION("""COMPUTED_VALUE"""),639516327805)</f>
        <v>639516327805</v>
      </c>
      <c r="AC669" s="1">
        <f>IFERROR(__xludf.DUMMYFUNCTION("""COMPUTED_VALUE"""),256)</f>
        <v>256</v>
      </c>
      <c r="AD669" s="1" t="str">
        <f>IFERROR(__xludf.DUMMYFUNCTION("""COMPUTED_VALUE"""),"BLK 22 A EXTENSION")</f>
        <v>BLK 22 A EXTENSION</v>
      </c>
      <c r="AE669" s="1" t="str">
        <f>IFERROR(__xludf.DUMMYFUNCTION("""COMPUTED_VALUE"""),"STRAWBERRY HILLS")</f>
        <v>STRAWBERRY HILLS</v>
      </c>
      <c r="AF669" s="1" t="str">
        <f>IFERROR(__xludf.DUMMYFUNCTION("""COMPUTED_VALUE"""),"BGY FRANCISCO REYES")</f>
        <v>BGY FRANCISCO REYES</v>
      </c>
      <c r="AG669" s="1" t="str">
        <f>IFERROR(__xludf.DUMMYFUNCTION("""COMPUTED_VALUE"""),"GEN MARIANO ALVAREZ")</f>
        <v>GEN MARIANO ALVAREZ</v>
      </c>
      <c r="AH669" s="1" t="str">
        <f>IFERROR(__xludf.DUMMYFUNCTION("""COMPUTED_VALUE"""),"TINDAHAN")</f>
        <v>TINDAHAN</v>
      </c>
      <c r="AI669" s="1" t="str">
        <f>IFERROR(__xludf.DUMMYFUNCTION("""COMPUTED_VALUE"""),"CLUSTER 11")</f>
        <v>CLUSTER 11</v>
      </c>
    </row>
    <row r="670" customHeight="1" spans="1:35">
      <c r="A670" s="3">
        <f>IFERROR(__xludf.DUMMYFUNCTION("""COMPUTED_VALUE"""),46289)</f>
        <v>46289</v>
      </c>
      <c r="B670" s="1" t="str">
        <f>IFERROR(__xludf.DUMMYFUNCTION("""COMPUTED_VALUE"""),"TRES MUJERES FOOD CORP")</f>
        <v>TRES MUJERES FOOD CORP</v>
      </c>
      <c r="C670" s="1">
        <f>IFERROR(__xludf.DUMMYFUNCTION("""COMPUTED_VALUE"""),2312785498)</f>
        <v>2312785498</v>
      </c>
      <c r="D670" s="1">
        <f>IFERROR(__xludf.DUMMYFUNCTION("""COMPUTED_VALUE"""),408332427)</f>
        <v>408332427</v>
      </c>
      <c r="E670" s="1">
        <f>IFERROR(__xludf.DUMMYFUNCTION("""COMPUTED_VALUE"""),472753614004)</f>
        <v>472753614004</v>
      </c>
      <c r="F670" s="1" t="str">
        <f>IFERROR(__xludf.DUMMYFUNCTION("""COMPUTED_VALUE"""),"CLOSED")</f>
        <v>CLOSED</v>
      </c>
      <c r="G670" s="1" t="str">
        <f>IFERROR(__xludf.DUMMYFUNCTION("""COMPUTED_VALUE"""),"CLOSED")</f>
        <v>CLOSED</v>
      </c>
      <c r="H670" s="1" t="str">
        <f>IFERROR(__xludf.DUMMYFUNCTION("""COMPUTED_VALUE"""),"PAID VIA GCASH REF 216121117 SEP 25")</f>
        <v>PAID VIA GCASH REF 216121117 SEP 25</v>
      </c>
      <c r="I670" s="1" t="str">
        <f>IFERROR(__xludf.DUMMYFUNCTION("""COMPUTED_VALUE"""),"WITH 1 AMSF")</f>
        <v>WITH 1 AMSF</v>
      </c>
      <c r="J670" s="1"/>
      <c r="K670" s="1" t="str">
        <f>IFERROR(__xludf.DUMMYFUNCTION("""COMPUTED_VALUE"""),"NOT IN OFSC")</f>
        <v>NOT IN OFSC</v>
      </c>
      <c r="L670" s="1" t="str">
        <f>IFERROR(__xludf.DUMMYFUNCTION("""COMPUTED_VALUE"""),"POSTED")</f>
        <v>POSTED</v>
      </c>
      <c r="M670" s="1" t="str">
        <f>IFERROR(__xludf.DUMMYFUNCTION("""COMPUTED_VALUE"""),"POSTED")</f>
        <v>POSTED</v>
      </c>
      <c r="N670" s="3">
        <f>IFERROR(__xludf.DUMMYFUNCTION("""COMPUTED_VALUE"""),46299)</f>
        <v>46299</v>
      </c>
      <c r="O670" s="1" t="str">
        <f>IFERROR(__xludf.DUMMYFUNCTION("""COMPUTED_VALUE"""),"FIBR PLAN 1299")</f>
        <v>FIBR PLAN 1299</v>
      </c>
      <c r="P670" s="1" t="str">
        <f>IFERROR(__xludf.DUMMYFUNCTION("""COMPUTED_VALUE"""),"LOWPLAN")</f>
        <v>LOWPLAN</v>
      </c>
      <c r="Q670" s="1" t="str">
        <f>IFERROR(__xludf.DUMMYFUNCTION("""COMPUTED_VALUE"""),"P407520 ")</f>
        <v>P407520 </v>
      </c>
      <c r="R670" s="1" t="str">
        <f>IFERROR(__xludf.DUMMYFUNCTION("""COMPUTED_VALUE"""),"MALIWAT, MARK")</f>
        <v>MALIWAT, MARK</v>
      </c>
      <c r="S670" s="1" t="str">
        <f>IFERROR(__xludf.DUMMYFUNCTION("""COMPUTED_VALUE"""),"FLA")</f>
        <v>FLA</v>
      </c>
      <c r="T670" s="1" t="str">
        <f>IFERROR(__xludf.DUMMYFUNCTION("""COMPUTED_VALUE"""),"JERIC NAVARRO")</f>
        <v>JERIC NAVARRO</v>
      </c>
      <c r="U670" s="1" t="str">
        <f>IFERROR(__xludf.DUMMYFUNCTION("""COMPUTED_VALUE"""),"JULIE ESPIRITU")</f>
        <v>JULIE ESPIRITU</v>
      </c>
      <c r="V670" s="1" t="str">
        <f>IFERROR(__xludf.DUMMYFUNCTION("""COMPUTED_VALUE"""),"H2H")</f>
        <v>H2H</v>
      </c>
      <c r="W670" s="1" t="str">
        <f>IFERROR(__xludf.DUMMYFUNCTION("""COMPUTED_VALUE"""),"CSP")</f>
        <v>CSP</v>
      </c>
      <c r="X670" s="1" t="str">
        <f>IFERROR(__xludf.DUMMYFUNCTION("""COMPUTED_VALUE"""),"HBBS BIZ SEPT 2026")</f>
        <v>HBBS BIZ SEPT 2026</v>
      </c>
      <c r="Y670" s="1" t="str">
        <f>IFERROR(__xludf.DUMMYFUNCTION("""COMPUTED_VALUE"""),"RS_SS_CVEU_2026")</f>
        <v>RS_SS_CVEU_2026</v>
      </c>
      <c r="Z670" s="1" t="str">
        <f>IFERROR(__xludf.DUMMYFUNCTION("""COMPUTED_VALUE"""),"NEW CONNECT")</f>
        <v>NEW CONNECT</v>
      </c>
      <c r="AA670" s="1">
        <f>IFERROR(__xludf.DUMMYFUNCTION("""COMPUTED_VALUE"""),639566856937)</f>
        <v>639566856937</v>
      </c>
      <c r="AB670" s="1">
        <f>IFERROR(__xludf.DUMMYFUNCTION("""COMPUTED_VALUE"""),639493942156)</f>
        <v>639493942156</v>
      </c>
      <c r="AC670" s="1"/>
      <c r="AD670" s="1" t="str">
        <f>IFERROR(__xludf.DUMMYFUNCTION("""COMPUTED_VALUE"""),"678 WET AND DRY MARKET")</f>
        <v>678 WET AND DRY MARKET</v>
      </c>
      <c r="AE670" s="1" t="str">
        <f>IFERROR(__xludf.DUMMYFUNCTION("""COMPUTED_VALUE"""),"TERMINAL EXPRESS")</f>
        <v>TERMINAL EXPRESS</v>
      </c>
      <c r="AF670" s="1" t="str">
        <f>IFERROR(__xludf.DUMMYFUNCTION("""COMPUTED_VALUE"""),"BGY MAMBOG 4")</f>
        <v>BGY MAMBOG 4</v>
      </c>
      <c r="AG670" s="1" t="str">
        <f>IFERROR(__xludf.DUMMYFUNCTION("""COMPUTED_VALUE"""),"BACOOR")</f>
        <v>BACOOR</v>
      </c>
      <c r="AH670" s="1"/>
      <c r="AI670" s="1" t="str">
        <f>IFERROR(__xludf.DUMMYFUNCTION("""COMPUTED_VALUE"""),"NOT AOR")</f>
        <v>NOT AOR</v>
      </c>
    </row>
    <row r="671" customHeight="1" spans="1:35">
      <c r="A671" s="3">
        <f>IFERROR(__xludf.DUMMYFUNCTION("""COMPUTED_VALUE"""),46289)</f>
        <v>46289</v>
      </c>
      <c r="B671" s="1" t="str">
        <f>IFERROR(__xludf.DUMMYFUNCTION("""COMPUTED_VALUE"""),"RAYMUNDO ORCALES ATON")</f>
        <v>RAYMUNDO ORCALES ATON</v>
      </c>
      <c r="C671" s="1">
        <f>IFERROR(__xludf.DUMMYFUNCTION("""COMPUTED_VALUE"""),2312785727)</f>
        <v>2312785727</v>
      </c>
      <c r="D671" s="1"/>
      <c r="E671" s="1"/>
      <c r="F671" s="1" t="str">
        <f>IFERROR(__xludf.DUMMYFUNCTION("""COMPUTED_VALUE"""),"CANCELLED")</f>
        <v>CANCELLED</v>
      </c>
      <c r="G671" s="1" t="str">
        <f>IFERROR(__xludf.DUMMYFUNCTION("""COMPUTED_VALUE"""),"CANCELLED")</f>
        <v>CANCELLED</v>
      </c>
      <c r="H671" s="1"/>
      <c r="I671" s="1"/>
      <c r="J671" s="1"/>
      <c r="K671" s="1"/>
      <c r="L671" s="1" t="str">
        <f>IFERROR(__xludf.DUMMYFUNCTION("""COMPUTED_VALUE"""),"CANCELLED")</f>
        <v>CANCELLED</v>
      </c>
      <c r="M671" s="1" t="str">
        <f>IFERROR(__xludf.DUMMYFUNCTION("""COMPUTED_VALUE"""),"CANCELLED")</f>
        <v>CANCELLED</v>
      </c>
      <c r="N671" s="3"/>
      <c r="O671" s="1" t="str">
        <f>IFERROR(__xludf.DUMMYFUNCTION("""COMPUTED_VALUE"""),"HOME BIZ PLAN 1299")</f>
        <v>HOME BIZ PLAN 1299</v>
      </c>
      <c r="P671" s="1" t="str">
        <f>IFERROR(__xludf.DUMMYFUNCTION("""COMPUTED_VALUE"""),"LOWPLAN")</f>
        <v>LOWPLAN</v>
      </c>
      <c r="Q671" s="1" t="str">
        <f>IFERROR(__xludf.DUMMYFUNCTION("""COMPUTED_VALUE"""),"P407044 ")</f>
        <v>P407044 </v>
      </c>
      <c r="R671" s="1" t="str">
        <f>IFERROR(__xludf.DUMMYFUNCTION("""COMPUTED_VALUE"""),"AYON, MANUEL")</f>
        <v>AYON, MANUEL</v>
      </c>
      <c r="S671" s="1" t="str">
        <f>IFERROR(__xludf.DUMMYFUNCTION("""COMPUTED_VALUE"""),"FLA")</f>
        <v>FLA</v>
      </c>
      <c r="T671" s="1" t="str">
        <f>IFERROR(__xludf.DUMMYFUNCTION("""COMPUTED_VALUE"""),"JERIC NAVARRO")</f>
        <v>JERIC NAVARRO</v>
      </c>
      <c r="U671" s="1" t="str">
        <f>IFERROR(__xludf.DUMMYFUNCTION("""COMPUTED_VALUE"""),"JULIE ESPIRITU")</f>
        <v>JULIE ESPIRITU</v>
      </c>
      <c r="V671" s="1" t="str">
        <f>IFERROR(__xludf.DUMMYFUNCTION("""COMPUTED_VALUE"""),"BK REGULAR")</f>
        <v>BK REGULAR</v>
      </c>
      <c r="W671" s="1" t="str">
        <f>IFERROR(__xludf.DUMMYFUNCTION("""COMPUTED_VALUE"""),"STK REGULAR")</f>
        <v>STK REGULAR</v>
      </c>
      <c r="X671" s="1" t="str">
        <f>IFERROR(__xludf.DUMMYFUNCTION("""COMPUTED_VALUE"""),"HBBS SEPT 2026")</f>
        <v>HBBS SEPT 2026</v>
      </c>
      <c r="Y671" s="1" t="str">
        <f>IFERROR(__xludf.DUMMYFUNCTION("""COMPUTED_VALUE"""),"BK_CVEU_260827")</f>
        <v>BK_CVEU_260827</v>
      </c>
      <c r="Z671" s="1" t="str">
        <f>IFERROR(__xludf.DUMMYFUNCTION("""COMPUTED_VALUE"""),"NEW CONNECT")</f>
        <v>NEW CONNECT</v>
      </c>
      <c r="AA671" s="1">
        <f>IFERROR(__xludf.DUMMYFUNCTION("""COMPUTED_VALUE"""),639488088351)</f>
        <v>639488088351</v>
      </c>
      <c r="AB671" s="1">
        <f>IFERROR(__xludf.DUMMYFUNCTION("""COMPUTED_VALUE"""),639671061365)</f>
        <v>639671061365</v>
      </c>
      <c r="AC671" s="1">
        <f>IFERROR(__xludf.DUMMYFUNCTION("""COMPUTED_VALUE"""),5932)</f>
        <v>5932</v>
      </c>
      <c r="AD671" s="1" t="str">
        <f>IFERROR(__xludf.DUMMYFUNCTION("""COMPUTED_VALUE"""),"PUROK 3")</f>
        <v>PUROK 3</v>
      </c>
      <c r="AE671" s="1" t="str">
        <f>IFERROR(__xludf.DUMMYFUNCTION("""COMPUTED_VALUE"""),"APARTMENT 1")</f>
        <v>APARTMENT 1</v>
      </c>
      <c r="AF671" s="1" t="str">
        <f>IFERROR(__xludf.DUMMYFUNCTION("""COMPUTED_VALUE"""),"BGY BUCAL")</f>
        <v>BGY BUCAL</v>
      </c>
      <c r="AG671" s="1" t="str">
        <f>IFERROR(__xludf.DUMMYFUNCTION("""COMPUTED_VALUE"""),"SILANG")</f>
        <v>SILANG</v>
      </c>
      <c r="AH671" s="1" t="str">
        <f>IFERROR(__xludf.DUMMYFUNCTION("""COMPUTED_VALUE"""),"NEAR ELEM SCHOOL")</f>
        <v>NEAR ELEM SCHOOL</v>
      </c>
      <c r="AI671" s="1" t="str">
        <f>IFERROR(__xludf.DUMMYFUNCTION("""COMPUTED_VALUE"""),"CLUSTER 11")</f>
        <v>CLUSTER 11</v>
      </c>
    </row>
    <row r="672" customHeight="1" spans="1:35">
      <c r="A672" s="3">
        <f>IFERROR(__xludf.DUMMYFUNCTION("""COMPUTED_VALUE"""),46289)</f>
        <v>46289</v>
      </c>
      <c r="B672" s="1" t="str">
        <f>IFERROR(__xludf.DUMMYFUNCTION("""COMPUTED_VALUE"""),"DINNA CRUZ CABAIS")</f>
        <v>DINNA CRUZ CABAIS</v>
      </c>
      <c r="C672" s="1">
        <f>IFERROR(__xludf.DUMMYFUNCTION("""COMPUTED_VALUE"""),2312785908)</f>
        <v>2312785908</v>
      </c>
      <c r="D672" s="1"/>
      <c r="E672" s="1"/>
      <c r="F672" s="1" t="str">
        <f>IFERROR(__xludf.DUMMYFUNCTION("""COMPUTED_VALUE"""),"CANCELLED")</f>
        <v>CANCELLED</v>
      </c>
      <c r="G672" s="1" t="str">
        <f>IFERROR(__xludf.DUMMYFUNCTION("""COMPUTED_VALUE"""),"CANCELLED")</f>
        <v>CANCELLED</v>
      </c>
      <c r="H672" s="1"/>
      <c r="I672" s="1"/>
      <c r="J672" s="1"/>
      <c r="K672" s="1"/>
      <c r="L672" s="1" t="str">
        <f>IFERROR(__xludf.DUMMYFUNCTION("""COMPUTED_VALUE"""),"CANCELLED")</f>
        <v>CANCELLED</v>
      </c>
      <c r="M672" s="1" t="str">
        <f>IFERROR(__xludf.DUMMYFUNCTION("""COMPUTED_VALUE"""),"CANCELLED")</f>
        <v>CANCELLED</v>
      </c>
      <c r="N672" s="3"/>
      <c r="O672" s="1" t="str">
        <f>IFERROR(__xludf.DUMMYFUNCTION("""COMPUTED_VALUE"""),"FIBR PLAN 1299")</f>
        <v>FIBR PLAN 1299</v>
      </c>
      <c r="P672" s="1" t="str">
        <f>IFERROR(__xludf.DUMMYFUNCTION("""COMPUTED_VALUE"""),"LOWPLAN")</f>
        <v>LOWPLAN</v>
      </c>
      <c r="Q672" s="1" t="str">
        <f>IFERROR(__xludf.DUMMYFUNCTION("""COMPUTED_VALUE"""),"P407044 ")</f>
        <v>P407044 </v>
      </c>
      <c r="R672" s="1" t="str">
        <f>IFERROR(__xludf.DUMMYFUNCTION("""COMPUTED_VALUE"""),"DELA CRUZ, PHILLIP")</f>
        <v>DELA CRUZ, PHILLIP</v>
      </c>
      <c r="S672" s="1" t="str">
        <f>IFERROR(__xludf.DUMMYFUNCTION("""COMPUTED_VALUE"""),"FLA")</f>
        <v>FLA</v>
      </c>
      <c r="T672" s="1" t="str">
        <f>IFERROR(__xludf.DUMMYFUNCTION("""COMPUTED_VALUE"""),"JERIC NAVARRO")</f>
        <v>JERIC NAVARRO</v>
      </c>
      <c r="U672" s="1" t="str">
        <f>IFERROR(__xludf.DUMMYFUNCTION("""COMPUTED_VALUE"""),"JULIE ESPIRITU")</f>
        <v>JULIE ESPIRITU</v>
      </c>
      <c r="V672" s="1" t="str">
        <f>IFERROR(__xludf.DUMMYFUNCTION("""COMPUTED_VALUE"""),"BK HSTK")</f>
        <v>BK HSTK</v>
      </c>
      <c r="W672" s="1" t="str">
        <f>IFERROR(__xludf.DUMMYFUNCTION("""COMPUTED_VALUE"""),"BK HSTK")</f>
        <v>BK HSTK</v>
      </c>
      <c r="X672" s="1" t="str">
        <f>IFERROR(__xludf.DUMMYFUNCTION("""COMPUTED_VALUE"""),"HBBS SEPT 2026")</f>
        <v>HBBS SEPT 2026</v>
      </c>
      <c r="Y672" s="1" t="str">
        <f>IFERROR(__xludf.DUMMYFUNCTION("""COMPUTED_VALUE"""),"BK_CVEU_260827")</f>
        <v>BK_CVEU_260827</v>
      </c>
      <c r="Z672" s="1" t="str">
        <f>IFERROR(__xludf.DUMMYFUNCTION("""COMPUTED_VALUE"""),"NEW CONNECT")</f>
        <v>NEW CONNECT</v>
      </c>
      <c r="AA672" s="1">
        <f>IFERROR(__xludf.DUMMYFUNCTION("""COMPUTED_VALUE"""),639972254585)</f>
        <v>639972254585</v>
      </c>
      <c r="AB672" s="1"/>
      <c r="AC672" s="1">
        <f>IFERROR(__xludf.DUMMYFUNCTION("""COMPUTED_VALUE"""),48)</f>
        <v>48</v>
      </c>
      <c r="AD672" s="1" t="str">
        <f>IFERROR(__xludf.DUMMYFUNCTION("""COMPUTED_VALUE"""),"OLD BULIHAN")</f>
        <v>OLD BULIHAN</v>
      </c>
      <c r="AE672" s="1"/>
      <c r="AF672" s="1" t="str">
        <f>IFERROR(__xludf.DUMMYFUNCTION("""COMPUTED_VALUE"""),"BGY BULIHAN")</f>
        <v>BGY BULIHAN</v>
      </c>
      <c r="AG672" s="1" t="str">
        <f>IFERROR(__xludf.DUMMYFUNCTION("""COMPUTED_VALUE"""),"SILANG")</f>
        <v>SILANG</v>
      </c>
      <c r="AH672" s="1" t="str">
        <f>IFERROR(__xludf.DUMMYFUNCTION("""COMPUTED_VALUE"""),"MCDO")</f>
        <v>MCDO</v>
      </c>
      <c r="AI672" s="1" t="str">
        <f>IFERROR(__xludf.DUMMYFUNCTION("""COMPUTED_VALUE"""),"CLUSTER 11")</f>
        <v>CLUSTER 11</v>
      </c>
    </row>
    <row r="673" customHeight="1" spans="1:35">
      <c r="A673" s="3">
        <f>IFERROR(__xludf.DUMMYFUNCTION("""COMPUTED_VALUE"""),46289)</f>
        <v>46289</v>
      </c>
      <c r="B673" s="1" t="str">
        <f>IFERROR(__xludf.DUMMYFUNCTION("""COMPUTED_VALUE"""),"RHIANNE YVONNE . ROSALES")</f>
        <v>RHIANNE YVONNE . ROSALES</v>
      </c>
      <c r="C673" s="1">
        <f>IFERROR(__xludf.DUMMYFUNCTION("""COMPUTED_VALUE"""),2312786134)</f>
        <v>2312786134</v>
      </c>
      <c r="D673" s="1">
        <f>IFERROR(__xludf.DUMMYFUNCTION("""COMPUTED_VALUE"""),408340721)</f>
        <v>408340721</v>
      </c>
      <c r="E673" s="1">
        <f>IFERROR(__xludf.DUMMYFUNCTION("""COMPUTED_VALUE"""),472781075004)</f>
        <v>472781075004</v>
      </c>
      <c r="F673" s="1" t="str">
        <f>IFERROR(__xludf.DUMMYFUNCTION("""COMPUTED_VALUE"""),"CLOSED")</f>
        <v>CLOSED</v>
      </c>
      <c r="G673" s="1" t="str">
        <f>IFERROR(__xludf.DUMMYFUNCTION("""COMPUTED_VALUE"""),"CLOSED")</f>
        <v>CLOSED</v>
      </c>
      <c r="H673" s="1" t="str">
        <f>IFERROR(__xludf.DUMMYFUNCTION("""COMPUTED_VALUE"""),"PQID THRU GCASH 931838237 SEP 29")</f>
        <v>PQID THRU GCASH 931838237 SEP 29</v>
      </c>
      <c r="I673" s="1" t="str">
        <f>IFERROR(__xludf.DUMMYFUNCTION("""COMPUTED_VALUE"""),"WITH 1 AMSF")</f>
        <v>WITH 1 AMSF</v>
      </c>
      <c r="J673" s="1"/>
      <c r="K673" s="1" t="str">
        <f>IFERROR(__xludf.DUMMYFUNCTION("""COMPUTED_VALUE"""),"NOT IN OFSC")</f>
        <v>NOT IN OFSC</v>
      </c>
      <c r="L673" s="1" t="str">
        <f>IFERROR(__xludf.DUMMYFUNCTION("""COMPUTED_VALUE"""),"POSTED")</f>
        <v>POSTED</v>
      </c>
      <c r="M673" s="1" t="str">
        <f>IFERROR(__xludf.DUMMYFUNCTION("""COMPUTED_VALUE"""),"POSTED")</f>
        <v>POSTED</v>
      </c>
      <c r="N673" s="3">
        <f>IFERROR(__xludf.DUMMYFUNCTION("""COMPUTED_VALUE"""),46291)</f>
        <v>46291</v>
      </c>
      <c r="O673" s="1" t="str">
        <f>IFERROR(__xludf.DUMMYFUNCTION("""COMPUTED_VALUE"""),"FIBER UNLI ALL PLAN 1499")</f>
        <v>FIBER UNLI ALL PLAN 1499</v>
      </c>
      <c r="P673" s="1" t="str">
        <f>IFERROR(__xludf.DUMMYFUNCTION("""COMPUTED_VALUE"""),"HIGHPLAN")</f>
        <v>HIGHPLAN</v>
      </c>
      <c r="Q673" s="1" t="str">
        <f>IFERROR(__xludf.DUMMYFUNCTION("""COMPUTED_VALUE"""),"P407520 ")</f>
        <v>P407520 </v>
      </c>
      <c r="R673" s="1" t="str">
        <f>IFERROR(__xludf.DUMMYFUNCTION("""COMPUTED_VALUE"""),"MALIWAT, MARK")</f>
        <v>MALIWAT, MARK</v>
      </c>
      <c r="S673" s="1" t="str">
        <f>IFERROR(__xludf.DUMMYFUNCTION("""COMPUTED_VALUE"""),"FLA")</f>
        <v>FLA</v>
      </c>
      <c r="T673" s="1" t="str">
        <f>IFERROR(__xludf.DUMMYFUNCTION("""COMPUTED_VALUE"""),"JERIC NAVARRO")</f>
        <v>JERIC NAVARRO</v>
      </c>
      <c r="U673" s="1" t="str">
        <f>IFERROR(__xludf.DUMMYFUNCTION("""COMPUTED_VALUE"""),"MARK MALIWAT")</f>
        <v>MARK MALIWAT</v>
      </c>
      <c r="V673" s="1" t="str">
        <f>IFERROR(__xludf.DUMMYFUNCTION("""COMPUTED_VALUE"""),"BK HSTK")</f>
        <v>BK HSTK</v>
      </c>
      <c r="W673" s="1" t="str">
        <f>IFERROR(__xludf.DUMMYFUNCTION("""COMPUTED_VALUE"""),"BK HSTK")</f>
        <v>BK HSTK</v>
      </c>
      <c r="X673" s="1" t="str">
        <f>IFERROR(__xludf.DUMMYFUNCTION("""COMPUTED_VALUE"""),"HBBS SEPT 2026")</f>
        <v>HBBS SEPT 2026</v>
      </c>
      <c r="Y673" s="1" t="str">
        <f>IFERROR(__xludf.DUMMYFUNCTION("""COMPUTED_VALUE"""),"RS_ONL_CVEU_2026")</f>
        <v>RS_ONL_CVEU_2026</v>
      </c>
      <c r="Z673" s="1" t="str">
        <f>IFERROR(__xludf.DUMMYFUNCTION("""COMPUTED_VALUE"""),"NEW CONNECT")</f>
        <v>NEW CONNECT</v>
      </c>
      <c r="AA673" s="1">
        <f>IFERROR(__xludf.DUMMYFUNCTION("""COMPUTED_VALUE"""),639618623641)</f>
        <v>639618623641</v>
      </c>
      <c r="AB673" s="1">
        <f>IFERROR(__xludf.DUMMYFUNCTION("""COMPUTED_VALUE"""),639929744311)</f>
        <v>639929744311</v>
      </c>
      <c r="AC673" s="1"/>
      <c r="AD673" s="1" t="str">
        <f>IFERROR(__xludf.DUMMYFUNCTION("""COMPUTED_VALUE"""),"SAN FRANCISCO 2")</f>
        <v>SAN FRANCISCO 2</v>
      </c>
      <c r="AE673" s="1"/>
      <c r="AF673" s="1" t="str">
        <f>IFERROR(__xludf.DUMMYFUNCTION("""COMPUTED_VALUE"""),"BGY SAN FRANCISCO 2")</f>
        <v>BGY SAN FRANCISCO 2</v>
      </c>
      <c r="AG673" s="1" t="str">
        <f>IFERROR(__xludf.DUMMYFUNCTION("""COMPUTED_VALUE"""),"DASMARINAS")</f>
        <v>DASMARINAS</v>
      </c>
      <c r="AH673" s="1" t="str">
        <f>IFERROR(__xludf.DUMMYFUNCTION("""COMPUTED_VALUE"""),"VENTURA MALL")</f>
        <v>VENTURA MALL</v>
      </c>
      <c r="AI673" s="1" t="str">
        <f>IFERROR(__xludf.DUMMYFUNCTION("""COMPUTED_VALUE"""),"NOT AOR")</f>
        <v>NOT AOR</v>
      </c>
    </row>
    <row r="674" customHeight="1" spans="1:35">
      <c r="A674" s="3">
        <f>IFERROR(__xludf.DUMMYFUNCTION("""COMPUTED_VALUE"""),46289)</f>
        <v>46289</v>
      </c>
      <c r="B674" s="1" t="str">
        <f>IFERROR(__xludf.DUMMYFUNCTION("""COMPUTED_VALUE"""),"CHRISTIAN DELGADO BONDAL")</f>
        <v>CHRISTIAN DELGADO BONDAL</v>
      </c>
      <c r="C674" s="1">
        <f>IFERROR(__xludf.DUMMYFUNCTION("""COMPUTED_VALUE"""),2312786709)</f>
        <v>2312786709</v>
      </c>
      <c r="D674" s="1">
        <f>IFERROR(__xludf.DUMMYFUNCTION("""COMPUTED_VALUE"""),408337682)</f>
        <v>408337682</v>
      </c>
      <c r="E674" s="1">
        <f>IFERROR(__xludf.DUMMYFUNCTION("""COMPUTED_VALUE"""),472766942004)</f>
        <v>472766942004</v>
      </c>
      <c r="F674" s="1" t="str">
        <f>IFERROR(__xludf.DUMMYFUNCTION("""COMPUTED_VALUE"""),"FOR PAYMENT")</f>
        <v>FOR PAYMENT</v>
      </c>
      <c r="G674" s="1" t="str">
        <f>IFERROR(__xludf.DUMMYFUNCTION("""COMPUTED_VALUE"""),"FOR PAYMENT")</f>
        <v>FOR PAYMENT</v>
      </c>
      <c r="H674" s="1"/>
      <c r="I674" s="1"/>
      <c r="J674" s="1"/>
      <c r="K674" s="1" t="str">
        <f>IFERROR(__xludf.DUMMYFUNCTION("""COMPUTED_VALUE"""),"NOT IN OFSC")</f>
        <v>NOT IN OFSC</v>
      </c>
      <c r="L674" s="1" t="str">
        <f>IFERROR(__xludf.DUMMYFUNCTION("""COMPUTED_VALUE"""),"FOR PAYMENT")</f>
        <v>FOR PAYMENT</v>
      </c>
      <c r="M674" s="1" t="str">
        <f>IFERROR(__xludf.DUMMYFUNCTION("""COMPUTED_VALUE"""),"FOR PAYMENT - FOR CALL OUT")</f>
        <v>FOR PAYMENT - FOR CALL OUT</v>
      </c>
      <c r="N674" s="3"/>
      <c r="O674" s="1" t="str">
        <f>IFERROR(__xludf.DUMMYFUNCTION("""COMPUTED_VALUE"""),"FIBR NETFLIX PLAN 1599")</f>
        <v>FIBR NETFLIX PLAN 1599</v>
      </c>
      <c r="P674" s="1" t="str">
        <f>IFERROR(__xludf.DUMMYFUNCTION("""COMPUTED_VALUE"""),"LOWPLAN")</f>
        <v>LOWPLAN</v>
      </c>
      <c r="Q674" s="1" t="str">
        <f>IFERROR(__xludf.DUMMYFUNCTION("""COMPUTED_VALUE"""),"P407520 ")</f>
        <v>P407520 </v>
      </c>
      <c r="R674" s="1" t="str">
        <f>IFERROR(__xludf.DUMMYFUNCTION("""COMPUTED_VALUE"""),"MALIWAT, MARK")</f>
        <v>MALIWAT, MARK</v>
      </c>
      <c r="S674" s="1" t="str">
        <f>IFERROR(__xludf.DUMMYFUNCTION("""COMPUTED_VALUE"""),"FLA")</f>
        <v>FLA</v>
      </c>
      <c r="T674" s="1" t="str">
        <f>IFERROR(__xludf.DUMMYFUNCTION("""COMPUTED_VALUE"""),"JERIC NAVARRO")</f>
        <v>JERIC NAVARRO</v>
      </c>
      <c r="U674" s="1" t="str">
        <f>IFERROR(__xludf.DUMMYFUNCTION("""COMPUTED_VALUE"""),"MARK MALIWAT")</f>
        <v>MARK MALIWAT</v>
      </c>
      <c r="V674" s="1" t="str">
        <f>IFERROR(__xludf.DUMMYFUNCTION("""COMPUTED_VALUE"""),"ONLINE/CRANFORD")</f>
        <v>ONLINE/CRANFORD</v>
      </c>
      <c r="W674" s="1" t="str">
        <f>IFERROR(__xludf.DUMMYFUNCTION("""COMPUTED_VALUE"""),"STK REGULAR")</f>
        <v>STK REGULAR</v>
      </c>
      <c r="X674" s="1" t="str">
        <f>IFERROR(__xludf.DUMMYFUNCTION("""COMPUTED_VALUE"""),"HBBS SEPT 2026")</f>
        <v>HBBS SEPT 2026</v>
      </c>
      <c r="Y674" s="1" t="str">
        <f>IFERROR(__xludf.DUMMYFUNCTION("""COMPUTED_VALUE"""),"RS_ONL_CVEU_2026")</f>
        <v>RS_ONL_CVEU_2026</v>
      </c>
      <c r="Z674" s="1" t="str">
        <f>IFERROR(__xludf.DUMMYFUNCTION("""COMPUTED_VALUE"""),"NEW CONNECT")</f>
        <v>NEW CONNECT</v>
      </c>
      <c r="AA674" s="1">
        <f>IFERROR(__xludf.DUMMYFUNCTION("""COMPUTED_VALUE"""),639169131682)</f>
        <v>639169131682</v>
      </c>
      <c r="AB674" s="1"/>
      <c r="AC674" s="1">
        <f>IFERROR(__xludf.DUMMYFUNCTION("""COMPUTED_VALUE"""),96)</f>
        <v>96</v>
      </c>
      <c r="AD674" s="1" t="str">
        <f>IFERROR(__xludf.DUMMYFUNCTION("""COMPUTED_VALUE"""),"PUROK 1")</f>
        <v>PUROK 1</v>
      </c>
      <c r="AE674" s="1" t="str">
        <f>IFERROR(__xludf.DUMMYFUNCTION("""COMPUTED_VALUE"""),"BONDAL COMPOUND")</f>
        <v>BONDAL COMPOUND</v>
      </c>
      <c r="AF674" s="1" t="str">
        <f>IFERROR(__xludf.DUMMYFUNCTION("""COMPUTED_VALUE"""),"BGY TEJERO")</f>
        <v>BGY TEJERO</v>
      </c>
      <c r="AG674" s="1" t="str">
        <f>IFERROR(__xludf.DUMMYFUNCTION("""COMPUTED_VALUE"""),"GENERAL TRIAS")</f>
        <v>GENERAL TRIAS</v>
      </c>
      <c r="AH674" s="1" t="str">
        <f>IFERROR(__xludf.DUMMYFUNCTION("""COMPUTED_VALUE"""),"TEJERO ELEMENTARY SCHOOL")</f>
        <v>TEJERO ELEMENTARY SCHOOL</v>
      </c>
      <c r="AI674" s="1" t="str">
        <f>IFERROR(__xludf.DUMMYFUNCTION("""COMPUTED_VALUE"""),"NOT AOR")</f>
        <v>NOT AOR</v>
      </c>
    </row>
    <row r="675" customHeight="1" spans="1:35">
      <c r="A675" s="3">
        <f>IFERROR(__xludf.DUMMYFUNCTION("""COMPUTED_VALUE"""),46289)</f>
        <v>46289</v>
      </c>
      <c r="B675" s="1" t="str">
        <f>IFERROR(__xludf.DUMMYFUNCTION("""COMPUTED_VALUE""")," CRISELDA NIEVA PASTOLERO")</f>
        <v> CRISELDA NIEVA PASTOLERO</v>
      </c>
      <c r="C675" s="1">
        <f>IFERROR(__xludf.DUMMYFUNCTION("""COMPUTED_VALUE"""),2312786901)</f>
        <v>2312786901</v>
      </c>
      <c r="D675" s="1">
        <f>IFERROR(__xludf.DUMMYFUNCTION("""COMPUTED_VALUE"""),408338123)</f>
        <v>408338123</v>
      </c>
      <c r="E675" s="1">
        <f>IFERROR(__xludf.DUMMYFUNCTION("""COMPUTED_VALUE"""),472768882004)</f>
        <v>472768882004</v>
      </c>
      <c r="F675" s="1" t="str">
        <f>IFERROR(__xludf.DUMMYFUNCTION("""COMPUTED_VALUE"""),"CLOSED")</f>
        <v>CLOSED</v>
      </c>
      <c r="G675" s="1" t="str">
        <f>IFERROR(__xludf.DUMMYFUNCTION("""COMPUTED_VALUE"""),"CLOSED")</f>
        <v>CLOSED</v>
      </c>
      <c r="H675" s="1"/>
      <c r="I675" s="1" t="str">
        <f>IFERROR(__xludf.DUMMYFUNCTION("""COMPUTED_VALUE"""),"NO 1 AMSF")</f>
        <v>NO 1 AMSF</v>
      </c>
      <c r="J675" s="1" t="str">
        <f>IFERROR(__xludf.DUMMYFUNCTION("""COMPUTED_VALUE"""),"DUE DATE - 25-Oct-26 - 1,472.20")</f>
        <v>DUE DATE - 25-Oct-26 - 1,472.20</v>
      </c>
      <c r="K675" s="1" t="str">
        <f>IFERROR(__xludf.DUMMYFUNCTION("""COMPUTED_VALUE"""),"NOT IN OFSC")</f>
        <v>NOT IN OFSC</v>
      </c>
      <c r="L675" s="1" t="str">
        <f>IFERROR(__xludf.DUMMYFUNCTION("""COMPUTED_VALUE"""),"POSTED")</f>
        <v>POSTED</v>
      </c>
      <c r="M675" s="1" t="str">
        <f>IFERROR(__xludf.DUMMYFUNCTION("""COMPUTED_VALUE"""),"POSTED")</f>
        <v>POSTED</v>
      </c>
      <c r="N675" s="3">
        <f>IFERROR(__xludf.DUMMYFUNCTION("""COMPUTED_VALUE"""),46292)</f>
        <v>46292</v>
      </c>
      <c r="O675" s="1" t="str">
        <f>IFERROR(__xludf.DUMMYFUNCTION("""COMPUTED_VALUE"""),"FIBR PLAN 1299")</f>
        <v>FIBR PLAN 1299</v>
      </c>
      <c r="P675" s="1" t="str">
        <f>IFERROR(__xludf.DUMMYFUNCTION("""COMPUTED_VALUE"""),"LOWPLAN")</f>
        <v>LOWPLAN</v>
      </c>
      <c r="Q675" s="1" t="str">
        <f>IFERROR(__xludf.DUMMYFUNCTION("""COMPUTED_VALUE"""),"P407561 ")</f>
        <v>P407561 </v>
      </c>
      <c r="R675" s="1" t="str">
        <f>IFERROR(__xludf.DUMMYFUNCTION("""COMPUTED_VALUE"""),"TAMAYO, MARY ROSE ZAIRA")</f>
        <v>TAMAYO, MARY ROSE ZAIRA</v>
      </c>
      <c r="S675" s="1" t="str">
        <f>IFERROR(__xludf.DUMMYFUNCTION("""COMPUTED_VALUE"""),"ORGANIC")</f>
        <v>ORGANIC</v>
      </c>
      <c r="T675" s="1" t="str">
        <f>IFERROR(__xludf.DUMMYFUNCTION("""COMPUTED_VALUE"""),"LEA REMOLLO")</f>
        <v>LEA REMOLLO</v>
      </c>
      <c r="U675" s="1" t="str">
        <f>IFERROR(__xludf.DUMMYFUNCTION("""COMPUTED_VALUE"""),"MARK MALIWAT")</f>
        <v>MARK MALIWAT</v>
      </c>
      <c r="V675" s="1" t="str">
        <f>IFERROR(__xludf.DUMMYFUNCTION("""COMPUTED_VALUE"""),"BK HSTK")</f>
        <v>BK HSTK</v>
      </c>
      <c r="W675" s="1" t="str">
        <f>IFERROR(__xludf.DUMMYFUNCTION("""COMPUTED_VALUE"""),"BK HSTK")</f>
        <v>BK HSTK</v>
      </c>
      <c r="X675" s="1" t="str">
        <f>IFERROR(__xludf.DUMMYFUNCTION("""COMPUTED_VALUE"""),"HBBS SEPT 2026")</f>
        <v>HBBS SEPT 2026</v>
      </c>
      <c r="Y675" s="1" t="str">
        <f>IFERROR(__xludf.DUMMYFUNCTION("""COMPUTED_VALUE"""),"BK_CVEU_260825")</f>
        <v>BK_CVEU_260825</v>
      </c>
      <c r="Z675" s="1" t="str">
        <f>IFERROR(__xludf.DUMMYFUNCTION("""COMPUTED_VALUE"""),"NEW CONNECT")</f>
        <v>NEW CONNECT</v>
      </c>
      <c r="AA675" s="1">
        <f>IFERROR(__xludf.DUMMYFUNCTION("""COMPUTED_VALUE"""),639394603162)</f>
        <v>639394603162</v>
      </c>
      <c r="AB675" s="1"/>
      <c r="AC675" s="1"/>
      <c r="AD675" s="1" t="str">
        <f>IFERROR(__xludf.DUMMYFUNCTION("""COMPUTED_VALUE"""),"EXT FRANCISCO REYES")</f>
        <v>EXT FRANCISCO REYES</v>
      </c>
      <c r="AE675" s="1" t="str">
        <f>IFERROR(__xludf.DUMMYFUNCTION("""COMPUTED_VALUE"""),"EXTENSION F REYES")</f>
        <v>EXTENSION F REYES</v>
      </c>
      <c r="AF675" s="1" t="str">
        <f>IFERROR(__xludf.DUMMYFUNCTION("""COMPUTED_VALUE"""),"BGY FRANCISCO REYES")</f>
        <v>BGY FRANCISCO REYES</v>
      </c>
      <c r="AG675" s="1" t="str">
        <f>IFERROR(__xludf.DUMMYFUNCTION("""COMPUTED_VALUE"""),"GEN MARIANO ALVAREZ")</f>
        <v>GEN MARIANO ALVAREZ</v>
      </c>
      <c r="AH675" s="1" t="str">
        <f>IFERROR(__xludf.DUMMYFUNCTION("""COMPUTED_VALUE"""),"LRT")</f>
        <v>LRT</v>
      </c>
      <c r="AI675" s="1" t="str">
        <f>IFERROR(__xludf.DUMMYFUNCTION("""COMPUTED_VALUE"""),"CLUSTER 11")</f>
        <v>CLUSTER 11</v>
      </c>
    </row>
    <row r="676" customHeight="1" spans="1:35">
      <c r="A676" s="3">
        <f>IFERROR(__xludf.DUMMYFUNCTION("""COMPUTED_VALUE"""),46290)</f>
        <v>46290</v>
      </c>
      <c r="B676" s="1" t="str">
        <f>IFERROR(__xludf.DUMMYFUNCTION("""COMPUTED_VALUE"""),"CAMILLE MARIE REBITA DE LOS REYES")</f>
        <v>CAMILLE MARIE REBITA DE LOS REYES</v>
      </c>
      <c r="C676" s="1">
        <f>IFERROR(__xludf.DUMMYFUNCTION("""COMPUTED_VALUE"""),2312794258)</f>
        <v>2312794258</v>
      </c>
      <c r="D676" s="1"/>
      <c r="E676" s="1"/>
      <c r="F676" s="1" t="str">
        <f>IFERROR(__xludf.DUMMYFUNCTION("""COMPUTED_VALUE"""),"DISAPPROVED")</f>
        <v>DISAPPROVED</v>
      </c>
      <c r="G676" s="1" t="str">
        <f>IFERROR(__xludf.DUMMYFUNCTION("""COMPUTED_VALUE"""),"(P-OTHERS) DISAPPROVED / WITH DUPLICATE CBR UNDER DIFFRENT NAME BUT UNCONTACTABLE/ FOR VERIFICATION / CALLTHRU: +63 997 645 5042 11:27 AM / 2:15 PM / 4:17 PM / +63 934 546 9944 11:29 AM / 2:16 PM / 4:18 PM - but uncontactable after 3x attempt / VALIDATED "&amp;"COMPLETE DOCS | CORRECT ENCODED INFO IN CSP | WITH 1 AMSF (FF - 2 (NTC) | CLEARED FROM BLACKLISTED HIT | NO EXISTING ACTIVE ACCT AND / OR PENDING / CANCELLED APPLICATION ")</f>
        <v>(P-OTHERS) DISAPPROVED / WITH DUPLICATE CBR UNDER DIFFRENT NAME BUT UNCONTACTABLE/ FOR VERIFICATION / CALLTHRU: +63 997 645 5042 11:27 AM / 2:15 PM / 4:17 PM / +63 934 546 9944 11:29 AM / 2:16 PM / 4:18 PM - but uncontactable after 3x attempt / VALIDATED COMPLETE DOCS | CORRECT ENCODED INFO IN CSP | WITH 1 AMSF (FF - 2 (NTC) | CLEARED FROM BLACKLISTED HIT | NO EXISTING ACTIVE ACCT AND / OR PENDING / CANCELLED APPLICATION </v>
      </c>
      <c r="H676" s="1"/>
      <c r="I676" s="1"/>
      <c r="J676" s="1"/>
      <c r="K676" s="1"/>
      <c r="L676" s="1" t="str">
        <f>IFERROR(__xludf.DUMMYFUNCTION("""COMPUTED_VALUE"""),"DISAPPROVED - UNCONTACTABLE")</f>
        <v>DISAPPROVED - UNCONTACTABLE</v>
      </c>
      <c r="M676" s="1" t="str">
        <f>IFERROR(__xludf.DUMMYFUNCTION("""COMPUTED_VALUE"""),"DISAPPROVED - UNCONTACTABLE")</f>
        <v>DISAPPROVED - UNCONTACTABLE</v>
      </c>
      <c r="N676" s="3"/>
      <c r="O676" s="1" t="str">
        <f>IFERROR(__xludf.DUMMYFUNCTION("""COMPUTED_VALUE"""),"FIBER UNLI ALL PLAN 1499")</f>
        <v>FIBER UNLI ALL PLAN 1499</v>
      </c>
      <c r="P676" s="1" t="str">
        <f>IFERROR(__xludf.DUMMYFUNCTION("""COMPUTED_VALUE"""),"LOWPLAN")</f>
        <v>LOWPLAN</v>
      </c>
      <c r="Q676" s="1" t="str">
        <f>IFERROR(__xludf.DUMMYFUNCTION("""COMPUTED_VALUE"""),"P407048")</f>
        <v>P407048</v>
      </c>
      <c r="R676" s="1" t="str">
        <f>IFERROR(__xludf.DUMMYFUNCTION("""COMPUTED_VALUE"""),"MORADOS, MARVIN")</f>
        <v>MORADOS, MARVIN</v>
      </c>
      <c r="S676" s="1" t="str">
        <f>IFERROR(__xludf.DUMMYFUNCTION("""COMPUTED_VALUE"""),"FLA")</f>
        <v>FLA</v>
      </c>
      <c r="T676" s="1" t="str">
        <f>IFERROR(__xludf.DUMMYFUNCTION("""COMPUTED_VALUE"""),"JERIC NAVARRO")</f>
        <v>JERIC NAVARRO</v>
      </c>
      <c r="U676" s="1" t="str">
        <f>IFERROR(__xludf.DUMMYFUNCTION("""COMPUTED_VALUE"""),"JULIE ESPIRITU")</f>
        <v>JULIE ESPIRITU</v>
      </c>
      <c r="V676" s="1" t="str">
        <f>IFERROR(__xludf.DUMMYFUNCTION("""COMPUTED_VALUE"""),"ONLINE/CRANFORD")</f>
        <v>ONLINE/CRANFORD</v>
      </c>
      <c r="W676" s="1" t="str">
        <f>IFERROR(__xludf.DUMMYFUNCTION("""COMPUTED_VALUE"""),"STK REGULAR")</f>
        <v>STK REGULAR</v>
      </c>
      <c r="X676" s="1" t="str">
        <f>IFERROR(__xludf.DUMMYFUNCTION("""COMPUTED_VALUE"""),"HBBS SEPT 2026")</f>
        <v>HBBS SEPT 2026</v>
      </c>
      <c r="Y676" s="1" t="str">
        <f>IFERROR(__xludf.DUMMYFUNCTION("""COMPUTED_VALUE"""),"RS_ONL_CVEU_2026")</f>
        <v>RS_ONL_CVEU_2026</v>
      </c>
      <c r="Z676" s="1" t="str">
        <f>IFERROR(__xludf.DUMMYFUNCTION("""COMPUTED_VALUE"""),"NEW CONNECT")</f>
        <v>NEW CONNECT</v>
      </c>
      <c r="AA676" s="1">
        <f>IFERROR(__xludf.DUMMYFUNCTION("""COMPUTED_VALUE"""),639976455042)</f>
        <v>639976455042</v>
      </c>
      <c r="AB676" s="1">
        <f>IFERROR(__xludf.DUMMYFUNCTION("""COMPUTED_VALUE"""),639345469944)</f>
        <v>639345469944</v>
      </c>
      <c r="AC676" s="1"/>
      <c r="AD676" s="1" t="str">
        <f>IFERROR(__xludf.DUMMYFUNCTION("""COMPUTED_VALUE"""),"GOLDEN HORIZON PABAHAY")</f>
        <v>GOLDEN HORIZON PABAHAY</v>
      </c>
      <c r="AE676" s="1" t="str">
        <f>IFERROR(__xludf.DUMMYFUNCTION("""COMPUTED_VALUE"""),"GOLDEN HORIZON PABAHAY")</f>
        <v>GOLDEN HORIZON PABAHAY</v>
      </c>
      <c r="AF676" s="1" t="str">
        <f>IFERROR(__xludf.DUMMYFUNCTION("""COMPUTED_VALUE"""),"BGY HUGO PEREZ")</f>
        <v>BGY HUGO PEREZ</v>
      </c>
      <c r="AG676" s="1"/>
      <c r="AH676" s="1"/>
      <c r="AI676" s="1" t="str">
        <f>IFERROR(__xludf.DUMMYFUNCTION("""COMPUTED_VALUE"""),"NOT AOR")</f>
        <v>NOT AOR</v>
      </c>
    </row>
    <row r="677" customHeight="1" spans="1:35">
      <c r="A677" s="3">
        <f>IFERROR(__xludf.DUMMYFUNCTION("""COMPUTED_VALUE"""),46290)</f>
        <v>46290</v>
      </c>
      <c r="B677" s="1" t="str">
        <f>IFERROR(__xludf.DUMMYFUNCTION("""COMPUTED_VALUE"""),"GELYN VERONIA HEPOLAN")</f>
        <v>GELYN VERONIA HEPOLAN</v>
      </c>
      <c r="C677" s="1">
        <f>IFERROR(__xludf.DUMMYFUNCTION("""COMPUTED_VALUE"""),2312795873)</f>
        <v>2312795873</v>
      </c>
      <c r="D677" s="1">
        <f>IFERROR(__xludf.DUMMYFUNCTION("""COMPUTED_VALUE"""),408397863)</f>
        <v>408397863</v>
      </c>
      <c r="E677" s="1">
        <f>IFERROR(__xludf.DUMMYFUNCTION("""COMPUTED_VALUE"""),472979113004)</f>
        <v>472979113004</v>
      </c>
      <c r="F677" s="1" t="str">
        <f>IFERROR(__xludf.DUMMYFUNCTION("""COMPUTED_VALUE"""),"CLOSED")</f>
        <v>CLOSED</v>
      </c>
      <c r="G677" s="1" t="str">
        <f>IFERROR(__xludf.DUMMYFUNCTION("""COMPUTED_VALUE"""),"CLOSED")</f>
        <v>CLOSED</v>
      </c>
      <c r="H677" s="1" t="str">
        <f>IFERROR(__xludf.DUMMYFUNCTION("""COMPUTED_VALUE"""),"PAID VIA GCASH REF 429542671 SEP 28")</f>
        <v>PAID VIA GCASH REF 429542671 SEP 28</v>
      </c>
      <c r="I677" s="1" t="str">
        <f>IFERROR(__xludf.DUMMYFUNCTION("""COMPUTED_VALUE"""),"WITH 1 AMSF")</f>
        <v>WITH 1 AMSF</v>
      </c>
      <c r="J677" s="1"/>
      <c r="K677" s="1" t="str">
        <f>IFERROR(__xludf.DUMMYFUNCTION("""COMPUTED_VALUE"""),"NOT IN OFSC")</f>
        <v>NOT IN OFSC</v>
      </c>
      <c r="L677" s="1" t="str">
        <f>IFERROR(__xludf.DUMMYFUNCTION("""COMPUTED_VALUE"""),"POSTED")</f>
        <v>POSTED</v>
      </c>
      <c r="M677" s="1" t="str">
        <f>IFERROR(__xludf.DUMMYFUNCTION("""COMPUTED_VALUE"""),"POSTED")</f>
        <v>POSTED</v>
      </c>
      <c r="N677" s="3">
        <f>IFERROR(__xludf.DUMMYFUNCTION("""COMPUTED_VALUE"""),46297)</f>
        <v>46297</v>
      </c>
      <c r="O677" s="1" t="str">
        <f>IFERROR(__xludf.DUMMYFUNCTION("""COMPUTED_VALUE"""),"FIBR PLAN 1299")</f>
        <v>FIBR PLAN 1299</v>
      </c>
      <c r="P677" s="1" t="str">
        <f>IFERROR(__xludf.DUMMYFUNCTION("""COMPUTED_VALUE"""),"LOWPLAN")</f>
        <v>LOWPLAN</v>
      </c>
      <c r="Q677" s="1" t="str">
        <f>IFERROR(__xludf.DUMMYFUNCTION("""COMPUTED_VALUE"""),"P407564")</f>
        <v>P407564</v>
      </c>
      <c r="R677" s="1" t="str">
        <f>IFERROR(__xludf.DUMMYFUNCTION("""COMPUTED_VALUE"""),"ARENA, LYKA")</f>
        <v>ARENA, LYKA</v>
      </c>
      <c r="S677" s="1" t="str">
        <f>IFERROR(__xludf.DUMMYFUNCTION("""COMPUTED_VALUE"""),"ORGANIC")</f>
        <v>ORGANIC</v>
      </c>
      <c r="T677" s="1" t="str">
        <f>IFERROR(__xludf.DUMMYFUNCTION("""COMPUTED_VALUE"""),"LEA REMOLLO")</f>
        <v>LEA REMOLLO</v>
      </c>
      <c r="U677" s="1" t="str">
        <f>IFERROR(__xludf.DUMMYFUNCTION("""COMPUTED_VALUE"""),"JB SALIOA")</f>
        <v>JB SALIOA</v>
      </c>
      <c r="V677" s="1" t="str">
        <f>IFERROR(__xludf.DUMMYFUNCTION("""COMPUTED_VALUE"""),"BK REGULAR")</f>
        <v>BK REGULAR</v>
      </c>
      <c r="W677" s="1" t="str">
        <f>IFERROR(__xludf.DUMMYFUNCTION("""COMPUTED_VALUE"""),"STK REGULAR")</f>
        <v>STK REGULAR</v>
      </c>
      <c r="X677" s="1" t="str">
        <f>IFERROR(__xludf.DUMMYFUNCTION("""COMPUTED_VALUE"""),"HBBS SEPT 2026")</f>
        <v>HBBS SEPT 2026</v>
      </c>
      <c r="Y677" s="1" t="str">
        <f>IFERROR(__xludf.DUMMYFUNCTION("""COMPUTED_VALUE"""),"BK_CVEU_260827")</f>
        <v>BK_CVEU_260827</v>
      </c>
      <c r="Z677" s="1" t="str">
        <f>IFERROR(__xludf.DUMMYFUNCTION("""COMPUTED_VALUE"""),"NEW CONNECT")</f>
        <v>NEW CONNECT</v>
      </c>
      <c r="AA677" s="1">
        <f>IFERROR(__xludf.DUMMYFUNCTION("""COMPUTED_VALUE"""),639053002342)</f>
        <v>639053002342</v>
      </c>
      <c r="AB677" s="1"/>
      <c r="AC677" s="1">
        <f>IFERROR(__xludf.DUMMYFUNCTION("""COMPUTED_VALUE"""),169)</f>
        <v>169</v>
      </c>
      <c r="AD677" s="1" t="str">
        <f>IFERROR(__xludf.DUMMYFUNCTION("""COMPUTED_VALUE"""),"SITIO MUZON")</f>
        <v>SITIO MUZON</v>
      </c>
      <c r="AE677" s="1"/>
      <c r="AF677" s="1" t="str">
        <f>IFERROR(__xludf.DUMMYFUNCTION("""COMPUTED_VALUE"""),"BGY PUTING KAHOY")</f>
        <v>BGY PUTING KAHOY</v>
      </c>
      <c r="AG677" s="1" t="str">
        <f>IFERROR(__xludf.DUMMYFUNCTION("""COMPUTED_VALUE"""),"SILANG")</f>
        <v>SILANG</v>
      </c>
      <c r="AH677" s="1" t="str">
        <f>IFERROR(__xludf.DUMMYFUNCTION("""COMPUTED_VALUE"""),"-")</f>
        <v>-</v>
      </c>
      <c r="AI677" s="1" t="str">
        <f>IFERROR(__xludf.DUMMYFUNCTION("""COMPUTED_VALUE"""),"CLUSTER 11")</f>
        <v>CLUSTER 11</v>
      </c>
    </row>
    <row r="678" customHeight="1" spans="1:35">
      <c r="A678" s="3">
        <f>IFERROR(__xludf.DUMMYFUNCTION("""COMPUTED_VALUE"""),46290)</f>
        <v>46290</v>
      </c>
      <c r="B678" s="1" t="str">
        <f>IFERROR(__xludf.DUMMYFUNCTION("""COMPUTED_VALUE"""),"WILFREDA MANAIT BAUTISTA")</f>
        <v>WILFREDA MANAIT BAUTISTA</v>
      </c>
      <c r="C678" s="1">
        <f>IFERROR(__xludf.DUMMYFUNCTION("""COMPUTED_VALUE"""),2312796653)</f>
        <v>2312796653</v>
      </c>
      <c r="D678" s="1">
        <f>IFERROR(__xludf.DUMMYFUNCTION("""COMPUTED_VALUE"""),408367050)</f>
        <v>408367050</v>
      </c>
      <c r="E678" s="1">
        <f>IFERROR(__xludf.DUMMYFUNCTION("""COMPUTED_VALUE"""),472868631004)</f>
        <v>472868631004</v>
      </c>
      <c r="F678" s="1" t="str">
        <f>IFERROR(__xludf.DUMMYFUNCTION("""COMPUTED_VALUE"""),"CLOSED")</f>
        <v>CLOSED</v>
      </c>
      <c r="G678" s="1" t="str">
        <f>IFERROR(__xludf.DUMMYFUNCTION("""COMPUTED_VALUE"""),"CLOSED")</f>
        <v>CLOSED</v>
      </c>
      <c r="H678" s="1" t="str">
        <f>IFERROR(__xludf.DUMMYFUNCTION("""COMPUTED_VALUE"""),"PQGOR365897490	02-Oct-26	Regular Payment	PLDT Pay Express-Web-App credit	1,000.00	0	02-Oct-26")</f>
        <v>PQGOR365897490	02-Oct-26	Regular Payment	PLDT Pay Express-Web-App credit	1,000.00	0	02-Oct-26</v>
      </c>
      <c r="I678" s="1" t="str">
        <f>IFERROR(__xludf.DUMMYFUNCTION("""COMPUTED_VALUE"""),"WITH 1 AMSF")</f>
        <v>WITH 1 AMSF</v>
      </c>
      <c r="J678" s="1" t="str">
        <f>IFERROR(__xludf.DUMMYFUNCTION("""COMPUTED_VALUE"""),"BALANCE - 472.20")</f>
        <v>BALANCE - 472.20</v>
      </c>
      <c r="K678" s="1" t="str">
        <f>IFERROR(__xludf.DUMMYFUNCTION("""COMPUTED_VALUE"""),"NOT IN OFSC")</f>
        <v>NOT IN OFSC</v>
      </c>
      <c r="L678" s="1" t="str">
        <f>IFERROR(__xludf.DUMMYFUNCTION("""COMPUTED_VALUE"""),"POSTED")</f>
        <v>POSTED</v>
      </c>
      <c r="M678" s="1" t="str">
        <f>IFERROR(__xludf.DUMMYFUNCTION("""COMPUTED_VALUE"""),"POSTED")</f>
        <v>POSTED</v>
      </c>
      <c r="N678" s="3">
        <f>IFERROR(__xludf.DUMMYFUNCTION("""COMPUTED_VALUE"""),46292)</f>
        <v>46292</v>
      </c>
      <c r="O678" s="1" t="str">
        <f>IFERROR(__xludf.DUMMYFUNCTION("""COMPUTED_VALUE"""),"FIBR PLAN 1299")</f>
        <v>FIBR PLAN 1299</v>
      </c>
      <c r="P678" s="1" t="str">
        <f>IFERROR(__xludf.DUMMYFUNCTION("""COMPUTED_VALUE"""),"LOWPLAN")</f>
        <v>LOWPLAN</v>
      </c>
      <c r="Q678" s="1" t="str">
        <f>IFERROR(__xludf.DUMMYFUNCTION("""COMPUTED_VALUE"""),"P407517")</f>
        <v>P407517</v>
      </c>
      <c r="R678" s="1" t="str">
        <f>IFERROR(__xludf.DUMMYFUNCTION("""COMPUTED_VALUE"""),"GABAY, MANUEL")</f>
        <v>GABAY, MANUEL</v>
      </c>
      <c r="S678" s="1" t="str">
        <f>IFERROR(__xludf.DUMMYFUNCTION("""COMPUTED_VALUE"""),"FLA")</f>
        <v>FLA</v>
      </c>
      <c r="T678" s="1" t="str">
        <f>IFERROR(__xludf.DUMMYFUNCTION("""COMPUTED_VALUE"""),"JERIC NAVARRO")</f>
        <v>JERIC NAVARRO</v>
      </c>
      <c r="U678" s="1" t="str">
        <f>IFERROR(__xludf.DUMMYFUNCTION("""COMPUTED_VALUE"""),"JB SALIOA")</f>
        <v>JB SALIOA</v>
      </c>
      <c r="V678" s="1" t="str">
        <f>IFERROR(__xludf.DUMMYFUNCTION("""COMPUTED_VALUE"""),"BK HSTK")</f>
        <v>BK HSTK</v>
      </c>
      <c r="W678" s="1" t="str">
        <f>IFERROR(__xludf.DUMMYFUNCTION("""COMPUTED_VALUE"""),"BK HSTK")</f>
        <v>BK HSTK</v>
      </c>
      <c r="X678" s="1" t="str">
        <f>IFERROR(__xludf.DUMMYFUNCTION("""COMPUTED_VALUE"""),"HBBS SEPT 2026")</f>
        <v>HBBS SEPT 2026</v>
      </c>
      <c r="Y678" s="1" t="str">
        <f>IFERROR(__xludf.DUMMYFUNCTION("""COMPUTED_VALUE"""),"BK_CVEU_260825")</f>
        <v>BK_CVEU_260825</v>
      </c>
      <c r="Z678" s="1" t="str">
        <f>IFERROR(__xludf.DUMMYFUNCTION("""COMPUTED_VALUE"""),"NEW CONNECT")</f>
        <v>NEW CONNECT</v>
      </c>
      <c r="AA678" s="1">
        <f>IFERROR(__xludf.DUMMYFUNCTION("""COMPUTED_VALUE"""),639942151780)</f>
        <v>639942151780</v>
      </c>
      <c r="AB678" s="1"/>
      <c r="AC678" s="1"/>
      <c r="AD678" s="1" t="str">
        <f>IFERROR(__xludf.DUMMYFUNCTION("""COMPUTED_VALUE"""),"DAGUPAN")</f>
        <v>DAGUPAN</v>
      </c>
      <c r="AE678" s="1"/>
      <c r="AF678" s="1" t="str">
        <f>IFERROR(__xludf.DUMMYFUNCTION("""COMPUTED_VALUE"""),"BGY FRANCISCO REYES")</f>
        <v>BGY FRANCISCO REYES</v>
      </c>
      <c r="AG678" s="1" t="str">
        <f>IFERROR(__xludf.DUMMYFUNCTION("""COMPUTED_VALUE"""),"GEN MARIANO ALVAREZ")</f>
        <v>GEN MARIANO ALVAREZ</v>
      </c>
      <c r="AH678" s="1" t="str">
        <f>IFERROR(__xludf.DUMMYFUNCTION("""COMPUTED_VALUE"""),"-")</f>
        <v>-</v>
      </c>
      <c r="AI678" s="1" t="str">
        <f>IFERROR(__xludf.DUMMYFUNCTION("""COMPUTED_VALUE"""),"CLUSTER 11")</f>
        <v>CLUSTER 11</v>
      </c>
    </row>
    <row r="679" customHeight="1" spans="1:35">
      <c r="A679" s="3">
        <f>IFERROR(__xludf.DUMMYFUNCTION("""COMPUTED_VALUE"""),46290)</f>
        <v>46290</v>
      </c>
      <c r="B679" s="1" t="str">
        <f>IFERROR(__xludf.DUMMYFUNCTION("""COMPUTED_VALUE"""),"HANNA GHAILE CABASI BERNAS")</f>
        <v>HANNA GHAILE CABASI BERNAS</v>
      </c>
      <c r="C679" s="1">
        <f>IFERROR(__xludf.DUMMYFUNCTION("""COMPUTED_VALUE"""),2312797458)</f>
        <v>2312797458</v>
      </c>
      <c r="D679" s="1">
        <f>IFERROR(__xludf.DUMMYFUNCTION("""COMPUTED_VALUE"""),408354218)</f>
        <v>408354218</v>
      </c>
      <c r="E679" s="1">
        <f>IFERROR(__xludf.DUMMYFUNCTION("""COMPUTED_VALUE"""),472862155004)</f>
        <v>472862155004</v>
      </c>
      <c r="F679" s="1" t="str">
        <f>IFERROR(__xludf.DUMMYFUNCTION("""COMPUTED_VALUE"""),"CANCELLED")</f>
        <v>CANCELLED</v>
      </c>
      <c r="G679" s="1" t="str">
        <f>IFERROR(__xludf.DUMMYFUNCTION("""COMPUTED_VALUE"""),"""VISITED 
REMARKS: VISITED 
FULL NAP PUNUAN SA AREA NI SUBS. ASSIGN CAFAC NOT ON SITE. 
SUBS ALREADY ADVISED 
ALFLP92NP2-4SPAN FULL 
ALFLP92NP3-5SPAN FULL 
ALFLP92NP4-12SPAN FULL 
ALFLP92NP6-6SPAN FULL 
ALFLP92NP7- 12 SPAN FULL 
窶撒ALK: HANNA GHAILE C"&amp;"ABASI BERNAS 
窶擦BR: 09556286924 
""")</f>
        <v>"VISITED 
REMARKS: VISITED 
FULL NAP PUNUAN SA AREA NI SUBS. ASSIGN CAFAC NOT ON SITE. 
SUBS ALREADY ADVISED 
ALFLP92NP2-4SPAN FULL 
ALFLP92NP3-5SPAN FULL 
ALFLP92NP4-12SPAN FULL 
ALFLP92NP6-6SPAN FULL 
ALFLP92NP7- 12 SPAN FULL 
窶撒ALK: HANNA GHAILE CABASI BERNAS 
窶擦BR: 09556286924 
"</v>
      </c>
      <c r="H679" s="1" t="str">
        <f>IFERROR(__xludf.DUMMYFUNCTION("""COMPUTED_VALUE"""),"PAID VIA CSP")</f>
        <v>PAID VIA CSP</v>
      </c>
      <c r="I679" s="1" t="str">
        <f>IFERROR(__xludf.DUMMYFUNCTION("""COMPUTED_VALUE"""),"NO 1 AMSF")</f>
        <v>NO 1 AMSF</v>
      </c>
      <c r="J679" s="1"/>
      <c r="K679" s="1" t="str">
        <f>IFERROR(__xludf.DUMMYFUNCTION("""COMPUTED_VALUE"""),"NOT IN OFSC")</f>
        <v>NOT IN OFSC</v>
      </c>
      <c r="L679" s="1" t="str">
        <f>IFERROR(__xludf.DUMMYFUNCTION("""COMPUTED_VALUE"""),"RPR - NAP FULL")</f>
        <v>RPR - NAP FULL</v>
      </c>
      <c r="M679" s="1" t="str">
        <f>IFERROR(__xludf.DUMMYFUNCTION("""COMPUTED_VALUE"""),"RPR- NAP FULL")</f>
        <v>RPR- NAP FULL</v>
      </c>
      <c r="N679" s="3"/>
      <c r="O679" s="1" t="str">
        <f>IFERROR(__xludf.DUMMYFUNCTION("""COMPUTED_VALUE"""),"FIBR PLAN 1299")</f>
        <v>FIBR PLAN 1299</v>
      </c>
      <c r="P679" s="1" t="str">
        <f>IFERROR(__xludf.DUMMYFUNCTION("""COMPUTED_VALUE"""),"LOWPLAN")</f>
        <v>LOWPLAN</v>
      </c>
      <c r="Q679" s="1" t="str">
        <f>IFERROR(__xludf.DUMMYFUNCTION("""COMPUTED_VALUE"""),"P407559")</f>
        <v>P407559</v>
      </c>
      <c r="R679" s="1" t="str">
        <f>IFERROR(__xludf.DUMMYFUNCTION("""COMPUTED_VALUE"""),"MAGDARAOG, KENNETH")</f>
        <v>MAGDARAOG, KENNETH</v>
      </c>
      <c r="S679" s="1" t="str">
        <f>IFERROR(__xludf.DUMMYFUNCTION("""COMPUTED_VALUE"""),"ORGANIC")</f>
        <v>ORGANIC</v>
      </c>
      <c r="T679" s="1" t="str">
        <f>IFERROR(__xludf.DUMMYFUNCTION("""COMPUTED_VALUE"""),"LEA REMOLLO")</f>
        <v>LEA REMOLLO</v>
      </c>
      <c r="U679" s="1" t="str">
        <f>IFERROR(__xludf.DUMMYFUNCTION("""COMPUTED_VALUE"""),"JB SALIOA")</f>
        <v>JB SALIOA</v>
      </c>
      <c r="V679" s="1" t="str">
        <f>IFERROR(__xludf.DUMMYFUNCTION("""COMPUTED_VALUE"""),"BK REGULAR")</f>
        <v>BK REGULAR</v>
      </c>
      <c r="W679" s="1" t="str">
        <f>IFERROR(__xludf.DUMMYFUNCTION("""COMPUTED_VALUE"""),"STK REGULAR")</f>
        <v>STK REGULAR</v>
      </c>
      <c r="X679" s="1" t="str">
        <f>IFERROR(__xludf.DUMMYFUNCTION("""COMPUTED_VALUE"""),"HBBS SEPT 2026")</f>
        <v>HBBS SEPT 2026</v>
      </c>
      <c r="Y679" s="1" t="str">
        <f>IFERROR(__xludf.DUMMYFUNCTION("""COMPUTED_VALUE"""),"BK_CVEU_260822")</f>
        <v>BK_CVEU_260822</v>
      </c>
      <c r="Z679" s="1" t="str">
        <f>IFERROR(__xludf.DUMMYFUNCTION("""COMPUTED_VALUE"""),"NEW CONNECT")</f>
        <v>NEW CONNECT</v>
      </c>
      <c r="AA679" s="1">
        <f>IFERROR(__xludf.DUMMYFUNCTION("""COMPUTED_VALUE"""),639556286924)</f>
        <v>639556286924</v>
      </c>
      <c r="AB679" s="1"/>
      <c r="AC679" s="1">
        <f>IFERROR(__xludf.DUMMYFUNCTION("""COMPUTED_VALUE"""),89)</f>
        <v>89</v>
      </c>
      <c r="AD679" s="1" t="str">
        <f>IFERROR(__xludf.DUMMYFUNCTION("""COMPUTED_VALUE"""),"VIRATA")</f>
        <v>VIRATA</v>
      </c>
      <c r="AE679" s="1"/>
      <c r="AF679" s="1" t="str">
        <f>IFERROR(__xludf.DUMMYFUNCTION("""COMPUTED_VALUE"""),"BGY PAJO")</f>
        <v>BGY PAJO</v>
      </c>
      <c r="AG679" s="1" t="str">
        <f>IFERROR(__xludf.DUMMYFUNCTION("""COMPUTED_VALUE"""),"ALFONSO")</f>
        <v>ALFONSO</v>
      </c>
      <c r="AH679" s="1" t="str">
        <f>IFERROR(__xludf.DUMMYFUNCTION("""COMPUTED_VALUE"""),"COC PAJO")</f>
        <v>COC PAJO</v>
      </c>
      <c r="AI679" s="1" t="str">
        <f>IFERROR(__xludf.DUMMYFUNCTION("""COMPUTED_VALUE"""),"CLUSTER 12")</f>
        <v>CLUSTER 12</v>
      </c>
    </row>
    <row r="680" customHeight="1" spans="1:35">
      <c r="A680" s="3">
        <f>IFERROR(__xludf.DUMMYFUNCTION("""COMPUTED_VALUE"""),46290)</f>
        <v>46290</v>
      </c>
      <c r="B680" s="1" t="str">
        <f>IFERROR(__xludf.DUMMYFUNCTION("""COMPUTED_VALUE"""),"JOSE DOMINIC GLENN MANTUA MANUEL")</f>
        <v>JOSE DOMINIC GLENN MANTUA MANUEL</v>
      </c>
      <c r="C680" s="1">
        <f>IFERROR(__xludf.DUMMYFUNCTION("""COMPUTED_VALUE"""),2312797964)</f>
        <v>2312797964</v>
      </c>
      <c r="D680" s="1">
        <f>IFERROR(__xludf.DUMMYFUNCTION("""COMPUTED_VALUE"""),408360358)</f>
        <v>408360358</v>
      </c>
      <c r="E680" s="1">
        <f>IFERROR(__xludf.DUMMYFUNCTION("""COMPUTED_VALUE"""),472865700004)</f>
        <v>472865700004</v>
      </c>
      <c r="F680" s="1" t="str">
        <f>IFERROR(__xludf.DUMMYFUNCTION("""COMPUTED_VALUE"""),"CANCELLED")</f>
        <v>CANCELLED</v>
      </c>
      <c r="G680" s="1" t="str">
        <f>IFERROR(__xludf.DUMMYFUNCTION("""COMPUTED_VALUE"""),"RPR VISITED HOUSE CLOSED CBR GIVEN UNCONTACTED ALREADY TEXTED BUT NO REPLY AND ALREADY HAVE RESPONSE IN JO ‎ ‎CANCEL AS PER SUBS")</f>
        <v>RPR VISITED HOUSE CLOSED CBR GIVEN UNCONTACTED ALREADY TEXTED BUT NO REPLY AND ALREADY HAVE RESPONSE IN JO ‎ ‎CANCEL AS PER SUBS</v>
      </c>
      <c r="H680" s="1" t="str">
        <f>IFERROR(__xludf.DUMMYFUNCTION("""COMPUTED_VALUE"""),"PAID VIA CSP")</f>
        <v>PAID VIA CSP</v>
      </c>
      <c r="I680" s="1" t="str">
        <f>IFERROR(__xludf.DUMMYFUNCTION("""COMPUTED_VALUE"""),"NO 1 AMSF")</f>
        <v>NO 1 AMSF</v>
      </c>
      <c r="J680" s="1"/>
      <c r="K680" s="1" t="str">
        <f>IFERROR(__xludf.DUMMYFUNCTION("""COMPUTED_VALUE"""),"CANCELED")</f>
        <v>CANCELED</v>
      </c>
      <c r="L680" s="1" t="str">
        <f>IFERROR(__xludf.DUMMYFUNCTION("""COMPUTED_VALUE"""),"CANCELLED")</f>
        <v>CANCELLED</v>
      </c>
      <c r="M680" s="1" t="str">
        <f>IFERROR(__xludf.DUMMYFUNCTION("""COMPUTED_VALUE"""),"CANCELLED")</f>
        <v>CANCELLED</v>
      </c>
      <c r="N680" s="3"/>
      <c r="O680" s="1" t="str">
        <f>IFERROR(__xludf.DUMMYFUNCTION("""COMPUTED_VALUE"""),"FIBR PLAN 1299")</f>
        <v>FIBR PLAN 1299</v>
      </c>
      <c r="P680" s="1" t="str">
        <f>IFERROR(__xludf.DUMMYFUNCTION("""COMPUTED_VALUE"""),"LOWPLAN")</f>
        <v>LOWPLAN</v>
      </c>
      <c r="Q680" s="1" t="str">
        <f>IFERROR(__xludf.DUMMYFUNCTION("""COMPUTED_VALUE"""),"P407563")</f>
        <v>P407563</v>
      </c>
      <c r="R680" s="1" t="str">
        <f>IFERROR(__xludf.DUMMYFUNCTION("""COMPUTED_VALUE"""),"BAQUIT, JAZMIN")</f>
        <v>BAQUIT, JAZMIN</v>
      </c>
      <c r="S680" s="1" t="str">
        <f>IFERROR(__xludf.DUMMYFUNCTION("""COMPUTED_VALUE"""),"ORGANIC")</f>
        <v>ORGANIC</v>
      </c>
      <c r="T680" s="1" t="str">
        <f>IFERROR(__xludf.DUMMYFUNCTION("""COMPUTED_VALUE"""),"LEA REMOLLO")</f>
        <v>LEA REMOLLO</v>
      </c>
      <c r="U680" s="1" t="str">
        <f>IFERROR(__xludf.DUMMYFUNCTION("""COMPUTED_VALUE"""),"JB SALIOA")</f>
        <v>JB SALIOA</v>
      </c>
      <c r="V680" s="1" t="str">
        <f>IFERROR(__xludf.DUMMYFUNCTION("""COMPUTED_VALUE"""),"ONLINE/CRANFORD")</f>
        <v>ONLINE/CRANFORD</v>
      </c>
      <c r="W680" s="1" t="str">
        <f>IFERROR(__xludf.DUMMYFUNCTION("""COMPUTED_VALUE"""),"STK REGULAR")</f>
        <v>STK REGULAR</v>
      </c>
      <c r="X680" s="1" t="str">
        <f>IFERROR(__xludf.DUMMYFUNCTION("""COMPUTED_VALUE"""),"HBBS SEPT 2026")</f>
        <v>HBBS SEPT 2026</v>
      </c>
      <c r="Y680" s="1" t="str">
        <f>IFERROR(__xludf.DUMMYFUNCTION("""COMPUTED_VALUE"""),"RS_ONL_CVEU_2026")</f>
        <v>RS_ONL_CVEU_2026</v>
      </c>
      <c r="Z680" s="1" t="str">
        <f>IFERROR(__xludf.DUMMYFUNCTION("""COMPUTED_VALUE"""),"NEW CONNECT")</f>
        <v>NEW CONNECT</v>
      </c>
      <c r="AA680" s="1">
        <f>IFERROR(__xludf.DUMMYFUNCTION("""COMPUTED_VALUE"""),639944994873)</f>
        <v>639944994873</v>
      </c>
      <c r="AB680" s="1"/>
      <c r="AC680" s="1"/>
      <c r="AD680" s="1" t="str">
        <f>IFERROR(__xludf.DUMMYFUNCTION("""COMPUTED_VALUE"""),"VICTORIA REYES")</f>
        <v>VICTORIA REYES</v>
      </c>
      <c r="AE680" s="1"/>
      <c r="AF680" s="1" t="str">
        <f>IFERROR(__xludf.DUMMYFUNCTION("""COMPUTED_VALUE"""),"BGY VICTORIA REYES")</f>
        <v>BGY VICTORIA REYES</v>
      </c>
      <c r="AG680" s="1" t="str">
        <f>IFERROR(__xludf.DUMMYFUNCTION("""COMPUTED_VALUE"""),"DASMARINAS")</f>
        <v>DASMARINAS</v>
      </c>
      <c r="AH680" s="1" t="str">
        <f>IFERROR(__xludf.DUMMYFUNCTION("""COMPUTED_VALUE"""),"PAG ASA NATIONAL HIGH SCHOOL")</f>
        <v>PAG ASA NATIONAL HIGH SCHOOL</v>
      </c>
      <c r="AI680" s="1" t="str">
        <f>IFERROR(__xludf.DUMMYFUNCTION("""COMPUTED_VALUE"""),"NOT AOR")</f>
        <v>NOT AOR</v>
      </c>
    </row>
    <row r="681" customHeight="1" spans="1:35">
      <c r="A681" s="3">
        <f>IFERROR(__xludf.DUMMYFUNCTION("""COMPUTED_VALUE"""),46290)</f>
        <v>46290</v>
      </c>
      <c r="B681" s="1" t="str">
        <f>IFERROR(__xludf.DUMMYFUNCTION("""COMPUTED_VALUE"""),"RONALD ALMADEN ORTIZ")</f>
        <v>RONALD ALMADEN ORTIZ</v>
      </c>
      <c r="C681" s="1">
        <f>IFERROR(__xludf.DUMMYFUNCTION("""COMPUTED_VALUE"""),2312798378)</f>
        <v>2312798378</v>
      </c>
      <c r="D681" s="1">
        <f>IFERROR(__xludf.DUMMYFUNCTION("""COMPUTED_VALUE"""),408357152)</f>
        <v>408357152</v>
      </c>
      <c r="E681" s="1">
        <f>IFERROR(__xludf.DUMMYFUNCTION("""COMPUTED_VALUE"""),472863864004)</f>
        <v>472863864004</v>
      </c>
      <c r="F681" s="1" t="str">
        <f>IFERROR(__xludf.DUMMYFUNCTION("""COMPUTED_VALUE"""),"CANCELLED")</f>
        <v>CANCELLED</v>
      </c>
      <c r="G681" s="1" t="str">
        <f>IFERROR(__xludf.DUMMYFUNCTION("""COMPUTED_VALUE"""),"""VISITED 
窶山EMARKS: NAP FULL ASSIGNED CAFAC NOT ON SITE 
ALFLP92NP7 FULL 10SPAN 
ALFLP92NP8FULL 12SPAN 
ALFLP92NP4FULL 13SPAN 
SUABS ALLREADY ADVICE 
TALK: RONALD ALMADEN ORTIZ 
窶擦BR: 09633303458 
""")</f>
        <v>"VISITED 
窶山EMARKS: NAP FULL ASSIGNED CAFAC NOT ON SITE 
ALFLP92NP7 FULL 10SPAN 
ALFLP92NP8FULL 12SPAN 
ALFLP92NP4FULL 13SPAN 
SUABS ALLREADY ADVICE 
TALK: RONALD ALMADEN ORTIZ 
窶擦BR: 09633303458 
"</v>
      </c>
      <c r="H681" s="1" t="str">
        <f>IFERROR(__xludf.DUMMYFUNCTION("""COMPUTED_VALUE"""),"PAID VIA CSP")</f>
        <v>PAID VIA CSP</v>
      </c>
      <c r="I681" s="1" t="str">
        <f>IFERROR(__xludf.DUMMYFUNCTION("""COMPUTED_VALUE"""),"NO 1 AMSF")</f>
        <v>NO 1 AMSF</v>
      </c>
      <c r="J681" s="1"/>
      <c r="K681" s="1" t="str">
        <f>IFERROR(__xludf.DUMMYFUNCTION("""COMPUTED_VALUE"""),"NOT IN OFSC")</f>
        <v>NOT IN OFSC</v>
      </c>
      <c r="L681" s="1" t="str">
        <f>IFERROR(__xludf.DUMMYFUNCTION("""COMPUTED_VALUE"""),"RPR - NAP FULL")</f>
        <v>RPR - NAP FULL</v>
      </c>
      <c r="M681" s="1" t="str">
        <f>IFERROR(__xludf.DUMMYFUNCTION("""COMPUTED_VALUE"""),"RPR- NAP FULL")</f>
        <v>RPR- NAP FULL</v>
      </c>
      <c r="N681" s="3"/>
      <c r="O681" s="1" t="str">
        <f>IFERROR(__xludf.DUMMYFUNCTION("""COMPUTED_VALUE"""),"FIBR PLAN 1299")</f>
        <v>FIBR PLAN 1299</v>
      </c>
      <c r="P681" s="1" t="str">
        <f>IFERROR(__xludf.DUMMYFUNCTION("""COMPUTED_VALUE"""),"LOWPLAN")</f>
        <v>LOWPLAN</v>
      </c>
      <c r="Q681" s="1" t="str">
        <f>IFERROR(__xludf.DUMMYFUNCTION("""COMPUTED_VALUE"""),"P407050")</f>
        <v>P407050</v>
      </c>
      <c r="R681" s="1" t="str">
        <f>IFERROR(__xludf.DUMMYFUNCTION("""COMPUTED_VALUE"""),"CORNELIO, CATHERINE")</f>
        <v>CORNELIO, CATHERINE</v>
      </c>
      <c r="S681" s="1" t="str">
        <f>IFERROR(__xludf.DUMMYFUNCTION("""COMPUTED_VALUE"""),"ORGANIC")</f>
        <v>ORGANIC</v>
      </c>
      <c r="T681" s="1" t="str">
        <f>IFERROR(__xludf.DUMMYFUNCTION("""COMPUTED_VALUE"""),"LEA REMOLLO")</f>
        <v>LEA REMOLLO</v>
      </c>
      <c r="U681" s="1" t="str">
        <f>IFERROR(__xludf.DUMMYFUNCTION("""COMPUTED_VALUE"""),"JB SALIOA")</f>
        <v>JB SALIOA</v>
      </c>
      <c r="V681" s="1" t="str">
        <f>IFERROR(__xludf.DUMMYFUNCTION("""COMPUTED_VALUE"""),"BK REGULAR")</f>
        <v>BK REGULAR</v>
      </c>
      <c r="W681" s="1" t="str">
        <f>IFERROR(__xludf.DUMMYFUNCTION("""COMPUTED_VALUE"""),"STK REGULAR")</f>
        <v>STK REGULAR</v>
      </c>
      <c r="X681" s="1" t="str">
        <f>IFERROR(__xludf.DUMMYFUNCTION("""COMPUTED_VALUE"""),"HBBS SEPT 2026")</f>
        <v>HBBS SEPT 2026</v>
      </c>
      <c r="Y681" s="1" t="str">
        <f>IFERROR(__xludf.DUMMYFUNCTION("""COMPUTED_VALUE"""),"BK_CVEU_260822")</f>
        <v>BK_CVEU_260822</v>
      </c>
      <c r="Z681" s="1" t="str">
        <f>IFERROR(__xludf.DUMMYFUNCTION("""COMPUTED_VALUE"""),"NEW CONNECT")</f>
        <v>NEW CONNECT</v>
      </c>
      <c r="AA681" s="1">
        <f>IFERROR(__xludf.DUMMYFUNCTION("""COMPUTED_VALUE"""),639633303454)</f>
        <v>639633303454</v>
      </c>
      <c r="AB681" s="1">
        <f>IFERROR(__xludf.DUMMYFUNCTION("""COMPUTED_VALUE"""),639633303458)</f>
        <v>639633303458</v>
      </c>
      <c r="AC681" s="1">
        <f>IFERROR(__xludf.DUMMYFUNCTION("""COMPUTED_VALUE"""),31)</f>
        <v>31</v>
      </c>
      <c r="AD681" s="1" t="str">
        <f>IFERROR(__xludf.DUMMYFUNCTION("""COMPUTED_VALUE"""),"KALYE ONSE")</f>
        <v>KALYE ONSE</v>
      </c>
      <c r="AE681" s="1"/>
      <c r="AF681" s="1" t="str">
        <f>IFERROR(__xludf.DUMMYFUNCTION("""COMPUTED_VALUE"""),"BGY PAJO")</f>
        <v>BGY PAJO</v>
      </c>
      <c r="AG681" s="1" t="str">
        <f>IFERROR(__xludf.DUMMYFUNCTION("""COMPUTED_VALUE"""),"ALFONSO")</f>
        <v>ALFONSO</v>
      </c>
      <c r="AH681" s="1" t="str">
        <f>IFERROR(__xludf.DUMMYFUNCTION("""COMPUTED_VALUE"""),"OLIVE APARTMENT")</f>
        <v>OLIVE APARTMENT</v>
      </c>
      <c r="AI681" s="1" t="str">
        <f>IFERROR(__xludf.DUMMYFUNCTION("""COMPUTED_VALUE"""),"CLUSTER 12")</f>
        <v>CLUSTER 12</v>
      </c>
    </row>
    <row r="682" customHeight="1" spans="1:35">
      <c r="A682" s="3">
        <f>IFERROR(__xludf.DUMMYFUNCTION("""COMPUTED_VALUE"""),46290)</f>
        <v>46290</v>
      </c>
      <c r="B682" s="1" t="str">
        <f>IFERROR(__xludf.DUMMYFUNCTION("""COMPUTED_VALUE"""),"JUAN PAULO LLARENA LOBINA")</f>
        <v>JUAN PAULO LLARENA LOBINA</v>
      </c>
      <c r="C682" s="1">
        <f>IFERROR(__xludf.DUMMYFUNCTION("""COMPUTED_VALUE"""),2312800298)</f>
        <v>2312800298</v>
      </c>
      <c r="D682" s="1"/>
      <c r="E682" s="1"/>
      <c r="F682" s="1" t="str">
        <f>IFERROR(__xludf.DUMMYFUNCTION("""COMPUTED_VALUE"""),"SUBS CANCELLED APPLICATION")</f>
        <v>SUBS CANCELLED APPLICATION</v>
      </c>
      <c r="G682" s="1" t="str">
        <f>IFERROR(__xludf.DUMMYFUNCTION("""COMPUTED_VALUE"""),"(NO LONGER INTERESTED ) SUBS CANCELLED APPLICATION| FOUND ACTIVE ACCT #: 0340987934, CLV_08| SAME NAME, DIFF ADDRESS| FOUND CANCELLED ACCT #: 0356286820 SAME NAME, DIFF ADDRESS| Call Out Thru: SEPT 25, 2026 08:06 pm 09272219346/ Talked to Subs and did not"&amp;" proceed the new application| Cleared from blacklist| done validation with submitted complete docs | correct encoded info in CSP | no 1 AMSF due to TU score indicated: GG - 1 (NTC). Based on CLV.")</f>
        <v>(NO LONGER INTERESTED ) SUBS CANCELLED APPLICATION| FOUND ACTIVE ACCT #: 0340987934, CLV_08| SAME NAME, DIFF ADDRESS| FOUND CANCELLED ACCT #: 0356286820 SAME NAME, DIFF ADDRESS| Call Out Thru: SEPT 25, 2026 08:06 pm 09272219346/ Talked to Subs and did not proceed the new application| Cleared from blacklist| done validation with submitted complete docs | correct encoded info in CSP | no 1 AMSF due to TU score indicated: GG - 1 (NTC). Based on CLV.</v>
      </c>
      <c r="H682" s="1"/>
      <c r="I682" s="1"/>
      <c r="J682" s="1"/>
      <c r="K682" s="1"/>
      <c r="L682" s="1" t="str">
        <f>IFERROR(__xludf.DUMMYFUNCTION("""COMPUTED_VALUE"""),"CANCELLED")</f>
        <v>CANCELLED</v>
      </c>
      <c r="M682" s="1" t="str">
        <f>IFERROR(__xludf.DUMMYFUNCTION("""COMPUTED_VALUE"""),"CANCELLED - SUBS CANCEL REQUEST")</f>
        <v>CANCELLED - SUBS CANCEL REQUEST</v>
      </c>
      <c r="N682" s="3"/>
      <c r="O682" s="1" t="str">
        <f>IFERROR(__xludf.DUMMYFUNCTION("""COMPUTED_VALUE"""),"FIBR PLAN 1699")</f>
        <v>FIBR PLAN 1699</v>
      </c>
      <c r="P682" s="1" t="str">
        <f>IFERROR(__xludf.DUMMYFUNCTION("""COMPUTED_VALUE"""),"LOWPLAN")</f>
        <v>LOWPLAN</v>
      </c>
      <c r="Q682" s="1" t="str">
        <f>IFERROR(__xludf.DUMMYFUNCTION("""COMPUTED_VALUE"""),"P407045")</f>
        <v>P407045</v>
      </c>
      <c r="R682" s="1" t="str">
        <f>IFERROR(__xludf.DUMMYFUNCTION("""COMPUTED_VALUE"""),"REMOLLO, LEA")</f>
        <v>REMOLLO, LEA</v>
      </c>
      <c r="S682" s="1" t="str">
        <f>IFERROR(__xludf.DUMMYFUNCTION("""COMPUTED_VALUE"""),"FLA")</f>
        <v>FLA</v>
      </c>
      <c r="T682" s="1" t="str">
        <f>IFERROR(__xludf.DUMMYFUNCTION("""COMPUTED_VALUE"""),"JERIC NAVARRO")</f>
        <v>JERIC NAVARRO</v>
      </c>
      <c r="U682" s="1" t="str">
        <f>IFERROR(__xludf.DUMMYFUNCTION("""COMPUTED_VALUE"""),"JB SALIOA")</f>
        <v>JB SALIOA</v>
      </c>
      <c r="V682" s="1" t="str">
        <f>IFERROR(__xludf.DUMMYFUNCTION("""COMPUTED_VALUE"""),"ONLINE/CRANFORD")</f>
        <v>ONLINE/CRANFORD</v>
      </c>
      <c r="W682" s="1" t="str">
        <f>IFERROR(__xludf.DUMMYFUNCTION("""COMPUTED_VALUE"""),"STK REGULAR")</f>
        <v>STK REGULAR</v>
      </c>
      <c r="X682" s="1" t="str">
        <f>IFERROR(__xludf.DUMMYFUNCTION("""COMPUTED_VALUE"""),"HBBS SEPT 2026")</f>
        <v>HBBS SEPT 2026</v>
      </c>
      <c r="Y682" s="1" t="str">
        <f>IFERROR(__xludf.DUMMYFUNCTION("""COMPUTED_VALUE"""),"RS_ONL_CVEU_2026")</f>
        <v>RS_ONL_CVEU_2026</v>
      </c>
      <c r="Z682" s="1" t="str">
        <f>IFERROR(__xludf.DUMMYFUNCTION("""COMPUTED_VALUE"""),"NEW CONNECT")</f>
        <v>NEW CONNECT</v>
      </c>
      <c r="AA682" s="1">
        <f>IFERROR(__xludf.DUMMYFUNCTION("""COMPUTED_VALUE"""),639458890410)</f>
        <v>639458890410</v>
      </c>
      <c r="AB682" s="1">
        <f>IFERROR(__xludf.DUMMYFUNCTION("""COMPUTED_VALUE"""),639178313131)</f>
        <v>639178313131</v>
      </c>
      <c r="AC682" s="1"/>
      <c r="AD682" s="1" t="str">
        <f>IFERROR(__xludf.DUMMYFUNCTION("""COMPUTED_VALUE"""),"GIOVANNI")</f>
        <v>GIOVANNI</v>
      </c>
      <c r="AE682" s="1" t="str">
        <f>IFERROR(__xludf.DUMMYFUNCTION("""COMPUTED_VALUE"""),"SUNTRUST VERONA PHASE 3")</f>
        <v>SUNTRUST VERONA PHASE 3</v>
      </c>
      <c r="AF682" s="1" t="str">
        <f>IFERROR(__xludf.DUMMYFUNCTION("""COMPUTED_VALUE"""),"BGY HOYO")</f>
        <v>BGY HOYO</v>
      </c>
      <c r="AG682" s="1" t="str">
        <f>IFERROR(__xludf.DUMMYFUNCTION("""COMPUTED_VALUE"""),"SILANG")</f>
        <v>SILANG</v>
      </c>
      <c r="AH682" s="1" t="str">
        <f>IFERROR(__xludf.DUMMYFUNCTION("""COMPUTED_VALUE"""),"GIOVANNI ST")</f>
        <v>GIOVANNI ST</v>
      </c>
      <c r="AI682" s="1" t="str">
        <f>IFERROR(__xludf.DUMMYFUNCTION("""COMPUTED_VALUE"""),"CLUSTER 11")</f>
        <v>CLUSTER 11</v>
      </c>
    </row>
    <row r="683" customHeight="1" spans="1:35">
      <c r="A683" s="3">
        <f>IFERROR(__xludf.DUMMYFUNCTION("""COMPUTED_VALUE"""),46290)</f>
        <v>46290</v>
      </c>
      <c r="B683" s="1" t="str">
        <f>IFERROR(__xludf.DUMMYFUNCTION("""COMPUTED_VALUE"""),"RAMON JR ROGUEL GREFALDEO")</f>
        <v>RAMON JR ROGUEL GREFALDEO</v>
      </c>
      <c r="C683" s="1">
        <f>IFERROR(__xludf.DUMMYFUNCTION("""COMPUTED_VALUE"""),2312800487)</f>
        <v>2312800487</v>
      </c>
      <c r="D683" s="1">
        <f>IFERROR(__xludf.DUMMYFUNCTION("""COMPUTED_VALUE"""),408361877)</f>
        <v>408361877</v>
      </c>
      <c r="E683" s="1">
        <f>IFERROR(__xludf.DUMMYFUNCTION("""COMPUTED_VALUE"""),472866429004)</f>
        <v>472866429004</v>
      </c>
      <c r="F683" s="1" t="str">
        <f>IFERROR(__xludf.DUMMYFUNCTION("""COMPUTED_VALUE"""),"CANCELLED")</f>
        <v>CANCELLED</v>
      </c>
      <c r="G683" s="1" t="str">
        <f>IFERROR(__xludf.DUMMYFUNCTION("""COMPUTED_VALUE"""),"""CALLTHRU 
窶山EMARKS: SUBS REQUEST FOR CANCEL APPLICATION MATAGAL NA DAW PO NILA PINACANCEL ANG APPLICATION NO OTHER REASON 
窶
TALK: RAMON 
窶擦BR: 09614190394 
""")</f>
        <v>"CALLTHRU 
窶山EMARKS: SUBS REQUEST FOR CANCEL APPLICATION MATAGAL NA DAW PO NILA PINACANCEL ANG APPLICATION NO OTHER REASON 
窶
TALK: RAMON 
窶擦BR: 09614190394 
"</v>
      </c>
      <c r="H683" s="1" t="str">
        <f>IFERROR(__xludf.DUMMYFUNCTION("""COMPUTED_VALUE"""),"PAID VIA CSP")</f>
        <v>PAID VIA CSP</v>
      </c>
      <c r="I683" s="1" t="str">
        <f>IFERROR(__xludf.DUMMYFUNCTION("""COMPUTED_VALUE"""),"NO 1 AMSF")</f>
        <v>NO 1 AMSF</v>
      </c>
      <c r="J683" s="1"/>
      <c r="K683" s="1" t="str">
        <f>IFERROR(__xludf.DUMMYFUNCTION("""COMPUTED_VALUE"""),"NOT IN OFSC")</f>
        <v>NOT IN OFSC</v>
      </c>
      <c r="L683" s="1" t="str">
        <f>IFERROR(__xludf.DUMMYFUNCTION("""COMPUTED_VALUE"""),"RPR - SUBS CANCEL REQUEST")</f>
        <v>RPR - SUBS CANCEL REQUEST</v>
      </c>
      <c r="M683" s="1" t="str">
        <f>IFERROR(__xludf.DUMMYFUNCTION("""COMPUTED_VALUE"""),"RPR- SUBS CANCEL REQUEST")</f>
        <v>RPR- SUBS CANCEL REQUEST</v>
      </c>
      <c r="N683" s="3"/>
      <c r="O683" s="1" t="str">
        <f>IFERROR(__xludf.DUMMYFUNCTION("""COMPUTED_VALUE"""),"FIBR PLAN 1299")</f>
        <v>FIBR PLAN 1299</v>
      </c>
      <c r="P683" s="1" t="str">
        <f>IFERROR(__xludf.DUMMYFUNCTION("""COMPUTED_VALUE"""),"LOWPLAN")</f>
        <v>LOWPLAN</v>
      </c>
      <c r="Q683" s="1" t="str">
        <f>IFERROR(__xludf.DUMMYFUNCTION("""COMPUTED_VALUE"""),"P407050")</f>
        <v>P407050</v>
      </c>
      <c r="R683" s="1" t="str">
        <f>IFERROR(__xludf.DUMMYFUNCTION("""COMPUTED_VALUE"""),"BAYBAY, MICHAEL")</f>
        <v>BAYBAY, MICHAEL</v>
      </c>
      <c r="S683" s="1" t="str">
        <f>IFERROR(__xludf.DUMMYFUNCTION("""COMPUTED_VALUE"""),"ORGANIC")</f>
        <v>ORGANIC</v>
      </c>
      <c r="T683" s="1" t="str">
        <f>IFERROR(__xludf.DUMMYFUNCTION("""COMPUTED_VALUE"""),"LEA REMOLLO")</f>
        <v>LEA REMOLLO</v>
      </c>
      <c r="U683" s="1" t="str">
        <f>IFERROR(__xludf.DUMMYFUNCTION("""COMPUTED_VALUE"""),"JB SALIOA")</f>
        <v>JB SALIOA</v>
      </c>
      <c r="V683" s="1" t="str">
        <f>IFERROR(__xludf.DUMMYFUNCTION("""COMPUTED_VALUE"""),"BK REGULAR")</f>
        <v>BK REGULAR</v>
      </c>
      <c r="W683" s="1" t="str">
        <f>IFERROR(__xludf.DUMMYFUNCTION("""COMPUTED_VALUE"""),"STK REGULAR")</f>
        <v>STK REGULAR</v>
      </c>
      <c r="X683" s="1" t="str">
        <f>IFERROR(__xludf.DUMMYFUNCTION("""COMPUTED_VALUE"""),"HBBS SEPT 2026")</f>
        <v>HBBS SEPT 2026</v>
      </c>
      <c r="Y683" s="1" t="str">
        <f>IFERROR(__xludf.DUMMYFUNCTION("""COMPUTED_VALUE"""),"BK_CVEU_260822")</f>
        <v>BK_CVEU_260822</v>
      </c>
      <c r="Z683" s="1" t="str">
        <f>IFERROR(__xludf.DUMMYFUNCTION("""COMPUTED_VALUE"""),"NEW CONNECT")</f>
        <v>NEW CONNECT</v>
      </c>
      <c r="AA683" s="1">
        <f>IFERROR(__xludf.DUMMYFUNCTION("""COMPUTED_VALUE"""),639614190394)</f>
        <v>639614190394</v>
      </c>
      <c r="AB683" s="1"/>
      <c r="AC683" s="1"/>
      <c r="AD683" s="1" t="str">
        <f>IFERROR(__xludf.DUMMYFUNCTION("""COMPUTED_VALUE"""),"CALLE ONCE")</f>
        <v>CALLE ONCE</v>
      </c>
      <c r="AE683" s="1" t="str">
        <f>IFERROR(__xludf.DUMMYFUNCTION("""COMPUTED_VALUE"""),"SITIO PAGONG")</f>
        <v>SITIO PAGONG</v>
      </c>
      <c r="AF683" s="1" t="str">
        <f>IFERROR(__xludf.DUMMYFUNCTION("""COMPUTED_VALUE"""),"BGY PAJO")</f>
        <v>BGY PAJO</v>
      </c>
      <c r="AG683" s="1" t="str">
        <f>IFERROR(__xludf.DUMMYFUNCTION("""COMPUTED_VALUE"""),"ALFONSO")</f>
        <v>ALFONSO</v>
      </c>
      <c r="AH683" s="1" t="str">
        <f>IFERROR(__xludf.DUMMYFUNCTION("""COMPUTED_VALUE"""),"CALLE ONCE")</f>
        <v>CALLE ONCE</v>
      </c>
      <c r="AI683" s="1" t="str">
        <f>IFERROR(__xludf.DUMMYFUNCTION("""COMPUTED_VALUE"""),"CLUSTER 12")</f>
        <v>CLUSTER 12</v>
      </c>
    </row>
    <row r="684" customHeight="1" spans="1:35">
      <c r="A684" s="3">
        <f>IFERROR(__xludf.DUMMYFUNCTION("""COMPUTED_VALUE"""),46290)</f>
        <v>46290</v>
      </c>
      <c r="B684" s="1" t="str">
        <f>IFERROR(__xludf.DUMMYFUNCTION("""COMPUTED_VALUE"""),"MARK JOSEPH LLANTINO LERON")</f>
        <v>MARK JOSEPH LLANTINO LERON</v>
      </c>
      <c r="C684" s="1">
        <f>IFERROR(__xludf.DUMMYFUNCTION("""COMPUTED_VALUE"""),2312801055)</f>
        <v>2312801055</v>
      </c>
      <c r="D684" s="1">
        <f>IFERROR(__xludf.DUMMYFUNCTION("""COMPUTED_VALUE"""),408363470)</f>
        <v>408363470</v>
      </c>
      <c r="E684" s="1">
        <f>IFERROR(__xludf.DUMMYFUNCTION("""COMPUTED_VALUE"""),472867068004)</f>
        <v>472867068004</v>
      </c>
      <c r="F684" s="1" t="str">
        <f>IFERROR(__xludf.DUMMYFUNCTION("""COMPUTED_VALUE"""),"CLOSED")</f>
        <v>CLOSED</v>
      </c>
      <c r="G684" s="1" t="str">
        <f>IFERROR(__xludf.DUMMYFUNCTION("""COMPUTED_VALUE"""),"CLOSED")</f>
        <v>CLOSED</v>
      </c>
      <c r="H684" s="1"/>
      <c r="I684" s="1" t="str">
        <f>IFERROR(__xludf.DUMMYFUNCTION("""COMPUTED_VALUE"""),"NO 1 AMSF")</f>
        <v>NO 1 AMSF</v>
      </c>
      <c r="J684" s="1" t="str">
        <f>IFERROR(__xludf.DUMMYFUNCTION("""COMPUTED_VALUE"""),"DUE DATE - 25-Oct-26 - 1,472.20")</f>
        <v>DUE DATE - 25-Oct-26 - 1,472.20</v>
      </c>
      <c r="K684" s="1" t="str">
        <f>IFERROR(__xludf.DUMMYFUNCTION("""COMPUTED_VALUE"""),"NOT IN OFSC")</f>
        <v>NOT IN OFSC</v>
      </c>
      <c r="L684" s="1" t="str">
        <f>IFERROR(__xludf.DUMMYFUNCTION("""COMPUTED_VALUE"""),"POSTED")</f>
        <v>POSTED</v>
      </c>
      <c r="M684" s="1" t="str">
        <f>IFERROR(__xludf.DUMMYFUNCTION("""COMPUTED_VALUE"""),"POSTED")</f>
        <v>POSTED</v>
      </c>
      <c r="N684" s="3">
        <f>IFERROR(__xludf.DUMMYFUNCTION("""COMPUTED_VALUE"""),46292)</f>
        <v>46292</v>
      </c>
      <c r="O684" s="1" t="str">
        <f>IFERROR(__xludf.DUMMYFUNCTION("""COMPUTED_VALUE"""),"FIBR PLAN 1299")</f>
        <v>FIBR PLAN 1299</v>
      </c>
      <c r="P684" s="1" t="str">
        <f>IFERROR(__xludf.DUMMYFUNCTION("""COMPUTED_VALUE"""),"LOWPLAN")</f>
        <v>LOWPLAN</v>
      </c>
      <c r="Q684" s="1" t="str">
        <f>IFERROR(__xludf.DUMMYFUNCTION("""COMPUTED_VALUE"""),"P407050")</f>
        <v>P407050</v>
      </c>
      <c r="R684" s="1" t="str">
        <f>IFERROR(__xludf.DUMMYFUNCTION("""COMPUTED_VALUE"""),"CADERAO, RONALD")</f>
        <v>CADERAO, RONALD</v>
      </c>
      <c r="S684" s="1" t="str">
        <f>IFERROR(__xludf.DUMMYFUNCTION("""COMPUTED_VALUE"""),"ORGANIC")</f>
        <v>ORGANIC</v>
      </c>
      <c r="T684" s="1" t="str">
        <f>IFERROR(__xludf.DUMMYFUNCTION("""COMPUTED_VALUE"""),"LEA REMOLLO")</f>
        <v>LEA REMOLLO</v>
      </c>
      <c r="U684" s="1" t="str">
        <f>IFERROR(__xludf.DUMMYFUNCTION("""COMPUTED_VALUE"""),"JB SALIOA")</f>
        <v>JB SALIOA</v>
      </c>
      <c r="V684" s="1" t="str">
        <f>IFERROR(__xludf.DUMMYFUNCTION("""COMPUTED_VALUE"""),"BK REGULAR")</f>
        <v>BK REGULAR</v>
      </c>
      <c r="W684" s="1" t="str">
        <f>IFERROR(__xludf.DUMMYFUNCTION("""COMPUTED_VALUE"""),"STK REGULAR")</f>
        <v>STK REGULAR</v>
      </c>
      <c r="X684" s="1" t="str">
        <f>IFERROR(__xludf.DUMMYFUNCTION("""COMPUTED_VALUE"""),"HBBS SEPT 2026")</f>
        <v>HBBS SEPT 2026</v>
      </c>
      <c r="Y684" s="1" t="str">
        <f>IFERROR(__xludf.DUMMYFUNCTION("""COMPUTED_VALUE"""),"BK_CVEU_260822")</f>
        <v>BK_CVEU_260822</v>
      </c>
      <c r="Z684" s="1" t="str">
        <f>IFERROR(__xludf.DUMMYFUNCTION("""COMPUTED_VALUE"""),"NEW CONNECT")</f>
        <v>NEW CONNECT</v>
      </c>
      <c r="AA684" s="1">
        <f>IFERROR(__xludf.DUMMYFUNCTION("""COMPUTED_VALUE"""),639480910529)</f>
        <v>639480910529</v>
      </c>
      <c r="AB684" s="1">
        <f>IFERROR(__xludf.DUMMYFUNCTION("""COMPUTED_VALUE"""),639648419808)</f>
        <v>639648419808</v>
      </c>
      <c r="AC684" s="1">
        <f>IFERROR(__xludf.DUMMYFUNCTION("""COMPUTED_VALUE"""),100)</f>
        <v>100</v>
      </c>
      <c r="AD684" s="1" t="str">
        <f>IFERROR(__xludf.DUMMYFUNCTION("""COMPUTED_VALUE"""),"MANGAS 1")</f>
        <v>MANGAS 1</v>
      </c>
      <c r="AE684" s="1"/>
      <c r="AF684" s="1" t="str">
        <f>IFERROR(__xludf.DUMMYFUNCTION("""COMPUTED_VALUE"""),"BGY MANGAS 1")</f>
        <v>BGY MANGAS 1</v>
      </c>
      <c r="AG684" s="1" t="str">
        <f>IFERROR(__xludf.DUMMYFUNCTION("""COMPUTED_VALUE"""),"ALFONSO")</f>
        <v>ALFONSO</v>
      </c>
      <c r="AH684" s="1" t="str">
        <f>IFERROR(__xludf.DUMMYFUNCTION("""COMPUTED_VALUE"""),"ALFAMART")</f>
        <v>ALFAMART</v>
      </c>
      <c r="AI684" s="1" t="str">
        <f>IFERROR(__xludf.DUMMYFUNCTION("""COMPUTED_VALUE"""),"CLUSTER 12")</f>
        <v>CLUSTER 12</v>
      </c>
    </row>
    <row r="685" customHeight="1" spans="1:35">
      <c r="A685" s="3">
        <f>IFERROR(__xludf.DUMMYFUNCTION("""COMPUTED_VALUE"""),46290)</f>
        <v>46290</v>
      </c>
      <c r="B685" s="1" t="str">
        <f>IFERROR(__xludf.DUMMYFUNCTION("""COMPUTED_VALUE"""),"ACE PALIC ZAMORA")</f>
        <v>ACE PALIC ZAMORA</v>
      </c>
      <c r="C685" s="1">
        <f>IFERROR(__xludf.DUMMYFUNCTION("""COMPUTED_VALUE"""),2312801620)</f>
        <v>2312801620</v>
      </c>
      <c r="D685" s="1">
        <f>IFERROR(__xludf.DUMMYFUNCTION("""COMPUTED_VALUE"""),408365279)</f>
        <v>408365279</v>
      </c>
      <c r="E685" s="1">
        <f>IFERROR(__xludf.DUMMYFUNCTION("""COMPUTED_VALUE"""),472868087004)</f>
        <v>472868087004</v>
      </c>
      <c r="F685" s="1" t="str">
        <f>IFERROR(__xludf.DUMMYFUNCTION("""COMPUTED_VALUE"""),"CANCELLED")</f>
        <v>CANCELLED</v>
      </c>
      <c r="G685" s="1" t="str">
        <f>IFERROR(__xludf.DUMMYFUNCTION("""COMPUTED_VALUE"""),"TRUCKROL THRU CALL AND TEXT AREA VISITED  REMARKS CANT LOCATE SUBS ALREADY CALL AND TEXT BUT NO RESPONSE PINAG TANONG DIN NAMIN SA AREA HINDI KILALA  TALK   CBR 09858712981")</f>
        <v>TRUCKROL THRU CALL AND TEXT AREA VISITED  REMARKS CANT LOCATE SUBS ALREADY CALL AND TEXT BUT NO RESPONSE PINAG TANONG DIN NAMIN SA AREA HINDI KILALA  TALK   CBR 09858712981</v>
      </c>
      <c r="H685" s="1" t="str">
        <f>IFERROR(__xludf.DUMMYFUNCTION("""COMPUTED_VALUE"""),"PAID VIA CSP")</f>
        <v>PAID VIA CSP</v>
      </c>
      <c r="I685" s="1" t="str">
        <f>IFERROR(__xludf.DUMMYFUNCTION("""COMPUTED_VALUE"""),"NO 1 AMSF")</f>
        <v>NO 1 AMSF</v>
      </c>
      <c r="J685" s="1"/>
      <c r="K685" s="1" t="str">
        <f>IFERROR(__xludf.DUMMYFUNCTION("""COMPUTED_VALUE"""),"CANCELED")</f>
        <v>CANCELED</v>
      </c>
      <c r="L685" s="1" t="str">
        <f>IFERROR(__xludf.DUMMYFUNCTION("""COMPUTED_VALUE"""),"CANCELLED")</f>
        <v>CANCELLED</v>
      </c>
      <c r="M685" s="1" t="str">
        <f>IFERROR(__xludf.DUMMYFUNCTION("""COMPUTED_VALUE"""),"CANCELLED")</f>
        <v>CANCELLED</v>
      </c>
      <c r="N685" s="3"/>
      <c r="O685" s="1" t="str">
        <f>IFERROR(__xludf.DUMMYFUNCTION("""COMPUTED_VALUE"""),"FIBR PLAN 1299")</f>
        <v>FIBR PLAN 1299</v>
      </c>
      <c r="P685" s="1" t="str">
        <f>IFERROR(__xludf.DUMMYFUNCTION("""COMPUTED_VALUE"""),"LOWPLAN")</f>
        <v>LOWPLAN</v>
      </c>
      <c r="Q685" s="1" t="str">
        <f>IFERROR(__xludf.DUMMYFUNCTION("""COMPUTED_VALUE"""),"P407561")</f>
        <v>P407561</v>
      </c>
      <c r="R685" s="1" t="str">
        <f>IFERROR(__xludf.DUMMYFUNCTION("""COMPUTED_VALUE"""),"DACLAN, IVY")</f>
        <v>DACLAN, IVY</v>
      </c>
      <c r="S685" s="1" t="str">
        <f>IFERROR(__xludf.DUMMYFUNCTION("""COMPUTED_VALUE"""),"ORGANIC")</f>
        <v>ORGANIC</v>
      </c>
      <c r="T685" s="1" t="str">
        <f>IFERROR(__xludf.DUMMYFUNCTION("""COMPUTED_VALUE"""),"LEA REMOLLO")</f>
        <v>LEA REMOLLO</v>
      </c>
      <c r="U685" s="1" t="str">
        <f>IFERROR(__xludf.DUMMYFUNCTION("""COMPUTED_VALUE"""),"JB SALIOA")</f>
        <v>JB SALIOA</v>
      </c>
      <c r="V685" s="1" t="str">
        <f>IFERROR(__xludf.DUMMYFUNCTION("""COMPUTED_VALUE"""),"BK HSTK")</f>
        <v>BK HSTK</v>
      </c>
      <c r="W685" s="1" t="str">
        <f>IFERROR(__xludf.DUMMYFUNCTION("""COMPUTED_VALUE"""),"BK HSTK")</f>
        <v>BK HSTK</v>
      </c>
      <c r="X685" s="1" t="str">
        <f>IFERROR(__xludf.DUMMYFUNCTION("""COMPUTED_VALUE"""),"HBBS SEPT 2026")</f>
        <v>HBBS SEPT 2026</v>
      </c>
      <c r="Y685" s="1" t="str">
        <f>IFERROR(__xludf.DUMMYFUNCTION("""COMPUTED_VALUE"""),"BK_CVEU_260824")</f>
        <v>BK_CVEU_260824</v>
      </c>
      <c r="Z685" s="1" t="str">
        <f>IFERROR(__xludf.DUMMYFUNCTION("""COMPUTED_VALUE"""),"NEW CONNECT")</f>
        <v>NEW CONNECT</v>
      </c>
      <c r="AA685" s="1">
        <f>IFERROR(__xludf.DUMMYFUNCTION("""COMPUTED_VALUE"""),639858712981)</f>
        <v>639858712981</v>
      </c>
      <c r="AB685" s="1"/>
      <c r="AC685" s="1">
        <f>IFERROR(__xludf.DUMMYFUNCTION("""COMPUTED_VALUE"""),9511)</f>
        <v>9511</v>
      </c>
      <c r="AD685" s="1" t="str">
        <f>IFERROR(__xludf.DUMMYFUNCTION("""COMPUTED_VALUE"""),"CAMIA")</f>
        <v>CAMIA</v>
      </c>
      <c r="AE685" s="1"/>
      <c r="AF685" s="1" t="str">
        <f>IFERROR(__xludf.DUMMYFUNCTION("""COMPUTED_VALUE"""),"BGY MADUYA")</f>
        <v>BGY MADUYA</v>
      </c>
      <c r="AG685" s="1" t="str">
        <f>IFERROR(__xludf.DUMMYFUNCTION("""COMPUTED_VALUE"""),"CARMONA")</f>
        <v>CARMONA</v>
      </c>
      <c r="AH685" s="1" t="str">
        <f>IFERROR(__xludf.DUMMYFUNCTION("""COMPUTED_VALUE"""),"-")</f>
        <v>-</v>
      </c>
      <c r="AI685" s="1" t="str">
        <f>IFERROR(__xludf.DUMMYFUNCTION("""COMPUTED_VALUE"""),"CLUSTER 11")</f>
        <v>CLUSTER 11</v>
      </c>
    </row>
    <row r="686" customHeight="1" spans="1:35">
      <c r="A686" s="3">
        <f>IFERROR(__xludf.DUMMYFUNCTION("""COMPUTED_VALUE"""),46290)</f>
        <v>46290</v>
      </c>
      <c r="B686" s="1" t="str">
        <f>IFERROR(__xludf.DUMMYFUNCTION("""COMPUTED_VALUE"""),"VANESSA CASTILLINO TENEDERO")</f>
        <v>VANESSA CASTILLINO TENEDERO</v>
      </c>
      <c r="C686" s="1">
        <f>IFERROR(__xludf.DUMMYFUNCTION("""COMPUTED_VALUE"""),2312801930)</f>
        <v>2312801930</v>
      </c>
      <c r="D686" s="1">
        <f>IFERROR(__xludf.DUMMYFUNCTION("""COMPUTED_VALUE"""),408365864)</f>
        <v>408365864</v>
      </c>
      <c r="E686" s="1">
        <f>IFERROR(__xludf.DUMMYFUNCTION("""COMPUTED_VALUE"""),472868134004)</f>
        <v>472868134004</v>
      </c>
      <c r="F686" s="1" t="str">
        <f>IFERROR(__xludf.DUMMYFUNCTION("""COMPUTED_VALUE"""),"CANCELLED")</f>
        <v>CANCELLED</v>
      </c>
      <c r="G686" s="1" t="str">
        <f>IFERROR(__xludf.DUMMYFUNCTION("""COMPUTED_VALUE"""),":NEAREST CAFAC IS FULL CMNLP232NP1 FULL CMNLP232NP2 FULL AS PER 176 MAYLA SUBS ALREADY ADVISE NA PUNUAN NASA AREA")</f>
        <v>:NEAREST CAFAC IS FULL CMNLP232NP1 FULL CMNLP232NP2 FULL AS PER 176 MAYLA SUBS ALREADY ADVISE NA PUNUAN NASA AREA</v>
      </c>
      <c r="H686" s="1" t="str">
        <f>IFERROR(__xludf.DUMMYFUNCTION("""COMPUTED_VALUE"""),"PAID VIA CSP")</f>
        <v>PAID VIA CSP</v>
      </c>
      <c r="I686" s="1" t="str">
        <f>IFERROR(__xludf.DUMMYFUNCTION("""COMPUTED_VALUE"""),"NO 1 AMSF")</f>
        <v>NO 1 AMSF</v>
      </c>
      <c r="J686" s="1"/>
      <c r="K686" s="1" t="str">
        <f>IFERROR(__xludf.DUMMYFUNCTION("""COMPUTED_VALUE"""),"CANCELED")</f>
        <v>CANCELED</v>
      </c>
      <c r="L686" s="1" t="str">
        <f>IFERROR(__xludf.DUMMYFUNCTION("""COMPUTED_VALUE"""),"CANCELLED")</f>
        <v>CANCELLED</v>
      </c>
      <c r="M686" s="1" t="str">
        <f>IFERROR(__xludf.DUMMYFUNCTION("""COMPUTED_VALUE"""),"CANCELLED")</f>
        <v>CANCELLED</v>
      </c>
      <c r="N686" s="3"/>
      <c r="O686" s="1" t="str">
        <f>IFERROR(__xludf.DUMMYFUNCTION("""COMPUTED_VALUE"""),"FIBER UNLI ALL PLAN 1499")</f>
        <v>FIBER UNLI ALL PLAN 1499</v>
      </c>
      <c r="P686" s="1" t="str">
        <f>IFERROR(__xludf.DUMMYFUNCTION("""COMPUTED_VALUE"""),"LOWPLAN")</f>
        <v>LOWPLAN</v>
      </c>
      <c r="Q686" s="1" t="str">
        <f>IFERROR(__xludf.DUMMYFUNCTION("""COMPUTED_VALUE"""),"P407561")</f>
        <v>P407561</v>
      </c>
      <c r="R686" s="1" t="str">
        <f>IFERROR(__xludf.DUMMYFUNCTION("""COMPUTED_VALUE"""),"LABONG, AJAY")</f>
        <v>LABONG, AJAY</v>
      </c>
      <c r="S686" s="1" t="str">
        <f>IFERROR(__xludf.DUMMYFUNCTION("""COMPUTED_VALUE"""),"ORGANIC")</f>
        <v>ORGANIC</v>
      </c>
      <c r="T686" s="1" t="str">
        <f>IFERROR(__xludf.DUMMYFUNCTION("""COMPUTED_VALUE"""),"LEA REMOLLO")</f>
        <v>LEA REMOLLO</v>
      </c>
      <c r="U686" s="1" t="str">
        <f>IFERROR(__xludf.DUMMYFUNCTION("""COMPUTED_VALUE"""),"JB SALIOA")</f>
        <v>JB SALIOA</v>
      </c>
      <c r="V686" s="1" t="str">
        <f>IFERROR(__xludf.DUMMYFUNCTION("""COMPUTED_VALUE"""),"BK HSTK")</f>
        <v>BK HSTK</v>
      </c>
      <c r="W686" s="1" t="str">
        <f>IFERROR(__xludf.DUMMYFUNCTION("""COMPUTED_VALUE"""),"BK HSTK")</f>
        <v>BK HSTK</v>
      </c>
      <c r="X686" s="1" t="str">
        <f>IFERROR(__xludf.DUMMYFUNCTION("""COMPUTED_VALUE"""),"HBBS SEPT 2026")</f>
        <v>HBBS SEPT 2026</v>
      </c>
      <c r="Y686" s="1" t="str">
        <f>IFERROR(__xludf.DUMMYFUNCTION("""COMPUTED_VALUE"""),"BK_CVEU_260824")</f>
        <v>BK_CVEU_260824</v>
      </c>
      <c r="Z686" s="1" t="str">
        <f>IFERROR(__xludf.DUMMYFUNCTION("""COMPUTED_VALUE"""),"NEW CONNECT")</f>
        <v>NEW CONNECT</v>
      </c>
      <c r="AA686" s="1">
        <f>IFERROR(__xludf.DUMMYFUNCTION("""COMPUTED_VALUE"""),639637274658)</f>
        <v>639637274658</v>
      </c>
      <c r="AB686" s="1"/>
      <c r="AC686" s="1"/>
      <c r="AD686" s="1" t="str">
        <f>IFERROR(__xludf.DUMMYFUNCTION("""COMPUTED_VALUE"""),"C A ORTIZ PASEO")</f>
        <v>C A ORTIZ PASEO</v>
      </c>
      <c r="AE686" s="1"/>
      <c r="AF686" s="1" t="str">
        <f>IFERROR(__xludf.DUMMYFUNCTION("""COMPUTED_VALUE"""),"BGY MADUYA")</f>
        <v>BGY MADUYA</v>
      </c>
      <c r="AG686" s="1" t="str">
        <f>IFERROR(__xludf.DUMMYFUNCTION("""COMPUTED_VALUE"""),"CARMONA")</f>
        <v>CARMONA</v>
      </c>
      <c r="AH686" s="1" t="str">
        <f>IFERROR(__xludf.DUMMYFUNCTION("""COMPUTED_VALUE"""),"-")</f>
        <v>-</v>
      </c>
      <c r="AI686" s="1" t="str">
        <f>IFERROR(__xludf.DUMMYFUNCTION("""COMPUTED_VALUE"""),"CLUSTER 11")</f>
        <v>CLUSTER 11</v>
      </c>
    </row>
    <row r="687" customHeight="1" spans="1:35">
      <c r="A687" s="3">
        <f>IFERROR(__xludf.DUMMYFUNCTION("""COMPUTED_VALUE"""),46290)</f>
        <v>46290</v>
      </c>
      <c r="B687" s="1" t="str">
        <f>IFERROR(__xludf.DUMMYFUNCTION("""COMPUTED_VALUE"""),"KRISTINE JEAN FABIAN BOLING")</f>
        <v>KRISTINE JEAN FABIAN BOLING</v>
      </c>
      <c r="C687" s="1">
        <f>IFERROR(__xludf.DUMMYFUNCTION("""COMPUTED_VALUE"""),2312802262)</f>
        <v>2312802262</v>
      </c>
      <c r="D687" s="1">
        <f>IFERROR(__xludf.DUMMYFUNCTION("""COMPUTED_VALUE"""),408365368)</f>
        <v>408365368</v>
      </c>
      <c r="E687" s="1">
        <f>IFERROR(__xludf.DUMMYFUNCTION("""COMPUTED_VALUE"""),472868196004)</f>
        <v>472868196004</v>
      </c>
      <c r="F687" s="1" t="str">
        <f>IFERROR(__xludf.DUMMYFUNCTION("""COMPUTED_VALUE"""),"CANCELLED")</f>
        <v>CANCELLED</v>
      </c>
      <c r="G687" s="1" t="str">
        <f>IFERROR(__xludf.DUMMYFUNCTION("""COMPUTED_VALUE"""),"REMARKS: SUBS REQUEST FOR CANCEL APPLICATION")</f>
        <v>REMARKS: SUBS REQUEST FOR CANCEL APPLICATION</v>
      </c>
      <c r="H687" s="1" t="str">
        <f>IFERROR(__xludf.DUMMYFUNCTION("""COMPUTED_VALUE"""),"PAID VIA CSP")</f>
        <v>PAID VIA CSP</v>
      </c>
      <c r="I687" s="1" t="str">
        <f>IFERROR(__xludf.DUMMYFUNCTION("""COMPUTED_VALUE"""),"NO 1 AMSF")</f>
        <v>NO 1 AMSF</v>
      </c>
      <c r="J687" s="1"/>
      <c r="K687" s="1" t="str">
        <f>IFERROR(__xludf.DUMMYFUNCTION("""COMPUTED_VALUE"""),"CANCELED")</f>
        <v>CANCELED</v>
      </c>
      <c r="L687" s="1" t="str">
        <f>IFERROR(__xludf.DUMMYFUNCTION("""COMPUTED_VALUE"""),"CANCELLED")</f>
        <v>CANCELLED</v>
      </c>
      <c r="M687" s="1" t="str">
        <f>IFERROR(__xludf.DUMMYFUNCTION("""COMPUTED_VALUE"""),"CANCELLED")</f>
        <v>CANCELLED</v>
      </c>
      <c r="N687" s="3"/>
      <c r="O687" s="1" t="str">
        <f>IFERROR(__xludf.DUMMYFUNCTION("""COMPUTED_VALUE"""),"FIBER UNLI ALL PLAN 1499")</f>
        <v>FIBER UNLI ALL PLAN 1499</v>
      </c>
      <c r="P687" s="1" t="str">
        <f>IFERROR(__xludf.DUMMYFUNCTION("""COMPUTED_VALUE"""),"LOWPLAN")</f>
        <v>LOWPLAN</v>
      </c>
      <c r="Q687" s="1" t="str">
        <f>IFERROR(__xludf.DUMMYFUNCTION("""COMPUTED_VALUE"""),"P407561")</f>
        <v>P407561</v>
      </c>
      <c r="R687" s="1" t="str">
        <f>IFERROR(__xludf.DUMMYFUNCTION("""COMPUTED_VALUE"""),"DIESTA, RHODA")</f>
        <v>DIESTA, RHODA</v>
      </c>
      <c r="S687" s="1" t="str">
        <f>IFERROR(__xludf.DUMMYFUNCTION("""COMPUTED_VALUE"""),"ORGANIC")</f>
        <v>ORGANIC</v>
      </c>
      <c r="T687" s="1" t="str">
        <f>IFERROR(__xludf.DUMMYFUNCTION("""COMPUTED_VALUE"""),"LEA REMOLLO")</f>
        <v>LEA REMOLLO</v>
      </c>
      <c r="U687" s="1" t="str">
        <f>IFERROR(__xludf.DUMMYFUNCTION("""COMPUTED_VALUE"""),"JB SALIOA")</f>
        <v>JB SALIOA</v>
      </c>
      <c r="V687" s="1" t="str">
        <f>IFERROR(__xludf.DUMMYFUNCTION("""COMPUTED_VALUE"""),"BK HSTK")</f>
        <v>BK HSTK</v>
      </c>
      <c r="W687" s="1" t="str">
        <f>IFERROR(__xludf.DUMMYFUNCTION("""COMPUTED_VALUE"""),"BK HSTK")</f>
        <v>BK HSTK</v>
      </c>
      <c r="X687" s="1" t="str">
        <f>IFERROR(__xludf.DUMMYFUNCTION("""COMPUTED_VALUE"""),"HBBS SEPT 2026")</f>
        <v>HBBS SEPT 2026</v>
      </c>
      <c r="Y687" s="1" t="str">
        <f>IFERROR(__xludf.DUMMYFUNCTION("""COMPUTED_VALUE"""),"BK_CVEU_260824")</f>
        <v>BK_CVEU_260824</v>
      </c>
      <c r="Z687" s="1" t="str">
        <f>IFERROR(__xludf.DUMMYFUNCTION("""COMPUTED_VALUE"""),"NEW CONNECT")</f>
        <v>NEW CONNECT</v>
      </c>
      <c r="AA687" s="1">
        <f>IFERROR(__xludf.DUMMYFUNCTION("""COMPUTED_VALUE"""),639922593124)</f>
        <v>639922593124</v>
      </c>
      <c r="AB687" s="1"/>
      <c r="AC687" s="1">
        <f>IFERROR(__xludf.DUMMYFUNCTION("""COMPUTED_VALUE"""),9474)</f>
        <v>9474</v>
      </c>
      <c r="AD687" s="1" t="str">
        <f>IFERROR(__xludf.DUMMYFUNCTION("""COMPUTED_VALUE"""),"PASEO ORTIZ")</f>
        <v>PASEO ORTIZ</v>
      </c>
      <c r="AE687" s="1"/>
      <c r="AF687" s="1" t="str">
        <f>IFERROR(__xludf.DUMMYFUNCTION("""COMPUTED_VALUE"""),"BGY MADUYA")</f>
        <v>BGY MADUYA</v>
      </c>
      <c r="AG687" s="1" t="str">
        <f>IFERROR(__xludf.DUMMYFUNCTION("""COMPUTED_VALUE"""),"CARMONA")</f>
        <v>CARMONA</v>
      </c>
      <c r="AH687" s="1" t="str">
        <f>IFERROR(__xludf.DUMMYFUNCTION("""COMPUTED_VALUE"""),"-")</f>
        <v>-</v>
      </c>
      <c r="AI687" s="1" t="str">
        <f>IFERROR(__xludf.DUMMYFUNCTION("""COMPUTED_VALUE"""),"CLUSTER 11")</f>
        <v>CLUSTER 11</v>
      </c>
    </row>
    <row r="688" customHeight="1" spans="1:35">
      <c r="A688" s="3">
        <f>IFERROR(__xludf.DUMMYFUNCTION("""COMPUTED_VALUE"""),46290)</f>
        <v>46290</v>
      </c>
      <c r="B688" s="1" t="str">
        <f>IFERROR(__xludf.DUMMYFUNCTION("""COMPUTED_VALUE"""),"SHELAMAE SEBATNA ALBA")</f>
        <v>SHELAMAE SEBATNA ALBA</v>
      </c>
      <c r="C688" s="1">
        <f>IFERROR(__xludf.DUMMYFUNCTION("""COMPUTED_VALUE"""),2312802516)</f>
        <v>2312802516</v>
      </c>
      <c r="D688" s="1">
        <f>IFERROR(__xludf.DUMMYFUNCTION("""COMPUTED_VALUE"""),408364612)</f>
        <v>408364612</v>
      </c>
      <c r="E688" s="1">
        <f>IFERROR(__xludf.DUMMYFUNCTION("""COMPUTED_VALUE"""),472867482004)</f>
        <v>472867482004</v>
      </c>
      <c r="F688" s="1" t="str">
        <f>IFERROR(__xludf.DUMMYFUNCTION("""COMPUTED_VALUE"""),"CLOSED")</f>
        <v>CLOSED</v>
      </c>
      <c r="G688" s="1" t="str">
        <f>IFERROR(__xludf.DUMMYFUNCTION("""COMPUTED_VALUE"""),"CLOSED")</f>
        <v>CLOSED</v>
      </c>
      <c r="H688" s="1" t="str">
        <f>IFERROR(__xludf.DUMMYFUNCTION("""COMPUTED_VALUE"""),"PQGOR365429287	28-Sep-26	Regular Payment	CIS-GCASH 3.0	1,300.00	945817449	28-Sep-26")</f>
        <v>PQGOR365429287	28-Sep-26	Regular Payment	CIS-GCASH 3.0	1,300.00	945817449	28-Sep-26</v>
      </c>
      <c r="I688" s="1" t="str">
        <f>IFERROR(__xludf.DUMMYFUNCTION("""COMPUTED_VALUE"""),"WITH 1 AMSF")</f>
        <v>WITH 1 AMSF</v>
      </c>
      <c r="J688" s="1"/>
      <c r="K688" s="1" t="str">
        <f>IFERROR(__xludf.DUMMYFUNCTION("""COMPUTED_VALUE"""),"NOT IN OFSC")</f>
        <v>NOT IN OFSC</v>
      </c>
      <c r="L688" s="1" t="str">
        <f>IFERROR(__xludf.DUMMYFUNCTION("""COMPUTED_VALUE"""),"POSTED")</f>
        <v>POSTED</v>
      </c>
      <c r="M688" s="1" t="str">
        <f>IFERROR(__xludf.DUMMYFUNCTION("""COMPUTED_VALUE"""),"POSTED")</f>
        <v>POSTED</v>
      </c>
      <c r="N688" s="3">
        <f>IFERROR(__xludf.DUMMYFUNCTION("""COMPUTED_VALUE"""),46292)</f>
        <v>46292</v>
      </c>
      <c r="O688" s="1" t="str">
        <f>IFERROR(__xludf.DUMMYFUNCTION("""COMPUTED_VALUE"""),"FIBR NETFLIX PLAN 1599")</f>
        <v>FIBR NETFLIX PLAN 1599</v>
      </c>
      <c r="P688" s="1" t="str">
        <f>IFERROR(__xludf.DUMMYFUNCTION("""COMPUTED_VALUE"""),"LOWPLAN")</f>
        <v>LOWPLAN</v>
      </c>
      <c r="Q688" s="1" t="str">
        <f>IFERROR(__xludf.DUMMYFUNCTION("""COMPUTED_VALUE"""),"P407047")</f>
        <v>P407047</v>
      </c>
      <c r="R688" s="1" t="str">
        <f>IFERROR(__xludf.DUMMYFUNCTION("""COMPUTED_VALUE"""),"FRANCISCO, ROSELYN")</f>
        <v>FRANCISCO, ROSELYN</v>
      </c>
      <c r="S688" s="1" t="str">
        <f>IFERROR(__xludf.DUMMYFUNCTION("""COMPUTED_VALUE"""),"ORGANIC")</f>
        <v>ORGANIC</v>
      </c>
      <c r="T688" s="1" t="str">
        <f>IFERROR(__xludf.DUMMYFUNCTION("""COMPUTED_VALUE"""),"LEA REMOLLO")</f>
        <v>LEA REMOLLO</v>
      </c>
      <c r="U688" s="1" t="str">
        <f>IFERROR(__xludf.DUMMYFUNCTION("""COMPUTED_VALUE"""),"JB SALIOA")</f>
        <v>JB SALIOA</v>
      </c>
      <c r="V688" s="1" t="str">
        <f>IFERROR(__xludf.DUMMYFUNCTION("""COMPUTED_VALUE"""),"BK HSTK")</f>
        <v>BK HSTK</v>
      </c>
      <c r="W688" s="1" t="str">
        <f>IFERROR(__xludf.DUMMYFUNCTION("""COMPUTED_VALUE"""),"BK HSTK")</f>
        <v>BK HSTK</v>
      </c>
      <c r="X688" s="1" t="str">
        <f>IFERROR(__xludf.DUMMYFUNCTION("""COMPUTED_VALUE"""),"HBBS SEPT 2026")</f>
        <v>HBBS SEPT 2026</v>
      </c>
      <c r="Y688" s="1" t="str">
        <f>IFERROR(__xludf.DUMMYFUNCTION("""COMPUTED_VALUE"""),"BK_CVEU_260826")</f>
        <v>BK_CVEU_260826</v>
      </c>
      <c r="Z688" s="1" t="str">
        <f>IFERROR(__xludf.DUMMYFUNCTION("""COMPUTED_VALUE"""),"NEW CONNECT")</f>
        <v>NEW CONNECT</v>
      </c>
      <c r="AA688" s="1">
        <f>IFERROR(__xludf.DUMMYFUNCTION("""COMPUTED_VALUE"""),639554918184)</f>
        <v>639554918184</v>
      </c>
      <c r="AB688" s="1">
        <f>IFERROR(__xludf.DUMMYFUNCTION("""COMPUTED_VALUE"""),639060264520)</f>
        <v>639060264520</v>
      </c>
      <c r="AC688" s="1">
        <f>IFERROR(__xludf.DUMMYFUNCTION("""COMPUTED_VALUE"""),59)</f>
        <v>59</v>
      </c>
      <c r="AD688" s="1" t="str">
        <f>IFERROR(__xludf.DUMMYFUNCTION("""COMPUTED_VALUE"""),"BANAYAD")</f>
        <v>BANAYAD</v>
      </c>
      <c r="AE688" s="1"/>
      <c r="AF688" s="1" t="str">
        <f>IFERROR(__xludf.DUMMYFUNCTION("""COMPUTED_VALUE"""),"BGY BANAYAD")</f>
        <v>BGY BANAYAD</v>
      </c>
      <c r="AG688" s="1" t="str">
        <f>IFERROR(__xludf.DUMMYFUNCTION("""COMPUTED_VALUE"""),"MENDEZ")</f>
        <v>MENDEZ</v>
      </c>
      <c r="AH688" s="1" t="str">
        <f>IFERROR(__xludf.DUMMYFUNCTION("""COMPUTED_VALUE"""),"-")</f>
        <v>-</v>
      </c>
      <c r="AI688" s="1" t="str">
        <f>IFERROR(__xludf.DUMMYFUNCTION("""COMPUTED_VALUE"""),"CLUSTER 12")</f>
        <v>CLUSTER 12</v>
      </c>
    </row>
    <row r="689" customHeight="1" spans="1:35">
      <c r="A689" s="3">
        <f>IFERROR(__xludf.DUMMYFUNCTION("""COMPUTED_VALUE"""),46290)</f>
        <v>46290</v>
      </c>
      <c r="B689" s="1" t="str">
        <f>IFERROR(__xludf.DUMMYFUNCTION("""COMPUTED_VALUE"""),"KYLA ARENAS BULASAG")</f>
        <v>KYLA ARENAS BULASAG</v>
      </c>
      <c r="C689" s="1">
        <f>IFERROR(__xludf.DUMMYFUNCTION("""COMPUTED_VALUE"""),2312802896)</f>
        <v>2312802896</v>
      </c>
      <c r="D689" s="1">
        <f>IFERROR(__xludf.DUMMYFUNCTION("""COMPUTED_VALUE"""),408369142)</f>
        <v>408369142</v>
      </c>
      <c r="E689" s="1">
        <f>IFERROR(__xludf.DUMMYFUNCTION("""COMPUTED_VALUE"""),472871190004)</f>
        <v>472871190004</v>
      </c>
      <c r="F689" s="1" t="str">
        <f>IFERROR(__xludf.DUMMYFUNCTION("""COMPUTED_VALUE"""),"CANCELLED")</f>
        <v>CANCELLED</v>
      </c>
      <c r="G689" s="1" t="str">
        <f>IFERROR(__xludf.DUMMYFUNCTION("""COMPUTED_VALUE"""),"""VISITED 
REMARKS: AREA SURVEY FULL CAFAC 
MDZLP363NP1 FULL 12 SPAN 
MDZLP363NP2 FULL 11 SPAN 
MDZLP363NP3 FULL 9 SPAN 
MDZLP75NP3 FULL 12 SPAN 
MDZLP75NP4 CHECK P6 OVS 16 SPAN 
MDZLP37NP1 OVS 15 SPAN 
SUBS ALREADY ADVICE 
窶撒ALK: MAAM KYLA 
窶擦BR: 096594"&amp;"66106 
""")</f>
        <v>"VISITED 
REMARKS: AREA SURVEY FULL CAFAC 
MDZLP363NP1 FULL 12 SPAN 
MDZLP363NP2 FULL 11 SPAN 
MDZLP363NP3 FULL 9 SPAN 
MDZLP75NP3 FULL 12 SPAN 
MDZLP75NP4 CHECK P6 OVS 16 SPAN 
MDZLP37NP1 OVS 15 SPAN 
SUBS ALREADY ADVICE 
窶撒ALK: MAAM KYLA 
窶擦BR: 09659466106 
"</v>
      </c>
      <c r="H689" s="1" t="str">
        <f>IFERROR(__xludf.DUMMYFUNCTION("""COMPUTED_VALUE"""),"PAID VIA CSP")</f>
        <v>PAID VIA CSP</v>
      </c>
      <c r="I689" s="1" t="str">
        <f>IFERROR(__xludf.DUMMYFUNCTION("""COMPUTED_VALUE"""),"NO 1 AMSF")</f>
        <v>NO 1 AMSF</v>
      </c>
      <c r="J689" s="1"/>
      <c r="K689" s="1" t="str">
        <f>IFERROR(__xludf.DUMMYFUNCTION("""COMPUTED_VALUE"""),"NOT IN OFSC")</f>
        <v>NOT IN OFSC</v>
      </c>
      <c r="L689" s="1" t="str">
        <f>IFERROR(__xludf.DUMMYFUNCTION("""COMPUTED_VALUE"""),"RPR - NAP FULL")</f>
        <v>RPR - NAP FULL</v>
      </c>
      <c r="M689" s="1" t="str">
        <f>IFERROR(__xludf.DUMMYFUNCTION("""COMPUTED_VALUE"""),"RPR- NAP FULL")</f>
        <v>RPR- NAP FULL</v>
      </c>
      <c r="N689" s="3"/>
      <c r="O689" s="1" t="str">
        <f>IFERROR(__xludf.DUMMYFUNCTION("""COMPUTED_VALUE"""),"FIBER UNLI ALL PLAN 1499")</f>
        <v>FIBER UNLI ALL PLAN 1499</v>
      </c>
      <c r="P689" s="1" t="str">
        <f>IFERROR(__xludf.DUMMYFUNCTION("""COMPUTED_VALUE"""),"LOWPLAN")</f>
        <v>LOWPLAN</v>
      </c>
      <c r="Q689" s="1" t="str">
        <f>IFERROR(__xludf.DUMMYFUNCTION("""COMPUTED_VALUE"""),"P407050")</f>
        <v>P407050</v>
      </c>
      <c r="R689" s="1" t="str">
        <f>IFERROR(__xludf.DUMMYFUNCTION("""COMPUTED_VALUE"""),"MEULIO, KHIER JASON")</f>
        <v>MEULIO, KHIER JASON</v>
      </c>
      <c r="S689" s="1" t="str">
        <f>IFERROR(__xludf.DUMMYFUNCTION("""COMPUTED_VALUE"""),"ORGANIC")</f>
        <v>ORGANIC</v>
      </c>
      <c r="T689" s="1" t="str">
        <f>IFERROR(__xludf.DUMMYFUNCTION("""COMPUTED_VALUE"""),"LEA REMOLLO")</f>
        <v>LEA REMOLLO</v>
      </c>
      <c r="U689" s="1" t="str">
        <f>IFERROR(__xludf.DUMMYFUNCTION("""COMPUTED_VALUE"""),"JB SALIOA")</f>
        <v>JB SALIOA</v>
      </c>
      <c r="V689" s="1" t="str">
        <f>IFERROR(__xludf.DUMMYFUNCTION("""COMPUTED_VALUE"""),"BK HSTK")</f>
        <v>BK HSTK</v>
      </c>
      <c r="W689" s="1" t="str">
        <f>IFERROR(__xludf.DUMMYFUNCTION("""COMPUTED_VALUE"""),"BK HSTK")</f>
        <v>BK HSTK</v>
      </c>
      <c r="X689" s="1" t="str">
        <f>IFERROR(__xludf.DUMMYFUNCTION("""COMPUTED_VALUE"""),"HBBS SEPT 2026")</f>
        <v>HBBS SEPT 2026</v>
      </c>
      <c r="Y689" s="1" t="str">
        <f>IFERROR(__xludf.DUMMYFUNCTION("""COMPUTED_VALUE"""),"BK_CVEU_260826")</f>
        <v>BK_CVEU_260826</v>
      </c>
      <c r="Z689" s="1" t="str">
        <f>IFERROR(__xludf.DUMMYFUNCTION("""COMPUTED_VALUE"""),"NEW CONNECT")</f>
        <v>NEW CONNECT</v>
      </c>
      <c r="AA689" s="1">
        <f>IFERROR(__xludf.DUMMYFUNCTION("""COMPUTED_VALUE"""),639659466106)</f>
        <v>639659466106</v>
      </c>
      <c r="AB689" s="1">
        <f>IFERROR(__xludf.DUMMYFUNCTION("""COMPUTED_VALUE"""),639759889204)</f>
        <v>639759889204</v>
      </c>
      <c r="AC689" s="1">
        <f>IFERROR(__xludf.DUMMYFUNCTION("""COMPUTED_VALUE"""),915)</f>
        <v>915</v>
      </c>
      <c r="AD689" s="1" t="str">
        <f>IFERROR(__xludf.DUMMYFUNCTION("""COMPUTED_VALUE"""),"MARAAN")</f>
        <v>MARAAN</v>
      </c>
      <c r="AE689" s="1"/>
      <c r="AF689" s="1" t="str">
        <f>IFERROR(__xludf.DUMMYFUNCTION("""COMPUTED_VALUE"""),"BGY GALICIA 3")</f>
        <v>BGY GALICIA 3</v>
      </c>
      <c r="AG689" s="1" t="str">
        <f>IFERROR(__xludf.DUMMYFUNCTION("""COMPUTED_VALUE"""),"MENDEZ")</f>
        <v>MENDEZ</v>
      </c>
      <c r="AH689" s="1" t="str">
        <f>IFERROR(__xludf.DUMMYFUNCTION("""COMPUTED_VALUE"""),"-")</f>
        <v>-</v>
      </c>
      <c r="AI689" s="1" t="str">
        <f>IFERROR(__xludf.DUMMYFUNCTION("""COMPUTED_VALUE"""),"CLUSTER 12")</f>
        <v>CLUSTER 12</v>
      </c>
    </row>
    <row r="690" customHeight="1" spans="1:35">
      <c r="A690" s="3">
        <f>IFERROR(__xludf.DUMMYFUNCTION("""COMPUTED_VALUE"""),46290)</f>
        <v>46290</v>
      </c>
      <c r="B690" s="1" t="str">
        <f>IFERROR(__xludf.DUMMYFUNCTION("""COMPUTED_VALUE"""),"ERLINDA REFE REAMBILLO")</f>
        <v>ERLINDA REFE REAMBILLO</v>
      </c>
      <c r="C690" s="1">
        <f>IFERROR(__xludf.DUMMYFUNCTION("""COMPUTED_VALUE"""),2312807292)</f>
        <v>2312807292</v>
      </c>
      <c r="D690" s="1">
        <f>IFERROR(__xludf.DUMMYFUNCTION("""COMPUTED_VALUE"""),408374855)</f>
        <v>408374855</v>
      </c>
      <c r="E690" s="1">
        <f>IFERROR(__xludf.DUMMYFUNCTION("""COMPUTED_VALUE"""),472894965004)</f>
        <v>472894965004</v>
      </c>
      <c r="F690" s="1" t="str">
        <f>IFERROR(__xludf.DUMMYFUNCTION("""COMPUTED_VALUE"""),"CANCELLED")</f>
        <v>CANCELLED</v>
      </c>
      <c r="G690" s="1" t="str">
        <f>IFERROR(__xludf.DUMMYFUNCTION("""COMPUTED_VALUE"""),"RPR VISITED REMARKS   REFUSE TO PROCEED DUE TO RTA PERMIT PROBLEM SUBS ALREADY ADVISE  TALK TAUHAN NI SUBS 09164148295")</f>
        <v>RPR VISITED REMARKS   REFUSE TO PROCEED DUE TO RTA PERMIT PROBLEM SUBS ALREADY ADVISE  TALK TAUHAN NI SUBS 09164148295</v>
      </c>
      <c r="H690" s="1"/>
      <c r="I690" s="1"/>
      <c r="J690" s="1"/>
      <c r="K690" s="1" t="str">
        <f>IFERROR(__xludf.DUMMYFUNCTION("""COMPUTED_VALUE"""),"CANCELED")</f>
        <v>CANCELED</v>
      </c>
      <c r="L690" s="1" t="str">
        <f>IFERROR(__xludf.DUMMYFUNCTION("""COMPUTED_VALUE"""),"CANCELLED")</f>
        <v>CANCELLED</v>
      </c>
      <c r="M690" s="1" t="str">
        <f>IFERROR(__xludf.DUMMYFUNCTION("""COMPUTED_VALUE"""),"CANCELLED")</f>
        <v>CANCELLED</v>
      </c>
      <c r="N690" s="3"/>
      <c r="O690" s="1" t="str">
        <f>IFERROR(__xludf.DUMMYFUNCTION("""COMPUTED_VALUE"""),"FIBR PLAN 1299")</f>
        <v>FIBR PLAN 1299</v>
      </c>
      <c r="P690" s="1" t="str">
        <f>IFERROR(__xludf.DUMMYFUNCTION("""COMPUTED_VALUE"""),"LOWPLAN")</f>
        <v>LOWPLAN</v>
      </c>
      <c r="Q690" s="1" t="str">
        <f>IFERROR(__xludf.DUMMYFUNCTION("""COMPUTED_VALUE"""),"P407561")</f>
        <v>P407561</v>
      </c>
      <c r="R690" s="1" t="str">
        <f>IFERROR(__xludf.DUMMYFUNCTION("""COMPUTED_VALUE"""),"TAMAYO, MARY ROSE ZAIRA")</f>
        <v>TAMAYO, MARY ROSE ZAIRA</v>
      </c>
      <c r="S690" s="1" t="str">
        <f>IFERROR(__xludf.DUMMYFUNCTION("""COMPUTED_VALUE"""),"ORGANIC")</f>
        <v>ORGANIC</v>
      </c>
      <c r="T690" s="1" t="str">
        <f>IFERROR(__xludf.DUMMYFUNCTION("""COMPUTED_VALUE"""),"LEA REMOLLO")</f>
        <v>LEA REMOLLO</v>
      </c>
      <c r="U690" s="1" t="str">
        <f>IFERROR(__xludf.DUMMYFUNCTION("""COMPUTED_VALUE"""),"JB SALIOA")</f>
        <v>JB SALIOA</v>
      </c>
      <c r="V690" s="1" t="str">
        <f>IFERROR(__xludf.DUMMYFUNCTION("""COMPUTED_VALUE"""),"BK REGULAR")</f>
        <v>BK REGULAR</v>
      </c>
      <c r="W690" s="1" t="str">
        <f>IFERROR(__xludf.DUMMYFUNCTION("""COMPUTED_VALUE"""),"STK REGULAR")</f>
        <v>STK REGULAR</v>
      </c>
      <c r="X690" s="1" t="str">
        <f>IFERROR(__xludf.DUMMYFUNCTION("""COMPUTED_VALUE"""),"HBBS SEPT 2026")</f>
        <v>HBBS SEPT 2026</v>
      </c>
      <c r="Y690" s="1" t="str">
        <f>IFERROR(__xludf.DUMMYFUNCTION("""COMPUTED_VALUE"""),"BK_CVEU_260824")</f>
        <v>BK_CVEU_260824</v>
      </c>
      <c r="Z690" s="1" t="str">
        <f>IFERROR(__xludf.DUMMYFUNCTION("""COMPUTED_VALUE"""),"NEW CONNECT")</f>
        <v>NEW CONNECT</v>
      </c>
      <c r="AA690" s="1">
        <f>IFERROR(__xludf.DUMMYFUNCTION("""COMPUTED_VALUE"""),639164148295)</f>
        <v>639164148295</v>
      </c>
      <c r="AB690" s="1"/>
      <c r="AC690" s="1"/>
      <c r="AD690" s="1" t="str">
        <f>IFERROR(__xludf.DUMMYFUNCTION("""COMPUTED_VALUE"""),"PURPLE HEART")</f>
        <v>PURPLE HEART</v>
      </c>
      <c r="AE690" s="1" t="str">
        <f>IFERROR(__xludf.DUMMYFUNCTION("""COMPUTED_VALUE"""),"WOODLAND HILLS")</f>
        <v>WOODLAND HILLS</v>
      </c>
      <c r="AF690" s="1" t="str">
        <f>IFERROR(__xludf.DUMMYFUNCTION("""COMPUTED_VALUE"""),"BGY BANCAL")</f>
        <v>BGY BANCAL</v>
      </c>
      <c r="AG690" s="1" t="str">
        <f>IFERROR(__xludf.DUMMYFUNCTION("""COMPUTED_VALUE"""),"CARMONA")</f>
        <v>CARMONA</v>
      </c>
      <c r="AH690" s="1" t="str">
        <f>IFERROR(__xludf.DUMMYFUNCTION("""COMPUTED_VALUE"""),"ELLE SERENITY HAVEN SPA")</f>
        <v>ELLE SERENITY HAVEN SPA</v>
      </c>
      <c r="AI690" s="1" t="str">
        <f>IFERROR(__xludf.DUMMYFUNCTION("""COMPUTED_VALUE"""),"CLUSTER 11")</f>
        <v>CLUSTER 11</v>
      </c>
    </row>
    <row r="691" customHeight="1" spans="1:35">
      <c r="A691" s="3">
        <f>IFERROR(__xludf.DUMMYFUNCTION("""COMPUTED_VALUE"""),46290)</f>
        <v>46290</v>
      </c>
      <c r="B691" s="1" t="str">
        <f>IFERROR(__xludf.DUMMYFUNCTION("""COMPUTED_VALUE"""),"JHON KYLE RIEL MENDOZA")</f>
        <v>JHON KYLE RIEL MENDOZA</v>
      </c>
      <c r="C691" s="1">
        <f>IFERROR(__xludf.DUMMYFUNCTION("""COMPUTED_VALUE"""),2312807524)</f>
        <v>2312807524</v>
      </c>
      <c r="D691" s="1">
        <f>IFERROR(__xludf.DUMMYFUNCTION("""COMPUTED_VALUE"""),408379423)</f>
        <v>408379423</v>
      </c>
      <c r="E691" s="1">
        <f>IFERROR(__xludf.DUMMYFUNCTION("""COMPUTED_VALUE"""),472952497004)</f>
        <v>472952497004</v>
      </c>
      <c r="F691" s="1" t="str">
        <f>IFERROR(__xludf.DUMMYFUNCTION("""COMPUTED_VALUE"""),"CANCELLED")</f>
        <v>CANCELLED</v>
      </c>
      <c r="G691" s="1" t="str">
        <f>IFERROR(__xludf.DUMMYFUNCTION("""COMPUTED_VALUE"""),"SILLP198NP1 FULL SILLP502NP1 FULL SILLP197NP7 FULL NEAREST CAFFAC MALAPIT KAY SUBS , SUBS ALREADY ADVICE")</f>
        <v>SILLP198NP1 FULL SILLP502NP1 FULL SILLP197NP7 FULL NEAREST CAFFAC MALAPIT KAY SUBS , SUBS ALREADY ADVICE</v>
      </c>
      <c r="H691" s="1" t="str">
        <f>IFERROR(__xludf.DUMMYFUNCTION("""COMPUTED_VALUE"""),"PAID VIA CSP")</f>
        <v>PAID VIA CSP</v>
      </c>
      <c r="I691" s="1" t="str">
        <f>IFERROR(__xludf.DUMMYFUNCTION("""COMPUTED_VALUE"""),"NO 1 AMSF")</f>
        <v>NO 1 AMSF</v>
      </c>
      <c r="J691" s="1"/>
      <c r="K691" s="1" t="str">
        <f>IFERROR(__xludf.DUMMYFUNCTION("""COMPUTED_VALUE"""),"CANCELED")</f>
        <v>CANCELED</v>
      </c>
      <c r="L691" s="1" t="str">
        <f>IFERROR(__xludf.DUMMYFUNCTION("""COMPUTED_VALUE"""),"CANCELLED")</f>
        <v>CANCELLED</v>
      </c>
      <c r="M691" s="1" t="str">
        <f>IFERROR(__xludf.DUMMYFUNCTION("""COMPUTED_VALUE"""),"CANCELLED")</f>
        <v>CANCELLED</v>
      </c>
      <c r="N691" s="3"/>
      <c r="O691" s="1" t="str">
        <f>IFERROR(__xludf.DUMMYFUNCTION("""COMPUTED_VALUE"""),"FIBER UNLI ALL PLAN 1499")</f>
        <v>FIBER UNLI ALL PLAN 1499</v>
      </c>
      <c r="P691" s="1" t="str">
        <f>IFERROR(__xludf.DUMMYFUNCTION("""COMPUTED_VALUE"""),"LOWPLAN")</f>
        <v>LOWPLAN</v>
      </c>
      <c r="Q691" s="1" t="str">
        <f>IFERROR(__xludf.DUMMYFUNCTION("""COMPUTED_VALUE"""),"P407050")</f>
        <v>P407050</v>
      </c>
      <c r="R691" s="1" t="str">
        <f>IFERROR(__xludf.DUMMYFUNCTION("""COMPUTED_VALUE"""),"CADERAO, RONALD")</f>
        <v>CADERAO, RONALD</v>
      </c>
      <c r="S691" s="1" t="str">
        <f>IFERROR(__xludf.DUMMYFUNCTION("""COMPUTED_VALUE"""),"ORGANIC")</f>
        <v>ORGANIC</v>
      </c>
      <c r="T691" s="1" t="str">
        <f>IFERROR(__xludf.DUMMYFUNCTION("""COMPUTED_VALUE"""),"LEA REMOLLO")</f>
        <v>LEA REMOLLO</v>
      </c>
      <c r="U691" s="1" t="str">
        <f>IFERROR(__xludf.DUMMYFUNCTION("""COMPUTED_VALUE"""),"JB SALIOA")</f>
        <v>JB SALIOA</v>
      </c>
      <c r="V691" s="1" t="str">
        <f>IFERROR(__xludf.DUMMYFUNCTION("""COMPUTED_VALUE"""),"BK REGULAR")</f>
        <v>BK REGULAR</v>
      </c>
      <c r="W691" s="1" t="str">
        <f>IFERROR(__xludf.DUMMYFUNCTION("""COMPUTED_VALUE"""),"STK REGULAR")</f>
        <v>STK REGULAR</v>
      </c>
      <c r="X691" s="1" t="str">
        <f>IFERROR(__xludf.DUMMYFUNCTION("""COMPUTED_VALUE"""),"HBBS SEPT 2026")</f>
        <v>HBBS SEPT 2026</v>
      </c>
      <c r="Y691" s="1" t="str">
        <f>IFERROR(__xludf.DUMMYFUNCTION("""COMPUTED_VALUE"""),"BK_CVEU_260827")</f>
        <v>BK_CVEU_260827</v>
      </c>
      <c r="Z691" s="1" t="str">
        <f>IFERROR(__xludf.DUMMYFUNCTION("""COMPUTED_VALUE"""),"NEW CONNECT")</f>
        <v>NEW CONNECT</v>
      </c>
      <c r="AA691" s="1">
        <f>IFERROR(__xludf.DUMMYFUNCTION("""COMPUTED_VALUE"""),639053751324)</f>
        <v>639053751324</v>
      </c>
      <c r="AB691" s="1"/>
      <c r="AC691" s="1">
        <f>IFERROR(__xludf.DUMMYFUNCTION("""COMPUTED_VALUE"""),6865)</f>
        <v>6865</v>
      </c>
      <c r="AD691" s="1" t="str">
        <f>IFERROR(__xludf.DUMMYFUNCTION("""COMPUTED_VALUE"""),"OREGANO")</f>
        <v>OREGANO</v>
      </c>
      <c r="AE691" s="1" t="str">
        <f>IFERROR(__xludf.DUMMYFUNCTION("""COMPUTED_VALUE"""),"PUROK 6")</f>
        <v>PUROK 6</v>
      </c>
      <c r="AF691" s="1" t="str">
        <f>IFERROR(__xludf.DUMMYFUNCTION("""COMPUTED_VALUE"""),"BGY ULAT")</f>
        <v>BGY ULAT</v>
      </c>
      <c r="AG691" s="1" t="str">
        <f>IFERROR(__xludf.DUMMYFUNCTION("""COMPUTED_VALUE"""),"SILANG")</f>
        <v>SILANG</v>
      </c>
      <c r="AH691" s="1" t="str">
        <f>IFERROR(__xludf.DUMMYFUNCTION("""COMPUTED_VALUE"""),"-")</f>
        <v>-</v>
      </c>
      <c r="AI691" s="1" t="str">
        <f>IFERROR(__xludf.DUMMYFUNCTION("""COMPUTED_VALUE"""),"CLUSTER 11")</f>
        <v>CLUSTER 11</v>
      </c>
    </row>
    <row r="692" customHeight="1" spans="1:35">
      <c r="A692" s="3">
        <f>IFERROR(__xludf.DUMMYFUNCTION("""COMPUTED_VALUE"""),46290)</f>
        <v>46290</v>
      </c>
      <c r="B692" s="1" t="str">
        <f>IFERROR(__xludf.DUMMYFUNCTION("""COMPUTED_VALUE"""),"JANNALYN DELOS SANTOS LOPEZ")</f>
        <v>JANNALYN DELOS SANTOS LOPEZ</v>
      </c>
      <c r="C692" s="1">
        <f>IFERROR(__xludf.DUMMYFUNCTION("""COMPUTED_VALUE"""),2312807795)</f>
        <v>2312807795</v>
      </c>
      <c r="D692" s="1">
        <f>IFERROR(__xludf.DUMMYFUNCTION("""COMPUTED_VALUE"""),408375029)</f>
        <v>408375029</v>
      </c>
      <c r="E692" s="1">
        <f>IFERROR(__xludf.DUMMYFUNCTION("""COMPUTED_VALUE"""),472894884004)</f>
        <v>472894884004</v>
      </c>
      <c r="F692" s="1" t="str">
        <f>IFERROR(__xludf.DUMMYFUNCTION("""COMPUTED_VALUE"""),"CLOSED")</f>
        <v>CLOSED</v>
      </c>
      <c r="G692" s="1" t="str">
        <f>IFERROR(__xludf.DUMMYFUNCTION("""COMPUTED_VALUE"""),"CLOSED")</f>
        <v>CLOSED</v>
      </c>
      <c r="H692" s="1" t="str">
        <f>IFERROR(__xludf.DUMMYFUNCTION("""COMPUTED_VALUE"""),"PAID VIA GCASH - SEPT 26 - REF- 422645566")</f>
        <v>PAID VIA GCASH - SEPT 26 - REF- 422645566</v>
      </c>
      <c r="I692" s="1" t="str">
        <f>IFERROR(__xludf.DUMMYFUNCTION("""COMPUTED_VALUE"""),"WITH 1 AMSF")</f>
        <v>WITH 1 AMSF</v>
      </c>
      <c r="J692" s="1"/>
      <c r="K692" s="1" t="str">
        <f>IFERROR(__xludf.DUMMYFUNCTION("""COMPUTED_VALUE"""),"NOT IN OFSC")</f>
        <v>NOT IN OFSC</v>
      </c>
      <c r="L692" s="1" t="str">
        <f>IFERROR(__xludf.DUMMYFUNCTION("""COMPUTED_VALUE"""),"POSTED")</f>
        <v>POSTED</v>
      </c>
      <c r="M692" s="1" t="str">
        <f>IFERROR(__xludf.DUMMYFUNCTION("""COMPUTED_VALUE"""),"POSTED")</f>
        <v>POSTED</v>
      </c>
      <c r="N692" s="3">
        <f>IFERROR(__xludf.DUMMYFUNCTION("""COMPUTED_VALUE"""),46295)</f>
        <v>46295</v>
      </c>
      <c r="O692" s="1" t="str">
        <f>IFERROR(__xludf.DUMMYFUNCTION("""COMPUTED_VALUE"""),"FIBER UNLI ALL PLAN 1499")</f>
        <v>FIBER UNLI ALL PLAN 1499</v>
      </c>
      <c r="P692" s="1" t="str">
        <f>IFERROR(__xludf.DUMMYFUNCTION("""COMPUTED_VALUE"""),"LOWPLAN")</f>
        <v>LOWPLAN</v>
      </c>
      <c r="Q692" s="1" t="str">
        <f>IFERROR(__xludf.DUMMYFUNCTION("""COMPUTED_VALUE"""),"P407517")</f>
        <v>P407517</v>
      </c>
      <c r="R692" s="1" t="str">
        <f>IFERROR(__xludf.DUMMYFUNCTION("""COMPUTED_VALUE"""),"GABAY, MANUEL")</f>
        <v>GABAY, MANUEL</v>
      </c>
      <c r="S692" s="1" t="str">
        <f>IFERROR(__xludf.DUMMYFUNCTION("""COMPUTED_VALUE"""),"FLA")</f>
        <v>FLA</v>
      </c>
      <c r="T692" s="1" t="str">
        <f>IFERROR(__xludf.DUMMYFUNCTION("""COMPUTED_VALUE"""),"JERIC NAVARRO")</f>
        <v>JERIC NAVARRO</v>
      </c>
      <c r="U692" s="1" t="str">
        <f>IFERROR(__xludf.DUMMYFUNCTION("""COMPUTED_VALUE"""),"JB SALIOA")</f>
        <v>JB SALIOA</v>
      </c>
      <c r="V692" s="1" t="str">
        <f>IFERROR(__xludf.DUMMYFUNCTION("""COMPUTED_VALUE"""),"BK REGULAR")</f>
        <v>BK REGULAR</v>
      </c>
      <c r="W692" s="1" t="str">
        <f>IFERROR(__xludf.DUMMYFUNCTION("""COMPUTED_VALUE"""),"STK REGULAR")</f>
        <v>STK REGULAR</v>
      </c>
      <c r="X692" s="1" t="str">
        <f>IFERROR(__xludf.DUMMYFUNCTION("""COMPUTED_VALUE"""),"HBBS SEPT 2026")</f>
        <v>HBBS SEPT 2026</v>
      </c>
      <c r="Y692" s="1" t="str">
        <f>IFERROR(__xludf.DUMMYFUNCTION("""COMPUTED_VALUE"""),"BK_CVEU_260827")</f>
        <v>BK_CVEU_260827</v>
      </c>
      <c r="Z692" s="1" t="str">
        <f>IFERROR(__xludf.DUMMYFUNCTION("""COMPUTED_VALUE"""),"NEW CONNECT")</f>
        <v>NEW CONNECT</v>
      </c>
      <c r="AA692" s="1">
        <f>IFERROR(__xludf.DUMMYFUNCTION("""COMPUTED_VALUE"""),639755121285)</f>
        <v>639755121285</v>
      </c>
      <c r="AB692" s="1">
        <f>IFERROR(__xludf.DUMMYFUNCTION("""COMPUTED_VALUE"""),639974557896)</f>
        <v>639974557896</v>
      </c>
      <c r="AC692" s="1">
        <f>IFERROR(__xludf.DUMMYFUNCTION("""COMPUTED_VALUE"""),9011)</f>
        <v>9011</v>
      </c>
      <c r="AD692" s="1" t="str">
        <f>IFERROR(__xludf.DUMMYFUNCTION("""COMPUTED_VALUE"""),"JP RIZAL")</f>
        <v>JP RIZAL</v>
      </c>
      <c r="AE692" s="1"/>
      <c r="AF692" s="1" t="str">
        <f>IFERROR(__xludf.DUMMYFUNCTION("""COMPUTED_VALUE"""),"BGY 5")</f>
        <v>BGY 5</v>
      </c>
      <c r="AG692" s="1" t="str">
        <f>IFERROR(__xludf.DUMMYFUNCTION("""COMPUTED_VALUE"""),"SILANG")</f>
        <v>SILANG</v>
      </c>
      <c r="AH692" s="1" t="str">
        <f>IFERROR(__xludf.DUMMYFUNCTION("""COMPUTED_VALUE"""),"-")</f>
        <v>-</v>
      </c>
      <c r="AI692" s="1" t="str">
        <f>IFERROR(__xludf.DUMMYFUNCTION("""COMPUTED_VALUE"""),"CLUSTER 11")</f>
        <v>CLUSTER 11</v>
      </c>
    </row>
    <row r="693" customHeight="1" spans="1:35">
      <c r="A693" s="3">
        <f>IFERROR(__xludf.DUMMYFUNCTION("""COMPUTED_VALUE"""),46291)</f>
        <v>46291</v>
      </c>
      <c r="B693" s="1" t="str">
        <f>IFERROR(__xludf.DUMMYFUNCTION("""COMPUTED_VALUE"""),"MARIVIC BAYUNGAN LONTOC")</f>
        <v>MARIVIC BAYUNGAN LONTOC</v>
      </c>
      <c r="C693" s="1">
        <f>IFERROR(__xludf.DUMMYFUNCTION("""COMPUTED_VALUE"""),2312812539)</f>
        <v>2312812539</v>
      </c>
      <c r="D693" s="1">
        <f>IFERROR(__xludf.DUMMYFUNCTION("""COMPUTED_VALUE"""),408380588)</f>
        <v>408380588</v>
      </c>
      <c r="E693" s="1">
        <f>IFERROR(__xludf.DUMMYFUNCTION("""COMPUTED_VALUE"""),472957221004)</f>
        <v>472957221004</v>
      </c>
      <c r="F693" s="1" t="str">
        <f>IFERROR(__xludf.DUMMYFUNCTION("""COMPUTED_VALUE"""),"FOR PAYMENT")</f>
        <v>FOR PAYMENT</v>
      </c>
      <c r="G693" s="1" t="str">
        <f>IFERROR(__xludf.DUMMYFUNCTION("""COMPUTED_VALUE"""),"FOR PAYMENT")</f>
        <v>FOR PAYMENT</v>
      </c>
      <c r="H693" s="1"/>
      <c r="I693" s="1"/>
      <c r="J693" s="1"/>
      <c r="K693" s="1" t="str">
        <f>IFERROR(__xludf.DUMMYFUNCTION("""COMPUTED_VALUE"""),"NOT IN OFSC")</f>
        <v>NOT IN OFSC</v>
      </c>
      <c r="L693" s="1" t="str">
        <f>IFERROR(__xludf.DUMMYFUNCTION("""COMPUTED_VALUE"""),"FOR PAYMENT")</f>
        <v>FOR PAYMENT</v>
      </c>
      <c r="M693" s="1" t="str">
        <f>IFERROR(__xludf.DUMMYFUNCTION("""COMPUTED_VALUE"""),"FOR PAYMENT - FOR CALL OUT")</f>
        <v>FOR PAYMENT - FOR CALL OUT</v>
      </c>
      <c r="N693" s="3"/>
      <c r="O693" s="1" t="str">
        <f>IFERROR(__xludf.DUMMYFUNCTION("""COMPUTED_VALUE"""),"FIBR PLAN 1299")</f>
        <v>FIBR PLAN 1299</v>
      </c>
      <c r="P693" s="1" t="str">
        <f>IFERROR(__xludf.DUMMYFUNCTION("""COMPUTED_VALUE"""),"LOWPLAN")</f>
        <v>LOWPLAN</v>
      </c>
      <c r="Q693" s="1" t="str">
        <f>IFERROR(__xludf.DUMMYFUNCTION("""COMPUTED_VALUE"""),"P407565")</f>
        <v>P407565</v>
      </c>
      <c r="R693" s="1" t="str">
        <f>IFERROR(__xludf.DUMMYFUNCTION("""COMPUTED_VALUE"""),"MANDUCDOC, MARIANE")</f>
        <v>MANDUCDOC, MARIANE</v>
      </c>
      <c r="S693" s="1" t="str">
        <f>IFERROR(__xludf.DUMMYFUNCTION("""COMPUTED_VALUE"""),"ORGANIC")</f>
        <v>ORGANIC</v>
      </c>
      <c r="T693" s="1" t="str">
        <f>IFERROR(__xludf.DUMMYFUNCTION("""COMPUTED_VALUE"""),"LEA REMOLLO")</f>
        <v>LEA REMOLLO</v>
      </c>
      <c r="U693" s="1" t="str">
        <f>IFERROR(__xludf.DUMMYFUNCTION("""COMPUTED_VALUE"""),"JB SALIOA")</f>
        <v>JB SALIOA</v>
      </c>
      <c r="V693" s="1" t="str">
        <f>IFERROR(__xludf.DUMMYFUNCTION("""COMPUTED_VALUE"""),"BK HSTK")</f>
        <v>BK HSTK</v>
      </c>
      <c r="W693" s="1" t="str">
        <f>IFERROR(__xludf.DUMMYFUNCTION("""COMPUTED_VALUE"""),"BK HSTK")</f>
        <v>BK HSTK</v>
      </c>
      <c r="X693" s="1" t="str">
        <f>IFERROR(__xludf.DUMMYFUNCTION("""COMPUTED_VALUE"""),"HBBS SEPT 2026")</f>
        <v>HBBS SEPT 2026</v>
      </c>
      <c r="Y693" s="1" t="str">
        <f>IFERROR(__xludf.DUMMYFUNCTION("""COMPUTED_VALUE"""),"BK_CVEU_260827")</f>
        <v>BK_CVEU_260827</v>
      </c>
      <c r="Z693" s="1" t="str">
        <f>IFERROR(__xludf.DUMMYFUNCTION("""COMPUTED_VALUE"""),"NEW CONNECT")</f>
        <v>NEW CONNECT</v>
      </c>
      <c r="AA693" s="1">
        <f>IFERROR(__xludf.DUMMYFUNCTION("""COMPUTED_VALUE"""),639362737539)</f>
        <v>639362737539</v>
      </c>
      <c r="AB693" s="1">
        <f>IFERROR(__xludf.DUMMYFUNCTION("""COMPUTED_VALUE"""),639242374485)</f>
        <v>639242374485</v>
      </c>
      <c r="AC693" s="1">
        <f>IFERROR(__xludf.DUMMYFUNCTION("""COMPUTED_VALUE"""),53)</f>
        <v>53</v>
      </c>
      <c r="AD693" s="1" t="str">
        <f>IFERROR(__xludf.DUMMYFUNCTION("""COMPUTED_VALUE"""),"P MONTOYA")</f>
        <v>P MONTOYA</v>
      </c>
      <c r="AE693" s="1"/>
      <c r="AF693" s="1" t="str">
        <f>IFERROR(__xludf.DUMMYFUNCTION("""COMPUTED_VALUE"""),"BGY SAN VICENTE 2")</f>
        <v>BGY SAN VICENTE 2</v>
      </c>
      <c r="AG693" s="1" t="str">
        <f>IFERROR(__xludf.DUMMYFUNCTION("""COMPUTED_VALUE"""),"SILANG")</f>
        <v>SILANG</v>
      </c>
      <c r="AH693" s="1" t="str">
        <f>IFERROR(__xludf.DUMMYFUNCTION("""COMPUTED_VALUE"""),"ROSANA FRANCISCO APARTMENT")</f>
        <v>ROSANA FRANCISCO APARTMENT</v>
      </c>
      <c r="AI693" s="1" t="str">
        <f>IFERROR(__xludf.DUMMYFUNCTION("""COMPUTED_VALUE"""),"CLUSTER 11")</f>
        <v>CLUSTER 11</v>
      </c>
    </row>
    <row r="694" customHeight="1" spans="1:35">
      <c r="A694" s="3">
        <f>IFERROR(__xludf.DUMMYFUNCTION("""COMPUTED_VALUE"""),46291)</f>
        <v>46291</v>
      </c>
      <c r="B694" s="1" t="str">
        <f>IFERROR(__xludf.DUMMYFUNCTION("""COMPUTED_VALUE"""),"MIAMI RAMOS ABELLA")</f>
        <v>MIAMI RAMOS ABELLA</v>
      </c>
      <c r="C694" s="1">
        <f>IFERROR(__xludf.DUMMYFUNCTION("""COMPUTED_VALUE"""),2312813124)</f>
        <v>2312813124</v>
      </c>
      <c r="D694" s="1">
        <f>IFERROR(__xludf.DUMMYFUNCTION("""COMPUTED_VALUE"""),408385156)</f>
        <v>408385156</v>
      </c>
      <c r="E694" s="1">
        <f>IFERROR(__xludf.DUMMYFUNCTION("""COMPUTED_VALUE"""),472972161004)</f>
        <v>472972161004</v>
      </c>
      <c r="F694" s="1" t="str">
        <f>IFERROR(__xludf.DUMMYFUNCTION("""COMPUTED_VALUE"""),"CLOSED")</f>
        <v>CLOSED</v>
      </c>
      <c r="G694" s="1" t="str">
        <f>IFERROR(__xludf.DUMMYFUNCTION("""COMPUTED_VALUE"""),"CLOSED")</f>
        <v>CLOSED</v>
      </c>
      <c r="H694" s="1" t="str">
        <f>IFERROR(__xludf.DUMMYFUNCTION("""COMPUTED_VALUE"""),"PAID THRU MAYA REF# 627007999763 9/27")</f>
        <v>PAID THRU MAYA REF# 627007999763 9/27</v>
      </c>
      <c r="I694" s="1" t="str">
        <f>IFERROR(__xludf.DUMMYFUNCTION("""COMPUTED_VALUE"""),"WITH 1 AMSF")</f>
        <v>WITH 1 AMSF</v>
      </c>
      <c r="J694" s="1"/>
      <c r="K694" s="1" t="str">
        <f>IFERROR(__xludf.DUMMYFUNCTION("""COMPUTED_VALUE"""),"NOT IN OFSC")</f>
        <v>NOT IN OFSC</v>
      </c>
      <c r="L694" s="1" t="str">
        <f>IFERROR(__xludf.DUMMYFUNCTION("""COMPUTED_VALUE"""),"POSTED")</f>
        <v>POSTED</v>
      </c>
      <c r="M694" s="1" t="str">
        <f>IFERROR(__xludf.DUMMYFUNCTION("""COMPUTED_VALUE"""),"POSTED")</f>
        <v>POSTED</v>
      </c>
      <c r="N694" s="3">
        <f>IFERROR(__xludf.DUMMYFUNCTION("""COMPUTED_VALUE"""),46291)</f>
        <v>46291</v>
      </c>
      <c r="O694" s="1" t="str">
        <f>IFERROR(__xludf.DUMMYFUNCTION("""COMPUTED_VALUE"""),"FIBR PLAN 1699")</f>
        <v>FIBR PLAN 1699</v>
      </c>
      <c r="P694" s="1" t="str">
        <f>IFERROR(__xludf.DUMMYFUNCTION("""COMPUTED_VALUE"""),"LOWPLAN")</f>
        <v>LOWPLAN</v>
      </c>
      <c r="Q694" s="1" t="str">
        <f>IFERROR(__xludf.DUMMYFUNCTION("""COMPUTED_VALUE"""),"P407519")</f>
        <v>P407519</v>
      </c>
      <c r="R694" s="1" t="str">
        <f>IFERROR(__xludf.DUMMYFUNCTION("""COMPUTED_VALUE"""),"REMOLLO, LEA")</f>
        <v>REMOLLO, LEA</v>
      </c>
      <c r="S694" s="1" t="str">
        <f>IFERROR(__xludf.DUMMYFUNCTION("""COMPUTED_VALUE"""),"FLA")</f>
        <v>FLA</v>
      </c>
      <c r="T694" s="1" t="str">
        <f>IFERROR(__xludf.DUMMYFUNCTION("""COMPUTED_VALUE"""),"JERIC NAVARRO")</f>
        <v>JERIC NAVARRO</v>
      </c>
      <c r="U694" s="1" t="str">
        <f>IFERROR(__xludf.DUMMYFUNCTION("""COMPUTED_VALUE"""),"JB SALIOA")</f>
        <v>JB SALIOA</v>
      </c>
      <c r="V694" s="1" t="str">
        <f>IFERROR(__xludf.DUMMYFUNCTION("""COMPUTED_VALUE"""),"ONLINE/CRANFORD")</f>
        <v>ONLINE/CRANFORD</v>
      </c>
      <c r="W694" s="1" t="str">
        <f>IFERROR(__xludf.DUMMYFUNCTION("""COMPUTED_VALUE"""),"STK REGULAR")</f>
        <v>STK REGULAR</v>
      </c>
      <c r="X694" s="1" t="str">
        <f>IFERROR(__xludf.DUMMYFUNCTION("""COMPUTED_VALUE"""),"HBBS SEPT 2026")</f>
        <v>HBBS SEPT 2026</v>
      </c>
      <c r="Y694" s="1" t="str">
        <f>IFERROR(__xludf.DUMMYFUNCTION("""COMPUTED_VALUE"""),"RS_ONL_CVEU_2026")</f>
        <v>RS_ONL_CVEU_2026</v>
      </c>
      <c r="Z694" s="1" t="str">
        <f>IFERROR(__xludf.DUMMYFUNCTION("""COMPUTED_VALUE"""),"NEW CONNECT")</f>
        <v>NEW CONNECT</v>
      </c>
      <c r="AA694" s="1">
        <f>IFERROR(__xludf.DUMMYFUNCTION("""COMPUTED_VALUE"""),639458890410)</f>
        <v>639458890410</v>
      </c>
      <c r="AB694" s="1"/>
      <c r="AC694" s="1"/>
      <c r="AD694" s="1" t="str">
        <f>IFERROR(__xludf.DUMMYFUNCTION("""COMPUTED_VALUE"""),"GIOVANNI")</f>
        <v>GIOVANNI</v>
      </c>
      <c r="AE694" s="1" t="str">
        <f>IFERROR(__xludf.DUMMYFUNCTION("""COMPUTED_VALUE"""),"SUNTRUST VERONA PHASE 3")</f>
        <v>SUNTRUST VERONA PHASE 3</v>
      </c>
      <c r="AF694" s="1" t="str">
        <f>IFERROR(__xludf.DUMMYFUNCTION("""COMPUTED_VALUE"""),"BGY HOYO")</f>
        <v>BGY HOYO</v>
      </c>
      <c r="AG694" s="1" t="str">
        <f>IFERROR(__xludf.DUMMYFUNCTION("""COMPUTED_VALUE"""),"SILANG")</f>
        <v>SILANG</v>
      </c>
      <c r="AH694" s="1" t="str">
        <f>IFERROR(__xludf.DUMMYFUNCTION("""COMPUTED_VALUE"""),"GIOVANNI ST")</f>
        <v>GIOVANNI ST</v>
      </c>
      <c r="AI694" s="1" t="str">
        <f>IFERROR(__xludf.DUMMYFUNCTION("""COMPUTED_VALUE"""),"CLUSTER 11")</f>
        <v>CLUSTER 11</v>
      </c>
    </row>
    <row r="695" customHeight="1" spans="1:35">
      <c r="A695" s="3">
        <f>IFERROR(__xludf.DUMMYFUNCTION("""COMPUTED_VALUE"""),46291)</f>
        <v>46291</v>
      </c>
      <c r="B695" s="1" t="str">
        <f>IFERROR(__xludf.DUMMYFUNCTION("""COMPUTED_VALUE"""),"JOHN CARLO ACUNA BATACLAN")</f>
        <v>JOHN CARLO ACUNA BATACLAN</v>
      </c>
      <c r="C695" s="1">
        <f>IFERROR(__xludf.DUMMYFUNCTION("""COMPUTED_VALUE"""),2312814106)</f>
        <v>2312814106</v>
      </c>
      <c r="D695" s="1">
        <f>IFERROR(__xludf.DUMMYFUNCTION("""COMPUTED_VALUE"""),408387507)</f>
        <v>408387507</v>
      </c>
      <c r="E695" s="1">
        <f>IFERROR(__xludf.DUMMYFUNCTION("""COMPUTED_VALUE"""),472973680004)</f>
        <v>472973680004</v>
      </c>
      <c r="F695" s="1" t="str">
        <f>IFERROR(__xludf.DUMMYFUNCTION("""COMPUTED_VALUE"""),"CANCELLED")</f>
        <v>CANCELLED</v>
      </c>
      <c r="G695" s="1" t="str">
        <f>IFERROR(__xludf.DUMMYFUNCTION("""COMPUTED_VALUE"""),"CANCELLED")</f>
        <v>CANCELLED</v>
      </c>
      <c r="H695" s="1" t="str">
        <f>IFERROR(__xludf.DUMMYFUNCTION("""COMPUTED_VALUE"""),"PAID VIA CSP")</f>
        <v>PAID VIA CSP</v>
      </c>
      <c r="I695" s="1" t="str">
        <f>IFERROR(__xludf.DUMMYFUNCTION("""COMPUTED_VALUE"""),"NO 1 AMSF")</f>
        <v>NO 1 AMSF</v>
      </c>
      <c r="J695" s="1"/>
      <c r="K695" s="1" t="str">
        <f>IFERROR(__xludf.DUMMYFUNCTION("""COMPUTED_VALUE"""),"NOT IN OFSC")</f>
        <v>NOT IN OFSC</v>
      </c>
      <c r="L695" s="1" t="str">
        <f>IFERROR(__xludf.DUMMYFUNCTION("""COMPUTED_VALUE"""),"CANCELLED")</f>
        <v>CANCELLED</v>
      </c>
      <c r="M695" s="1" t="str">
        <f>IFERROR(__xludf.DUMMYFUNCTION("""COMPUTED_VALUE"""),"CSP CANCELLED")</f>
        <v>CSP CANCELLED</v>
      </c>
      <c r="N695" s="3"/>
      <c r="O695" s="1" t="str">
        <f>IFERROR(__xludf.DUMMYFUNCTION("""COMPUTED_VALUE"""),"FIBR PLAN 1299")</f>
        <v>FIBR PLAN 1299</v>
      </c>
      <c r="P695" s="1" t="str">
        <f>IFERROR(__xludf.DUMMYFUNCTION("""COMPUTED_VALUE"""),"LOWPLAN")</f>
        <v>LOWPLAN</v>
      </c>
      <c r="Q695" s="1" t="str">
        <f>IFERROR(__xludf.DUMMYFUNCTION("""COMPUTED_VALUE"""),"P407563")</f>
        <v>P407563</v>
      </c>
      <c r="R695" s="1" t="str">
        <f>IFERROR(__xludf.DUMMYFUNCTION("""COMPUTED_VALUE"""),"BAQUIT, JAZMIN")</f>
        <v>BAQUIT, JAZMIN</v>
      </c>
      <c r="S695" s="1" t="str">
        <f>IFERROR(__xludf.DUMMYFUNCTION("""COMPUTED_VALUE"""),"ORGANIC")</f>
        <v>ORGANIC</v>
      </c>
      <c r="T695" s="1" t="str">
        <f>IFERROR(__xludf.DUMMYFUNCTION("""COMPUTED_VALUE"""),"LEA REMOLLO")</f>
        <v>LEA REMOLLO</v>
      </c>
      <c r="U695" s="1" t="str">
        <f>IFERROR(__xludf.DUMMYFUNCTION("""COMPUTED_VALUE"""),"JB SALIOA")</f>
        <v>JB SALIOA</v>
      </c>
      <c r="V695" s="1" t="str">
        <f>IFERROR(__xludf.DUMMYFUNCTION("""COMPUTED_VALUE"""),"ONLINE/CRANFORD")</f>
        <v>ONLINE/CRANFORD</v>
      </c>
      <c r="W695" s="1" t="str">
        <f>IFERROR(__xludf.DUMMYFUNCTION("""COMPUTED_VALUE"""),"STK REGULAR")</f>
        <v>STK REGULAR</v>
      </c>
      <c r="X695" s="1" t="str">
        <f>IFERROR(__xludf.DUMMYFUNCTION("""COMPUTED_VALUE"""),"HBBS SEPT 2026")</f>
        <v>HBBS SEPT 2026</v>
      </c>
      <c r="Y695" s="1" t="str">
        <f>IFERROR(__xludf.DUMMYFUNCTION("""COMPUTED_VALUE"""),"RS_ONL_CVEU_2026")</f>
        <v>RS_ONL_CVEU_2026</v>
      </c>
      <c r="Z695" s="1" t="str">
        <f>IFERROR(__xludf.DUMMYFUNCTION("""COMPUTED_VALUE"""),"NEW CONNECT")</f>
        <v>NEW CONNECT</v>
      </c>
      <c r="AA695" s="1">
        <f>IFERROR(__xludf.DUMMYFUNCTION("""COMPUTED_VALUE"""),639920523226)</f>
        <v>639920523226</v>
      </c>
      <c r="AB695" s="1"/>
      <c r="AC695" s="1">
        <f>IFERROR(__xludf.DUMMYFUNCTION("""COMPUTED_VALUE"""),69)</f>
        <v>69</v>
      </c>
      <c r="AD695" s="1" t="str">
        <f>IFERROR(__xludf.DUMMYFUNCTION("""COMPUTED_VALUE"""),"PUROK 3")</f>
        <v>PUROK 3</v>
      </c>
      <c r="AE695" s="1"/>
      <c r="AF695" s="1" t="str">
        <f>IFERROR(__xludf.DUMMYFUNCTION("""COMPUTED_VALUE"""),"BGY BILOG")</f>
        <v>BGY BILOG</v>
      </c>
      <c r="AG695" s="1" t="str">
        <f>IFERROR(__xludf.DUMMYFUNCTION("""COMPUTED_VALUE"""),"ALFONSO")</f>
        <v>ALFONSO</v>
      </c>
      <c r="AH695" s="1" t="str">
        <f>IFERROR(__xludf.DUMMYFUNCTION("""COMPUTED_VALUE"""),"BATACLAN COMPOUND")</f>
        <v>BATACLAN COMPOUND</v>
      </c>
      <c r="AI695" s="1" t="str">
        <f>IFERROR(__xludf.DUMMYFUNCTION("""COMPUTED_VALUE"""),"CLUSTER 12")</f>
        <v>CLUSTER 12</v>
      </c>
    </row>
    <row r="696" customHeight="1" spans="1:35">
      <c r="A696" s="3">
        <f>IFERROR(__xludf.DUMMYFUNCTION("""COMPUTED_VALUE"""),46291)</f>
        <v>46291</v>
      </c>
      <c r="B696" s="1" t="str">
        <f>IFERROR(__xludf.DUMMYFUNCTION("""COMPUTED_VALUE"""),"ONESIMO AMAR BALBUENA")</f>
        <v>ONESIMO AMAR BALBUENA</v>
      </c>
      <c r="C696" s="1">
        <f>IFERROR(__xludf.DUMMYFUNCTION("""COMPUTED_VALUE"""),2312814477)</f>
        <v>2312814477</v>
      </c>
      <c r="D696" s="1"/>
      <c r="E696" s="1"/>
      <c r="F696" s="1" t="str">
        <f>IFERROR(__xludf.DUMMYFUNCTION("""COMPUTED_VALUE"""),"CANCELLED")</f>
        <v>CANCELLED</v>
      </c>
      <c r="G696" s="1" t="str">
        <f>IFERROR(__xludf.DUMMYFUNCTION("""COMPUTED_VALUE"""),"CANNOT TAG DECISION DUE TO SYSTEM ERROR-CANNOT CHANGE PAYMENT REQUIRED|RETURN TO SALES | DONE VALIDATION | CORRECT ENCODED INFO IN CSP | VALIDATED COMPLETE DOCS | TU SCORING - GG - 1 (NTC) | WITH 1 AMSF | WITH BLACKLISTED ACC:0381732835 |BLACKLISTED NAME "&amp;"AND POID|WITH OB: 5,208.99| NO EXISTING ACTIVE ACC AND OR/PENDING/CANCELLED APPLICATION ")</f>
        <v>CANNOT TAG DECISION DUE TO SYSTEM ERROR-CANNOT CHANGE PAYMENT REQUIRED|RETURN TO SALES | DONE VALIDATION | CORRECT ENCODED INFO IN CSP | VALIDATED COMPLETE DOCS | TU SCORING - GG - 1 (NTC) | WITH 1 AMSF | WITH BLACKLISTED ACC:0381732835 |BLACKLISTED NAME AND POID|WITH OB: 5,208.99| NO EXISTING ACTIVE ACC AND OR/PENDING/CANCELLED APPLICATION </v>
      </c>
      <c r="H696" s="1"/>
      <c r="I696" s="1"/>
      <c r="J696" s="1"/>
      <c r="K696" s="1"/>
      <c r="L696" s="1" t="str">
        <f>IFERROR(__xludf.DUMMYFUNCTION("""COMPUTED_VALUE"""),"CANCELLED")</f>
        <v>CANCELLED</v>
      </c>
      <c r="M696" s="1" t="str">
        <f>IFERROR(__xludf.DUMMYFUNCTION("""COMPUTED_VALUE"""),"CANCELLED - WITH OB")</f>
        <v>CANCELLED - WITH OB</v>
      </c>
      <c r="N696" s="3"/>
      <c r="O696" s="1" t="str">
        <f>IFERROR(__xludf.DUMMYFUNCTION("""COMPUTED_VALUE"""),"FIBR PLAN 1699")</f>
        <v>FIBR PLAN 1699</v>
      </c>
      <c r="P696" s="1" t="str">
        <f>IFERROR(__xludf.DUMMYFUNCTION("""COMPUTED_VALUE"""),"HIGHPLAN")</f>
        <v>HIGHPLAN</v>
      </c>
      <c r="Q696" s="1" t="str">
        <f>IFERROR(__xludf.DUMMYFUNCTION("""COMPUTED_VALUE"""),"P407044")</f>
        <v>P407044</v>
      </c>
      <c r="R696" s="1" t="str">
        <f>IFERROR(__xludf.DUMMYFUNCTION("""COMPUTED_VALUE"""),"DACALCAP, ROGER")</f>
        <v>DACALCAP, ROGER</v>
      </c>
      <c r="S696" s="1" t="str">
        <f>IFERROR(__xludf.DUMMYFUNCTION("""COMPUTED_VALUE"""),"FLA")</f>
        <v>FLA</v>
      </c>
      <c r="T696" s="1" t="str">
        <f>IFERROR(__xludf.DUMMYFUNCTION("""COMPUTED_VALUE"""),"JERIC NAVARRO")</f>
        <v>JERIC NAVARRO</v>
      </c>
      <c r="U696" s="1" t="str">
        <f>IFERROR(__xludf.DUMMYFUNCTION("""COMPUTED_VALUE"""),"JB SALIOA")</f>
        <v>JB SALIOA</v>
      </c>
      <c r="V696" s="1" t="str">
        <f>IFERROR(__xludf.DUMMYFUNCTION("""COMPUTED_VALUE"""),"BK REGULAR")</f>
        <v>BK REGULAR</v>
      </c>
      <c r="W696" s="1" t="str">
        <f>IFERROR(__xludf.DUMMYFUNCTION("""COMPUTED_VALUE"""),"STK REGULAR")</f>
        <v>STK REGULAR</v>
      </c>
      <c r="X696" s="1" t="str">
        <f>IFERROR(__xludf.DUMMYFUNCTION("""COMPUTED_VALUE"""),"HBBS SEPT 2026")</f>
        <v>HBBS SEPT 2026</v>
      </c>
      <c r="Y696" s="1" t="str">
        <f>IFERROR(__xludf.DUMMYFUNCTION("""COMPUTED_VALUE"""),"BK_CVEU_260827")</f>
        <v>BK_CVEU_260827</v>
      </c>
      <c r="Z696" s="1" t="str">
        <f>IFERROR(__xludf.DUMMYFUNCTION("""COMPUTED_VALUE"""),"NEW CONNECT")</f>
        <v>NEW CONNECT</v>
      </c>
      <c r="AA696" s="1">
        <f>IFERROR(__xludf.DUMMYFUNCTION("""COMPUTED_VALUE"""),639613196736)</f>
        <v>639613196736</v>
      </c>
      <c r="AB696" s="1">
        <f>IFERROR(__xludf.DUMMYFUNCTION("""COMPUTED_VALUE"""),639298348742)</f>
        <v>639298348742</v>
      </c>
      <c r="AC696" s="1"/>
      <c r="AD696" s="1" t="str">
        <f>IFERROR(__xludf.DUMMYFUNCTION("""COMPUTED_VALUE"""),"PINOY VILLAGE")</f>
        <v>PINOY VILLAGE</v>
      </c>
      <c r="AE696" s="1" t="str">
        <f>IFERROR(__xludf.DUMMYFUNCTION("""COMPUTED_VALUE"""),"PINOY VILLAGE")</f>
        <v>PINOY VILLAGE</v>
      </c>
      <c r="AF696" s="1" t="str">
        <f>IFERROR(__xludf.DUMMYFUNCTION("""COMPUTED_VALUE"""),"BGY SABUTAN")</f>
        <v>BGY SABUTAN</v>
      </c>
      <c r="AG696" s="1" t="str">
        <f>IFERROR(__xludf.DUMMYFUNCTION("""COMPUTED_VALUE"""),"SILANG")</f>
        <v>SILANG</v>
      </c>
      <c r="AH696" s="1" t="str">
        <f>IFERROR(__xludf.DUMMYFUNCTION("""COMPUTED_VALUE"""),"PINOY VILLAGE")</f>
        <v>PINOY VILLAGE</v>
      </c>
      <c r="AI696" s="1" t="str">
        <f>IFERROR(__xludf.DUMMYFUNCTION("""COMPUTED_VALUE"""),"CLUSTER 11")</f>
        <v>CLUSTER 11</v>
      </c>
    </row>
    <row r="697" customHeight="1" spans="1:35">
      <c r="A697" s="3">
        <f>IFERROR(__xludf.DUMMYFUNCTION("""COMPUTED_VALUE"""),46291)</f>
        <v>46291</v>
      </c>
      <c r="B697" s="1" t="str">
        <f>IFERROR(__xludf.DUMMYFUNCTION("""COMPUTED_VALUE"""),"JOHN JOHN POMBO CABATIC")</f>
        <v>JOHN JOHN POMBO CABATIC</v>
      </c>
      <c r="C697" s="1">
        <f>IFERROR(__xludf.DUMMYFUNCTION("""COMPUTED_VALUE"""),2312815110)</f>
        <v>2312815110</v>
      </c>
      <c r="D697" s="1">
        <f>IFERROR(__xludf.DUMMYFUNCTION("""COMPUTED_VALUE"""),408398746)</f>
        <v>408398746</v>
      </c>
      <c r="E697" s="1">
        <f>IFERROR(__xludf.DUMMYFUNCTION("""COMPUTED_VALUE"""),472979519004)</f>
        <v>472979519004</v>
      </c>
      <c r="F697" s="1" t="str">
        <f>IFERROR(__xludf.DUMMYFUNCTION("""COMPUTED_VALUE"""),"CANCELLED")</f>
        <v>CANCELLED</v>
      </c>
      <c r="G697" s="1" t="str">
        <f>IFERROR(__xludf.DUMMYFUNCTION("""COMPUTED_VALUE"""),"""CLUSTER 7PID: 472979519004
SUBS: John John Pombo Cabatic
Remarks : No nearest cafac available, tms lp 395 np 1,2,3,5 full nap.. np 4 ay 18 span mula sa subs..Talk: John Jhon""")</f>
        <v>"CLUSTER 7PID: 472979519004
SUBS: John John Pombo Cabatic
Remarks : No nearest cafac available, tms lp 395 np 1,2,3,5 full nap.. np 4 ay 18 span mula sa subs..Talk: John Jhon"</v>
      </c>
      <c r="H697" s="1" t="str">
        <f>IFERROR(__xludf.DUMMYFUNCTION("""COMPUTED_VALUE"""),"PAID VIA PAY EXPRESS REF PX2104295918 SEP 27")</f>
        <v>PAID VIA PAY EXPRESS REF PX2104295918 SEP 27</v>
      </c>
      <c r="I697" s="1" t="str">
        <f>IFERROR(__xludf.DUMMYFUNCTION("""COMPUTED_VALUE"""),"WITH 1 AMSF")</f>
        <v>WITH 1 AMSF</v>
      </c>
      <c r="J697" s="1"/>
      <c r="K697" s="1" t="str">
        <f>IFERROR(__xludf.DUMMYFUNCTION("""COMPUTED_VALUE"""),"NOT IN OFSC")</f>
        <v>NOT IN OFSC</v>
      </c>
      <c r="L697" s="1" t="str">
        <f>IFERROR(__xludf.DUMMYFUNCTION("""COMPUTED_VALUE"""),"RPR - NAP FULL")</f>
        <v>RPR - NAP FULL</v>
      </c>
      <c r="M697" s="1" t="str">
        <f>IFERROR(__xludf.DUMMYFUNCTION("""COMPUTED_VALUE"""),"RPR- NAP FULL")</f>
        <v>RPR- NAP FULL</v>
      </c>
      <c r="N697" s="3"/>
      <c r="O697" s="1" t="str">
        <f>IFERROR(__xludf.DUMMYFUNCTION("""COMPUTED_VALUE"""),"FIBER UNLI ALL PLAN 1899")</f>
        <v>FIBER UNLI ALL PLAN 1899</v>
      </c>
      <c r="P697" s="1" t="str">
        <f>IFERROR(__xludf.DUMMYFUNCTION("""COMPUTED_VALUE"""),"HIGHPLAN")</f>
        <v>HIGHPLAN</v>
      </c>
      <c r="Q697" s="1" t="str">
        <f>IFERROR(__xludf.DUMMYFUNCTION("""COMPUTED_VALUE"""),"P407048")</f>
        <v>P407048</v>
      </c>
      <c r="R697" s="1" t="str">
        <f>IFERROR(__xludf.DUMMYFUNCTION("""COMPUTED_VALUE"""),"BONZA, LEE VINCENT")</f>
        <v>BONZA, LEE VINCENT</v>
      </c>
      <c r="S697" s="1" t="str">
        <f>IFERROR(__xludf.DUMMYFUNCTION("""COMPUTED_VALUE"""),"ORGANIC")</f>
        <v>ORGANIC</v>
      </c>
      <c r="T697" s="1" t="str">
        <f>IFERROR(__xludf.DUMMYFUNCTION("""COMPUTED_VALUE"""),"GARCIA MICHAEL JETTS")</f>
        <v>GARCIA MICHAEL JETTS</v>
      </c>
      <c r="U697" s="1" t="str">
        <f>IFERROR(__xludf.DUMMYFUNCTION("""COMPUTED_VALUE"""),"JB SALIOA")</f>
        <v>JB SALIOA</v>
      </c>
      <c r="V697" s="1" t="str">
        <f>IFERROR(__xludf.DUMMYFUNCTION("""COMPUTED_VALUE"""),"ONLINE/CRANFORD")</f>
        <v>ONLINE/CRANFORD</v>
      </c>
      <c r="W697" s="1" t="str">
        <f>IFERROR(__xludf.DUMMYFUNCTION("""COMPUTED_VALUE"""),"STK REGULAR")</f>
        <v>STK REGULAR</v>
      </c>
      <c r="X697" s="1" t="str">
        <f>IFERROR(__xludf.DUMMYFUNCTION("""COMPUTED_VALUE"""),"HBBS SEPT 2026")</f>
        <v>HBBS SEPT 2026</v>
      </c>
      <c r="Y697" s="1" t="str">
        <f>IFERROR(__xludf.DUMMYFUNCTION("""COMPUTED_VALUE"""),"RS_ONL_CVEU_2026")</f>
        <v>RS_ONL_CVEU_2026</v>
      </c>
      <c r="Z697" s="1" t="str">
        <f>IFERROR(__xludf.DUMMYFUNCTION("""COMPUTED_VALUE"""),"NEW CONNECT")</f>
        <v>NEW CONNECT</v>
      </c>
      <c r="AA697" s="1">
        <f>IFERROR(__xludf.DUMMYFUNCTION("""COMPUTED_VALUE"""),639627027853)</f>
        <v>639627027853</v>
      </c>
      <c r="AB697" s="1">
        <f>IFERROR(__xludf.DUMMYFUNCTION("""COMPUTED_VALUE"""),639126864059)</f>
        <v>639126864059</v>
      </c>
      <c r="AC697" s="1"/>
      <c r="AD697" s="1" t="str">
        <f>IFERROR(__xludf.DUMMYFUNCTION("""COMPUTED_VALUE"""),"GOLDEN HORIZON")</f>
        <v>GOLDEN HORIZON</v>
      </c>
      <c r="AE697" s="1" t="str">
        <f>IFERROR(__xludf.DUMMYFUNCTION("""COMPUTED_VALUE"""),"GOLDEN HORIZON COURTYARD")</f>
        <v>GOLDEN HORIZON COURTYARD</v>
      </c>
      <c r="AF697" s="1" t="str">
        <f>IFERROR(__xludf.DUMMYFUNCTION("""COMPUTED_VALUE"""),"BGY HUGO PEREZ")</f>
        <v>BGY HUGO PEREZ</v>
      </c>
      <c r="AG697" s="1" t="str">
        <f>IFERROR(__xludf.DUMMYFUNCTION("""COMPUTED_VALUE"""),"TRECE MARTIREZ CITY")</f>
        <v>TRECE MARTIREZ CITY</v>
      </c>
      <c r="AH697" s="1" t="str">
        <f>IFERROR(__xludf.DUMMYFUNCTION("""COMPUTED_VALUE"""),"GATE 5")</f>
        <v>GATE 5</v>
      </c>
      <c r="AI697" s="1" t="str">
        <f>IFERROR(__xludf.DUMMYFUNCTION("""COMPUTED_VALUE"""),"NOT AOR")</f>
        <v>NOT AOR</v>
      </c>
    </row>
    <row r="698" customHeight="1" spans="1:35">
      <c r="A698" s="3">
        <f>IFERROR(__xludf.DUMMYFUNCTION("""COMPUTED_VALUE"""),46291)</f>
        <v>46291</v>
      </c>
      <c r="B698" s="1" t="str">
        <f>IFERROR(__xludf.DUMMYFUNCTION("""COMPUTED_VALUE"""),"JOHN MARC VALLEGA ESCANO")</f>
        <v>JOHN MARC VALLEGA ESCANO</v>
      </c>
      <c r="C698" s="1">
        <f>IFERROR(__xludf.DUMMYFUNCTION("""COMPUTED_VALUE"""),2312815440)</f>
        <v>2312815440</v>
      </c>
      <c r="D698" s="1">
        <f>IFERROR(__xludf.DUMMYFUNCTION("""COMPUTED_VALUE"""),408389070)</f>
        <v>408389070</v>
      </c>
      <c r="E698" s="1">
        <f>IFERROR(__xludf.DUMMYFUNCTION("""COMPUTED_VALUE"""),472976231004)</f>
        <v>472976231004</v>
      </c>
      <c r="F698" s="1" t="str">
        <f>IFERROR(__xludf.DUMMYFUNCTION("""COMPUTED_VALUE"""),"CLOSED")</f>
        <v>CLOSED</v>
      </c>
      <c r="G698" s="1" t="str">
        <f>IFERROR(__xludf.DUMMYFUNCTION("""COMPUTED_VALUE"""),"CLOSED")</f>
        <v>CLOSED</v>
      </c>
      <c r="H698" s="1" t="str">
        <f>IFERROR(__xludf.DUMMYFUNCTION("""COMPUTED_VALUE"""),"PAID THRU GCASH REF# 124176369 9/27")</f>
        <v>PAID THRU GCASH REF# 124176369 9/27</v>
      </c>
      <c r="I698" s="1" t="str">
        <f>IFERROR(__xludf.DUMMYFUNCTION("""COMPUTED_VALUE"""),"WITH 1 AMSF")</f>
        <v>WITH 1 AMSF</v>
      </c>
      <c r="J698" s="1"/>
      <c r="K698" s="1" t="str">
        <f>IFERROR(__xludf.DUMMYFUNCTION("""COMPUTED_VALUE"""),"NOT IN OFSC")</f>
        <v>NOT IN OFSC</v>
      </c>
      <c r="L698" s="1" t="str">
        <f>IFERROR(__xludf.DUMMYFUNCTION("""COMPUTED_VALUE"""),"POSTED")</f>
        <v>POSTED</v>
      </c>
      <c r="M698" s="1" t="str">
        <f>IFERROR(__xludf.DUMMYFUNCTION("""COMPUTED_VALUE"""),"POSTED")</f>
        <v>POSTED</v>
      </c>
      <c r="N698" s="3">
        <f>IFERROR(__xludf.DUMMYFUNCTION("""COMPUTED_VALUE"""),46295)</f>
        <v>46295</v>
      </c>
      <c r="O698" s="1" t="str">
        <f>IFERROR(__xludf.DUMMYFUNCTION("""COMPUTED_VALUE"""),"FIBER UNLI ALL PLAN 1499")</f>
        <v>FIBER UNLI ALL PLAN 1499</v>
      </c>
      <c r="P698" s="1" t="str">
        <f>IFERROR(__xludf.DUMMYFUNCTION("""COMPUTED_VALUE"""),"LOWPLAN")</f>
        <v>LOWPLAN</v>
      </c>
      <c r="Q698" s="1" t="str">
        <f>IFERROR(__xludf.DUMMYFUNCTION("""COMPUTED_VALUE"""),"P407047")</f>
        <v>P407047</v>
      </c>
      <c r="R698" s="1" t="str">
        <f>IFERROR(__xludf.DUMMYFUNCTION("""COMPUTED_VALUE"""),"FRANCISCO, ROSELYN")</f>
        <v>FRANCISCO, ROSELYN</v>
      </c>
      <c r="S698" s="1" t="str">
        <f>IFERROR(__xludf.DUMMYFUNCTION("""COMPUTED_VALUE"""),"ORGANIC")</f>
        <v>ORGANIC</v>
      </c>
      <c r="T698" s="1" t="str">
        <f>IFERROR(__xludf.DUMMYFUNCTION("""COMPUTED_VALUE"""),"LEA REMOLLO")</f>
        <v>LEA REMOLLO</v>
      </c>
      <c r="U698" s="1" t="str">
        <f>IFERROR(__xludf.DUMMYFUNCTION("""COMPUTED_VALUE"""),"JB SALIOA")</f>
        <v>JB SALIOA</v>
      </c>
      <c r="V698" s="1" t="str">
        <f>IFERROR(__xludf.DUMMYFUNCTION("""COMPUTED_VALUE"""),"BK REGULAR")</f>
        <v>BK REGULAR</v>
      </c>
      <c r="W698" s="1" t="str">
        <f>IFERROR(__xludf.DUMMYFUNCTION("""COMPUTED_VALUE"""),"STK REGULAR")</f>
        <v>STK REGULAR</v>
      </c>
      <c r="X698" s="1" t="str">
        <f>IFERROR(__xludf.DUMMYFUNCTION("""COMPUTED_VALUE"""),"HBBS SEPT 2026")</f>
        <v>HBBS SEPT 2026</v>
      </c>
      <c r="Y698" s="1" t="str">
        <f>IFERROR(__xludf.DUMMYFUNCTION("""COMPUTED_VALUE"""),"BK_CVEU_260826")</f>
        <v>BK_CVEU_260826</v>
      </c>
      <c r="Z698" s="1" t="str">
        <f>IFERROR(__xludf.DUMMYFUNCTION("""COMPUTED_VALUE"""),"NEW CONNECT")</f>
        <v>NEW CONNECT</v>
      </c>
      <c r="AA698" s="1">
        <f>IFERROR(__xludf.DUMMYFUNCTION("""COMPUTED_VALUE"""),639750950208)</f>
        <v>639750950208</v>
      </c>
      <c r="AB698" s="1">
        <f>IFERROR(__xludf.DUMMYFUNCTION("""COMPUTED_VALUE"""),639278805892)</f>
        <v>639278805892</v>
      </c>
      <c r="AC698" s="1">
        <f>IFERROR(__xludf.DUMMYFUNCTION("""COMPUTED_VALUE"""),46)</f>
        <v>46</v>
      </c>
      <c r="AD698" s="1" t="str">
        <f>IFERROR(__xludf.DUMMYFUNCTION("""COMPUTED_VALUE"""),"JP RIZAL")</f>
        <v>JP RIZAL</v>
      </c>
      <c r="AE698" s="1"/>
      <c r="AF698" s="1" t="str">
        <f>IFERROR(__xludf.DUMMYFUNCTION("""COMPUTED_VALUE"""),"BGY 1")</f>
        <v>BGY 1</v>
      </c>
      <c r="AG698" s="1" t="str">
        <f>IFERROR(__xludf.DUMMYFUNCTION("""COMPUTED_VALUE"""),"MENDEZ")</f>
        <v>MENDEZ</v>
      </c>
      <c r="AH698" s="1" t="str">
        <f>IFERROR(__xludf.DUMMYFUNCTION("""COMPUTED_VALUE"""),"-")</f>
        <v>-</v>
      </c>
      <c r="AI698" s="1" t="str">
        <f>IFERROR(__xludf.DUMMYFUNCTION("""COMPUTED_VALUE"""),"CLUSTER 12")</f>
        <v>CLUSTER 12</v>
      </c>
    </row>
    <row r="699" customHeight="1" spans="1:35">
      <c r="A699" s="3">
        <f>IFERROR(__xludf.DUMMYFUNCTION("""COMPUTED_VALUE"""),46291)</f>
        <v>46291</v>
      </c>
      <c r="B699" s="1" t="str">
        <f>IFERROR(__xludf.DUMMYFUNCTION("""COMPUTED_VALUE"""),"MICHAEL PANGANIBAN GUIAO")</f>
        <v>MICHAEL PANGANIBAN GUIAO</v>
      </c>
      <c r="C699" s="1">
        <f>IFERROR(__xludf.DUMMYFUNCTION("""COMPUTED_VALUE"""),2312816941)</f>
        <v>2312816941</v>
      </c>
      <c r="D699" s="1"/>
      <c r="E699" s="1"/>
      <c r="F699" s="1" t="str">
        <f>IFERROR(__xludf.DUMMYFUNCTION("""COMPUTED_VALUE"""),"CANCELLED")</f>
        <v>CANCELLED</v>
      </c>
      <c r="G699" s="1" t="str">
        <f>IFERROR(__xludf.DUMMYFUNCTION("""COMPUTED_VALUE"""),"AUTO - DUPLICATE APP")</f>
        <v>AUTO - DUPLICATE APP</v>
      </c>
      <c r="H699" s="1"/>
      <c r="I699" s="1"/>
      <c r="J699" s="1"/>
      <c r="K699" s="1"/>
      <c r="L699" s="1" t="str">
        <f>IFERROR(__xludf.DUMMYFUNCTION("""COMPUTED_VALUE"""),"CANCELLED")</f>
        <v>CANCELLED</v>
      </c>
      <c r="M699" s="1" t="str">
        <f>IFERROR(__xludf.DUMMYFUNCTION("""COMPUTED_VALUE"""),"CANCELLED - DUPLICATE APP")</f>
        <v>CANCELLED - DUPLICATE APP</v>
      </c>
      <c r="N699" s="3"/>
      <c r="O699" s="1" t="str">
        <f>IFERROR(__xludf.DUMMYFUNCTION("""COMPUTED_VALUE"""),"FIBR UNLI ALL PLAN 999")</f>
        <v>FIBR UNLI ALL PLAN 999</v>
      </c>
      <c r="P699" s="1" t="str">
        <f>IFERROR(__xludf.DUMMYFUNCTION("""COMPUTED_VALUE"""),"LOWPLAN")</f>
        <v>LOWPLAN</v>
      </c>
      <c r="Q699" s="1" t="str">
        <f>IFERROR(__xludf.DUMMYFUNCTION("""COMPUTED_VALUE"""),"P407050")</f>
        <v>P407050</v>
      </c>
      <c r="R699" s="1" t="str">
        <f>IFERROR(__xludf.DUMMYFUNCTION("""COMPUTED_VALUE"""),"ESCARCHA, ALMA")</f>
        <v>ESCARCHA, ALMA</v>
      </c>
      <c r="S699" s="1" t="str">
        <f>IFERROR(__xludf.DUMMYFUNCTION("""COMPUTED_VALUE"""),"ORGANIC")</f>
        <v>ORGANIC</v>
      </c>
      <c r="T699" s="1" t="str">
        <f>IFERROR(__xludf.DUMMYFUNCTION("""COMPUTED_VALUE"""),"LEA REMOLLO")</f>
        <v>LEA REMOLLO</v>
      </c>
      <c r="U699" s="1" t="str">
        <f>IFERROR(__xludf.DUMMYFUNCTION("""COMPUTED_VALUE"""),"JB SALIOA")</f>
        <v>JB SALIOA</v>
      </c>
      <c r="V699" s="1" t="str">
        <f>IFERROR(__xludf.DUMMYFUNCTION("""COMPUTED_VALUE"""),"BK REGULAR")</f>
        <v>BK REGULAR</v>
      </c>
      <c r="W699" s="1" t="str">
        <f>IFERROR(__xludf.DUMMYFUNCTION("""COMPUTED_VALUE"""),"STK REGULAR")</f>
        <v>STK REGULAR</v>
      </c>
      <c r="X699" s="1" t="str">
        <f>IFERROR(__xludf.DUMMYFUNCTION("""COMPUTED_VALUE"""),"HBBS SEPT 2026")</f>
        <v>HBBS SEPT 2026</v>
      </c>
      <c r="Y699" s="1" t="str">
        <f>IFERROR(__xludf.DUMMYFUNCTION("""COMPUTED_VALUE"""),"BK_CVEU_260826")</f>
        <v>BK_CVEU_260826</v>
      </c>
      <c r="Z699" s="1" t="str">
        <f>IFERROR(__xludf.DUMMYFUNCTION("""COMPUTED_VALUE"""),"NEW CONNECT")</f>
        <v>NEW CONNECT</v>
      </c>
      <c r="AA699" s="1">
        <f>IFERROR(__xludf.DUMMYFUNCTION("""COMPUTED_VALUE"""),639661958053)</f>
        <v>639661958053</v>
      </c>
      <c r="AB699" s="1">
        <f>IFERROR(__xludf.DUMMYFUNCTION("""COMPUTED_VALUE"""),639661958053)</f>
        <v>639661958053</v>
      </c>
      <c r="AC699" s="1">
        <f>IFERROR(__xludf.DUMMYFUNCTION("""COMPUTED_VALUE"""),14)</f>
        <v>14</v>
      </c>
      <c r="AD699" s="1" t="str">
        <f>IFERROR(__xludf.DUMMYFUNCTION("""COMPUTED_VALUE"""),"DIMARANAN")</f>
        <v>DIMARANAN</v>
      </c>
      <c r="AE699" s="1"/>
      <c r="AF699" s="1" t="str">
        <f>IFERROR(__xludf.DUMMYFUNCTION("""COMPUTED_VALUE"""),"BGY 1")</f>
        <v>BGY 1</v>
      </c>
      <c r="AG699" s="1" t="str">
        <f>IFERROR(__xludf.DUMMYFUNCTION("""COMPUTED_VALUE"""),"MENDEZ")</f>
        <v>MENDEZ</v>
      </c>
      <c r="AH699" s="1" t="str">
        <f>IFERROR(__xludf.DUMMYFUNCTION("""COMPUTED_VALUE"""),"-")</f>
        <v>-</v>
      </c>
      <c r="AI699" s="1" t="str">
        <f>IFERROR(__xludf.DUMMYFUNCTION("""COMPUTED_VALUE"""),"CLUSTER 12")</f>
        <v>CLUSTER 12</v>
      </c>
    </row>
    <row r="700" customHeight="1" spans="1:35">
      <c r="A700" s="3">
        <f>IFERROR(__xludf.DUMMYFUNCTION("""COMPUTED_VALUE"""),46291)</f>
        <v>46291</v>
      </c>
      <c r="B700" s="1" t="str">
        <f>IFERROR(__xludf.DUMMYFUNCTION("""COMPUTED_VALUE"""),"JAIME JR FACTOR REYES")</f>
        <v>JAIME JR FACTOR REYES</v>
      </c>
      <c r="C700" s="1">
        <f>IFERROR(__xludf.DUMMYFUNCTION("""COMPUTED_VALUE"""),2312817266)</f>
        <v>2312817266</v>
      </c>
      <c r="D700" s="1">
        <f>IFERROR(__xludf.DUMMYFUNCTION("""COMPUTED_VALUE"""),408393019)</f>
        <v>408393019</v>
      </c>
      <c r="E700" s="1">
        <f>IFERROR(__xludf.DUMMYFUNCTION("""COMPUTED_VALUE"""),472977407004)</f>
        <v>472977407004</v>
      </c>
      <c r="F700" s="1" t="str">
        <f>IFERROR(__xludf.DUMMYFUNCTION("""COMPUTED_VALUE"""),"CANCELLED")</f>
        <v>CANCELLED</v>
      </c>
      <c r="G700" s="1" t="str">
        <f>IFERROR(__xludf.DUMMYFUNCTION("""COMPUTED_VALUE"""),"CANCELLED")</f>
        <v>CANCELLED</v>
      </c>
      <c r="H700" s="1" t="str">
        <f>IFERROR(__xludf.DUMMYFUNCTION("""COMPUTED_VALUE"""),"PAID VIA CSP")</f>
        <v>PAID VIA CSP</v>
      </c>
      <c r="I700" s="1" t="str">
        <f>IFERROR(__xludf.DUMMYFUNCTION("""COMPUTED_VALUE"""),"NO 1 AMSF")</f>
        <v>NO 1 AMSF</v>
      </c>
      <c r="J700" s="1"/>
      <c r="K700" s="1" t="str">
        <f>IFERROR(__xludf.DUMMYFUNCTION("""COMPUTED_VALUE"""),"NOT IN OFSC")</f>
        <v>NOT IN OFSC</v>
      </c>
      <c r="L700" s="1" t="str">
        <f>IFERROR(__xludf.DUMMYFUNCTION("""COMPUTED_VALUE"""),"CANCELLED")</f>
        <v>CANCELLED</v>
      </c>
      <c r="M700" s="1" t="str">
        <f>IFERROR(__xludf.DUMMYFUNCTION("""COMPUTED_VALUE"""),"CSP CANCELLED")</f>
        <v>CSP CANCELLED</v>
      </c>
      <c r="N700" s="3"/>
      <c r="O700" s="1" t="str">
        <f>IFERROR(__xludf.DUMMYFUNCTION("""COMPUTED_VALUE"""),"FIBER UNLI ALL PLAN 1499")</f>
        <v>FIBER UNLI ALL PLAN 1499</v>
      </c>
      <c r="P700" s="1" t="str">
        <f>IFERROR(__xludf.DUMMYFUNCTION("""COMPUTED_VALUE"""),"LOWPLAN")</f>
        <v>LOWPLAN</v>
      </c>
      <c r="Q700" s="1" t="str">
        <f>IFERROR(__xludf.DUMMYFUNCTION("""COMPUTED_VALUE"""),"P407050")</f>
        <v>P407050</v>
      </c>
      <c r="R700" s="1" t="str">
        <f>IFERROR(__xludf.DUMMYFUNCTION("""COMPUTED_VALUE"""),"CADERAO, RONALD")</f>
        <v>CADERAO, RONALD</v>
      </c>
      <c r="S700" s="1" t="str">
        <f>IFERROR(__xludf.DUMMYFUNCTION("""COMPUTED_VALUE"""),"ORGANIC")</f>
        <v>ORGANIC</v>
      </c>
      <c r="T700" s="1" t="str">
        <f>IFERROR(__xludf.DUMMYFUNCTION("""COMPUTED_VALUE"""),"LEA REMOLLO")</f>
        <v>LEA REMOLLO</v>
      </c>
      <c r="U700" s="1" t="str">
        <f>IFERROR(__xludf.DUMMYFUNCTION("""COMPUTED_VALUE"""),"JB SALIOA")</f>
        <v>JB SALIOA</v>
      </c>
      <c r="V700" s="1" t="str">
        <f>IFERROR(__xludf.DUMMYFUNCTION("""COMPUTED_VALUE"""),"BK HSTK")</f>
        <v>BK HSTK</v>
      </c>
      <c r="W700" s="1" t="str">
        <f>IFERROR(__xludf.DUMMYFUNCTION("""COMPUTED_VALUE"""),"BK HSTK")</f>
        <v>BK HSTK</v>
      </c>
      <c r="X700" s="1" t="str">
        <f>IFERROR(__xludf.DUMMYFUNCTION("""COMPUTED_VALUE"""),"HBBS SEPT 2026")</f>
        <v>HBBS SEPT 2026</v>
      </c>
      <c r="Y700" s="1" t="str">
        <f>IFERROR(__xludf.DUMMYFUNCTION("""COMPUTED_VALUE"""),"BK_CVEU_260826")</f>
        <v>BK_CVEU_260826</v>
      </c>
      <c r="Z700" s="1" t="str">
        <f>IFERROR(__xludf.DUMMYFUNCTION("""COMPUTED_VALUE"""),"NEW CONNECT")</f>
        <v>NEW CONNECT</v>
      </c>
      <c r="AA700" s="1">
        <f>IFERROR(__xludf.DUMMYFUNCTION("""COMPUTED_VALUE"""),639398659260)</f>
        <v>639398659260</v>
      </c>
      <c r="AB700" s="1"/>
      <c r="AC700" s="1">
        <f>IFERROR(__xludf.DUMMYFUNCTION("""COMPUTED_VALUE"""),63)</f>
        <v>63</v>
      </c>
      <c r="AD700" s="1" t="str">
        <f>IFERROR(__xludf.DUMMYFUNCTION("""COMPUTED_VALUE"""),"MAYSILI")</f>
        <v>MAYSILI</v>
      </c>
      <c r="AE700" s="1"/>
      <c r="AF700" s="1" t="str">
        <f>IFERROR(__xludf.DUMMYFUNCTION("""COMPUTED_VALUE"""),"BGY ASIS 2")</f>
        <v>BGY ASIS 2</v>
      </c>
      <c r="AG700" s="1" t="str">
        <f>IFERROR(__xludf.DUMMYFUNCTION("""COMPUTED_VALUE"""),"MENDEZ")</f>
        <v>MENDEZ</v>
      </c>
      <c r="AH700" s="1" t="str">
        <f>IFERROR(__xludf.DUMMYFUNCTION("""COMPUTED_VALUE"""),"-")</f>
        <v>-</v>
      </c>
      <c r="AI700" s="1" t="str">
        <f>IFERROR(__xludf.DUMMYFUNCTION("""COMPUTED_VALUE"""),"CLUSTER 12")</f>
        <v>CLUSTER 12</v>
      </c>
    </row>
    <row r="701" customHeight="1" spans="1:35">
      <c r="A701" s="3">
        <f>IFERROR(__xludf.DUMMYFUNCTION("""COMPUTED_VALUE"""),46291)</f>
        <v>46291</v>
      </c>
      <c r="B701" s="1" t="str">
        <f>IFERROR(__xludf.DUMMYFUNCTION("""COMPUTED_VALUE""")," GREGORIO JR LOPEZ OSIS")</f>
        <v> GREGORIO JR LOPEZ OSIS</v>
      </c>
      <c r="C701" s="1">
        <f>IFERROR(__xludf.DUMMYFUNCTION("""COMPUTED_VALUE"""),2312817318)</f>
        <v>2312817318</v>
      </c>
      <c r="D701" s="1">
        <f>IFERROR(__xludf.DUMMYFUNCTION("""COMPUTED_VALUE"""),408393299)</f>
        <v>408393299</v>
      </c>
      <c r="E701" s="1">
        <f>IFERROR(__xludf.DUMMYFUNCTION("""COMPUTED_VALUE"""),472977325004)</f>
        <v>472977325004</v>
      </c>
      <c r="F701" s="1" t="str">
        <f>IFERROR(__xludf.DUMMYFUNCTION("""COMPUTED_VALUE"""),"CLOSED")</f>
        <v>CLOSED</v>
      </c>
      <c r="G701" s="1" t="str">
        <f>IFERROR(__xludf.DUMMYFUNCTION("""COMPUTED_VALUE"""),"CLOSED")</f>
        <v>CLOSED</v>
      </c>
      <c r="H701" s="1" t="str">
        <f>IFERROR(__xludf.DUMMYFUNCTION("""COMPUTED_VALUE"""),"PAID VIA GCASH - SEPT 28 - REF - 225132341")</f>
        <v>PAID VIA GCASH - SEPT 28 - REF - 225132341</v>
      </c>
      <c r="I701" s="1" t="str">
        <f>IFERROR(__xludf.DUMMYFUNCTION("""COMPUTED_VALUE"""),"WITH 1 AMSF")</f>
        <v>WITH 1 AMSF</v>
      </c>
      <c r="J701" s="1"/>
      <c r="K701" s="1" t="str">
        <f>IFERROR(__xludf.DUMMYFUNCTION("""COMPUTED_VALUE"""),"NOT IN OFSC")</f>
        <v>NOT IN OFSC</v>
      </c>
      <c r="L701" s="1" t="str">
        <f>IFERROR(__xludf.DUMMYFUNCTION("""COMPUTED_VALUE"""),"POSTED")</f>
        <v>POSTED</v>
      </c>
      <c r="M701" s="1" t="str">
        <f>IFERROR(__xludf.DUMMYFUNCTION("""COMPUTED_VALUE"""),"POSTED")</f>
        <v>POSTED</v>
      </c>
      <c r="N701" s="3">
        <f>IFERROR(__xludf.DUMMYFUNCTION("""COMPUTED_VALUE"""),46293)</f>
        <v>46293</v>
      </c>
      <c r="O701" s="1" t="str">
        <f>IFERROR(__xludf.DUMMYFUNCTION("""COMPUTED_VALUE"""),"FIBR PLAN 1299")</f>
        <v>FIBR PLAN 1299</v>
      </c>
      <c r="P701" s="1" t="str">
        <f>IFERROR(__xludf.DUMMYFUNCTION("""COMPUTED_VALUE"""),"LOWPLAN")</f>
        <v>LOWPLAN</v>
      </c>
      <c r="Q701" s="1" t="str">
        <f>IFERROR(__xludf.DUMMYFUNCTION("""COMPUTED_VALUE"""),"P407516 ")</f>
        <v>P407516 </v>
      </c>
      <c r="R701" s="1" t="str">
        <f>IFERROR(__xludf.DUMMYFUNCTION("""COMPUTED_VALUE"""),"AYON, MANUEL")</f>
        <v>AYON, MANUEL</v>
      </c>
      <c r="S701" s="1" t="str">
        <f>IFERROR(__xludf.DUMMYFUNCTION("""COMPUTED_VALUE"""),"FLA")</f>
        <v>FLA</v>
      </c>
      <c r="T701" s="1" t="str">
        <f>IFERROR(__xludf.DUMMYFUNCTION("""COMPUTED_VALUE"""),"JERIC NAVARRO")</f>
        <v>JERIC NAVARRO</v>
      </c>
      <c r="U701" s="1" t="str">
        <f>IFERROR(__xludf.DUMMYFUNCTION("""COMPUTED_VALUE"""),"JULIE ESPIRITU")</f>
        <v>JULIE ESPIRITU</v>
      </c>
      <c r="V701" s="1" t="str">
        <f>IFERROR(__xludf.DUMMYFUNCTION("""COMPUTED_VALUE"""),"BK HSTK")</f>
        <v>BK HSTK</v>
      </c>
      <c r="W701" s="1" t="str">
        <f>IFERROR(__xludf.DUMMYFUNCTION("""COMPUTED_VALUE"""),"BK HSTK")</f>
        <v>BK HSTK</v>
      </c>
      <c r="X701" s="1" t="str">
        <f>IFERROR(__xludf.DUMMYFUNCTION("""COMPUTED_VALUE"""),"HBBS SEPT 2026")</f>
        <v>HBBS SEPT 2026</v>
      </c>
      <c r="Y701" s="1" t="str">
        <f>IFERROR(__xludf.DUMMYFUNCTION("""COMPUTED_VALUE"""),"BK_CVEU_260828")</f>
        <v>BK_CVEU_260828</v>
      </c>
      <c r="Z701" s="1" t="str">
        <f>IFERROR(__xludf.DUMMYFUNCTION("""COMPUTED_VALUE"""),"NEW CONNECT")</f>
        <v>NEW CONNECT</v>
      </c>
      <c r="AA701" s="1">
        <f>IFERROR(__xludf.DUMMYFUNCTION("""COMPUTED_VALUE"""),639271471716)</f>
        <v>639271471716</v>
      </c>
      <c r="AB701" s="1">
        <f>IFERROR(__xludf.DUMMYFUNCTION("""COMPUTED_VALUE"""),639463569662)</f>
        <v>639463569662</v>
      </c>
      <c r="AC701" s="1"/>
      <c r="AD701" s="1" t="str">
        <f>IFERROR(__xludf.DUMMYFUNCTION("""COMPUTED_VALUE"""),"PHASE 1")</f>
        <v>PHASE 1</v>
      </c>
      <c r="AE701" s="1" t="str">
        <f>IFERROR(__xludf.DUMMYFUNCTION("""COMPUTED_VALUE"""),"PABAHAY")</f>
        <v>PABAHAY</v>
      </c>
      <c r="AF701" s="1" t="str">
        <f>IFERROR(__xludf.DUMMYFUNCTION("""COMPUTED_VALUE"""),"BGY ZAMBAL")</f>
        <v>BGY ZAMBAL</v>
      </c>
      <c r="AG701" s="1" t="str">
        <f>IFERROR(__xludf.DUMMYFUNCTION("""COMPUTED_VALUE"""),"TAGAYTAY")</f>
        <v>TAGAYTAY</v>
      </c>
      <c r="AH701" s="1" t="str">
        <f>IFERROR(__xludf.DUMMYFUNCTION("""COMPUTED_VALUE"""),"BRGY HALL")</f>
        <v>BRGY HALL</v>
      </c>
      <c r="AI701" s="1" t="str">
        <f>IFERROR(__xludf.DUMMYFUNCTION("""COMPUTED_VALUE"""),"CLUSTER 12")</f>
        <v>CLUSTER 12</v>
      </c>
    </row>
    <row r="702" customHeight="1" spans="1:35">
      <c r="A702" s="3">
        <f>IFERROR(__xludf.DUMMYFUNCTION("""COMPUTED_VALUE"""),46291)</f>
        <v>46291</v>
      </c>
      <c r="B702" s="1" t="str">
        <f>IFERROR(__xludf.DUMMYFUNCTION("""COMPUTED_VALUE"""),"LENE DELA TORRE HONDO")</f>
        <v>LENE DELA TORRE HONDO</v>
      </c>
      <c r="C702" s="1">
        <f>IFERROR(__xludf.DUMMYFUNCTION("""COMPUTED_VALUE"""),2312817582)</f>
        <v>2312817582</v>
      </c>
      <c r="D702" s="1">
        <f>IFERROR(__xludf.DUMMYFUNCTION("""COMPUTED_VALUE"""),408397235)</f>
        <v>408397235</v>
      </c>
      <c r="E702" s="1">
        <f>IFERROR(__xludf.DUMMYFUNCTION("""COMPUTED_VALUE"""),472978960004)</f>
        <v>472978960004</v>
      </c>
      <c r="F702" s="1" t="str">
        <f>IFERROR(__xludf.DUMMYFUNCTION("""COMPUTED_VALUE"""),"CLOSED")</f>
        <v>CLOSED</v>
      </c>
      <c r="G702" s="1" t="str">
        <f>IFERROR(__xludf.DUMMYFUNCTION("""COMPUTED_VALUE"""),"CLOSED")</f>
        <v>CLOSED</v>
      </c>
      <c r="H702" s="1" t="str">
        <f>IFERROR(__xludf.DUMMYFUNCTION("""COMPUTED_VALUE"""),"PAID VIA GCASH REF 674149479 SEP 29")</f>
        <v>PAID VIA GCASH REF 674149479 SEP 29</v>
      </c>
      <c r="I702" s="1" t="str">
        <f>IFERROR(__xludf.DUMMYFUNCTION("""COMPUTED_VALUE"""),"WITH 1 AMSF")</f>
        <v>WITH 1 AMSF</v>
      </c>
      <c r="J702" s="1"/>
      <c r="K702" s="1" t="str">
        <f>IFERROR(__xludf.DUMMYFUNCTION("""COMPUTED_VALUE"""),"NOT IN OFSC")</f>
        <v>NOT IN OFSC</v>
      </c>
      <c r="L702" s="1" t="str">
        <f>IFERROR(__xludf.DUMMYFUNCTION("""COMPUTED_VALUE"""),"POSTED")</f>
        <v>POSTED</v>
      </c>
      <c r="M702" s="1" t="str">
        <f>IFERROR(__xludf.DUMMYFUNCTION("""COMPUTED_VALUE"""),"POSTED")</f>
        <v>POSTED</v>
      </c>
      <c r="N702" s="3">
        <f>IFERROR(__xludf.DUMMYFUNCTION("""COMPUTED_VALUE"""),46293)</f>
        <v>46293</v>
      </c>
      <c r="O702" s="1" t="str">
        <f>IFERROR(__xludf.DUMMYFUNCTION("""COMPUTED_VALUE"""),"FIBR PLAN 1299")</f>
        <v>FIBR PLAN 1299</v>
      </c>
      <c r="P702" s="1" t="str">
        <f>IFERROR(__xludf.DUMMYFUNCTION("""COMPUTED_VALUE"""),"LOWPLAN")</f>
        <v>LOWPLAN</v>
      </c>
      <c r="Q702" s="1" t="str">
        <f>IFERROR(__xludf.DUMMYFUNCTION("""COMPUTED_VALUE"""),"P407564")</f>
        <v>P407564</v>
      </c>
      <c r="R702" s="1" t="str">
        <f>IFERROR(__xludf.DUMMYFUNCTION("""COMPUTED_VALUE"""),"ARENA, LYKA")</f>
        <v>ARENA, LYKA</v>
      </c>
      <c r="S702" s="1" t="str">
        <f>IFERROR(__xludf.DUMMYFUNCTION("""COMPUTED_VALUE"""),"ORGANIC")</f>
        <v>ORGANIC</v>
      </c>
      <c r="T702" s="1" t="str">
        <f>IFERROR(__xludf.DUMMYFUNCTION("""COMPUTED_VALUE"""),"LEA REMOLLO")</f>
        <v>LEA REMOLLO</v>
      </c>
      <c r="U702" s="1" t="str">
        <f>IFERROR(__xludf.DUMMYFUNCTION("""COMPUTED_VALUE"""),"JB SALIOA")</f>
        <v>JB SALIOA</v>
      </c>
      <c r="V702" s="1" t="str">
        <f>IFERROR(__xludf.DUMMYFUNCTION("""COMPUTED_VALUE"""),"BK REGULAR")</f>
        <v>BK REGULAR</v>
      </c>
      <c r="W702" s="1" t="str">
        <f>IFERROR(__xludf.DUMMYFUNCTION("""COMPUTED_VALUE"""),"STK REGULAR")</f>
        <v>STK REGULAR</v>
      </c>
      <c r="X702" s="1" t="str">
        <f>IFERROR(__xludf.DUMMYFUNCTION("""COMPUTED_VALUE"""),"HBBS SEPT 2026")</f>
        <v>HBBS SEPT 2026</v>
      </c>
      <c r="Y702" s="1" t="str">
        <f>IFERROR(__xludf.DUMMYFUNCTION("""COMPUTED_VALUE"""),"BK_CVEU_260826")</f>
        <v>BK_CVEU_260826</v>
      </c>
      <c r="Z702" s="1" t="str">
        <f>IFERROR(__xludf.DUMMYFUNCTION("""COMPUTED_VALUE"""),"NEW CONNECT")</f>
        <v>NEW CONNECT</v>
      </c>
      <c r="AA702" s="1">
        <f>IFERROR(__xludf.DUMMYFUNCTION("""COMPUTED_VALUE"""),639659904386)</f>
        <v>639659904386</v>
      </c>
      <c r="AB702" s="1"/>
      <c r="AC702" s="1">
        <f>IFERROR(__xludf.DUMMYFUNCTION("""COMPUTED_VALUE"""),72)</f>
        <v>72</v>
      </c>
      <c r="AD702" s="1" t="str">
        <f>IFERROR(__xludf.DUMMYFUNCTION("""COMPUTED_VALUE"""),"MABINI")</f>
        <v>MABINI</v>
      </c>
      <c r="AE702" s="1"/>
      <c r="AF702" s="1" t="str">
        <f>IFERROR(__xludf.DUMMYFUNCTION("""COMPUTED_VALUE"""),"BGY 3")</f>
        <v>BGY 3</v>
      </c>
      <c r="AG702" s="1" t="str">
        <f>IFERROR(__xludf.DUMMYFUNCTION("""COMPUTED_VALUE"""),"MENDEZ")</f>
        <v>MENDEZ</v>
      </c>
      <c r="AH702" s="1" t="str">
        <f>IFERROR(__xludf.DUMMYFUNCTION("""COMPUTED_VALUE"""),"-")</f>
        <v>-</v>
      </c>
      <c r="AI702" s="1" t="str">
        <f>IFERROR(__xludf.DUMMYFUNCTION("""COMPUTED_VALUE"""),"CLUSTER 12")</f>
        <v>CLUSTER 12</v>
      </c>
    </row>
    <row r="703" customHeight="1" spans="1:35">
      <c r="A703" s="3">
        <f>IFERROR(__xludf.DUMMYFUNCTION("""COMPUTED_VALUE"""),46291)</f>
        <v>46291</v>
      </c>
      <c r="B703" s="1" t="str">
        <f>IFERROR(__xludf.DUMMYFUNCTION("""COMPUTED_VALUE"""),"IMEE QUIDLAT VITUDIO")</f>
        <v>IMEE QUIDLAT VITUDIO</v>
      </c>
      <c r="C703" s="1">
        <f>IFERROR(__xludf.DUMMYFUNCTION("""COMPUTED_VALUE"""),2312817897)</f>
        <v>2312817897</v>
      </c>
      <c r="D703" s="1"/>
      <c r="E703" s="1"/>
      <c r="F703" s="1" t="str">
        <f>IFERROR(__xludf.DUMMYFUNCTION("""COMPUTED_VALUE"""),"RETURN TO SALES DEDUP VAL")</f>
        <v>RETURN TO SALES DEDUP VAL</v>
      </c>
      <c r="G703" s="1" t="str">
        <f>IFERROR(__xludf.DUMMYFUNCTION("""COMPUTED_VALUE"""),"(POA REQUIREMENT - MULTIPLE LINE APPLICATION) RETURN TO SALES | bk sr for call out but uncontatced | WITH SAME CBR NUMBER UNDER / DIFF PERSON ACCOUNT NUMBER (0335814142)| | VALIDATED COMPLETE DOCS | CORRECT ENCODED INFO IN CSP | 1AMSF RECQUIRED (GG – 1 (N"&amp;"TC)| NO EXISTING ACTIVE ACCT AND / OR PENDING|)SAME NAME /SAME ADDRESS | CLEARED FORM BLACKLISTED | UNCONTACTED | CALL TRU: 09282872642 2:46 PM |")</f>
        <v>(POA REQUIREMENT - MULTIPLE LINE APPLICATION) RETURN TO SALES | bk sr for call out but uncontatced | WITH SAME CBR NUMBER UNDER / DIFF PERSON ACCOUNT NUMBER (0335814142)| | VALIDATED COMPLETE DOCS | CORRECT ENCODED INFO IN CSP | 1AMSF RECQUIRED (GG – 1 (NTC)| NO EXISTING ACTIVE ACCT AND / OR PENDING|)SAME NAME /SAME ADDRESS | CLEARED FORM BLACKLISTED | UNCONTACTED | CALL TRU: 09282872642 2:46 PM |</v>
      </c>
      <c r="H703" s="1"/>
      <c r="I703" s="1"/>
      <c r="J703" s="1"/>
      <c r="K703" s="1"/>
      <c r="L703" s="1" t="str">
        <f>IFERROR(__xludf.DUMMYFUNCTION("""COMPUTED_VALUE"""),"RTS - UNCONTACTED")</f>
        <v>RTS - UNCONTACTED</v>
      </c>
      <c r="M703" s="1" t="str">
        <f>IFERROR(__xludf.DUMMYFUNCTION("""COMPUTED_VALUE"""),"RTS - UNCONTACTABLE")</f>
        <v>RTS - UNCONTACTABLE</v>
      </c>
      <c r="N703" s="3"/>
      <c r="O703" s="1" t="str">
        <f>IFERROR(__xludf.DUMMYFUNCTION("""COMPUTED_VALUE"""),"FIBR PLAN 1299")</f>
        <v>FIBR PLAN 1299</v>
      </c>
      <c r="P703" s="1" t="str">
        <f>IFERROR(__xludf.DUMMYFUNCTION("""COMPUTED_VALUE"""),"LOWPLAN")</f>
        <v>LOWPLAN</v>
      </c>
      <c r="Q703" s="1" t="str">
        <f>IFERROR(__xludf.DUMMYFUNCTION("""COMPUTED_VALUE"""),"P407561")</f>
        <v>P407561</v>
      </c>
      <c r="R703" s="1" t="str">
        <f>IFERROR(__xludf.DUMMYFUNCTION("""COMPUTED_VALUE"""),"CABRERA, IVAN")</f>
        <v>CABRERA, IVAN</v>
      </c>
      <c r="S703" s="1" t="str">
        <f>IFERROR(__xludf.DUMMYFUNCTION("""COMPUTED_VALUE"""),"ORGANIC")</f>
        <v>ORGANIC</v>
      </c>
      <c r="T703" s="1" t="str">
        <f>IFERROR(__xludf.DUMMYFUNCTION("""COMPUTED_VALUE"""),"LEA REMOLLO")</f>
        <v>LEA REMOLLO</v>
      </c>
      <c r="U703" s="1" t="str">
        <f>IFERROR(__xludf.DUMMYFUNCTION("""COMPUTED_VALUE"""),"JB SALIOA")</f>
        <v>JB SALIOA</v>
      </c>
      <c r="V703" s="1" t="str">
        <f>IFERROR(__xludf.DUMMYFUNCTION("""COMPUTED_VALUE"""),"BK HSTK")</f>
        <v>BK HSTK</v>
      </c>
      <c r="W703" s="1" t="str">
        <f>IFERROR(__xludf.DUMMYFUNCTION("""COMPUTED_VALUE"""),"BK HSTK")</f>
        <v>BK HSTK</v>
      </c>
      <c r="X703" s="1" t="str">
        <f>IFERROR(__xludf.DUMMYFUNCTION("""COMPUTED_VALUE"""),"HBBS SEPT 2026")</f>
        <v>HBBS SEPT 2026</v>
      </c>
      <c r="Y703" s="1" t="str">
        <f>IFERROR(__xludf.DUMMYFUNCTION("""COMPUTED_VALUE"""),"BK_CVEU_260824")</f>
        <v>BK_CVEU_260824</v>
      </c>
      <c r="Z703" s="1" t="str">
        <f>IFERROR(__xludf.DUMMYFUNCTION("""COMPUTED_VALUE"""),"NEW CONNECT")</f>
        <v>NEW CONNECT</v>
      </c>
      <c r="AA703" s="1">
        <f>IFERROR(__xludf.DUMMYFUNCTION("""COMPUTED_VALUE"""),639282872642)</f>
        <v>639282872642</v>
      </c>
      <c r="AB703" s="1"/>
      <c r="AC703" s="1">
        <f>IFERROR(__xludf.DUMMYFUNCTION("""COMPUTED_VALUE"""),26)</f>
        <v>26</v>
      </c>
      <c r="AD703" s="1" t="str">
        <f>IFERROR(__xludf.DUMMYFUNCTION("""COMPUTED_VALUE"""),"EUSTAQUIO")</f>
        <v>EUSTAQUIO</v>
      </c>
      <c r="AE703" s="1" t="str">
        <f>IFERROR(__xludf.DUMMYFUNCTION("""COMPUTED_VALUE"""),"ALTAREZ")</f>
        <v>ALTAREZ</v>
      </c>
      <c r="AF703" s="1" t="str">
        <f>IFERROR(__xludf.DUMMYFUNCTION("""COMPUTED_VALUE"""),"BGY MADUYA")</f>
        <v>BGY MADUYA</v>
      </c>
      <c r="AG703" s="1" t="str">
        <f>IFERROR(__xludf.DUMMYFUNCTION("""COMPUTED_VALUE"""),"CARMONA")</f>
        <v>CARMONA</v>
      </c>
      <c r="AH703" s="1" t="str">
        <f>IFERROR(__xludf.DUMMYFUNCTION("""COMPUTED_VALUE"""),"CHRISTIAN CHURCH")</f>
        <v>CHRISTIAN CHURCH</v>
      </c>
      <c r="AI703" s="1" t="str">
        <f>IFERROR(__xludf.DUMMYFUNCTION("""COMPUTED_VALUE"""),"CLUSTER 11")</f>
        <v>CLUSTER 11</v>
      </c>
    </row>
    <row r="704" customHeight="1" spans="1:35">
      <c r="A704" s="3">
        <f>IFERROR(__xludf.DUMMYFUNCTION("""COMPUTED_VALUE"""),46291)</f>
        <v>46291</v>
      </c>
      <c r="B704" s="1" t="str">
        <f>IFERROR(__xludf.DUMMYFUNCTION("""COMPUTED_VALUE"""),"RAMIL TAGABAN GUDIAGA")</f>
        <v>RAMIL TAGABAN GUDIAGA</v>
      </c>
      <c r="C704" s="1">
        <f>IFERROR(__xludf.DUMMYFUNCTION("""COMPUTED_VALUE"""),2312818420)</f>
        <v>2312818420</v>
      </c>
      <c r="D704" s="1">
        <f>IFERROR(__xludf.DUMMYFUNCTION("""COMPUTED_VALUE"""),408402506)</f>
        <v>408402506</v>
      </c>
      <c r="E704" s="1">
        <f>IFERROR(__xludf.DUMMYFUNCTION("""COMPUTED_VALUE"""),472982768004)</f>
        <v>472982768004</v>
      </c>
      <c r="F704" s="1" t="str">
        <f>IFERROR(__xludf.DUMMYFUNCTION("""COMPUTED_VALUE"""),"CLOSED")</f>
        <v>CLOSED</v>
      </c>
      <c r="G704" s="1" t="str">
        <f>IFERROR(__xludf.DUMMYFUNCTION("""COMPUTED_VALUE"""),"CLOSED")</f>
        <v>CLOSED</v>
      </c>
      <c r="H704" s="1" t="str">
        <f>IFERROR(__xludf.DUMMYFUNCTION("""COMPUTED_VALUE"""),"PAID VIA GCASH REF 435230947 SEP 30")</f>
        <v>PAID VIA GCASH REF 435230947 SEP 30</v>
      </c>
      <c r="I704" s="1" t="str">
        <f>IFERROR(__xludf.DUMMYFUNCTION("""COMPUTED_VALUE"""),"WITH 1 AMSF")</f>
        <v>WITH 1 AMSF</v>
      </c>
      <c r="J704" s="1"/>
      <c r="K704" s="1" t="str">
        <f>IFERROR(__xludf.DUMMYFUNCTION("""COMPUTED_VALUE"""),"SUSPENDED")</f>
        <v>SUSPENDED</v>
      </c>
      <c r="L704" s="1" t="str">
        <f>IFERROR(__xludf.DUMMYFUNCTION("""COMPUTED_VALUE"""),"POSTED")</f>
        <v>POSTED</v>
      </c>
      <c r="M704" s="1" t="str">
        <f>IFERROR(__xludf.DUMMYFUNCTION("""COMPUTED_VALUE"""),"POSTED")</f>
        <v>POSTED</v>
      </c>
      <c r="N704" s="3">
        <f>IFERROR(__xludf.DUMMYFUNCTION("""COMPUTED_VALUE"""),46300)</f>
        <v>46300</v>
      </c>
      <c r="O704" s="1" t="str">
        <f>IFERROR(__xludf.DUMMYFUNCTION("""COMPUTED_VALUE"""),"FIBR PLAN 1299")</f>
        <v>FIBR PLAN 1299</v>
      </c>
      <c r="P704" s="1" t="str">
        <f>IFERROR(__xludf.DUMMYFUNCTION("""COMPUTED_VALUE"""),"LOWPLAN")</f>
        <v>LOWPLAN</v>
      </c>
      <c r="Q704" s="1" t="str">
        <f>IFERROR(__xludf.DUMMYFUNCTION("""COMPUTED_VALUE"""),"P407567")</f>
        <v>P407567</v>
      </c>
      <c r="R704" s="1" t="str">
        <f>IFERROR(__xludf.DUMMYFUNCTION("""COMPUTED_VALUE"""),"IVNO, RAZZEL")</f>
        <v>IVNO, RAZZEL</v>
      </c>
      <c r="S704" s="1" t="str">
        <f>IFERROR(__xludf.DUMMYFUNCTION("""COMPUTED_VALUE"""),"LEADSTORE")</f>
        <v>LEADSTORE</v>
      </c>
      <c r="T704" s="1" t="str">
        <f>IFERROR(__xludf.DUMMYFUNCTION("""COMPUTED_VALUE"""),"JERIC NAVARRO")</f>
        <v>JERIC NAVARRO</v>
      </c>
      <c r="U704" s="1" t="str">
        <f>IFERROR(__xludf.DUMMYFUNCTION("""COMPUTED_VALUE"""),"JB SALIOA")</f>
        <v>JB SALIOA</v>
      </c>
      <c r="V704" s="1" t="str">
        <f>IFERROR(__xludf.DUMMYFUNCTION("""COMPUTED_VALUE"""),"H2H")</f>
        <v>H2H</v>
      </c>
      <c r="W704" s="1" t="str">
        <f>IFERROR(__xludf.DUMMYFUNCTION("""COMPUTED_VALUE"""),"STK REGULAR")</f>
        <v>STK REGULAR</v>
      </c>
      <c r="X704" s="1" t="str">
        <f>IFERROR(__xludf.DUMMYFUNCTION("""COMPUTED_VALUE"""),"HBBS SEPT 2026")</f>
        <v>HBBS SEPT 2026</v>
      </c>
      <c r="Y704" s="1" t="str">
        <f>IFERROR(__xludf.DUMMYFUNCTION("""COMPUTED_VALUE"""),"RS_LS_CVEU_2026")</f>
        <v>RS_LS_CVEU_2026</v>
      </c>
      <c r="Z704" s="1" t="str">
        <f>IFERROR(__xludf.DUMMYFUNCTION("""COMPUTED_VALUE"""),"NEW CONNECT")</f>
        <v>NEW CONNECT</v>
      </c>
      <c r="AA704" s="1">
        <f>IFERROR(__xludf.DUMMYFUNCTION("""COMPUTED_VALUE"""),639914606078)</f>
        <v>639914606078</v>
      </c>
      <c r="AB704" s="1">
        <f>IFERROR(__xludf.DUMMYFUNCTION("""COMPUTED_VALUE"""),639358947938)</f>
        <v>639358947938</v>
      </c>
      <c r="AC704" s="1"/>
      <c r="AD704" s="1" t="str">
        <f>IFERROR(__xludf.DUMMYFUNCTION("""COMPUTED_VALUE"""),"CALUMPANG")</f>
        <v>CALUMPANG</v>
      </c>
      <c r="AE704" s="1"/>
      <c r="AF704" s="1" t="str">
        <f>IFERROR(__xludf.DUMMYFUNCTION("""COMPUTED_VALUE"""),"BGY LANTIC")</f>
        <v>BGY LANTIC</v>
      </c>
      <c r="AG704" s="1" t="str">
        <f>IFERROR(__xludf.DUMMYFUNCTION("""COMPUTED_VALUE"""),"CARMONA")</f>
        <v>CARMONA</v>
      </c>
      <c r="AH704" s="1" t="str">
        <f>IFERROR(__xludf.DUMMYFUNCTION("""COMPUTED_VALUE"""),"-")</f>
        <v>-</v>
      </c>
      <c r="AI704" s="1" t="str">
        <f>IFERROR(__xludf.DUMMYFUNCTION("""COMPUTED_VALUE"""),"CLUSTER 11")</f>
        <v>CLUSTER 11</v>
      </c>
    </row>
    <row r="705" customHeight="1" spans="1:35">
      <c r="A705" s="3">
        <f>IFERROR(__xludf.DUMMYFUNCTION("""COMPUTED_VALUE"""),46291)</f>
        <v>46291</v>
      </c>
      <c r="B705" s="1" t="str">
        <f>IFERROR(__xludf.DUMMYFUNCTION("""COMPUTED_VALUE"""),"ANGELITO SILVA PABLO")</f>
        <v>ANGELITO SILVA PABLO</v>
      </c>
      <c r="C705" s="1">
        <f>IFERROR(__xludf.DUMMYFUNCTION("""COMPUTED_VALUE"""),2312818904)</f>
        <v>2312818904</v>
      </c>
      <c r="D705" s="1"/>
      <c r="E705" s="1"/>
      <c r="F705" s="1" t="str">
        <f>IFERROR(__xludf.DUMMYFUNCTION("""COMPUTED_VALUE"""),"REENCODED")</f>
        <v>REENCODED</v>
      </c>
      <c r="G705" s="1" t="str">
        <f>IFERROR(__xludf.DUMMYFUNCTION("""COMPUTED_VALUE"""),"APPROVED / VALIDATED COMPLETE DOCS | CORRECT ENCODED INFO IN CSP | WITH 1 AMSF (GG - 1 (NTC) | CLEARED FROM BLACKLISTED HIT | NO EXISTING ACTIVE ACCT AND / OR PENDING / CANCELLED APPLICATION / TIN PROVIDED IS VALID VIA TIN WEBSITE / CANNOT CHANGE PAYMENT "&amp;"REQUIRED DUE TO SYSTEM ERROR ")</f>
        <v>APPROVED / VALIDATED COMPLETE DOCS | CORRECT ENCODED INFO IN CSP | WITH 1 AMSF (GG - 1 (NTC) | CLEARED FROM BLACKLISTED HIT | NO EXISTING ACTIVE ACCT AND / OR PENDING / CANCELLED APPLICATION / TIN PROVIDED IS VALID VIA TIN WEBSITE / CANNOT CHANGE PAYMENT REQUIRED DUE TO SYSTEM ERROR </v>
      </c>
      <c r="H705" s="1"/>
      <c r="I705" s="1"/>
      <c r="J705" s="1"/>
      <c r="K705" s="1"/>
      <c r="L705" s="1" t="str">
        <f>IFERROR(__xludf.DUMMYFUNCTION("""COMPUTED_VALUE"""),"REENCODED")</f>
        <v>REENCODED</v>
      </c>
      <c r="M705" s="1" t="str">
        <f>IFERROR(__xludf.DUMMYFUNCTION("""COMPUTED_VALUE"""),"REENCODED")</f>
        <v>REENCODED</v>
      </c>
      <c r="N705" s="3"/>
      <c r="O705" s="1" t="str">
        <f>IFERROR(__xludf.DUMMYFUNCTION("""COMPUTED_VALUE"""),"FIBR UNLI ALL PLAN 999")</f>
        <v>FIBR UNLI ALL PLAN 999</v>
      </c>
      <c r="P705" s="1" t="str">
        <f>IFERROR(__xludf.DUMMYFUNCTION("""COMPUTED_VALUE"""),"LOWPLAN")</f>
        <v>LOWPLAN</v>
      </c>
      <c r="Q705" s="1" t="str">
        <f>IFERROR(__xludf.DUMMYFUNCTION("""COMPUTED_VALUE"""),"P407561")</f>
        <v>P407561</v>
      </c>
      <c r="R705" s="1" t="str">
        <f>IFERROR(__xludf.DUMMYFUNCTION("""COMPUTED_VALUE"""),"TAMAYO, MARY ROSE ZAIRA")</f>
        <v>TAMAYO, MARY ROSE ZAIRA</v>
      </c>
      <c r="S705" s="1" t="str">
        <f>IFERROR(__xludf.DUMMYFUNCTION("""COMPUTED_VALUE"""),"ORGANIC")</f>
        <v>ORGANIC</v>
      </c>
      <c r="T705" s="1" t="str">
        <f>IFERROR(__xludf.DUMMYFUNCTION("""COMPUTED_VALUE"""),"LEA REMOLLO")</f>
        <v>LEA REMOLLO</v>
      </c>
      <c r="U705" s="1" t="str">
        <f>IFERROR(__xludf.DUMMYFUNCTION("""COMPUTED_VALUE"""),"JB SALIOA")</f>
        <v>JB SALIOA</v>
      </c>
      <c r="V705" s="1" t="str">
        <f>IFERROR(__xludf.DUMMYFUNCTION("""COMPUTED_VALUE"""),"BK REGULAR")</f>
        <v>BK REGULAR</v>
      </c>
      <c r="W705" s="1" t="str">
        <f>IFERROR(__xludf.DUMMYFUNCTION("""COMPUTED_VALUE"""),"STK REGULAR")</f>
        <v>STK REGULAR</v>
      </c>
      <c r="X705" s="1" t="str">
        <f>IFERROR(__xludf.DUMMYFUNCTION("""COMPUTED_VALUE"""),"HBBS SEPT 2026")</f>
        <v>HBBS SEPT 2026</v>
      </c>
      <c r="Y705" s="1" t="str">
        <f>IFERROR(__xludf.DUMMYFUNCTION("""COMPUTED_VALUE"""),"BK_CVEU_260828")</f>
        <v>BK_CVEU_260828</v>
      </c>
      <c r="Z705" s="1" t="str">
        <f>IFERROR(__xludf.DUMMYFUNCTION("""COMPUTED_VALUE"""),"NEW CONNECT")</f>
        <v>NEW CONNECT</v>
      </c>
      <c r="AA705" s="1">
        <f>IFERROR(__xludf.DUMMYFUNCTION("""COMPUTED_VALUE"""),639649711293)</f>
        <v>639649711293</v>
      </c>
      <c r="AB705" s="1"/>
      <c r="AC705" s="1">
        <f>IFERROR(__xludf.DUMMYFUNCTION("""COMPUTED_VALUE"""),1537)</f>
        <v>1537</v>
      </c>
      <c r="AD705" s="1" t="str">
        <f>IFERROR(__xludf.DUMMYFUNCTION("""COMPUTED_VALUE"""),"PATUTONG MALAKI SOUTH")</f>
        <v>PATUTONG MALAKI SOUTH</v>
      </c>
      <c r="AE705" s="1"/>
      <c r="AF705" s="1" t="str">
        <f>IFERROR(__xludf.DUMMYFUNCTION("""COMPUTED_VALUE"""),"PATUTONG MALAKI SO")</f>
        <v>PATUTONG MALAKI SO</v>
      </c>
      <c r="AG705" s="1" t="str">
        <f>IFERROR(__xludf.DUMMYFUNCTION("""COMPUTED_VALUE"""),"TAGAYTAY")</f>
        <v>TAGAYTAY</v>
      </c>
      <c r="AH705" s="1" t="str">
        <f>IFERROR(__xludf.DUMMYFUNCTION("""COMPUTED_VALUE"""),"-")</f>
        <v>-</v>
      </c>
      <c r="AI705" s="1" t="str">
        <f>IFERROR(__xludf.DUMMYFUNCTION("""COMPUTED_VALUE"""),"CLUSTER 12")</f>
        <v>CLUSTER 12</v>
      </c>
    </row>
    <row r="706" customHeight="1" spans="1:35">
      <c r="A706" s="3">
        <f>IFERROR(__xludf.DUMMYFUNCTION("""COMPUTED_VALUE"""),46291)</f>
        <v>46291</v>
      </c>
      <c r="B706" s="1" t="str">
        <f>IFERROR(__xludf.DUMMYFUNCTION("""COMPUTED_VALUE""")," SHARIF DYLAN BALANG ALAWI")</f>
        <v> SHARIF DYLAN BALANG ALAWI</v>
      </c>
      <c r="C706" s="1">
        <f>IFERROR(__xludf.DUMMYFUNCTION("""COMPUTED_VALUE"""),2312819133)</f>
        <v>2312819133</v>
      </c>
      <c r="D706" s="1">
        <f>IFERROR(__xludf.DUMMYFUNCTION("""COMPUTED_VALUE"""),408412889)</f>
        <v>408412889</v>
      </c>
      <c r="E706" s="1">
        <f>IFERROR(__xludf.DUMMYFUNCTION("""COMPUTED_VALUE"""),473109971004)</f>
        <v>473109971004</v>
      </c>
      <c r="F706" s="1" t="str">
        <f>IFERROR(__xludf.DUMMYFUNCTION("""COMPUTED_VALUE"""),"RPR")</f>
        <v>RPR</v>
      </c>
      <c r="G706" s="1" t="str">
        <f>IFERROR(__xludf.DUMMYFUNCTION("""COMPUTED_VALUE"""),"""RPR/AFDRPR/AFD Format
Subs Name: SHARIF DYLAN BALANG ALAWI
PID: 473109971004
TRUCKROLL : CALLTHRU 
Remarks : FOR RESCHEDULE HINDI PO NAG SABI SI MAAM KUNG KAILAN IPAPA PROCEED ANG INSTALLATION SABI LNG PO PAG NAASIKASO NYA NA ANG PAYMENT CONFIRMED VIA"&amp;" TEXT 
TALKED: SHARIF DYLAN BALANG ALAWI
CBR: 09530435450
hanggang ngayon po dipa nasagot si sub - TODAY SEPTEMBER 30, 2026
""")</f>
        <v>"RPR/AFDRPR/AFD Format
Subs Name: SHARIF DYLAN BALANG ALAWI
PID: 473109971004
TRUCKROLL : CALLTHRU 
Remarks : FOR RESCHEDULE HINDI PO NAG SABI SI MAAM KUNG KAILAN IPAPA PROCEED ANG INSTALLATION SABI LNG PO PAG NAASIKASO NYA NA ANG PAYMENT CONFIRMED VIA TEXT 
TALKED: SHARIF DYLAN BALANG ALAWI
CBR: 09530435450
hanggang ngayon po dipa nasagot si sub - TODAY SEPTEMBER 30, 2026
"</v>
      </c>
      <c r="H706" s="1"/>
      <c r="I706" s="1" t="str">
        <f>IFERROR(__xludf.DUMMYFUNCTION("""COMPUTED_VALUE"""),"NO 1 AMSF")</f>
        <v>NO 1 AMSF</v>
      </c>
      <c r="J706" s="1"/>
      <c r="K706" s="1" t="str">
        <f>IFERROR(__xludf.DUMMYFUNCTION("""COMPUTED_VALUE"""),"NOT IN OFSC")</f>
        <v>NOT IN OFSC</v>
      </c>
      <c r="L706" s="1" t="str">
        <f>IFERROR(__xludf.DUMMYFUNCTION("""COMPUTED_VALUE"""),"RPR - SUBS CANCEL REQUEST")</f>
        <v>RPR - SUBS CANCEL REQUEST</v>
      </c>
      <c r="M706" s="1" t="str">
        <f>IFERROR(__xludf.DUMMYFUNCTION("""COMPUTED_VALUE"""),"RPR- SUBS CANCEL REQUEST")</f>
        <v>RPR- SUBS CANCEL REQUEST</v>
      </c>
      <c r="N706" s="3"/>
      <c r="O706" s="1" t="str">
        <f>IFERROR(__xludf.DUMMYFUNCTION("""COMPUTED_VALUE"""),"FIBR PLAN 1299")</f>
        <v>FIBR PLAN 1299</v>
      </c>
      <c r="P706" s="1" t="str">
        <f>IFERROR(__xludf.DUMMYFUNCTION("""COMPUTED_VALUE"""),"LOWPLAN")</f>
        <v>LOWPLAN</v>
      </c>
      <c r="Q706" s="1" t="str">
        <f>IFERROR(__xludf.DUMMYFUNCTION("""COMPUTED_VALUE"""),"P407048 ")</f>
        <v>P407048 </v>
      </c>
      <c r="R706" s="1" t="str">
        <f>IFERROR(__xludf.DUMMYFUNCTION("""COMPUTED_VALUE"""),"BONZA, LEE VINCENT")</f>
        <v>BONZA, LEE VINCENT</v>
      </c>
      <c r="S706" s="1" t="str">
        <f>IFERROR(__xludf.DUMMYFUNCTION("""COMPUTED_VALUE"""),"ORGANIC")</f>
        <v>ORGANIC</v>
      </c>
      <c r="T706" s="1" t="str">
        <f>IFERROR(__xludf.DUMMYFUNCTION("""COMPUTED_VALUE"""),"GARCIA MICHAEL JETTS")</f>
        <v>GARCIA MICHAEL JETTS</v>
      </c>
      <c r="U706" s="1" t="str">
        <f>IFERROR(__xludf.DUMMYFUNCTION("""COMPUTED_VALUE"""),"JULIE ESPIRITU")</f>
        <v>JULIE ESPIRITU</v>
      </c>
      <c r="V706" s="1" t="str">
        <f>IFERROR(__xludf.DUMMYFUNCTION("""COMPUTED_VALUE"""),"ONLINE/CRANFORD")</f>
        <v>ONLINE/CRANFORD</v>
      </c>
      <c r="W706" s="1" t="str">
        <f>IFERROR(__xludf.DUMMYFUNCTION("""COMPUTED_VALUE"""),"STK REGULAR")</f>
        <v>STK REGULAR</v>
      </c>
      <c r="X706" s="1" t="str">
        <f>IFERROR(__xludf.DUMMYFUNCTION("""COMPUTED_VALUE"""),"HBBS SEPT 2026")</f>
        <v>HBBS SEPT 2026</v>
      </c>
      <c r="Y706" s="1" t="str">
        <f>IFERROR(__xludf.DUMMYFUNCTION("""COMPUTED_VALUE"""),"RS_ONL_CVEU_2026")</f>
        <v>RS_ONL_CVEU_2026</v>
      </c>
      <c r="Z706" s="1" t="str">
        <f>IFERROR(__xludf.DUMMYFUNCTION("""COMPUTED_VALUE"""),"NEW CONNECT")</f>
        <v>NEW CONNECT</v>
      </c>
      <c r="AA706" s="1">
        <f>IFERROR(__xludf.DUMMYFUNCTION("""COMPUTED_VALUE"""),639558095926)</f>
        <v>639558095926</v>
      </c>
      <c r="AB706" s="1">
        <f>IFERROR(__xludf.DUMMYFUNCTION("""COMPUTED_VALUE"""),639530435450)</f>
        <v>639530435450</v>
      </c>
      <c r="AC706" s="1"/>
      <c r="AD706" s="1" t="str">
        <f>IFERROR(__xludf.DUMMYFUNCTION("""COMPUTED_VALUE"""),"KAFKA")</f>
        <v>KAFKA</v>
      </c>
      <c r="AE706" s="1" t="str">
        <f>IFERROR(__xludf.DUMMYFUNCTION("""COMPUTED_VALUE"""),"LANCASTER BRIGHTON 2")</f>
        <v>LANCASTER BRIGHTON 2</v>
      </c>
      <c r="AF706" s="1" t="str">
        <f>IFERROR(__xludf.DUMMYFUNCTION("""COMPUTED_VALUE"""),"PASONG CAMACHILE 1")</f>
        <v>PASONG CAMACHILE 1</v>
      </c>
      <c r="AG706" s="1" t="str">
        <f>IFERROR(__xludf.DUMMYFUNCTION("""COMPUTED_VALUE"""),"GENERAL TRIAS")</f>
        <v>GENERAL TRIAS</v>
      </c>
      <c r="AH706" s="1"/>
      <c r="AI706" s="1" t="str">
        <f>IFERROR(__xludf.DUMMYFUNCTION("""COMPUTED_VALUE"""),"NOT AOR")</f>
        <v>NOT AOR</v>
      </c>
    </row>
    <row r="707" customHeight="1" spans="1:35">
      <c r="A707" s="3">
        <f>IFERROR(__xludf.DUMMYFUNCTION("""COMPUTED_VALUE"""),46291)</f>
        <v>46291</v>
      </c>
      <c r="B707" s="1" t="str">
        <f>IFERROR(__xludf.DUMMYFUNCTION("""COMPUTED_VALUE"""),"RONNIE MACANDOG PABURA")</f>
        <v>RONNIE MACANDOG PABURA</v>
      </c>
      <c r="C707" s="1">
        <f>IFERROR(__xludf.DUMMYFUNCTION("""COMPUTED_VALUE"""),2312820250)</f>
        <v>2312820250</v>
      </c>
      <c r="D707" s="1">
        <f>IFERROR(__xludf.DUMMYFUNCTION("""COMPUTED_VALUE"""),408400376)</f>
        <v>408400376</v>
      </c>
      <c r="E707" s="1">
        <f>IFERROR(__xludf.DUMMYFUNCTION("""COMPUTED_VALUE"""),472981535004)</f>
        <v>472981535004</v>
      </c>
      <c r="F707" s="1" t="str">
        <f>IFERROR(__xludf.DUMMYFUNCTION("""COMPUTED_VALUE"""),"CLOSED")</f>
        <v>CLOSED</v>
      </c>
      <c r="G707" s="1" t="str">
        <f>IFERROR(__xludf.DUMMYFUNCTION("""COMPUTED_VALUE"""),"CLOSED")</f>
        <v>CLOSED</v>
      </c>
      <c r="H707" s="1" t="str">
        <f>IFERROR(__xludf.DUMMYFUNCTION("""COMPUTED_VALUE"""),"PQGOR365873831	01-Oct-26	Regular Payment	Union Bank-Internet Bills Payt	1,299.00	0	02-Oct-26")</f>
        <v>PQGOR365873831	01-Oct-26	Regular Payment	Union Bank-Internet Bills Payt	1,299.00	0	02-Oct-26</v>
      </c>
      <c r="I707" s="1" t="str">
        <f>IFERROR(__xludf.DUMMYFUNCTION("""COMPUTED_VALUE"""),"WITH 1 AMSF")</f>
        <v>WITH 1 AMSF</v>
      </c>
      <c r="J707" s="1"/>
      <c r="K707" s="1" t="str">
        <f>IFERROR(__xludf.DUMMYFUNCTION("""COMPUTED_VALUE"""),"NOT IN OFSC")</f>
        <v>NOT IN OFSC</v>
      </c>
      <c r="L707" s="1" t="str">
        <f>IFERROR(__xludf.DUMMYFUNCTION("""COMPUTED_VALUE"""),"POSTED")</f>
        <v>POSTED</v>
      </c>
      <c r="M707" s="1" t="str">
        <f>IFERROR(__xludf.DUMMYFUNCTION("""COMPUTED_VALUE"""),"POSTED")</f>
        <v>POSTED</v>
      </c>
      <c r="N707" s="3">
        <f>IFERROR(__xludf.DUMMYFUNCTION("""COMPUTED_VALUE"""),46293)</f>
        <v>46293</v>
      </c>
      <c r="O707" s="1" t="str">
        <f>IFERROR(__xludf.DUMMYFUNCTION("""COMPUTED_VALUE"""),"FIBR PLAN 1299")</f>
        <v>FIBR PLAN 1299</v>
      </c>
      <c r="P707" s="1" t="str">
        <f>IFERROR(__xludf.DUMMYFUNCTION("""COMPUTED_VALUE"""),"LOWPLAN")</f>
        <v>LOWPLAN</v>
      </c>
      <c r="Q707" s="1" t="str">
        <f>IFERROR(__xludf.DUMMYFUNCTION("""COMPUTED_VALUE"""),"P407559")</f>
        <v>P407559</v>
      </c>
      <c r="R707" s="1" t="str">
        <f>IFERROR(__xludf.DUMMYFUNCTION("""COMPUTED_VALUE"""),"MAGDARAOG, KENNETH")</f>
        <v>MAGDARAOG, KENNETH</v>
      </c>
      <c r="S707" s="1" t="str">
        <f>IFERROR(__xludf.DUMMYFUNCTION("""COMPUTED_VALUE"""),"ORGANIC")</f>
        <v>ORGANIC</v>
      </c>
      <c r="T707" s="1" t="str">
        <f>IFERROR(__xludf.DUMMYFUNCTION("""COMPUTED_VALUE"""),"LEA REMOLLO")</f>
        <v>LEA REMOLLO</v>
      </c>
      <c r="U707" s="1" t="str">
        <f>IFERROR(__xludf.DUMMYFUNCTION("""COMPUTED_VALUE"""),"JB SALIOA")</f>
        <v>JB SALIOA</v>
      </c>
      <c r="V707" s="1" t="str">
        <f>IFERROR(__xludf.DUMMYFUNCTION("""COMPUTED_VALUE"""),"BK EXPRESS")</f>
        <v>BK EXPRESS</v>
      </c>
      <c r="W707" s="1" t="str">
        <f>IFERROR(__xludf.DUMMYFUNCTION("""COMPUTED_VALUE"""),"BK HSTK")</f>
        <v>BK HSTK</v>
      </c>
      <c r="X707" s="1" t="str">
        <f>IFERROR(__xludf.DUMMYFUNCTION("""COMPUTED_VALUE"""),"HBBS SEPT 2026")</f>
        <v>HBBS SEPT 2026</v>
      </c>
      <c r="Y707" s="1" t="str">
        <f>IFERROR(__xludf.DUMMYFUNCTION("""COMPUTED_VALUE"""),"BK_CVEU_260823")</f>
        <v>BK_CVEU_260823</v>
      </c>
      <c r="Z707" s="1" t="str">
        <f>IFERROR(__xludf.DUMMYFUNCTION("""COMPUTED_VALUE"""),"NEW CONNECT")</f>
        <v>NEW CONNECT</v>
      </c>
      <c r="AA707" s="1">
        <f>IFERROR(__xludf.DUMMYFUNCTION("""COMPUTED_VALUE"""),639858514846)</f>
        <v>639858514846</v>
      </c>
      <c r="AB707" s="1"/>
      <c r="AC707" s="1">
        <f>IFERROR(__xludf.DUMMYFUNCTION("""COMPUTED_VALUE"""),34)</f>
        <v>34</v>
      </c>
      <c r="AD707" s="1" t="str">
        <f>IFERROR(__xludf.DUMMYFUNCTION("""COMPUTED_VALUE"""),"BANAYBANAY")</f>
        <v>BANAYBANAY</v>
      </c>
      <c r="AE707" s="1"/>
      <c r="AF707" s="1" t="str">
        <f>IFERROR(__xludf.DUMMYFUNCTION("""COMPUTED_VALUE"""),"BGY BANAYBANAY")</f>
        <v>BGY BANAYBANAY</v>
      </c>
      <c r="AG707" s="1" t="str">
        <f>IFERROR(__xludf.DUMMYFUNCTION("""COMPUTED_VALUE"""),"AMADEO")</f>
        <v>AMADEO</v>
      </c>
      <c r="AH707" s="1" t="str">
        <f>IFERROR(__xludf.DUMMYFUNCTION("""COMPUTED_VALUE"""),"BKEXPRESS_NEAR SABUNGAN / PEPSI")</f>
        <v>BKEXPRESS_NEAR SABUNGAN / PEPSI</v>
      </c>
      <c r="AI707" s="1" t="str">
        <f>IFERROR(__xludf.DUMMYFUNCTION("""COMPUTED_VALUE"""),"CLUSTER 12")</f>
        <v>CLUSTER 12</v>
      </c>
    </row>
    <row r="708" customHeight="1" spans="1:35">
      <c r="A708" s="3">
        <f>IFERROR(__xludf.DUMMYFUNCTION("""COMPUTED_VALUE"""),46291)</f>
        <v>46291</v>
      </c>
      <c r="B708" s="1" t="str">
        <f>IFERROR(__xludf.DUMMYFUNCTION("""COMPUTED_VALUE"""),"LILIBETH SINOHIN BUCADO")</f>
        <v>LILIBETH SINOHIN BUCADO</v>
      </c>
      <c r="C708" s="1">
        <f>IFERROR(__xludf.DUMMYFUNCTION("""COMPUTED_VALUE"""),2312821270)</f>
        <v>2312821270</v>
      </c>
      <c r="D708" s="1">
        <f>IFERROR(__xludf.DUMMYFUNCTION("""COMPUTED_VALUE"""),408401933)</f>
        <v>408401933</v>
      </c>
      <c r="E708" s="1">
        <f>IFERROR(__xludf.DUMMYFUNCTION("""COMPUTED_VALUE"""),472982429004)</f>
        <v>472982429004</v>
      </c>
      <c r="F708" s="1" t="str">
        <f>IFERROR(__xludf.DUMMYFUNCTION("""COMPUTED_VALUE"""),"CLOSED")</f>
        <v>CLOSED</v>
      </c>
      <c r="G708" s="1" t="str">
        <f>IFERROR(__xludf.DUMMYFUNCTION("""COMPUTED_VALUE"""),"CLOSED")</f>
        <v>CLOSED</v>
      </c>
      <c r="H708" s="1"/>
      <c r="I708" s="1" t="str">
        <f>IFERROR(__xludf.DUMMYFUNCTION("""COMPUTED_VALUE"""),"NO 1 AMSF")</f>
        <v>NO 1 AMSF</v>
      </c>
      <c r="J708" s="1" t="str">
        <f>IFERROR(__xludf.DUMMYFUNCTION("""COMPUTED_VALUE"""),"DUE DATE - 25-Oct-26 - 1,712.89")</f>
        <v>DUE DATE - 25-Oct-26 - 1,712.89</v>
      </c>
      <c r="K708" s="1" t="str">
        <f>IFERROR(__xludf.DUMMYFUNCTION("""COMPUTED_VALUE"""),"NOT IN OFSC")</f>
        <v>NOT IN OFSC</v>
      </c>
      <c r="L708" s="1" t="str">
        <f>IFERROR(__xludf.DUMMYFUNCTION("""COMPUTED_VALUE"""),"POSTED")</f>
        <v>POSTED</v>
      </c>
      <c r="M708" s="1" t="str">
        <f>IFERROR(__xludf.DUMMYFUNCTION("""COMPUTED_VALUE"""),"POSTED")</f>
        <v>POSTED</v>
      </c>
      <c r="N708" s="3">
        <f>IFERROR(__xludf.DUMMYFUNCTION("""COMPUTED_VALUE"""),46293)</f>
        <v>46293</v>
      </c>
      <c r="O708" s="1" t="str">
        <f>IFERROR(__xludf.DUMMYFUNCTION("""COMPUTED_VALUE"""),"FIBER UNLI ALL PLAN 1499")</f>
        <v>FIBER UNLI ALL PLAN 1499</v>
      </c>
      <c r="P708" s="1" t="str">
        <f>IFERROR(__xludf.DUMMYFUNCTION("""COMPUTED_VALUE"""),"LOWPLAN")</f>
        <v>LOWPLAN</v>
      </c>
      <c r="Q708" s="1" t="str">
        <f>IFERROR(__xludf.DUMMYFUNCTION("""COMPUTED_VALUE"""),"P407047")</f>
        <v>P407047</v>
      </c>
      <c r="R708" s="1" t="str">
        <f>IFERROR(__xludf.DUMMYFUNCTION("""COMPUTED_VALUE"""),"FRANCISCO, ROSELYN")</f>
        <v>FRANCISCO, ROSELYN</v>
      </c>
      <c r="S708" s="1" t="str">
        <f>IFERROR(__xludf.DUMMYFUNCTION("""COMPUTED_VALUE"""),"ORGANIC")</f>
        <v>ORGANIC</v>
      </c>
      <c r="T708" s="1" t="str">
        <f>IFERROR(__xludf.DUMMYFUNCTION("""COMPUTED_VALUE"""),"LEA REMOLLO")</f>
        <v>LEA REMOLLO</v>
      </c>
      <c r="U708" s="1" t="str">
        <f>IFERROR(__xludf.DUMMYFUNCTION("""COMPUTED_VALUE"""),"JB SALIOA")</f>
        <v>JB SALIOA</v>
      </c>
      <c r="V708" s="1" t="str">
        <f>IFERROR(__xludf.DUMMYFUNCTION("""COMPUTED_VALUE"""),"BK HSTK")</f>
        <v>BK HSTK</v>
      </c>
      <c r="W708" s="1" t="str">
        <f>IFERROR(__xludf.DUMMYFUNCTION("""COMPUTED_VALUE"""),"BK HSTK")</f>
        <v>BK HSTK</v>
      </c>
      <c r="X708" s="1" t="str">
        <f>IFERROR(__xludf.DUMMYFUNCTION("""COMPUTED_VALUE"""),"HBBS SEPT 2026")</f>
        <v>HBBS SEPT 2026</v>
      </c>
      <c r="Y708" s="1" t="str">
        <f>IFERROR(__xludf.DUMMYFUNCTION("""COMPUTED_VALUE"""),"BK_CVEU_260825")</f>
        <v>BK_CVEU_260825</v>
      </c>
      <c r="Z708" s="1" t="str">
        <f>IFERROR(__xludf.DUMMYFUNCTION("""COMPUTED_VALUE"""),"NEW CONNECT")</f>
        <v>NEW CONNECT</v>
      </c>
      <c r="AA708" s="1">
        <f>IFERROR(__xludf.DUMMYFUNCTION("""COMPUTED_VALUE"""),639489921592)</f>
        <v>639489921592</v>
      </c>
      <c r="AB708" s="1">
        <f>IFERROR(__xludf.DUMMYFUNCTION("""COMPUTED_VALUE"""),639691520160)</f>
        <v>639691520160</v>
      </c>
      <c r="AC708" s="1">
        <f>IFERROR(__xludf.DUMMYFUNCTION("""COMPUTED_VALUE"""),9035)</f>
        <v>9035</v>
      </c>
      <c r="AD708" s="1" t="str">
        <f>IFERROR(__xludf.DUMMYFUNCTION("""COMPUTED_VALUE"""),"SITIO KANEBO")</f>
        <v>SITIO KANEBO</v>
      </c>
      <c r="AE708" s="1" t="str">
        <f>IFERROR(__xludf.DUMMYFUNCTION("""COMPUTED_VALUE"""),"SITIO KANEBO")</f>
        <v>SITIO KANEBO</v>
      </c>
      <c r="AF708" s="1" t="str">
        <f>IFERROR(__xludf.DUMMYFUNCTION("""COMPUTED_VALUE"""),"BGY F DE CASTRO")</f>
        <v>BGY F DE CASTRO</v>
      </c>
      <c r="AG708" s="1" t="str">
        <f>IFERROR(__xludf.DUMMYFUNCTION("""COMPUTED_VALUE"""),"GEN MARIANO ALVAREZ")</f>
        <v>GEN MARIANO ALVAREZ</v>
      </c>
      <c r="AH708" s="1" t="str">
        <f>IFERROR(__xludf.DUMMYFUNCTION("""COMPUTED_VALUE"""),"-")</f>
        <v>-</v>
      </c>
      <c r="AI708" s="1" t="str">
        <f>IFERROR(__xludf.DUMMYFUNCTION("""COMPUTED_VALUE"""),"CLUSTER 11")</f>
        <v>CLUSTER 11</v>
      </c>
    </row>
    <row r="709" customHeight="1" spans="1:35">
      <c r="A709" s="3">
        <f>IFERROR(__xludf.DUMMYFUNCTION("""COMPUTED_VALUE"""),46291)</f>
        <v>46291</v>
      </c>
      <c r="B709" s="1" t="str">
        <f>IFERROR(__xludf.DUMMYFUNCTION("""COMPUTED_VALUE"""),"REINA VICTORIA AVERIA NATALIO")</f>
        <v>REINA VICTORIA AVERIA NATALIO</v>
      </c>
      <c r="C709" s="1">
        <f>IFERROR(__xludf.DUMMYFUNCTION("""COMPUTED_VALUE"""),2312821846)</f>
        <v>2312821846</v>
      </c>
      <c r="D709" s="1">
        <f>IFERROR(__xludf.DUMMYFUNCTION("""COMPUTED_VALUE"""),408407583)</f>
        <v>408407583</v>
      </c>
      <c r="E709" s="1">
        <f>IFERROR(__xludf.DUMMYFUNCTION("""COMPUTED_VALUE"""),473029103004)</f>
        <v>473029103004</v>
      </c>
      <c r="F709" s="1" t="str">
        <f>IFERROR(__xludf.DUMMYFUNCTION("""COMPUTED_VALUE"""),"CANCELLED")</f>
        <v>CANCELLED</v>
      </c>
      <c r="G709" s="1" t="str">
        <f>IFERROR(__xludf.DUMMYFUNCTION("""COMPUTED_VALUE"""),"""VISITED 
‎REMARKS: NO PRIVATE POLE ATTACHMENT. HINTAYIN NA LANG DAW NI SUBS YUNG ITATAYO NG BARANGAY. 
‎VALIDATOR QA GALINATO 
‎TALK SIR LEO (HUSBAND) 
09602157233 09687641380""")</f>
        <v>"VISITED 
‎REMARKS: NO PRIVATE POLE ATTACHMENT. HINTAYIN NA LANG DAW NI SUBS YUNG ITATAYO NG BARANGAY. 
‎VALIDATOR QA GALINATO 
‎TALK SIR LEO (HUSBAND) 
09602157233 09687641380"</v>
      </c>
      <c r="H709" s="1" t="str">
        <f>IFERROR(__xludf.DUMMYFUNCTION("""COMPUTED_VALUE"""),"PAID VIA PAY EXPRESS REF PX1317543981 SEP 28")</f>
        <v>PAID VIA PAY EXPRESS REF PX1317543981 SEP 28</v>
      </c>
      <c r="I709" s="1" t="str">
        <f>IFERROR(__xludf.DUMMYFUNCTION("""COMPUTED_VALUE"""),"WITH 1 AMSF")</f>
        <v>WITH 1 AMSF</v>
      </c>
      <c r="J709" s="1"/>
      <c r="K709" s="1" t="str">
        <f>IFERROR(__xludf.DUMMYFUNCTION("""COMPUTED_VALUE"""),"NOT IN OFSC")</f>
        <v>NOT IN OFSC</v>
      </c>
      <c r="L709" s="1" t="str">
        <f>IFERROR(__xludf.DUMMYFUNCTION("""COMPUTED_VALUE"""),"RPR - UNMAINTAINABLE")</f>
        <v>RPR - UNMAINTAINABLE</v>
      </c>
      <c r="M709" s="1" t="str">
        <f>IFERROR(__xludf.DUMMYFUNCTION("""COMPUTED_VALUE"""),"RPR - UNMAINTAINABLE")</f>
        <v>RPR - UNMAINTAINABLE</v>
      </c>
      <c r="N709" s="3"/>
      <c r="O709" s="1" t="str">
        <f>IFERROR(__xludf.DUMMYFUNCTION("""COMPUTED_VALUE"""),"FIBR PLAN 1299")</f>
        <v>FIBR PLAN 1299</v>
      </c>
      <c r="P709" s="1" t="str">
        <f>IFERROR(__xludf.DUMMYFUNCTION("""COMPUTED_VALUE"""),"LOWPLAN")</f>
        <v>LOWPLAN</v>
      </c>
      <c r="Q709" s="1" t="str">
        <f>IFERROR(__xludf.DUMMYFUNCTION("""COMPUTED_VALUE"""),"P407044")</f>
        <v>P407044</v>
      </c>
      <c r="R709" s="1" t="str">
        <f>IFERROR(__xludf.DUMMYFUNCTION("""COMPUTED_VALUE"""),"DACALCAP, ROGER")</f>
        <v>DACALCAP, ROGER</v>
      </c>
      <c r="S709" s="1" t="str">
        <f>IFERROR(__xludf.DUMMYFUNCTION("""COMPUTED_VALUE"""),"FLA")</f>
        <v>FLA</v>
      </c>
      <c r="T709" s="1" t="str">
        <f>IFERROR(__xludf.DUMMYFUNCTION("""COMPUTED_VALUE"""),"JERIC NAVARRO")</f>
        <v>JERIC NAVARRO</v>
      </c>
      <c r="U709" s="1" t="str">
        <f>IFERROR(__xludf.DUMMYFUNCTION("""COMPUTED_VALUE"""),"JB SALIOA")</f>
        <v>JB SALIOA</v>
      </c>
      <c r="V709" s="1" t="str">
        <f>IFERROR(__xludf.DUMMYFUNCTION("""COMPUTED_VALUE"""),"ONLINE/CRANFORD")</f>
        <v>ONLINE/CRANFORD</v>
      </c>
      <c r="W709" s="1" t="str">
        <f>IFERROR(__xludf.DUMMYFUNCTION("""COMPUTED_VALUE"""),"STK REGULAR")</f>
        <v>STK REGULAR</v>
      </c>
      <c r="X709" s="1" t="str">
        <f>IFERROR(__xludf.DUMMYFUNCTION("""COMPUTED_VALUE"""),"HBBS SEPT 2026")</f>
        <v>HBBS SEPT 2026</v>
      </c>
      <c r="Y709" s="1" t="str">
        <f>IFERROR(__xludf.DUMMYFUNCTION("""COMPUTED_VALUE"""),"RS_ONL_CVEU_2026")</f>
        <v>RS_ONL_CVEU_2026</v>
      </c>
      <c r="Z709" s="1" t="str">
        <f>IFERROR(__xludf.DUMMYFUNCTION("""COMPUTED_VALUE"""),"NEW CONNECT")</f>
        <v>NEW CONNECT</v>
      </c>
      <c r="AA709" s="1">
        <f>IFERROR(__xludf.DUMMYFUNCTION("""COMPUTED_VALUE"""),639602157233)</f>
        <v>639602157233</v>
      </c>
      <c r="AB709" s="1">
        <f>IFERROR(__xludf.DUMMYFUNCTION("""COMPUTED_VALUE"""),639687641380)</f>
        <v>639687641380</v>
      </c>
      <c r="AC709" s="1">
        <f>IFERROR(__xludf.DUMMYFUNCTION("""COMPUTED_VALUE"""),3035)</f>
        <v>3035</v>
      </c>
      <c r="AD709" s="1" t="str">
        <f>IFERROR(__xludf.DUMMYFUNCTION("""COMPUTED_VALUE"""),"AMBULO COMPOUND")</f>
        <v>AMBULO COMPOUND</v>
      </c>
      <c r="AE709" s="1" t="str">
        <f>IFERROR(__xludf.DUMMYFUNCTION("""COMPUTED_VALUE"""),"PUROK 4")</f>
        <v>PUROK 4</v>
      </c>
      <c r="AF709" s="1" t="str">
        <f>IFERROR(__xludf.DUMMYFUNCTION("""COMPUTED_VALUE"""),"BGY BILUSO")</f>
        <v>BGY BILUSO</v>
      </c>
      <c r="AG709" s="1" t="str">
        <f>IFERROR(__xludf.DUMMYFUNCTION("""COMPUTED_VALUE"""),"SILANG")</f>
        <v>SILANG</v>
      </c>
      <c r="AH709" s="1" t="str">
        <f>IFERROR(__xludf.DUMMYFUNCTION("""COMPUTED_VALUE"""),"BUMBASI PRIVATE RESORT")</f>
        <v>BUMBASI PRIVATE RESORT</v>
      </c>
      <c r="AI709" s="1" t="str">
        <f>IFERROR(__xludf.DUMMYFUNCTION("""COMPUTED_VALUE"""),"CLUSTER 11")</f>
        <v>CLUSTER 11</v>
      </c>
    </row>
    <row r="710" customHeight="1" spans="1:35">
      <c r="A710" s="3">
        <f>IFERROR(__xludf.DUMMYFUNCTION("""COMPUTED_VALUE"""),46292)</f>
        <v>46292</v>
      </c>
      <c r="B710" s="1" t="str">
        <f>IFERROR(__xludf.DUMMYFUNCTION("""COMPUTED_VALUE"""),"ANGELITO SILVA PABLO")</f>
        <v>ANGELITO SILVA PABLO</v>
      </c>
      <c r="C710" s="1">
        <f>IFERROR(__xludf.DUMMYFUNCTION("""COMPUTED_VALUE"""),2312830188)</f>
        <v>2312830188</v>
      </c>
      <c r="D710" s="1"/>
      <c r="E710" s="1"/>
      <c r="F710" s="1" t="str">
        <f>IFERROR(__xludf.DUMMYFUNCTION("""COMPUTED_VALUE"""),"RTS")</f>
        <v>RTS</v>
      </c>
      <c r="G710" s="1" t="str">
        <f>IFERROR(__xludf.DUMMYFUNCTION("""COMPUTED_VALUE"""),"(WITH BLACKLIST HIT FOR COMPLIANCE) RTS | BK SR | COMPLETE DOCS| DONE VALIDATION | CORRECT ENCODED INFO IN CSP | TU SCORING - FF - 1 (NTC) | WITH 1 AMSF REQUIREMENT | NO BLACKLIST HIT | WITH SAME CBR- 0391974993 / 0408199638 | CALL THRU : 09649711293 11:3"&amp;"9 AM | UNCONTACTED")</f>
        <v>(WITH BLACKLIST HIT FOR COMPLIANCE) RTS | BK SR | COMPLETE DOCS| DONE VALIDATION | CORRECT ENCODED INFO IN CSP | TU SCORING - FF - 1 (NTC) | WITH 1 AMSF REQUIREMENT | NO BLACKLIST HIT | WITH SAME CBR- 0391974993 / 0408199638 | CALL THRU : 09649711293 11:39 AM | UNCONTACTED</v>
      </c>
      <c r="H710" s="1"/>
      <c r="I710" s="1"/>
      <c r="J710" s="1"/>
      <c r="K710" s="1"/>
      <c r="L710" s="1" t="str">
        <f>IFERROR(__xludf.DUMMYFUNCTION("""COMPUTED_VALUE"""),"RTS CUSTOMER COMPLIANCE")</f>
        <v>RTS CUSTOMER COMPLIANCE</v>
      </c>
      <c r="M710" s="1" t="str">
        <f>IFERROR(__xludf.DUMMYFUNCTION("""COMPUTED_VALUE"""),"RTS - CUSTOMER COMPLIANCE")</f>
        <v>RTS - CUSTOMER COMPLIANCE</v>
      </c>
      <c r="N710" s="3"/>
      <c r="O710" s="1" t="str">
        <f>IFERROR(__xludf.DUMMYFUNCTION("""COMPUTED_VALUE"""),"FIBR UNLI ALL PLAN 999")</f>
        <v>FIBR UNLI ALL PLAN 999</v>
      </c>
      <c r="P710" s="1" t="str">
        <f>IFERROR(__xludf.DUMMYFUNCTION("""COMPUTED_VALUE"""),"LOWPLAN")</f>
        <v>LOWPLAN</v>
      </c>
      <c r="Q710" s="1" t="str">
        <f>IFERROR(__xludf.DUMMYFUNCTION("""COMPUTED_VALUE"""),"P407561")</f>
        <v>P407561</v>
      </c>
      <c r="R710" s="1" t="str">
        <f>IFERROR(__xludf.DUMMYFUNCTION("""COMPUTED_VALUE"""),"TAMAYO, MARY ROSE ZAIRA")</f>
        <v>TAMAYO, MARY ROSE ZAIRA</v>
      </c>
      <c r="S710" s="1" t="str">
        <f>IFERROR(__xludf.DUMMYFUNCTION("""COMPUTED_VALUE"""),"ORGANIC")</f>
        <v>ORGANIC</v>
      </c>
      <c r="T710" s="1" t="str">
        <f>IFERROR(__xludf.DUMMYFUNCTION("""COMPUTED_VALUE"""),"LEA REMOLLO")</f>
        <v>LEA REMOLLO</v>
      </c>
      <c r="U710" s="1" t="str">
        <f>IFERROR(__xludf.DUMMYFUNCTION("""COMPUTED_VALUE"""),"MARK MALIWAT")</f>
        <v>MARK MALIWAT</v>
      </c>
      <c r="V710" s="1" t="str">
        <f>IFERROR(__xludf.DUMMYFUNCTION("""COMPUTED_VALUE"""),"BK REGULAR")</f>
        <v>BK REGULAR</v>
      </c>
      <c r="W710" s="1" t="str">
        <f>IFERROR(__xludf.DUMMYFUNCTION("""COMPUTED_VALUE"""),"STK REGULAR")</f>
        <v>STK REGULAR</v>
      </c>
      <c r="X710" s="1" t="str">
        <f>IFERROR(__xludf.DUMMYFUNCTION("""COMPUTED_VALUE"""),"HBBS SEPT 2026")</f>
        <v>HBBS SEPT 2026</v>
      </c>
      <c r="Y710" s="1" t="str">
        <f>IFERROR(__xludf.DUMMYFUNCTION("""COMPUTED_VALUE"""),"BK_CVEU_260828")</f>
        <v>BK_CVEU_260828</v>
      </c>
      <c r="Z710" s="1" t="str">
        <f>IFERROR(__xludf.DUMMYFUNCTION("""COMPUTED_VALUE"""),"NEW CONNECT")</f>
        <v>NEW CONNECT</v>
      </c>
      <c r="AA710" s="1">
        <f>IFERROR(__xludf.DUMMYFUNCTION("""COMPUTED_VALUE"""),639649711293)</f>
        <v>639649711293</v>
      </c>
      <c r="AB710" s="1"/>
      <c r="AC710" s="1">
        <f>IFERROR(__xludf.DUMMYFUNCTION("""COMPUTED_VALUE"""),1537)</f>
        <v>1537</v>
      </c>
      <c r="AD710" s="1" t="str">
        <f>IFERROR(__xludf.DUMMYFUNCTION("""COMPUTED_VALUE"""),"PATUTONG MALAKI SOUTH")</f>
        <v>PATUTONG MALAKI SOUTH</v>
      </c>
      <c r="AE710" s="1"/>
      <c r="AF710" s="1" t="str">
        <f>IFERROR(__xludf.DUMMYFUNCTION("""COMPUTED_VALUE"""),"PATUTONG MALAKI SO")</f>
        <v>PATUTONG MALAKI SO</v>
      </c>
      <c r="AG710" s="1" t="str">
        <f>IFERROR(__xludf.DUMMYFUNCTION("""COMPUTED_VALUE"""),"TAGAYTAY")</f>
        <v>TAGAYTAY</v>
      </c>
      <c r="AH710" s="1" t="str">
        <f>IFERROR(__xludf.DUMMYFUNCTION("""COMPUTED_VALUE"""),"-")</f>
        <v>-</v>
      </c>
      <c r="AI710" s="1" t="str">
        <f>IFERROR(__xludf.DUMMYFUNCTION("""COMPUTED_VALUE"""),"CLUSTER 12")</f>
        <v>CLUSTER 12</v>
      </c>
    </row>
    <row r="711" customHeight="1" spans="1:35">
      <c r="A711" s="3">
        <f>IFERROR(__xludf.DUMMYFUNCTION("""COMPUTED_VALUE"""),46292)</f>
        <v>46292</v>
      </c>
      <c r="B711" s="1" t="str">
        <f>IFERROR(__xludf.DUMMYFUNCTION("""COMPUTED_VALUE"""),"JOHN MICHELL VILLIAFROL JAZARENO")</f>
        <v>JOHN MICHELL VILLIAFROL JAZARENO</v>
      </c>
      <c r="C711" s="1">
        <f>IFERROR(__xludf.DUMMYFUNCTION("""COMPUTED_VALUE"""),2312829103)</f>
        <v>2312829103</v>
      </c>
      <c r="D711" s="1">
        <f>IFERROR(__xludf.DUMMYFUNCTION("""COMPUTED_VALUE"""),408431859)</f>
        <v>408431859</v>
      </c>
      <c r="E711" s="1">
        <f>IFERROR(__xludf.DUMMYFUNCTION("""COMPUTED_VALUE"""),473271858004)</f>
        <v>473271858004</v>
      </c>
      <c r="F711" s="1" t="str">
        <f>IFERROR(__xludf.DUMMYFUNCTION("""COMPUTED_VALUE"""),"CANCELLED")</f>
        <v>CANCELLED</v>
      </c>
      <c r="G711" s="1" t="str">
        <f>IFERROR(__xludf.DUMMYFUNCTION("""COMPUTED_VALUE"""),"""SUBS CANCELL REQUEST DUE TO NO LONGER NEEDED. ASPER. ROBERT.
COUSIN OF SOR THRU. CALL. CBR. 09486709139""")</f>
        <v>"SUBS CANCELL REQUEST DUE TO NO LONGER NEEDED. ASPER. ROBERT.
COUSIN OF SOR THRU. CALL. CBR. 09486709139"</v>
      </c>
      <c r="H711" s="1" t="str">
        <f>IFERROR(__xludf.DUMMYFUNCTION("""COMPUTED_VALUE"""),"PAID VIA CSP")</f>
        <v>PAID VIA CSP</v>
      </c>
      <c r="I711" s="1" t="str">
        <f>IFERROR(__xludf.DUMMYFUNCTION("""COMPUTED_VALUE"""),"NO 1 AMSF")</f>
        <v>NO 1 AMSF</v>
      </c>
      <c r="J711" s="1"/>
      <c r="K711" s="1"/>
      <c r="L711" s="1" t="str">
        <f>IFERROR(__xludf.DUMMYFUNCTION("""COMPUTED_VALUE"""),"RPR - SUBS CANCEL REQUEST")</f>
        <v>RPR - SUBS CANCEL REQUEST</v>
      </c>
      <c r="M711" s="1" t="str">
        <f>IFERROR(__xludf.DUMMYFUNCTION("""COMPUTED_VALUE"""),"RPR- SUBS CANCEL REQUEST")</f>
        <v>RPR- SUBS CANCEL REQUEST</v>
      </c>
      <c r="N711" s="3"/>
      <c r="O711" s="1" t="str">
        <f>IFERROR(__xludf.DUMMYFUNCTION("""COMPUTED_VALUE"""),"FIBR PLAN 1299")</f>
        <v>FIBR PLAN 1299</v>
      </c>
      <c r="P711" s="1" t="str">
        <f>IFERROR(__xludf.DUMMYFUNCTION("""COMPUTED_VALUE"""),"LOWPLAN")</f>
        <v>LOWPLAN</v>
      </c>
      <c r="Q711" s="1" t="str">
        <f>IFERROR(__xludf.DUMMYFUNCTION("""COMPUTED_VALUE"""),"P407048")</f>
        <v>P407048</v>
      </c>
      <c r="R711" s="1" t="str">
        <f>IFERROR(__xludf.DUMMYFUNCTION("""COMPUTED_VALUE"""),"PEREZ, RONELL")</f>
        <v>PEREZ, RONELL</v>
      </c>
      <c r="S711" s="1" t="str">
        <f>IFERROR(__xludf.DUMMYFUNCTION("""COMPUTED_VALUE"""),"ORGANIC")</f>
        <v>ORGANIC</v>
      </c>
      <c r="T711" s="1" t="str">
        <f>IFERROR(__xludf.DUMMYFUNCTION("""COMPUTED_VALUE"""),"GARCIA MICHAEL JETTS")</f>
        <v>GARCIA MICHAEL JETTS</v>
      </c>
      <c r="U711" s="1" t="str">
        <f>IFERROR(__xludf.DUMMYFUNCTION("""COMPUTED_VALUE"""),"JULIE ESPIRITU")</f>
        <v>JULIE ESPIRITU</v>
      </c>
      <c r="V711" s="1" t="str">
        <f>IFERROR(__xludf.DUMMYFUNCTION("""COMPUTED_VALUE"""),"ONLINE/CRANFORD")</f>
        <v>ONLINE/CRANFORD</v>
      </c>
      <c r="W711" s="1" t="str">
        <f>IFERROR(__xludf.DUMMYFUNCTION("""COMPUTED_VALUE"""),"STK REGULAR")</f>
        <v>STK REGULAR</v>
      </c>
      <c r="X711" s="1" t="str">
        <f>IFERROR(__xludf.DUMMYFUNCTION("""COMPUTED_VALUE"""),"HBBS SEPT 2026")</f>
        <v>HBBS SEPT 2026</v>
      </c>
      <c r="Y711" s="1" t="str">
        <f>IFERROR(__xludf.DUMMYFUNCTION("""COMPUTED_VALUE"""),"RS_ONL_CVEU_2026")</f>
        <v>RS_ONL_CVEU_2026</v>
      </c>
      <c r="Z711" s="1" t="str">
        <f>IFERROR(__xludf.DUMMYFUNCTION("""COMPUTED_VALUE"""),"NEW CONNECT")</f>
        <v>NEW CONNECT</v>
      </c>
      <c r="AA711" s="1">
        <f>IFERROR(__xludf.DUMMYFUNCTION("""COMPUTED_VALUE"""),639633213152)</f>
        <v>639633213152</v>
      </c>
      <c r="AB711" s="1">
        <f>IFERROR(__xludf.DUMMYFUNCTION("""COMPUTED_VALUE"""),639486709139)</f>
        <v>639486709139</v>
      </c>
      <c r="AC711" s="1">
        <f>IFERROR(__xludf.DUMMYFUNCTION("""COMPUTED_VALUE"""),5)</f>
        <v>5</v>
      </c>
      <c r="AD711" s="1" t="str">
        <f>IFERROR(__xludf.DUMMYFUNCTION("""COMPUTED_VALUE"""),"SITIO MANGGAHAN")</f>
        <v>SITIO MANGGAHAN</v>
      </c>
      <c r="AE711" s="1" t="str">
        <f>IFERROR(__xludf.DUMMYFUNCTION("""COMPUTED_VALUE"""),"LANGIT COMPOUND")</f>
        <v>LANGIT COMPOUND</v>
      </c>
      <c r="AF711" s="1" t="str">
        <f>IFERROR(__xludf.DUMMYFUNCTION("""COMPUTED_VALUE"""),"BGY PARADAHAN 1")</f>
        <v>BGY PARADAHAN 1</v>
      </c>
      <c r="AG711" s="1" t="str">
        <f>IFERROR(__xludf.DUMMYFUNCTION("""COMPUTED_VALUE"""),"TANZA")</f>
        <v>TANZA</v>
      </c>
      <c r="AH711" s="1"/>
      <c r="AI711" s="1" t="str">
        <f>IFERROR(__xludf.DUMMYFUNCTION("""COMPUTED_VALUE"""),"NOT AOR")</f>
        <v>NOT AOR</v>
      </c>
    </row>
    <row r="712" customHeight="1" spans="1:35">
      <c r="A712" s="3">
        <f>IFERROR(__xludf.DUMMYFUNCTION("""COMPUTED_VALUE"""),46292)</f>
        <v>46292</v>
      </c>
      <c r="B712" s="1" t="str">
        <f>IFERROR(__xludf.DUMMYFUNCTION("""COMPUTED_VALUE"""),"CRISTINA GARCIA PALMES")</f>
        <v>CRISTINA GARCIA PALMES</v>
      </c>
      <c r="C712" s="1">
        <f>IFERROR(__xludf.DUMMYFUNCTION("""COMPUTED_VALUE"""),2312830333)</f>
        <v>2312830333</v>
      </c>
      <c r="D712" s="1">
        <f>IFERROR(__xludf.DUMMYFUNCTION("""COMPUTED_VALUE"""),408414385)</f>
        <v>408414385</v>
      </c>
      <c r="E712" s="1">
        <f>IFERROR(__xludf.DUMMYFUNCTION("""COMPUTED_VALUE"""),473112176004)</f>
        <v>473112176004</v>
      </c>
      <c r="F712" s="1" t="str">
        <f>IFERROR(__xludf.DUMMYFUNCTION("""COMPUTED_VALUE"""),"FOR PAYMENT")</f>
        <v>FOR PAYMENT</v>
      </c>
      <c r="G712" s="1" t="str">
        <f>IFERROR(__xludf.DUMMYFUNCTION("""COMPUTED_VALUE"""),"FOR PAYMENT")</f>
        <v>FOR PAYMENT</v>
      </c>
      <c r="H712" s="1"/>
      <c r="I712" s="1"/>
      <c r="J712" s="1"/>
      <c r="K712" s="1" t="str">
        <f>IFERROR(__xludf.DUMMYFUNCTION("""COMPUTED_VALUE"""),"NOT IN OFSC")</f>
        <v>NOT IN OFSC</v>
      </c>
      <c r="L712" s="1" t="str">
        <f>IFERROR(__xludf.DUMMYFUNCTION("""COMPUTED_VALUE"""),"FOR PAYMENT")</f>
        <v>FOR PAYMENT</v>
      </c>
      <c r="M712" s="1" t="str">
        <f>IFERROR(__xludf.DUMMYFUNCTION("""COMPUTED_VALUE"""),"FOR PAYMENT - FOR CALL OUT")</f>
        <v>FOR PAYMENT - FOR CALL OUT</v>
      </c>
      <c r="N712" s="3"/>
      <c r="O712" s="1" t="str">
        <f>IFERROR(__xludf.DUMMYFUNCTION("""COMPUTED_VALUE"""),"FIBR UNLI ALL PLAN 999")</f>
        <v>FIBR UNLI ALL PLAN 999</v>
      </c>
      <c r="P712" s="1" t="str">
        <f>IFERROR(__xludf.DUMMYFUNCTION("""COMPUTED_VALUE"""),"LOWPLAN")</f>
        <v>LOWPLAN</v>
      </c>
      <c r="Q712" s="1" t="str">
        <f>IFERROR(__xludf.DUMMYFUNCTION("""COMPUTED_VALUE"""),"P407050")</f>
        <v>P407050</v>
      </c>
      <c r="R712" s="1" t="str">
        <f>IFERROR(__xludf.DUMMYFUNCTION("""COMPUTED_VALUE"""),"ESCARCHA, ALMA")</f>
        <v>ESCARCHA, ALMA</v>
      </c>
      <c r="S712" s="1" t="str">
        <f>IFERROR(__xludf.DUMMYFUNCTION("""COMPUTED_VALUE"""),"ORGANIC")</f>
        <v>ORGANIC</v>
      </c>
      <c r="T712" s="1" t="str">
        <f>IFERROR(__xludf.DUMMYFUNCTION("""COMPUTED_VALUE"""),"LEA REMOLLO")</f>
        <v>LEA REMOLLO</v>
      </c>
      <c r="U712" s="1" t="str">
        <f>IFERROR(__xludf.DUMMYFUNCTION("""COMPUTED_VALUE"""),"JB SALIOA")</f>
        <v>JB SALIOA</v>
      </c>
      <c r="V712" s="1" t="str">
        <f>IFERROR(__xludf.DUMMYFUNCTION("""COMPUTED_VALUE"""),"BK REGULAR")</f>
        <v>BK REGULAR</v>
      </c>
      <c r="W712" s="1" t="str">
        <f>IFERROR(__xludf.DUMMYFUNCTION("""COMPUTED_VALUE"""),"STK REGULAR")</f>
        <v>STK REGULAR</v>
      </c>
      <c r="X712" s="1" t="str">
        <f>IFERROR(__xludf.DUMMYFUNCTION("""COMPUTED_VALUE"""),"REGULAR")</f>
        <v>REGULAR</v>
      </c>
      <c r="Y712" s="1" t="str">
        <f>IFERROR(__xludf.DUMMYFUNCTION("""COMPUTED_VALUE"""),"BK_CVEU_260824")</f>
        <v>BK_CVEU_260824</v>
      </c>
      <c r="Z712" s="1" t="str">
        <f>IFERROR(__xludf.DUMMYFUNCTION("""COMPUTED_VALUE"""),"NEW CONNECT")</f>
        <v>NEW CONNECT</v>
      </c>
      <c r="AA712" s="1">
        <f>IFERROR(__xludf.DUMMYFUNCTION("""COMPUTED_VALUE"""),639851803722)</f>
        <v>639851803722</v>
      </c>
      <c r="AB712" s="1"/>
      <c r="AC712" s="1"/>
      <c r="AD712" s="1" t="str">
        <f>IFERROR(__xludf.DUMMYFUNCTION("""COMPUTED_VALUE"""),"SITIO PALIGAWAN MATANDA")</f>
        <v>SITIO PALIGAWAN MATANDA</v>
      </c>
      <c r="AE712" s="1"/>
      <c r="AF712" s="1" t="str">
        <f>IFERROR(__xludf.DUMMYFUNCTION("""COMPUTED_VALUE"""),"BGY LANTIC")</f>
        <v>BGY LANTIC</v>
      </c>
      <c r="AG712" s="1" t="str">
        <f>IFERROR(__xludf.DUMMYFUNCTION("""COMPUTED_VALUE"""),"CARMONA")</f>
        <v>CARMONA</v>
      </c>
      <c r="AH712" s="1" t="str">
        <f>IFERROR(__xludf.DUMMYFUNCTION("""COMPUTED_VALUE"""),"-")</f>
        <v>-</v>
      </c>
      <c r="AI712" s="1" t="str">
        <f>IFERROR(__xludf.DUMMYFUNCTION("""COMPUTED_VALUE"""),"CLUSTER 11")</f>
        <v>CLUSTER 11</v>
      </c>
    </row>
    <row r="713" customHeight="1" spans="1:35">
      <c r="A713" s="3">
        <f>IFERROR(__xludf.DUMMYFUNCTION("""COMPUTED_VALUE"""),46292)</f>
        <v>46292</v>
      </c>
      <c r="B713" s="1" t="str">
        <f>IFERROR(__xludf.DUMMYFUNCTION("""COMPUTED_VALUE"""),"EMELITA AGUILAR VALERIO")</f>
        <v>EMELITA AGUILAR VALERIO</v>
      </c>
      <c r="C713" s="1">
        <f>IFERROR(__xludf.DUMMYFUNCTION("""COMPUTED_VALUE"""),2312830786)</f>
        <v>2312830786</v>
      </c>
      <c r="D713" s="1">
        <f>IFERROR(__xludf.DUMMYFUNCTION("""COMPUTED_VALUE"""),408414423)</f>
        <v>408414423</v>
      </c>
      <c r="E713" s="1">
        <f>IFERROR(__xludf.DUMMYFUNCTION("""COMPUTED_VALUE"""),473112382004)</f>
        <v>473112382004</v>
      </c>
      <c r="F713" s="1" t="str">
        <f>IFERROR(__xludf.DUMMYFUNCTION("""COMPUTED_VALUE"""),"CLOSED")</f>
        <v>CLOSED</v>
      </c>
      <c r="G713" s="1" t="str">
        <f>IFERROR(__xludf.DUMMYFUNCTION("""COMPUTED_VALUE"""),"CLOSED")</f>
        <v>CLOSED</v>
      </c>
      <c r="H713" s="1"/>
      <c r="I713" s="1" t="str">
        <f>IFERROR(__xludf.DUMMYFUNCTION("""COMPUTED_VALUE"""),"NO 1 AMSF")</f>
        <v>NO 1 AMSF</v>
      </c>
      <c r="J713" s="1" t="str">
        <f>IFERROR(__xludf.DUMMYFUNCTION("""COMPUTED_VALUE"""),"DUE DATE - 25-Oct-26 - 1,442.90")</f>
        <v>DUE DATE - 25-Oct-26 - 1,442.90</v>
      </c>
      <c r="K713" s="1" t="str">
        <f>IFERROR(__xludf.DUMMYFUNCTION("""COMPUTED_VALUE"""),"NOT IN OFSC")</f>
        <v>NOT IN OFSC</v>
      </c>
      <c r="L713" s="1" t="str">
        <f>IFERROR(__xludf.DUMMYFUNCTION("""COMPUTED_VALUE"""),"POSTED")</f>
        <v>POSTED</v>
      </c>
      <c r="M713" s="1" t="str">
        <f>IFERROR(__xludf.DUMMYFUNCTION("""COMPUTED_VALUE"""),"POSTED")</f>
        <v>POSTED</v>
      </c>
      <c r="N713" s="3">
        <f>IFERROR(__xludf.DUMMYFUNCTION("""COMPUTED_VALUE"""),46293)</f>
        <v>46293</v>
      </c>
      <c r="O713" s="1" t="str">
        <f>IFERROR(__xludf.DUMMYFUNCTION("""COMPUTED_VALUE"""),"FIBR PLAN 1299")</f>
        <v>FIBR PLAN 1299</v>
      </c>
      <c r="P713" s="1" t="str">
        <f>IFERROR(__xludf.DUMMYFUNCTION("""COMPUTED_VALUE"""),"LOWPLAN")</f>
        <v>LOWPLAN</v>
      </c>
      <c r="Q713" s="1" t="str">
        <f>IFERROR(__xludf.DUMMYFUNCTION("""COMPUTED_VALUE"""),"P407050")</f>
        <v>P407050</v>
      </c>
      <c r="R713" s="1" t="str">
        <f>IFERROR(__xludf.DUMMYFUNCTION("""COMPUTED_VALUE"""),"CADERAO, RONALD")</f>
        <v>CADERAO, RONALD</v>
      </c>
      <c r="S713" s="1" t="str">
        <f>IFERROR(__xludf.DUMMYFUNCTION("""COMPUTED_VALUE"""),"ORGANIC")</f>
        <v>ORGANIC</v>
      </c>
      <c r="T713" s="1" t="str">
        <f>IFERROR(__xludf.DUMMYFUNCTION("""COMPUTED_VALUE"""),"LEA REMOLLO")</f>
        <v>LEA REMOLLO</v>
      </c>
      <c r="U713" s="1" t="str">
        <f>IFERROR(__xludf.DUMMYFUNCTION("""COMPUTED_VALUE"""),"JB SALIOA")</f>
        <v>JB SALIOA</v>
      </c>
      <c r="V713" s="1" t="str">
        <f>IFERROR(__xludf.DUMMYFUNCTION("""COMPUTED_VALUE"""),"BK HSTK")</f>
        <v>BK HSTK</v>
      </c>
      <c r="W713" s="1" t="str">
        <f>IFERROR(__xludf.DUMMYFUNCTION("""COMPUTED_VALUE"""),"BK HSTK")</f>
        <v>BK HSTK</v>
      </c>
      <c r="X713" s="1" t="str">
        <f>IFERROR(__xludf.DUMMYFUNCTION("""COMPUTED_VALUE"""),"HBBS SEPT 2026")</f>
        <v>HBBS SEPT 2026</v>
      </c>
      <c r="Y713" s="1" t="str">
        <f>IFERROR(__xludf.DUMMYFUNCTION("""COMPUTED_VALUE"""),"BK_CVEU_260827")</f>
        <v>BK_CVEU_260827</v>
      </c>
      <c r="Z713" s="1" t="str">
        <f>IFERROR(__xludf.DUMMYFUNCTION("""COMPUTED_VALUE"""),"NEW CONNECT")</f>
        <v>NEW CONNECT</v>
      </c>
      <c r="AA713" s="1">
        <f>IFERROR(__xludf.DUMMYFUNCTION("""COMPUTED_VALUE"""),639205505265)</f>
        <v>639205505265</v>
      </c>
      <c r="AB713" s="1"/>
      <c r="AC713" s="1">
        <f>IFERROR(__xludf.DUMMYFUNCTION("""COMPUTED_VALUE"""),110)</f>
        <v>110</v>
      </c>
      <c r="AD713" s="1" t="str">
        <f>IFERROR(__xludf.DUMMYFUNCTION("""COMPUTED_VALUE"""),"BALITE 1")</f>
        <v>BALITE 1</v>
      </c>
      <c r="AE713" s="1"/>
      <c r="AF713" s="1" t="str">
        <f>IFERROR(__xludf.DUMMYFUNCTION("""COMPUTED_VALUE"""),"BGY BALITE 1")</f>
        <v>BGY BALITE 1</v>
      </c>
      <c r="AG713" s="1" t="str">
        <f>IFERROR(__xludf.DUMMYFUNCTION("""COMPUTED_VALUE"""),"SILANG")</f>
        <v>SILANG</v>
      </c>
      <c r="AH713" s="1" t="str">
        <f>IFERROR(__xludf.DUMMYFUNCTION("""COMPUTED_VALUE"""),"BAKERY // BRGY HALL")</f>
        <v>BAKERY // BRGY HALL</v>
      </c>
      <c r="AI713" s="1" t="str">
        <f>IFERROR(__xludf.DUMMYFUNCTION("""COMPUTED_VALUE"""),"CLUSTER 11")</f>
        <v>CLUSTER 11</v>
      </c>
    </row>
    <row r="714" customHeight="1" spans="1:35">
      <c r="A714" s="3">
        <f>IFERROR(__xludf.DUMMYFUNCTION("""COMPUTED_VALUE"""),46292)</f>
        <v>46292</v>
      </c>
      <c r="B714" s="1" t="str">
        <f>IFERROR(__xludf.DUMMYFUNCTION("""COMPUTED_VALUE"""),"SHEENA AMOROSO PANA")</f>
        <v>SHEENA AMOROSO PANA</v>
      </c>
      <c r="C714" s="1">
        <f>IFERROR(__xludf.DUMMYFUNCTION("""COMPUTED_VALUE"""),2312832226)</f>
        <v>2312832226</v>
      </c>
      <c r="D714" s="1">
        <f>IFERROR(__xludf.DUMMYFUNCTION("""COMPUTED_VALUE"""),408416116)</f>
        <v>408416116</v>
      </c>
      <c r="E714" s="1">
        <f>IFERROR(__xludf.DUMMYFUNCTION("""COMPUTED_VALUE"""),473115116004)</f>
        <v>473115116004</v>
      </c>
      <c r="F714" s="1" t="str">
        <f>IFERROR(__xludf.DUMMYFUNCTION("""COMPUTED_VALUE"""),"CLOSED")</f>
        <v>CLOSED</v>
      </c>
      <c r="G714" s="1" t="str">
        <f>IFERROR(__xludf.DUMMYFUNCTION("""COMPUTED_VALUE"""),"CLOSED")</f>
        <v>CLOSED</v>
      </c>
      <c r="H714" s="1"/>
      <c r="I714" s="1" t="str">
        <f>IFERROR(__xludf.DUMMYFUNCTION("""COMPUTED_VALUE"""),"NO 1 AMSF")</f>
        <v>NO 1 AMSF</v>
      </c>
      <c r="J714" s="1" t="str">
        <f>IFERROR(__xludf.DUMMYFUNCTION("""COMPUTED_VALUE"""),"DUE DATE - 25-Oct-26 - 1,442.90")</f>
        <v>DUE DATE - 25-Oct-26 - 1,442.90</v>
      </c>
      <c r="K714" s="1" t="str">
        <f>IFERROR(__xludf.DUMMYFUNCTION("""COMPUTED_VALUE"""),"NOT IN OFSC")</f>
        <v>NOT IN OFSC</v>
      </c>
      <c r="L714" s="1" t="str">
        <f>IFERROR(__xludf.DUMMYFUNCTION("""COMPUTED_VALUE"""),"POSTED")</f>
        <v>POSTED</v>
      </c>
      <c r="M714" s="1" t="str">
        <f>IFERROR(__xludf.DUMMYFUNCTION("""COMPUTED_VALUE"""),"POSTED")</f>
        <v>POSTED</v>
      </c>
      <c r="N714" s="3">
        <f>IFERROR(__xludf.DUMMYFUNCTION("""COMPUTED_VALUE"""),46295)</f>
        <v>46295</v>
      </c>
      <c r="O714" s="1" t="str">
        <f>IFERROR(__xludf.DUMMYFUNCTION("""COMPUTED_VALUE"""),"FIBER UNLI ALL PLAN 1499")</f>
        <v>FIBER UNLI ALL PLAN 1499</v>
      </c>
      <c r="P714" s="1" t="str">
        <f>IFERROR(__xludf.DUMMYFUNCTION("""COMPUTED_VALUE"""),"LOWPLAN")</f>
        <v>LOWPLAN</v>
      </c>
      <c r="Q714" s="1" t="str">
        <f>IFERROR(__xludf.DUMMYFUNCTION("""COMPUTED_VALUE"""),"P407050")</f>
        <v>P407050</v>
      </c>
      <c r="R714" s="1" t="str">
        <f>IFERROR(__xludf.DUMMYFUNCTION("""COMPUTED_VALUE"""),"CADERAO, RONALD")</f>
        <v>CADERAO, RONALD</v>
      </c>
      <c r="S714" s="1" t="str">
        <f>IFERROR(__xludf.DUMMYFUNCTION("""COMPUTED_VALUE"""),"ORGANIC")</f>
        <v>ORGANIC</v>
      </c>
      <c r="T714" s="1" t="str">
        <f>IFERROR(__xludf.DUMMYFUNCTION("""COMPUTED_VALUE"""),"LEA REMOLLO")</f>
        <v>LEA REMOLLO</v>
      </c>
      <c r="U714" s="1" t="str">
        <f>IFERROR(__xludf.DUMMYFUNCTION("""COMPUTED_VALUE"""),"JB SALIOA")</f>
        <v>JB SALIOA</v>
      </c>
      <c r="V714" s="1" t="str">
        <f>IFERROR(__xludf.DUMMYFUNCTION("""COMPUTED_VALUE"""),"BK EXPRESS")</f>
        <v>BK EXPRESS</v>
      </c>
      <c r="W714" s="1" t="str">
        <f>IFERROR(__xludf.DUMMYFUNCTION("""COMPUTED_VALUE"""),"BK HSTK")</f>
        <v>BK HSTK</v>
      </c>
      <c r="X714" s="1" t="str">
        <f>IFERROR(__xludf.DUMMYFUNCTION("""COMPUTED_VALUE"""),"HBBS SEPT 2026")</f>
        <v>HBBS SEPT 2026</v>
      </c>
      <c r="Y714" s="1" t="str">
        <f>IFERROR(__xludf.DUMMYFUNCTION("""COMPUTED_VALUE"""),"BK_CVEU_260827")</f>
        <v>BK_CVEU_260827</v>
      </c>
      <c r="Z714" s="1" t="str">
        <f>IFERROR(__xludf.DUMMYFUNCTION("""COMPUTED_VALUE"""),"NEW CONNECT")</f>
        <v>NEW CONNECT</v>
      </c>
      <c r="AA714" s="1">
        <f>IFERROR(__xludf.DUMMYFUNCTION("""COMPUTED_VALUE"""),639569073707)</f>
        <v>639569073707</v>
      </c>
      <c r="AB714" s="1">
        <f>IFERROR(__xludf.DUMMYFUNCTION("""COMPUTED_VALUE"""),639477451643)</f>
        <v>639477451643</v>
      </c>
      <c r="AC714" s="1">
        <f>IFERROR(__xludf.DUMMYFUNCTION("""COMPUTED_VALUE"""),101)</f>
        <v>101</v>
      </c>
      <c r="AD714" s="1" t="str">
        <f>IFERROR(__xludf.DUMMYFUNCTION("""COMPUTED_VALUE"""),"PUROK 2")</f>
        <v>PUROK 2</v>
      </c>
      <c r="AE714" s="1"/>
      <c r="AF714" s="1" t="str">
        <f>IFERROR(__xludf.DUMMYFUNCTION("""COMPUTED_VALUE"""),"BGY PULONG BUNGA")</f>
        <v>BGY PULONG BUNGA</v>
      </c>
      <c r="AG714" s="1" t="str">
        <f>IFERROR(__xludf.DUMMYFUNCTION("""COMPUTED_VALUE"""),"SILANG")</f>
        <v>SILANG</v>
      </c>
      <c r="AH714" s="1" t="str">
        <f>IFERROR(__xludf.DUMMYFUNCTION("""COMPUTED_VALUE"""),"BKEXPRESS_NEAR PULONG BUNGA BRGY HALL")</f>
        <v>BKEXPRESS_NEAR PULONG BUNGA BRGY HALL</v>
      </c>
      <c r="AI714" s="1" t="str">
        <f>IFERROR(__xludf.DUMMYFUNCTION("""COMPUTED_VALUE"""),"CLUSTER 11")</f>
        <v>CLUSTER 11</v>
      </c>
    </row>
    <row r="715" customHeight="1" spans="1:35">
      <c r="A715" s="3">
        <f>IFERROR(__xludf.DUMMYFUNCTION("""COMPUTED_VALUE"""),46292)</f>
        <v>46292</v>
      </c>
      <c r="B715" s="1" t="str">
        <f>IFERROR(__xludf.DUMMYFUNCTION("""COMPUTED_VALUE"""),"JUSTIN LEGARIA DIAZ")</f>
        <v>JUSTIN LEGARIA DIAZ</v>
      </c>
      <c r="C715" s="1">
        <f>IFERROR(__xludf.DUMMYFUNCTION("""COMPUTED_VALUE"""),2312832488)</f>
        <v>2312832488</v>
      </c>
      <c r="D715" s="1">
        <f>IFERROR(__xludf.DUMMYFUNCTION("""COMPUTED_VALUE"""),408418216)</f>
        <v>408418216</v>
      </c>
      <c r="E715" s="1">
        <f>IFERROR(__xludf.DUMMYFUNCTION("""COMPUTED_VALUE"""),473116385004)</f>
        <v>473116385004</v>
      </c>
      <c r="F715" s="1" t="str">
        <f>IFERROR(__xludf.DUMMYFUNCTION("""COMPUTED_VALUE"""),"CANCELLED")</f>
        <v>CANCELLED</v>
      </c>
      <c r="G715" s="1" t="str">
        <f>IFERROR(__xludf.DUMMYFUNCTION("""COMPUTED_VALUE"""),"""VISITED 
REMARKS: FULL PLDT FIBER FACILITY. ASSIGN CAFAC SILFELP538NP003 Port 4 NOT ON SITE. CUSTOMER ALREADY ADVICED NA PUNUAN NA SA AREA NILA. 
CMNLP277NP1 P5 ACTIVE FULL 
CMNLP277NP2 FULL 
CMNLP277NP3 P4,8 ACTIVE FULL 
CMNLP277NP4 FULL 
TALK JUSTINE "&amp;"LEGARIA DIAZ 
09467660237 09474662456 
""")</f>
        <v>"VISITED 
REMARKS: FULL PLDT FIBER FACILITY. ASSIGN CAFAC SILFELP538NP003 Port 4 NOT ON SITE. CUSTOMER ALREADY ADVICED NA PUNUAN NA SA AREA NILA. 
CMNLP277NP1 P5 ACTIVE FULL 
CMNLP277NP2 FULL 
CMNLP277NP3 P4,8 ACTIVE FULL 
CMNLP277NP4 FULL 
TALK JUSTINE LEGARIA DIAZ 
09467660237 09474662456 
"</v>
      </c>
      <c r="H715" s="1" t="str">
        <f>IFERROR(__xludf.DUMMYFUNCTION("""COMPUTED_VALUE"""),"PAID VIA MAYA 627102186998 SEP 28")</f>
        <v>PAID VIA MAYA 627102186998 SEP 28</v>
      </c>
      <c r="I715" s="1" t="str">
        <f>IFERROR(__xludf.DUMMYFUNCTION("""COMPUTED_VALUE"""),"WITH 1 AMSF")</f>
        <v>WITH 1 AMSF</v>
      </c>
      <c r="J715" s="1"/>
      <c r="K715" s="1" t="str">
        <f>IFERROR(__xludf.DUMMYFUNCTION("""COMPUTED_VALUE"""),"NOT IN OFSC")</f>
        <v>NOT IN OFSC</v>
      </c>
      <c r="L715" s="1" t="str">
        <f>IFERROR(__xludf.DUMMYFUNCTION("""COMPUTED_VALUE"""),"RPR - NAP FULL")</f>
        <v>RPR - NAP FULL</v>
      </c>
      <c r="M715" s="1" t="str">
        <f>IFERROR(__xludf.DUMMYFUNCTION("""COMPUTED_VALUE"""),"RPR- NAP FULL")</f>
        <v>RPR- NAP FULL</v>
      </c>
      <c r="N715" s="3"/>
      <c r="O715" s="1" t="str">
        <f>IFERROR(__xludf.DUMMYFUNCTION("""COMPUTED_VALUE"""),"FIBR PLAN 1299")</f>
        <v>FIBR PLAN 1299</v>
      </c>
      <c r="P715" s="1" t="str">
        <f>IFERROR(__xludf.DUMMYFUNCTION("""COMPUTED_VALUE"""),"LOWPLAN")</f>
        <v>LOWPLAN</v>
      </c>
      <c r="Q715" s="1" t="str">
        <f>IFERROR(__xludf.DUMMYFUNCTION("""COMPUTED_VALUE"""),"P407561")</f>
        <v>P407561</v>
      </c>
      <c r="R715" s="1" t="str">
        <f>IFERROR(__xludf.DUMMYFUNCTION("""COMPUTED_VALUE"""),"BITANCUR, CHRISTIAN")</f>
        <v>BITANCUR, CHRISTIAN</v>
      </c>
      <c r="S715" s="1" t="str">
        <f>IFERROR(__xludf.DUMMYFUNCTION("""COMPUTED_VALUE"""),"ORGANIC")</f>
        <v>ORGANIC</v>
      </c>
      <c r="T715" s="1" t="str">
        <f>IFERROR(__xludf.DUMMYFUNCTION("""COMPUTED_VALUE"""),"LEA REMOLLO")</f>
        <v>LEA REMOLLO</v>
      </c>
      <c r="U715" s="1" t="str">
        <f>IFERROR(__xludf.DUMMYFUNCTION("""COMPUTED_VALUE"""),"JB SALIOA")</f>
        <v>JB SALIOA</v>
      </c>
      <c r="V715" s="1" t="str">
        <f>IFERROR(__xludf.DUMMYFUNCTION("""COMPUTED_VALUE"""),"BK REGULAR")</f>
        <v>BK REGULAR</v>
      </c>
      <c r="W715" s="1" t="str">
        <f>IFERROR(__xludf.DUMMYFUNCTION("""COMPUTED_VALUE"""),"STK REGULAR")</f>
        <v>STK REGULAR</v>
      </c>
      <c r="X715" s="1" t="str">
        <f>IFERROR(__xludf.DUMMYFUNCTION("""COMPUTED_VALUE"""),"HBBS SEPT 2026")</f>
        <v>HBBS SEPT 2026</v>
      </c>
      <c r="Y715" s="1" t="str">
        <f>IFERROR(__xludf.DUMMYFUNCTION("""COMPUTED_VALUE"""),"BK_CVEU_260824")</f>
        <v>BK_CVEU_260824</v>
      </c>
      <c r="Z715" s="1" t="str">
        <f>IFERROR(__xludf.DUMMYFUNCTION("""COMPUTED_VALUE"""),"NEW CONNECT")</f>
        <v>NEW CONNECT</v>
      </c>
      <c r="AA715" s="1">
        <f>IFERROR(__xludf.DUMMYFUNCTION("""COMPUTED_VALUE"""),639467660237)</f>
        <v>639467660237</v>
      </c>
      <c r="AB715" s="1">
        <f>IFERROR(__xludf.DUMMYFUNCTION("""COMPUTED_VALUE"""),639474662456)</f>
        <v>639474662456</v>
      </c>
      <c r="AC715" s="1"/>
      <c r="AD715" s="1" t="str">
        <f>IFERROR(__xludf.DUMMYFUNCTION("""COMPUTED_VALUE"""),"SITIO PALIGAWAN MATANDA")</f>
        <v>SITIO PALIGAWAN MATANDA</v>
      </c>
      <c r="AE715" s="1"/>
      <c r="AF715" s="1" t="str">
        <f>IFERROR(__xludf.DUMMYFUNCTION("""COMPUTED_VALUE"""),"BGY LANTIC")</f>
        <v>BGY LANTIC</v>
      </c>
      <c r="AG715" s="1" t="str">
        <f>IFERROR(__xludf.DUMMYFUNCTION("""COMPUTED_VALUE"""),"CARMONA")</f>
        <v>CARMONA</v>
      </c>
      <c r="AH715" s="1" t="str">
        <f>IFERROR(__xludf.DUMMYFUNCTION("""COMPUTED_VALUE"""),"WATER TANK // BRGY HALL ")</f>
        <v>WATER TANK // BRGY HALL </v>
      </c>
      <c r="AI715" s="1" t="str">
        <f>IFERROR(__xludf.DUMMYFUNCTION("""COMPUTED_VALUE"""),"CLUSTER 11")</f>
        <v>CLUSTER 11</v>
      </c>
    </row>
    <row r="716" customHeight="1" spans="1:35">
      <c r="A716" s="3">
        <f>IFERROR(__xludf.DUMMYFUNCTION("""COMPUTED_VALUE"""),46292)</f>
        <v>46292</v>
      </c>
      <c r="B716" s="1" t="str">
        <f>IFERROR(__xludf.DUMMYFUNCTION("""COMPUTED_VALUE"""),"CAMILLE MARIE REBITA DE LOS REYES")</f>
        <v>CAMILLE MARIE REBITA DE LOS REYES</v>
      </c>
      <c r="C716" s="1">
        <f>IFERROR(__xludf.DUMMYFUNCTION("""COMPUTED_VALUE"""),2312832702)</f>
        <v>2312832702</v>
      </c>
      <c r="D716" s="1">
        <f>IFERROR(__xludf.DUMMYFUNCTION("""COMPUTED_VALUE"""),408419069)</f>
        <v>408419069</v>
      </c>
      <c r="E716" s="1">
        <f>IFERROR(__xludf.DUMMYFUNCTION("""COMPUTED_VALUE"""),473116940004)</f>
        <v>473116940004</v>
      </c>
      <c r="F716" s="1" t="str">
        <f>IFERROR(__xludf.DUMMYFUNCTION("""COMPUTED_VALUE"""),"CLOSED")</f>
        <v>CLOSED</v>
      </c>
      <c r="G716" s="1" t="str">
        <f>IFERROR(__xludf.DUMMYFUNCTION("""COMPUTED_VALUE"""),"CLOSED")</f>
        <v>CLOSED</v>
      </c>
      <c r="H716" s="1" t="str">
        <f>IFERROR(__xludf.DUMMYFUNCTION("""COMPUTED_VALUE"""),"PAID VIA GCASH REF 049558977 SEP 28")</f>
        <v>PAID VIA GCASH REF 049558977 SEP 28</v>
      </c>
      <c r="I716" s="1" t="str">
        <f>IFERROR(__xludf.DUMMYFUNCTION("""COMPUTED_VALUE"""),"WITH 1 AMSF")</f>
        <v>WITH 1 AMSF</v>
      </c>
      <c r="J716" s="1"/>
      <c r="K716" s="1" t="str">
        <f>IFERROR(__xludf.DUMMYFUNCTION("""COMPUTED_VALUE"""),"NOT IN OFSC")</f>
        <v>NOT IN OFSC</v>
      </c>
      <c r="L716" s="1" t="str">
        <f>IFERROR(__xludf.DUMMYFUNCTION("""COMPUTED_VALUE"""),"POSTED")</f>
        <v>POSTED</v>
      </c>
      <c r="M716" s="1" t="str">
        <f>IFERROR(__xludf.DUMMYFUNCTION("""COMPUTED_VALUE"""),"POSTED")</f>
        <v>POSTED</v>
      </c>
      <c r="N716" s="3">
        <f>IFERROR(__xludf.DUMMYFUNCTION("""COMPUTED_VALUE"""),46295)</f>
        <v>46295</v>
      </c>
      <c r="O716" s="1" t="str">
        <f>IFERROR(__xludf.DUMMYFUNCTION("""COMPUTED_VALUE"""),"FIBER UNLI ALL PLAN 1499")</f>
        <v>FIBER UNLI ALL PLAN 1499</v>
      </c>
      <c r="P716" s="1" t="str">
        <f>IFERROR(__xludf.DUMMYFUNCTION("""COMPUTED_VALUE"""),"LOWPLAN")</f>
        <v>LOWPLAN</v>
      </c>
      <c r="Q716" s="1" t="str">
        <f>IFERROR(__xludf.DUMMYFUNCTION("""COMPUTED_VALUE"""),"P407048")</f>
        <v>P407048</v>
      </c>
      <c r="R716" s="1" t="str">
        <f>IFERROR(__xludf.DUMMYFUNCTION("""COMPUTED_VALUE"""),"MORADOS, MARVIN")</f>
        <v>MORADOS, MARVIN</v>
      </c>
      <c r="S716" s="1" t="str">
        <f>IFERROR(__xludf.DUMMYFUNCTION("""COMPUTED_VALUE"""),"FLA")</f>
        <v>FLA</v>
      </c>
      <c r="T716" s="1" t="str">
        <f>IFERROR(__xludf.DUMMYFUNCTION("""COMPUTED_VALUE"""),"JERIC NAVARRO")</f>
        <v>JERIC NAVARRO</v>
      </c>
      <c r="U716" s="1" t="str">
        <f>IFERROR(__xludf.DUMMYFUNCTION("""COMPUTED_VALUE"""),"JULIE ESPIRITU")</f>
        <v>JULIE ESPIRITU</v>
      </c>
      <c r="V716" s="1" t="str">
        <f>IFERROR(__xludf.DUMMYFUNCTION("""COMPUTED_VALUE"""),"ONLINE/CRANFORD")</f>
        <v>ONLINE/CRANFORD</v>
      </c>
      <c r="W716" s="1" t="str">
        <f>IFERROR(__xludf.DUMMYFUNCTION("""COMPUTED_VALUE"""),"STK REGULAR")</f>
        <v>STK REGULAR</v>
      </c>
      <c r="X716" s="1" t="str">
        <f>IFERROR(__xludf.DUMMYFUNCTION("""COMPUTED_VALUE"""),"HBBS SEPT 2026")</f>
        <v>HBBS SEPT 2026</v>
      </c>
      <c r="Y716" s="1" t="str">
        <f>IFERROR(__xludf.DUMMYFUNCTION("""COMPUTED_VALUE"""),"RS_ONL_CVEU_2026")</f>
        <v>RS_ONL_CVEU_2026</v>
      </c>
      <c r="Z716" s="1" t="str">
        <f>IFERROR(__xludf.DUMMYFUNCTION("""COMPUTED_VALUE"""),"NEW CONNECT")</f>
        <v>NEW CONNECT</v>
      </c>
      <c r="AA716" s="1">
        <f>IFERROR(__xludf.DUMMYFUNCTION("""COMPUTED_VALUE"""),639976455042)</f>
        <v>639976455042</v>
      </c>
      <c r="AB716" s="1">
        <f>IFERROR(__xludf.DUMMYFUNCTION("""COMPUTED_VALUE"""),639345469944)</f>
        <v>639345469944</v>
      </c>
      <c r="AC716" s="1"/>
      <c r="AD716" s="1" t="str">
        <f>IFERROR(__xludf.DUMMYFUNCTION("""COMPUTED_VALUE"""),"GOLDEN HORIZON PABAHAY")</f>
        <v>GOLDEN HORIZON PABAHAY</v>
      </c>
      <c r="AE716" s="1" t="str">
        <f>IFERROR(__xludf.DUMMYFUNCTION("""COMPUTED_VALUE"""),"GOLDEN HORIZON PABAHAY")</f>
        <v>GOLDEN HORIZON PABAHAY</v>
      </c>
      <c r="AF716" s="1" t="str">
        <f>IFERROR(__xludf.DUMMYFUNCTION("""COMPUTED_VALUE"""),"BGY HUGO PEREZ")</f>
        <v>BGY HUGO PEREZ</v>
      </c>
      <c r="AG716" s="1" t="str">
        <f>IFERROR(__xludf.DUMMYFUNCTION("""COMPUTED_VALUE"""),"TRECE MARTIREZ CITY")</f>
        <v>TRECE MARTIREZ CITY</v>
      </c>
      <c r="AH716" s="1"/>
      <c r="AI716" s="1" t="str">
        <f>IFERROR(__xludf.DUMMYFUNCTION("""COMPUTED_VALUE"""),"NOT AOR")</f>
        <v>NOT AOR</v>
      </c>
    </row>
    <row r="717" customHeight="1" spans="1:35">
      <c r="A717" s="3">
        <f>IFERROR(__xludf.DUMMYFUNCTION("""COMPUTED_VALUE"""),46292)</f>
        <v>46292</v>
      </c>
      <c r="B717" s="1" t="str">
        <f>IFERROR(__xludf.DUMMYFUNCTION("""COMPUTED_VALUE"""),"DAISY BERGULA JAVISON")</f>
        <v>DAISY BERGULA JAVISON</v>
      </c>
      <c r="C717" s="1">
        <f>IFERROR(__xludf.DUMMYFUNCTION("""COMPUTED_VALUE"""),2312834887)</f>
        <v>2312834887</v>
      </c>
      <c r="D717" s="1">
        <f>IFERROR(__xludf.DUMMYFUNCTION("""COMPUTED_VALUE"""),408421705)</f>
        <v>408421705</v>
      </c>
      <c r="E717" s="1">
        <f>IFERROR(__xludf.DUMMYFUNCTION("""COMPUTED_VALUE"""),473121671004)</f>
        <v>473121671004</v>
      </c>
      <c r="F717" s="1" t="str">
        <f>IFERROR(__xludf.DUMMYFUNCTION("""COMPUTED_VALUE"""),"CANCELLED")</f>
        <v>CANCELLED</v>
      </c>
      <c r="G717" s="1" t="str">
        <f>IFERROR(__xludf.DUMMYFUNCTION("""COMPUTED_VALUE"""),"CANT LOCATE CBR RINGING ONLY TEXT BUT NOT REPLY  TALK")</f>
        <v>CANT LOCATE CBR RINGING ONLY TEXT BUT NOT REPLY  TALK</v>
      </c>
      <c r="H717" s="1"/>
      <c r="I717" s="1"/>
      <c r="J717" s="1"/>
      <c r="K717" s="1" t="str">
        <f>IFERROR(__xludf.DUMMYFUNCTION("""COMPUTED_VALUE"""),"CANCELED")</f>
        <v>CANCELED</v>
      </c>
      <c r="L717" s="1" t="str">
        <f>IFERROR(__xludf.DUMMYFUNCTION("""COMPUTED_VALUE"""),"CANCELLED")</f>
        <v>CANCELLED</v>
      </c>
      <c r="M717" s="1" t="str">
        <f>IFERROR(__xludf.DUMMYFUNCTION("""COMPUTED_VALUE"""),"CANCELLED")</f>
        <v>CANCELLED</v>
      </c>
      <c r="N717" s="3"/>
      <c r="O717" s="1" t="str">
        <f>IFERROR(__xludf.DUMMYFUNCTION("""COMPUTED_VALUE"""),"FIBR PLAN 1299")</f>
        <v>FIBR PLAN 1299</v>
      </c>
      <c r="P717" s="1" t="str">
        <f>IFERROR(__xludf.DUMMYFUNCTION("""COMPUTED_VALUE"""),"LOWPLAN")</f>
        <v>LOWPLAN</v>
      </c>
      <c r="Q717" s="1" t="str">
        <f>IFERROR(__xludf.DUMMYFUNCTION("""COMPUTED_VALUE"""),"P407563")</f>
        <v>P407563</v>
      </c>
      <c r="R717" s="1" t="str">
        <f>IFERROR(__xludf.DUMMYFUNCTION("""COMPUTED_VALUE"""),"BAQUIT, JAZMIN")</f>
        <v>BAQUIT, JAZMIN</v>
      </c>
      <c r="S717" s="1" t="str">
        <f>IFERROR(__xludf.DUMMYFUNCTION("""COMPUTED_VALUE"""),"ORGANIC")</f>
        <v>ORGANIC</v>
      </c>
      <c r="T717" s="1" t="str">
        <f>IFERROR(__xludf.DUMMYFUNCTION("""COMPUTED_VALUE"""),"LEA REMOLLO")</f>
        <v>LEA REMOLLO</v>
      </c>
      <c r="U717" s="1" t="str">
        <f>IFERROR(__xludf.DUMMYFUNCTION("""COMPUTED_VALUE"""),"JB SALIOA")</f>
        <v>JB SALIOA</v>
      </c>
      <c r="V717" s="1" t="str">
        <f>IFERROR(__xludf.DUMMYFUNCTION("""COMPUTED_VALUE"""),"BK HSTK")</f>
        <v>BK HSTK</v>
      </c>
      <c r="W717" s="1" t="str">
        <f>IFERROR(__xludf.DUMMYFUNCTION("""COMPUTED_VALUE"""),"BK HSTK")</f>
        <v>BK HSTK</v>
      </c>
      <c r="X717" s="1" t="str">
        <f>IFERROR(__xludf.DUMMYFUNCTION("""COMPUTED_VALUE"""),"HBBS SEPT 2026")</f>
        <v>HBBS SEPT 2026</v>
      </c>
      <c r="Y717" s="1" t="str">
        <f>IFERROR(__xludf.DUMMYFUNCTION("""COMPUTED_VALUE"""),"BK_CVEU_260827")</f>
        <v>BK_CVEU_260827</v>
      </c>
      <c r="Z717" s="1" t="str">
        <f>IFERROR(__xludf.DUMMYFUNCTION("""COMPUTED_VALUE"""),"NEW CONNECT")</f>
        <v>NEW CONNECT</v>
      </c>
      <c r="AA717" s="1">
        <f>IFERROR(__xludf.DUMMYFUNCTION("""COMPUTED_VALUE"""),639093409085)</f>
        <v>639093409085</v>
      </c>
      <c r="AB717" s="1"/>
      <c r="AC717" s="1"/>
      <c r="AD717" s="1" t="str">
        <f>IFERROR(__xludf.DUMMYFUNCTION("""COMPUTED_VALUE"""),"SITIO GITNA")</f>
        <v>SITIO GITNA</v>
      </c>
      <c r="AE717" s="1"/>
      <c r="AF717" s="1" t="str">
        <f>IFERROR(__xludf.DUMMYFUNCTION("""COMPUTED_VALUE"""),"BGY MAGUYAM")</f>
        <v>BGY MAGUYAM</v>
      </c>
      <c r="AG717" s="1" t="str">
        <f>IFERROR(__xludf.DUMMYFUNCTION("""COMPUTED_VALUE"""),"SILANG")</f>
        <v>SILANG</v>
      </c>
      <c r="AH717" s="1" t="str">
        <f>IFERROR(__xludf.DUMMYFUNCTION("""COMPUTED_VALUE"""),"7-11")</f>
        <v>7-11</v>
      </c>
      <c r="AI717" s="1" t="str">
        <f>IFERROR(__xludf.DUMMYFUNCTION("""COMPUTED_VALUE"""),"CLUSTER 11")</f>
        <v>CLUSTER 11</v>
      </c>
    </row>
    <row r="718" customHeight="1" spans="1:35">
      <c r="A718" s="3">
        <f>IFERROR(__xludf.DUMMYFUNCTION("""COMPUTED_VALUE"""),46292)</f>
        <v>46292</v>
      </c>
      <c r="B718" s="1" t="str">
        <f>IFERROR(__xludf.DUMMYFUNCTION("""COMPUTED_VALUE"""),"MONALIZA HERNANDEZ SALENGA")</f>
        <v>MONALIZA HERNANDEZ SALENGA</v>
      </c>
      <c r="C718" s="1">
        <f>IFERROR(__xludf.DUMMYFUNCTION("""COMPUTED_VALUE"""),2312835931)</f>
        <v>2312835931</v>
      </c>
      <c r="D718" s="1"/>
      <c r="E718" s="1"/>
      <c r="F718" s="1" t="str">
        <f>IFERROR(__xludf.DUMMYFUNCTION("""COMPUTED_VALUE"""),"CANCELLED")</f>
        <v>CANCELLED</v>
      </c>
      <c r="G718" s="1" t="str">
        <f>IFERROR(__xludf.DUMMYFUNCTION("""COMPUTED_VALUE"""),"CANCELLED")</f>
        <v>CANCELLED</v>
      </c>
      <c r="H718" s="1"/>
      <c r="I718" s="1"/>
      <c r="J718" s="1"/>
      <c r="K718" s="1"/>
      <c r="L718" s="1" t="str">
        <f>IFERROR(__xludf.DUMMYFUNCTION("""COMPUTED_VALUE"""),"CANCELLED - WITH OB")</f>
        <v>CANCELLED - WITH OB</v>
      </c>
      <c r="M718" s="1" t="str">
        <f>IFERROR(__xludf.DUMMYFUNCTION("""COMPUTED_VALUE"""),"CANCELLED - WITH OB")</f>
        <v>CANCELLED - WITH OB</v>
      </c>
      <c r="N718" s="3"/>
      <c r="O718" s="1" t="str">
        <f>IFERROR(__xludf.DUMMYFUNCTION("""COMPUTED_VALUE"""),"FIBR PLAN 1299")</f>
        <v>FIBR PLAN 1299</v>
      </c>
      <c r="P718" s="1" t="str">
        <f>IFERROR(__xludf.DUMMYFUNCTION("""COMPUTED_VALUE"""),"LOWPLAN")</f>
        <v>LOWPLAN</v>
      </c>
      <c r="Q718" s="1" t="str">
        <f>IFERROR(__xludf.DUMMYFUNCTION("""COMPUTED_VALUE"""),"P407050")</f>
        <v>P407050</v>
      </c>
      <c r="R718" s="1" t="str">
        <f>IFERROR(__xludf.DUMMYFUNCTION("""COMPUTED_VALUE"""),"AYON, MANUEL")</f>
        <v>AYON, MANUEL</v>
      </c>
      <c r="S718" s="1" t="str">
        <f>IFERROR(__xludf.DUMMYFUNCTION("""COMPUTED_VALUE"""),"FLA")</f>
        <v>FLA</v>
      </c>
      <c r="T718" s="1" t="str">
        <f>IFERROR(__xludf.DUMMYFUNCTION("""COMPUTED_VALUE"""),"JERIC NAVARRO")</f>
        <v>JERIC NAVARRO</v>
      </c>
      <c r="U718" s="1" t="str">
        <f>IFERROR(__xludf.DUMMYFUNCTION("""COMPUTED_VALUE"""),"JULIE ESPIRITU")</f>
        <v>JULIE ESPIRITU</v>
      </c>
      <c r="V718" s="1" t="str">
        <f>IFERROR(__xludf.DUMMYFUNCTION("""COMPUTED_VALUE"""),"BK HSTK")</f>
        <v>BK HSTK</v>
      </c>
      <c r="W718" s="1" t="str">
        <f>IFERROR(__xludf.DUMMYFUNCTION("""COMPUTED_VALUE"""),"BK HSTK")</f>
        <v>BK HSTK</v>
      </c>
      <c r="X718" s="1" t="str">
        <f>IFERROR(__xludf.DUMMYFUNCTION("""COMPUTED_VALUE"""),"HBBS SEPT 2026")</f>
        <v>HBBS SEPT 2026</v>
      </c>
      <c r="Y718" s="1" t="str">
        <f>IFERROR(__xludf.DUMMYFUNCTION("""COMPUTED_VALUE"""),"BK_CVEU_260824")</f>
        <v>BK_CVEU_260824</v>
      </c>
      <c r="Z718" s="1" t="str">
        <f>IFERROR(__xludf.DUMMYFUNCTION("""COMPUTED_VALUE"""),"NEW CONNECT")</f>
        <v>NEW CONNECT</v>
      </c>
      <c r="AA718" s="1">
        <f>IFERROR(__xludf.DUMMYFUNCTION("""COMPUTED_VALUE"""),639175147287)</f>
        <v>639175147287</v>
      </c>
      <c r="AB718" s="1">
        <f>IFERROR(__xludf.DUMMYFUNCTION("""COMPUTED_VALUE"""),639690638458)</f>
        <v>639690638458</v>
      </c>
      <c r="AC718" s="1">
        <f>IFERROR(__xludf.DUMMYFUNCTION("""COMPUTED_VALUE"""),9020)</f>
        <v>9020</v>
      </c>
      <c r="AD718" s="1" t="str">
        <f>IFERROR(__xludf.DUMMYFUNCTION("""COMPUTED_VALUE"""),"WISDOM")</f>
        <v>WISDOM</v>
      </c>
      <c r="AE718" s="1" t="str">
        <f>IFERROR(__xludf.DUMMYFUNCTION("""COMPUTED_VALUE"""),"CITYLAND PH 2")</f>
        <v>CITYLAND PH 2</v>
      </c>
      <c r="AF718" s="1" t="str">
        <f>IFERROR(__xludf.DUMMYFUNCTION("""COMPUTED_VALUE"""),"BGY MABUHAY")</f>
        <v>BGY MABUHAY</v>
      </c>
      <c r="AG718" s="1" t="str">
        <f>IFERROR(__xludf.DUMMYFUNCTION("""COMPUTED_VALUE"""),"CARMONA")</f>
        <v>CARMONA</v>
      </c>
      <c r="AH718" s="1" t="str">
        <f>IFERROR(__xludf.DUMMYFUNCTION("""COMPUTED_VALUE"""),"COURT")</f>
        <v>COURT</v>
      </c>
      <c r="AI718" s="1" t="str">
        <f>IFERROR(__xludf.DUMMYFUNCTION("""COMPUTED_VALUE"""),"CLUSTER 11")</f>
        <v>CLUSTER 11</v>
      </c>
    </row>
    <row r="719" customHeight="1" spans="1:35">
      <c r="A719" s="3">
        <f>IFERROR(__xludf.DUMMYFUNCTION("""COMPUTED_VALUE"""),46292)</f>
        <v>46292</v>
      </c>
      <c r="B719" s="1" t="str">
        <f>IFERROR(__xludf.DUMMYFUNCTION("""COMPUTED_VALUE"""),"JOVELYN MARTINEZ LOJERA")</f>
        <v>JOVELYN MARTINEZ LOJERA</v>
      </c>
      <c r="C719" s="1">
        <f>IFERROR(__xludf.DUMMYFUNCTION("""COMPUTED_VALUE"""),2312836042)</f>
        <v>2312836042</v>
      </c>
      <c r="D719" s="1"/>
      <c r="E719" s="1"/>
      <c r="F719" s="1" t="str">
        <f>IFERROR(__xludf.DUMMYFUNCTION("""COMPUTED_VALUE"""),"CANCELLED")</f>
        <v>CANCELLED</v>
      </c>
      <c r="G719" s="1" t="str">
        <f>IFERROR(__xludf.DUMMYFUNCTION("""COMPUTED_VALUE"""),"CANCELLED")</f>
        <v>CANCELLED</v>
      </c>
      <c r="H719" s="1"/>
      <c r="I719" s="1"/>
      <c r="J719" s="1"/>
      <c r="K719" s="1"/>
      <c r="L719" s="1" t="str">
        <f>IFERROR(__xludf.DUMMYFUNCTION("""COMPUTED_VALUE"""),"CANCELLED - WITH OB")</f>
        <v>CANCELLED - WITH OB</v>
      </c>
      <c r="M719" s="1" t="str">
        <f>IFERROR(__xludf.DUMMYFUNCTION("""COMPUTED_VALUE"""),"CANCELLED - WITH OB")</f>
        <v>CANCELLED - WITH OB</v>
      </c>
      <c r="N719" s="3"/>
      <c r="O719" s="1" t="str">
        <f>IFERROR(__xludf.DUMMYFUNCTION("""COMPUTED_VALUE"""),"FIBR UNLI ALL PLAN 999")</f>
        <v>FIBR UNLI ALL PLAN 999</v>
      </c>
      <c r="P719" s="1" t="str">
        <f>IFERROR(__xludf.DUMMYFUNCTION("""COMPUTED_VALUE"""),"LOWPLAN")</f>
        <v>LOWPLAN</v>
      </c>
      <c r="Q719" s="1" t="str">
        <f>IFERROR(__xludf.DUMMYFUNCTION("""COMPUTED_VALUE"""),"P407561")</f>
        <v>P407561</v>
      </c>
      <c r="R719" s="1" t="str">
        <f>IFERROR(__xludf.DUMMYFUNCTION("""COMPUTED_VALUE"""),"ESCARCHA, ALMA")</f>
        <v>ESCARCHA, ALMA</v>
      </c>
      <c r="S719" s="1" t="str">
        <f>IFERROR(__xludf.DUMMYFUNCTION("""COMPUTED_VALUE"""),"ORGANIC")</f>
        <v>ORGANIC</v>
      </c>
      <c r="T719" s="1" t="str">
        <f>IFERROR(__xludf.DUMMYFUNCTION("""COMPUTED_VALUE"""),"LEA REMOLLO")</f>
        <v>LEA REMOLLO</v>
      </c>
      <c r="U719" s="1" t="str">
        <f>IFERROR(__xludf.DUMMYFUNCTION("""COMPUTED_VALUE"""),"JB SALIOA")</f>
        <v>JB SALIOA</v>
      </c>
      <c r="V719" s="1" t="str">
        <f>IFERROR(__xludf.DUMMYFUNCTION("""COMPUTED_VALUE"""),"BK HSTK")</f>
        <v>BK HSTK</v>
      </c>
      <c r="W719" s="1" t="str">
        <f>IFERROR(__xludf.DUMMYFUNCTION("""COMPUTED_VALUE"""),"BK HSTK")</f>
        <v>BK HSTK</v>
      </c>
      <c r="X719" s="1" t="str">
        <f>IFERROR(__xludf.DUMMYFUNCTION("""COMPUTED_VALUE"""),"REGULAR")</f>
        <v>REGULAR</v>
      </c>
      <c r="Y719" s="1" t="str">
        <f>IFERROR(__xludf.DUMMYFUNCTION("""COMPUTED_VALUE"""),"BK_CVEU_260827")</f>
        <v>BK_CVEU_260827</v>
      </c>
      <c r="Z719" s="1" t="str">
        <f>IFERROR(__xludf.DUMMYFUNCTION("""COMPUTED_VALUE"""),"NEW CONNECT")</f>
        <v>NEW CONNECT</v>
      </c>
      <c r="AA719" s="1">
        <f>IFERROR(__xludf.DUMMYFUNCTION("""COMPUTED_VALUE"""),639455225965)</f>
        <v>639455225965</v>
      </c>
      <c r="AB719" s="1"/>
      <c r="AC719" s="1"/>
      <c r="AD719" s="1" t="str">
        <f>IFERROR(__xludf.DUMMYFUNCTION("""COMPUTED_VALUE"""),"KALUBKOB")</f>
        <v>KALUBKOB</v>
      </c>
      <c r="AE719" s="1"/>
      <c r="AF719" s="1" t="str">
        <f>IFERROR(__xludf.DUMMYFUNCTION("""COMPUTED_VALUE"""),"BGY ASIS 2")</f>
        <v>BGY ASIS 2</v>
      </c>
      <c r="AG719" s="1" t="str">
        <f>IFERROR(__xludf.DUMMYFUNCTION("""COMPUTED_VALUE"""),"MENDEZ")</f>
        <v>MENDEZ</v>
      </c>
      <c r="AH719" s="1" t="str">
        <f>IFERROR(__xludf.DUMMYFUNCTION("""COMPUTED_VALUE"""),"-")</f>
        <v>-</v>
      </c>
      <c r="AI719" s="1" t="str">
        <f>IFERROR(__xludf.DUMMYFUNCTION("""COMPUTED_VALUE"""),"CLUSTER 12")</f>
        <v>CLUSTER 12</v>
      </c>
    </row>
    <row r="720" customHeight="1" spans="1:35">
      <c r="A720" s="3">
        <f>IFERROR(__xludf.DUMMYFUNCTION("""COMPUTED_VALUE"""),46292)</f>
        <v>46292</v>
      </c>
      <c r="B720" s="1" t="str">
        <f>IFERROR(__xludf.DUMMYFUNCTION("""COMPUTED_VALUE"""),"KENNETH COSME CARAGAY")</f>
        <v>KENNETH COSME CARAGAY</v>
      </c>
      <c r="C720" s="1">
        <f>IFERROR(__xludf.DUMMYFUNCTION("""COMPUTED_VALUE"""),2312836045)</f>
        <v>2312836045</v>
      </c>
      <c r="D720" s="1"/>
      <c r="E720" s="1"/>
      <c r="F720" s="1" t="str">
        <f>IFERROR(__xludf.DUMMYFUNCTION("""COMPUTED_VALUE"""),"CANCELLED")</f>
        <v>CANCELLED</v>
      </c>
      <c r="G720" s="1" t="str">
        <f>IFERROR(__xludf.DUMMYFUNCTION("""COMPUTED_VALUE"""),"CANCELLED")</f>
        <v>CANCELLED</v>
      </c>
      <c r="H720" s="1"/>
      <c r="I720" s="1"/>
      <c r="J720" s="1"/>
      <c r="K720" s="1"/>
      <c r="L720" s="1" t="str">
        <f>IFERROR(__xludf.DUMMYFUNCTION("""COMPUTED_VALUE"""),"CANCELLED - WITH OB")</f>
        <v>CANCELLED - WITH OB</v>
      </c>
      <c r="M720" s="1" t="str">
        <f>IFERROR(__xludf.DUMMYFUNCTION("""COMPUTED_VALUE"""),"CANCELLED - WITH OB")</f>
        <v>CANCELLED - WITH OB</v>
      </c>
      <c r="N720" s="3"/>
      <c r="O720" s="1" t="str">
        <f>IFERROR(__xludf.DUMMYFUNCTION("""COMPUTED_VALUE"""),"FIBR PLAN 1299")</f>
        <v>FIBR PLAN 1299</v>
      </c>
      <c r="P720" s="1" t="str">
        <f>IFERROR(__xludf.DUMMYFUNCTION("""COMPUTED_VALUE"""),"LOWPLAN")</f>
        <v>LOWPLAN</v>
      </c>
      <c r="Q720" s="1" t="str">
        <f>IFERROR(__xludf.DUMMYFUNCTION("""COMPUTED_VALUE"""),"P407517")</f>
        <v>P407517</v>
      </c>
      <c r="R720" s="1" t="str">
        <f>IFERROR(__xludf.DUMMYFUNCTION("""COMPUTED_VALUE"""),"GABAY, MANUEL")</f>
        <v>GABAY, MANUEL</v>
      </c>
      <c r="S720" s="1" t="str">
        <f>IFERROR(__xludf.DUMMYFUNCTION("""COMPUTED_VALUE"""),"FLA")</f>
        <v>FLA</v>
      </c>
      <c r="T720" s="1" t="str">
        <f>IFERROR(__xludf.DUMMYFUNCTION("""COMPUTED_VALUE"""),"LEA REMOLLO")</f>
        <v>LEA REMOLLO</v>
      </c>
      <c r="U720" s="1" t="str">
        <f>IFERROR(__xludf.DUMMYFUNCTION("""COMPUTED_VALUE"""),"JULIE ESPIRITU")</f>
        <v>JULIE ESPIRITU</v>
      </c>
      <c r="V720" s="1" t="str">
        <f>IFERROR(__xludf.DUMMYFUNCTION("""COMPUTED_VALUE"""),"BK HSTK")</f>
        <v>BK HSTK</v>
      </c>
      <c r="W720" s="1" t="str">
        <f>IFERROR(__xludf.DUMMYFUNCTION("""COMPUTED_VALUE"""),"BK HSTK")</f>
        <v>BK HSTK</v>
      </c>
      <c r="X720" s="1" t="str">
        <f>IFERROR(__xludf.DUMMYFUNCTION("""COMPUTED_VALUE"""),"HBBS SEPT 2026")</f>
        <v>HBBS SEPT 2026</v>
      </c>
      <c r="Y720" s="1" t="str">
        <f>IFERROR(__xludf.DUMMYFUNCTION("""COMPUTED_VALUE"""),"BK_CVEU_260826")</f>
        <v>BK_CVEU_260826</v>
      </c>
      <c r="Z720" s="1" t="str">
        <f>IFERROR(__xludf.DUMMYFUNCTION("""COMPUTED_VALUE"""),"NEW CONNECT")</f>
        <v>NEW CONNECT</v>
      </c>
      <c r="AA720" s="1">
        <f>IFERROR(__xludf.DUMMYFUNCTION("""COMPUTED_VALUE"""),639203270465)</f>
        <v>639203270465</v>
      </c>
      <c r="AB720" s="1"/>
      <c r="AC720" s="1">
        <f>IFERROR(__xludf.DUMMYFUNCTION("""COMPUTED_VALUE"""),340)</f>
        <v>340</v>
      </c>
      <c r="AD720" s="1" t="str">
        <f>IFERROR(__xludf.DUMMYFUNCTION("""COMPUTED_VALUE"""),"PUROK 6")</f>
        <v>PUROK 6</v>
      </c>
      <c r="AE720" s="1"/>
      <c r="AF720" s="1" t="str">
        <f>IFERROR(__xludf.DUMMYFUNCTION("""COMPUTED_VALUE"""),"BGY SICAT")</f>
        <v>BGY SICAT</v>
      </c>
      <c r="AG720" s="1" t="str">
        <f>IFERROR(__xludf.DUMMYFUNCTION("""COMPUTED_VALUE"""),"ALFONSO")</f>
        <v>ALFONSO</v>
      </c>
      <c r="AH720" s="1"/>
      <c r="AI720" s="1" t="str">
        <f>IFERROR(__xludf.DUMMYFUNCTION("""COMPUTED_VALUE"""),"CLUSTER 12")</f>
        <v>CLUSTER 12</v>
      </c>
    </row>
    <row r="721" customHeight="1" spans="1:35">
      <c r="A721" s="3">
        <f>IFERROR(__xludf.DUMMYFUNCTION("""COMPUTED_VALUE"""),46292)</f>
        <v>46292</v>
      </c>
      <c r="B721" s="1" t="str">
        <f>IFERROR(__xludf.DUMMYFUNCTION("""COMPUTED_VALUE"""),"ALFREDO LLABRES MALACAD")</f>
        <v>ALFREDO LLABRES MALACAD</v>
      </c>
      <c r="C721" s="1">
        <f>IFERROR(__xludf.DUMMYFUNCTION("""COMPUTED_VALUE"""),2312836125)</f>
        <v>2312836125</v>
      </c>
      <c r="D721" s="1"/>
      <c r="E721" s="1"/>
      <c r="F721" s="1" t="str">
        <f>IFERROR(__xludf.DUMMYFUNCTION("""COMPUTED_VALUE"""),"CANCELLED")</f>
        <v>CANCELLED</v>
      </c>
      <c r="G721" s="1" t="str">
        <f>IFERROR(__xludf.DUMMYFUNCTION("""COMPUTED_VALUE"""),"CANCELLED")</f>
        <v>CANCELLED</v>
      </c>
      <c r="H721" s="1"/>
      <c r="I721" s="1"/>
      <c r="J721" s="1"/>
      <c r="K721" s="1"/>
      <c r="L721" s="1" t="str">
        <f>IFERROR(__xludf.DUMMYFUNCTION("""COMPUTED_VALUE"""),"CANCELLED - WITH OB")</f>
        <v>CANCELLED - WITH OB</v>
      </c>
      <c r="M721" s="1" t="str">
        <f>IFERROR(__xludf.DUMMYFUNCTION("""COMPUTED_VALUE"""),"CANCELLED - WITH OB")</f>
        <v>CANCELLED - WITH OB</v>
      </c>
      <c r="N721" s="3"/>
      <c r="O721" s="1" t="str">
        <f>IFERROR(__xludf.DUMMYFUNCTION("""COMPUTED_VALUE"""),"FIBR UNLI ALL PLAN 999")</f>
        <v>FIBR UNLI ALL PLAN 999</v>
      </c>
      <c r="P721" s="1" t="str">
        <f>IFERROR(__xludf.DUMMYFUNCTION("""COMPUTED_VALUE"""),"LOWPLAN")</f>
        <v>LOWPLAN</v>
      </c>
      <c r="Q721" s="1" t="str">
        <f>IFERROR(__xludf.DUMMYFUNCTION("""COMPUTED_VALUE"""),"P407050")</f>
        <v>P407050</v>
      </c>
      <c r="R721" s="1" t="str">
        <f>IFERROR(__xludf.DUMMYFUNCTION("""COMPUTED_VALUE"""),"ESCARCHA, ALMA")</f>
        <v>ESCARCHA, ALMA</v>
      </c>
      <c r="S721" s="1" t="str">
        <f>IFERROR(__xludf.DUMMYFUNCTION("""COMPUTED_VALUE"""),"ORGANIC")</f>
        <v>ORGANIC</v>
      </c>
      <c r="T721" s="1" t="str">
        <f>IFERROR(__xludf.DUMMYFUNCTION("""COMPUTED_VALUE"""),"LEA REMOLLO")</f>
        <v>LEA REMOLLO</v>
      </c>
      <c r="U721" s="1" t="str">
        <f>IFERROR(__xludf.DUMMYFUNCTION("""COMPUTED_VALUE"""),"JULIE ESPIRITU")</f>
        <v>JULIE ESPIRITU</v>
      </c>
      <c r="V721" s="1" t="str">
        <f>IFERROR(__xludf.DUMMYFUNCTION("""COMPUTED_VALUE"""),"BK HSTK")</f>
        <v>BK HSTK</v>
      </c>
      <c r="W721" s="1" t="str">
        <f>IFERROR(__xludf.DUMMYFUNCTION("""COMPUTED_VALUE"""),"BK HSTK")</f>
        <v>BK HSTK</v>
      </c>
      <c r="X721" s="1" t="str">
        <f>IFERROR(__xludf.DUMMYFUNCTION("""COMPUTED_VALUE"""),"REGULAR")</f>
        <v>REGULAR</v>
      </c>
      <c r="Y721" s="1" t="str">
        <f>IFERROR(__xludf.DUMMYFUNCTION("""COMPUTED_VALUE"""),"BK_CVEU_260828")</f>
        <v>BK_CVEU_260828</v>
      </c>
      <c r="Z721" s="1" t="str">
        <f>IFERROR(__xludf.DUMMYFUNCTION("""COMPUTED_VALUE"""),"NEW CONNECT")</f>
        <v>NEW CONNECT</v>
      </c>
      <c r="AA721" s="1">
        <f>IFERROR(__xludf.DUMMYFUNCTION("""COMPUTED_VALUE"""),639568100693)</f>
        <v>639568100693</v>
      </c>
      <c r="AB721" s="1"/>
      <c r="AC721" s="1">
        <f>IFERROR(__xludf.DUMMYFUNCTION("""COMPUTED_VALUE"""),225)</f>
        <v>225</v>
      </c>
      <c r="AD721" s="1" t="str">
        <f>IFERROR(__xludf.DUMMYFUNCTION("""COMPUTED_VALUE"""),"PUROK 188")</f>
        <v>PUROK 188</v>
      </c>
      <c r="AE721" s="1" t="str">
        <f>IFERROR(__xludf.DUMMYFUNCTION("""COMPUTED_VALUE"""),"MICHAEL VILLAGE")</f>
        <v>MICHAEL VILLAGE</v>
      </c>
      <c r="AF721" s="1" t="str">
        <f>IFERROR(__xludf.DUMMYFUNCTION("""COMPUTED_VALUE"""),"BGY SUNGAY NORTH")</f>
        <v>BGY SUNGAY NORTH</v>
      </c>
      <c r="AG721" s="1" t="str">
        <f>IFERROR(__xludf.DUMMYFUNCTION("""COMPUTED_VALUE"""),"TAGAYTAY")</f>
        <v>TAGAYTAY</v>
      </c>
      <c r="AH721" s="1" t="str">
        <f>IFERROR(__xludf.DUMMYFUNCTION("""COMPUTED_VALUE"""),"BABY SARISARI STORE")</f>
        <v>BABY SARISARI STORE</v>
      </c>
      <c r="AI721" s="1" t="str">
        <f>IFERROR(__xludf.DUMMYFUNCTION("""COMPUTED_VALUE"""),"CLUSTER 12")</f>
        <v>CLUSTER 12</v>
      </c>
    </row>
    <row r="722" customHeight="1" spans="1:35">
      <c r="A722" s="3">
        <f>IFERROR(__xludf.DUMMYFUNCTION("""COMPUTED_VALUE"""),46292)</f>
        <v>46292</v>
      </c>
      <c r="B722" s="1" t="str">
        <f>IFERROR(__xludf.DUMMYFUNCTION("""COMPUTED_VALUE"""),"ALLAN ALVIN CAO ALVERIO")</f>
        <v>ALLAN ALVIN CAO ALVERIO</v>
      </c>
      <c r="C722" s="1">
        <f>IFERROR(__xludf.DUMMYFUNCTION("""COMPUTED_VALUE"""),2312836168)</f>
        <v>2312836168</v>
      </c>
      <c r="D722" s="1"/>
      <c r="E722" s="1"/>
      <c r="F722" s="1" t="str">
        <f>IFERROR(__xludf.DUMMYFUNCTION("""COMPUTED_VALUE"""),"CANCELLED")</f>
        <v>CANCELLED</v>
      </c>
      <c r="G722" s="1" t="str">
        <f>IFERROR(__xludf.DUMMYFUNCTION("""COMPUTED_VALUE"""),"CANCELLED")</f>
        <v>CANCELLED</v>
      </c>
      <c r="H722" s="1"/>
      <c r="I722" s="1"/>
      <c r="J722" s="1"/>
      <c r="K722" s="1"/>
      <c r="L722" s="1" t="str">
        <f>IFERROR(__xludf.DUMMYFUNCTION("""COMPUTED_VALUE"""),"CANCELLED - WITH OB")</f>
        <v>CANCELLED - WITH OB</v>
      </c>
      <c r="M722" s="1" t="str">
        <f>IFERROR(__xludf.DUMMYFUNCTION("""COMPUTED_VALUE"""),"CANCELLED - WITH OB")</f>
        <v>CANCELLED - WITH OB</v>
      </c>
      <c r="N722" s="3"/>
      <c r="O722" s="1" t="str">
        <f>IFERROR(__xludf.DUMMYFUNCTION("""COMPUTED_VALUE"""),"FIBR PLAN 1299")</f>
        <v>FIBR PLAN 1299</v>
      </c>
      <c r="P722" s="1" t="str">
        <f>IFERROR(__xludf.DUMMYFUNCTION("""COMPUTED_VALUE"""),"LOWPLAN")</f>
        <v>LOWPLAN</v>
      </c>
      <c r="Q722" s="1" t="str">
        <f>IFERROR(__xludf.DUMMYFUNCTION("""COMPUTED_VALUE"""),"P407050")</f>
        <v>P407050</v>
      </c>
      <c r="R722" s="1" t="str">
        <f>IFERROR(__xludf.DUMMYFUNCTION("""COMPUTED_VALUE"""),"ESCARCHA, ALMA")</f>
        <v>ESCARCHA, ALMA</v>
      </c>
      <c r="S722" s="1" t="str">
        <f>IFERROR(__xludf.DUMMYFUNCTION("""COMPUTED_VALUE"""),"ORGANIC")</f>
        <v>ORGANIC</v>
      </c>
      <c r="T722" s="1" t="str">
        <f>IFERROR(__xludf.DUMMYFUNCTION("""COMPUTED_VALUE"""),"LEA REMOLLO")</f>
        <v>LEA REMOLLO</v>
      </c>
      <c r="U722" s="1" t="str">
        <f>IFERROR(__xludf.DUMMYFUNCTION("""COMPUTED_VALUE"""),"JB SALIOA")</f>
        <v>JB SALIOA</v>
      </c>
      <c r="V722" s="1" t="str">
        <f>IFERROR(__xludf.DUMMYFUNCTION("""COMPUTED_VALUE"""),"BK REGULAR")</f>
        <v>BK REGULAR</v>
      </c>
      <c r="W722" s="1" t="str">
        <f>IFERROR(__xludf.DUMMYFUNCTION("""COMPUTED_VALUE"""),"STK REGULAR")</f>
        <v>STK REGULAR</v>
      </c>
      <c r="X722" s="1" t="str">
        <f>IFERROR(__xludf.DUMMYFUNCTION("""COMPUTED_VALUE"""),"HBBS SEPT 2026")</f>
        <v>HBBS SEPT 2026</v>
      </c>
      <c r="Y722" s="1" t="str">
        <f>IFERROR(__xludf.DUMMYFUNCTION("""COMPUTED_VALUE"""),"BK_CVEU_260825")</f>
        <v>BK_CVEU_260825</v>
      </c>
      <c r="Z722" s="1" t="str">
        <f>IFERROR(__xludf.DUMMYFUNCTION("""COMPUTED_VALUE"""),"NEW CONNECT")</f>
        <v>NEW CONNECT</v>
      </c>
      <c r="AA722" s="1">
        <f>IFERROR(__xludf.DUMMYFUNCTION("""COMPUTED_VALUE"""),639947693440)</f>
        <v>639947693440</v>
      </c>
      <c r="AB722" s="1">
        <f>IFERROR(__xludf.DUMMYFUNCTION("""COMPUTED_VALUE"""),639925796579)</f>
        <v>639925796579</v>
      </c>
      <c r="AC722" s="1"/>
      <c r="AD722" s="1" t="str">
        <f>IFERROR(__xludf.DUMMYFUNCTION("""COMPUTED_VALUE"""),"STRAWBERRY HILLS")</f>
        <v>STRAWBERRY HILLS</v>
      </c>
      <c r="AE722" s="1" t="str">
        <f>IFERROR(__xludf.DUMMYFUNCTION("""COMPUTED_VALUE"""),"STRAWBERRY HILLS")</f>
        <v>STRAWBERRY HILLS</v>
      </c>
      <c r="AF722" s="1" t="str">
        <f>IFERROR(__xludf.DUMMYFUNCTION("""COMPUTED_VALUE"""),"BGY FRANCISCO REYES")</f>
        <v>BGY FRANCISCO REYES</v>
      </c>
      <c r="AG722" s="1" t="str">
        <f>IFERROR(__xludf.DUMMYFUNCTION("""COMPUTED_VALUE"""),"GEN MARIANO ALVAREZ")</f>
        <v>GEN MARIANO ALVAREZ</v>
      </c>
      <c r="AH722" s="1" t="str">
        <f>IFERROR(__xludf.DUMMYFUNCTION("""COMPUTED_VALUE"""),"TRICYCLE TERMINAL")</f>
        <v>TRICYCLE TERMINAL</v>
      </c>
      <c r="AI722" s="1" t="str">
        <f>IFERROR(__xludf.DUMMYFUNCTION("""COMPUTED_VALUE"""),"CLUSTER 11")</f>
        <v>CLUSTER 11</v>
      </c>
    </row>
    <row r="723" customHeight="1" spans="1:35">
      <c r="A723" s="3">
        <f>IFERROR(__xludf.DUMMYFUNCTION("""COMPUTED_VALUE"""),46292)</f>
        <v>46292</v>
      </c>
      <c r="B723" s="1" t="str">
        <f>IFERROR(__xludf.DUMMYFUNCTION("""COMPUTED_VALUE"""),"LEONILA GARCIA VELASQUEZ")</f>
        <v>LEONILA GARCIA VELASQUEZ</v>
      </c>
      <c r="C723" s="1">
        <f>IFERROR(__xludf.DUMMYFUNCTION("""COMPUTED_VALUE"""),2312836310)</f>
        <v>2312836310</v>
      </c>
      <c r="D723" s="1">
        <f>IFERROR(__xludf.DUMMYFUNCTION("""COMPUTED_VALUE"""),408425840)</f>
        <v>408425840</v>
      </c>
      <c r="E723" s="1">
        <f>IFERROR(__xludf.DUMMYFUNCTION("""COMPUTED_VALUE"""),473128714004)</f>
        <v>473128714004</v>
      </c>
      <c r="F723" s="1" t="str">
        <f>IFERROR(__xludf.DUMMYFUNCTION("""COMPUTED_VALUE"""),"CANCELLED")</f>
        <v>CANCELLED</v>
      </c>
      <c r="G723" s="1" t="str">
        <f>IFERROR(__xludf.DUMMYFUNCTION("""COMPUTED_VALUE"""),"AFD CALLTHRU REMARKS   FOR RESCHEDULE NO SPECIFIC DATE WALA DAW KASI ANG MAMA NYA KAYA HINDI SYA MAKAPAG DECIDE ITATANONG DAW MUNA KUNG ITUTULOY PA ANG APPLICATION AS PER JOLINA  TALK JOLINA   DAUGHTER   09355344616")</f>
        <v>AFD CALLTHRU REMARKS   FOR RESCHEDULE NO SPECIFIC DATE WALA DAW KASI ANG MAMA NYA KAYA HINDI SYA MAKAPAG DECIDE ITATANONG DAW MUNA KUNG ITUTULOY PA ANG APPLICATION AS PER JOLINA  TALK JOLINA   DAUGHTER   09355344616</v>
      </c>
      <c r="H723" s="1"/>
      <c r="I723" s="1" t="str">
        <f>IFERROR(__xludf.DUMMYFUNCTION("""COMPUTED_VALUE"""),"NO 1 AMSF")</f>
        <v>NO 1 AMSF</v>
      </c>
      <c r="J723" s="1"/>
      <c r="K723" s="1" t="str">
        <f>IFERROR(__xludf.DUMMYFUNCTION("""COMPUTED_VALUE"""),"CANCELED")</f>
        <v>CANCELED</v>
      </c>
      <c r="L723" s="1" t="str">
        <f>IFERROR(__xludf.DUMMYFUNCTION("""COMPUTED_VALUE"""),"CANCELLED")</f>
        <v>CANCELLED</v>
      </c>
      <c r="M723" s="1" t="str">
        <f>IFERROR(__xludf.DUMMYFUNCTION("""COMPUTED_VALUE"""),"CANCELLED")</f>
        <v>CANCELLED</v>
      </c>
      <c r="N723" s="3"/>
      <c r="O723" s="1" t="str">
        <f>IFERROR(__xludf.DUMMYFUNCTION("""COMPUTED_VALUE"""),"FIBER UNLI ALL PLAN 1499")</f>
        <v>FIBER UNLI ALL PLAN 1499</v>
      </c>
      <c r="P723" s="1" t="str">
        <f>IFERROR(__xludf.DUMMYFUNCTION("""COMPUTED_VALUE"""),"LOWPLAN")</f>
        <v>LOWPLAN</v>
      </c>
      <c r="Q723" s="1" t="str">
        <f>IFERROR(__xludf.DUMMYFUNCTION("""COMPUTED_VALUE"""),"P407050")</f>
        <v>P407050</v>
      </c>
      <c r="R723" s="1" t="str">
        <f>IFERROR(__xludf.DUMMYFUNCTION("""COMPUTED_VALUE"""),"CADERAO, RONALD")</f>
        <v>CADERAO, RONALD</v>
      </c>
      <c r="S723" s="1" t="str">
        <f>IFERROR(__xludf.DUMMYFUNCTION("""COMPUTED_VALUE"""),"ORGANIC")</f>
        <v>ORGANIC</v>
      </c>
      <c r="T723" s="1" t="str">
        <f>IFERROR(__xludf.DUMMYFUNCTION("""COMPUTED_VALUE"""),"LEA REMOLLO")</f>
        <v>LEA REMOLLO</v>
      </c>
      <c r="U723" s="1" t="str">
        <f>IFERROR(__xludf.DUMMYFUNCTION("""COMPUTED_VALUE"""),"JB SALIOA")</f>
        <v>JB SALIOA</v>
      </c>
      <c r="V723" s="1" t="str">
        <f>IFERROR(__xludf.DUMMYFUNCTION("""COMPUTED_VALUE"""),"BK REGULAR")</f>
        <v>BK REGULAR</v>
      </c>
      <c r="W723" s="1" t="str">
        <f>IFERROR(__xludf.DUMMYFUNCTION("""COMPUTED_VALUE"""),"STK REGULAR")</f>
        <v>STK REGULAR</v>
      </c>
      <c r="X723" s="1" t="str">
        <f>IFERROR(__xludf.DUMMYFUNCTION("""COMPUTED_VALUE"""),"HBBS SEPT 2026")</f>
        <v>HBBS SEPT 2026</v>
      </c>
      <c r="Y723" s="1" t="str">
        <f>IFERROR(__xludf.DUMMYFUNCTION("""COMPUTED_VALUE"""),"BK_CVEU_260827")</f>
        <v>BK_CVEU_260827</v>
      </c>
      <c r="Z723" s="1" t="str">
        <f>IFERROR(__xludf.DUMMYFUNCTION("""COMPUTED_VALUE"""),"NEW CONNECT")</f>
        <v>NEW CONNECT</v>
      </c>
      <c r="AA723" s="1">
        <f>IFERROR(__xludf.DUMMYFUNCTION("""COMPUTED_VALUE"""),639355344616)</f>
        <v>639355344616</v>
      </c>
      <c r="AB723" s="1"/>
      <c r="AC723" s="1">
        <f>IFERROR(__xludf.DUMMYFUNCTION("""COMPUTED_VALUE"""),149)</f>
        <v>149</v>
      </c>
      <c r="AD723" s="1" t="str">
        <f>IFERROR(__xludf.DUMMYFUNCTION("""COMPUTED_VALUE"""),"PUROK 7")</f>
        <v>PUROK 7</v>
      </c>
      <c r="AE723" s="1"/>
      <c r="AF723" s="1" t="str">
        <f>IFERROR(__xludf.DUMMYFUNCTION("""COMPUTED_VALUE"""),"BGY BALUBAD")</f>
        <v>BGY BALUBAD</v>
      </c>
      <c r="AG723" s="1" t="str">
        <f>IFERROR(__xludf.DUMMYFUNCTION("""COMPUTED_VALUE"""),"SILANG")</f>
        <v>SILANG</v>
      </c>
      <c r="AH723" s="1" t="str">
        <f>IFERROR(__xludf.DUMMYFUNCTION("""COMPUTED_VALUE"""),"-")</f>
        <v>-</v>
      </c>
      <c r="AI723" s="1" t="str">
        <f>IFERROR(__xludf.DUMMYFUNCTION("""COMPUTED_VALUE"""),"CLUSTER 11")</f>
        <v>CLUSTER 11</v>
      </c>
    </row>
    <row r="724" customHeight="1" spans="1:35">
      <c r="A724" s="3">
        <f>IFERROR(__xludf.DUMMYFUNCTION("""COMPUTED_VALUE"""),46292)</f>
        <v>46292</v>
      </c>
      <c r="B724" s="1" t="str">
        <f>IFERROR(__xludf.DUMMYFUNCTION("""COMPUTED_VALUE"""),"GEMMA LUPANGO BALAG")</f>
        <v>GEMMA LUPANGO BALAG</v>
      </c>
      <c r="C724" s="1">
        <f>IFERROR(__xludf.DUMMYFUNCTION("""COMPUTED_VALUE"""),2312836577)</f>
        <v>2312836577</v>
      </c>
      <c r="D724" s="1"/>
      <c r="E724" s="1"/>
      <c r="F724" s="1" t="str">
        <f>IFERROR(__xludf.DUMMYFUNCTION("""COMPUTED_VALUE"""),"CANCELLED")</f>
        <v>CANCELLED</v>
      </c>
      <c r="G724" s="1" t="str">
        <f>IFERROR(__xludf.DUMMYFUNCTION("""COMPUTED_VALUE"""),"CANCELLED")</f>
        <v>CANCELLED</v>
      </c>
      <c r="H724" s="1"/>
      <c r="I724" s="1"/>
      <c r="J724" s="1"/>
      <c r="K724" s="1"/>
      <c r="L724" s="1" t="str">
        <f>IFERROR(__xludf.DUMMYFUNCTION("""COMPUTED_VALUE"""),"CANCELLED - WITH OB")</f>
        <v>CANCELLED - WITH OB</v>
      </c>
      <c r="M724" s="1" t="str">
        <f>IFERROR(__xludf.DUMMYFUNCTION("""COMPUTED_VALUE"""),"CANCELLED - WITH OB")</f>
        <v>CANCELLED - WITH OB</v>
      </c>
      <c r="N724" s="3"/>
      <c r="O724" s="1" t="str">
        <f>IFERROR(__xludf.DUMMYFUNCTION("""COMPUTED_VALUE"""),"FIBR UNLI ALL PLAN 999")</f>
        <v>FIBR UNLI ALL PLAN 999</v>
      </c>
      <c r="P724" s="1" t="str">
        <f>IFERROR(__xludf.DUMMYFUNCTION("""COMPUTED_VALUE"""),"LOWPLAN")</f>
        <v>LOWPLAN</v>
      </c>
      <c r="Q724" s="1" t="str">
        <f>IFERROR(__xludf.DUMMYFUNCTION("""COMPUTED_VALUE"""),"P407050")</f>
        <v>P407050</v>
      </c>
      <c r="R724" s="1" t="str">
        <f>IFERROR(__xludf.DUMMYFUNCTION("""COMPUTED_VALUE"""),"ESCARCHA, ALMA")</f>
        <v>ESCARCHA, ALMA</v>
      </c>
      <c r="S724" s="1" t="str">
        <f>IFERROR(__xludf.DUMMYFUNCTION("""COMPUTED_VALUE"""),"ORGANIC")</f>
        <v>ORGANIC</v>
      </c>
      <c r="T724" s="1" t="str">
        <f>IFERROR(__xludf.DUMMYFUNCTION("""COMPUTED_VALUE"""),"LEA REMOLLO")</f>
        <v>LEA REMOLLO</v>
      </c>
      <c r="U724" s="1" t="str">
        <f>IFERROR(__xludf.DUMMYFUNCTION("""COMPUTED_VALUE"""),"JB SALIOA")</f>
        <v>JB SALIOA</v>
      </c>
      <c r="V724" s="1" t="str">
        <f>IFERROR(__xludf.DUMMYFUNCTION("""COMPUTED_VALUE"""),"BK HSTK")</f>
        <v>BK HSTK</v>
      </c>
      <c r="W724" s="1" t="str">
        <f>IFERROR(__xludf.DUMMYFUNCTION("""COMPUTED_VALUE"""),"BK HSTK")</f>
        <v>BK HSTK</v>
      </c>
      <c r="X724" s="1" t="str">
        <f>IFERROR(__xludf.DUMMYFUNCTION("""COMPUTED_VALUE"""),"REGULAR")</f>
        <v>REGULAR</v>
      </c>
      <c r="Y724" s="1" t="str">
        <f>IFERROR(__xludf.DUMMYFUNCTION("""COMPUTED_VALUE"""),"BK_CVEU_260826")</f>
        <v>BK_CVEU_260826</v>
      </c>
      <c r="Z724" s="1" t="str">
        <f>IFERROR(__xludf.DUMMYFUNCTION("""COMPUTED_VALUE"""),"NEW CONNECT")</f>
        <v>NEW CONNECT</v>
      </c>
      <c r="AA724" s="1">
        <f>IFERROR(__xludf.DUMMYFUNCTION("""COMPUTED_VALUE"""),639553954561)</f>
        <v>639553954561</v>
      </c>
      <c r="AB724" s="1"/>
      <c r="AC724" s="1">
        <f>IFERROR(__xludf.DUMMYFUNCTION("""COMPUTED_VALUE"""),77)</f>
        <v>77</v>
      </c>
      <c r="AD724" s="1" t="str">
        <f>IFERROR(__xludf.DUMMYFUNCTION("""COMPUTED_VALUE"""),"J GATPANDAN")</f>
        <v>J GATPANDAN</v>
      </c>
      <c r="AE724" s="1"/>
      <c r="AF724" s="1" t="str">
        <f>IFERROR(__xludf.DUMMYFUNCTION("""COMPUTED_VALUE"""),"BGY ANULING CERCA 2")</f>
        <v>BGY ANULING CERCA 2</v>
      </c>
      <c r="AG724" s="1" t="str">
        <f>IFERROR(__xludf.DUMMYFUNCTION("""COMPUTED_VALUE"""),"MENDEZ")</f>
        <v>MENDEZ</v>
      </c>
      <c r="AH724" s="1" t="str">
        <f>IFERROR(__xludf.DUMMYFUNCTION("""COMPUTED_VALUE"""),"L AND J RESORT")</f>
        <v>L AND J RESORT</v>
      </c>
      <c r="AI724" s="1" t="str">
        <f>IFERROR(__xludf.DUMMYFUNCTION("""COMPUTED_VALUE"""),"CLUSTER 12")</f>
        <v>CLUSTER 12</v>
      </c>
    </row>
    <row r="725" customHeight="1" spans="1:35">
      <c r="A725" s="3">
        <f>IFERROR(__xludf.DUMMYFUNCTION("""COMPUTED_VALUE"""),46293)</f>
        <v>46293</v>
      </c>
      <c r="B725" s="1" t="str">
        <f>IFERROR(__xludf.DUMMYFUNCTION("""COMPUTED_VALUE"""),"GLENN CARLO GENESIS BALUBAYAN ")</f>
        <v>GLENN CARLO GENESIS BALUBAYAN </v>
      </c>
      <c r="C725" s="1">
        <f>IFERROR(__xludf.DUMMYFUNCTION("""COMPUTED_VALUE"""),2312845339)</f>
        <v>2312845339</v>
      </c>
      <c r="D725" s="1"/>
      <c r="E725" s="1"/>
      <c r="F725" s="1" t="str">
        <f>IFERROR(__xludf.DUMMYFUNCTION("""COMPUTED_VALUE"""),"CANCELLED")</f>
        <v>CANCELLED</v>
      </c>
      <c r="G725" s="1" t="str">
        <f>IFERROR(__xludf.DUMMYFUNCTION("""COMPUTED_VALUE"""),"CANCELLED")</f>
        <v>CANCELLED</v>
      </c>
      <c r="H725" s="1"/>
      <c r="I725" s="1"/>
      <c r="J725" s="1"/>
      <c r="K725" s="1"/>
      <c r="L725" s="1" t="str">
        <f>IFERROR(__xludf.DUMMYFUNCTION("""COMPUTED_VALUE"""),"CANCELLED - SYSTEM ERROR")</f>
        <v>CANCELLED - SYSTEM ERROR</v>
      </c>
      <c r="M725" s="1" t="str">
        <f>IFERROR(__xludf.DUMMYFUNCTION("""COMPUTED_VALUE"""),"CANCELLED - NO SR GENERATED - SYSTEM ERROR")</f>
        <v>CANCELLED - NO SR GENERATED - SYSTEM ERROR</v>
      </c>
      <c r="N725" s="3"/>
      <c r="O725" s="1" t="str">
        <f>IFERROR(__xludf.DUMMYFUNCTION("""COMPUTED_VALUE"""),"FIBR PLAN 1299")</f>
        <v>FIBR PLAN 1299</v>
      </c>
      <c r="P725" s="1" t="str">
        <f>IFERROR(__xludf.DUMMYFUNCTION("""COMPUTED_VALUE"""),"LOWPLAN")</f>
        <v>LOWPLAN</v>
      </c>
      <c r="Q725" s="1" t="str">
        <f>IFERROR(__xludf.DUMMYFUNCTION("""COMPUTED_VALUE"""),"P407520 ")</f>
        <v>P407520 </v>
      </c>
      <c r="R725" s="1" t="str">
        <f>IFERROR(__xludf.DUMMYFUNCTION("""COMPUTED_VALUE"""),"MALIWAT, MARK")</f>
        <v>MALIWAT, MARK</v>
      </c>
      <c r="S725" s="1" t="str">
        <f>IFERROR(__xludf.DUMMYFUNCTION("""COMPUTED_VALUE"""),"FLA")</f>
        <v>FLA</v>
      </c>
      <c r="T725" s="1" t="str">
        <f>IFERROR(__xludf.DUMMYFUNCTION("""COMPUTED_VALUE"""),"JERIC NAVARRO")</f>
        <v>JERIC NAVARRO</v>
      </c>
      <c r="U725" s="1" t="str">
        <f>IFERROR(__xludf.DUMMYFUNCTION("""COMPUTED_VALUE"""),"MARK MALIWAT")</f>
        <v>MARK MALIWAT</v>
      </c>
      <c r="V725" s="1" t="str">
        <f>IFERROR(__xludf.DUMMYFUNCTION("""COMPUTED_VALUE"""),"BK REGULAR")</f>
        <v>BK REGULAR</v>
      </c>
      <c r="W725" s="1" t="str">
        <f>IFERROR(__xludf.DUMMYFUNCTION("""COMPUTED_VALUE"""),"STK REGULAR")</f>
        <v>STK REGULAR</v>
      </c>
      <c r="X725" s="1" t="str">
        <f>IFERROR(__xludf.DUMMYFUNCTION("""COMPUTED_VALUE"""),"REGULAR")</f>
        <v>REGULAR</v>
      </c>
      <c r="Y725" s="1" t="str">
        <f>IFERROR(__xludf.DUMMYFUNCTION("""COMPUTED_VALUE"""),"BK_CVEU_260823")</f>
        <v>BK_CVEU_260823</v>
      </c>
      <c r="Z725" s="1" t="str">
        <f>IFERROR(__xludf.DUMMYFUNCTION("""COMPUTED_VALUE"""),"NEW CONNECT")</f>
        <v>NEW CONNECT</v>
      </c>
      <c r="AA725" s="1">
        <f>IFERROR(__xludf.DUMMYFUNCTION("""COMPUTED_VALUE"""),639215528457)</f>
        <v>639215528457</v>
      </c>
      <c r="AB725" s="1">
        <f>IFERROR(__xludf.DUMMYFUNCTION("""COMPUTED_VALUE"""),639215528457)</f>
        <v>639215528457</v>
      </c>
      <c r="AC725" s="1">
        <f>IFERROR(__xludf.DUMMYFUNCTION("""COMPUTED_VALUE"""),28)</f>
        <v>28</v>
      </c>
      <c r="AD725" s="1" t="str">
        <f>IFERROR(__xludf.DUMMYFUNCTION("""COMPUTED_VALUE"""),"PUROK 2")</f>
        <v>PUROK 2</v>
      </c>
      <c r="AE725" s="1" t="str">
        <f>IFERROR(__xludf.DUMMYFUNCTION("""COMPUTED_VALUE"""),"PUROK 2")</f>
        <v>PUROK 2</v>
      </c>
      <c r="AF725" s="1" t="str">
        <f>IFERROR(__xludf.DUMMYFUNCTION("""COMPUTED_VALUE"""),"BGY 1")</f>
        <v>BGY 1</v>
      </c>
      <c r="AG725" s="1" t="str">
        <f>IFERROR(__xludf.DUMMYFUNCTION("""COMPUTED_VALUE"""),"AMADEO")</f>
        <v>AMADEO</v>
      </c>
      <c r="AH725" s="1" t="str">
        <f>IFERROR(__xludf.DUMMYFUNCTION("""COMPUTED_VALUE"""),"AMALP081NP8")</f>
        <v>AMALP081NP8</v>
      </c>
      <c r="AI725" s="1" t="str">
        <f>IFERROR(__xludf.DUMMYFUNCTION("""COMPUTED_VALUE"""),"CLUSTER 12")</f>
        <v>CLUSTER 12</v>
      </c>
    </row>
    <row r="726" customHeight="1" spans="1:35">
      <c r="A726" s="3">
        <f>IFERROR(__xludf.DUMMYFUNCTION("""COMPUTED_VALUE"""),46293)</f>
        <v>46293</v>
      </c>
      <c r="B726" s="1" t="str">
        <f>IFERROR(__xludf.DUMMYFUNCTION("""COMPUTED_VALUE"""),"GLENN CARLO GENESIS BALUBAYAN ")</f>
        <v>GLENN CARLO GENESIS BALUBAYAN </v>
      </c>
      <c r="C726" s="1">
        <f>IFERROR(__xludf.DUMMYFUNCTION("""COMPUTED_VALUE"""),2312845665)</f>
        <v>2312845665</v>
      </c>
      <c r="D726" s="1"/>
      <c r="E726" s="1"/>
      <c r="F726" s="1" t="str">
        <f>IFERROR(__xludf.DUMMYFUNCTION("""COMPUTED_VALUE"""),"CANCELLED")</f>
        <v>CANCELLED</v>
      </c>
      <c r="G726" s="1" t="str">
        <f>IFERROR(__xludf.DUMMYFUNCTION("""COMPUTED_VALUE"""),"(OTHERS) &amp;#8203;RTS | COMPLETE DOCS| DONE VALIDATION | CORRECT ENCODED INFO IN CSP | TU SCORING - FF - 2 (NTC) | WITH 1 AMSF REQUIREMENT | WITH BL ACC FOR SETTLEMENT- 0320525721 WITH OB: 5,015.38 | CLEARED FROM CANCELLED/PENDING OR ACTIVE ACCOUNT | SCANNA"&amp;"BLE NATIONAL ID")</f>
        <v>(OTHERS) &amp;#8203;RTS | COMPLETE DOCS| DONE VALIDATION | CORRECT ENCODED INFO IN CSP | TU SCORING - FF - 2 (NTC) | WITH 1 AMSF REQUIREMENT | WITH BL ACC FOR SETTLEMENT- 0320525721 WITH OB: 5,015.38 | CLEARED FROM CANCELLED/PENDING OR ACTIVE ACCOUNT | SCANNABLE NATIONAL ID</v>
      </c>
      <c r="H726" s="1"/>
      <c r="I726" s="1"/>
      <c r="J726" s="1"/>
      <c r="K726" s="1"/>
      <c r="L726" s="1" t="str">
        <f>IFERROR(__xludf.DUMMYFUNCTION("""COMPUTED_VALUE"""),"CANCELLED - WITH OB")</f>
        <v>CANCELLED - WITH OB</v>
      </c>
      <c r="M726" s="1" t="str">
        <f>IFERROR(__xludf.DUMMYFUNCTION("""COMPUTED_VALUE"""),"CANCELLED - WITH OB")</f>
        <v>CANCELLED - WITH OB</v>
      </c>
      <c r="N726" s="3"/>
      <c r="O726" s="1" t="str">
        <f>IFERROR(__xludf.DUMMYFUNCTION("""COMPUTED_VALUE"""),"FIBR PLAN 1299")</f>
        <v>FIBR PLAN 1299</v>
      </c>
      <c r="P726" s="1" t="str">
        <f>IFERROR(__xludf.DUMMYFUNCTION("""COMPUTED_VALUE"""),"LOWPLAN")</f>
        <v>LOWPLAN</v>
      </c>
      <c r="Q726" s="1" t="str">
        <f>IFERROR(__xludf.DUMMYFUNCTION("""COMPUTED_VALUE"""),"P407520")</f>
        <v>P407520</v>
      </c>
      <c r="R726" s="1" t="str">
        <f>IFERROR(__xludf.DUMMYFUNCTION("""COMPUTED_VALUE"""),"MALIWAT, MARK")</f>
        <v>MALIWAT, MARK</v>
      </c>
      <c r="S726" s="1" t="str">
        <f>IFERROR(__xludf.DUMMYFUNCTION("""COMPUTED_VALUE"""),"FLA")</f>
        <v>FLA</v>
      </c>
      <c r="T726" s="1" t="str">
        <f>IFERROR(__xludf.DUMMYFUNCTION("""COMPUTED_VALUE"""),"JERIC NAVARRO")</f>
        <v>JERIC NAVARRO</v>
      </c>
      <c r="U726" s="1" t="str">
        <f>IFERROR(__xludf.DUMMYFUNCTION("""COMPUTED_VALUE"""),"JB SALIOA")</f>
        <v>JB SALIOA</v>
      </c>
      <c r="V726" s="1" t="str">
        <f>IFERROR(__xludf.DUMMYFUNCTION("""COMPUTED_VALUE"""),"BK REGULAR")</f>
        <v>BK REGULAR</v>
      </c>
      <c r="W726" s="1" t="str">
        <f>IFERROR(__xludf.DUMMYFUNCTION("""COMPUTED_VALUE"""),"STK REGULAR")</f>
        <v>STK REGULAR</v>
      </c>
      <c r="X726" s="1" t="str">
        <f>IFERROR(__xludf.DUMMYFUNCTION("""COMPUTED_VALUE"""),"HBBS SEPT 2026")</f>
        <v>HBBS SEPT 2026</v>
      </c>
      <c r="Y726" s="1" t="str">
        <f>IFERROR(__xludf.DUMMYFUNCTION("""COMPUTED_VALUE"""),"BK_CVEU_260823")</f>
        <v>BK_CVEU_260823</v>
      </c>
      <c r="Z726" s="1" t="str">
        <f>IFERROR(__xludf.DUMMYFUNCTION("""COMPUTED_VALUE"""),"NEW CONNECT")</f>
        <v>NEW CONNECT</v>
      </c>
      <c r="AA726" s="1">
        <f>IFERROR(__xludf.DUMMYFUNCTION("""COMPUTED_VALUE"""),639215528457)</f>
        <v>639215528457</v>
      </c>
      <c r="AB726" s="1"/>
      <c r="AC726" s="1">
        <f>IFERROR(__xludf.DUMMYFUNCTION("""COMPUTED_VALUE"""),28)</f>
        <v>28</v>
      </c>
      <c r="AD726" s="1" t="str">
        <f>IFERROR(__xludf.DUMMYFUNCTION("""COMPUTED_VALUE"""),"PUROK 2")</f>
        <v>PUROK 2</v>
      </c>
      <c r="AE726" s="1"/>
      <c r="AF726" s="1" t="str">
        <f>IFERROR(__xludf.DUMMYFUNCTION("""COMPUTED_VALUE"""),"BGY 1")</f>
        <v>BGY 1</v>
      </c>
      <c r="AG726" s="1" t="str">
        <f>IFERROR(__xludf.DUMMYFUNCTION("""COMPUTED_VALUE"""),"AMADEO")</f>
        <v>AMADEO</v>
      </c>
      <c r="AH726" s="1" t="str">
        <f>IFERROR(__xludf.DUMMYFUNCTION("""COMPUTED_VALUE"""),"DALI")</f>
        <v>DALI</v>
      </c>
      <c r="AI726" s="1" t="str">
        <f>IFERROR(__xludf.DUMMYFUNCTION("""COMPUTED_VALUE"""),"CLUSTER 12")</f>
        <v>CLUSTER 12</v>
      </c>
    </row>
    <row r="727" customHeight="1" spans="1:35">
      <c r="A727" s="3">
        <f>IFERROR(__xludf.DUMMYFUNCTION("""COMPUTED_VALUE"""),46293)</f>
        <v>46293</v>
      </c>
      <c r="B727" s="1" t="str">
        <f>IFERROR(__xludf.DUMMYFUNCTION("""COMPUTED_VALUE"""),"GLENN CARLO GENESIS BALUBAYAN")</f>
        <v>GLENN CARLO GENESIS BALUBAYAN</v>
      </c>
      <c r="C727" s="1">
        <f>IFERROR(__xludf.DUMMYFUNCTION("""COMPUTED_VALUE"""),2312845607)</f>
        <v>2312845607</v>
      </c>
      <c r="D727" s="1"/>
      <c r="E727" s="1"/>
      <c r="F727" s="1" t="str">
        <f>IFERROR(__xludf.DUMMYFUNCTION("""COMPUTED_VALUE"""),"CANCELLED")</f>
        <v>CANCELLED</v>
      </c>
      <c r="G727" s="1" t="str">
        <f>IFERROR(__xludf.DUMMYFUNCTION("""COMPUTED_VALUE"""),"CANCELLED")</f>
        <v>CANCELLED</v>
      </c>
      <c r="H727" s="1"/>
      <c r="I727" s="1"/>
      <c r="J727" s="1"/>
      <c r="K727" s="1"/>
      <c r="L727" s="1" t="str">
        <f>IFERROR(__xludf.DUMMYFUNCTION("""COMPUTED_VALUE"""),"CANCELLED - SYSTEM ERROR")</f>
        <v>CANCELLED - SYSTEM ERROR</v>
      </c>
      <c r="M727" s="1" t="str">
        <f>IFERROR(__xludf.DUMMYFUNCTION("""COMPUTED_VALUE"""),"REENCODED")</f>
        <v>REENCODED</v>
      </c>
      <c r="N727" s="3"/>
      <c r="O727" s="1" t="str">
        <f>IFERROR(__xludf.DUMMYFUNCTION("""COMPUTED_VALUE"""),"FIBR PLAN 1299")</f>
        <v>FIBR PLAN 1299</v>
      </c>
      <c r="P727" s="1" t="str">
        <f>IFERROR(__xludf.DUMMYFUNCTION("""COMPUTED_VALUE"""),"LOWPLAN")</f>
        <v>LOWPLAN</v>
      </c>
      <c r="Q727" s="1" t="str">
        <f>IFERROR(__xludf.DUMMYFUNCTION("""COMPUTED_VALUE"""),"P407520 ")</f>
        <v>P407520 </v>
      </c>
      <c r="R727" s="1" t="str">
        <f>IFERROR(__xludf.DUMMYFUNCTION("""COMPUTED_VALUE"""),"MALIWAT, MARK")</f>
        <v>MALIWAT, MARK</v>
      </c>
      <c r="S727" s="1" t="str">
        <f>IFERROR(__xludf.DUMMYFUNCTION("""COMPUTED_VALUE"""),"FLA")</f>
        <v>FLA</v>
      </c>
      <c r="T727" s="1" t="str">
        <f>IFERROR(__xludf.DUMMYFUNCTION("""COMPUTED_VALUE"""),"JERIC NAVARRO")</f>
        <v>JERIC NAVARRO</v>
      </c>
      <c r="U727" s="1" t="str">
        <f>IFERROR(__xludf.DUMMYFUNCTION("""COMPUTED_VALUE"""),"JULIE ESPIRITU")</f>
        <v>JULIE ESPIRITU</v>
      </c>
      <c r="V727" s="1" t="str">
        <f>IFERROR(__xludf.DUMMYFUNCTION("""COMPUTED_VALUE"""),"BK REGULAR")</f>
        <v>BK REGULAR</v>
      </c>
      <c r="W727" s="1" t="str">
        <f>IFERROR(__xludf.DUMMYFUNCTION("""COMPUTED_VALUE"""),"STK REGULAR")</f>
        <v>STK REGULAR</v>
      </c>
      <c r="X727" s="1" t="str">
        <f>IFERROR(__xludf.DUMMYFUNCTION("""COMPUTED_VALUE"""),"REGULAR")</f>
        <v>REGULAR</v>
      </c>
      <c r="Y727" s="1" t="str">
        <f>IFERROR(__xludf.DUMMYFUNCTION("""COMPUTED_VALUE"""),"BK_CVEU_260823")</f>
        <v>BK_CVEU_260823</v>
      </c>
      <c r="Z727" s="1" t="str">
        <f>IFERROR(__xludf.DUMMYFUNCTION("""COMPUTED_VALUE"""),"NEW CONNECT")</f>
        <v>NEW CONNECT</v>
      </c>
      <c r="AA727" s="1">
        <f>IFERROR(__xludf.DUMMYFUNCTION("""COMPUTED_VALUE"""),639215528457)</f>
        <v>639215528457</v>
      </c>
      <c r="AB727" s="1">
        <f>IFERROR(__xludf.DUMMYFUNCTION("""COMPUTED_VALUE"""),639215528457)</f>
        <v>639215528457</v>
      </c>
      <c r="AC727" s="1">
        <f>IFERROR(__xludf.DUMMYFUNCTION("""COMPUTED_VALUE"""),28)</f>
        <v>28</v>
      </c>
      <c r="AD727" s="1" t="str">
        <f>IFERROR(__xludf.DUMMYFUNCTION("""COMPUTED_VALUE"""),"PUROK 2")</f>
        <v>PUROK 2</v>
      </c>
      <c r="AE727" s="1" t="str">
        <f>IFERROR(__xludf.DUMMYFUNCTION("""COMPUTED_VALUE"""),"PUROK 2")</f>
        <v>PUROK 2</v>
      </c>
      <c r="AF727" s="1" t="str">
        <f>IFERROR(__xludf.DUMMYFUNCTION("""COMPUTED_VALUE"""),"BGY 1")</f>
        <v>BGY 1</v>
      </c>
      <c r="AG727" s="1" t="str">
        <f>IFERROR(__xludf.DUMMYFUNCTION("""COMPUTED_VALUE"""),"AMADEO")</f>
        <v>AMADEO</v>
      </c>
      <c r="AH727" s="1" t="str">
        <f>IFERROR(__xludf.DUMMYFUNCTION("""COMPUTED_VALUE"""),"AMALP081NP8")</f>
        <v>AMALP081NP8</v>
      </c>
      <c r="AI727" s="1" t="str">
        <f>IFERROR(__xludf.DUMMYFUNCTION("""COMPUTED_VALUE"""),"CLUSTER 12")</f>
        <v>CLUSTER 12</v>
      </c>
    </row>
    <row r="728" customHeight="1" spans="1:35">
      <c r="A728" s="3">
        <f>IFERROR(__xludf.DUMMYFUNCTION("""COMPUTED_VALUE"""),46293)</f>
        <v>46293</v>
      </c>
      <c r="B728" s="1" t="str">
        <f>IFERROR(__xludf.DUMMYFUNCTION("""COMPUTED_VALUE"""),"ISIDROLY LASUGAS SOLIDARIOS")</f>
        <v>ISIDROLY LASUGAS SOLIDARIOS</v>
      </c>
      <c r="C728" s="1">
        <f>IFERROR(__xludf.DUMMYFUNCTION("""COMPUTED_VALUE"""),2312846822)</f>
        <v>2312846822</v>
      </c>
      <c r="D728" s="1">
        <f>IFERROR(__xludf.DUMMYFUNCTION("""COMPUTED_VALUE"""),408450535)</f>
        <v>408450535</v>
      </c>
      <c r="E728" s="1">
        <f>IFERROR(__xludf.DUMMYFUNCTION("""COMPUTED_VALUE"""),473301546004)</f>
        <v>473301546004</v>
      </c>
      <c r="F728" s="1" t="str">
        <f>IFERROR(__xludf.DUMMYFUNCTION("""COMPUTED_VALUE"""),"CLOSED")</f>
        <v>CLOSED</v>
      </c>
      <c r="G728" s="1" t="str">
        <f>IFERROR(__xludf.DUMMYFUNCTION("""COMPUTED_VALUE"""),"CLOSED")</f>
        <v>CLOSED</v>
      </c>
      <c r="H728" s="1" t="str">
        <f>IFERROR(__xludf.DUMMYFUNCTION("""COMPUTED_VALUE"""),"PAID VIA GCASH  SEPT 30 - REF - 231514267")</f>
        <v>PAID VIA GCASH  SEPT 30 - REF - 231514267</v>
      </c>
      <c r="I728" s="1" t="str">
        <f>IFERROR(__xludf.DUMMYFUNCTION("""COMPUTED_VALUE"""),"WITH 1 AMSF")</f>
        <v>WITH 1 AMSF</v>
      </c>
      <c r="J728" s="1"/>
      <c r="K728" s="1"/>
      <c r="L728" s="1" t="str">
        <f>IFERROR(__xludf.DUMMYFUNCTION("""COMPUTED_VALUE"""),"POSTED")</f>
        <v>POSTED</v>
      </c>
      <c r="M728" s="1" t="str">
        <f>IFERROR(__xludf.DUMMYFUNCTION("""COMPUTED_VALUE"""),"POSTED")</f>
        <v>POSTED</v>
      </c>
      <c r="N728" s="3">
        <f>IFERROR(__xludf.DUMMYFUNCTION("""COMPUTED_VALUE"""),46295)</f>
        <v>46295</v>
      </c>
      <c r="O728" s="1" t="str">
        <f>IFERROR(__xludf.DUMMYFUNCTION("""COMPUTED_VALUE"""),"FIBR PLAN 1299")</f>
        <v>FIBR PLAN 1299</v>
      </c>
      <c r="P728" s="1" t="str">
        <f>IFERROR(__xludf.DUMMYFUNCTION("""COMPUTED_VALUE"""),"LOWPLAN")</f>
        <v>LOWPLAN</v>
      </c>
      <c r="Q728" s="1" t="str">
        <f>IFERROR(__xludf.DUMMYFUNCTION("""COMPUTED_VALUE"""),"P407517")</f>
        <v>P407517</v>
      </c>
      <c r="R728" s="1" t="str">
        <f>IFERROR(__xludf.DUMMYFUNCTION("""COMPUTED_VALUE"""),"GABAY, MANUEL")</f>
        <v>GABAY, MANUEL</v>
      </c>
      <c r="S728" s="1" t="str">
        <f>IFERROR(__xludf.DUMMYFUNCTION("""COMPUTED_VALUE"""),"FLA")</f>
        <v>FLA</v>
      </c>
      <c r="T728" s="1" t="str">
        <f>IFERROR(__xludf.DUMMYFUNCTION("""COMPUTED_VALUE"""),"JERIC NAVARRO")</f>
        <v>JERIC NAVARRO</v>
      </c>
      <c r="U728" s="1" t="str">
        <f>IFERROR(__xludf.DUMMYFUNCTION("""COMPUTED_VALUE"""),"JB SALIOA")</f>
        <v>JB SALIOA</v>
      </c>
      <c r="V728" s="1" t="str">
        <f>IFERROR(__xludf.DUMMYFUNCTION("""COMPUTED_VALUE"""),"ONLINE/CRANFORD")</f>
        <v>ONLINE/CRANFORD</v>
      </c>
      <c r="W728" s="1" t="str">
        <f>IFERROR(__xludf.DUMMYFUNCTION("""COMPUTED_VALUE"""),"STK REGULAR")</f>
        <v>STK REGULAR</v>
      </c>
      <c r="X728" s="1" t="str">
        <f>IFERROR(__xludf.DUMMYFUNCTION("""COMPUTED_VALUE"""),"HBBS SEPT 2026")</f>
        <v>HBBS SEPT 2026</v>
      </c>
      <c r="Y728" s="1" t="str">
        <f>IFERROR(__xludf.DUMMYFUNCTION("""COMPUTED_VALUE"""),"RS_ONL_CVEU_2026")</f>
        <v>RS_ONL_CVEU_2026</v>
      </c>
      <c r="Z728" s="1" t="str">
        <f>IFERROR(__xludf.DUMMYFUNCTION("""COMPUTED_VALUE"""),"NEW CONNECT")</f>
        <v>NEW CONNECT</v>
      </c>
      <c r="AA728" s="1">
        <f>IFERROR(__xludf.DUMMYFUNCTION("""COMPUTED_VALUE"""),639669701839)</f>
        <v>639669701839</v>
      </c>
      <c r="AB728" s="1">
        <f>IFERROR(__xludf.DUMMYFUNCTION("""COMPUTED_VALUE"""),639500140550)</f>
        <v>639500140550</v>
      </c>
      <c r="AC728" s="1"/>
      <c r="AD728" s="1" t="str">
        <f>IFERROR(__xludf.DUMMYFUNCTION("""COMPUTED_VALUE"""),"CLUSTER E")</f>
        <v>CLUSTER E</v>
      </c>
      <c r="AE728" s="1"/>
      <c r="AF728" s="1" t="str">
        <f>IFERROR(__xludf.DUMMYFUNCTION("""COMPUTED_VALUE"""),"SAN LORENZO RUIZ 1")</f>
        <v>SAN LORENZO RUIZ 1</v>
      </c>
      <c r="AG728" s="1" t="str">
        <f>IFERROR(__xludf.DUMMYFUNCTION("""COMPUTED_VALUE"""),"DASMARINAS")</f>
        <v>DASMARINAS</v>
      </c>
      <c r="AH728" s="1" t="str">
        <f>IFERROR(__xludf.DUMMYFUNCTION("""COMPUTED_VALUE"""),"CLUSTER E")</f>
        <v>CLUSTER E</v>
      </c>
      <c r="AI728" s="1" t="str">
        <f>IFERROR(__xludf.DUMMYFUNCTION("""COMPUTED_VALUE"""),"NOT AOR")</f>
        <v>NOT AOR</v>
      </c>
    </row>
    <row r="729" customHeight="1" spans="1:35">
      <c r="A729" s="3">
        <f>IFERROR(__xludf.DUMMYFUNCTION("""COMPUTED_VALUE"""),46293)</f>
        <v>46293</v>
      </c>
      <c r="B729" s="1" t="str">
        <f>IFERROR(__xludf.DUMMYFUNCTION("""COMPUTED_VALUE"""),"LESLIE ANN BELARDO NAVARRO")</f>
        <v>LESLIE ANN BELARDO NAVARRO</v>
      </c>
      <c r="C729" s="1">
        <f>IFERROR(__xludf.DUMMYFUNCTION("""COMPUTED_VALUE"""),2312847144)</f>
        <v>2312847144</v>
      </c>
      <c r="D729" s="1">
        <f>IFERROR(__xludf.DUMMYFUNCTION("""COMPUTED_VALUE"""),408440173)</f>
        <v>408440173</v>
      </c>
      <c r="E729" s="1">
        <f>IFERROR(__xludf.DUMMYFUNCTION("""COMPUTED_VALUE"""),473290808004)</f>
        <v>473290808004</v>
      </c>
      <c r="F729" s="1" t="str">
        <f>IFERROR(__xludf.DUMMYFUNCTION("""COMPUTED_VALUE"""),"CLOSED")</f>
        <v>CLOSED</v>
      </c>
      <c r="G729" s="1" t="str">
        <f>IFERROR(__xludf.DUMMYFUNCTION("""COMPUTED_VALUE"""),"CLOSED")</f>
        <v>CLOSED</v>
      </c>
      <c r="H729" s="1" t="str">
        <f>IFERROR(__xludf.DUMMYFUNCTION("""COMPUTED_VALUE"""),"PQGOR365973541	02-Oct-26	Regular Payment	CIS - 7ELEVEN - NCR	1,000.00	946540184	02-Oct-26")</f>
        <v>PQGOR365973541	02-Oct-26	Regular Payment	CIS - 7ELEVEN - NCR	1,000.00	946540184	02-Oct-26</v>
      </c>
      <c r="I729" s="1" t="str">
        <f>IFERROR(__xludf.DUMMYFUNCTION("""COMPUTED_VALUE"""),"WITH 1 AMSF")</f>
        <v>WITH 1 AMSF</v>
      </c>
      <c r="J729" s="1"/>
      <c r="K729" s="1"/>
      <c r="L729" s="1" t="str">
        <f>IFERROR(__xludf.DUMMYFUNCTION("""COMPUTED_VALUE"""),"POSTED")</f>
        <v>POSTED</v>
      </c>
      <c r="M729" s="1" t="str">
        <f>IFERROR(__xludf.DUMMYFUNCTION("""COMPUTED_VALUE"""),"POSTED")</f>
        <v>POSTED</v>
      </c>
      <c r="N729" s="3">
        <f>IFERROR(__xludf.DUMMYFUNCTION("""COMPUTED_VALUE"""),46297)</f>
        <v>46297</v>
      </c>
      <c r="O729" s="1" t="str">
        <f>IFERROR(__xludf.DUMMYFUNCTION("""COMPUTED_VALUE"""),"FIBR PLAN 1299")</f>
        <v>FIBR PLAN 1299</v>
      </c>
      <c r="P729" s="1" t="str">
        <f>IFERROR(__xludf.DUMMYFUNCTION("""COMPUTED_VALUE"""),"LOWPLAN")</f>
        <v>LOWPLAN</v>
      </c>
      <c r="Q729" s="1" t="str">
        <f>IFERROR(__xludf.DUMMYFUNCTION("""COMPUTED_VALUE"""),"P407564")</f>
        <v>P407564</v>
      </c>
      <c r="R729" s="1" t="str">
        <f>IFERROR(__xludf.DUMMYFUNCTION("""COMPUTED_VALUE"""),"ARENA, LYKA")</f>
        <v>ARENA, LYKA</v>
      </c>
      <c r="S729" s="1" t="str">
        <f>IFERROR(__xludf.DUMMYFUNCTION("""COMPUTED_VALUE"""),"ORGANIC")</f>
        <v>ORGANIC</v>
      </c>
      <c r="T729" s="1" t="str">
        <f>IFERROR(__xludf.DUMMYFUNCTION("""COMPUTED_VALUE"""),"LEA REMOLLO")</f>
        <v>LEA REMOLLO</v>
      </c>
      <c r="U729" s="1" t="str">
        <f>IFERROR(__xludf.DUMMYFUNCTION("""COMPUTED_VALUE"""),"JB SALIOA")</f>
        <v>JB SALIOA</v>
      </c>
      <c r="V729" s="1" t="str">
        <f>IFERROR(__xludf.DUMMYFUNCTION("""COMPUTED_VALUE"""),"BK HSTK")</f>
        <v>BK HSTK</v>
      </c>
      <c r="W729" s="1" t="str">
        <f>IFERROR(__xludf.DUMMYFUNCTION("""COMPUTED_VALUE"""),"BK HSTK")</f>
        <v>BK HSTK</v>
      </c>
      <c r="X729" s="1" t="str">
        <f>IFERROR(__xludf.DUMMYFUNCTION("""COMPUTED_VALUE"""),"HBBS SEPT 2026")</f>
        <v>HBBS SEPT 2026</v>
      </c>
      <c r="Y729" s="1" t="str">
        <f>IFERROR(__xludf.DUMMYFUNCTION("""COMPUTED_VALUE"""),"BK_CVEU_260827")</f>
        <v>BK_CVEU_260827</v>
      </c>
      <c r="Z729" s="1" t="str">
        <f>IFERROR(__xludf.DUMMYFUNCTION("""COMPUTED_VALUE"""),"NEW CONNECT")</f>
        <v>NEW CONNECT</v>
      </c>
      <c r="AA729" s="1">
        <f>IFERROR(__xludf.DUMMYFUNCTION("""COMPUTED_VALUE"""),639507298373)</f>
        <v>639507298373</v>
      </c>
      <c r="AB729" s="1"/>
      <c r="AC729" s="1">
        <f>IFERROR(__xludf.DUMMYFUNCTION("""COMPUTED_VALUE"""),311)</f>
        <v>311</v>
      </c>
      <c r="AD729" s="1" t="str">
        <f>IFERROR(__xludf.DUMMYFUNCTION("""COMPUTED_VALUE"""),"PLATERO")</f>
        <v>PLATERO</v>
      </c>
      <c r="AE729" s="1" t="str">
        <f>IFERROR(__xludf.DUMMYFUNCTION("""COMPUTED_VALUE"""),"PUROK 3")</f>
        <v>PUROK 3</v>
      </c>
      <c r="AF729" s="1" t="str">
        <f>IFERROR(__xludf.DUMMYFUNCTION("""COMPUTED_VALUE"""),"BGY LUMIL")</f>
        <v>BGY LUMIL</v>
      </c>
      <c r="AG729" s="1" t="str">
        <f>IFERROR(__xludf.DUMMYFUNCTION("""COMPUTED_VALUE"""),"SILANG")</f>
        <v>SILANG</v>
      </c>
      <c r="AH729" s="1" t="str">
        <f>IFERROR(__xludf.DUMMYFUNCTION("""COMPUTED_VALUE"""),"LA CAVITENA RESORT")</f>
        <v>LA CAVITENA RESORT</v>
      </c>
      <c r="AI729" s="1" t="str">
        <f>IFERROR(__xludf.DUMMYFUNCTION("""COMPUTED_VALUE"""),"CLUSTER 11")</f>
        <v>CLUSTER 11</v>
      </c>
    </row>
    <row r="730" customHeight="1" spans="1:35">
      <c r="A730" s="3">
        <f>IFERROR(__xludf.DUMMYFUNCTION("""COMPUTED_VALUE"""),46293)</f>
        <v>46293</v>
      </c>
      <c r="B730" s="1" t="str">
        <f>IFERROR(__xludf.DUMMYFUNCTION("""COMPUTED_VALUE"""),"CLARE VIE TONACAW PULVERA")</f>
        <v>CLARE VIE TONACAW PULVERA</v>
      </c>
      <c r="C730" s="1">
        <f>IFERROR(__xludf.DUMMYFUNCTION("""COMPUTED_VALUE"""),2312847602)</f>
        <v>2312847602</v>
      </c>
      <c r="D730" s="1">
        <f>IFERROR(__xludf.DUMMYFUNCTION("""COMPUTED_VALUE"""),408438888)</f>
        <v>408438888</v>
      </c>
      <c r="E730" s="1">
        <f>IFERROR(__xludf.DUMMYFUNCTION("""COMPUTED_VALUE"""),473288912004)</f>
        <v>473288912004</v>
      </c>
      <c r="F730" s="1" t="str">
        <f>IFERROR(__xludf.DUMMYFUNCTION("""COMPUTED_VALUE"""),"CLOSED")</f>
        <v>CLOSED</v>
      </c>
      <c r="G730" s="1" t="str">
        <f>IFERROR(__xludf.DUMMYFUNCTION("""COMPUTED_VALUE"""),"CLOSED")</f>
        <v>CLOSED</v>
      </c>
      <c r="H730" s="1"/>
      <c r="I730" s="1" t="str">
        <f>IFERROR(__xludf.DUMMYFUNCTION("""COMPUTED_VALUE"""),"NO 1 AMSF")</f>
        <v>NO 1 AMSF</v>
      </c>
      <c r="J730" s="1" t="str">
        <f>IFERROR(__xludf.DUMMYFUNCTION("""COMPUTED_VALUE"""),"DUE DATE - 25-Oct-26 - 1,222.26")</f>
        <v>DUE DATE - 25-Oct-26 - 1,222.26</v>
      </c>
      <c r="K730" s="1"/>
      <c r="L730" s="1" t="str">
        <f>IFERROR(__xludf.DUMMYFUNCTION("""COMPUTED_VALUE"""),"POSTED")</f>
        <v>POSTED</v>
      </c>
      <c r="M730" s="1" t="str">
        <f>IFERROR(__xludf.DUMMYFUNCTION("""COMPUTED_VALUE"""),"POSTED")</f>
        <v>POSTED</v>
      </c>
      <c r="N730" s="3">
        <f>IFERROR(__xludf.DUMMYFUNCTION("""COMPUTED_VALUE"""),46294)</f>
        <v>46294</v>
      </c>
      <c r="O730" s="1" t="str">
        <f>IFERROR(__xludf.DUMMYFUNCTION("""COMPUTED_VALUE"""),"FIBR UNLI ALL PLAN 999")</f>
        <v>FIBR UNLI ALL PLAN 999</v>
      </c>
      <c r="P730" s="1" t="str">
        <f>IFERROR(__xludf.DUMMYFUNCTION("""COMPUTED_VALUE"""),"LOWPLAN")</f>
        <v>LOWPLAN</v>
      </c>
      <c r="Q730" s="1" t="str">
        <f>IFERROR(__xludf.DUMMYFUNCTION("""COMPUTED_VALUE"""),"P407047")</f>
        <v>P407047</v>
      </c>
      <c r="R730" s="1" t="str">
        <f>IFERROR(__xludf.DUMMYFUNCTION("""COMPUTED_VALUE"""),"FRANCISCO, ROSELYN")</f>
        <v>FRANCISCO, ROSELYN</v>
      </c>
      <c r="S730" s="1" t="str">
        <f>IFERROR(__xludf.DUMMYFUNCTION("""COMPUTED_VALUE"""),"ORGANIC")</f>
        <v>ORGANIC</v>
      </c>
      <c r="T730" s="1" t="str">
        <f>IFERROR(__xludf.DUMMYFUNCTION("""COMPUTED_VALUE"""),"LEA REMOLLO")</f>
        <v>LEA REMOLLO</v>
      </c>
      <c r="U730" s="1" t="str">
        <f>IFERROR(__xludf.DUMMYFUNCTION("""COMPUTED_VALUE"""),"JB SALIOA")</f>
        <v>JB SALIOA</v>
      </c>
      <c r="V730" s="1" t="str">
        <f>IFERROR(__xludf.DUMMYFUNCTION("""COMPUTED_VALUE"""),"BK HSTK")</f>
        <v>BK HSTK</v>
      </c>
      <c r="W730" s="1" t="str">
        <f>IFERROR(__xludf.DUMMYFUNCTION("""COMPUTED_VALUE"""),"BK HSTK")</f>
        <v>BK HSTK</v>
      </c>
      <c r="X730" s="1" t="str">
        <f>IFERROR(__xludf.DUMMYFUNCTION("""COMPUTED_VALUE"""),"REGULAR")</f>
        <v>REGULAR</v>
      </c>
      <c r="Y730" s="1" t="str">
        <f>IFERROR(__xludf.DUMMYFUNCTION("""COMPUTED_VALUE"""),"BK_CVEU_260827")</f>
        <v>BK_CVEU_260827</v>
      </c>
      <c r="Z730" s="1" t="str">
        <f>IFERROR(__xludf.DUMMYFUNCTION("""COMPUTED_VALUE"""),"NEW CONNECT")</f>
        <v>NEW CONNECT</v>
      </c>
      <c r="AA730" s="1">
        <f>IFERROR(__xludf.DUMMYFUNCTION("""COMPUTED_VALUE"""),639676370919)</f>
        <v>639676370919</v>
      </c>
      <c r="AB730" s="1">
        <f>IFERROR(__xludf.DUMMYFUNCTION("""COMPUTED_VALUE"""),639910487376)</f>
        <v>639910487376</v>
      </c>
      <c r="AC730" s="1">
        <f>IFERROR(__xludf.DUMMYFUNCTION("""COMPUTED_VALUE"""),7400)</f>
        <v>7400</v>
      </c>
      <c r="AD730" s="1" t="str">
        <f>IFERROR(__xludf.DUMMYFUNCTION("""COMPUTED_VALUE"""),"PLATERO")</f>
        <v>PLATERO</v>
      </c>
      <c r="AE730" s="1" t="str">
        <f>IFERROR(__xludf.DUMMYFUNCTION("""COMPUTED_VALUE"""),"PUROK 3")</f>
        <v>PUROK 3</v>
      </c>
      <c r="AF730" s="1" t="str">
        <f>IFERROR(__xludf.DUMMYFUNCTION("""COMPUTED_VALUE"""),"BGY LUMIL")</f>
        <v>BGY LUMIL</v>
      </c>
      <c r="AG730" s="1" t="str">
        <f>IFERROR(__xludf.DUMMYFUNCTION("""COMPUTED_VALUE"""),"SILANG")</f>
        <v>SILANG</v>
      </c>
      <c r="AH730" s="1" t="str">
        <f>IFERROR(__xludf.DUMMYFUNCTION("""COMPUTED_VALUE"""),"KYOSHOWORKS RACING // LA CAVITENA RESORT")</f>
        <v>KYOSHOWORKS RACING // LA CAVITENA RESORT</v>
      </c>
      <c r="AI730" s="1" t="str">
        <f>IFERROR(__xludf.DUMMYFUNCTION("""COMPUTED_VALUE"""),"CLUSTER 11")</f>
        <v>CLUSTER 11</v>
      </c>
    </row>
    <row r="731" customHeight="1" spans="1:35">
      <c r="A731" s="3">
        <f>IFERROR(__xludf.DUMMYFUNCTION("""COMPUTED_VALUE"""),46293)</f>
        <v>46293</v>
      </c>
      <c r="B731" s="1" t="str">
        <f>IFERROR(__xludf.DUMMYFUNCTION("""COMPUTED_VALUE"""),"FREDDIE AROPE GUEVARRA")</f>
        <v>FREDDIE AROPE GUEVARRA</v>
      </c>
      <c r="C731" s="1">
        <f>IFERROR(__xludf.DUMMYFUNCTION("""COMPUTED_VALUE"""),2312849452)</f>
        <v>2312849452</v>
      </c>
      <c r="D731" s="1">
        <f>IFERROR(__xludf.DUMMYFUNCTION("""COMPUTED_VALUE"""),408442559)</f>
        <v>408442559</v>
      </c>
      <c r="E731" s="1">
        <f>IFERROR(__xludf.DUMMYFUNCTION("""COMPUTED_VALUE"""),473293669004)</f>
        <v>473293669004</v>
      </c>
      <c r="F731" s="1" t="str">
        <f>IFERROR(__xludf.DUMMYFUNCTION("""COMPUTED_VALUE"""),"RPR")</f>
        <v>RPR</v>
      </c>
      <c r="G731" s="1" t="str">
        <f>IFERROR(__xludf.DUMMYFUNCTION("""COMPUTED_VALUE"""),"""VISITED 
REMARKS: CANCEL INSTALLATION WALA DAW SILANG PANG ADVANCE PAYMENT 
TALK ASAWA NI SUBS 
09462915033 09512246958""")</f>
        <v>"VISITED 
REMARKS: CANCEL INSTALLATION WALA DAW SILANG PANG ADVANCE PAYMENT 
TALK ASAWA NI SUBS 
09462915033 09512246958"</v>
      </c>
      <c r="H731" s="1"/>
      <c r="I731" s="1"/>
      <c r="J731" s="1"/>
      <c r="K731" s="1"/>
      <c r="L731" s="1" t="str">
        <f>IFERROR(__xludf.DUMMYFUNCTION("""COMPUTED_VALUE"""),"RPR - SUBS CANCEL REQUEST")</f>
        <v>RPR - SUBS CANCEL REQUEST</v>
      </c>
      <c r="M731" s="1" t="str">
        <f>IFERROR(__xludf.DUMMYFUNCTION("""COMPUTED_VALUE"""),"RPR- SUBS CANCEL REQUEST")</f>
        <v>RPR- SUBS CANCEL REQUEST</v>
      </c>
      <c r="N731" s="3"/>
      <c r="O731" s="1" t="str">
        <f>IFERROR(__xludf.DUMMYFUNCTION("""COMPUTED_VALUE"""),"FIBR PLAN 1299")</f>
        <v>FIBR PLAN 1299</v>
      </c>
      <c r="P731" s="1" t="str">
        <f>IFERROR(__xludf.DUMMYFUNCTION("""COMPUTED_VALUE"""),"LOWPLAN")</f>
        <v>LOWPLAN</v>
      </c>
      <c r="Q731" s="1" t="str">
        <f>IFERROR(__xludf.DUMMYFUNCTION("""COMPUTED_VALUE"""),"P407563")</f>
        <v>P407563</v>
      </c>
      <c r="R731" s="1" t="str">
        <f>IFERROR(__xludf.DUMMYFUNCTION("""COMPUTED_VALUE"""),"BAQUIT, JAZMIN")</f>
        <v>BAQUIT, JAZMIN</v>
      </c>
      <c r="S731" s="1" t="str">
        <f>IFERROR(__xludf.DUMMYFUNCTION("""COMPUTED_VALUE"""),"ORGANIC")</f>
        <v>ORGANIC</v>
      </c>
      <c r="T731" s="1" t="str">
        <f>IFERROR(__xludf.DUMMYFUNCTION("""COMPUTED_VALUE"""),"LEA REMOLLO")</f>
        <v>LEA REMOLLO</v>
      </c>
      <c r="U731" s="1" t="str">
        <f>IFERROR(__xludf.DUMMYFUNCTION("""COMPUTED_VALUE"""),"JB SALIOA")</f>
        <v>JB SALIOA</v>
      </c>
      <c r="V731" s="1" t="str">
        <f>IFERROR(__xludf.DUMMYFUNCTION("""COMPUTED_VALUE"""),"BK HSTK")</f>
        <v>BK HSTK</v>
      </c>
      <c r="W731" s="1" t="str">
        <f>IFERROR(__xludf.DUMMYFUNCTION("""COMPUTED_VALUE"""),"BK HSTK")</f>
        <v>BK HSTK</v>
      </c>
      <c r="X731" s="1" t="str">
        <f>IFERROR(__xludf.DUMMYFUNCTION("""COMPUTED_VALUE"""),"HBBS SEPT 2026")</f>
        <v>HBBS SEPT 2026</v>
      </c>
      <c r="Y731" s="1" t="str">
        <f>IFERROR(__xludf.DUMMYFUNCTION("""COMPUTED_VALUE"""),"BK_CVEU_260827")</f>
        <v>BK_CVEU_260827</v>
      </c>
      <c r="Z731" s="1" t="str">
        <f>IFERROR(__xludf.DUMMYFUNCTION("""COMPUTED_VALUE"""),"NEW CONNECT")</f>
        <v>NEW CONNECT</v>
      </c>
      <c r="AA731" s="1">
        <f>IFERROR(__xludf.DUMMYFUNCTION("""COMPUTED_VALUE"""),639462915033)</f>
        <v>639462915033</v>
      </c>
      <c r="AB731" s="1">
        <f>IFERROR(__xludf.DUMMYFUNCTION("""COMPUTED_VALUE"""),639512246958)</f>
        <v>639512246958</v>
      </c>
      <c r="AC731" s="1">
        <f>IFERROR(__xludf.DUMMYFUNCTION("""COMPUTED_VALUE"""),100012)</f>
        <v>100012</v>
      </c>
      <c r="AD731" s="1" t="str">
        <f>IFERROR(__xludf.DUMMYFUNCTION("""COMPUTED_VALUE"""),"PALIGAWAN")</f>
        <v>PALIGAWAN</v>
      </c>
      <c r="AE731" s="1" t="str">
        <f>IFERROR(__xludf.DUMMYFUNCTION("""COMPUTED_VALUE"""),"PUROK 5")</f>
        <v>PUROK 5</v>
      </c>
      <c r="AF731" s="1" t="str">
        <f>IFERROR(__xludf.DUMMYFUNCTION("""COMPUTED_VALUE"""),"BGY LUMIL")</f>
        <v>BGY LUMIL</v>
      </c>
      <c r="AG731" s="1" t="str">
        <f>IFERROR(__xludf.DUMMYFUNCTION("""COMPUTED_VALUE"""),"SILANG")</f>
        <v>SILANG</v>
      </c>
      <c r="AH731" s="1" t="str">
        <f>IFERROR(__xludf.DUMMYFUNCTION("""COMPUTED_VALUE"""),"ALFAMART")</f>
        <v>ALFAMART</v>
      </c>
      <c r="AI731" s="1" t="str">
        <f>IFERROR(__xludf.DUMMYFUNCTION("""COMPUTED_VALUE"""),"CLUSTER 11")</f>
        <v>CLUSTER 11</v>
      </c>
    </row>
    <row r="732" customHeight="1" spans="1:35">
      <c r="A732" s="3">
        <f>IFERROR(__xludf.DUMMYFUNCTION("""COMPUTED_VALUE"""),46293)</f>
        <v>46293</v>
      </c>
      <c r="B732" s="1" t="str">
        <f>IFERROR(__xludf.DUMMYFUNCTION("""COMPUTED_VALUE"""),"TOM GARCIA GALANG")</f>
        <v>TOM GARCIA GALANG</v>
      </c>
      <c r="C732" s="1">
        <f>IFERROR(__xludf.DUMMYFUNCTION("""COMPUTED_VALUE"""),2312849895)</f>
        <v>2312849895</v>
      </c>
      <c r="D732" s="1"/>
      <c r="E732" s="1"/>
      <c r="F732" s="1" t="str">
        <f>IFERROR(__xludf.DUMMYFUNCTION("""COMPUTED_VALUE"""),"CANCELLED")</f>
        <v>CANCELLED</v>
      </c>
      <c r="G732" s="1" t="str">
        <f>IFERROR(__xludf.DUMMYFUNCTION("""COMPUTED_VALUE"""),"WITH ACTIVE TEL# 0459016178  DIFFERENT ADDRESS FOR MULTIPLE LINE APPLIATION NEED TO SUBMIT POA OF THE NEW APPLIED ADDRESS UNDER SOR'S NAME")</f>
        <v>WITH ACTIVE TEL# 0459016178  DIFFERENT ADDRESS FOR MULTIPLE LINE APPLIATION NEED TO SUBMIT POA OF THE NEW APPLIED ADDRESS UNDER SOR'S NAME</v>
      </c>
      <c r="H732" s="1"/>
      <c r="I732" s="1"/>
      <c r="J732" s="1"/>
      <c r="K732" s="1"/>
      <c r="L732" s="1" t="str">
        <f>IFERROR(__xludf.DUMMYFUNCTION("""COMPUTED_VALUE"""),"CANCELLED")</f>
        <v>CANCELLED</v>
      </c>
      <c r="M732" s="1" t="str">
        <f>IFERROR(__xludf.DUMMYFUNCTION("""COMPUTED_VALUE"""),"CANCELLED - WITH ACTIVE LINE")</f>
        <v>CANCELLED - WITH ACTIVE LINE</v>
      </c>
      <c r="N732" s="3"/>
      <c r="O732" s="1" t="str">
        <f>IFERROR(__xludf.DUMMYFUNCTION("""COMPUTED_VALUE"""),"FIBR PLAN 1299")</f>
        <v>FIBR PLAN 1299</v>
      </c>
      <c r="P732" s="1" t="str">
        <f>IFERROR(__xludf.DUMMYFUNCTION("""COMPUTED_VALUE"""),"LOWPLAN")</f>
        <v>LOWPLAN</v>
      </c>
      <c r="Q732" s="1" t="str">
        <f>IFERROR(__xludf.DUMMYFUNCTION("""COMPUTED_VALUE"""),"P407561")</f>
        <v>P407561</v>
      </c>
      <c r="R732" s="1" t="str">
        <f>IFERROR(__xludf.DUMMYFUNCTION("""COMPUTED_VALUE"""),"BALANLAYOS, ANDREI")</f>
        <v>BALANLAYOS, ANDREI</v>
      </c>
      <c r="S732" s="1" t="str">
        <f>IFERROR(__xludf.DUMMYFUNCTION("""COMPUTED_VALUE"""),"ORGANIC")</f>
        <v>ORGANIC</v>
      </c>
      <c r="T732" s="1" t="str">
        <f>IFERROR(__xludf.DUMMYFUNCTION("""COMPUTED_VALUE"""),"LEA REMOLLO")</f>
        <v>LEA REMOLLO</v>
      </c>
      <c r="U732" s="1" t="str">
        <f>IFERROR(__xludf.DUMMYFUNCTION("""COMPUTED_VALUE"""),"JB SALIOA")</f>
        <v>JB SALIOA</v>
      </c>
      <c r="V732" s="1" t="str">
        <f>IFERROR(__xludf.DUMMYFUNCTION("""COMPUTED_VALUE"""),"BK HSTK")</f>
        <v>BK HSTK</v>
      </c>
      <c r="W732" s="1" t="str">
        <f>IFERROR(__xludf.DUMMYFUNCTION("""COMPUTED_VALUE"""),"BK HSTK")</f>
        <v>BK HSTK</v>
      </c>
      <c r="X732" s="1" t="str">
        <f>IFERROR(__xludf.DUMMYFUNCTION("""COMPUTED_VALUE"""),"HBBS SEPT 2026")</f>
        <v>HBBS SEPT 2026</v>
      </c>
      <c r="Y732" s="1" t="str">
        <f>IFERROR(__xludf.DUMMYFUNCTION("""COMPUTED_VALUE"""),"BK_CVEU_260827")</f>
        <v>BK_CVEU_260827</v>
      </c>
      <c r="Z732" s="1" t="str">
        <f>IFERROR(__xludf.DUMMYFUNCTION("""COMPUTED_VALUE"""),"NEW CONNECT")</f>
        <v>NEW CONNECT</v>
      </c>
      <c r="AA732" s="1">
        <f>IFERROR(__xludf.DUMMYFUNCTION("""COMPUTED_VALUE"""),639762050391)</f>
        <v>639762050391</v>
      </c>
      <c r="AB732" s="1"/>
      <c r="AC732" s="1">
        <f>IFERROR(__xludf.DUMMYFUNCTION("""COMPUTED_VALUE"""),58)</f>
        <v>58</v>
      </c>
      <c r="AD732" s="1" t="str">
        <f>IFERROR(__xludf.DUMMYFUNCTION("""COMPUTED_VALUE"""),"PUROK 3")</f>
        <v>PUROK 3</v>
      </c>
      <c r="AE732" s="1" t="str">
        <f>IFERROR(__xludf.DUMMYFUNCTION("""COMPUTED_VALUE"""),"KYOSHOWORKS RACING")</f>
        <v>KYOSHOWORKS RACING</v>
      </c>
      <c r="AF732" s="1" t="str">
        <f>IFERROR(__xludf.DUMMYFUNCTION("""COMPUTED_VALUE"""),"BGY LUMIL")</f>
        <v>BGY LUMIL</v>
      </c>
      <c r="AG732" s="1" t="str">
        <f>IFERROR(__xludf.DUMMYFUNCTION("""COMPUTED_VALUE"""),"SILANG")</f>
        <v>SILANG</v>
      </c>
      <c r="AH732" s="1" t="str">
        <f>IFERROR(__xludf.DUMMYFUNCTION("""COMPUTED_VALUE"""),"FREEDOM BIBLE BAPTIST CHURCH")</f>
        <v>FREEDOM BIBLE BAPTIST CHURCH</v>
      </c>
      <c r="AI732" s="1" t="str">
        <f>IFERROR(__xludf.DUMMYFUNCTION("""COMPUTED_VALUE"""),"CLUSTER 11")</f>
        <v>CLUSTER 11</v>
      </c>
    </row>
    <row r="733" customHeight="1" spans="1:35">
      <c r="A733" s="3">
        <f>IFERROR(__xludf.DUMMYFUNCTION("""COMPUTED_VALUE"""),46293)</f>
        <v>46293</v>
      </c>
      <c r="B733" s="1" t="str">
        <f>IFERROR(__xludf.DUMMYFUNCTION("""COMPUTED_VALUE"""),"JOEWELLA MAY MENDEZ MORALLOS")</f>
        <v>JOEWELLA MAY MENDEZ MORALLOS</v>
      </c>
      <c r="C733" s="1">
        <f>IFERROR(__xludf.DUMMYFUNCTION("""COMPUTED_VALUE"""),2312850196)</f>
        <v>2312850196</v>
      </c>
      <c r="D733" s="1">
        <f>IFERROR(__xludf.DUMMYFUNCTION("""COMPUTED_VALUE"""),408444268)</f>
        <v>408444268</v>
      </c>
      <c r="E733" s="1">
        <f>IFERROR(__xludf.DUMMYFUNCTION("""COMPUTED_VALUE"""),473295975004)</f>
        <v>473295975004</v>
      </c>
      <c r="F733" s="1" t="str">
        <f>IFERROR(__xludf.DUMMYFUNCTION("""COMPUTED_VALUE"""),"CLOSED")</f>
        <v>CLOSED</v>
      </c>
      <c r="G733" s="1" t="str">
        <f>IFERROR(__xludf.DUMMYFUNCTION("""COMPUTED_VALUE"""),"CLOSED")</f>
        <v>CLOSED</v>
      </c>
      <c r="H733" s="1" t="str">
        <f>IFERROR(__xludf.DUMMYFUNCTION("""COMPUTED_VALUE"""),"PAID VIA PAY EXPRESS PX82816642 SEP 29")</f>
        <v>PAID VIA PAY EXPRESS PX82816642 SEP 29</v>
      </c>
      <c r="I733" s="1" t="str">
        <f>IFERROR(__xludf.DUMMYFUNCTION("""COMPUTED_VALUE"""),"WITH 1 AMSF")</f>
        <v>WITH 1 AMSF</v>
      </c>
      <c r="J733" s="1"/>
      <c r="K733" s="1"/>
      <c r="L733" s="1" t="str">
        <f>IFERROR(__xludf.DUMMYFUNCTION("""COMPUTED_VALUE"""),"POSTED")</f>
        <v>POSTED</v>
      </c>
      <c r="M733" s="1" t="str">
        <f>IFERROR(__xludf.DUMMYFUNCTION("""COMPUTED_VALUE"""),"POSTED")</f>
        <v>POSTED</v>
      </c>
      <c r="N733" s="3">
        <f>IFERROR(__xludf.DUMMYFUNCTION("""COMPUTED_VALUE"""),46297)</f>
        <v>46297</v>
      </c>
      <c r="O733" s="1" t="str">
        <f>IFERROR(__xludf.DUMMYFUNCTION("""COMPUTED_VALUE"""),"FIBR PLAN 1299")</f>
        <v>FIBR PLAN 1299</v>
      </c>
      <c r="P733" s="1" t="str">
        <f>IFERROR(__xludf.DUMMYFUNCTION("""COMPUTED_VALUE"""),"LOWPLAN")</f>
        <v>LOWPLAN</v>
      </c>
      <c r="Q733" s="1" t="str">
        <f>IFERROR(__xludf.DUMMYFUNCTION("""COMPUTED_VALUE"""),"P407050")</f>
        <v>P407050</v>
      </c>
      <c r="R733" s="1" t="str">
        <f>IFERROR(__xludf.DUMMYFUNCTION("""COMPUTED_VALUE"""),"ESCARCHA, ALMA")</f>
        <v>ESCARCHA, ALMA</v>
      </c>
      <c r="S733" s="1" t="str">
        <f>IFERROR(__xludf.DUMMYFUNCTION("""COMPUTED_VALUE"""),"ORGANIC")</f>
        <v>ORGANIC</v>
      </c>
      <c r="T733" s="1" t="str">
        <f>IFERROR(__xludf.DUMMYFUNCTION("""COMPUTED_VALUE"""),"LEA REMOLLO")</f>
        <v>LEA REMOLLO</v>
      </c>
      <c r="U733" s="1" t="str">
        <f>IFERROR(__xludf.DUMMYFUNCTION("""COMPUTED_VALUE"""),"JB SALIOA")</f>
        <v>JB SALIOA</v>
      </c>
      <c r="V733" s="1" t="str">
        <f>IFERROR(__xludf.DUMMYFUNCTION("""COMPUTED_VALUE"""),"BK HSTK")</f>
        <v>BK HSTK</v>
      </c>
      <c r="W733" s="1" t="str">
        <f>IFERROR(__xludf.DUMMYFUNCTION("""COMPUTED_VALUE"""),"BK HSTK")</f>
        <v>BK HSTK</v>
      </c>
      <c r="X733" s="1" t="str">
        <f>IFERROR(__xludf.DUMMYFUNCTION("""COMPUTED_VALUE"""),"HBBS SEPT 2026")</f>
        <v>HBBS SEPT 2026</v>
      </c>
      <c r="Y733" s="1" t="str">
        <f>IFERROR(__xludf.DUMMYFUNCTION("""COMPUTED_VALUE"""),"BK_CVEU_260827")</f>
        <v>BK_CVEU_260827</v>
      </c>
      <c r="Z733" s="1" t="str">
        <f>IFERROR(__xludf.DUMMYFUNCTION("""COMPUTED_VALUE"""),"NEW CONNECT")</f>
        <v>NEW CONNECT</v>
      </c>
      <c r="AA733" s="1">
        <f>IFERROR(__xludf.DUMMYFUNCTION("""COMPUTED_VALUE"""),639482931421)</f>
        <v>639482931421</v>
      </c>
      <c r="AB733" s="1"/>
      <c r="AC733" s="1">
        <f>IFERROR(__xludf.DUMMYFUNCTION("""COMPUTED_VALUE"""),8)</f>
        <v>8</v>
      </c>
      <c r="AD733" s="1" t="str">
        <f>IFERROR(__xludf.DUMMYFUNCTION("""COMPUTED_VALUE"""),"PALIGAWAN")</f>
        <v>PALIGAWAN</v>
      </c>
      <c r="AE733" s="1" t="str">
        <f>IFERROR(__xludf.DUMMYFUNCTION("""COMPUTED_VALUE"""),"PUROK 5 APARTMENT D")</f>
        <v>PUROK 5 APARTMENT D</v>
      </c>
      <c r="AF733" s="1" t="str">
        <f>IFERROR(__xludf.DUMMYFUNCTION("""COMPUTED_VALUE"""),"BGY LUMIL")</f>
        <v>BGY LUMIL</v>
      </c>
      <c r="AG733" s="1" t="str">
        <f>IFERROR(__xludf.DUMMYFUNCTION("""COMPUTED_VALUE"""),"SILANG")</f>
        <v>SILANG</v>
      </c>
      <c r="AH733" s="1" t="str">
        <f>IFERROR(__xludf.DUMMYFUNCTION("""COMPUTED_VALUE"""),"ALFAMART")</f>
        <v>ALFAMART</v>
      </c>
      <c r="AI733" s="1" t="str">
        <f>IFERROR(__xludf.DUMMYFUNCTION("""COMPUTED_VALUE"""),"CLUSTER 11")</f>
        <v>CLUSTER 11</v>
      </c>
    </row>
    <row r="734" customHeight="1" spans="1:35">
      <c r="A734" s="3">
        <f>IFERROR(__xludf.DUMMYFUNCTION("""COMPUTED_VALUE"""),46293)</f>
        <v>46293</v>
      </c>
      <c r="B734" s="1" t="str">
        <f>IFERROR(__xludf.DUMMYFUNCTION("""COMPUTED_VALUE"""),"BRIAN OLAES BAUZON")</f>
        <v>BRIAN OLAES BAUZON</v>
      </c>
      <c r="C734" s="1">
        <f>IFERROR(__xludf.DUMMYFUNCTION("""COMPUTED_VALUE"""),2312850713)</f>
        <v>2312850713</v>
      </c>
      <c r="D734" s="1">
        <f>IFERROR(__xludf.DUMMYFUNCTION("""COMPUTED_VALUE"""),408459729)</f>
        <v>408459729</v>
      </c>
      <c r="E734" s="1">
        <f>IFERROR(__xludf.DUMMYFUNCTION("""COMPUTED_VALUE"""),473322048004)</f>
        <v>473322048004</v>
      </c>
      <c r="F734" s="1" t="str">
        <f>IFERROR(__xludf.DUMMYFUNCTION("""COMPUTED_VALUE"""),"CLOSED")</f>
        <v>CLOSED</v>
      </c>
      <c r="G734" s="1" t="str">
        <f>IFERROR(__xludf.DUMMYFUNCTION("""COMPUTED_VALUE"""),"CLOSED")</f>
        <v>CLOSED</v>
      </c>
      <c r="H734" s="1" t="str">
        <f>IFERROR(__xludf.DUMMYFUNCTION("""COMPUTED_VALUE"""),"NO PAYMENT")</f>
        <v>NO PAYMENT</v>
      </c>
      <c r="I734" s="1" t="str">
        <f>IFERROR(__xludf.DUMMYFUNCTION("""COMPUTED_VALUE"""),"NO 1 AMSF")</f>
        <v>NO 1 AMSF</v>
      </c>
      <c r="J734" s="1"/>
      <c r="K734" s="1"/>
      <c r="L734" s="1" t="str">
        <f>IFERROR(__xludf.DUMMYFUNCTION("""COMPUTED_VALUE"""),"POSTED")</f>
        <v>POSTED</v>
      </c>
      <c r="M734" s="1" t="str">
        <f>IFERROR(__xludf.DUMMYFUNCTION("""COMPUTED_VALUE"""),"POSTED")</f>
        <v>POSTED</v>
      </c>
      <c r="N734" s="3">
        <f>IFERROR(__xludf.DUMMYFUNCTION("""COMPUTED_VALUE"""),46294)</f>
        <v>46294</v>
      </c>
      <c r="O734" s="1" t="str">
        <f>IFERROR(__xludf.DUMMYFUNCTION("""COMPUTED_VALUE"""),"FIBR PLAN 1699")</f>
        <v>FIBR PLAN 1699</v>
      </c>
      <c r="P734" s="1" t="str">
        <f>IFERROR(__xludf.DUMMYFUNCTION("""COMPUTED_VALUE"""),"LOWPLAN")</f>
        <v>LOWPLAN</v>
      </c>
      <c r="Q734" s="1" t="str">
        <f>IFERROR(__xludf.DUMMYFUNCTION("""COMPUTED_VALUE"""),"P404567")</f>
        <v>P404567</v>
      </c>
      <c r="R734" s="1" t="str">
        <f>IFERROR(__xludf.DUMMYFUNCTION("""COMPUTED_VALUE"""),"OPS")</f>
        <v>OPS</v>
      </c>
      <c r="S734" s="1" t="str">
        <f>IFERROR(__xludf.DUMMYFUNCTION("""COMPUTED_VALUE"""),"FLA")</f>
        <v>FLA</v>
      </c>
      <c r="T734" s="1" t="str">
        <f>IFERROR(__xludf.DUMMYFUNCTION("""COMPUTED_VALUE"""),"JERIC NAVARRO")</f>
        <v>JERIC NAVARRO</v>
      </c>
      <c r="U734" s="1" t="str">
        <f>IFERROR(__xludf.DUMMYFUNCTION("""COMPUTED_VALUE"""),"JB SALIOA")</f>
        <v>JB SALIOA</v>
      </c>
      <c r="V734" s="1" t="str">
        <f>IFERROR(__xludf.DUMMYFUNCTION("""COMPUTED_VALUE"""),"ONLINE/CRANFORD")</f>
        <v>ONLINE/CRANFORD</v>
      </c>
      <c r="W734" s="1" t="str">
        <f>IFERROR(__xludf.DUMMYFUNCTION("""COMPUTED_VALUE"""),"STK REGULAR")</f>
        <v>STK REGULAR</v>
      </c>
      <c r="X734" s="1" t="str">
        <f>IFERROR(__xludf.DUMMYFUNCTION("""COMPUTED_VALUE"""),"HBBS SEPT 2026")</f>
        <v>HBBS SEPT 2026</v>
      </c>
      <c r="Y734" s="1" t="str">
        <f>IFERROR(__xludf.DUMMYFUNCTION("""COMPUTED_VALUE"""),"RS_LS_CVEU_2026")</f>
        <v>RS_LS_CVEU_2026</v>
      </c>
      <c r="Z734" s="1" t="str">
        <f>IFERROR(__xludf.DUMMYFUNCTION("""COMPUTED_VALUE"""),"NEW CONNECT")</f>
        <v>NEW CONNECT</v>
      </c>
      <c r="AA734" s="1">
        <f>IFERROR(__xludf.DUMMYFUNCTION("""COMPUTED_VALUE"""),639984960544)</f>
        <v>639984960544</v>
      </c>
      <c r="AB734" s="1"/>
      <c r="AC734" s="1">
        <f>IFERROR(__xludf.DUMMYFUNCTION("""COMPUTED_VALUE"""),785)</f>
        <v>785</v>
      </c>
      <c r="AD734" s="1" t="str">
        <f>IFERROR(__xludf.DUMMYFUNCTION("""COMPUTED_VALUE"""),"SAN JUAN 1")</f>
        <v>SAN JUAN 1</v>
      </c>
      <c r="AE734" s="1"/>
      <c r="AF734" s="1" t="str">
        <f>IFERROR(__xludf.DUMMYFUNCTION("""COMPUTED_VALUE"""),"BGY SAN JUAN 1")</f>
        <v>BGY SAN JUAN 1</v>
      </c>
      <c r="AG734" s="1" t="str">
        <f>IFERROR(__xludf.DUMMYFUNCTION("""COMPUTED_VALUE"""),"NOVELETA")</f>
        <v>NOVELETA</v>
      </c>
      <c r="AH734" s="1" t="str">
        <f>IFERROR(__xludf.DUMMYFUNCTION("""COMPUTED_VALUE"""),"-")</f>
        <v>-</v>
      </c>
      <c r="AI734" s="1" t="str">
        <f>IFERROR(__xludf.DUMMYFUNCTION("""COMPUTED_VALUE"""),"NOT AOR")</f>
        <v>NOT AOR</v>
      </c>
    </row>
    <row r="735" customHeight="1" spans="1:35">
      <c r="A735" s="3">
        <f>IFERROR(__xludf.DUMMYFUNCTION("""COMPUTED_VALUE"""),46293)</f>
        <v>46293</v>
      </c>
      <c r="B735" s="1" t="str">
        <f>IFERROR(__xludf.DUMMYFUNCTION("""COMPUTED_VALUE"""),"JOANA CASINILLO YBANEZ")</f>
        <v>JOANA CASINILLO YBANEZ</v>
      </c>
      <c r="C735" s="1">
        <f>IFERROR(__xludf.DUMMYFUNCTION("""COMPUTED_VALUE"""),2312851173)</f>
        <v>2312851173</v>
      </c>
      <c r="D735" s="1"/>
      <c r="E735" s="1"/>
      <c r="F735" s="1" t="str">
        <f>IFERROR(__xludf.DUMMYFUNCTION("""COMPUTED_VALUE"""),"REENCODED")</f>
        <v>REENCODED</v>
      </c>
      <c r="G735" s="1" t="str">
        <f>IFERROR(__xludf.DUMMYFUNCTION("""COMPUTED_VALUE"""),"REENCODED DUE TO SYSTEM ERROR")</f>
        <v>REENCODED DUE TO SYSTEM ERROR</v>
      </c>
      <c r="H735" s="1"/>
      <c r="I735" s="1"/>
      <c r="J735" s="1"/>
      <c r="K735" s="1"/>
      <c r="L735" s="1" t="str">
        <f>IFERROR(__xludf.DUMMYFUNCTION("""COMPUTED_VALUE"""),"REENCODED")</f>
        <v>REENCODED</v>
      </c>
      <c r="M735" s="1" t="str">
        <f>IFERROR(__xludf.DUMMYFUNCTION("""COMPUTED_VALUE"""),"REENCODED")</f>
        <v>REENCODED</v>
      </c>
      <c r="N735" s="3"/>
      <c r="O735" s="1" t="str">
        <f>IFERROR(__xludf.DUMMYFUNCTION("""COMPUTED_VALUE"""),"FIBER UNLI ALL PLAN 1499")</f>
        <v>FIBER UNLI ALL PLAN 1499</v>
      </c>
      <c r="P735" s="1" t="str">
        <f>IFERROR(__xludf.DUMMYFUNCTION("""COMPUTED_VALUE"""),"LOWPLAN")</f>
        <v>LOWPLAN</v>
      </c>
      <c r="Q735" s="1" t="str">
        <f>IFERROR(__xludf.DUMMYFUNCTION("""COMPUTED_VALUE"""),"P407050")</f>
        <v>P407050</v>
      </c>
      <c r="R735" s="1" t="str">
        <f>IFERROR(__xludf.DUMMYFUNCTION("""COMPUTED_VALUE"""),"CADERAO, RONALD")</f>
        <v>CADERAO, RONALD</v>
      </c>
      <c r="S735" s="1" t="str">
        <f>IFERROR(__xludf.DUMMYFUNCTION("""COMPUTED_VALUE"""),"ORGANIC")</f>
        <v>ORGANIC</v>
      </c>
      <c r="T735" s="1" t="str">
        <f>IFERROR(__xludf.DUMMYFUNCTION("""COMPUTED_VALUE"""),"LEA REMOLLO")</f>
        <v>LEA REMOLLO</v>
      </c>
      <c r="U735" s="1" t="str">
        <f>IFERROR(__xludf.DUMMYFUNCTION("""COMPUTED_VALUE"""),"JB SALIOA")</f>
        <v>JB SALIOA</v>
      </c>
      <c r="V735" s="1" t="str">
        <f>IFERROR(__xludf.DUMMYFUNCTION("""COMPUTED_VALUE"""),"ONLINE/CRANFORD")</f>
        <v>ONLINE/CRANFORD</v>
      </c>
      <c r="W735" s="1" t="str">
        <f>IFERROR(__xludf.DUMMYFUNCTION("""COMPUTED_VALUE"""),"STK REGULAR")</f>
        <v>STK REGULAR</v>
      </c>
      <c r="X735" s="1" t="str">
        <f>IFERROR(__xludf.DUMMYFUNCTION("""COMPUTED_VALUE"""),"HBBS SEPT 2026")</f>
        <v>HBBS SEPT 2026</v>
      </c>
      <c r="Y735" s="1" t="str">
        <f>IFERROR(__xludf.DUMMYFUNCTION("""COMPUTED_VALUE"""),"RS_ONL_CVEU_2026")</f>
        <v>RS_ONL_CVEU_2026</v>
      </c>
      <c r="Z735" s="1" t="str">
        <f>IFERROR(__xludf.DUMMYFUNCTION("""COMPUTED_VALUE"""),"NEW CONNECT")</f>
        <v>NEW CONNECT</v>
      </c>
      <c r="AA735" s="1">
        <f>IFERROR(__xludf.DUMMYFUNCTION("""COMPUTED_VALUE"""),639369257819)</f>
        <v>639369257819</v>
      </c>
      <c r="AB735" s="1">
        <f>IFERROR(__xludf.DUMMYFUNCTION("""COMPUTED_VALUE"""),639975619802)</f>
        <v>639975619802</v>
      </c>
      <c r="AC735" s="1"/>
      <c r="AD735" s="1" t="str">
        <f>IFERROR(__xludf.DUMMYFUNCTION("""COMPUTED_VALUE"""),"MALOU")</f>
        <v>MALOU</v>
      </c>
      <c r="AE735" s="1"/>
      <c r="AF735" s="1" t="str">
        <f>IFERROR(__xludf.DUMMYFUNCTION("""COMPUTED_VALUE"""),"BGY MANGGAHAN")</f>
        <v>BGY MANGGAHAN</v>
      </c>
      <c r="AG735" s="1" t="str">
        <f>IFERROR(__xludf.DUMMYFUNCTION("""COMPUTED_VALUE"""),"GENERAL TRIAS")</f>
        <v>GENERAL TRIAS</v>
      </c>
      <c r="AH735" s="1" t="str">
        <f>IFERROR(__xludf.DUMMYFUNCTION("""COMPUTED_VALUE"""),"-")</f>
        <v>-</v>
      </c>
      <c r="AI735" s="1" t="str">
        <f>IFERROR(__xludf.DUMMYFUNCTION("""COMPUTED_VALUE"""),"NOT AOR")</f>
        <v>NOT AOR</v>
      </c>
    </row>
    <row r="736" customHeight="1" spans="1:35">
      <c r="A736" s="3">
        <f>IFERROR(__xludf.DUMMYFUNCTION("""COMPUTED_VALUE"""),46293)</f>
        <v>46293</v>
      </c>
      <c r="B736" s="1" t="str">
        <f>IFERROR(__xludf.DUMMYFUNCTION("""COMPUTED_VALUE"""),"NENITA OCRAY BALBUENA")</f>
        <v>NENITA OCRAY BALBUENA</v>
      </c>
      <c r="C736" s="1">
        <f>IFERROR(__xludf.DUMMYFUNCTION("""COMPUTED_VALUE"""),2312851491)</f>
        <v>2312851491</v>
      </c>
      <c r="D736" s="1">
        <f>IFERROR(__xludf.DUMMYFUNCTION("""COMPUTED_VALUE"""),408468302)</f>
        <v>408468302</v>
      </c>
      <c r="E736" s="1">
        <f>IFERROR(__xludf.DUMMYFUNCTION("""COMPUTED_VALUE"""),473415719004)</f>
        <v>473415719004</v>
      </c>
      <c r="F736" s="1" t="str">
        <f>IFERROR(__xludf.DUMMYFUNCTION("""COMPUTED_VALUE"""),"CLOSED")</f>
        <v>CLOSED</v>
      </c>
      <c r="G736" s="1" t="str">
        <f>IFERROR(__xludf.DUMMYFUNCTION("""COMPUTED_VALUE"""),"CLOSED")</f>
        <v>CLOSED</v>
      </c>
      <c r="H736" s="1" t="str">
        <f>IFERROR(__xludf.DUMMYFUNCTION("""COMPUTED_VALUE"""),"PAID VIA GCASH REF 327401212 SEP 29")</f>
        <v>PAID VIA GCASH REF 327401212 SEP 29</v>
      </c>
      <c r="I736" s="1" t="str">
        <f>IFERROR(__xludf.DUMMYFUNCTION("""COMPUTED_VALUE"""),"WITH 1 AMSF")</f>
        <v>WITH 1 AMSF</v>
      </c>
      <c r="J736" s="1"/>
      <c r="K736" s="1"/>
      <c r="L736" s="1" t="str">
        <f>IFERROR(__xludf.DUMMYFUNCTION("""COMPUTED_VALUE"""),"POSTED")</f>
        <v>POSTED</v>
      </c>
      <c r="M736" s="1" t="str">
        <f>IFERROR(__xludf.DUMMYFUNCTION("""COMPUTED_VALUE"""),"POSTED")</f>
        <v>POSTED</v>
      </c>
      <c r="N736" s="3">
        <f>IFERROR(__xludf.DUMMYFUNCTION("""COMPUTED_VALUE"""),46297)</f>
        <v>46297</v>
      </c>
      <c r="O736" s="1" t="str">
        <f>IFERROR(__xludf.DUMMYFUNCTION("""COMPUTED_VALUE"""),"FIBR PLAN 1699")</f>
        <v>FIBR PLAN 1699</v>
      </c>
      <c r="P736" s="1" t="str">
        <f>IFERROR(__xludf.DUMMYFUNCTION("""COMPUTED_VALUE"""),"HIGHPLAN")</f>
        <v>HIGHPLAN</v>
      </c>
      <c r="Q736" s="1" t="str">
        <f>IFERROR(__xludf.DUMMYFUNCTION("""COMPUTED_VALUE"""),"P407044")</f>
        <v>P407044</v>
      </c>
      <c r="R736" s="1" t="str">
        <f>IFERROR(__xludf.DUMMYFUNCTION("""COMPUTED_VALUE"""),"DACALCAP, ROGER")</f>
        <v>DACALCAP, ROGER</v>
      </c>
      <c r="S736" s="1" t="str">
        <f>IFERROR(__xludf.DUMMYFUNCTION("""COMPUTED_VALUE"""),"FLA")</f>
        <v>FLA</v>
      </c>
      <c r="T736" s="1" t="str">
        <f>IFERROR(__xludf.DUMMYFUNCTION("""COMPUTED_VALUE"""),"JERIC NAVARRO")</f>
        <v>JERIC NAVARRO</v>
      </c>
      <c r="U736" s="1" t="str">
        <f>IFERROR(__xludf.DUMMYFUNCTION("""COMPUTED_VALUE"""),"JB SALIOA")</f>
        <v>JB SALIOA</v>
      </c>
      <c r="V736" s="1" t="str">
        <f>IFERROR(__xludf.DUMMYFUNCTION("""COMPUTED_VALUE"""),"ONLINE/CRANFORD")</f>
        <v>ONLINE/CRANFORD</v>
      </c>
      <c r="W736" s="1" t="str">
        <f>IFERROR(__xludf.DUMMYFUNCTION("""COMPUTED_VALUE"""),"STK REGULAR")</f>
        <v>STK REGULAR</v>
      </c>
      <c r="X736" s="1" t="str">
        <f>IFERROR(__xludf.DUMMYFUNCTION("""COMPUTED_VALUE"""),"HBBS SEPT 2026")</f>
        <v>HBBS SEPT 2026</v>
      </c>
      <c r="Y736" s="1" t="str">
        <f>IFERROR(__xludf.DUMMYFUNCTION("""COMPUTED_VALUE"""),"RS_ONL_CVEU_2026")</f>
        <v>RS_ONL_CVEU_2026</v>
      </c>
      <c r="Z736" s="1" t="str">
        <f>IFERROR(__xludf.DUMMYFUNCTION("""COMPUTED_VALUE"""),"NEW CONNECT")</f>
        <v>NEW CONNECT</v>
      </c>
      <c r="AA736" s="1">
        <f>IFERROR(__xludf.DUMMYFUNCTION("""COMPUTED_VALUE"""),639298348742)</f>
        <v>639298348742</v>
      </c>
      <c r="AB736" s="1"/>
      <c r="AC736" s="1"/>
      <c r="AD736" s="1" t="str">
        <f>IFERROR(__xludf.DUMMYFUNCTION("""COMPUTED_VALUE"""),"PINOY VILLAGE")</f>
        <v>PINOY VILLAGE</v>
      </c>
      <c r="AE736" s="1" t="str">
        <f>IFERROR(__xludf.DUMMYFUNCTION("""COMPUTED_VALUE"""),"PINOY VILLAGE")</f>
        <v>PINOY VILLAGE</v>
      </c>
      <c r="AF736" s="1" t="str">
        <f>IFERROR(__xludf.DUMMYFUNCTION("""COMPUTED_VALUE"""),"BGY SABUTAN")</f>
        <v>BGY SABUTAN</v>
      </c>
      <c r="AG736" s="1" t="str">
        <f>IFERROR(__xludf.DUMMYFUNCTION("""COMPUTED_VALUE"""),"SILANG")</f>
        <v>SILANG</v>
      </c>
      <c r="AH736" s="1" t="str">
        <f>IFERROR(__xludf.DUMMYFUNCTION("""COMPUTED_VALUE"""),"PINOY VILLAGE")</f>
        <v>PINOY VILLAGE</v>
      </c>
      <c r="AI736" s="1" t="str">
        <f>IFERROR(__xludf.DUMMYFUNCTION("""COMPUTED_VALUE"""),"CLUSTER 11")</f>
        <v>CLUSTER 11</v>
      </c>
    </row>
    <row r="737" customHeight="1" spans="1:35">
      <c r="A737" s="3">
        <f>IFERROR(__xludf.DUMMYFUNCTION("""COMPUTED_VALUE"""),46293)</f>
        <v>46293</v>
      </c>
      <c r="B737" s="1" t="str">
        <f>IFERROR(__xludf.DUMMYFUNCTION("""COMPUTED_VALUE"""),"JOHN KENEDY TAGUFA GALICINAO")</f>
        <v>JOHN KENEDY TAGUFA GALICINAO</v>
      </c>
      <c r="C737" s="1">
        <f>IFERROR(__xludf.DUMMYFUNCTION("""COMPUTED_VALUE"""),2312852047)</f>
        <v>2312852047</v>
      </c>
      <c r="D737" s="1">
        <f>IFERROR(__xludf.DUMMYFUNCTION("""COMPUTED_VALUE"""),408448174)</f>
        <v>408448174</v>
      </c>
      <c r="E737" s="1">
        <f>IFERROR(__xludf.DUMMYFUNCTION("""COMPUTED_VALUE"""),473299109004)</f>
        <v>473299109004</v>
      </c>
      <c r="F737" s="1" t="str">
        <f>IFERROR(__xludf.DUMMYFUNCTION("""COMPUTED_VALUE"""),"RPR")</f>
        <v>RPR</v>
      </c>
      <c r="G737" s="1" t="str">
        <f>IFERROR(__xludf.DUMMYFUNCTION("""COMPUTED_VALUE"""),"""CALLTHRU 
窶山EMARKS: RESCHEDULE NO SPECIFIC DATE MAG EMAIL NA LANG DAW SIYA KAY PLDT DAHIL NASA BATANGAS RAW SI SUBS 
窶撒ALK JOHN KENEDY TAGUFA GALICINAO 
09071073604""")</f>
        <v>"CALLTHRU 
窶山EMARKS: RESCHEDULE NO SPECIFIC DATE MAG EMAIL NA LANG DAW SIYA KAY PLDT DAHIL NASA BATANGAS RAW SI SUBS 
窶撒ALK JOHN KENEDY TAGUFA GALICINAO 
09071073604"</v>
      </c>
      <c r="H737" s="1"/>
      <c r="I737" s="1"/>
      <c r="J737" s="1"/>
      <c r="K737" s="1"/>
      <c r="L737" s="1" t="str">
        <f>IFERROR(__xludf.DUMMYFUNCTION("""COMPUTED_VALUE"""),"RPR - RESCHEDULE")</f>
        <v>RPR - RESCHEDULE</v>
      </c>
      <c r="M737" s="1" t="str">
        <f>IFERROR(__xludf.DUMMYFUNCTION("""COMPUTED_VALUE"""),"RPR- SUBS CANT LOCATE")</f>
        <v>RPR- SUBS CANT LOCATE</v>
      </c>
      <c r="N737" s="3"/>
      <c r="O737" s="1" t="str">
        <f>IFERROR(__xludf.DUMMYFUNCTION("""COMPUTED_VALUE"""),"FIBR PLAN 1299")</f>
        <v>FIBR PLAN 1299</v>
      </c>
      <c r="P737" s="1" t="str">
        <f>IFERROR(__xludf.DUMMYFUNCTION("""COMPUTED_VALUE"""),"LOWPLAN")</f>
        <v>LOWPLAN</v>
      </c>
      <c r="Q737" s="1" t="str">
        <f>IFERROR(__xludf.DUMMYFUNCTION("""COMPUTED_VALUE"""),"P407565")</f>
        <v>P407565</v>
      </c>
      <c r="R737" s="1" t="str">
        <f>IFERROR(__xludf.DUMMYFUNCTION("""COMPUTED_VALUE"""),"MANDUCDOC, MARIANE")</f>
        <v>MANDUCDOC, MARIANE</v>
      </c>
      <c r="S737" s="1" t="str">
        <f>IFERROR(__xludf.DUMMYFUNCTION("""COMPUTED_VALUE"""),"ORGANIC")</f>
        <v>ORGANIC</v>
      </c>
      <c r="T737" s="1" t="str">
        <f>IFERROR(__xludf.DUMMYFUNCTION("""COMPUTED_VALUE"""),"LEA REMOLLO")</f>
        <v>LEA REMOLLO</v>
      </c>
      <c r="U737" s="1" t="str">
        <f>IFERROR(__xludf.DUMMYFUNCTION("""COMPUTED_VALUE"""),"JB SALIOA")</f>
        <v>JB SALIOA</v>
      </c>
      <c r="V737" s="1" t="str">
        <f>IFERROR(__xludf.DUMMYFUNCTION("""COMPUTED_VALUE"""),"BK HSTK")</f>
        <v>BK HSTK</v>
      </c>
      <c r="W737" s="1" t="str">
        <f>IFERROR(__xludf.DUMMYFUNCTION("""COMPUTED_VALUE"""),"BK HSTK")</f>
        <v>BK HSTK</v>
      </c>
      <c r="X737" s="1" t="str">
        <f>IFERROR(__xludf.DUMMYFUNCTION("""COMPUTED_VALUE"""),"HBBS SEPT 2026")</f>
        <v>HBBS SEPT 2026</v>
      </c>
      <c r="Y737" s="1" t="str">
        <f>IFERROR(__xludf.DUMMYFUNCTION("""COMPUTED_VALUE"""),"BK_CVEU_260827")</f>
        <v>BK_CVEU_260827</v>
      </c>
      <c r="Z737" s="1" t="str">
        <f>IFERROR(__xludf.DUMMYFUNCTION("""COMPUTED_VALUE"""),"NEW CONNECT")</f>
        <v>NEW CONNECT</v>
      </c>
      <c r="AA737" s="1">
        <f>IFERROR(__xludf.DUMMYFUNCTION("""COMPUTED_VALUE"""),639071073604)</f>
        <v>639071073604</v>
      </c>
      <c r="AB737" s="1"/>
      <c r="AC737" s="1"/>
      <c r="AD737" s="1" t="str">
        <f>IFERROR(__xludf.DUMMYFUNCTION("""COMPUTED_VALUE"""),"TARTARIA")</f>
        <v>TARTARIA</v>
      </c>
      <c r="AE737" s="1" t="str">
        <f>IFERROR(__xludf.DUMMYFUNCTION("""COMPUTED_VALUE"""),"VELANDO APT")</f>
        <v>VELANDO APT</v>
      </c>
      <c r="AF737" s="1" t="str">
        <f>IFERROR(__xludf.DUMMYFUNCTION("""COMPUTED_VALUE"""),"BGY TARTARIA")</f>
        <v>BGY TARTARIA</v>
      </c>
      <c r="AG737" s="1" t="str">
        <f>IFERROR(__xludf.DUMMYFUNCTION("""COMPUTED_VALUE"""),"SILANG")</f>
        <v>SILANG</v>
      </c>
      <c r="AH737" s="1" t="str">
        <f>IFERROR(__xludf.DUMMYFUNCTION("""COMPUTED_VALUE"""),"PRIMEWATER")</f>
        <v>PRIMEWATER</v>
      </c>
      <c r="AI737" s="1" t="str">
        <f>IFERROR(__xludf.DUMMYFUNCTION("""COMPUTED_VALUE"""),"CLUSTER 11")</f>
        <v>CLUSTER 11</v>
      </c>
    </row>
    <row r="738" customHeight="1" spans="1:35">
      <c r="A738" s="3">
        <f>IFERROR(__xludf.DUMMYFUNCTION("""COMPUTED_VALUE"""),46293)</f>
        <v>46293</v>
      </c>
      <c r="B738" s="1" t="str">
        <f>IFERROR(__xludf.DUMMYFUNCTION("""COMPUTED_VALUE"""),"DOROTEO CATAMBANG MENDOZA")</f>
        <v>DOROTEO CATAMBANG MENDOZA</v>
      </c>
      <c r="C738" s="1">
        <f>IFERROR(__xludf.DUMMYFUNCTION("""COMPUTED_VALUE"""),2312852312)</f>
        <v>2312852312</v>
      </c>
      <c r="D738" s="1"/>
      <c r="E738" s="1"/>
      <c r="F738" s="1" t="str">
        <f>IFERROR(__xludf.DUMMYFUNCTION("""COMPUTED_VALUE"""),"CANCELLED")</f>
        <v>CANCELLED</v>
      </c>
      <c r="G738" s="1" t="str">
        <f>IFERROR(__xludf.DUMMYFUNCTION("""COMPUTED_VALUE"""),"CANNOT TAG DECISION DUE TO SYSTEM ERROR TO CHANGE PAYMENT REQUIRED|APPROVED | DONE VALIDATION | CORRECT ENCODED INFO IN CSP | TU SCORING - FF - 8 (MID RISK)| 1 AMSF REQUIRED | CLEARED FROM BLACKLISTED HIT |FOUND CANCELLED APPLICATION (0263732758,026373301"&amp;"0,0388041854) SAME NAME/ DIFF ADDRESS| CALL THRU:+63 948 899 5062 5:54 PM TALKED TO: SUBS • CALLOUT RESULT: SUCCESSFUL • CALLOUT STATUS: CONTACTED ")</f>
        <v>CANNOT TAG DECISION DUE TO SYSTEM ERROR TO CHANGE PAYMENT REQUIRED|APPROVED | DONE VALIDATION | CORRECT ENCODED INFO IN CSP | TU SCORING - FF - 8 (MID RISK)| 1 AMSF REQUIRED | CLEARED FROM BLACKLISTED HIT |FOUND CANCELLED APPLICATION (0263732758,0263733010,0388041854) SAME NAME/ DIFF ADDRESS| CALL THRU:+63 948 899 5062 5:54 PM TALKED TO: SUBS • CALLOUT RESULT: SUCCESSFUL • CALLOUT STATUS: CONTACTED </v>
      </c>
      <c r="H738" s="1"/>
      <c r="I738" s="1"/>
      <c r="J738" s="1"/>
      <c r="K738" s="1"/>
      <c r="L738" s="1" t="str">
        <f>IFERROR(__xludf.DUMMYFUNCTION("""COMPUTED_VALUE"""),"CANCELLED")</f>
        <v>CANCELLED</v>
      </c>
      <c r="M738" s="1" t="str">
        <f>IFERROR(__xludf.DUMMYFUNCTION("""COMPUTED_VALUE"""),"CANCELLED - SYSTEM ERROR")</f>
        <v>CANCELLED - SYSTEM ERROR</v>
      </c>
      <c r="N738" s="3"/>
      <c r="O738" s="1" t="str">
        <f>IFERROR(__xludf.DUMMYFUNCTION("""COMPUTED_VALUE"""),"FIBR UNLI ALL PLAN 999")</f>
        <v>FIBR UNLI ALL PLAN 999</v>
      </c>
      <c r="P738" s="1" t="str">
        <f>IFERROR(__xludf.DUMMYFUNCTION("""COMPUTED_VALUE"""),"LOWPLAN")</f>
        <v>LOWPLAN</v>
      </c>
      <c r="Q738" s="1" t="str">
        <f>IFERROR(__xludf.DUMMYFUNCTION("""COMPUTED_VALUE"""),"P407050")</f>
        <v>P407050</v>
      </c>
      <c r="R738" s="1" t="str">
        <f>IFERROR(__xludf.DUMMYFUNCTION("""COMPUTED_VALUE"""),"BAYBAY, MICHAEL")</f>
        <v>BAYBAY, MICHAEL</v>
      </c>
      <c r="S738" s="1" t="str">
        <f>IFERROR(__xludf.DUMMYFUNCTION("""COMPUTED_VALUE"""),"ORGANIC")</f>
        <v>ORGANIC</v>
      </c>
      <c r="T738" s="1" t="str">
        <f>IFERROR(__xludf.DUMMYFUNCTION("""COMPUTED_VALUE"""),"LEA REMOLLO")</f>
        <v>LEA REMOLLO</v>
      </c>
      <c r="U738" s="1" t="str">
        <f>IFERROR(__xludf.DUMMYFUNCTION("""COMPUTED_VALUE"""),"JB SALIOA")</f>
        <v>JB SALIOA</v>
      </c>
      <c r="V738" s="1" t="str">
        <f>IFERROR(__xludf.DUMMYFUNCTION("""COMPUTED_VALUE"""),"BK REGULAR")</f>
        <v>BK REGULAR</v>
      </c>
      <c r="W738" s="1" t="str">
        <f>IFERROR(__xludf.DUMMYFUNCTION("""COMPUTED_VALUE"""),"STK REGULAR")</f>
        <v>STK REGULAR</v>
      </c>
      <c r="X738" s="1" t="str">
        <f>IFERROR(__xludf.DUMMYFUNCTION("""COMPUTED_VALUE"""),"REGULAR")</f>
        <v>REGULAR</v>
      </c>
      <c r="Y738" s="1" t="str">
        <f>IFERROR(__xludf.DUMMYFUNCTION("""COMPUTED_VALUE"""),"BK_CVEU_260823")</f>
        <v>BK_CVEU_260823</v>
      </c>
      <c r="Z738" s="1" t="str">
        <f>IFERROR(__xludf.DUMMYFUNCTION("""COMPUTED_VALUE"""),"NEW CONNECT")</f>
        <v>NEW CONNECT</v>
      </c>
      <c r="AA738" s="1">
        <f>IFERROR(__xludf.DUMMYFUNCTION("""COMPUTED_VALUE"""),639488995062)</f>
        <v>639488995062</v>
      </c>
      <c r="AB738" s="1"/>
      <c r="AC738" s="1">
        <f>IFERROR(__xludf.DUMMYFUNCTION("""COMPUTED_VALUE"""),9004)</f>
        <v>9004</v>
      </c>
      <c r="AD738" s="1" t="str">
        <f>IFERROR(__xludf.DUMMYFUNCTION("""COMPUTED_VALUE"""),"BAYOT")</f>
        <v>BAYOT</v>
      </c>
      <c r="AE738" s="1"/>
      <c r="AF738" s="1" t="str">
        <f>IFERROR(__xludf.DUMMYFUNCTION("""COMPUTED_VALUE"""),"BGY 3")</f>
        <v>BGY 3</v>
      </c>
      <c r="AG738" s="1" t="str">
        <f>IFERROR(__xludf.DUMMYFUNCTION("""COMPUTED_VALUE"""),"AMADEO")</f>
        <v>AMADEO</v>
      </c>
      <c r="AH738" s="1" t="str">
        <f>IFERROR(__xludf.DUMMYFUNCTION("""COMPUTED_VALUE"""),"CATHOLIC CHURCH")</f>
        <v>CATHOLIC CHURCH</v>
      </c>
      <c r="AI738" s="1" t="str">
        <f>IFERROR(__xludf.DUMMYFUNCTION("""COMPUTED_VALUE"""),"CLUSTER 12")</f>
        <v>CLUSTER 12</v>
      </c>
    </row>
    <row r="739" customHeight="1" spans="1:35">
      <c r="A739" s="3">
        <f>IFERROR(__xludf.DUMMYFUNCTION("""COMPUTED_VALUE"""),46293)</f>
        <v>46293</v>
      </c>
      <c r="B739" s="1" t="str">
        <f>IFERROR(__xludf.DUMMYFUNCTION("""COMPUTED_VALUE"""),"EMERSON MOJICA MOJICA")</f>
        <v>EMERSON MOJICA MOJICA</v>
      </c>
      <c r="C739" s="1">
        <f>IFERROR(__xludf.DUMMYFUNCTION("""COMPUTED_VALUE"""),2312852767)</f>
        <v>2312852767</v>
      </c>
      <c r="D739" s="1">
        <f>IFERROR(__xludf.DUMMYFUNCTION("""COMPUTED_VALUE"""),408452139)</f>
        <v>408452139</v>
      </c>
      <c r="E739" s="1">
        <f>IFERROR(__xludf.DUMMYFUNCTION("""COMPUTED_VALUE"""),473302688004)</f>
        <v>473302688004</v>
      </c>
      <c r="F739" s="1" t="str">
        <f>IFERROR(__xludf.DUMMYFUNCTION("""COMPUTED_VALUE"""),"CLOSED")</f>
        <v>CLOSED</v>
      </c>
      <c r="G739" s="1" t="str">
        <f>IFERROR(__xludf.DUMMYFUNCTION("""COMPUTED_VALUE"""),"CLOSED")</f>
        <v>CLOSED</v>
      </c>
      <c r="H739" s="1" t="str">
        <f>IFERROR(__xludf.DUMMYFUNCTION("""COMPUTED_VALUE"""),"PQGOR366098594	03-Oct-26	Regular Payment	CIS-GCASH 3.0	1,000.00	946538780	03-Oct-26")</f>
        <v>PQGOR366098594	03-Oct-26	Regular Payment	CIS-GCASH 3.0	1,000.00	946538780	03-Oct-26</v>
      </c>
      <c r="I739" s="1" t="str">
        <f>IFERROR(__xludf.DUMMYFUNCTION("""COMPUTED_VALUE"""),"WITH 1 AMSF")</f>
        <v>WITH 1 AMSF</v>
      </c>
      <c r="J739" s="1"/>
      <c r="K739" s="1"/>
      <c r="L739" s="1" t="str">
        <f>IFERROR(__xludf.DUMMYFUNCTION("""COMPUTED_VALUE"""),"POSTED")</f>
        <v>POSTED</v>
      </c>
      <c r="M739" s="1" t="str">
        <f>IFERROR(__xludf.DUMMYFUNCTION("""COMPUTED_VALUE"""),"POSTED")</f>
        <v>POSTED</v>
      </c>
      <c r="N739" s="3">
        <f>IFERROR(__xludf.DUMMYFUNCTION("""COMPUTED_VALUE"""),46297)</f>
        <v>46297</v>
      </c>
      <c r="O739" s="1" t="str">
        <f>IFERROR(__xludf.DUMMYFUNCTION("""COMPUTED_VALUE"""),"FIBR PLAN 1299")</f>
        <v>FIBR PLAN 1299</v>
      </c>
      <c r="P739" s="1" t="str">
        <f>IFERROR(__xludf.DUMMYFUNCTION("""COMPUTED_VALUE"""),"LOWPLAN")</f>
        <v>LOWPLAN</v>
      </c>
      <c r="Q739" s="1" t="str">
        <f>IFERROR(__xludf.DUMMYFUNCTION("""COMPUTED_VALUE"""),"P407050")</f>
        <v>P407050</v>
      </c>
      <c r="R739" s="1" t="str">
        <f>IFERROR(__xludf.DUMMYFUNCTION("""COMPUTED_VALUE"""),"CADERAO, RONALD")</f>
        <v>CADERAO, RONALD</v>
      </c>
      <c r="S739" s="1" t="str">
        <f>IFERROR(__xludf.DUMMYFUNCTION("""COMPUTED_VALUE"""),"ORGANIC")</f>
        <v>ORGANIC</v>
      </c>
      <c r="T739" s="1" t="str">
        <f>IFERROR(__xludf.DUMMYFUNCTION("""COMPUTED_VALUE"""),"LEA REMOLLO")</f>
        <v>LEA REMOLLO</v>
      </c>
      <c r="U739" s="1" t="str">
        <f>IFERROR(__xludf.DUMMYFUNCTION("""COMPUTED_VALUE"""),"JB SALIOA")</f>
        <v>JB SALIOA</v>
      </c>
      <c r="V739" s="1" t="str">
        <f>IFERROR(__xludf.DUMMYFUNCTION("""COMPUTED_VALUE"""),"BK REGULAR")</f>
        <v>BK REGULAR</v>
      </c>
      <c r="W739" s="1" t="str">
        <f>IFERROR(__xludf.DUMMYFUNCTION("""COMPUTED_VALUE"""),"STK REGULAR")</f>
        <v>STK REGULAR</v>
      </c>
      <c r="X739" s="1" t="str">
        <f>IFERROR(__xludf.DUMMYFUNCTION("""COMPUTED_VALUE"""),"HBBS SEPT 2026")</f>
        <v>HBBS SEPT 2026</v>
      </c>
      <c r="Y739" s="1" t="str">
        <f>IFERROR(__xludf.DUMMYFUNCTION("""COMPUTED_VALUE"""),"BK_CVEU_260822")</f>
        <v>BK_CVEU_260822</v>
      </c>
      <c r="Z739" s="1" t="str">
        <f>IFERROR(__xludf.DUMMYFUNCTION("""COMPUTED_VALUE"""),"NEW CONNECT")</f>
        <v>NEW CONNECT</v>
      </c>
      <c r="AA739" s="1">
        <f>IFERROR(__xludf.DUMMYFUNCTION("""COMPUTED_VALUE"""),639950667788)</f>
        <v>639950667788</v>
      </c>
      <c r="AB739" s="1"/>
      <c r="AC739" s="1"/>
      <c r="AD739" s="1" t="str">
        <f>IFERROR(__xludf.DUMMYFUNCTION("""COMPUTED_VALUE"""),"MATAGBAK")</f>
        <v>MATAGBAK</v>
      </c>
      <c r="AE739" s="1"/>
      <c r="AF739" s="1" t="str">
        <f>IFERROR(__xludf.DUMMYFUNCTION("""COMPUTED_VALUE"""),"BGY MATAGBAK 2")</f>
        <v>BGY MATAGBAK 2</v>
      </c>
      <c r="AG739" s="1" t="str">
        <f>IFERROR(__xludf.DUMMYFUNCTION("""COMPUTED_VALUE"""),"ALFONSO")</f>
        <v>ALFONSO</v>
      </c>
      <c r="AH739" s="1" t="str">
        <f>IFERROR(__xludf.DUMMYFUNCTION("""COMPUTED_VALUE"""),"INFRONT OF GLOBE TOWER")</f>
        <v>INFRONT OF GLOBE TOWER</v>
      </c>
      <c r="AI739" s="1" t="str">
        <f>IFERROR(__xludf.DUMMYFUNCTION("""COMPUTED_VALUE"""),"CLUSTER 12")</f>
        <v>CLUSTER 12</v>
      </c>
    </row>
    <row r="740" customHeight="1" spans="1:35">
      <c r="A740" s="3">
        <f>IFERROR(__xludf.DUMMYFUNCTION("""COMPUTED_VALUE"""),46293)</f>
        <v>46293</v>
      </c>
      <c r="B740" s="1" t="str">
        <f>IFERROR(__xludf.DUMMYFUNCTION("""COMPUTED_VALUE"""),"JENNIFER ALVAREZ ROQUE")</f>
        <v>JENNIFER ALVAREZ ROQUE</v>
      </c>
      <c r="C740" s="1">
        <f>IFERROR(__xludf.DUMMYFUNCTION("""COMPUTED_VALUE"""),2312853184)</f>
        <v>2312853184</v>
      </c>
      <c r="D740" s="1">
        <f>IFERROR(__xludf.DUMMYFUNCTION("""COMPUTED_VALUE"""),408451132)</f>
        <v>408451132</v>
      </c>
      <c r="E740" s="1">
        <f>IFERROR(__xludf.DUMMYFUNCTION("""COMPUTED_VALUE"""),473304040004)</f>
        <v>473304040004</v>
      </c>
      <c r="F740" s="1" t="str">
        <f>IFERROR(__xludf.DUMMYFUNCTION("""COMPUTED_VALUE"""),"CLOSED")</f>
        <v>CLOSED</v>
      </c>
      <c r="G740" s="1" t="str">
        <f>IFERROR(__xludf.DUMMYFUNCTION("""COMPUTED_VALUE"""),"CLOSED")</f>
        <v>CLOSED</v>
      </c>
      <c r="H740" s="1" t="str">
        <f>IFERROR(__xludf.DUMMYFUNCTION("""COMPUTED_VALUE"""),"PAID VIA GCASH REF 831649133 OCT 1")</f>
        <v>PAID VIA GCASH REF 831649133 OCT 1</v>
      </c>
      <c r="I740" s="1" t="str">
        <f>IFERROR(__xludf.DUMMYFUNCTION("""COMPUTED_VALUE"""),"WITH 1 AMSF")</f>
        <v>WITH 1 AMSF</v>
      </c>
      <c r="J740" s="1"/>
      <c r="K740" s="1"/>
      <c r="L740" s="1" t="str">
        <f>IFERROR(__xludf.DUMMYFUNCTION("""COMPUTED_VALUE"""),"POSTED")</f>
        <v>POSTED</v>
      </c>
      <c r="M740" s="1" t="str">
        <f>IFERROR(__xludf.DUMMYFUNCTION("""COMPUTED_VALUE"""),"POSTED")</f>
        <v>POSTED</v>
      </c>
      <c r="N740" s="3">
        <f>IFERROR(__xludf.DUMMYFUNCTION("""COMPUTED_VALUE"""),46296)</f>
        <v>46296</v>
      </c>
      <c r="O740" s="1" t="str">
        <f>IFERROR(__xludf.DUMMYFUNCTION("""COMPUTED_VALUE"""),"FIBER UNLI ALL PLAN 1499")</f>
        <v>FIBER UNLI ALL PLAN 1499</v>
      </c>
      <c r="P740" s="1" t="str">
        <f>IFERROR(__xludf.DUMMYFUNCTION("""COMPUTED_VALUE"""),"LOWPLAN")</f>
        <v>LOWPLAN</v>
      </c>
      <c r="Q740" s="1" t="str">
        <f>IFERROR(__xludf.DUMMYFUNCTION("""COMPUTED_VALUE"""),"P407561")</f>
        <v>P407561</v>
      </c>
      <c r="R740" s="1" t="str">
        <f>IFERROR(__xludf.DUMMYFUNCTION("""COMPUTED_VALUE"""),"LABONG, AJAY")</f>
        <v>LABONG, AJAY</v>
      </c>
      <c r="S740" s="1" t="str">
        <f>IFERROR(__xludf.DUMMYFUNCTION("""COMPUTED_VALUE"""),"ORGANIC")</f>
        <v>ORGANIC</v>
      </c>
      <c r="T740" s="1" t="str">
        <f>IFERROR(__xludf.DUMMYFUNCTION("""COMPUTED_VALUE"""),"LEA REMOLLO")</f>
        <v>LEA REMOLLO</v>
      </c>
      <c r="U740" s="1" t="str">
        <f>IFERROR(__xludf.DUMMYFUNCTION("""COMPUTED_VALUE"""),"JB SALIOA")</f>
        <v>JB SALIOA</v>
      </c>
      <c r="V740" s="1" t="str">
        <f>IFERROR(__xludf.DUMMYFUNCTION("""COMPUTED_VALUE"""),"BK HSTK")</f>
        <v>BK HSTK</v>
      </c>
      <c r="W740" s="1" t="str">
        <f>IFERROR(__xludf.DUMMYFUNCTION("""COMPUTED_VALUE"""),"BK HSTK")</f>
        <v>BK HSTK</v>
      </c>
      <c r="X740" s="1" t="str">
        <f>IFERROR(__xludf.DUMMYFUNCTION("""COMPUTED_VALUE"""),"HBBS SEPT 2026")</f>
        <v>HBBS SEPT 2026</v>
      </c>
      <c r="Y740" s="1" t="str">
        <f>IFERROR(__xludf.DUMMYFUNCTION("""COMPUTED_VALUE"""),"BK_CVEU_260827")</f>
        <v>BK_CVEU_260827</v>
      </c>
      <c r="Z740" s="1" t="str">
        <f>IFERROR(__xludf.DUMMYFUNCTION("""COMPUTED_VALUE"""),"NEW CONNECT")</f>
        <v>NEW CONNECT</v>
      </c>
      <c r="AA740" s="1">
        <f>IFERROR(__xludf.DUMMYFUNCTION("""COMPUTED_VALUE"""),639278514604)</f>
        <v>639278514604</v>
      </c>
      <c r="AB740" s="1"/>
      <c r="AC740" s="1">
        <f>IFERROR(__xludf.DUMMYFUNCTION("""COMPUTED_VALUE"""),62)</f>
        <v>62</v>
      </c>
      <c r="AD740" s="1" t="str">
        <f>IFERROR(__xludf.DUMMYFUNCTION("""COMPUTED_VALUE"""),"HUMARANG")</f>
        <v>HUMARANG</v>
      </c>
      <c r="AE740" s="1" t="str">
        <f>IFERROR(__xludf.DUMMYFUNCTION("""COMPUTED_VALUE"""),"AMBATA APARTMENT")</f>
        <v>AMBATA APARTMENT</v>
      </c>
      <c r="AF740" s="1" t="str">
        <f>IFERROR(__xludf.DUMMYFUNCTION("""COMPUTED_VALUE"""),"BGY LUMIL")</f>
        <v>BGY LUMIL</v>
      </c>
      <c r="AG740" s="1" t="str">
        <f>IFERROR(__xludf.DUMMYFUNCTION("""COMPUTED_VALUE"""),"SILANG")</f>
        <v>SILANG</v>
      </c>
      <c r="AH740" s="1" t="str">
        <f>IFERROR(__xludf.DUMMYFUNCTION("""COMPUTED_VALUE"""),"TEOFELY GARDEN")</f>
        <v>TEOFELY GARDEN</v>
      </c>
      <c r="AI740" s="1" t="str">
        <f>IFERROR(__xludf.DUMMYFUNCTION("""COMPUTED_VALUE"""),"CLUSTER 11")</f>
        <v>CLUSTER 11</v>
      </c>
    </row>
    <row r="741" customHeight="1" spans="1:35">
      <c r="A741" s="3">
        <f>IFERROR(__xludf.DUMMYFUNCTION("""COMPUTED_VALUE"""),46293)</f>
        <v>46293</v>
      </c>
      <c r="B741" s="1" t="str">
        <f>IFERROR(__xludf.DUMMYFUNCTION("""COMPUTED_VALUE"""),"MIKE ANDREY OYHOC GALINO")</f>
        <v>MIKE ANDREY OYHOC GALINO</v>
      </c>
      <c r="C741" s="1">
        <f>IFERROR(__xludf.DUMMYFUNCTION("""COMPUTED_VALUE"""),2312853602)</f>
        <v>2312853602</v>
      </c>
      <c r="D741" s="1">
        <f>IFERROR(__xludf.DUMMYFUNCTION("""COMPUTED_VALUE"""),408452112)</f>
        <v>408452112</v>
      </c>
      <c r="E741" s="1">
        <f>IFERROR(__xludf.DUMMYFUNCTION("""COMPUTED_VALUE"""),473302705004)</f>
        <v>473302705004</v>
      </c>
      <c r="F741" s="1" t="str">
        <f>IFERROR(__xludf.DUMMYFUNCTION("""COMPUTED_VALUE"""),"CLOSED")</f>
        <v>CLOSED</v>
      </c>
      <c r="G741" s="1" t="str">
        <f>IFERROR(__xludf.DUMMYFUNCTION("""COMPUTED_VALUE"""),"CLOSED")</f>
        <v>CLOSED</v>
      </c>
      <c r="H741" s="1" t="str">
        <f>IFERROR(__xludf.DUMMYFUNCTION("""COMPUTED_VALUE"""),"PAID VIA GCASH REF 530824552 SEP 29")</f>
        <v>PAID VIA GCASH REF 530824552 SEP 29</v>
      </c>
      <c r="I741" s="1" t="str">
        <f>IFERROR(__xludf.DUMMYFUNCTION("""COMPUTED_VALUE"""),"WITH 1 AMSF")</f>
        <v>WITH 1 AMSF</v>
      </c>
      <c r="J741" s="1"/>
      <c r="K741" s="1"/>
      <c r="L741" s="1" t="str">
        <f>IFERROR(__xludf.DUMMYFUNCTION("""COMPUTED_VALUE"""),"POSTED")</f>
        <v>POSTED</v>
      </c>
      <c r="M741" s="1" t="str">
        <f>IFERROR(__xludf.DUMMYFUNCTION("""COMPUTED_VALUE"""),"POSTED")</f>
        <v>POSTED</v>
      </c>
      <c r="N741" s="3">
        <f>IFERROR(__xludf.DUMMYFUNCTION("""COMPUTED_VALUE"""),46295)</f>
        <v>46295</v>
      </c>
      <c r="O741" s="1" t="str">
        <f>IFERROR(__xludf.DUMMYFUNCTION("""COMPUTED_VALUE"""),"FIBR PLAN 1299")</f>
        <v>FIBR PLAN 1299</v>
      </c>
      <c r="P741" s="1" t="str">
        <f>IFERROR(__xludf.DUMMYFUNCTION("""COMPUTED_VALUE"""),"LOWPLAN")</f>
        <v>LOWPLAN</v>
      </c>
      <c r="Q741" s="1" t="str">
        <f>IFERROR(__xludf.DUMMYFUNCTION("""COMPUTED_VALUE"""),"P407516")</f>
        <v>P407516</v>
      </c>
      <c r="R741" s="1" t="str">
        <f>IFERROR(__xludf.DUMMYFUNCTION("""COMPUTED_VALUE"""),"AYON, MANUEL")</f>
        <v>AYON, MANUEL</v>
      </c>
      <c r="S741" s="1" t="str">
        <f>IFERROR(__xludf.DUMMYFUNCTION("""COMPUTED_VALUE"""),"FLA")</f>
        <v>FLA</v>
      </c>
      <c r="T741" s="1" t="str">
        <f>IFERROR(__xludf.DUMMYFUNCTION("""COMPUTED_VALUE"""),"JERIC NAVARRO")</f>
        <v>JERIC NAVARRO</v>
      </c>
      <c r="U741" s="1" t="str">
        <f>IFERROR(__xludf.DUMMYFUNCTION("""COMPUTED_VALUE"""),"JB SALIOA")</f>
        <v>JB SALIOA</v>
      </c>
      <c r="V741" s="1" t="str">
        <f>IFERROR(__xludf.DUMMYFUNCTION("""COMPUTED_VALUE"""),"BK HSTK")</f>
        <v>BK HSTK</v>
      </c>
      <c r="W741" s="1" t="str">
        <f>IFERROR(__xludf.DUMMYFUNCTION("""COMPUTED_VALUE"""),"BK HSTK")</f>
        <v>BK HSTK</v>
      </c>
      <c r="X741" s="1" t="str">
        <f>IFERROR(__xludf.DUMMYFUNCTION("""COMPUTED_VALUE"""),"HBBS SEPT 2026")</f>
        <v>HBBS SEPT 2026</v>
      </c>
      <c r="Y741" s="1" t="str">
        <f>IFERROR(__xludf.DUMMYFUNCTION("""COMPUTED_VALUE"""),"BK_CVEU_260827")</f>
        <v>BK_CVEU_260827</v>
      </c>
      <c r="Z741" s="1" t="str">
        <f>IFERROR(__xludf.DUMMYFUNCTION("""COMPUTED_VALUE"""),"NEW CONNECT")</f>
        <v>NEW CONNECT</v>
      </c>
      <c r="AA741" s="1">
        <f>IFERROR(__xludf.DUMMYFUNCTION("""COMPUTED_VALUE"""),639773403532)</f>
        <v>639773403532</v>
      </c>
      <c r="AB741" s="1">
        <f>IFERROR(__xludf.DUMMYFUNCTION("""COMPUTED_VALUE"""),639053882519)</f>
        <v>639053882519</v>
      </c>
      <c r="AC741" s="1">
        <f>IFERROR(__xludf.DUMMYFUNCTION("""COMPUTED_VALUE"""),9044)</f>
        <v>9044</v>
      </c>
      <c r="AD741" s="1" t="str">
        <f>IFERROR(__xludf.DUMMYFUNCTION("""COMPUTED_VALUE"""),"BAYACAL")</f>
        <v>BAYACAL</v>
      </c>
      <c r="AE741" s="1" t="str">
        <f>IFERROR(__xludf.DUMMYFUNCTION("""COMPUTED_VALUE"""),"ERMITANIO COMPOUND")</f>
        <v>ERMITANIO COMPOUND</v>
      </c>
      <c r="AF741" s="1" t="str">
        <f>IFERROR(__xludf.DUMMYFUNCTION("""COMPUTED_VALUE"""),"BGY SABUTAN")</f>
        <v>BGY SABUTAN</v>
      </c>
      <c r="AG741" s="1" t="str">
        <f>IFERROR(__xludf.DUMMYFUNCTION("""COMPUTED_VALUE"""),"SILANG")</f>
        <v>SILANG</v>
      </c>
      <c r="AH741" s="1" t="str">
        <f>IFERROR(__xludf.DUMMYFUNCTION("""COMPUTED_VALUE"""),"SEA OIL")</f>
        <v>SEA OIL</v>
      </c>
      <c r="AI741" s="1" t="str">
        <f>IFERROR(__xludf.DUMMYFUNCTION("""COMPUTED_VALUE"""),"CLUSTER 11")</f>
        <v>CLUSTER 11</v>
      </c>
    </row>
    <row r="742" customHeight="1" spans="1:35">
      <c r="A742" s="3">
        <f>IFERROR(__xludf.DUMMYFUNCTION("""COMPUTED_VALUE"""),46293)</f>
        <v>46293</v>
      </c>
      <c r="B742" s="1" t="str">
        <f>IFERROR(__xludf.DUMMYFUNCTION("""COMPUTED_VALUE"""),"RUEL MORANO LABUAC")</f>
        <v>RUEL MORANO LABUAC</v>
      </c>
      <c r="C742" s="1">
        <f>IFERROR(__xludf.DUMMYFUNCTION("""COMPUTED_VALUE"""),2312855574)</f>
        <v>2312855574</v>
      </c>
      <c r="D742" s="1">
        <f>IFERROR(__xludf.DUMMYFUNCTION("""COMPUTED_VALUE"""),408471303)</f>
        <v>408471303</v>
      </c>
      <c r="E742" s="1">
        <f>IFERROR(__xludf.DUMMYFUNCTION("""COMPUTED_VALUE"""),473428575004)</f>
        <v>473428575004</v>
      </c>
      <c r="F742" s="1" t="str">
        <f>IFERROR(__xludf.DUMMYFUNCTION("""COMPUTED_VALUE"""),"CLOSED")</f>
        <v>CLOSED</v>
      </c>
      <c r="G742" s="1" t="str">
        <f>IFERROR(__xludf.DUMMYFUNCTION("""COMPUTED_VALUE"""),"CLOSED")</f>
        <v>CLOSED</v>
      </c>
      <c r="H742" s="1"/>
      <c r="I742" s="1" t="str">
        <f>IFERROR(__xludf.DUMMYFUNCTION("""COMPUTED_VALUE"""),"NO 1 AMSF")</f>
        <v>NO 1 AMSF</v>
      </c>
      <c r="J742" s="1"/>
      <c r="K742" s="1"/>
      <c r="L742" s="1" t="str">
        <f>IFERROR(__xludf.DUMMYFUNCTION("""COMPUTED_VALUE"""),"POSTED")</f>
        <v>POSTED</v>
      </c>
      <c r="M742" s="1" t="str">
        <f>IFERROR(__xludf.DUMMYFUNCTION("""COMPUTED_VALUE"""),"POSTED")</f>
        <v>POSTED</v>
      </c>
      <c r="N742" s="3">
        <f>IFERROR(__xludf.DUMMYFUNCTION("""COMPUTED_VALUE"""),46299)</f>
        <v>46299</v>
      </c>
      <c r="O742" s="1" t="str">
        <f>IFERROR(__xludf.DUMMYFUNCTION("""COMPUTED_VALUE"""),"FIBR PLAN 1299")</f>
        <v>FIBR PLAN 1299</v>
      </c>
      <c r="P742" s="1" t="str">
        <f>IFERROR(__xludf.DUMMYFUNCTION("""COMPUTED_VALUE"""),"LOWPLAN")</f>
        <v>LOWPLAN</v>
      </c>
      <c r="Q742" s="1" t="str">
        <f>IFERROR(__xludf.DUMMYFUNCTION("""COMPUTED_VALUE"""),"P407559")</f>
        <v>P407559</v>
      </c>
      <c r="R742" s="1" t="str">
        <f>IFERROR(__xludf.DUMMYFUNCTION("""COMPUTED_VALUE"""),"MAGDARAOG, KENNETH")</f>
        <v>MAGDARAOG, KENNETH</v>
      </c>
      <c r="S742" s="1" t="str">
        <f>IFERROR(__xludf.DUMMYFUNCTION("""COMPUTED_VALUE"""),"ORGANIC")</f>
        <v>ORGANIC</v>
      </c>
      <c r="T742" s="1" t="str">
        <f>IFERROR(__xludf.DUMMYFUNCTION("""COMPUTED_VALUE"""),"LEA REMOLLO")</f>
        <v>LEA REMOLLO</v>
      </c>
      <c r="U742" s="1" t="str">
        <f>IFERROR(__xludf.DUMMYFUNCTION("""COMPUTED_VALUE"""),"JB SALIOA")</f>
        <v>JB SALIOA</v>
      </c>
      <c r="V742" s="1" t="str">
        <f>IFERROR(__xludf.DUMMYFUNCTION("""COMPUTED_VALUE"""),"BK EXPRESS")</f>
        <v>BK EXPRESS</v>
      </c>
      <c r="W742" s="1" t="str">
        <f>IFERROR(__xludf.DUMMYFUNCTION("""COMPUTED_VALUE"""),"BK HSTK")</f>
        <v>BK HSTK</v>
      </c>
      <c r="X742" s="1" t="str">
        <f>IFERROR(__xludf.DUMMYFUNCTION("""COMPUTED_VALUE"""),"HBBS SEPT 2026")</f>
        <v>HBBS SEPT 2026</v>
      </c>
      <c r="Y742" s="1" t="str">
        <f>IFERROR(__xludf.DUMMYFUNCTION("""COMPUTED_VALUE"""),"BK_CVEU_260827")</f>
        <v>BK_CVEU_260827</v>
      </c>
      <c r="Z742" s="1" t="str">
        <f>IFERROR(__xludf.DUMMYFUNCTION("""COMPUTED_VALUE"""),"NEW CONNECT")</f>
        <v>NEW CONNECT</v>
      </c>
      <c r="AA742" s="1">
        <f>IFERROR(__xludf.DUMMYFUNCTION("""COMPUTED_VALUE"""),639707336437)</f>
        <v>639707336437</v>
      </c>
      <c r="AB742" s="1"/>
      <c r="AC742" s="1"/>
      <c r="AD742" s="1" t="str">
        <f>IFERROR(__xludf.DUMMYFUNCTION("""COMPUTED_VALUE"""),"TOLEDO")</f>
        <v>TOLEDO</v>
      </c>
      <c r="AE742" s="1"/>
      <c r="AF742" s="1" t="str">
        <f>IFERROR(__xludf.DUMMYFUNCTION("""COMPUTED_VALUE"""),"BGY TOLEDO")</f>
        <v>BGY TOLEDO</v>
      </c>
      <c r="AG742" s="1" t="str">
        <f>IFERROR(__xludf.DUMMYFUNCTION("""COMPUTED_VALUE"""),"SILANG")</f>
        <v>SILANG</v>
      </c>
      <c r="AH742" s="1" t="str">
        <f>IFERROR(__xludf.DUMMYFUNCTION("""COMPUTED_VALUE"""),"BKEXPRESS_NEAR EMMA SEWING SHOP")</f>
        <v>BKEXPRESS_NEAR EMMA SEWING SHOP</v>
      </c>
      <c r="AI742" s="1" t="str">
        <f>IFERROR(__xludf.DUMMYFUNCTION("""COMPUTED_VALUE"""),"CLUSTER 11")</f>
        <v>CLUSTER 11</v>
      </c>
    </row>
    <row r="743" customHeight="1" spans="1:35">
      <c r="A743" s="3">
        <f>IFERROR(__xludf.DUMMYFUNCTION("""COMPUTED_VALUE"""),46293)</f>
        <v>46293</v>
      </c>
      <c r="B743" s="1" t="str">
        <f>IFERROR(__xludf.DUMMYFUNCTION("""COMPUTED_VALUE"""),"HEART ORTEGA DIMAKILING")</f>
        <v>HEART ORTEGA DIMAKILING</v>
      </c>
      <c r="C743" s="1">
        <f>IFERROR(__xludf.DUMMYFUNCTION("""COMPUTED_VALUE"""),2312855779)</f>
        <v>2312855779</v>
      </c>
      <c r="D743" s="1"/>
      <c r="E743" s="1"/>
      <c r="F743" s="1" t="str">
        <f>IFERROR(__xludf.DUMMYFUNCTION("""COMPUTED_VALUE"""),"RETURN TO SALES DEDUP VAL")</f>
        <v>RETURN TO SALES DEDUP VAL</v>
      </c>
      <c r="G743" s="1" t="str">
        <f>IFERROR(__xludf.DUMMYFUNCTION("""COMPUTED_VALUE"""),"(POA REQUIREMENT - MULTIPLE LINE APPLICATION) RETURN TO SALES BK SR | FOUND ACCT #0324324143 UNDER SAME CBR CALLTHRU: 09275610666/09942407380 Sep 28 2026 05:47 PM FOR CONFIRMATION BUT UNCONTACTED | VALIDATED COMPLETE DOCS | CORRECT ENCODED INFO IN CSP | T"&amp;"U SCORING - GG - 1 (NTC)| 1 AMSF REQUIRED | NO EXISITNG ACTIVE OR PENDING/CANCELLED APPLICATION")</f>
        <v>(POA REQUIREMENT - MULTIPLE LINE APPLICATION) RETURN TO SALES BK SR | FOUND ACCT #0324324143 UNDER SAME CBR CALLTHRU: 09275610666/09942407380 Sep 28 2026 05:47 PM FOR CONFIRMATION BUT UNCONTACTED | VALIDATED COMPLETE DOCS | CORRECT ENCODED INFO IN CSP | TU SCORING - GG - 1 (NTC)| 1 AMSF REQUIRED | NO EXISITNG ACTIVE OR PENDING/CANCELLED APPLICATION</v>
      </c>
      <c r="H743" s="1"/>
      <c r="I743" s="1"/>
      <c r="J743" s="1"/>
      <c r="K743" s="1"/>
      <c r="L743" s="1" t="str">
        <f>IFERROR(__xludf.DUMMYFUNCTION("""COMPUTED_VALUE"""),"RTS - UNCONTACTED")</f>
        <v>RTS - UNCONTACTED</v>
      </c>
      <c r="M743" s="1" t="str">
        <f>IFERROR(__xludf.DUMMYFUNCTION("""COMPUTED_VALUE"""),"RTS - UNCONTACTABLE")</f>
        <v>RTS - UNCONTACTABLE</v>
      </c>
      <c r="N743" s="3"/>
      <c r="O743" s="1" t="str">
        <f>IFERROR(__xludf.DUMMYFUNCTION("""COMPUTED_VALUE"""),"FIBR PLAN 1299")</f>
        <v>FIBR PLAN 1299</v>
      </c>
      <c r="P743" s="1" t="str">
        <f>IFERROR(__xludf.DUMMYFUNCTION("""COMPUTED_VALUE"""),"LOWPLAN")</f>
        <v>LOWPLAN</v>
      </c>
      <c r="Q743" s="1" t="str">
        <f>IFERROR(__xludf.DUMMYFUNCTION("""COMPUTED_VALUE"""),"P407561")</f>
        <v>P407561</v>
      </c>
      <c r="R743" s="1" t="str">
        <f>IFERROR(__xludf.DUMMYFUNCTION("""COMPUTED_VALUE"""),"TAMAYO, MARY ROSE ZAIRA")</f>
        <v>TAMAYO, MARY ROSE ZAIRA</v>
      </c>
      <c r="S743" s="1" t="str">
        <f>IFERROR(__xludf.DUMMYFUNCTION("""COMPUTED_VALUE"""),"ORGANIC")</f>
        <v>ORGANIC</v>
      </c>
      <c r="T743" s="1" t="str">
        <f>IFERROR(__xludf.DUMMYFUNCTION("""COMPUTED_VALUE"""),"LEA REMOLLO")</f>
        <v>LEA REMOLLO</v>
      </c>
      <c r="U743" s="1" t="str">
        <f>IFERROR(__xludf.DUMMYFUNCTION("""COMPUTED_VALUE"""),"JB SALIOA")</f>
        <v>JB SALIOA</v>
      </c>
      <c r="V743" s="1" t="str">
        <f>IFERROR(__xludf.DUMMYFUNCTION("""COMPUTED_VALUE"""),"BK HSTK")</f>
        <v>BK HSTK</v>
      </c>
      <c r="W743" s="1" t="str">
        <f>IFERROR(__xludf.DUMMYFUNCTION("""COMPUTED_VALUE"""),"BK HSTK")</f>
        <v>BK HSTK</v>
      </c>
      <c r="X743" s="1" t="str">
        <f>IFERROR(__xludf.DUMMYFUNCTION("""COMPUTED_VALUE"""),"HBBS SEPT 2026")</f>
        <v>HBBS SEPT 2026</v>
      </c>
      <c r="Y743" s="1" t="str">
        <f>IFERROR(__xludf.DUMMYFUNCTION("""COMPUTED_VALUE"""),"BK_CVEU_260825")</f>
        <v>BK_CVEU_260825</v>
      </c>
      <c r="Z743" s="1" t="str">
        <f>IFERROR(__xludf.DUMMYFUNCTION("""COMPUTED_VALUE"""),"NEW CONNECT")</f>
        <v>NEW CONNECT</v>
      </c>
      <c r="AA743" s="1">
        <f>IFERROR(__xludf.DUMMYFUNCTION("""COMPUTED_VALUE"""),639275610666)</f>
        <v>639275610666</v>
      </c>
      <c r="AB743" s="1">
        <f>IFERROR(__xludf.DUMMYFUNCTION("""COMPUTED_VALUE"""),639942407380)</f>
        <v>639942407380</v>
      </c>
      <c r="AC743" s="1"/>
      <c r="AD743" s="1" t="str">
        <f>IFERROR(__xludf.DUMMYFUNCTION("""COMPUTED_VALUE"""),"POBLACION 4")</f>
        <v>POBLACION 4</v>
      </c>
      <c r="AE743" s="1"/>
      <c r="AF743" s="1" t="str">
        <f>IFERROR(__xludf.DUMMYFUNCTION("""COMPUTED_VALUE"""),"BGY POBLACION 4")</f>
        <v>BGY POBLACION 4</v>
      </c>
      <c r="AG743" s="1" t="str">
        <f>IFERROR(__xludf.DUMMYFUNCTION("""COMPUTED_VALUE"""),"GEN MARIANO ALVAREZ")</f>
        <v>GEN MARIANO ALVAREZ</v>
      </c>
      <c r="AH743" s="1" t="str">
        <f>IFERROR(__xludf.DUMMYFUNCTION("""COMPUTED_VALUE"""),"HAT-HAT DAILY GOODS")</f>
        <v>HAT-HAT DAILY GOODS</v>
      </c>
      <c r="AI743" s="1" t="str">
        <f>IFERROR(__xludf.DUMMYFUNCTION("""COMPUTED_VALUE"""),"CLUSTER 11")</f>
        <v>CLUSTER 11</v>
      </c>
    </row>
    <row r="744" customHeight="1" spans="1:35">
      <c r="A744" s="3">
        <f>IFERROR(__xludf.DUMMYFUNCTION("""COMPUTED_VALUE"""),46293)</f>
        <v>46293</v>
      </c>
      <c r="B744" s="1" t="str">
        <f>IFERROR(__xludf.DUMMYFUNCTION("""COMPUTED_VALUE"""),"ALVIN MARANGUIS PRESTO")</f>
        <v>ALVIN MARANGUIS PRESTO</v>
      </c>
      <c r="C744" s="1">
        <f>IFERROR(__xludf.DUMMYFUNCTION("""COMPUTED_VALUE"""),2312859862)</f>
        <v>2312859862</v>
      </c>
      <c r="D744" s="1"/>
      <c r="E744" s="1"/>
      <c r="F744" s="1" t="str">
        <f>IFERROR(__xludf.DUMMYFUNCTION("""COMPUTED_VALUE"""),"CANCELLED")</f>
        <v>CANCELLED</v>
      </c>
      <c r="G744" s="1" t="str">
        <f>IFERROR(__xludf.DUMMYFUNCTION("""COMPUTED_VALUE"""),"CANCELLED")</f>
        <v>CANCELLED</v>
      </c>
      <c r="H744" s="1"/>
      <c r="I744" s="1"/>
      <c r="J744" s="1"/>
      <c r="K744" s="1"/>
      <c r="L744" s="1" t="str">
        <f>IFERROR(__xludf.DUMMYFUNCTION("""COMPUTED_VALUE"""),"CANCELLED")</f>
        <v>CANCELLED</v>
      </c>
      <c r="M744" s="1" t="str">
        <f>IFERROR(__xludf.DUMMYFUNCTION("""COMPUTED_VALUE"""),"CANCELLED - WITH OB")</f>
        <v>CANCELLED - WITH OB</v>
      </c>
      <c r="N744" s="3"/>
      <c r="O744" s="1" t="str">
        <f>IFERROR(__xludf.DUMMYFUNCTION("""COMPUTED_VALUE"""),"FIBR PLAN 1299")</f>
        <v>FIBR PLAN 1299</v>
      </c>
      <c r="P744" s="1" t="str">
        <f>IFERROR(__xludf.DUMMYFUNCTION("""COMPUTED_VALUE"""),"LOWPLAN")</f>
        <v>LOWPLAN</v>
      </c>
      <c r="Q744" s="1" t="str">
        <f>IFERROR(__xludf.DUMMYFUNCTION("""COMPUTED_VALUE"""),"P407050")</f>
        <v>P407050</v>
      </c>
      <c r="R744" s="1" t="str">
        <f>IFERROR(__xludf.DUMMYFUNCTION("""COMPUTED_VALUE"""),"MANDUCDOC, MARIANE")</f>
        <v>MANDUCDOC, MARIANE</v>
      </c>
      <c r="S744" s="1" t="str">
        <f>IFERROR(__xludf.DUMMYFUNCTION("""COMPUTED_VALUE"""),"ORGANIC")</f>
        <v>ORGANIC</v>
      </c>
      <c r="T744" s="1" t="str">
        <f>IFERROR(__xludf.DUMMYFUNCTION("""COMPUTED_VALUE"""),"LEA REMOLLO")</f>
        <v>LEA REMOLLO</v>
      </c>
      <c r="U744" s="1" t="str">
        <f>IFERROR(__xludf.DUMMYFUNCTION("""COMPUTED_VALUE"""),"JB SALIOA")</f>
        <v>JB SALIOA</v>
      </c>
      <c r="V744" s="1" t="str">
        <f>IFERROR(__xludf.DUMMYFUNCTION("""COMPUTED_VALUE"""),"BK REGULAR")</f>
        <v>BK REGULAR</v>
      </c>
      <c r="W744" s="1" t="str">
        <f>IFERROR(__xludf.DUMMYFUNCTION("""COMPUTED_VALUE"""),"STK REGULAR")</f>
        <v>STK REGULAR</v>
      </c>
      <c r="X744" s="1" t="str">
        <f>IFERROR(__xludf.DUMMYFUNCTION("""COMPUTED_VALUE"""),"HBBS SEPT 2026")</f>
        <v>HBBS SEPT 2026</v>
      </c>
      <c r="Y744" s="1" t="str">
        <f>IFERROR(__xludf.DUMMYFUNCTION("""COMPUTED_VALUE"""),"BK_CVEU_260828")</f>
        <v>BK_CVEU_260828</v>
      </c>
      <c r="Z744" s="1" t="str">
        <f>IFERROR(__xludf.DUMMYFUNCTION("""COMPUTED_VALUE"""),"NEW CONNECT")</f>
        <v>NEW CONNECT</v>
      </c>
      <c r="AA744" s="1">
        <f>IFERROR(__xludf.DUMMYFUNCTION("""COMPUTED_VALUE"""),639462387663)</f>
        <v>639462387663</v>
      </c>
      <c r="AB744" s="1">
        <f>IFERROR(__xludf.DUMMYFUNCTION("""COMPUTED_VALUE"""),639637173854)</f>
        <v>639637173854</v>
      </c>
      <c r="AC744" s="1">
        <f>IFERROR(__xludf.DUMMYFUNCTION("""COMPUTED_VALUE"""),78)</f>
        <v>78</v>
      </c>
      <c r="AD744" s="1" t="str">
        <f>IFERROR(__xludf.DUMMYFUNCTION("""COMPUTED_VALUE"""),"PUROK 49")</f>
        <v>PUROK 49</v>
      </c>
      <c r="AE744" s="1"/>
      <c r="AF744" s="1" t="str">
        <f>IFERROR(__xludf.DUMMYFUNCTION("""COMPUTED_VALUE"""),"BGY IRUHIN WEST")</f>
        <v>BGY IRUHIN WEST</v>
      </c>
      <c r="AG744" s="1" t="str">
        <f>IFERROR(__xludf.DUMMYFUNCTION("""COMPUTED_VALUE"""),"TAGAYTAY")</f>
        <v>TAGAYTAY</v>
      </c>
      <c r="AH744" s="1" t="str">
        <f>IFERROR(__xludf.DUMMYFUNCTION("""COMPUTED_VALUE"""),"MARYRIDGE")</f>
        <v>MARYRIDGE</v>
      </c>
      <c r="AI744" s="1" t="str">
        <f>IFERROR(__xludf.DUMMYFUNCTION("""COMPUTED_VALUE"""),"CLUSTER 12")</f>
        <v>CLUSTER 12</v>
      </c>
    </row>
    <row r="745" customHeight="1" spans="1:35">
      <c r="A745" s="3">
        <f>IFERROR(__xludf.DUMMYFUNCTION("""COMPUTED_VALUE"""),46294)</f>
        <v>46294</v>
      </c>
      <c r="B745" s="1" t="str">
        <f>IFERROR(__xludf.DUMMYFUNCTION("""COMPUTED_VALUE"""),"GERALDINE PEPA DUMLAO")</f>
        <v>GERALDINE PEPA DUMLAO</v>
      </c>
      <c r="C745" s="1">
        <f>IFERROR(__xludf.DUMMYFUNCTION("""COMPUTED_VALUE"""),2312864466)</f>
        <v>2312864466</v>
      </c>
      <c r="D745" s="1">
        <f>IFERROR(__xludf.DUMMYFUNCTION("""COMPUTED_VALUE"""),408475155)</f>
        <v>408475155</v>
      </c>
      <c r="E745" s="1">
        <f>IFERROR(__xludf.DUMMYFUNCTION("""COMPUTED_VALUE"""),473434647004)</f>
        <v>473434647004</v>
      </c>
      <c r="F745" s="1" t="str">
        <f>IFERROR(__xludf.DUMMYFUNCTION("""COMPUTED_VALUE"""),"FOR PAYMENT")</f>
        <v>FOR PAYMENT</v>
      </c>
      <c r="G745" s="1" t="str">
        <f>IFERROR(__xludf.DUMMYFUNCTION("""COMPUTED_VALUE"""),"FOR PAYMENT")</f>
        <v>FOR PAYMENT</v>
      </c>
      <c r="H745" s="1"/>
      <c r="I745" s="1"/>
      <c r="J745" s="1"/>
      <c r="K745" s="1" t="str">
        <f>IFERROR(__xludf.DUMMYFUNCTION("""COMPUTED_VALUE"""),"NOT IN OFSC")</f>
        <v>NOT IN OFSC</v>
      </c>
      <c r="L745" s="1" t="str">
        <f>IFERROR(__xludf.DUMMYFUNCTION("""COMPUTED_VALUE"""),"FOR PAYMENT")</f>
        <v>FOR PAYMENT</v>
      </c>
      <c r="M745" s="1" t="str">
        <f>IFERROR(__xludf.DUMMYFUNCTION("""COMPUTED_VALUE"""),"FOR PAYMENT - FOR CALL OUT")</f>
        <v>FOR PAYMENT - FOR CALL OUT</v>
      </c>
      <c r="N745" s="3"/>
      <c r="O745" s="1" t="str">
        <f>IFERROR(__xludf.DUMMYFUNCTION("""COMPUTED_VALUE"""),"FIBR PLAN 1299")</f>
        <v>FIBR PLAN 1299</v>
      </c>
      <c r="P745" s="1" t="str">
        <f>IFERROR(__xludf.DUMMYFUNCTION("""COMPUTED_VALUE"""),"LOWPLAN")</f>
        <v>LOWPLAN</v>
      </c>
      <c r="Q745" s="1" t="str">
        <f>IFERROR(__xludf.DUMMYFUNCTION("""COMPUTED_VALUE"""),"P407050")</f>
        <v>P407050</v>
      </c>
      <c r="R745" s="1" t="str">
        <f>IFERROR(__xludf.DUMMYFUNCTION("""COMPUTED_VALUE"""),"REMOLLO, LEA")</f>
        <v>REMOLLO, LEA</v>
      </c>
      <c r="S745" s="1" t="str">
        <f>IFERROR(__xludf.DUMMYFUNCTION("""COMPUTED_VALUE"""),"FLA")</f>
        <v>FLA</v>
      </c>
      <c r="T745" s="1" t="str">
        <f>IFERROR(__xludf.DUMMYFUNCTION("""COMPUTED_VALUE"""),"JERIC NAVARRO")</f>
        <v>JERIC NAVARRO</v>
      </c>
      <c r="U745" s="1" t="str">
        <f>IFERROR(__xludf.DUMMYFUNCTION("""COMPUTED_VALUE"""),"JB SALIOA")</f>
        <v>JB SALIOA</v>
      </c>
      <c r="V745" s="1" t="str">
        <f>IFERROR(__xludf.DUMMYFUNCTION("""COMPUTED_VALUE"""),"BK REGULAR")</f>
        <v>BK REGULAR</v>
      </c>
      <c r="W745" s="1" t="str">
        <f>IFERROR(__xludf.DUMMYFUNCTION("""COMPUTED_VALUE"""),"STK REGULAR")</f>
        <v>STK REGULAR</v>
      </c>
      <c r="X745" s="1" t="str">
        <f>IFERROR(__xludf.DUMMYFUNCTION("""COMPUTED_VALUE"""),"HBBS SEPT 2026")</f>
        <v>HBBS SEPT 2026</v>
      </c>
      <c r="Y745" s="1" t="str">
        <f>IFERROR(__xludf.DUMMYFUNCTION("""COMPUTED_VALUE"""),"BK_CVEU_260827")</f>
        <v>BK_CVEU_260827</v>
      </c>
      <c r="Z745" s="1" t="str">
        <f>IFERROR(__xludf.DUMMYFUNCTION("""COMPUTED_VALUE"""),"NEW CONNECT")</f>
        <v>NEW CONNECT</v>
      </c>
      <c r="AA745" s="1">
        <f>IFERROR(__xludf.DUMMYFUNCTION("""COMPUTED_VALUE"""),639214359823)</f>
        <v>639214359823</v>
      </c>
      <c r="AB745" s="1"/>
      <c r="AC745" s="1">
        <f>IFERROR(__xludf.DUMMYFUNCTION("""COMPUTED_VALUE"""),650)</f>
        <v>650</v>
      </c>
      <c r="AD745" s="1" t="str">
        <f>IFERROR(__xludf.DUMMYFUNCTION("""COMPUTED_VALUE"""),"PUROK 7")</f>
        <v>PUROK 7</v>
      </c>
      <c r="AE745" s="1"/>
      <c r="AF745" s="1" t="str">
        <f>IFERROR(__xludf.DUMMYFUNCTION("""COMPUTED_VALUE"""),"BGY PASONG LANGKA")</f>
        <v>BGY PASONG LANGKA</v>
      </c>
      <c r="AG745" s="1" t="str">
        <f>IFERROR(__xludf.DUMMYFUNCTION("""COMPUTED_VALUE"""),"SILANG")</f>
        <v>SILANG</v>
      </c>
      <c r="AH745" s="1" t="str">
        <f>IFERROR(__xludf.DUMMYFUNCTION("""COMPUTED_VALUE"""),"7/11")</f>
        <v>7/11</v>
      </c>
      <c r="AI745" s="1" t="str">
        <f>IFERROR(__xludf.DUMMYFUNCTION("""COMPUTED_VALUE"""),"CLUSTER 11")</f>
        <v>CLUSTER 11</v>
      </c>
    </row>
    <row r="746" customHeight="1" spans="1:35">
      <c r="A746" s="3">
        <f>IFERROR(__xludf.DUMMYFUNCTION("""COMPUTED_VALUE"""),46294)</f>
        <v>46294</v>
      </c>
      <c r="B746" s="1" t="str">
        <f>IFERROR(__xludf.DUMMYFUNCTION("""COMPUTED_VALUE"""),"NATHANIEL REYES OCTAVIANO")</f>
        <v>NATHANIEL REYES OCTAVIANO</v>
      </c>
      <c r="C746" s="1">
        <f>IFERROR(__xludf.DUMMYFUNCTION("""COMPUTED_VALUE"""),2312865442)</f>
        <v>2312865442</v>
      </c>
      <c r="D746" s="1"/>
      <c r="E746" s="1"/>
      <c r="F746" s="1" t="str">
        <f>IFERROR(__xludf.DUMMYFUNCTION("""COMPUTED_VALUE"""),"REENCODED")</f>
        <v>REENCODED</v>
      </c>
      <c r="G746" s="1" t="str">
        <f>IFERROR(__xludf.DUMMYFUNCTION("""COMPUTED_VALUE"""),"REENCODED DUE TO SYSTEM ERROR")</f>
        <v>REENCODED DUE TO SYSTEM ERROR</v>
      </c>
      <c r="H746" s="1"/>
      <c r="I746" s="1"/>
      <c r="J746" s="1"/>
      <c r="K746" s="1"/>
      <c r="L746" s="1" t="str">
        <f>IFERROR(__xludf.DUMMYFUNCTION("""COMPUTED_VALUE"""),"REENCODED")</f>
        <v>REENCODED</v>
      </c>
      <c r="M746" s="1" t="str">
        <f>IFERROR(__xludf.DUMMYFUNCTION("""COMPUTED_VALUE"""),"REENCODED")</f>
        <v>REENCODED</v>
      </c>
      <c r="N746" s="3"/>
      <c r="O746" s="1" t="str">
        <f>IFERROR(__xludf.DUMMYFUNCTION("""COMPUTED_VALUE"""),"FIBER UNLI ALL PLAN 1499")</f>
        <v>FIBER UNLI ALL PLAN 1499</v>
      </c>
      <c r="P746" s="1" t="str">
        <f>IFERROR(__xludf.DUMMYFUNCTION("""COMPUTED_VALUE"""),"LOWPLAN")</f>
        <v>LOWPLAN</v>
      </c>
      <c r="Q746" s="1" t="str">
        <f>IFERROR(__xludf.DUMMYFUNCTION("""COMPUTED_VALUE"""),"P407564")</f>
        <v>P407564</v>
      </c>
      <c r="R746" s="1" t="str">
        <f>IFERROR(__xludf.DUMMYFUNCTION("""COMPUTED_VALUE"""),"ARENA, LYKA")</f>
        <v>ARENA, LYKA</v>
      </c>
      <c r="S746" s="1" t="str">
        <f>IFERROR(__xludf.DUMMYFUNCTION("""COMPUTED_VALUE"""),"ORGANIC")</f>
        <v>ORGANIC</v>
      </c>
      <c r="T746" s="1" t="str">
        <f>IFERROR(__xludf.DUMMYFUNCTION("""COMPUTED_VALUE"""),"LEA REMOLLO")</f>
        <v>LEA REMOLLO</v>
      </c>
      <c r="U746" s="1" t="str">
        <f>IFERROR(__xludf.DUMMYFUNCTION("""COMPUTED_VALUE"""),"JB SALIOA")</f>
        <v>JB SALIOA</v>
      </c>
      <c r="V746" s="1" t="str">
        <f>IFERROR(__xludf.DUMMYFUNCTION("""COMPUTED_VALUE"""),"ONLINE/CRANFORD")</f>
        <v>ONLINE/CRANFORD</v>
      </c>
      <c r="W746" s="1" t="str">
        <f>IFERROR(__xludf.DUMMYFUNCTION("""COMPUTED_VALUE"""),"STK REGULAR")</f>
        <v>STK REGULAR</v>
      </c>
      <c r="X746" s="1" t="str">
        <f>IFERROR(__xludf.DUMMYFUNCTION("""COMPUTED_VALUE"""),"HBBS SEPT 2026")</f>
        <v>HBBS SEPT 2026</v>
      </c>
      <c r="Y746" s="1" t="str">
        <f>IFERROR(__xludf.DUMMYFUNCTION("""COMPUTED_VALUE"""),"RS_SS_CVEU_2026")</f>
        <v>RS_SS_CVEU_2026</v>
      </c>
      <c r="Z746" s="1" t="str">
        <f>IFERROR(__xludf.DUMMYFUNCTION("""COMPUTED_VALUE"""),"NEW CONNECT")</f>
        <v>NEW CONNECT</v>
      </c>
      <c r="AA746" s="1">
        <f>IFERROR(__xludf.DUMMYFUNCTION("""COMPUTED_VALUE"""),639178914802)</f>
        <v>639178914802</v>
      </c>
      <c r="AB746" s="1"/>
      <c r="AC746" s="1"/>
      <c r="AD746" s="1" t="str">
        <f>IFERROR(__xludf.DUMMYFUNCTION("""COMPUTED_VALUE"""),"ANYANA WESTHOLME")</f>
        <v>ANYANA WESTHOLME</v>
      </c>
      <c r="AE746" s="1" t="str">
        <f>IFERROR(__xludf.DUMMYFUNCTION("""COMPUTED_VALUE"""),"ANYANA WESTHOLME RESIDENCES")</f>
        <v>ANYANA WESTHOLME RESIDENCES</v>
      </c>
      <c r="AF746" s="1" t="str">
        <f>IFERROR(__xludf.DUMMYFUNCTION("""COMPUTED_VALUE"""),"BGY SANTOL")</f>
        <v>BGY SANTOL</v>
      </c>
      <c r="AG746" s="1" t="str">
        <f>IFERROR(__xludf.DUMMYFUNCTION("""COMPUTED_VALUE"""),"TANZA")</f>
        <v>TANZA</v>
      </c>
      <c r="AH746" s="1" t="str">
        <f>IFERROR(__xludf.DUMMYFUNCTION("""COMPUTED_VALUE"""),"-")</f>
        <v>-</v>
      </c>
      <c r="AI746" s="1" t="str">
        <f>IFERROR(__xludf.DUMMYFUNCTION("""COMPUTED_VALUE"""),"NOT AOR")</f>
        <v>NOT AOR</v>
      </c>
    </row>
    <row r="747" customHeight="1" spans="1:35">
      <c r="A747" s="3">
        <f>IFERROR(__xludf.DUMMYFUNCTION("""COMPUTED_VALUE"""),46294)</f>
        <v>46294</v>
      </c>
      <c r="B747" s="1" t="str">
        <f>IFERROR(__xludf.DUMMYFUNCTION("""COMPUTED_VALUE"""),"NATHANIEL REYES OCTAVIANO")</f>
        <v>NATHANIEL REYES OCTAVIANO</v>
      </c>
      <c r="C747" s="1">
        <f>IFERROR(__xludf.DUMMYFUNCTION("""COMPUTED_VALUE"""),2312865753)</f>
        <v>2312865753</v>
      </c>
      <c r="D747" s="1">
        <f>IFERROR(__xludf.DUMMYFUNCTION("""COMPUTED_VALUE"""),408474213)</f>
        <v>408474213</v>
      </c>
      <c r="E747" s="1">
        <f>IFERROR(__xludf.DUMMYFUNCTION("""COMPUTED_VALUE"""),473434406004)</f>
        <v>473434406004</v>
      </c>
      <c r="F747" s="1" t="str">
        <f>IFERROR(__xludf.DUMMYFUNCTION("""COMPUTED_VALUE"""),"RPR")</f>
        <v>RPR</v>
      </c>
      <c r="G747" s="1" t="str">
        <f>IFERROR(__xludf.DUMMYFUNCTION("""COMPUTED_VALUE"""),"""VISITED UNTIL GUARD HOUSE REFUSED TO ENTRY . BECAUSE NO PLDT FIBER FACILITIES INSIDE THE WESTHOLME RESEDENCE.
ASPER .GUARD ON DUTY. ADVICE SOR. THRU CALL. CBR. 09178914802""")</f>
        <v>"VISITED UNTIL GUARD HOUSE REFUSED TO ENTRY . BECAUSE NO PLDT FIBER FACILITIES INSIDE THE WESTHOLME RESEDENCE.
ASPER .GUARD ON DUTY. ADVICE SOR. THRU CALL. CBR. 09178914802"</v>
      </c>
      <c r="H747" s="1"/>
      <c r="I747" s="1"/>
      <c r="J747" s="1"/>
      <c r="K747" s="1"/>
      <c r="L747" s="1" t="str">
        <f>IFERROR(__xludf.DUMMYFUNCTION("""COMPUTED_VALUE"""),"RPR - NO FTTH")</f>
        <v>RPR - NO FTTH</v>
      </c>
      <c r="M747" s="1" t="str">
        <f>IFERROR(__xludf.DUMMYFUNCTION("""COMPUTED_VALUE"""),"RPR - UNMAINTAINABLE")</f>
        <v>RPR - UNMAINTAINABLE</v>
      </c>
      <c r="N747" s="3"/>
      <c r="O747" s="1" t="str">
        <f>IFERROR(__xludf.DUMMYFUNCTION("""COMPUTED_VALUE"""),"FIBER UNLI ALL PLAN 1499")</f>
        <v>FIBER UNLI ALL PLAN 1499</v>
      </c>
      <c r="P747" s="1" t="str">
        <f>IFERROR(__xludf.DUMMYFUNCTION("""COMPUTED_VALUE"""),"LOWPLAN")</f>
        <v>LOWPLAN</v>
      </c>
      <c r="Q747" s="1" t="str">
        <f>IFERROR(__xludf.DUMMYFUNCTION("""COMPUTED_VALUE"""),"P407564")</f>
        <v>P407564</v>
      </c>
      <c r="R747" s="1" t="str">
        <f>IFERROR(__xludf.DUMMYFUNCTION("""COMPUTED_VALUE"""),"ARENA, LYKA")</f>
        <v>ARENA, LYKA</v>
      </c>
      <c r="S747" s="1" t="str">
        <f>IFERROR(__xludf.DUMMYFUNCTION("""COMPUTED_VALUE"""),"ORGANIC")</f>
        <v>ORGANIC</v>
      </c>
      <c r="T747" s="1" t="str">
        <f>IFERROR(__xludf.DUMMYFUNCTION("""COMPUTED_VALUE"""),"LEA REMOLLO")</f>
        <v>LEA REMOLLO</v>
      </c>
      <c r="U747" s="1" t="str">
        <f>IFERROR(__xludf.DUMMYFUNCTION("""COMPUTED_VALUE"""),"JB SALIOA")</f>
        <v>JB SALIOA</v>
      </c>
      <c r="V747" s="1" t="str">
        <f>IFERROR(__xludf.DUMMYFUNCTION("""COMPUTED_VALUE"""),"ONLINE/CRANFORD")</f>
        <v>ONLINE/CRANFORD</v>
      </c>
      <c r="W747" s="1" t="str">
        <f>IFERROR(__xludf.DUMMYFUNCTION("""COMPUTED_VALUE"""),"STK REGULAR")</f>
        <v>STK REGULAR</v>
      </c>
      <c r="X747" s="1" t="str">
        <f>IFERROR(__xludf.DUMMYFUNCTION("""COMPUTED_VALUE"""),"HBBS SEPT 2026")</f>
        <v>HBBS SEPT 2026</v>
      </c>
      <c r="Y747" s="1" t="str">
        <f>IFERROR(__xludf.DUMMYFUNCTION("""COMPUTED_VALUE"""),"RS_SS_CVEU_2026")</f>
        <v>RS_SS_CVEU_2026</v>
      </c>
      <c r="Z747" s="1" t="str">
        <f>IFERROR(__xludf.DUMMYFUNCTION("""COMPUTED_VALUE"""),"NEW CONNECT")</f>
        <v>NEW CONNECT</v>
      </c>
      <c r="AA747" s="1">
        <f>IFERROR(__xludf.DUMMYFUNCTION("""COMPUTED_VALUE"""),639178914802)</f>
        <v>639178914802</v>
      </c>
      <c r="AB747" s="1"/>
      <c r="AC747" s="1"/>
      <c r="AD747" s="1" t="str">
        <f>IFERROR(__xludf.DUMMYFUNCTION("""COMPUTED_VALUE"""),"ANYANA WESTHOLME")</f>
        <v>ANYANA WESTHOLME</v>
      </c>
      <c r="AE747" s="1" t="str">
        <f>IFERROR(__xludf.DUMMYFUNCTION("""COMPUTED_VALUE"""),"ANYANA WESTHOLME RESIDENCES")</f>
        <v>ANYANA WESTHOLME RESIDENCES</v>
      </c>
      <c r="AF747" s="1" t="str">
        <f>IFERROR(__xludf.DUMMYFUNCTION("""COMPUTED_VALUE"""),"BGY SANTOL")</f>
        <v>BGY SANTOL</v>
      </c>
      <c r="AG747" s="1" t="str">
        <f>IFERROR(__xludf.DUMMYFUNCTION("""COMPUTED_VALUE"""),"TANZA")</f>
        <v>TANZA</v>
      </c>
      <c r="AH747" s="1" t="str">
        <f>IFERROR(__xludf.DUMMYFUNCTION("""COMPUTED_VALUE"""),"-")</f>
        <v>-</v>
      </c>
      <c r="AI747" s="1" t="str">
        <f>IFERROR(__xludf.DUMMYFUNCTION("""COMPUTED_VALUE"""),"NOT AOR")</f>
        <v>NOT AOR</v>
      </c>
    </row>
    <row r="748" customHeight="1" spans="1:35">
      <c r="A748" s="3">
        <f>IFERROR(__xludf.DUMMYFUNCTION("""COMPUTED_VALUE"""),46294)</f>
        <v>46294</v>
      </c>
      <c r="B748" s="1" t="str">
        <f>IFERROR(__xludf.DUMMYFUNCTION("""COMPUTED_VALUE"""),"JOANNA CASINILLO YBANEZ")</f>
        <v>JOANNA CASINILLO YBANEZ</v>
      </c>
      <c r="C748" s="1">
        <f>IFERROR(__xludf.DUMMYFUNCTION("""COMPUTED_VALUE"""),2312866354)</f>
        <v>2312866354</v>
      </c>
      <c r="D748" s="1">
        <f>IFERROR(__xludf.DUMMYFUNCTION("""COMPUTED_VALUE"""),408490383)</f>
        <v>408490383</v>
      </c>
      <c r="E748" s="1">
        <f>IFERROR(__xludf.DUMMYFUNCTION("""COMPUTED_VALUE"""),473446321004)</f>
        <v>473446321004</v>
      </c>
      <c r="F748" s="1" t="str">
        <f>IFERROR(__xludf.DUMMYFUNCTION("""COMPUTED_VALUE"""),"CLOSED")</f>
        <v>CLOSED</v>
      </c>
      <c r="G748" s="1" t="str">
        <f>IFERROR(__xludf.DUMMYFUNCTION("""COMPUTED_VALUE"""),"CLOSED")</f>
        <v>CLOSED</v>
      </c>
      <c r="H748" s="1" t="str">
        <f>IFERROR(__xludf.DUMMYFUNCTION("""COMPUTED_VALUE"""),"PQGOR365657574	30-Sep-26	Regular Payment	CIS-GCASH 3.0	1,556.00	0	30-Sep-26")</f>
        <v>PQGOR365657574	30-Sep-26	Regular Payment	CIS-GCASH 3.0	1,556.00	0	30-Sep-26</v>
      </c>
      <c r="I748" s="1" t="str">
        <f>IFERROR(__xludf.DUMMYFUNCTION("""COMPUTED_VALUE"""),"WITH 1 AMSF")</f>
        <v>WITH 1 AMSF</v>
      </c>
      <c r="J748" s="1"/>
      <c r="K748" s="1"/>
      <c r="L748" s="1" t="str">
        <f>IFERROR(__xludf.DUMMYFUNCTION("""COMPUTED_VALUE"""),"POSTED")</f>
        <v>POSTED</v>
      </c>
      <c r="M748" s="1" t="str">
        <f>IFERROR(__xludf.DUMMYFUNCTION("""COMPUTED_VALUE"""),"POSTED")</f>
        <v>POSTED</v>
      </c>
      <c r="N748" s="3">
        <f>IFERROR(__xludf.DUMMYFUNCTION("""COMPUTED_VALUE"""),46300)</f>
        <v>46300</v>
      </c>
      <c r="O748" s="1" t="str">
        <f>IFERROR(__xludf.DUMMYFUNCTION("""COMPUTED_VALUE"""),"FIBER UNLI ALL PLAN 1499")</f>
        <v>FIBER UNLI ALL PLAN 1499</v>
      </c>
      <c r="P748" s="1" t="str">
        <f>IFERROR(__xludf.DUMMYFUNCTION("""COMPUTED_VALUE"""),"LOWPLAN")</f>
        <v>LOWPLAN</v>
      </c>
      <c r="Q748" s="1" t="str">
        <f>IFERROR(__xludf.DUMMYFUNCTION("""COMPUTED_VALUE"""),"P407050")</f>
        <v>P407050</v>
      </c>
      <c r="R748" s="1" t="str">
        <f>IFERROR(__xludf.DUMMYFUNCTION("""COMPUTED_VALUE"""),"CADERAO, RONALD")</f>
        <v>CADERAO, RONALD</v>
      </c>
      <c r="S748" s="1" t="str">
        <f>IFERROR(__xludf.DUMMYFUNCTION("""COMPUTED_VALUE"""),"ORGANIC")</f>
        <v>ORGANIC</v>
      </c>
      <c r="T748" s="1" t="str">
        <f>IFERROR(__xludf.DUMMYFUNCTION("""COMPUTED_VALUE"""),"LEA REMOLLO")</f>
        <v>LEA REMOLLO</v>
      </c>
      <c r="U748" s="1" t="str">
        <f>IFERROR(__xludf.DUMMYFUNCTION("""COMPUTED_VALUE"""),"JB SALIOA")</f>
        <v>JB SALIOA</v>
      </c>
      <c r="V748" s="1" t="str">
        <f>IFERROR(__xludf.DUMMYFUNCTION("""COMPUTED_VALUE"""),"ONLINE/CRANFORD")</f>
        <v>ONLINE/CRANFORD</v>
      </c>
      <c r="W748" s="1" t="str">
        <f>IFERROR(__xludf.DUMMYFUNCTION("""COMPUTED_VALUE"""),"STK REGULAR")</f>
        <v>STK REGULAR</v>
      </c>
      <c r="X748" s="1" t="str">
        <f>IFERROR(__xludf.DUMMYFUNCTION("""COMPUTED_VALUE"""),"HBBS SEPT 2026")</f>
        <v>HBBS SEPT 2026</v>
      </c>
      <c r="Y748" s="1" t="str">
        <f>IFERROR(__xludf.DUMMYFUNCTION("""COMPUTED_VALUE"""),"RS_ONL_CVEU_2026")</f>
        <v>RS_ONL_CVEU_2026</v>
      </c>
      <c r="Z748" s="1" t="str">
        <f>IFERROR(__xludf.DUMMYFUNCTION("""COMPUTED_VALUE"""),"NEW CONNECT")</f>
        <v>NEW CONNECT</v>
      </c>
      <c r="AA748" s="1">
        <f>IFERROR(__xludf.DUMMYFUNCTION("""COMPUTED_VALUE"""),639975619802)</f>
        <v>639975619802</v>
      </c>
      <c r="AB748" s="1">
        <f>IFERROR(__xludf.DUMMYFUNCTION("""COMPUTED_VALUE"""),639369257819)</f>
        <v>639369257819</v>
      </c>
      <c r="AC748" s="1"/>
      <c r="AD748" s="1" t="str">
        <f>IFERROR(__xludf.DUMMYFUNCTION("""COMPUTED_VALUE"""),"MALOU")</f>
        <v>MALOU</v>
      </c>
      <c r="AE748" s="1" t="str">
        <f>IFERROR(__xludf.DUMMYFUNCTION("""COMPUTED_VALUE"""),"STATELAND HILLS")</f>
        <v>STATELAND HILLS</v>
      </c>
      <c r="AF748" s="1" t="str">
        <f>IFERROR(__xludf.DUMMYFUNCTION("""COMPUTED_VALUE"""),"BGY MANGGAHAN")</f>
        <v>BGY MANGGAHAN</v>
      </c>
      <c r="AG748" s="1" t="str">
        <f>IFERROR(__xludf.DUMMYFUNCTION("""COMPUTED_VALUE"""),"GENERAL TRIAS")</f>
        <v>GENERAL TRIAS</v>
      </c>
      <c r="AH748" s="1" t="str">
        <f>IFERROR(__xludf.DUMMYFUNCTION("""COMPUTED_VALUE"""),"-")</f>
        <v>-</v>
      </c>
      <c r="AI748" s="1" t="str">
        <f>IFERROR(__xludf.DUMMYFUNCTION("""COMPUTED_VALUE"""),"NOT AOR")</f>
        <v>NOT AOR</v>
      </c>
    </row>
    <row r="749" customHeight="1" spans="1:35">
      <c r="A749" s="3">
        <f>IFERROR(__xludf.DUMMYFUNCTION("""COMPUTED_VALUE"""),46294)</f>
        <v>46294</v>
      </c>
      <c r="B749" s="1" t="str">
        <f>IFERROR(__xludf.DUMMYFUNCTION("""COMPUTED_VALUE"""),"DOROTEO CATAMBANG MENDOZA")</f>
        <v>DOROTEO CATAMBANG MENDOZA</v>
      </c>
      <c r="C749" s="1">
        <f>IFERROR(__xludf.DUMMYFUNCTION("""COMPUTED_VALUE"""),2312866670)</f>
        <v>2312866670</v>
      </c>
      <c r="D749" s="1"/>
      <c r="E749" s="1"/>
      <c r="F749" s="1" t="str">
        <f>IFERROR(__xludf.DUMMYFUNCTION("""COMPUTED_VALUE"""),"REENCODED")</f>
        <v>REENCODED</v>
      </c>
      <c r="G749" s="1" t="str">
        <f>IFERROR(__xludf.DUMMYFUNCTION("""COMPUTED_VALUE"""),"CANNOT CHANGE PAYMENT REQUIRED DUE TO SYSTEM ERROR APPROVED |DONE VALIDATION | CORRECT ENCODED INFO IN CSP | TU SCORING - FF - 8 (MID RISK) | 1 AMSF REQUIRED | CLEARED FROM BLACKLISTED HIT | EXISTING/PENDING/CANCELLED - WITH CANCELLED APPLICATION - ACCOUN"&amp;"T DETAILS: SAME NAME / DIFFERENT ADDRESS • ACCT NAME: DOROTEO CATAMBANG MENDOZA • ACCT#: 0388041854 | 0263732758| 0263733010 • CALL THRU: 09488995062 • TALKED TO: SUBS • CALLOUT RESULT: CONFIRMED SUBS APPLYING LINE • CALLOUT STATUS: CONTACTED ")</f>
        <v>CANNOT CHANGE PAYMENT REQUIRED DUE TO SYSTEM ERROR APPROVED |DONE VALIDATION | CORRECT ENCODED INFO IN CSP | TU SCORING - FF - 8 (MID RISK) | 1 AMSF REQUIRED | CLEARED FROM BLACKLISTED HIT | EXISTING/PENDING/CANCELLED - WITH CANCELLED APPLICATION - ACCOUNT DETAILS: SAME NAME / DIFFERENT ADDRESS • ACCT NAME: DOROTEO CATAMBANG MENDOZA • ACCT#: 0388041854 | 0263732758| 0263733010 • CALL THRU: 09488995062 • TALKED TO: SUBS • CALLOUT RESULT: CONFIRMED SUBS APPLYING LINE • CALLOUT STATUS: CONTACTED </v>
      </c>
      <c r="H749" s="1"/>
      <c r="I749" s="1"/>
      <c r="J749" s="1"/>
      <c r="K749" s="1"/>
      <c r="L749" s="1" t="str">
        <f>IFERROR(__xludf.DUMMYFUNCTION("""COMPUTED_VALUE"""),"REENCODED")</f>
        <v>REENCODED</v>
      </c>
      <c r="M749" s="1" t="str">
        <f>IFERROR(__xludf.DUMMYFUNCTION("""COMPUTED_VALUE"""),"REENCODED")</f>
        <v>REENCODED</v>
      </c>
      <c r="N749" s="3"/>
      <c r="O749" s="1" t="str">
        <f>IFERROR(__xludf.DUMMYFUNCTION("""COMPUTED_VALUE"""),"FIBR UNLI ALL PLAN 999")</f>
        <v>FIBR UNLI ALL PLAN 999</v>
      </c>
      <c r="P749" s="1" t="str">
        <f>IFERROR(__xludf.DUMMYFUNCTION("""COMPUTED_VALUE"""),"LOWPLAN")</f>
        <v>LOWPLAN</v>
      </c>
      <c r="Q749" s="1" t="str">
        <f>IFERROR(__xludf.DUMMYFUNCTION("""COMPUTED_VALUE"""),"P407050")</f>
        <v>P407050</v>
      </c>
      <c r="R749" s="1" t="str">
        <f>IFERROR(__xludf.DUMMYFUNCTION("""COMPUTED_VALUE"""),"BAYBAY, MICHAEL")</f>
        <v>BAYBAY, MICHAEL</v>
      </c>
      <c r="S749" s="1" t="str">
        <f>IFERROR(__xludf.DUMMYFUNCTION("""COMPUTED_VALUE"""),"ORGANIC")</f>
        <v>ORGANIC</v>
      </c>
      <c r="T749" s="1" t="str">
        <f>IFERROR(__xludf.DUMMYFUNCTION("""COMPUTED_VALUE"""),"LEA REMOLLO")</f>
        <v>LEA REMOLLO</v>
      </c>
      <c r="U749" s="1" t="str">
        <f>IFERROR(__xludf.DUMMYFUNCTION("""COMPUTED_VALUE"""),"JB SALIOA")</f>
        <v>JB SALIOA</v>
      </c>
      <c r="V749" s="1" t="str">
        <f>IFERROR(__xludf.DUMMYFUNCTION("""COMPUTED_VALUE"""),"BK REGULAR")</f>
        <v>BK REGULAR</v>
      </c>
      <c r="W749" s="1" t="str">
        <f>IFERROR(__xludf.DUMMYFUNCTION("""COMPUTED_VALUE"""),"STK REGULAR")</f>
        <v>STK REGULAR</v>
      </c>
      <c r="X749" s="1" t="str">
        <f>IFERROR(__xludf.DUMMYFUNCTION("""COMPUTED_VALUE"""),"REGULAR")</f>
        <v>REGULAR</v>
      </c>
      <c r="Y749" s="1" t="str">
        <f>IFERROR(__xludf.DUMMYFUNCTION("""COMPUTED_VALUE"""),"BK_CVEU_260823")</f>
        <v>BK_CVEU_260823</v>
      </c>
      <c r="Z749" s="1" t="str">
        <f>IFERROR(__xludf.DUMMYFUNCTION("""COMPUTED_VALUE"""),"NEW CONNECT")</f>
        <v>NEW CONNECT</v>
      </c>
      <c r="AA749" s="1">
        <f>IFERROR(__xludf.DUMMYFUNCTION("""COMPUTED_VALUE"""),639488995062)</f>
        <v>639488995062</v>
      </c>
      <c r="AB749" s="1"/>
      <c r="AC749" s="1">
        <f>IFERROR(__xludf.DUMMYFUNCTION("""COMPUTED_VALUE"""),9004)</f>
        <v>9004</v>
      </c>
      <c r="AD749" s="1" t="str">
        <f>IFERROR(__xludf.DUMMYFUNCTION("""COMPUTED_VALUE"""),"BAYOT")</f>
        <v>BAYOT</v>
      </c>
      <c r="AE749" s="1"/>
      <c r="AF749" s="1" t="str">
        <f>IFERROR(__xludf.DUMMYFUNCTION("""COMPUTED_VALUE"""),"BGY 3")</f>
        <v>BGY 3</v>
      </c>
      <c r="AG749" s="1" t="str">
        <f>IFERROR(__xludf.DUMMYFUNCTION("""COMPUTED_VALUE"""),"AMADEO")</f>
        <v>AMADEO</v>
      </c>
      <c r="AH749" s="1" t="str">
        <f>IFERROR(__xludf.DUMMYFUNCTION("""COMPUTED_VALUE"""),"CATHOLIC CHURCH")</f>
        <v>CATHOLIC CHURCH</v>
      </c>
      <c r="AI749" s="1" t="str">
        <f>IFERROR(__xludf.DUMMYFUNCTION("""COMPUTED_VALUE"""),"CLUSTER 12")</f>
        <v>CLUSTER 12</v>
      </c>
    </row>
    <row r="750" customHeight="1" spans="1:35">
      <c r="A750" s="3">
        <f>IFERROR(__xludf.DUMMYFUNCTION("""COMPUTED_VALUE"""),46294)</f>
        <v>46294</v>
      </c>
      <c r="B750" s="1" t="str">
        <f>IFERROR(__xludf.DUMMYFUNCTION("""COMPUTED_VALUE"""),"JERIC JUADA VILLANUEVA")</f>
        <v>JERIC JUADA VILLANUEVA</v>
      </c>
      <c r="C750" s="1">
        <f>IFERROR(__xludf.DUMMYFUNCTION("""COMPUTED_VALUE"""),2312870620)</f>
        <v>2312870620</v>
      </c>
      <c r="D750" s="1">
        <f>IFERROR(__xludf.DUMMYFUNCTION("""COMPUTED_VALUE"""),408498597)</f>
        <v>408498597</v>
      </c>
      <c r="E750" s="1">
        <f>IFERROR(__xludf.DUMMYFUNCTION("""COMPUTED_VALUE"""),473460666004)</f>
        <v>473460666004</v>
      </c>
      <c r="F750" s="1" t="str">
        <f>IFERROR(__xludf.DUMMYFUNCTION("""COMPUTED_VALUE"""),"CLOSED")</f>
        <v>CLOSED</v>
      </c>
      <c r="G750" s="1" t="str">
        <f>IFERROR(__xludf.DUMMYFUNCTION("""COMPUTED_VALUE"""),"CLOSED")</f>
        <v>CLOSED</v>
      </c>
      <c r="H750" s="1" t="str">
        <f>IFERROR(__xludf.DUMMYFUNCTION("""COMPUTED_VALUE"""),"PAID THRU GCASH 133676039 SEP 30")</f>
        <v>PAID THRU GCASH 133676039 SEP 30</v>
      </c>
      <c r="I750" s="1" t="str">
        <f>IFERROR(__xludf.DUMMYFUNCTION("""COMPUTED_VALUE"""),"WITH 1 AMSF")</f>
        <v>WITH 1 AMSF</v>
      </c>
      <c r="J750" s="1"/>
      <c r="K750" s="1"/>
      <c r="L750" s="1" t="str">
        <f>IFERROR(__xludf.DUMMYFUNCTION("""COMPUTED_VALUE"""),"POSTED")</f>
        <v>POSTED</v>
      </c>
      <c r="M750" s="1" t="str">
        <f>IFERROR(__xludf.DUMMYFUNCTION("""COMPUTED_VALUE"""),"POSTED")</f>
        <v>POSTED</v>
      </c>
      <c r="N750" s="3">
        <f>IFERROR(__xludf.DUMMYFUNCTION("""COMPUTED_VALUE"""),46299)</f>
        <v>46299</v>
      </c>
      <c r="O750" s="1" t="str">
        <f>IFERROR(__xludf.DUMMYFUNCTION("""COMPUTED_VALUE"""),"FIBR NETFLIX PLAN 1599")</f>
        <v>FIBR NETFLIX PLAN 1599</v>
      </c>
      <c r="P750" s="1" t="str">
        <f>IFERROR(__xludf.DUMMYFUNCTION("""COMPUTED_VALUE"""),"LOWPLAN")</f>
        <v>LOWPLAN</v>
      </c>
      <c r="Q750" s="1" t="str">
        <f>IFERROR(__xludf.DUMMYFUNCTION("""COMPUTED_VALUE"""),"P407520")</f>
        <v>P407520</v>
      </c>
      <c r="R750" s="1" t="str">
        <f>IFERROR(__xludf.DUMMYFUNCTION("""COMPUTED_VALUE"""),"MALIWAT, MARK")</f>
        <v>MALIWAT, MARK</v>
      </c>
      <c r="S750" s="1" t="str">
        <f>IFERROR(__xludf.DUMMYFUNCTION("""COMPUTED_VALUE"""),"FLA")</f>
        <v>FLA</v>
      </c>
      <c r="T750" s="1" t="str">
        <f>IFERROR(__xludf.DUMMYFUNCTION("""COMPUTED_VALUE"""),"JERIC NAVARRO")</f>
        <v>JERIC NAVARRO</v>
      </c>
      <c r="U750" s="1" t="str">
        <f>IFERROR(__xludf.DUMMYFUNCTION("""COMPUTED_VALUE"""),"JB SALIOA")</f>
        <v>JB SALIOA</v>
      </c>
      <c r="V750" s="1" t="str">
        <f>IFERROR(__xludf.DUMMYFUNCTION("""COMPUTED_VALUE"""),"ONLINE/CRANFORD")</f>
        <v>ONLINE/CRANFORD</v>
      </c>
      <c r="W750" s="1" t="str">
        <f>IFERROR(__xludf.DUMMYFUNCTION("""COMPUTED_VALUE"""),"STK REGULAR")</f>
        <v>STK REGULAR</v>
      </c>
      <c r="X750" s="1" t="str">
        <f>IFERROR(__xludf.DUMMYFUNCTION("""COMPUTED_VALUE"""),"HBBS SEPT 2026")</f>
        <v>HBBS SEPT 2026</v>
      </c>
      <c r="Y750" s="1" t="str">
        <f>IFERROR(__xludf.DUMMYFUNCTION("""COMPUTED_VALUE"""),"RS_ONL_CVEU_2026")</f>
        <v>RS_ONL_CVEU_2026</v>
      </c>
      <c r="Z750" s="1" t="str">
        <f>IFERROR(__xludf.DUMMYFUNCTION("""COMPUTED_VALUE"""),"NEW CONNECT")</f>
        <v>NEW CONNECT</v>
      </c>
      <c r="AA750" s="1">
        <f>IFERROR(__xludf.DUMMYFUNCTION("""COMPUTED_VALUE"""),639913266733)</f>
        <v>639913266733</v>
      </c>
      <c r="AB750" s="1">
        <f>IFERROR(__xludf.DUMMYFUNCTION("""COMPUTED_VALUE"""),639913266734)</f>
        <v>639913266734</v>
      </c>
      <c r="AC750" s="1">
        <f>IFERROR(__xludf.DUMMYFUNCTION("""COMPUTED_VALUE"""),309)</f>
        <v>309</v>
      </c>
      <c r="AD750" s="1" t="str">
        <f>IFERROR(__xludf.DUMMYFUNCTION("""COMPUTED_VALUE"""),"PUROK 3")</f>
        <v>PUROK 3</v>
      </c>
      <c r="AE750" s="1" t="str">
        <f>IFERROR(__xludf.DUMMYFUNCTION("""COMPUTED_VALUE"""),"HOME LOT MAIN")</f>
        <v>HOME LOT MAIN</v>
      </c>
      <c r="AF750" s="1" t="str">
        <f>IFERROR(__xludf.DUMMYFUNCTION("""COMPUTED_VALUE"""),"BGY LANGKAAN 1")</f>
        <v>BGY LANGKAAN 1</v>
      </c>
      <c r="AG750" s="1" t="str">
        <f>IFERROR(__xludf.DUMMYFUNCTION("""COMPUTED_VALUE"""),"DASMARINAS")</f>
        <v>DASMARINAS</v>
      </c>
      <c r="AH750" s="1" t="str">
        <f>IFERROR(__xludf.DUMMYFUNCTION("""COMPUTED_VALUE"""),"PUROK 3")</f>
        <v>PUROK 3</v>
      </c>
      <c r="AI750" s="1" t="str">
        <f>IFERROR(__xludf.DUMMYFUNCTION("""COMPUTED_VALUE"""),"NOT AOR")</f>
        <v>NOT AOR</v>
      </c>
    </row>
    <row r="751" customHeight="1" spans="1:35">
      <c r="A751" s="3">
        <f>IFERROR(__xludf.DUMMYFUNCTION("""COMPUTED_VALUE"""),46294)</f>
        <v>46294</v>
      </c>
      <c r="B751" s="1" t="str">
        <f>IFERROR(__xludf.DUMMYFUNCTION("""COMPUTED_VALUE"""),"MA. LIZA ESCOBAR PEREZ")</f>
        <v>MA. LIZA ESCOBAR PEREZ</v>
      </c>
      <c r="C751" s="1">
        <f>IFERROR(__xludf.DUMMYFUNCTION("""COMPUTED_VALUE"""),2312872573)</f>
        <v>2312872573</v>
      </c>
      <c r="D751" s="1"/>
      <c r="E751" s="1"/>
      <c r="F751" s="1" t="str">
        <f>IFERROR(__xludf.DUMMYFUNCTION("""COMPUTED_VALUE"""),"CANCELLED")</f>
        <v>CANCELLED</v>
      </c>
      <c r="G751" s="1" t="str">
        <f>IFERROR(__xludf.DUMMYFUNCTION("""COMPUTED_VALUE"""),"CANCELLED")</f>
        <v>CANCELLED</v>
      </c>
      <c r="H751" s="1"/>
      <c r="I751" s="1"/>
      <c r="J751" s="1"/>
      <c r="K751" s="1"/>
      <c r="L751" s="1" t="str">
        <f>IFERROR(__xludf.DUMMYFUNCTION("""COMPUTED_VALUE"""),"CANCELLED - WITH OB")</f>
        <v>CANCELLED - WITH OB</v>
      </c>
      <c r="M751" s="1" t="str">
        <f>IFERROR(__xludf.DUMMYFUNCTION("""COMPUTED_VALUE"""),"CANCELLED - WITH OB")</f>
        <v>CANCELLED - WITH OB</v>
      </c>
      <c r="N751" s="3"/>
      <c r="O751" s="1" t="str">
        <f>IFERROR(__xludf.DUMMYFUNCTION("""COMPUTED_VALUE"""),"FIBR NETFLIX PLAN 1599")</f>
        <v>FIBR NETFLIX PLAN 1599</v>
      </c>
      <c r="P751" s="1" t="str">
        <f>IFERROR(__xludf.DUMMYFUNCTION("""COMPUTED_VALUE"""),"LOWPLAN")</f>
        <v>LOWPLAN</v>
      </c>
      <c r="Q751" s="1" t="str">
        <f>IFERROR(__xludf.DUMMYFUNCTION("""COMPUTED_VALUE"""),"P407049")</f>
        <v>P407049</v>
      </c>
      <c r="R751" s="1" t="str">
        <f>IFERROR(__xludf.DUMMYFUNCTION("""COMPUTED_VALUE"""),"ALINGARO, CINDY")</f>
        <v>ALINGARO, CINDY</v>
      </c>
      <c r="S751" s="1" t="str">
        <f>IFERROR(__xludf.DUMMYFUNCTION("""COMPUTED_VALUE"""),"ORGANIC")</f>
        <v>ORGANIC</v>
      </c>
      <c r="T751" s="1" t="str">
        <f>IFERROR(__xludf.DUMMYFUNCTION("""COMPUTED_VALUE"""),"LEA REMOLLO")</f>
        <v>LEA REMOLLO</v>
      </c>
      <c r="U751" s="1" t="str">
        <f>IFERROR(__xludf.DUMMYFUNCTION("""COMPUTED_VALUE"""),"JB SALIOA")</f>
        <v>JB SALIOA</v>
      </c>
      <c r="V751" s="1" t="str">
        <f>IFERROR(__xludf.DUMMYFUNCTION("""COMPUTED_VALUE"""),"BK HSTK")</f>
        <v>BK HSTK</v>
      </c>
      <c r="W751" s="1" t="str">
        <f>IFERROR(__xludf.DUMMYFUNCTION("""COMPUTED_VALUE"""),"BK HSTK")</f>
        <v>BK HSTK</v>
      </c>
      <c r="X751" s="1" t="str">
        <f>IFERROR(__xludf.DUMMYFUNCTION("""COMPUTED_VALUE"""),"HBBS SEPT 2026")</f>
        <v>HBBS SEPT 2026</v>
      </c>
      <c r="Y751" s="1" t="str">
        <f>IFERROR(__xludf.DUMMYFUNCTION("""COMPUTED_VALUE"""),"BK_CVEU_260828")</f>
        <v>BK_CVEU_260828</v>
      </c>
      <c r="Z751" s="1" t="str">
        <f>IFERROR(__xludf.DUMMYFUNCTION("""COMPUTED_VALUE"""),"NEW CONNECT")</f>
        <v>NEW CONNECT</v>
      </c>
      <c r="AA751" s="1">
        <f>IFERROR(__xludf.DUMMYFUNCTION("""COMPUTED_VALUE"""),639209059551)</f>
        <v>639209059551</v>
      </c>
      <c r="AB751" s="1">
        <f>IFERROR(__xludf.DUMMYFUNCTION("""COMPUTED_VALUE"""),639209059550)</f>
        <v>639209059550</v>
      </c>
      <c r="AC751" s="1"/>
      <c r="AD751" s="1" t="str">
        <f>IFERROR(__xludf.DUMMYFUNCTION("""COMPUTED_VALUE"""),"ACACIA")</f>
        <v>ACACIA</v>
      </c>
      <c r="AE751" s="1" t="str">
        <f>IFERROR(__xludf.DUMMYFUNCTION("""COMPUTED_VALUE"""),"LAS BRISAS")</f>
        <v>LAS BRISAS</v>
      </c>
      <c r="AF751" s="1" t="str">
        <f>IFERROR(__xludf.DUMMYFUNCTION("""COMPUTED_VALUE"""),"MENDEZ CROSSING WEST")</f>
        <v>MENDEZ CROSSING WEST</v>
      </c>
      <c r="AG751" s="1" t="str">
        <f>IFERROR(__xludf.DUMMYFUNCTION("""COMPUTED_VALUE"""),"TAGAYTAY")</f>
        <v>TAGAYTAY</v>
      </c>
      <c r="AH751" s="1" t="str">
        <f>IFERROR(__xludf.DUMMYFUNCTION("""COMPUTED_VALUE"""),"-")</f>
        <v>-</v>
      </c>
      <c r="AI751" s="1" t="str">
        <f>IFERROR(__xludf.DUMMYFUNCTION("""COMPUTED_VALUE"""),"CLUSTER 12")</f>
        <v>CLUSTER 12</v>
      </c>
    </row>
    <row r="752" customHeight="1" spans="1:35">
      <c r="A752" s="3">
        <f>IFERROR(__xludf.DUMMYFUNCTION("""COMPUTED_VALUE"""),46294)</f>
        <v>46294</v>
      </c>
      <c r="B752" s="1" t="str">
        <f>IFERROR(__xludf.DUMMYFUNCTION("""COMPUTED_VALUE"""),"RAYMUND ORCALES ATON")</f>
        <v>RAYMUND ORCALES ATON</v>
      </c>
      <c r="C752" s="1">
        <f>IFERROR(__xludf.DUMMYFUNCTION("""COMPUTED_VALUE"""),2312872867)</f>
        <v>2312872867</v>
      </c>
      <c r="D752" s="1"/>
      <c r="E752" s="1"/>
      <c r="F752" s="1" t="str">
        <f>IFERROR(__xludf.DUMMYFUNCTION("""COMPUTED_VALUE"""),"CANCELLED")</f>
        <v>CANCELLED</v>
      </c>
      <c r="G752" s="1" t="str">
        <f>IFERROR(__xludf.DUMMYFUNCTION("""COMPUTED_VALUE"""),"CANCELLED")</f>
        <v>CANCELLED</v>
      </c>
      <c r="H752" s="1"/>
      <c r="I752" s="1"/>
      <c r="J752" s="1"/>
      <c r="K752" s="1"/>
      <c r="L752" s="1" t="str">
        <f>IFERROR(__xludf.DUMMYFUNCTION("""COMPUTED_VALUE"""),"CANCELLED - WITH OB")</f>
        <v>CANCELLED - WITH OB</v>
      </c>
      <c r="M752" s="1" t="str">
        <f>IFERROR(__xludf.DUMMYFUNCTION("""COMPUTED_VALUE"""),"CANCELLED - WITH OB")</f>
        <v>CANCELLED - WITH OB</v>
      </c>
      <c r="N752" s="3"/>
      <c r="O752" s="1" t="str">
        <f>IFERROR(__xludf.DUMMYFUNCTION("""COMPUTED_VALUE"""),"FIBR UNLI ALL PLAN 999")</f>
        <v>FIBR UNLI ALL PLAN 999</v>
      </c>
      <c r="P752" s="1" t="str">
        <f>IFERROR(__xludf.DUMMYFUNCTION("""COMPUTED_VALUE"""),"LOWPLAN")</f>
        <v>LOWPLAN</v>
      </c>
      <c r="Q752" s="1" t="str">
        <f>IFERROR(__xludf.DUMMYFUNCTION("""COMPUTED_VALUE"""),"P407050")</f>
        <v>P407050</v>
      </c>
      <c r="R752" s="1" t="str">
        <f>IFERROR(__xludf.DUMMYFUNCTION("""COMPUTED_VALUE"""),"ESCARCHA, ALMA")</f>
        <v>ESCARCHA, ALMA</v>
      </c>
      <c r="S752" s="1" t="str">
        <f>IFERROR(__xludf.DUMMYFUNCTION("""COMPUTED_VALUE"""),"ORGANIC")</f>
        <v>ORGANIC</v>
      </c>
      <c r="T752" s="1" t="str">
        <f>IFERROR(__xludf.DUMMYFUNCTION("""COMPUTED_VALUE"""),"LEA REMOLLO")</f>
        <v>LEA REMOLLO</v>
      </c>
      <c r="U752" s="1" t="str">
        <f>IFERROR(__xludf.DUMMYFUNCTION("""COMPUTED_VALUE"""),"JB SALIOA")</f>
        <v>JB SALIOA</v>
      </c>
      <c r="V752" s="1" t="str">
        <f>IFERROR(__xludf.DUMMYFUNCTION("""COMPUTED_VALUE"""),"BK REGULAR")</f>
        <v>BK REGULAR</v>
      </c>
      <c r="W752" s="1" t="str">
        <f>IFERROR(__xludf.DUMMYFUNCTION("""COMPUTED_VALUE"""),"STK REGULAR")</f>
        <v>STK REGULAR</v>
      </c>
      <c r="X752" s="1" t="str">
        <f>IFERROR(__xludf.DUMMYFUNCTION("""COMPUTED_VALUE"""),"REGULAR")</f>
        <v>REGULAR</v>
      </c>
      <c r="Y752" s="1" t="str">
        <f>IFERROR(__xludf.DUMMYFUNCTION("""COMPUTED_VALUE"""),"BK_CVEU_260827")</f>
        <v>BK_CVEU_260827</v>
      </c>
      <c r="Z752" s="1" t="str">
        <f>IFERROR(__xludf.DUMMYFUNCTION("""COMPUTED_VALUE"""),"NEW CONNECT")</f>
        <v>NEW CONNECT</v>
      </c>
      <c r="AA752" s="1">
        <f>IFERROR(__xludf.DUMMYFUNCTION("""COMPUTED_VALUE"""),639488088351)</f>
        <v>639488088351</v>
      </c>
      <c r="AB752" s="1">
        <f>IFERROR(__xludf.DUMMYFUNCTION("""COMPUTED_VALUE"""),639671061365)</f>
        <v>639671061365</v>
      </c>
      <c r="AC752" s="1">
        <f>IFERROR(__xludf.DUMMYFUNCTION("""COMPUTED_VALUE"""),5932)</f>
        <v>5932</v>
      </c>
      <c r="AD752" s="1" t="str">
        <f>IFERROR(__xludf.DUMMYFUNCTION("""COMPUTED_VALUE"""),"PUROK 3")</f>
        <v>PUROK 3</v>
      </c>
      <c r="AE752" s="1" t="str">
        <f>IFERROR(__xludf.DUMMYFUNCTION("""COMPUTED_VALUE"""),"APARTMENT 1")</f>
        <v>APARTMENT 1</v>
      </c>
      <c r="AF752" s="1" t="str">
        <f>IFERROR(__xludf.DUMMYFUNCTION("""COMPUTED_VALUE"""),"BGY BUCAL")</f>
        <v>BGY BUCAL</v>
      </c>
      <c r="AG752" s="1" t="str">
        <f>IFERROR(__xludf.DUMMYFUNCTION("""COMPUTED_VALUE"""),"SILANG")</f>
        <v>SILANG</v>
      </c>
      <c r="AH752" s="1" t="str">
        <f>IFERROR(__xludf.DUMMYFUNCTION("""COMPUTED_VALUE"""),"NEAR ELEM SCHOOL")</f>
        <v>NEAR ELEM SCHOOL</v>
      </c>
      <c r="AI752" s="1" t="str">
        <f>IFERROR(__xludf.DUMMYFUNCTION("""COMPUTED_VALUE"""),"CLUSTER 11")</f>
        <v>CLUSTER 11</v>
      </c>
    </row>
    <row r="753" customHeight="1" spans="1:35">
      <c r="A753" s="3">
        <f>IFERROR(__xludf.DUMMYFUNCTION("""COMPUTED_VALUE"""),46294)</f>
        <v>46294</v>
      </c>
      <c r="B753" s="1" t="str">
        <f>IFERROR(__xludf.DUMMYFUNCTION("""COMPUTED_VALUE"""),"VICTOR PANIAMOGAN CLARIN")</f>
        <v>VICTOR PANIAMOGAN CLARIN</v>
      </c>
      <c r="C753" s="1">
        <f>IFERROR(__xludf.DUMMYFUNCTION("""COMPUTED_VALUE"""),2312873206)</f>
        <v>2312873206</v>
      </c>
      <c r="D753" s="1"/>
      <c r="E753" s="1"/>
      <c r="F753" s="1" t="str">
        <f>IFERROR(__xludf.DUMMYFUNCTION("""COMPUTED_VALUE"""),"CANCELLED")</f>
        <v>CANCELLED</v>
      </c>
      <c r="G753" s="1" t="str">
        <f>IFERROR(__xludf.DUMMYFUNCTION("""COMPUTED_VALUE"""),"CANCELLED")</f>
        <v>CANCELLED</v>
      </c>
      <c r="H753" s="1"/>
      <c r="I753" s="1"/>
      <c r="J753" s="1"/>
      <c r="K753" s="1"/>
      <c r="L753" s="1" t="str">
        <f>IFERROR(__xludf.DUMMYFUNCTION("""COMPUTED_VALUE"""),"CANCELLED - WITH OB")</f>
        <v>CANCELLED - WITH OB</v>
      </c>
      <c r="M753" s="1" t="str">
        <f>IFERROR(__xludf.DUMMYFUNCTION("""COMPUTED_VALUE"""),"CANCELLED - WITH OB")</f>
        <v>CANCELLED - WITH OB</v>
      </c>
      <c r="N753" s="3"/>
      <c r="O753" s="1" t="str">
        <f>IFERROR(__xludf.DUMMYFUNCTION("""COMPUTED_VALUE"""),"FIBR PLAN 1299")</f>
        <v>FIBR PLAN 1299</v>
      </c>
      <c r="P753" s="1" t="str">
        <f>IFERROR(__xludf.DUMMYFUNCTION("""COMPUTED_VALUE"""),"LOWPLAN")</f>
        <v>LOWPLAN</v>
      </c>
      <c r="Q753" s="1" t="str">
        <f>IFERROR(__xludf.DUMMYFUNCTION("""COMPUTED_VALUE"""),"P407049")</f>
        <v>P407049</v>
      </c>
      <c r="R753" s="1" t="str">
        <f>IFERROR(__xludf.DUMMYFUNCTION("""COMPUTED_VALUE"""),"IVNO, RAZZEL")</f>
        <v>IVNO, RAZZEL</v>
      </c>
      <c r="S753" s="1" t="str">
        <f>IFERROR(__xludf.DUMMYFUNCTION("""COMPUTED_VALUE"""),"FLA")</f>
        <v>FLA</v>
      </c>
      <c r="T753" s="1" t="str">
        <f>IFERROR(__xludf.DUMMYFUNCTION("""COMPUTED_VALUE"""),"LEA REMOLLO")</f>
        <v>LEA REMOLLO</v>
      </c>
      <c r="U753" s="1" t="str">
        <f>IFERROR(__xludf.DUMMYFUNCTION("""COMPUTED_VALUE"""),"JB SALIOA")</f>
        <v>JB SALIOA</v>
      </c>
      <c r="V753" s="1" t="str">
        <f>IFERROR(__xludf.DUMMYFUNCTION("""COMPUTED_VALUE"""),"ONLINE/CRANFORD")</f>
        <v>ONLINE/CRANFORD</v>
      </c>
      <c r="W753" s="1" t="str">
        <f>IFERROR(__xludf.DUMMYFUNCTION("""COMPUTED_VALUE"""),"STK REGULAR")</f>
        <v>STK REGULAR</v>
      </c>
      <c r="X753" s="1" t="str">
        <f>IFERROR(__xludf.DUMMYFUNCTION("""COMPUTED_VALUE"""),"HBBS SEPT 2026")</f>
        <v>HBBS SEPT 2026</v>
      </c>
      <c r="Y753" s="1" t="str">
        <f>IFERROR(__xludf.DUMMYFUNCTION("""COMPUTED_VALUE"""),"RS_ONL_CVEU_2026")</f>
        <v>RS_ONL_CVEU_2026</v>
      </c>
      <c r="Z753" s="1" t="str">
        <f>IFERROR(__xludf.DUMMYFUNCTION("""COMPUTED_VALUE"""),"NEW CONNECT")</f>
        <v>NEW CONNECT</v>
      </c>
      <c r="AA753" s="1">
        <f>IFERROR(__xludf.DUMMYFUNCTION("""COMPUTED_VALUE"""),639637707554)</f>
        <v>639637707554</v>
      </c>
      <c r="AB753" s="1">
        <f>IFERROR(__xludf.DUMMYFUNCTION("""COMPUTED_VALUE"""),639624734005)</f>
        <v>639624734005</v>
      </c>
      <c r="AC753" s="1"/>
      <c r="AD753" s="1" t="str">
        <f>IFERROR(__xludf.DUMMYFUNCTION("""COMPUTED_VALUE"""),"ZONE 10")</f>
        <v>ZONE 10</v>
      </c>
      <c r="AE753" s="1" t="str">
        <f>IFERROR(__xludf.DUMMYFUNCTION("""COMPUTED_VALUE"""),"MABUHAY HOMES 2000 PHASE 1")</f>
        <v>MABUHAY HOMES 2000 PHASE 1</v>
      </c>
      <c r="AF753" s="1" t="str">
        <f>IFERROR(__xludf.DUMMYFUNCTION("""COMPUTED_VALUE"""),"BGY PALIPARAN 2")</f>
        <v>BGY PALIPARAN 2</v>
      </c>
      <c r="AG753" s="1" t="str">
        <f>IFERROR(__xludf.DUMMYFUNCTION("""COMPUTED_VALUE"""),"DASMARINAS")</f>
        <v>DASMARINAS</v>
      </c>
      <c r="AH753" s="1" t="str">
        <f>IFERROR(__xludf.DUMMYFUNCTION("""COMPUTED_VALUE"""),"DALI AND PHOENIX GAS STATION")</f>
        <v>DALI AND PHOENIX GAS STATION</v>
      </c>
      <c r="AI753" s="1" t="str">
        <f>IFERROR(__xludf.DUMMYFUNCTION("""COMPUTED_VALUE"""),"NOT AOR")</f>
        <v>NOT AOR</v>
      </c>
    </row>
    <row r="754" customHeight="1" spans="1:35">
      <c r="A754" s="3">
        <f>IFERROR(__xludf.DUMMYFUNCTION("""COMPUTED_VALUE"""),46294)</f>
        <v>46294</v>
      </c>
      <c r="B754" s="1" t="str">
        <f>IFERROR(__xludf.DUMMYFUNCTION("""COMPUTED_VALUE""")," LILIBETH VARGAS FETIZANAN")</f>
        <v> LILIBETH VARGAS FETIZANAN</v>
      </c>
      <c r="C754" s="1">
        <f>IFERROR(__xludf.DUMMYFUNCTION("""COMPUTED_VALUE"""),2312873331)</f>
        <v>2312873331</v>
      </c>
      <c r="D754" s="1"/>
      <c r="E754" s="1"/>
      <c r="F754" s="1" t="str">
        <f>IFERROR(__xludf.DUMMYFUNCTION("""COMPUTED_VALUE"""),"CANCELLED")</f>
        <v>CANCELLED</v>
      </c>
      <c r="G754" s="1" t="str">
        <f>IFERROR(__xludf.DUMMYFUNCTION("""COMPUTED_VALUE"""),"CANCELLED")</f>
        <v>CANCELLED</v>
      </c>
      <c r="H754" s="1"/>
      <c r="I754" s="1"/>
      <c r="J754" s="1"/>
      <c r="K754" s="1"/>
      <c r="L754" s="1" t="str">
        <f>IFERROR(__xludf.DUMMYFUNCTION("""COMPUTED_VALUE"""),"CANCELLED - WITH OB")</f>
        <v>CANCELLED - WITH OB</v>
      </c>
      <c r="M754" s="1" t="str">
        <f>IFERROR(__xludf.DUMMYFUNCTION("""COMPUTED_VALUE"""),"CANCELLED - WITH OB")</f>
        <v>CANCELLED - WITH OB</v>
      </c>
      <c r="N754" s="3"/>
      <c r="O754" s="1" t="str">
        <f>IFERROR(__xludf.DUMMYFUNCTION("""COMPUTED_VALUE"""),"FIBR PLAN 1299")</f>
        <v>FIBR PLAN 1299</v>
      </c>
      <c r="P754" s="1" t="str">
        <f>IFERROR(__xludf.DUMMYFUNCTION("""COMPUTED_VALUE"""),"LOWPLAN")</f>
        <v>LOWPLAN</v>
      </c>
      <c r="Q754" s="1" t="str">
        <f>IFERROR(__xludf.DUMMYFUNCTION("""COMPUTED_VALUE"""),"P407516")</f>
        <v>P407516</v>
      </c>
      <c r="R754" s="1" t="str">
        <f>IFERROR(__xludf.DUMMYFUNCTION("""COMPUTED_VALUE"""),"AYON, MANUEL")</f>
        <v>AYON, MANUEL</v>
      </c>
      <c r="S754" s="1" t="str">
        <f>IFERROR(__xludf.DUMMYFUNCTION("""COMPUTED_VALUE"""),"FLA")</f>
        <v>FLA</v>
      </c>
      <c r="T754" s="1" t="str">
        <f>IFERROR(__xludf.DUMMYFUNCTION("""COMPUTED_VALUE"""),"JERIC NAVARRO")</f>
        <v>JERIC NAVARRO</v>
      </c>
      <c r="U754" s="1" t="str">
        <f>IFERROR(__xludf.DUMMYFUNCTION("""COMPUTED_VALUE"""),"JULIE ESPIRITU")</f>
        <v>JULIE ESPIRITU</v>
      </c>
      <c r="V754" s="1" t="str">
        <f>IFERROR(__xludf.DUMMYFUNCTION("""COMPUTED_VALUE"""),"BK HSTK")</f>
        <v>BK HSTK</v>
      </c>
      <c r="W754" s="1" t="str">
        <f>IFERROR(__xludf.DUMMYFUNCTION("""COMPUTED_VALUE"""),"BK HSTK")</f>
        <v>BK HSTK</v>
      </c>
      <c r="X754" s="1" t="str">
        <f>IFERROR(__xludf.DUMMYFUNCTION("""COMPUTED_VALUE"""),"HBBS SEPT 2026")</f>
        <v>HBBS SEPT 2026</v>
      </c>
      <c r="Y754" s="1" t="str">
        <f>IFERROR(__xludf.DUMMYFUNCTION("""COMPUTED_VALUE"""),"BK_CVEU_260825")</f>
        <v>BK_CVEU_260825</v>
      </c>
      <c r="Z754" s="1" t="str">
        <f>IFERROR(__xludf.DUMMYFUNCTION("""COMPUTED_VALUE"""),"NEW CONNECT")</f>
        <v>NEW CONNECT</v>
      </c>
      <c r="AA754" s="1">
        <f>IFERROR(__xludf.DUMMYFUNCTION("""COMPUTED_VALUE"""),639487223349)</f>
        <v>639487223349</v>
      </c>
      <c r="AB754" s="1">
        <f>IFERROR(__xludf.DUMMYFUNCTION("""COMPUTED_VALUE"""),639277420283)</f>
        <v>639277420283</v>
      </c>
      <c r="AC754" s="1"/>
      <c r="AD754" s="1" t="str">
        <f>IFERROR(__xludf.DUMMYFUNCTION("""COMPUTED_VALUE"""),"AREA E")</f>
        <v>AREA E</v>
      </c>
      <c r="AE754" s="1"/>
      <c r="AF754" s="1" t="str">
        <f>IFERROR(__xludf.DUMMYFUNCTION("""COMPUTED_VALUE"""),"BGY COL J P ELISES")</f>
        <v>BGY COL J P ELISES</v>
      </c>
      <c r="AG754" s="1" t="str">
        <f>IFERROR(__xludf.DUMMYFUNCTION("""COMPUTED_VALUE"""),"GEN MARIANO ALVAREZ")</f>
        <v>GEN MARIANO ALVAREZ</v>
      </c>
      <c r="AH754" s="1" t="str">
        <f>IFERROR(__xludf.DUMMYFUNCTION("""COMPUTED_VALUE"""),"AREA E")</f>
        <v>AREA E</v>
      </c>
      <c r="AI754" s="1" t="str">
        <f>IFERROR(__xludf.DUMMYFUNCTION("""COMPUTED_VALUE"""),"CLUSTER 11")</f>
        <v>CLUSTER 11</v>
      </c>
    </row>
    <row r="755" customHeight="1" spans="1:35">
      <c r="A755" s="3">
        <f>IFERROR(__xludf.DUMMYFUNCTION("""COMPUTED_VALUE"""),46294)</f>
        <v>46294</v>
      </c>
      <c r="B755" s="1" t="str">
        <f>IFERROR(__xludf.DUMMYFUNCTION("""COMPUTED_VALUE"""),"ABEGEIL PALGAN BIENES")</f>
        <v>ABEGEIL PALGAN BIENES</v>
      </c>
      <c r="C755" s="1">
        <f>IFERROR(__xludf.DUMMYFUNCTION("""COMPUTED_VALUE"""),2312873575)</f>
        <v>2312873575</v>
      </c>
      <c r="D755" s="1"/>
      <c r="E755" s="1"/>
      <c r="F755" s="1" t="str">
        <f>IFERROR(__xludf.DUMMYFUNCTION("""COMPUTED_VALUE"""),"CANCELLED")</f>
        <v>CANCELLED</v>
      </c>
      <c r="G755" s="1" t="str">
        <f>IFERROR(__xludf.DUMMYFUNCTION("""COMPUTED_VALUE"""),"CANCELLED")</f>
        <v>CANCELLED</v>
      </c>
      <c r="H755" s="1"/>
      <c r="I755" s="1"/>
      <c r="J755" s="1"/>
      <c r="K755" s="1"/>
      <c r="L755" s="1" t="str">
        <f>IFERROR(__xludf.DUMMYFUNCTION("""COMPUTED_VALUE"""),"CANCELLED - WITH OB")</f>
        <v>CANCELLED - WITH OB</v>
      </c>
      <c r="M755" s="1" t="str">
        <f>IFERROR(__xludf.DUMMYFUNCTION("""COMPUTED_VALUE"""),"CANCELLED - WITH OB")</f>
        <v>CANCELLED - WITH OB</v>
      </c>
      <c r="N755" s="3"/>
      <c r="O755" s="1" t="str">
        <f>IFERROR(__xludf.DUMMYFUNCTION("""COMPUTED_VALUE"""),"FIBR NETFLIX PLAN 1599")</f>
        <v>FIBR NETFLIX PLAN 1599</v>
      </c>
      <c r="P755" s="1" t="str">
        <f>IFERROR(__xludf.DUMMYFUNCTION("""COMPUTED_VALUE"""),"LOWPLAN")</f>
        <v>LOWPLAN</v>
      </c>
      <c r="Q755" s="1" t="str">
        <f>IFERROR(__xludf.DUMMYFUNCTION("""COMPUTED_VALUE"""),"P407050")</f>
        <v>P407050</v>
      </c>
      <c r="R755" s="1" t="str">
        <f>IFERROR(__xludf.DUMMYFUNCTION("""COMPUTED_VALUE"""),"ESCARCHA, ALMA")</f>
        <v>ESCARCHA, ALMA</v>
      </c>
      <c r="S755" s="1" t="str">
        <f>IFERROR(__xludf.DUMMYFUNCTION("""COMPUTED_VALUE"""),"ORGANIC")</f>
        <v>ORGANIC</v>
      </c>
      <c r="T755" s="1" t="str">
        <f>IFERROR(__xludf.DUMMYFUNCTION("""COMPUTED_VALUE"""),"LEA REMOLLO")</f>
        <v>LEA REMOLLO</v>
      </c>
      <c r="U755" s="1" t="str">
        <f>IFERROR(__xludf.DUMMYFUNCTION("""COMPUTED_VALUE"""),"JB SALIOA")</f>
        <v>JB SALIOA</v>
      </c>
      <c r="V755" s="1" t="str">
        <f>IFERROR(__xludf.DUMMYFUNCTION("""COMPUTED_VALUE"""),"ONLINE/CRANFORD")</f>
        <v>ONLINE/CRANFORD</v>
      </c>
      <c r="W755" s="1" t="str">
        <f>IFERROR(__xludf.DUMMYFUNCTION("""COMPUTED_VALUE"""),"STK REGULAR")</f>
        <v>STK REGULAR</v>
      </c>
      <c r="X755" s="1" t="str">
        <f>IFERROR(__xludf.DUMMYFUNCTION("""COMPUTED_VALUE"""),"HBBS SEPT 2026")</f>
        <v>HBBS SEPT 2026</v>
      </c>
      <c r="Y755" s="1" t="str">
        <f>IFERROR(__xludf.DUMMYFUNCTION("""COMPUTED_VALUE"""),"RS_SS_CVEU_2026")</f>
        <v>RS_SS_CVEU_2026</v>
      </c>
      <c r="Z755" s="1" t="str">
        <f>IFERROR(__xludf.DUMMYFUNCTION("""COMPUTED_VALUE"""),"NEW CONNECT")</f>
        <v>NEW CONNECT</v>
      </c>
      <c r="AA755" s="1">
        <f>IFERROR(__xludf.DUMMYFUNCTION("""COMPUTED_VALUE"""),639261245892)</f>
        <v>639261245892</v>
      </c>
      <c r="AB755" s="1">
        <f>IFERROR(__xludf.DUMMYFUNCTION("""COMPUTED_VALUE"""),639065530739)</f>
        <v>639065530739</v>
      </c>
      <c r="AC755" s="1"/>
      <c r="AD755" s="1" t="str">
        <f>IFERROR(__xludf.DUMMYFUNCTION("""COMPUTED_VALUE"""),"18TH")</f>
        <v>18TH</v>
      </c>
      <c r="AE755" s="1" t="str">
        <f>IFERROR(__xludf.DUMMYFUNCTION("""COMPUTED_VALUE"""),"ISTANA PHASE B 1ST AVE")</f>
        <v>ISTANA PHASE B 1ST AVE</v>
      </c>
      <c r="AF755" s="1" t="str">
        <f>IFERROR(__xludf.DUMMYFUNCTION("""COMPUTED_VALUE"""),"BGY BIGA")</f>
        <v>BGY BIGA</v>
      </c>
      <c r="AG755" s="1" t="str">
        <f>IFERROR(__xludf.DUMMYFUNCTION("""COMPUTED_VALUE"""),"TANZA")</f>
        <v>TANZA</v>
      </c>
      <c r="AH755" s="1" t="str">
        <f>IFERROR(__xludf.DUMMYFUNCTION("""COMPUTED_VALUE"""),"-")</f>
        <v>-</v>
      </c>
      <c r="AI755" s="1" t="str">
        <f>IFERROR(__xludf.DUMMYFUNCTION("""COMPUTED_VALUE"""),"NOT AOR")</f>
        <v>NOT AOR</v>
      </c>
    </row>
    <row r="756" customHeight="1" spans="1:35">
      <c r="A756" s="3">
        <f>IFERROR(__xludf.DUMMYFUNCTION("""COMPUTED_VALUE"""),46294)</f>
        <v>46294</v>
      </c>
      <c r="B756" s="1" t="str">
        <f>IFERROR(__xludf.DUMMYFUNCTION("""COMPUTED_VALUE""")," WENDIELENE VIDENA MALIMBAN")</f>
        <v> WENDIELENE VIDENA MALIMBAN</v>
      </c>
      <c r="C756" s="1">
        <f>IFERROR(__xludf.DUMMYFUNCTION("""COMPUTED_VALUE"""),2312873759)</f>
        <v>2312873759</v>
      </c>
      <c r="D756" s="1"/>
      <c r="E756" s="1"/>
      <c r="F756" s="1" t="str">
        <f>IFERROR(__xludf.DUMMYFUNCTION("""COMPUTED_VALUE"""),"CANCELLED")</f>
        <v>CANCELLED</v>
      </c>
      <c r="G756" s="1" t="str">
        <f>IFERROR(__xludf.DUMMYFUNCTION("""COMPUTED_VALUE"""),"CANCELLED")</f>
        <v>CANCELLED</v>
      </c>
      <c r="H756" s="1"/>
      <c r="I756" s="1"/>
      <c r="J756" s="1"/>
      <c r="K756" s="1"/>
      <c r="L756" s="1" t="str">
        <f>IFERROR(__xludf.DUMMYFUNCTION("""COMPUTED_VALUE"""),"CANCELLED - WITH OB")</f>
        <v>CANCELLED - WITH OB</v>
      </c>
      <c r="M756" s="1" t="str">
        <f>IFERROR(__xludf.DUMMYFUNCTION("""COMPUTED_VALUE"""),"CANCELLED - WITH OB")</f>
        <v>CANCELLED - WITH OB</v>
      </c>
      <c r="N756" s="3"/>
      <c r="O756" s="1" t="str">
        <f>IFERROR(__xludf.DUMMYFUNCTION("""COMPUTED_VALUE"""),"FIBR PLAN 1299")</f>
        <v>FIBR PLAN 1299</v>
      </c>
      <c r="P756" s="1" t="str">
        <f>IFERROR(__xludf.DUMMYFUNCTION("""COMPUTED_VALUE"""),"LOWPLAN")</f>
        <v>LOWPLAN</v>
      </c>
      <c r="Q756" s="1" t="str">
        <f>IFERROR(__xludf.DUMMYFUNCTION("""COMPUTED_VALUE"""),"P407517 ")</f>
        <v>P407517 </v>
      </c>
      <c r="R756" s="1" t="str">
        <f>IFERROR(__xludf.DUMMYFUNCTION("""COMPUTED_VALUE"""),"GABAY, MANUEL")</f>
        <v>GABAY, MANUEL</v>
      </c>
      <c r="S756" s="1" t="str">
        <f>IFERROR(__xludf.DUMMYFUNCTION("""COMPUTED_VALUE"""),"FLA")</f>
        <v>FLA</v>
      </c>
      <c r="T756" s="1" t="str">
        <f>IFERROR(__xludf.DUMMYFUNCTION("""COMPUTED_VALUE"""),"JERIC NAVARRO")</f>
        <v>JERIC NAVARRO</v>
      </c>
      <c r="U756" s="1" t="str">
        <f>IFERROR(__xludf.DUMMYFUNCTION("""COMPUTED_VALUE"""),"JULIE ESPIRITU")</f>
        <v>JULIE ESPIRITU</v>
      </c>
      <c r="V756" s="1" t="str">
        <f>IFERROR(__xludf.DUMMYFUNCTION("""COMPUTED_VALUE"""),"BK HSTK")</f>
        <v>BK HSTK</v>
      </c>
      <c r="W756" s="1" t="str">
        <f>IFERROR(__xludf.DUMMYFUNCTION("""COMPUTED_VALUE"""),"BK HSTK")</f>
        <v>BK HSTK</v>
      </c>
      <c r="X756" s="1" t="str">
        <f>IFERROR(__xludf.DUMMYFUNCTION("""COMPUTED_VALUE"""),"HBBS SEPT 2026")</f>
        <v>HBBS SEPT 2026</v>
      </c>
      <c r="Y756" s="1" t="str">
        <f>IFERROR(__xludf.DUMMYFUNCTION("""COMPUTED_VALUE"""),"BK_CVEU_260827")</f>
        <v>BK_CVEU_260827</v>
      </c>
      <c r="Z756" s="1" t="str">
        <f>IFERROR(__xludf.DUMMYFUNCTION("""COMPUTED_VALUE"""),"NEW CONNECT")</f>
        <v>NEW CONNECT</v>
      </c>
      <c r="AA756" s="1">
        <f>IFERROR(__xludf.DUMMYFUNCTION("""COMPUTED_VALUE"""),639150068639)</f>
        <v>639150068639</v>
      </c>
      <c r="AB756" s="1">
        <f>IFERROR(__xludf.DUMMYFUNCTION("""COMPUTED_VALUE"""),639273324926)</f>
        <v>639273324926</v>
      </c>
      <c r="AC756" s="1">
        <f>IFERROR(__xludf.DUMMYFUNCTION("""COMPUTED_VALUE"""),274)</f>
        <v>274</v>
      </c>
      <c r="AD756" s="1" t="str">
        <f>IFERROR(__xludf.DUMMYFUNCTION("""COMPUTED_VALUE"""),"POOC 2")</f>
        <v>POOC 2</v>
      </c>
      <c r="AE756" s="1"/>
      <c r="AF756" s="1" t="str">
        <f>IFERROR(__xludf.DUMMYFUNCTION("""COMPUTED_VALUE"""),"BGY POOC 2")</f>
        <v>BGY POOC 2</v>
      </c>
      <c r="AG756" s="1" t="str">
        <f>IFERROR(__xludf.DUMMYFUNCTION("""COMPUTED_VALUE"""),"SILANG")</f>
        <v>SILANG</v>
      </c>
      <c r="AH756" s="1" t="str">
        <f>IFERROR(__xludf.DUMMYFUNCTION("""COMPUTED_VALUE"""),"-")</f>
        <v>-</v>
      </c>
      <c r="AI756" s="1" t="str">
        <f>IFERROR(__xludf.DUMMYFUNCTION("""COMPUTED_VALUE"""),"CLUSTER 11")</f>
        <v>CLUSTER 11</v>
      </c>
    </row>
    <row r="757" customHeight="1" spans="1:35">
      <c r="A757" s="3">
        <f>IFERROR(__xludf.DUMMYFUNCTION("""COMPUTED_VALUE"""),46294)</f>
        <v>46294</v>
      </c>
      <c r="B757" s="1" t="str">
        <f>IFERROR(__xludf.DUMMYFUNCTION("""COMPUTED_VALUE"""),"ANNAMARIE PANIS MANGLICMOT")</f>
        <v>ANNAMARIE PANIS MANGLICMOT</v>
      </c>
      <c r="C757" s="1">
        <f>IFERROR(__xludf.DUMMYFUNCTION("""COMPUTED_VALUE"""),2312873858)</f>
        <v>2312873858</v>
      </c>
      <c r="D757" s="1"/>
      <c r="E757" s="1"/>
      <c r="F757" s="1" t="str">
        <f>IFERROR(__xludf.DUMMYFUNCTION("""COMPUTED_VALUE"""),"CANCELLED")</f>
        <v>CANCELLED</v>
      </c>
      <c r="G757" s="1" t="str">
        <f>IFERROR(__xludf.DUMMYFUNCTION("""COMPUTED_VALUE"""),"CANCELLED")</f>
        <v>CANCELLED</v>
      </c>
      <c r="H757" s="1"/>
      <c r="I757" s="1"/>
      <c r="J757" s="1"/>
      <c r="K757" s="1"/>
      <c r="L757" s="1" t="str">
        <f>IFERROR(__xludf.DUMMYFUNCTION("""COMPUTED_VALUE"""),"CANCELLED - WITH OB")</f>
        <v>CANCELLED - WITH OB</v>
      </c>
      <c r="M757" s="1" t="str">
        <f>IFERROR(__xludf.DUMMYFUNCTION("""COMPUTED_VALUE"""),"CANCELLED - WITH OB")</f>
        <v>CANCELLED - WITH OB</v>
      </c>
      <c r="N757" s="3"/>
      <c r="O757" s="1" t="str">
        <f>IFERROR(__xludf.DUMMYFUNCTION("""COMPUTED_VALUE"""),"FIBER UNLI ALL PLAN 1499")</f>
        <v>FIBER UNLI ALL PLAN 1499</v>
      </c>
      <c r="P757" s="1" t="str">
        <f>IFERROR(__xludf.DUMMYFUNCTION("""COMPUTED_VALUE"""),"LOWPLAN")</f>
        <v>LOWPLAN</v>
      </c>
      <c r="Q757" s="1" t="str">
        <f>IFERROR(__xludf.DUMMYFUNCTION("""COMPUTED_VALUE"""),"P407560")</f>
        <v>P407560</v>
      </c>
      <c r="R757" s="1" t="str">
        <f>IFERROR(__xludf.DUMMYFUNCTION("""COMPUTED_VALUE"""),"AYON, MANUEL")</f>
        <v>AYON, MANUEL</v>
      </c>
      <c r="S757" s="1" t="str">
        <f>IFERROR(__xludf.DUMMYFUNCTION("""COMPUTED_VALUE"""),"FLA")</f>
        <v>FLA</v>
      </c>
      <c r="T757" s="1" t="str">
        <f>IFERROR(__xludf.DUMMYFUNCTION("""COMPUTED_VALUE"""),"JERIC NAVARRO")</f>
        <v>JERIC NAVARRO</v>
      </c>
      <c r="U757" s="1" t="str">
        <f>IFERROR(__xludf.DUMMYFUNCTION("""COMPUTED_VALUE"""),"JB SALIOA")</f>
        <v>JB SALIOA</v>
      </c>
      <c r="V757" s="1" t="str">
        <f>IFERROR(__xludf.DUMMYFUNCTION("""COMPUTED_VALUE"""),"BK REGULAR")</f>
        <v>BK REGULAR</v>
      </c>
      <c r="W757" s="1" t="str">
        <f>IFERROR(__xludf.DUMMYFUNCTION("""COMPUTED_VALUE"""),"STK REGULAR")</f>
        <v>STK REGULAR</v>
      </c>
      <c r="X757" s="1" t="str">
        <f>IFERROR(__xludf.DUMMYFUNCTION("""COMPUTED_VALUE"""),"HBBS SEPT 2026")</f>
        <v>HBBS SEPT 2026</v>
      </c>
      <c r="Y757" s="1" t="str">
        <f>IFERROR(__xludf.DUMMYFUNCTION("""COMPUTED_VALUE"""),"BK_CVEU_260827")</f>
        <v>BK_CVEU_260827</v>
      </c>
      <c r="Z757" s="1" t="str">
        <f>IFERROR(__xludf.DUMMYFUNCTION("""COMPUTED_VALUE"""),"NEW CONNECT")</f>
        <v>NEW CONNECT</v>
      </c>
      <c r="AA757" s="1">
        <f>IFERROR(__xludf.DUMMYFUNCTION("""COMPUTED_VALUE"""),639162036317)</f>
        <v>639162036317</v>
      </c>
      <c r="AB757" s="1">
        <f>IFERROR(__xludf.DUMMYFUNCTION("""COMPUTED_VALUE"""),639164676005)</f>
        <v>639164676005</v>
      </c>
      <c r="AC757" s="1"/>
      <c r="AD757" s="1" t="str">
        <f>IFERROR(__xludf.DUMMYFUNCTION("""COMPUTED_VALUE"""),"PHASE 2")</f>
        <v>PHASE 2</v>
      </c>
      <c r="AE757" s="1" t="str">
        <f>IFERROR(__xludf.DUMMYFUNCTION("""COMPUTED_VALUE"""),"RANCHO IMPERIAL")</f>
        <v>RANCHO IMPERIAL</v>
      </c>
      <c r="AF757" s="1" t="str">
        <f>IFERROR(__xludf.DUMMYFUNCTION("""COMPUTED_VALUE"""),"BGY TARTARIA")</f>
        <v>BGY TARTARIA</v>
      </c>
      <c r="AG757" s="1" t="str">
        <f>IFERROR(__xludf.DUMMYFUNCTION("""COMPUTED_VALUE"""),"SILANG")</f>
        <v>SILANG</v>
      </c>
      <c r="AH757" s="1" t="str">
        <f>IFERROR(__xludf.DUMMYFUNCTION("""COMPUTED_VALUE"""),"HOA")</f>
        <v>HOA</v>
      </c>
      <c r="AI757" s="1" t="str">
        <f>IFERROR(__xludf.DUMMYFUNCTION("""COMPUTED_VALUE"""),"CLUSTER 11")</f>
        <v>CLUSTER 11</v>
      </c>
    </row>
    <row r="758" customHeight="1" spans="1:35">
      <c r="A758" s="3">
        <f>IFERROR(__xludf.DUMMYFUNCTION("""COMPUTED_VALUE"""),46294)</f>
        <v>46294</v>
      </c>
      <c r="B758" s="1" t="str">
        <f>IFERROR(__xludf.DUMMYFUNCTION("""COMPUTED_VALUE""")," ELMER LAURELES LOYOLA")</f>
        <v> ELMER LAURELES LOYOLA</v>
      </c>
      <c r="C758" s="1">
        <f>IFERROR(__xludf.DUMMYFUNCTION("""COMPUTED_VALUE"""),2312874064)</f>
        <v>2312874064</v>
      </c>
      <c r="D758" s="1"/>
      <c r="E758" s="1"/>
      <c r="F758" s="1" t="str">
        <f>IFERROR(__xludf.DUMMYFUNCTION("""COMPUTED_VALUE"""),"CANCELLED")</f>
        <v>CANCELLED</v>
      </c>
      <c r="G758" s="1" t="str">
        <f>IFERROR(__xludf.DUMMYFUNCTION("""COMPUTED_VALUE"""),"CANCELLED")</f>
        <v>CANCELLED</v>
      </c>
      <c r="H758" s="1"/>
      <c r="I758" s="1"/>
      <c r="J758" s="1"/>
      <c r="K758" s="1"/>
      <c r="L758" s="1" t="str">
        <f>IFERROR(__xludf.DUMMYFUNCTION("""COMPUTED_VALUE"""),"CANCELLED - WITH OB")</f>
        <v>CANCELLED - WITH OB</v>
      </c>
      <c r="M758" s="1" t="str">
        <f>IFERROR(__xludf.DUMMYFUNCTION("""COMPUTED_VALUE"""),"CANCELLED - WITH OB")</f>
        <v>CANCELLED - WITH OB</v>
      </c>
      <c r="N758" s="3"/>
      <c r="O758" s="1" t="str">
        <f>IFERROR(__xludf.DUMMYFUNCTION("""COMPUTED_VALUE"""),"FIBR PLAN 1299")</f>
        <v>FIBR PLAN 1299</v>
      </c>
      <c r="P758" s="1" t="str">
        <f>IFERROR(__xludf.DUMMYFUNCTION("""COMPUTED_VALUE"""),"LOWPLAN")</f>
        <v>LOWPLAN</v>
      </c>
      <c r="Q758" s="1" t="str">
        <f>IFERROR(__xludf.DUMMYFUNCTION("""COMPUTED_VALUE"""),"P401648")</f>
        <v>P401648</v>
      </c>
      <c r="R758" s="1" t="str">
        <f>IFERROR(__xludf.DUMMYFUNCTION("""COMPUTED_VALUE"""),"FARO, REFRANTA")</f>
        <v>FARO, REFRANTA</v>
      </c>
      <c r="S758" s="1" t="str">
        <f>IFERROR(__xludf.DUMMYFUNCTION("""COMPUTED_VALUE"""),"ORGANIC")</f>
        <v>ORGANIC</v>
      </c>
      <c r="T758" s="1" t="str">
        <f>IFERROR(__xludf.DUMMYFUNCTION("""COMPUTED_VALUE"""),"LEA REMOLLO")</f>
        <v>LEA REMOLLO</v>
      </c>
      <c r="U758" s="1" t="str">
        <f>IFERROR(__xludf.DUMMYFUNCTION("""COMPUTED_VALUE"""),"JULIE ESPIRITU")</f>
        <v>JULIE ESPIRITU</v>
      </c>
      <c r="V758" s="1" t="str">
        <f>IFERROR(__xludf.DUMMYFUNCTION("""COMPUTED_VALUE"""),"BK REGULAR")</f>
        <v>BK REGULAR</v>
      </c>
      <c r="W758" s="1" t="str">
        <f>IFERROR(__xludf.DUMMYFUNCTION("""COMPUTED_VALUE"""),"STK REGULAR")</f>
        <v>STK REGULAR</v>
      </c>
      <c r="X758" s="1" t="str">
        <f>IFERROR(__xludf.DUMMYFUNCTION("""COMPUTED_VALUE"""),"HBBS SEPT 2026")</f>
        <v>HBBS SEPT 2026</v>
      </c>
      <c r="Y758" s="1" t="str">
        <f>IFERROR(__xludf.DUMMYFUNCTION("""COMPUTED_VALUE"""),"BK_CVEU_260827")</f>
        <v>BK_CVEU_260827</v>
      </c>
      <c r="Z758" s="1" t="str">
        <f>IFERROR(__xludf.DUMMYFUNCTION("""COMPUTED_VALUE"""),"NEW CONNECT")</f>
        <v>NEW CONNECT</v>
      </c>
      <c r="AA758" s="1">
        <f>IFERROR(__xludf.DUMMYFUNCTION("""COMPUTED_VALUE"""),639218531820)</f>
        <v>639218531820</v>
      </c>
      <c r="AB758" s="1">
        <f>IFERROR(__xludf.DUMMYFUNCTION("""COMPUTED_VALUE"""),639759496993)</f>
        <v>639759496993</v>
      </c>
      <c r="AC758" s="1">
        <f>IFERROR(__xludf.DUMMYFUNCTION("""COMPUTED_VALUE"""),123)</f>
        <v>123</v>
      </c>
      <c r="AD758" s="1" t="str">
        <f>IFERROR(__xludf.DUMMYFUNCTION("""COMPUTED_VALUE"""),"DAMA DE NOCHE")</f>
        <v>DAMA DE NOCHE</v>
      </c>
      <c r="AE758" s="1"/>
      <c r="AF758" s="1" t="str">
        <f>IFERROR(__xludf.DUMMYFUNCTION("""COMPUTED_VALUE"""),"BGY SAN MIGUEL 2")</f>
        <v>BGY SAN MIGUEL 2</v>
      </c>
      <c r="AG758" s="1" t="str">
        <f>IFERROR(__xludf.DUMMYFUNCTION("""COMPUTED_VALUE"""),"SILANG")</f>
        <v>SILANG</v>
      </c>
      <c r="AH758" s="1" t="str">
        <f>IFERROR(__xludf.DUMMYFUNCTION("""COMPUTED_VALUE"""),"ANDOKS")</f>
        <v>ANDOKS</v>
      </c>
      <c r="AI758" s="1" t="str">
        <f>IFERROR(__xludf.DUMMYFUNCTION("""COMPUTED_VALUE"""),"CLUSTER 11")</f>
        <v>CLUSTER 11</v>
      </c>
    </row>
    <row r="759" customHeight="1" spans="1:35">
      <c r="A759" s="3">
        <f>IFERROR(__xludf.DUMMYFUNCTION("""COMPUTED_VALUE"""),46294)</f>
        <v>46294</v>
      </c>
      <c r="B759" s="1" t="str">
        <f>IFERROR(__xludf.DUMMYFUNCTION("""COMPUTED_VALUE"""),"JAME KAVEN GALVE LEGASPI")</f>
        <v>JAME KAVEN GALVE LEGASPI</v>
      </c>
      <c r="C759" s="1">
        <f>IFERROR(__xludf.DUMMYFUNCTION("""COMPUTED_VALUE"""),2312874076)</f>
        <v>2312874076</v>
      </c>
      <c r="D759" s="1"/>
      <c r="E759" s="1"/>
      <c r="F759" s="1" t="str">
        <f>IFERROR(__xludf.DUMMYFUNCTION("""COMPUTED_VALUE"""),"CANCELLED")</f>
        <v>CANCELLED</v>
      </c>
      <c r="G759" s="1" t="str">
        <f>IFERROR(__xludf.DUMMYFUNCTION("""COMPUTED_VALUE"""),"CANCELLED")</f>
        <v>CANCELLED</v>
      </c>
      <c r="H759" s="1"/>
      <c r="I759" s="1"/>
      <c r="J759" s="1"/>
      <c r="K759" s="1"/>
      <c r="L759" s="1" t="str">
        <f>IFERROR(__xludf.DUMMYFUNCTION("""COMPUTED_VALUE"""),"CANCELLED - WITH OB")</f>
        <v>CANCELLED - WITH OB</v>
      </c>
      <c r="M759" s="1" t="str">
        <f>IFERROR(__xludf.DUMMYFUNCTION("""COMPUTED_VALUE"""),"CANCELLED - WITH OB")</f>
        <v>CANCELLED - WITH OB</v>
      </c>
      <c r="N759" s="3"/>
      <c r="O759" s="1" t="str">
        <f>IFERROR(__xludf.DUMMYFUNCTION("""COMPUTED_VALUE"""),"FIBR NETFLIX PLAN 1599")</f>
        <v>FIBR NETFLIX PLAN 1599</v>
      </c>
      <c r="P759" s="1" t="str">
        <f>IFERROR(__xludf.DUMMYFUNCTION("""COMPUTED_VALUE"""),"LOWPLAN")</f>
        <v>LOWPLAN</v>
      </c>
      <c r="Q759" s="1" t="str">
        <f>IFERROR(__xludf.DUMMYFUNCTION("""COMPUTED_VALUE"""),"P407561")</f>
        <v>P407561</v>
      </c>
      <c r="R759" s="1" t="str">
        <f>IFERROR(__xludf.DUMMYFUNCTION("""COMPUTED_VALUE"""),"TAMAYO, MARY ROSE ZAIRA")</f>
        <v>TAMAYO, MARY ROSE ZAIRA</v>
      </c>
      <c r="S759" s="1" t="str">
        <f>IFERROR(__xludf.DUMMYFUNCTION("""COMPUTED_VALUE"""),"ORGANIC")</f>
        <v>ORGANIC</v>
      </c>
      <c r="T759" s="1" t="str">
        <f>IFERROR(__xludf.DUMMYFUNCTION("""COMPUTED_VALUE"""),"LEA REMOLLO")</f>
        <v>LEA REMOLLO</v>
      </c>
      <c r="U759" s="1" t="str">
        <f>IFERROR(__xludf.DUMMYFUNCTION("""COMPUTED_VALUE"""),"JB SALIOA")</f>
        <v>JB SALIOA</v>
      </c>
      <c r="V759" s="1" t="str">
        <f>IFERROR(__xludf.DUMMYFUNCTION("""COMPUTED_VALUE"""),"BK HSTK")</f>
        <v>BK HSTK</v>
      </c>
      <c r="W759" s="1" t="str">
        <f>IFERROR(__xludf.DUMMYFUNCTION("""COMPUTED_VALUE"""),"BK HSTK")</f>
        <v>BK HSTK</v>
      </c>
      <c r="X759" s="1" t="str">
        <f>IFERROR(__xludf.DUMMYFUNCTION("""COMPUTED_VALUE"""),"HBBS SEPT 2026")</f>
        <v>HBBS SEPT 2026</v>
      </c>
      <c r="Y759" s="1" t="str">
        <f>IFERROR(__xludf.DUMMYFUNCTION("""COMPUTED_VALUE"""),"BK_CVEU_260825")</f>
        <v>BK_CVEU_260825</v>
      </c>
      <c r="Z759" s="1" t="str">
        <f>IFERROR(__xludf.DUMMYFUNCTION("""COMPUTED_VALUE"""),"NEW CONNECT")</f>
        <v>NEW CONNECT</v>
      </c>
      <c r="AA759" s="1">
        <f>IFERROR(__xludf.DUMMYFUNCTION("""COMPUTED_VALUE"""),639930211404)</f>
        <v>639930211404</v>
      </c>
      <c r="AB759" s="1"/>
      <c r="AC759" s="1"/>
      <c r="AD759" s="1" t="str">
        <f>IFERROR(__xludf.DUMMYFUNCTION("""COMPUTED_VALUE"""),"SAN JOSE")</f>
        <v>SAN JOSE</v>
      </c>
      <c r="AE759" s="1"/>
      <c r="AF759" s="1" t="str">
        <f>IFERROR(__xludf.DUMMYFUNCTION("""COMPUTED_VALUE"""),"BGY SAN JOSE")</f>
        <v>BGY SAN JOSE</v>
      </c>
      <c r="AG759" s="1" t="str">
        <f>IFERROR(__xludf.DUMMYFUNCTION("""COMPUTED_VALUE"""),"GEN MARIANO ALVAREZ")</f>
        <v>GEN MARIANO ALVAREZ</v>
      </c>
      <c r="AH759" s="1" t="str">
        <f>IFERROR(__xludf.DUMMYFUNCTION("""COMPUTED_VALUE"""),"HALF COURT")</f>
        <v>HALF COURT</v>
      </c>
      <c r="AI759" s="1" t="str">
        <f>IFERROR(__xludf.DUMMYFUNCTION("""COMPUTED_VALUE"""),"CLUSTER 11")</f>
        <v>CLUSTER 11</v>
      </c>
    </row>
    <row r="760" customHeight="1" spans="1:35">
      <c r="A760" s="3">
        <f>IFERROR(__xludf.DUMMYFUNCTION("""COMPUTED_VALUE"""),46294)</f>
        <v>46294</v>
      </c>
      <c r="B760" s="1" t="str">
        <f>IFERROR(__xludf.DUMMYFUNCTION("""COMPUTED_VALUE"""),"GLENDYSH . RACOMA")</f>
        <v>GLENDYSH . RACOMA</v>
      </c>
      <c r="C760" s="1">
        <f>IFERROR(__xludf.DUMMYFUNCTION("""COMPUTED_VALUE"""),2312874720)</f>
        <v>2312874720</v>
      </c>
      <c r="D760" s="1"/>
      <c r="E760" s="1"/>
      <c r="F760" s="1" t="str">
        <f>IFERROR(__xludf.DUMMYFUNCTION("""COMPUTED_VALUE"""),"CANCELLED")</f>
        <v>CANCELLED</v>
      </c>
      <c r="G760" s="1" t="str">
        <f>IFERROR(__xludf.DUMMYFUNCTION("""COMPUTED_VALUE"""),"CANCELLED")</f>
        <v>CANCELLED</v>
      </c>
      <c r="H760" s="1"/>
      <c r="I760" s="1"/>
      <c r="J760" s="1"/>
      <c r="K760" s="1"/>
      <c r="L760" s="1" t="str">
        <f>IFERROR(__xludf.DUMMYFUNCTION("""COMPUTED_VALUE"""),"CANCELLED - WITH OB")</f>
        <v>CANCELLED - WITH OB</v>
      </c>
      <c r="M760" s="1" t="str">
        <f>IFERROR(__xludf.DUMMYFUNCTION("""COMPUTED_VALUE"""),"CANCELLED - WITH OB")</f>
        <v>CANCELLED - WITH OB</v>
      </c>
      <c r="N760" s="3"/>
      <c r="O760" s="1" t="str">
        <f>IFERROR(__xludf.DUMMYFUNCTION("""COMPUTED_VALUE"""),"FIBER UNLI ALL PLAN 1499")</f>
        <v>FIBER UNLI ALL PLAN 1499</v>
      </c>
      <c r="P760" s="1" t="str">
        <f>IFERROR(__xludf.DUMMYFUNCTION("""COMPUTED_VALUE"""),"LOWPLAN")</f>
        <v>LOWPLAN</v>
      </c>
      <c r="Q760" s="1" t="str">
        <f>IFERROR(__xludf.DUMMYFUNCTION("""COMPUTED_VALUE"""),"P407567")</f>
        <v>P407567</v>
      </c>
      <c r="R760" s="1" t="str">
        <f>IFERROR(__xludf.DUMMYFUNCTION("""COMPUTED_VALUE"""),"LS_ILANO LIANDRO")</f>
        <v>LS_ILANO LIANDRO</v>
      </c>
      <c r="S760" s="1" t="str">
        <f>IFERROR(__xludf.DUMMYFUNCTION("""COMPUTED_VALUE"""),"LEADSTORE")</f>
        <v>LEADSTORE</v>
      </c>
      <c r="T760" s="1" t="str">
        <f>IFERROR(__xludf.DUMMYFUNCTION("""COMPUTED_VALUE"""),"JERIC NAVARRO")</f>
        <v>JERIC NAVARRO</v>
      </c>
      <c r="U760" s="1" t="str">
        <f>IFERROR(__xludf.DUMMYFUNCTION("""COMPUTED_VALUE"""),"JB SALIOA")</f>
        <v>JB SALIOA</v>
      </c>
      <c r="V760" s="1" t="str">
        <f>IFERROR(__xludf.DUMMYFUNCTION("""COMPUTED_VALUE"""),"BK REGULAR")</f>
        <v>BK REGULAR</v>
      </c>
      <c r="W760" s="1" t="str">
        <f>IFERROR(__xludf.DUMMYFUNCTION("""COMPUTED_VALUE"""),"STK REGULAR")</f>
        <v>STK REGULAR</v>
      </c>
      <c r="X760" s="1" t="str">
        <f>IFERROR(__xludf.DUMMYFUNCTION("""COMPUTED_VALUE"""),"HBBS SEPT 2026")</f>
        <v>HBBS SEPT 2026</v>
      </c>
      <c r="Y760" s="1" t="str">
        <f>IFERROR(__xludf.DUMMYFUNCTION("""COMPUTED_VALUE"""),"RS_LS_CVEU_2026")</f>
        <v>RS_LS_CVEU_2026</v>
      </c>
      <c r="Z760" s="1" t="str">
        <f>IFERROR(__xludf.DUMMYFUNCTION("""COMPUTED_VALUE"""),"NEW CONNECT")</f>
        <v>NEW CONNECT</v>
      </c>
      <c r="AA760" s="1">
        <f>IFERROR(__xludf.DUMMYFUNCTION("""COMPUTED_VALUE"""),639764935216)</f>
        <v>639764935216</v>
      </c>
      <c r="AB760" s="1"/>
      <c r="AC760" s="1"/>
      <c r="AD760" s="1" t="str">
        <f>IFERROR(__xludf.DUMMYFUNCTION("""COMPUTED_VALUE"""),"SOUTH")</f>
        <v>SOUTH</v>
      </c>
      <c r="AE760" s="1" t="str">
        <f>IFERROR(__xludf.DUMMYFUNCTION("""COMPUTED_VALUE"""),"STANDFORD SUITES 2")</f>
        <v>STANDFORD SUITES 2</v>
      </c>
      <c r="AF760" s="1" t="str">
        <f>IFERROR(__xludf.DUMMYFUNCTION("""COMPUTED_VALUE"""),"BGY INCHICAN")</f>
        <v>BGY INCHICAN</v>
      </c>
      <c r="AG760" s="1" t="str">
        <f>IFERROR(__xludf.DUMMYFUNCTION("""COMPUTED_VALUE"""),"SILANG")</f>
        <v>SILANG</v>
      </c>
      <c r="AH760" s="1" t="str">
        <f>IFERROR(__xludf.DUMMYFUNCTION("""COMPUTED_VALUE"""),"WEST GROVE NEAR MICROTEL SOUTH FORBES")</f>
        <v>WEST GROVE NEAR MICROTEL SOUTH FORBES</v>
      </c>
      <c r="AI760" s="1" t="str">
        <f>IFERROR(__xludf.DUMMYFUNCTION("""COMPUTED_VALUE"""),"CLUSTER 11")</f>
        <v>CLUSTER 11</v>
      </c>
    </row>
    <row r="761" customHeight="1" spans="1:35">
      <c r="A761" s="3">
        <f>IFERROR(__xludf.DUMMYFUNCTION("""COMPUTED_VALUE"""),46294)</f>
        <v>46294</v>
      </c>
      <c r="B761" s="1" t="str">
        <f>IFERROR(__xludf.DUMMYFUNCTION("""COMPUTED_VALUE"""),"KENT JOSHUA EPIS ROSALES")</f>
        <v>KENT JOSHUA EPIS ROSALES</v>
      </c>
      <c r="C761" s="1">
        <f>IFERROR(__xludf.DUMMYFUNCTION("""COMPUTED_VALUE"""),2312875621)</f>
        <v>2312875621</v>
      </c>
      <c r="D761" s="1">
        <f>IFERROR(__xludf.DUMMYFUNCTION("""COMPUTED_VALUE"""),408498953)</f>
        <v>408498953</v>
      </c>
      <c r="E761" s="1">
        <f>IFERROR(__xludf.DUMMYFUNCTION("""COMPUTED_VALUE"""),473461286004)</f>
        <v>473461286004</v>
      </c>
      <c r="F761" s="1" t="str">
        <f>IFERROR(__xludf.DUMMYFUNCTION("""COMPUTED_VALUE"""),"CLOSED")</f>
        <v>CLOSED</v>
      </c>
      <c r="G761" s="1" t="str">
        <f>IFERROR(__xludf.DUMMYFUNCTION("""COMPUTED_VALUE"""),"CLOSED")</f>
        <v>CLOSED</v>
      </c>
      <c r="H761" s="1" t="str">
        <f>IFERROR(__xludf.DUMMYFUNCTION("""COMPUTED_VALUE"""),"PAID THRU GCASH 83461300 OCT 2")</f>
        <v>PAID THRU GCASH 83461300 OCT 2</v>
      </c>
      <c r="I761" s="1" t="str">
        <f>IFERROR(__xludf.DUMMYFUNCTION("""COMPUTED_VALUE"""),"WITH 1 AMSF")</f>
        <v>WITH 1 AMSF</v>
      </c>
      <c r="J761" s="1"/>
      <c r="K761" s="1"/>
      <c r="L761" s="1" t="str">
        <f>IFERROR(__xludf.DUMMYFUNCTION("""COMPUTED_VALUE"""),"POSTED")</f>
        <v>POSTED</v>
      </c>
      <c r="M761" s="1" t="str">
        <f>IFERROR(__xludf.DUMMYFUNCTION("""COMPUTED_VALUE"""),"POSTED")</f>
        <v>POSTED</v>
      </c>
      <c r="N761" s="3">
        <f>IFERROR(__xludf.DUMMYFUNCTION("""COMPUTED_VALUE"""),46297)</f>
        <v>46297</v>
      </c>
      <c r="O761" s="1" t="str">
        <f>IFERROR(__xludf.DUMMYFUNCTION("""COMPUTED_VALUE"""),"FIBR UNLI ALL PLAN 999")</f>
        <v>FIBR UNLI ALL PLAN 999</v>
      </c>
      <c r="P761" s="1" t="str">
        <f>IFERROR(__xludf.DUMMYFUNCTION("""COMPUTED_VALUE"""),"LOWPLAN")</f>
        <v>LOWPLAN</v>
      </c>
      <c r="Q761" s="1" t="str">
        <f>IFERROR(__xludf.DUMMYFUNCTION("""COMPUTED_VALUE"""),"P407520")</f>
        <v>P407520</v>
      </c>
      <c r="R761" s="1" t="str">
        <f>IFERROR(__xludf.DUMMYFUNCTION("""COMPUTED_VALUE"""),"MALIWAT, MARK")</f>
        <v>MALIWAT, MARK</v>
      </c>
      <c r="S761" s="1" t="str">
        <f>IFERROR(__xludf.DUMMYFUNCTION("""COMPUTED_VALUE"""),"FLA")</f>
        <v>FLA</v>
      </c>
      <c r="T761" s="1" t="str">
        <f>IFERROR(__xludf.DUMMYFUNCTION("""COMPUTED_VALUE"""),"JERIC NAVARRO")</f>
        <v>JERIC NAVARRO</v>
      </c>
      <c r="U761" s="1" t="str">
        <f>IFERROR(__xludf.DUMMYFUNCTION("""COMPUTED_VALUE"""),"JB SALIOA")</f>
        <v>JB SALIOA</v>
      </c>
      <c r="V761" s="1" t="str">
        <f>IFERROR(__xludf.DUMMYFUNCTION("""COMPUTED_VALUE"""),"ONLINE/CRANFORD")</f>
        <v>ONLINE/CRANFORD</v>
      </c>
      <c r="W761" s="1" t="str">
        <f>IFERROR(__xludf.DUMMYFUNCTION("""COMPUTED_VALUE"""),"STK REGULAR")</f>
        <v>STK REGULAR</v>
      </c>
      <c r="X761" s="1" t="str">
        <f>IFERROR(__xludf.DUMMYFUNCTION("""COMPUTED_VALUE"""),"HBBS SEPT 2026")</f>
        <v>HBBS SEPT 2026</v>
      </c>
      <c r="Y761" s="1" t="str">
        <f>IFERROR(__xludf.DUMMYFUNCTION("""COMPUTED_VALUE"""),"RS_ONL_CVEU_2026")</f>
        <v>RS_ONL_CVEU_2026</v>
      </c>
      <c r="Z761" s="1" t="str">
        <f>IFERROR(__xludf.DUMMYFUNCTION("""COMPUTED_VALUE"""),"NEW CONNECT")</f>
        <v>NEW CONNECT</v>
      </c>
      <c r="AA761" s="1">
        <f>IFERROR(__xludf.DUMMYFUNCTION("""COMPUTED_VALUE"""),639537844222)</f>
        <v>639537844222</v>
      </c>
      <c r="AB761" s="1">
        <f>IFERROR(__xludf.DUMMYFUNCTION("""COMPUTED_VALUE"""),639648643828)</f>
        <v>639648643828</v>
      </c>
      <c r="AC761" s="1">
        <f>IFERROR(__xludf.DUMMYFUNCTION("""COMPUTED_VALUE"""),51)</f>
        <v>51</v>
      </c>
      <c r="AD761" s="1" t="str">
        <f>IFERROR(__xludf.DUMMYFUNCTION("""COMPUTED_VALUE"""),"LOOBAN")</f>
        <v>LOOBAN</v>
      </c>
      <c r="AE761" s="1" t="str">
        <f>IFERROR(__xludf.DUMMYFUNCTION("""COMPUTED_VALUE"""),"PUROK 3")</f>
        <v>PUROK 3</v>
      </c>
      <c r="AF761" s="1" t="str">
        <f>IFERROR(__xludf.DUMMYFUNCTION("""COMPUTED_VALUE"""),"BGY BILUSO")</f>
        <v>BGY BILUSO</v>
      </c>
      <c r="AG761" s="1" t="str">
        <f>IFERROR(__xludf.DUMMYFUNCTION("""COMPUTED_VALUE"""),"SILANG")</f>
        <v>SILANG</v>
      </c>
      <c r="AH761" s="1" t="str">
        <f>IFERROR(__xludf.DUMMYFUNCTION("""COMPUTED_VALUE"""),"NEAR BILUSO ELEMENTARY SCHOOL")</f>
        <v>NEAR BILUSO ELEMENTARY SCHOOL</v>
      </c>
      <c r="AI761" s="1" t="str">
        <f>IFERROR(__xludf.DUMMYFUNCTION("""COMPUTED_VALUE"""),"CLUSTER 11")</f>
        <v>CLUSTER 11</v>
      </c>
    </row>
    <row r="762" customHeight="1" spans="1:35">
      <c r="A762" s="3">
        <f>IFERROR(__xludf.DUMMYFUNCTION("""COMPUTED_VALUE"""),46295)</f>
        <v>46295</v>
      </c>
      <c r="B762" s="1" t="str">
        <f>IFERROR(__xludf.DUMMYFUNCTION("""COMPUTED_VALUE"""),"MANUEL REY BARRIENTOS CABANTING")</f>
        <v>MANUEL REY BARRIENTOS CABANTING</v>
      </c>
      <c r="C762" s="1">
        <f>IFERROR(__xludf.DUMMYFUNCTION("""COMPUTED_VALUE"""),2312883376)</f>
        <v>2312883376</v>
      </c>
      <c r="D762" s="1">
        <f>IFERROR(__xludf.DUMMYFUNCTION("""COMPUTED_VALUE"""),408507359)</f>
        <v>408507359</v>
      </c>
      <c r="E762" s="1">
        <f>IFERROR(__xludf.DUMMYFUNCTION("""COMPUTED_VALUE"""),473580444004)</f>
        <v>473580444004</v>
      </c>
      <c r="F762" s="1" t="str">
        <f>IFERROR(__xludf.DUMMYFUNCTION("""COMPUTED_VALUE"""),"CANCELLED")</f>
        <v>CANCELLED</v>
      </c>
      <c r="G762" s="1" t="str">
        <f>IFERROR(__xludf.DUMMYFUNCTION("""COMPUTED_VALUE"""),"TRUCROLL VISITED  THRUCALL REMARKS HOUSE CLOSED BAKA PUMASOK DAW PO NG TRABAHO KASI WALA ANG MOTOR AS PER BRGY TANOD CALL CBR DIDNT ANSWER TEXT NO REPLY  09363802674")</f>
        <v>TRUCROLL VISITED  THRUCALL REMARKS HOUSE CLOSED BAKA PUMASOK DAW PO NG TRABAHO KASI WALA ANG MOTOR AS PER BRGY TANOD CALL CBR DIDNT ANSWER TEXT NO REPLY  09363802674</v>
      </c>
      <c r="H762" s="1"/>
      <c r="I762" s="1" t="str">
        <f>IFERROR(__xludf.DUMMYFUNCTION("""COMPUTED_VALUE"""),"NO 1 AMSF")</f>
        <v>NO 1 AMSF</v>
      </c>
      <c r="J762" s="1"/>
      <c r="K762" s="1" t="str">
        <f>IFERROR(__xludf.DUMMYFUNCTION("""COMPUTED_VALUE"""),"CANCELED")</f>
        <v>CANCELED</v>
      </c>
      <c r="L762" s="1" t="str">
        <f>IFERROR(__xludf.DUMMYFUNCTION("""COMPUTED_VALUE"""),"CANCELLED")</f>
        <v>CANCELLED</v>
      </c>
      <c r="M762" s="1" t="str">
        <f>IFERROR(__xludf.DUMMYFUNCTION("""COMPUTED_VALUE"""),"CANCELLED")</f>
        <v>CANCELLED</v>
      </c>
      <c r="N762" s="3"/>
      <c r="O762" s="1" t="str">
        <f>IFERROR(__xludf.DUMMYFUNCTION("""COMPUTED_VALUE"""),"FIBR PLAN 1299")</f>
        <v>FIBR PLAN 1299</v>
      </c>
      <c r="P762" s="1" t="str">
        <f>IFERROR(__xludf.DUMMYFUNCTION("""COMPUTED_VALUE"""),"LOWPLAN")</f>
        <v>LOWPLAN</v>
      </c>
      <c r="Q762" s="1" t="str">
        <f>IFERROR(__xludf.DUMMYFUNCTION("""COMPUTED_VALUE"""),"P407517")</f>
        <v>P407517</v>
      </c>
      <c r="R762" s="1" t="str">
        <f>IFERROR(__xludf.DUMMYFUNCTION("""COMPUTED_VALUE"""),"GABAY, MANUEL")</f>
        <v>GABAY, MANUEL</v>
      </c>
      <c r="S762" s="1" t="str">
        <f>IFERROR(__xludf.DUMMYFUNCTION("""COMPUTED_VALUE"""),"FLA")</f>
        <v>FLA</v>
      </c>
      <c r="T762" s="1" t="str">
        <f>IFERROR(__xludf.DUMMYFUNCTION("""COMPUTED_VALUE"""),"JERIC NAVARRO")</f>
        <v>JERIC NAVARRO</v>
      </c>
      <c r="U762" s="1" t="str">
        <f>IFERROR(__xludf.DUMMYFUNCTION("""COMPUTED_VALUE"""),"JB SALIOA")</f>
        <v>JB SALIOA</v>
      </c>
      <c r="V762" s="1" t="str">
        <f>IFERROR(__xludf.DUMMYFUNCTION("""COMPUTED_VALUE"""),"BK HSTK")</f>
        <v>BK HSTK</v>
      </c>
      <c r="W762" s="1" t="str">
        <f>IFERROR(__xludf.DUMMYFUNCTION("""COMPUTED_VALUE"""),"BK HSTK")</f>
        <v>BK HSTK</v>
      </c>
      <c r="X762" s="1" t="str">
        <f>IFERROR(__xludf.DUMMYFUNCTION("""COMPUTED_VALUE"""),"HBBS SEPT 2026")</f>
        <v>HBBS SEPT 2026</v>
      </c>
      <c r="Y762" s="1" t="str">
        <f>IFERROR(__xludf.DUMMYFUNCTION("""COMPUTED_VALUE"""),"BK_CVEU_260827")</f>
        <v>BK_CVEU_260827</v>
      </c>
      <c r="Z762" s="1" t="str">
        <f>IFERROR(__xludf.DUMMYFUNCTION("""COMPUTED_VALUE"""),"NEW CONNECT")</f>
        <v>NEW CONNECT</v>
      </c>
      <c r="AA762" s="1">
        <f>IFERROR(__xludf.DUMMYFUNCTION("""COMPUTED_VALUE"""),639363802674)</f>
        <v>639363802674</v>
      </c>
      <c r="AB762" s="1"/>
      <c r="AC762" s="1"/>
      <c r="AD762" s="1" t="str">
        <f>IFERROR(__xludf.DUMMYFUNCTION("""COMPUTED_VALUE"""),"BANABA")</f>
        <v>BANABA</v>
      </c>
      <c r="AE762" s="1"/>
      <c r="AF762" s="1" t="str">
        <f>IFERROR(__xludf.DUMMYFUNCTION("""COMPUTED_VALUE"""),"BGY BANABA")</f>
        <v>BGY BANABA</v>
      </c>
      <c r="AG762" s="1" t="str">
        <f>IFERROR(__xludf.DUMMYFUNCTION("""COMPUTED_VALUE"""),"SILANG")</f>
        <v>SILANG</v>
      </c>
      <c r="AH762" s="1" t="str">
        <f>IFERROR(__xludf.DUMMYFUNCTION("""COMPUTED_VALUE"""),"-")</f>
        <v>-</v>
      </c>
      <c r="AI762" s="1" t="str">
        <f>IFERROR(__xludf.DUMMYFUNCTION("""COMPUTED_VALUE"""),"CLUSTER 11")</f>
        <v>CLUSTER 11</v>
      </c>
    </row>
    <row r="763" customHeight="1" spans="1:35">
      <c r="A763" s="3">
        <f>IFERROR(__xludf.DUMMYFUNCTION("""COMPUTED_VALUE"""),46295)</f>
        <v>46295</v>
      </c>
      <c r="B763" s="1" t="str">
        <f>IFERROR(__xludf.DUMMYFUNCTION("""COMPUTED_VALUE"""),"PATRICK MOSES ROBLEDO ANIS")</f>
        <v>PATRICK MOSES ROBLEDO ANIS</v>
      </c>
      <c r="C763" s="1">
        <f>IFERROR(__xludf.DUMMYFUNCTION("""COMPUTED_VALUE"""),2312879314)</f>
        <v>2312879314</v>
      </c>
      <c r="D763" s="1"/>
      <c r="E763" s="1"/>
      <c r="F763" s="1" t="str">
        <f>IFERROR(__xludf.DUMMYFUNCTION("""COMPUTED_VALUE"""),"CANCELLED")</f>
        <v>CANCELLED</v>
      </c>
      <c r="G763" s="1" t="str">
        <f>IFERROR(__xludf.DUMMYFUNCTION("""COMPUTED_VALUE"""),"FOR COMPLIANCE - BACK PORTION POID NATIONAL ID// SELFIE HOLDING POID")</f>
        <v>FOR COMPLIANCE - BACK PORTION POID NATIONAL ID// SELFIE HOLDING POID</v>
      </c>
      <c r="H763" s="1"/>
      <c r="I763" s="1"/>
      <c r="J763" s="1"/>
      <c r="K763" s="1"/>
      <c r="L763" s="1" t="str">
        <f>IFERROR(__xludf.DUMMYFUNCTION("""COMPUTED_VALUE"""),"CANCELLED")</f>
        <v>CANCELLED</v>
      </c>
      <c r="M763" s="1" t="str">
        <f>IFERROR(__xludf.DUMMYFUNCTION("""COMPUTED_VALUE"""),"CANCELLED")</f>
        <v>CANCELLED</v>
      </c>
      <c r="N763" s="3"/>
      <c r="O763" s="1" t="str">
        <f>IFERROR(__xludf.DUMMYFUNCTION("""COMPUTED_VALUE"""),"FIBER UNLI ALL PLAN 2599")</f>
        <v>FIBER UNLI ALL PLAN 2599</v>
      </c>
      <c r="P763" s="1" t="str">
        <f>IFERROR(__xludf.DUMMYFUNCTION("""COMPUTED_VALUE"""),"HIGHPLAN")</f>
        <v>HIGHPLAN</v>
      </c>
      <c r="Q763" s="1" t="str">
        <f>IFERROR(__xludf.DUMMYFUNCTION("""COMPUTED_VALUE"""),"P407567")</f>
        <v>P407567</v>
      </c>
      <c r="R763" s="1" t="str">
        <f>IFERROR(__xludf.DUMMYFUNCTION("""COMPUTED_VALUE"""),"ILANO, LIANDRO TEJAS")</f>
        <v>ILANO, LIANDRO TEJAS</v>
      </c>
      <c r="S763" s="1" t="str">
        <f>IFERROR(__xludf.DUMMYFUNCTION("""COMPUTED_VALUE"""),"LEADSTORE")</f>
        <v>LEADSTORE</v>
      </c>
      <c r="T763" s="1" t="str">
        <f>IFERROR(__xludf.DUMMYFUNCTION("""COMPUTED_VALUE"""),"JERIC NAVARRO")</f>
        <v>JERIC NAVARRO</v>
      </c>
      <c r="U763" s="1" t="str">
        <f>IFERROR(__xludf.DUMMYFUNCTION("""COMPUTED_VALUE"""),"JB SALIOA")</f>
        <v>JB SALIOA</v>
      </c>
      <c r="V763" s="1" t="str">
        <f>IFERROR(__xludf.DUMMYFUNCTION("""COMPUTED_VALUE"""),"ONLINE/CRANFORD")</f>
        <v>ONLINE/CRANFORD</v>
      </c>
      <c r="W763" s="1" t="str">
        <f>IFERROR(__xludf.DUMMYFUNCTION("""COMPUTED_VALUE"""),"STK REGULAR")</f>
        <v>STK REGULAR</v>
      </c>
      <c r="X763" s="1" t="str">
        <f>IFERROR(__xludf.DUMMYFUNCTION("""COMPUTED_VALUE"""),"HBBS SEPT 2026")</f>
        <v>HBBS SEPT 2026</v>
      </c>
      <c r="Y763" s="1" t="str">
        <f>IFERROR(__xludf.DUMMYFUNCTION("""COMPUTED_VALUE"""),"RS_LS_CVEU_2026")</f>
        <v>RS_LS_CVEU_2026</v>
      </c>
      <c r="Z763" s="1" t="str">
        <f>IFERROR(__xludf.DUMMYFUNCTION("""COMPUTED_VALUE"""),"NEW CONNECT")</f>
        <v>NEW CONNECT</v>
      </c>
      <c r="AA763" s="1">
        <f>IFERROR(__xludf.DUMMYFUNCTION("""COMPUTED_VALUE"""),639496576269)</f>
        <v>639496576269</v>
      </c>
      <c r="AB763" s="1">
        <f>IFERROR(__xludf.DUMMYFUNCTION("""COMPUTED_VALUE"""),639625388912)</f>
        <v>639625388912</v>
      </c>
      <c r="AC763" s="1"/>
      <c r="AD763" s="1" t="str">
        <f>IFERROR(__xludf.DUMMYFUNCTION("""COMPUTED_VALUE"""),"GINGER")</f>
        <v>GINGER</v>
      </c>
      <c r="AE763" s="1" t="str">
        <f>IFERROR(__xludf.DUMMYFUNCTION("""COMPUTED_VALUE"""),"METROGATE TAGAYTAY ESTATES")</f>
        <v>METROGATE TAGAYTAY ESTATES</v>
      </c>
      <c r="AF763" s="1" t="str">
        <f>IFERROR(__xludf.DUMMYFUNCTION("""COMPUTED_VALUE"""),"BGY KAYBAGAL SOUTH")</f>
        <v>BGY KAYBAGAL SOUTH</v>
      </c>
      <c r="AG763" s="1" t="str">
        <f>IFERROR(__xludf.DUMMYFUNCTION("""COMPUTED_VALUE"""),"TAGAYTAY")</f>
        <v>TAGAYTAY</v>
      </c>
      <c r="AH763" s="1" t="str">
        <f>IFERROR(__xludf.DUMMYFUNCTION("""COMPUTED_VALUE"""),"METROGATES ARK")</f>
        <v>METROGATES ARK</v>
      </c>
      <c r="AI763" s="1" t="str">
        <f>IFERROR(__xludf.DUMMYFUNCTION("""COMPUTED_VALUE"""),"CLUSTER 12")</f>
        <v>CLUSTER 12</v>
      </c>
    </row>
    <row r="764" customHeight="1" spans="1:35">
      <c r="A764" s="3">
        <f>IFERROR(__xludf.DUMMYFUNCTION("""COMPUTED_VALUE"""),46295)</f>
        <v>46295</v>
      </c>
      <c r="B764" s="1" t="str">
        <f>IFERROR(__xludf.DUMMYFUNCTION("""COMPUTED_VALUE"""),"TERESITA COMPETENTE CERIOLA")</f>
        <v>TERESITA COMPETENTE CERIOLA</v>
      </c>
      <c r="C764" s="1">
        <f>IFERROR(__xludf.DUMMYFUNCTION("""COMPUTED_VALUE"""),2312885277)</f>
        <v>2312885277</v>
      </c>
      <c r="D764" s="1">
        <f>IFERROR(__xludf.DUMMYFUNCTION("""COMPUTED_VALUE"""),408510821)</f>
        <v>408510821</v>
      </c>
      <c r="E764" s="1">
        <f>IFERROR(__xludf.DUMMYFUNCTION("""COMPUTED_VALUE"""),473591665004)</f>
        <v>473591665004</v>
      </c>
      <c r="F764" s="1" t="str">
        <f>IFERROR(__xludf.DUMMYFUNCTION("""COMPUTED_VALUE"""),"CANCELLED")</f>
        <v>CANCELLED</v>
      </c>
      <c r="G764" s="1" t="str">
        <f>IFERROR(__xludf.DUMMYFUNCTION("""COMPUTED_VALUE"""),"""CALL THRU 
CANCEL APPLICATION ANG PROCEED PO YUNG PLAN 1499 09508070258 09703275779""")</f>
        <v>"CALL THRU 
CANCEL APPLICATION ANG PROCEED PO YUNG PLAN 1499 09508070258 09703275779"</v>
      </c>
      <c r="H764" s="1"/>
      <c r="I764" s="1" t="str">
        <f>IFERROR(__xludf.DUMMYFUNCTION("""COMPUTED_VALUE"""),"NO 1 AMSF")</f>
        <v>NO 1 AMSF</v>
      </c>
      <c r="J764" s="1"/>
      <c r="K764" s="1"/>
      <c r="L764" s="1" t="str">
        <f>IFERROR(__xludf.DUMMYFUNCTION("""COMPUTED_VALUE"""),"RPR - SUBS CANCEL REQUEST")</f>
        <v>RPR - SUBS CANCEL REQUEST</v>
      </c>
      <c r="M764" s="1" t="str">
        <f>IFERROR(__xludf.DUMMYFUNCTION("""COMPUTED_VALUE"""),"RPR- SUBS CANCEL REQUEST")</f>
        <v>RPR- SUBS CANCEL REQUEST</v>
      </c>
      <c r="N764" s="3"/>
      <c r="O764" s="1" t="str">
        <f>IFERROR(__xludf.DUMMYFUNCTION("""COMPUTED_VALUE"""),"FIBER UNLI ALL PLAN 2599")</f>
        <v>FIBER UNLI ALL PLAN 2599</v>
      </c>
      <c r="P764" s="1" t="str">
        <f>IFERROR(__xludf.DUMMYFUNCTION("""COMPUTED_VALUE"""),"HIGHPLAN")</f>
        <v>HIGHPLAN</v>
      </c>
      <c r="Q764" s="1" t="str">
        <f>IFERROR(__xludf.DUMMYFUNCTION("""COMPUTED_VALUE"""),"P407047")</f>
        <v>P407047</v>
      </c>
      <c r="R764" s="1" t="str">
        <f>IFERROR(__xludf.DUMMYFUNCTION("""COMPUTED_VALUE"""),"FRANCISCO, ROSELYN")</f>
        <v>FRANCISCO, ROSELYN</v>
      </c>
      <c r="S764" s="1" t="str">
        <f>IFERROR(__xludf.DUMMYFUNCTION("""COMPUTED_VALUE"""),"ORGANIC")</f>
        <v>ORGANIC</v>
      </c>
      <c r="T764" s="1" t="str">
        <f>IFERROR(__xludf.DUMMYFUNCTION("""COMPUTED_VALUE"""),"LEA REMOLLO")</f>
        <v>LEA REMOLLO</v>
      </c>
      <c r="U764" s="1" t="str">
        <f>IFERROR(__xludf.DUMMYFUNCTION("""COMPUTED_VALUE"""),"JB SALIOA")</f>
        <v>JB SALIOA</v>
      </c>
      <c r="V764" s="1" t="str">
        <f>IFERROR(__xludf.DUMMYFUNCTION("""COMPUTED_VALUE"""),"BK HSTK")</f>
        <v>BK HSTK</v>
      </c>
      <c r="W764" s="1" t="str">
        <f>IFERROR(__xludf.DUMMYFUNCTION("""COMPUTED_VALUE"""),"BK HSTK")</f>
        <v>BK HSTK</v>
      </c>
      <c r="X764" s="1" t="str">
        <f>IFERROR(__xludf.DUMMYFUNCTION("""COMPUTED_VALUE"""),"HBBS SEPT 2026")</f>
        <v>HBBS SEPT 2026</v>
      </c>
      <c r="Y764" s="1" t="str">
        <f>IFERROR(__xludf.DUMMYFUNCTION("""COMPUTED_VALUE"""),"BK_CVEU_260827")</f>
        <v>BK_CVEU_260827</v>
      </c>
      <c r="Z764" s="1" t="str">
        <f>IFERROR(__xludf.DUMMYFUNCTION("""COMPUTED_VALUE"""),"NEW CONNECT")</f>
        <v>NEW CONNECT</v>
      </c>
      <c r="AA764" s="1">
        <f>IFERROR(__xludf.DUMMYFUNCTION("""COMPUTED_VALUE"""),639508070258)</f>
        <v>639508070258</v>
      </c>
      <c r="AB764" s="1">
        <f>IFERROR(__xludf.DUMMYFUNCTION("""COMPUTED_VALUE"""),639703275779)</f>
        <v>639703275779</v>
      </c>
      <c r="AC764" s="1">
        <f>IFERROR(__xludf.DUMMYFUNCTION("""COMPUTED_VALUE"""),126)</f>
        <v>126</v>
      </c>
      <c r="AD764" s="1" t="str">
        <f>IFERROR(__xludf.DUMMYFUNCTION("""COMPUTED_VALUE"""),"PALIGAWAN")</f>
        <v>PALIGAWAN</v>
      </c>
      <c r="AE764" s="1" t="str">
        <f>IFERROR(__xludf.DUMMYFUNCTION("""COMPUTED_VALUE"""),"PUROK 5")</f>
        <v>PUROK 5</v>
      </c>
      <c r="AF764" s="1" t="str">
        <f>IFERROR(__xludf.DUMMYFUNCTION("""COMPUTED_VALUE"""),"BGY LUMIL")</f>
        <v>BGY LUMIL</v>
      </c>
      <c r="AG764" s="1" t="str">
        <f>IFERROR(__xludf.DUMMYFUNCTION("""COMPUTED_VALUE"""),"SILANG")</f>
        <v>SILANG</v>
      </c>
      <c r="AH764" s="1" t="str">
        <f>IFERROR(__xludf.DUMMYFUNCTION("""COMPUTED_VALUE"""),"-")</f>
        <v>-</v>
      </c>
      <c r="AI764" s="1" t="str">
        <f>IFERROR(__xludf.DUMMYFUNCTION("""COMPUTED_VALUE"""),"CLUSTER 11")</f>
        <v>CLUSTER 11</v>
      </c>
    </row>
    <row r="765" customHeight="1" spans="1:35">
      <c r="A765" s="3">
        <f>IFERROR(__xludf.DUMMYFUNCTION("""COMPUTED_VALUE"""),46295)</f>
        <v>46295</v>
      </c>
      <c r="B765" s="1" t="str">
        <f>IFERROR(__xludf.DUMMYFUNCTION("""COMPUTED_VALUE"""),"SUNSHINE GANO KITINGAN")</f>
        <v>SUNSHINE GANO KITINGAN</v>
      </c>
      <c r="C765" s="1">
        <f>IFERROR(__xludf.DUMMYFUNCTION("""COMPUTED_VALUE"""),2312886306)</f>
        <v>2312886306</v>
      </c>
      <c r="D765" s="1">
        <f>IFERROR(__xludf.DUMMYFUNCTION("""COMPUTED_VALUE"""),408512131)</f>
        <v>408512131</v>
      </c>
      <c r="E765" s="1">
        <f>IFERROR(__xludf.DUMMYFUNCTION("""COMPUTED_VALUE"""),473592147004)</f>
        <v>473592147004</v>
      </c>
      <c r="F765" s="1" t="str">
        <f>IFERROR(__xludf.DUMMYFUNCTION("""COMPUTED_VALUE"""),"CLOSED")</f>
        <v>CLOSED</v>
      </c>
      <c r="G765" s="1" t="str">
        <f>IFERROR(__xludf.DUMMYFUNCTION("""COMPUTED_VALUE"""),"CLOSED")</f>
        <v>CLOSED</v>
      </c>
      <c r="H765" s="1" t="str">
        <f>IFERROR(__xludf.DUMMYFUNCTION("""COMPUTED_VALUE"""),"PAID VIA GCASH - OCT 1 - REF - 439087389")</f>
        <v>PAID VIA GCASH - OCT 1 - REF - 439087389</v>
      </c>
      <c r="I765" s="1" t="str">
        <f>IFERROR(__xludf.DUMMYFUNCTION("""COMPUTED_VALUE"""),"WITH 1 AMSF")</f>
        <v>WITH 1 AMSF</v>
      </c>
      <c r="J765" s="1"/>
      <c r="K765" s="1"/>
      <c r="L765" s="1" t="str">
        <f>IFERROR(__xludf.DUMMYFUNCTION("""COMPUTED_VALUE"""),"POSTED")</f>
        <v>POSTED</v>
      </c>
      <c r="M765" s="1" t="str">
        <f>IFERROR(__xludf.DUMMYFUNCTION("""COMPUTED_VALUE"""),"POSTED")</f>
        <v>POSTED</v>
      </c>
      <c r="N765" s="3">
        <f>IFERROR(__xludf.DUMMYFUNCTION("""COMPUTED_VALUE"""),46297)</f>
        <v>46297</v>
      </c>
      <c r="O765" s="1" t="str">
        <f>IFERROR(__xludf.DUMMYFUNCTION("""COMPUTED_VALUE"""),"FIBR NETFLIX PLAN 1599")</f>
        <v>FIBR NETFLIX PLAN 1599</v>
      </c>
      <c r="P765" s="1" t="str">
        <f>IFERROR(__xludf.DUMMYFUNCTION("""COMPUTED_VALUE"""),"LOWPLAN")</f>
        <v>LOWPLAN</v>
      </c>
      <c r="Q765" s="1" t="str">
        <f>IFERROR(__xludf.DUMMYFUNCTION("""COMPUTED_VALUE"""),"P407567")</f>
        <v>P407567</v>
      </c>
      <c r="R765" s="1" t="str">
        <f>IFERROR(__xludf.DUMMYFUNCTION("""COMPUTED_VALUE"""),"IVNO, RAZZEL")</f>
        <v>IVNO, RAZZEL</v>
      </c>
      <c r="S765" s="1" t="str">
        <f>IFERROR(__xludf.DUMMYFUNCTION("""COMPUTED_VALUE"""),"FLA")</f>
        <v>FLA</v>
      </c>
      <c r="T765" s="1" t="str">
        <f>IFERROR(__xludf.DUMMYFUNCTION("""COMPUTED_VALUE"""),"JERIC NAVARRO")</f>
        <v>JERIC NAVARRO</v>
      </c>
      <c r="U765" s="1" t="str">
        <f>IFERROR(__xludf.DUMMYFUNCTION("""COMPUTED_VALUE"""),"JB SALIOA")</f>
        <v>JB SALIOA</v>
      </c>
      <c r="V765" s="1" t="str">
        <f>IFERROR(__xludf.DUMMYFUNCTION("""COMPUTED_VALUE"""),"BK REGULAR")</f>
        <v>BK REGULAR</v>
      </c>
      <c r="W765" s="1" t="str">
        <f>IFERROR(__xludf.DUMMYFUNCTION("""COMPUTED_VALUE"""),"STK REGULAR")</f>
        <v>STK REGULAR</v>
      </c>
      <c r="X765" s="1" t="str">
        <f>IFERROR(__xludf.DUMMYFUNCTION("""COMPUTED_VALUE"""),"HBBS SEPT 2026")</f>
        <v>HBBS SEPT 2026</v>
      </c>
      <c r="Y765" s="1" t="str">
        <f>IFERROR(__xludf.DUMMYFUNCTION("""COMPUTED_VALUE"""),"RS_LS_CVEU_2026")</f>
        <v>RS_LS_CVEU_2026</v>
      </c>
      <c r="Z765" s="1" t="str">
        <f>IFERROR(__xludf.DUMMYFUNCTION("""COMPUTED_VALUE"""),"NEW CONNECT")</f>
        <v>NEW CONNECT</v>
      </c>
      <c r="AA765" s="1">
        <f>IFERROR(__xludf.DUMMYFUNCTION("""COMPUTED_VALUE"""),639063281342)</f>
        <v>639063281342</v>
      </c>
      <c r="AB765" s="1"/>
      <c r="AC765" s="1">
        <f>IFERROR(__xludf.DUMMYFUNCTION("""COMPUTED_VALUE"""),30)</f>
        <v>30</v>
      </c>
      <c r="AD765" s="1" t="str">
        <f>IFERROR(__xludf.DUMMYFUNCTION("""COMPUTED_VALUE"""),"PUROK 7")</f>
        <v>PUROK 7</v>
      </c>
      <c r="AE765" s="1"/>
      <c r="AF765" s="1" t="str">
        <f>IFERROR(__xludf.DUMMYFUNCTION("""COMPUTED_VALUE"""),"BGY LUMIL")</f>
        <v>BGY LUMIL</v>
      </c>
      <c r="AG765" s="1" t="str">
        <f>IFERROR(__xludf.DUMMYFUNCTION("""COMPUTED_VALUE"""),"SILANG")</f>
        <v>SILANG</v>
      </c>
      <c r="AH765" s="1" t="str">
        <f>IFERROR(__xludf.DUMMYFUNCTION("""COMPUTED_VALUE"""),"-")</f>
        <v>-</v>
      </c>
      <c r="AI765" s="1" t="str">
        <f>IFERROR(__xludf.DUMMYFUNCTION("""COMPUTED_VALUE"""),"CLUSTER 11")</f>
        <v>CLUSTER 11</v>
      </c>
    </row>
    <row r="766" customHeight="1" spans="1:35">
      <c r="A766" s="3">
        <f>IFERROR(__xludf.DUMMYFUNCTION("""COMPUTED_VALUE"""),46295)</f>
        <v>46295</v>
      </c>
      <c r="B766" s="1" t="str">
        <f>IFERROR(__xludf.DUMMYFUNCTION("""COMPUTED_VALUE"""),"TERESITA COMPETENTE CERIOLA")</f>
        <v>TERESITA COMPETENTE CERIOLA</v>
      </c>
      <c r="C766" s="1">
        <f>IFERROR(__xludf.DUMMYFUNCTION("""COMPUTED_VALUE"""),2312886662)</f>
        <v>2312886662</v>
      </c>
      <c r="D766" s="1"/>
      <c r="E766" s="1"/>
      <c r="F766" s="1" t="str">
        <f>IFERROR(__xludf.DUMMYFUNCTION("""COMPUTED_VALUE"""),"CANCELLED")</f>
        <v>CANCELLED</v>
      </c>
      <c r="G766" s="1" t="str">
        <f>IFERROR(__xludf.DUMMYFUNCTION("""COMPUTED_VALUE"""),"(WITH PENDING APPLICATION ALREADY; CANCELLED THE NEW APPLICATION) FF - SEGMENT 1 - NEW TO CREDIT - MID RISK")</f>
        <v>(WITH PENDING APPLICATION ALREADY; CANCELLED THE NEW APPLICATION) FF - SEGMENT 1 - NEW TO CREDIT - MID RISK</v>
      </c>
      <c r="H766" s="1"/>
      <c r="I766" s="1"/>
      <c r="J766" s="1"/>
      <c r="K766" s="1"/>
      <c r="L766" s="1" t="str">
        <f>IFERROR(__xludf.DUMMYFUNCTION("""COMPUTED_VALUE"""),"CANCELLED - DUPLICATE APP")</f>
        <v>CANCELLED - DUPLICATE APP</v>
      </c>
      <c r="M766" s="1" t="str">
        <f>IFERROR(__xludf.DUMMYFUNCTION("""COMPUTED_VALUE"""),"CANCELLED - DUPLICATE APP")</f>
        <v>CANCELLED - DUPLICATE APP</v>
      </c>
      <c r="N766" s="3"/>
      <c r="O766" s="1" t="str">
        <f>IFERROR(__xludf.DUMMYFUNCTION("""COMPUTED_VALUE"""),"FIBER UNLI ALL PLAN 1499")</f>
        <v>FIBER UNLI ALL PLAN 1499</v>
      </c>
      <c r="P766" s="1" t="str">
        <f>IFERROR(__xludf.DUMMYFUNCTION("""COMPUTED_VALUE"""),"LOWPLAN")</f>
        <v>LOWPLAN</v>
      </c>
      <c r="Q766" s="1" t="str">
        <f>IFERROR(__xludf.DUMMYFUNCTION("""COMPUTED_VALUE"""),"P407047")</f>
        <v>P407047</v>
      </c>
      <c r="R766" s="1" t="str">
        <f>IFERROR(__xludf.DUMMYFUNCTION("""COMPUTED_VALUE"""),"FRANCISCO, ROSELYN")</f>
        <v>FRANCISCO, ROSELYN</v>
      </c>
      <c r="S766" s="1" t="str">
        <f>IFERROR(__xludf.DUMMYFUNCTION("""COMPUTED_VALUE"""),"ORGANIC")</f>
        <v>ORGANIC</v>
      </c>
      <c r="T766" s="1" t="str">
        <f>IFERROR(__xludf.DUMMYFUNCTION("""COMPUTED_VALUE"""),"LEA REMOLLO")</f>
        <v>LEA REMOLLO</v>
      </c>
      <c r="U766" s="1" t="str">
        <f>IFERROR(__xludf.DUMMYFUNCTION("""COMPUTED_VALUE"""),"JB SALIOA")</f>
        <v>JB SALIOA</v>
      </c>
      <c r="V766" s="1" t="str">
        <f>IFERROR(__xludf.DUMMYFUNCTION("""COMPUTED_VALUE"""),"BK HSTK")</f>
        <v>BK HSTK</v>
      </c>
      <c r="W766" s="1" t="str">
        <f>IFERROR(__xludf.DUMMYFUNCTION("""COMPUTED_VALUE"""),"BK HSTK")</f>
        <v>BK HSTK</v>
      </c>
      <c r="X766" s="1" t="str">
        <f>IFERROR(__xludf.DUMMYFUNCTION("""COMPUTED_VALUE"""),"HBBS SEPT 2026")</f>
        <v>HBBS SEPT 2026</v>
      </c>
      <c r="Y766" s="1" t="str">
        <f>IFERROR(__xludf.DUMMYFUNCTION("""COMPUTED_VALUE"""),"BK_CVEU_260827")</f>
        <v>BK_CVEU_260827</v>
      </c>
      <c r="Z766" s="1" t="str">
        <f>IFERROR(__xludf.DUMMYFUNCTION("""COMPUTED_VALUE"""),"NEW CONNECT")</f>
        <v>NEW CONNECT</v>
      </c>
      <c r="AA766" s="1">
        <f>IFERROR(__xludf.DUMMYFUNCTION("""COMPUTED_VALUE"""),639508070258)</f>
        <v>639508070258</v>
      </c>
      <c r="AB766" s="1">
        <f>IFERROR(__xludf.DUMMYFUNCTION("""COMPUTED_VALUE"""),639703275779)</f>
        <v>639703275779</v>
      </c>
      <c r="AC766" s="1">
        <f>IFERROR(__xludf.DUMMYFUNCTION("""COMPUTED_VALUE"""),126)</f>
        <v>126</v>
      </c>
      <c r="AD766" s="1" t="str">
        <f>IFERROR(__xludf.DUMMYFUNCTION("""COMPUTED_VALUE"""),"PALIGAWAN")</f>
        <v>PALIGAWAN</v>
      </c>
      <c r="AE766" s="1" t="str">
        <f>IFERROR(__xludf.DUMMYFUNCTION("""COMPUTED_VALUE"""),"PUROK 5")</f>
        <v>PUROK 5</v>
      </c>
      <c r="AF766" s="1" t="str">
        <f>IFERROR(__xludf.DUMMYFUNCTION("""COMPUTED_VALUE"""),"BGY LUMIL")</f>
        <v>BGY LUMIL</v>
      </c>
      <c r="AG766" s="1" t="str">
        <f>IFERROR(__xludf.DUMMYFUNCTION("""COMPUTED_VALUE"""),"SILANG")</f>
        <v>SILANG</v>
      </c>
      <c r="AH766" s="1" t="str">
        <f>IFERROR(__xludf.DUMMYFUNCTION("""COMPUTED_VALUE"""),"-")</f>
        <v>-</v>
      </c>
      <c r="AI766" s="1" t="str">
        <f>IFERROR(__xludf.DUMMYFUNCTION("""COMPUTED_VALUE"""),"CLUSTER 11")</f>
        <v>CLUSTER 11</v>
      </c>
    </row>
    <row r="767" customHeight="1" spans="1:35">
      <c r="A767" s="3">
        <f>IFERROR(__xludf.DUMMYFUNCTION("""COMPUTED_VALUE"""),46295)</f>
        <v>46295</v>
      </c>
      <c r="B767" s="1" t="str">
        <f>IFERROR(__xludf.DUMMYFUNCTION("""COMPUTED_VALUE"""),"GEORY TRIBUNALO PESINABLE")</f>
        <v>GEORY TRIBUNALO PESINABLE</v>
      </c>
      <c r="C767" s="1">
        <f>IFERROR(__xludf.DUMMYFUNCTION("""COMPUTED_VALUE"""),2312889173)</f>
        <v>2312889173</v>
      </c>
      <c r="D767" s="1">
        <f>IFERROR(__xludf.DUMMYFUNCTION("""COMPUTED_VALUE"""),408522617)</f>
        <v>408522617</v>
      </c>
      <c r="E767" s="1">
        <f>IFERROR(__xludf.DUMMYFUNCTION("""COMPUTED_VALUE"""),473598183004)</f>
        <v>473598183004</v>
      </c>
      <c r="F767" s="1" t="str">
        <f>IFERROR(__xludf.DUMMYFUNCTION("""COMPUTED_VALUE"""),"CANCELLED")</f>
        <v>CANCELLED</v>
      </c>
      <c r="G767" s="1" t="str">
        <f>IFERROR(__xludf.DUMMYFUNCTION("""COMPUTED_VALUE"""),"""VISITED 
鈥嶳EMARKS CANT LOCATE NO RESPONSE FROM CBR RINGING ONLY HNDI RIN NGREPLY SA TEXT MESSAGE HNDI DIN KILALA SA AREA 
鈥
""")</f>
        <v>"VISITED 
鈥嶳EMARKS CANT LOCATE NO RESPONSE FROM CBR RINGING ONLY HNDI RIN NGREPLY SA TEXT MESSAGE HNDI DIN KILALA SA AREA 
鈥
"</v>
      </c>
      <c r="H767" s="1"/>
      <c r="I767" s="1" t="str">
        <f>IFERROR(__xludf.DUMMYFUNCTION("""COMPUTED_VALUE"""),"NO 1 AMSF")</f>
        <v>NO 1 AMSF</v>
      </c>
      <c r="J767" s="1"/>
      <c r="K767" s="1"/>
      <c r="L767" s="1" t="str">
        <f>IFERROR(__xludf.DUMMYFUNCTION("""COMPUTED_VALUE"""),"CANCELLED")</f>
        <v>CANCELLED</v>
      </c>
      <c r="M767" s="1" t="str">
        <f>IFERROR(__xludf.DUMMYFUNCTION("""COMPUTED_VALUE"""),"CANCELLED - RPR")</f>
        <v>CANCELLED - RPR</v>
      </c>
      <c r="N767" s="3"/>
      <c r="O767" s="1" t="str">
        <f>IFERROR(__xludf.DUMMYFUNCTION("""COMPUTED_VALUE"""),"FIBR PLAN 1299")</f>
        <v>FIBR PLAN 1299</v>
      </c>
      <c r="P767" s="1" t="str">
        <f>IFERROR(__xludf.DUMMYFUNCTION("""COMPUTED_VALUE"""),"LOWPLAN")</f>
        <v>LOWPLAN</v>
      </c>
      <c r="Q767" s="1" t="str">
        <f>IFERROR(__xludf.DUMMYFUNCTION("""COMPUTED_VALUE"""),"P407561")</f>
        <v>P407561</v>
      </c>
      <c r="R767" s="1" t="str">
        <f>IFERROR(__xludf.DUMMYFUNCTION("""COMPUTED_VALUE"""),"CABRERA, IVAN")</f>
        <v>CABRERA, IVAN</v>
      </c>
      <c r="S767" s="1" t="str">
        <f>IFERROR(__xludf.DUMMYFUNCTION("""COMPUTED_VALUE"""),"ORGANIC")</f>
        <v>ORGANIC</v>
      </c>
      <c r="T767" s="1" t="str">
        <f>IFERROR(__xludf.DUMMYFUNCTION("""COMPUTED_VALUE"""),"LEA REMOLLO")</f>
        <v>LEA REMOLLO</v>
      </c>
      <c r="U767" s="1" t="str">
        <f>IFERROR(__xludf.DUMMYFUNCTION("""COMPUTED_VALUE"""),"JB SALIOA")</f>
        <v>JB SALIOA</v>
      </c>
      <c r="V767" s="1" t="str">
        <f>IFERROR(__xludf.DUMMYFUNCTION("""COMPUTED_VALUE"""),"BK REGULAR")</f>
        <v>BK REGULAR</v>
      </c>
      <c r="W767" s="1" t="str">
        <f>IFERROR(__xludf.DUMMYFUNCTION("""COMPUTED_VALUE"""),"STK REGULAR")</f>
        <v>STK REGULAR</v>
      </c>
      <c r="X767" s="1" t="str">
        <f>IFERROR(__xludf.DUMMYFUNCTION("""COMPUTED_VALUE"""),"HBBS SEPT 2026")</f>
        <v>HBBS SEPT 2026</v>
      </c>
      <c r="Y767" s="1" t="str">
        <f>IFERROR(__xludf.DUMMYFUNCTION("""COMPUTED_VALUE"""),"BK_CVEU_260827")</f>
        <v>BK_CVEU_260827</v>
      </c>
      <c r="Z767" s="1" t="str">
        <f>IFERROR(__xludf.DUMMYFUNCTION("""COMPUTED_VALUE"""),"NEW CONNECT")</f>
        <v>NEW CONNECT</v>
      </c>
      <c r="AA767" s="1">
        <f>IFERROR(__xludf.DUMMYFUNCTION("""COMPUTED_VALUE"""),639923678646)</f>
        <v>639923678646</v>
      </c>
      <c r="AB767" s="1"/>
      <c r="AC767" s="1">
        <f>IFERROR(__xludf.DUMMYFUNCTION("""COMPUTED_VALUE"""),5)</f>
        <v>5</v>
      </c>
      <c r="AD767" s="1" t="str">
        <f>IFERROR(__xludf.DUMMYFUNCTION("""COMPUTED_VALUE"""),"PUROK 5")</f>
        <v>PUROK 5</v>
      </c>
      <c r="AE767" s="1"/>
      <c r="AF767" s="1" t="str">
        <f>IFERROR(__xludf.DUMMYFUNCTION("""COMPUTED_VALUE"""),"BGY LUMIL")</f>
        <v>BGY LUMIL</v>
      </c>
      <c r="AG767" s="1" t="str">
        <f>IFERROR(__xludf.DUMMYFUNCTION("""COMPUTED_VALUE"""),"SILANG")</f>
        <v>SILANG</v>
      </c>
      <c r="AH767" s="1" t="str">
        <f>IFERROR(__xludf.DUMMYFUNCTION("""COMPUTED_VALUE"""),"ALFAMART")</f>
        <v>ALFAMART</v>
      </c>
      <c r="AI767" s="1" t="str">
        <f>IFERROR(__xludf.DUMMYFUNCTION("""COMPUTED_VALUE"""),"CLUSTER 11")</f>
        <v>CLUSTER 11</v>
      </c>
    </row>
    <row r="768" customHeight="1" spans="1:35">
      <c r="A768" s="3">
        <f>IFERROR(__xludf.DUMMYFUNCTION("""COMPUTED_VALUE"""),46295)</f>
        <v>46295</v>
      </c>
      <c r="B768" s="1" t="str">
        <f>IFERROR(__xludf.DUMMYFUNCTION("""COMPUTED_VALUE"""),"JONATHAN PAJO CASTRO")</f>
        <v>JONATHAN PAJO CASTRO</v>
      </c>
      <c r="C768" s="1">
        <f>IFERROR(__xludf.DUMMYFUNCTION("""COMPUTED_VALUE"""),2312890636)</f>
        <v>2312890636</v>
      </c>
      <c r="D768" s="1">
        <f>IFERROR(__xludf.DUMMYFUNCTION("""COMPUTED_VALUE"""),408524776)</f>
        <v>408524776</v>
      </c>
      <c r="E768" s="1">
        <f>IFERROR(__xludf.DUMMYFUNCTION("""COMPUTED_VALUE"""),473598231004)</f>
        <v>473598231004</v>
      </c>
      <c r="F768" s="1" t="str">
        <f>IFERROR(__xludf.DUMMYFUNCTION("""COMPUTED_VALUE"""),"CLOSED")</f>
        <v>CLOSED</v>
      </c>
      <c r="G768" s="1" t="str">
        <f>IFERROR(__xludf.DUMMYFUNCTION("""COMPUTED_VALUE"""),"CLOSED")</f>
        <v>CLOSED</v>
      </c>
      <c r="H768" s="1" t="str">
        <f>IFERROR(__xludf.DUMMYFUNCTION("""COMPUTED_VALUE"""),"PQGOR366224147	05-Oct-26	Regular Payment	CIS-GCASH 3.0	1,299.00	0	05-Oct-26")</f>
        <v>PQGOR366224147	05-Oct-26	Regular Payment	CIS-GCASH 3.0	1,299.00	0	05-Oct-26</v>
      </c>
      <c r="I768" s="1" t="str">
        <f>IFERROR(__xludf.DUMMYFUNCTION("""COMPUTED_VALUE"""),"WITH 1 AMSF")</f>
        <v>WITH 1 AMSF</v>
      </c>
      <c r="J768" s="1"/>
      <c r="K768" s="1"/>
      <c r="L768" s="1" t="str">
        <f>IFERROR(__xludf.DUMMYFUNCTION("""COMPUTED_VALUE"""),"POSTED")</f>
        <v>POSTED</v>
      </c>
      <c r="M768" s="1" t="str">
        <f>IFERROR(__xludf.DUMMYFUNCTION("""COMPUTED_VALUE"""),"POSTED")</f>
        <v>POSTED</v>
      </c>
      <c r="N768" s="3">
        <f>IFERROR(__xludf.DUMMYFUNCTION("""COMPUTED_VALUE"""),46297)</f>
        <v>46297</v>
      </c>
      <c r="O768" s="1" t="str">
        <f>IFERROR(__xludf.DUMMYFUNCTION("""COMPUTED_VALUE"""),"SWITCH FIBER 1299")</f>
        <v>SWITCH FIBER 1299</v>
      </c>
      <c r="P768" s="1" t="str">
        <f>IFERROR(__xludf.DUMMYFUNCTION("""COMPUTED_VALUE"""),"LOWPLAN")</f>
        <v>LOWPLAN</v>
      </c>
      <c r="Q768" s="1" t="str">
        <f>IFERROR(__xludf.DUMMYFUNCTION("""COMPUTED_VALUE"""),"P407561")</f>
        <v>P407561</v>
      </c>
      <c r="R768" s="1" t="str">
        <f>IFERROR(__xludf.DUMMYFUNCTION("""COMPUTED_VALUE"""),"BALANLAYOS, ANDREI")</f>
        <v>BALANLAYOS, ANDREI</v>
      </c>
      <c r="S768" s="1" t="str">
        <f>IFERROR(__xludf.DUMMYFUNCTION("""COMPUTED_VALUE"""),"ORGANIC")</f>
        <v>ORGANIC</v>
      </c>
      <c r="T768" s="1" t="str">
        <f>IFERROR(__xludf.DUMMYFUNCTION("""COMPUTED_VALUE"""),"LEA REMOLLO")</f>
        <v>LEA REMOLLO</v>
      </c>
      <c r="U768" s="1" t="str">
        <f>IFERROR(__xludf.DUMMYFUNCTION("""COMPUTED_VALUE"""),"JB SALIOA")</f>
        <v>JB SALIOA</v>
      </c>
      <c r="V768" s="1" t="str">
        <f>IFERROR(__xludf.DUMMYFUNCTION("""COMPUTED_VALUE"""),"BK HSTK")</f>
        <v>BK HSTK</v>
      </c>
      <c r="W768" s="1" t="str">
        <f>IFERROR(__xludf.DUMMYFUNCTION("""COMPUTED_VALUE"""),"BK HSTK")</f>
        <v>BK HSTK</v>
      </c>
      <c r="X768" s="1" t="str">
        <f>IFERROR(__xludf.DUMMYFUNCTION("""COMPUTED_VALUE"""),"HBBS SEPT 2026")</f>
        <v>HBBS SEPT 2026</v>
      </c>
      <c r="Y768" s="1" t="str">
        <f>IFERROR(__xludf.DUMMYFUNCTION("""COMPUTED_VALUE"""),"BK_CVEU_260827")</f>
        <v>BK_CVEU_260827</v>
      </c>
      <c r="Z768" s="1" t="str">
        <f>IFERROR(__xludf.DUMMYFUNCTION("""COMPUTED_VALUE"""),"NEW CONNECT")</f>
        <v>NEW CONNECT</v>
      </c>
      <c r="AA768" s="1">
        <f>IFERROR(__xludf.DUMMYFUNCTION("""COMPUTED_VALUE"""),639762050391)</f>
        <v>639762050391</v>
      </c>
      <c r="AB768" s="1"/>
      <c r="AC768" s="1">
        <f>IFERROR(__xludf.DUMMYFUNCTION("""COMPUTED_VALUE"""),58)</f>
        <v>58</v>
      </c>
      <c r="AD768" s="1" t="str">
        <f>IFERROR(__xludf.DUMMYFUNCTION("""COMPUTED_VALUE"""),"PUROK 3")</f>
        <v>PUROK 3</v>
      </c>
      <c r="AE768" s="1"/>
      <c r="AF768" s="1" t="str">
        <f>IFERROR(__xludf.DUMMYFUNCTION("""COMPUTED_VALUE"""),"BGY LUMIL")</f>
        <v>BGY LUMIL</v>
      </c>
      <c r="AG768" s="1" t="str">
        <f>IFERROR(__xludf.DUMMYFUNCTION("""COMPUTED_VALUE"""),"SILANG")</f>
        <v>SILANG</v>
      </c>
      <c r="AH768" s="1" t="str">
        <f>IFERROR(__xludf.DUMMYFUNCTION("""COMPUTED_VALUE"""),"FREEDOM BIBLE BAPTIST CHURCH")</f>
        <v>FREEDOM BIBLE BAPTIST CHURCH</v>
      </c>
      <c r="AI768" s="1" t="str">
        <f>IFERROR(__xludf.DUMMYFUNCTION("""COMPUTED_VALUE"""),"CLUSTER 11")</f>
        <v>CLUSTER 11</v>
      </c>
    </row>
    <row r="769" customHeight="1" spans="1:35">
      <c r="A769" s="3">
        <f>IFERROR(__xludf.DUMMYFUNCTION("""COMPUTED_VALUE"""),46295)</f>
        <v>46295</v>
      </c>
      <c r="B769" s="1" t="str">
        <f>IFERROR(__xludf.DUMMYFUNCTION("""COMPUTED_VALUE"""),"JOYCE CHRISTINE MANALO BRAGADO")</f>
        <v>JOYCE CHRISTINE MANALO BRAGADO</v>
      </c>
      <c r="C769" s="1">
        <f>IFERROR(__xludf.DUMMYFUNCTION("""COMPUTED_VALUE"""),2312891179)</f>
        <v>2312891179</v>
      </c>
      <c r="D769" s="1"/>
      <c r="E769" s="1"/>
      <c r="F769" s="1" t="str">
        <f>IFERROR(__xludf.DUMMYFUNCTION("""COMPUTED_VALUE"""),"CANCELLED")</f>
        <v>CANCELLED</v>
      </c>
      <c r="G769" s="1" t="str">
        <f>IFERROR(__xludf.DUMMYFUNCTION("""COMPUTED_VALUE"""),"CANCELLED")</f>
        <v>CANCELLED</v>
      </c>
      <c r="H769" s="1"/>
      <c r="I769" s="1"/>
      <c r="J769" s="1"/>
      <c r="K769" s="1"/>
      <c r="L769" s="1" t="str">
        <f>IFERROR(__xludf.DUMMYFUNCTION("""COMPUTED_VALUE"""),"CANCELLED - WITH OB")</f>
        <v>CANCELLED - WITH OB</v>
      </c>
      <c r="M769" s="1" t="str">
        <f>IFERROR(__xludf.DUMMYFUNCTION("""COMPUTED_VALUE"""),"CANCELLED - WITH OB")</f>
        <v>CANCELLED - WITH OB</v>
      </c>
      <c r="N769" s="3"/>
      <c r="O769" s="1" t="str">
        <f>IFERROR(__xludf.DUMMYFUNCTION("""COMPUTED_VALUE"""),"FIBR UNLI ALL PLAN 999")</f>
        <v>FIBR UNLI ALL PLAN 999</v>
      </c>
      <c r="P769" s="1" t="str">
        <f>IFERROR(__xludf.DUMMYFUNCTION("""COMPUTED_VALUE"""),"LOWPLAN")</f>
        <v>LOWPLAN</v>
      </c>
      <c r="Q769" s="1" t="str">
        <f>IFERROR(__xludf.DUMMYFUNCTION("""COMPUTED_VALUE"""),"P407566")</f>
        <v>P407566</v>
      </c>
      <c r="R769" s="1" t="str">
        <f>IFERROR(__xludf.DUMMYFUNCTION("""COMPUTED_VALUE"""),"DENACO, RODNEY")</f>
        <v>DENACO, RODNEY</v>
      </c>
      <c r="S769" s="1" t="str">
        <f>IFERROR(__xludf.DUMMYFUNCTION("""COMPUTED_VALUE"""),"ORGANIC")</f>
        <v>ORGANIC</v>
      </c>
      <c r="T769" s="1" t="str">
        <f>IFERROR(__xludf.DUMMYFUNCTION("""COMPUTED_VALUE"""),"LEA REMOLLO")</f>
        <v>LEA REMOLLO</v>
      </c>
      <c r="U769" s="1" t="str">
        <f>IFERROR(__xludf.DUMMYFUNCTION("""COMPUTED_VALUE"""),"JB SALIOA")</f>
        <v>JB SALIOA</v>
      </c>
      <c r="V769" s="1" t="str">
        <f>IFERROR(__xludf.DUMMYFUNCTION("""COMPUTED_VALUE"""),"BK HSTK")</f>
        <v>BK HSTK</v>
      </c>
      <c r="W769" s="1" t="str">
        <f>IFERROR(__xludf.DUMMYFUNCTION("""COMPUTED_VALUE"""),"BK HSTK")</f>
        <v>BK HSTK</v>
      </c>
      <c r="X769" s="1" t="str">
        <f>IFERROR(__xludf.DUMMYFUNCTION("""COMPUTED_VALUE"""),"REGULAR")</f>
        <v>REGULAR</v>
      </c>
      <c r="Y769" s="1" t="str">
        <f>IFERROR(__xludf.DUMMYFUNCTION("""COMPUTED_VALUE"""),"BK_CVEU_260827")</f>
        <v>BK_CVEU_260827</v>
      </c>
      <c r="Z769" s="1" t="str">
        <f>IFERROR(__xludf.DUMMYFUNCTION("""COMPUTED_VALUE"""),"NEW CONNECT")</f>
        <v>NEW CONNECT</v>
      </c>
      <c r="AA769" s="1">
        <f>IFERROR(__xludf.DUMMYFUNCTION("""COMPUTED_VALUE"""),639537927796)</f>
        <v>639537927796</v>
      </c>
      <c r="AB769" s="1">
        <f>IFERROR(__xludf.DUMMYFUNCTION("""COMPUTED_VALUE"""),639351238807)</f>
        <v>639351238807</v>
      </c>
      <c r="AC769" s="1">
        <f>IFERROR(__xludf.DUMMYFUNCTION("""COMPUTED_VALUE"""),263)</f>
        <v>263</v>
      </c>
      <c r="AD769" s="1" t="str">
        <f>IFERROR(__xludf.DUMMYFUNCTION("""COMPUTED_VALUE"""),"PUROK 5")</f>
        <v>PUROK 5</v>
      </c>
      <c r="AE769" s="1"/>
      <c r="AF769" s="1" t="str">
        <f>IFERROR(__xludf.DUMMYFUNCTION("""COMPUTED_VALUE"""),"BGY LITLIT")</f>
        <v>BGY LITLIT</v>
      </c>
      <c r="AG769" s="1" t="str">
        <f>IFERROR(__xludf.DUMMYFUNCTION("""COMPUTED_VALUE"""),"SILANG")</f>
        <v>SILANG</v>
      </c>
      <c r="AH769" s="1" t="str">
        <f>IFERROR(__xludf.DUMMYFUNCTION("""COMPUTED_VALUE"""),"BRGY HALL")</f>
        <v>BRGY HALL</v>
      </c>
      <c r="AI769" s="1" t="str">
        <f>IFERROR(__xludf.DUMMYFUNCTION("""COMPUTED_VALUE"""),"CLUSTER 11")</f>
        <v>CLUSTER 11</v>
      </c>
    </row>
    <row r="770" customHeight="1" spans="1:35">
      <c r="A770" s="3">
        <f>IFERROR(__xludf.DUMMYFUNCTION("""COMPUTED_VALUE"""),46295)</f>
        <v>46295</v>
      </c>
      <c r="B770" s="1" t="str">
        <f>IFERROR(__xludf.DUMMYFUNCTION("""COMPUTED_VALUE"""),"ABEGAIL BUENAVENTURA FRANCISCO")</f>
        <v>ABEGAIL BUENAVENTURA FRANCISCO</v>
      </c>
      <c r="C770" s="1">
        <f>IFERROR(__xludf.DUMMYFUNCTION("""COMPUTED_VALUE"""),2312891530)</f>
        <v>2312891530</v>
      </c>
      <c r="D770" s="1"/>
      <c r="E770" s="1"/>
      <c r="F770" s="1" t="str">
        <f>IFERROR(__xludf.DUMMYFUNCTION("""COMPUTED_VALUE"""),"CANCELLED")</f>
        <v>CANCELLED</v>
      </c>
      <c r="G770" s="1" t="str">
        <f>IFERROR(__xludf.DUMMYFUNCTION("""COMPUTED_VALUE"""),"CANCELLED")</f>
        <v>CANCELLED</v>
      </c>
      <c r="H770" s="1"/>
      <c r="I770" s="1"/>
      <c r="J770" s="1"/>
      <c r="K770" s="1"/>
      <c r="L770" s="1" t="str">
        <f>IFERROR(__xludf.DUMMYFUNCTION("""COMPUTED_VALUE"""),"CANCELLED - WITH OB")</f>
        <v>CANCELLED - WITH OB</v>
      </c>
      <c r="M770" s="1" t="str">
        <f>IFERROR(__xludf.DUMMYFUNCTION("""COMPUTED_VALUE"""),"CANCELLED - WITH OB")</f>
        <v>CANCELLED - WITH OB</v>
      </c>
      <c r="N770" s="3"/>
      <c r="O770" s="1" t="str">
        <f>IFERROR(__xludf.DUMMYFUNCTION("""COMPUTED_VALUE"""),"FIBR NETFLIX PLAN 1599")</f>
        <v>FIBR NETFLIX PLAN 1599</v>
      </c>
      <c r="P770" s="1" t="str">
        <f>IFERROR(__xludf.DUMMYFUNCTION("""COMPUTED_VALUE"""),"LOWPLAN")</f>
        <v>LOWPLAN</v>
      </c>
      <c r="Q770" s="1" t="str">
        <f>IFERROR(__xludf.DUMMYFUNCTION("""COMPUTED_VALUE"""),"P407566")</f>
        <v>P407566</v>
      </c>
      <c r="R770" s="1" t="str">
        <f>IFERROR(__xludf.DUMMYFUNCTION("""COMPUTED_VALUE"""),"DENACO, RODNEY")</f>
        <v>DENACO, RODNEY</v>
      </c>
      <c r="S770" s="1" t="str">
        <f>IFERROR(__xludf.DUMMYFUNCTION("""COMPUTED_VALUE"""),"ORGANIC")</f>
        <v>ORGANIC</v>
      </c>
      <c r="T770" s="1" t="str">
        <f>IFERROR(__xludf.DUMMYFUNCTION("""COMPUTED_VALUE"""),"LEA REMOLLO")</f>
        <v>LEA REMOLLO</v>
      </c>
      <c r="U770" s="1" t="str">
        <f>IFERROR(__xludf.DUMMYFUNCTION("""COMPUTED_VALUE"""),"JB SALIOA")</f>
        <v>JB SALIOA</v>
      </c>
      <c r="V770" s="1" t="str">
        <f>IFERROR(__xludf.DUMMYFUNCTION("""COMPUTED_VALUE"""),"BK HSTK")</f>
        <v>BK HSTK</v>
      </c>
      <c r="W770" s="1" t="str">
        <f>IFERROR(__xludf.DUMMYFUNCTION("""COMPUTED_VALUE"""),"BK HSTK")</f>
        <v>BK HSTK</v>
      </c>
      <c r="X770" s="1" t="str">
        <f>IFERROR(__xludf.DUMMYFUNCTION("""COMPUTED_VALUE"""),"HBBS SEPT 2026")</f>
        <v>HBBS SEPT 2026</v>
      </c>
      <c r="Y770" s="1" t="str">
        <f>IFERROR(__xludf.DUMMYFUNCTION("""COMPUTED_VALUE"""),"BK_CVEU_260827")</f>
        <v>BK_CVEU_260827</v>
      </c>
      <c r="Z770" s="1" t="str">
        <f>IFERROR(__xludf.DUMMYFUNCTION("""COMPUTED_VALUE"""),"NEW CONNECT")</f>
        <v>NEW CONNECT</v>
      </c>
      <c r="AA770" s="1">
        <f>IFERROR(__xludf.DUMMYFUNCTION("""COMPUTED_VALUE"""),639454103761)</f>
        <v>639454103761</v>
      </c>
      <c r="AB770" s="1">
        <f>IFERROR(__xludf.DUMMYFUNCTION("""COMPUTED_VALUE"""),639971277710)</f>
        <v>639971277710</v>
      </c>
      <c r="AC770" s="1"/>
      <c r="AD770" s="1" t="str">
        <f>IFERROR(__xludf.DUMMYFUNCTION("""COMPUTED_VALUE"""),"BALITE")</f>
        <v>BALITE</v>
      </c>
      <c r="AE770" s="1"/>
      <c r="AF770" s="1" t="str">
        <f>IFERROR(__xludf.DUMMYFUNCTION("""COMPUTED_VALUE"""),"BGY BALITE 1")</f>
        <v>BGY BALITE 1</v>
      </c>
      <c r="AG770" s="1" t="str">
        <f>IFERROR(__xludf.DUMMYFUNCTION("""COMPUTED_VALUE"""),"SILANG")</f>
        <v>SILANG</v>
      </c>
      <c r="AH770" s="1" t="str">
        <f>IFERROR(__xludf.DUMMYFUNCTION("""COMPUTED_VALUE"""),"-")</f>
        <v>-</v>
      </c>
      <c r="AI770" s="1" t="str">
        <f>IFERROR(__xludf.DUMMYFUNCTION("""COMPUTED_VALUE"""),"CLUSTER 11")</f>
        <v>CLUSTER 11</v>
      </c>
    </row>
    <row r="771" customHeight="1" spans="1:35">
      <c r="A771" s="3">
        <f>IFERROR(__xludf.DUMMYFUNCTION("""COMPUTED_VALUE"""),46295)</f>
        <v>46295</v>
      </c>
      <c r="B771" s="1" t="str">
        <f>IFERROR(__xludf.DUMMYFUNCTION("""COMPUTED_VALUE"""),"REGIEN ARSENIO CAUNCA")</f>
        <v>REGIEN ARSENIO CAUNCA</v>
      </c>
      <c r="C771" s="1">
        <f>IFERROR(__xludf.DUMMYFUNCTION("""COMPUTED_VALUE"""),2312891798)</f>
        <v>2312891798</v>
      </c>
      <c r="D771" s="1"/>
      <c r="E771" s="1"/>
      <c r="F771" s="1" t="str">
        <f>IFERROR(__xludf.DUMMYFUNCTION("""COMPUTED_VALUE"""),"CANCELLED")</f>
        <v>CANCELLED</v>
      </c>
      <c r="G771" s="1" t="str">
        <f>IFERROR(__xludf.DUMMYFUNCTION("""COMPUTED_VALUE"""),"CANCELLED")</f>
        <v>CANCELLED</v>
      </c>
      <c r="H771" s="1"/>
      <c r="I771" s="1"/>
      <c r="J771" s="1"/>
      <c r="K771" s="1"/>
      <c r="L771" s="1" t="str">
        <f>IFERROR(__xludf.DUMMYFUNCTION("""COMPUTED_VALUE"""),"CANCELLED - WITH OB")</f>
        <v>CANCELLED - WITH OB</v>
      </c>
      <c r="M771" s="1" t="str">
        <f>IFERROR(__xludf.DUMMYFUNCTION("""COMPUTED_VALUE"""),"CANCELLED - WITH OB")</f>
        <v>CANCELLED - WITH OB</v>
      </c>
      <c r="N771" s="3"/>
      <c r="O771" s="1" t="str">
        <f>IFERROR(__xludf.DUMMYFUNCTION("""COMPUTED_VALUE"""),"FIBER UNLI ALL PLAN 1499")</f>
        <v>FIBER UNLI ALL PLAN 1499</v>
      </c>
      <c r="P771" s="1" t="str">
        <f>IFERROR(__xludf.DUMMYFUNCTION("""COMPUTED_VALUE"""),"LOWPLAN")</f>
        <v>LOWPLAN</v>
      </c>
      <c r="Q771" s="1" t="str">
        <f>IFERROR(__xludf.DUMMYFUNCTION("""COMPUTED_VALUE"""),"P407566")</f>
        <v>P407566</v>
      </c>
      <c r="R771" s="1" t="str">
        <f>IFERROR(__xludf.DUMMYFUNCTION("""COMPUTED_VALUE"""),"DENACO, RODNEY")</f>
        <v>DENACO, RODNEY</v>
      </c>
      <c r="S771" s="1" t="str">
        <f>IFERROR(__xludf.DUMMYFUNCTION("""COMPUTED_VALUE"""),"ORGANIC")</f>
        <v>ORGANIC</v>
      </c>
      <c r="T771" s="1" t="str">
        <f>IFERROR(__xludf.DUMMYFUNCTION("""COMPUTED_VALUE"""),"LEA REMOLLO")</f>
        <v>LEA REMOLLO</v>
      </c>
      <c r="U771" s="1" t="str">
        <f>IFERROR(__xludf.DUMMYFUNCTION("""COMPUTED_VALUE"""),"JB SALIOA")</f>
        <v>JB SALIOA</v>
      </c>
      <c r="V771" s="1" t="str">
        <f>IFERROR(__xludf.DUMMYFUNCTION("""COMPUTED_VALUE"""),"BK REGULAR")</f>
        <v>BK REGULAR</v>
      </c>
      <c r="W771" s="1" t="str">
        <f>IFERROR(__xludf.DUMMYFUNCTION("""COMPUTED_VALUE"""),"STK REGULAR")</f>
        <v>STK REGULAR</v>
      </c>
      <c r="X771" s="1" t="str">
        <f>IFERROR(__xludf.DUMMYFUNCTION("""COMPUTED_VALUE"""),"HBBS SEPT 2026")</f>
        <v>HBBS SEPT 2026</v>
      </c>
      <c r="Y771" s="1" t="str">
        <f>IFERROR(__xludf.DUMMYFUNCTION("""COMPUTED_VALUE"""),"RS_SS_CVEU_2026")</f>
        <v>RS_SS_CVEU_2026</v>
      </c>
      <c r="Z771" s="1" t="str">
        <f>IFERROR(__xludf.DUMMYFUNCTION("""COMPUTED_VALUE"""),"NEW CONNECT")</f>
        <v>NEW CONNECT</v>
      </c>
      <c r="AA771" s="1">
        <f>IFERROR(__xludf.DUMMYFUNCTION("""COMPUTED_VALUE"""),639524766827)</f>
        <v>639524766827</v>
      </c>
      <c r="AB771" s="1"/>
      <c r="AC771" s="1"/>
      <c r="AD771" s="1" t="str">
        <f>IFERROR(__xludf.DUMMYFUNCTION("""COMPUTED_VALUE"""),"PHASE 2")</f>
        <v>PHASE 2</v>
      </c>
      <c r="AE771" s="1" t="str">
        <f>IFERROR(__xludf.DUMMYFUNCTION("""COMPUTED_VALUE"""),"AMAYA BREEZE")</f>
        <v>AMAYA BREEZE</v>
      </c>
      <c r="AF771" s="1" t="str">
        <f>IFERROR(__xludf.DUMMYFUNCTION("""COMPUTED_VALUE"""),"BGY AMAYA 2")</f>
        <v>BGY AMAYA 2</v>
      </c>
      <c r="AG771" s="1" t="str">
        <f>IFERROR(__xludf.DUMMYFUNCTION("""COMPUTED_VALUE"""),"TANZA")</f>
        <v>TANZA</v>
      </c>
      <c r="AH771" s="1" t="str">
        <f>IFERROR(__xludf.DUMMYFUNCTION("""COMPUTED_VALUE"""),"-")</f>
        <v>-</v>
      </c>
      <c r="AI771" s="1" t="str">
        <f>IFERROR(__xludf.DUMMYFUNCTION("""COMPUTED_VALUE"""),"NOT AOR")</f>
        <v>NOT AOR</v>
      </c>
    </row>
    <row r="772" customHeight="1" spans="1:35">
      <c r="A772" s="3">
        <f>IFERROR(__xludf.DUMMYFUNCTION("""COMPUTED_VALUE"""),46295)</f>
        <v>46295</v>
      </c>
      <c r="B772" s="1" t="str">
        <f>IFERROR(__xludf.DUMMYFUNCTION("""COMPUTED_VALUE"""),"REBECCA DUGAN DONES")</f>
        <v>REBECCA DUGAN DONES</v>
      </c>
      <c r="C772" s="1">
        <f>IFERROR(__xludf.DUMMYFUNCTION("""COMPUTED_VALUE"""),2312892291)</f>
        <v>2312892291</v>
      </c>
      <c r="D772" s="1"/>
      <c r="E772" s="1"/>
      <c r="F772" s="1" t="str">
        <f>IFERROR(__xludf.DUMMYFUNCTION("""COMPUTED_VALUE"""),"CANCELLED")</f>
        <v>CANCELLED</v>
      </c>
      <c r="G772" s="1" t="str">
        <f>IFERROR(__xludf.DUMMYFUNCTION("""COMPUTED_VALUE"""),"CANCELLED")</f>
        <v>CANCELLED</v>
      </c>
      <c r="H772" s="1"/>
      <c r="I772" s="1"/>
      <c r="J772" s="1"/>
      <c r="K772" s="1"/>
      <c r="L772" s="1" t="str">
        <f>IFERROR(__xludf.DUMMYFUNCTION("""COMPUTED_VALUE"""),"CANCELLED - WITH OB")</f>
        <v>CANCELLED - WITH OB</v>
      </c>
      <c r="M772" s="1" t="str">
        <f>IFERROR(__xludf.DUMMYFUNCTION("""COMPUTED_VALUE"""),"CANCELLED - WITH OB")</f>
        <v>CANCELLED - WITH OB</v>
      </c>
      <c r="N772" s="3"/>
      <c r="O772" s="1" t="str">
        <f>IFERROR(__xludf.DUMMYFUNCTION("""COMPUTED_VALUE"""),"FIBR UNLI ALL PLAN 999")</f>
        <v>FIBR UNLI ALL PLAN 999</v>
      </c>
      <c r="P772" s="1" t="str">
        <f>IFERROR(__xludf.DUMMYFUNCTION("""COMPUTED_VALUE"""),"LOWPLAN")</f>
        <v>LOWPLAN</v>
      </c>
      <c r="Q772" s="1" t="str">
        <f>IFERROR(__xludf.DUMMYFUNCTION("""COMPUTED_VALUE"""),"P407566")</f>
        <v>P407566</v>
      </c>
      <c r="R772" s="1" t="str">
        <f>IFERROR(__xludf.DUMMYFUNCTION("""COMPUTED_VALUE"""),"DENACO, RODNEY")</f>
        <v>DENACO, RODNEY</v>
      </c>
      <c r="S772" s="1" t="str">
        <f>IFERROR(__xludf.DUMMYFUNCTION("""COMPUTED_VALUE"""),"ORGANIC")</f>
        <v>ORGANIC</v>
      </c>
      <c r="T772" s="1" t="str">
        <f>IFERROR(__xludf.DUMMYFUNCTION("""COMPUTED_VALUE"""),"LEA REMOLLO")</f>
        <v>LEA REMOLLO</v>
      </c>
      <c r="U772" s="1" t="str">
        <f>IFERROR(__xludf.DUMMYFUNCTION("""COMPUTED_VALUE"""),"JB SALIOA")</f>
        <v>JB SALIOA</v>
      </c>
      <c r="V772" s="1" t="str">
        <f>IFERROR(__xludf.DUMMYFUNCTION("""COMPUTED_VALUE"""),"ONLINE/CRANFORD")</f>
        <v>ONLINE/CRANFORD</v>
      </c>
      <c r="W772" s="1" t="str">
        <f>IFERROR(__xludf.DUMMYFUNCTION("""COMPUTED_VALUE"""),"STK REGULAR")</f>
        <v>STK REGULAR</v>
      </c>
      <c r="X772" s="1" t="str">
        <f>IFERROR(__xludf.DUMMYFUNCTION("""COMPUTED_VALUE"""),"REGULAR")</f>
        <v>REGULAR</v>
      </c>
      <c r="Y772" s="1" t="str">
        <f>IFERROR(__xludf.DUMMYFUNCTION("""COMPUTED_VALUE"""),"RS_ONL_CVEU_2026")</f>
        <v>RS_ONL_CVEU_2026</v>
      </c>
      <c r="Z772" s="1" t="str">
        <f>IFERROR(__xludf.DUMMYFUNCTION("""COMPUTED_VALUE"""),"NEW CONNECT")</f>
        <v>NEW CONNECT</v>
      </c>
      <c r="AA772" s="1">
        <f>IFERROR(__xludf.DUMMYFUNCTION("""COMPUTED_VALUE"""),639383742459)</f>
        <v>639383742459</v>
      </c>
      <c r="AB772" s="1"/>
      <c r="AC772" s="1"/>
      <c r="AD772" s="1" t="str">
        <f>IFERROR(__xludf.DUMMYFUNCTION("""COMPUTED_VALUE"""),"PHASE 6")</f>
        <v>PHASE 6</v>
      </c>
      <c r="AE772" s="1"/>
      <c r="AF772" s="1" t="str">
        <f>IFERROR(__xludf.DUMMYFUNCTION("""COMPUTED_VALUE"""),"BGY FATIMA 3")</f>
        <v>BGY FATIMA 3</v>
      </c>
      <c r="AG772" s="1" t="str">
        <f>IFERROR(__xludf.DUMMYFUNCTION("""COMPUTED_VALUE"""),"DASMARINAS")</f>
        <v>DASMARINAS</v>
      </c>
      <c r="AH772" s="1" t="str">
        <f>IFERROR(__xludf.DUMMYFUNCTION("""COMPUTED_VALUE"""),"7/11")</f>
        <v>7/11</v>
      </c>
      <c r="AI772" s="1" t="str">
        <f>IFERROR(__xludf.DUMMYFUNCTION("""COMPUTED_VALUE"""),"NOT AOR")</f>
        <v>NOT AOR</v>
      </c>
    </row>
    <row r="773" customHeight="1" spans="1:35">
      <c r="A773" s="3">
        <f>IFERROR(__xludf.DUMMYFUNCTION("""COMPUTED_VALUE"""),46295)</f>
        <v>46295</v>
      </c>
      <c r="B773" s="1" t="str">
        <f>IFERROR(__xludf.DUMMYFUNCTION("""COMPUTED_VALUE"""),"ELENA QUINTO MACEDA")</f>
        <v>ELENA QUINTO MACEDA</v>
      </c>
      <c r="C773" s="1">
        <f>IFERROR(__xludf.DUMMYFUNCTION("""COMPUTED_VALUE"""),2312892582)</f>
        <v>2312892582</v>
      </c>
      <c r="D773" s="1"/>
      <c r="E773" s="1"/>
      <c r="F773" s="1" t="str">
        <f>IFERROR(__xludf.DUMMYFUNCTION("""COMPUTED_VALUE"""),"CANCELLED")</f>
        <v>CANCELLED</v>
      </c>
      <c r="G773" s="1" t="str">
        <f>IFERROR(__xludf.DUMMYFUNCTION("""COMPUTED_VALUE"""),"CANCELLED")</f>
        <v>CANCELLED</v>
      </c>
      <c r="H773" s="1"/>
      <c r="I773" s="1"/>
      <c r="J773" s="1"/>
      <c r="K773" s="1"/>
      <c r="L773" s="1" t="str">
        <f>IFERROR(__xludf.DUMMYFUNCTION("""COMPUTED_VALUE"""),"CANCELLED - WITH OB")</f>
        <v>CANCELLED - WITH OB</v>
      </c>
      <c r="M773" s="1" t="str">
        <f>IFERROR(__xludf.DUMMYFUNCTION("""COMPUTED_VALUE"""),"CANCELLED - WITH OB")</f>
        <v>CANCELLED - WITH OB</v>
      </c>
      <c r="N773" s="3"/>
      <c r="O773" s="1" t="str">
        <f>IFERROR(__xludf.DUMMYFUNCTION("""COMPUTED_VALUE"""),"FIBR UNLI ALL PLAN 999")</f>
        <v>FIBR UNLI ALL PLAN 999</v>
      </c>
      <c r="P773" s="1" t="str">
        <f>IFERROR(__xludf.DUMMYFUNCTION("""COMPUTED_VALUE"""),"LOWPLAN")</f>
        <v>LOWPLAN</v>
      </c>
      <c r="Q773" s="1" t="str">
        <f>IFERROR(__xludf.DUMMYFUNCTION("""COMPUTED_VALUE"""),"P407566")</f>
        <v>P407566</v>
      </c>
      <c r="R773" s="1" t="str">
        <f>IFERROR(__xludf.DUMMYFUNCTION("""COMPUTED_VALUE"""),"DENACO, RODNEY")</f>
        <v>DENACO, RODNEY</v>
      </c>
      <c r="S773" s="1" t="str">
        <f>IFERROR(__xludf.DUMMYFUNCTION("""COMPUTED_VALUE"""),"ORGANIC")</f>
        <v>ORGANIC</v>
      </c>
      <c r="T773" s="1" t="str">
        <f>IFERROR(__xludf.DUMMYFUNCTION("""COMPUTED_VALUE"""),"LEA REMOLLO")</f>
        <v>LEA REMOLLO</v>
      </c>
      <c r="U773" s="1" t="str">
        <f>IFERROR(__xludf.DUMMYFUNCTION("""COMPUTED_VALUE"""),"JB SALIOA")</f>
        <v>JB SALIOA</v>
      </c>
      <c r="V773" s="1" t="str">
        <f>IFERROR(__xludf.DUMMYFUNCTION("""COMPUTED_VALUE"""),"ONLINE/CRANFORD")</f>
        <v>ONLINE/CRANFORD</v>
      </c>
      <c r="W773" s="1" t="str">
        <f>IFERROR(__xludf.DUMMYFUNCTION("""COMPUTED_VALUE"""),"STK REGULAR")</f>
        <v>STK REGULAR</v>
      </c>
      <c r="X773" s="1" t="str">
        <f>IFERROR(__xludf.DUMMYFUNCTION("""COMPUTED_VALUE"""),"REGULAR")</f>
        <v>REGULAR</v>
      </c>
      <c r="Y773" s="1" t="str">
        <f>IFERROR(__xludf.DUMMYFUNCTION("""COMPUTED_VALUE"""),"RS_ONL_CVEU_2026")</f>
        <v>RS_ONL_CVEU_2026</v>
      </c>
      <c r="Z773" s="1" t="str">
        <f>IFERROR(__xludf.DUMMYFUNCTION("""COMPUTED_VALUE"""),"NEW CONNECT")</f>
        <v>NEW CONNECT</v>
      </c>
      <c r="AA773" s="1">
        <f>IFERROR(__xludf.DUMMYFUNCTION("""COMPUTED_VALUE"""),639925164337)</f>
        <v>639925164337</v>
      </c>
      <c r="AB773" s="1">
        <f>IFERROR(__xludf.DUMMYFUNCTION("""COMPUTED_VALUE"""),639358022597)</f>
        <v>639358022597</v>
      </c>
      <c r="AC773" s="1"/>
      <c r="AD773" s="1" t="str">
        <f>IFERROR(__xludf.DUMMYFUNCTION("""COMPUTED_VALUE"""),"MIAMI CORNER")</f>
        <v>MIAMI CORNER</v>
      </c>
      <c r="AE773" s="1" t="str">
        <f>IFERROR(__xludf.DUMMYFUNCTION("""COMPUTED_VALUE"""),"SAN MARINO CITY NORTH 1")</f>
        <v>SAN MARINO CITY NORTH 1</v>
      </c>
      <c r="AF773" s="1" t="str">
        <f>IFERROR(__xludf.DUMMYFUNCTION("""COMPUTED_VALUE"""),"BGY SALAWAG")</f>
        <v>BGY SALAWAG</v>
      </c>
      <c r="AG773" s="1" t="str">
        <f>IFERROR(__xludf.DUMMYFUNCTION("""COMPUTED_VALUE"""),"DASMARINAS")</f>
        <v>DASMARINAS</v>
      </c>
      <c r="AH773" s="1" t="str">
        <f>IFERROR(__xludf.DUMMYFUNCTION("""COMPUTED_VALUE"""),"SAVEMORE")</f>
        <v>SAVEMORE</v>
      </c>
      <c r="AI773" s="1" t="str">
        <f>IFERROR(__xludf.DUMMYFUNCTION("""COMPUTED_VALUE"""),"NOT AOR")</f>
        <v>NOT AOR</v>
      </c>
    </row>
    <row r="774" customHeight="1" spans="1:35">
      <c r="A774" s="3">
        <f>IFERROR(__xludf.DUMMYFUNCTION("""COMPUTED_VALUE"""),46295)</f>
        <v>46295</v>
      </c>
      <c r="B774" s="1" t="str">
        <f>IFERROR(__xludf.DUMMYFUNCTION("""COMPUTED_VALUE"""),"JHORIE DELA CRUZ CABALLERO")</f>
        <v>JHORIE DELA CRUZ CABALLERO</v>
      </c>
      <c r="C774" s="1">
        <f>IFERROR(__xludf.DUMMYFUNCTION("""COMPUTED_VALUE"""),2312892818)</f>
        <v>2312892818</v>
      </c>
      <c r="D774" s="1"/>
      <c r="E774" s="1"/>
      <c r="F774" s="1" t="str">
        <f>IFERROR(__xludf.DUMMYFUNCTION("""COMPUTED_VALUE"""),"CANCELLED")</f>
        <v>CANCELLED</v>
      </c>
      <c r="G774" s="1" t="str">
        <f>IFERROR(__xludf.DUMMYFUNCTION("""COMPUTED_VALUE"""),"CANCELLED")</f>
        <v>CANCELLED</v>
      </c>
      <c r="H774" s="1"/>
      <c r="I774" s="1"/>
      <c r="J774" s="1"/>
      <c r="K774" s="1"/>
      <c r="L774" s="1" t="str">
        <f>IFERROR(__xludf.DUMMYFUNCTION("""COMPUTED_VALUE"""),"CANCELLED - WITH OB")</f>
        <v>CANCELLED - WITH OB</v>
      </c>
      <c r="M774" s="1" t="str">
        <f>IFERROR(__xludf.DUMMYFUNCTION("""COMPUTED_VALUE"""),"CANCELLED - WITH OB")</f>
        <v>CANCELLED - WITH OB</v>
      </c>
      <c r="N774" s="3"/>
      <c r="O774" s="1" t="str">
        <f>IFERROR(__xludf.DUMMYFUNCTION("""COMPUTED_VALUE"""),"FIBER UNLI ALL PLAN 1499")</f>
        <v>FIBER UNLI ALL PLAN 1499</v>
      </c>
      <c r="P774" s="1" t="str">
        <f>IFERROR(__xludf.DUMMYFUNCTION("""COMPUTED_VALUE"""),"LOWPLAN")</f>
        <v>LOWPLAN</v>
      </c>
      <c r="Q774" s="1" t="str">
        <f>IFERROR(__xludf.DUMMYFUNCTION("""COMPUTED_VALUE"""),"P407566")</f>
        <v>P407566</v>
      </c>
      <c r="R774" s="1" t="str">
        <f>IFERROR(__xludf.DUMMYFUNCTION("""COMPUTED_VALUE"""),"DENACO, RODNEY")</f>
        <v>DENACO, RODNEY</v>
      </c>
      <c r="S774" s="1" t="str">
        <f>IFERROR(__xludf.DUMMYFUNCTION("""COMPUTED_VALUE"""),"ORGANIC")</f>
        <v>ORGANIC</v>
      </c>
      <c r="T774" s="1" t="str">
        <f>IFERROR(__xludf.DUMMYFUNCTION("""COMPUTED_VALUE"""),"LEA REMOLLO")</f>
        <v>LEA REMOLLO</v>
      </c>
      <c r="U774" s="1" t="str">
        <f>IFERROR(__xludf.DUMMYFUNCTION("""COMPUTED_VALUE"""),"JB SALIOA")</f>
        <v>JB SALIOA</v>
      </c>
      <c r="V774" s="1" t="str">
        <f>IFERROR(__xludf.DUMMYFUNCTION("""COMPUTED_VALUE"""),"ONLINE/CRANFORD")</f>
        <v>ONLINE/CRANFORD</v>
      </c>
      <c r="W774" s="1" t="str">
        <f>IFERROR(__xludf.DUMMYFUNCTION("""COMPUTED_VALUE"""),"STK REGULAR")</f>
        <v>STK REGULAR</v>
      </c>
      <c r="X774" s="1" t="str">
        <f>IFERROR(__xludf.DUMMYFUNCTION("""COMPUTED_VALUE"""),"HBBS SEPT 2026")</f>
        <v>HBBS SEPT 2026</v>
      </c>
      <c r="Y774" s="1" t="str">
        <f>IFERROR(__xludf.DUMMYFUNCTION("""COMPUTED_VALUE"""),"RS_ONL_CVEU_2026")</f>
        <v>RS_ONL_CVEU_2026</v>
      </c>
      <c r="Z774" s="1" t="str">
        <f>IFERROR(__xludf.DUMMYFUNCTION("""COMPUTED_VALUE"""),"NEW CONNECT")</f>
        <v>NEW CONNECT</v>
      </c>
      <c r="AA774" s="1">
        <f>IFERROR(__xludf.DUMMYFUNCTION("""COMPUTED_VALUE"""),639617028612)</f>
        <v>639617028612</v>
      </c>
      <c r="AB774" s="1">
        <f>IFERROR(__xludf.DUMMYFUNCTION("""COMPUTED_VALUE"""),639568091589)</f>
        <v>639568091589</v>
      </c>
      <c r="AC774" s="1"/>
      <c r="AD774" s="1" t="str">
        <f>IFERROR(__xludf.DUMMYFUNCTION("""COMPUTED_VALUE"""),"EXTENSION")</f>
        <v>EXTENSION</v>
      </c>
      <c r="AE774" s="1"/>
      <c r="AF774" s="1" t="str">
        <f>IFERROR(__xludf.DUMMYFUNCTION("""COMPUTED_VALUE"""),"EMMANUEL BERGADO 1")</f>
        <v>EMMANUEL BERGADO 1</v>
      </c>
      <c r="AG774" s="1" t="str">
        <f>IFERROR(__xludf.DUMMYFUNCTION("""COMPUTED_VALUE"""),"DASMARINAS")</f>
        <v>DASMARINAS</v>
      </c>
      <c r="AH774" s="1" t="str">
        <f>IFERROR(__xludf.DUMMYFUNCTION("""COMPUTED_VALUE"""),"MARKET SITE")</f>
        <v>MARKET SITE</v>
      </c>
      <c r="AI774" s="1" t="str">
        <f>IFERROR(__xludf.DUMMYFUNCTION("""COMPUTED_VALUE"""),"NOT AOR")</f>
        <v>NOT AOR</v>
      </c>
    </row>
    <row r="775" customHeight="1" spans="1:35">
      <c r="A775" s="3">
        <f>IFERROR(__xludf.DUMMYFUNCTION("""COMPUTED_VALUE"""),46295)</f>
        <v>46295</v>
      </c>
      <c r="B775" s="1" t="str">
        <f>IFERROR(__xludf.DUMMYFUNCTION("""COMPUTED_VALUE"""),"MICHELLE BONUM LAPUZ")</f>
        <v>MICHELLE BONUM LAPUZ</v>
      </c>
      <c r="C775" s="1">
        <f>IFERROR(__xludf.DUMMYFUNCTION("""COMPUTED_VALUE"""),2312892999)</f>
        <v>2312892999</v>
      </c>
      <c r="D775" s="1">
        <f>IFERROR(__xludf.DUMMYFUNCTION("""COMPUTED_VALUE"""),408531535)</f>
        <v>408531535</v>
      </c>
      <c r="E775" s="1">
        <f>IFERROR(__xludf.DUMMYFUNCTION("""COMPUTED_VALUE"""),473611244004)</f>
        <v>473611244004</v>
      </c>
      <c r="F775" s="1" t="str">
        <f>IFERROR(__xludf.DUMMYFUNCTION("""COMPUTED_VALUE"""),"CLOSED")</f>
        <v>CLOSED</v>
      </c>
      <c r="G775" s="1" t="str">
        <f>IFERROR(__xludf.DUMMYFUNCTION("""COMPUTED_VALUE"""),"CLOSED")</f>
        <v>CLOSED</v>
      </c>
      <c r="H775" s="1" t="str">
        <f>IFERROR(__xludf.DUMMYFUNCTION("""COMPUTED_VALUE"""),"PAID VIA GCASH REF 830890541 SEP 30")</f>
        <v>PAID VIA GCASH REF 830890541 SEP 30</v>
      </c>
      <c r="I775" s="1" t="str">
        <f>IFERROR(__xludf.DUMMYFUNCTION("""COMPUTED_VALUE"""),"WITH 1 AMSF")</f>
        <v>WITH 1 AMSF</v>
      </c>
      <c r="J775" s="1"/>
      <c r="K775" s="1"/>
      <c r="L775" s="1" t="str">
        <f>IFERROR(__xludf.DUMMYFUNCTION("""COMPUTED_VALUE"""),"POSTED")</f>
        <v>POSTED</v>
      </c>
      <c r="M775" s="1" t="str">
        <f>IFERROR(__xludf.DUMMYFUNCTION("""COMPUTED_VALUE"""),"POSTED")</f>
        <v>POSTED</v>
      </c>
      <c r="N775" s="3">
        <f>IFERROR(__xludf.DUMMYFUNCTION("""COMPUTED_VALUE"""),46297)</f>
        <v>46297</v>
      </c>
      <c r="O775" s="1" t="str">
        <f>IFERROR(__xludf.DUMMYFUNCTION("""COMPUTED_VALUE"""),"FIBR NETFLIX PLAN 1599")</f>
        <v>FIBR NETFLIX PLAN 1599</v>
      </c>
      <c r="P775" s="1" t="str">
        <f>IFERROR(__xludf.DUMMYFUNCTION("""COMPUTED_VALUE"""),"LOWPLAN")</f>
        <v>LOWPLAN</v>
      </c>
      <c r="Q775" s="1" t="str">
        <f>IFERROR(__xludf.DUMMYFUNCTION("""COMPUTED_VALUE"""),"P407047")</f>
        <v>P407047</v>
      </c>
      <c r="R775" s="1" t="str">
        <f>IFERROR(__xludf.DUMMYFUNCTION("""COMPUTED_VALUE"""),"FRANCISCO, ROSELYN")</f>
        <v>FRANCISCO, ROSELYN</v>
      </c>
      <c r="S775" s="1" t="str">
        <f>IFERROR(__xludf.DUMMYFUNCTION("""COMPUTED_VALUE"""),"ORGANIC")</f>
        <v>ORGANIC</v>
      </c>
      <c r="T775" s="1" t="str">
        <f>IFERROR(__xludf.DUMMYFUNCTION("""COMPUTED_VALUE"""),"LEA REMOLLO")</f>
        <v>LEA REMOLLO</v>
      </c>
      <c r="U775" s="1" t="str">
        <f>IFERROR(__xludf.DUMMYFUNCTION("""COMPUTED_VALUE"""),"JB SALIOA")</f>
        <v>JB SALIOA</v>
      </c>
      <c r="V775" s="1" t="str">
        <f>IFERROR(__xludf.DUMMYFUNCTION("""COMPUTED_VALUE"""),"BK HSTK")</f>
        <v>BK HSTK</v>
      </c>
      <c r="W775" s="1" t="str">
        <f>IFERROR(__xludf.DUMMYFUNCTION("""COMPUTED_VALUE"""),"BK HSTK")</f>
        <v>BK HSTK</v>
      </c>
      <c r="X775" s="1" t="str">
        <f>IFERROR(__xludf.DUMMYFUNCTION("""COMPUTED_VALUE"""),"HBBS SEPT 2026")</f>
        <v>HBBS SEPT 2026</v>
      </c>
      <c r="Y775" s="1" t="str">
        <f>IFERROR(__xludf.DUMMYFUNCTION("""COMPUTED_VALUE"""),"BK_CVEU_260826")</f>
        <v>BK_CVEU_260826</v>
      </c>
      <c r="Z775" s="1" t="str">
        <f>IFERROR(__xludf.DUMMYFUNCTION("""COMPUTED_VALUE"""),"NEW CONNECT")</f>
        <v>NEW CONNECT</v>
      </c>
      <c r="AA775" s="1">
        <f>IFERROR(__xludf.DUMMYFUNCTION("""COMPUTED_VALUE"""),639770161364)</f>
        <v>639770161364</v>
      </c>
      <c r="AB775" s="1"/>
      <c r="AC775" s="1">
        <f>IFERROR(__xludf.DUMMYFUNCTION("""COMPUTED_VALUE"""),1044)</f>
        <v>1044</v>
      </c>
      <c r="AD775" s="1" t="str">
        <f>IFERROR(__xludf.DUMMYFUNCTION("""COMPUTED_VALUE"""),"SAN PEDRO")</f>
        <v>SAN PEDRO</v>
      </c>
      <c r="AE775" s="1" t="str">
        <f>IFERROR(__xludf.DUMMYFUNCTION("""COMPUTED_VALUE"""),"UNIT D MIDYMIGZ APARTMENT")</f>
        <v>UNIT D MIDYMIGZ APARTMENT</v>
      </c>
      <c r="AF775" s="1" t="str">
        <f>IFERROR(__xludf.DUMMYFUNCTION("""COMPUTED_VALUE"""),"BGY MIGUEL MOJICA")</f>
        <v>BGY MIGUEL MOJICA</v>
      </c>
      <c r="AG775" s="1" t="str">
        <f>IFERROR(__xludf.DUMMYFUNCTION("""COMPUTED_VALUE"""),"MENDEZ")</f>
        <v>MENDEZ</v>
      </c>
      <c r="AH775" s="1" t="str">
        <f>IFERROR(__xludf.DUMMYFUNCTION("""COMPUTED_VALUE"""),"-")</f>
        <v>-</v>
      </c>
      <c r="AI775" s="1" t="str">
        <f>IFERROR(__xludf.DUMMYFUNCTION("""COMPUTED_VALUE"""),"CLUSTER 12")</f>
        <v>CLUSTER 12</v>
      </c>
    </row>
    <row r="776" customHeight="1" spans="1:35">
      <c r="A776" s="3">
        <f>IFERROR(__xludf.DUMMYFUNCTION("""COMPUTED_VALUE"""),46295)</f>
        <v>46295</v>
      </c>
      <c r="B776" s="1" t="str">
        <f>IFERROR(__xludf.DUMMYFUNCTION("""COMPUTED_VALUE"""),"PATRICK MOSES ROBLEDO ANIS")</f>
        <v>PATRICK MOSES ROBLEDO ANIS</v>
      </c>
      <c r="C776" s="1">
        <f>IFERROR(__xludf.DUMMYFUNCTION("""COMPUTED_VALUE"""),2312893973)</f>
        <v>2312893973</v>
      </c>
      <c r="D776" s="1">
        <f>IFERROR(__xludf.DUMMYFUNCTION("""COMPUTED_VALUE"""),408544661)</f>
        <v>408544661</v>
      </c>
      <c r="E776" s="1">
        <f>IFERROR(__xludf.DUMMYFUNCTION("""COMPUTED_VALUE"""),473757906004)</f>
        <v>473757906004</v>
      </c>
      <c r="F776" s="1" t="str">
        <f>IFERROR(__xludf.DUMMYFUNCTION("""COMPUTED_VALUE"""),"CLOSED")</f>
        <v>CLOSED</v>
      </c>
      <c r="G776" s="1" t="str">
        <f>IFERROR(__xludf.DUMMYFUNCTION("""COMPUTED_VALUE"""),"CLOSED")</f>
        <v>CLOSED</v>
      </c>
      <c r="H776" s="1"/>
      <c r="I776" s="1" t="str">
        <f>IFERROR(__xludf.DUMMYFUNCTION("""COMPUTED_VALUE"""),"NO 1 AMSF")</f>
        <v>NO 1 AMSF</v>
      </c>
      <c r="J776" s="1"/>
      <c r="K776" s="1"/>
      <c r="L776" s="1" t="str">
        <f>IFERROR(__xludf.DUMMYFUNCTION("""COMPUTED_VALUE"""),"POSTED")</f>
        <v>POSTED</v>
      </c>
      <c r="M776" s="1" t="str">
        <f>IFERROR(__xludf.DUMMYFUNCTION("""COMPUTED_VALUE"""),"POSTED")</f>
        <v>POSTED</v>
      </c>
      <c r="N776" s="3">
        <f>IFERROR(__xludf.DUMMYFUNCTION("""COMPUTED_VALUE"""),46312)</f>
        <v>46312</v>
      </c>
      <c r="O776" s="1" t="str">
        <f>IFERROR(__xludf.DUMMYFUNCTION("""COMPUTED_VALUE"""),"FIBER UNLI ALL PLAN 2599")</f>
        <v>FIBER UNLI ALL PLAN 2599</v>
      </c>
      <c r="P776" s="1" t="str">
        <f>IFERROR(__xludf.DUMMYFUNCTION("""COMPUTED_VALUE"""),"HIGHPLAN")</f>
        <v>HIGHPLAN</v>
      </c>
      <c r="Q776" s="1" t="str">
        <f>IFERROR(__xludf.DUMMYFUNCTION("""COMPUTED_VALUE"""),"P407567")</f>
        <v>P407567</v>
      </c>
      <c r="R776" s="1" t="str">
        <f>IFERROR(__xludf.DUMMYFUNCTION("""COMPUTED_VALUE"""),"LS_ILANO LIANDRO")</f>
        <v>LS_ILANO LIANDRO</v>
      </c>
      <c r="S776" s="1" t="str">
        <f>IFERROR(__xludf.DUMMYFUNCTION("""COMPUTED_VALUE"""),"LEADSTORE")</f>
        <v>LEADSTORE</v>
      </c>
      <c r="T776" s="1" t="str">
        <f>IFERROR(__xludf.DUMMYFUNCTION("""COMPUTED_VALUE"""),"JERIC NAVARRO")</f>
        <v>JERIC NAVARRO</v>
      </c>
      <c r="U776" s="1" t="str">
        <f>IFERROR(__xludf.DUMMYFUNCTION("""COMPUTED_VALUE"""),"JB SALIOA")</f>
        <v>JB SALIOA</v>
      </c>
      <c r="V776" s="1" t="str">
        <f>IFERROR(__xludf.DUMMYFUNCTION("""COMPUTED_VALUE"""),"ONLINE/CRANFORD")</f>
        <v>ONLINE/CRANFORD</v>
      </c>
      <c r="W776" s="1" t="str">
        <f>IFERROR(__xludf.DUMMYFUNCTION("""COMPUTED_VALUE"""),"STK REGULAR")</f>
        <v>STK REGULAR</v>
      </c>
      <c r="X776" s="1" t="str">
        <f>IFERROR(__xludf.DUMMYFUNCTION("""COMPUTED_VALUE"""),"HBBS SEPT 2026")</f>
        <v>HBBS SEPT 2026</v>
      </c>
      <c r="Y776" s="1" t="str">
        <f>IFERROR(__xludf.DUMMYFUNCTION("""COMPUTED_VALUE"""),"RS_ONL_CVEU_2026")</f>
        <v>RS_ONL_CVEU_2026</v>
      </c>
      <c r="Z776" s="1" t="str">
        <f>IFERROR(__xludf.DUMMYFUNCTION("""COMPUTED_VALUE"""),"NEW CONNECT")</f>
        <v>NEW CONNECT</v>
      </c>
      <c r="AA776" s="1">
        <f>IFERROR(__xludf.DUMMYFUNCTION("""COMPUTED_VALUE"""),639496576269)</f>
        <v>639496576269</v>
      </c>
      <c r="AB776" s="1"/>
      <c r="AC776" s="1"/>
      <c r="AD776" s="1" t="str">
        <f>IFERROR(__xludf.DUMMYFUNCTION("""COMPUTED_VALUE"""),"MANDARIN")</f>
        <v>MANDARIN</v>
      </c>
      <c r="AE776" s="1" t="str">
        <f>IFERROR(__xludf.DUMMYFUNCTION("""COMPUTED_VALUE"""),"METROGATE TAGAYTAY ESTATES")</f>
        <v>METROGATE TAGAYTAY ESTATES</v>
      </c>
      <c r="AF776" s="1" t="str">
        <f>IFERROR(__xludf.DUMMYFUNCTION("""COMPUTED_VALUE"""),"BGY KAYBAGAL SOUTH")</f>
        <v>BGY KAYBAGAL SOUTH</v>
      </c>
      <c r="AG776" s="1" t="str">
        <f>IFERROR(__xludf.DUMMYFUNCTION("""COMPUTED_VALUE"""),"TAGAYTAY")</f>
        <v>TAGAYTAY</v>
      </c>
      <c r="AH776" s="1" t="str">
        <f>IFERROR(__xludf.DUMMYFUNCTION("""COMPUTED_VALUE"""),"METROGATE ARK")</f>
        <v>METROGATE ARK</v>
      </c>
      <c r="AI776" s="1" t="str">
        <f>IFERROR(__xludf.DUMMYFUNCTION("""COMPUTED_VALUE"""),"CLUSTER 12")</f>
        <v>CLUSTER 12</v>
      </c>
    </row>
    <row r="777" customHeight="1" spans="1:35">
      <c r="A777" s="3">
        <f>IFERROR(__xludf.DUMMYFUNCTION("""COMPUTED_VALUE"""),46295)</f>
        <v>46295</v>
      </c>
      <c r="B777" s="1" t="str">
        <f>IFERROR(__xludf.DUMMYFUNCTION("""COMPUTED_VALUE"""),"MARIE FE VILLANUEVA CALIMAG")</f>
        <v>MARIE FE VILLANUEVA CALIMAG</v>
      </c>
      <c r="C777" s="1">
        <f>IFERROR(__xludf.DUMMYFUNCTION("""COMPUTED_VALUE"""),2312894588)</f>
        <v>2312894588</v>
      </c>
      <c r="D777" s="1">
        <f>IFERROR(__xludf.DUMMYFUNCTION("""COMPUTED_VALUE"""),408532825)</f>
        <v>408532825</v>
      </c>
      <c r="E777" s="1">
        <f>IFERROR(__xludf.DUMMYFUNCTION("""COMPUTED_VALUE"""),473616009004)</f>
        <v>473616009004</v>
      </c>
      <c r="F777" s="1" t="str">
        <f>IFERROR(__xludf.DUMMYFUNCTION("""COMPUTED_VALUE"""),"CLOSED")</f>
        <v>CLOSED</v>
      </c>
      <c r="G777" s="1" t="str">
        <f>IFERROR(__xludf.DUMMYFUNCTION("""COMPUTED_VALUE"""),"CLOSED")</f>
        <v>CLOSED</v>
      </c>
      <c r="H777" s="1"/>
      <c r="I777" s="1" t="str">
        <f>IFERROR(__xludf.DUMMYFUNCTION("""COMPUTED_VALUE"""),"NO 1 AMSF")</f>
        <v>NO 1 AMSF</v>
      </c>
      <c r="J777" s="1" t="str">
        <f>IFERROR(__xludf.DUMMYFUNCTION("""COMPUTED_VALUE"""),"DUE DATE - 27-Oct-26 - 1,648.93")</f>
        <v>DUE DATE - 27-Oct-26 - 1,648.93</v>
      </c>
      <c r="K777" s="1"/>
      <c r="L777" s="1" t="str">
        <f>IFERROR(__xludf.DUMMYFUNCTION("""COMPUTED_VALUE"""),"POSTED")</f>
        <v>POSTED</v>
      </c>
      <c r="M777" s="1" t="str">
        <f>IFERROR(__xludf.DUMMYFUNCTION("""COMPUTED_VALUE"""),"POSTED")</f>
        <v>POSTED</v>
      </c>
      <c r="N777" s="3">
        <f>IFERROR(__xludf.DUMMYFUNCTION("""COMPUTED_VALUE"""),46296)</f>
        <v>46296</v>
      </c>
      <c r="O777" s="1" t="str">
        <f>IFERROR(__xludf.DUMMYFUNCTION("""COMPUTED_VALUE"""),"FIBER UNLI ALL PLAN 1499")</f>
        <v>FIBER UNLI ALL PLAN 1499</v>
      </c>
      <c r="P777" s="1" t="str">
        <f>IFERROR(__xludf.DUMMYFUNCTION("""COMPUTED_VALUE"""),"LOWPLAN")</f>
        <v>LOWPLAN</v>
      </c>
      <c r="Q777" s="1" t="str">
        <f>IFERROR(__xludf.DUMMYFUNCTION("""COMPUTED_VALUE"""),"P407047")</f>
        <v>P407047</v>
      </c>
      <c r="R777" s="1" t="str">
        <f>IFERROR(__xludf.DUMMYFUNCTION("""COMPUTED_VALUE"""),"FRANCISCO, ROSELYN")</f>
        <v>FRANCISCO, ROSELYN</v>
      </c>
      <c r="S777" s="1" t="str">
        <f>IFERROR(__xludf.DUMMYFUNCTION("""COMPUTED_VALUE"""),"ORGANIC")</f>
        <v>ORGANIC</v>
      </c>
      <c r="T777" s="1" t="str">
        <f>IFERROR(__xludf.DUMMYFUNCTION("""COMPUTED_VALUE"""),"LEA REMOLLO")</f>
        <v>LEA REMOLLO</v>
      </c>
      <c r="U777" s="1" t="str">
        <f>IFERROR(__xludf.DUMMYFUNCTION("""COMPUTED_VALUE"""),"JB SALIOA")</f>
        <v>JB SALIOA</v>
      </c>
      <c r="V777" s="1" t="str">
        <f>IFERROR(__xludf.DUMMYFUNCTION("""COMPUTED_VALUE"""),"BK REGULAR")</f>
        <v>BK REGULAR</v>
      </c>
      <c r="W777" s="1" t="str">
        <f>IFERROR(__xludf.DUMMYFUNCTION("""COMPUTED_VALUE"""),"STK REGULAR")</f>
        <v>STK REGULAR</v>
      </c>
      <c r="X777" s="1" t="str">
        <f>IFERROR(__xludf.DUMMYFUNCTION("""COMPUTED_VALUE"""),"HBBS SEPT 2026")</f>
        <v>HBBS SEPT 2026</v>
      </c>
      <c r="Y777" s="1" t="str">
        <f>IFERROR(__xludf.DUMMYFUNCTION("""COMPUTED_VALUE"""),"BK_CVEU_260827")</f>
        <v>BK_CVEU_260827</v>
      </c>
      <c r="Z777" s="1" t="str">
        <f>IFERROR(__xludf.DUMMYFUNCTION("""COMPUTED_VALUE"""),"NEW CONNECT")</f>
        <v>NEW CONNECT</v>
      </c>
      <c r="AA777" s="1">
        <f>IFERROR(__xludf.DUMMYFUNCTION("""COMPUTED_VALUE"""),639451475097)</f>
        <v>639451475097</v>
      </c>
      <c r="AB777" s="1">
        <f>IFERROR(__xludf.DUMMYFUNCTION("""COMPUTED_VALUE"""),639935924629)</f>
        <v>639935924629</v>
      </c>
      <c r="AC777" s="1">
        <f>IFERROR(__xludf.DUMMYFUNCTION("""COMPUTED_VALUE"""),17)</f>
        <v>17</v>
      </c>
      <c r="AD777" s="1" t="str">
        <f>IFERROR(__xludf.DUMMYFUNCTION("""COMPUTED_VALUE"""),"LAGUNDI")</f>
        <v>LAGUNDI</v>
      </c>
      <c r="AE777" s="1"/>
      <c r="AF777" s="1" t="str">
        <f>IFERROR(__xludf.DUMMYFUNCTION("""COMPUTED_VALUE"""),"BGY ULAT")</f>
        <v>BGY ULAT</v>
      </c>
      <c r="AG777" s="1" t="str">
        <f>IFERROR(__xludf.DUMMYFUNCTION("""COMPUTED_VALUE"""),"SILANG")</f>
        <v>SILANG</v>
      </c>
      <c r="AH777" s="1" t="str">
        <f>IFERROR(__xludf.DUMMYFUNCTION("""COMPUTED_VALUE"""),"-")</f>
        <v>-</v>
      </c>
      <c r="AI777" s="1" t="str">
        <f>IFERROR(__xludf.DUMMYFUNCTION("""COMPUTED_VALUE"""),"CLUSTER 11")</f>
        <v>CLUSTER 11</v>
      </c>
    </row>
    <row r="778" customHeight="1" spans="1:35">
      <c r="A778" s="3">
        <f>IFERROR(__xludf.DUMMYFUNCTION("""COMPUTED_VALUE"""),46295)</f>
        <v>46295</v>
      </c>
      <c r="B778" s="1" t="str">
        <f>IFERROR(__xludf.DUMMYFUNCTION("""COMPUTED_VALUE"""),"CAMILLE ANCHETA GALVEZ")</f>
        <v>CAMILLE ANCHETA GALVEZ</v>
      </c>
      <c r="C778" s="1">
        <f>IFERROR(__xludf.DUMMYFUNCTION("""COMPUTED_VALUE"""),2312894833)</f>
        <v>2312894833</v>
      </c>
      <c r="D778" s="1">
        <f>IFERROR(__xludf.DUMMYFUNCTION("""COMPUTED_VALUE"""),408535220)</f>
        <v>408535220</v>
      </c>
      <c r="E778" s="1">
        <f>IFERROR(__xludf.DUMMYFUNCTION("""COMPUTED_VALUE"""),473633154004)</f>
        <v>473633154004</v>
      </c>
      <c r="F778" s="1" t="str">
        <f>IFERROR(__xludf.DUMMYFUNCTION("""COMPUTED_VALUE"""),"CLOSED")</f>
        <v>CLOSED</v>
      </c>
      <c r="G778" s="1" t="str">
        <f>IFERROR(__xludf.DUMMYFUNCTION("""COMPUTED_VALUE"""),"CLOSED")</f>
        <v>CLOSED</v>
      </c>
      <c r="H778" s="1" t="str">
        <f>IFERROR(__xludf.DUMMYFUNCTION("""COMPUTED_VALUE"""),"PAID THRU GCASH 937543645 OCT 1")</f>
        <v>PAID THRU GCASH 937543645 OCT 1</v>
      </c>
      <c r="I778" s="1" t="str">
        <f>IFERROR(__xludf.DUMMYFUNCTION("""COMPUTED_VALUE"""),"WITH 1 AMSF")</f>
        <v>WITH 1 AMSF</v>
      </c>
      <c r="J778" s="1"/>
      <c r="K778" s="1"/>
      <c r="L778" s="1" t="str">
        <f>IFERROR(__xludf.DUMMYFUNCTION("""COMPUTED_VALUE"""),"POSTED")</f>
        <v>POSTED</v>
      </c>
      <c r="M778" s="1" t="str">
        <f>IFERROR(__xludf.DUMMYFUNCTION("""COMPUTED_VALUE"""),"POSTED")</f>
        <v>POSTED</v>
      </c>
      <c r="N778" s="3">
        <f>IFERROR(__xludf.DUMMYFUNCTION("""COMPUTED_VALUE"""),46297)</f>
        <v>46297</v>
      </c>
      <c r="O778" s="1" t="str">
        <f>IFERROR(__xludf.DUMMYFUNCTION("""COMPUTED_VALUE"""),"FIBR PLAN 1299")</f>
        <v>FIBR PLAN 1299</v>
      </c>
      <c r="P778" s="1" t="str">
        <f>IFERROR(__xludf.DUMMYFUNCTION("""COMPUTED_VALUE"""),"LOWPLAN")</f>
        <v>LOWPLAN</v>
      </c>
      <c r="Q778" s="1" t="str">
        <f>IFERROR(__xludf.DUMMYFUNCTION("""COMPUTED_VALUE"""),"P407560")</f>
        <v>P407560</v>
      </c>
      <c r="R778" s="1" t="str">
        <f>IFERROR(__xludf.DUMMYFUNCTION("""COMPUTED_VALUE"""),"ILANO, AHR JHAEI")</f>
        <v>ILANO, AHR JHAEI</v>
      </c>
      <c r="S778" s="1" t="str">
        <f>IFERROR(__xludf.DUMMYFUNCTION("""COMPUTED_VALUE"""),"ORGANIC")</f>
        <v>ORGANIC</v>
      </c>
      <c r="T778" s="1" t="str">
        <f>IFERROR(__xludf.DUMMYFUNCTION("""COMPUTED_VALUE"""),"LEA REMOLLO")</f>
        <v>LEA REMOLLO</v>
      </c>
      <c r="U778" s="1" t="str">
        <f>IFERROR(__xludf.DUMMYFUNCTION("""COMPUTED_VALUE"""),"JB SALIOA")</f>
        <v>JB SALIOA</v>
      </c>
      <c r="V778" s="1" t="str">
        <f>IFERROR(__xludf.DUMMYFUNCTION("""COMPUTED_VALUE"""),"BK HSTK")</f>
        <v>BK HSTK</v>
      </c>
      <c r="W778" s="1" t="str">
        <f>IFERROR(__xludf.DUMMYFUNCTION("""COMPUTED_VALUE"""),"BK HSTK")</f>
        <v>BK HSTK</v>
      </c>
      <c r="X778" s="1" t="str">
        <f>IFERROR(__xludf.DUMMYFUNCTION("""COMPUTED_VALUE"""),"HBBS SEPT 2026")</f>
        <v>HBBS SEPT 2026</v>
      </c>
      <c r="Y778" s="1" t="str">
        <f>IFERROR(__xludf.DUMMYFUNCTION("""COMPUTED_VALUE"""),"BK_CVEU_260827")</f>
        <v>BK_CVEU_260827</v>
      </c>
      <c r="Z778" s="1" t="str">
        <f>IFERROR(__xludf.DUMMYFUNCTION("""COMPUTED_VALUE"""),"NEW CONNECT")</f>
        <v>NEW CONNECT</v>
      </c>
      <c r="AA778" s="1">
        <f>IFERROR(__xludf.DUMMYFUNCTION("""COMPUTED_VALUE"""),639563579215)</f>
        <v>639563579215</v>
      </c>
      <c r="AB778" s="1">
        <f>IFERROR(__xludf.DUMMYFUNCTION("""COMPUTED_VALUE"""),639276465846)</f>
        <v>639276465846</v>
      </c>
      <c r="AC778" s="1">
        <f>IFERROR(__xludf.DUMMYFUNCTION("""COMPUTED_VALUE"""),308)</f>
        <v>308</v>
      </c>
      <c r="AD778" s="1" t="str">
        <f>IFERROR(__xludf.DUMMYFUNCTION("""COMPUTED_VALUE"""),"MACATANGAY")</f>
        <v>MACATANGAY</v>
      </c>
      <c r="AE778" s="1"/>
      <c r="AF778" s="1" t="str">
        <f>IFERROR(__xludf.DUMMYFUNCTION("""COMPUTED_VALUE"""),"BGY TARTARIA")</f>
        <v>BGY TARTARIA</v>
      </c>
      <c r="AG778" s="1" t="str">
        <f>IFERROR(__xludf.DUMMYFUNCTION("""COMPUTED_VALUE"""),"SILANG")</f>
        <v>SILANG</v>
      </c>
      <c r="AH778" s="1" t="str">
        <f>IFERROR(__xludf.DUMMYFUNCTION("""COMPUTED_VALUE"""),"PNPA")</f>
        <v>PNPA</v>
      </c>
      <c r="AI778" s="1" t="str">
        <f>IFERROR(__xludf.DUMMYFUNCTION("""COMPUTED_VALUE"""),"CLUSTER 11")</f>
        <v>CLUSTER 11</v>
      </c>
    </row>
    <row r="779" customHeight="1" spans="1:35">
      <c r="A779" s="3">
        <f>IFERROR(__xludf.DUMMYFUNCTION("""COMPUTED_VALUE"""),46289)</f>
        <v>46289</v>
      </c>
      <c r="B779" s="1" t="str">
        <f>IFERROR(__xludf.DUMMYFUNCTION("""COMPUTED_VALUE"""),"TRES MUJERES FOOD CORP")</f>
        <v>TRES MUJERES FOOD CORP</v>
      </c>
      <c r="C779" s="1"/>
      <c r="D779" s="1"/>
      <c r="E779" s="1"/>
      <c r="F779" s="1" t="str">
        <f>IFERROR(__xludf.DUMMYFUNCTION("""COMPUTED_VALUE"""),"CLOSED")</f>
        <v>CLOSED</v>
      </c>
      <c r="G779" s="1" t="str">
        <f>IFERROR(__xludf.DUMMYFUNCTION("""COMPUTED_VALUE"""),"CLOSED")</f>
        <v>CLOSED</v>
      </c>
      <c r="H779" s="1" t="str">
        <f>IFERROR(__xludf.DUMMYFUNCTION("""COMPUTED_VALUE"""),"PAID VIA GCASH REF 216121117 SEP 25")</f>
        <v>PAID VIA GCASH REF 216121117 SEP 25</v>
      </c>
      <c r="I779" s="1" t="str">
        <f>IFERROR(__xludf.DUMMYFUNCTION("""COMPUTED_VALUE"""),"WITH 1 AMSF")</f>
        <v>WITH 1 AMSF</v>
      </c>
      <c r="J779" s="1"/>
      <c r="K779" s="1" t="str">
        <f>IFERROR(__xludf.DUMMYFUNCTION("""COMPUTED_VALUE"""),"NOT IN OFSC")</f>
        <v>NOT IN OFSC</v>
      </c>
      <c r="L779" s="1" t="str">
        <f>IFERROR(__xludf.DUMMYFUNCTION("""COMPUTED_VALUE"""),"POSTED")</f>
        <v>POSTED</v>
      </c>
      <c r="M779" s="1" t="str">
        <f>IFERROR(__xludf.DUMMYFUNCTION("""COMPUTED_VALUE"""),"POSTED")</f>
        <v>POSTED</v>
      </c>
      <c r="N779" s="3">
        <f>IFERROR(__xludf.DUMMYFUNCTION("""COMPUTED_VALUE"""),46299)</f>
        <v>46299</v>
      </c>
      <c r="O779" s="1" t="str">
        <f>IFERROR(__xludf.DUMMYFUNCTION("""COMPUTED_VALUE"""),"FIBR PLAN 1299")</f>
        <v>FIBR PLAN 1299</v>
      </c>
      <c r="P779" s="1" t="str">
        <f>IFERROR(__xludf.DUMMYFUNCTION("""COMPUTED_VALUE"""),"LOWPLAN")</f>
        <v>LOWPLAN</v>
      </c>
      <c r="Q779" s="1" t="str">
        <f>IFERROR(__xludf.DUMMYFUNCTION("""COMPUTED_VALUE"""),"P407520 ")</f>
        <v>P407520 </v>
      </c>
      <c r="R779" s="1" t="str">
        <f>IFERROR(__xludf.DUMMYFUNCTION("""COMPUTED_VALUE"""),"MALIWAT, MARK")</f>
        <v>MALIWAT, MARK</v>
      </c>
      <c r="S779" s="1" t="str">
        <f>IFERROR(__xludf.DUMMYFUNCTION("""COMPUTED_VALUE"""),"FLA")</f>
        <v>FLA</v>
      </c>
      <c r="T779" s="1" t="str">
        <f>IFERROR(__xludf.DUMMYFUNCTION("""COMPUTED_VALUE"""),"JERIC NAVARRO")</f>
        <v>JERIC NAVARRO</v>
      </c>
      <c r="U779" s="1" t="str">
        <f>IFERROR(__xludf.DUMMYFUNCTION("""COMPUTED_VALUE"""),"JULIE ESPIRITU")</f>
        <v>JULIE ESPIRITU</v>
      </c>
      <c r="V779" s="1" t="str">
        <f>IFERROR(__xludf.DUMMYFUNCTION("""COMPUTED_VALUE"""),"H2H")</f>
        <v>H2H</v>
      </c>
      <c r="W779" s="1" t="str">
        <f>IFERROR(__xludf.DUMMYFUNCTION("""COMPUTED_VALUE"""),"CSP")</f>
        <v>CSP</v>
      </c>
      <c r="X779" s="1" t="str">
        <f>IFERROR(__xludf.DUMMYFUNCTION("""COMPUTED_VALUE"""),"HBBS BIZ SEPT 2026")</f>
        <v>HBBS BIZ SEPT 2026</v>
      </c>
      <c r="Y779" s="1" t="str">
        <f>IFERROR(__xludf.DUMMYFUNCTION("""COMPUTED_VALUE"""),"RS_SS_CVEU_2026")</f>
        <v>RS_SS_CVEU_2026</v>
      </c>
      <c r="Z779" s="1" t="str">
        <f>IFERROR(__xludf.DUMMYFUNCTION("""COMPUTED_VALUE"""),"NEW CONNECT")</f>
        <v>NEW CONNECT</v>
      </c>
      <c r="AA779" s="1">
        <f>IFERROR(__xludf.DUMMYFUNCTION("""COMPUTED_VALUE"""),639566856937)</f>
        <v>639566856937</v>
      </c>
      <c r="AB779" s="1">
        <f>IFERROR(__xludf.DUMMYFUNCTION("""COMPUTED_VALUE"""),639493942156)</f>
        <v>639493942156</v>
      </c>
      <c r="AC779" s="1"/>
      <c r="AD779" s="1" t="str">
        <f>IFERROR(__xludf.DUMMYFUNCTION("""COMPUTED_VALUE"""),"678 WET AND DRY MARKET")</f>
        <v>678 WET AND DRY MARKET</v>
      </c>
      <c r="AE779" s="1" t="str">
        <f>IFERROR(__xludf.DUMMYFUNCTION("""COMPUTED_VALUE"""),"TERMINAL EXPRESS")</f>
        <v>TERMINAL EXPRESS</v>
      </c>
      <c r="AF779" s="1" t="str">
        <f>IFERROR(__xludf.DUMMYFUNCTION("""COMPUTED_VALUE"""),"BGY MAMBOG 4")</f>
        <v>BGY MAMBOG 4</v>
      </c>
      <c r="AG779" s="1" t="str">
        <f>IFERROR(__xludf.DUMMYFUNCTION("""COMPUTED_VALUE"""),"BACOOR")</f>
        <v>BACOOR</v>
      </c>
      <c r="AH779" s="1"/>
      <c r="AI779" s="1" t="str">
        <f>IFERROR(__xludf.DUMMYFUNCTION("""COMPUTED_VALUE"""),"NOT AOR")</f>
        <v>NOT AOR</v>
      </c>
    </row>
    <row r="780" customHeight="1" spans="1:35">
      <c r="A780" s="3">
        <f>IFERROR(__xludf.DUMMYFUNCTION("""COMPUTED_VALUE"""),46290)</f>
        <v>46290</v>
      </c>
      <c r="B780" s="1" t="str">
        <f>IFERROR(__xludf.DUMMYFUNCTION("""COMPUTED_VALUE"""),"GELYN VERONIA HEPOLAN")</f>
        <v>GELYN VERONIA HEPOLAN</v>
      </c>
      <c r="C780" s="1"/>
      <c r="D780" s="1"/>
      <c r="E780" s="1"/>
      <c r="F780" s="1" t="str">
        <f>IFERROR(__xludf.DUMMYFUNCTION("""COMPUTED_VALUE"""),"CLOSED")</f>
        <v>CLOSED</v>
      </c>
      <c r="G780" s="1" t="str">
        <f>IFERROR(__xludf.DUMMYFUNCTION("""COMPUTED_VALUE"""),"CLOSED")</f>
        <v>CLOSED</v>
      </c>
      <c r="H780" s="1" t="str">
        <f>IFERROR(__xludf.DUMMYFUNCTION("""COMPUTED_VALUE"""),"PAID VIA GCASH REF 429542671 SEP 28")</f>
        <v>PAID VIA GCASH REF 429542671 SEP 28</v>
      </c>
      <c r="I780" s="1" t="str">
        <f>IFERROR(__xludf.DUMMYFUNCTION("""COMPUTED_VALUE"""),"WITH 1 AMSF")</f>
        <v>WITH 1 AMSF</v>
      </c>
      <c r="J780" s="1"/>
      <c r="K780" s="1" t="str">
        <f>IFERROR(__xludf.DUMMYFUNCTION("""COMPUTED_VALUE"""),"NOT IN OFSC")</f>
        <v>NOT IN OFSC</v>
      </c>
      <c r="L780" s="1" t="str">
        <f>IFERROR(__xludf.DUMMYFUNCTION("""COMPUTED_VALUE"""),"POSTED")</f>
        <v>POSTED</v>
      </c>
      <c r="M780" s="1" t="str">
        <f>IFERROR(__xludf.DUMMYFUNCTION("""COMPUTED_VALUE"""),"POSTED")</f>
        <v>POSTED</v>
      </c>
      <c r="N780" s="3">
        <f>IFERROR(__xludf.DUMMYFUNCTION("""COMPUTED_VALUE"""),46297)</f>
        <v>46297</v>
      </c>
      <c r="O780" s="1" t="str">
        <f>IFERROR(__xludf.DUMMYFUNCTION("""COMPUTED_VALUE"""),"FIBR PLAN 1299")</f>
        <v>FIBR PLAN 1299</v>
      </c>
      <c r="P780" s="1" t="str">
        <f>IFERROR(__xludf.DUMMYFUNCTION("""COMPUTED_VALUE"""),"LOWPLAN")</f>
        <v>LOWPLAN</v>
      </c>
      <c r="Q780" s="1" t="str">
        <f>IFERROR(__xludf.DUMMYFUNCTION("""COMPUTED_VALUE"""),"P407564")</f>
        <v>P407564</v>
      </c>
      <c r="R780" s="1" t="str">
        <f>IFERROR(__xludf.DUMMYFUNCTION("""COMPUTED_VALUE"""),"ARENA, LYKA")</f>
        <v>ARENA, LYKA</v>
      </c>
      <c r="S780" s="1" t="str">
        <f>IFERROR(__xludf.DUMMYFUNCTION("""COMPUTED_VALUE"""),"ORGANIC")</f>
        <v>ORGANIC</v>
      </c>
      <c r="T780" s="1" t="str">
        <f>IFERROR(__xludf.DUMMYFUNCTION("""COMPUTED_VALUE"""),"LEA REMOLLO")</f>
        <v>LEA REMOLLO</v>
      </c>
      <c r="U780" s="1" t="str">
        <f>IFERROR(__xludf.DUMMYFUNCTION("""COMPUTED_VALUE"""),"JB SALIOA")</f>
        <v>JB SALIOA</v>
      </c>
      <c r="V780" s="1" t="str">
        <f>IFERROR(__xludf.DUMMYFUNCTION("""COMPUTED_VALUE"""),"BK REGULAR")</f>
        <v>BK REGULAR</v>
      </c>
      <c r="W780" s="1" t="str">
        <f>IFERROR(__xludf.DUMMYFUNCTION("""COMPUTED_VALUE"""),"STK REGULAR")</f>
        <v>STK REGULAR</v>
      </c>
      <c r="X780" s="1" t="str">
        <f>IFERROR(__xludf.DUMMYFUNCTION("""COMPUTED_VALUE"""),"HBBS SEPT 2026")</f>
        <v>HBBS SEPT 2026</v>
      </c>
      <c r="Y780" s="1" t="str">
        <f>IFERROR(__xludf.DUMMYFUNCTION("""COMPUTED_VALUE"""),"BK_CVEU_260827")</f>
        <v>BK_CVEU_260827</v>
      </c>
      <c r="Z780" s="1" t="str">
        <f>IFERROR(__xludf.DUMMYFUNCTION("""COMPUTED_VALUE"""),"NEW CONNECT")</f>
        <v>NEW CONNECT</v>
      </c>
      <c r="AA780" s="1">
        <f>IFERROR(__xludf.DUMMYFUNCTION("""COMPUTED_VALUE"""),639053002342)</f>
        <v>639053002342</v>
      </c>
      <c r="AB780" s="1"/>
      <c r="AC780" s="1">
        <f>IFERROR(__xludf.DUMMYFUNCTION("""COMPUTED_VALUE"""),169)</f>
        <v>169</v>
      </c>
      <c r="AD780" s="1" t="str">
        <f>IFERROR(__xludf.DUMMYFUNCTION("""COMPUTED_VALUE"""),"SITIO MUZON")</f>
        <v>SITIO MUZON</v>
      </c>
      <c r="AE780" s="1"/>
      <c r="AF780" s="1" t="str">
        <f>IFERROR(__xludf.DUMMYFUNCTION("""COMPUTED_VALUE"""),"BGY PUTING KAHOY")</f>
        <v>BGY PUTING KAHOY</v>
      </c>
      <c r="AG780" s="1" t="str">
        <f>IFERROR(__xludf.DUMMYFUNCTION("""COMPUTED_VALUE"""),"SILANG")</f>
        <v>SILANG</v>
      </c>
      <c r="AH780" s="1" t="str">
        <f>IFERROR(__xludf.DUMMYFUNCTION("""COMPUTED_VALUE"""),"-")</f>
        <v>-</v>
      </c>
      <c r="AI780" s="1" t="str">
        <f>IFERROR(__xludf.DUMMYFUNCTION("""COMPUTED_VALUE"""),"CLUSTER 11")</f>
        <v>CLUSTER 11</v>
      </c>
    </row>
    <row r="781" customHeight="1" spans="1:35">
      <c r="A781" s="3">
        <f>IFERROR(__xludf.DUMMYFUNCTION("""COMPUTED_VALUE"""),46291)</f>
        <v>46291</v>
      </c>
      <c r="B781" s="1" t="str">
        <f>IFERROR(__xludf.DUMMYFUNCTION("""COMPUTED_VALUE"""),"RAMIL TAGABAN GUDIAGA")</f>
        <v>RAMIL TAGABAN GUDIAGA</v>
      </c>
      <c r="C781" s="1"/>
      <c r="D781" s="1"/>
      <c r="E781" s="1"/>
      <c r="F781" s="1" t="str">
        <f>IFERROR(__xludf.DUMMYFUNCTION("""COMPUTED_VALUE"""),"CLOSED")</f>
        <v>CLOSED</v>
      </c>
      <c r="G781" s="1" t="str">
        <f>IFERROR(__xludf.DUMMYFUNCTION("""COMPUTED_VALUE"""),"CLOSED")</f>
        <v>CLOSED</v>
      </c>
      <c r="H781" s="1" t="str">
        <f>IFERROR(__xludf.DUMMYFUNCTION("""COMPUTED_VALUE"""),"PAID VIA GCASH REF 435230947 SEP 30")</f>
        <v>PAID VIA GCASH REF 435230947 SEP 30</v>
      </c>
      <c r="I781" s="1" t="str">
        <f>IFERROR(__xludf.DUMMYFUNCTION("""COMPUTED_VALUE"""),"WITH 1 AMSF")</f>
        <v>WITH 1 AMSF</v>
      </c>
      <c r="J781" s="1"/>
      <c r="K781" s="1" t="str">
        <f>IFERROR(__xludf.DUMMYFUNCTION("""COMPUTED_VALUE"""),"SUSPENDED")</f>
        <v>SUSPENDED</v>
      </c>
      <c r="L781" s="1" t="str">
        <f>IFERROR(__xludf.DUMMYFUNCTION("""COMPUTED_VALUE"""),"POSTED")</f>
        <v>POSTED</v>
      </c>
      <c r="M781" s="1" t="str">
        <f>IFERROR(__xludf.DUMMYFUNCTION("""COMPUTED_VALUE"""),"POSTED")</f>
        <v>POSTED</v>
      </c>
      <c r="N781" s="3">
        <f>IFERROR(__xludf.DUMMYFUNCTION("""COMPUTED_VALUE"""),46300)</f>
        <v>46300</v>
      </c>
      <c r="O781" s="1" t="str">
        <f>IFERROR(__xludf.DUMMYFUNCTION("""COMPUTED_VALUE"""),"FIBR PLAN 1299")</f>
        <v>FIBR PLAN 1299</v>
      </c>
      <c r="P781" s="1" t="str">
        <f>IFERROR(__xludf.DUMMYFUNCTION("""COMPUTED_VALUE"""),"LOWPLAN")</f>
        <v>LOWPLAN</v>
      </c>
      <c r="Q781" s="1" t="str">
        <f>IFERROR(__xludf.DUMMYFUNCTION("""COMPUTED_VALUE"""),"P407567")</f>
        <v>P407567</v>
      </c>
      <c r="R781" s="1" t="str">
        <f>IFERROR(__xludf.DUMMYFUNCTION("""COMPUTED_VALUE"""),"IVNO, RAZZEL")</f>
        <v>IVNO, RAZZEL</v>
      </c>
      <c r="S781" s="1" t="str">
        <f>IFERROR(__xludf.DUMMYFUNCTION("""COMPUTED_VALUE"""),"LEADSTORE")</f>
        <v>LEADSTORE</v>
      </c>
      <c r="T781" s="1" t="str">
        <f>IFERROR(__xludf.DUMMYFUNCTION("""COMPUTED_VALUE"""),"JERIC NAVARRO")</f>
        <v>JERIC NAVARRO</v>
      </c>
      <c r="U781" s="1" t="str">
        <f>IFERROR(__xludf.DUMMYFUNCTION("""COMPUTED_VALUE"""),"JB SALIOA")</f>
        <v>JB SALIOA</v>
      </c>
      <c r="V781" s="1" t="str">
        <f>IFERROR(__xludf.DUMMYFUNCTION("""COMPUTED_VALUE"""),"H2H")</f>
        <v>H2H</v>
      </c>
      <c r="W781" s="1" t="str">
        <f>IFERROR(__xludf.DUMMYFUNCTION("""COMPUTED_VALUE"""),"STK REGULAR")</f>
        <v>STK REGULAR</v>
      </c>
      <c r="X781" s="1" t="str">
        <f>IFERROR(__xludf.DUMMYFUNCTION("""COMPUTED_VALUE"""),"HBBS SEPT 2026")</f>
        <v>HBBS SEPT 2026</v>
      </c>
      <c r="Y781" s="1" t="str">
        <f>IFERROR(__xludf.DUMMYFUNCTION("""COMPUTED_VALUE"""),"RS_LS_CVEU_2026")</f>
        <v>RS_LS_CVEU_2026</v>
      </c>
      <c r="Z781" s="1" t="str">
        <f>IFERROR(__xludf.DUMMYFUNCTION("""COMPUTED_VALUE"""),"NEW CONNECT")</f>
        <v>NEW CONNECT</v>
      </c>
      <c r="AA781" s="1">
        <f>IFERROR(__xludf.DUMMYFUNCTION("""COMPUTED_VALUE"""),639914606078)</f>
        <v>639914606078</v>
      </c>
      <c r="AB781" s="1">
        <f>IFERROR(__xludf.DUMMYFUNCTION("""COMPUTED_VALUE"""),639358947938)</f>
        <v>639358947938</v>
      </c>
      <c r="AC781" s="1"/>
      <c r="AD781" s="1" t="str">
        <f>IFERROR(__xludf.DUMMYFUNCTION("""COMPUTED_VALUE"""),"CALUMPANG")</f>
        <v>CALUMPANG</v>
      </c>
      <c r="AE781" s="1"/>
      <c r="AF781" s="1" t="str">
        <f>IFERROR(__xludf.DUMMYFUNCTION("""COMPUTED_VALUE"""),"BGY LANTIC")</f>
        <v>BGY LANTIC</v>
      </c>
      <c r="AG781" s="1" t="str">
        <f>IFERROR(__xludf.DUMMYFUNCTION("""COMPUTED_VALUE"""),"CARMONA")</f>
        <v>CARMONA</v>
      </c>
      <c r="AH781" s="1" t="str">
        <f>IFERROR(__xludf.DUMMYFUNCTION("""COMPUTED_VALUE"""),"-")</f>
        <v>-</v>
      </c>
      <c r="AI781" s="1" t="str">
        <f>IFERROR(__xludf.DUMMYFUNCTION("""COMPUTED_VALUE"""),"CLUSTER 11")</f>
        <v>CLUSTER 11</v>
      </c>
    </row>
    <row r="782" customHeight="1" spans="1:35">
      <c r="A782" s="3">
        <f>IFERROR(__xludf.DUMMYFUNCTION("""COMPUTED_VALUE"""),46293)</f>
        <v>46293</v>
      </c>
      <c r="B782" s="1" t="str">
        <f>IFERROR(__xludf.DUMMYFUNCTION("""COMPUTED_VALUE"""),"LESLIE ANN BELARDO NAVARRO")</f>
        <v>LESLIE ANN BELARDO NAVARRO</v>
      </c>
      <c r="C782" s="1"/>
      <c r="D782" s="1"/>
      <c r="E782" s="1"/>
      <c r="F782" s="1" t="str">
        <f>IFERROR(__xludf.DUMMYFUNCTION("""COMPUTED_VALUE"""),"CLOSED")</f>
        <v>CLOSED</v>
      </c>
      <c r="G782" s="1" t="str">
        <f>IFERROR(__xludf.DUMMYFUNCTION("""COMPUTED_VALUE"""),"CLOSED")</f>
        <v>CLOSED</v>
      </c>
      <c r="H782" s="1" t="str">
        <f>IFERROR(__xludf.DUMMYFUNCTION("""COMPUTED_VALUE"""),"PAID VIA CSP")</f>
        <v>PAID VIA CSP</v>
      </c>
      <c r="I782" s="1" t="str">
        <f>IFERROR(__xludf.DUMMYFUNCTION("""COMPUTED_VALUE"""),"NO 1 AMSF")</f>
        <v>NO 1 AMSF</v>
      </c>
      <c r="J782" s="1"/>
      <c r="K782" s="1"/>
      <c r="L782" s="1" t="str">
        <f>IFERROR(__xludf.DUMMYFUNCTION("""COMPUTED_VALUE"""),"POSTED")</f>
        <v>POSTED</v>
      </c>
      <c r="M782" s="1" t="str">
        <f>IFERROR(__xludf.DUMMYFUNCTION("""COMPUTED_VALUE"""),"POSTED")</f>
        <v>POSTED</v>
      </c>
      <c r="N782" s="3">
        <f>IFERROR(__xludf.DUMMYFUNCTION("""COMPUTED_VALUE"""),46297)</f>
        <v>46297</v>
      </c>
      <c r="O782" s="1" t="str">
        <f>IFERROR(__xludf.DUMMYFUNCTION("""COMPUTED_VALUE"""),"FIBR PLAN 1299")</f>
        <v>FIBR PLAN 1299</v>
      </c>
      <c r="P782" s="1" t="str">
        <f>IFERROR(__xludf.DUMMYFUNCTION("""COMPUTED_VALUE"""),"LOWPLAN")</f>
        <v>LOWPLAN</v>
      </c>
      <c r="Q782" s="1" t="str">
        <f>IFERROR(__xludf.DUMMYFUNCTION("""COMPUTED_VALUE"""),"P407564")</f>
        <v>P407564</v>
      </c>
      <c r="R782" s="1" t="str">
        <f>IFERROR(__xludf.DUMMYFUNCTION("""COMPUTED_VALUE"""),"ARENA, LYKA")</f>
        <v>ARENA, LYKA</v>
      </c>
      <c r="S782" s="1" t="str">
        <f>IFERROR(__xludf.DUMMYFUNCTION("""COMPUTED_VALUE"""),"ORGANIC")</f>
        <v>ORGANIC</v>
      </c>
      <c r="T782" s="1" t="str">
        <f>IFERROR(__xludf.DUMMYFUNCTION("""COMPUTED_VALUE"""),"LEA REMOLLO")</f>
        <v>LEA REMOLLO</v>
      </c>
      <c r="U782" s="1" t="str">
        <f>IFERROR(__xludf.DUMMYFUNCTION("""COMPUTED_VALUE"""),"JB SALIOA")</f>
        <v>JB SALIOA</v>
      </c>
      <c r="V782" s="1" t="str">
        <f>IFERROR(__xludf.DUMMYFUNCTION("""COMPUTED_VALUE"""),"BK HSTK")</f>
        <v>BK HSTK</v>
      </c>
      <c r="W782" s="1" t="str">
        <f>IFERROR(__xludf.DUMMYFUNCTION("""COMPUTED_VALUE"""),"BK HSTK")</f>
        <v>BK HSTK</v>
      </c>
      <c r="X782" s="1" t="str">
        <f>IFERROR(__xludf.DUMMYFUNCTION("""COMPUTED_VALUE"""),"HBBS SEPT 2026")</f>
        <v>HBBS SEPT 2026</v>
      </c>
      <c r="Y782" s="1" t="str">
        <f>IFERROR(__xludf.DUMMYFUNCTION("""COMPUTED_VALUE"""),"BK_CVEU_260827")</f>
        <v>BK_CVEU_260827</v>
      </c>
      <c r="Z782" s="1" t="str">
        <f>IFERROR(__xludf.DUMMYFUNCTION("""COMPUTED_VALUE"""),"NEW CONNECT")</f>
        <v>NEW CONNECT</v>
      </c>
      <c r="AA782" s="1">
        <f>IFERROR(__xludf.DUMMYFUNCTION("""COMPUTED_VALUE"""),639507298373)</f>
        <v>639507298373</v>
      </c>
      <c r="AB782" s="1"/>
      <c r="AC782" s="1">
        <f>IFERROR(__xludf.DUMMYFUNCTION("""COMPUTED_VALUE"""),311)</f>
        <v>311</v>
      </c>
      <c r="AD782" s="1" t="str">
        <f>IFERROR(__xludf.DUMMYFUNCTION("""COMPUTED_VALUE"""),"PLATERO")</f>
        <v>PLATERO</v>
      </c>
      <c r="AE782" s="1" t="str">
        <f>IFERROR(__xludf.DUMMYFUNCTION("""COMPUTED_VALUE"""),"PUROK 3")</f>
        <v>PUROK 3</v>
      </c>
      <c r="AF782" s="1" t="str">
        <f>IFERROR(__xludf.DUMMYFUNCTION("""COMPUTED_VALUE"""),"BGY LUMIL")</f>
        <v>BGY LUMIL</v>
      </c>
      <c r="AG782" s="1" t="str">
        <f>IFERROR(__xludf.DUMMYFUNCTION("""COMPUTED_VALUE"""),"SILANG")</f>
        <v>SILANG</v>
      </c>
      <c r="AH782" s="1" t="str">
        <f>IFERROR(__xludf.DUMMYFUNCTION("""COMPUTED_VALUE"""),"LA CAVITENA RESORT")</f>
        <v>LA CAVITENA RESORT</v>
      </c>
      <c r="AI782" s="1" t="str">
        <f>IFERROR(__xludf.DUMMYFUNCTION("""COMPUTED_VALUE"""),"CLUSTER 11")</f>
        <v>CLUSTER 11</v>
      </c>
    </row>
    <row r="783" customHeight="1" spans="1:35">
      <c r="A783" s="3">
        <f>IFERROR(__xludf.DUMMYFUNCTION("""COMPUTED_VALUE"""),46293)</f>
        <v>46293</v>
      </c>
      <c r="B783" s="1" t="str">
        <f>IFERROR(__xludf.DUMMYFUNCTION("""COMPUTED_VALUE"""),"JOEWELLA MAY MENDEZ MORALLOS")</f>
        <v>JOEWELLA MAY MENDEZ MORALLOS</v>
      </c>
      <c r="C783" s="1"/>
      <c r="D783" s="1"/>
      <c r="E783" s="1"/>
      <c r="F783" s="1" t="str">
        <f>IFERROR(__xludf.DUMMYFUNCTION("""COMPUTED_VALUE"""),"CLOSED")</f>
        <v>CLOSED</v>
      </c>
      <c r="G783" s="1" t="str">
        <f>IFERROR(__xludf.DUMMYFUNCTION("""COMPUTED_VALUE"""),"CLOSED")</f>
        <v>CLOSED</v>
      </c>
      <c r="H783" s="1" t="str">
        <f>IFERROR(__xludf.DUMMYFUNCTION("""COMPUTED_VALUE"""),"PAID VIA PAY EXPRESS PX82816642 SEP 29")</f>
        <v>PAID VIA PAY EXPRESS PX82816642 SEP 29</v>
      </c>
      <c r="I783" s="1" t="str">
        <f>IFERROR(__xludf.DUMMYFUNCTION("""COMPUTED_VALUE"""),"WITH 1 AMSF")</f>
        <v>WITH 1 AMSF</v>
      </c>
      <c r="J783" s="1"/>
      <c r="K783" s="1"/>
      <c r="L783" s="1" t="str">
        <f>IFERROR(__xludf.DUMMYFUNCTION("""COMPUTED_VALUE"""),"POSTED")</f>
        <v>POSTED</v>
      </c>
      <c r="M783" s="1" t="str">
        <f>IFERROR(__xludf.DUMMYFUNCTION("""COMPUTED_VALUE"""),"POSTED")</f>
        <v>POSTED</v>
      </c>
      <c r="N783" s="3">
        <f>IFERROR(__xludf.DUMMYFUNCTION("""COMPUTED_VALUE"""),46297)</f>
        <v>46297</v>
      </c>
      <c r="O783" s="1" t="str">
        <f>IFERROR(__xludf.DUMMYFUNCTION("""COMPUTED_VALUE"""),"FIBR PLAN 1299")</f>
        <v>FIBR PLAN 1299</v>
      </c>
      <c r="P783" s="1" t="str">
        <f>IFERROR(__xludf.DUMMYFUNCTION("""COMPUTED_VALUE"""),"LOWPLAN")</f>
        <v>LOWPLAN</v>
      </c>
      <c r="Q783" s="1" t="str">
        <f>IFERROR(__xludf.DUMMYFUNCTION("""COMPUTED_VALUE"""),"P407050")</f>
        <v>P407050</v>
      </c>
      <c r="R783" s="1" t="str">
        <f>IFERROR(__xludf.DUMMYFUNCTION("""COMPUTED_VALUE"""),"ESCARCHA, ALMA")</f>
        <v>ESCARCHA, ALMA</v>
      </c>
      <c r="S783" s="1" t="str">
        <f>IFERROR(__xludf.DUMMYFUNCTION("""COMPUTED_VALUE"""),"ORGANIC")</f>
        <v>ORGANIC</v>
      </c>
      <c r="T783" s="1" t="str">
        <f>IFERROR(__xludf.DUMMYFUNCTION("""COMPUTED_VALUE"""),"LEA REMOLLO")</f>
        <v>LEA REMOLLO</v>
      </c>
      <c r="U783" s="1" t="str">
        <f>IFERROR(__xludf.DUMMYFUNCTION("""COMPUTED_VALUE"""),"JB SALIOA")</f>
        <v>JB SALIOA</v>
      </c>
      <c r="V783" s="1" t="str">
        <f>IFERROR(__xludf.DUMMYFUNCTION("""COMPUTED_VALUE"""),"BK HSTK")</f>
        <v>BK HSTK</v>
      </c>
      <c r="W783" s="1" t="str">
        <f>IFERROR(__xludf.DUMMYFUNCTION("""COMPUTED_VALUE"""),"BK HSTK")</f>
        <v>BK HSTK</v>
      </c>
      <c r="X783" s="1" t="str">
        <f>IFERROR(__xludf.DUMMYFUNCTION("""COMPUTED_VALUE"""),"HBBS SEPT 2026")</f>
        <v>HBBS SEPT 2026</v>
      </c>
      <c r="Y783" s="1" t="str">
        <f>IFERROR(__xludf.DUMMYFUNCTION("""COMPUTED_VALUE"""),"BK_CVEU_260827")</f>
        <v>BK_CVEU_260827</v>
      </c>
      <c r="Z783" s="1" t="str">
        <f>IFERROR(__xludf.DUMMYFUNCTION("""COMPUTED_VALUE"""),"NEW CONNECT")</f>
        <v>NEW CONNECT</v>
      </c>
      <c r="AA783" s="1">
        <f>IFERROR(__xludf.DUMMYFUNCTION("""COMPUTED_VALUE"""),639482931421)</f>
        <v>639482931421</v>
      </c>
      <c r="AB783" s="1"/>
      <c r="AC783" s="1">
        <f>IFERROR(__xludf.DUMMYFUNCTION("""COMPUTED_VALUE"""),8)</f>
        <v>8</v>
      </c>
      <c r="AD783" s="1" t="str">
        <f>IFERROR(__xludf.DUMMYFUNCTION("""COMPUTED_VALUE"""),"PALIGAWAN")</f>
        <v>PALIGAWAN</v>
      </c>
      <c r="AE783" s="1" t="str">
        <f>IFERROR(__xludf.DUMMYFUNCTION("""COMPUTED_VALUE"""),"PUROK 5 APARTMENT D")</f>
        <v>PUROK 5 APARTMENT D</v>
      </c>
      <c r="AF783" s="1" t="str">
        <f>IFERROR(__xludf.DUMMYFUNCTION("""COMPUTED_VALUE"""),"BGY LUMIL")</f>
        <v>BGY LUMIL</v>
      </c>
      <c r="AG783" s="1" t="str">
        <f>IFERROR(__xludf.DUMMYFUNCTION("""COMPUTED_VALUE"""),"SILANG")</f>
        <v>SILANG</v>
      </c>
      <c r="AH783" s="1" t="str">
        <f>IFERROR(__xludf.DUMMYFUNCTION("""COMPUTED_VALUE"""),"ALFAMART")</f>
        <v>ALFAMART</v>
      </c>
      <c r="AI783" s="1" t="str">
        <f>IFERROR(__xludf.DUMMYFUNCTION("""COMPUTED_VALUE"""),"CLUSTER 11")</f>
        <v>CLUSTER 11</v>
      </c>
    </row>
    <row r="784" customHeight="1" spans="1:35">
      <c r="A784" s="3">
        <f>IFERROR(__xludf.DUMMYFUNCTION("""COMPUTED_VALUE"""),46293)</f>
        <v>46293</v>
      </c>
      <c r="B784" s="1" t="str">
        <f>IFERROR(__xludf.DUMMYFUNCTION("""COMPUTED_VALUE"""),"NENITA OCRAY BALBUENA")</f>
        <v>NENITA OCRAY BALBUENA</v>
      </c>
      <c r="C784" s="1"/>
      <c r="D784" s="1"/>
      <c r="E784" s="1"/>
      <c r="F784" s="1" t="str">
        <f>IFERROR(__xludf.DUMMYFUNCTION("""COMPUTED_VALUE"""),"CLOSED")</f>
        <v>CLOSED</v>
      </c>
      <c r="G784" s="1" t="str">
        <f>IFERROR(__xludf.DUMMYFUNCTION("""COMPUTED_VALUE"""),"CLOSED")</f>
        <v>CLOSED</v>
      </c>
      <c r="H784" s="1" t="str">
        <f>IFERROR(__xludf.DUMMYFUNCTION("""COMPUTED_VALUE"""),"PAID VIA GCASH REF 327401212 SEP 29")</f>
        <v>PAID VIA GCASH REF 327401212 SEP 29</v>
      </c>
      <c r="I784" s="1" t="str">
        <f>IFERROR(__xludf.DUMMYFUNCTION("""COMPUTED_VALUE"""),"WITH 1 AMSF")</f>
        <v>WITH 1 AMSF</v>
      </c>
      <c r="J784" s="1"/>
      <c r="K784" s="1"/>
      <c r="L784" s="1" t="str">
        <f>IFERROR(__xludf.DUMMYFUNCTION("""COMPUTED_VALUE"""),"POSTED")</f>
        <v>POSTED</v>
      </c>
      <c r="M784" s="1" t="str">
        <f>IFERROR(__xludf.DUMMYFUNCTION("""COMPUTED_VALUE"""),"POSTED")</f>
        <v>POSTED</v>
      </c>
      <c r="N784" s="3">
        <f>IFERROR(__xludf.DUMMYFUNCTION("""COMPUTED_VALUE"""),46297)</f>
        <v>46297</v>
      </c>
      <c r="O784" s="1" t="str">
        <f>IFERROR(__xludf.DUMMYFUNCTION("""COMPUTED_VALUE"""),"FIBR PLAN 1699")</f>
        <v>FIBR PLAN 1699</v>
      </c>
      <c r="P784" s="1" t="str">
        <f>IFERROR(__xludf.DUMMYFUNCTION("""COMPUTED_VALUE"""),"HIGHPLAN")</f>
        <v>HIGHPLAN</v>
      </c>
      <c r="Q784" s="1" t="str">
        <f>IFERROR(__xludf.DUMMYFUNCTION("""COMPUTED_VALUE"""),"P407044")</f>
        <v>P407044</v>
      </c>
      <c r="R784" s="1" t="str">
        <f>IFERROR(__xludf.DUMMYFUNCTION("""COMPUTED_VALUE"""),"DACALCAP, ROGER")</f>
        <v>DACALCAP, ROGER</v>
      </c>
      <c r="S784" s="1" t="str">
        <f>IFERROR(__xludf.DUMMYFUNCTION("""COMPUTED_VALUE"""),"FLA")</f>
        <v>FLA</v>
      </c>
      <c r="T784" s="1" t="str">
        <f>IFERROR(__xludf.DUMMYFUNCTION("""COMPUTED_VALUE"""),"JERIC NAVARRO")</f>
        <v>JERIC NAVARRO</v>
      </c>
      <c r="U784" s="1" t="str">
        <f>IFERROR(__xludf.DUMMYFUNCTION("""COMPUTED_VALUE"""),"JB SALIOA")</f>
        <v>JB SALIOA</v>
      </c>
      <c r="V784" s="1" t="str">
        <f>IFERROR(__xludf.DUMMYFUNCTION("""COMPUTED_VALUE"""),"ONLINE/CRANFORD")</f>
        <v>ONLINE/CRANFORD</v>
      </c>
      <c r="W784" s="1" t="str">
        <f>IFERROR(__xludf.DUMMYFUNCTION("""COMPUTED_VALUE"""),"STK REGULAR")</f>
        <v>STK REGULAR</v>
      </c>
      <c r="X784" s="1" t="str">
        <f>IFERROR(__xludf.DUMMYFUNCTION("""COMPUTED_VALUE"""),"HBBS SEPT 2026")</f>
        <v>HBBS SEPT 2026</v>
      </c>
      <c r="Y784" s="1" t="str">
        <f>IFERROR(__xludf.DUMMYFUNCTION("""COMPUTED_VALUE"""),"RS_ONL_CVEU_2026")</f>
        <v>RS_ONL_CVEU_2026</v>
      </c>
      <c r="Z784" s="1" t="str">
        <f>IFERROR(__xludf.DUMMYFUNCTION("""COMPUTED_VALUE"""),"NEW CONNECT")</f>
        <v>NEW CONNECT</v>
      </c>
      <c r="AA784" s="1">
        <f>IFERROR(__xludf.DUMMYFUNCTION("""COMPUTED_VALUE"""),639298348742)</f>
        <v>639298348742</v>
      </c>
      <c r="AB784" s="1"/>
      <c r="AC784" s="1"/>
      <c r="AD784" s="1" t="str">
        <f>IFERROR(__xludf.DUMMYFUNCTION("""COMPUTED_VALUE"""),"PINOY VILLAGE")</f>
        <v>PINOY VILLAGE</v>
      </c>
      <c r="AE784" s="1" t="str">
        <f>IFERROR(__xludf.DUMMYFUNCTION("""COMPUTED_VALUE"""),"PINOY VILLAGE")</f>
        <v>PINOY VILLAGE</v>
      </c>
      <c r="AF784" s="1" t="str">
        <f>IFERROR(__xludf.DUMMYFUNCTION("""COMPUTED_VALUE"""),"BGY SABUTAN")</f>
        <v>BGY SABUTAN</v>
      </c>
      <c r="AG784" s="1" t="str">
        <f>IFERROR(__xludf.DUMMYFUNCTION("""COMPUTED_VALUE"""),"SILANG")</f>
        <v>SILANG</v>
      </c>
      <c r="AH784" s="1" t="str">
        <f>IFERROR(__xludf.DUMMYFUNCTION("""COMPUTED_VALUE"""),"PINOY VILLAGE")</f>
        <v>PINOY VILLAGE</v>
      </c>
      <c r="AI784" s="1" t="str">
        <f>IFERROR(__xludf.DUMMYFUNCTION("""COMPUTED_VALUE"""),"CLUSTER 11")</f>
        <v>CLUSTER 11</v>
      </c>
    </row>
    <row r="785" customHeight="1" spans="1:35">
      <c r="A785" s="3">
        <f>IFERROR(__xludf.DUMMYFUNCTION("""COMPUTED_VALUE"""),46293)</f>
        <v>46293</v>
      </c>
      <c r="B785" s="1" t="str">
        <f>IFERROR(__xludf.DUMMYFUNCTION("""COMPUTED_VALUE"""),"EMERSON MOJICA MOJICA")</f>
        <v>EMERSON MOJICA MOJICA</v>
      </c>
      <c r="C785" s="1"/>
      <c r="D785" s="1"/>
      <c r="E785" s="1"/>
      <c r="F785" s="1" t="str">
        <f>IFERROR(__xludf.DUMMYFUNCTION("""COMPUTED_VALUE"""),"CLOSED")</f>
        <v>CLOSED</v>
      </c>
      <c r="G785" s="1" t="str">
        <f>IFERROR(__xludf.DUMMYFUNCTION("""COMPUTED_VALUE"""),"CLOSED")</f>
        <v>CLOSED</v>
      </c>
      <c r="H785" s="1" t="str">
        <f>IFERROR(__xludf.DUMMYFUNCTION("""COMPUTED_VALUE"""),"PAID VIA CSP")</f>
        <v>PAID VIA CSP</v>
      </c>
      <c r="I785" s="1" t="str">
        <f>IFERROR(__xludf.DUMMYFUNCTION("""COMPUTED_VALUE"""),"NO 1 AMSF")</f>
        <v>NO 1 AMSF</v>
      </c>
      <c r="J785" s="1"/>
      <c r="K785" s="1"/>
      <c r="L785" s="1" t="str">
        <f>IFERROR(__xludf.DUMMYFUNCTION("""COMPUTED_VALUE"""),"POSTED")</f>
        <v>POSTED</v>
      </c>
      <c r="M785" s="1" t="str">
        <f>IFERROR(__xludf.DUMMYFUNCTION("""COMPUTED_VALUE"""),"POSTED")</f>
        <v>POSTED</v>
      </c>
      <c r="N785" s="3">
        <f>IFERROR(__xludf.DUMMYFUNCTION("""COMPUTED_VALUE"""),46297)</f>
        <v>46297</v>
      </c>
      <c r="O785" s="1" t="str">
        <f>IFERROR(__xludf.DUMMYFUNCTION("""COMPUTED_VALUE"""),"FIBR PLAN 1299")</f>
        <v>FIBR PLAN 1299</v>
      </c>
      <c r="P785" s="1" t="str">
        <f>IFERROR(__xludf.DUMMYFUNCTION("""COMPUTED_VALUE"""),"LOWPLAN")</f>
        <v>LOWPLAN</v>
      </c>
      <c r="Q785" s="1" t="str">
        <f>IFERROR(__xludf.DUMMYFUNCTION("""COMPUTED_VALUE"""),"P407050")</f>
        <v>P407050</v>
      </c>
      <c r="R785" s="1" t="str">
        <f>IFERROR(__xludf.DUMMYFUNCTION("""COMPUTED_VALUE"""),"CADERAO, RONALD")</f>
        <v>CADERAO, RONALD</v>
      </c>
      <c r="S785" s="1" t="str">
        <f>IFERROR(__xludf.DUMMYFUNCTION("""COMPUTED_VALUE"""),"ORGANIC")</f>
        <v>ORGANIC</v>
      </c>
      <c r="T785" s="1" t="str">
        <f>IFERROR(__xludf.DUMMYFUNCTION("""COMPUTED_VALUE"""),"LEA REMOLLO")</f>
        <v>LEA REMOLLO</v>
      </c>
      <c r="U785" s="1" t="str">
        <f>IFERROR(__xludf.DUMMYFUNCTION("""COMPUTED_VALUE"""),"JB SALIOA")</f>
        <v>JB SALIOA</v>
      </c>
      <c r="V785" s="1" t="str">
        <f>IFERROR(__xludf.DUMMYFUNCTION("""COMPUTED_VALUE"""),"BK REGULAR")</f>
        <v>BK REGULAR</v>
      </c>
      <c r="W785" s="1" t="str">
        <f>IFERROR(__xludf.DUMMYFUNCTION("""COMPUTED_VALUE"""),"STK REGULAR")</f>
        <v>STK REGULAR</v>
      </c>
      <c r="X785" s="1" t="str">
        <f>IFERROR(__xludf.DUMMYFUNCTION("""COMPUTED_VALUE"""),"HBBS SEPT 2026")</f>
        <v>HBBS SEPT 2026</v>
      </c>
      <c r="Y785" s="1" t="str">
        <f>IFERROR(__xludf.DUMMYFUNCTION("""COMPUTED_VALUE"""),"BK_CVEU_260822")</f>
        <v>BK_CVEU_260822</v>
      </c>
      <c r="Z785" s="1" t="str">
        <f>IFERROR(__xludf.DUMMYFUNCTION("""COMPUTED_VALUE"""),"NEW CONNECT")</f>
        <v>NEW CONNECT</v>
      </c>
      <c r="AA785" s="1">
        <f>IFERROR(__xludf.DUMMYFUNCTION("""COMPUTED_VALUE"""),639950667788)</f>
        <v>639950667788</v>
      </c>
      <c r="AB785" s="1"/>
      <c r="AC785" s="1"/>
      <c r="AD785" s="1" t="str">
        <f>IFERROR(__xludf.DUMMYFUNCTION("""COMPUTED_VALUE"""),"MATAGBAK")</f>
        <v>MATAGBAK</v>
      </c>
      <c r="AE785" s="1"/>
      <c r="AF785" s="1" t="str">
        <f>IFERROR(__xludf.DUMMYFUNCTION("""COMPUTED_VALUE"""),"BGY MATAGBAK 2")</f>
        <v>BGY MATAGBAK 2</v>
      </c>
      <c r="AG785" s="1" t="str">
        <f>IFERROR(__xludf.DUMMYFUNCTION("""COMPUTED_VALUE"""),"ALFONSO")</f>
        <v>ALFONSO</v>
      </c>
      <c r="AH785" s="1" t="str">
        <f>IFERROR(__xludf.DUMMYFUNCTION("""COMPUTED_VALUE"""),"INFRONT OF GLOBE TOWER")</f>
        <v>INFRONT OF GLOBE TOWER</v>
      </c>
      <c r="AI785" s="1" t="str">
        <f>IFERROR(__xludf.DUMMYFUNCTION("""COMPUTED_VALUE"""),"CLUSTER 12")</f>
        <v>CLUSTER 12</v>
      </c>
    </row>
    <row r="786" customHeight="1" spans="1:35">
      <c r="A786" s="3">
        <f>IFERROR(__xludf.DUMMYFUNCTION("""COMPUTED_VALUE"""),46293)</f>
        <v>46293</v>
      </c>
      <c r="B786" s="1" t="str">
        <f>IFERROR(__xludf.DUMMYFUNCTION("""COMPUTED_VALUE"""),"JENNIFER ALVAREZ ROQUE")</f>
        <v>JENNIFER ALVAREZ ROQUE</v>
      </c>
      <c r="C786" s="1"/>
      <c r="D786" s="1"/>
      <c r="E786" s="1"/>
      <c r="F786" s="1" t="str">
        <f>IFERROR(__xludf.DUMMYFUNCTION("""COMPUTED_VALUE"""),"CLOSED")</f>
        <v>CLOSED</v>
      </c>
      <c r="G786" s="1" t="str">
        <f>IFERROR(__xludf.DUMMYFUNCTION("""COMPUTED_VALUE"""),"CLOSED")</f>
        <v>CLOSED</v>
      </c>
      <c r="H786" s="1" t="str">
        <f>IFERROR(__xludf.DUMMYFUNCTION("""COMPUTED_VALUE"""),"PAID VIA GCASH REF 831649133 OCT 1")</f>
        <v>PAID VIA GCASH REF 831649133 OCT 1</v>
      </c>
      <c r="I786" s="1" t="str">
        <f>IFERROR(__xludf.DUMMYFUNCTION("""COMPUTED_VALUE"""),"WITH 1 AMSF")</f>
        <v>WITH 1 AMSF</v>
      </c>
      <c r="J786" s="1"/>
      <c r="K786" s="1"/>
      <c r="L786" s="1" t="str">
        <f>IFERROR(__xludf.DUMMYFUNCTION("""COMPUTED_VALUE"""),"POSTED")</f>
        <v>POSTED</v>
      </c>
      <c r="M786" s="1" t="str">
        <f>IFERROR(__xludf.DUMMYFUNCTION("""COMPUTED_VALUE"""),"POSTED")</f>
        <v>POSTED</v>
      </c>
      <c r="N786" s="3">
        <f>IFERROR(__xludf.DUMMYFUNCTION("""COMPUTED_VALUE"""),46296)</f>
        <v>46296</v>
      </c>
      <c r="O786" s="1" t="str">
        <f>IFERROR(__xludf.DUMMYFUNCTION("""COMPUTED_VALUE"""),"FIBER UNLI ALL PLAN 1499")</f>
        <v>FIBER UNLI ALL PLAN 1499</v>
      </c>
      <c r="P786" s="1" t="str">
        <f>IFERROR(__xludf.DUMMYFUNCTION("""COMPUTED_VALUE"""),"LOWPLAN")</f>
        <v>LOWPLAN</v>
      </c>
      <c r="Q786" s="1" t="str">
        <f>IFERROR(__xludf.DUMMYFUNCTION("""COMPUTED_VALUE"""),"P407561")</f>
        <v>P407561</v>
      </c>
      <c r="R786" s="1" t="str">
        <f>IFERROR(__xludf.DUMMYFUNCTION("""COMPUTED_VALUE"""),"LABONG, AJAY")</f>
        <v>LABONG, AJAY</v>
      </c>
      <c r="S786" s="1" t="str">
        <f>IFERROR(__xludf.DUMMYFUNCTION("""COMPUTED_VALUE"""),"ORGANIC")</f>
        <v>ORGANIC</v>
      </c>
      <c r="T786" s="1" t="str">
        <f>IFERROR(__xludf.DUMMYFUNCTION("""COMPUTED_VALUE"""),"LEA REMOLLO")</f>
        <v>LEA REMOLLO</v>
      </c>
      <c r="U786" s="1" t="str">
        <f>IFERROR(__xludf.DUMMYFUNCTION("""COMPUTED_VALUE"""),"JB SALIOA")</f>
        <v>JB SALIOA</v>
      </c>
      <c r="V786" s="1" t="str">
        <f>IFERROR(__xludf.DUMMYFUNCTION("""COMPUTED_VALUE"""),"BK HSTK")</f>
        <v>BK HSTK</v>
      </c>
      <c r="W786" s="1" t="str">
        <f>IFERROR(__xludf.DUMMYFUNCTION("""COMPUTED_VALUE"""),"BK HSTK")</f>
        <v>BK HSTK</v>
      </c>
      <c r="X786" s="1" t="str">
        <f>IFERROR(__xludf.DUMMYFUNCTION("""COMPUTED_VALUE"""),"HBBS SEPT 2026")</f>
        <v>HBBS SEPT 2026</v>
      </c>
      <c r="Y786" s="1" t="str">
        <f>IFERROR(__xludf.DUMMYFUNCTION("""COMPUTED_VALUE"""),"BK_CVEU_260827")</f>
        <v>BK_CVEU_260827</v>
      </c>
      <c r="Z786" s="1" t="str">
        <f>IFERROR(__xludf.DUMMYFUNCTION("""COMPUTED_VALUE"""),"NEW CONNECT")</f>
        <v>NEW CONNECT</v>
      </c>
      <c r="AA786" s="1">
        <f>IFERROR(__xludf.DUMMYFUNCTION("""COMPUTED_VALUE"""),639278514604)</f>
        <v>639278514604</v>
      </c>
      <c r="AB786" s="1"/>
      <c r="AC786" s="1">
        <f>IFERROR(__xludf.DUMMYFUNCTION("""COMPUTED_VALUE"""),62)</f>
        <v>62</v>
      </c>
      <c r="AD786" s="1" t="str">
        <f>IFERROR(__xludf.DUMMYFUNCTION("""COMPUTED_VALUE"""),"HUMARANG")</f>
        <v>HUMARANG</v>
      </c>
      <c r="AE786" s="1" t="str">
        <f>IFERROR(__xludf.DUMMYFUNCTION("""COMPUTED_VALUE"""),"AMBATA APARTMENT")</f>
        <v>AMBATA APARTMENT</v>
      </c>
      <c r="AF786" s="1" t="str">
        <f>IFERROR(__xludf.DUMMYFUNCTION("""COMPUTED_VALUE"""),"BGY LUMIL")</f>
        <v>BGY LUMIL</v>
      </c>
      <c r="AG786" s="1" t="str">
        <f>IFERROR(__xludf.DUMMYFUNCTION("""COMPUTED_VALUE"""),"SILANG")</f>
        <v>SILANG</v>
      </c>
      <c r="AH786" s="1" t="str">
        <f>IFERROR(__xludf.DUMMYFUNCTION("""COMPUTED_VALUE"""),"TEOFELY GARDEN")</f>
        <v>TEOFELY GARDEN</v>
      </c>
      <c r="AI786" s="1" t="str">
        <f>IFERROR(__xludf.DUMMYFUNCTION("""COMPUTED_VALUE"""),"CLUSTER 11")</f>
        <v>CLUSTER 11</v>
      </c>
    </row>
    <row r="787" customHeight="1" spans="1:35">
      <c r="A787" s="3">
        <f>IFERROR(__xludf.DUMMYFUNCTION("""COMPUTED_VALUE"""),46293)</f>
        <v>46293</v>
      </c>
      <c r="B787" s="1" t="str">
        <f>IFERROR(__xludf.DUMMYFUNCTION("""COMPUTED_VALUE"""),"RUEL MORANO LABUAC")</f>
        <v>RUEL MORANO LABUAC</v>
      </c>
      <c r="C787" s="1"/>
      <c r="D787" s="1"/>
      <c r="E787" s="1"/>
      <c r="F787" s="1" t="str">
        <f>IFERROR(__xludf.DUMMYFUNCTION("""COMPUTED_VALUE"""),"CLOSED")</f>
        <v>CLOSED</v>
      </c>
      <c r="G787" s="1" t="str">
        <f>IFERROR(__xludf.DUMMYFUNCTION("""COMPUTED_VALUE"""),"CLOSED")</f>
        <v>CLOSED</v>
      </c>
      <c r="H787" s="1"/>
      <c r="I787" s="1" t="str">
        <f>IFERROR(__xludf.DUMMYFUNCTION("""COMPUTED_VALUE"""),"NO 1 AMSF")</f>
        <v>NO 1 AMSF</v>
      </c>
      <c r="J787" s="1"/>
      <c r="K787" s="1"/>
      <c r="L787" s="1" t="str">
        <f>IFERROR(__xludf.DUMMYFUNCTION("""COMPUTED_VALUE"""),"POSTED")</f>
        <v>POSTED</v>
      </c>
      <c r="M787" s="1" t="str">
        <f>IFERROR(__xludf.DUMMYFUNCTION("""COMPUTED_VALUE"""),"POSTED")</f>
        <v>POSTED</v>
      </c>
      <c r="N787" s="3">
        <f>IFERROR(__xludf.DUMMYFUNCTION("""COMPUTED_VALUE"""),46299)</f>
        <v>46299</v>
      </c>
      <c r="O787" s="1" t="str">
        <f>IFERROR(__xludf.DUMMYFUNCTION("""COMPUTED_VALUE"""),"FIBR PLAN 1299")</f>
        <v>FIBR PLAN 1299</v>
      </c>
      <c r="P787" s="1" t="str">
        <f>IFERROR(__xludf.DUMMYFUNCTION("""COMPUTED_VALUE"""),"LOWPLAN")</f>
        <v>LOWPLAN</v>
      </c>
      <c r="Q787" s="1" t="str">
        <f>IFERROR(__xludf.DUMMYFUNCTION("""COMPUTED_VALUE"""),"P407559")</f>
        <v>P407559</v>
      </c>
      <c r="R787" s="1" t="str">
        <f>IFERROR(__xludf.DUMMYFUNCTION("""COMPUTED_VALUE"""),"MAGDARAOG, KENNETH")</f>
        <v>MAGDARAOG, KENNETH</v>
      </c>
      <c r="S787" s="1" t="str">
        <f>IFERROR(__xludf.DUMMYFUNCTION("""COMPUTED_VALUE"""),"ORGANIC")</f>
        <v>ORGANIC</v>
      </c>
      <c r="T787" s="1" t="str">
        <f>IFERROR(__xludf.DUMMYFUNCTION("""COMPUTED_VALUE"""),"LEA REMOLLO")</f>
        <v>LEA REMOLLO</v>
      </c>
      <c r="U787" s="1" t="str">
        <f>IFERROR(__xludf.DUMMYFUNCTION("""COMPUTED_VALUE"""),"JB SALIOA")</f>
        <v>JB SALIOA</v>
      </c>
      <c r="V787" s="1" t="str">
        <f>IFERROR(__xludf.DUMMYFUNCTION("""COMPUTED_VALUE"""),"BK EXPRESS")</f>
        <v>BK EXPRESS</v>
      </c>
      <c r="W787" s="1" t="str">
        <f>IFERROR(__xludf.DUMMYFUNCTION("""COMPUTED_VALUE"""),"BK HSTK")</f>
        <v>BK HSTK</v>
      </c>
      <c r="X787" s="1" t="str">
        <f>IFERROR(__xludf.DUMMYFUNCTION("""COMPUTED_VALUE"""),"HBBS SEPT 2026")</f>
        <v>HBBS SEPT 2026</v>
      </c>
      <c r="Y787" s="1" t="str">
        <f>IFERROR(__xludf.DUMMYFUNCTION("""COMPUTED_VALUE"""),"BK_CVEU_260827")</f>
        <v>BK_CVEU_260827</v>
      </c>
      <c r="Z787" s="1" t="str">
        <f>IFERROR(__xludf.DUMMYFUNCTION("""COMPUTED_VALUE"""),"NEW CONNECT")</f>
        <v>NEW CONNECT</v>
      </c>
      <c r="AA787" s="1">
        <f>IFERROR(__xludf.DUMMYFUNCTION("""COMPUTED_VALUE"""),639707336437)</f>
        <v>639707336437</v>
      </c>
      <c r="AB787" s="1"/>
      <c r="AC787" s="1"/>
      <c r="AD787" s="1" t="str">
        <f>IFERROR(__xludf.DUMMYFUNCTION("""COMPUTED_VALUE"""),"TOLEDO")</f>
        <v>TOLEDO</v>
      </c>
      <c r="AE787" s="1"/>
      <c r="AF787" s="1" t="str">
        <f>IFERROR(__xludf.DUMMYFUNCTION("""COMPUTED_VALUE"""),"BGY TOLEDO")</f>
        <v>BGY TOLEDO</v>
      </c>
      <c r="AG787" s="1" t="str">
        <f>IFERROR(__xludf.DUMMYFUNCTION("""COMPUTED_VALUE"""),"SILANG")</f>
        <v>SILANG</v>
      </c>
      <c r="AH787" s="1" t="str">
        <f>IFERROR(__xludf.DUMMYFUNCTION("""COMPUTED_VALUE"""),"BKEXPRESS_NEAR EMMA SEWING SHOP")</f>
        <v>BKEXPRESS_NEAR EMMA SEWING SHOP</v>
      </c>
      <c r="AI787" s="1" t="str">
        <f>IFERROR(__xludf.DUMMYFUNCTION("""COMPUTED_VALUE"""),"CLUSTER 11")</f>
        <v>CLUSTER 11</v>
      </c>
    </row>
    <row r="788" customHeight="1" spans="1:35">
      <c r="A788" s="3">
        <f>IFERROR(__xludf.DUMMYFUNCTION("""COMPUTED_VALUE"""),46294)</f>
        <v>46294</v>
      </c>
      <c r="B788" s="1" t="str">
        <f>IFERROR(__xludf.DUMMYFUNCTION("""COMPUTED_VALUE"""),"JOANNA CASINILLO YBANEZ")</f>
        <v>JOANNA CASINILLO YBANEZ</v>
      </c>
      <c r="C788" s="1"/>
      <c r="D788" s="1"/>
      <c r="E788" s="1"/>
      <c r="F788" s="1" t="str">
        <f>IFERROR(__xludf.DUMMYFUNCTION("""COMPUTED_VALUE"""),"CLOSED")</f>
        <v>CLOSED</v>
      </c>
      <c r="G788" s="1" t="str">
        <f>IFERROR(__xludf.DUMMYFUNCTION("""COMPUTED_VALUE"""),"CLOSED")</f>
        <v>CLOSED</v>
      </c>
      <c r="H788" s="1" t="str">
        <f>IFERROR(__xludf.DUMMYFUNCTION("""COMPUTED_VALUE"""),"PQGOR365657574	30-Sep-26	Regular Payment	CIS-GCASH 3.0	1,556.00	0	30-Sep-26")</f>
        <v>PQGOR365657574	30-Sep-26	Regular Payment	CIS-GCASH 3.0	1,556.00	0	30-Sep-26</v>
      </c>
      <c r="I788" s="1" t="str">
        <f>IFERROR(__xludf.DUMMYFUNCTION("""COMPUTED_VALUE"""),"WITH 1 AMSF")</f>
        <v>WITH 1 AMSF</v>
      </c>
      <c r="J788" s="1"/>
      <c r="K788" s="1"/>
      <c r="L788" s="1" t="str">
        <f>IFERROR(__xludf.DUMMYFUNCTION("""COMPUTED_VALUE"""),"POSTED")</f>
        <v>POSTED</v>
      </c>
      <c r="M788" s="1" t="str">
        <f>IFERROR(__xludf.DUMMYFUNCTION("""COMPUTED_VALUE"""),"POSTED")</f>
        <v>POSTED</v>
      </c>
      <c r="N788" s="3">
        <f>IFERROR(__xludf.DUMMYFUNCTION("""COMPUTED_VALUE"""),46300)</f>
        <v>46300</v>
      </c>
      <c r="O788" s="1" t="str">
        <f>IFERROR(__xludf.DUMMYFUNCTION("""COMPUTED_VALUE"""),"FIBER UNLI ALL PLAN 1499")</f>
        <v>FIBER UNLI ALL PLAN 1499</v>
      </c>
      <c r="P788" s="1" t="str">
        <f>IFERROR(__xludf.DUMMYFUNCTION("""COMPUTED_VALUE"""),"LOWPLAN")</f>
        <v>LOWPLAN</v>
      </c>
      <c r="Q788" s="1" t="str">
        <f>IFERROR(__xludf.DUMMYFUNCTION("""COMPUTED_VALUE"""),"P407050")</f>
        <v>P407050</v>
      </c>
      <c r="R788" s="1" t="str">
        <f>IFERROR(__xludf.DUMMYFUNCTION("""COMPUTED_VALUE"""),"CADERAO, RONALD")</f>
        <v>CADERAO, RONALD</v>
      </c>
      <c r="S788" s="1" t="str">
        <f>IFERROR(__xludf.DUMMYFUNCTION("""COMPUTED_VALUE"""),"ORGANIC")</f>
        <v>ORGANIC</v>
      </c>
      <c r="T788" s="1" t="str">
        <f>IFERROR(__xludf.DUMMYFUNCTION("""COMPUTED_VALUE"""),"LEA REMOLLO")</f>
        <v>LEA REMOLLO</v>
      </c>
      <c r="U788" s="1" t="str">
        <f>IFERROR(__xludf.DUMMYFUNCTION("""COMPUTED_VALUE"""),"JB SALIOA")</f>
        <v>JB SALIOA</v>
      </c>
      <c r="V788" s="1" t="str">
        <f>IFERROR(__xludf.DUMMYFUNCTION("""COMPUTED_VALUE"""),"ONLINE/CRANFORD")</f>
        <v>ONLINE/CRANFORD</v>
      </c>
      <c r="W788" s="1" t="str">
        <f>IFERROR(__xludf.DUMMYFUNCTION("""COMPUTED_VALUE"""),"STK REGULAR")</f>
        <v>STK REGULAR</v>
      </c>
      <c r="X788" s="1" t="str">
        <f>IFERROR(__xludf.DUMMYFUNCTION("""COMPUTED_VALUE"""),"HBBS SEPT 2026")</f>
        <v>HBBS SEPT 2026</v>
      </c>
      <c r="Y788" s="1" t="str">
        <f>IFERROR(__xludf.DUMMYFUNCTION("""COMPUTED_VALUE"""),"RS_ONL_CVEU_2026")</f>
        <v>RS_ONL_CVEU_2026</v>
      </c>
      <c r="Z788" s="1" t="str">
        <f>IFERROR(__xludf.DUMMYFUNCTION("""COMPUTED_VALUE"""),"NEW CONNECT")</f>
        <v>NEW CONNECT</v>
      </c>
      <c r="AA788" s="1">
        <f>IFERROR(__xludf.DUMMYFUNCTION("""COMPUTED_VALUE"""),639975619802)</f>
        <v>639975619802</v>
      </c>
      <c r="AB788" s="1">
        <f>IFERROR(__xludf.DUMMYFUNCTION("""COMPUTED_VALUE"""),639369257819)</f>
        <v>639369257819</v>
      </c>
      <c r="AC788" s="1"/>
      <c r="AD788" s="1" t="str">
        <f>IFERROR(__xludf.DUMMYFUNCTION("""COMPUTED_VALUE"""),"MALOU")</f>
        <v>MALOU</v>
      </c>
      <c r="AE788" s="1" t="str">
        <f>IFERROR(__xludf.DUMMYFUNCTION("""COMPUTED_VALUE"""),"STATELAND HILLS")</f>
        <v>STATELAND HILLS</v>
      </c>
      <c r="AF788" s="1" t="str">
        <f>IFERROR(__xludf.DUMMYFUNCTION("""COMPUTED_VALUE"""),"BGY MANGGAHAN")</f>
        <v>BGY MANGGAHAN</v>
      </c>
      <c r="AG788" s="1" t="str">
        <f>IFERROR(__xludf.DUMMYFUNCTION("""COMPUTED_VALUE"""),"GENERAL TRIAS")</f>
        <v>GENERAL TRIAS</v>
      </c>
      <c r="AH788" s="1" t="str">
        <f>IFERROR(__xludf.DUMMYFUNCTION("""COMPUTED_VALUE"""),"-")</f>
        <v>-</v>
      </c>
      <c r="AI788" s="1" t="str">
        <f>IFERROR(__xludf.DUMMYFUNCTION("""COMPUTED_VALUE"""),"NOT AOR")</f>
        <v>NOT AOR</v>
      </c>
    </row>
    <row r="789" customHeight="1" spans="1:35">
      <c r="A789" s="3">
        <f>IFERROR(__xludf.DUMMYFUNCTION("""COMPUTED_VALUE"""),46294)</f>
        <v>46294</v>
      </c>
      <c r="B789" s="1" t="str">
        <f>IFERROR(__xludf.DUMMYFUNCTION("""COMPUTED_VALUE"""),"JERIC JUADA VILLANUEVA")</f>
        <v>JERIC JUADA VILLANUEVA</v>
      </c>
      <c r="C789" s="1"/>
      <c r="D789" s="1"/>
      <c r="E789" s="1"/>
      <c r="F789" s="1" t="str">
        <f>IFERROR(__xludf.DUMMYFUNCTION("""COMPUTED_VALUE"""),"CLOSED")</f>
        <v>CLOSED</v>
      </c>
      <c r="G789" s="1" t="str">
        <f>IFERROR(__xludf.DUMMYFUNCTION("""COMPUTED_VALUE"""),"CLOSED")</f>
        <v>CLOSED</v>
      </c>
      <c r="H789" s="1" t="str">
        <f>IFERROR(__xludf.DUMMYFUNCTION("""COMPUTED_VALUE"""),"PAID THRU GCASH 133676039 SEP 30")</f>
        <v>PAID THRU GCASH 133676039 SEP 30</v>
      </c>
      <c r="I789" s="1" t="str">
        <f>IFERROR(__xludf.DUMMYFUNCTION("""COMPUTED_VALUE"""),"WITH 1 AMSF")</f>
        <v>WITH 1 AMSF</v>
      </c>
      <c r="J789" s="1"/>
      <c r="K789" s="1"/>
      <c r="L789" s="1" t="str">
        <f>IFERROR(__xludf.DUMMYFUNCTION("""COMPUTED_VALUE"""),"POSTED")</f>
        <v>POSTED</v>
      </c>
      <c r="M789" s="1" t="str">
        <f>IFERROR(__xludf.DUMMYFUNCTION("""COMPUTED_VALUE"""),"POSTED")</f>
        <v>POSTED</v>
      </c>
      <c r="N789" s="3">
        <f>IFERROR(__xludf.DUMMYFUNCTION("""COMPUTED_VALUE"""),46299)</f>
        <v>46299</v>
      </c>
      <c r="O789" s="1" t="str">
        <f>IFERROR(__xludf.DUMMYFUNCTION("""COMPUTED_VALUE"""),"FIBR NETFLIX PLAN 1599")</f>
        <v>FIBR NETFLIX PLAN 1599</v>
      </c>
      <c r="P789" s="1" t="str">
        <f>IFERROR(__xludf.DUMMYFUNCTION("""COMPUTED_VALUE"""),"LOWPLAN")</f>
        <v>LOWPLAN</v>
      </c>
      <c r="Q789" s="1" t="str">
        <f>IFERROR(__xludf.DUMMYFUNCTION("""COMPUTED_VALUE"""),"P407520")</f>
        <v>P407520</v>
      </c>
      <c r="R789" s="1" t="str">
        <f>IFERROR(__xludf.DUMMYFUNCTION("""COMPUTED_VALUE"""),"MALIWAT, MARK")</f>
        <v>MALIWAT, MARK</v>
      </c>
      <c r="S789" s="1" t="str">
        <f>IFERROR(__xludf.DUMMYFUNCTION("""COMPUTED_VALUE"""),"FLA")</f>
        <v>FLA</v>
      </c>
      <c r="T789" s="1" t="str">
        <f>IFERROR(__xludf.DUMMYFUNCTION("""COMPUTED_VALUE"""),"JERIC NAVARRO")</f>
        <v>JERIC NAVARRO</v>
      </c>
      <c r="U789" s="1" t="str">
        <f>IFERROR(__xludf.DUMMYFUNCTION("""COMPUTED_VALUE"""),"JB SALIOA")</f>
        <v>JB SALIOA</v>
      </c>
      <c r="V789" s="1" t="str">
        <f>IFERROR(__xludf.DUMMYFUNCTION("""COMPUTED_VALUE"""),"ONLINE/CRANFORD")</f>
        <v>ONLINE/CRANFORD</v>
      </c>
      <c r="W789" s="1" t="str">
        <f>IFERROR(__xludf.DUMMYFUNCTION("""COMPUTED_VALUE"""),"STK REGULAR")</f>
        <v>STK REGULAR</v>
      </c>
      <c r="X789" s="1" t="str">
        <f>IFERROR(__xludf.DUMMYFUNCTION("""COMPUTED_VALUE"""),"HBBS SEPT 2026")</f>
        <v>HBBS SEPT 2026</v>
      </c>
      <c r="Y789" s="1" t="str">
        <f>IFERROR(__xludf.DUMMYFUNCTION("""COMPUTED_VALUE"""),"RS_ONL_CVEU_2026")</f>
        <v>RS_ONL_CVEU_2026</v>
      </c>
      <c r="Z789" s="1" t="str">
        <f>IFERROR(__xludf.DUMMYFUNCTION("""COMPUTED_VALUE"""),"NEW CONNECT")</f>
        <v>NEW CONNECT</v>
      </c>
      <c r="AA789" s="1">
        <f>IFERROR(__xludf.DUMMYFUNCTION("""COMPUTED_VALUE"""),639913266733)</f>
        <v>639913266733</v>
      </c>
      <c r="AB789" s="1">
        <f>IFERROR(__xludf.DUMMYFUNCTION("""COMPUTED_VALUE"""),639913266734)</f>
        <v>639913266734</v>
      </c>
      <c r="AC789" s="1">
        <f>IFERROR(__xludf.DUMMYFUNCTION("""COMPUTED_VALUE"""),309)</f>
        <v>309</v>
      </c>
      <c r="AD789" s="1" t="str">
        <f>IFERROR(__xludf.DUMMYFUNCTION("""COMPUTED_VALUE"""),"PUROK 3")</f>
        <v>PUROK 3</v>
      </c>
      <c r="AE789" s="1" t="str">
        <f>IFERROR(__xludf.DUMMYFUNCTION("""COMPUTED_VALUE"""),"HOME LOT MAIN")</f>
        <v>HOME LOT MAIN</v>
      </c>
      <c r="AF789" s="1" t="str">
        <f>IFERROR(__xludf.DUMMYFUNCTION("""COMPUTED_VALUE"""),"BGY LANGKAAN 1")</f>
        <v>BGY LANGKAAN 1</v>
      </c>
      <c r="AG789" s="1" t="str">
        <f>IFERROR(__xludf.DUMMYFUNCTION("""COMPUTED_VALUE"""),"DASMARINAS")</f>
        <v>DASMARINAS</v>
      </c>
      <c r="AH789" s="1" t="str">
        <f>IFERROR(__xludf.DUMMYFUNCTION("""COMPUTED_VALUE"""),"PUROK 3")</f>
        <v>PUROK 3</v>
      </c>
      <c r="AI789" s="1" t="str">
        <f>IFERROR(__xludf.DUMMYFUNCTION("""COMPUTED_VALUE"""),"NOT AOR")</f>
        <v>NOT AOR</v>
      </c>
    </row>
    <row r="790" customHeight="1" spans="1:35">
      <c r="A790" s="3">
        <f>IFERROR(__xludf.DUMMYFUNCTION("""COMPUTED_VALUE"""),46294)</f>
        <v>46294</v>
      </c>
      <c r="B790" s="1" t="str">
        <f>IFERROR(__xludf.DUMMYFUNCTION("""COMPUTED_VALUE"""),"KENT JOSHUA EPIS ROSALES")</f>
        <v>KENT JOSHUA EPIS ROSALES</v>
      </c>
      <c r="C790" s="1"/>
      <c r="D790" s="1"/>
      <c r="E790" s="1"/>
      <c r="F790" s="1" t="str">
        <f>IFERROR(__xludf.DUMMYFUNCTION("""COMPUTED_VALUE"""),"CLOSED")</f>
        <v>CLOSED</v>
      </c>
      <c r="G790" s="1" t="str">
        <f>IFERROR(__xludf.DUMMYFUNCTION("""COMPUTED_VALUE"""),"CLOSED")</f>
        <v>CLOSED</v>
      </c>
      <c r="H790" s="1"/>
      <c r="I790" s="1" t="str">
        <f>IFERROR(__xludf.DUMMYFUNCTION("""COMPUTED_VALUE"""),"NO 1 AMSF")</f>
        <v>NO 1 AMSF</v>
      </c>
      <c r="J790" s="1"/>
      <c r="K790" s="1"/>
      <c r="L790" s="1" t="str">
        <f>IFERROR(__xludf.DUMMYFUNCTION("""COMPUTED_VALUE"""),"POSTED")</f>
        <v>POSTED</v>
      </c>
      <c r="M790" s="1" t="str">
        <f>IFERROR(__xludf.DUMMYFUNCTION("""COMPUTED_VALUE"""),"POSTED")</f>
        <v>POSTED</v>
      </c>
      <c r="N790" s="3">
        <f>IFERROR(__xludf.DUMMYFUNCTION("""COMPUTED_VALUE"""),46297)</f>
        <v>46297</v>
      </c>
      <c r="O790" s="1" t="str">
        <f>IFERROR(__xludf.DUMMYFUNCTION("""COMPUTED_VALUE"""),"FIBR UNLI ALL PLAN 999")</f>
        <v>FIBR UNLI ALL PLAN 999</v>
      </c>
      <c r="P790" s="1" t="str">
        <f>IFERROR(__xludf.DUMMYFUNCTION("""COMPUTED_VALUE"""),"LOWPLAN")</f>
        <v>LOWPLAN</v>
      </c>
      <c r="Q790" s="1" t="str">
        <f>IFERROR(__xludf.DUMMYFUNCTION("""COMPUTED_VALUE"""),"P407520")</f>
        <v>P407520</v>
      </c>
      <c r="R790" s="1" t="str">
        <f>IFERROR(__xludf.DUMMYFUNCTION("""COMPUTED_VALUE"""),"MALIWAT, MARK")</f>
        <v>MALIWAT, MARK</v>
      </c>
      <c r="S790" s="1" t="str">
        <f>IFERROR(__xludf.DUMMYFUNCTION("""COMPUTED_VALUE"""),"FLA")</f>
        <v>FLA</v>
      </c>
      <c r="T790" s="1" t="str">
        <f>IFERROR(__xludf.DUMMYFUNCTION("""COMPUTED_VALUE"""),"JERIC NAVARRO")</f>
        <v>JERIC NAVARRO</v>
      </c>
      <c r="U790" s="1" t="str">
        <f>IFERROR(__xludf.DUMMYFUNCTION("""COMPUTED_VALUE"""),"JB SALIOA")</f>
        <v>JB SALIOA</v>
      </c>
      <c r="V790" s="1" t="str">
        <f>IFERROR(__xludf.DUMMYFUNCTION("""COMPUTED_VALUE"""),"ONLINE/CRANFORD")</f>
        <v>ONLINE/CRANFORD</v>
      </c>
      <c r="W790" s="1" t="str">
        <f>IFERROR(__xludf.DUMMYFUNCTION("""COMPUTED_VALUE"""),"STK REGULAR")</f>
        <v>STK REGULAR</v>
      </c>
      <c r="X790" s="1" t="str">
        <f>IFERROR(__xludf.DUMMYFUNCTION("""COMPUTED_VALUE"""),"HBBS SEPT 2026")</f>
        <v>HBBS SEPT 2026</v>
      </c>
      <c r="Y790" s="1" t="str">
        <f>IFERROR(__xludf.DUMMYFUNCTION("""COMPUTED_VALUE"""),"RS_ONL_CVEU_2026")</f>
        <v>RS_ONL_CVEU_2026</v>
      </c>
      <c r="Z790" s="1" t="str">
        <f>IFERROR(__xludf.DUMMYFUNCTION("""COMPUTED_VALUE"""),"NEW CONNECT")</f>
        <v>NEW CONNECT</v>
      </c>
      <c r="AA790" s="1">
        <f>IFERROR(__xludf.DUMMYFUNCTION("""COMPUTED_VALUE"""),639537844222)</f>
        <v>639537844222</v>
      </c>
      <c r="AB790" s="1">
        <f>IFERROR(__xludf.DUMMYFUNCTION("""COMPUTED_VALUE"""),639648643828)</f>
        <v>639648643828</v>
      </c>
      <c r="AC790" s="1">
        <f>IFERROR(__xludf.DUMMYFUNCTION("""COMPUTED_VALUE"""),51)</f>
        <v>51</v>
      </c>
      <c r="AD790" s="1" t="str">
        <f>IFERROR(__xludf.DUMMYFUNCTION("""COMPUTED_VALUE"""),"LOOBAN")</f>
        <v>LOOBAN</v>
      </c>
      <c r="AE790" s="1" t="str">
        <f>IFERROR(__xludf.DUMMYFUNCTION("""COMPUTED_VALUE"""),"PUROK 3")</f>
        <v>PUROK 3</v>
      </c>
      <c r="AF790" s="1" t="str">
        <f>IFERROR(__xludf.DUMMYFUNCTION("""COMPUTED_VALUE"""),"BGY BILUSO")</f>
        <v>BGY BILUSO</v>
      </c>
      <c r="AG790" s="1" t="str">
        <f>IFERROR(__xludf.DUMMYFUNCTION("""COMPUTED_VALUE"""),"SILANG")</f>
        <v>SILANG</v>
      </c>
      <c r="AH790" s="1" t="str">
        <f>IFERROR(__xludf.DUMMYFUNCTION("""COMPUTED_VALUE"""),"NEAR BILUSO ELEMENTARY SCHOOL")</f>
        <v>NEAR BILUSO ELEMENTARY SCHOOL</v>
      </c>
      <c r="AI790" s="1" t="str">
        <f>IFERROR(__xludf.DUMMYFUNCTION("""COMPUTED_VALUE"""),"CLUSTER 11")</f>
        <v>CLUSTER 11</v>
      </c>
    </row>
    <row r="791" customHeight="1" spans="1:35">
      <c r="A791" s="3">
        <f>IFERROR(__xludf.DUMMYFUNCTION("""COMPUTED_VALUE"""),46295)</f>
        <v>46295</v>
      </c>
      <c r="B791" s="1" t="str">
        <f>IFERROR(__xludf.DUMMYFUNCTION("""COMPUTED_VALUE"""),"SUNSHINE GANO KITINGAN")</f>
        <v>SUNSHINE GANO KITINGAN</v>
      </c>
      <c r="C791" s="1"/>
      <c r="D791" s="1"/>
      <c r="E791" s="1"/>
      <c r="F791" s="1" t="str">
        <f>IFERROR(__xludf.DUMMYFUNCTION("""COMPUTED_VALUE"""),"CLOSED")</f>
        <v>CLOSED</v>
      </c>
      <c r="G791" s="1" t="str">
        <f>IFERROR(__xludf.DUMMYFUNCTION("""COMPUTED_VALUE"""),"CLOSED")</f>
        <v>CLOSED</v>
      </c>
      <c r="H791" s="1" t="str">
        <f>IFERROR(__xludf.DUMMYFUNCTION("""COMPUTED_VALUE"""),"PAID VIA GCASH - OCT 1 - REF - 439087389")</f>
        <v>PAID VIA GCASH - OCT 1 - REF - 439087389</v>
      </c>
      <c r="I791" s="1" t="str">
        <f>IFERROR(__xludf.DUMMYFUNCTION("""COMPUTED_VALUE"""),"WITH 1 AMSF")</f>
        <v>WITH 1 AMSF</v>
      </c>
      <c r="J791" s="1"/>
      <c r="K791" s="1"/>
      <c r="L791" s="1" t="str">
        <f>IFERROR(__xludf.DUMMYFUNCTION("""COMPUTED_VALUE"""),"POSTED")</f>
        <v>POSTED</v>
      </c>
      <c r="M791" s="1" t="str">
        <f>IFERROR(__xludf.DUMMYFUNCTION("""COMPUTED_VALUE"""),"POSTED")</f>
        <v>POSTED</v>
      </c>
      <c r="N791" s="3">
        <f>IFERROR(__xludf.DUMMYFUNCTION("""COMPUTED_VALUE"""),46297)</f>
        <v>46297</v>
      </c>
      <c r="O791" s="1" t="str">
        <f>IFERROR(__xludf.DUMMYFUNCTION("""COMPUTED_VALUE"""),"FIBR NETFLIX PLAN 1599")</f>
        <v>FIBR NETFLIX PLAN 1599</v>
      </c>
      <c r="P791" s="1" t="str">
        <f>IFERROR(__xludf.DUMMYFUNCTION("""COMPUTED_VALUE"""),"LOWPLAN")</f>
        <v>LOWPLAN</v>
      </c>
      <c r="Q791" s="1" t="str">
        <f>IFERROR(__xludf.DUMMYFUNCTION("""COMPUTED_VALUE"""),"P407567")</f>
        <v>P407567</v>
      </c>
      <c r="R791" s="1" t="str">
        <f>IFERROR(__xludf.DUMMYFUNCTION("""COMPUTED_VALUE"""),"IVNO, RAZZEL")</f>
        <v>IVNO, RAZZEL</v>
      </c>
      <c r="S791" s="1" t="str">
        <f>IFERROR(__xludf.DUMMYFUNCTION("""COMPUTED_VALUE"""),"FLA")</f>
        <v>FLA</v>
      </c>
      <c r="T791" s="1" t="str">
        <f>IFERROR(__xludf.DUMMYFUNCTION("""COMPUTED_VALUE"""),"JERIC NAVARRO")</f>
        <v>JERIC NAVARRO</v>
      </c>
      <c r="U791" s="1" t="str">
        <f>IFERROR(__xludf.DUMMYFUNCTION("""COMPUTED_VALUE"""),"JB SALIOA")</f>
        <v>JB SALIOA</v>
      </c>
      <c r="V791" s="1" t="str">
        <f>IFERROR(__xludf.DUMMYFUNCTION("""COMPUTED_VALUE"""),"BK REGULAR")</f>
        <v>BK REGULAR</v>
      </c>
      <c r="W791" s="1" t="str">
        <f>IFERROR(__xludf.DUMMYFUNCTION("""COMPUTED_VALUE"""),"STK REGULAR")</f>
        <v>STK REGULAR</v>
      </c>
      <c r="X791" s="1" t="str">
        <f>IFERROR(__xludf.DUMMYFUNCTION("""COMPUTED_VALUE"""),"HBBS SEPT 2026")</f>
        <v>HBBS SEPT 2026</v>
      </c>
      <c r="Y791" s="1" t="str">
        <f>IFERROR(__xludf.DUMMYFUNCTION("""COMPUTED_VALUE"""),"RS_LS_CVEU_2026")</f>
        <v>RS_LS_CVEU_2026</v>
      </c>
      <c r="Z791" s="1" t="str">
        <f>IFERROR(__xludf.DUMMYFUNCTION("""COMPUTED_VALUE"""),"NEW CONNECT")</f>
        <v>NEW CONNECT</v>
      </c>
      <c r="AA791" s="1">
        <f>IFERROR(__xludf.DUMMYFUNCTION("""COMPUTED_VALUE"""),639063281342)</f>
        <v>639063281342</v>
      </c>
      <c r="AB791" s="1"/>
      <c r="AC791" s="1">
        <f>IFERROR(__xludf.DUMMYFUNCTION("""COMPUTED_VALUE"""),30)</f>
        <v>30</v>
      </c>
      <c r="AD791" s="1" t="str">
        <f>IFERROR(__xludf.DUMMYFUNCTION("""COMPUTED_VALUE"""),"PUROK 7")</f>
        <v>PUROK 7</v>
      </c>
      <c r="AE791" s="1"/>
      <c r="AF791" s="1" t="str">
        <f>IFERROR(__xludf.DUMMYFUNCTION("""COMPUTED_VALUE"""),"BGY LUMIL")</f>
        <v>BGY LUMIL</v>
      </c>
      <c r="AG791" s="1" t="str">
        <f>IFERROR(__xludf.DUMMYFUNCTION("""COMPUTED_VALUE"""),"SILANG")</f>
        <v>SILANG</v>
      </c>
      <c r="AH791" s="1" t="str">
        <f>IFERROR(__xludf.DUMMYFUNCTION("""COMPUTED_VALUE"""),"-")</f>
        <v>-</v>
      </c>
      <c r="AI791" s="1" t="str">
        <f>IFERROR(__xludf.DUMMYFUNCTION("""COMPUTED_VALUE"""),"CLUSTER 11")</f>
        <v>CLUSTER 11</v>
      </c>
    </row>
    <row r="792" customHeight="1" spans="1:35">
      <c r="A792" s="3">
        <f>IFERROR(__xludf.DUMMYFUNCTION("""COMPUTED_VALUE"""),46295)</f>
        <v>46295</v>
      </c>
      <c r="B792" s="1" t="str">
        <f>IFERROR(__xludf.DUMMYFUNCTION("""COMPUTED_VALUE"""),"JONATHAN PAJO CASTRO")</f>
        <v>JONATHAN PAJO CASTRO</v>
      </c>
      <c r="C792" s="1"/>
      <c r="D792" s="1"/>
      <c r="E792" s="1"/>
      <c r="F792" s="1" t="str">
        <f>IFERROR(__xludf.DUMMYFUNCTION("""COMPUTED_VALUE"""),"CLOSED")</f>
        <v>CLOSED</v>
      </c>
      <c r="G792" s="1" t="str">
        <f>IFERROR(__xludf.DUMMYFUNCTION("""COMPUTED_VALUE"""),"CLOSED")</f>
        <v>CLOSED</v>
      </c>
      <c r="H792" s="1" t="str">
        <f>IFERROR(__xludf.DUMMYFUNCTION("""COMPUTED_VALUE"""),"PAID VIA GCASH REF 694668131 OCTOBER 5")</f>
        <v>PAID VIA GCASH REF 694668131 OCTOBER 5</v>
      </c>
      <c r="I792" s="1" t="str">
        <f>IFERROR(__xludf.DUMMYFUNCTION("""COMPUTED_VALUE"""),"WITH 1 AMSF")</f>
        <v>WITH 1 AMSF</v>
      </c>
      <c r="J792" s="1"/>
      <c r="K792" s="1"/>
      <c r="L792" s="1" t="str">
        <f>IFERROR(__xludf.DUMMYFUNCTION("""COMPUTED_VALUE"""),"POSTED")</f>
        <v>POSTED</v>
      </c>
      <c r="M792" s="1" t="str">
        <f>IFERROR(__xludf.DUMMYFUNCTION("""COMPUTED_VALUE"""),"POSTED")</f>
        <v>POSTED</v>
      </c>
      <c r="N792" s="3">
        <f>IFERROR(__xludf.DUMMYFUNCTION("""COMPUTED_VALUE"""),46297)</f>
        <v>46297</v>
      </c>
      <c r="O792" s="1" t="str">
        <f>IFERROR(__xludf.DUMMYFUNCTION("""COMPUTED_VALUE"""),"SWITCH FIBER 1299")</f>
        <v>SWITCH FIBER 1299</v>
      </c>
      <c r="P792" s="1" t="str">
        <f>IFERROR(__xludf.DUMMYFUNCTION("""COMPUTED_VALUE"""),"LOWPLAN")</f>
        <v>LOWPLAN</v>
      </c>
      <c r="Q792" s="1" t="str">
        <f>IFERROR(__xludf.DUMMYFUNCTION("""COMPUTED_VALUE"""),"P407561")</f>
        <v>P407561</v>
      </c>
      <c r="R792" s="1" t="str">
        <f>IFERROR(__xludf.DUMMYFUNCTION("""COMPUTED_VALUE"""),"BALANLAYOS, ANDREI")</f>
        <v>BALANLAYOS, ANDREI</v>
      </c>
      <c r="S792" s="1" t="str">
        <f>IFERROR(__xludf.DUMMYFUNCTION("""COMPUTED_VALUE"""),"ORGANIC")</f>
        <v>ORGANIC</v>
      </c>
      <c r="T792" s="1" t="str">
        <f>IFERROR(__xludf.DUMMYFUNCTION("""COMPUTED_VALUE"""),"LEA REMOLLO")</f>
        <v>LEA REMOLLO</v>
      </c>
      <c r="U792" s="1" t="str">
        <f>IFERROR(__xludf.DUMMYFUNCTION("""COMPUTED_VALUE"""),"JB SALIOA")</f>
        <v>JB SALIOA</v>
      </c>
      <c r="V792" s="1" t="str">
        <f>IFERROR(__xludf.DUMMYFUNCTION("""COMPUTED_VALUE"""),"BK HSTK")</f>
        <v>BK HSTK</v>
      </c>
      <c r="W792" s="1" t="str">
        <f>IFERROR(__xludf.DUMMYFUNCTION("""COMPUTED_VALUE"""),"BK HSTK")</f>
        <v>BK HSTK</v>
      </c>
      <c r="X792" s="1" t="str">
        <f>IFERROR(__xludf.DUMMYFUNCTION("""COMPUTED_VALUE"""),"HBBS SEPT 2026")</f>
        <v>HBBS SEPT 2026</v>
      </c>
      <c r="Y792" s="1" t="str">
        <f>IFERROR(__xludf.DUMMYFUNCTION("""COMPUTED_VALUE"""),"BK_CVEU_260827")</f>
        <v>BK_CVEU_260827</v>
      </c>
      <c r="Z792" s="1" t="str">
        <f>IFERROR(__xludf.DUMMYFUNCTION("""COMPUTED_VALUE"""),"NEW CONNECT")</f>
        <v>NEW CONNECT</v>
      </c>
      <c r="AA792" s="1">
        <f>IFERROR(__xludf.DUMMYFUNCTION("""COMPUTED_VALUE"""),639762050391)</f>
        <v>639762050391</v>
      </c>
      <c r="AB792" s="1"/>
      <c r="AC792" s="1">
        <f>IFERROR(__xludf.DUMMYFUNCTION("""COMPUTED_VALUE"""),58)</f>
        <v>58</v>
      </c>
      <c r="AD792" s="1" t="str">
        <f>IFERROR(__xludf.DUMMYFUNCTION("""COMPUTED_VALUE"""),"PUROK 3")</f>
        <v>PUROK 3</v>
      </c>
      <c r="AE792" s="1"/>
      <c r="AF792" s="1" t="str">
        <f>IFERROR(__xludf.DUMMYFUNCTION("""COMPUTED_VALUE"""),"BGY LUMIL")</f>
        <v>BGY LUMIL</v>
      </c>
      <c r="AG792" s="1" t="str">
        <f>IFERROR(__xludf.DUMMYFUNCTION("""COMPUTED_VALUE"""),"SILANG")</f>
        <v>SILANG</v>
      </c>
      <c r="AH792" s="1" t="str">
        <f>IFERROR(__xludf.DUMMYFUNCTION("""COMPUTED_VALUE"""),"FREEDOM BIBLE BAPTIST CHURCH")</f>
        <v>FREEDOM BIBLE BAPTIST CHURCH</v>
      </c>
      <c r="AI792" s="1" t="str">
        <f>IFERROR(__xludf.DUMMYFUNCTION("""COMPUTED_VALUE"""),"CLUSTER 11")</f>
        <v>CLUSTER 11</v>
      </c>
    </row>
    <row r="793" customHeight="1" spans="1:35">
      <c r="A793" s="3">
        <f>IFERROR(__xludf.DUMMYFUNCTION("""COMPUTED_VALUE"""),46295)</f>
        <v>46295</v>
      </c>
      <c r="B793" s="1" t="str">
        <f>IFERROR(__xludf.DUMMYFUNCTION("""COMPUTED_VALUE"""),"MICHELLE BONUM LAPUZ")</f>
        <v>MICHELLE BONUM LAPUZ</v>
      </c>
      <c r="C793" s="1"/>
      <c r="D793" s="1"/>
      <c r="E793" s="1"/>
      <c r="F793" s="1" t="str">
        <f>IFERROR(__xludf.DUMMYFUNCTION("""COMPUTED_VALUE"""),"CLOSED")</f>
        <v>CLOSED</v>
      </c>
      <c r="G793" s="1" t="str">
        <f>IFERROR(__xludf.DUMMYFUNCTION("""COMPUTED_VALUE"""),"CLOSED")</f>
        <v>CLOSED</v>
      </c>
      <c r="H793" s="1" t="str">
        <f>IFERROR(__xludf.DUMMYFUNCTION("""COMPUTED_VALUE"""),"PAID VIA GCASH REF 830890541 SEP 30")</f>
        <v>PAID VIA GCASH REF 830890541 SEP 30</v>
      </c>
      <c r="I793" s="1" t="str">
        <f>IFERROR(__xludf.DUMMYFUNCTION("""COMPUTED_VALUE"""),"WITH 1 AMSF")</f>
        <v>WITH 1 AMSF</v>
      </c>
      <c r="J793" s="1"/>
      <c r="K793" s="1"/>
      <c r="L793" s="1" t="str">
        <f>IFERROR(__xludf.DUMMYFUNCTION("""COMPUTED_VALUE"""),"POSTED")</f>
        <v>POSTED</v>
      </c>
      <c r="M793" s="1" t="str">
        <f>IFERROR(__xludf.DUMMYFUNCTION("""COMPUTED_VALUE"""),"POSTED")</f>
        <v>POSTED</v>
      </c>
      <c r="N793" s="3">
        <f>IFERROR(__xludf.DUMMYFUNCTION("""COMPUTED_VALUE"""),46297)</f>
        <v>46297</v>
      </c>
      <c r="O793" s="1" t="str">
        <f>IFERROR(__xludf.DUMMYFUNCTION("""COMPUTED_VALUE"""),"FIBR NETFLIX PLAN 1599")</f>
        <v>FIBR NETFLIX PLAN 1599</v>
      </c>
      <c r="P793" s="1" t="str">
        <f>IFERROR(__xludf.DUMMYFUNCTION("""COMPUTED_VALUE"""),"LOWPLAN")</f>
        <v>LOWPLAN</v>
      </c>
      <c r="Q793" s="1" t="str">
        <f>IFERROR(__xludf.DUMMYFUNCTION("""COMPUTED_VALUE"""),"P407047")</f>
        <v>P407047</v>
      </c>
      <c r="R793" s="1" t="str">
        <f>IFERROR(__xludf.DUMMYFUNCTION("""COMPUTED_VALUE"""),"FRANCISCO, ROSELYN")</f>
        <v>FRANCISCO, ROSELYN</v>
      </c>
      <c r="S793" s="1" t="str">
        <f>IFERROR(__xludf.DUMMYFUNCTION("""COMPUTED_VALUE"""),"ORGANIC")</f>
        <v>ORGANIC</v>
      </c>
      <c r="T793" s="1" t="str">
        <f>IFERROR(__xludf.DUMMYFUNCTION("""COMPUTED_VALUE"""),"LEA REMOLLO")</f>
        <v>LEA REMOLLO</v>
      </c>
      <c r="U793" s="1" t="str">
        <f>IFERROR(__xludf.DUMMYFUNCTION("""COMPUTED_VALUE"""),"JB SALIOA")</f>
        <v>JB SALIOA</v>
      </c>
      <c r="V793" s="1" t="str">
        <f>IFERROR(__xludf.DUMMYFUNCTION("""COMPUTED_VALUE"""),"BK HSTK")</f>
        <v>BK HSTK</v>
      </c>
      <c r="W793" s="1" t="str">
        <f>IFERROR(__xludf.DUMMYFUNCTION("""COMPUTED_VALUE"""),"BK HSTK")</f>
        <v>BK HSTK</v>
      </c>
      <c r="X793" s="1" t="str">
        <f>IFERROR(__xludf.DUMMYFUNCTION("""COMPUTED_VALUE"""),"HBBS SEPT 2026")</f>
        <v>HBBS SEPT 2026</v>
      </c>
      <c r="Y793" s="1" t="str">
        <f>IFERROR(__xludf.DUMMYFUNCTION("""COMPUTED_VALUE"""),"BK_CVEU_260826")</f>
        <v>BK_CVEU_260826</v>
      </c>
      <c r="Z793" s="1" t="str">
        <f>IFERROR(__xludf.DUMMYFUNCTION("""COMPUTED_VALUE"""),"NEW CONNECT")</f>
        <v>NEW CONNECT</v>
      </c>
      <c r="AA793" s="1">
        <f>IFERROR(__xludf.DUMMYFUNCTION("""COMPUTED_VALUE"""),639770161364)</f>
        <v>639770161364</v>
      </c>
      <c r="AB793" s="1"/>
      <c r="AC793" s="1">
        <f>IFERROR(__xludf.DUMMYFUNCTION("""COMPUTED_VALUE"""),1044)</f>
        <v>1044</v>
      </c>
      <c r="AD793" s="1" t="str">
        <f>IFERROR(__xludf.DUMMYFUNCTION("""COMPUTED_VALUE"""),"SAN PEDRO")</f>
        <v>SAN PEDRO</v>
      </c>
      <c r="AE793" s="1" t="str">
        <f>IFERROR(__xludf.DUMMYFUNCTION("""COMPUTED_VALUE"""),"UNIT D MIDYMIGZ APARTMENT")</f>
        <v>UNIT D MIDYMIGZ APARTMENT</v>
      </c>
      <c r="AF793" s="1" t="str">
        <f>IFERROR(__xludf.DUMMYFUNCTION("""COMPUTED_VALUE"""),"BGY MIGUEL MOJICA")</f>
        <v>BGY MIGUEL MOJICA</v>
      </c>
      <c r="AG793" s="1" t="str">
        <f>IFERROR(__xludf.DUMMYFUNCTION("""COMPUTED_VALUE"""),"MENDEZ")</f>
        <v>MENDEZ</v>
      </c>
      <c r="AH793" s="1" t="str">
        <f>IFERROR(__xludf.DUMMYFUNCTION("""COMPUTED_VALUE"""),"-")</f>
        <v>-</v>
      </c>
      <c r="AI793" s="1" t="str">
        <f>IFERROR(__xludf.DUMMYFUNCTION("""COMPUTED_VALUE"""),"CLUSTER 12")</f>
        <v>CLUSTER 12</v>
      </c>
    </row>
    <row r="794" customHeight="1" spans="1:35">
      <c r="A794" s="3">
        <f>IFERROR(__xludf.DUMMYFUNCTION("""COMPUTED_VALUE"""),46295)</f>
        <v>46295</v>
      </c>
      <c r="B794" s="1" t="str">
        <f>IFERROR(__xludf.DUMMYFUNCTION("""COMPUTED_VALUE"""),"MARIE FE VILLANUEVA CALIMAG")</f>
        <v>MARIE FE VILLANUEVA CALIMAG</v>
      </c>
      <c r="C794" s="1"/>
      <c r="D794" s="1"/>
      <c r="E794" s="1"/>
      <c r="F794" s="1" t="str">
        <f>IFERROR(__xludf.DUMMYFUNCTION("""COMPUTED_VALUE"""),"CLOSED")</f>
        <v>CLOSED</v>
      </c>
      <c r="G794" s="1" t="str">
        <f>IFERROR(__xludf.DUMMYFUNCTION("""COMPUTED_VALUE"""),"CLOSED")</f>
        <v>CLOSED</v>
      </c>
      <c r="H794" s="1"/>
      <c r="I794" s="1" t="str">
        <f>IFERROR(__xludf.DUMMYFUNCTION("""COMPUTED_VALUE"""),"NO 1 AMSF")</f>
        <v>NO 1 AMSF</v>
      </c>
      <c r="J794" s="1"/>
      <c r="K794" s="1"/>
      <c r="L794" s="1" t="str">
        <f>IFERROR(__xludf.DUMMYFUNCTION("""COMPUTED_VALUE"""),"POSTED")</f>
        <v>POSTED</v>
      </c>
      <c r="M794" s="1" t="str">
        <f>IFERROR(__xludf.DUMMYFUNCTION("""COMPUTED_VALUE"""),"POSTED")</f>
        <v>POSTED</v>
      </c>
      <c r="N794" s="3">
        <f>IFERROR(__xludf.DUMMYFUNCTION("""COMPUTED_VALUE"""),46296)</f>
        <v>46296</v>
      </c>
      <c r="O794" s="1" t="str">
        <f>IFERROR(__xludf.DUMMYFUNCTION("""COMPUTED_VALUE"""),"FIBER UNLI ALL PLAN 1499")</f>
        <v>FIBER UNLI ALL PLAN 1499</v>
      </c>
      <c r="P794" s="1" t="str">
        <f>IFERROR(__xludf.DUMMYFUNCTION("""COMPUTED_VALUE"""),"LOWPLAN")</f>
        <v>LOWPLAN</v>
      </c>
      <c r="Q794" s="1" t="str">
        <f>IFERROR(__xludf.DUMMYFUNCTION("""COMPUTED_VALUE"""),"P407047")</f>
        <v>P407047</v>
      </c>
      <c r="R794" s="1" t="str">
        <f>IFERROR(__xludf.DUMMYFUNCTION("""COMPUTED_VALUE"""),"FRANCISCO, ROSELYN")</f>
        <v>FRANCISCO, ROSELYN</v>
      </c>
      <c r="S794" s="1" t="str">
        <f>IFERROR(__xludf.DUMMYFUNCTION("""COMPUTED_VALUE"""),"ORGANIC")</f>
        <v>ORGANIC</v>
      </c>
      <c r="T794" s="1" t="str">
        <f>IFERROR(__xludf.DUMMYFUNCTION("""COMPUTED_VALUE"""),"LEA REMOLLO")</f>
        <v>LEA REMOLLO</v>
      </c>
      <c r="U794" s="1" t="str">
        <f>IFERROR(__xludf.DUMMYFUNCTION("""COMPUTED_VALUE"""),"JB SALIOA")</f>
        <v>JB SALIOA</v>
      </c>
      <c r="V794" s="1" t="str">
        <f>IFERROR(__xludf.DUMMYFUNCTION("""COMPUTED_VALUE"""),"BK REGULAR")</f>
        <v>BK REGULAR</v>
      </c>
      <c r="W794" s="1" t="str">
        <f>IFERROR(__xludf.DUMMYFUNCTION("""COMPUTED_VALUE"""),"STK REGULAR")</f>
        <v>STK REGULAR</v>
      </c>
      <c r="X794" s="1" t="str">
        <f>IFERROR(__xludf.DUMMYFUNCTION("""COMPUTED_VALUE"""),"HBBS SEPT 2026")</f>
        <v>HBBS SEPT 2026</v>
      </c>
      <c r="Y794" s="1" t="str">
        <f>IFERROR(__xludf.DUMMYFUNCTION("""COMPUTED_VALUE"""),"BK_CVEU_260827")</f>
        <v>BK_CVEU_260827</v>
      </c>
      <c r="Z794" s="1" t="str">
        <f>IFERROR(__xludf.DUMMYFUNCTION("""COMPUTED_VALUE"""),"NEW CONNECT")</f>
        <v>NEW CONNECT</v>
      </c>
      <c r="AA794" s="1">
        <f>IFERROR(__xludf.DUMMYFUNCTION("""COMPUTED_VALUE"""),639451475097)</f>
        <v>639451475097</v>
      </c>
      <c r="AB794" s="1">
        <f>IFERROR(__xludf.DUMMYFUNCTION("""COMPUTED_VALUE"""),639935924629)</f>
        <v>639935924629</v>
      </c>
      <c r="AC794" s="1">
        <f>IFERROR(__xludf.DUMMYFUNCTION("""COMPUTED_VALUE"""),17)</f>
        <v>17</v>
      </c>
      <c r="AD794" s="1" t="str">
        <f>IFERROR(__xludf.DUMMYFUNCTION("""COMPUTED_VALUE"""),"LAGUNDI")</f>
        <v>LAGUNDI</v>
      </c>
      <c r="AE794" s="1"/>
      <c r="AF794" s="1" t="str">
        <f>IFERROR(__xludf.DUMMYFUNCTION("""COMPUTED_VALUE"""),"BGY ULAT")</f>
        <v>BGY ULAT</v>
      </c>
      <c r="AG794" s="1" t="str">
        <f>IFERROR(__xludf.DUMMYFUNCTION("""COMPUTED_VALUE"""),"SILANG")</f>
        <v>SILANG</v>
      </c>
      <c r="AH794" s="1" t="str">
        <f>IFERROR(__xludf.DUMMYFUNCTION("""COMPUTED_VALUE"""),"-")</f>
        <v>-</v>
      </c>
      <c r="AI794" s="1" t="str">
        <f>IFERROR(__xludf.DUMMYFUNCTION("""COMPUTED_VALUE"""),"CLUSTER 11")</f>
        <v>CLUSTER 11</v>
      </c>
    </row>
    <row r="795" customHeight="1" spans="1:35">
      <c r="A795" s="3">
        <f>IFERROR(__xludf.DUMMYFUNCTION("""COMPUTED_VALUE"""),46295)</f>
        <v>46295</v>
      </c>
      <c r="B795" s="1" t="str">
        <f>IFERROR(__xludf.DUMMYFUNCTION("""COMPUTED_VALUE"""),"CAMILLE ANCHETA GALVEZ")</f>
        <v>CAMILLE ANCHETA GALVEZ</v>
      </c>
      <c r="C795" s="1"/>
      <c r="D795" s="1"/>
      <c r="E795" s="1"/>
      <c r="F795" s="1" t="str">
        <f>IFERROR(__xludf.DUMMYFUNCTION("""COMPUTED_VALUE"""),"CLOSED")</f>
        <v>CLOSED</v>
      </c>
      <c r="G795" s="1" t="str">
        <f>IFERROR(__xludf.DUMMYFUNCTION("""COMPUTED_VALUE"""),"CLOSED")</f>
        <v>CLOSED</v>
      </c>
      <c r="H795" s="1" t="str">
        <f>IFERROR(__xludf.DUMMYFUNCTION("""COMPUTED_VALUE"""),"PQGOR365810573	01-Oct-26	Regular Payment	CIS-GCASH 3.0	1,000.00	946538282	01-Oct")</f>
        <v>PQGOR365810573	01-Oct-26	Regular Payment	CIS-GCASH 3.0	1,000.00	946538282	01-Oct</v>
      </c>
      <c r="I795" s="1" t="str">
        <f>IFERROR(__xludf.DUMMYFUNCTION("""COMPUTED_VALUE"""),"WITH 1 AMSF")</f>
        <v>WITH 1 AMSF</v>
      </c>
      <c r="J795" s="1"/>
      <c r="K795" s="1" t="str">
        <f>IFERROR(__xludf.DUMMYFUNCTION("""COMPUTED_VALUE"""),"COMPLETED")</f>
        <v>COMPLETED</v>
      </c>
      <c r="L795" s="1" t="str">
        <f>IFERROR(__xludf.DUMMYFUNCTION("""COMPUTED_VALUE"""),"POSTED")</f>
        <v>POSTED</v>
      </c>
      <c r="M795" s="1" t="str">
        <f>IFERROR(__xludf.DUMMYFUNCTION("""COMPUTED_VALUE"""),"POSTED")</f>
        <v>POSTED</v>
      </c>
      <c r="N795" s="3">
        <f>IFERROR(__xludf.DUMMYFUNCTION("""COMPUTED_VALUE"""),46297)</f>
        <v>46297</v>
      </c>
      <c r="O795" s="1" t="str">
        <f>IFERROR(__xludf.DUMMYFUNCTION("""COMPUTED_VALUE"""),"FIBR PLAN 1299")</f>
        <v>FIBR PLAN 1299</v>
      </c>
      <c r="P795" s="1" t="str">
        <f>IFERROR(__xludf.DUMMYFUNCTION("""COMPUTED_VALUE"""),"LOWPLAN")</f>
        <v>LOWPLAN</v>
      </c>
      <c r="Q795" s="1" t="str">
        <f>IFERROR(__xludf.DUMMYFUNCTION("""COMPUTED_VALUE"""),"P407560")</f>
        <v>P407560</v>
      </c>
      <c r="R795" s="1" t="str">
        <f>IFERROR(__xludf.DUMMYFUNCTION("""COMPUTED_VALUE"""),"ILANO, AHR JHAEI")</f>
        <v>ILANO, AHR JHAEI</v>
      </c>
      <c r="S795" s="1" t="str">
        <f>IFERROR(__xludf.DUMMYFUNCTION("""COMPUTED_VALUE"""),"ORGANIC")</f>
        <v>ORGANIC</v>
      </c>
      <c r="T795" s="1" t="str">
        <f>IFERROR(__xludf.DUMMYFUNCTION("""COMPUTED_VALUE"""),"LEA REMOLLO")</f>
        <v>LEA REMOLLO</v>
      </c>
      <c r="U795" s="1" t="str">
        <f>IFERROR(__xludf.DUMMYFUNCTION("""COMPUTED_VALUE"""),"JB SALIOA")</f>
        <v>JB SALIOA</v>
      </c>
      <c r="V795" s="1" t="str">
        <f>IFERROR(__xludf.DUMMYFUNCTION("""COMPUTED_VALUE"""),"BK HSTK")</f>
        <v>BK HSTK</v>
      </c>
      <c r="W795" s="1" t="str">
        <f>IFERROR(__xludf.DUMMYFUNCTION("""COMPUTED_VALUE"""),"BK HSTK")</f>
        <v>BK HSTK</v>
      </c>
      <c r="X795" s="1" t="str">
        <f>IFERROR(__xludf.DUMMYFUNCTION("""COMPUTED_VALUE"""),"HBBS SEPT 2026")</f>
        <v>HBBS SEPT 2026</v>
      </c>
      <c r="Y795" s="1" t="str">
        <f>IFERROR(__xludf.DUMMYFUNCTION("""COMPUTED_VALUE"""),"BK_CVEU_260827")</f>
        <v>BK_CVEU_260827</v>
      </c>
      <c r="Z795" s="1" t="str">
        <f>IFERROR(__xludf.DUMMYFUNCTION("""COMPUTED_VALUE"""),"NEW CONNECT")</f>
        <v>NEW CONNECT</v>
      </c>
      <c r="AA795" s="1">
        <f>IFERROR(__xludf.DUMMYFUNCTION("""COMPUTED_VALUE"""),639563579215)</f>
        <v>639563579215</v>
      </c>
      <c r="AB795" s="1">
        <f>IFERROR(__xludf.DUMMYFUNCTION("""COMPUTED_VALUE"""),639276465846)</f>
        <v>639276465846</v>
      </c>
      <c r="AC795" s="1">
        <f>IFERROR(__xludf.DUMMYFUNCTION("""COMPUTED_VALUE"""),308)</f>
        <v>308</v>
      </c>
      <c r="AD795" s="1" t="str">
        <f>IFERROR(__xludf.DUMMYFUNCTION("""COMPUTED_VALUE"""),"MACATANGAY")</f>
        <v>MACATANGAY</v>
      </c>
      <c r="AE795" s="1"/>
      <c r="AF795" s="1" t="str">
        <f>IFERROR(__xludf.DUMMYFUNCTION("""COMPUTED_VALUE"""),"BGY TARTARIA")</f>
        <v>BGY TARTARIA</v>
      </c>
      <c r="AG795" s="1" t="str">
        <f>IFERROR(__xludf.DUMMYFUNCTION("""COMPUTED_VALUE"""),"SILANG")</f>
        <v>SILANG</v>
      </c>
      <c r="AH795" s="1" t="str">
        <f>IFERROR(__xludf.DUMMYFUNCTION("""COMPUTED_VALUE"""),"PNPA")</f>
        <v>PNPA</v>
      </c>
      <c r="AI795" s="1" t="str">
        <f>IFERROR(__xludf.DUMMYFUNCTION("""COMPUTED_VALUE"""),"CLUSTER 11")</f>
        <v>CLUSTER 11</v>
      </c>
    </row>
    <row r="796" customHeight="1" spans="1:35">
      <c r="A796" s="3">
        <f>IFERROR(__xludf.DUMMYFUNCTION("""COMPUTED_VALUE"""),46295)</f>
        <v>46295</v>
      </c>
      <c r="B796" s="1" t="str">
        <f>IFERROR(__xludf.DUMMYFUNCTION("""COMPUTED_VALUE"""),"PATRICK MOSES ROBLEDO ANIS")</f>
        <v>PATRICK MOSES ROBLEDO ANIS</v>
      </c>
      <c r="C796" s="1"/>
      <c r="D796" s="1"/>
      <c r="E796" s="1"/>
      <c r="F796" s="1" t="str">
        <f>IFERROR(__xludf.DUMMYFUNCTION("""COMPUTED_VALUE"""),"CLOSED")</f>
        <v>CLOSED</v>
      </c>
      <c r="G796" s="1" t="str">
        <f>IFERROR(__xludf.DUMMYFUNCTION("""COMPUTED_VALUE"""),"CLOSED")</f>
        <v>CLOSED</v>
      </c>
      <c r="H796" s="1"/>
      <c r="I796" s="1" t="str">
        <f>IFERROR(__xludf.DUMMYFUNCTION("""COMPUTED_VALUE"""),"NO 1 AMSF")</f>
        <v>NO 1 AMSF</v>
      </c>
      <c r="J796" s="1"/>
      <c r="K796" s="1"/>
      <c r="L796" s="1" t="str">
        <f>IFERROR(__xludf.DUMMYFUNCTION("""COMPUTED_VALUE"""),"POSTED")</f>
        <v>POSTED</v>
      </c>
      <c r="M796" s="1" t="str">
        <f>IFERROR(__xludf.DUMMYFUNCTION("""COMPUTED_VALUE"""),"POSTED")</f>
        <v>POSTED</v>
      </c>
      <c r="N796" s="3">
        <f>IFERROR(__xludf.DUMMYFUNCTION("""COMPUTED_VALUE"""),46312)</f>
        <v>46312</v>
      </c>
      <c r="O796" s="1" t="str">
        <f>IFERROR(__xludf.DUMMYFUNCTION("""COMPUTED_VALUE"""),"FIBER UNLI ALL PLAN 2599")</f>
        <v>FIBER UNLI ALL PLAN 2599</v>
      </c>
      <c r="P796" s="1" t="str">
        <f>IFERROR(__xludf.DUMMYFUNCTION("""COMPUTED_VALUE"""),"HIGHPLAN")</f>
        <v>HIGHPLAN</v>
      </c>
      <c r="Q796" s="1" t="str">
        <f>IFERROR(__xludf.DUMMYFUNCTION("""COMPUTED_VALUE"""),"P407567")</f>
        <v>P407567</v>
      </c>
      <c r="R796" s="1" t="str">
        <f>IFERROR(__xludf.DUMMYFUNCTION("""COMPUTED_VALUE"""),"LS_ILANO LIANDRO")</f>
        <v>LS_ILANO LIANDRO</v>
      </c>
      <c r="S796" s="1" t="str">
        <f>IFERROR(__xludf.DUMMYFUNCTION("""COMPUTED_VALUE"""),"LEADSTORE")</f>
        <v>LEADSTORE</v>
      </c>
      <c r="T796" s="1" t="str">
        <f>IFERROR(__xludf.DUMMYFUNCTION("""COMPUTED_VALUE"""),"JERIC NAVARRO")</f>
        <v>JERIC NAVARRO</v>
      </c>
      <c r="U796" s="1" t="str">
        <f>IFERROR(__xludf.DUMMYFUNCTION("""COMPUTED_VALUE"""),"JB SALIOA")</f>
        <v>JB SALIOA</v>
      </c>
      <c r="V796" s="1" t="str">
        <f>IFERROR(__xludf.DUMMYFUNCTION("""COMPUTED_VALUE"""),"ONLINE/CRANFORD")</f>
        <v>ONLINE/CRANFORD</v>
      </c>
      <c r="W796" s="1" t="str">
        <f>IFERROR(__xludf.DUMMYFUNCTION("""COMPUTED_VALUE"""),"STK REGULAR")</f>
        <v>STK REGULAR</v>
      </c>
      <c r="X796" s="1" t="str">
        <f>IFERROR(__xludf.DUMMYFUNCTION("""COMPUTED_VALUE"""),"HBBS SEPT 2026")</f>
        <v>HBBS SEPT 2026</v>
      </c>
      <c r="Y796" s="1" t="str">
        <f>IFERROR(__xludf.DUMMYFUNCTION("""COMPUTED_VALUE"""),"RS_ONL_CVEU_2026")</f>
        <v>RS_ONL_CVEU_2026</v>
      </c>
      <c r="Z796" s="1" t="str">
        <f>IFERROR(__xludf.DUMMYFUNCTION("""COMPUTED_VALUE"""),"NEW CONNECT")</f>
        <v>NEW CONNECT</v>
      </c>
      <c r="AA796" s="1">
        <f>IFERROR(__xludf.DUMMYFUNCTION("""COMPUTED_VALUE"""),639496576269)</f>
        <v>639496576269</v>
      </c>
      <c r="AB796" s="1"/>
      <c r="AC796" s="1"/>
      <c r="AD796" s="1" t="str">
        <f>IFERROR(__xludf.DUMMYFUNCTION("""COMPUTED_VALUE"""),"MANDARIN")</f>
        <v>MANDARIN</v>
      </c>
      <c r="AE796" s="1" t="str">
        <f>IFERROR(__xludf.DUMMYFUNCTION("""COMPUTED_VALUE"""),"METROGATE TAGAYTAY ESTATES")</f>
        <v>METROGATE TAGAYTAY ESTATES</v>
      </c>
      <c r="AF796" s="1" t="str">
        <f>IFERROR(__xludf.DUMMYFUNCTION("""COMPUTED_VALUE"""),"BGY KAYBAGAL SOUTH")</f>
        <v>BGY KAYBAGAL SOUTH</v>
      </c>
      <c r="AG796" s="1" t="str">
        <f>IFERROR(__xludf.DUMMYFUNCTION("""COMPUTED_VALUE"""),"TAGAYTAY")</f>
        <v>TAGAYTAY</v>
      </c>
      <c r="AH796" s="1" t="str">
        <f>IFERROR(__xludf.DUMMYFUNCTION("""COMPUTED_VALUE"""),"METROGATE ARK")</f>
        <v>METROGATE ARK</v>
      </c>
      <c r="AI796" s="1" t="str">
        <f>IFERROR(__xludf.DUMMYFUNCTION("""COMPUTED_VALUE"""),"CLUSTER 12")</f>
        <v>CLUSTER 12</v>
      </c>
    </row>
    <row r="797" customHeight="1" spans="1:35">
      <c r="A797" s="3">
        <f>IFERROR(__xludf.DUMMYFUNCTION("""COMPUTED_VALUE"""),46296)</f>
        <v>46296</v>
      </c>
      <c r="B797" s="1" t="str">
        <f>IFERROR(__xludf.DUMMYFUNCTION("""COMPUTED_VALUE"""),"KIMBERLY . SOLOMON")</f>
        <v>KIMBERLY . SOLOMON</v>
      </c>
      <c r="C797" s="1">
        <f>IFERROR(__xludf.DUMMYFUNCTION("""COMPUTED_VALUE"""),2312903039)</f>
        <v>2312903039</v>
      </c>
      <c r="D797" s="1">
        <f>IFERROR(__xludf.DUMMYFUNCTION("""COMPUTED_VALUE"""),408550602)</f>
        <v>408550602</v>
      </c>
      <c r="E797" s="1">
        <f>IFERROR(__xludf.DUMMYFUNCTION("""COMPUTED_VALUE"""),473771676004)</f>
        <v>473771676004</v>
      </c>
      <c r="F797" s="1" t="str">
        <f>IFERROR(__xludf.DUMMYFUNCTION("""COMPUTED_VALUE"""),"FOR CANCELLATION")</f>
        <v>FOR CANCELLATION</v>
      </c>
      <c r="G797" s="1" t="str">
        <f>IFERROR(__xludf.DUMMYFUNCTION("""COMPUTED_VALUE"""),"FOR CANCELLATION")</f>
        <v>FOR CANCELLATION</v>
      </c>
      <c r="H797" s="1"/>
      <c r="I797" s="1"/>
      <c r="J797" s="1"/>
      <c r="K797" s="1" t="str">
        <f>IFERROR(__xludf.DUMMYFUNCTION("""COMPUTED_VALUE"""),"NOT IN OFSC")</f>
        <v>NOT IN OFSC</v>
      </c>
      <c r="L797" s="1" t="str">
        <f>IFERROR(__xludf.DUMMYFUNCTION("""COMPUTED_VALUE"""),"FOR CANCELLATION")</f>
        <v>FOR CANCELLATION</v>
      </c>
      <c r="M797" s="1" t="str">
        <f>IFERROR(__xludf.DUMMYFUNCTION("""COMPUTED_VALUE"""),"FOR CANCELLATION - NON COMPLIANCE - NO PAYMENT")</f>
        <v>FOR CANCELLATION - NON COMPLIANCE - NO PAYMENT</v>
      </c>
      <c r="N797" s="3"/>
      <c r="O797" s="1" t="str">
        <f>IFERROR(__xludf.DUMMYFUNCTION("""COMPUTED_VALUE"""),"FIBR PLAN 1299")</f>
        <v>FIBR PLAN 1299</v>
      </c>
      <c r="P797" s="1" t="str">
        <f>IFERROR(__xludf.DUMMYFUNCTION("""COMPUTED_VALUE"""),"LOWPLAN")</f>
        <v>LOWPLAN</v>
      </c>
      <c r="Q797" s="1" t="str">
        <f>IFERROR(__xludf.DUMMYFUNCTION("""COMPUTED_VALUE"""),"P407518")</f>
        <v>P407518</v>
      </c>
      <c r="R797" s="1" t="str">
        <f>IFERROR(__xludf.DUMMYFUNCTION("""COMPUTED_VALUE"""),"CARPIO, STEPHANIE")</f>
        <v>CARPIO, STEPHANIE</v>
      </c>
      <c r="S797" s="1" t="str">
        <f>IFERROR(__xludf.DUMMYFUNCTION("""COMPUTED_VALUE"""),"FLA")</f>
        <v>FLA</v>
      </c>
      <c r="T797" s="1" t="str">
        <f>IFERROR(__xludf.DUMMYFUNCTION("""COMPUTED_VALUE"""),"JERIC NAVARRO")</f>
        <v>JERIC NAVARRO</v>
      </c>
      <c r="U797" s="1" t="str">
        <f>IFERROR(__xludf.DUMMYFUNCTION("""COMPUTED_VALUE"""),"JULIE ESPIRITU")</f>
        <v>JULIE ESPIRITU</v>
      </c>
      <c r="V797" s="1" t="str">
        <f>IFERROR(__xludf.DUMMYFUNCTION("""COMPUTED_VALUE"""),"H2H")</f>
        <v>H2H</v>
      </c>
      <c r="W797" s="1" t="str">
        <f>IFERROR(__xludf.DUMMYFUNCTION("""COMPUTED_VALUE"""),"CSP")</f>
        <v>CSP</v>
      </c>
      <c r="X797" s="1" t="str">
        <f>IFERROR(__xludf.DUMMYFUNCTION("""COMPUTED_VALUE"""),"HBBS SEPT 2026")</f>
        <v>HBBS SEPT 2026</v>
      </c>
      <c r="Y797" s="1" t="str">
        <f>IFERROR(__xludf.DUMMYFUNCTION("""COMPUTED_VALUE"""),"RS_SS_CVEU_2026")</f>
        <v>RS_SS_CVEU_2026</v>
      </c>
      <c r="Z797" s="1" t="str">
        <f>IFERROR(__xludf.DUMMYFUNCTION("""COMPUTED_VALUE"""),"NEW CONNECT")</f>
        <v>NEW CONNECT</v>
      </c>
      <c r="AA797" s="1">
        <f>IFERROR(__xludf.DUMMYFUNCTION("""COMPUTED_VALUE"""),639568993466)</f>
        <v>639568993466</v>
      </c>
      <c r="AB797" s="1"/>
      <c r="AC797" s="1">
        <f>IFERROR(__xludf.DUMMYFUNCTION("""COMPUTED_VALUE"""),346)</f>
        <v>346</v>
      </c>
      <c r="AD797" s="1" t="str">
        <f>IFERROR(__xludf.DUMMYFUNCTION("""COMPUTED_VALUE"""),"P BURGOS")</f>
        <v>P BURGOS</v>
      </c>
      <c r="AE797" s="1" t="str">
        <f>IFERROR(__xludf.DUMMYFUNCTION("""COMPUTED_VALUE"""),"GEMINI CARIDAD")</f>
        <v>GEMINI CARIDAD</v>
      </c>
      <c r="AF797" s="1" t="str">
        <f>IFERROR(__xludf.DUMMYFUNCTION("""COMPUTED_VALUE"""),"BGY 20")</f>
        <v>BGY 20</v>
      </c>
      <c r="AG797" s="1" t="str">
        <f>IFERROR(__xludf.DUMMYFUNCTION("""COMPUTED_VALUE"""),"CAVITE CITY")</f>
        <v>CAVITE CITY</v>
      </c>
      <c r="AH797" s="1"/>
      <c r="AI797" s="1" t="str">
        <f>IFERROR(__xludf.DUMMYFUNCTION("""COMPUTED_VALUE"""),"NOT AOR")</f>
        <v>NOT AOR</v>
      </c>
    </row>
    <row r="798" customHeight="1" spans="1:35">
      <c r="A798" s="3">
        <f>IFERROR(__xludf.DUMMYFUNCTION("""COMPUTED_VALUE"""),46296)</f>
        <v>46296</v>
      </c>
      <c r="B798" s="1" t="str">
        <f>IFERROR(__xludf.DUMMYFUNCTION("""COMPUTED_VALUE"""),"NINO ILANO GALLARTE")</f>
        <v>NINO ILANO GALLARTE</v>
      </c>
      <c r="C798" s="1">
        <f>IFERROR(__xludf.DUMMYFUNCTION("""COMPUTED_VALUE"""),2312903586)</f>
        <v>2312903586</v>
      </c>
      <c r="D798" s="1">
        <f>IFERROR(__xludf.DUMMYFUNCTION("""COMPUTED_VALUE"""),408555981)</f>
        <v>408555981</v>
      </c>
      <c r="E798" s="1">
        <f>IFERROR(__xludf.DUMMYFUNCTION("""COMPUTED_VALUE"""),473775893004)</f>
        <v>473775893004</v>
      </c>
      <c r="F798" s="1" t="str">
        <f>IFERROR(__xludf.DUMMYFUNCTION("""COMPUTED_VALUE"""),"CANCELED")</f>
        <v>CANCELED</v>
      </c>
      <c r="G798" s="1" t="str">
        <f>IFERROR(__xludf.DUMMYFUNCTION("""COMPUTED_VALUE"""),"CALL THRU CBR SUBS CANCEL REQUEST SWITCH TO OTHER PROVIDER")</f>
        <v>CALL THRU CBR SUBS CANCEL REQUEST SWITCH TO OTHER PROVIDER</v>
      </c>
      <c r="H798" s="1"/>
      <c r="I798" s="1" t="str">
        <f>IFERROR(__xludf.DUMMYFUNCTION("""COMPUTED_VALUE"""),"NO 1 AMSF")</f>
        <v>NO 1 AMSF</v>
      </c>
      <c r="J798" s="1"/>
      <c r="K798" s="1" t="str">
        <f>IFERROR(__xludf.DUMMYFUNCTION("""COMPUTED_VALUE"""),"CANCELED")</f>
        <v>CANCELED</v>
      </c>
      <c r="L798" s="1" t="str">
        <f>IFERROR(__xludf.DUMMYFUNCTION("""COMPUTED_VALUE"""),"SUBS_CANCEL REQUEST")</f>
        <v>SUBS_CANCEL REQUEST</v>
      </c>
      <c r="M798" s="1" t="str">
        <f>IFERROR(__xludf.DUMMYFUNCTION("""COMPUTED_VALUE"""),"CANCELLED - SUBS CANCEL REQUEST")</f>
        <v>CANCELLED - SUBS CANCEL REQUEST</v>
      </c>
      <c r="N798" s="3"/>
      <c r="O798" s="1" t="str">
        <f>IFERROR(__xludf.DUMMYFUNCTION("""COMPUTED_VALUE"""),"FIBR PLAN 1299")</f>
        <v>FIBR PLAN 1299</v>
      </c>
      <c r="P798" s="1" t="str">
        <f>IFERROR(__xludf.DUMMYFUNCTION("""COMPUTED_VALUE"""),"LOWPLAN")</f>
        <v>LOWPLAN</v>
      </c>
      <c r="Q798" s="1" t="str">
        <f>IFERROR(__xludf.DUMMYFUNCTION("""COMPUTED_VALUE"""),"P407048")</f>
        <v>P407048</v>
      </c>
      <c r="R798" s="1" t="str">
        <f>IFERROR(__xludf.DUMMYFUNCTION("""COMPUTED_VALUE"""),"PEREZ, RONELL")</f>
        <v>PEREZ, RONELL</v>
      </c>
      <c r="S798" s="1" t="str">
        <f>IFERROR(__xludf.DUMMYFUNCTION("""COMPUTED_VALUE"""),"ORGANIC")</f>
        <v>ORGANIC</v>
      </c>
      <c r="T798" s="1" t="str">
        <f>IFERROR(__xludf.DUMMYFUNCTION("""COMPUTED_VALUE"""),"GARCIA MICHAEL JETTS")</f>
        <v>GARCIA MICHAEL JETTS</v>
      </c>
      <c r="U798" s="1" t="str">
        <f>IFERROR(__xludf.DUMMYFUNCTION("""COMPUTED_VALUE"""),"JULIE ESPIRITU")</f>
        <v>JULIE ESPIRITU</v>
      </c>
      <c r="V798" s="1" t="str">
        <f>IFERROR(__xludf.DUMMYFUNCTION("""COMPUTED_VALUE"""),"ONLINE/CRANFORD")</f>
        <v>ONLINE/CRANFORD</v>
      </c>
      <c r="W798" s="1" t="str">
        <f>IFERROR(__xludf.DUMMYFUNCTION("""COMPUTED_VALUE"""),"STK REGULAR")</f>
        <v>STK REGULAR</v>
      </c>
      <c r="X798" s="1" t="str">
        <f>IFERROR(__xludf.DUMMYFUNCTION("""COMPUTED_VALUE"""),"REGULAR")</f>
        <v>REGULAR</v>
      </c>
      <c r="Y798" s="1" t="str">
        <f>IFERROR(__xludf.DUMMYFUNCTION("""COMPUTED_VALUE"""),"RS_ONL_CVEU_2026")</f>
        <v>RS_ONL_CVEU_2026</v>
      </c>
      <c r="Z798" s="1" t="str">
        <f>IFERROR(__xludf.DUMMYFUNCTION("""COMPUTED_VALUE"""),"NEW CONNECT")</f>
        <v>NEW CONNECT</v>
      </c>
      <c r="AA798" s="1">
        <f>IFERROR(__xludf.DUMMYFUNCTION("""COMPUTED_VALUE"""),639478324401)</f>
        <v>639478324401</v>
      </c>
      <c r="AB798" s="1">
        <f>IFERROR(__xludf.DUMMYFUNCTION("""COMPUTED_VALUE"""),639618081702)</f>
        <v>639618081702</v>
      </c>
      <c r="AC798" s="1"/>
      <c r="AD798" s="1" t="str">
        <f>IFERROR(__xludf.DUMMYFUNCTION("""COMPUTED_VALUE"""),"WELLINGTON RESIDENCES")</f>
        <v>WELLINGTON RESIDENCES</v>
      </c>
      <c r="AE798" s="1" t="str">
        <f>IFERROR(__xludf.DUMMYFUNCTION("""COMPUTED_VALUE"""),"WELLINGTON RESIDENCES")</f>
        <v>WELLINGTON RESIDENCES</v>
      </c>
      <c r="AF798" s="1" t="str">
        <f>IFERROR(__xludf.DUMMYFUNCTION("""COMPUTED_VALUE"""),"BGY TRES CRUSES")</f>
        <v>BGY TRES CRUSES</v>
      </c>
      <c r="AG798" s="1" t="str">
        <f>IFERROR(__xludf.DUMMYFUNCTION("""COMPUTED_VALUE"""),"TANZA")</f>
        <v>TANZA</v>
      </c>
      <c r="AH798" s="1"/>
      <c r="AI798" s="1" t="str">
        <f>IFERROR(__xludf.DUMMYFUNCTION("""COMPUTED_VALUE"""),"NOT AOR")</f>
        <v>NOT AOR</v>
      </c>
    </row>
    <row r="799" customHeight="1" spans="1:35">
      <c r="A799" s="3">
        <f>IFERROR(__xludf.DUMMYFUNCTION("""COMPUTED_VALUE"""),46296)</f>
        <v>46296</v>
      </c>
      <c r="B799" s="1" t="str">
        <f>IFERROR(__xludf.DUMMYFUNCTION("""COMPUTED_VALUE"""),"CRYSTAL CLIFF PURIFIED WATER STATION")</f>
        <v>CRYSTAL CLIFF PURIFIED WATER STATION</v>
      </c>
      <c r="C799" s="1">
        <f>IFERROR(__xludf.DUMMYFUNCTION("""COMPUTED_VALUE"""),2312907112)</f>
        <v>2312907112</v>
      </c>
      <c r="D799" s="1">
        <f>IFERROR(__xludf.DUMMYFUNCTION("""COMPUTED_VALUE"""),408554241)</f>
        <v>408554241</v>
      </c>
      <c r="E799" s="1">
        <f>IFERROR(__xludf.DUMMYFUNCTION("""COMPUTED_VALUE"""),473774037004)</f>
        <v>473774037004</v>
      </c>
      <c r="F799" s="1" t="str">
        <f>IFERROR(__xludf.DUMMYFUNCTION("""COMPUTED_VALUE"""),"FOR CANCELLATION")</f>
        <v>FOR CANCELLATION</v>
      </c>
      <c r="G799" s="1" t="str">
        <f>IFERROR(__xludf.DUMMYFUNCTION("""COMPUTED_VALUE"""),"FOR CANCELLATION")</f>
        <v>FOR CANCELLATION</v>
      </c>
      <c r="H799" s="1" t="str">
        <f>IFERROR(__xludf.DUMMYFUNCTION("""COMPUTED_VALUE"""),"KUKUHA DAW MUNA NG RTA SA MUNISIPYO")</f>
        <v>KUKUHA DAW MUNA NG RTA SA MUNISIPYO</v>
      </c>
      <c r="I799" s="1"/>
      <c r="J799" s="1"/>
      <c r="K799" s="1" t="str">
        <f>IFERROR(__xludf.DUMMYFUNCTION("""COMPUTED_VALUE"""),"NOT IN OFSC")</f>
        <v>NOT IN OFSC</v>
      </c>
      <c r="L799" s="1" t="str">
        <f>IFERROR(__xludf.DUMMYFUNCTION("""COMPUTED_VALUE"""),"FOR PAYMENT")</f>
        <v>FOR PAYMENT</v>
      </c>
      <c r="M799" s="1" t="str">
        <f>IFERROR(__xludf.DUMMYFUNCTION("""COMPUTED_VALUE"""),"FOR CANCELLATION - NON COMPLIANCE - NO PAYMENT")</f>
        <v>FOR CANCELLATION - NON COMPLIANCE - NO PAYMENT</v>
      </c>
      <c r="N799" s="3"/>
      <c r="O799" s="1" t="str">
        <f>IFERROR(__xludf.DUMMYFUNCTION("""COMPUTED_VALUE"""),"HOME BIZ PLAN 1299")</f>
        <v>HOME BIZ PLAN 1299</v>
      </c>
      <c r="P799" s="1" t="str">
        <f>IFERROR(__xludf.DUMMYFUNCTION("""COMPUTED_VALUE"""),"LOWPLAN")</f>
        <v>LOWPLAN</v>
      </c>
      <c r="Q799" s="1" t="str">
        <f>IFERROR(__xludf.DUMMYFUNCTION("""COMPUTED_VALUE"""),"P407516")</f>
        <v>P407516</v>
      </c>
      <c r="R799" s="1" t="str">
        <f>IFERROR(__xludf.DUMMYFUNCTION("""COMPUTED_VALUE"""),"AYON, MANUEL")</f>
        <v>AYON, MANUEL</v>
      </c>
      <c r="S799" s="1" t="str">
        <f>IFERROR(__xludf.DUMMYFUNCTION("""COMPUTED_VALUE"""),"FLA")</f>
        <v>FLA</v>
      </c>
      <c r="T799" s="1" t="str">
        <f>IFERROR(__xludf.DUMMYFUNCTION("""COMPUTED_VALUE"""),"JERIC NAVARRO")</f>
        <v>JERIC NAVARRO</v>
      </c>
      <c r="U799" s="1" t="str">
        <f>IFERROR(__xludf.DUMMYFUNCTION("""COMPUTED_VALUE"""),"JULIE ESPIRITU")</f>
        <v>JULIE ESPIRITU</v>
      </c>
      <c r="V799" s="1" t="str">
        <f>IFERROR(__xludf.DUMMYFUNCTION("""COMPUTED_VALUE"""),"BK REGULAR")</f>
        <v>BK REGULAR</v>
      </c>
      <c r="W799" s="1" t="str">
        <f>IFERROR(__xludf.DUMMYFUNCTION("""COMPUTED_VALUE"""),"CSP")</f>
        <v>CSP</v>
      </c>
      <c r="X799" s="1" t="str">
        <f>IFERROR(__xludf.DUMMYFUNCTION("""COMPUTED_VALUE"""),"REGULAR")</f>
        <v>REGULAR</v>
      </c>
      <c r="Y799" s="1" t="str">
        <f>IFERROR(__xludf.DUMMYFUNCTION("""COMPUTED_VALUE"""),"BK_CVEU_260824")</f>
        <v>BK_CVEU_260824</v>
      </c>
      <c r="Z799" s="1" t="str">
        <f>IFERROR(__xludf.DUMMYFUNCTION("""COMPUTED_VALUE"""),"NEW CONNECT")</f>
        <v>NEW CONNECT</v>
      </c>
      <c r="AA799" s="1">
        <f>IFERROR(__xludf.DUMMYFUNCTION("""COMPUTED_VALUE"""),639084205095)</f>
        <v>639084205095</v>
      </c>
      <c r="AB799" s="1">
        <f>IFERROR(__xludf.DUMMYFUNCTION("""COMPUTED_VALUE"""),639695221169)</f>
        <v>639695221169</v>
      </c>
      <c r="AC799" s="1">
        <f>IFERROR(__xludf.DUMMYFUNCTION("""COMPUTED_VALUE"""),11159)</f>
        <v>11159</v>
      </c>
      <c r="AD799" s="1" t="str">
        <f>IFERROR(__xludf.DUMMYFUNCTION("""COMPUTED_VALUE"""),"JM LOYALA")</f>
        <v>JM LOYALA</v>
      </c>
      <c r="AE799" s="1" t="str">
        <f>IFERROR(__xludf.DUMMYFUNCTION("""COMPUTED_VALUE"""),"JC BLDG")</f>
        <v>JC BLDG</v>
      </c>
      <c r="AF799" s="1" t="str">
        <f>IFERROR(__xludf.DUMMYFUNCTION("""COMPUTED_VALUE"""),"BGY MABUHAY")</f>
        <v>BGY MABUHAY</v>
      </c>
      <c r="AG799" s="1" t="str">
        <f>IFERROR(__xludf.DUMMYFUNCTION("""COMPUTED_VALUE"""),"CARMONA")</f>
        <v>CARMONA</v>
      </c>
      <c r="AH799" s="1"/>
      <c r="AI799" s="1" t="str">
        <f>IFERROR(__xludf.DUMMYFUNCTION("""COMPUTED_VALUE"""),"CLUSTER 11")</f>
        <v>CLUSTER 11</v>
      </c>
    </row>
    <row r="800" customHeight="1" spans="1:35">
      <c r="A800" s="3">
        <f>IFERROR(__xludf.DUMMYFUNCTION("""COMPUTED_VALUE"""),46296)</f>
        <v>46296</v>
      </c>
      <c r="B800" s="1" t="str">
        <f>IFERROR(__xludf.DUMMYFUNCTION("""COMPUTED_VALUE"""),"SOFIA AQUINO BAYAWA")</f>
        <v>SOFIA AQUINO BAYAWA</v>
      </c>
      <c r="C800" s="1">
        <f>IFERROR(__xludf.DUMMYFUNCTION("""COMPUTED_VALUE"""),2312907302)</f>
        <v>2312907302</v>
      </c>
      <c r="D800" s="1">
        <f>IFERROR(__xludf.DUMMYFUNCTION("""COMPUTED_VALUE"""),408567041)</f>
        <v>408567041</v>
      </c>
      <c r="E800" s="1">
        <f>IFERROR(__xludf.DUMMYFUNCTION("""COMPUTED_VALUE"""),473785691004)</f>
        <v>473785691004</v>
      </c>
      <c r="F800" s="1" t="str">
        <f>IFERROR(__xludf.DUMMYFUNCTION("""COMPUTED_VALUE"""),"FOR CANCELLATION")</f>
        <v>FOR CANCELLATION</v>
      </c>
      <c r="G800" s="1" t="str">
        <f>IFERROR(__xludf.DUMMYFUNCTION("""COMPUTED_VALUE"""),"FOR CANCELLATION")</f>
        <v>FOR CANCELLATION</v>
      </c>
      <c r="H800" s="1" t="str">
        <f>IFERROR(__xludf.DUMMYFUNCTION("""COMPUTED_VALUE"""),"AUTO DROP CALL 10/04/2026")</f>
        <v>AUTO DROP CALL 10/04/2026</v>
      </c>
      <c r="I800" s="1"/>
      <c r="J800" s="1"/>
      <c r="K800" s="1" t="str">
        <f>IFERROR(__xludf.DUMMYFUNCTION("""COMPUTED_VALUE"""),"NOT IN OFSC")</f>
        <v>NOT IN OFSC</v>
      </c>
      <c r="L800" s="1" t="str">
        <f>IFERROR(__xludf.DUMMYFUNCTION("""COMPUTED_VALUE"""),"FOR PAYMENT")</f>
        <v>FOR PAYMENT</v>
      </c>
      <c r="M800" s="1" t="str">
        <f>IFERROR(__xludf.DUMMYFUNCTION("""COMPUTED_VALUE"""),"FOR CANCELLATION - NON COMPLIANCE - NO PAYMENT")</f>
        <v>FOR CANCELLATION - NON COMPLIANCE - NO PAYMENT</v>
      </c>
      <c r="N800" s="3"/>
      <c r="O800" s="1" t="str">
        <f>IFERROR(__xludf.DUMMYFUNCTION("""COMPUTED_VALUE"""),"FIBR PLAN 1299")</f>
        <v>FIBR PLAN 1299</v>
      </c>
      <c r="P800" s="1" t="str">
        <f>IFERROR(__xludf.DUMMYFUNCTION("""COMPUTED_VALUE"""),"LOWPLAN")</f>
        <v>LOWPLAN</v>
      </c>
      <c r="Q800" s="1" t="str">
        <f>IFERROR(__xludf.DUMMYFUNCTION("""COMPUTED_VALUE"""),"P407047")</f>
        <v>P407047</v>
      </c>
      <c r="R800" s="1" t="str">
        <f>IFERROR(__xludf.DUMMYFUNCTION("""COMPUTED_VALUE"""),"FRANCISCO, ROSELYN")</f>
        <v>FRANCISCO, ROSELYN</v>
      </c>
      <c r="S800" s="1" t="str">
        <f>IFERROR(__xludf.DUMMYFUNCTION("""COMPUTED_VALUE"""),"ORGANIC")</f>
        <v>ORGANIC</v>
      </c>
      <c r="T800" s="1" t="str">
        <f>IFERROR(__xludf.DUMMYFUNCTION("""COMPUTED_VALUE"""),"LEA REMOLLO")</f>
        <v>LEA REMOLLO</v>
      </c>
      <c r="U800" s="1" t="str">
        <f>IFERROR(__xludf.DUMMYFUNCTION("""COMPUTED_VALUE"""),"JULIE ESPIRITU")</f>
        <v>JULIE ESPIRITU</v>
      </c>
      <c r="V800" s="1" t="str">
        <f>IFERROR(__xludf.DUMMYFUNCTION("""COMPUTED_VALUE"""),"BK REGULAR")</f>
        <v>BK REGULAR</v>
      </c>
      <c r="W800" s="1" t="str">
        <f>IFERROR(__xludf.DUMMYFUNCTION("""COMPUTED_VALUE"""),"STK REGULAR")</f>
        <v>STK REGULAR</v>
      </c>
      <c r="X800" s="1" t="str">
        <f>IFERROR(__xludf.DUMMYFUNCTION("""COMPUTED_VALUE"""),"REGULAR")</f>
        <v>REGULAR</v>
      </c>
      <c r="Y800" s="1" t="str">
        <f>IFERROR(__xludf.DUMMYFUNCTION("""COMPUTED_VALUE"""),"BK_CVEU_260827")</f>
        <v>BK_CVEU_260827</v>
      </c>
      <c r="Z800" s="1" t="str">
        <f>IFERROR(__xludf.DUMMYFUNCTION("""COMPUTED_VALUE"""),"NEW CONNECT")</f>
        <v>NEW CONNECT</v>
      </c>
      <c r="AA800" s="1">
        <f>IFERROR(__xludf.DUMMYFUNCTION("""COMPUTED_VALUE"""),639972207131)</f>
        <v>639972207131</v>
      </c>
      <c r="AB800" s="1">
        <f>IFERROR(__xludf.DUMMYFUNCTION("""COMPUTED_VALUE"""),639692860371)</f>
        <v>639692860371</v>
      </c>
      <c r="AC800" s="1">
        <f>IFERROR(__xludf.DUMMYFUNCTION("""COMPUTED_VALUE"""),205)</f>
        <v>205</v>
      </c>
      <c r="AD800" s="1" t="str">
        <f>IFERROR(__xludf.DUMMYFUNCTION("""COMPUTED_VALUE"""),"PUROK 5")</f>
        <v>PUROK 5</v>
      </c>
      <c r="AE800" s="1"/>
      <c r="AF800" s="1" t="str">
        <f>IFERROR(__xludf.DUMMYFUNCTION("""COMPUTED_VALUE"""),"BGY ULAT")</f>
        <v>BGY ULAT</v>
      </c>
      <c r="AG800" s="1" t="str">
        <f>IFERROR(__xludf.DUMMYFUNCTION("""COMPUTED_VALUE"""),"SILANG")</f>
        <v>SILANG</v>
      </c>
      <c r="AH800" s="1"/>
      <c r="AI800" s="1" t="str">
        <f>IFERROR(__xludf.DUMMYFUNCTION("""COMPUTED_VALUE"""),"CLUSTER 11")</f>
        <v>CLUSTER 11</v>
      </c>
    </row>
    <row r="801" customHeight="1" spans="1:35">
      <c r="A801" s="3">
        <f>IFERROR(__xludf.DUMMYFUNCTION("""COMPUTED_VALUE"""),46296)</f>
        <v>46296</v>
      </c>
      <c r="B801" s="1" t="str">
        <f>IFERROR(__xludf.DUMMYFUNCTION("""COMPUTED_VALUE""")," CHERELYN TIAD DESCUTIDO")</f>
        <v> CHERELYN TIAD DESCUTIDO</v>
      </c>
      <c r="C801" s="1">
        <f>IFERROR(__xludf.DUMMYFUNCTION("""COMPUTED_VALUE"""),2312907484)</f>
        <v>2312907484</v>
      </c>
      <c r="D801" s="1">
        <f>IFERROR(__xludf.DUMMYFUNCTION("""COMPUTED_VALUE"""),408579481)</f>
        <v>408579481</v>
      </c>
      <c r="E801" s="1">
        <f>IFERROR(__xludf.DUMMYFUNCTION("""COMPUTED_VALUE"""),473886644004)</f>
        <v>473886644004</v>
      </c>
      <c r="F801" s="1" t="str">
        <f>IFERROR(__xludf.DUMMYFUNCTION("""COMPUTED_VALUE"""),"CLOSED")</f>
        <v>CLOSED</v>
      </c>
      <c r="G801" s="1" t="str">
        <f>IFERROR(__xludf.DUMMYFUNCTION("""COMPUTED_VALUE"""),"CLOSED")</f>
        <v>CLOSED</v>
      </c>
      <c r="H801" s="1" t="str">
        <f>IFERROR(__xludf.DUMMYFUNCTION("""COMPUTED_VALUE"""),"PAID THRU GCASH REF# 562102518 10/9/26")</f>
        <v>PAID THRU GCASH REF# 562102518 10/9/26</v>
      </c>
      <c r="I801" s="1" t="str">
        <f>IFERROR(__xludf.DUMMYFUNCTION("""COMPUTED_VALUE"""),"WITH 1 AMSF")</f>
        <v>WITH 1 AMSF</v>
      </c>
      <c r="J801" s="1"/>
      <c r="K801" s="1" t="str">
        <f>IFERROR(__xludf.DUMMYFUNCTION("""COMPUTED_VALUE"""),"COMPLETED")</f>
        <v>COMPLETED</v>
      </c>
      <c r="L801" s="1" t="str">
        <f>IFERROR(__xludf.DUMMYFUNCTION("""COMPUTED_VALUE"""),"POSTED")</f>
        <v>POSTED</v>
      </c>
      <c r="M801" s="1" t="str">
        <f>IFERROR(__xludf.DUMMYFUNCTION("""COMPUTED_VALUE"""),"POSTED")</f>
        <v>POSTED</v>
      </c>
      <c r="N801" s="3">
        <f>IFERROR(__xludf.DUMMYFUNCTION("""COMPUTED_VALUE"""),46297)</f>
        <v>46297</v>
      </c>
      <c r="O801" s="1" t="str">
        <f>IFERROR(__xludf.DUMMYFUNCTION("""COMPUTED_VALUE"""),"FIBR PLAN 1299")</f>
        <v>FIBR PLAN 1299</v>
      </c>
      <c r="P801" s="1" t="str">
        <f>IFERROR(__xludf.DUMMYFUNCTION("""COMPUTED_VALUE"""),"LOWPLAN")</f>
        <v>LOWPLAN</v>
      </c>
      <c r="Q801" s="1" t="str">
        <f>IFERROR(__xludf.DUMMYFUNCTION("""COMPUTED_VALUE"""),"P407564")</f>
        <v>P407564</v>
      </c>
      <c r="R801" s="1" t="str">
        <f>IFERROR(__xludf.DUMMYFUNCTION("""COMPUTED_VALUE"""),"ARENA, LYKA")</f>
        <v>ARENA, LYKA</v>
      </c>
      <c r="S801" s="1" t="str">
        <f>IFERROR(__xludf.DUMMYFUNCTION("""COMPUTED_VALUE"""),"ORGANIC")</f>
        <v>ORGANIC</v>
      </c>
      <c r="T801" s="1" t="str">
        <f>IFERROR(__xludf.DUMMYFUNCTION("""COMPUTED_VALUE"""),"LEA REMOLLO")</f>
        <v>LEA REMOLLO</v>
      </c>
      <c r="U801" s="1" t="str">
        <f>IFERROR(__xludf.DUMMYFUNCTION("""COMPUTED_VALUE"""),"JULIE ESPIRITU")</f>
        <v>JULIE ESPIRITU</v>
      </c>
      <c r="V801" s="1" t="str">
        <f>IFERROR(__xludf.DUMMYFUNCTION("""COMPUTED_VALUE"""),"BK HSTK")</f>
        <v>BK HSTK</v>
      </c>
      <c r="W801" s="1" t="str">
        <f>IFERROR(__xludf.DUMMYFUNCTION("""COMPUTED_VALUE"""),"BK HSTK")</f>
        <v>BK HSTK</v>
      </c>
      <c r="X801" s="1" t="str">
        <f>IFERROR(__xludf.DUMMYFUNCTION("""COMPUTED_VALUE"""),"REGULAR")</f>
        <v>REGULAR</v>
      </c>
      <c r="Y801" s="1" t="str">
        <f>IFERROR(__xludf.DUMMYFUNCTION("""COMPUTED_VALUE"""),"BK_CVEU_260827")</f>
        <v>BK_CVEU_260827</v>
      </c>
      <c r="Z801" s="1" t="str">
        <f>IFERROR(__xludf.DUMMYFUNCTION("""COMPUTED_VALUE"""),"NEW CONNECT")</f>
        <v>NEW CONNECT</v>
      </c>
      <c r="AA801" s="1">
        <f>IFERROR(__xludf.DUMMYFUNCTION("""COMPUTED_VALUE"""),639765253184)</f>
        <v>639765253184</v>
      </c>
      <c r="AB801" s="1"/>
      <c r="AC801" s="1">
        <f>IFERROR(__xludf.DUMMYFUNCTION("""COMPUTED_VALUE"""),426)</f>
        <v>426</v>
      </c>
      <c r="AD801" s="1" t="str">
        <f>IFERROR(__xludf.DUMMYFUNCTION("""COMPUTED_VALUE"""),"BAYLA")</f>
        <v>BAYLA</v>
      </c>
      <c r="AE801" s="1" t="str">
        <f>IFERROR(__xludf.DUMMYFUNCTION("""COMPUTED_VALUE"""),"PUROK 5")</f>
        <v>PUROK 5</v>
      </c>
      <c r="AF801" s="1" t="str">
        <f>IFERROR(__xludf.DUMMYFUNCTION("""COMPUTED_VALUE"""),"BGY LUMIL")</f>
        <v>BGY LUMIL</v>
      </c>
      <c r="AG801" s="1" t="str">
        <f>IFERROR(__xludf.DUMMYFUNCTION("""COMPUTED_VALUE"""),"SILANG")</f>
        <v>SILANG</v>
      </c>
      <c r="AH801" s="1"/>
      <c r="AI801" s="1" t="str">
        <f>IFERROR(__xludf.DUMMYFUNCTION("""COMPUTED_VALUE"""),"CLUSTER 11")</f>
        <v>CLUSTER 11</v>
      </c>
    </row>
    <row r="802" customHeight="1" spans="1:35">
      <c r="A802" s="3">
        <f>IFERROR(__xludf.DUMMYFUNCTION("""COMPUTED_VALUE"""),46296)</f>
        <v>46296</v>
      </c>
      <c r="B802" s="1" t="str">
        <f>IFERROR(__xludf.DUMMYFUNCTION("""COMPUTED_VALUE"""),"MARY ROSE NOLOS POSO")</f>
        <v>MARY ROSE NOLOS POSO</v>
      </c>
      <c r="C802" s="1">
        <f>IFERROR(__xludf.DUMMYFUNCTION("""COMPUTED_VALUE"""),2312908334)</f>
        <v>2312908334</v>
      </c>
      <c r="D802" s="1">
        <f>IFERROR(__xludf.DUMMYFUNCTION("""COMPUTED_VALUE"""),408564190)</f>
        <v>408564190</v>
      </c>
      <c r="E802" s="1">
        <f>IFERROR(__xludf.DUMMYFUNCTION("""COMPUTED_VALUE"""),473780365004)</f>
        <v>473780365004</v>
      </c>
      <c r="F802" s="1" t="str">
        <f>IFERROR(__xludf.DUMMYFUNCTION("""COMPUTED_VALUE"""),"FOR CANCELLATION")</f>
        <v>FOR CANCELLATION</v>
      </c>
      <c r="G802" s="1" t="str">
        <f>IFERROR(__xludf.DUMMYFUNCTION("""COMPUTED_VALUE"""),"FOR CANCELLATION")</f>
        <v>FOR CANCELLATION</v>
      </c>
      <c r="H802" s="1" t="str">
        <f>IFERROR(__xludf.DUMMYFUNCTION("""COMPUTED_VALUE"""),"FOR CANCELLATION- NA IAAPLY NA NI AGENT SA IBANG PANGALAN")</f>
        <v>FOR CANCELLATION- NA IAAPLY NA NI AGENT SA IBANG PANGALAN</v>
      </c>
      <c r="I802" s="1"/>
      <c r="J802" s="1"/>
      <c r="K802" s="1" t="str">
        <f>IFERROR(__xludf.DUMMYFUNCTION("""COMPUTED_VALUE"""),"NOT IN OFSC")</f>
        <v>NOT IN OFSC</v>
      </c>
      <c r="L802" s="1" t="str">
        <f>IFERROR(__xludf.DUMMYFUNCTION("""COMPUTED_VALUE"""),"FOR PAYMENT")</f>
        <v>FOR PAYMENT</v>
      </c>
      <c r="M802" s="1" t="str">
        <f>IFERROR(__xludf.DUMMYFUNCTION("""COMPUTED_VALUE"""),"FOR CANCELLATION - NON COMPLIANCE - NO PAYMENT")</f>
        <v>FOR CANCELLATION - NON COMPLIANCE - NO PAYMENT</v>
      </c>
      <c r="N802" s="3"/>
      <c r="O802" s="1" t="str">
        <f>IFERROR(__xludf.DUMMYFUNCTION("""COMPUTED_VALUE"""),"FIBR PLAN 1299")</f>
        <v>FIBR PLAN 1299</v>
      </c>
      <c r="P802" s="1" t="str">
        <f>IFERROR(__xludf.DUMMYFUNCTION("""COMPUTED_VALUE"""),"LOWPLAN")</f>
        <v>LOWPLAN</v>
      </c>
      <c r="Q802" s="1" t="str">
        <f>IFERROR(__xludf.DUMMYFUNCTION("""COMPUTED_VALUE"""),"P407049")</f>
        <v>P407049</v>
      </c>
      <c r="R802" s="1" t="str">
        <f>IFERROR(__xludf.DUMMYFUNCTION("""COMPUTED_VALUE"""),"ALINGARO, CINDY")</f>
        <v>ALINGARO, CINDY</v>
      </c>
      <c r="S802" s="1" t="str">
        <f>IFERROR(__xludf.DUMMYFUNCTION("""COMPUTED_VALUE"""),"ORGANIC")</f>
        <v>ORGANIC</v>
      </c>
      <c r="T802" s="1" t="str">
        <f>IFERROR(__xludf.DUMMYFUNCTION("""COMPUTED_VALUE"""),"LEA REMOLLO")</f>
        <v>LEA REMOLLO</v>
      </c>
      <c r="U802" s="1" t="str">
        <f>IFERROR(__xludf.DUMMYFUNCTION("""COMPUTED_VALUE"""),"JULIE ESPIRITU")</f>
        <v>JULIE ESPIRITU</v>
      </c>
      <c r="V802" s="1" t="str">
        <f>IFERROR(__xludf.DUMMYFUNCTION("""COMPUTED_VALUE"""),"BK REGULAR")</f>
        <v>BK REGULAR</v>
      </c>
      <c r="W802" s="1" t="str">
        <f>IFERROR(__xludf.DUMMYFUNCTION("""COMPUTED_VALUE"""),"STK REGULAR")</f>
        <v>STK REGULAR</v>
      </c>
      <c r="X802" s="1" t="str">
        <f>IFERROR(__xludf.DUMMYFUNCTION("""COMPUTED_VALUE"""),"REGULAR")</f>
        <v>REGULAR</v>
      </c>
      <c r="Y802" s="1" t="str">
        <f>IFERROR(__xludf.DUMMYFUNCTION("""COMPUTED_VALUE"""),"BK_CVEU_260825")</f>
        <v>BK_CVEU_260825</v>
      </c>
      <c r="Z802" s="1" t="str">
        <f>IFERROR(__xludf.DUMMYFUNCTION("""COMPUTED_VALUE"""),"NEW CONNECT")</f>
        <v>NEW CONNECT</v>
      </c>
      <c r="AA802" s="1">
        <f>IFERROR(__xludf.DUMMYFUNCTION("""COMPUTED_VALUE"""),639207227492)</f>
        <v>639207227492</v>
      </c>
      <c r="AB802" s="1"/>
      <c r="AC802" s="1"/>
      <c r="AD802" s="1" t="str">
        <f>IFERROR(__xludf.DUMMYFUNCTION("""COMPUTED_VALUE"""),"POBLACION 3")</f>
        <v>POBLACION 3</v>
      </c>
      <c r="AE802" s="1"/>
      <c r="AF802" s="1" t="str">
        <f>IFERROR(__xludf.DUMMYFUNCTION("""COMPUTED_VALUE"""),"BGY POBLACION 3")</f>
        <v>BGY POBLACION 3</v>
      </c>
      <c r="AG802" s="1" t="str">
        <f>IFERROR(__xludf.DUMMYFUNCTION("""COMPUTED_VALUE"""),"GEN MARIANO ALVAREZ")</f>
        <v>GEN MARIANO ALVAREZ</v>
      </c>
      <c r="AH802" s="1" t="str">
        <f>IFERROR(__xludf.DUMMYFUNCTION("""COMPUTED_VALUE"""),"BRGY HALL")</f>
        <v>BRGY HALL</v>
      </c>
      <c r="AI802" s="1" t="str">
        <f>IFERROR(__xludf.DUMMYFUNCTION("""COMPUTED_VALUE"""),"CLUSTER 11")</f>
        <v>CLUSTER 11</v>
      </c>
    </row>
    <row r="803" customHeight="1" spans="1:35">
      <c r="A803" s="3">
        <f>IFERROR(__xludf.DUMMYFUNCTION("""COMPUTED_VALUE"""),46296)</f>
        <v>46296</v>
      </c>
      <c r="B803" s="1" t="str">
        <f>IFERROR(__xludf.DUMMYFUNCTION("""COMPUTED_VALUE"""),"ELVIN JAY JAIME MARTIN")</f>
        <v>ELVIN JAY JAIME MARTIN</v>
      </c>
      <c r="C803" s="1">
        <f>IFERROR(__xludf.DUMMYFUNCTION("""COMPUTED_VALUE"""),2312908677)</f>
        <v>2312908677</v>
      </c>
      <c r="D803" s="1"/>
      <c r="E803" s="1"/>
      <c r="F803" s="1" t="str">
        <f>IFERROR(__xludf.DUMMYFUNCTION("""COMPUTED_VALUE"""),"CANCELLED")</f>
        <v>CANCELLED</v>
      </c>
      <c r="G803" s="1" t="str">
        <f>IFERROR(__xludf.DUMMYFUNCTION("""COMPUTED_VALUE"""),"FOUND WITH ACTIVE TEL#0286713021 DIFFERENT ADDRESS FOR MULTIPLE LINE APPLICATION NEED TO SUBMIT POA OF THE NEW APPLIED ADDRESS UNDER SOR'S NAME")</f>
        <v>FOUND WITH ACTIVE TEL#0286713021 DIFFERENT ADDRESS FOR MULTIPLE LINE APPLICATION NEED TO SUBMIT POA OF THE NEW APPLIED ADDRESS UNDER SOR'S NAME</v>
      </c>
      <c r="H803" s="1"/>
      <c r="I803" s="1"/>
      <c r="J803" s="1"/>
      <c r="K803" s="1"/>
      <c r="L803" s="1" t="str">
        <f>IFERROR(__xludf.DUMMYFUNCTION("""COMPUTED_VALUE"""),"CANCELLED")</f>
        <v>CANCELLED</v>
      </c>
      <c r="M803" s="1" t="str">
        <f>IFERROR(__xludf.DUMMYFUNCTION("""COMPUTED_VALUE"""),"CANCELLED - WITH ACTIVE LINE")</f>
        <v>CANCELLED - WITH ACTIVE LINE</v>
      </c>
      <c r="N803" s="3"/>
      <c r="O803" s="1" t="str">
        <f>IFERROR(__xludf.DUMMYFUNCTION("""COMPUTED_VALUE"""),"FIBER UNLI ALL PLAN 1499")</f>
        <v>FIBER UNLI ALL PLAN 1499</v>
      </c>
      <c r="P803" s="1" t="str">
        <f>IFERROR(__xludf.DUMMYFUNCTION("""COMPUTED_VALUE"""),"LOWPLAN")</f>
        <v>LOWPLAN</v>
      </c>
      <c r="Q803" s="1" t="str">
        <f>IFERROR(__xludf.DUMMYFUNCTION("""COMPUTED_VALUE"""),"P407517")</f>
        <v>P407517</v>
      </c>
      <c r="R803" s="1" t="str">
        <f>IFERROR(__xludf.DUMMYFUNCTION("""COMPUTED_VALUE"""),"GABAY, MANUEL")</f>
        <v>GABAY, MANUEL</v>
      </c>
      <c r="S803" s="1" t="str">
        <f>IFERROR(__xludf.DUMMYFUNCTION("""COMPUTED_VALUE"""),"FLA")</f>
        <v>FLA</v>
      </c>
      <c r="T803" s="1" t="str">
        <f>IFERROR(__xludf.DUMMYFUNCTION("""COMPUTED_VALUE"""),"JERIC NAVARRO")</f>
        <v>JERIC NAVARRO</v>
      </c>
      <c r="U803" s="1" t="str">
        <f>IFERROR(__xludf.DUMMYFUNCTION("""COMPUTED_VALUE"""),"JULIE ESPIRITU")</f>
        <v>JULIE ESPIRITU</v>
      </c>
      <c r="V803" s="1" t="str">
        <f>IFERROR(__xludf.DUMMYFUNCTION("""COMPUTED_VALUE"""),"BK HSTK")</f>
        <v>BK HSTK</v>
      </c>
      <c r="W803" s="1" t="str">
        <f>IFERROR(__xludf.DUMMYFUNCTION("""COMPUTED_VALUE"""),"BK HSTK")</f>
        <v>BK HSTK</v>
      </c>
      <c r="X803" s="1" t="str">
        <f>IFERROR(__xludf.DUMMYFUNCTION("""COMPUTED_VALUE"""),"REGULAR")</f>
        <v>REGULAR</v>
      </c>
      <c r="Y803" s="1" t="str">
        <f>IFERROR(__xludf.DUMMYFUNCTION("""COMPUTED_VALUE"""),"BK_CVEU_260826")</f>
        <v>BK_CVEU_260826</v>
      </c>
      <c r="Z803" s="1" t="str">
        <f>IFERROR(__xludf.DUMMYFUNCTION("""COMPUTED_VALUE"""),"NEW CONNECT")</f>
        <v>NEW CONNECT</v>
      </c>
      <c r="AA803" s="1">
        <f>IFERROR(__xludf.DUMMYFUNCTION("""COMPUTED_VALUE"""),639235903660)</f>
        <v>639235903660</v>
      </c>
      <c r="AB803" s="1">
        <f>IFERROR(__xludf.DUMMYFUNCTION("""COMPUTED_VALUE"""),639505515040)</f>
        <v>639505515040</v>
      </c>
      <c r="AC803" s="1">
        <f>IFERROR(__xludf.DUMMYFUNCTION("""COMPUTED_VALUE"""),9127)</f>
        <v>9127</v>
      </c>
      <c r="AD803" s="1" t="str">
        <f>IFERROR(__xludf.DUMMYFUNCTION("""COMPUTED_VALUE"""),"PAYAPA SUBDIVISION")</f>
        <v>PAYAPA SUBDIVISION</v>
      </c>
      <c r="AE803" s="1" t="str">
        <f>IFERROR(__xludf.DUMMYFUNCTION("""COMPUTED_VALUE"""),"PAYAPA SUBDIVISION")</f>
        <v>PAYAPA SUBDIVISION</v>
      </c>
      <c r="AF803" s="1" t="str">
        <f>IFERROR(__xludf.DUMMYFUNCTION("""COMPUTED_VALUE"""),"BGY GALICIA 3")</f>
        <v>BGY GALICIA 3</v>
      </c>
      <c r="AG803" s="1" t="str">
        <f>IFERROR(__xludf.DUMMYFUNCTION("""COMPUTED_VALUE"""),"MENDEZ")</f>
        <v>MENDEZ</v>
      </c>
      <c r="AH803" s="1"/>
      <c r="AI803" s="1" t="str">
        <f>IFERROR(__xludf.DUMMYFUNCTION("""COMPUTED_VALUE"""),"CLUSTER 12")</f>
        <v>CLUSTER 12</v>
      </c>
    </row>
    <row r="804" customHeight="1" spans="1:35">
      <c r="A804" s="3">
        <f>IFERROR(__xludf.DUMMYFUNCTION("""COMPUTED_VALUE"""),46296)</f>
        <v>46296</v>
      </c>
      <c r="B804" s="1" t="str">
        <f>IFERROR(__xludf.DUMMYFUNCTION("""COMPUTED_VALUE"""),"JIMMY ALTICHE MADARASO")</f>
        <v>JIMMY ALTICHE MADARASO</v>
      </c>
      <c r="C804" s="1">
        <f>IFERROR(__xludf.DUMMYFUNCTION("""COMPUTED_VALUE"""),2312909270)</f>
        <v>2312909270</v>
      </c>
      <c r="D804" s="1"/>
      <c r="E804" s="1"/>
      <c r="F804" s="1" t="str">
        <f>IFERROR(__xludf.DUMMYFUNCTION("""COMPUTED_VALUE"""),"CANCELLED")</f>
        <v>CANCELLED</v>
      </c>
      <c r="G804" s="1" t="str">
        <f>IFERROR(__xludf.DUMMYFUNCTION("""COMPUTED_VALUE"""),"CANCELLED")</f>
        <v>CANCELLED</v>
      </c>
      <c r="H804" s="1"/>
      <c r="I804" s="1"/>
      <c r="J804" s="1"/>
      <c r="K804" s="1"/>
      <c r="L804" s="1" t="str">
        <f>IFERROR(__xludf.DUMMYFUNCTION("""COMPUTED_VALUE"""),"CANCELLED - WITH OB")</f>
        <v>CANCELLED - WITH OB</v>
      </c>
      <c r="M804" s="1" t="str">
        <f>IFERROR(__xludf.DUMMYFUNCTION("""COMPUTED_VALUE"""),"CANCELLED - WITH OB")</f>
        <v>CANCELLED - WITH OB</v>
      </c>
      <c r="N804" s="3"/>
      <c r="O804" s="1" t="str">
        <f>IFERROR(__xludf.DUMMYFUNCTION("""COMPUTED_VALUE"""),"FIBR PLAN 1299")</f>
        <v>FIBR PLAN 1299</v>
      </c>
      <c r="P804" s="1" t="str">
        <f>IFERROR(__xludf.DUMMYFUNCTION("""COMPUTED_VALUE"""),"LOWPLAN")</f>
        <v>LOWPLAN</v>
      </c>
      <c r="Q804" s="1" t="str">
        <f>IFERROR(__xludf.DUMMYFUNCTION("""COMPUTED_VALUE"""),"P407047")</f>
        <v>P407047</v>
      </c>
      <c r="R804" s="1" t="str">
        <f>IFERROR(__xludf.DUMMYFUNCTION("""COMPUTED_VALUE"""),"FRANCISCO, ROSELYN")</f>
        <v>FRANCISCO, ROSELYN</v>
      </c>
      <c r="S804" s="1" t="str">
        <f>IFERROR(__xludf.DUMMYFUNCTION("""COMPUTED_VALUE"""),"ORGANIC")</f>
        <v>ORGANIC</v>
      </c>
      <c r="T804" s="1" t="str">
        <f>IFERROR(__xludf.DUMMYFUNCTION("""COMPUTED_VALUE"""),"LEA REMOLLO")</f>
        <v>LEA REMOLLO</v>
      </c>
      <c r="U804" s="1" t="str">
        <f>IFERROR(__xludf.DUMMYFUNCTION("""COMPUTED_VALUE"""),"JULIE ESPIRITU")</f>
        <v>JULIE ESPIRITU</v>
      </c>
      <c r="V804" s="1" t="str">
        <f>IFERROR(__xludf.DUMMYFUNCTION("""COMPUTED_VALUE"""),"BK HSTK")</f>
        <v>BK HSTK</v>
      </c>
      <c r="W804" s="1" t="str">
        <f>IFERROR(__xludf.DUMMYFUNCTION("""COMPUTED_VALUE"""),"BK HSTK")</f>
        <v>BK HSTK</v>
      </c>
      <c r="X804" s="1" t="str">
        <f>IFERROR(__xludf.DUMMYFUNCTION("""COMPUTED_VALUE"""),"REGULAR")</f>
        <v>REGULAR</v>
      </c>
      <c r="Y804" s="1" t="str">
        <f>IFERROR(__xludf.DUMMYFUNCTION("""COMPUTED_VALUE"""),"BK_CVEU_260827")</f>
        <v>BK_CVEU_260827</v>
      </c>
      <c r="Z804" s="1" t="str">
        <f>IFERROR(__xludf.DUMMYFUNCTION("""COMPUTED_VALUE"""),"NEW CONNECT")</f>
        <v>NEW CONNECT</v>
      </c>
      <c r="AA804" s="1">
        <f>IFERROR(__xludf.DUMMYFUNCTION("""COMPUTED_VALUE"""),639310344135)</f>
        <v>639310344135</v>
      </c>
      <c r="AB804" s="1"/>
      <c r="AC804" s="1"/>
      <c r="AD804" s="1" t="str">
        <f>IFERROR(__xludf.DUMMYFUNCTION("""COMPUTED_VALUE"""),"PHASE 6")</f>
        <v>PHASE 6</v>
      </c>
      <c r="AE804" s="1"/>
      <c r="AF804" s="1" t="str">
        <f>IFERROR(__xludf.DUMMYFUNCTION("""COMPUTED_VALUE"""),"BGY BANABA")</f>
        <v>BGY BANABA</v>
      </c>
      <c r="AG804" s="1" t="str">
        <f>IFERROR(__xludf.DUMMYFUNCTION("""COMPUTED_VALUE"""),"SILANG")</f>
        <v>SILANG</v>
      </c>
      <c r="AH804" s="1" t="str">
        <f>IFERROR(__xludf.DUMMYFUNCTION("""COMPUTED_VALUE"""),"PLAZA 38")</f>
        <v>PLAZA 38</v>
      </c>
      <c r="AI804" s="1" t="str">
        <f>IFERROR(__xludf.DUMMYFUNCTION("""COMPUTED_VALUE"""),"CLUSTER 11")</f>
        <v>CLUSTER 11</v>
      </c>
    </row>
    <row r="805" customHeight="1" spans="1:35">
      <c r="A805" s="3">
        <f>IFERROR(__xludf.DUMMYFUNCTION("""COMPUTED_VALUE"""),46296)</f>
        <v>46296</v>
      </c>
      <c r="B805" s="1" t="str">
        <f>IFERROR(__xludf.DUMMYFUNCTION("""COMPUTED_VALUE"""),"RENE JR PANGGO FELLESCO")</f>
        <v>RENE JR PANGGO FELLESCO</v>
      </c>
      <c r="C805" s="1">
        <f>IFERROR(__xludf.DUMMYFUNCTION("""COMPUTED_VALUE"""),2312909608)</f>
        <v>2312909608</v>
      </c>
      <c r="D805" s="1">
        <f>IFERROR(__xludf.DUMMYFUNCTION("""COMPUTED_VALUE"""),408560527)</f>
        <v>408560527</v>
      </c>
      <c r="E805" s="1">
        <f>IFERROR(__xludf.DUMMYFUNCTION("""COMPUTED_VALUE"""),473778968004)</f>
        <v>473778968004</v>
      </c>
      <c r="F805" s="1" t="str">
        <f>IFERROR(__xludf.DUMMYFUNCTION("""COMPUTED_VALUE"""),"CLOSED")</f>
        <v>CLOSED</v>
      </c>
      <c r="G805" s="1" t="str">
        <f>IFERROR(__xludf.DUMMYFUNCTION("""COMPUTED_VALUE"""),"CLOSED")</f>
        <v>CLOSED</v>
      </c>
      <c r="H805" s="1" t="str">
        <f>IFERROR(__xludf.DUMMYFUNCTION("""COMPUTED_VALUE"""),"PQGOR365866530	01-Oct-26	Regular Payment	PLDT Pay Express-Web-App credit	1,000.00	946541059	02-Oct-26")</f>
        <v>PQGOR365866530	01-Oct-26	Regular Payment	PLDT Pay Express-Web-App credit	1,000.00	946541059	02-Oct-26</v>
      </c>
      <c r="I805" s="1" t="str">
        <f>IFERROR(__xludf.DUMMYFUNCTION("""COMPUTED_VALUE"""),"WITH 1 AMSF")</f>
        <v>WITH 1 AMSF</v>
      </c>
      <c r="J805" s="1"/>
      <c r="K805" s="1" t="str">
        <f>IFERROR(__xludf.DUMMYFUNCTION("""COMPUTED_VALUE"""),"COMPLETED")</f>
        <v>COMPLETED</v>
      </c>
      <c r="L805" s="1" t="str">
        <f>IFERROR(__xludf.DUMMYFUNCTION("""COMPUTED_VALUE"""),"POSTED")</f>
        <v>POSTED</v>
      </c>
      <c r="M805" s="1" t="str">
        <f>IFERROR(__xludf.DUMMYFUNCTION("""COMPUTED_VALUE"""),"POSTED")</f>
        <v>POSTED</v>
      </c>
      <c r="N805" s="3">
        <f>IFERROR(__xludf.DUMMYFUNCTION("""COMPUTED_VALUE"""),46297)</f>
        <v>46297</v>
      </c>
      <c r="O805" s="1" t="str">
        <f>IFERROR(__xludf.DUMMYFUNCTION("""COMPUTED_VALUE"""),"FIBR PLAN 1299")</f>
        <v>FIBR PLAN 1299</v>
      </c>
      <c r="P805" s="1" t="str">
        <f>IFERROR(__xludf.DUMMYFUNCTION("""COMPUTED_VALUE"""),"LOWPLAN")</f>
        <v>LOWPLAN</v>
      </c>
      <c r="Q805" s="1" t="str">
        <f>IFERROR(__xludf.DUMMYFUNCTION("""COMPUTED_VALUE"""),"P407561")</f>
        <v>P407561</v>
      </c>
      <c r="R805" s="1" t="str">
        <f>IFERROR(__xludf.DUMMYFUNCTION("""COMPUTED_VALUE"""),"TAMAYO, MARY ROSE ZAIRA")</f>
        <v>TAMAYO, MARY ROSE ZAIRA</v>
      </c>
      <c r="S805" s="1" t="str">
        <f>IFERROR(__xludf.DUMMYFUNCTION("""COMPUTED_VALUE"""),"ORGANIC")</f>
        <v>ORGANIC</v>
      </c>
      <c r="T805" s="1" t="str">
        <f>IFERROR(__xludf.DUMMYFUNCTION("""COMPUTED_VALUE"""),"LEA REMOLLO")</f>
        <v>LEA REMOLLO</v>
      </c>
      <c r="U805" s="1" t="str">
        <f>IFERROR(__xludf.DUMMYFUNCTION("""COMPUTED_VALUE"""),"JULIE ESPIRITU")</f>
        <v>JULIE ESPIRITU</v>
      </c>
      <c r="V805" s="1" t="str">
        <f>IFERROR(__xludf.DUMMYFUNCTION("""COMPUTED_VALUE"""),"BK HSTK")</f>
        <v>BK HSTK</v>
      </c>
      <c r="W805" s="1" t="str">
        <f>IFERROR(__xludf.DUMMYFUNCTION("""COMPUTED_VALUE"""),"BK HSTK")</f>
        <v>BK HSTK</v>
      </c>
      <c r="X805" s="1" t="str">
        <f>IFERROR(__xludf.DUMMYFUNCTION("""COMPUTED_VALUE"""),"REGULAR")</f>
        <v>REGULAR</v>
      </c>
      <c r="Y805" s="1" t="str">
        <f>IFERROR(__xludf.DUMMYFUNCTION("""COMPUTED_VALUE"""),"BK_CVEU_260825")</f>
        <v>BK_CVEU_260825</v>
      </c>
      <c r="Z805" s="1" t="str">
        <f>IFERROR(__xludf.DUMMYFUNCTION("""COMPUTED_VALUE"""),"NEW CONNECT")</f>
        <v>NEW CONNECT</v>
      </c>
      <c r="AA805" s="1">
        <f>IFERROR(__xludf.DUMMYFUNCTION("""COMPUTED_VALUE"""),639563057992)</f>
        <v>639563057992</v>
      </c>
      <c r="AB805" s="1"/>
      <c r="AC805" s="1">
        <f>IFERROR(__xludf.DUMMYFUNCTION("""COMPUTED_VALUE"""),57)</f>
        <v>57</v>
      </c>
      <c r="AD805" s="1" t="str">
        <f>IFERROR(__xludf.DUMMYFUNCTION("""COMPUTED_VALUE"""),"PIERRE CURIE")</f>
        <v>PIERRE CURIE</v>
      </c>
      <c r="AE805" s="1"/>
      <c r="AF805" s="1" t="str">
        <f>IFERROR(__xludf.DUMMYFUNCTION("""COMPUTED_VALUE"""),"BGY POBLACION 4")</f>
        <v>BGY POBLACION 4</v>
      </c>
      <c r="AG805" s="1" t="str">
        <f>IFERROR(__xludf.DUMMYFUNCTION("""COMPUTED_VALUE"""),"GEN MARIANO ALVAREZ")</f>
        <v>GEN MARIANO ALVAREZ</v>
      </c>
      <c r="AH805" s="1" t="str">
        <f>IFERROR(__xludf.DUMMYFUNCTION("""COMPUTED_VALUE"""),"ARCH OF POBLACION 4")</f>
        <v>ARCH OF POBLACION 4</v>
      </c>
      <c r="AI805" s="1" t="str">
        <f>IFERROR(__xludf.DUMMYFUNCTION("""COMPUTED_VALUE"""),"CLUSTER 11")</f>
        <v>CLUSTER 11</v>
      </c>
    </row>
    <row r="806" customHeight="1" spans="1:35">
      <c r="A806" s="3">
        <f>IFERROR(__xludf.DUMMYFUNCTION("""COMPUTED_VALUE"""),46296)</f>
        <v>46296</v>
      </c>
      <c r="B806" s="1" t="str">
        <f>IFERROR(__xludf.DUMMYFUNCTION("""COMPUTED_VALUE"""),"THE HAPPYCURVE DENTAL CLINIC")</f>
        <v>THE HAPPYCURVE DENTAL CLINIC</v>
      </c>
      <c r="C806" s="1">
        <f>IFERROR(__xludf.DUMMYFUNCTION("""COMPUTED_VALUE"""),2312910712)</f>
        <v>2312910712</v>
      </c>
      <c r="D806" s="1">
        <f>IFERROR(__xludf.DUMMYFUNCTION("""COMPUTED_VALUE"""),408563623)</f>
        <v>408563623</v>
      </c>
      <c r="E806" s="1">
        <f>IFERROR(__xludf.DUMMYFUNCTION("""COMPUTED_VALUE"""),473780702004)</f>
        <v>473780702004</v>
      </c>
      <c r="F806" s="1" t="str">
        <f>IFERROR(__xludf.DUMMYFUNCTION("""COMPUTED_VALUE"""),"CLOSED")</f>
        <v>CLOSED</v>
      </c>
      <c r="G806" s="1" t="str">
        <f>IFERROR(__xludf.DUMMYFUNCTION("""COMPUTED_VALUE"""),"CLOSED")</f>
        <v>CLOSED</v>
      </c>
      <c r="H806" s="1" t="str">
        <f>IFERROR(__xludf.DUMMYFUNCTION("""COMPUTED_VALUE"""),"PAID VIA PAYBOX KIOSK - OCT 8 ")</f>
        <v>PAID VIA PAYBOX KIOSK - OCT 8 </v>
      </c>
      <c r="I806" s="1" t="str">
        <f>IFERROR(__xludf.DUMMYFUNCTION("""COMPUTED_VALUE"""),"WITH 1 AMSF")</f>
        <v>WITH 1 AMSF</v>
      </c>
      <c r="J806" s="1"/>
      <c r="K806" s="1" t="str">
        <f>IFERROR(__xludf.DUMMYFUNCTION("""COMPUTED_VALUE"""),"COMPLETED")</f>
        <v>COMPLETED</v>
      </c>
      <c r="L806" s="1" t="str">
        <f>IFERROR(__xludf.DUMMYFUNCTION("""COMPUTED_VALUE"""),"POSTED")</f>
        <v>POSTED</v>
      </c>
      <c r="M806" s="1" t="str">
        <f>IFERROR(__xludf.DUMMYFUNCTION("""COMPUTED_VALUE"""),"POSTED")</f>
        <v>POSTED</v>
      </c>
      <c r="N806" s="3">
        <f>IFERROR(__xludf.DUMMYFUNCTION("""COMPUTED_VALUE"""),46304)</f>
        <v>46304</v>
      </c>
      <c r="O806" s="1" t="str">
        <f>IFERROR(__xludf.DUMMYFUNCTION("""COMPUTED_VALUE"""),"HOME BIZ PLAN 1299")</f>
        <v>HOME BIZ PLAN 1299</v>
      </c>
      <c r="P806" s="1" t="str">
        <f>IFERROR(__xludf.DUMMYFUNCTION("""COMPUTED_VALUE"""),"LOWPLAN")</f>
        <v>LOWPLAN</v>
      </c>
      <c r="Q806" s="1" t="str">
        <f>IFERROR(__xludf.DUMMYFUNCTION("""COMPUTED_VALUE"""),"P407517")</f>
        <v>P407517</v>
      </c>
      <c r="R806" s="1" t="str">
        <f>IFERROR(__xludf.DUMMYFUNCTION("""COMPUTED_VALUE"""),"GABAY, MANUEL")</f>
        <v>GABAY, MANUEL</v>
      </c>
      <c r="S806" s="1" t="str">
        <f>IFERROR(__xludf.DUMMYFUNCTION("""COMPUTED_VALUE"""),"FLA")</f>
        <v>FLA</v>
      </c>
      <c r="T806" s="1" t="str">
        <f>IFERROR(__xludf.DUMMYFUNCTION("""COMPUTED_VALUE"""),"JERIC NAVARRO")</f>
        <v>JERIC NAVARRO</v>
      </c>
      <c r="U806" s="1" t="str">
        <f>IFERROR(__xludf.DUMMYFUNCTION("""COMPUTED_VALUE"""),"JULIE ESPIRITU")</f>
        <v>JULIE ESPIRITU</v>
      </c>
      <c r="V806" s="1" t="str">
        <f>IFERROR(__xludf.DUMMYFUNCTION("""COMPUTED_VALUE"""),"BK REGULAR")</f>
        <v>BK REGULAR</v>
      </c>
      <c r="W806" s="1" t="str">
        <f>IFERROR(__xludf.DUMMYFUNCTION("""COMPUTED_VALUE"""),"CSP")</f>
        <v>CSP</v>
      </c>
      <c r="X806" s="1" t="str">
        <f>IFERROR(__xludf.DUMMYFUNCTION("""COMPUTED_VALUE"""),"REGULAR")</f>
        <v>REGULAR</v>
      </c>
      <c r="Y806" s="1" t="str">
        <f>IFERROR(__xludf.DUMMYFUNCTION("""COMPUTED_VALUE"""),"BK_CVEU_260826")</f>
        <v>BK_CVEU_260826</v>
      </c>
      <c r="Z806" s="1" t="str">
        <f>IFERROR(__xludf.DUMMYFUNCTION("""COMPUTED_VALUE"""),"NEW CONNECT")</f>
        <v>NEW CONNECT</v>
      </c>
      <c r="AA806" s="1">
        <f>IFERROR(__xludf.DUMMYFUNCTION("""COMPUTED_VALUE"""),639062511141)</f>
        <v>639062511141</v>
      </c>
      <c r="AB806" s="1">
        <f>IFERROR(__xludf.DUMMYFUNCTION("""COMPUTED_VALUE"""),639565347643)</f>
        <v>639565347643</v>
      </c>
      <c r="AC806" s="1"/>
      <c r="AD806" s="1" t="str">
        <f>IFERROR(__xludf.DUMMYFUNCTION("""COMPUTED_VALUE"""),"JP RIZAL")</f>
        <v>JP RIZAL</v>
      </c>
      <c r="AE806" s="1" t="str">
        <f>IFERROR(__xludf.DUMMYFUNCTION("""COMPUTED_VALUE"""),"CDA BLDG")</f>
        <v>CDA BLDG</v>
      </c>
      <c r="AF806" s="1" t="str">
        <f>IFERROR(__xludf.DUMMYFUNCTION("""COMPUTED_VALUE"""),"BGY GALICIA 3")</f>
        <v>BGY GALICIA 3</v>
      </c>
      <c r="AG806" s="1" t="str">
        <f>IFERROR(__xludf.DUMMYFUNCTION("""COMPUTED_VALUE"""),"MENDEZ")</f>
        <v>MENDEZ</v>
      </c>
      <c r="AH806" s="1" t="str">
        <f>IFERROR(__xludf.DUMMYFUNCTION("""COMPUTED_VALUE"""),"BESIDE DUNKIN DONUT")</f>
        <v>BESIDE DUNKIN DONUT</v>
      </c>
      <c r="AI806" s="1" t="str">
        <f>IFERROR(__xludf.DUMMYFUNCTION("""COMPUTED_VALUE"""),"CLUSTER 11")</f>
        <v>CLUSTER 11</v>
      </c>
    </row>
    <row r="807" customHeight="1" spans="1:35">
      <c r="A807" s="3">
        <f>IFERROR(__xludf.DUMMYFUNCTION("""COMPUTED_VALUE"""),46296)</f>
        <v>46296</v>
      </c>
      <c r="B807" s="1" t="str">
        <f>IFERROR(__xludf.DUMMYFUNCTION("""COMPUTED_VALUE"""),"ANGELAN MIRASOL LLORCA")</f>
        <v>ANGELAN MIRASOL LLORCA</v>
      </c>
      <c r="C807" s="1">
        <f>IFERROR(__xludf.DUMMYFUNCTION("""COMPUTED_VALUE"""),2312910900)</f>
        <v>2312910900</v>
      </c>
      <c r="D807" s="1"/>
      <c r="E807" s="1"/>
      <c r="F807" s="1" t="str">
        <f>IFERROR(__xludf.DUMMYFUNCTION("""COMPUTED_VALUE"""),"CANCELLED")</f>
        <v>CANCELLED</v>
      </c>
      <c r="G807" s="1" t="str">
        <f>IFERROR(__xludf.DUMMYFUNCTION("""COMPUTED_VALUE"""),"(OTHERS) RETURN TO SALES | FOUND BLACKLISTED ACCT #0349459159 SAME NAME / DIFFERENT ADDRESS WITH OB OF 5,912.33 FOR SETTLEMENT | NEED TO SETTLE OB FIRST BEFORE TO PROCEED THIS APPLICATION |VALIDATED COMPLETE DOCS | DONE VALIDATION | CORRECT ENCODED INFO I"&amp;"N CSP | TU SCORING - GG - 1 (NTC) | 1 AMSF REQUIRED | NO EXISTING ACTIVE ACCT AND/OR PENDING/CANCELLED APPLICATION")</f>
        <v>(OTHERS) RETURN TO SALES | FOUND BLACKLISTED ACCT #0349459159 SAME NAME / DIFFERENT ADDRESS WITH OB OF 5,912.33 FOR SETTLEMENT | NEED TO SETTLE OB FIRST BEFORE TO PROCEED THIS APPLICATION |VALIDATED COMPLETE DOCS | DONE VALIDATION | CORRECT ENCODED INFO IN CSP | TU SCORING - GG - 1 (NTC) | 1 AMSF REQUIRED | NO EXISTING ACTIVE ACCT AND/OR PENDING/CANCELLED APPLICATION</v>
      </c>
      <c r="H807" s="1"/>
      <c r="I807" s="1"/>
      <c r="J807" s="1"/>
      <c r="K807" s="1"/>
      <c r="L807" s="1" t="str">
        <f>IFERROR(__xludf.DUMMYFUNCTION("""COMPUTED_VALUE"""),"CANCELLED - WITH OB")</f>
        <v>CANCELLED - WITH OB</v>
      </c>
      <c r="M807" s="1" t="str">
        <f>IFERROR(__xludf.DUMMYFUNCTION("""COMPUTED_VALUE"""),"DISAPPROVED - WITH OB")</f>
        <v>DISAPPROVED - WITH OB</v>
      </c>
      <c r="N807" s="3"/>
      <c r="O807" s="1" t="str">
        <f>IFERROR(__xludf.DUMMYFUNCTION("""COMPUTED_VALUE"""),"FIBR UNLI ALL PLAN 999")</f>
        <v>FIBR UNLI ALL PLAN 999</v>
      </c>
      <c r="P807" s="1" t="str">
        <f>IFERROR(__xludf.DUMMYFUNCTION("""COMPUTED_VALUE"""),"LOWPLAN")</f>
        <v>LOWPLAN</v>
      </c>
      <c r="Q807" s="1" t="str">
        <f>IFERROR(__xludf.DUMMYFUNCTION("""COMPUTED_VALUE"""),"P407049")</f>
        <v>P407049</v>
      </c>
      <c r="R807" s="1" t="str">
        <f>IFERROR(__xludf.DUMMYFUNCTION("""COMPUTED_VALUE"""),"ALINGARO, CINDY")</f>
        <v>ALINGARO, CINDY</v>
      </c>
      <c r="S807" s="1" t="str">
        <f>IFERROR(__xludf.DUMMYFUNCTION("""COMPUTED_VALUE"""),"ORGANIC")</f>
        <v>ORGANIC</v>
      </c>
      <c r="T807" s="1" t="str">
        <f>IFERROR(__xludf.DUMMYFUNCTION("""COMPUTED_VALUE"""),"LEA REMOLLO")</f>
        <v>LEA REMOLLO</v>
      </c>
      <c r="U807" s="1" t="str">
        <f>IFERROR(__xludf.DUMMYFUNCTION("""COMPUTED_VALUE"""),"JULIE ESPIRITU")</f>
        <v>JULIE ESPIRITU</v>
      </c>
      <c r="V807" s="1" t="str">
        <f>IFERROR(__xludf.DUMMYFUNCTION("""COMPUTED_VALUE"""),"BK REGULAR")</f>
        <v>BK REGULAR</v>
      </c>
      <c r="W807" s="1" t="str">
        <f>IFERROR(__xludf.DUMMYFUNCTION("""COMPUTED_VALUE"""),"STK REGULAR")</f>
        <v>STK REGULAR</v>
      </c>
      <c r="X807" s="1" t="str">
        <f>IFERROR(__xludf.DUMMYFUNCTION("""COMPUTED_VALUE"""),"REGULAR")</f>
        <v>REGULAR</v>
      </c>
      <c r="Y807" s="1" t="str">
        <f>IFERROR(__xludf.DUMMYFUNCTION("""COMPUTED_VALUE"""),"BK_CVEU_260825")</f>
        <v>BK_CVEU_260825</v>
      </c>
      <c r="Z807" s="1" t="str">
        <f>IFERROR(__xludf.DUMMYFUNCTION("""COMPUTED_VALUE"""),"NEW CONNECT")</f>
        <v>NEW CONNECT</v>
      </c>
      <c r="AA807" s="1">
        <f>IFERROR(__xludf.DUMMYFUNCTION("""COMPUTED_VALUE"""),639912071180)</f>
        <v>639912071180</v>
      </c>
      <c r="AB807" s="1"/>
      <c r="AC807" s="1"/>
      <c r="AD807" s="1" t="str">
        <f>IFERROR(__xludf.DUMMYFUNCTION("""COMPUTED_VALUE"""),"PILI")</f>
        <v>PILI</v>
      </c>
      <c r="AE807" s="1"/>
      <c r="AF807" s="1" t="str">
        <f>IFERROR(__xludf.DUMMYFUNCTION("""COMPUTED_VALUE"""),"BGY POBLACION 3")</f>
        <v>BGY POBLACION 3</v>
      </c>
      <c r="AG807" s="1" t="str">
        <f>IFERROR(__xludf.DUMMYFUNCTION("""COMPUTED_VALUE"""),"GEN MARIANO ALVAREZ")</f>
        <v>GEN MARIANO ALVAREZ</v>
      </c>
      <c r="AH807" s="1" t="str">
        <f>IFERROR(__xludf.DUMMYFUNCTION("""COMPUTED_VALUE"""),"PORTAL MALL / BRGY HALL")</f>
        <v>PORTAL MALL / BRGY HALL</v>
      </c>
      <c r="AI807" s="1" t="str">
        <f>IFERROR(__xludf.DUMMYFUNCTION("""COMPUTED_VALUE"""),"CLUSTER 11")</f>
        <v>CLUSTER 11</v>
      </c>
    </row>
    <row r="808" customHeight="1" spans="1:35">
      <c r="A808" s="3">
        <f>IFERROR(__xludf.DUMMYFUNCTION("""COMPUTED_VALUE"""),46296)</f>
        <v>46296</v>
      </c>
      <c r="B808" s="1" t="str">
        <f>IFERROR(__xludf.DUMMYFUNCTION("""COMPUTED_VALUE"""),"DOROTEO CATAMBANG MENDOZA")</f>
        <v>DOROTEO CATAMBANG MENDOZA</v>
      </c>
      <c r="C808" s="1">
        <f>IFERROR(__xludf.DUMMYFUNCTION("""COMPUTED_VALUE"""),2312911230)</f>
        <v>2312911230</v>
      </c>
      <c r="D808" s="1">
        <f>IFERROR(__xludf.DUMMYFUNCTION("""COMPUTED_VALUE"""),408577047)</f>
        <v>408577047</v>
      </c>
      <c r="E808" s="1">
        <f>IFERROR(__xludf.DUMMYFUNCTION("""COMPUTED_VALUE"""),473829355004)</f>
        <v>473829355004</v>
      </c>
      <c r="F808" s="1" t="str">
        <f>IFERROR(__xludf.DUMMYFUNCTION("""COMPUTED_VALUE"""),"CLOSED")</f>
        <v>CLOSED</v>
      </c>
      <c r="G808" s="1" t="str">
        <f>IFERROR(__xludf.DUMMYFUNCTION("""COMPUTED_VALUE"""),"CLOSED")</f>
        <v>CLOSED</v>
      </c>
      <c r="H808" s="1"/>
      <c r="I808" s="1" t="str">
        <f>IFERROR(__xludf.DUMMYFUNCTION("""COMPUTED_VALUE"""),"NO 1 AMSF")</f>
        <v>NO 1 AMSF</v>
      </c>
      <c r="J808" s="1" t="str">
        <f>IFERROR(__xludf.DUMMYFUNCTION("""COMPUTED_VALUE"""),"DUE DATE - 27-Oct-26 - 1,185.63")</f>
        <v>DUE DATE - 27-Oct-26 - 1,185.63</v>
      </c>
      <c r="K808" s="1" t="str">
        <f>IFERROR(__xludf.DUMMYFUNCTION("""COMPUTED_VALUE"""),"COMPLETED")</f>
        <v>COMPLETED</v>
      </c>
      <c r="L808" s="1" t="str">
        <f>IFERROR(__xludf.DUMMYFUNCTION("""COMPUTED_VALUE"""),"POSTED")</f>
        <v>POSTED</v>
      </c>
      <c r="M808" s="1" t="str">
        <f>IFERROR(__xludf.DUMMYFUNCTION("""COMPUTED_VALUE"""),"POSTED")</f>
        <v>POSTED</v>
      </c>
      <c r="N808" s="3">
        <f>IFERROR(__xludf.DUMMYFUNCTION("""COMPUTED_VALUE"""),46297)</f>
        <v>46297</v>
      </c>
      <c r="O808" s="1" t="str">
        <f>IFERROR(__xludf.DUMMYFUNCTION("""COMPUTED_VALUE"""),"FIBR UNLI ALL PLAN 999")</f>
        <v>FIBR UNLI ALL PLAN 999</v>
      </c>
      <c r="P808" s="1" t="str">
        <f>IFERROR(__xludf.DUMMYFUNCTION("""COMPUTED_VALUE"""),"LOWPLAN")</f>
        <v>LOWPLAN</v>
      </c>
      <c r="Q808" s="1" t="str">
        <f>IFERROR(__xludf.DUMMYFUNCTION("""COMPUTED_VALUE"""),"P407050")</f>
        <v>P407050</v>
      </c>
      <c r="R808" s="1" t="str">
        <f>IFERROR(__xludf.DUMMYFUNCTION("""COMPUTED_VALUE"""),"BAYBAY, MICHAEL")</f>
        <v>BAYBAY, MICHAEL</v>
      </c>
      <c r="S808" s="1" t="str">
        <f>IFERROR(__xludf.DUMMYFUNCTION("""COMPUTED_VALUE"""),"ORGANIC")</f>
        <v>ORGANIC</v>
      </c>
      <c r="T808" s="1" t="str">
        <f>IFERROR(__xludf.DUMMYFUNCTION("""COMPUTED_VALUE"""),"LEA REMOLLO")</f>
        <v>LEA REMOLLO</v>
      </c>
      <c r="U808" s="1" t="str">
        <f>IFERROR(__xludf.DUMMYFUNCTION("""COMPUTED_VALUE"""),"JULIE ESPIRITU")</f>
        <v>JULIE ESPIRITU</v>
      </c>
      <c r="V808" s="1" t="str">
        <f>IFERROR(__xludf.DUMMYFUNCTION("""COMPUTED_VALUE"""),"BK REGULAR")</f>
        <v>BK REGULAR</v>
      </c>
      <c r="W808" s="1" t="str">
        <f>IFERROR(__xludf.DUMMYFUNCTION("""COMPUTED_VALUE"""),"STK REGULAR")</f>
        <v>STK REGULAR</v>
      </c>
      <c r="X808" s="1" t="str">
        <f>IFERROR(__xludf.DUMMYFUNCTION("""COMPUTED_VALUE"""),"REGULAR")</f>
        <v>REGULAR</v>
      </c>
      <c r="Y808" s="1" t="str">
        <f>IFERROR(__xludf.DUMMYFUNCTION("""COMPUTED_VALUE"""),"BK_CVEU_260823")</f>
        <v>BK_CVEU_260823</v>
      </c>
      <c r="Z808" s="1" t="str">
        <f>IFERROR(__xludf.DUMMYFUNCTION("""COMPUTED_VALUE"""),"NEW CONNECT")</f>
        <v>NEW CONNECT</v>
      </c>
      <c r="AA808" s="1">
        <f>IFERROR(__xludf.DUMMYFUNCTION("""COMPUTED_VALUE"""),639488995062)</f>
        <v>639488995062</v>
      </c>
      <c r="AB808" s="1"/>
      <c r="AC808" s="1">
        <f>IFERROR(__xludf.DUMMYFUNCTION("""COMPUTED_VALUE"""),9004)</f>
        <v>9004</v>
      </c>
      <c r="AD808" s="1" t="str">
        <f>IFERROR(__xludf.DUMMYFUNCTION("""COMPUTED_VALUE"""),"BAYOT")</f>
        <v>BAYOT</v>
      </c>
      <c r="AE808" s="1"/>
      <c r="AF808" s="1" t="str">
        <f>IFERROR(__xludf.DUMMYFUNCTION("""COMPUTED_VALUE"""),"BGY 3")</f>
        <v>BGY 3</v>
      </c>
      <c r="AG808" s="1" t="str">
        <f>IFERROR(__xludf.DUMMYFUNCTION("""COMPUTED_VALUE"""),"AMADEO")</f>
        <v>AMADEO</v>
      </c>
      <c r="AH808" s="1" t="str">
        <f>IFERROR(__xludf.DUMMYFUNCTION("""COMPUTED_VALUE"""),"CATHOLIC CHURCH")</f>
        <v>CATHOLIC CHURCH</v>
      </c>
      <c r="AI808" s="1" t="str">
        <f>IFERROR(__xludf.DUMMYFUNCTION("""COMPUTED_VALUE"""),"CLUSTER 12")</f>
        <v>CLUSTER 12</v>
      </c>
    </row>
    <row r="809" customHeight="1" spans="1:35">
      <c r="A809" s="3">
        <f>IFERROR(__xludf.DUMMYFUNCTION("""COMPUTED_VALUE"""),46296)</f>
        <v>46296</v>
      </c>
      <c r="B809" s="1" t="str">
        <f>IFERROR(__xludf.DUMMYFUNCTION("""COMPUTED_VALUE"""),"TERESITA COMPETENTE CERIOLA")</f>
        <v>TERESITA COMPETENTE CERIOLA</v>
      </c>
      <c r="C809" s="1">
        <f>IFERROR(__xludf.DUMMYFUNCTION("""COMPUTED_VALUE"""),2312912823)</f>
        <v>2312912823</v>
      </c>
      <c r="D809" s="1">
        <f>IFERROR(__xludf.DUMMYFUNCTION("""COMPUTED_VALUE"""),408573610)</f>
        <v>408573610</v>
      </c>
      <c r="E809" s="1">
        <f>IFERROR(__xludf.DUMMYFUNCTION("""COMPUTED_VALUE"""),473804624004)</f>
        <v>473804624004</v>
      </c>
      <c r="F809" s="1" t="str">
        <f>IFERROR(__xludf.DUMMYFUNCTION("""COMPUTED_VALUE"""),"CLOSED")</f>
        <v>CLOSED</v>
      </c>
      <c r="G809" s="1" t="str">
        <f>IFERROR(__xludf.DUMMYFUNCTION("""COMPUTED_VALUE"""),"CLOSED")</f>
        <v>CLOSED</v>
      </c>
      <c r="H809" s="1" t="str">
        <f>IFERROR(__xludf.DUMMYFUNCTION("""COMPUTED_VALUE"""),"PQGOR366290870	05-Oct-26	Regular Payment	CIS- MAYA 3.0	1,549.00	0	05-Oct-26")</f>
        <v>PQGOR366290870	05-Oct-26	Regular Payment	CIS- MAYA 3.0	1,549.00	0	05-Oct-26</v>
      </c>
      <c r="I809" s="1" t="str">
        <f>IFERROR(__xludf.DUMMYFUNCTION("""COMPUTED_VALUE"""),"WITH 1 AMSF")</f>
        <v>WITH 1 AMSF</v>
      </c>
      <c r="J809" s="1"/>
      <c r="K809" s="1" t="str">
        <f>IFERROR(__xludf.DUMMYFUNCTION("""COMPUTED_VALUE"""),"COMPLETED")</f>
        <v>COMPLETED</v>
      </c>
      <c r="L809" s="1" t="str">
        <f>IFERROR(__xludf.DUMMYFUNCTION("""COMPUTED_VALUE"""),"POSTED")</f>
        <v>POSTED</v>
      </c>
      <c r="M809" s="1" t="str">
        <f>IFERROR(__xludf.DUMMYFUNCTION("""COMPUTED_VALUE"""),"POSTED")</f>
        <v>POSTED</v>
      </c>
      <c r="N809" s="3">
        <f>IFERROR(__xludf.DUMMYFUNCTION("""COMPUTED_VALUE"""),46301)</f>
        <v>46301</v>
      </c>
      <c r="O809" s="1" t="str">
        <f>IFERROR(__xludf.DUMMYFUNCTION("""COMPUTED_VALUE"""),"FIBER UNLI ALL PLAN 1499")</f>
        <v>FIBER UNLI ALL PLAN 1499</v>
      </c>
      <c r="P809" s="1" t="str">
        <f>IFERROR(__xludf.DUMMYFUNCTION("""COMPUTED_VALUE"""),"LOWPLAN")</f>
        <v>LOWPLAN</v>
      </c>
      <c r="Q809" s="1" t="str">
        <f>IFERROR(__xludf.DUMMYFUNCTION("""COMPUTED_VALUE"""),"P407047")</f>
        <v>P407047</v>
      </c>
      <c r="R809" s="1" t="str">
        <f>IFERROR(__xludf.DUMMYFUNCTION("""COMPUTED_VALUE"""),"FRANCISCO, ROSELYN")</f>
        <v>FRANCISCO, ROSELYN</v>
      </c>
      <c r="S809" s="1" t="str">
        <f>IFERROR(__xludf.DUMMYFUNCTION("""COMPUTED_VALUE"""),"ORGANIC")</f>
        <v>ORGANIC</v>
      </c>
      <c r="T809" s="1" t="str">
        <f>IFERROR(__xludf.DUMMYFUNCTION("""COMPUTED_VALUE"""),"LEA REMOLLO")</f>
        <v>LEA REMOLLO</v>
      </c>
      <c r="U809" s="1" t="str">
        <f>IFERROR(__xludf.DUMMYFUNCTION("""COMPUTED_VALUE"""),"JULIE ESPIRITU")</f>
        <v>JULIE ESPIRITU</v>
      </c>
      <c r="V809" s="1" t="str">
        <f>IFERROR(__xludf.DUMMYFUNCTION("""COMPUTED_VALUE"""),"BK HSTK")</f>
        <v>BK HSTK</v>
      </c>
      <c r="W809" s="1" t="str">
        <f>IFERROR(__xludf.DUMMYFUNCTION("""COMPUTED_VALUE"""),"BK HSTK")</f>
        <v>BK HSTK</v>
      </c>
      <c r="X809" s="1" t="str">
        <f>IFERROR(__xludf.DUMMYFUNCTION("""COMPUTED_VALUE"""),"HBBS SEPT 2026")</f>
        <v>HBBS SEPT 2026</v>
      </c>
      <c r="Y809" s="1" t="str">
        <f>IFERROR(__xludf.DUMMYFUNCTION("""COMPUTED_VALUE"""),"BK_CVEU_260827")</f>
        <v>BK_CVEU_260827</v>
      </c>
      <c r="Z809" s="1" t="str">
        <f>IFERROR(__xludf.DUMMYFUNCTION("""COMPUTED_VALUE"""),"NEW CONNECT")</f>
        <v>NEW CONNECT</v>
      </c>
      <c r="AA809" s="1">
        <f>IFERROR(__xludf.DUMMYFUNCTION("""COMPUTED_VALUE"""),639508070258)</f>
        <v>639508070258</v>
      </c>
      <c r="AB809" s="1">
        <f>IFERROR(__xludf.DUMMYFUNCTION("""COMPUTED_VALUE"""),639703275779)</f>
        <v>639703275779</v>
      </c>
      <c r="AC809" s="1">
        <f>IFERROR(__xludf.DUMMYFUNCTION("""COMPUTED_VALUE"""),126)</f>
        <v>126</v>
      </c>
      <c r="AD809" s="1" t="str">
        <f>IFERROR(__xludf.DUMMYFUNCTION("""COMPUTED_VALUE"""),"PALIGAWAN")</f>
        <v>PALIGAWAN</v>
      </c>
      <c r="AE809" s="1" t="str">
        <f>IFERROR(__xludf.DUMMYFUNCTION("""COMPUTED_VALUE"""),"PUROK 5")</f>
        <v>PUROK 5</v>
      </c>
      <c r="AF809" s="1" t="str">
        <f>IFERROR(__xludf.DUMMYFUNCTION("""COMPUTED_VALUE"""),"BGY LUMIL")</f>
        <v>BGY LUMIL</v>
      </c>
      <c r="AG809" s="1" t="str">
        <f>IFERROR(__xludf.DUMMYFUNCTION("""COMPUTED_VALUE"""),"SILANG")</f>
        <v>SILANG</v>
      </c>
      <c r="AH809" s="1" t="str">
        <f>IFERROR(__xludf.DUMMYFUNCTION("""COMPUTED_VALUE"""),"-")</f>
        <v>-</v>
      </c>
      <c r="AI809" s="1" t="str">
        <f>IFERROR(__xludf.DUMMYFUNCTION("""COMPUTED_VALUE"""),"CLUSTER 11")</f>
        <v>CLUSTER 11</v>
      </c>
    </row>
    <row r="810" customHeight="1" spans="1:35">
      <c r="A810" s="3">
        <f>IFERROR(__xludf.DUMMYFUNCTION("""COMPUTED_VALUE"""),46297)</f>
        <v>46297</v>
      </c>
      <c r="B810" s="1" t="str">
        <f>IFERROR(__xludf.DUMMYFUNCTION("""COMPUTED_VALUE"""),"MA. WELLIN SOBREMONTE DIPDIPIN")</f>
        <v>MA. WELLIN SOBREMONTE DIPDIPIN</v>
      </c>
      <c r="C810" s="1">
        <f>IFERROR(__xludf.DUMMYFUNCTION("""COMPUTED_VALUE"""),2312922549)</f>
        <v>2312922549</v>
      </c>
      <c r="D810" s="1">
        <f>IFERROR(__xludf.DUMMYFUNCTION("""COMPUTED_VALUE"""),408587352)</f>
        <v>408587352</v>
      </c>
      <c r="E810" s="1">
        <f>IFERROR(__xludf.DUMMYFUNCTION("""COMPUTED_VALUE"""),473914150004)</f>
        <v>473914150004</v>
      </c>
      <c r="F810" s="1" t="str">
        <f>IFERROR(__xludf.DUMMYFUNCTION("""COMPUTED_VALUE"""),"FOR CANCELLATION")</f>
        <v>FOR CANCELLATION</v>
      </c>
      <c r="G810" s="1" t="str">
        <f>IFERROR(__xludf.DUMMYFUNCTION("""COMPUTED_VALUE"""),"FOR CANCELLATION")</f>
        <v>FOR CANCELLATION</v>
      </c>
      <c r="H810" s="1" t="str">
        <f>IFERROR(__xludf.DUMMYFUNCTION("""COMPUTED_VALUE"""),"TALKED TO SOR, MAG BABAYAD TODAY I SEND NALANG DAW KAY AGENT10/04/2026")</f>
        <v>TALKED TO SOR, MAG BABAYAD TODAY I SEND NALANG DAW KAY AGENT10/04/2026</v>
      </c>
      <c r="I810" s="1"/>
      <c r="J810" s="1"/>
      <c r="K810" s="1" t="str">
        <f>IFERROR(__xludf.DUMMYFUNCTION("""COMPUTED_VALUE"""),"NOT IN OFSC")</f>
        <v>NOT IN OFSC</v>
      </c>
      <c r="L810" s="1" t="str">
        <f>IFERROR(__xludf.DUMMYFUNCTION("""COMPUTED_VALUE"""),"FOR CANCELLATION")</f>
        <v>FOR CANCELLATION</v>
      </c>
      <c r="M810" s="1" t="str">
        <f>IFERROR(__xludf.DUMMYFUNCTION("""COMPUTED_VALUE"""),"FOR CANCELLATION - NON COMPLIANCE - NO PAYMENT")</f>
        <v>FOR CANCELLATION - NON COMPLIANCE - NO PAYMENT</v>
      </c>
      <c r="N810" s="3"/>
      <c r="O810" s="1" t="str">
        <f>IFERROR(__xludf.DUMMYFUNCTION("""COMPUTED_VALUE"""),"FIBR UNLI ALL PLAN 999")</f>
        <v>FIBR UNLI ALL PLAN 999</v>
      </c>
      <c r="P810" s="1" t="str">
        <f>IFERROR(__xludf.DUMMYFUNCTION("""COMPUTED_VALUE"""),"LOWPLAN")</f>
        <v>LOWPLAN</v>
      </c>
      <c r="Q810" s="1" t="str">
        <f>IFERROR(__xludf.DUMMYFUNCTION("""COMPUTED_VALUE"""),"P407563")</f>
        <v>P407563</v>
      </c>
      <c r="R810" s="1" t="str">
        <f>IFERROR(__xludf.DUMMYFUNCTION("""COMPUTED_VALUE"""),"BAQUIT, JAZMIN")</f>
        <v>BAQUIT, JAZMIN</v>
      </c>
      <c r="S810" s="1" t="str">
        <f>IFERROR(__xludf.DUMMYFUNCTION("""COMPUTED_VALUE"""),"ORGANIC")</f>
        <v>ORGANIC</v>
      </c>
      <c r="T810" s="1" t="str">
        <f>IFERROR(__xludf.DUMMYFUNCTION("""COMPUTED_VALUE"""),"LEA REMOLLO")</f>
        <v>LEA REMOLLO</v>
      </c>
      <c r="U810" s="1" t="str">
        <f>IFERROR(__xludf.DUMMYFUNCTION("""COMPUTED_VALUE"""),"JB SALIOA")</f>
        <v>JB SALIOA</v>
      </c>
      <c r="V810" s="1" t="str">
        <f>IFERROR(__xludf.DUMMYFUNCTION("""COMPUTED_VALUE"""),"BK HSTK")</f>
        <v>BK HSTK</v>
      </c>
      <c r="W810" s="1" t="str">
        <f>IFERROR(__xludf.DUMMYFUNCTION("""COMPUTED_VALUE"""),"BK HSTK")</f>
        <v>BK HSTK</v>
      </c>
      <c r="X810" s="1" t="str">
        <f>IFERROR(__xludf.DUMMYFUNCTION("""COMPUTED_VALUE"""),"REGULAR")</f>
        <v>REGULAR</v>
      </c>
      <c r="Y810" s="1" t="str">
        <f>IFERROR(__xludf.DUMMYFUNCTION("""COMPUTED_VALUE"""),"BK_CVEU_260827")</f>
        <v>BK_CVEU_260827</v>
      </c>
      <c r="Z810" s="1" t="str">
        <f>IFERROR(__xludf.DUMMYFUNCTION("""COMPUTED_VALUE"""),"NEW CONNECT")</f>
        <v>NEW CONNECT</v>
      </c>
      <c r="AA810" s="1">
        <f>IFERROR(__xludf.DUMMYFUNCTION("""COMPUTED_VALUE"""),639519614424)</f>
        <v>639519614424</v>
      </c>
      <c r="AB810" s="1"/>
      <c r="AC810" s="1"/>
      <c r="AD810" s="1" t="str">
        <f>IFERROR(__xludf.DUMMYFUNCTION("""COMPUTED_VALUE"""),"ALDIANO OLAES")</f>
        <v>ALDIANO OLAES</v>
      </c>
      <c r="AE810" s="1"/>
      <c r="AF810" s="1" t="str">
        <f>IFERROR(__xludf.DUMMYFUNCTION("""COMPUTED_VALUE"""),"BGY ALDIANO OLAES")</f>
        <v>BGY ALDIANO OLAES</v>
      </c>
      <c r="AG810" s="1" t="str">
        <f>IFERROR(__xludf.DUMMYFUNCTION("""COMPUTED_VALUE"""),"GEN MARIANO ALVAREZ")</f>
        <v>GEN MARIANO ALVAREZ</v>
      </c>
      <c r="AH810" s="1" t="str">
        <f>IFERROR(__xludf.DUMMYFUNCTION("""COMPUTED_VALUE"""),"-")</f>
        <v>-</v>
      </c>
      <c r="AI810" s="1" t="str">
        <f>IFERROR(__xludf.DUMMYFUNCTION("""COMPUTED_VALUE"""),"CLUSTER 11")</f>
        <v>CLUSTER 11</v>
      </c>
    </row>
    <row r="811" customHeight="1" spans="1:35">
      <c r="A811" s="3">
        <f>IFERROR(__xludf.DUMMYFUNCTION("""COMPUTED_VALUE"""),46297)</f>
        <v>46297</v>
      </c>
      <c r="B811" s="1" t="str">
        <f>IFERROR(__xludf.DUMMYFUNCTION("""COMPUTED_VALUE"""),"JESUSAN MAE URSUA ELORDE")</f>
        <v>JESUSAN MAE URSUA ELORDE</v>
      </c>
      <c r="C811" s="1">
        <f>IFERROR(__xludf.DUMMYFUNCTION("""COMPUTED_VALUE"""),2312923305)</f>
        <v>2312923305</v>
      </c>
      <c r="D811" s="1">
        <f>IFERROR(__xludf.DUMMYFUNCTION("""COMPUTED_VALUE"""),408586313)</f>
        <v>408586313</v>
      </c>
      <c r="E811" s="1">
        <f>IFERROR(__xludf.DUMMYFUNCTION("""COMPUTED_VALUE"""),473913476004)</f>
        <v>473913476004</v>
      </c>
      <c r="F811" s="1" t="str">
        <f>IFERROR(__xludf.DUMMYFUNCTION("""COMPUTED_VALUE"""),"CLOSED")</f>
        <v>CLOSED</v>
      </c>
      <c r="G811" s="1" t="str">
        <f>IFERROR(__xludf.DUMMYFUNCTION("""COMPUTED_VALUE"""),"CLOSED")</f>
        <v>CLOSED</v>
      </c>
      <c r="H811" s="1" t="str">
        <f>IFERROR(__xludf.DUMMYFUNCTION("""COMPUTED_VALUE"""),"PQGOR366134575	04-Oct-26	Regular Payment	CIS-GCASH 3.0	1,599.00	0	04-Oct-26")</f>
        <v>PQGOR366134575	04-Oct-26	Regular Payment	CIS-GCASH 3.0	1,599.00	0	04-Oct-26</v>
      </c>
      <c r="I811" s="1" t="str">
        <f>IFERROR(__xludf.DUMMYFUNCTION("""COMPUTED_VALUE"""),"WITH 1 AMSF")</f>
        <v>WITH 1 AMSF</v>
      </c>
      <c r="J811" s="1"/>
      <c r="K811" s="1" t="str">
        <f>IFERROR(__xludf.DUMMYFUNCTION("""COMPUTED_VALUE"""),"COMPLETED")</f>
        <v>COMPLETED</v>
      </c>
      <c r="L811" s="1" t="str">
        <f>IFERROR(__xludf.DUMMYFUNCTION("""COMPUTED_VALUE"""),"POSTED")</f>
        <v>POSTED</v>
      </c>
      <c r="M811" s="1" t="str">
        <f>IFERROR(__xludf.DUMMYFUNCTION("""COMPUTED_VALUE"""),"POSTED")</f>
        <v>POSTED</v>
      </c>
      <c r="N811" s="3">
        <f>IFERROR(__xludf.DUMMYFUNCTION("""COMPUTED_VALUE"""),46298)</f>
        <v>46298</v>
      </c>
      <c r="O811" s="1" t="str">
        <f>IFERROR(__xludf.DUMMYFUNCTION("""COMPUTED_VALUE"""),"FIBR NETFLIX PLAN 1599")</f>
        <v>FIBR NETFLIX PLAN 1599</v>
      </c>
      <c r="P811" s="1" t="str">
        <f>IFERROR(__xludf.DUMMYFUNCTION("""COMPUTED_VALUE"""),"LOWPLAN")</f>
        <v>LOWPLAN</v>
      </c>
      <c r="Q811" s="1" t="str">
        <f>IFERROR(__xludf.DUMMYFUNCTION("""COMPUTED_VALUE"""),"P407049")</f>
        <v>P407049</v>
      </c>
      <c r="R811" s="1" t="str">
        <f>IFERROR(__xludf.DUMMYFUNCTION("""COMPUTED_VALUE"""),"CORNELIO, CATHERINE")</f>
        <v>CORNELIO, CATHERINE</v>
      </c>
      <c r="S811" s="1" t="str">
        <f>IFERROR(__xludf.DUMMYFUNCTION("""COMPUTED_VALUE"""),"ORGANIC")</f>
        <v>ORGANIC</v>
      </c>
      <c r="T811" s="1" t="str">
        <f>IFERROR(__xludf.DUMMYFUNCTION("""COMPUTED_VALUE"""),"LEA REMOLLO")</f>
        <v>LEA REMOLLO</v>
      </c>
      <c r="U811" s="1" t="str">
        <f>IFERROR(__xludf.DUMMYFUNCTION("""COMPUTED_VALUE"""),"JB SALIOA")</f>
        <v>JB SALIOA</v>
      </c>
      <c r="V811" s="1" t="str">
        <f>IFERROR(__xludf.DUMMYFUNCTION("""COMPUTED_VALUE"""),"BK REGULAR")</f>
        <v>BK REGULAR</v>
      </c>
      <c r="W811" s="1" t="str">
        <f>IFERROR(__xludf.DUMMYFUNCTION("""COMPUTED_VALUE"""),"STK REGULAR")</f>
        <v>STK REGULAR</v>
      </c>
      <c r="X811" s="1" t="str">
        <f>IFERROR(__xludf.DUMMYFUNCTION("""COMPUTED_VALUE"""),"REGULAR")</f>
        <v>REGULAR</v>
      </c>
      <c r="Y811" s="1" t="str">
        <f>IFERROR(__xludf.DUMMYFUNCTION("""COMPUTED_VALUE"""),"BK_CVEU_260827")</f>
        <v>BK_CVEU_260827</v>
      </c>
      <c r="Z811" s="1" t="str">
        <f>IFERROR(__xludf.DUMMYFUNCTION("""COMPUTED_VALUE"""),"NEW CONNECT")</f>
        <v>NEW CONNECT</v>
      </c>
      <c r="AA811" s="1">
        <f>IFERROR(__xludf.DUMMYFUNCTION("""COMPUTED_VALUE"""),639812787402)</f>
        <v>639812787402</v>
      </c>
      <c r="AB811" s="1">
        <f>IFERROR(__xludf.DUMMYFUNCTION("""COMPUTED_VALUE"""),639507397939)</f>
        <v>639507397939</v>
      </c>
      <c r="AC811" s="1">
        <f>IFERROR(__xludf.DUMMYFUNCTION("""COMPUTED_VALUE"""),99)</f>
        <v>99</v>
      </c>
      <c r="AD811" s="1" t="str">
        <f>IFERROR(__xludf.DUMMYFUNCTION("""COMPUTED_VALUE"""),"ALOE VERA")</f>
        <v>ALOE VERA</v>
      </c>
      <c r="AE811" s="1" t="str">
        <f>IFERROR(__xludf.DUMMYFUNCTION("""COMPUTED_VALUE"""),"PUROK 6")</f>
        <v>PUROK 6</v>
      </c>
      <c r="AF811" s="1" t="str">
        <f>IFERROR(__xludf.DUMMYFUNCTION("""COMPUTED_VALUE"""),"BGY ULAT")</f>
        <v>BGY ULAT</v>
      </c>
      <c r="AG811" s="1" t="str">
        <f>IFERROR(__xludf.DUMMYFUNCTION("""COMPUTED_VALUE"""),"SILANG")</f>
        <v>SILANG</v>
      </c>
      <c r="AH811" s="1" t="str">
        <f>IFERROR(__xludf.DUMMYFUNCTION("""COMPUTED_VALUE"""),"INFRONT OF REHABILITATION // DALI")</f>
        <v>INFRONT OF REHABILITATION // DALI</v>
      </c>
      <c r="AI811" s="1" t="str">
        <f>IFERROR(__xludf.DUMMYFUNCTION("""COMPUTED_VALUE"""),"CLUSTER 11")</f>
        <v>CLUSTER 11</v>
      </c>
    </row>
    <row r="812" customHeight="1" spans="1:35">
      <c r="A812" s="3">
        <f>IFERROR(__xludf.DUMMYFUNCTION("""COMPUTED_VALUE"""),46297)</f>
        <v>46297</v>
      </c>
      <c r="B812" s="1" t="str">
        <f>IFERROR(__xludf.DUMMYFUNCTION("""COMPUTED_VALUE"""),"RACHELLE ANN RESURRECION DILLO")</f>
        <v>RACHELLE ANN RESURRECION DILLO</v>
      </c>
      <c r="C812" s="1">
        <f>IFERROR(__xludf.DUMMYFUNCTION("""COMPUTED_VALUE"""),2312923872)</f>
        <v>2312923872</v>
      </c>
      <c r="D812" s="1">
        <f>IFERROR(__xludf.DUMMYFUNCTION("""COMPUTED_VALUE"""),408587182)</f>
        <v>408587182</v>
      </c>
      <c r="E812" s="1">
        <f>IFERROR(__xludf.DUMMYFUNCTION("""COMPUTED_VALUE"""),473914183004)</f>
        <v>473914183004</v>
      </c>
      <c r="F812" s="1" t="str">
        <f>IFERROR(__xludf.DUMMYFUNCTION("""COMPUTED_VALUE"""),"CLOSED")</f>
        <v>CLOSED</v>
      </c>
      <c r="G812" s="1" t="str">
        <f>IFERROR(__xludf.DUMMYFUNCTION("""COMPUTED_VALUE"""),"CLOSED")</f>
        <v>CLOSED</v>
      </c>
      <c r="H812" s="1"/>
      <c r="I812" s="1" t="str">
        <f>IFERROR(__xludf.DUMMYFUNCTION("""COMPUTED_VALUE"""),"NO 1 AMSF")</f>
        <v>NO 1 AMSF</v>
      </c>
      <c r="J812" s="1" t="str">
        <f>IFERROR(__xludf.DUMMYFUNCTION("""COMPUTED_VALUE"""),"DUE DATE - 27-Oct-26 - 1,755.64")</f>
        <v>DUE DATE - 27-Oct-26 - 1,755.64</v>
      </c>
      <c r="K812" s="1" t="str">
        <f>IFERROR(__xludf.DUMMYFUNCTION("""COMPUTED_VALUE"""),"COMPLETED")</f>
        <v>COMPLETED</v>
      </c>
      <c r="L812" s="1" t="str">
        <f>IFERROR(__xludf.DUMMYFUNCTION("""COMPUTED_VALUE"""),"POSTED")</f>
        <v>POSTED</v>
      </c>
      <c r="M812" s="1" t="str">
        <f>IFERROR(__xludf.DUMMYFUNCTION("""COMPUTED_VALUE"""),"POSTED")</f>
        <v>POSTED</v>
      </c>
      <c r="N812" s="3">
        <f>IFERROR(__xludf.DUMMYFUNCTION("""COMPUTED_VALUE"""),46297)</f>
        <v>46297</v>
      </c>
      <c r="O812" s="1" t="str">
        <f>IFERROR(__xludf.DUMMYFUNCTION("""COMPUTED_VALUE"""),"FIBR NETFLIX PLAN 1599")</f>
        <v>FIBR NETFLIX PLAN 1599</v>
      </c>
      <c r="P812" s="1" t="str">
        <f>IFERROR(__xludf.DUMMYFUNCTION("""COMPUTED_VALUE"""),"LOWPLAN")</f>
        <v>LOWPLAN</v>
      </c>
      <c r="Q812" s="1" t="str">
        <f>IFERROR(__xludf.DUMMYFUNCTION("""COMPUTED_VALUE"""),"P407517")</f>
        <v>P407517</v>
      </c>
      <c r="R812" s="1" t="str">
        <f>IFERROR(__xludf.DUMMYFUNCTION("""COMPUTED_VALUE"""),"GABAY, MANUEL")</f>
        <v>GABAY, MANUEL</v>
      </c>
      <c r="S812" s="1" t="str">
        <f>IFERROR(__xludf.DUMMYFUNCTION("""COMPUTED_VALUE"""),"FLA")</f>
        <v>FLA</v>
      </c>
      <c r="T812" s="1" t="str">
        <f>IFERROR(__xludf.DUMMYFUNCTION("""COMPUTED_VALUE"""),"JERIC NAVARRO")</f>
        <v>JERIC NAVARRO</v>
      </c>
      <c r="U812" s="1" t="str">
        <f>IFERROR(__xludf.DUMMYFUNCTION("""COMPUTED_VALUE"""),"JB SALIOA")</f>
        <v>JB SALIOA</v>
      </c>
      <c r="V812" s="1" t="str">
        <f>IFERROR(__xludf.DUMMYFUNCTION("""COMPUTED_VALUE"""),"BK HSTK")</f>
        <v>BK HSTK</v>
      </c>
      <c r="W812" s="1" t="str">
        <f>IFERROR(__xludf.DUMMYFUNCTION("""COMPUTED_VALUE"""),"BK HSTK")</f>
        <v>BK HSTK</v>
      </c>
      <c r="X812" s="1" t="str">
        <f>IFERROR(__xludf.DUMMYFUNCTION("""COMPUTED_VALUE"""),"REGULAR")</f>
        <v>REGULAR</v>
      </c>
      <c r="Y812" s="1" t="str">
        <f>IFERROR(__xludf.DUMMYFUNCTION("""COMPUTED_VALUE"""),"BK_CVEU_260822")</f>
        <v>BK_CVEU_260822</v>
      </c>
      <c r="Z812" s="1" t="str">
        <f>IFERROR(__xludf.DUMMYFUNCTION("""COMPUTED_VALUE"""),"NEW CONNECT")</f>
        <v>NEW CONNECT</v>
      </c>
      <c r="AA812" s="1">
        <f>IFERROR(__xludf.DUMMYFUNCTION("""COMPUTED_VALUE"""),639946537079)</f>
        <v>639946537079</v>
      </c>
      <c r="AB812" s="1">
        <f>IFERROR(__xludf.DUMMYFUNCTION("""COMPUTED_VALUE"""),639345904635)</f>
        <v>639345904635</v>
      </c>
      <c r="AC812" s="1">
        <f>IFERROR(__xludf.DUMMYFUNCTION("""COMPUTED_VALUE"""),227)</f>
        <v>227</v>
      </c>
      <c r="AD812" s="1" t="str">
        <f>IFERROR(__xludf.DUMMYFUNCTION("""COMPUTED_VALUE"""),"PUROK 5")</f>
        <v>PUROK 5</v>
      </c>
      <c r="AE812" s="1"/>
      <c r="AF812" s="1" t="str">
        <f>IFERROR(__xludf.DUMMYFUNCTION("""COMPUTED_VALUE"""),"BGY MARAHAN 2")</f>
        <v>BGY MARAHAN 2</v>
      </c>
      <c r="AG812" s="1" t="str">
        <f>IFERROR(__xludf.DUMMYFUNCTION("""COMPUTED_VALUE"""),"ALFONSO")</f>
        <v>ALFONSO</v>
      </c>
      <c r="AH812" s="1" t="str">
        <f>IFERROR(__xludf.DUMMYFUNCTION("""COMPUTED_VALUE"""),"-")</f>
        <v>-</v>
      </c>
      <c r="AI812" s="1" t="str">
        <f>IFERROR(__xludf.DUMMYFUNCTION("""COMPUTED_VALUE"""),"CLUSTER 12")</f>
        <v>CLUSTER 12</v>
      </c>
    </row>
    <row r="813" customHeight="1" spans="1:35">
      <c r="A813" s="3">
        <f>IFERROR(__xludf.DUMMYFUNCTION("""COMPUTED_VALUE"""),46297)</f>
        <v>46297</v>
      </c>
      <c r="B813" s="1" t="str">
        <f>IFERROR(__xludf.DUMMYFUNCTION("""COMPUTED_VALUE"""),"MARY ANN TOLENTINO VILLELA")</f>
        <v>MARY ANN TOLENTINO VILLELA</v>
      </c>
      <c r="C813" s="1">
        <f>IFERROR(__xludf.DUMMYFUNCTION("""COMPUTED_VALUE"""),2312924309)</f>
        <v>2312924309</v>
      </c>
      <c r="D813" s="1">
        <f>IFERROR(__xludf.DUMMYFUNCTION("""COMPUTED_VALUE"""),408588197)</f>
        <v>408588197</v>
      </c>
      <c r="E813" s="1">
        <f>IFERROR(__xludf.DUMMYFUNCTION("""COMPUTED_VALUE"""),473915421004)</f>
        <v>473915421004</v>
      </c>
      <c r="F813" s="1" t="str">
        <f>IFERROR(__xludf.DUMMYFUNCTION("""COMPUTED_VALUE"""),"CLOSED")</f>
        <v>CLOSED</v>
      </c>
      <c r="G813" s="1" t="str">
        <f>IFERROR(__xludf.DUMMYFUNCTION("""COMPUTED_VALUE"""),"CLOSED")</f>
        <v>CLOSED</v>
      </c>
      <c r="H813" s="1" t="str">
        <f>IFERROR(__xludf.DUMMYFUNCTION("""COMPUTED_VALUE"""),"PQGOR365974123	02-Oct-26	Regular Payment	CIS-GCASH 3.0	1,699.00	946539636	02-Oct-26")</f>
        <v>PQGOR365974123	02-Oct-26	Regular Payment	CIS-GCASH 3.0	1,699.00	946539636	02-Oct-26</v>
      </c>
      <c r="I813" s="1" t="str">
        <f>IFERROR(__xludf.DUMMYFUNCTION("""COMPUTED_VALUE"""),"WITH 1 AMSF")</f>
        <v>WITH 1 AMSF</v>
      </c>
      <c r="J813" s="1" t="str">
        <f>IFERROR(__xludf.DUMMYFUNCTION("""COMPUTED_VALUE"""),"PRORATED - 159.98")</f>
        <v>PRORATED - 159.98</v>
      </c>
      <c r="K813" s="1" t="str">
        <f>IFERROR(__xludf.DUMMYFUNCTION("""COMPUTED_VALUE"""),"COMPLETED")</f>
        <v>COMPLETED</v>
      </c>
      <c r="L813" s="1" t="str">
        <f>IFERROR(__xludf.DUMMYFUNCTION("""COMPUTED_VALUE"""),"POSTED")</f>
        <v>POSTED</v>
      </c>
      <c r="M813" s="1" t="str">
        <f>IFERROR(__xludf.DUMMYFUNCTION("""COMPUTED_VALUE"""),"POSTED")</f>
        <v>POSTED</v>
      </c>
      <c r="N813" s="3">
        <f>IFERROR(__xludf.DUMMYFUNCTION("""COMPUTED_VALUE"""),46297)</f>
        <v>46297</v>
      </c>
      <c r="O813" s="1" t="str">
        <f>IFERROR(__xludf.DUMMYFUNCTION("""COMPUTED_VALUE"""),"FIBR PLAN 1699")</f>
        <v>FIBR PLAN 1699</v>
      </c>
      <c r="P813" s="1" t="str">
        <f>IFERROR(__xludf.DUMMYFUNCTION("""COMPUTED_VALUE"""),"HIGHPLAN")</f>
        <v>HIGHPLAN</v>
      </c>
      <c r="Q813" s="1" t="str">
        <f>IFERROR(__xludf.DUMMYFUNCTION("""COMPUTED_VALUE"""),"P407049")</f>
        <v>P407049</v>
      </c>
      <c r="R813" s="1" t="str">
        <f>IFERROR(__xludf.DUMMYFUNCTION("""COMPUTED_VALUE"""),"CORNELIO, CATHERINE")</f>
        <v>CORNELIO, CATHERINE</v>
      </c>
      <c r="S813" s="1" t="str">
        <f>IFERROR(__xludf.DUMMYFUNCTION("""COMPUTED_VALUE"""),"ORGANIC")</f>
        <v>ORGANIC</v>
      </c>
      <c r="T813" s="1" t="str">
        <f>IFERROR(__xludf.DUMMYFUNCTION("""COMPUTED_VALUE"""),"LEA REMOLLO")</f>
        <v>LEA REMOLLO</v>
      </c>
      <c r="U813" s="1" t="str">
        <f>IFERROR(__xludf.DUMMYFUNCTION("""COMPUTED_VALUE"""),"JB SALIOA")</f>
        <v>JB SALIOA</v>
      </c>
      <c r="V813" s="1" t="str">
        <f>IFERROR(__xludf.DUMMYFUNCTION("""COMPUTED_VALUE"""),"BK REGULAR")</f>
        <v>BK REGULAR</v>
      </c>
      <c r="W813" s="1" t="str">
        <f>IFERROR(__xludf.DUMMYFUNCTION("""COMPUTED_VALUE"""),"STK REGULAR")</f>
        <v>STK REGULAR</v>
      </c>
      <c r="X813" s="1" t="str">
        <f>IFERROR(__xludf.DUMMYFUNCTION("""COMPUTED_VALUE"""),"REGULAR")</f>
        <v>REGULAR</v>
      </c>
      <c r="Y813" s="1" t="str">
        <f>IFERROR(__xludf.DUMMYFUNCTION("""COMPUTED_VALUE"""),"BK_CVEU_260827")</f>
        <v>BK_CVEU_260827</v>
      </c>
      <c r="Z813" s="1" t="str">
        <f>IFERROR(__xludf.DUMMYFUNCTION("""COMPUTED_VALUE"""),"NEW CONNECT")</f>
        <v>NEW CONNECT</v>
      </c>
      <c r="AA813" s="1">
        <f>IFERROR(__xludf.DUMMYFUNCTION("""COMPUTED_VALUE"""),639562934421)</f>
        <v>639562934421</v>
      </c>
      <c r="AB813" s="1">
        <f>IFERROR(__xludf.DUMMYFUNCTION("""COMPUTED_VALUE"""),639277938702)</f>
        <v>639277938702</v>
      </c>
      <c r="AC813" s="1">
        <f>IFERROR(__xludf.DUMMYFUNCTION("""COMPUTED_VALUE"""),186)</f>
        <v>186</v>
      </c>
      <c r="AD813" s="1" t="str">
        <f>IFERROR(__xludf.DUMMYFUNCTION("""COMPUTED_VALUE"""),"PUROK 3")</f>
        <v>PUROK 3</v>
      </c>
      <c r="AE813" s="1"/>
      <c r="AF813" s="1" t="str">
        <f>IFERROR(__xludf.DUMMYFUNCTION("""COMPUTED_VALUE"""),"BGY MALAKING TATYAO")</f>
        <v>BGY MALAKING TATYAO</v>
      </c>
      <c r="AG813" s="1" t="str">
        <f>IFERROR(__xludf.DUMMYFUNCTION("""COMPUTED_VALUE"""),"SILANG")</f>
        <v>SILANG</v>
      </c>
      <c r="AH813" s="1" t="str">
        <f>IFERROR(__xludf.DUMMYFUNCTION("""COMPUTED_VALUE"""),"SENIOR CITIZEN HALL")</f>
        <v>SENIOR CITIZEN HALL</v>
      </c>
      <c r="AI813" s="1" t="str">
        <f>IFERROR(__xludf.DUMMYFUNCTION("""COMPUTED_VALUE"""),"CLUSTER 11")</f>
        <v>CLUSTER 11</v>
      </c>
    </row>
    <row r="814" customHeight="1" spans="1:35">
      <c r="A814" s="3">
        <f>IFERROR(__xludf.DUMMYFUNCTION("""COMPUTED_VALUE"""),46297)</f>
        <v>46297</v>
      </c>
      <c r="B814" s="1" t="str">
        <f>IFERROR(__xludf.DUMMYFUNCTION("""COMPUTED_VALUE"""),"ANNALIZA DELOS SANTOS BUITRE")</f>
        <v>ANNALIZA DELOS SANTOS BUITRE</v>
      </c>
      <c r="C814" s="1">
        <f>IFERROR(__xludf.DUMMYFUNCTION("""COMPUTED_VALUE"""),2312925464)</f>
        <v>2312925464</v>
      </c>
      <c r="D814" s="1"/>
      <c r="E814" s="1"/>
      <c r="F814" s="1" t="str">
        <f>IFERROR(__xludf.DUMMYFUNCTION("""COMPUTED_VALUE"""),"CANCELLED")</f>
        <v>CANCELLED</v>
      </c>
      <c r="G814" s="1" t="str">
        <f>IFERROR(__xludf.DUMMYFUNCTION("""COMPUTED_VALUE"""),"&amp;#8203;RETURN TO SALES | DONE VALIDATION WITH COMPLETE DOCS | FOUND BLACKLISTED ACCT# (0213000330) SAME NAME/DIFF ADDRESS | WITH OUTSTANDING: (Php5,015.31) FOR SETTLEMENT | CORRECT ENCODED INFO IN CSP | TU SCORING - DD - 12 (LOW RISK)| WAIVED AMSF | NO EX"&amp;"ISTING ACTIVE ACCT AND/OR PENDING/CANCELLED APPLICATION")</f>
        <v>&amp;#8203;RETURN TO SALES | DONE VALIDATION WITH COMPLETE DOCS | FOUND BLACKLISTED ACCT# (0213000330) SAME NAME/DIFF ADDRESS | WITH OUTSTANDING: (Php5,015.31) FOR SETTLEMENT | CORRECT ENCODED INFO IN CSP | TU SCORING - DD - 12 (LOW RISK)| WAIVED AMSF | NO EXISTING ACTIVE ACCT AND/OR PENDING/CANCELLED APPLICATION</v>
      </c>
      <c r="H814" s="1"/>
      <c r="I814" s="1"/>
      <c r="J814" s="1"/>
      <c r="K814" s="1"/>
      <c r="L814" s="1" t="str">
        <f>IFERROR(__xludf.DUMMYFUNCTION("""COMPUTED_VALUE"""),"CANCELLED - WITH OB")</f>
        <v>CANCELLED - WITH OB</v>
      </c>
      <c r="M814" s="1" t="str">
        <f>IFERROR(__xludf.DUMMYFUNCTION("""COMPUTED_VALUE"""),"CANCELLED - WITH OB")</f>
        <v>CANCELLED - WITH OB</v>
      </c>
      <c r="N814" s="3"/>
      <c r="O814" s="1" t="str">
        <f>IFERROR(__xludf.DUMMYFUNCTION("""COMPUTED_VALUE"""),"FIBER UNLI PLAN 1399")</f>
        <v>FIBER UNLI PLAN 1399</v>
      </c>
      <c r="P814" s="1" t="str">
        <f>IFERROR(__xludf.DUMMYFUNCTION("""COMPUTED_VALUE"""),"LOWPLAN")</f>
        <v>LOWPLAN</v>
      </c>
      <c r="Q814" s="1" t="str">
        <f>IFERROR(__xludf.DUMMYFUNCTION("""COMPUTED_VALUE"""),"P407520")</f>
        <v>P407520</v>
      </c>
      <c r="R814" s="1" t="str">
        <f>IFERROR(__xludf.DUMMYFUNCTION("""COMPUTED_VALUE"""),"MALIWAT, MARK")</f>
        <v>MALIWAT, MARK</v>
      </c>
      <c r="S814" s="1" t="str">
        <f>IFERROR(__xludf.DUMMYFUNCTION("""COMPUTED_VALUE"""),"FLA")</f>
        <v>FLA</v>
      </c>
      <c r="T814" s="1" t="str">
        <f>IFERROR(__xludf.DUMMYFUNCTION("""COMPUTED_VALUE"""),"JERIC NAVARRO")</f>
        <v>JERIC NAVARRO</v>
      </c>
      <c r="U814" s="1" t="str">
        <f>IFERROR(__xludf.DUMMYFUNCTION("""COMPUTED_VALUE"""),"JB SALIOA")</f>
        <v>JB SALIOA</v>
      </c>
      <c r="V814" s="1" t="str">
        <f>IFERROR(__xludf.DUMMYFUNCTION("""COMPUTED_VALUE"""),"BK REGULAR")</f>
        <v>BK REGULAR</v>
      </c>
      <c r="W814" s="1" t="str">
        <f>IFERROR(__xludf.DUMMYFUNCTION("""COMPUTED_VALUE"""),"STK REGULAR")</f>
        <v>STK REGULAR</v>
      </c>
      <c r="X814" s="1" t="str">
        <f>IFERROR(__xludf.DUMMYFUNCTION("""COMPUTED_VALUE"""),"FIBER 1399 98TH YR")</f>
        <v>FIBER 1399 98TH YR</v>
      </c>
      <c r="Y814" s="1" t="str">
        <f>IFERROR(__xludf.DUMMYFUNCTION("""COMPUTED_VALUE"""),"BK_CVEU_260827")</f>
        <v>BK_CVEU_260827</v>
      </c>
      <c r="Z814" s="1" t="str">
        <f>IFERROR(__xludf.DUMMYFUNCTION("""COMPUTED_VALUE"""),"NEW CONNECT")</f>
        <v>NEW CONNECT</v>
      </c>
      <c r="AA814" s="1">
        <f>IFERROR(__xludf.DUMMYFUNCTION("""COMPUTED_VALUE"""),639499030281)</f>
        <v>639499030281</v>
      </c>
      <c r="AB814" s="1"/>
      <c r="AC814" s="1">
        <f>IFERROR(__xludf.DUMMYFUNCTION("""COMPUTED_VALUE"""),9008)</f>
        <v>9008</v>
      </c>
      <c r="AD814" s="1" t="str">
        <f>IFERROR(__xludf.DUMMYFUNCTION("""COMPUTED_VALUE"""),"IBAYONG ILAT")</f>
        <v>IBAYONG ILAT</v>
      </c>
      <c r="AE814" s="1" t="str">
        <f>IFERROR(__xludf.DUMMYFUNCTION("""COMPUTED_VALUE"""),"MIRANDA COMPOUND")</f>
        <v>MIRANDA COMPOUND</v>
      </c>
      <c r="AF814" s="1" t="str">
        <f>IFERROR(__xludf.DUMMYFUNCTION("""COMPUTED_VALUE"""),"BGY KAONG")</f>
        <v>BGY KAONG</v>
      </c>
      <c r="AG814" s="1" t="str">
        <f>IFERROR(__xludf.DUMMYFUNCTION("""COMPUTED_VALUE"""),"SILANG")</f>
        <v>SILANG</v>
      </c>
      <c r="AH814" s="1" t="str">
        <f>IFERROR(__xludf.DUMMYFUNCTION("""COMPUTED_VALUE"""),"MIRANDA COMPOUND")</f>
        <v>MIRANDA COMPOUND</v>
      </c>
      <c r="AI814" s="1" t="str">
        <f>IFERROR(__xludf.DUMMYFUNCTION("""COMPUTED_VALUE"""),"CLUSTER 11")</f>
        <v>CLUSTER 11</v>
      </c>
    </row>
    <row r="815" customHeight="1" spans="1:35">
      <c r="A815" s="3">
        <f>IFERROR(__xludf.DUMMYFUNCTION("""COMPUTED_VALUE"""),46297)</f>
        <v>46297</v>
      </c>
      <c r="B815" s="1" t="str">
        <f>IFERROR(__xludf.DUMMYFUNCTION("""COMPUTED_VALUE"""),"VERONICA AGO PENARANDA")</f>
        <v>VERONICA AGO PENARANDA</v>
      </c>
      <c r="C815" s="1">
        <f>IFERROR(__xludf.DUMMYFUNCTION("""COMPUTED_VALUE"""),2312925796)</f>
        <v>2312925796</v>
      </c>
      <c r="D815" s="1"/>
      <c r="E815" s="1"/>
      <c r="F815" s="1" t="str">
        <f>IFERROR(__xludf.DUMMYFUNCTION("""COMPUTED_VALUE"""),"REENCODED")</f>
        <v>REENCODED</v>
      </c>
      <c r="G815" s="1" t="str">
        <f>IFERROR(__xludf.DUMMYFUNCTION("""COMPUTED_VALUE"""),"REENCODED DUE TO WRONG ADDRESS GENERATED")</f>
        <v>REENCODED DUE TO WRONG ADDRESS GENERATED</v>
      </c>
      <c r="H815" s="1"/>
      <c r="I815" s="1"/>
      <c r="J815" s="1"/>
      <c r="K815" s="1"/>
      <c r="L815" s="1" t="str">
        <f>IFERROR(__xludf.DUMMYFUNCTION("""COMPUTED_VALUE"""),"REENCODED")</f>
        <v>REENCODED</v>
      </c>
      <c r="M815" s="1" t="str">
        <f>IFERROR(__xludf.DUMMYFUNCTION("""COMPUTED_VALUE"""),"REENCODED")</f>
        <v>REENCODED</v>
      </c>
      <c r="N815" s="3"/>
      <c r="O815" s="1" t="str">
        <f>IFERROR(__xludf.DUMMYFUNCTION("""COMPUTED_VALUE"""),"FIBR UNLI ALL PLAN 999")</f>
        <v>FIBR UNLI ALL PLAN 999</v>
      </c>
      <c r="P815" s="1" t="str">
        <f>IFERROR(__xludf.DUMMYFUNCTION("""COMPUTED_VALUE"""),"LOWPLAN")</f>
        <v>LOWPLAN</v>
      </c>
      <c r="Q815" s="1" t="str">
        <f>IFERROR(__xludf.DUMMYFUNCTION("""COMPUTED_VALUE"""),"P407561")</f>
        <v>P407561</v>
      </c>
      <c r="R815" s="1" t="str">
        <f>IFERROR(__xludf.DUMMYFUNCTION("""COMPUTED_VALUE"""),"TAMAYO, MARY ROSE ZAIRA")</f>
        <v>TAMAYO, MARY ROSE ZAIRA</v>
      </c>
      <c r="S815" s="1" t="str">
        <f>IFERROR(__xludf.DUMMYFUNCTION("""COMPUTED_VALUE"""),"ORGANIC")</f>
        <v>ORGANIC</v>
      </c>
      <c r="T815" s="1" t="str">
        <f>IFERROR(__xludf.DUMMYFUNCTION("""COMPUTED_VALUE"""),"LEA REMOLLO")</f>
        <v>LEA REMOLLO</v>
      </c>
      <c r="U815" s="1" t="str">
        <f>IFERROR(__xludf.DUMMYFUNCTION("""COMPUTED_VALUE"""),"JB SALIOA")</f>
        <v>JB SALIOA</v>
      </c>
      <c r="V815" s="1" t="str">
        <f>IFERROR(__xludf.DUMMYFUNCTION("""COMPUTED_VALUE"""),"BK HSTK")</f>
        <v>BK HSTK</v>
      </c>
      <c r="W815" s="1" t="str">
        <f>IFERROR(__xludf.DUMMYFUNCTION("""COMPUTED_VALUE"""),"BK HSTK")</f>
        <v>BK HSTK</v>
      </c>
      <c r="X815" s="1" t="str">
        <f>IFERROR(__xludf.DUMMYFUNCTION("""COMPUTED_VALUE"""),"REGULAR")</f>
        <v>REGULAR</v>
      </c>
      <c r="Y815" s="1" t="str">
        <f>IFERROR(__xludf.DUMMYFUNCTION("""COMPUTED_VALUE"""),"BK_CVEU_260828")</f>
        <v>BK_CVEU_260828</v>
      </c>
      <c r="Z815" s="1" t="str">
        <f>IFERROR(__xludf.DUMMYFUNCTION("""COMPUTED_VALUE"""),"NEW CONNECT")</f>
        <v>NEW CONNECT</v>
      </c>
      <c r="AA815" s="1">
        <f>IFERROR(__xludf.DUMMYFUNCTION("""COMPUTED_VALUE"""),639633054335)</f>
        <v>639633054335</v>
      </c>
      <c r="AB815" s="1"/>
      <c r="AC815" s="1">
        <f>IFERROR(__xludf.DUMMYFUNCTION("""COMPUTED_VALUE"""),1537)</f>
        <v>1537</v>
      </c>
      <c r="AD815" s="1" t="str">
        <f>IFERROR(__xludf.DUMMYFUNCTION("""COMPUTED_VALUE"""),"PATUTONG MALAKI SOUTH")</f>
        <v>PATUTONG MALAKI SOUTH</v>
      </c>
      <c r="AE815" s="1" t="str">
        <f>IFERROR(__xludf.DUMMYFUNCTION("""COMPUTED_VALUE"""),"TAGAYTAY TROPICAL GREENS")</f>
        <v>TAGAYTAY TROPICAL GREENS</v>
      </c>
      <c r="AF815" s="1" t="str">
        <f>IFERROR(__xludf.DUMMYFUNCTION("""COMPUTED_VALUE"""),"PATUTONG MALAKI SO")</f>
        <v>PATUTONG MALAKI SO</v>
      </c>
      <c r="AG815" s="1" t="str">
        <f>IFERROR(__xludf.DUMMYFUNCTION("""COMPUTED_VALUE"""),"TAGAYTAY")</f>
        <v>TAGAYTAY</v>
      </c>
      <c r="AH815" s="1" t="str">
        <f>IFERROR(__xludf.DUMMYFUNCTION("""COMPUTED_VALUE"""),"-")</f>
        <v>-</v>
      </c>
      <c r="AI815" s="1" t="str">
        <f>IFERROR(__xludf.DUMMYFUNCTION("""COMPUTED_VALUE"""),"CLUSTER 12")</f>
        <v>CLUSTER 12</v>
      </c>
    </row>
    <row r="816" customHeight="1" spans="1:35">
      <c r="A816" s="3">
        <f>IFERROR(__xludf.DUMMYFUNCTION("""COMPUTED_VALUE"""),46297)</f>
        <v>46297</v>
      </c>
      <c r="B816" s="1" t="str">
        <f>IFERROR(__xludf.DUMMYFUNCTION("""COMPUTED_VALUE"""),"VERONICA AGO PENARANDA")</f>
        <v>VERONICA AGO PENARANDA</v>
      </c>
      <c r="C816" s="1">
        <f>IFERROR(__xludf.DUMMYFUNCTION("""COMPUTED_VALUE"""),2312926022)</f>
        <v>2312926022</v>
      </c>
      <c r="D816" s="1">
        <f>IFERROR(__xludf.DUMMYFUNCTION("""COMPUTED_VALUE"""),408604966)</f>
        <v>408604966</v>
      </c>
      <c r="E816" s="1">
        <f>IFERROR(__xludf.DUMMYFUNCTION("""COMPUTED_VALUE"""),473943265004)</f>
        <v>473943265004</v>
      </c>
      <c r="F816" s="1" t="str">
        <f>IFERROR(__xludf.DUMMYFUNCTION("""COMPUTED_VALUE"""),"CLOSED")</f>
        <v>CLOSED</v>
      </c>
      <c r="G816" s="1" t="str">
        <f>IFERROR(__xludf.DUMMYFUNCTION("""COMPUTED_VALUE"""),"CLOSED")</f>
        <v>CLOSED</v>
      </c>
      <c r="H816" s="1" t="str">
        <f>IFERROR(__xludf.DUMMYFUNCTION("""COMPUTED_VALUE"""),"PQGOR367139464	13-Oct-26	Regular Payment	CIS-GCASH 3.0	1,149.00	0	13-Oct-26")</f>
        <v>PQGOR367139464	13-Oct-26	Regular Payment	CIS-GCASH 3.0	1,149.00	0	13-Oct-26</v>
      </c>
      <c r="I816" s="1" t="str">
        <f>IFERROR(__xludf.DUMMYFUNCTION("""COMPUTED_VALUE"""),"WITH 1 AMSF")</f>
        <v>WITH 1 AMSF</v>
      </c>
      <c r="J816" s="1"/>
      <c r="K816" s="1" t="str">
        <f>IFERROR(__xludf.DUMMYFUNCTION("""COMPUTED_VALUE"""),"COMPLETED")</f>
        <v>COMPLETED</v>
      </c>
      <c r="L816" s="1" t="str">
        <f>IFERROR(__xludf.DUMMYFUNCTION("""COMPUTED_VALUE"""),"POSTED")</f>
        <v>POSTED</v>
      </c>
      <c r="M816" s="1" t="str">
        <f>IFERROR(__xludf.DUMMYFUNCTION("""COMPUTED_VALUE"""),"POSTED")</f>
        <v>POSTED</v>
      </c>
      <c r="N816" s="3">
        <f>IFERROR(__xludf.DUMMYFUNCTION("""COMPUTED_VALUE"""),46309)</f>
        <v>46309</v>
      </c>
      <c r="O816" s="1" t="str">
        <f>IFERROR(__xludf.DUMMYFUNCTION("""COMPUTED_VALUE"""),"FIBR UNLI ALL PLAN 999")</f>
        <v>FIBR UNLI ALL PLAN 999</v>
      </c>
      <c r="P816" s="1" t="str">
        <f>IFERROR(__xludf.DUMMYFUNCTION("""COMPUTED_VALUE"""),"LOWPLAN")</f>
        <v>LOWPLAN</v>
      </c>
      <c r="Q816" s="1" t="str">
        <f>IFERROR(__xludf.DUMMYFUNCTION("""COMPUTED_VALUE"""),"P407561")</f>
        <v>P407561</v>
      </c>
      <c r="R816" s="1" t="str">
        <f>IFERROR(__xludf.DUMMYFUNCTION("""COMPUTED_VALUE"""),"TAMAYO, MARY ROSE ZAIRA")</f>
        <v>TAMAYO, MARY ROSE ZAIRA</v>
      </c>
      <c r="S816" s="1" t="str">
        <f>IFERROR(__xludf.DUMMYFUNCTION("""COMPUTED_VALUE"""),"ORGANIC")</f>
        <v>ORGANIC</v>
      </c>
      <c r="T816" s="1" t="str">
        <f>IFERROR(__xludf.DUMMYFUNCTION("""COMPUTED_VALUE"""),"LEA REMOLLO")</f>
        <v>LEA REMOLLO</v>
      </c>
      <c r="U816" s="1" t="str">
        <f>IFERROR(__xludf.DUMMYFUNCTION("""COMPUTED_VALUE"""),"JB SALIOA")</f>
        <v>JB SALIOA</v>
      </c>
      <c r="V816" s="1" t="str">
        <f>IFERROR(__xludf.DUMMYFUNCTION("""COMPUTED_VALUE"""),"BK REGULAR")</f>
        <v>BK REGULAR</v>
      </c>
      <c r="W816" s="1" t="str">
        <f>IFERROR(__xludf.DUMMYFUNCTION("""COMPUTED_VALUE"""),"STK REGULAR")</f>
        <v>STK REGULAR</v>
      </c>
      <c r="X816" s="1" t="str">
        <f>IFERROR(__xludf.DUMMYFUNCTION("""COMPUTED_VALUE"""),"REGULAR")</f>
        <v>REGULAR</v>
      </c>
      <c r="Y816" s="1" t="str">
        <f>IFERROR(__xludf.DUMMYFUNCTION("""COMPUTED_VALUE"""),"BK_CVEU_260828")</f>
        <v>BK_CVEU_260828</v>
      </c>
      <c r="Z816" s="1" t="str">
        <f>IFERROR(__xludf.DUMMYFUNCTION("""COMPUTED_VALUE"""),"NEW CONNECT")</f>
        <v>NEW CONNECT</v>
      </c>
      <c r="AA816" s="1">
        <f>IFERROR(__xludf.DUMMYFUNCTION("""COMPUTED_VALUE"""),639633054335)</f>
        <v>639633054335</v>
      </c>
      <c r="AB816" s="1"/>
      <c r="AC816" s="1">
        <f>IFERROR(__xludf.DUMMYFUNCTION("""COMPUTED_VALUE"""),1537)</f>
        <v>1537</v>
      </c>
      <c r="AD816" s="1" t="str">
        <f>IFERROR(__xludf.DUMMYFUNCTION("""COMPUTED_VALUE"""),"PATUTONG MALAKI SOUTH")</f>
        <v>PATUTONG MALAKI SOUTH</v>
      </c>
      <c r="AE816" s="1"/>
      <c r="AF816" s="1" t="str">
        <f>IFERROR(__xludf.DUMMYFUNCTION("""COMPUTED_VALUE"""),"PATUTONG MALAKI SO")</f>
        <v>PATUTONG MALAKI SO</v>
      </c>
      <c r="AG816" s="1" t="str">
        <f>IFERROR(__xludf.DUMMYFUNCTION("""COMPUTED_VALUE"""),"TAGAYTAY")</f>
        <v>TAGAYTAY</v>
      </c>
      <c r="AH816" s="1" t="str">
        <f>IFERROR(__xludf.DUMMYFUNCTION("""COMPUTED_VALUE"""),"-")</f>
        <v>-</v>
      </c>
      <c r="AI816" s="1" t="str">
        <f>IFERROR(__xludf.DUMMYFUNCTION("""COMPUTED_VALUE"""),"CLUSTER 12")</f>
        <v>CLUSTER 12</v>
      </c>
    </row>
    <row r="817" customHeight="1" spans="1:35">
      <c r="A817" s="3">
        <f>IFERROR(__xludf.DUMMYFUNCTION("""COMPUTED_VALUE"""),46297)</f>
        <v>46297</v>
      </c>
      <c r="B817" s="1" t="str">
        <f>IFERROR(__xludf.DUMMYFUNCTION("""COMPUTED_VALUE"""),"DONEL . GAGNO")</f>
        <v>DONEL . GAGNO</v>
      </c>
      <c r="C817" s="1">
        <f>IFERROR(__xludf.DUMMYFUNCTION("""COMPUTED_VALUE"""),2312926310)</f>
        <v>2312926310</v>
      </c>
      <c r="D817" s="1">
        <f>IFERROR(__xludf.DUMMYFUNCTION("""COMPUTED_VALUE"""),408603919)</f>
        <v>408603919</v>
      </c>
      <c r="E817" s="1">
        <f>IFERROR(__xludf.DUMMYFUNCTION("""COMPUTED_VALUE"""),473942952004)</f>
        <v>473942952004</v>
      </c>
      <c r="F817" s="1" t="str">
        <f>IFERROR(__xludf.DUMMYFUNCTION("""COMPUTED_VALUE"""),"FOR CANCELLATION")</f>
        <v>FOR CANCELLATION</v>
      </c>
      <c r="G817" s="1" t="str">
        <f>IFERROR(__xludf.DUMMYFUNCTION("""COMPUTED_VALUE"""),"FOR CANCELLATION")</f>
        <v>FOR CANCELLATION</v>
      </c>
      <c r="H817" s="1" t="str">
        <f>IFERROR(__xludf.DUMMYFUNCTION("""COMPUTED_VALUE"""),"AS PER LEA NAG REREQUEST DAW ITO NG KALIWAAN")</f>
        <v>AS PER LEA NAG REREQUEST DAW ITO NG KALIWAAN</v>
      </c>
      <c r="I817" s="1"/>
      <c r="J817" s="1"/>
      <c r="K817" s="1" t="str">
        <f>IFERROR(__xludf.DUMMYFUNCTION("""COMPUTED_VALUE"""),"NOT IN OFSC")</f>
        <v>NOT IN OFSC</v>
      </c>
      <c r="L817" s="1" t="str">
        <f>IFERROR(__xludf.DUMMYFUNCTION("""COMPUTED_VALUE"""),"FOR PAYMENT")</f>
        <v>FOR PAYMENT</v>
      </c>
      <c r="M817" s="1" t="str">
        <f>IFERROR(__xludf.DUMMYFUNCTION("""COMPUTED_VALUE"""),"FOR CANCELLATION - NON COMPLIANCE - NO PAYMENT")</f>
        <v>FOR CANCELLATION - NON COMPLIANCE - NO PAYMENT</v>
      </c>
      <c r="N817" s="3"/>
      <c r="O817" s="1" t="str">
        <f>IFERROR(__xludf.DUMMYFUNCTION("""COMPUTED_VALUE"""),"FIBR UNLI ALL PLAN 999")</f>
        <v>FIBR UNLI ALL PLAN 999</v>
      </c>
      <c r="P817" s="1" t="str">
        <f>IFERROR(__xludf.DUMMYFUNCTION("""COMPUTED_VALUE"""),"LOWPLAN")</f>
        <v>LOWPLAN</v>
      </c>
      <c r="Q817" s="1" t="str">
        <f>IFERROR(__xludf.DUMMYFUNCTION("""COMPUTED_VALUE"""),"P407045")</f>
        <v>P407045</v>
      </c>
      <c r="R817" s="1" t="str">
        <f>IFERROR(__xludf.DUMMYFUNCTION("""COMPUTED_VALUE"""),"REMOLLO, LEA")</f>
        <v>REMOLLO, LEA</v>
      </c>
      <c r="S817" s="1" t="str">
        <f>IFERROR(__xludf.DUMMYFUNCTION("""COMPUTED_VALUE"""),"FLA")</f>
        <v>FLA</v>
      </c>
      <c r="T817" s="1" t="str">
        <f>IFERROR(__xludf.DUMMYFUNCTION("""COMPUTED_VALUE"""),"JERIC NAVARRO")</f>
        <v>JERIC NAVARRO</v>
      </c>
      <c r="U817" s="1" t="str">
        <f>IFERROR(__xludf.DUMMYFUNCTION("""COMPUTED_VALUE"""),"JB SALIOA")</f>
        <v>JB SALIOA</v>
      </c>
      <c r="V817" s="1" t="str">
        <f>IFERROR(__xludf.DUMMYFUNCTION("""COMPUTED_VALUE"""),"BK REGULAR")</f>
        <v>BK REGULAR</v>
      </c>
      <c r="W817" s="1" t="str">
        <f>IFERROR(__xludf.DUMMYFUNCTION("""COMPUTED_VALUE"""),"STK REGULAR")</f>
        <v>STK REGULAR</v>
      </c>
      <c r="X817" s="1" t="str">
        <f>IFERROR(__xludf.DUMMYFUNCTION("""COMPUTED_VALUE"""),"REGULAR")</f>
        <v>REGULAR</v>
      </c>
      <c r="Y817" s="1" t="str">
        <f>IFERROR(__xludf.DUMMYFUNCTION("""COMPUTED_VALUE"""),"RS_SS_CVEU_2026")</f>
        <v>RS_SS_CVEU_2026</v>
      </c>
      <c r="Z817" s="1" t="str">
        <f>IFERROR(__xludf.DUMMYFUNCTION("""COMPUTED_VALUE"""),"NEW CONNECT")</f>
        <v>NEW CONNECT</v>
      </c>
      <c r="AA817" s="1">
        <f>IFERROR(__xludf.DUMMYFUNCTION("""COMPUTED_VALUE"""),639243647238)</f>
        <v>639243647238</v>
      </c>
      <c r="AB817" s="1"/>
      <c r="AC817" s="1"/>
      <c r="AD817" s="1" t="str">
        <f>IFERROR(__xludf.DUMMYFUNCTION("""COMPUTED_VALUE"""),"ZONE 6")</f>
        <v>ZONE 6</v>
      </c>
      <c r="AE817" s="1" t="str">
        <f>IFERROR(__xludf.DUMMYFUNCTION("""COMPUTED_VALUE"""),"BAUTISTA")</f>
        <v>BAUTISTA</v>
      </c>
      <c r="AF817" s="1" t="str">
        <f>IFERROR(__xludf.DUMMYFUNCTION("""COMPUTED_VALUE"""),"BGY SAMPALOC 4")</f>
        <v>BGY SAMPALOC 4</v>
      </c>
      <c r="AG817" s="1" t="str">
        <f>IFERROR(__xludf.DUMMYFUNCTION("""COMPUTED_VALUE"""),"DASMARINAS")</f>
        <v>DASMARINAS</v>
      </c>
      <c r="AH817" s="1" t="str">
        <f>IFERROR(__xludf.DUMMYFUNCTION("""COMPUTED_VALUE"""),"LIWANAG BAKERY")</f>
        <v>LIWANAG BAKERY</v>
      </c>
      <c r="AI817" s="1" t="str">
        <f>IFERROR(__xludf.DUMMYFUNCTION("""COMPUTED_VALUE"""),"NOT AOR")</f>
        <v>NOT AOR</v>
      </c>
    </row>
    <row r="818" customHeight="1" spans="1:35">
      <c r="A818" s="3">
        <f>IFERROR(__xludf.DUMMYFUNCTION("""COMPUTED_VALUE"""),46297)</f>
        <v>46297</v>
      </c>
      <c r="B818" s="1" t="str">
        <f>IFERROR(__xludf.DUMMYFUNCTION("""COMPUTED_VALUE"""),"GLAZE ANN LUNAR ZABALLA")</f>
        <v>GLAZE ANN LUNAR ZABALLA</v>
      </c>
      <c r="C818" s="1">
        <f>IFERROR(__xludf.DUMMYFUNCTION("""COMPUTED_VALUE"""),2312926580)</f>
        <v>2312926580</v>
      </c>
      <c r="D818" s="1">
        <f>IFERROR(__xludf.DUMMYFUNCTION("""COMPUTED_VALUE"""),408592739)</f>
        <v>408592739</v>
      </c>
      <c r="E818" s="1">
        <f>IFERROR(__xludf.DUMMYFUNCTION("""COMPUTED_VALUE"""),473918517004)</f>
        <v>473918517004</v>
      </c>
      <c r="F818" s="1" t="str">
        <f>IFERROR(__xludf.DUMMYFUNCTION("""COMPUTED_VALUE"""),"CANCELED")</f>
        <v>CANCELED</v>
      </c>
      <c r="G818" s="1" t="str">
        <f>IFERROR(__xludf.DUMMYFUNCTION("""COMPUTED_VALUE"""),"FULL NAP   SILLP426NP1 NO VACANT SILLP84NP2 NO VACANT SILLP84NP4 NO VACANT")</f>
        <v>FULL NAP   SILLP426NP1 NO VACANT SILLP84NP2 NO VACANT SILLP84NP4 NO VACANT</v>
      </c>
      <c r="H818" s="1"/>
      <c r="I818" s="1" t="str">
        <f>IFERROR(__xludf.DUMMYFUNCTION("""COMPUTED_VALUE"""),"NO 1 AMSF")</f>
        <v>NO 1 AMSF</v>
      </c>
      <c r="J818" s="1"/>
      <c r="K818" s="1" t="str">
        <f>IFERROR(__xludf.DUMMYFUNCTION("""COMPUTED_VALUE"""),"CANCELED")</f>
        <v>CANCELED</v>
      </c>
      <c r="L818" s="1" t="str">
        <f>IFERROR(__xludf.DUMMYFUNCTION("""COMPUTED_VALUE"""),"RPR - NAP FULL")</f>
        <v>RPR - NAP FULL</v>
      </c>
      <c r="M818" s="1" t="str">
        <f>IFERROR(__xludf.DUMMYFUNCTION("""COMPUTED_VALUE"""),"RPR- NAP FULL")</f>
        <v>RPR- NAP FULL</v>
      </c>
      <c r="N818" s="3"/>
      <c r="O818" s="1" t="str">
        <f>IFERROR(__xludf.DUMMYFUNCTION("""COMPUTED_VALUE"""),"FIBR UNLI ALL PLAN 999")</f>
        <v>FIBR UNLI ALL PLAN 999</v>
      </c>
      <c r="P818" s="1" t="str">
        <f>IFERROR(__xludf.DUMMYFUNCTION("""COMPUTED_VALUE"""),"LOWPLAN")</f>
        <v>LOWPLAN</v>
      </c>
      <c r="Q818" s="1" t="str">
        <f>IFERROR(__xludf.DUMMYFUNCTION("""COMPUTED_VALUE"""),"P407561")</f>
        <v>P407561</v>
      </c>
      <c r="R818" s="1" t="str">
        <f>IFERROR(__xludf.DUMMYFUNCTION("""COMPUTED_VALUE"""),"TAMAYO, MARY ROSE ZAIRA")</f>
        <v>TAMAYO, MARY ROSE ZAIRA</v>
      </c>
      <c r="S818" s="1" t="str">
        <f>IFERROR(__xludf.DUMMYFUNCTION("""COMPUTED_VALUE"""),"ORGANIC")</f>
        <v>ORGANIC</v>
      </c>
      <c r="T818" s="1" t="str">
        <f>IFERROR(__xludf.DUMMYFUNCTION("""COMPUTED_VALUE"""),"LEA REMOLLO")</f>
        <v>LEA REMOLLO</v>
      </c>
      <c r="U818" s="1" t="str">
        <f>IFERROR(__xludf.DUMMYFUNCTION("""COMPUTED_VALUE"""),"JB SALIOA")</f>
        <v>JB SALIOA</v>
      </c>
      <c r="V818" s="1" t="str">
        <f>IFERROR(__xludf.DUMMYFUNCTION("""COMPUTED_VALUE"""),"BK REGULAR")</f>
        <v>BK REGULAR</v>
      </c>
      <c r="W818" s="1" t="str">
        <f>IFERROR(__xludf.DUMMYFUNCTION("""COMPUTED_VALUE"""),"STK REGULAR")</f>
        <v>STK REGULAR</v>
      </c>
      <c r="X818" s="1" t="str">
        <f>IFERROR(__xludf.DUMMYFUNCTION("""COMPUTED_VALUE"""),"REGULAR")</f>
        <v>REGULAR</v>
      </c>
      <c r="Y818" s="1" t="str">
        <f>IFERROR(__xludf.DUMMYFUNCTION("""COMPUTED_VALUE"""),"BK_CVEU_260827")</f>
        <v>BK_CVEU_260827</v>
      </c>
      <c r="Z818" s="1" t="str">
        <f>IFERROR(__xludf.DUMMYFUNCTION("""COMPUTED_VALUE"""),"NEW CONNECT")</f>
        <v>NEW CONNECT</v>
      </c>
      <c r="AA818" s="1">
        <f>IFERROR(__xludf.DUMMYFUNCTION("""COMPUTED_VALUE"""),639272255418)</f>
        <v>639272255418</v>
      </c>
      <c r="AB818" s="1"/>
      <c r="AC818" s="1">
        <f>IFERROR(__xludf.DUMMYFUNCTION("""COMPUTED_VALUE"""),76)</f>
        <v>76</v>
      </c>
      <c r="AD818" s="1" t="str">
        <f>IFERROR(__xludf.DUMMYFUNCTION("""COMPUTED_VALUE"""),"PUROK 3")</f>
        <v>PUROK 3</v>
      </c>
      <c r="AE818" s="1"/>
      <c r="AF818" s="1" t="str">
        <f>IFERROR(__xludf.DUMMYFUNCTION("""COMPUTED_VALUE"""),"BGY LUCSUHIN")</f>
        <v>BGY LUCSUHIN</v>
      </c>
      <c r="AG818" s="1" t="str">
        <f>IFERROR(__xludf.DUMMYFUNCTION("""COMPUTED_VALUE"""),"SILANG")</f>
        <v>SILANG</v>
      </c>
      <c r="AH818" s="1" t="str">
        <f>IFERROR(__xludf.DUMMYFUNCTION("""COMPUTED_VALUE"""),"MANG TEBAN")</f>
        <v>MANG TEBAN</v>
      </c>
      <c r="AI818" s="1" t="str">
        <f>IFERROR(__xludf.DUMMYFUNCTION("""COMPUTED_VALUE"""),"CLUSTER 11")</f>
        <v>CLUSTER 11</v>
      </c>
    </row>
    <row r="819" customHeight="1" spans="1:35">
      <c r="A819" s="3">
        <f>IFERROR(__xludf.DUMMYFUNCTION("""COMPUTED_VALUE"""),46297)</f>
        <v>46297</v>
      </c>
      <c r="B819" s="1" t="str">
        <f>IFERROR(__xludf.DUMMYFUNCTION("""COMPUTED_VALUE"""),"PRINCESS ABANES CAPUNO")</f>
        <v>PRINCESS ABANES CAPUNO</v>
      </c>
      <c r="C819" s="1">
        <f>IFERROR(__xludf.DUMMYFUNCTION("""COMPUTED_VALUE"""),2312927083)</f>
        <v>2312927083</v>
      </c>
      <c r="D819" s="1"/>
      <c r="E819" s="1"/>
      <c r="F819" s="1" t="str">
        <f>IFERROR(__xludf.DUMMYFUNCTION("""COMPUTED_VALUE"""),"CANCELLED")</f>
        <v>CANCELLED</v>
      </c>
      <c r="G819" s="1" t="str">
        <f>IFERROR(__xludf.DUMMYFUNCTION("""COMPUTED_VALUE"""),"(POA REQUIREMENT - MULTIPLE LINE APPLICATION) RETURN TO SALES| BK SR | FOUND DUPLICATE CBR (09083032751) UNDER BLACKLISTED ACCT# (0379270395) DIFF NAME/DIFF ADDRESS | CALL THRU: (09083032751) 2:55 PM | UNCONTACTED | CORRECT ENCODED INFO IN CSP | TU SCORIN"&amp;"G - HH - 15 (HIGH RISK) | 1 AMSF REQUIRED | NO EXISTING ACTIVE ACCT AND/OR PENDING/CANCELLED APPLICATION")</f>
        <v>(POA REQUIREMENT - MULTIPLE LINE APPLICATION) RETURN TO SALES| BK SR | FOUND DUPLICATE CBR (09083032751) UNDER BLACKLISTED ACCT# (0379270395) DIFF NAME/DIFF ADDRESS | CALL THRU: (09083032751) 2:55 PM | UNCONTACTED | CORRECT ENCODED INFO IN CSP | TU SCORING - HH - 15 (HIGH RISK) | 1 AMSF REQUIRED | NO EXISTING ACTIVE ACCT AND/OR PENDING/CANCELLED APPLICATION</v>
      </c>
      <c r="H819" s="1"/>
      <c r="I819" s="1"/>
      <c r="J819" s="1"/>
      <c r="K819" s="1"/>
      <c r="L819" s="1" t="str">
        <f>IFERROR(__xludf.DUMMYFUNCTION("""COMPUTED_VALUE"""),"CANCELLED")</f>
        <v>CANCELLED</v>
      </c>
      <c r="M819" s="1" t="str">
        <f>IFERROR(__xludf.DUMMYFUNCTION("""COMPUTED_VALUE"""),"RTS - UNCONTACTABLE")</f>
        <v>RTS - UNCONTACTABLE</v>
      </c>
      <c r="N819" s="3"/>
      <c r="O819" s="1" t="str">
        <f>IFERROR(__xludf.DUMMYFUNCTION("""COMPUTED_VALUE"""),"FIBER UNLI ALL PLAN 1499")</f>
        <v>FIBER UNLI ALL PLAN 1499</v>
      </c>
      <c r="P819" s="1" t="str">
        <f>IFERROR(__xludf.DUMMYFUNCTION("""COMPUTED_VALUE"""),"LOWPLAN")</f>
        <v>LOWPLAN</v>
      </c>
      <c r="Q819" s="1" t="str">
        <f>IFERROR(__xludf.DUMMYFUNCTION("""COMPUTED_VALUE"""),"P407049")</f>
        <v>P407049</v>
      </c>
      <c r="R819" s="1" t="str">
        <f>IFERROR(__xludf.DUMMYFUNCTION("""COMPUTED_VALUE"""),"CADERAO, RONALD")</f>
        <v>CADERAO, RONALD</v>
      </c>
      <c r="S819" s="1" t="str">
        <f>IFERROR(__xludf.DUMMYFUNCTION("""COMPUTED_VALUE"""),"ORGANIC")</f>
        <v>ORGANIC</v>
      </c>
      <c r="T819" s="1" t="str">
        <f>IFERROR(__xludf.DUMMYFUNCTION("""COMPUTED_VALUE"""),"LEA REMOLLO")</f>
        <v>LEA REMOLLO</v>
      </c>
      <c r="U819" s="1" t="str">
        <f>IFERROR(__xludf.DUMMYFUNCTION("""COMPUTED_VALUE"""),"JB SALIOA")</f>
        <v>JB SALIOA</v>
      </c>
      <c r="V819" s="1" t="str">
        <f>IFERROR(__xludf.DUMMYFUNCTION("""COMPUTED_VALUE"""),"BK REGULAR")</f>
        <v>BK REGULAR</v>
      </c>
      <c r="W819" s="1" t="str">
        <f>IFERROR(__xludf.DUMMYFUNCTION("""COMPUTED_VALUE"""),"STK REGULAR")</f>
        <v>STK REGULAR</v>
      </c>
      <c r="X819" s="1" t="str">
        <f>IFERROR(__xludf.DUMMYFUNCTION("""COMPUTED_VALUE"""),"REGULAR")</f>
        <v>REGULAR</v>
      </c>
      <c r="Y819" s="1" t="str">
        <f>IFERROR(__xludf.DUMMYFUNCTION("""COMPUTED_VALUE"""),"BK_CVEU_260828")</f>
        <v>BK_CVEU_260828</v>
      </c>
      <c r="Z819" s="1" t="str">
        <f>IFERROR(__xludf.DUMMYFUNCTION("""COMPUTED_VALUE"""),"NEW CONNECT")</f>
        <v>NEW CONNECT</v>
      </c>
      <c r="AA819" s="1">
        <f>IFERROR(__xludf.DUMMYFUNCTION("""COMPUTED_VALUE"""),639083032751)</f>
        <v>639083032751</v>
      </c>
      <c r="AB819" s="1"/>
      <c r="AC819" s="1">
        <f>IFERROR(__xludf.DUMMYFUNCTION("""COMPUTED_VALUE"""),147)</f>
        <v>147</v>
      </c>
      <c r="AD819" s="1" t="str">
        <f>IFERROR(__xludf.DUMMYFUNCTION("""COMPUTED_VALUE"""),"PUROK 135")</f>
        <v>PUROK 135</v>
      </c>
      <c r="AE819" s="1"/>
      <c r="AF819" s="1" t="str">
        <f>IFERROR(__xludf.DUMMYFUNCTION("""COMPUTED_VALUE"""),"BGY NEOGAN")</f>
        <v>BGY NEOGAN</v>
      </c>
      <c r="AG819" s="1" t="str">
        <f>IFERROR(__xludf.DUMMYFUNCTION("""COMPUTED_VALUE"""),"TAGAYTAY")</f>
        <v>TAGAYTAY</v>
      </c>
      <c r="AH819" s="1" t="str">
        <f>IFERROR(__xludf.DUMMYFUNCTION("""COMPUTED_VALUE"""),"-")</f>
        <v>-</v>
      </c>
      <c r="AI819" s="1" t="str">
        <f>IFERROR(__xludf.DUMMYFUNCTION("""COMPUTED_VALUE"""),"CLUSTER 12")</f>
        <v>CLUSTER 12</v>
      </c>
    </row>
    <row r="820" customHeight="1" spans="1:35">
      <c r="A820" s="3">
        <f>IFERROR(__xludf.DUMMYFUNCTION("""COMPUTED_VALUE"""),46297)</f>
        <v>46297</v>
      </c>
      <c r="B820" s="1" t="str">
        <f>IFERROR(__xludf.DUMMYFUNCTION("""COMPUTED_VALUE"""),"KATRINA CASSANDRA ANAMA BALUCAS")</f>
        <v>KATRINA CASSANDRA ANAMA BALUCAS</v>
      </c>
      <c r="C820" s="1">
        <f>IFERROR(__xludf.DUMMYFUNCTION("""COMPUTED_VALUE"""),2312927537)</f>
        <v>2312927537</v>
      </c>
      <c r="D820" s="1">
        <f>IFERROR(__xludf.DUMMYFUNCTION("""COMPUTED_VALUE"""),408595541)</f>
        <v>408595541</v>
      </c>
      <c r="E820" s="1">
        <f>IFERROR(__xludf.DUMMYFUNCTION("""COMPUTED_VALUE"""),473919777004)</f>
        <v>473919777004</v>
      </c>
      <c r="F820" s="1" t="str">
        <f>IFERROR(__xludf.DUMMYFUNCTION("""COMPUTED_VALUE"""),"CLOSED")</f>
        <v>CLOSED</v>
      </c>
      <c r="G820" s="1" t="str">
        <f>IFERROR(__xludf.DUMMYFUNCTION("""COMPUTED_VALUE"""),"CLOSED")</f>
        <v>CLOSED</v>
      </c>
      <c r="H820" s="1"/>
      <c r="I820" s="1" t="str">
        <f>IFERROR(__xludf.DUMMYFUNCTION("""COMPUTED_VALUE"""),"NO 1 AMSF")</f>
        <v>NO 1 AMSF</v>
      </c>
      <c r="J820" s="1" t="str">
        <f>IFERROR(__xludf.DUMMYFUNCTION("""COMPUTED_VALUE"""),"DUE DATE - 30-Oct-26 - 1,538.90")</f>
        <v>DUE DATE - 30-Oct-26 - 1,538.90</v>
      </c>
      <c r="K820" s="1" t="str">
        <f>IFERROR(__xludf.DUMMYFUNCTION("""COMPUTED_VALUE"""),"COMPLETED")</f>
        <v>COMPLETED</v>
      </c>
      <c r="L820" s="1" t="str">
        <f>IFERROR(__xludf.DUMMYFUNCTION("""COMPUTED_VALUE"""),"POSTED")</f>
        <v>POSTED</v>
      </c>
      <c r="M820" s="1" t="str">
        <f>IFERROR(__xludf.DUMMYFUNCTION("""COMPUTED_VALUE"""),"POSTED")</f>
        <v>POSTED</v>
      </c>
      <c r="N820" s="3">
        <f>IFERROR(__xludf.DUMMYFUNCTION("""COMPUTED_VALUE"""),46298)</f>
        <v>46298</v>
      </c>
      <c r="O820" s="1" t="str">
        <f>IFERROR(__xludf.DUMMYFUNCTION("""COMPUTED_VALUE"""),"FIBER UNLI PLAN 1399")</f>
        <v>FIBER UNLI PLAN 1399</v>
      </c>
      <c r="P820" s="1" t="str">
        <f>IFERROR(__xludf.DUMMYFUNCTION("""COMPUTED_VALUE"""),"LOWPLAN")</f>
        <v>LOWPLAN</v>
      </c>
      <c r="Q820" s="1" t="str">
        <f>IFERROR(__xludf.DUMMYFUNCTION("""COMPUTED_VALUE"""),"P407047")</f>
        <v>P407047</v>
      </c>
      <c r="R820" s="1" t="str">
        <f>IFERROR(__xludf.DUMMYFUNCTION("""COMPUTED_VALUE"""),"FRANCISCO, ROSELYN")</f>
        <v>FRANCISCO, ROSELYN</v>
      </c>
      <c r="S820" s="1" t="str">
        <f>IFERROR(__xludf.DUMMYFUNCTION("""COMPUTED_VALUE"""),"ORGANIC")</f>
        <v>ORGANIC</v>
      </c>
      <c r="T820" s="1" t="str">
        <f>IFERROR(__xludf.DUMMYFUNCTION("""COMPUTED_VALUE"""),"LEA REMOLLO")</f>
        <v>LEA REMOLLO</v>
      </c>
      <c r="U820" s="1" t="str">
        <f>IFERROR(__xludf.DUMMYFUNCTION("""COMPUTED_VALUE"""),"JB SALIOA")</f>
        <v>JB SALIOA</v>
      </c>
      <c r="V820" s="1" t="str">
        <f>IFERROR(__xludf.DUMMYFUNCTION("""COMPUTED_VALUE"""),"BK REGULAR")</f>
        <v>BK REGULAR</v>
      </c>
      <c r="W820" s="1" t="str">
        <f>IFERROR(__xludf.DUMMYFUNCTION("""COMPUTED_VALUE"""),"STK REGULAR")</f>
        <v>STK REGULAR</v>
      </c>
      <c r="X820" s="1" t="str">
        <f>IFERROR(__xludf.DUMMYFUNCTION("""COMPUTED_VALUE"""),"FIBER 1399 98TH YR")</f>
        <v>FIBER 1399 98TH YR</v>
      </c>
      <c r="Y820" s="1" t="str">
        <f>IFERROR(__xludf.DUMMYFUNCTION("""COMPUTED_VALUE"""),"BK_CVEU_260822")</f>
        <v>BK_CVEU_260822</v>
      </c>
      <c r="Z820" s="1" t="str">
        <f>IFERROR(__xludf.DUMMYFUNCTION("""COMPUTED_VALUE"""),"NEW CONNECT")</f>
        <v>NEW CONNECT</v>
      </c>
      <c r="AA820" s="1">
        <f>IFERROR(__xludf.DUMMYFUNCTION("""COMPUTED_VALUE"""),639262043944)</f>
        <v>639262043944</v>
      </c>
      <c r="AB820" s="1"/>
      <c r="AC820" s="1">
        <f>IFERROR(__xludf.DUMMYFUNCTION("""COMPUTED_VALUE"""),92)</f>
        <v>92</v>
      </c>
      <c r="AD820" s="1" t="str">
        <f>IFERROR(__xludf.DUMMYFUNCTION("""COMPUTED_VALUE"""),"PUROK 3")</f>
        <v>PUROK 3</v>
      </c>
      <c r="AE820" s="1"/>
      <c r="AF820" s="1" t="str">
        <f>IFERROR(__xludf.DUMMYFUNCTION("""COMPUTED_VALUE"""),"BGY BATAS")</f>
        <v>BGY BATAS</v>
      </c>
      <c r="AG820" s="1" t="str">
        <f>IFERROR(__xludf.DUMMYFUNCTION("""COMPUTED_VALUE"""),"SILANG")</f>
        <v>SILANG</v>
      </c>
      <c r="AH820" s="1" t="str">
        <f>IFERROR(__xludf.DUMMYFUNCTION("""COMPUTED_VALUE"""),"BATAS ELEMENTARY")</f>
        <v>BATAS ELEMENTARY</v>
      </c>
      <c r="AI820" s="1" t="str">
        <f>IFERROR(__xludf.DUMMYFUNCTION("""COMPUTED_VALUE"""),"CLUSTER 11")</f>
        <v>CLUSTER 11</v>
      </c>
    </row>
    <row r="821" customHeight="1" spans="1:35">
      <c r="A821" s="3">
        <f>IFERROR(__xludf.DUMMYFUNCTION("""COMPUTED_VALUE"""),46297)</f>
        <v>46297</v>
      </c>
      <c r="B821" s="1" t="str">
        <f>IFERROR(__xludf.DUMMYFUNCTION("""COMPUTED_VALUE"""),"AIRA OCAMPO LARUYA")</f>
        <v>AIRA OCAMPO LARUYA</v>
      </c>
      <c r="C821" s="1">
        <f>IFERROR(__xludf.DUMMYFUNCTION("""COMPUTED_VALUE"""),2312928357)</f>
        <v>2312928357</v>
      </c>
      <c r="D821" s="1"/>
      <c r="E821" s="1"/>
      <c r="F821" s="1" t="str">
        <f>IFERROR(__xludf.DUMMYFUNCTION("""COMPUTED_VALUE"""),"CANCELLED")</f>
        <v>CANCELLED</v>
      </c>
      <c r="G821" s="1" t="str">
        <f>IFERROR(__xludf.DUMMYFUNCTION("""COMPUTED_VALUE"""),"(PLDT_INCOMPLETE / INVALID DOCS) FOUND WITH ACTIVE TEL# 0288162068 DIFFERENT ADDRESS FOR MULTIPLE LINE APPLICATION NEED TO SUBMIT POA OF THE NEW APPLIED ADDRESS UNDER SOR'S NAME")</f>
        <v>(PLDT_INCOMPLETE / INVALID DOCS) FOUND WITH ACTIVE TEL# 0288162068 DIFFERENT ADDRESS FOR MULTIPLE LINE APPLICATION NEED TO SUBMIT POA OF THE NEW APPLIED ADDRESS UNDER SOR'S NAME</v>
      </c>
      <c r="H821" s="1"/>
      <c r="I821" s="1"/>
      <c r="J821" s="1"/>
      <c r="K821" s="1"/>
      <c r="L821" s="1" t="str">
        <f>IFERROR(__xludf.DUMMYFUNCTION("""COMPUTED_VALUE"""),"CANCELLED")</f>
        <v>CANCELLED</v>
      </c>
      <c r="M821" s="1" t="str">
        <f>IFERROR(__xludf.DUMMYFUNCTION("""COMPUTED_VALUE"""),"CANCELLED - WITH ACTIVE LINE")</f>
        <v>CANCELLED - WITH ACTIVE LINE</v>
      </c>
      <c r="N821" s="3"/>
      <c r="O821" s="1" t="str">
        <f>IFERROR(__xludf.DUMMYFUNCTION("""COMPUTED_VALUE"""),"FIBR UNLI ALL PLAN 999")</f>
        <v>FIBR UNLI ALL PLAN 999</v>
      </c>
      <c r="P821" s="1" t="str">
        <f>IFERROR(__xludf.DUMMYFUNCTION("""COMPUTED_VALUE"""),"LOWPLAN")</f>
        <v>LOWPLAN</v>
      </c>
      <c r="Q821" s="1" t="str">
        <f>IFERROR(__xludf.DUMMYFUNCTION("""COMPUTED_VALUE"""),"P407564")</f>
        <v>P407564</v>
      </c>
      <c r="R821" s="1" t="str">
        <f>IFERROR(__xludf.DUMMYFUNCTION("""COMPUTED_VALUE"""),"ARENA, LYKA")</f>
        <v>ARENA, LYKA</v>
      </c>
      <c r="S821" s="1" t="str">
        <f>IFERROR(__xludf.DUMMYFUNCTION("""COMPUTED_VALUE"""),"ORGANIC")</f>
        <v>ORGANIC</v>
      </c>
      <c r="T821" s="1" t="str">
        <f>IFERROR(__xludf.DUMMYFUNCTION("""COMPUTED_VALUE"""),"LEA REMOLLO")</f>
        <v>LEA REMOLLO</v>
      </c>
      <c r="U821" s="1" t="str">
        <f>IFERROR(__xludf.DUMMYFUNCTION("""COMPUTED_VALUE"""),"JB SALIOA")</f>
        <v>JB SALIOA</v>
      </c>
      <c r="V821" s="1" t="str">
        <f>IFERROR(__xludf.DUMMYFUNCTION("""COMPUTED_VALUE"""),"ONLINE/CRANFORD")</f>
        <v>ONLINE/CRANFORD</v>
      </c>
      <c r="W821" s="1" t="str">
        <f>IFERROR(__xludf.DUMMYFUNCTION("""COMPUTED_VALUE"""),"STK REGULAR")</f>
        <v>STK REGULAR</v>
      </c>
      <c r="X821" s="1" t="str">
        <f>IFERROR(__xludf.DUMMYFUNCTION("""COMPUTED_VALUE"""),"REGULAR")</f>
        <v>REGULAR</v>
      </c>
      <c r="Y821" s="1" t="str">
        <f>IFERROR(__xludf.DUMMYFUNCTION("""COMPUTED_VALUE"""),"RS_ONL_CVEU_2026")</f>
        <v>RS_ONL_CVEU_2026</v>
      </c>
      <c r="Z821" s="1" t="str">
        <f>IFERROR(__xludf.DUMMYFUNCTION("""COMPUTED_VALUE"""),"NEW CONNECT")</f>
        <v>NEW CONNECT</v>
      </c>
      <c r="AA821" s="1">
        <f>IFERROR(__xludf.DUMMYFUNCTION("""COMPUTED_VALUE"""),639564397275)</f>
        <v>639564397275</v>
      </c>
      <c r="AB821" s="1"/>
      <c r="AC821" s="1">
        <f>IFERROR(__xludf.DUMMYFUNCTION("""COMPUTED_VALUE"""),714)</f>
        <v>714</v>
      </c>
      <c r="AD821" s="1" t="str">
        <f>IFERROR(__xludf.DUMMYFUNCTION("""COMPUTED_VALUE"""),"MAHOGANY")</f>
        <v>MAHOGANY</v>
      </c>
      <c r="AE821" s="1" t="str">
        <f>IFERROR(__xludf.DUMMYFUNCTION("""COMPUTED_VALUE"""),"COOLSUITES TOWER A")</f>
        <v>COOLSUITES TOWER A</v>
      </c>
      <c r="AF821" s="1" t="str">
        <f>IFERROR(__xludf.DUMMYFUNCTION("""COMPUTED_VALUE"""),"BGY MAHARLIKA WEST")</f>
        <v>BGY MAHARLIKA WEST</v>
      </c>
      <c r="AG821" s="1" t="str">
        <f>IFERROR(__xludf.DUMMYFUNCTION("""COMPUTED_VALUE"""),"TAGAYTAY")</f>
        <v>TAGAYTAY</v>
      </c>
      <c r="AH821" s="1" t="str">
        <f>IFERROR(__xludf.DUMMYFUNCTION("""COMPUTED_VALUE"""),"COOL SUITES TOWER A")</f>
        <v>COOL SUITES TOWER A</v>
      </c>
      <c r="AI821" s="1" t="str">
        <f>IFERROR(__xludf.DUMMYFUNCTION("""COMPUTED_VALUE"""),"CLUSTER 12")</f>
        <v>CLUSTER 12</v>
      </c>
    </row>
    <row r="822" customHeight="1" spans="1:35">
      <c r="A822" s="3">
        <f>IFERROR(__xludf.DUMMYFUNCTION("""COMPUTED_VALUE"""),46297)</f>
        <v>46297</v>
      </c>
      <c r="B822" s="1" t="str">
        <f>IFERROR(__xludf.DUMMYFUNCTION("""COMPUTED_VALUE"""),"JELAINE JANE MIRANDA BAGA")</f>
        <v>JELAINE JANE MIRANDA BAGA</v>
      </c>
      <c r="C822" s="1">
        <f>IFERROR(__xludf.DUMMYFUNCTION("""COMPUTED_VALUE"""),2312928668)</f>
        <v>2312928668</v>
      </c>
      <c r="D822" s="1"/>
      <c r="E822" s="1"/>
      <c r="F822" s="1" t="str">
        <f>IFERROR(__xludf.DUMMYFUNCTION("""COMPUTED_VALUE"""),"CANCELLED")</f>
        <v>CANCELLED</v>
      </c>
      <c r="G822" s="1" t="str">
        <f>IFERROR(__xludf.DUMMYFUNCTION("""COMPUTED_VALUE"""),"(OTHERS) Return to Sales | Found blacklisted acct no. 0329784045 – SAME NAME, SAME DOB, DIFF ADDRESS with OB amounting to Php 4,596.93 for settlement / Done validation of doc with correct encoded info in CSP | with 1 AMSF GG - 1 (NTC) ")</f>
        <v>(OTHERS) Return to Sales | Found blacklisted acct no. 0329784045 – SAME NAME, SAME DOB, DIFF ADDRESS with OB amounting to Php 4,596.93 for settlement / Done validation of doc with correct encoded info in CSP | with 1 AMSF GG - 1 (NTC) </v>
      </c>
      <c r="H822" s="1"/>
      <c r="I822" s="1"/>
      <c r="J822" s="1"/>
      <c r="K822" s="1"/>
      <c r="L822" s="1" t="str">
        <f>IFERROR(__xludf.DUMMYFUNCTION("""COMPUTED_VALUE"""),"CANCELLED - WITH OB")</f>
        <v>CANCELLED - WITH OB</v>
      </c>
      <c r="M822" s="1" t="str">
        <f>IFERROR(__xludf.DUMMYFUNCTION("""COMPUTED_VALUE"""),"CANCELLED - WITH OB")</f>
        <v>CANCELLED - WITH OB</v>
      </c>
      <c r="N822" s="3"/>
      <c r="O822" s="1" t="str">
        <f>IFERROR(__xludf.DUMMYFUNCTION("""COMPUTED_VALUE"""),"FIBER UNLI PLAN 1399")</f>
        <v>FIBER UNLI PLAN 1399</v>
      </c>
      <c r="P822" s="1" t="str">
        <f>IFERROR(__xludf.DUMMYFUNCTION("""COMPUTED_VALUE"""),"LOWPLAN")</f>
        <v>LOWPLAN</v>
      </c>
      <c r="Q822" s="1" t="str">
        <f>IFERROR(__xludf.DUMMYFUNCTION("""COMPUTED_VALUE"""),"P407049")</f>
        <v>P407049</v>
      </c>
      <c r="R822" s="1" t="str">
        <f>IFERROR(__xludf.DUMMYFUNCTION("""COMPUTED_VALUE"""),"ALINGARO, CINDY")</f>
        <v>ALINGARO, CINDY</v>
      </c>
      <c r="S822" s="1" t="str">
        <f>IFERROR(__xludf.DUMMYFUNCTION("""COMPUTED_VALUE"""),"ORGANIC")</f>
        <v>ORGANIC</v>
      </c>
      <c r="T822" s="1" t="str">
        <f>IFERROR(__xludf.DUMMYFUNCTION("""COMPUTED_VALUE"""),"LEA REMOLLO")</f>
        <v>LEA REMOLLO</v>
      </c>
      <c r="U822" s="1" t="str">
        <f>IFERROR(__xludf.DUMMYFUNCTION("""COMPUTED_VALUE"""),"JB SALIOA")</f>
        <v>JB SALIOA</v>
      </c>
      <c r="V822" s="1" t="str">
        <f>IFERROR(__xludf.DUMMYFUNCTION("""COMPUTED_VALUE"""),"BK REGULAR")</f>
        <v>BK REGULAR</v>
      </c>
      <c r="W822" s="1" t="str">
        <f>IFERROR(__xludf.DUMMYFUNCTION("""COMPUTED_VALUE"""),"STK REGULAR")</f>
        <v>STK REGULAR</v>
      </c>
      <c r="X822" s="1" t="str">
        <f>IFERROR(__xludf.DUMMYFUNCTION("""COMPUTED_VALUE"""),"FIBER 1399 98TH YR")</f>
        <v>FIBER 1399 98TH YR</v>
      </c>
      <c r="Y822" s="1" t="str">
        <f>IFERROR(__xludf.DUMMYFUNCTION("""COMPUTED_VALUE"""),"RS_ONL_CVEU_2026")</f>
        <v>RS_ONL_CVEU_2026</v>
      </c>
      <c r="Z822" s="1" t="str">
        <f>IFERROR(__xludf.DUMMYFUNCTION("""COMPUTED_VALUE"""),"NEW CONNECT")</f>
        <v>NEW CONNECT</v>
      </c>
      <c r="AA822" s="1">
        <f>IFERROR(__xludf.DUMMYFUNCTION("""COMPUTED_VALUE"""),639924750914)</f>
        <v>639924750914</v>
      </c>
      <c r="AB822" s="1">
        <f>IFERROR(__xludf.DUMMYFUNCTION("""COMPUTED_VALUE"""),639634037557)</f>
        <v>639634037557</v>
      </c>
      <c r="AC822" s="1">
        <f>IFERROR(__xludf.DUMMYFUNCTION("""COMPUTED_VALUE"""),4)</f>
        <v>4</v>
      </c>
      <c r="AD822" s="1" t="str">
        <f>IFERROR(__xludf.DUMMYFUNCTION("""COMPUTED_VALUE"""),"PUROK 43")</f>
        <v>PUROK 43</v>
      </c>
      <c r="AE822" s="1"/>
      <c r="AF822" s="1" t="str">
        <f>IFERROR(__xludf.DUMMYFUNCTION("""COMPUTED_VALUE"""),"BGY IRUHIN SOUTH")</f>
        <v>BGY IRUHIN SOUTH</v>
      </c>
      <c r="AG822" s="1" t="str">
        <f>IFERROR(__xludf.DUMMYFUNCTION("""COMPUTED_VALUE"""),"TAGAYTAY")</f>
        <v>TAGAYTAY</v>
      </c>
      <c r="AH822" s="1" t="str">
        <f>IFERROR(__xludf.DUMMYFUNCTION("""COMPUTED_VALUE"""),"-")</f>
        <v>-</v>
      </c>
      <c r="AI822" s="1" t="str">
        <f>IFERROR(__xludf.DUMMYFUNCTION("""COMPUTED_VALUE"""),"CLUSTER 12")</f>
        <v>CLUSTER 12</v>
      </c>
    </row>
    <row r="823" customHeight="1" spans="1:35">
      <c r="A823" s="3">
        <f>IFERROR(__xludf.DUMMYFUNCTION("""COMPUTED_VALUE"""),46297)</f>
        <v>46297</v>
      </c>
      <c r="B823" s="1" t="str">
        <f>IFERROR(__xludf.DUMMYFUNCTION("""COMPUTED_VALUE""")," GINA PADOLINA DAGTA")</f>
        <v> GINA PADOLINA DAGTA</v>
      </c>
      <c r="C823" s="1">
        <f>IFERROR(__xludf.DUMMYFUNCTION("""COMPUTED_VALUE"""),2312928718)</f>
        <v>2312928718</v>
      </c>
      <c r="D823" s="1">
        <f>IFERROR(__xludf.DUMMYFUNCTION("""COMPUTED_VALUE"""),408619254)</f>
        <v>408619254</v>
      </c>
      <c r="E823" s="1">
        <f>IFERROR(__xludf.DUMMYFUNCTION("""COMPUTED_VALUE"""),474048031004)</f>
        <v>474048031004</v>
      </c>
      <c r="F823" s="1" t="str">
        <f>IFERROR(__xludf.DUMMYFUNCTION("""COMPUTED_VALUE"""),"CLOSED")</f>
        <v>CLOSED</v>
      </c>
      <c r="G823" s="1" t="str">
        <f>IFERROR(__xludf.DUMMYFUNCTION("""COMPUTED_VALUE"""),"CLOSED")</f>
        <v>CLOSED</v>
      </c>
      <c r="H823" s="1" t="str">
        <f>IFERROR(__xludf.DUMMYFUNCTION("""COMPUTED_VALUE"""),"PQGOR366129374	04-Oct-26	Regular Payment	CIS-GCASH 3.0	1,399.00	0	04-Oct-26")</f>
        <v>PQGOR366129374	04-Oct-26	Regular Payment	CIS-GCASH 3.0	1,399.00	0	04-Oct-26</v>
      </c>
      <c r="I823" s="1" t="str">
        <f>IFERROR(__xludf.DUMMYFUNCTION("""COMPUTED_VALUE"""),"WITH 1 AMSF")</f>
        <v>WITH 1 AMSF</v>
      </c>
      <c r="J823" s="1"/>
      <c r="K823" s="1" t="str">
        <f>IFERROR(__xludf.DUMMYFUNCTION("""COMPUTED_VALUE"""),"COMPLETED")</f>
        <v>COMPLETED</v>
      </c>
      <c r="L823" s="1" t="str">
        <f>IFERROR(__xludf.DUMMYFUNCTION("""COMPUTED_VALUE"""),"POSTED")</f>
        <v>POSTED</v>
      </c>
      <c r="M823" s="1" t="str">
        <f>IFERROR(__xludf.DUMMYFUNCTION("""COMPUTED_VALUE"""),"POSTED")</f>
        <v>POSTED</v>
      </c>
      <c r="N823" s="3">
        <f>IFERROR(__xludf.DUMMYFUNCTION("""COMPUTED_VALUE"""),46300)</f>
        <v>46300</v>
      </c>
      <c r="O823" s="1" t="str">
        <f>IFERROR(__xludf.DUMMYFUNCTION("""COMPUTED_VALUE"""),"FIBER UNLI PLAN 1399")</f>
        <v>FIBER UNLI PLAN 1399</v>
      </c>
      <c r="P823" s="1" t="str">
        <f>IFERROR(__xludf.DUMMYFUNCTION("""COMPUTED_VALUE"""),"LOWPLAN")</f>
        <v>LOWPLAN</v>
      </c>
      <c r="Q823" s="1" t="str">
        <f>IFERROR(__xludf.DUMMYFUNCTION("""COMPUTED_VALUE"""),"P407564 ")</f>
        <v>P407564 </v>
      </c>
      <c r="R823" s="1" t="str">
        <f>IFERROR(__xludf.DUMMYFUNCTION("""COMPUTED_VALUE"""),"ARENA, LYKA")</f>
        <v>ARENA, LYKA</v>
      </c>
      <c r="S823" s="1" t="str">
        <f>IFERROR(__xludf.DUMMYFUNCTION("""COMPUTED_VALUE"""),"ORGANIC")</f>
        <v>ORGANIC</v>
      </c>
      <c r="T823" s="1" t="str">
        <f>IFERROR(__xludf.DUMMYFUNCTION("""COMPUTED_VALUE"""),"LEA REMOLLO")</f>
        <v>LEA REMOLLO</v>
      </c>
      <c r="U823" s="1" t="str">
        <f>IFERROR(__xludf.DUMMYFUNCTION("""COMPUTED_VALUE"""),"MARK MALIWAT")</f>
        <v>MARK MALIWAT</v>
      </c>
      <c r="V823" s="1" t="str">
        <f>IFERROR(__xludf.DUMMYFUNCTION("""COMPUTED_VALUE"""),"BK HSTK")</f>
        <v>BK HSTK</v>
      </c>
      <c r="W823" s="1" t="str">
        <f>IFERROR(__xludf.DUMMYFUNCTION("""COMPUTED_VALUE"""),"STK REGULAR")</f>
        <v>STK REGULAR</v>
      </c>
      <c r="X823" s="1" t="str">
        <f>IFERROR(__xludf.DUMMYFUNCTION("""COMPUTED_VALUE"""),"FIBER 1399 98TH YR")</f>
        <v>FIBER 1399 98TH YR</v>
      </c>
      <c r="Y823" s="1" t="str">
        <f>IFERROR(__xludf.DUMMYFUNCTION("""COMPUTED_VALUE"""),"BK_CVEU_260827")</f>
        <v>BK_CVEU_260827</v>
      </c>
      <c r="Z823" s="1" t="str">
        <f>IFERROR(__xludf.DUMMYFUNCTION("""COMPUTED_VALUE"""),"NEW CONNECT")</f>
        <v>NEW CONNECT</v>
      </c>
      <c r="AA823" s="1">
        <f>IFERROR(__xludf.DUMMYFUNCTION("""COMPUTED_VALUE"""),639454419963)</f>
        <v>639454419963</v>
      </c>
      <c r="AB823" s="1"/>
      <c r="AC823" s="1"/>
      <c r="AD823" s="1" t="str">
        <f>IFERROR(__xludf.DUMMYFUNCTION("""COMPUTED_VALUE"""),"BUKLURAN 2")</f>
        <v>BUKLURAN 2</v>
      </c>
      <c r="AE823" s="1"/>
      <c r="AF823" s="1" t="str">
        <f>IFERROR(__xludf.DUMMYFUNCTION("""COMPUTED_VALUE"""),"BGY BULIHAN")</f>
        <v>BGY BULIHAN</v>
      </c>
      <c r="AG823" s="1" t="str">
        <f>IFERROR(__xludf.DUMMYFUNCTION("""COMPUTED_VALUE"""),"SILANG")</f>
        <v>SILANG</v>
      </c>
      <c r="AH823" s="1" t="str">
        <f>IFERROR(__xludf.DUMMYFUNCTION("""COMPUTED_VALUE"""),"SWAT HALF COURT")</f>
        <v>SWAT HALF COURT</v>
      </c>
      <c r="AI823" s="1" t="str">
        <f>IFERROR(__xludf.DUMMYFUNCTION("""COMPUTED_VALUE"""),"CLUSTER 11")</f>
        <v>CLUSTER 11</v>
      </c>
    </row>
    <row r="824" customHeight="1" spans="1:35">
      <c r="A824" s="3">
        <f>IFERROR(__xludf.DUMMYFUNCTION("""COMPUTED_VALUE"""),46297)</f>
        <v>46297</v>
      </c>
      <c r="B824" s="1" t="str">
        <f>IFERROR(__xludf.DUMMYFUNCTION("""COMPUTED_VALUE"""),"JHOHANNA AGQUEZ JUIT")</f>
        <v>JHOHANNA AGQUEZ JUIT</v>
      </c>
      <c r="C824" s="1">
        <f>IFERROR(__xludf.DUMMYFUNCTION("""COMPUTED_VALUE"""),2312929062)</f>
        <v>2312929062</v>
      </c>
      <c r="D824" s="1">
        <f>IFERROR(__xludf.DUMMYFUNCTION("""COMPUTED_VALUE"""),408598516)</f>
        <v>408598516</v>
      </c>
      <c r="E824" s="1"/>
      <c r="F824" s="1" t="str">
        <f>IFERROR(__xludf.DUMMYFUNCTION("""COMPUTED_VALUE"""),"REENCODED")</f>
        <v>REENCODED</v>
      </c>
      <c r="G824" s="1" t="str">
        <f>IFERROR(__xludf.DUMMYFUNCTION("""COMPUTED_VALUE"""),"REENDODED DUE TO SYSTEM ERROR")</f>
        <v>REENDODED DUE TO SYSTEM ERROR</v>
      </c>
      <c r="H824" s="1"/>
      <c r="I824" s="1"/>
      <c r="J824" s="1"/>
      <c r="K824" s="1"/>
      <c r="L824" s="1" t="str">
        <f>IFERROR(__xludf.DUMMYFUNCTION("""COMPUTED_VALUE"""),"REENCODED")</f>
        <v>REENCODED</v>
      </c>
      <c r="M824" s="1" t="str">
        <f>IFERROR(__xludf.DUMMYFUNCTION("""COMPUTED_VALUE"""),"REENCODED")</f>
        <v>REENCODED</v>
      </c>
      <c r="N824" s="3"/>
      <c r="O824" s="1" t="str">
        <f>IFERROR(__xludf.DUMMYFUNCTION("""COMPUTED_VALUE"""),"FIBER UNLI PLAN 1399")</f>
        <v>FIBER UNLI PLAN 1399</v>
      </c>
      <c r="P824" s="1" t="str">
        <f>IFERROR(__xludf.DUMMYFUNCTION("""COMPUTED_VALUE"""),"LOWPLAN")</f>
        <v>LOWPLAN</v>
      </c>
      <c r="Q824" s="1" t="str">
        <f>IFERROR(__xludf.DUMMYFUNCTION("""COMPUTED_VALUE"""),"P407050")</f>
        <v>P407050</v>
      </c>
      <c r="R824" s="1" t="str">
        <f>IFERROR(__xludf.DUMMYFUNCTION("""COMPUTED_VALUE"""),"ESCARCHA, ALMA")</f>
        <v>ESCARCHA, ALMA</v>
      </c>
      <c r="S824" s="1" t="str">
        <f>IFERROR(__xludf.DUMMYFUNCTION("""COMPUTED_VALUE"""),"ORGANIC")</f>
        <v>ORGANIC</v>
      </c>
      <c r="T824" s="1" t="str">
        <f>IFERROR(__xludf.DUMMYFUNCTION("""COMPUTED_VALUE"""),"LEA REMOLLO")</f>
        <v>LEA REMOLLO</v>
      </c>
      <c r="U824" s="1" t="str">
        <f>IFERROR(__xludf.DUMMYFUNCTION("""COMPUTED_VALUE"""),"JB SALIOA")</f>
        <v>JB SALIOA</v>
      </c>
      <c r="V824" s="1" t="str">
        <f>IFERROR(__xludf.DUMMYFUNCTION("""COMPUTED_VALUE"""),"BK REGULAR")</f>
        <v>BK REGULAR</v>
      </c>
      <c r="W824" s="1" t="str">
        <f>IFERROR(__xludf.DUMMYFUNCTION("""COMPUTED_VALUE"""),"STK REGULAR")</f>
        <v>STK REGULAR</v>
      </c>
      <c r="X824" s="1" t="str">
        <f>IFERROR(__xludf.DUMMYFUNCTION("""COMPUTED_VALUE"""),"FIBER 1399 98TH YR")</f>
        <v>FIBER 1399 98TH YR</v>
      </c>
      <c r="Y824" s="1" t="str">
        <f>IFERROR(__xludf.DUMMYFUNCTION("""COMPUTED_VALUE"""),"BK_CVEU_260828")</f>
        <v>BK_CVEU_260828</v>
      </c>
      <c r="Z824" s="1" t="str">
        <f>IFERROR(__xludf.DUMMYFUNCTION("""COMPUTED_VALUE"""),"NEW CONNECT")</f>
        <v>NEW CONNECT</v>
      </c>
      <c r="AA824" s="1">
        <f>IFERROR(__xludf.DUMMYFUNCTION("""COMPUTED_VALUE"""),639157681868)</f>
        <v>639157681868</v>
      </c>
      <c r="AB824" s="1"/>
      <c r="AC824" s="1">
        <f>IFERROR(__xludf.DUMMYFUNCTION("""COMPUTED_VALUE"""),9668)</f>
        <v>9668</v>
      </c>
      <c r="AD824" s="1" t="str">
        <f>IFERROR(__xludf.DUMMYFUNCTION("""COMPUTED_VALUE"""),"PUROK 43")</f>
        <v>PUROK 43</v>
      </c>
      <c r="AE824" s="1"/>
      <c r="AF824" s="1" t="str">
        <f>IFERROR(__xludf.DUMMYFUNCTION("""COMPUTED_VALUE"""),"BGY IRUHIN SOUTH")</f>
        <v>BGY IRUHIN SOUTH</v>
      </c>
      <c r="AG824" s="1" t="str">
        <f>IFERROR(__xludf.DUMMYFUNCTION("""COMPUTED_VALUE"""),"TAGAYTAY")</f>
        <v>TAGAYTAY</v>
      </c>
      <c r="AH824" s="1" t="str">
        <f>IFERROR(__xludf.DUMMYFUNCTION("""COMPUTED_VALUE"""),"-")</f>
        <v>-</v>
      </c>
      <c r="AI824" s="1" t="str">
        <f>IFERROR(__xludf.DUMMYFUNCTION("""COMPUTED_VALUE"""),"CLUSTER 12")</f>
        <v>CLUSTER 12</v>
      </c>
    </row>
    <row r="825" customHeight="1" spans="1:35">
      <c r="A825" s="3">
        <f>IFERROR(__xludf.DUMMYFUNCTION("""COMPUTED_VALUE"""),46297)</f>
        <v>46297</v>
      </c>
      <c r="B825" s="1" t="str">
        <f>IFERROR(__xludf.DUMMYFUNCTION("""COMPUTED_VALUE""")," PRINCESS CAMILLE AMPUYAS TUAZON")</f>
        <v> PRINCESS CAMILLE AMPUYAS TUAZON</v>
      </c>
      <c r="C825" s="1">
        <f>IFERROR(__xludf.DUMMYFUNCTION("""COMPUTED_VALUE"""),2312929373)</f>
        <v>2312929373</v>
      </c>
      <c r="D825" s="1">
        <f>IFERROR(__xludf.DUMMYFUNCTION("""COMPUTED_VALUE"""),408607620)</f>
        <v>408607620</v>
      </c>
      <c r="E825" s="1">
        <f>IFERROR(__xludf.DUMMYFUNCTION("""COMPUTED_VALUE"""),473953440004)</f>
        <v>473953440004</v>
      </c>
      <c r="F825" s="1" t="str">
        <f>IFERROR(__xludf.DUMMYFUNCTION("""COMPUTED_VALUE"""),"FOR CANCELLATION")</f>
        <v>FOR CANCELLATION</v>
      </c>
      <c r="G825" s="1" t="str">
        <f>IFERROR(__xludf.DUMMYFUNCTION("""COMPUTED_VALUE"""),"FOR CANCELLATION")</f>
        <v>FOR CANCELLATION</v>
      </c>
      <c r="H825" s="1" t="str">
        <f>IFERROR(__xludf.DUMMYFUNCTION("""COMPUTED_VALUE"""),"FOR CANCELLATION- AKALA DAW NYA IKAKABIT MUNA BAGO MAGBABAYAD")</f>
        <v>FOR CANCELLATION- AKALA DAW NYA IKAKABIT MUNA BAGO MAGBABAYAD</v>
      </c>
      <c r="I825" s="1"/>
      <c r="J825" s="1"/>
      <c r="K825" s="1" t="str">
        <f>IFERROR(__xludf.DUMMYFUNCTION("""COMPUTED_VALUE"""),"NOT IN OFSC")</f>
        <v>NOT IN OFSC</v>
      </c>
      <c r="L825" s="1" t="str">
        <f>IFERROR(__xludf.DUMMYFUNCTION("""COMPUTED_VALUE"""),"FOR PAYMENT")</f>
        <v>FOR PAYMENT</v>
      </c>
      <c r="M825" s="1" t="str">
        <f>IFERROR(__xludf.DUMMYFUNCTION("""COMPUTED_VALUE"""),"FOR CANCELLATION - NON COMPLIANCE - NO PAYMENT")</f>
        <v>FOR CANCELLATION - NON COMPLIANCE - NO PAYMENT</v>
      </c>
      <c r="N825" s="3"/>
      <c r="O825" s="1" t="str">
        <f>IFERROR(__xludf.DUMMYFUNCTION("""COMPUTED_VALUE"""),"FIBR PLAN 1299")</f>
        <v>FIBR PLAN 1299</v>
      </c>
      <c r="P825" s="1" t="str">
        <f>IFERROR(__xludf.DUMMYFUNCTION("""COMPUTED_VALUE"""),"LOWPLAN")</f>
        <v>LOWPLAN</v>
      </c>
      <c r="Q825" s="1" t="str">
        <f>IFERROR(__xludf.DUMMYFUNCTION("""COMPUTED_VALUE"""),"P407515 ")</f>
        <v>P407515 </v>
      </c>
      <c r="R825" s="1" t="str">
        <f>IFERROR(__xludf.DUMMYFUNCTION("""COMPUTED_VALUE"""),"MORADOS, MARVIN")</f>
        <v>MORADOS, MARVIN</v>
      </c>
      <c r="S825" s="1" t="str">
        <f>IFERROR(__xludf.DUMMYFUNCTION("""COMPUTED_VALUE"""),"FLA")</f>
        <v>FLA</v>
      </c>
      <c r="T825" s="1" t="str">
        <f>IFERROR(__xludf.DUMMYFUNCTION("""COMPUTED_VALUE"""),"JERIC NAVARRO")</f>
        <v>JERIC NAVARRO</v>
      </c>
      <c r="U825" s="1" t="str">
        <f>IFERROR(__xludf.DUMMYFUNCTION("""COMPUTED_VALUE"""),"JULIE ESPIRITU")</f>
        <v>JULIE ESPIRITU</v>
      </c>
      <c r="V825" s="1" t="str">
        <f>IFERROR(__xludf.DUMMYFUNCTION("""COMPUTED_VALUE"""),"ONLINE/CRANFORD")</f>
        <v>ONLINE/CRANFORD</v>
      </c>
      <c r="W825" s="1" t="str">
        <f>IFERROR(__xludf.DUMMYFUNCTION("""COMPUTED_VALUE"""),"STK REGULAR")</f>
        <v>STK REGULAR</v>
      </c>
      <c r="X825" s="1" t="str">
        <f>IFERROR(__xludf.DUMMYFUNCTION("""COMPUTED_VALUE"""),"REGULAR")</f>
        <v>REGULAR</v>
      </c>
      <c r="Y825" s="1" t="str">
        <f>IFERROR(__xludf.DUMMYFUNCTION("""COMPUTED_VALUE"""),"RS_ONL_CVEU_2026")</f>
        <v>RS_ONL_CVEU_2026</v>
      </c>
      <c r="Z825" s="1" t="str">
        <f>IFERROR(__xludf.DUMMYFUNCTION("""COMPUTED_VALUE"""),"NEW CONNECT")</f>
        <v>NEW CONNECT</v>
      </c>
      <c r="AA825" s="1">
        <f>IFERROR(__xludf.DUMMYFUNCTION("""COMPUTED_VALUE"""),639610898564)</f>
        <v>639610898564</v>
      </c>
      <c r="AB825" s="1"/>
      <c r="AC825" s="1"/>
      <c r="AD825" s="1" t="str">
        <f>IFERROR(__xludf.DUMMYFUNCTION("""COMPUTED_VALUE"""),"ROSE")</f>
        <v>ROSE</v>
      </c>
      <c r="AE825" s="1" t="str">
        <f>IFERROR(__xludf.DUMMYFUNCTION("""COMPUTED_VALUE"""),"MASAITO HOME PHASE 3")</f>
        <v>MASAITO HOME PHASE 3</v>
      </c>
      <c r="AF825" s="1" t="str">
        <f>IFERROR(__xludf.DUMMYFUNCTION("""COMPUTED_VALUE"""),"BGY DE OCAMPO")</f>
        <v>BGY DE OCAMPO</v>
      </c>
      <c r="AG825" s="1" t="str">
        <f>IFERROR(__xludf.DUMMYFUNCTION("""COMPUTED_VALUE"""),"TRECE MARTIREZ CITY")</f>
        <v>TRECE MARTIREZ CITY</v>
      </c>
      <c r="AH825" s="1"/>
      <c r="AI825" s="1" t="str">
        <f>IFERROR(__xludf.DUMMYFUNCTION("""COMPUTED_VALUE"""),"NOT AOR")</f>
        <v>NOT AOR</v>
      </c>
    </row>
    <row r="826" customHeight="1" spans="1:35">
      <c r="A826" s="3">
        <f>IFERROR(__xludf.DUMMYFUNCTION("""COMPUTED_VALUE"""),46297)</f>
        <v>46297</v>
      </c>
      <c r="B826" s="1" t="str">
        <f>IFERROR(__xludf.DUMMYFUNCTION("""COMPUTED_VALUE"""),"ELDON TOLEDO AUSENTE")</f>
        <v>ELDON TOLEDO AUSENTE</v>
      </c>
      <c r="C826" s="1">
        <f>IFERROR(__xludf.DUMMYFUNCTION("""COMPUTED_VALUE"""),2312932115)</f>
        <v>2312932115</v>
      </c>
      <c r="D826" s="1">
        <f>IFERROR(__xludf.DUMMYFUNCTION("""COMPUTED_VALUE"""),408605121)</f>
        <v>408605121</v>
      </c>
      <c r="E826" s="1">
        <f>IFERROR(__xludf.DUMMYFUNCTION("""COMPUTED_VALUE"""),473943022004)</f>
        <v>473943022004</v>
      </c>
      <c r="F826" s="1" t="str">
        <f>IFERROR(__xludf.DUMMYFUNCTION("""COMPUTED_VALUE"""),"CLOSED")</f>
        <v>CLOSED</v>
      </c>
      <c r="G826" s="1" t="str">
        <f>IFERROR(__xludf.DUMMYFUNCTION("""COMPUTED_VALUE"""),"CLOSED")</f>
        <v>CLOSED</v>
      </c>
      <c r="H826" s="1" t="str">
        <f>IFERROR(__xludf.DUMMYFUNCTION("""COMPUTED_VALUE"""),"PQGOR366081506	03-Oct-26	Regular Payment	CIS-GCASH 3.0	1,000.00	0	03-Oct-26")</f>
        <v>PQGOR366081506	03-Oct-26	Regular Payment	CIS-GCASH 3.0	1,000.00	0	03-Oct-26</v>
      </c>
      <c r="I826" s="1" t="str">
        <f>IFERROR(__xludf.DUMMYFUNCTION("""COMPUTED_VALUE"""),"WITH 1 AMSF")</f>
        <v>WITH 1 AMSF</v>
      </c>
      <c r="J826" s="1"/>
      <c r="K826" s="1" t="str">
        <f>IFERROR(__xludf.DUMMYFUNCTION("""COMPUTED_VALUE"""),"COMPLETED")</f>
        <v>COMPLETED</v>
      </c>
      <c r="L826" s="1" t="str">
        <f>IFERROR(__xludf.DUMMYFUNCTION("""COMPUTED_VALUE"""),"POSTED")</f>
        <v>POSTED</v>
      </c>
      <c r="M826" s="1" t="str">
        <f>IFERROR(__xludf.DUMMYFUNCTION("""COMPUTED_VALUE"""),"POSTED")</f>
        <v>POSTED</v>
      </c>
      <c r="N826" s="3">
        <f>IFERROR(__xludf.DUMMYFUNCTION("""COMPUTED_VALUE"""),46299)</f>
        <v>46299</v>
      </c>
      <c r="O826" s="1" t="str">
        <f>IFERROR(__xludf.DUMMYFUNCTION("""COMPUTED_VALUE"""),"FIBER UNLI PLAN 1399")</f>
        <v>FIBER UNLI PLAN 1399</v>
      </c>
      <c r="P826" s="1" t="str">
        <f>IFERROR(__xludf.DUMMYFUNCTION("""COMPUTED_VALUE"""),"LOWPLAN")</f>
        <v>LOWPLAN</v>
      </c>
      <c r="Q826" s="1" t="str">
        <f>IFERROR(__xludf.DUMMYFUNCTION("""COMPUTED_VALUE"""),"P407560")</f>
        <v>P407560</v>
      </c>
      <c r="R826" s="1" t="str">
        <f>IFERROR(__xludf.DUMMYFUNCTION("""COMPUTED_VALUE"""),"ASEO, VINCENT")</f>
        <v>ASEO, VINCENT</v>
      </c>
      <c r="S826" s="1" t="str">
        <f>IFERROR(__xludf.DUMMYFUNCTION("""COMPUTED_VALUE"""),"ORGANIC")</f>
        <v>ORGANIC</v>
      </c>
      <c r="T826" s="1" t="str">
        <f>IFERROR(__xludf.DUMMYFUNCTION("""COMPUTED_VALUE"""),"LEA REMOLLO")</f>
        <v>LEA REMOLLO</v>
      </c>
      <c r="U826" s="1" t="str">
        <f>IFERROR(__xludf.DUMMYFUNCTION("""COMPUTED_VALUE"""),"JB SALIOA")</f>
        <v>JB SALIOA</v>
      </c>
      <c r="V826" s="1" t="str">
        <f>IFERROR(__xludf.DUMMYFUNCTION("""COMPUTED_VALUE"""),"BK HSTK")</f>
        <v>BK HSTK</v>
      </c>
      <c r="W826" s="1" t="str">
        <f>IFERROR(__xludf.DUMMYFUNCTION("""COMPUTED_VALUE"""),"BK HSTK")</f>
        <v>BK HSTK</v>
      </c>
      <c r="X826" s="1" t="str">
        <f>IFERROR(__xludf.DUMMYFUNCTION("""COMPUTED_VALUE"""),"FIBER 1399 98TH YR")</f>
        <v>FIBER 1399 98TH YR</v>
      </c>
      <c r="Y826" s="1" t="str">
        <f>IFERROR(__xludf.DUMMYFUNCTION("""COMPUTED_VALUE"""),"BK_CVEU_260825")</f>
        <v>BK_CVEU_260825</v>
      </c>
      <c r="Z826" s="1" t="str">
        <f>IFERROR(__xludf.DUMMYFUNCTION("""COMPUTED_VALUE"""),"NEW CONNECT")</f>
        <v>NEW CONNECT</v>
      </c>
      <c r="AA826" s="1">
        <f>IFERROR(__xludf.DUMMYFUNCTION("""COMPUTED_VALUE"""),639753368035)</f>
        <v>639753368035</v>
      </c>
      <c r="AB826" s="1">
        <f>IFERROR(__xludf.DUMMYFUNCTION("""COMPUTED_VALUE"""),639945591090)</f>
        <v>639945591090</v>
      </c>
      <c r="AC826" s="1"/>
      <c r="AD826" s="1" t="str">
        <f>IFERROR(__xludf.DUMMYFUNCTION("""COMPUTED_VALUE"""),"REUBEN")</f>
        <v>REUBEN</v>
      </c>
      <c r="AE826" s="1"/>
      <c r="AF826" s="1" t="str">
        <f>IFERROR(__xludf.DUMMYFUNCTION("""COMPUTED_VALUE"""),"SEVERINO DE LAS ALAS")</f>
        <v>SEVERINO DE LAS ALAS</v>
      </c>
      <c r="AG826" s="1" t="str">
        <f>IFERROR(__xludf.DUMMYFUNCTION("""COMPUTED_VALUE"""),"GEN MARIANO ALVAREZ")</f>
        <v>GEN MARIANO ALVAREZ</v>
      </c>
      <c r="AH826" s="1" t="str">
        <f>IFERROR(__xludf.DUMMYFUNCTION("""COMPUTED_VALUE"""),"-")</f>
        <v>-</v>
      </c>
      <c r="AI826" s="1" t="str">
        <f>IFERROR(__xludf.DUMMYFUNCTION("""COMPUTED_VALUE"""),"CLUSTER 11")</f>
        <v>CLUSTER 11</v>
      </c>
    </row>
    <row r="827" customHeight="1" spans="1:35">
      <c r="A827" s="3">
        <f>IFERROR(__xludf.DUMMYFUNCTION("""COMPUTED_VALUE"""),46298)</f>
        <v>46298</v>
      </c>
      <c r="B827" s="1" t="str">
        <f>IFERROR(__xludf.DUMMYFUNCTION("""COMPUTED_VALUE"""),"CRISOSTOMO ESTRELLA LAPUZ")</f>
        <v>CRISOSTOMO ESTRELLA LAPUZ</v>
      </c>
      <c r="C827" s="1">
        <f>IFERROR(__xludf.DUMMYFUNCTION("""COMPUTED_VALUE"""),2312939242)</f>
        <v>2312939242</v>
      </c>
      <c r="D827" s="1">
        <f>IFERROR(__xludf.DUMMYFUNCTION("""COMPUTED_VALUE"""),408616395)</f>
        <v>408616395</v>
      </c>
      <c r="E827" s="1">
        <f>IFERROR(__xludf.DUMMYFUNCTION("""COMPUTED_VALUE"""),474043289004)</f>
        <v>474043289004</v>
      </c>
      <c r="F827" s="1" t="str">
        <f>IFERROR(__xludf.DUMMYFUNCTION("""COMPUTED_VALUE"""),"CLOSED")</f>
        <v>CLOSED</v>
      </c>
      <c r="G827" s="1" t="str">
        <f>IFERROR(__xludf.DUMMYFUNCTION("""COMPUTED_VALUE"""),"CLOSED")</f>
        <v>CLOSED</v>
      </c>
      <c r="H827" s="1" t="str">
        <f>IFERROR(__xludf.DUMMYFUNCTION("""COMPUTED_VALUE"""),"PQGOR366212983	05-Oct-26	Regular Payment	CIS-GCASH 3.0	1,399.00	0	05-Oct-26")</f>
        <v>PQGOR366212983	05-Oct-26	Regular Payment	CIS-GCASH 3.0	1,399.00	0	05-Oct-26</v>
      </c>
      <c r="I827" s="1" t="str">
        <f>IFERROR(__xludf.DUMMYFUNCTION("""COMPUTED_VALUE"""),"WITH 1 AMSF")</f>
        <v>WITH 1 AMSF</v>
      </c>
      <c r="J827" s="1"/>
      <c r="K827" s="1" t="str">
        <f>IFERROR(__xludf.DUMMYFUNCTION("""COMPUTED_VALUE"""),"COMPLETED")</f>
        <v>COMPLETED</v>
      </c>
      <c r="L827" s="1" t="str">
        <f>IFERROR(__xludf.DUMMYFUNCTION("""COMPUTED_VALUE"""),"POSTED")</f>
        <v>POSTED</v>
      </c>
      <c r="M827" s="1" t="str">
        <f>IFERROR(__xludf.DUMMYFUNCTION("""COMPUTED_VALUE"""),"POSTED")</f>
        <v>POSTED</v>
      </c>
      <c r="N827" s="3">
        <f>IFERROR(__xludf.DUMMYFUNCTION("""COMPUTED_VALUE"""),46300)</f>
        <v>46300</v>
      </c>
      <c r="O827" s="1" t="str">
        <f>IFERROR(__xludf.DUMMYFUNCTION("""COMPUTED_VALUE"""),"FIBER UNLI PLAN 1399")</f>
        <v>FIBER UNLI PLAN 1399</v>
      </c>
      <c r="P827" s="1" t="str">
        <f>IFERROR(__xludf.DUMMYFUNCTION("""COMPUTED_VALUE"""),"LOWPLAN")</f>
        <v>LOWPLAN</v>
      </c>
      <c r="Q827" s="1" t="str">
        <f>IFERROR(__xludf.DUMMYFUNCTION("""COMPUTED_VALUE"""),"P407049")</f>
        <v>P407049</v>
      </c>
      <c r="R827" s="1" t="str">
        <f>IFERROR(__xludf.DUMMYFUNCTION("""COMPUTED_VALUE"""),"CORNELIO, CATHERINE")</f>
        <v>CORNELIO, CATHERINE</v>
      </c>
      <c r="S827" s="1" t="str">
        <f>IFERROR(__xludf.DUMMYFUNCTION("""COMPUTED_VALUE"""),"ORGANIC")</f>
        <v>ORGANIC</v>
      </c>
      <c r="T827" s="1" t="str">
        <f>IFERROR(__xludf.DUMMYFUNCTION("""COMPUTED_VALUE"""),"LEA REMOLLO")</f>
        <v>LEA REMOLLO</v>
      </c>
      <c r="U827" s="1" t="str">
        <f>IFERROR(__xludf.DUMMYFUNCTION("""COMPUTED_VALUE"""),"JB SALIOA")</f>
        <v>JB SALIOA</v>
      </c>
      <c r="V827" s="1" t="str">
        <f>IFERROR(__xludf.DUMMYFUNCTION("""COMPUTED_VALUE"""),"BK REGULAR")</f>
        <v>BK REGULAR</v>
      </c>
      <c r="W827" s="1" t="str">
        <f>IFERROR(__xludf.DUMMYFUNCTION("""COMPUTED_VALUE"""),"STK REGULAR")</f>
        <v>STK REGULAR</v>
      </c>
      <c r="X827" s="1" t="str">
        <f>IFERROR(__xludf.DUMMYFUNCTION("""COMPUTED_VALUE"""),"FIBER 1399 98TH YR")</f>
        <v>FIBER 1399 98TH YR</v>
      </c>
      <c r="Y827" s="1" t="str">
        <f>IFERROR(__xludf.DUMMYFUNCTION("""COMPUTED_VALUE"""),"BK_CVEU_260827")</f>
        <v>BK_CVEU_260827</v>
      </c>
      <c r="Z827" s="1" t="str">
        <f>IFERROR(__xludf.DUMMYFUNCTION("""COMPUTED_VALUE"""),"NEW CONNECT")</f>
        <v>NEW CONNECT</v>
      </c>
      <c r="AA827" s="1">
        <f>IFERROR(__xludf.DUMMYFUNCTION("""COMPUTED_VALUE"""),639456340883)</f>
        <v>639456340883</v>
      </c>
      <c r="AB827" s="1">
        <f>IFERROR(__xludf.DUMMYFUNCTION("""COMPUTED_VALUE"""),639273806492)</f>
        <v>639273806492</v>
      </c>
      <c r="AC827" s="1">
        <f>IFERROR(__xludf.DUMMYFUNCTION("""COMPUTED_VALUE"""),690)</f>
        <v>690</v>
      </c>
      <c r="AD827" s="1" t="str">
        <f>IFERROR(__xludf.DUMMYFUNCTION("""COMPUTED_VALUE"""),"ILAYANG PULO")</f>
        <v>ILAYANG PULO</v>
      </c>
      <c r="AE827" s="1"/>
      <c r="AF827" s="1" t="str">
        <f>IFERROR(__xludf.DUMMYFUNCTION("""COMPUTED_VALUE"""),"BGY IBA")</f>
        <v>BGY IBA</v>
      </c>
      <c r="AG827" s="1" t="str">
        <f>IFERROR(__xludf.DUMMYFUNCTION("""COMPUTED_VALUE"""),"SILANG")</f>
        <v>SILANG</v>
      </c>
      <c r="AH827" s="1" t="str">
        <f>IFERROR(__xludf.DUMMYFUNCTION("""COMPUTED_VALUE"""),"ILAYANG PULO")</f>
        <v>ILAYANG PULO</v>
      </c>
      <c r="AI827" s="1" t="str">
        <f>IFERROR(__xludf.DUMMYFUNCTION("""COMPUTED_VALUE"""),"CLUSTER 11")</f>
        <v>CLUSTER 11</v>
      </c>
    </row>
    <row r="828" customHeight="1" spans="1:35">
      <c r="A828" s="3">
        <f>IFERROR(__xludf.DUMMYFUNCTION("""COMPUTED_VALUE"""),46298)</f>
        <v>46298</v>
      </c>
      <c r="B828" s="1" t="str">
        <f>IFERROR(__xludf.DUMMYFUNCTION("""COMPUTED_VALUE"""),"JHOHANNA AGQUEZ JUIT")</f>
        <v>JHOHANNA AGQUEZ JUIT</v>
      </c>
      <c r="C828" s="1">
        <f>IFERROR(__xludf.DUMMYFUNCTION("""COMPUTED_VALUE"""),2312939800)</f>
        <v>2312939800</v>
      </c>
      <c r="D828" s="1">
        <f>IFERROR(__xludf.DUMMYFUNCTION("""COMPUTED_VALUE"""),408624592)</f>
        <v>408624592</v>
      </c>
      <c r="E828" s="1">
        <f>IFERROR(__xludf.DUMMYFUNCTION("""COMPUTED_VALUE"""),474055558004)</f>
        <v>474055558004</v>
      </c>
      <c r="F828" s="1" t="str">
        <f>IFERROR(__xludf.DUMMYFUNCTION("""COMPUTED_VALUE"""),"CLOSED")</f>
        <v>CLOSED</v>
      </c>
      <c r="G828" s="1" t="str">
        <f>IFERROR(__xludf.DUMMYFUNCTION("""COMPUTED_VALUE"""),"CLOSED")</f>
        <v>CLOSED</v>
      </c>
      <c r="H828" s="1" t="str">
        <f>IFERROR(__xludf.DUMMYFUNCTION("""COMPUTED_VALUE"""),"PEOOR000784319	19-Oct-26	Regular Payment	PAYMENT SERVICES	1,399.00	0	19-Oct-26")</f>
        <v>PEOOR000784319	19-Oct-26	Regular Payment	PAYMENT SERVICES	1,399.00	0	19-Oct-26</v>
      </c>
      <c r="I828" s="1" t="str">
        <f>IFERROR(__xludf.DUMMYFUNCTION("""COMPUTED_VALUE"""),"WITH 1 AMSF")</f>
        <v>WITH 1 AMSF</v>
      </c>
      <c r="J828" s="1" t="str">
        <f>IFERROR(__xludf.DUMMYFUNCTION("""COMPUTED_VALUE"""),"BALANCE - : 93.27")</f>
        <v>BALANCE - : 93.27</v>
      </c>
      <c r="K828" s="1" t="str">
        <f>IFERROR(__xludf.DUMMYFUNCTION("""COMPUTED_VALUE"""),"COMPLETED")</f>
        <v>COMPLETED</v>
      </c>
      <c r="L828" s="1" t="str">
        <f>IFERROR(__xludf.DUMMYFUNCTION("""COMPUTED_VALUE"""),"POSTED")</f>
        <v>POSTED</v>
      </c>
      <c r="M828" s="1" t="str">
        <f>IFERROR(__xludf.DUMMYFUNCTION("""COMPUTED_VALUE"""),"POSTED")</f>
        <v>POSTED</v>
      </c>
      <c r="N828" s="3">
        <f>IFERROR(__xludf.DUMMYFUNCTION("""COMPUTED_VALUE"""),46299)</f>
        <v>46299</v>
      </c>
      <c r="O828" s="1" t="str">
        <f>IFERROR(__xludf.DUMMYFUNCTION("""COMPUTED_VALUE"""),"FIBER UNLI PLAN 1399")</f>
        <v>FIBER UNLI PLAN 1399</v>
      </c>
      <c r="P828" s="1" t="str">
        <f>IFERROR(__xludf.DUMMYFUNCTION("""COMPUTED_VALUE"""),"LOWPLAN")</f>
        <v>LOWPLAN</v>
      </c>
      <c r="Q828" s="1" t="str">
        <f>IFERROR(__xludf.DUMMYFUNCTION("""COMPUTED_VALUE"""),"P407050")</f>
        <v>P407050</v>
      </c>
      <c r="R828" s="1" t="str">
        <f>IFERROR(__xludf.DUMMYFUNCTION("""COMPUTED_VALUE"""),"ESCARCHA, ALMA")</f>
        <v>ESCARCHA, ALMA</v>
      </c>
      <c r="S828" s="1" t="str">
        <f>IFERROR(__xludf.DUMMYFUNCTION("""COMPUTED_VALUE"""),"ORGANIC")</f>
        <v>ORGANIC</v>
      </c>
      <c r="T828" s="1" t="str">
        <f>IFERROR(__xludf.DUMMYFUNCTION("""COMPUTED_VALUE"""),"LEA REMOLLO")</f>
        <v>LEA REMOLLO</v>
      </c>
      <c r="U828" s="1" t="str">
        <f>IFERROR(__xludf.DUMMYFUNCTION("""COMPUTED_VALUE"""),"JB SALIOA")</f>
        <v>JB SALIOA</v>
      </c>
      <c r="V828" s="1" t="str">
        <f>IFERROR(__xludf.DUMMYFUNCTION("""COMPUTED_VALUE"""),"BK REGULAR")</f>
        <v>BK REGULAR</v>
      </c>
      <c r="W828" s="1" t="str">
        <f>IFERROR(__xludf.DUMMYFUNCTION("""COMPUTED_VALUE"""),"STK REGULAR")</f>
        <v>STK REGULAR</v>
      </c>
      <c r="X828" s="1" t="str">
        <f>IFERROR(__xludf.DUMMYFUNCTION("""COMPUTED_VALUE"""),"FIBER 1399 98TH YR")</f>
        <v>FIBER 1399 98TH YR</v>
      </c>
      <c r="Y828" s="1" t="str">
        <f>IFERROR(__xludf.DUMMYFUNCTION("""COMPUTED_VALUE"""),"BK_CVEU_260828")</f>
        <v>BK_CVEU_260828</v>
      </c>
      <c r="Z828" s="1" t="str">
        <f>IFERROR(__xludf.DUMMYFUNCTION("""COMPUTED_VALUE"""),"NEW CONNECT")</f>
        <v>NEW CONNECT</v>
      </c>
      <c r="AA828" s="1">
        <f>IFERROR(__xludf.DUMMYFUNCTION("""COMPUTED_VALUE"""),639157681868)</f>
        <v>639157681868</v>
      </c>
      <c r="AB828" s="1"/>
      <c r="AC828" s="1">
        <f>IFERROR(__xludf.DUMMYFUNCTION("""COMPUTED_VALUE"""),9068)</f>
        <v>9068</v>
      </c>
      <c r="AD828" s="1" t="str">
        <f>IFERROR(__xludf.DUMMYFUNCTION("""COMPUTED_VALUE"""),"PUROK 43")</f>
        <v>PUROK 43</v>
      </c>
      <c r="AE828" s="1"/>
      <c r="AF828" s="1" t="str">
        <f>IFERROR(__xludf.DUMMYFUNCTION("""COMPUTED_VALUE"""),"BGY IRUHIN SOUTH")</f>
        <v>BGY IRUHIN SOUTH</v>
      </c>
      <c r="AG828" s="1" t="str">
        <f>IFERROR(__xludf.DUMMYFUNCTION("""COMPUTED_VALUE"""),"TAGAYTAY")</f>
        <v>TAGAYTAY</v>
      </c>
      <c r="AH828" s="1" t="str">
        <f>IFERROR(__xludf.DUMMYFUNCTION("""COMPUTED_VALUE"""),"PUROK 43")</f>
        <v>PUROK 43</v>
      </c>
      <c r="AI828" s="1" t="str">
        <f>IFERROR(__xludf.DUMMYFUNCTION("""COMPUTED_VALUE"""),"CLUSTER 12")</f>
        <v>CLUSTER 12</v>
      </c>
    </row>
    <row r="829" customHeight="1" spans="1:35">
      <c r="A829" s="3">
        <f>IFERROR(__xludf.DUMMYFUNCTION("""COMPUTED_VALUE"""),46298)</f>
        <v>46298</v>
      </c>
      <c r="B829" s="1" t="str">
        <f>IFERROR(__xludf.DUMMYFUNCTION("""COMPUTED_VALUE"""),"MARIAVIC POLANGCO ESPANOLA")</f>
        <v>MARIAVIC POLANGCO ESPANOLA</v>
      </c>
      <c r="C829" s="1">
        <f>IFERROR(__xludf.DUMMYFUNCTION("""COMPUTED_VALUE"""),2312940613)</f>
        <v>2312940613</v>
      </c>
      <c r="D829" s="1"/>
      <c r="E829" s="1"/>
      <c r="F829" s="1" t="str">
        <f>IFERROR(__xludf.DUMMYFUNCTION("""COMPUTED_VALUE"""),"CANCELLED")</f>
        <v>CANCELLED</v>
      </c>
      <c r="G829" s="1" t="str">
        <f>IFERROR(__xludf.DUMMYFUNCTION("""COMPUTED_VALUE"""),"(PLDT_INCOMPLETE / INVALID DOCS) FOUND WITH ACTIVE ACCTS 0390513151 / 0390496818 FOR MULTIPLE LINE APPLICATION NEED TO SUBMIT POA OF THE NEW APPLIED ADDRESS UNDER APPLICANT'S NAME// ALSO NEED TO SECURE ZONE HEAD APPROVAL 2ND LINE SAME ADDRESS")</f>
        <v>(PLDT_INCOMPLETE / INVALID DOCS) FOUND WITH ACTIVE ACCTS 0390513151 / 0390496818 FOR MULTIPLE LINE APPLICATION NEED TO SUBMIT POA OF THE NEW APPLIED ADDRESS UNDER APPLICANT'S NAME// ALSO NEED TO SECURE ZONE HEAD APPROVAL 2ND LINE SAME ADDRESS</v>
      </c>
      <c r="H829" s="1"/>
      <c r="I829" s="1"/>
      <c r="J829" s="1"/>
      <c r="K829" s="1"/>
      <c r="L829" s="1" t="str">
        <f>IFERROR(__xludf.DUMMYFUNCTION("""COMPUTED_VALUE"""),"CANCELLED")</f>
        <v>CANCELLED</v>
      </c>
      <c r="M829" s="1" t="str">
        <f>IFERROR(__xludf.DUMMYFUNCTION("""COMPUTED_VALUE"""),"CANCELLED - WITH ACTIVE LINE")</f>
        <v>CANCELLED - WITH ACTIVE LINE</v>
      </c>
      <c r="N829" s="3"/>
      <c r="O829" s="1" t="str">
        <f>IFERROR(__xludf.DUMMYFUNCTION("""COMPUTED_VALUE"""),"FIBR PLAN 1299")</f>
        <v>FIBR PLAN 1299</v>
      </c>
      <c r="P829" s="1" t="str">
        <f>IFERROR(__xludf.DUMMYFUNCTION("""COMPUTED_VALUE"""),"LOWPLAN")</f>
        <v>LOWPLAN</v>
      </c>
      <c r="Q829" s="1" t="str">
        <f>IFERROR(__xludf.DUMMYFUNCTION("""COMPUTED_VALUE"""),"P407520")</f>
        <v>P407520</v>
      </c>
      <c r="R829" s="1" t="str">
        <f>IFERROR(__xludf.DUMMYFUNCTION("""COMPUTED_VALUE"""),"MALIWAT, MARK")</f>
        <v>MALIWAT, MARK</v>
      </c>
      <c r="S829" s="1" t="str">
        <f>IFERROR(__xludf.DUMMYFUNCTION("""COMPUTED_VALUE"""),"FLA")</f>
        <v>FLA</v>
      </c>
      <c r="T829" s="1" t="str">
        <f>IFERROR(__xludf.DUMMYFUNCTION("""COMPUTED_VALUE"""),"JERIC NAVARRO")</f>
        <v>JERIC NAVARRO</v>
      </c>
      <c r="U829" s="1" t="str">
        <f>IFERROR(__xludf.DUMMYFUNCTION("""COMPUTED_VALUE"""),"JB SALIOA")</f>
        <v>JB SALIOA</v>
      </c>
      <c r="V829" s="1" t="str">
        <f>IFERROR(__xludf.DUMMYFUNCTION("""COMPUTED_VALUE"""),"ONLINE/CRANFORD")</f>
        <v>ONLINE/CRANFORD</v>
      </c>
      <c r="W829" s="1" t="str">
        <f>IFERROR(__xludf.DUMMYFUNCTION("""COMPUTED_VALUE"""),"STK REGULAR")</f>
        <v>STK REGULAR</v>
      </c>
      <c r="X829" s="1" t="str">
        <f>IFERROR(__xludf.DUMMYFUNCTION("""COMPUTED_VALUE"""),"REGULAR")</f>
        <v>REGULAR</v>
      </c>
      <c r="Y829" s="1" t="str">
        <f>IFERROR(__xludf.DUMMYFUNCTION("""COMPUTED_VALUE"""),"RS_ONL_CVEU_2026")</f>
        <v>RS_ONL_CVEU_2026</v>
      </c>
      <c r="Z829" s="1" t="str">
        <f>IFERROR(__xludf.DUMMYFUNCTION("""COMPUTED_VALUE"""),"NEW CONNECT")</f>
        <v>NEW CONNECT</v>
      </c>
      <c r="AA829" s="1">
        <f>IFERROR(__xludf.DUMMYFUNCTION("""COMPUTED_VALUE"""),639279594428)</f>
        <v>639279594428</v>
      </c>
      <c r="AB829" s="1"/>
      <c r="AC829" s="1"/>
      <c r="AD829" s="1" t="str">
        <f>IFERROR(__xludf.DUMMYFUNCTION("""COMPUTED_VALUE"""),"MT PINATUBO")</f>
        <v>MT PINATUBO</v>
      </c>
      <c r="AE829" s="1" t="str">
        <f>IFERROR(__xludf.DUMMYFUNCTION("""COMPUTED_VALUE"""),"CAMELLA SPRINGVILLE HEIGHTS")</f>
        <v>CAMELLA SPRINGVILLE HEIGHTS</v>
      </c>
      <c r="AF829" s="1" t="str">
        <f>IFERROR(__xludf.DUMMYFUNCTION("""COMPUTED_VALUE"""),"BGY MOLINO 7")</f>
        <v>BGY MOLINO 7</v>
      </c>
      <c r="AG829" s="1" t="str">
        <f>IFERROR(__xludf.DUMMYFUNCTION("""COMPUTED_VALUE"""),"BACOOR")</f>
        <v>BACOOR</v>
      </c>
      <c r="AH829" s="1" t="str">
        <f>IFERROR(__xludf.DUMMYFUNCTION("""COMPUTED_VALUE"""),"MT PINATUBO")</f>
        <v>MT PINATUBO</v>
      </c>
      <c r="AI829" s="1" t="str">
        <f>IFERROR(__xludf.DUMMYFUNCTION("""COMPUTED_VALUE"""),"NOT AOR")</f>
        <v>NOT AOR</v>
      </c>
    </row>
    <row r="830" customHeight="1" spans="1:35">
      <c r="A830" s="3">
        <f>IFERROR(__xludf.DUMMYFUNCTION("""COMPUTED_VALUE"""),46298)</f>
        <v>46298</v>
      </c>
      <c r="B830" s="1" t="str">
        <f>IFERROR(__xludf.DUMMYFUNCTION("""COMPUTED_VALUE"""),"MARK PEREZ ALMONTE")</f>
        <v>MARK PEREZ ALMONTE</v>
      </c>
      <c r="C830" s="1">
        <f>IFERROR(__xludf.DUMMYFUNCTION("""COMPUTED_VALUE"""),2312941003)</f>
        <v>2312941003</v>
      </c>
      <c r="D830" s="1">
        <f>IFERROR(__xludf.DUMMYFUNCTION("""COMPUTED_VALUE"""),408642132)</f>
        <v>408642132</v>
      </c>
      <c r="E830" s="1">
        <f>IFERROR(__xludf.DUMMYFUNCTION("""COMPUTED_VALUE"""),474109809004)</f>
        <v>474109809004</v>
      </c>
      <c r="F830" s="1" t="str">
        <f>IFERROR(__xludf.DUMMYFUNCTION("""COMPUTED_VALUE"""),"FOR CANCELLATION")</f>
        <v>FOR CANCELLATION</v>
      </c>
      <c r="G830" s="1" t="str">
        <f>IFERROR(__xludf.DUMMYFUNCTION("""COMPUTED_VALUE"""),"FOR CANCELLATION")</f>
        <v>FOR CANCELLATION</v>
      </c>
      <c r="H830" s="1" t="str">
        <f>IFERROR(__xludf.DUMMYFUNCTION("""COMPUTED_VALUE"""),"FOR CANCELLATION- WALA PA DAW SILANG PERA PANG ADVANCE PAYMENT")</f>
        <v>FOR CANCELLATION- WALA PA DAW SILANG PERA PANG ADVANCE PAYMENT</v>
      </c>
      <c r="I830" s="1"/>
      <c r="J830" s="1"/>
      <c r="K830" s="1" t="str">
        <f>IFERROR(__xludf.DUMMYFUNCTION("""COMPUTED_VALUE"""),"NOT IN OFSC")</f>
        <v>NOT IN OFSC</v>
      </c>
      <c r="L830" s="1" t="str">
        <f>IFERROR(__xludf.DUMMYFUNCTION("""COMPUTED_VALUE"""),"FOR PAYMENT")</f>
        <v>FOR PAYMENT</v>
      </c>
      <c r="M830" s="1" t="str">
        <f>IFERROR(__xludf.DUMMYFUNCTION("""COMPUTED_VALUE"""),"FOR CANCELLATION - NON COMPLIANCE - NO PAYMENT")</f>
        <v>FOR CANCELLATION - NON COMPLIANCE - NO PAYMENT</v>
      </c>
      <c r="N830" s="3"/>
      <c r="O830" s="1" t="str">
        <f>IFERROR(__xludf.DUMMYFUNCTION("""COMPUTED_VALUE"""),"FIBR PLAN 1299")</f>
        <v>FIBR PLAN 1299</v>
      </c>
      <c r="P830" s="1" t="str">
        <f>IFERROR(__xludf.DUMMYFUNCTION("""COMPUTED_VALUE"""),"LOWPLAN")</f>
        <v>LOWPLAN</v>
      </c>
      <c r="Q830" s="1" t="str">
        <f>IFERROR(__xludf.DUMMYFUNCTION("""COMPUTED_VALUE"""),"P407048")</f>
        <v>P407048</v>
      </c>
      <c r="R830" s="1" t="str">
        <f>IFERROR(__xludf.DUMMYFUNCTION("""COMPUTED_VALUE"""),"MORADOS, MARVIN")</f>
        <v>MORADOS, MARVIN</v>
      </c>
      <c r="S830" s="1" t="str">
        <f>IFERROR(__xludf.DUMMYFUNCTION("""COMPUTED_VALUE"""),"FLA")</f>
        <v>FLA</v>
      </c>
      <c r="T830" s="1" t="str">
        <f>IFERROR(__xludf.DUMMYFUNCTION("""COMPUTED_VALUE"""),"GARCIA MICHAEL JETTS")</f>
        <v>GARCIA MICHAEL JETTS</v>
      </c>
      <c r="U830" s="1" t="str">
        <f>IFERROR(__xludf.DUMMYFUNCTION("""COMPUTED_VALUE"""),"JB SALIOA")</f>
        <v>JB SALIOA</v>
      </c>
      <c r="V830" s="1" t="str">
        <f>IFERROR(__xludf.DUMMYFUNCTION("""COMPUTED_VALUE"""),"ONLINE/CRANFORD")</f>
        <v>ONLINE/CRANFORD</v>
      </c>
      <c r="W830" s="1" t="str">
        <f>IFERROR(__xludf.DUMMYFUNCTION("""COMPUTED_VALUE"""),"STK REGULAR")</f>
        <v>STK REGULAR</v>
      </c>
      <c r="X830" s="1" t="str">
        <f>IFERROR(__xludf.DUMMYFUNCTION("""COMPUTED_VALUE"""),"REGULAR")</f>
        <v>REGULAR</v>
      </c>
      <c r="Y830" s="1" t="str">
        <f>IFERROR(__xludf.DUMMYFUNCTION("""COMPUTED_VALUE"""),"RS_ONL_CVEU_2026")</f>
        <v>RS_ONL_CVEU_2026</v>
      </c>
      <c r="Z830" s="1" t="str">
        <f>IFERROR(__xludf.DUMMYFUNCTION("""COMPUTED_VALUE"""),"NEW CONNECT")</f>
        <v>NEW CONNECT</v>
      </c>
      <c r="AA830" s="1">
        <f>IFERROR(__xludf.DUMMYFUNCTION("""COMPUTED_VALUE"""),639128242567)</f>
        <v>639128242567</v>
      </c>
      <c r="AB830" s="1"/>
      <c r="AC830" s="1"/>
      <c r="AD830" s="1" t="str">
        <f>IFERROR(__xludf.DUMMYFUNCTION("""COMPUTED_VALUE"""),"GREENVILLE HOMES")</f>
        <v>GREENVILLE HOMES</v>
      </c>
      <c r="AE830" s="1" t="str">
        <f>IFERROR(__xludf.DUMMYFUNCTION("""COMPUTED_VALUE"""),"GREENVILLE HOMES SUBDIVISION")</f>
        <v>GREENVILLE HOMES SUBDIVISION</v>
      </c>
      <c r="AF830" s="1" t="str">
        <f>IFERROR(__xludf.DUMMYFUNCTION("""COMPUTED_VALUE"""),"BGY SAHUD ULAN")</f>
        <v>BGY SAHUD ULAN</v>
      </c>
      <c r="AG830" s="1" t="str">
        <f>IFERROR(__xludf.DUMMYFUNCTION("""COMPUTED_VALUE"""),"TAGAYTAY")</f>
        <v>TAGAYTAY</v>
      </c>
      <c r="AH830" s="1" t="str">
        <f>IFERROR(__xludf.DUMMYFUNCTION("""COMPUTED_VALUE"""),"PUROK 2")</f>
        <v>PUROK 2</v>
      </c>
      <c r="AI830" s="1" t="str">
        <f>IFERROR(__xludf.DUMMYFUNCTION("""COMPUTED_VALUE"""),"NOT AOR")</f>
        <v>NOT AOR</v>
      </c>
    </row>
    <row r="831" customHeight="1" spans="1:35">
      <c r="A831" s="3">
        <f>IFERROR(__xludf.DUMMYFUNCTION("""COMPUTED_VALUE"""),46298)</f>
        <v>46298</v>
      </c>
      <c r="B831" s="1" t="str">
        <f>IFERROR(__xludf.DUMMYFUNCTION("""COMPUTED_VALUE"""),"ALFRED AVENIDO PADICER")</f>
        <v>ALFRED AVENIDO PADICER</v>
      </c>
      <c r="C831" s="1">
        <f>IFERROR(__xludf.DUMMYFUNCTION("""COMPUTED_VALUE"""),2312941253)</f>
        <v>2312941253</v>
      </c>
      <c r="D831" s="1">
        <f>IFERROR(__xludf.DUMMYFUNCTION("""COMPUTED_VALUE"""),408620317)</f>
        <v>408620317</v>
      </c>
      <c r="E831" s="1">
        <f>IFERROR(__xludf.DUMMYFUNCTION("""COMPUTED_VALUE"""),474049348004)</f>
        <v>474049348004</v>
      </c>
      <c r="F831" s="1" t="str">
        <f>IFERROR(__xludf.DUMMYFUNCTION("""COMPUTED_VALUE"""),"FOR CANCELLATION")</f>
        <v>FOR CANCELLATION</v>
      </c>
      <c r="G831" s="1" t="str">
        <f>IFERROR(__xludf.DUMMYFUNCTION("""COMPUTED_VALUE"""),"FOR CANCELLATION")</f>
        <v>FOR CANCELLATION</v>
      </c>
      <c r="H831" s="1" t="str">
        <f>IFERROR(__xludf.DUMMYFUNCTION("""COMPUTED_VALUE"""),"NO FFTH")</f>
        <v>NO FFTH</v>
      </c>
      <c r="I831" s="1"/>
      <c r="J831" s="1"/>
      <c r="K831" s="1" t="str">
        <f>IFERROR(__xludf.DUMMYFUNCTION("""COMPUTED_VALUE"""),"NOT IN OFSC")</f>
        <v>NOT IN OFSC</v>
      </c>
      <c r="L831" s="1" t="str">
        <f>IFERROR(__xludf.DUMMYFUNCTION("""COMPUTED_VALUE"""),"FOR PAYMENT")</f>
        <v>FOR PAYMENT</v>
      </c>
      <c r="M831" s="1" t="str">
        <f>IFERROR(__xludf.DUMMYFUNCTION("""COMPUTED_VALUE"""),"FOR CANCELLATION - NON COMPLIANCE - NO PAYMENT")</f>
        <v>FOR CANCELLATION - NON COMPLIANCE - NO PAYMENT</v>
      </c>
      <c r="N831" s="3"/>
      <c r="O831" s="1" t="str">
        <f>IFERROR(__xludf.DUMMYFUNCTION("""COMPUTED_VALUE"""),"FIBER UNLI PLAN 1399")</f>
        <v>FIBER UNLI PLAN 1399</v>
      </c>
      <c r="P831" s="1" t="str">
        <f>IFERROR(__xludf.DUMMYFUNCTION("""COMPUTED_VALUE"""),"LOWPLAN")</f>
        <v>LOWPLAN</v>
      </c>
      <c r="Q831" s="1" t="str">
        <f>IFERROR(__xludf.DUMMYFUNCTION("""COMPUTED_VALUE"""),"P407520")</f>
        <v>P407520</v>
      </c>
      <c r="R831" s="1" t="str">
        <f>IFERROR(__xludf.DUMMYFUNCTION("""COMPUTED_VALUE"""),"MALIWAT, MARK")</f>
        <v>MALIWAT, MARK</v>
      </c>
      <c r="S831" s="1" t="str">
        <f>IFERROR(__xludf.DUMMYFUNCTION("""COMPUTED_VALUE"""),"FLA")</f>
        <v>FLA</v>
      </c>
      <c r="T831" s="1" t="str">
        <f>IFERROR(__xludf.DUMMYFUNCTION("""COMPUTED_VALUE"""),"JERIC NAVARRO")</f>
        <v>JERIC NAVARRO</v>
      </c>
      <c r="U831" s="1" t="str">
        <f>IFERROR(__xludf.DUMMYFUNCTION("""COMPUTED_VALUE"""),"JB SALIOA")</f>
        <v>JB SALIOA</v>
      </c>
      <c r="V831" s="1" t="str">
        <f>IFERROR(__xludf.DUMMYFUNCTION("""COMPUTED_VALUE"""),"BK REGULAR")</f>
        <v>BK REGULAR</v>
      </c>
      <c r="W831" s="1" t="str">
        <f>IFERROR(__xludf.DUMMYFUNCTION("""COMPUTED_VALUE"""),"STK REGULAR")</f>
        <v>STK REGULAR</v>
      </c>
      <c r="X831" s="1" t="str">
        <f>IFERROR(__xludf.DUMMYFUNCTION("""COMPUTED_VALUE"""),"FIBER 1399 98TH YR")</f>
        <v>FIBER 1399 98TH YR</v>
      </c>
      <c r="Y831" s="1" t="str">
        <f>IFERROR(__xludf.DUMMYFUNCTION("""COMPUTED_VALUE"""),"BK_CVEU_260825")</f>
        <v>BK_CVEU_260825</v>
      </c>
      <c r="Z831" s="1" t="str">
        <f>IFERROR(__xludf.DUMMYFUNCTION("""COMPUTED_VALUE"""),"NEW CONNECT")</f>
        <v>NEW CONNECT</v>
      </c>
      <c r="AA831" s="1">
        <f>IFERROR(__xludf.DUMMYFUNCTION("""COMPUTED_VALUE"""),639648680580)</f>
        <v>639648680580</v>
      </c>
      <c r="AB831" s="1"/>
      <c r="AC831" s="1">
        <f>IFERROR(__xludf.DUMMYFUNCTION("""COMPUTED_VALUE"""),285)</f>
        <v>285</v>
      </c>
      <c r="AD831" s="1" t="str">
        <f>IFERROR(__xludf.DUMMYFUNCTION("""COMPUTED_VALUE"""),"BERNARDO PULIDO")</f>
        <v>BERNARDO PULIDO</v>
      </c>
      <c r="AE831" s="1"/>
      <c r="AF831" s="1" t="str">
        <f>IFERROR(__xludf.DUMMYFUNCTION("""COMPUTED_VALUE"""),"BGY BERNARDO PULIDO")</f>
        <v>BGY BERNARDO PULIDO</v>
      </c>
      <c r="AG831" s="1" t="str">
        <f>IFERROR(__xludf.DUMMYFUNCTION("""COMPUTED_VALUE"""),"GEN MARIANO ALVAREZ")</f>
        <v>GEN MARIANO ALVAREZ</v>
      </c>
      <c r="AH831" s="1" t="str">
        <f>IFERROR(__xludf.DUMMYFUNCTION("""COMPUTED_VALUE"""),"BERNARDO PULIDO")</f>
        <v>BERNARDO PULIDO</v>
      </c>
      <c r="AI831" s="1" t="str">
        <f>IFERROR(__xludf.DUMMYFUNCTION("""COMPUTED_VALUE"""),"CLUSTER 11")</f>
        <v>CLUSTER 11</v>
      </c>
    </row>
    <row r="832" customHeight="1" spans="1:35">
      <c r="A832" s="3">
        <f>IFERROR(__xludf.DUMMYFUNCTION("""COMPUTED_VALUE"""),46298)</f>
        <v>46298</v>
      </c>
      <c r="B832" s="1" t="str">
        <f>IFERROR(__xludf.DUMMYFUNCTION("""COMPUTED_VALUE"""),"JERIKA MAE SANTOS ILANO")</f>
        <v>JERIKA MAE SANTOS ILANO</v>
      </c>
      <c r="C832" s="1">
        <f>IFERROR(__xludf.DUMMYFUNCTION("""COMPUTED_VALUE"""),2312942839)</f>
        <v>2312942839</v>
      </c>
      <c r="D832" s="1"/>
      <c r="E832" s="1"/>
      <c r="F832" s="1" t="str">
        <f>IFERROR(__xludf.DUMMYFUNCTION("""COMPUTED_VALUE"""),"CANCELLED")</f>
        <v>CANCELLED</v>
      </c>
      <c r="G832" s="1" t="str">
        <f>IFERROR(__xludf.DUMMYFUNCTION("""COMPUTED_VALUE"""),"(WITH PENDING APPLICATION ALREADY; CANCELLED THE NEW APPLICATION) GG - SEGMENT 1 - NEW TO CREDIT - HIGH RISK")</f>
        <v>(WITH PENDING APPLICATION ALREADY; CANCELLED THE NEW APPLICATION) GG - SEGMENT 1 - NEW TO CREDIT - HIGH RISK</v>
      </c>
      <c r="H832" s="1"/>
      <c r="I832" s="1"/>
      <c r="J832" s="1"/>
      <c r="K832" s="1"/>
      <c r="L832" s="1" t="str">
        <f>IFERROR(__xludf.DUMMYFUNCTION("""COMPUTED_VALUE"""),"CANCELLED")</f>
        <v>CANCELLED</v>
      </c>
      <c r="M832" s="1" t="str">
        <f>IFERROR(__xludf.DUMMYFUNCTION("""COMPUTED_VALUE"""),"CANCELLED - WITH ACTIVE LINE")</f>
        <v>CANCELLED - WITH ACTIVE LINE</v>
      </c>
      <c r="N832" s="3"/>
      <c r="O832" s="1" t="str">
        <f>IFERROR(__xludf.DUMMYFUNCTION("""COMPUTED_VALUE"""),"FIBR PLAN 1299")</f>
        <v>FIBR PLAN 1299</v>
      </c>
      <c r="P832" s="1" t="str">
        <f>IFERROR(__xludf.DUMMYFUNCTION("""COMPUTED_VALUE"""),"LOWPLAN")</f>
        <v>LOWPLAN</v>
      </c>
      <c r="Q832" s="1" t="str">
        <f>IFERROR(__xludf.DUMMYFUNCTION("""COMPUTED_VALUE"""),"P407047")</f>
        <v>P407047</v>
      </c>
      <c r="R832" s="1" t="str">
        <f>IFERROR(__xludf.DUMMYFUNCTION("""COMPUTED_VALUE"""),"FRANCISCO, ROSELYN")</f>
        <v>FRANCISCO, ROSELYN</v>
      </c>
      <c r="S832" s="1" t="str">
        <f>IFERROR(__xludf.DUMMYFUNCTION("""COMPUTED_VALUE"""),"ORGANIC")</f>
        <v>ORGANIC</v>
      </c>
      <c r="T832" s="1" t="str">
        <f>IFERROR(__xludf.DUMMYFUNCTION("""COMPUTED_VALUE"""),"JERIC NAVARRO")</f>
        <v>JERIC NAVARRO</v>
      </c>
      <c r="U832" s="1" t="str">
        <f>IFERROR(__xludf.DUMMYFUNCTION("""COMPUTED_VALUE"""),"JB SALIOA")</f>
        <v>JB SALIOA</v>
      </c>
      <c r="V832" s="1" t="str">
        <f>IFERROR(__xludf.DUMMYFUNCTION("""COMPUTED_VALUE"""),"BK HSTK")</f>
        <v>BK HSTK</v>
      </c>
      <c r="W832" s="1" t="str">
        <f>IFERROR(__xludf.DUMMYFUNCTION("""COMPUTED_VALUE"""),"BK HSTK")</f>
        <v>BK HSTK</v>
      </c>
      <c r="X832" s="1" t="str">
        <f>IFERROR(__xludf.DUMMYFUNCTION("""COMPUTED_VALUE"""),"REGULAR")</f>
        <v>REGULAR</v>
      </c>
      <c r="Y832" s="1" t="str">
        <f>IFERROR(__xludf.DUMMYFUNCTION("""COMPUTED_VALUE"""),"BK_CVEU_260822")</f>
        <v>BK_CVEU_260822</v>
      </c>
      <c r="Z832" s="1" t="str">
        <f>IFERROR(__xludf.DUMMYFUNCTION("""COMPUTED_VALUE"""),"NEW CONNECT")</f>
        <v>NEW CONNECT</v>
      </c>
      <c r="AA832" s="1">
        <f>IFERROR(__xludf.DUMMYFUNCTION("""COMPUTED_VALUE"""),639322474953)</f>
        <v>639322474953</v>
      </c>
      <c r="AB832" s="1"/>
      <c r="AC832" s="1">
        <f>IFERROR(__xludf.DUMMYFUNCTION("""COMPUTED_VALUE"""),1968)</f>
        <v>1968</v>
      </c>
      <c r="AD832" s="1" t="str">
        <f>IFERROR(__xludf.DUMMYFUNCTION("""COMPUTED_VALUE"""),"MARAHAN 1")</f>
        <v>MARAHAN 1</v>
      </c>
      <c r="AE832" s="1" t="str">
        <f>IFERROR(__xludf.DUMMYFUNCTION("""COMPUTED_VALUE"""),"DIAMOND FARMLAND")</f>
        <v>DIAMOND FARMLAND</v>
      </c>
      <c r="AF832" s="1" t="str">
        <f>IFERROR(__xludf.DUMMYFUNCTION("""COMPUTED_VALUE"""),"BGY MARAHAN 1")</f>
        <v>BGY MARAHAN 1</v>
      </c>
      <c r="AG832" s="1" t="str">
        <f>IFERROR(__xludf.DUMMYFUNCTION("""COMPUTED_VALUE"""),"ALFONSO")</f>
        <v>ALFONSO</v>
      </c>
      <c r="AH832" s="1" t="str">
        <f>IFERROR(__xludf.DUMMYFUNCTION("""COMPUTED_VALUE"""),"BEFORE DUMPSITE")</f>
        <v>BEFORE DUMPSITE</v>
      </c>
      <c r="AI832" s="1" t="str">
        <f>IFERROR(__xludf.DUMMYFUNCTION("""COMPUTED_VALUE"""),"CLUSTER 12")</f>
        <v>CLUSTER 12</v>
      </c>
    </row>
    <row r="833" customHeight="1" spans="1:35">
      <c r="A833" s="3">
        <f>IFERROR(__xludf.DUMMYFUNCTION("""COMPUTED_VALUE"""),46298)</f>
        <v>46298</v>
      </c>
      <c r="B833" s="1" t="str">
        <f>IFERROR(__xludf.DUMMYFUNCTION("""COMPUTED_VALUE""")," PRINCESS ABANES CAPUNO")</f>
        <v> PRINCESS ABANES CAPUNO</v>
      </c>
      <c r="C833" s="1">
        <f>IFERROR(__xludf.DUMMYFUNCTION("""COMPUTED_VALUE"""),2312943047)</f>
        <v>2312943047</v>
      </c>
      <c r="D833" s="1">
        <f>IFERROR(__xludf.DUMMYFUNCTION("""COMPUTED_VALUE"""),408626234)</f>
        <v>408626234</v>
      </c>
      <c r="E833" s="1">
        <f>IFERROR(__xludf.DUMMYFUNCTION("""COMPUTED_VALUE"""),474056742004)</f>
        <v>474056742004</v>
      </c>
      <c r="F833" s="1" t="str">
        <f>IFERROR(__xludf.DUMMYFUNCTION("""COMPUTED_VALUE"""),"CLOSED")</f>
        <v>CLOSED</v>
      </c>
      <c r="G833" s="1" t="str">
        <f>IFERROR(__xludf.DUMMYFUNCTION("""COMPUTED_VALUE"""),"CLOSED")</f>
        <v>CLOSED</v>
      </c>
      <c r="H833" s="1" t="str">
        <f>IFERROR(__xludf.DUMMYFUNCTION("""COMPUTED_VALUE"""),"PAID VIA PAY EXPRESS PX138277519 OCT 11")</f>
        <v>PAID VIA PAY EXPRESS PX138277519 OCT 11</v>
      </c>
      <c r="I833" s="1" t="str">
        <f>IFERROR(__xludf.DUMMYFUNCTION("""COMPUTED_VALUE"""),"WITH 1 AMSF")</f>
        <v>WITH 1 AMSF</v>
      </c>
      <c r="J833" s="1"/>
      <c r="K833" s="1" t="str">
        <f>IFERROR(__xludf.DUMMYFUNCTION("""COMPUTED_VALUE"""),"COMPLETED")</f>
        <v>COMPLETED</v>
      </c>
      <c r="L833" s="1" t="str">
        <f>IFERROR(__xludf.DUMMYFUNCTION("""COMPUTED_VALUE"""),"POSTED")</f>
        <v>POSTED</v>
      </c>
      <c r="M833" s="1" t="str">
        <f>IFERROR(__xludf.DUMMYFUNCTION("""COMPUTED_VALUE"""),"POSTED")</f>
        <v>POSTED</v>
      </c>
      <c r="N833" s="3">
        <f>IFERROR(__xludf.DUMMYFUNCTION("""COMPUTED_VALUE"""),46307)</f>
        <v>46307</v>
      </c>
      <c r="O833" s="1" t="str">
        <f>IFERROR(__xludf.DUMMYFUNCTION("""COMPUTED_VALUE"""),"FIBER UNLI ALL PLAN 1499")</f>
        <v>FIBER UNLI ALL PLAN 1499</v>
      </c>
      <c r="P833" s="1" t="str">
        <f>IFERROR(__xludf.DUMMYFUNCTION("""COMPUTED_VALUE"""),"LOWPLAN")</f>
        <v>LOWPLAN</v>
      </c>
      <c r="Q833" s="1" t="str">
        <f>IFERROR(__xludf.DUMMYFUNCTION("""COMPUTED_VALUE"""),"P407049")</f>
        <v>P407049</v>
      </c>
      <c r="R833" s="1" t="str">
        <f>IFERROR(__xludf.DUMMYFUNCTION("""COMPUTED_VALUE"""),"CADERAO, RONALD")</f>
        <v>CADERAO, RONALD</v>
      </c>
      <c r="S833" s="1" t="str">
        <f>IFERROR(__xludf.DUMMYFUNCTION("""COMPUTED_VALUE"""),"ORGANIC")</f>
        <v>ORGANIC</v>
      </c>
      <c r="T833" s="1" t="str">
        <f>IFERROR(__xludf.DUMMYFUNCTION("""COMPUTED_VALUE"""),"LEA REMOLLO")</f>
        <v>LEA REMOLLO</v>
      </c>
      <c r="U833" s="1" t="str">
        <f>IFERROR(__xludf.DUMMYFUNCTION("""COMPUTED_VALUE"""),"JB SALIOA")</f>
        <v>JB SALIOA</v>
      </c>
      <c r="V833" s="1" t="str">
        <f>IFERROR(__xludf.DUMMYFUNCTION("""COMPUTED_VALUE"""),"BK HSTK")</f>
        <v>BK HSTK</v>
      </c>
      <c r="W833" s="1" t="str">
        <f>IFERROR(__xludf.DUMMYFUNCTION("""COMPUTED_VALUE"""),"BK HSTK")</f>
        <v>BK HSTK</v>
      </c>
      <c r="X833" s="1" t="str">
        <f>IFERROR(__xludf.DUMMYFUNCTION("""COMPUTED_VALUE"""),"REGULAR")</f>
        <v>REGULAR</v>
      </c>
      <c r="Y833" s="1" t="str">
        <f>IFERROR(__xludf.DUMMYFUNCTION("""COMPUTED_VALUE"""),"BK_CVEU_260828")</f>
        <v>BK_CVEU_260828</v>
      </c>
      <c r="Z833" s="1" t="str">
        <f>IFERROR(__xludf.DUMMYFUNCTION("""COMPUTED_VALUE"""),"NEW CONNECT")</f>
        <v>NEW CONNECT</v>
      </c>
      <c r="AA833" s="1">
        <f>IFERROR(__xludf.DUMMYFUNCTION("""COMPUTED_VALUE"""),639944685103)</f>
        <v>639944685103</v>
      </c>
      <c r="AB833" s="1"/>
      <c r="AC833" s="1">
        <f>IFERROR(__xludf.DUMMYFUNCTION("""COMPUTED_VALUE"""),147)</f>
        <v>147</v>
      </c>
      <c r="AD833" s="1" t="str">
        <f>IFERROR(__xludf.DUMMYFUNCTION("""COMPUTED_VALUE"""),"PUROK 135")</f>
        <v>PUROK 135</v>
      </c>
      <c r="AE833" s="1"/>
      <c r="AF833" s="1" t="str">
        <f>IFERROR(__xludf.DUMMYFUNCTION("""COMPUTED_VALUE"""),"BGY NEOGAN")</f>
        <v>BGY NEOGAN</v>
      </c>
      <c r="AG833" s="1" t="str">
        <f>IFERROR(__xludf.DUMMYFUNCTION("""COMPUTED_VALUE"""),"TAGAYTAY")</f>
        <v>TAGAYTAY</v>
      </c>
      <c r="AH833" s="1" t="str">
        <f>IFERROR(__xludf.DUMMYFUNCTION("""COMPUTED_VALUE"""),"-")</f>
        <v>-</v>
      </c>
      <c r="AI833" s="1" t="str">
        <f>IFERROR(__xludf.DUMMYFUNCTION("""COMPUTED_VALUE"""),"CLUSTER 12")</f>
        <v>CLUSTER 12</v>
      </c>
    </row>
    <row r="834" customHeight="1" spans="1:35">
      <c r="A834" s="3">
        <f>IFERROR(__xludf.DUMMYFUNCTION("""COMPUTED_VALUE"""),46298)</f>
        <v>46298</v>
      </c>
      <c r="B834" s="1" t="str">
        <f>IFERROR(__xludf.DUMMYFUNCTION("""COMPUTED_VALUE"""),"ACE MARC HERNANDEZ PUREZA")</f>
        <v>ACE MARC HERNANDEZ PUREZA</v>
      </c>
      <c r="C834" s="1">
        <f>IFERROR(__xludf.DUMMYFUNCTION("""COMPUTED_VALUE"""),2312943306)</f>
        <v>2312943306</v>
      </c>
      <c r="D834" s="1">
        <f>IFERROR(__xludf.DUMMYFUNCTION("""COMPUTED_VALUE"""),408624274)</f>
        <v>408624274</v>
      </c>
      <c r="E834" s="1">
        <f>IFERROR(__xludf.DUMMYFUNCTION("""COMPUTED_VALUE"""),474055601004)</f>
        <v>474055601004</v>
      </c>
      <c r="F834" s="1" t="str">
        <f>IFERROR(__xludf.DUMMYFUNCTION("""COMPUTED_VALUE"""),"CANCELED")</f>
        <v>CANCELED</v>
      </c>
      <c r="G834" s="1" t="str">
        <f>IFERROR(__xludf.DUMMYFUNCTION("""COMPUTED_VALUE"""),"‎TRUCK ROLL VISITED REMARKS FOR CANCEL APPLICATION AS PER SUSB MERON DAW SILANG ACTIVE NA PLDT WIFI YON NLANG DAW ANG ITUTULOY NILA NA ACCT ‎TALK ACE HERNANDEZ 63 935 924 3345")</f>
        <v>‎TRUCK ROLL VISITED REMARKS FOR CANCEL APPLICATION AS PER SUSB MERON DAW SILANG ACTIVE NA PLDT WIFI YON NLANG DAW ANG ITUTULOY NILA NA ACCT ‎TALK ACE HERNANDEZ 63 935 924 3345</v>
      </c>
      <c r="H834" s="1"/>
      <c r="I834" s="1" t="str">
        <f>IFERROR(__xludf.DUMMYFUNCTION("""COMPUTED_VALUE"""),"NO 1 AMSF")</f>
        <v>NO 1 AMSF</v>
      </c>
      <c r="J834" s="1" t="str">
        <f>IFERROR(__xludf.DUMMYFUNCTION("""COMPUTED_VALUE"""),"NO PAYMENT")</f>
        <v>NO PAYMENT</v>
      </c>
      <c r="K834" s="1" t="str">
        <f>IFERROR(__xludf.DUMMYFUNCTION("""COMPUTED_VALUE"""),"CANCELED")</f>
        <v>CANCELED</v>
      </c>
      <c r="L834" s="1" t="str">
        <f>IFERROR(__xludf.DUMMYFUNCTION("""COMPUTED_VALUE"""),"CANCELLED")</f>
        <v>CANCELLED</v>
      </c>
      <c r="M834" s="1" t="str">
        <f>IFERROR(__xludf.DUMMYFUNCTION("""COMPUTED_VALUE"""),"CSP CANCELLED")</f>
        <v>CSP CANCELLED</v>
      </c>
      <c r="N834" s="3"/>
      <c r="O834" s="1" t="str">
        <f>IFERROR(__xludf.DUMMYFUNCTION("""COMPUTED_VALUE"""),"FIBER UNLI PLAN 1399")</f>
        <v>FIBER UNLI PLAN 1399</v>
      </c>
      <c r="P834" s="1" t="str">
        <f>IFERROR(__xludf.DUMMYFUNCTION("""COMPUTED_VALUE"""),"LOWPLAN")</f>
        <v>LOWPLAN</v>
      </c>
      <c r="Q834" s="1" t="str">
        <f>IFERROR(__xludf.DUMMYFUNCTION("""COMPUTED_VALUE"""),"P407517")</f>
        <v>P407517</v>
      </c>
      <c r="R834" s="1" t="str">
        <f>IFERROR(__xludf.DUMMYFUNCTION("""COMPUTED_VALUE"""),"GABAY, MANUEL")</f>
        <v>GABAY, MANUEL</v>
      </c>
      <c r="S834" s="1" t="str">
        <f>IFERROR(__xludf.DUMMYFUNCTION("""COMPUTED_VALUE"""),"FLA")</f>
        <v>FLA</v>
      </c>
      <c r="T834" s="1" t="str">
        <f>IFERROR(__xludf.DUMMYFUNCTION("""COMPUTED_VALUE"""),"JERIC NAVARRO")</f>
        <v>JERIC NAVARRO</v>
      </c>
      <c r="U834" s="1" t="str">
        <f>IFERROR(__xludf.DUMMYFUNCTION("""COMPUTED_VALUE"""),"JB SALIOA")</f>
        <v>JB SALIOA</v>
      </c>
      <c r="V834" s="1" t="str">
        <f>IFERROR(__xludf.DUMMYFUNCTION("""COMPUTED_VALUE"""),"BK REGULAR")</f>
        <v>BK REGULAR</v>
      </c>
      <c r="W834" s="1" t="str">
        <f>IFERROR(__xludf.DUMMYFUNCTION("""COMPUTED_VALUE"""),"STK REGULAR")</f>
        <v>STK REGULAR</v>
      </c>
      <c r="X834" s="1" t="str">
        <f>IFERROR(__xludf.DUMMYFUNCTION("""COMPUTED_VALUE"""),"FIBER 1399 98TH YR")</f>
        <v>FIBER 1399 98TH YR</v>
      </c>
      <c r="Y834" s="1" t="str">
        <f>IFERROR(__xludf.DUMMYFUNCTION("""COMPUTED_VALUE"""),"BK_CVEU_260826")</f>
        <v>BK_CVEU_260826</v>
      </c>
      <c r="Z834" s="1" t="str">
        <f>IFERROR(__xludf.DUMMYFUNCTION("""COMPUTED_VALUE"""),"NEW CONNECT")</f>
        <v>NEW CONNECT</v>
      </c>
      <c r="AA834" s="1">
        <f>IFERROR(__xludf.DUMMYFUNCTION("""COMPUTED_VALUE"""),639359243345)</f>
        <v>639359243345</v>
      </c>
      <c r="AB834" s="1">
        <f>IFERROR(__xludf.DUMMYFUNCTION("""COMPUTED_VALUE"""),639981748168)</f>
        <v>639981748168</v>
      </c>
      <c r="AC834" s="1">
        <f>IFERROR(__xludf.DUMMYFUNCTION("""COMPUTED_VALUE"""),18)</f>
        <v>18</v>
      </c>
      <c r="AD834" s="1" t="str">
        <f>IFERROR(__xludf.DUMMYFUNCTION("""COMPUTED_VALUE"""),"ZAMORA")</f>
        <v>ZAMORA</v>
      </c>
      <c r="AE834" s="1"/>
      <c r="AF834" s="1" t="str">
        <f>IFERROR(__xludf.DUMMYFUNCTION("""COMPUTED_VALUE"""),"BGY ASIS 1")</f>
        <v>BGY ASIS 1</v>
      </c>
      <c r="AG834" s="1" t="str">
        <f>IFERROR(__xludf.DUMMYFUNCTION("""COMPUTED_VALUE"""),"MENDEZ")</f>
        <v>MENDEZ</v>
      </c>
      <c r="AH834" s="1" t="str">
        <f>IFERROR(__xludf.DUMMYFUNCTION("""COMPUTED_VALUE"""),"-")</f>
        <v>-</v>
      </c>
      <c r="AI834" s="1" t="str">
        <f>IFERROR(__xludf.DUMMYFUNCTION("""COMPUTED_VALUE"""),"CLUSTER 12")</f>
        <v>CLUSTER 12</v>
      </c>
    </row>
    <row r="835" customHeight="1" spans="1:35">
      <c r="A835" s="3">
        <f>IFERROR(__xludf.DUMMYFUNCTION("""COMPUTED_VALUE"""),46298)</f>
        <v>46298</v>
      </c>
      <c r="B835" s="1" t="str">
        <f>IFERROR(__xludf.DUMMYFUNCTION("""COMPUTED_VALUE"""),"FELICIANO GUBATON BALINADO")</f>
        <v>FELICIANO GUBATON BALINADO</v>
      </c>
      <c r="C835" s="1">
        <f>IFERROR(__xludf.DUMMYFUNCTION("""COMPUTED_VALUE"""),2312943728)</f>
        <v>2312943728</v>
      </c>
      <c r="D835" s="1">
        <f>IFERROR(__xludf.DUMMYFUNCTION("""COMPUTED_VALUE"""),408625009)</f>
        <v>408625009</v>
      </c>
      <c r="E835" s="1">
        <f>IFERROR(__xludf.DUMMYFUNCTION("""COMPUTED_VALUE"""),474056150004)</f>
        <v>474056150004</v>
      </c>
      <c r="F835" s="1" t="str">
        <f>IFERROR(__xludf.DUMMYFUNCTION("""COMPUTED_VALUE"""),"CLOSED")</f>
        <v>CLOSED</v>
      </c>
      <c r="G835" s="1" t="str">
        <f>IFERROR(__xludf.DUMMYFUNCTION("""COMPUTED_VALUE"""),"CLOSED")</f>
        <v>CLOSED</v>
      </c>
      <c r="H835" s="1" t="str">
        <f>IFERROR(__xludf.DUMMYFUNCTION("""COMPUTED_VALUE"""),"PQGOR366179503	04-Oct-26	Regular Payment	CIS-GCASH 3.0	1,399.00	0	04-Oct-26")</f>
        <v>PQGOR366179503	04-Oct-26	Regular Payment	CIS-GCASH 3.0	1,399.00	0	04-Oct-26</v>
      </c>
      <c r="I835" s="1" t="str">
        <f>IFERROR(__xludf.DUMMYFUNCTION("""COMPUTED_VALUE"""),"WITH 1 AMSF")</f>
        <v>WITH 1 AMSF</v>
      </c>
      <c r="J835" s="1"/>
      <c r="K835" s="1" t="str">
        <f>IFERROR(__xludf.DUMMYFUNCTION("""COMPUTED_VALUE"""),"COMPLETED")</f>
        <v>COMPLETED</v>
      </c>
      <c r="L835" s="1" t="str">
        <f>IFERROR(__xludf.DUMMYFUNCTION("""COMPUTED_VALUE"""),"POSTED")</f>
        <v>POSTED</v>
      </c>
      <c r="M835" s="1" t="str">
        <f>IFERROR(__xludf.DUMMYFUNCTION("""COMPUTED_VALUE"""),"POSTED")</f>
        <v>POSTED</v>
      </c>
      <c r="N835" s="3">
        <f>IFERROR(__xludf.DUMMYFUNCTION("""COMPUTED_VALUE"""),46299)</f>
        <v>46299</v>
      </c>
      <c r="O835" s="1" t="str">
        <f>IFERROR(__xludf.DUMMYFUNCTION("""COMPUTED_VALUE"""),"FIBER UNLI PLAN 1399")</f>
        <v>FIBER UNLI PLAN 1399</v>
      </c>
      <c r="P835" s="1" t="str">
        <f>IFERROR(__xludf.DUMMYFUNCTION("""COMPUTED_VALUE"""),"LOWPLAN")</f>
        <v>LOWPLAN</v>
      </c>
      <c r="Q835" s="1" t="str">
        <f>IFERROR(__xludf.DUMMYFUNCTION("""COMPUTED_VALUE"""),"P407517")</f>
        <v>P407517</v>
      </c>
      <c r="R835" s="1" t="str">
        <f>IFERROR(__xludf.DUMMYFUNCTION("""COMPUTED_VALUE"""),"GABAY, MANUEL")</f>
        <v>GABAY, MANUEL</v>
      </c>
      <c r="S835" s="1" t="str">
        <f>IFERROR(__xludf.DUMMYFUNCTION("""COMPUTED_VALUE"""),"FLA")</f>
        <v>FLA</v>
      </c>
      <c r="T835" s="1" t="str">
        <f>IFERROR(__xludf.DUMMYFUNCTION("""COMPUTED_VALUE"""),"JERIC NAVARRO")</f>
        <v>JERIC NAVARRO</v>
      </c>
      <c r="U835" s="1" t="str">
        <f>IFERROR(__xludf.DUMMYFUNCTION("""COMPUTED_VALUE"""),"JB SALIOA")</f>
        <v>JB SALIOA</v>
      </c>
      <c r="V835" s="1" t="str">
        <f>IFERROR(__xludf.DUMMYFUNCTION("""COMPUTED_VALUE"""),"BK REGULAR")</f>
        <v>BK REGULAR</v>
      </c>
      <c r="W835" s="1" t="str">
        <f>IFERROR(__xludf.DUMMYFUNCTION("""COMPUTED_VALUE"""),"STK REGULAR")</f>
        <v>STK REGULAR</v>
      </c>
      <c r="X835" s="1" t="str">
        <f>IFERROR(__xludf.DUMMYFUNCTION("""COMPUTED_VALUE"""),"FIBER 1399 98TH YR")</f>
        <v>FIBER 1399 98TH YR</v>
      </c>
      <c r="Y835" s="1" t="str">
        <f>IFERROR(__xludf.DUMMYFUNCTION("""COMPUTED_VALUE"""),"BK_CVEU_260826")</f>
        <v>BK_CVEU_260826</v>
      </c>
      <c r="Z835" s="1" t="str">
        <f>IFERROR(__xludf.DUMMYFUNCTION("""COMPUTED_VALUE"""),"NEW CONNECT")</f>
        <v>NEW CONNECT</v>
      </c>
      <c r="AA835" s="1">
        <f>IFERROR(__xludf.DUMMYFUNCTION("""COMPUTED_VALUE"""),639914357996)</f>
        <v>639914357996</v>
      </c>
      <c r="AB835" s="1">
        <f>IFERROR(__xludf.DUMMYFUNCTION("""COMPUTED_VALUE"""),639260263195)</f>
        <v>639260263195</v>
      </c>
      <c r="AC835" s="1"/>
      <c r="AD835" s="1" t="str">
        <f>IFERROR(__xludf.DUMMYFUNCTION("""COMPUTED_VALUE"""),"LLAMADO")</f>
        <v>LLAMADO</v>
      </c>
      <c r="AE835" s="1"/>
      <c r="AF835" s="1" t="str">
        <f>IFERROR(__xludf.DUMMYFUNCTION("""COMPUTED_VALUE"""),"BGY 4")</f>
        <v>BGY 4</v>
      </c>
      <c r="AG835" s="1" t="str">
        <f>IFERROR(__xludf.DUMMYFUNCTION("""COMPUTED_VALUE"""),"MENDEZ")</f>
        <v>MENDEZ</v>
      </c>
      <c r="AH835" s="1" t="str">
        <f>IFERROR(__xludf.DUMMYFUNCTION("""COMPUTED_VALUE"""),"-")</f>
        <v>-</v>
      </c>
      <c r="AI835" s="1" t="str">
        <f>IFERROR(__xludf.DUMMYFUNCTION("""COMPUTED_VALUE"""),"CLUSTER 12")</f>
        <v>CLUSTER 12</v>
      </c>
    </row>
    <row r="836" customHeight="1" spans="1:35">
      <c r="A836" s="3">
        <f>IFERROR(__xludf.DUMMYFUNCTION("""COMPUTED_VALUE"""),46298)</f>
        <v>46298</v>
      </c>
      <c r="B836" s="1" t="str">
        <f>IFERROR(__xludf.DUMMYFUNCTION("""COMPUTED_VALUE"""),"AGERICO RIOFLORIDO ANGELES")</f>
        <v>AGERICO RIOFLORIDO ANGELES</v>
      </c>
      <c r="C836" s="1">
        <f>IFERROR(__xludf.DUMMYFUNCTION("""COMPUTED_VALUE"""),2312944083)</f>
        <v>2312944083</v>
      </c>
      <c r="D836" s="1">
        <f>IFERROR(__xludf.DUMMYFUNCTION("""COMPUTED_VALUE"""),408672716)</f>
        <v>408672716</v>
      </c>
      <c r="E836" s="1">
        <f>IFERROR(__xludf.DUMMYFUNCTION("""COMPUTED_VALUE"""),474308824004)</f>
        <v>474308824004</v>
      </c>
      <c r="F836" s="1" t="str">
        <f>IFERROR(__xludf.DUMMYFUNCTION("""COMPUTED_VALUE"""),"CLOSED")</f>
        <v>CLOSED</v>
      </c>
      <c r="G836" s="1" t="str">
        <f>IFERROR(__xludf.DUMMYFUNCTION("""COMPUTED_VALUE"""),"CLOSED")</f>
        <v>CLOSED</v>
      </c>
      <c r="H836" s="1"/>
      <c r="I836" s="1" t="str">
        <f>IFERROR(__xludf.DUMMYFUNCTION("""COMPUTED_VALUE"""),"NO 1 AMSF")</f>
        <v>NO 1 AMSF</v>
      </c>
      <c r="J836" s="1" t="str">
        <f>IFERROR(__xludf.DUMMYFUNCTION("""COMPUTED_VALUE"""),"DUE DATE - 05-Nov-26 - 1,538.90")</f>
        <v>DUE DATE - 05-Nov-26 - 1,538.90</v>
      </c>
      <c r="K836" s="1" t="str">
        <f>IFERROR(__xludf.DUMMYFUNCTION("""COMPUTED_VALUE"""),"COMPLETED")</f>
        <v>COMPLETED</v>
      </c>
      <c r="L836" s="1" t="str">
        <f>IFERROR(__xludf.DUMMYFUNCTION("""COMPUTED_VALUE"""),"POSTED")</f>
        <v>POSTED</v>
      </c>
      <c r="M836" s="1" t="str">
        <f>IFERROR(__xludf.DUMMYFUNCTION("""COMPUTED_VALUE"""),"POSTED")</f>
        <v>POSTED</v>
      </c>
      <c r="N836" s="3">
        <f>IFERROR(__xludf.DUMMYFUNCTION("""COMPUTED_VALUE"""),46304)</f>
        <v>46304</v>
      </c>
      <c r="O836" s="1" t="str">
        <f>IFERROR(__xludf.DUMMYFUNCTION("""COMPUTED_VALUE"""),"FIBER UNLI PLAN 1399")</f>
        <v>FIBER UNLI PLAN 1399</v>
      </c>
      <c r="P836" s="1" t="str">
        <f>IFERROR(__xludf.DUMMYFUNCTION("""COMPUTED_VALUE"""),"LOWPLAN")</f>
        <v>LOWPLAN</v>
      </c>
      <c r="Q836" s="1" t="str">
        <f>IFERROR(__xludf.DUMMYFUNCTION("""COMPUTED_VALUE"""),"P407520")</f>
        <v>P407520</v>
      </c>
      <c r="R836" s="1" t="str">
        <f>IFERROR(__xludf.DUMMYFUNCTION("""COMPUTED_VALUE"""),"MALIWAT, MARK")</f>
        <v>MALIWAT, MARK</v>
      </c>
      <c r="S836" s="1" t="str">
        <f>IFERROR(__xludf.DUMMYFUNCTION("""COMPUTED_VALUE"""),"FLA")</f>
        <v>FLA</v>
      </c>
      <c r="T836" s="1" t="str">
        <f>IFERROR(__xludf.DUMMYFUNCTION("""COMPUTED_VALUE"""),"JERIC NAVARRO")</f>
        <v>JERIC NAVARRO</v>
      </c>
      <c r="U836" s="1" t="str">
        <f>IFERROR(__xludf.DUMMYFUNCTION("""COMPUTED_VALUE"""),"JB SALIOA")</f>
        <v>JB SALIOA</v>
      </c>
      <c r="V836" s="1" t="str">
        <f>IFERROR(__xludf.DUMMYFUNCTION("""COMPUTED_VALUE"""),"BK HSTK")</f>
        <v>BK HSTK</v>
      </c>
      <c r="W836" s="1" t="str">
        <f>IFERROR(__xludf.DUMMYFUNCTION("""COMPUTED_VALUE"""),"BK HSTK")</f>
        <v>BK HSTK</v>
      </c>
      <c r="X836" s="1" t="str">
        <f>IFERROR(__xludf.DUMMYFUNCTION("""COMPUTED_VALUE"""),"FIBER 1399 98TH YR")</f>
        <v>FIBER 1399 98TH YR</v>
      </c>
      <c r="Y836" s="1" t="str">
        <f>IFERROR(__xludf.DUMMYFUNCTION("""COMPUTED_VALUE"""),"BK_CVEU_260822")</f>
        <v>BK_CVEU_260822</v>
      </c>
      <c r="Z836" s="1" t="str">
        <f>IFERROR(__xludf.DUMMYFUNCTION("""COMPUTED_VALUE"""),"NEW CONNECT")</f>
        <v>NEW CONNECT</v>
      </c>
      <c r="AA836" s="1">
        <f>IFERROR(__xludf.DUMMYFUNCTION("""COMPUTED_VALUE"""),639512182712)</f>
        <v>639512182712</v>
      </c>
      <c r="AB836" s="1"/>
      <c r="AC836" s="1">
        <f>IFERROR(__xludf.DUMMYFUNCTION("""COMPUTED_VALUE"""),9043)</f>
        <v>9043</v>
      </c>
      <c r="AD836" s="1" t="str">
        <f>IFERROR(__xludf.DUMMYFUNCTION("""COMPUTED_VALUE"""),"KALIHON")</f>
        <v>KALIHON</v>
      </c>
      <c r="AE836" s="1"/>
      <c r="AF836" s="1" t="str">
        <f>IFERROR(__xludf.DUMMYFUNCTION("""COMPUTED_VALUE"""),"BGY SINALIW MALAKI")</f>
        <v>BGY SINALIW MALAKI</v>
      </c>
      <c r="AG836" s="1" t="str">
        <f>IFERROR(__xludf.DUMMYFUNCTION("""COMPUTED_VALUE"""),"ALFONSO")</f>
        <v>ALFONSO</v>
      </c>
      <c r="AH836" s="1" t="str">
        <f>IFERROR(__xludf.DUMMYFUNCTION("""COMPUTED_VALUE"""),"KALIHON RD")</f>
        <v>KALIHON RD</v>
      </c>
      <c r="AI836" s="1" t="str">
        <f>IFERROR(__xludf.DUMMYFUNCTION("""COMPUTED_VALUE"""),"CLUSTER 12")</f>
        <v>CLUSTER 12</v>
      </c>
    </row>
    <row r="837" customHeight="1" spans="1:35">
      <c r="A837" s="3">
        <f>IFERROR(__xludf.DUMMYFUNCTION("""COMPUTED_VALUE"""),46298)</f>
        <v>46298</v>
      </c>
      <c r="B837" s="1" t="str">
        <f>IFERROR(__xludf.DUMMYFUNCTION("""COMPUTED_VALUE"""),"JOHN BRYAN . CRUZ")</f>
        <v>JOHN BRYAN . CRUZ</v>
      </c>
      <c r="C837" s="1">
        <f>IFERROR(__xludf.DUMMYFUNCTION("""COMPUTED_VALUE"""),2312944309)</f>
        <v>2312944309</v>
      </c>
      <c r="D837" s="1">
        <f>IFERROR(__xludf.DUMMYFUNCTION("""COMPUTED_VALUE"""),408629365)</f>
        <v>408629365</v>
      </c>
      <c r="E837" s="1">
        <f>IFERROR(__xludf.DUMMYFUNCTION("""COMPUTED_VALUE"""),474059869004)</f>
        <v>474059869004</v>
      </c>
      <c r="F837" s="1" t="str">
        <f>IFERROR(__xludf.DUMMYFUNCTION("""COMPUTED_VALUE"""),"CLOSED")</f>
        <v>CLOSED</v>
      </c>
      <c r="G837" s="1" t="str">
        <f>IFERROR(__xludf.DUMMYFUNCTION("""COMPUTED_VALUE"""),"CLOSED")</f>
        <v>CLOSED</v>
      </c>
      <c r="H837" s="1" t="str">
        <f>IFERROR(__xludf.DUMMYFUNCTION("""COMPUTED_VALUE"""),"PQGOR366134174	04-Oct-26	Regular Payment	CIS-GCASH 3.0	1,649.00	0	04-Oct-")</f>
        <v>PQGOR366134174	04-Oct-26	Regular Payment	CIS-GCASH 3.0	1,649.00	0	04-Oct-</v>
      </c>
      <c r="I837" s="1" t="str">
        <f>IFERROR(__xludf.DUMMYFUNCTION("""COMPUTED_VALUE"""),"WITH 1 AMSF")</f>
        <v>WITH 1 AMSF</v>
      </c>
      <c r="J837" s="1"/>
      <c r="K837" s="1" t="str">
        <f>IFERROR(__xludf.DUMMYFUNCTION("""COMPUTED_VALUE"""),"COMPLETED")</f>
        <v>COMPLETED</v>
      </c>
      <c r="L837" s="1" t="str">
        <f>IFERROR(__xludf.DUMMYFUNCTION("""COMPUTED_VALUE"""),"POSTED")</f>
        <v>POSTED</v>
      </c>
      <c r="M837" s="1" t="str">
        <f>IFERROR(__xludf.DUMMYFUNCTION("""COMPUTED_VALUE"""),"POSTED")</f>
        <v>POSTED</v>
      </c>
      <c r="N837" s="3">
        <f>IFERROR(__xludf.DUMMYFUNCTION("""COMPUTED_VALUE"""),46300)</f>
        <v>46300</v>
      </c>
      <c r="O837" s="1" t="str">
        <f>IFERROR(__xludf.DUMMYFUNCTION("""COMPUTED_VALUE"""),"FIBER UNLI ALL PLAN 1499")</f>
        <v>FIBER UNLI ALL PLAN 1499</v>
      </c>
      <c r="P837" s="1" t="str">
        <f>IFERROR(__xludf.DUMMYFUNCTION("""COMPUTED_VALUE"""),"LOWPLAN")</f>
        <v>LOWPLAN</v>
      </c>
      <c r="Q837" s="1" t="str">
        <f>IFERROR(__xludf.DUMMYFUNCTION("""COMPUTED_VALUE"""),"P407517")</f>
        <v>P407517</v>
      </c>
      <c r="R837" s="1" t="str">
        <f>IFERROR(__xludf.DUMMYFUNCTION("""COMPUTED_VALUE"""),"GABAY, MANUEL")</f>
        <v>GABAY, MANUEL</v>
      </c>
      <c r="S837" s="1" t="str">
        <f>IFERROR(__xludf.DUMMYFUNCTION("""COMPUTED_VALUE"""),"FLA")</f>
        <v>FLA</v>
      </c>
      <c r="T837" s="1" t="str">
        <f>IFERROR(__xludf.DUMMYFUNCTION("""COMPUTED_VALUE"""),"JERIC NAVARRO")</f>
        <v>JERIC NAVARRO</v>
      </c>
      <c r="U837" s="1" t="str">
        <f>IFERROR(__xludf.DUMMYFUNCTION("""COMPUTED_VALUE"""),"JB SALIOA")</f>
        <v>JB SALIOA</v>
      </c>
      <c r="V837" s="1" t="str">
        <f>IFERROR(__xludf.DUMMYFUNCTION("""COMPUTED_VALUE"""),"BK HSTK")</f>
        <v>BK HSTK</v>
      </c>
      <c r="W837" s="1" t="str">
        <f>IFERROR(__xludf.DUMMYFUNCTION("""COMPUTED_VALUE"""),"BK HSTK")</f>
        <v>BK HSTK</v>
      </c>
      <c r="X837" s="1" t="str">
        <f>IFERROR(__xludf.DUMMYFUNCTION("""COMPUTED_VALUE"""),"REGULAR")</f>
        <v>REGULAR</v>
      </c>
      <c r="Y837" s="1" t="str">
        <f>IFERROR(__xludf.DUMMYFUNCTION("""COMPUTED_VALUE"""),"BK_CVEU_260826")</f>
        <v>BK_CVEU_260826</v>
      </c>
      <c r="Z837" s="1" t="str">
        <f>IFERROR(__xludf.DUMMYFUNCTION("""COMPUTED_VALUE"""),"NEW CONNECT")</f>
        <v>NEW CONNECT</v>
      </c>
      <c r="AA837" s="1">
        <f>IFERROR(__xludf.DUMMYFUNCTION("""COMPUTED_VALUE"""),639491977412)</f>
        <v>639491977412</v>
      </c>
      <c r="AB837" s="1">
        <f>IFERROR(__xludf.DUMMYFUNCTION("""COMPUTED_VALUE"""),639916887515)</f>
        <v>639916887515</v>
      </c>
      <c r="AC837" s="1"/>
      <c r="AD837" s="1" t="str">
        <f>IFERROR(__xludf.DUMMYFUNCTION("""COMPUTED_VALUE"""),"PAYAPA")</f>
        <v>PAYAPA</v>
      </c>
      <c r="AE837" s="1" t="str">
        <f>IFERROR(__xludf.DUMMYFUNCTION("""COMPUTED_VALUE"""),"PAYAPA SUBD")</f>
        <v>PAYAPA SUBD</v>
      </c>
      <c r="AF837" s="1" t="str">
        <f>IFERROR(__xludf.DUMMYFUNCTION("""COMPUTED_VALUE"""),"BGY GALICIA 3")</f>
        <v>BGY GALICIA 3</v>
      </c>
      <c r="AG837" s="1" t="str">
        <f>IFERROR(__xludf.DUMMYFUNCTION("""COMPUTED_VALUE"""),"MENDEZ")</f>
        <v>MENDEZ</v>
      </c>
      <c r="AH837" s="1" t="str">
        <f>IFERROR(__xludf.DUMMYFUNCTION("""COMPUTED_VALUE"""),"-")</f>
        <v>-</v>
      </c>
      <c r="AI837" s="1" t="str">
        <f>IFERROR(__xludf.DUMMYFUNCTION("""COMPUTED_VALUE"""),"CLUSTER 12")</f>
        <v>CLUSTER 12</v>
      </c>
    </row>
    <row r="838" customHeight="1" spans="1:35">
      <c r="A838" s="3">
        <f>IFERROR(__xludf.DUMMYFUNCTION("""COMPUTED_VALUE"""),46298)</f>
        <v>46298</v>
      </c>
      <c r="B838" s="1" t="str">
        <f>IFERROR(__xludf.DUMMYFUNCTION("""COMPUTED_VALUE"""),"JOHN EMMANUEL BAYUNGAN LONTOC")</f>
        <v>JOHN EMMANUEL BAYUNGAN LONTOC</v>
      </c>
      <c r="C838" s="1">
        <f>IFERROR(__xludf.DUMMYFUNCTION("""COMPUTED_VALUE"""),2312944704)</f>
        <v>2312944704</v>
      </c>
      <c r="D838" s="1">
        <f>IFERROR(__xludf.DUMMYFUNCTION("""COMPUTED_VALUE"""),408631548)</f>
        <v>408631548</v>
      </c>
      <c r="E838" s="1">
        <f>IFERROR(__xludf.DUMMYFUNCTION("""COMPUTED_VALUE"""),474061098004)</f>
        <v>474061098004</v>
      </c>
      <c r="F838" s="1" t="str">
        <f>IFERROR(__xludf.DUMMYFUNCTION("""COMPUTED_VALUE"""),"CANCELED")</f>
        <v>CANCELED</v>
      </c>
      <c r="G838" s="1" t="str">
        <f>IFERROR(__xludf.DUMMYFUNCTION("""COMPUTED_VALUE"""),"CALLTHRU REMARKS   CANCEL SERVICE ORDER REQUEST   CUSTOMER NO LONGER INTERESTED IN CONTINUING HIS PLDT APPLICATION   CUSTOMER ALREADY ADVICED   TALK JOHN EMMANUEL BAYUNGAN LONTOC 09362737539 09242374485")</f>
        <v>CALLTHRU REMARKS   CANCEL SERVICE ORDER REQUEST   CUSTOMER NO LONGER INTERESTED IN CONTINUING HIS PLDT APPLICATION   CUSTOMER ALREADY ADVICED   TALK JOHN EMMANUEL BAYUNGAN LONTOC 09362737539 09242374485</v>
      </c>
      <c r="H838" s="1" t="str">
        <f>IFERROR(__xludf.DUMMYFUNCTION("""COMPUTED_VALUE"""),"UNATTENDED CBR/ BABALIKAN NA NI AGENT SA BAHAY ")</f>
        <v>UNATTENDED CBR/ BABALIKAN NA NI AGENT SA BAHAY </v>
      </c>
      <c r="I838" s="1"/>
      <c r="J838" s="1"/>
      <c r="K838" s="1" t="str">
        <f>IFERROR(__xludf.DUMMYFUNCTION("""COMPUTED_VALUE"""),"CANCELED")</f>
        <v>CANCELED</v>
      </c>
      <c r="L838" s="1" t="str">
        <f>IFERROR(__xludf.DUMMYFUNCTION("""COMPUTED_VALUE"""),"CANCELLED")</f>
        <v>CANCELLED</v>
      </c>
      <c r="M838" s="1" t="str">
        <f>IFERROR(__xludf.DUMMYFUNCTION("""COMPUTED_VALUE"""),"CANCELLED - RPR")</f>
        <v>CANCELLED - RPR</v>
      </c>
      <c r="N838" s="3"/>
      <c r="O838" s="1" t="str">
        <f>IFERROR(__xludf.DUMMYFUNCTION("""COMPUTED_VALUE"""),"FIBER UNLI PLAN 1399")</f>
        <v>FIBER UNLI PLAN 1399</v>
      </c>
      <c r="P838" s="1" t="str">
        <f>IFERROR(__xludf.DUMMYFUNCTION("""COMPUTED_VALUE"""),"LOWPLAN")</f>
        <v>LOWPLAN</v>
      </c>
      <c r="Q838" s="1" t="str">
        <f>IFERROR(__xludf.DUMMYFUNCTION("""COMPUTED_VALUE"""),"P407049")</f>
        <v>P407049</v>
      </c>
      <c r="R838" s="1" t="str">
        <f>IFERROR(__xludf.DUMMYFUNCTION("""COMPUTED_VALUE"""),"CORNELIO, CATHERINE")</f>
        <v>CORNELIO, CATHERINE</v>
      </c>
      <c r="S838" s="1" t="str">
        <f>IFERROR(__xludf.DUMMYFUNCTION("""COMPUTED_VALUE"""),"ORGANIC")</f>
        <v>ORGANIC</v>
      </c>
      <c r="T838" s="1" t="str">
        <f>IFERROR(__xludf.DUMMYFUNCTION("""COMPUTED_VALUE"""),"LEA REMOLLO")</f>
        <v>LEA REMOLLO</v>
      </c>
      <c r="U838" s="1" t="str">
        <f>IFERROR(__xludf.DUMMYFUNCTION("""COMPUTED_VALUE"""),"JB SALIOA")</f>
        <v>JB SALIOA</v>
      </c>
      <c r="V838" s="1" t="str">
        <f>IFERROR(__xludf.DUMMYFUNCTION("""COMPUTED_VALUE"""),"BK REGULAR")</f>
        <v>BK REGULAR</v>
      </c>
      <c r="W838" s="1" t="str">
        <f>IFERROR(__xludf.DUMMYFUNCTION("""COMPUTED_VALUE"""),"STK REGULAR")</f>
        <v>STK REGULAR</v>
      </c>
      <c r="X838" s="1" t="str">
        <f>IFERROR(__xludf.DUMMYFUNCTION("""COMPUTED_VALUE"""),"FIBER 1399 98TH YR")</f>
        <v>FIBER 1399 98TH YR</v>
      </c>
      <c r="Y838" s="1" t="str">
        <f>IFERROR(__xludf.DUMMYFUNCTION("""COMPUTED_VALUE"""),"BK_CVEU_260827")</f>
        <v>BK_CVEU_260827</v>
      </c>
      <c r="Z838" s="1" t="str">
        <f>IFERROR(__xludf.DUMMYFUNCTION("""COMPUTED_VALUE"""),"NEW CONNECT")</f>
        <v>NEW CONNECT</v>
      </c>
      <c r="AA838" s="1">
        <f>IFERROR(__xludf.DUMMYFUNCTION("""COMPUTED_VALUE"""),639362737539)</f>
        <v>639362737539</v>
      </c>
      <c r="AB838" s="1">
        <f>IFERROR(__xludf.DUMMYFUNCTION("""COMPUTED_VALUE"""),639242374485)</f>
        <v>639242374485</v>
      </c>
      <c r="AC838" s="1">
        <f>IFERROR(__xludf.DUMMYFUNCTION("""COMPUTED_VALUE"""),53)</f>
        <v>53</v>
      </c>
      <c r="AD838" s="1" t="str">
        <f>IFERROR(__xludf.DUMMYFUNCTION("""COMPUTED_VALUE"""),"SAN MIGUEL 2")</f>
        <v>SAN MIGUEL 2</v>
      </c>
      <c r="AE838" s="1" t="str">
        <f>IFERROR(__xludf.DUMMYFUNCTION("""COMPUTED_VALUE"""),"ROSANA APARTMENT")</f>
        <v>ROSANA APARTMENT</v>
      </c>
      <c r="AF838" s="1" t="str">
        <f>IFERROR(__xludf.DUMMYFUNCTION("""COMPUTED_VALUE"""),"BGY SAN MIGUEL 2")</f>
        <v>BGY SAN MIGUEL 2</v>
      </c>
      <c r="AG838" s="1" t="str">
        <f>IFERROR(__xludf.DUMMYFUNCTION("""COMPUTED_VALUE"""),"SILANG")</f>
        <v>SILANG</v>
      </c>
      <c r="AH838" s="1" t="str">
        <f>IFERROR(__xludf.DUMMYFUNCTION("""COMPUTED_VALUE"""),"ROSANA APARTMENT")</f>
        <v>ROSANA APARTMENT</v>
      </c>
      <c r="AI838" s="1" t="str">
        <f>IFERROR(__xludf.DUMMYFUNCTION("""COMPUTED_VALUE"""),"CLUSTER 11")</f>
        <v>CLUSTER 11</v>
      </c>
    </row>
    <row r="839" customHeight="1" spans="1:35">
      <c r="A839" s="3">
        <f>IFERROR(__xludf.DUMMYFUNCTION("""COMPUTED_VALUE"""),46298)</f>
        <v>46298</v>
      </c>
      <c r="B839" s="1" t="str">
        <f>IFERROR(__xludf.DUMMYFUNCTION("""COMPUTED_VALUE"""),"ERANO ALFONSO MAGALLANES")</f>
        <v>ERANO ALFONSO MAGALLANES</v>
      </c>
      <c r="C839" s="1">
        <f>IFERROR(__xludf.DUMMYFUNCTION("""COMPUTED_VALUE"""),2312945004)</f>
        <v>2312945004</v>
      </c>
      <c r="D839" s="1"/>
      <c r="E839" s="1"/>
      <c r="F839" s="1" t="str">
        <f>IFERROR(__xludf.DUMMYFUNCTION("""COMPUTED_VALUE"""),"CANCELLED")</f>
        <v>CANCELLED</v>
      </c>
      <c r="G839" s="1" t="str">
        <f>IFERROR(__xludf.DUMMYFUNCTION("""COMPUTED_VALUE"""),"(WITH BLACKLISTED ACCOUNT FOR SETTLEMENT) RTS | DONE VALIDATION | COMPLETE DOCS | CORRECT ENCODED INFO IN CSP | TU SCORING - GG - 1 (NTC) | REQUIRED 1AMSF | FOUND BL ACCT #0379998682 UNDER SAME NAME DIFF ADD WITH OB: (2,193.71) FOR SETTLEMENT | FOUND 2 AC"&amp;"CTS UNDER SAME CBR (JUAN CARLOS SUZARA - BOSS) | CALL THRU: 09171752568 | 5:30 PM, 09850318066 | 5:33 PM - Oct. 03, 2026 | TALKED TO SUBS CONFIRMED APPLYING PLDT LINE | NO EXISTING ACTIVE ACCT AND/OR PENDING/CANCELLED APP")</f>
        <v>(WITH BLACKLISTED ACCOUNT FOR SETTLEMENT) RTS | DONE VALIDATION | COMPLETE DOCS | CORRECT ENCODED INFO IN CSP | TU SCORING - GG - 1 (NTC) | REQUIRED 1AMSF | FOUND BL ACCT #0379998682 UNDER SAME NAME DIFF ADD WITH OB: (2,193.71) FOR SETTLEMENT | FOUND 2 ACCTS UNDER SAME CBR (JUAN CARLOS SUZARA - BOSS) | CALL THRU: 09171752568 | 5:30 PM, 09850318066 | 5:33 PM - Oct. 03, 2026 | TALKED TO SUBS CONFIRMED APPLYING PLDT LINE | NO EXISTING ACTIVE ACCT AND/OR PENDING/CANCELLED APP</v>
      </c>
      <c r="H839" s="1"/>
      <c r="I839" s="1"/>
      <c r="J839" s="1"/>
      <c r="K839" s="1"/>
      <c r="L839" s="1" t="str">
        <f>IFERROR(__xludf.DUMMYFUNCTION("""COMPUTED_VALUE"""),"CANCELLED - WITH OB")</f>
        <v>CANCELLED - WITH OB</v>
      </c>
      <c r="M839" s="1" t="str">
        <f>IFERROR(__xludf.DUMMYFUNCTION("""COMPUTED_VALUE"""),"CANCELLED - WITH OB")</f>
        <v>CANCELLED - WITH OB</v>
      </c>
      <c r="N839" s="3"/>
      <c r="O839" s="1" t="str">
        <f>IFERROR(__xludf.DUMMYFUNCTION("""COMPUTED_VALUE"""),"FIBER UNLI PLAN 1399")</f>
        <v>FIBER UNLI PLAN 1399</v>
      </c>
      <c r="P839" s="1" t="str">
        <f>IFERROR(__xludf.DUMMYFUNCTION("""COMPUTED_VALUE"""),"LOWPLAN")</f>
        <v>LOWPLAN</v>
      </c>
      <c r="Q839" s="1" t="str">
        <f>IFERROR(__xludf.DUMMYFUNCTION("""COMPUTED_VALUE"""),"P407047")</f>
        <v>P407047</v>
      </c>
      <c r="R839" s="1" t="str">
        <f>IFERROR(__xludf.DUMMYFUNCTION("""COMPUTED_VALUE"""),"FRANCISCO, ROSELYN")</f>
        <v>FRANCISCO, ROSELYN</v>
      </c>
      <c r="S839" s="1" t="str">
        <f>IFERROR(__xludf.DUMMYFUNCTION("""COMPUTED_VALUE"""),"ORGANIC")</f>
        <v>ORGANIC</v>
      </c>
      <c r="T839" s="1" t="str">
        <f>IFERROR(__xludf.DUMMYFUNCTION("""COMPUTED_VALUE"""),"LEA REMOLLO")</f>
        <v>LEA REMOLLO</v>
      </c>
      <c r="U839" s="1" t="str">
        <f>IFERROR(__xludf.DUMMYFUNCTION("""COMPUTED_VALUE"""),"JB SALIOA")</f>
        <v>JB SALIOA</v>
      </c>
      <c r="V839" s="1" t="str">
        <f>IFERROR(__xludf.DUMMYFUNCTION("""COMPUTED_VALUE"""),"BK REGULAR")</f>
        <v>BK REGULAR</v>
      </c>
      <c r="W839" s="1" t="str">
        <f>IFERROR(__xludf.DUMMYFUNCTION("""COMPUTED_VALUE"""),"STK REGULAR")</f>
        <v>STK REGULAR</v>
      </c>
      <c r="X839" s="1" t="str">
        <f>IFERROR(__xludf.DUMMYFUNCTION("""COMPUTED_VALUE"""),"FIBER 1399 98TH YR")</f>
        <v>FIBER 1399 98TH YR</v>
      </c>
      <c r="Y839" s="1" t="str">
        <f>IFERROR(__xludf.DUMMYFUNCTION("""COMPUTED_VALUE"""),"BK_CVEU_260825")</f>
        <v>BK_CVEU_260825</v>
      </c>
      <c r="Z839" s="1" t="str">
        <f>IFERROR(__xludf.DUMMYFUNCTION("""COMPUTED_VALUE"""),"NEW CONNECT")</f>
        <v>NEW CONNECT</v>
      </c>
      <c r="AA839" s="1">
        <f>IFERROR(__xludf.DUMMYFUNCTION("""COMPUTED_VALUE"""),639171752568)</f>
        <v>639171752568</v>
      </c>
      <c r="AB839" s="1"/>
      <c r="AC839" s="1"/>
      <c r="AD839" s="1" t="str">
        <f>IFERROR(__xludf.DUMMYFUNCTION("""COMPUTED_VALUE"""),"VISAYAS")</f>
        <v>VISAYAS</v>
      </c>
      <c r="AE839" s="1"/>
      <c r="AF839" s="1" t="str">
        <f>IFERROR(__xludf.DUMMYFUNCTION("""COMPUTED_VALUE"""),"BGY GAVINO MADERAN")</f>
        <v>BGY GAVINO MADERAN</v>
      </c>
      <c r="AG839" s="1" t="str">
        <f>IFERROR(__xludf.DUMMYFUNCTION("""COMPUTED_VALUE"""),"GEN MARIANO ALVAREZ")</f>
        <v>GEN MARIANO ALVAREZ</v>
      </c>
      <c r="AH839" s="1" t="str">
        <f>IFERROR(__xludf.DUMMYFUNCTION("""COMPUTED_VALUE"""),"STAYCATION")</f>
        <v>STAYCATION</v>
      </c>
      <c r="AI839" s="1" t="str">
        <f>IFERROR(__xludf.DUMMYFUNCTION("""COMPUTED_VALUE"""),"CLUSTER 11")</f>
        <v>CLUSTER 11</v>
      </c>
    </row>
    <row r="840" customHeight="1" spans="1:35">
      <c r="A840" s="3">
        <f>IFERROR(__xludf.DUMMYFUNCTION("""COMPUTED_VALUE"""),46298)</f>
        <v>46298</v>
      </c>
      <c r="B840" s="1" t="str">
        <f>IFERROR(__xludf.DUMMYFUNCTION("""COMPUTED_VALUE"""),"GINO CYRUZ KYM LUCES GALMAN")</f>
        <v>GINO CYRUZ KYM LUCES GALMAN</v>
      </c>
      <c r="C840" s="1">
        <f>IFERROR(__xludf.DUMMYFUNCTION("""COMPUTED_VALUE"""),2312945431)</f>
        <v>2312945431</v>
      </c>
      <c r="D840" s="1">
        <f>IFERROR(__xludf.DUMMYFUNCTION("""COMPUTED_VALUE"""),408635861)</f>
        <v>408635861</v>
      </c>
      <c r="E840" s="1">
        <f>IFERROR(__xludf.DUMMYFUNCTION("""COMPUTED_VALUE"""),474069448004)</f>
        <v>474069448004</v>
      </c>
      <c r="F840" s="1" t="str">
        <f>IFERROR(__xludf.DUMMYFUNCTION("""COMPUTED_VALUE"""),"CLOSED")</f>
        <v>CLOSED</v>
      </c>
      <c r="G840" s="1" t="str">
        <f>IFERROR(__xludf.DUMMYFUNCTION("""COMPUTED_VALUE"""),"CLOSED")</f>
        <v>CLOSED</v>
      </c>
      <c r="H840" s="1" t="str">
        <f>IFERROR(__xludf.DUMMYFUNCTION("""COMPUTED_VALUE"""),"PQGOR366129086	04-Oct-26	Regular Payment	CIS-GCASH 3.0	1,599.00	0	04-Oct-26")</f>
        <v>PQGOR366129086	04-Oct-26	Regular Payment	CIS-GCASH 3.0	1,599.00	0	04-Oct-26</v>
      </c>
      <c r="I840" s="1" t="str">
        <f>IFERROR(__xludf.DUMMYFUNCTION("""COMPUTED_VALUE"""),"WITH 1 AMSF")</f>
        <v>WITH 1 AMSF</v>
      </c>
      <c r="J840" s="1"/>
      <c r="K840" s="1" t="str">
        <f>IFERROR(__xludf.DUMMYFUNCTION("""COMPUTED_VALUE"""),"COMPLETED")</f>
        <v>COMPLETED</v>
      </c>
      <c r="L840" s="1" t="str">
        <f>IFERROR(__xludf.DUMMYFUNCTION("""COMPUTED_VALUE"""),"POSTED")</f>
        <v>POSTED</v>
      </c>
      <c r="M840" s="1" t="str">
        <f>IFERROR(__xludf.DUMMYFUNCTION("""COMPUTED_VALUE"""),"POSTED")</f>
        <v>POSTED</v>
      </c>
      <c r="N840" s="3">
        <f>IFERROR(__xludf.DUMMYFUNCTION("""COMPUTED_VALUE"""),46300)</f>
        <v>46300</v>
      </c>
      <c r="O840" s="1" t="str">
        <f>IFERROR(__xludf.DUMMYFUNCTION("""COMPUTED_VALUE"""),"FIBER UNLI ALL PLAN 1499")</f>
        <v>FIBER UNLI ALL PLAN 1499</v>
      </c>
      <c r="P840" s="1" t="str">
        <f>IFERROR(__xludf.DUMMYFUNCTION("""COMPUTED_VALUE"""),"LOWPLAN")</f>
        <v>LOWPLAN</v>
      </c>
      <c r="Q840" s="1" t="str">
        <f>IFERROR(__xludf.DUMMYFUNCTION("""COMPUTED_VALUE"""),"P407560")</f>
        <v>P407560</v>
      </c>
      <c r="R840" s="1" t="str">
        <f>IFERROR(__xludf.DUMMYFUNCTION("""COMPUTED_VALUE"""),"BITANCUR, CHRISTIAN")</f>
        <v>BITANCUR, CHRISTIAN</v>
      </c>
      <c r="S840" s="1" t="str">
        <f>IFERROR(__xludf.DUMMYFUNCTION("""COMPUTED_VALUE"""),"ORGANIC")</f>
        <v>ORGANIC</v>
      </c>
      <c r="T840" s="1" t="str">
        <f>IFERROR(__xludf.DUMMYFUNCTION("""COMPUTED_VALUE"""),"LEA REMOLLO")</f>
        <v>LEA REMOLLO</v>
      </c>
      <c r="U840" s="1" t="str">
        <f>IFERROR(__xludf.DUMMYFUNCTION("""COMPUTED_VALUE"""),"JB SALIOA")</f>
        <v>JB SALIOA</v>
      </c>
      <c r="V840" s="1" t="str">
        <f>IFERROR(__xludf.DUMMYFUNCTION("""COMPUTED_VALUE"""),"BK REGULAR")</f>
        <v>BK REGULAR</v>
      </c>
      <c r="W840" s="1" t="str">
        <f>IFERROR(__xludf.DUMMYFUNCTION("""COMPUTED_VALUE"""),"STK REGULAR")</f>
        <v>STK REGULAR</v>
      </c>
      <c r="X840" s="1" t="str">
        <f>IFERROR(__xludf.DUMMYFUNCTION("""COMPUTED_VALUE"""),"REGULAR")</f>
        <v>REGULAR</v>
      </c>
      <c r="Y840" s="1" t="str">
        <f>IFERROR(__xludf.DUMMYFUNCTION("""COMPUTED_VALUE"""),"BK_CVEU_260824")</f>
        <v>BK_CVEU_260824</v>
      </c>
      <c r="Z840" s="1" t="str">
        <f>IFERROR(__xludf.DUMMYFUNCTION("""COMPUTED_VALUE"""),"NEW CONNECT")</f>
        <v>NEW CONNECT</v>
      </c>
      <c r="AA840" s="1">
        <f>IFERROR(__xludf.DUMMYFUNCTION("""COMPUTED_VALUE"""),639466211274)</f>
        <v>639466211274</v>
      </c>
      <c r="AB840" s="1"/>
      <c r="AC840" s="1"/>
      <c r="AD840" s="1" t="str">
        <f>IFERROR(__xludf.DUMMYFUNCTION("""COMPUTED_VALUE"""),"CARMONA ESTATES")</f>
        <v>CARMONA ESTATES</v>
      </c>
      <c r="AE840" s="1" t="str">
        <f>IFERROR(__xludf.DUMMYFUNCTION("""COMPUTED_VALUE"""),"CARMONA ESTATES")</f>
        <v>CARMONA ESTATES</v>
      </c>
      <c r="AF840" s="1" t="str">
        <f>IFERROR(__xludf.DUMMYFUNCTION("""COMPUTED_VALUE"""),"BGY LANTIC")</f>
        <v>BGY LANTIC</v>
      </c>
      <c r="AG840" s="1" t="str">
        <f>IFERROR(__xludf.DUMMYFUNCTION("""COMPUTED_VALUE"""),"CARMONA")</f>
        <v>CARMONA</v>
      </c>
      <c r="AH840" s="1" t="str">
        <f>IFERROR(__xludf.DUMMYFUNCTION("""COMPUTED_VALUE"""),"CARMONA ESTATES")</f>
        <v>CARMONA ESTATES</v>
      </c>
      <c r="AI840" s="1" t="str">
        <f>IFERROR(__xludf.DUMMYFUNCTION("""COMPUTED_VALUE"""),"CLUSTER 11")</f>
        <v>CLUSTER 11</v>
      </c>
    </row>
    <row r="841" customHeight="1" spans="1:35">
      <c r="A841" s="3">
        <f>IFERROR(__xludf.DUMMYFUNCTION("""COMPUTED_VALUE"""),46298)</f>
        <v>46298</v>
      </c>
      <c r="B841" s="1" t="str">
        <f>IFERROR(__xludf.DUMMYFUNCTION("""COMPUTED_VALUE"""),"VON RYAN . ALBA")</f>
        <v>VON RYAN . ALBA</v>
      </c>
      <c r="C841" s="1">
        <f>IFERROR(__xludf.DUMMYFUNCTION("""COMPUTED_VALUE"""),2312942486)</f>
        <v>2312942486</v>
      </c>
      <c r="D841" s="1"/>
      <c r="E841" s="1"/>
      <c r="F841" s="1" t="str">
        <f>IFERROR(__xludf.DUMMYFUNCTION("""COMPUTED_VALUE"""),"CANCELLED")</f>
        <v>CANCELLED</v>
      </c>
      <c r="G841" s="1" t="str">
        <f>IFERROR(__xludf.DUMMYFUNCTION("""COMPUTED_VALUE"""),"CANCELLED DUE TO WRONG ZONE")</f>
        <v>CANCELLED DUE TO WRONG ZONE</v>
      </c>
      <c r="H841" s="1"/>
      <c r="I841" s="1"/>
      <c r="J841" s="1"/>
      <c r="K841" s="1"/>
      <c r="L841" s="1" t="str">
        <f>IFERROR(__xludf.DUMMYFUNCTION("""COMPUTED_VALUE"""),"CANCELLED")</f>
        <v>CANCELLED</v>
      </c>
      <c r="M841" s="1" t="str">
        <f>IFERROR(__xludf.DUMMYFUNCTION("""COMPUTED_VALUE"""),"CANCELLED")</f>
        <v>CANCELLED</v>
      </c>
      <c r="N841" s="3"/>
      <c r="O841" s="1" t="str">
        <f>IFERROR(__xludf.DUMMYFUNCTION("""COMPUTED_VALUE"""),"FIBR PLAN 1299")</f>
        <v>FIBR PLAN 1299</v>
      </c>
      <c r="P841" s="1" t="str">
        <f>IFERROR(__xludf.DUMMYFUNCTION("""COMPUTED_VALUE"""),"LOWPLAN")</f>
        <v>LOWPLAN</v>
      </c>
      <c r="Q841" s="1" t="str">
        <f>IFERROR(__xludf.DUMMYFUNCTION("""COMPUTED_VALUE"""),"P407564")</f>
        <v>P407564</v>
      </c>
      <c r="R841" s="1" t="str">
        <f>IFERROR(__xludf.DUMMYFUNCTION("""COMPUTED_VALUE"""),"ARENA, LYKA")</f>
        <v>ARENA, LYKA</v>
      </c>
      <c r="S841" s="1" t="str">
        <f>IFERROR(__xludf.DUMMYFUNCTION("""COMPUTED_VALUE"""),"ORGANIC")</f>
        <v>ORGANIC</v>
      </c>
      <c r="T841" s="1" t="str">
        <f>IFERROR(__xludf.DUMMYFUNCTION("""COMPUTED_VALUE"""),"LEA REMOLLO")</f>
        <v>LEA REMOLLO</v>
      </c>
      <c r="U841" s="1" t="str">
        <f>IFERROR(__xludf.DUMMYFUNCTION("""COMPUTED_VALUE"""),"JB SALIOA")</f>
        <v>JB SALIOA</v>
      </c>
      <c r="V841" s="1" t="str">
        <f>IFERROR(__xludf.DUMMYFUNCTION("""COMPUTED_VALUE"""),"ONLINE/CRANFORD")</f>
        <v>ONLINE/CRANFORD</v>
      </c>
      <c r="W841" s="1" t="str">
        <f>IFERROR(__xludf.DUMMYFUNCTION("""COMPUTED_VALUE"""),"STK REGULAR")</f>
        <v>STK REGULAR</v>
      </c>
      <c r="X841" s="1" t="str">
        <f>IFERROR(__xludf.DUMMYFUNCTION("""COMPUTED_VALUE"""),"REGULAR")</f>
        <v>REGULAR</v>
      </c>
      <c r="Y841" s="1" t="str">
        <f>IFERROR(__xludf.DUMMYFUNCTION("""COMPUTED_VALUE"""),"RS_ONL_CVEU_2026")</f>
        <v>RS_ONL_CVEU_2026</v>
      </c>
      <c r="Z841" s="1" t="str">
        <f>IFERROR(__xludf.DUMMYFUNCTION("""COMPUTED_VALUE"""),"NEW CONNECT")</f>
        <v>NEW CONNECT</v>
      </c>
      <c r="AA841" s="1">
        <f>IFERROR(__xludf.DUMMYFUNCTION("""COMPUTED_VALUE"""),639973960067)</f>
        <v>639973960067</v>
      </c>
      <c r="AB841" s="1"/>
      <c r="AC841" s="1">
        <f>IFERROR(__xludf.DUMMYFUNCTION("""COMPUTED_VALUE"""),153)</f>
        <v>153</v>
      </c>
      <c r="AD841" s="1" t="str">
        <f>IFERROR(__xludf.DUMMYFUNCTION("""COMPUTED_VALUE"""),"TALISAY")</f>
        <v>TALISAY</v>
      </c>
      <c r="AE841" s="1"/>
      <c r="AF841" s="1" t="str">
        <f>IFERROR(__xludf.DUMMYFUNCTION("""COMPUTED_VALUE"""),"BGY TALISAY")</f>
        <v>BGY TALISAY</v>
      </c>
      <c r="AG841" s="1" t="str">
        <f>IFERROR(__xludf.DUMMYFUNCTION("""COMPUTED_VALUE"""),"CALATAGAN")</f>
        <v>CALATAGAN</v>
      </c>
      <c r="AH841" s="1" t="str">
        <f>IFERROR(__xludf.DUMMYFUNCTION("""COMPUTED_VALUE"""),"INFRONT OF TUMBAGA STORE")</f>
        <v>INFRONT OF TUMBAGA STORE</v>
      </c>
      <c r="AI841" s="1" t="str">
        <f>IFERROR(__xludf.DUMMYFUNCTION("""COMPUTED_VALUE"""),"NOT AOR")</f>
        <v>NOT AOR</v>
      </c>
    </row>
    <row r="842" customHeight="1" spans="1:35">
      <c r="A842" s="3">
        <f>IFERROR(__xludf.DUMMYFUNCTION("""COMPUTED_VALUE"""),46298)</f>
        <v>46298</v>
      </c>
      <c r="B842" s="1" t="str">
        <f>IFERROR(__xludf.DUMMYFUNCTION("""COMPUTED_VALUE"""),"ROSEMARIE LALAGUNA LAMBUNAO")</f>
        <v>ROSEMARIE LALAGUNA LAMBUNAO</v>
      </c>
      <c r="C842" s="1">
        <f>IFERROR(__xludf.DUMMYFUNCTION("""COMPUTED_VALUE"""),2312946500)</f>
        <v>2312946500</v>
      </c>
      <c r="D842" s="1">
        <f>IFERROR(__xludf.DUMMYFUNCTION("""COMPUTED_VALUE"""),408634121)</f>
        <v>408634121</v>
      </c>
      <c r="E842" s="1">
        <f>IFERROR(__xludf.DUMMYFUNCTION("""COMPUTED_VALUE"""),474062386004)</f>
        <v>474062386004</v>
      </c>
      <c r="F842" s="1" t="str">
        <f>IFERROR(__xludf.DUMMYFUNCTION("""COMPUTED_VALUE"""),"FOR CANCELLATION")</f>
        <v>FOR CANCELLATION</v>
      </c>
      <c r="G842" s="1" t="str">
        <f>IFERROR(__xludf.DUMMYFUNCTION("""COMPUTED_VALUE"""),"FOR CANCELLATION")</f>
        <v>FOR CANCELLATION</v>
      </c>
      <c r="H842" s="1" t="str">
        <f>IFERROR(__xludf.DUMMYFUNCTION("""COMPUTED_VALUE"""),"FOR CANCELLATION- PINAALIS DAW SYA NG MAY ARI NG BAHAY")</f>
        <v>FOR CANCELLATION- PINAALIS DAW SYA NG MAY ARI NG BAHAY</v>
      </c>
      <c r="I842" s="1"/>
      <c r="J842" s="1"/>
      <c r="K842" s="1" t="str">
        <f>IFERROR(__xludf.DUMMYFUNCTION("""COMPUTED_VALUE"""),"NOT IN OFSC")</f>
        <v>NOT IN OFSC</v>
      </c>
      <c r="L842" s="1" t="str">
        <f>IFERROR(__xludf.DUMMYFUNCTION("""COMPUTED_VALUE"""),"FOR PAYMENT")</f>
        <v>FOR PAYMENT</v>
      </c>
      <c r="M842" s="1" t="str">
        <f>IFERROR(__xludf.DUMMYFUNCTION("""COMPUTED_VALUE"""),"FOR CANCELLATION - NON COMPLIANCE - NO PAYMENT")</f>
        <v>FOR CANCELLATION - NON COMPLIANCE - NO PAYMENT</v>
      </c>
      <c r="N842" s="3"/>
      <c r="O842" s="1" t="str">
        <f>IFERROR(__xludf.DUMMYFUNCTION("""COMPUTED_VALUE"""),"FIBER UNLI PLAN 1399")</f>
        <v>FIBER UNLI PLAN 1399</v>
      </c>
      <c r="P842" s="1" t="str">
        <f>IFERROR(__xludf.DUMMYFUNCTION("""COMPUTED_VALUE"""),"LOWPLAN")</f>
        <v>LOWPLAN</v>
      </c>
      <c r="Q842" s="1" t="str">
        <f>IFERROR(__xludf.DUMMYFUNCTION("""COMPUTED_VALUE"""),"P407049")</f>
        <v>P407049</v>
      </c>
      <c r="R842" s="1" t="str">
        <f>IFERROR(__xludf.DUMMYFUNCTION("""COMPUTED_VALUE"""),"CADERAO, RONALD")</f>
        <v>CADERAO, RONALD</v>
      </c>
      <c r="S842" s="1" t="str">
        <f>IFERROR(__xludf.DUMMYFUNCTION("""COMPUTED_VALUE"""),"ORGANIC")</f>
        <v>ORGANIC</v>
      </c>
      <c r="T842" s="1" t="str">
        <f>IFERROR(__xludf.DUMMYFUNCTION("""COMPUTED_VALUE"""),"LEA REMOLLO")</f>
        <v>LEA REMOLLO</v>
      </c>
      <c r="U842" s="1" t="str">
        <f>IFERROR(__xludf.DUMMYFUNCTION("""COMPUTED_VALUE"""),"JB SALIOA")</f>
        <v>JB SALIOA</v>
      </c>
      <c r="V842" s="1" t="str">
        <f>IFERROR(__xludf.DUMMYFUNCTION("""COMPUTED_VALUE"""),"BK HSTK")</f>
        <v>BK HSTK</v>
      </c>
      <c r="W842" s="1" t="str">
        <f>IFERROR(__xludf.DUMMYFUNCTION("""COMPUTED_VALUE"""),"BK HSTK")</f>
        <v>BK HSTK</v>
      </c>
      <c r="X842" s="1" t="str">
        <f>IFERROR(__xludf.DUMMYFUNCTION("""COMPUTED_VALUE"""),"FIBER 1399 98TH YR")</f>
        <v>FIBER 1399 98TH YR</v>
      </c>
      <c r="Y842" s="1" t="str">
        <f>IFERROR(__xludf.DUMMYFUNCTION("""COMPUTED_VALUE"""),"BK_CVEU_260827")</f>
        <v>BK_CVEU_260827</v>
      </c>
      <c r="Z842" s="1" t="str">
        <f>IFERROR(__xludf.DUMMYFUNCTION("""COMPUTED_VALUE"""),"NEW CONNECT")</f>
        <v>NEW CONNECT</v>
      </c>
      <c r="AA842" s="1">
        <f>IFERROR(__xludf.DUMMYFUNCTION("""COMPUTED_VALUE"""),639563579547)</f>
        <v>639563579547</v>
      </c>
      <c r="AB842" s="1"/>
      <c r="AC842" s="1"/>
      <c r="AD842" s="1" t="str">
        <f>IFERROR(__xludf.DUMMYFUNCTION("""COMPUTED_VALUE"""),"PHASE 2")</f>
        <v>PHASE 2</v>
      </c>
      <c r="AE842" s="1"/>
      <c r="AF842" s="1" t="str">
        <f>IFERROR(__xludf.DUMMYFUNCTION("""COMPUTED_VALUE"""),"BGY ANAHAW 1")</f>
        <v>BGY ANAHAW 1</v>
      </c>
      <c r="AG842" s="1" t="str">
        <f>IFERROR(__xludf.DUMMYFUNCTION("""COMPUTED_VALUE"""),"SILANG")</f>
        <v>SILANG</v>
      </c>
      <c r="AH842" s="1" t="str">
        <f>IFERROR(__xludf.DUMMYFUNCTION("""COMPUTED_VALUE"""),"AT THE BACK OF ALFAMART // HALFCOURT")</f>
        <v>AT THE BACK OF ALFAMART // HALFCOURT</v>
      </c>
      <c r="AI842" s="1" t="str">
        <f>IFERROR(__xludf.DUMMYFUNCTION("""COMPUTED_VALUE"""),"CLUSTER 11")</f>
        <v>CLUSTER 11</v>
      </c>
    </row>
    <row r="843" customHeight="1" spans="1:35">
      <c r="A843" s="3">
        <f>IFERROR(__xludf.DUMMYFUNCTION("""COMPUTED_VALUE"""),46299)</f>
        <v>46299</v>
      </c>
      <c r="B843" s="1" t="str">
        <f>IFERROR(__xludf.DUMMYFUNCTION("""COMPUTED_VALUE"""),"FLORENCIO SALISI MIRANDA")</f>
        <v>FLORENCIO SALISI MIRANDA</v>
      </c>
      <c r="C843" s="1">
        <f>IFERROR(__xludf.DUMMYFUNCTION("""COMPUTED_VALUE"""),2312954387)</f>
        <v>2312954387</v>
      </c>
      <c r="D843" s="1">
        <f>IFERROR(__xludf.DUMMYFUNCTION("""COMPUTED_VALUE"""),408645212)</f>
        <v>408645212</v>
      </c>
      <c r="E843" s="1">
        <f>IFERROR(__xludf.DUMMYFUNCTION("""COMPUTED_VALUE"""),474170685004)</f>
        <v>474170685004</v>
      </c>
      <c r="F843" s="1" t="str">
        <f>IFERROR(__xludf.DUMMYFUNCTION("""COMPUTED_VALUE"""),"CLOSED")</f>
        <v>CLOSED</v>
      </c>
      <c r="G843" s="1" t="str">
        <f>IFERROR(__xludf.DUMMYFUNCTION("""COMPUTED_VALUE"""),"CLOSED")</f>
        <v>CLOSED</v>
      </c>
      <c r="H843" s="1" t="str">
        <f>IFERROR(__xludf.DUMMYFUNCTION("""COMPUTED_VALUE"""),"PQGOR367168594	13-Oct-26	Regular Payment	CIS-GCASH 3.0	1,399.00	0	13-Oct-26")</f>
        <v>PQGOR367168594	13-Oct-26	Regular Payment	CIS-GCASH 3.0	1,399.00	0	13-Oct-26</v>
      </c>
      <c r="I843" s="1" t="str">
        <f>IFERROR(__xludf.DUMMYFUNCTION("""COMPUTED_VALUE"""),"WITH 1 AMSF")</f>
        <v>WITH 1 AMSF</v>
      </c>
      <c r="J843" s="1"/>
      <c r="K843" s="1" t="str">
        <f>IFERROR(__xludf.DUMMYFUNCTION("""COMPUTED_VALUE"""),"COMPLETED")</f>
        <v>COMPLETED</v>
      </c>
      <c r="L843" s="1" t="str">
        <f>IFERROR(__xludf.DUMMYFUNCTION("""COMPUTED_VALUE"""),"POSTED")</f>
        <v>POSTED</v>
      </c>
      <c r="M843" s="1" t="str">
        <f>IFERROR(__xludf.DUMMYFUNCTION("""COMPUTED_VALUE"""),"POSTED")</f>
        <v>POSTED</v>
      </c>
      <c r="N843" s="3">
        <f>IFERROR(__xludf.DUMMYFUNCTION("""COMPUTED_VALUE"""),46302)</f>
        <v>46302</v>
      </c>
      <c r="O843" s="1" t="str">
        <f>IFERROR(__xludf.DUMMYFUNCTION("""COMPUTED_VALUE"""),"FIBER UNLI PLAN 1399")</f>
        <v>FIBER UNLI PLAN 1399</v>
      </c>
      <c r="P843" s="1" t="str">
        <f>IFERROR(__xludf.DUMMYFUNCTION("""COMPUTED_VALUE"""),"LOWPLAN")</f>
        <v>LOWPLAN</v>
      </c>
      <c r="Q843" s="1" t="str">
        <f>IFERROR(__xludf.DUMMYFUNCTION("""COMPUTED_VALUE"""),"P407049")</f>
        <v>P407049</v>
      </c>
      <c r="R843" s="1" t="str">
        <f>IFERROR(__xludf.DUMMYFUNCTION("""COMPUTED_VALUE"""),"ALINGARO, CINDY")</f>
        <v>ALINGARO, CINDY</v>
      </c>
      <c r="S843" s="1" t="str">
        <f>IFERROR(__xludf.DUMMYFUNCTION("""COMPUTED_VALUE"""),"ORGANIC")</f>
        <v>ORGANIC</v>
      </c>
      <c r="T843" s="1" t="str">
        <f>IFERROR(__xludf.DUMMYFUNCTION("""COMPUTED_VALUE"""),"LEA REMOLLO")</f>
        <v>LEA REMOLLO</v>
      </c>
      <c r="U843" s="1" t="str">
        <f>IFERROR(__xludf.DUMMYFUNCTION("""COMPUTED_VALUE"""),"JB SALIOA")</f>
        <v>JB SALIOA</v>
      </c>
      <c r="V843" s="1" t="str">
        <f>IFERROR(__xludf.DUMMYFUNCTION("""COMPUTED_VALUE"""),"BK REGULAR")</f>
        <v>BK REGULAR</v>
      </c>
      <c r="W843" s="1" t="str">
        <f>IFERROR(__xludf.DUMMYFUNCTION("""COMPUTED_VALUE"""),"STK REGULAR")</f>
        <v>STK REGULAR</v>
      </c>
      <c r="X843" s="1" t="str">
        <f>IFERROR(__xludf.DUMMYFUNCTION("""COMPUTED_VALUE"""),"FIBER 1399 98TH YR")</f>
        <v>FIBER 1399 98TH YR</v>
      </c>
      <c r="Y843" s="1" t="str">
        <f>IFERROR(__xludf.DUMMYFUNCTION("""COMPUTED_VALUE"""),"BK_CVEU_260822")</f>
        <v>BK_CVEU_260822</v>
      </c>
      <c r="Z843" s="1" t="str">
        <f>IFERROR(__xludf.DUMMYFUNCTION("""COMPUTED_VALUE"""),"NEW CONNECT")</f>
        <v>NEW CONNECT</v>
      </c>
      <c r="AA843" s="1">
        <f>IFERROR(__xludf.DUMMYFUNCTION("""COMPUTED_VALUE"""),639704707377)</f>
        <v>639704707377</v>
      </c>
      <c r="AB843" s="1">
        <f>IFERROR(__xludf.DUMMYFUNCTION("""COMPUTED_VALUE"""),639634037557)</f>
        <v>639634037557</v>
      </c>
      <c r="AC843" s="1">
        <f>IFERROR(__xludf.DUMMYFUNCTION("""COMPUTED_VALUE"""),4)</f>
        <v>4</v>
      </c>
      <c r="AD843" s="1" t="str">
        <f>IFERROR(__xludf.DUMMYFUNCTION("""COMPUTED_VALUE"""),"PUROK 43")</f>
        <v>PUROK 43</v>
      </c>
      <c r="AE843" s="1"/>
      <c r="AF843" s="1" t="str">
        <f>IFERROR(__xludf.DUMMYFUNCTION("""COMPUTED_VALUE"""),"BGY IRUHIN SOUTH")</f>
        <v>BGY IRUHIN SOUTH</v>
      </c>
      <c r="AG843" s="1" t="str">
        <f>IFERROR(__xludf.DUMMYFUNCTION("""COMPUTED_VALUE"""),"TAGAYTAY")</f>
        <v>TAGAYTAY</v>
      </c>
      <c r="AH843" s="1" t="str">
        <f>IFERROR(__xludf.DUMMYFUNCTION("""COMPUTED_VALUE"""),"-")</f>
        <v>-</v>
      </c>
      <c r="AI843" s="1" t="str">
        <f>IFERROR(__xludf.DUMMYFUNCTION("""COMPUTED_VALUE"""),"CLUSTER 12")</f>
        <v>CLUSTER 12</v>
      </c>
    </row>
    <row r="844" customHeight="1" spans="1:35">
      <c r="A844" s="3">
        <f>IFERROR(__xludf.DUMMYFUNCTION("""COMPUTED_VALUE"""),46299)</f>
        <v>46299</v>
      </c>
      <c r="B844" s="1" t="str">
        <f>IFERROR(__xludf.DUMMYFUNCTION("""COMPUTED_VALUE"""),"LEO DELA UMBRIA VILLANEA")</f>
        <v>LEO DELA UMBRIA VILLANEA</v>
      </c>
      <c r="C844" s="1">
        <f>IFERROR(__xludf.DUMMYFUNCTION("""COMPUTED_VALUE"""),2312954957)</f>
        <v>2312954957</v>
      </c>
      <c r="D844" s="1">
        <f>IFERROR(__xludf.DUMMYFUNCTION("""COMPUTED_VALUE"""),408647193)</f>
        <v>408647193</v>
      </c>
      <c r="E844" s="1">
        <f>IFERROR(__xludf.DUMMYFUNCTION("""COMPUTED_VALUE"""),474172003004)</f>
        <v>474172003004</v>
      </c>
      <c r="F844" s="1" t="str">
        <f>IFERROR(__xludf.DUMMYFUNCTION("""COMPUTED_VALUE"""),"CANCELED")</f>
        <v>CANCELED</v>
      </c>
      <c r="G844" s="1" t="str">
        <f>IFERROR(__xludf.DUMMYFUNCTION("""COMPUTED_VALUE"""),"rpr REMARKS   ALL NEREST CAFAC FULL BUT ASIGN CAFAC FULL  GMZLP195NP5 0286596526 ERLINDA BOLANDO ACTIVE GMZLP195NP6 full GMZLP195NP8 full SUBS ALLREADY ADVICE   TALK   ANALYN VILLANEA ASAWA CBR  09777617239")</f>
        <v>rpr REMARKS   ALL NEREST CAFAC FULL BUT ASIGN CAFAC FULL  GMZLP195NP5 0286596526 ERLINDA BOLANDO ACTIVE GMZLP195NP6 full GMZLP195NP8 full SUBS ALLREADY ADVICE   TALK   ANALYN VILLANEA ASAWA CBR  09777617239</v>
      </c>
      <c r="H844" s="1"/>
      <c r="I844" s="1"/>
      <c r="J844" s="1"/>
      <c r="K844" s="1" t="str">
        <f>IFERROR(__xludf.DUMMYFUNCTION("""COMPUTED_VALUE"""),"CANCELED")</f>
        <v>CANCELED</v>
      </c>
      <c r="L844" s="1" t="str">
        <f>IFERROR(__xludf.DUMMYFUNCTION("""COMPUTED_VALUE"""),"CANCELLED - RPR")</f>
        <v>CANCELLED - RPR</v>
      </c>
      <c r="M844" s="1" t="str">
        <f>IFERROR(__xludf.DUMMYFUNCTION("""COMPUTED_VALUE"""),"CANCELLED - RPR")</f>
        <v>CANCELLED - RPR</v>
      </c>
      <c r="N844" s="3"/>
      <c r="O844" s="1" t="str">
        <f>IFERROR(__xludf.DUMMYFUNCTION("""COMPUTED_VALUE"""),"FIBER UNLI PLAN 1399")</f>
        <v>FIBER UNLI PLAN 1399</v>
      </c>
      <c r="P844" s="1" t="str">
        <f>IFERROR(__xludf.DUMMYFUNCTION("""COMPUTED_VALUE"""),"LOWPLAN")</f>
        <v>LOWPLAN</v>
      </c>
      <c r="Q844" s="1" t="str">
        <f>IFERROR(__xludf.DUMMYFUNCTION("""COMPUTED_VALUE"""),"P407561")</f>
        <v>P407561</v>
      </c>
      <c r="R844" s="1" t="str">
        <f>IFERROR(__xludf.DUMMYFUNCTION("""COMPUTED_VALUE"""),"TAMAYO, MARY ROSE ZAIRA")</f>
        <v>TAMAYO, MARY ROSE ZAIRA</v>
      </c>
      <c r="S844" s="1" t="str">
        <f>IFERROR(__xludf.DUMMYFUNCTION("""COMPUTED_VALUE"""),"ORGANIC")</f>
        <v>ORGANIC</v>
      </c>
      <c r="T844" s="1" t="str">
        <f>IFERROR(__xludf.DUMMYFUNCTION("""COMPUTED_VALUE"""),"LEA REMOLLO")</f>
        <v>LEA REMOLLO</v>
      </c>
      <c r="U844" s="1" t="str">
        <f>IFERROR(__xludf.DUMMYFUNCTION("""COMPUTED_VALUE"""),"JB SALIOA")</f>
        <v>JB SALIOA</v>
      </c>
      <c r="V844" s="1" t="str">
        <f>IFERROR(__xludf.DUMMYFUNCTION("""COMPUTED_VALUE"""),"BK HSTK")</f>
        <v>BK HSTK</v>
      </c>
      <c r="W844" s="1" t="str">
        <f>IFERROR(__xludf.DUMMYFUNCTION("""COMPUTED_VALUE"""),"BK HSTK")</f>
        <v>BK HSTK</v>
      </c>
      <c r="X844" s="1" t="str">
        <f>IFERROR(__xludf.DUMMYFUNCTION("""COMPUTED_VALUE"""),"FIBER 1399 98TH YR")</f>
        <v>FIBER 1399 98TH YR</v>
      </c>
      <c r="Y844" s="1" t="str">
        <f>IFERROR(__xludf.DUMMYFUNCTION("""COMPUTED_VALUE"""),"BK_CVEU_260825")</f>
        <v>BK_CVEU_260825</v>
      </c>
      <c r="Z844" s="1" t="str">
        <f>IFERROR(__xludf.DUMMYFUNCTION("""COMPUTED_VALUE"""),"NEW CONNECT")</f>
        <v>NEW CONNECT</v>
      </c>
      <c r="AA844" s="1">
        <f>IFERROR(__xludf.DUMMYFUNCTION("""COMPUTED_VALUE"""),639777617239)</f>
        <v>639777617239</v>
      </c>
      <c r="AB844" s="1"/>
      <c r="AC844" s="1"/>
      <c r="AD844" s="1" t="str">
        <f>IFERROR(__xludf.DUMMYFUNCTION("""COMPUTED_VALUE"""),"CASA DE MONTEVERDE")</f>
        <v>CASA DE MONTEVERDE</v>
      </c>
      <c r="AE844" s="1" t="str">
        <f>IFERROR(__xludf.DUMMYFUNCTION("""COMPUTED_VALUE"""),"CASA DE MONTEVERDE")</f>
        <v>CASA DE MONTEVERDE</v>
      </c>
      <c r="AF844" s="1" t="str">
        <f>IFERROR(__xludf.DUMMYFUNCTION("""COMPUTED_VALUE"""),"BGY F DE CASTRO")</f>
        <v>BGY F DE CASTRO</v>
      </c>
      <c r="AG844" s="1" t="str">
        <f>IFERROR(__xludf.DUMMYFUNCTION("""COMPUTED_VALUE"""),"GEN MARIANO ALVAREZ")</f>
        <v>GEN MARIANO ALVAREZ</v>
      </c>
      <c r="AH844" s="1" t="str">
        <f>IFERROR(__xludf.DUMMYFUNCTION("""COMPUTED_VALUE"""),"MIHS SARI SARI")</f>
        <v>MIHS SARI SARI</v>
      </c>
      <c r="AI844" s="1" t="str">
        <f>IFERROR(__xludf.DUMMYFUNCTION("""COMPUTED_VALUE"""),"CLUSTER 11")</f>
        <v>CLUSTER 11</v>
      </c>
    </row>
    <row r="845" customHeight="1" spans="1:35">
      <c r="A845" s="3">
        <f>IFERROR(__xludf.DUMMYFUNCTION("""COMPUTED_VALUE"""),46299)</f>
        <v>46299</v>
      </c>
      <c r="B845" s="1" t="str">
        <f>IFERROR(__xludf.DUMMYFUNCTION("""COMPUTED_VALUE"""),"MARICRIS ELLEZO GUILLERMO")</f>
        <v>MARICRIS ELLEZO GUILLERMO</v>
      </c>
      <c r="C845" s="1">
        <f>IFERROR(__xludf.DUMMYFUNCTION("""COMPUTED_VALUE"""),2312955660)</f>
        <v>2312955660</v>
      </c>
      <c r="D845" s="1"/>
      <c r="E845" s="1"/>
      <c r="F845" s="1" t="str">
        <f>IFERROR(__xludf.DUMMYFUNCTION("""COMPUTED_VALUE"""),"REENCODED")</f>
        <v>REENCODED</v>
      </c>
      <c r="G845" s="1" t="str">
        <f>IFERROR(__xludf.DUMMYFUNCTION("""COMPUTED_VALUE"""),"FOR REENCODE DUE TO SUBS CHANGE CONTACT DETAILS")</f>
        <v>FOR REENCODE DUE TO SUBS CHANGE CONTACT DETAILS</v>
      </c>
      <c r="H845" s="1"/>
      <c r="I845" s="1"/>
      <c r="J845" s="1"/>
      <c r="K845" s="1"/>
      <c r="L845" s="1" t="str">
        <f>IFERROR(__xludf.DUMMYFUNCTION("""COMPUTED_VALUE"""),"REENCODED")</f>
        <v>REENCODED</v>
      </c>
      <c r="M845" s="1" t="str">
        <f>IFERROR(__xludf.DUMMYFUNCTION("""COMPUTED_VALUE"""),"REENCODED")</f>
        <v>REENCODED</v>
      </c>
      <c r="N845" s="3"/>
      <c r="O845" s="1" t="str">
        <f>IFERROR(__xludf.DUMMYFUNCTION("""COMPUTED_VALUE"""),"FIBER UNLI PLAN 1399")</f>
        <v>FIBER UNLI PLAN 1399</v>
      </c>
      <c r="P845" s="1" t="str">
        <f>IFERROR(__xludf.DUMMYFUNCTION("""COMPUTED_VALUE"""),"LOWPLAN")</f>
        <v>LOWPLAN</v>
      </c>
      <c r="Q845" s="1" t="str">
        <f>IFERROR(__xludf.DUMMYFUNCTION("""COMPUTED_VALUE"""),"P407520")</f>
        <v>P407520</v>
      </c>
      <c r="R845" s="1" t="str">
        <f>IFERROR(__xludf.DUMMYFUNCTION("""COMPUTED_VALUE"""),"MALIWAT, MARK")</f>
        <v>MALIWAT, MARK</v>
      </c>
      <c r="S845" s="1" t="str">
        <f>IFERROR(__xludf.DUMMYFUNCTION("""COMPUTED_VALUE"""),"FLA")</f>
        <v>FLA</v>
      </c>
      <c r="T845" s="1" t="str">
        <f>IFERROR(__xludf.DUMMYFUNCTION("""COMPUTED_VALUE"""),"JERIC NAVARRO")</f>
        <v>JERIC NAVARRO</v>
      </c>
      <c r="U845" s="1" t="str">
        <f>IFERROR(__xludf.DUMMYFUNCTION("""COMPUTED_VALUE"""),"JB SALIOA")</f>
        <v>JB SALIOA</v>
      </c>
      <c r="V845" s="1" t="str">
        <f>IFERROR(__xludf.DUMMYFUNCTION("""COMPUTED_VALUE"""),"BK REGULAR")</f>
        <v>BK REGULAR</v>
      </c>
      <c r="W845" s="1" t="str">
        <f>IFERROR(__xludf.DUMMYFUNCTION("""COMPUTED_VALUE"""),"STK REGULAR")</f>
        <v>STK REGULAR</v>
      </c>
      <c r="X845" s="1" t="str">
        <f>IFERROR(__xludf.DUMMYFUNCTION("""COMPUTED_VALUE"""),"FIBER 1399 98TH YR")</f>
        <v>FIBER 1399 98TH YR</v>
      </c>
      <c r="Y845" s="1" t="str">
        <f>IFERROR(__xludf.DUMMYFUNCTION("""COMPUTED_VALUE"""),"BK_CVEU_260827")</f>
        <v>BK_CVEU_260827</v>
      </c>
      <c r="Z845" s="1" t="str">
        <f>IFERROR(__xludf.DUMMYFUNCTION("""COMPUTED_VALUE"""),"NEW CONNECT")</f>
        <v>NEW CONNECT</v>
      </c>
      <c r="AA845" s="1">
        <f>IFERROR(__xludf.DUMMYFUNCTION("""COMPUTED_VALUE"""),639499030281)</f>
        <v>639499030281</v>
      </c>
      <c r="AB845" s="1"/>
      <c r="AC845" s="1"/>
      <c r="AD845" s="1" t="str">
        <f>IFERROR(__xludf.DUMMYFUNCTION("""COMPUTED_VALUE"""),"SITIO IBAYONG ILAT")</f>
        <v>SITIO IBAYONG ILAT</v>
      </c>
      <c r="AE845" s="1" t="str">
        <f>IFERROR(__xludf.DUMMYFUNCTION("""COMPUTED_VALUE"""),"MIRANDA COMPOUND")</f>
        <v>MIRANDA COMPOUND</v>
      </c>
      <c r="AF845" s="1" t="str">
        <f>IFERROR(__xludf.DUMMYFUNCTION("""COMPUTED_VALUE"""),"BGY KAONG")</f>
        <v>BGY KAONG</v>
      </c>
      <c r="AG845" s="1" t="str">
        <f>IFERROR(__xludf.DUMMYFUNCTION("""COMPUTED_VALUE"""),"SILANG")</f>
        <v>SILANG</v>
      </c>
      <c r="AH845" s="1" t="str">
        <f>IFERROR(__xludf.DUMMYFUNCTION("""COMPUTED_VALUE"""),"WELLAND")</f>
        <v>WELLAND</v>
      </c>
      <c r="AI845" s="1" t="str">
        <f>IFERROR(__xludf.DUMMYFUNCTION("""COMPUTED_VALUE"""),"CLUSTER 11")</f>
        <v>CLUSTER 11</v>
      </c>
    </row>
    <row r="846" customHeight="1" spans="1:35">
      <c r="A846" s="3">
        <f>IFERROR(__xludf.DUMMYFUNCTION("""COMPUTED_VALUE"""),46299)</f>
        <v>46299</v>
      </c>
      <c r="B846" s="1" t="str">
        <f>IFERROR(__xludf.DUMMYFUNCTION("""COMPUTED_VALUE"""),"MARICRIS ELLEZO GUILLERMO")</f>
        <v>MARICRIS ELLEZO GUILLERMO</v>
      </c>
      <c r="C846" s="1">
        <f>IFERROR(__xludf.DUMMYFUNCTION("""COMPUTED_VALUE"""),2312956093)</f>
        <v>2312956093</v>
      </c>
      <c r="D846" s="1">
        <f>IFERROR(__xludf.DUMMYFUNCTION("""COMPUTED_VALUE"""),408651085)</f>
        <v>408651085</v>
      </c>
      <c r="E846" s="1">
        <f>IFERROR(__xludf.DUMMYFUNCTION("""COMPUTED_VALUE"""),474176227004)</f>
        <v>474176227004</v>
      </c>
      <c r="F846" s="1" t="str">
        <f>IFERROR(__xludf.DUMMYFUNCTION("""COMPUTED_VALUE"""),"CANCELED")</f>
        <v>CANCELED</v>
      </c>
      <c r="G846" s="1" t="str">
        <f>IFERROR(__xludf.DUMMYFUNCTION("""COMPUTED_VALUE"""),"SILLP568NP4 full SILLP568NP5 full SILLP568NP6 full SILLP568NP7 lock 7 NEAREST CAFFAC MALAPIT KAY SUBS , SUBS ALREADY ADVICE")</f>
        <v>SILLP568NP4 full SILLP568NP5 full SILLP568NP6 full SILLP568NP7 lock 7 NEAREST CAFFAC MALAPIT KAY SUBS , SUBS ALREADY ADVICE</v>
      </c>
      <c r="H846" s="1"/>
      <c r="I846" s="1" t="str">
        <f>IFERROR(__xludf.DUMMYFUNCTION("""COMPUTED_VALUE"""),"NO 1 AMSF")</f>
        <v>NO 1 AMSF</v>
      </c>
      <c r="J846" s="1"/>
      <c r="K846" s="1" t="str">
        <f>IFERROR(__xludf.DUMMYFUNCTION("""COMPUTED_VALUE"""),"CANCELED")</f>
        <v>CANCELED</v>
      </c>
      <c r="L846" s="1" t="str">
        <f>IFERROR(__xludf.DUMMYFUNCTION("""COMPUTED_VALUE"""),"RPR - NAP FULL")</f>
        <v>RPR - NAP FULL</v>
      </c>
      <c r="M846" s="1" t="str">
        <f>IFERROR(__xludf.DUMMYFUNCTION("""COMPUTED_VALUE"""),"RPR- NAP FULL")</f>
        <v>RPR- NAP FULL</v>
      </c>
      <c r="N846" s="3"/>
      <c r="O846" s="1" t="str">
        <f>IFERROR(__xludf.DUMMYFUNCTION("""COMPUTED_VALUE"""),"FIBER UNLI PLAN 1399")</f>
        <v>FIBER UNLI PLAN 1399</v>
      </c>
      <c r="P846" s="1" t="str">
        <f>IFERROR(__xludf.DUMMYFUNCTION("""COMPUTED_VALUE"""),"LOWPLAN")</f>
        <v>LOWPLAN</v>
      </c>
      <c r="Q846" s="1" t="str">
        <f>IFERROR(__xludf.DUMMYFUNCTION("""COMPUTED_VALUE"""),"P407520")</f>
        <v>P407520</v>
      </c>
      <c r="R846" s="1" t="str">
        <f>IFERROR(__xludf.DUMMYFUNCTION("""COMPUTED_VALUE"""),"MALIWAT, MARK")</f>
        <v>MALIWAT, MARK</v>
      </c>
      <c r="S846" s="1" t="str">
        <f>IFERROR(__xludf.DUMMYFUNCTION("""COMPUTED_VALUE"""),"FLA")</f>
        <v>FLA</v>
      </c>
      <c r="T846" s="1" t="str">
        <f>IFERROR(__xludf.DUMMYFUNCTION("""COMPUTED_VALUE"""),"JERIC NAVARRO")</f>
        <v>JERIC NAVARRO</v>
      </c>
      <c r="U846" s="1" t="str">
        <f>IFERROR(__xludf.DUMMYFUNCTION("""COMPUTED_VALUE"""),"JB SALIOA")</f>
        <v>JB SALIOA</v>
      </c>
      <c r="V846" s="1" t="str">
        <f>IFERROR(__xludf.DUMMYFUNCTION("""COMPUTED_VALUE"""),"BK REGULAR")</f>
        <v>BK REGULAR</v>
      </c>
      <c r="W846" s="1" t="str">
        <f>IFERROR(__xludf.DUMMYFUNCTION("""COMPUTED_VALUE"""),"STK REGULAR")</f>
        <v>STK REGULAR</v>
      </c>
      <c r="X846" s="1" t="str">
        <f>IFERROR(__xludf.DUMMYFUNCTION("""COMPUTED_VALUE"""),"FIBER 1399 98TH YR")</f>
        <v>FIBER 1399 98TH YR</v>
      </c>
      <c r="Y846" s="1" t="str">
        <f>IFERROR(__xludf.DUMMYFUNCTION("""COMPUTED_VALUE"""),"BK_CVEU_260827")</f>
        <v>BK_CVEU_260827</v>
      </c>
      <c r="Z846" s="1" t="str">
        <f>IFERROR(__xludf.DUMMYFUNCTION("""COMPUTED_VALUE"""),"NEW CONNECT")</f>
        <v>NEW CONNECT</v>
      </c>
      <c r="AA846" s="1">
        <f>IFERROR(__xludf.DUMMYFUNCTION("""COMPUTED_VALUE"""),639958373320)</f>
        <v>639958373320</v>
      </c>
      <c r="AB846" s="1"/>
      <c r="AC846" s="1"/>
      <c r="AD846" s="1" t="str">
        <f>IFERROR(__xludf.DUMMYFUNCTION("""COMPUTED_VALUE"""),"SITIO IBAYONG ILAT")</f>
        <v>SITIO IBAYONG ILAT</v>
      </c>
      <c r="AE846" s="1" t="str">
        <f>IFERROR(__xludf.DUMMYFUNCTION("""COMPUTED_VALUE"""),"MIRANDA COMPOUND")</f>
        <v>MIRANDA COMPOUND</v>
      </c>
      <c r="AF846" s="1" t="str">
        <f>IFERROR(__xludf.DUMMYFUNCTION("""COMPUTED_VALUE"""),"BGY KAONG")</f>
        <v>BGY KAONG</v>
      </c>
      <c r="AG846" s="1" t="str">
        <f>IFERROR(__xludf.DUMMYFUNCTION("""COMPUTED_VALUE"""),"SILANG")</f>
        <v>SILANG</v>
      </c>
      <c r="AH846" s="1" t="str">
        <f>IFERROR(__xludf.DUMMYFUNCTION("""COMPUTED_VALUE"""),"WELLAND")</f>
        <v>WELLAND</v>
      </c>
      <c r="AI846" s="1" t="str">
        <f>IFERROR(__xludf.DUMMYFUNCTION("""COMPUTED_VALUE"""),"CLUSTER 11")</f>
        <v>CLUSTER 11</v>
      </c>
    </row>
    <row r="847" customHeight="1" spans="1:35">
      <c r="A847" s="3">
        <f>IFERROR(__xludf.DUMMYFUNCTION("""COMPUTED_VALUE"""),46299)</f>
        <v>46299</v>
      </c>
      <c r="B847" s="1" t="str">
        <f>IFERROR(__xludf.DUMMYFUNCTION("""COMPUTED_VALUE"""),"CHARY ROSE EGUAS NAZI")</f>
        <v>CHARY ROSE EGUAS NAZI</v>
      </c>
      <c r="C847" s="1">
        <f>IFERROR(__xludf.DUMMYFUNCTION("""COMPUTED_VALUE"""),2312956271)</f>
        <v>2312956271</v>
      </c>
      <c r="D847" s="1">
        <f>IFERROR(__xludf.DUMMYFUNCTION("""COMPUTED_VALUE"""),408649013)</f>
        <v>408649013</v>
      </c>
      <c r="E847" s="1">
        <f>IFERROR(__xludf.DUMMYFUNCTION("""COMPUTED_VALUE"""),474173570004)</f>
        <v>474173570004</v>
      </c>
      <c r="F847" s="1" t="str">
        <f>IFERROR(__xludf.DUMMYFUNCTION("""COMPUTED_VALUE"""),"CANCELED")</f>
        <v>CANCELED</v>
      </c>
      <c r="G847" s="1" t="str">
        <f>IFERROR(__xludf.DUMMYFUNCTION("""COMPUTED_VALUE"""),"SUBS REQUEST FOR CANCEL APPLICATION DUE TO NO PRIVATE POLE TO ATTACH HINDI NAMAN DAW PO SYA MAKAKAPAGPROVIDE NG PRIVATE POLE")</f>
        <v>SUBS REQUEST FOR CANCEL APPLICATION DUE TO NO PRIVATE POLE TO ATTACH HINDI NAMAN DAW PO SYA MAKAKAPAGPROVIDE NG PRIVATE POLE</v>
      </c>
      <c r="H847" s="1"/>
      <c r="I847" s="1"/>
      <c r="J847" s="1"/>
      <c r="K847" s="1" t="str">
        <f>IFERROR(__xludf.DUMMYFUNCTION("""COMPUTED_VALUE"""),"CANCELED")</f>
        <v>CANCELED</v>
      </c>
      <c r="L847" s="1" t="str">
        <f>IFERROR(__xludf.DUMMYFUNCTION("""COMPUTED_VALUE"""),"RPR - UNMAINTAINABLE")</f>
        <v>RPR - UNMAINTAINABLE</v>
      </c>
      <c r="M847" s="1" t="str">
        <f>IFERROR(__xludf.DUMMYFUNCTION("""COMPUTED_VALUE"""),"RPR - UNMAINTAINABLE")</f>
        <v>RPR - UNMAINTAINABLE</v>
      </c>
      <c r="N847" s="3"/>
      <c r="O847" s="1" t="str">
        <f>IFERROR(__xludf.DUMMYFUNCTION("""COMPUTED_VALUE"""),"FIBER UNLI PLAN 1399")</f>
        <v>FIBER UNLI PLAN 1399</v>
      </c>
      <c r="P847" s="1" t="str">
        <f>IFERROR(__xludf.DUMMYFUNCTION("""COMPUTED_VALUE"""),"LOWPLAN")</f>
        <v>LOWPLAN</v>
      </c>
      <c r="Q847" s="1" t="str">
        <f>IFERROR(__xludf.DUMMYFUNCTION("""COMPUTED_VALUE"""),"P407050")</f>
        <v>P407050</v>
      </c>
      <c r="R847" s="1" t="str">
        <f>IFERROR(__xludf.DUMMYFUNCTION("""COMPUTED_VALUE"""),"ESCARCHA, ALMA")</f>
        <v>ESCARCHA, ALMA</v>
      </c>
      <c r="S847" s="1" t="str">
        <f>IFERROR(__xludf.DUMMYFUNCTION("""COMPUTED_VALUE"""),"ORGANIC")</f>
        <v>ORGANIC</v>
      </c>
      <c r="T847" s="1" t="str">
        <f>IFERROR(__xludf.DUMMYFUNCTION("""COMPUTED_VALUE"""),"LEA REMOLLO")</f>
        <v>LEA REMOLLO</v>
      </c>
      <c r="U847" s="1" t="str">
        <f>IFERROR(__xludf.DUMMYFUNCTION("""COMPUTED_VALUE"""),"JB SALIOA")</f>
        <v>JB SALIOA</v>
      </c>
      <c r="V847" s="1" t="str">
        <f>IFERROR(__xludf.DUMMYFUNCTION("""COMPUTED_VALUE"""),"BK HSTK")</f>
        <v>BK HSTK</v>
      </c>
      <c r="W847" s="1" t="str">
        <f>IFERROR(__xludf.DUMMYFUNCTION("""COMPUTED_VALUE"""),"BK HSTK")</f>
        <v>BK HSTK</v>
      </c>
      <c r="X847" s="1" t="str">
        <f>IFERROR(__xludf.DUMMYFUNCTION("""COMPUTED_VALUE"""),"FIBER 1399 98TH YR")</f>
        <v>FIBER 1399 98TH YR</v>
      </c>
      <c r="Y847" s="1" t="str">
        <f>IFERROR(__xludf.DUMMYFUNCTION("""COMPUTED_VALUE"""),"BK_CVEU_260827")</f>
        <v>BK_CVEU_260827</v>
      </c>
      <c r="Z847" s="1" t="str">
        <f>IFERROR(__xludf.DUMMYFUNCTION("""COMPUTED_VALUE"""),"NEW CONNECT")</f>
        <v>NEW CONNECT</v>
      </c>
      <c r="AA847" s="1">
        <f>IFERROR(__xludf.DUMMYFUNCTION("""COMPUTED_VALUE"""),639166339312)</f>
        <v>639166339312</v>
      </c>
      <c r="AB847" s="1">
        <f>IFERROR(__xludf.DUMMYFUNCTION("""COMPUTED_VALUE"""),639204622991)</f>
        <v>639204622991</v>
      </c>
      <c r="AC847" s="1">
        <f>IFERROR(__xludf.DUMMYFUNCTION("""COMPUTED_VALUE"""),167)</f>
        <v>167</v>
      </c>
      <c r="AD847" s="1" t="str">
        <f>IFERROR(__xludf.DUMMYFUNCTION("""COMPUTED_VALUE"""),"PUROK 2")</f>
        <v>PUROK 2</v>
      </c>
      <c r="AE847" s="1"/>
      <c r="AF847" s="1" t="str">
        <f>IFERROR(__xludf.DUMMYFUNCTION("""COMPUTED_VALUE"""),"BGY LALAAN 1")</f>
        <v>BGY LALAAN 1</v>
      </c>
      <c r="AG847" s="1" t="str">
        <f>IFERROR(__xludf.DUMMYFUNCTION("""COMPUTED_VALUE"""),"SILANG")</f>
        <v>SILANG</v>
      </c>
      <c r="AH847" s="1" t="str">
        <f>IFERROR(__xludf.DUMMYFUNCTION("""COMPUTED_VALUE"""),"-")</f>
        <v>-</v>
      </c>
      <c r="AI847" s="1" t="str">
        <f>IFERROR(__xludf.DUMMYFUNCTION("""COMPUTED_VALUE"""),"CLUSTER 11")</f>
        <v>CLUSTER 11</v>
      </c>
    </row>
    <row r="848" customHeight="1" spans="1:35">
      <c r="A848" s="3">
        <f>IFERROR(__xludf.DUMMYFUNCTION("""COMPUTED_VALUE"""),46299)</f>
        <v>46299</v>
      </c>
      <c r="B848" s="1" t="str">
        <f>IFERROR(__xludf.DUMMYFUNCTION("""COMPUTED_VALUE"""),"ASHLEY CALUMAG TULLAO")</f>
        <v>ASHLEY CALUMAG TULLAO</v>
      </c>
      <c r="C848" s="1">
        <f>IFERROR(__xludf.DUMMYFUNCTION("""COMPUTED_VALUE"""),2312958382)</f>
        <v>2312958382</v>
      </c>
      <c r="D848" s="1">
        <f>IFERROR(__xludf.DUMMYFUNCTION("""COMPUTED_VALUE"""),408655943)</f>
        <v>408655943</v>
      </c>
      <c r="E848" s="1">
        <f>IFERROR(__xludf.DUMMYFUNCTION("""COMPUTED_VALUE"""),474178084004)</f>
        <v>474178084004</v>
      </c>
      <c r="F848" s="1" t="str">
        <f>IFERROR(__xludf.DUMMYFUNCTION("""COMPUTED_VALUE"""),"CLOSED")</f>
        <v>CLOSED</v>
      </c>
      <c r="G848" s="1" t="str">
        <f>IFERROR(__xludf.DUMMYFUNCTION("""COMPUTED_VALUE"""),"CLOSED")</f>
        <v>CLOSED</v>
      </c>
      <c r="H848" s="1" t="str">
        <f>IFERROR(__xludf.DUMMYFUNCTION("""COMPUTED_VALUE"""),"PAID THRU GCASH REF# 253712887 10/7/26")</f>
        <v>PAID THRU GCASH REF# 253712887 10/7/26</v>
      </c>
      <c r="I848" s="1" t="str">
        <f>IFERROR(__xludf.DUMMYFUNCTION("""COMPUTED_VALUE"""),"WITH 1 AMSF")</f>
        <v>WITH 1 AMSF</v>
      </c>
      <c r="J848" s="1"/>
      <c r="K848" s="1" t="str">
        <f>IFERROR(__xludf.DUMMYFUNCTION("""COMPUTED_VALUE"""),"COMPLETED")</f>
        <v>COMPLETED</v>
      </c>
      <c r="L848" s="1" t="str">
        <f>IFERROR(__xludf.DUMMYFUNCTION("""COMPUTED_VALUE"""),"POSTED")</f>
        <v>POSTED</v>
      </c>
      <c r="M848" s="1" t="str">
        <f>IFERROR(__xludf.DUMMYFUNCTION("""COMPUTED_VALUE"""),"POSTED")</f>
        <v>POSTED</v>
      </c>
      <c r="N848" s="3">
        <f>IFERROR(__xludf.DUMMYFUNCTION("""COMPUTED_VALUE"""),46301)</f>
        <v>46301</v>
      </c>
      <c r="O848" s="1" t="str">
        <f>IFERROR(__xludf.DUMMYFUNCTION("""COMPUTED_VALUE"""),"FIBER UNLI PLAN 1399")</f>
        <v>FIBER UNLI PLAN 1399</v>
      </c>
      <c r="P848" s="1" t="str">
        <f>IFERROR(__xludf.DUMMYFUNCTION("""COMPUTED_VALUE"""),"LOWPLAN")</f>
        <v>LOWPLAN</v>
      </c>
      <c r="Q848" s="1" t="str">
        <f>IFERROR(__xludf.DUMMYFUNCTION("""COMPUTED_VALUE"""),"P407564")</f>
        <v>P407564</v>
      </c>
      <c r="R848" s="1" t="str">
        <f>IFERROR(__xludf.DUMMYFUNCTION("""COMPUTED_VALUE"""),"ARENA, LYKA")</f>
        <v>ARENA, LYKA</v>
      </c>
      <c r="S848" s="1" t="str">
        <f>IFERROR(__xludf.DUMMYFUNCTION("""COMPUTED_VALUE"""),"ORGANIC")</f>
        <v>ORGANIC</v>
      </c>
      <c r="T848" s="1" t="str">
        <f>IFERROR(__xludf.DUMMYFUNCTION("""COMPUTED_VALUE"""),"LEA REMOLLO")</f>
        <v>LEA REMOLLO</v>
      </c>
      <c r="U848" s="1" t="str">
        <f>IFERROR(__xludf.DUMMYFUNCTION("""COMPUTED_VALUE"""),"JB SALIOA")</f>
        <v>JB SALIOA</v>
      </c>
      <c r="V848" s="1" t="str">
        <f>IFERROR(__xludf.DUMMYFUNCTION("""COMPUTED_VALUE"""),"BK REGULAR")</f>
        <v>BK REGULAR</v>
      </c>
      <c r="W848" s="1" t="str">
        <f>IFERROR(__xludf.DUMMYFUNCTION("""COMPUTED_VALUE"""),"STK REGULAR")</f>
        <v>STK REGULAR</v>
      </c>
      <c r="X848" s="1" t="str">
        <f>IFERROR(__xludf.DUMMYFUNCTION("""COMPUTED_VALUE"""),"FIBER 1399 98TH YR")</f>
        <v>FIBER 1399 98TH YR</v>
      </c>
      <c r="Y848" s="1" t="str">
        <f>IFERROR(__xludf.DUMMYFUNCTION("""COMPUTED_VALUE"""),"BK_CVEU_260828")</f>
        <v>BK_CVEU_260828</v>
      </c>
      <c r="Z848" s="1" t="str">
        <f>IFERROR(__xludf.DUMMYFUNCTION("""COMPUTED_VALUE"""),"NEW CONNECT")</f>
        <v>NEW CONNECT</v>
      </c>
      <c r="AA848" s="1">
        <f>IFERROR(__xludf.DUMMYFUNCTION("""COMPUTED_VALUE"""),639911733132)</f>
        <v>639911733132</v>
      </c>
      <c r="AB848" s="1"/>
      <c r="AC848" s="1"/>
      <c r="AD848" s="1" t="str">
        <f>IFERROR(__xludf.DUMMYFUNCTION("""COMPUTED_VALUE"""),"AGUINALDO")</f>
        <v>AGUINALDO</v>
      </c>
      <c r="AE848" s="1" t="str">
        <f>IFERROR(__xludf.DUMMYFUNCTION("""COMPUTED_VALUE"""),"WIND RESIDENCES TOWER 3")</f>
        <v>WIND RESIDENCES TOWER 3</v>
      </c>
      <c r="AF848" s="1" t="str">
        <f>IFERROR(__xludf.DUMMYFUNCTION("""COMPUTED_VALUE"""),"BGY MAHARLIKA WEST")</f>
        <v>BGY MAHARLIKA WEST</v>
      </c>
      <c r="AG848" s="1" t="str">
        <f>IFERROR(__xludf.DUMMYFUNCTION("""COMPUTED_VALUE"""),"TAGAYTAY")</f>
        <v>TAGAYTAY</v>
      </c>
      <c r="AH848" s="1" t="str">
        <f>IFERROR(__xludf.DUMMYFUNCTION("""COMPUTED_VALUE"""),"SMDC")</f>
        <v>SMDC</v>
      </c>
      <c r="AI848" s="1" t="str">
        <f>IFERROR(__xludf.DUMMYFUNCTION("""COMPUTED_VALUE"""),"CLUSTER 12")</f>
        <v>CLUSTER 12</v>
      </c>
    </row>
    <row r="849" customHeight="1" spans="1:35">
      <c r="A849" s="3">
        <f>IFERROR(__xludf.DUMMYFUNCTION("""COMPUTED_VALUE"""),46299)</f>
        <v>46299</v>
      </c>
      <c r="B849" s="1" t="str">
        <f>IFERROR(__xludf.DUMMYFUNCTION("""COMPUTED_VALUE"""),"MARIBEL PANGILINAN MAPOR")</f>
        <v>MARIBEL PANGILINAN MAPOR</v>
      </c>
      <c r="C849" s="1">
        <f>IFERROR(__xludf.DUMMYFUNCTION("""COMPUTED_VALUE"""),2312958508)</f>
        <v>2312958508</v>
      </c>
      <c r="D849" s="1">
        <f>IFERROR(__xludf.DUMMYFUNCTION("""COMPUTED_VALUE"""),408673186)</f>
        <v>408673186</v>
      </c>
      <c r="E849" s="1">
        <f>IFERROR(__xludf.DUMMYFUNCTION("""COMPUTED_VALUE"""),474309184004)</f>
        <v>474309184004</v>
      </c>
      <c r="F849" s="1" t="str">
        <f>IFERROR(__xludf.DUMMYFUNCTION("""COMPUTED_VALUE"""),"CANCELED")</f>
        <v>CANCELED</v>
      </c>
      <c r="G849" s="1" t="str">
        <f>IFERROR(__xludf.DUMMYFUNCTION("""COMPUTED_VALUE"""),"CALLTHRU REMARKS   SUBS REQUEST FOR CANCEL APPLICATION NO LONGER NEEDED  TALK MARIBEL PANGILINAN MAPOR 09912071180 09912071282")</f>
        <v>CALLTHRU REMARKS   SUBS REQUEST FOR CANCEL APPLICATION NO LONGER NEEDED  TALK MARIBEL PANGILINAN MAPOR 09912071180 09912071282</v>
      </c>
      <c r="H849" s="1" t="str">
        <f>IFERROR(__xludf.DUMMYFUNCTION("""COMPUTED_VALUE"""),"PAID VIA CSP")</f>
        <v>PAID VIA CSP</v>
      </c>
      <c r="I849" s="1"/>
      <c r="J849" s="1"/>
      <c r="K849" s="1" t="str">
        <f>IFERROR(__xludf.DUMMYFUNCTION("""COMPUTED_VALUE"""),"CANCELED")</f>
        <v>CANCELED</v>
      </c>
      <c r="L849" s="1" t="str">
        <f>IFERROR(__xludf.DUMMYFUNCTION("""COMPUTED_VALUE"""),"RPR - SUBS CANCEL REQUEST")</f>
        <v>RPR - SUBS CANCEL REQUEST</v>
      </c>
      <c r="M849" s="1" t="str">
        <f>IFERROR(__xludf.DUMMYFUNCTION("""COMPUTED_VALUE"""),"RPR- SUBS CANCEL REQUEST")</f>
        <v>RPR- SUBS CANCEL REQUEST</v>
      </c>
      <c r="N849" s="3"/>
      <c r="O849" s="1" t="str">
        <f>IFERROR(__xludf.DUMMYFUNCTION("""COMPUTED_VALUE"""),"FIBER UNLI PLAN 1399")</f>
        <v>FIBER UNLI PLAN 1399</v>
      </c>
      <c r="P849" s="1" t="str">
        <f>IFERROR(__xludf.DUMMYFUNCTION("""COMPUTED_VALUE"""),"LOWPLAN")</f>
        <v>LOWPLAN</v>
      </c>
      <c r="Q849" s="1" t="str">
        <f>IFERROR(__xludf.DUMMYFUNCTION("""COMPUTED_VALUE"""),"P407049")</f>
        <v>P407049</v>
      </c>
      <c r="R849" s="1" t="str">
        <f>IFERROR(__xludf.DUMMYFUNCTION("""COMPUTED_VALUE"""),"ALINGARO, CINDY")</f>
        <v>ALINGARO, CINDY</v>
      </c>
      <c r="S849" s="1" t="str">
        <f>IFERROR(__xludf.DUMMYFUNCTION("""COMPUTED_VALUE"""),"ORGANIC")</f>
        <v>ORGANIC</v>
      </c>
      <c r="T849" s="1" t="str">
        <f>IFERROR(__xludf.DUMMYFUNCTION("""COMPUTED_VALUE"""),"LEA REMOLLO")</f>
        <v>LEA REMOLLO</v>
      </c>
      <c r="U849" s="1" t="str">
        <f>IFERROR(__xludf.DUMMYFUNCTION("""COMPUTED_VALUE"""),"JB SALIOA")</f>
        <v>JB SALIOA</v>
      </c>
      <c r="V849" s="1" t="str">
        <f>IFERROR(__xludf.DUMMYFUNCTION("""COMPUTED_VALUE"""),"BK REGULAR")</f>
        <v>BK REGULAR</v>
      </c>
      <c r="W849" s="1" t="str">
        <f>IFERROR(__xludf.DUMMYFUNCTION("""COMPUTED_VALUE"""),"STK REGULAR")</f>
        <v>STK REGULAR</v>
      </c>
      <c r="X849" s="1" t="str">
        <f>IFERROR(__xludf.DUMMYFUNCTION("""COMPUTED_VALUE"""),"FIBER 1399 98TH YR")</f>
        <v>FIBER 1399 98TH YR</v>
      </c>
      <c r="Y849" s="1" t="str">
        <f>IFERROR(__xludf.DUMMYFUNCTION("""COMPUTED_VALUE"""),"BK_CVEU_260825")</f>
        <v>BK_CVEU_260825</v>
      </c>
      <c r="Z849" s="1" t="str">
        <f>IFERROR(__xludf.DUMMYFUNCTION("""COMPUTED_VALUE"""),"NEW CONNECT")</f>
        <v>NEW CONNECT</v>
      </c>
      <c r="AA849" s="1">
        <f>IFERROR(__xludf.DUMMYFUNCTION("""COMPUTED_VALUE"""),639912071180)</f>
        <v>639912071180</v>
      </c>
      <c r="AB849" s="1">
        <f>IFERROR(__xludf.DUMMYFUNCTION("""COMPUTED_VALUE"""),639912071282)</f>
        <v>639912071282</v>
      </c>
      <c r="AC849" s="1"/>
      <c r="AD849" s="1" t="str">
        <f>IFERROR(__xludf.DUMMYFUNCTION("""COMPUTED_VALUE"""),"POBLACION 3")</f>
        <v>POBLACION 3</v>
      </c>
      <c r="AE849" s="1"/>
      <c r="AF849" s="1" t="str">
        <f>IFERROR(__xludf.DUMMYFUNCTION("""COMPUTED_VALUE"""),"BGY POBLACION 3")</f>
        <v>BGY POBLACION 3</v>
      </c>
      <c r="AG849" s="1" t="str">
        <f>IFERROR(__xludf.DUMMYFUNCTION("""COMPUTED_VALUE"""),"GEN MARIANO ALVAREZ")</f>
        <v>GEN MARIANO ALVAREZ</v>
      </c>
      <c r="AH849" s="1" t="str">
        <f>IFERROR(__xludf.DUMMYFUNCTION("""COMPUTED_VALUE"""),"PORTAL MALL")</f>
        <v>PORTAL MALL</v>
      </c>
      <c r="AI849" s="1" t="str">
        <f>IFERROR(__xludf.DUMMYFUNCTION("""COMPUTED_VALUE"""),"CLUSTER 11")</f>
        <v>CLUSTER 11</v>
      </c>
    </row>
    <row r="850" customHeight="1" spans="1:35">
      <c r="A850" s="3">
        <f>IFERROR(__xludf.DUMMYFUNCTION("""COMPUTED_VALUE"""),46299)</f>
        <v>46299</v>
      </c>
      <c r="B850" s="1" t="str">
        <f>IFERROR(__xludf.DUMMYFUNCTION("""COMPUTED_VALUE"""),"YOLANDA DEL MUNDO ROMASANTA")</f>
        <v>YOLANDA DEL MUNDO ROMASANTA</v>
      </c>
      <c r="C850" s="1">
        <f>IFERROR(__xludf.DUMMYFUNCTION("""COMPUTED_VALUE"""),2312958822)</f>
        <v>2312958822</v>
      </c>
      <c r="D850" s="1">
        <f>IFERROR(__xludf.DUMMYFUNCTION("""COMPUTED_VALUE"""),408656176)</f>
        <v>408656176</v>
      </c>
      <c r="E850" s="1">
        <f>IFERROR(__xludf.DUMMYFUNCTION("""COMPUTED_VALUE"""),474178318004)</f>
        <v>474178318004</v>
      </c>
      <c r="F850" s="1" t="str">
        <f>IFERROR(__xludf.DUMMYFUNCTION("""COMPUTED_VALUE"""),"FOR CANCELLATION")</f>
        <v>FOR CANCELLATION</v>
      </c>
      <c r="G850" s="1" t="str">
        <f>IFERROR(__xludf.DUMMYFUNCTION("""COMPUTED_VALUE"""),"FOR CANCELLATION")</f>
        <v>FOR CANCELLATION</v>
      </c>
      <c r="H850" s="1" t="str">
        <f>IFERROR(__xludf.DUMMYFUNCTION("""COMPUTED_VALUE"""),"TALKED TO SOR, KAKAUSAPIN DAW MUNA NYA ANAK NYA")</f>
        <v>TALKED TO SOR, KAKAUSAPIN DAW MUNA NYA ANAK NYA</v>
      </c>
      <c r="I850" s="1"/>
      <c r="J850" s="1"/>
      <c r="K850" s="1" t="str">
        <f>IFERROR(__xludf.DUMMYFUNCTION("""COMPUTED_VALUE"""),"NOT IN OFSC")</f>
        <v>NOT IN OFSC</v>
      </c>
      <c r="L850" s="1" t="str">
        <f>IFERROR(__xludf.DUMMYFUNCTION("""COMPUTED_VALUE"""),"FOR CANCELLATION")</f>
        <v>FOR CANCELLATION</v>
      </c>
      <c r="M850" s="1" t="str">
        <f>IFERROR(__xludf.DUMMYFUNCTION("""COMPUTED_VALUE"""),"FOR CANCELLATION - NON COMPLIANCE - NO PAYMENT")</f>
        <v>FOR CANCELLATION - NON COMPLIANCE - NO PAYMENT</v>
      </c>
      <c r="N850" s="3"/>
      <c r="O850" s="1" t="str">
        <f>IFERROR(__xludf.DUMMYFUNCTION("""COMPUTED_VALUE"""),"FIBER UNLI PLAN 1399")</f>
        <v>FIBER UNLI PLAN 1399</v>
      </c>
      <c r="P850" s="1" t="str">
        <f>IFERROR(__xludf.DUMMYFUNCTION("""COMPUTED_VALUE"""),"LOWPLAN")</f>
        <v>LOWPLAN</v>
      </c>
      <c r="Q850" s="1" t="str">
        <f>IFERROR(__xludf.DUMMYFUNCTION("""COMPUTED_VALUE"""),"P407047")</f>
        <v>P407047</v>
      </c>
      <c r="R850" s="1" t="str">
        <f>IFERROR(__xludf.DUMMYFUNCTION("""COMPUTED_VALUE"""),"FRANCISCO, ROSELYN")</f>
        <v>FRANCISCO, ROSELYN</v>
      </c>
      <c r="S850" s="1" t="str">
        <f>IFERROR(__xludf.DUMMYFUNCTION("""COMPUTED_VALUE"""),"ORGANIC")</f>
        <v>ORGANIC</v>
      </c>
      <c r="T850" s="1" t="str">
        <f>IFERROR(__xludf.DUMMYFUNCTION("""COMPUTED_VALUE"""),"LEA REMOLLO")</f>
        <v>LEA REMOLLO</v>
      </c>
      <c r="U850" s="1" t="str">
        <f>IFERROR(__xludf.DUMMYFUNCTION("""COMPUTED_VALUE"""),"JB SALIOA")</f>
        <v>JB SALIOA</v>
      </c>
      <c r="V850" s="1" t="str">
        <f>IFERROR(__xludf.DUMMYFUNCTION("""COMPUTED_VALUE"""),"BK REGULAR")</f>
        <v>BK REGULAR</v>
      </c>
      <c r="W850" s="1" t="str">
        <f>IFERROR(__xludf.DUMMYFUNCTION("""COMPUTED_VALUE"""),"STK REGULAR")</f>
        <v>STK REGULAR</v>
      </c>
      <c r="X850" s="1" t="str">
        <f>IFERROR(__xludf.DUMMYFUNCTION("""COMPUTED_VALUE"""),"FIBER 1399 98TH YR")</f>
        <v>FIBER 1399 98TH YR</v>
      </c>
      <c r="Y850" s="1" t="str">
        <f>IFERROR(__xludf.DUMMYFUNCTION("""COMPUTED_VALUE"""),"BK_CVEU_260822")</f>
        <v>BK_CVEU_260822</v>
      </c>
      <c r="Z850" s="1" t="str">
        <f>IFERROR(__xludf.DUMMYFUNCTION("""COMPUTED_VALUE"""),"NEW CONNECT")</f>
        <v>NEW CONNECT</v>
      </c>
      <c r="AA850" s="1">
        <f>IFERROR(__xludf.DUMMYFUNCTION("""COMPUTED_VALUE"""),639475535110)</f>
        <v>639475535110</v>
      </c>
      <c r="AB850" s="1">
        <f>IFERROR(__xludf.DUMMYFUNCTION("""COMPUTED_VALUE"""),639236650372)</f>
        <v>639236650372</v>
      </c>
      <c r="AC850" s="1">
        <f>IFERROR(__xludf.DUMMYFUNCTION("""COMPUTED_VALUE"""),57)</f>
        <v>57</v>
      </c>
      <c r="AD850" s="1" t="str">
        <f>IFERROR(__xludf.DUMMYFUNCTION("""COMPUTED_VALUE"""),"MARAHAN 1")</f>
        <v>MARAHAN 1</v>
      </c>
      <c r="AE850" s="1"/>
      <c r="AF850" s="1" t="str">
        <f>IFERROR(__xludf.DUMMYFUNCTION("""COMPUTED_VALUE"""),"BGY MARAHAN 1")</f>
        <v>BGY MARAHAN 1</v>
      </c>
      <c r="AG850" s="1" t="str">
        <f>IFERROR(__xludf.DUMMYFUNCTION("""COMPUTED_VALUE"""),"ALFONSO")</f>
        <v>ALFONSO</v>
      </c>
      <c r="AH850" s="1" t="str">
        <f>IFERROR(__xludf.DUMMYFUNCTION("""COMPUTED_VALUE"""),"NEAR TGP")</f>
        <v>NEAR TGP</v>
      </c>
      <c r="AI850" s="1" t="str">
        <f>IFERROR(__xludf.DUMMYFUNCTION("""COMPUTED_VALUE"""),"CLUSTER 12")</f>
        <v>CLUSTER 12</v>
      </c>
    </row>
    <row r="851" customHeight="1" spans="1:35">
      <c r="A851" s="3">
        <f>IFERROR(__xludf.DUMMYFUNCTION("""COMPUTED_VALUE"""),46299)</f>
        <v>46299</v>
      </c>
      <c r="B851" s="1" t="str">
        <f>IFERROR(__xludf.DUMMYFUNCTION("""COMPUTED_VALUE"""),"YOLANDA DEL MUNDO ROMASANTA")</f>
        <v>YOLANDA DEL MUNDO ROMASANTA</v>
      </c>
      <c r="C851" s="1">
        <f>IFERROR(__xludf.DUMMYFUNCTION("""COMPUTED_VALUE"""),2312958797)</f>
        <v>2312958797</v>
      </c>
      <c r="D851" s="1"/>
      <c r="E851" s="1"/>
      <c r="F851" s="1" t="str">
        <f>IFERROR(__xludf.DUMMYFUNCTION("""COMPUTED_VALUE"""),"CANCELLED")</f>
        <v>CANCELLED</v>
      </c>
      <c r="G851" s="1" t="str">
        <f>IFERROR(__xludf.DUMMYFUNCTION("""COMPUTED_VALUE"""),"CANCELLED - DUPLICATE SR")</f>
        <v>CANCELLED - DUPLICATE SR</v>
      </c>
      <c r="H851" s="1"/>
      <c r="I851" s="1"/>
      <c r="J851" s="1"/>
      <c r="K851" s="1"/>
      <c r="L851" s="1" t="str">
        <f>IFERROR(__xludf.DUMMYFUNCTION("""COMPUTED_VALUE"""),"CANCELLED")</f>
        <v>CANCELLED</v>
      </c>
      <c r="M851" s="1" t="str">
        <f>IFERROR(__xludf.DUMMYFUNCTION("""COMPUTED_VALUE"""),"CANCELLED - DUPLICATE APP")</f>
        <v>CANCELLED - DUPLICATE APP</v>
      </c>
      <c r="N851" s="3"/>
      <c r="O851" s="1" t="str">
        <f>IFERROR(__xludf.DUMMYFUNCTION("""COMPUTED_VALUE"""),"FIBER UNLI PLAN 1399")</f>
        <v>FIBER UNLI PLAN 1399</v>
      </c>
      <c r="P851" s="1" t="str">
        <f>IFERROR(__xludf.DUMMYFUNCTION("""COMPUTED_VALUE"""),"LOWPLAN")</f>
        <v>LOWPLAN</v>
      </c>
      <c r="Q851" s="1" t="str">
        <f>IFERROR(__xludf.DUMMYFUNCTION("""COMPUTED_VALUE"""),"P407047")</f>
        <v>P407047</v>
      </c>
      <c r="R851" s="1" t="str">
        <f>IFERROR(__xludf.DUMMYFUNCTION("""COMPUTED_VALUE"""),"FRANCISCO, ROSELYN")</f>
        <v>FRANCISCO, ROSELYN</v>
      </c>
      <c r="S851" s="1" t="str">
        <f>IFERROR(__xludf.DUMMYFUNCTION("""COMPUTED_VALUE"""),"ORGANIC")</f>
        <v>ORGANIC</v>
      </c>
      <c r="T851" s="1" t="str">
        <f>IFERROR(__xludf.DUMMYFUNCTION("""COMPUTED_VALUE"""),"LEA REMOLLO")</f>
        <v>LEA REMOLLO</v>
      </c>
      <c r="U851" s="1" t="str">
        <f>IFERROR(__xludf.DUMMYFUNCTION("""COMPUTED_VALUE"""),"JB SALIOA")</f>
        <v>JB SALIOA</v>
      </c>
      <c r="V851" s="1" t="str">
        <f>IFERROR(__xludf.DUMMYFUNCTION("""COMPUTED_VALUE"""),"BK REGULAR")</f>
        <v>BK REGULAR</v>
      </c>
      <c r="W851" s="1" t="str">
        <f>IFERROR(__xludf.DUMMYFUNCTION("""COMPUTED_VALUE"""),"STK REGULAR")</f>
        <v>STK REGULAR</v>
      </c>
      <c r="X851" s="1" t="str">
        <f>IFERROR(__xludf.DUMMYFUNCTION("""COMPUTED_VALUE"""),"FIBER 1399 98TH YR")</f>
        <v>FIBER 1399 98TH YR</v>
      </c>
      <c r="Y851" s="1" t="str">
        <f>IFERROR(__xludf.DUMMYFUNCTION("""COMPUTED_VALUE"""),"BK_CVEU_260822")</f>
        <v>BK_CVEU_260822</v>
      </c>
      <c r="Z851" s="1" t="str">
        <f>IFERROR(__xludf.DUMMYFUNCTION("""COMPUTED_VALUE"""),"NEW CONNECT")</f>
        <v>NEW CONNECT</v>
      </c>
      <c r="AA851" s="1">
        <f>IFERROR(__xludf.DUMMYFUNCTION("""COMPUTED_VALUE"""),639475535110)</f>
        <v>639475535110</v>
      </c>
      <c r="AB851" s="1">
        <f>IFERROR(__xludf.DUMMYFUNCTION("""COMPUTED_VALUE"""),639236650372)</f>
        <v>639236650372</v>
      </c>
      <c r="AC851" s="1">
        <f>IFERROR(__xludf.DUMMYFUNCTION("""COMPUTED_VALUE"""),57)</f>
        <v>57</v>
      </c>
      <c r="AD851" s="1" t="str">
        <f>IFERROR(__xludf.DUMMYFUNCTION("""COMPUTED_VALUE"""),"MARAHAN 1")</f>
        <v>MARAHAN 1</v>
      </c>
      <c r="AE851" s="1"/>
      <c r="AF851" s="1" t="str">
        <f>IFERROR(__xludf.DUMMYFUNCTION("""COMPUTED_VALUE"""),"BGY MARAHAN 1")</f>
        <v>BGY MARAHAN 1</v>
      </c>
      <c r="AG851" s="1" t="str">
        <f>IFERROR(__xludf.DUMMYFUNCTION("""COMPUTED_VALUE"""),"ALFONSO")</f>
        <v>ALFONSO</v>
      </c>
      <c r="AH851" s="1" t="str">
        <f>IFERROR(__xludf.DUMMYFUNCTION("""COMPUTED_VALUE"""),"NEAR TGP")</f>
        <v>NEAR TGP</v>
      </c>
      <c r="AI851" s="1" t="str">
        <f>IFERROR(__xludf.DUMMYFUNCTION("""COMPUTED_VALUE"""),"CLUSTER 12")</f>
        <v>CLUSTER 12</v>
      </c>
    </row>
    <row r="852" customHeight="1" spans="1:35">
      <c r="A852" s="3">
        <f>IFERROR(__xludf.DUMMYFUNCTION("""COMPUTED_VALUE"""),46299)</f>
        <v>46299</v>
      </c>
      <c r="B852" s="1" t="str">
        <f>IFERROR(__xludf.DUMMYFUNCTION("""COMPUTED_VALUE"""),"CHRISTOPHER SALAZAR MOGAL")</f>
        <v>CHRISTOPHER SALAZAR MOGAL</v>
      </c>
      <c r="C852" s="1">
        <f>IFERROR(__xludf.DUMMYFUNCTION("""COMPUTED_VALUE"""),2312959049)</f>
        <v>2312959049</v>
      </c>
      <c r="D852" s="1">
        <f>IFERROR(__xludf.DUMMYFUNCTION("""COMPUTED_VALUE"""),408654114)</f>
        <v>408654114</v>
      </c>
      <c r="E852" s="1">
        <f>IFERROR(__xludf.DUMMYFUNCTION("""COMPUTED_VALUE"""),474177184004)</f>
        <v>474177184004</v>
      </c>
      <c r="F852" s="1" t="str">
        <f>IFERROR(__xludf.DUMMYFUNCTION("""COMPUTED_VALUE"""),"CANCELED")</f>
        <v>CANCELED</v>
      </c>
      <c r="G852" s="1" t="str">
        <f>IFERROR(__xludf.DUMMYFUNCTION("""COMPUTED_VALUE"""),"CANCEL APPLICATION AS PER SUBS 1499 DAW PO INAPPLY NIYA HINDI DAW PO 1299 KAKAUSAPIN NIYA DIN PO UNG AGENT NA PINAG APPLYAN NIYA")</f>
        <v>CANCEL APPLICATION AS PER SUBS 1499 DAW PO INAPPLY NIYA HINDI DAW PO 1299 KAKAUSAPIN NIYA DIN PO UNG AGENT NA PINAG APPLYAN NIYA</v>
      </c>
      <c r="H852" s="1"/>
      <c r="I852" s="1"/>
      <c r="J852" s="1"/>
      <c r="K852" s="1" t="str">
        <f>IFERROR(__xludf.DUMMYFUNCTION("""COMPUTED_VALUE"""),"CANCELED")</f>
        <v>CANCELED</v>
      </c>
      <c r="L852" s="1" t="str">
        <f>IFERROR(__xludf.DUMMYFUNCTION("""COMPUTED_VALUE"""),"CANCELLED")</f>
        <v>CANCELLED</v>
      </c>
      <c r="M852" s="1" t="str">
        <f>IFERROR(__xludf.DUMMYFUNCTION("""COMPUTED_VALUE"""),"CANCELLED")</f>
        <v>CANCELLED</v>
      </c>
      <c r="N852" s="3"/>
      <c r="O852" s="1" t="str">
        <f>IFERROR(__xludf.DUMMYFUNCTION("""COMPUTED_VALUE"""),"FIBER UNLI PLAN 1399")</f>
        <v>FIBER UNLI PLAN 1399</v>
      </c>
      <c r="P852" s="1" t="str">
        <f>IFERROR(__xludf.DUMMYFUNCTION("""COMPUTED_VALUE"""),"LOWPLAN")</f>
        <v>LOWPLAN</v>
      </c>
      <c r="Q852" s="1" t="str">
        <f>IFERROR(__xludf.DUMMYFUNCTION("""COMPUTED_VALUE"""),"P407517")</f>
        <v>P407517</v>
      </c>
      <c r="R852" s="1" t="str">
        <f>IFERROR(__xludf.DUMMYFUNCTION("""COMPUTED_VALUE"""),"GABAY, MANUEL")</f>
        <v>GABAY, MANUEL</v>
      </c>
      <c r="S852" s="1" t="str">
        <f>IFERROR(__xludf.DUMMYFUNCTION("""COMPUTED_VALUE"""),"FLA")</f>
        <v>FLA</v>
      </c>
      <c r="T852" s="1" t="str">
        <f>IFERROR(__xludf.DUMMYFUNCTION("""COMPUTED_VALUE"""),"JERIC NAVARRO")</f>
        <v>JERIC NAVARRO</v>
      </c>
      <c r="U852" s="1" t="str">
        <f>IFERROR(__xludf.DUMMYFUNCTION("""COMPUTED_VALUE"""),"JB SALIOA")</f>
        <v>JB SALIOA</v>
      </c>
      <c r="V852" s="1" t="str">
        <f>IFERROR(__xludf.DUMMYFUNCTION("""COMPUTED_VALUE"""),"BK REGULAR")</f>
        <v>BK REGULAR</v>
      </c>
      <c r="W852" s="1" t="str">
        <f>IFERROR(__xludf.DUMMYFUNCTION("""COMPUTED_VALUE"""),"STK REGULAR")</f>
        <v>STK REGULAR</v>
      </c>
      <c r="X852" s="1" t="str">
        <f>IFERROR(__xludf.DUMMYFUNCTION("""COMPUTED_VALUE"""),"FIBER 1399 98TH YR")</f>
        <v>FIBER 1399 98TH YR</v>
      </c>
      <c r="Y852" s="1" t="str">
        <f>IFERROR(__xludf.DUMMYFUNCTION("""COMPUTED_VALUE"""),"RS_SS_CVEU_2026")</f>
        <v>RS_SS_CVEU_2026</v>
      </c>
      <c r="Z852" s="1" t="str">
        <f>IFERROR(__xludf.DUMMYFUNCTION("""COMPUTED_VALUE"""),"NEW CONNECT")</f>
        <v>NEW CONNECT</v>
      </c>
      <c r="AA852" s="1">
        <f>IFERROR(__xludf.DUMMYFUNCTION("""COMPUTED_VALUE"""),639096285961)</f>
        <v>639096285961</v>
      </c>
      <c r="AB852" s="1">
        <f>IFERROR(__xludf.DUMMYFUNCTION("""COMPUTED_VALUE"""),639107549571)</f>
        <v>639107549571</v>
      </c>
      <c r="AC852" s="1">
        <f>IFERROR(__xludf.DUMMYFUNCTION("""COMPUTED_VALUE"""),297)</f>
        <v>297</v>
      </c>
      <c r="AD852" s="1" t="str">
        <f>IFERROR(__xludf.DUMMYFUNCTION("""COMPUTED_VALUE"""),"PUROK 5")</f>
        <v>PUROK 5</v>
      </c>
      <c r="AE852" s="1"/>
      <c r="AF852" s="1" t="str">
        <f>IFERROR(__xludf.DUMMYFUNCTION("""COMPUTED_VALUE"""),"BGY BANABA CERCA")</f>
        <v>BGY BANABA CERCA</v>
      </c>
      <c r="AG852" s="1" t="str">
        <f>IFERROR(__xludf.DUMMYFUNCTION("""COMPUTED_VALUE"""),"INDANG")</f>
        <v>INDANG</v>
      </c>
      <c r="AH852" s="1" t="str">
        <f>IFERROR(__xludf.DUMMYFUNCTION("""COMPUTED_VALUE"""),"PUROK 5")</f>
        <v>PUROK 5</v>
      </c>
      <c r="AI852" s="1" t="str">
        <f>IFERROR(__xludf.DUMMYFUNCTION("""COMPUTED_VALUE"""),"NOT AOR")</f>
        <v>NOT AOR</v>
      </c>
    </row>
    <row r="853" customHeight="1" spans="1:35">
      <c r="A853" s="3">
        <f>IFERROR(__xludf.DUMMYFUNCTION("""COMPUTED_VALUE"""),46299)</f>
        <v>46299</v>
      </c>
      <c r="B853" s="1" t="str">
        <f>IFERROR(__xludf.DUMMYFUNCTION("""COMPUTED_VALUE"""),"DANTE EUSTAQUIO MANUEL")</f>
        <v>DANTE EUSTAQUIO MANUEL</v>
      </c>
      <c r="C853" s="1">
        <f>IFERROR(__xludf.DUMMYFUNCTION("""COMPUTED_VALUE"""),2312959270)</f>
        <v>2312959270</v>
      </c>
      <c r="D853" s="1">
        <f>IFERROR(__xludf.DUMMYFUNCTION("""COMPUTED_VALUE"""),408673275)</f>
        <v>408673275</v>
      </c>
      <c r="E853" s="1">
        <f>IFERROR(__xludf.DUMMYFUNCTION("""COMPUTED_VALUE"""),474309173004)</f>
        <v>474309173004</v>
      </c>
      <c r="F853" s="1" t="str">
        <f>IFERROR(__xludf.DUMMYFUNCTION("""COMPUTED_VALUE"""),"FOR CANCELLATION")</f>
        <v>FOR CANCELLATION</v>
      </c>
      <c r="G853" s="1" t="str">
        <f>IFERROR(__xludf.DUMMYFUNCTION("""COMPUTED_VALUE"""),"FOR CANCELLATION")</f>
        <v>FOR CANCELLATION</v>
      </c>
      <c r="H853" s="1" t="str">
        <f>IFERROR(__xludf.DUMMYFUNCTION("""COMPUTED_VALUE"""),"AS PER SUBS SABE DAW KASI NI AGENT AFTER MAINSTALLATAN PA MAGBABAYAD")</f>
        <v>AS PER SUBS SABE DAW KASI NI AGENT AFTER MAINSTALLATAN PA MAGBABAYAD</v>
      </c>
      <c r="I853" s="1"/>
      <c r="J853" s="1"/>
      <c r="K853" s="1" t="str">
        <f>IFERROR(__xludf.DUMMYFUNCTION("""COMPUTED_VALUE"""),"NOT IN OFSC")</f>
        <v>NOT IN OFSC</v>
      </c>
      <c r="L853" s="1" t="str">
        <f>IFERROR(__xludf.DUMMYFUNCTION("""COMPUTED_VALUE"""),"FOR PAYMENT")</f>
        <v>FOR PAYMENT</v>
      </c>
      <c r="M853" s="1" t="str">
        <f>IFERROR(__xludf.DUMMYFUNCTION("""COMPUTED_VALUE"""),"FOR CANCELLATION - NON COMPLIANCE - NO PAYMENT")</f>
        <v>FOR CANCELLATION - NON COMPLIANCE - NO PAYMENT</v>
      </c>
      <c r="N853" s="3"/>
      <c r="O853" s="1" t="str">
        <f>IFERROR(__xludf.DUMMYFUNCTION("""COMPUTED_VALUE"""),"FIBER UNLI PLAN 1399")</f>
        <v>FIBER UNLI PLAN 1399</v>
      </c>
      <c r="P853" s="1" t="str">
        <f>IFERROR(__xludf.DUMMYFUNCTION("""COMPUTED_VALUE"""),"LOWPLAN")</f>
        <v>LOWPLAN</v>
      </c>
      <c r="Q853" s="1" t="str">
        <f>IFERROR(__xludf.DUMMYFUNCTION("""COMPUTED_VALUE"""),"P407559")</f>
        <v>P407559</v>
      </c>
      <c r="R853" s="1" t="str">
        <f>IFERROR(__xludf.DUMMYFUNCTION("""COMPUTED_VALUE"""),"MAGDARAOG, KENNETH")</f>
        <v>MAGDARAOG, KENNETH</v>
      </c>
      <c r="S853" s="1" t="str">
        <f>IFERROR(__xludf.DUMMYFUNCTION("""COMPUTED_VALUE"""),"ORGANIC")</f>
        <v>ORGANIC</v>
      </c>
      <c r="T853" s="1" t="str">
        <f>IFERROR(__xludf.DUMMYFUNCTION("""COMPUTED_VALUE"""),"LEA REMOLLO")</f>
        <v>LEA REMOLLO</v>
      </c>
      <c r="U853" s="1" t="str">
        <f>IFERROR(__xludf.DUMMYFUNCTION("""COMPUTED_VALUE"""),"JB SALIOA")</f>
        <v>JB SALIOA</v>
      </c>
      <c r="V853" s="1" t="str">
        <f>IFERROR(__xludf.DUMMYFUNCTION("""COMPUTED_VALUE"""),"BK HSTK")</f>
        <v>BK HSTK</v>
      </c>
      <c r="W853" s="1" t="str">
        <f>IFERROR(__xludf.DUMMYFUNCTION("""COMPUTED_VALUE"""),"BK HSTK")</f>
        <v>BK HSTK</v>
      </c>
      <c r="X853" s="1" t="str">
        <f>IFERROR(__xludf.DUMMYFUNCTION("""COMPUTED_VALUE"""),"FIBER 1399 98TH YR")</f>
        <v>FIBER 1399 98TH YR</v>
      </c>
      <c r="Y853" s="1" t="str">
        <f>IFERROR(__xludf.DUMMYFUNCTION("""COMPUTED_VALUE"""),"BK_CVEU_260825")</f>
        <v>BK_CVEU_260825</v>
      </c>
      <c r="Z853" s="1" t="str">
        <f>IFERROR(__xludf.DUMMYFUNCTION("""COMPUTED_VALUE"""),"NEW CONNECT")</f>
        <v>NEW CONNECT</v>
      </c>
      <c r="AA853" s="1">
        <f>IFERROR(__xludf.DUMMYFUNCTION("""COMPUTED_VALUE"""),639108754817)</f>
        <v>639108754817</v>
      </c>
      <c r="AB853" s="1"/>
      <c r="AC853" s="1"/>
      <c r="AD853" s="1" t="str">
        <f>IFERROR(__xludf.DUMMYFUNCTION("""COMPUTED_VALUE"""),"EXTENSION ONDOY")</f>
        <v>EXTENSION ONDOY</v>
      </c>
      <c r="AE853" s="1"/>
      <c r="AF853" s="1" t="str">
        <f>IFERROR(__xludf.DUMMYFUNCTION("""COMPUTED_VALUE"""),"BGY FRANCISCO REYES")</f>
        <v>BGY FRANCISCO REYES</v>
      </c>
      <c r="AG853" s="1" t="str">
        <f>IFERROR(__xludf.DUMMYFUNCTION("""COMPUTED_VALUE"""),"GEN MARIANO ALVAREZ")</f>
        <v>GEN MARIANO ALVAREZ</v>
      </c>
      <c r="AH853" s="1" t="str">
        <f>IFERROR(__xludf.DUMMYFUNCTION("""COMPUTED_VALUE"""),"AUTOSHOP")</f>
        <v>AUTOSHOP</v>
      </c>
      <c r="AI853" s="1" t="str">
        <f>IFERROR(__xludf.DUMMYFUNCTION("""COMPUTED_VALUE"""),"CLUSTER 11")</f>
        <v>CLUSTER 11</v>
      </c>
    </row>
    <row r="854" customHeight="1" spans="1:35">
      <c r="A854" s="3">
        <f>IFERROR(__xludf.DUMMYFUNCTION("""COMPUTED_VALUE"""),46299)</f>
        <v>46299</v>
      </c>
      <c r="B854" s="1" t="str">
        <f>IFERROR(__xludf.DUMMYFUNCTION("""COMPUTED_VALUE"""),"AHMAD AMER AMBI")</f>
        <v>AHMAD AMER AMBI</v>
      </c>
      <c r="C854" s="1">
        <f>IFERROR(__xludf.DUMMYFUNCTION("""COMPUTED_VALUE"""),2312959539)</f>
        <v>2312959539</v>
      </c>
      <c r="D854" s="1">
        <f>IFERROR(__xludf.DUMMYFUNCTION("""COMPUTED_VALUE"""),408656710)</f>
        <v>408656710</v>
      </c>
      <c r="E854" s="1">
        <f>IFERROR(__xludf.DUMMYFUNCTION("""COMPUTED_VALUE"""),474179276004)</f>
        <v>474179276004</v>
      </c>
      <c r="F854" s="1" t="str">
        <f>IFERROR(__xludf.DUMMYFUNCTION("""COMPUTED_VALUE"""),"FOR CANCELLATION")</f>
        <v>FOR CANCELLATION</v>
      </c>
      <c r="G854" s="1" t="str">
        <f>IFERROR(__xludf.DUMMYFUNCTION("""COMPUTED_VALUE"""),"FOR CANCELLATION")</f>
        <v>FOR CANCELLATION</v>
      </c>
      <c r="H854" s="1" t="str">
        <f>IFERROR(__xludf.DUMMYFUNCTION("""COMPUTED_VALUE"""),"SUBS CANCELLED- WALA PA DAW SILANG BUDGET PANG ADVANCE PAYMENT")</f>
        <v>SUBS CANCELLED- WALA PA DAW SILANG BUDGET PANG ADVANCE PAYMENT</v>
      </c>
      <c r="I854" s="1"/>
      <c r="J854" s="1"/>
      <c r="K854" s="1" t="str">
        <f>IFERROR(__xludf.DUMMYFUNCTION("""COMPUTED_VALUE"""),"NOT IN OFSC")</f>
        <v>NOT IN OFSC</v>
      </c>
      <c r="L854" s="1" t="str">
        <f>IFERROR(__xludf.DUMMYFUNCTION("""COMPUTED_VALUE"""),"FOR PAYMENT")</f>
        <v>FOR PAYMENT</v>
      </c>
      <c r="M854" s="1" t="str">
        <f>IFERROR(__xludf.DUMMYFUNCTION("""COMPUTED_VALUE"""),"FOR CANCELLATION - NON COMPLIANCE - NO PAYMENT")</f>
        <v>FOR CANCELLATION - NON COMPLIANCE - NO PAYMENT</v>
      </c>
      <c r="N854" s="3"/>
      <c r="O854" s="1" t="str">
        <f>IFERROR(__xludf.DUMMYFUNCTION("""COMPUTED_VALUE"""),"FIBER UNLI PLAN 1399")</f>
        <v>FIBER UNLI PLAN 1399</v>
      </c>
      <c r="P854" s="1" t="str">
        <f>IFERROR(__xludf.DUMMYFUNCTION("""COMPUTED_VALUE"""),"LOWPLAN")</f>
        <v>LOWPLAN</v>
      </c>
      <c r="Q854" s="1" t="str">
        <f>IFERROR(__xludf.DUMMYFUNCTION("""COMPUTED_VALUE"""),"P407560")</f>
        <v>P407560</v>
      </c>
      <c r="R854" s="1" t="str">
        <f>IFERROR(__xludf.DUMMYFUNCTION("""COMPUTED_VALUE"""),"LOPEZ, JENIELYN")</f>
        <v>LOPEZ, JENIELYN</v>
      </c>
      <c r="S854" s="1" t="str">
        <f>IFERROR(__xludf.DUMMYFUNCTION("""COMPUTED_VALUE"""),"ORGANIC")</f>
        <v>ORGANIC</v>
      </c>
      <c r="T854" s="1" t="str">
        <f>IFERROR(__xludf.DUMMYFUNCTION("""COMPUTED_VALUE"""),"LEA REMOLLO")</f>
        <v>LEA REMOLLO</v>
      </c>
      <c r="U854" s="1" t="str">
        <f>IFERROR(__xludf.DUMMYFUNCTION("""COMPUTED_VALUE"""),"JB SALIOA")</f>
        <v>JB SALIOA</v>
      </c>
      <c r="V854" s="1" t="str">
        <f>IFERROR(__xludf.DUMMYFUNCTION("""COMPUTED_VALUE"""),"BK HSTK")</f>
        <v>BK HSTK</v>
      </c>
      <c r="W854" s="1" t="str">
        <f>IFERROR(__xludf.DUMMYFUNCTION("""COMPUTED_VALUE"""),"BK HSTK")</f>
        <v>BK HSTK</v>
      </c>
      <c r="X854" s="1" t="str">
        <f>IFERROR(__xludf.DUMMYFUNCTION("""COMPUTED_VALUE"""),"FIBER 1399 98TH YR")</f>
        <v>FIBER 1399 98TH YR</v>
      </c>
      <c r="Y854" s="1" t="str">
        <f>IFERROR(__xludf.DUMMYFUNCTION("""COMPUTED_VALUE"""),"BK_CVEU_260827")</f>
        <v>BK_CVEU_260827</v>
      </c>
      <c r="Z854" s="1" t="str">
        <f>IFERROR(__xludf.DUMMYFUNCTION("""COMPUTED_VALUE"""),"NEW CONNECT")</f>
        <v>NEW CONNECT</v>
      </c>
      <c r="AA854" s="1">
        <f>IFERROR(__xludf.DUMMYFUNCTION("""COMPUTED_VALUE"""),639297060518)</f>
        <v>639297060518</v>
      </c>
      <c r="AB854" s="1">
        <f>IFERROR(__xludf.DUMMYFUNCTION("""COMPUTED_VALUE"""),639562035499)</f>
        <v>639562035499</v>
      </c>
      <c r="AC854" s="1"/>
      <c r="AD854" s="1" t="str">
        <f>IFERROR(__xludf.DUMMYFUNCTION("""COMPUTED_VALUE"""),"ZONE 5")</f>
        <v>ZONE 5</v>
      </c>
      <c r="AE854" s="1" t="str">
        <f>IFERROR(__xludf.DUMMYFUNCTION("""COMPUTED_VALUE"""),"AFP HOUSING")</f>
        <v>AFP HOUSING</v>
      </c>
      <c r="AF854" s="1" t="str">
        <f>IFERROR(__xludf.DUMMYFUNCTION("""COMPUTED_VALUE"""),"BGY BULIHAN")</f>
        <v>BGY BULIHAN</v>
      </c>
      <c r="AG854" s="1" t="str">
        <f>IFERROR(__xludf.DUMMYFUNCTION("""COMPUTED_VALUE"""),"SILANG")</f>
        <v>SILANG</v>
      </c>
      <c r="AH854" s="1" t="str">
        <f>IFERROR(__xludf.DUMMYFUNCTION("""COMPUTED_VALUE"""),"-")</f>
        <v>-</v>
      </c>
      <c r="AI854" s="1" t="str">
        <f>IFERROR(__xludf.DUMMYFUNCTION("""COMPUTED_VALUE"""),"CLUSTER 11")</f>
        <v>CLUSTER 11</v>
      </c>
    </row>
    <row r="855" customHeight="1" spans="1:35">
      <c r="A855" s="3">
        <f>IFERROR(__xludf.DUMMYFUNCTION("""COMPUTED_VALUE"""),46299)</f>
        <v>46299</v>
      </c>
      <c r="B855" s="1" t="str">
        <f>IFERROR(__xludf.DUMMYFUNCTION("""COMPUTED_VALUE"""),"JUAN CARLOS APO SUZARA")</f>
        <v>JUAN CARLOS APO SUZARA</v>
      </c>
      <c r="C855" s="1">
        <f>IFERROR(__xludf.DUMMYFUNCTION("""COMPUTED_VALUE"""),2312959711)</f>
        <v>2312959711</v>
      </c>
      <c r="D855" s="1">
        <f>IFERROR(__xludf.DUMMYFUNCTION("""COMPUTED_VALUE"""),408673461)</f>
        <v>408673461</v>
      </c>
      <c r="E855" s="1">
        <f>IFERROR(__xludf.DUMMYFUNCTION("""COMPUTED_VALUE"""),474310197004)</f>
        <v>474310197004</v>
      </c>
      <c r="F855" s="1" t="str">
        <f>IFERROR(__xludf.DUMMYFUNCTION("""COMPUTED_VALUE"""),"CANCELED")</f>
        <v>CANCELED</v>
      </c>
      <c r="G855" s="1" t="str">
        <f>IFERROR(__xludf.DUMMYFUNCTION("""COMPUTED_VALUE"""),"SUBS REQUEST RECREATE FOR 1499..MALI PO UNG PLAN NA NAPASA NG AGENT 1299 LANG PO.")</f>
        <v>SUBS REQUEST RECREATE FOR 1499..MALI PO UNG PLAN NA NAPASA NG AGENT 1299 LANG PO.</v>
      </c>
      <c r="H855" s="1"/>
      <c r="I855" s="1"/>
      <c r="J855" s="1"/>
      <c r="K855" s="1" t="str">
        <f>IFERROR(__xludf.DUMMYFUNCTION("""COMPUTED_VALUE"""),"CANCELED")</f>
        <v>CANCELED</v>
      </c>
      <c r="L855" s="1" t="str">
        <f>IFERROR(__xludf.DUMMYFUNCTION("""COMPUTED_VALUE"""),"CANCELLED ")</f>
        <v>CANCELLED </v>
      </c>
      <c r="M855" s="1" t="str">
        <f>IFERROR(__xludf.DUMMYFUNCTION("""COMPUTED_VALUE"""),"CANCELLED - RE ENCODE")</f>
        <v>CANCELLED - RE ENCODE</v>
      </c>
      <c r="N855" s="3"/>
      <c r="O855" s="1" t="str">
        <f>IFERROR(__xludf.DUMMYFUNCTION("""COMPUTED_VALUE"""),"FIBER UNLI PLAN 1399")</f>
        <v>FIBER UNLI PLAN 1399</v>
      </c>
      <c r="P855" s="1" t="str">
        <f>IFERROR(__xludf.DUMMYFUNCTION("""COMPUTED_VALUE"""),"LOWPLAN")</f>
        <v>LOWPLAN</v>
      </c>
      <c r="Q855" s="1" t="str">
        <f>IFERROR(__xludf.DUMMYFUNCTION("""COMPUTED_VALUE"""),"P407047")</f>
        <v>P407047</v>
      </c>
      <c r="R855" s="1" t="str">
        <f>IFERROR(__xludf.DUMMYFUNCTION("""COMPUTED_VALUE"""),"FRANCISCO, ROSELYN")</f>
        <v>FRANCISCO, ROSELYN</v>
      </c>
      <c r="S855" s="1" t="str">
        <f>IFERROR(__xludf.DUMMYFUNCTION("""COMPUTED_VALUE"""),"ORGANIC")</f>
        <v>ORGANIC</v>
      </c>
      <c r="T855" s="1" t="str">
        <f>IFERROR(__xludf.DUMMYFUNCTION("""COMPUTED_VALUE"""),"LEA REMOLLO")</f>
        <v>LEA REMOLLO</v>
      </c>
      <c r="U855" s="1" t="str">
        <f>IFERROR(__xludf.DUMMYFUNCTION("""COMPUTED_VALUE"""),"JB SALIOA")</f>
        <v>JB SALIOA</v>
      </c>
      <c r="V855" s="1" t="str">
        <f>IFERROR(__xludf.DUMMYFUNCTION("""COMPUTED_VALUE"""),"BK REGULAR")</f>
        <v>BK REGULAR</v>
      </c>
      <c r="W855" s="1" t="str">
        <f>IFERROR(__xludf.DUMMYFUNCTION("""COMPUTED_VALUE"""),"STK REGULAR")</f>
        <v>STK REGULAR</v>
      </c>
      <c r="X855" s="1" t="str">
        <f>IFERROR(__xludf.DUMMYFUNCTION("""COMPUTED_VALUE"""),"FIBER 1399 98TH YR")</f>
        <v>FIBER 1399 98TH YR</v>
      </c>
      <c r="Y855" s="1" t="str">
        <f>IFERROR(__xludf.DUMMYFUNCTION("""COMPUTED_VALUE"""),"BK_CVEU_260825")</f>
        <v>BK_CVEU_260825</v>
      </c>
      <c r="Z855" s="1" t="str">
        <f>IFERROR(__xludf.DUMMYFUNCTION("""COMPUTED_VALUE"""),"NEW CONNECT")</f>
        <v>NEW CONNECT</v>
      </c>
      <c r="AA855" s="1">
        <f>IFERROR(__xludf.DUMMYFUNCTION("""COMPUTED_VALUE"""),639544555858)</f>
        <v>639544555858</v>
      </c>
      <c r="AB855" s="1">
        <f>IFERROR(__xludf.DUMMYFUNCTION("""COMPUTED_VALUE"""),639171752568)</f>
        <v>639171752568</v>
      </c>
      <c r="AC855" s="1"/>
      <c r="AD855" s="1" t="str">
        <f>IFERROR(__xludf.DUMMYFUNCTION("""COMPUTED_VALUE"""),"VISAYAS")</f>
        <v>VISAYAS</v>
      </c>
      <c r="AE855" s="1"/>
      <c r="AF855" s="1" t="str">
        <f>IFERROR(__xludf.DUMMYFUNCTION("""COMPUTED_VALUE"""),"BGY GAVINO MADERAN")</f>
        <v>BGY GAVINO MADERAN</v>
      </c>
      <c r="AG855" s="1" t="str">
        <f>IFERROR(__xludf.DUMMYFUNCTION("""COMPUTED_VALUE"""),"GEN MARIANO ALVAREZ")</f>
        <v>GEN MARIANO ALVAREZ</v>
      </c>
      <c r="AH855" s="1" t="str">
        <f>IFERROR(__xludf.DUMMYFUNCTION("""COMPUTED_VALUE"""),"NEAR FORMER SELECTA WAREHOUSE")</f>
        <v>NEAR FORMER SELECTA WAREHOUSE</v>
      </c>
      <c r="AI855" s="1" t="str">
        <f>IFERROR(__xludf.DUMMYFUNCTION("""COMPUTED_VALUE"""),"CLUSTER 11")</f>
        <v>CLUSTER 11</v>
      </c>
    </row>
    <row r="856" customHeight="1" spans="1:35">
      <c r="A856" s="3">
        <f>IFERROR(__xludf.DUMMYFUNCTION("""COMPUTED_VALUE"""),46299)</f>
        <v>46299</v>
      </c>
      <c r="B856" s="1" t="str">
        <f>IFERROR(__xludf.DUMMYFUNCTION("""COMPUTED_VALUE"""),"MARK JHUN FELIPE ORCE")</f>
        <v>MARK JHUN FELIPE ORCE</v>
      </c>
      <c r="C856" s="1">
        <f>IFERROR(__xludf.DUMMYFUNCTION("""COMPUTED_VALUE"""),2312959875)</f>
        <v>2312959875</v>
      </c>
      <c r="D856" s="1"/>
      <c r="E856" s="1"/>
      <c r="F856" s="1" t="str">
        <f>IFERROR(__xludf.DUMMYFUNCTION("""COMPUTED_VALUE"""),"RTS")</f>
        <v>RTS</v>
      </c>
      <c r="G856" s="1" t="str">
        <f>IFERROR(__xludf.DUMMYFUNCTION("""COMPUTED_VALUE"""),"(POA REQUIREMENT - MULTIPLE LINE APPLICATION) RTS| DONE VALIDATION | CORRECT ENCODED INFO IN CSP | TU SCORING - GG - 1 (NTC) | WAIVE AMSF DUE THE PROMO FIBER 1399 98TH YR | CLEARED FROM BLACKLISTED HIT |FOUND PENDING ACC:0406510131 | SAME NAME DIFF ADDRES"&amp;"S | CALL THRU CBR:09683003310 4:17PM | UNCONTACTED ")</f>
        <v>(POA REQUIREMENT - MULTIPLE LINE APPLICATION) RTS| DONE VALIDATION | CORRECT ENCODED INFO IN CSP | TU SCORING - GG - 1 (NTC) | WAIVE AMSF DUE THE PROMO FIBER 1399 98TH YR | CLEARED FROM BLACKLISTED HIT |FOUND PENDING ACC:0406510131 | SAME NAME DIFF ADDRESS | CALL THRU CBR:09683003310 4:17PM | UNCONTACTED </v>
      </c>
      <c r="H856" s="1"/>
      <c r="I856" s="1"/>
      <c r="J856" s="1"/>
      <c r="K856" s="1"/>
      <c r="L856" s="1" t="str">
        <f>IFERROR(__xludf.DUMMYFUNCTION("""COMPUTED_VALUE"""),"FOR COMPLIANCE")</f>
        <v>FOR COMPLIANCE</v>
      </c>
      <c r="M856" s="1" t="str">
        <f>IFERROR(__xludf.DUMMYFUNCTION("""COMPUTED_VALUE"""),"RTS - CUSTOMER COMPLIANCE")</f>
        <v>RTS - CUSTOMER COMPLIANCE</v>
      </c>
      <c r="N856" s="3"/>
      <c r="O856" s="1" t="str">
        <f>IFERROR(__xludf.DUMMYFUNCTION("""COMPUTED_VALUE"""),"FIBER UNLI PLAN 1399")</f>
        <v>FIBER UNLI PLAN 1399</v>
      </c>
      <c r="P856" s="1" t="str">
        <f>IFERROR(__xludf.DUMMYFUNCTION("""COMPUTED_VALUE"""),"LOWPLAN")</f>
        <v>LOWPLAN</v>
      </c>
      <c r="Q856" s="1" t="str">
        <f>IFERROR(__xludf.DUMMYFUNCTION("""COMPUTED_VALUE"""),"P407563")</f>
        <v>P407563</v>
      </c>
      <c r="R856" s="1" t="str">
        <f>IFERROR(__xludf.DUMMYFUNCTION("""COMPUTED_VALUE"""),"BAQUIT, JAZMIN")</f>
        <v>BAQUIT, JAZMIN</v>
      </c>
      <c r="S856" s="1" t="str">
        <f>IFERROR(__xludf.DUMMYFUNCTION("""COMPUTED_VALUE"""),"ORGANIC")</f>
        <v>ORGANIC</v>
      </c>
      <c r="T856" s="1" t="str">
        <f>IFERROR(__xludf.DUMMYFUNCTION("""COMPUTED_VALUE"""),"LEA REMOLLO")</f>
        <v>LEA REMOLLO</v>
      </c>
      <c r="U856" s="1" t="str">
        <f>IFERROR(__xludf.DUMMYFUNCTION("""COMPUTED_VALUE"""),"JB SALIOA")</f>
        <v>JB SALIOA</v>
      </c>
      <c r="V856" s="1" t="str">
        <f>IFERROR(__xludf.DUMMYFUNCTION("""COMPUTED_VALUE"""),"BK HSTK")</f>
        <v>BK HSTK</v>
      </c>
      <c r="W856" s="1" t="str">
        <f>IFERROR(__xludf.DUMMYFUNCTION("""COMPUTED_VALUE"""),"BK HSTK")</f>
        <v>BK HSTK</v>
      </c>
      <c r="X856" s="1" t="str">
        <f>IFERROR(__xludf.DUMMYFUNCTION("""COMPUTED_VALUE"""),"FIBER 1399 98TH YR")</f>
        <v>FIBER 1399 98TH YR</v>
      </c>
      <c r="Y856" s="1" t="str">
        <f>IFERROR(__xludf.DUMMYFUNCTION("""COMPUTED_VALUE"""),"BK_CVEU_260827")</f>
        <v>BK_CVEU_260827</v>
      </c>
      <c r="Z856" s="1" t="str">
        <f>IFERROR(__xludf.DUMMYFUNCTION("""COMPUTED_VALUE"""),"NEW CONNECT")</f>
        <v>NEW CONNECT</v>
      </c>
      <c r="AA856" s="1">
        <f>IFERROR(__xludf.DUMMYFUNCTION("""COMPUTED_VALUE"""),639683003310)</f>
        <v>639683003310</v>
      </c>
      <c r="AB856" s="1"/>
      <c r="AC856" s="1"/>
      <c r="AD856" s="1" t="str">
        <f>IFERROR(__xludf.DUMMYFUNCTION("""COMPUTED_VALUE"""),"ZONE 5")</f>
        <v>ZONE 5</v>
      </c>
      <c r="AE856" s="1"/>
      <c r="AF856" s="1" t="str">
        <f>IFERROR(__xludf.DUMMYFUNCTION("""COMPUTED_VALUE"""),"BGY BULIHAN")</f>
        <v>BGY BULIHAN</v>
      </c>
      <c r="AG856" s="1" t="str">
        <f>IFERROR(__xludf.DUMMYFUNCTION("""COMPUTED_VALUE"""),"SILANG")</f>
        <v>SILANG</v>
      </c>
      <c r="AH856" s="1" t="str">
        <f>IFERROR(__xludf.DUMMYFUNCTION("""COMPUTED_VALUE"""),"-")</f>
        <v>-</v>
      </c>
      <c r="AI856" s="1" t="str">
        <f>IFERROR(__xludf.DUMMYFUNCTION("""COMPUTED_VALUE"""),"CLUSTER 11")</f>
        <v>CLUSTER 11</v>
      </c>
    </row>
    <row r="857" customHeight="1" spans="1:35">
      <c r="A857" s="3">
        <f>IFERROR(__xludf.DUMMYFUNCTION("""COMPUTED_VALUE"""),46299)</f>
        <v>46299</v>
      </c>
      <c r="B857" s="1" t="str">
        <f>IFERROR(__xludf.DUMMYFUNCTION("""COMPUTED_VALUE"""),"RUBY MONTIADORA NALDO")</f>
        <v>RUBY MONTIADORA NALDO</v>
      </c>
      <c r="C857" s="1">
        <f>IFERROR(__xludf.DUMMYFUNCTION("""COMPUTED_VALUE"""),2312960154)</f>
        <v>2312960154</v>
      </c>
      <c r="D857" s="1"/>
      <c r="E857" s="1"/>
      <c r="F857" s="1" t="str">
        <f>IFERROR(__xludf.DUMMYFUNCTION("""COMPUTED_VALUE"""),"CANCELLED")</f>
        <v>CANCELLED</v>
      </c>
      <c r="G857" s="1" t="str">
        <f>IFERROR(__xludf.DUMMYFUNCTION("""COMPUTED_VALUE"""),"(OTHERS) RETURN TO SALES | DONE VALIDATION | CORRECT ENCODED INFO IN CSP | TU SCORING - DD - 10 (LOW RISK) | WAIVED AMSF|FOUND BLACKLISTED ACCT# (0365037604) SAME NAME / DIFFERENT ADDRESS • OUTSTANDING: (3,306.81) FOR SETTLEMENT| NO EXISTING ACTIVE ACCT A"&amp;"ND/OR PENDING/CANCELLED APPLICATION ")</f>
        <v>(OTHERS) RETURN TO SALES | DONE VALIDATION | CORRECT ENCODED INFO IN CSP | TU SCORING - DD - 10 (LOW RISK) | WAIVED AMSF|FOUND BLACKLISTED ACCT# (0365037604) SAME NAME / DIFFERENT ADDRESS • OUTSTANDING: (3,306.81) FOR SETTLEMENT| NO EXISTING ACTIVE ACCT AND/OR PENDING/CANCELLED APPLICATION </v>
      </c>
      <c r="H857" s="1"/>
      <c r="I857" s="1"/>
      <c r="J857" s="1"/>
      <c r="K857" s="1"/>
      <c r="L857" s="1" t="str">
        <f>IFERROR(__xludf.DUMMYFUNCTION("""COMPUTED_VALUE"""),"CANCELLED - WITH OB")</f>
        <v>CANCELLED - WITH OB</v>
      </c>
      <c r="M857" s="1" t="str">
        <f>IFERROR(__xludf.DUMMYFUNCTION("""COMPUTED_VALUE"""),"CANCELLED - WITH OB")</f>
        <v>CANCELLED - WITH OB</v>
      </c>
      <c r="N857" s="3"/>
      <c r="O857" s="1" t="str">
        <f>IFERROR(__xludf.DUMMYFUNCTION("""COMPUTED_VALUE"""),"FIBER UNLI PLAN 1399")</f>
        <v>FIBER UNLI PLAN 1399</v>
      </c>
      <c r="P857" s="1" t="str">
        <f>IFERROR(__xludf.DUMMYFUNCTION("""COMPUTED_VALUE"""),"LOWPLAN")</f>
        <v>LOWPLAN</v>
      </c>
      <c r="Q857" s="1" t="str">
        <f>IFERROR(__xludf.DUMMYFUNCTION("""COMPUTED_VALUE"""),"P407563")</f>
        <v>P407563</v>
      </c>
      <c r="R857" s="1" t="str">
        <f>IFERROR(__xludf.DUMMYFUNCTION("""COMPUTED_VALUE"""),"BAQUIT, JAZMIN")</f>
        <v>BAQUIT, JAZMIN</v>
      </c>
      <c r="S857" s="1" t="str">
        <f>IFERROR(__xludf.DUMMYFUNCTION("""COMPUTED_VALUE"""),"ORGANIC")</f>
        <v>ORGANIC</v>
      </c>
      <c r="T857" s="1" t="str">
        <f>IFERROR(__xludf.DUMMYFUNCTION("""COMPUTED_VALUE"""),"LEA REMOLLO")</f>
        <v>LEA REMOLLO</v>
      </c>
      <c r="U857" s="1" t="str">
        <f>IFERROR(__xludf.DUMMYFUNCTION("""COMPUTED_VALUE"""),"JB SALIOA")</f>
        <v>JB SALIOA</v>
      </c>
      <c r="V857" s="1" t="str">
        <f>IFERROR(__xludf.DUMMYFUNCTION("""COMPUTED_VALUE"""),"BK REGULAR")</f>
        <v>BK REGULAR</v>
      </c>
      <c r="W857" s="1" t="str">
        <f>IFERROR(__xludf.DUMMYFUNCTION("""COMPUTED_VALUE"""),"STK REGULAR")</f>
        <v>STK REGULAR</v>
      </c>
      <c r="X857" s="1" t="str">
        <f>IFERROR(__xludf.DUMMYFUNCTION("""COMPUTED_VALUE"""),"FIBER 1399 98TH YR")</f>
        <v>FIBER 1399 98TH YR</v>
      </c>
      <c r="Y857" s="1" t="str">
        <f>IFERROR(__xludf.DUMMYFUNCTION("""COMPUTED_VALUE"""),"BK_CVEU_260827")</f>
        <v>BK_CVEU_260827</v>
      </c>
      <c r="Z857" s="1" t="str">
        <f>IFERROR(__xludf.DUMMYFUNCTION("""COMPUTED_VALUE"""),"NEW CONNECT")</f>
        <v>NEW CONNECT</v>
      </c>
      <c r="AA857" s="1">
        <f>IFERROR(__xludf.DUMMYFUNCTION("""COMPUTED_VALUE"""),639396048201)</f>
        <v>639396048201</v>
      </c>
      <c r="AB857" s="1"/>
      <c r="AC857" s="1"/>
      <c r="AD857" s="1" t="str">
        <f>IFERROR(__xludf.DUMMYFUNCTION("""COMPUTED_VALUE"""),"PHASE 6")</f>
        <v>PHASE 6</v>
      </c>
      <c r="AE857" s="1"/>
      <c r="AF857" s="1" t="str">
        <f>IFERROR(__xludf.DUMMYFUNCTION("""COMPUTED_VALUE"""),"BGY BANABA")</f>
        <v>BGY BANABA</v>
      </c>
      <c r="AG857" s="1" t="str">
        <f>IFERROR(__xludf.DUMMYFUNCTION("""COMPUTED_VALUE"""),"SILANG")</f>
        <v>SILANG</v>
      </c>
      <c r="AH857" s="1" t="str">
        <f>IFERROR(__xludf.DUMMYFUNCTION("""COMPUTED_VALUE"""),"DALI")</f>
        <v>DALI</v>
      </c>
      <c r="AI857" s="1" t="str">
        <f>IFERROR(__xludf.DUMMYFUNCTION("""COMPUTED_VALUE"""),"CLUSTER 11")</f>
        <v>CLUSTER 11</v>
      </c>
    </row>
    <row r="858" customHeight="1" spans="1:35">
      <c r="A858" s="3">
        <f>IFERROR(__xludf.DUMMYFUNCTION("""COMPUTED_VALUE"""),46299)</f>
        <v>46299</v>
      </c>
      <c r="B858" s="1" t="str">
        <f>IFERROR(__xludf.DUMMYFUNCTION("""COMPUTED_VALUE"""),"JAY WILMER LAZARO RABINO")</f>
        <v>JAY WILMER LAZARO RABINO</v>
      </c>
      <c r="C858" s="1">
        <f>IFERROR(__xludf.DUMMYFUNCTION("""COMPUTED_VALUE"""),2312960343)</f>
        <v>2312960343</v>
      </c>
      <c r="D858" s="1">
        <f>IFERROR(__xludf.DUMMYFUNCTION("""COMPUTED_VALUE"""),408661749)</f>
        <v>408661749</v>
      </c>
      <c r="E858" s="1">
        <f>IFERROR(__xludf.DUMMYFUNCTION("""COMPUTED_VALUE"""),474192296004)</f>
        <v>474192296004</v>
      </c>
      <c r="F858" s="1" t="str">
        <f>IFERROR(__xludf.DUMMYFUNCTION("""COMPUTED_VALUE"""),"CANCELED")</f>
        <v>CANCELED</v>
      </c>
      <c r="G858" s="1" t="str">
        <f>IFERROR(__xludf.DUMMYFUNCTION("""COMPUTED_VALUE"""),"RPR DOUBLE APPLICATION ALREADY INSTALLED PID 474176198004")</f>
        <v>RPR DOUBLE APPLICATION ALREADY INSTALLED PID 474176198004</v>
      </c>
      <c r="H858" s="1"/>
      <c r="I858" s="1" t="str">
        <f>IFERROR(__xludf.DUMMYFUNCTION("""COMPUTED_VALUE"""),"NO 1 AMSF")</f>
        <v>NO 1 AMSF</v>
      </c>
      <c r="J858" s="1"/>
      <c r="K858" s="1" t="str">
        <f>IFERROR(__xludf.DUMMYFUNCTION("""COMPUTED_VALUE"""),"CANCELED")</f>
        <v>CANCELED</v>
      </c>
      <c r="L858" s="1" t="str">
        <f>IFERROR(__xludf.DUMMYFUNCTION("""COMPUTED_VALUE"""),"CANCELLED - DOUBLE APPLICATION")</f>
        <v>CANCELLED - DOUBLE APPLICATION</v>
      </c>
      <c r="M858" s="1" t="str">
        <f>IFERROR(__xludf.DUMMYFUNCTION("""COMPUTED_VALUE"""),"CANCELLED - WITH EXISTING SR")</f>
        <v>CANCELLED - WITH EXISTING SR</v>
      </c>
      <c r="N858" s="3"/>
      <c r="O858" s="1" t="str">
        <f>IFERROR(__xludf.DUMMYFUNCTION("""COMPUTED_VALUE"""),"FIBER UNLI PLAN 1399")</f>
        <v>FIBER UNLI PLAN 1399</v>
      </c>
      <c r="P858" s="1" t="str">
        <f>IFERROR(__xludf.DUMMYFUNCTION("""COMPUTED_VALUE"""),"LOWPLAN")</f>
        <v>LOWPLAN</v>
      </c>
      <c r="Q858" s="1" t="str">
        <f>IFERROR(__xludf.DUMMYFUNCTION("""COMPUTED_VALUE"""),"P407565")</f>
        <v>P407565</v>
      </c>
      <c r="R858" s="1" t="str">
        <f>IFERROR(__xludf.DUMMYFUNCTION("""COMPUTED_VALUE"""),"MANDUCDOC, MARIANE")</f>
        <v>MANDUCDOC, MARIANE</v>
      </c>
      <c r="S858" s="1" t="str">
        <f>IFERROR(__xludf.DUMMYFUNCTION("""COMPUTED_VALUE"""),"ORGANIC")</f>
        <v>ORGANIC</v>
      </c>
      <c r="T858" s="1" t="str">
        <f>IFERROR(__xludf.DUMMYFUNCTION("""COMPUTED_VALUE"""),"LEA REMOLLO")</f>
        <v>LEA REMOLLO</v>
      </c>
      <c r="U858" s="1" t="str">
        <f>IFERROR(__xludf.DUMMYFUNCTION("""COMPUTED_VALUE"""),"JB SALIOA")</f>
        <v>JB SALIOA</v>
      </c>
      <c r="V858" s="1" t="str">
        <f>IFERROR(__xludf.DUMMYFUNCTION("""COMPUTED_VALUE"""),"ONLINE/CRANFORD")</f>
        <v>ONLINE/CRANFORD</v>
      </c>
      <c r="W858" s="1" t="str">
        <f>IFERROR(__xludf.DUMMYFUNCTION("""COMPUTED_VALUE"""),"STK REGULAR")</f>
        <v>STK REGULAR</v>
      </c>
      <c r="X858" s="1" t="str">
        <f>IFERROR(__xludf.DUMMYFUNCTION("""COMPUTED_VALUE"""),"FIBER 1399 98TH YR")</f>
        <v>FIBER 1399 98TH YR</v>
      </c>
      <c r="Y858" s="1" t="str">
        <f>IFERROR(__xludf.DUMMYFUNCTION("""COMPUTED_VALUE"""),"RS_SS_CVEU_2026")</f>
        <v>RS_SS_CVEU_2026</v>
      </c>
      <c r="Z858" s="1" t="str">
        <f>IFERROR(__xludf.DUMMYFUNCTION("""COMPUTED_VALUE"""),"NEW CONNECT")</f>
        <v>NEW CONNECT</v>
      </c>
      <c r="AA858" s="1">
        <f>IFERROR(__xludf.DUMMYFUNCTION("""COMPUTED_VALUE"""),639916081450)</f>
        <v>639916081450</v>
      </c>
      <c r="AB858" s="1">
        <f>IFERROR(__xludf.DUMMYFUNCTION("""COMPUTED_VALUE"""),639541546893)</f>
        <v>639541546893</v>
      </c>
      <c r="AC858" s="1"/>
      <c r="AD858" s="1" t="str">
        <f>IFERROR(__xludf.DUMMYFUNCTION("""COMPUTED_VALUE"""),"MT TABOR")</f>
        <v>MT TABOR</v>
      </c>
      <c r="AE858" s="1" t="str">
        <f>IFERROR(__xludf.DUMMYFUNCTION("""COMPUTED_VALUE"""),"TOWN AND COUNTRY PHASE 1")</f>
        <v>TOWN AND COUNTRY PHASE 1</v>
      </c>
      <c r="AF858" s="1" t="str">
        <f>IFERROR(__xludf.DUMMYFUNCTION("""COMPUTED_VALUE"""),"BGY BUROL 1")</f>
        <v>BGY BUROL 1</v>
      </c>
      <c r="AG858" s="1" t="str">
        <f>IFERROR(__xludf.DUMMYFUNCTION("""COMPUTED_VALUE"""),"DASMARINAS")</f>
        <v>DASMARINAS</v>
      </c>
      <c r="AH858" s="1" t="str">
        <f>IFERROR(__xludf.DUMMYFUNCTION("""COMPUTED_VALUE"""),"KADIWA ")</f>
        <v>KADIWA </v>
      </c>
      <c r="AI858" s="1" t="str">
        <f>IFERROR(__xludf.DUMMYFUNCTION("""COMPUTED_VALUE"""),"NOT AOR")</f>
        <v>NOT AOR</v>
      </c>
    </row>
    <row r="859" customHeight="1" spans="1:35">
      <c r="A859" s="3">
        <f>IFERROR(__xludf.DUMMYFUNCTION("""COMPUTED_VALUE"""),46299)</f>
        <v>46299</v>
      </c>
      <c r="B859" s="1" t="str">
        <f>IFERROR(__xludf.DUMMYFUNCTION("""COMPUTED_VALUE"""),"RESTY NOLASCO ALCANTARA")</f>
        <v>RESTY NOLASCO ALCANTARA</v>
      </c>
      <c r="C859" s="1">
        <f>IFERROR(__xludf.DUMMYFUNCTION("""COMPUTED_VALUE"""),2312960545)</f>
        <v>2312960545</v>
      </c>
      <c r="D859" s="1">
        <f>IFERROR(__xludf.DUMMYFUNCTION("""COMPUTED_VALUE"""),408667380)</f>
        <v>408667380</v>
      </c>
      <c r="E859" s="1">
        <f>IFERROR(__xludf.DUMMYFUNCTION("""COMPUTED_VALUE"""),474298175004)</f>
        <v>474298175004</v>
      </c>
      <c r="F859" s="1" t="str">
        <f>IFERROR(__xludf.DUMMYFUNCTION("""COMPUTED_VALUE"""),"CANCELED")</f>
        <v>CANCELED</v>
      </c>
      <c r="G859" s="1" t="str">
        <f>IFERROR(__xludf.DUMMYFUNCTION("""COMPUTED_VALUE"""),"NO FIBER FACILITY SA AREA NI SUBS ASSIGN CAFAC NOT ONSITE SUBS ALREADY ADVISED TALK RESTY NOLASCO ALCANTARA CBR 0931875420")</f>
        <v>NO FIBER FACILITY SA AREA NI SUBS ASSIGN CAFAC NOT ONSITE SUBS ALREADY ADVISED TALK RESTY NOLASCO ALCANTARA CBR 0931875420</v>
      </c>
      <c r="H859" s="1" t="str">
        <f>IFERROR(__xludf.DUMMYFUNCTION("""COMPUTED_VALUE"""),"PAID VIA GCASH REF 564750647 OCT 10 ")</f>
        <v>PAID VIA GCASH REF 564750647 OCT 10 </v>
      </c>
      <c r="I859" s="1" t="str">
        <f>IFERROR(__xludf.DUMMYFUNCTION("""COMPUTED_VALUE"""),"WITH 1 AMSF")</f>
        <v>WITH 1 AMSF</v>
      </c>
      <c r="J859" s="1"/>
      <c r="K859" s="1" t="str">
        <f>IFERROR(__xludf.DUMMYFUNCTION("""COMPUTED_VALUE"""),"CANCELED")</f>
        <v>CANCELED</v>
      </c>
      <c r="L859" s="1" t="str">
        <f>IFERROR(__xludf.DUMMYFUNCTION("""COMPUTED_VALUE"""),"RPR - NO FTTH")</f>
        <v>RPR - NO FTTH</v>
      </c>
      <c r="M859" s="1" t="str">
        <f>IFERROR(__xludf.DUMMYFUNCTION("""COMPUTED_VALUE"""),"RPR- NAP FULL")</f>
        <v>RPR- NAP FULL</v>
      </c>
      <c r="N859" s="3"/>
      <c r="O859" s="1" t="str">
        <f>IFERROR(__xludf.DUMMYFUNCTION("""COMPUTED_VALUE"""),"FIBER UNLI ALL PLAN 1899")</f>
        <v>FIBER UNLI ALL PLAN 1899</v>
      </c>
      <c r="P859" s="1" t="str">
        <f>IFERROR(__xludf.DUMMYFUNCTION("""COMPUTED_VALUE"""),"HIGHPLAN")</f>
        <v>HIGHPLAN</v>
      </c>
      <c r="Q859" s="1" t="str">
        <f>IFERROR(__xludf.DUMMYFUNCTION("""COMPUTED_VALUE"""),"P407048")</f>
        <v>P407048</v>
      </c>
      <c r="R859" s="1" t="str">
        <f>IFERROR(__xludf.DUMMYFUNCTION("""COMPUTED_VALUE"""),"PUJANES, CHOLLO")</f>
        <v>PUJANES, CHOLLO</v>
      </c>
      <c r="S859" s="1" t="str">
        <f>IFERROR(__xludf.DUMMYFUNCTION("""COMPUTED_VALUE"""),"ORGANIC")</f>
        <v>ORGANIC</v>
      </c>
      <c r="T859" s="1" t="str">
        <f>IFERROR(__xludf.DUMMYFUNCTION("""COMPUTED_VALUE"""),"GARCIA MICHAEL JETTS")</f>
        <v>GARCIA MICHAEL JETTS</v>
      </c>
      <c r="U859" s="1" t="str">
        <f>IFERROR(__xludf.DUMMYFUNCTION("""COMPUTED_VALUE"""),"JB SALIOA")</f>
        <v>JB SALIOA</v>
      </c>
      <c r="V859" s="1" t="str">
        <f>IFERROR(__xludf.DUMMYFUNCTION("""COMPUTED_VALUE"""),"BK REGULAR")</f>
        <v>BK REGULAR</v>
      </c>
      <c r="W859" s="1" t="str">
        <f>IFERROR(__xludf.DUMMYFUNCTION("""COMPUTED_VALUE"""),"STK REGULAR")</f>
        <v>STK REGULAR</v>
      </c>
      <c r="X859" s="1" t="str">
        <f>IFERROR(__xludf.DUMMYFUNCTION("""COMPUTED_VALUE"""),"REGULAR")</f>
        <v>REGULAR</v>
      </c>
      <c r="Y859" s="1" t="str">
        <f>IFERROR(__xludf.DUMMYFUNCTION("""COMPUTED_VALUE"""),"BK_CVEU_260826")</f>
        <v>BK_CVEU_260826</v>
      </c>
      <c r="Z859" s="1" t="str">
        <f>IFERROR(__xludf.DUMMYFUNCTION("""COMPUTED_VALUE"""),"NEW CONNECT")</f>
        <v>NEW CONNECT</v>
      </c>
      <c r="AA859" s="1">
        <f>IFERROR(__xludf.DUMMYFUNCTION("""COMPUTED_VALUE"""),639318754209)</f>
        <v>639318754209</v>
      </c>
      <c r="AB859" s="1">
        <f>IFERROR(__xludf.DUMMYFUNCTION("""COMPUTED_VALUE"""),639473246523)</f>
        <v>639473246523</v>
      </c>
      <c r="AC859" s="1">
        <f>IFERROR(__xludf.DUMMYFUNCTION("""COMPUTED_VALUE"""),5)</f>
        <v>5</v>
      </c>
      <c r="AD859" s="1" t="str">
        <f>IFERROR(__xludf.DUMMYFUNCTION("""COMPUTED_VALUE"""),"S FERMA")</f>
        <v>S FERMA</v>
      </c>
      <c r="AE859" s="1"/>
      <c r="AF859" s="1" t="str">
        <f>IFERROR(__xludf.DUMMYFUNCTION("""COMPUTED_VALUE"""),"BGY ASIS 2")</f>
        <v>BGY ASIS 2</v>
      </c>
      <c r="AG859" s="1" t="str">
        <f>IFERROR(__xludf.DUMMYFUNCTION("""COMPUTED_VALUE"""),"MENDEZ")</f>
        <v>MENDEZ</v>
      </c>
      <c r="AH859" s="1" t="str">
        <f>IFERROR(__xludf.DUMMYFUNCTION("""COMPUTED_VALUE"""),"-")</f>
        <v>-</v>
      </c>
      <c r="AI859" s="1" t="str">
        <f>IFERROR(__xludf.DUMMYFUNCTION("""COMPUTED_VALUE"""),"CLUSTER 12")</f>
        <v>CLUSTER 12</v>
      </c>
    </row>
    <row r="860" customHeight="1" spans="1:35">
      <c r="A860" s="3">
        <f>IFERROR(__xludf.DUMMYFUNCTION("""COMPUTED_VALUE"""),46299)</f>
        <v>46299</v>
      </c>
      <c r="B860" s="1" t="str">
        <f>IFERROR(__xludf.DUMMYFUNCTION("""COMPUTED_VALUE"""),"JOHN EMMANUEL ALAMAN DE LEON")</f>
        <v>JOHN EMMANUEL ALAMAN DE LEON</v>
      </c>
      <c r="C860" s="1">
        <f>IFERROR(__xludf.DUMMYFUNCTION("""COMPUTED_VALUE"""),2312961203)</f>
        <v>2312961203</v>
      </c>
      <c r="D860" s="1">
        <f>IFERROR(__xludf.DUMMYFUNCTION("""COMPUTED_VALUE"""),408659175)</f>
        <v>408659175</v>
      </c>
      <c r="E860" s="1">
        <f>IFERROR(__xludf.DUMMYFUNCTION("""COMPUTED_VALUE"""),474181064004)</f>
        <v>474181064004</v>
      </c>
      <c r="F860" s="1" t="str">
        <f>IFERROR(__xludf.DUMMYFUNCTION("""COMPUTED_VALUE"""),"CLOSED")</f>
        <v>CLOSED</v>
      </c>
      <c r="G860" s="1" t="str">
        <f>IFERROR(__xludf.DUMMYFUNCTION("""COMPUTED_VALUE"""),"CLOSED")</f>
        <v>CLOSED</v>
      </c>
      <c r="H860" s="1" t="str">
        <f>IFERROR(__xludf.DUMMYFUNCTION("""COMPUTED_VALUE"""),"PQGOR366323668	05-Oct-26	Regular Payment	PLDT Pay Express-Web-App credit	2,049.00	0	05-Oct-26")</f>
        <v>PQGOR366323668	05-Oct-26	Regular Payment	PLDT Pay Express-Web-App credit	2,049.00	0	05-Oct-26</v>
      </c>
      <c r="I860" s="1" t="str">
        <f>IFERROR(__xludf.DUMMYFUNCTION("""COMPUTED_VALUE"""),"WITH 1 AMSF")</f>
        <v>WITH 1 AMSF</v>
      </c>
      <c r="J860" s="1"/>
      <c r="K860" s="1" t="str">
        <f>IFERROR(__xludf.DUMMYFUNCTION("""COMPUTED_VALUE"""),"COMPLETED")</f>
        <v>COMPLETED</v>
      </c>
      <c r="L860" s="1" t="str">
        <f>IFERROR(__xludf.DUMMYFUNCTION("""COMPUTED_VALUE"""),"POSTED")</f>
        <v>POSTED</v>
      </c>
      <c r="M860" s="1" t="str">
        <f>IFERROR(__xludf.DUMMYFUNCTION("""COMPUTED_VALUE"""),"POSTED")</f>
        <v>POSTED</v>
      </c>
      <c r="N860" s="3">
        <f>IFERROR(__xludf.DUMMYFUNCTION("""COMPUTED_VALUE"""),46301)</f>
        <v>46301</v>
      </c>
      <c r="O860" s="1" t="str">
        <f>IFERROR(__xludf.DUMMYFUNCTION("""COMPUTED_VALUE"""),"FIBER UNLI ALL PLAN 1899")</f>
        <v>FIBER UNLI ALL PLAN 1899</v>
      </c>
      <c r="P860" s="1" t="str">
        <f>IFERROR(__xludf.DUMMYFUNCTION("""COMPUTED_VALUE"""),"HIGHPLAN")</f>
        <v>HIGHPLAN</v>
      </c>
      <c r="Q860" s="1" t="str">
        <f>IFERROR(__xludf.DUMMYFUNCTION("""COMPUTED_VALUE"""),"P407567")</f>
        <v>P407567</v>
      </c>
      <c r="R860" s="1" t="str">
        <f>IFERROR(__xludf.DUMMYFUNCTION("""COMPUTED_VALUE"""),"OPS")</f>
        <v>OPS</v>
      </c>
      <c r="S860" s="1" t="str">
        <f>IFERROR(__xludf.DUMMYFUNCTION("""COMPUTED_VALUE"""),"LEADSTORE")</f>
        <v>LEADSTORE</v>
      </c>
      <c r="T860" s="1" t="str">
        <f>IFERROR(__xludf.DUMMYFUNCTION("""COMPUTED_VALUE"""),"JERIC NAVARRO")</f>
        <v>JERIC NAVARRO</v>
      </c>
      <c r="U860" s="1" t="str">
        <f>IFERROR(__xludf.DUMMYFUNCTION("""COMPUTED_VALUE"""),"JB SALIOA")</f>
        <v>JB SALIOA</v>
      </c>
      <c r="V860" s="1" t="str">
        <f>IFERROR(__xludf.DUMMYFUNCTION("""COMPUTED_VALUE"""),"ONLINE/CRANFORD")</f>
        <v>ONLINE/CRANFORD</v>
      </c>
      <c r="W860" s="1" t="str">
        <f>IFERROR(__xludf.DUMMYFUNCTION("""COMPUTED_VALUE"""),"STK REGULAR")</f>
        <v>STK REGULAR</v>
      </c>
      <c r="X860" s="1" t="str">
        <f>IFERROR(__xludf.DUMMYFUNCTION("""COMPUTED_VALUE"""),"REGULAR")</f>
        <v>REGULAR</v>
      </c>
      <c r="Y860" s="1" t="str">
        <f>IFERROR(__xludf.DUMMYFUNCTION("""COMPUTED_VALUE"""),"RS_LS_CVEU_2026")</f>
        <v>RS_LS_CVEU_2026</v>
      </c>
      <c r="Z860" s="1" t="str">
        <f>IFERROR(__xludf.DUMMYFUNCTION("""COMPUTED_VALUE"""),"NEW CONNECT")</f>
        <v>NEW CONNECT</v>
      </c>
      <c r="AA860" s="1">
        <f>IFERROR(__xludf.DUMMYFUNCTION("""COMPUTED_VALUE"""),639457846097)</f>
        <v>639457846097</v>
      </c>
      <c r="AB860" s="1">
        <f>IFERROR(__xludf.DUMMYFUNCTION("""COMPUTED_VALUE"""),639760171194)</f>
        <v>639760171194</v>
      </c>
      <c r="AC860" s="1">
        <f>IFERROR(__xludf.DUMMYFUNCTION("""COMPUTED_VALUE"""),9108)</f>
        <v>9108</v>
      </c>
      <c r="AD860" s="1" t="str">
        <f>IFERROR(__xludf.DUMMYFUNCTION("""COMPUTED_VALUE"""),"MAKINA")</f>
        <v>MAKINA</v>
      </c>
      <c r="AE860" s="1"/>
      <c r="AF860" s="1" t="str">
        <f>IFERROR(__xludf.DUMMYFUNCTION("""COMPUTED_VALUE"""),"BGY MAKINA")</f>
        <v>BGY MAKINA</v>
      </c>
      <c r="AG860" s="1" t="str">
        <f>IFERROR(__xludf.DUMMYFUNCTION("""COMPUTED_VALUE"""),"NAIC")</f>
        <v>NAIC</v>
      </c>
      <c r="AH860" s="1" t="str">
        <f>IFERROR(__xludf.DUMMYFUNCTION("""COMPUTED_VALUE"""),"BRGY HALL")</f>
        <v>BRGY HALL</v>
      </c>
      <c r="AI860" s="1" t="str">
        <f>IFERROR(__xludf.DUMMYFUNCTION("""COMPUTED_VALUE"""),"NOT AOR")</f>
        <v>NOT AOR</v>
      </c>
    </row>
    <row r="861" customHeight="1" spans="1:35">
      <c r="A861" s="3">
        <f>IFERROR(__xludf.DUMMYFUNCTION("""COMPUTED_VALUE"""),46299)</f>
        <v>46299</v>
      </c>
      <c r="B861" s="1" t="str">
        <f>IFERROR(__xludf.DUMMYFUNCTION("""COMPUTED_VALUE"""),"WENDIELENE VIDENA MALIMBAN")</f>
        <v>WENDIELENE VIDENA MALIMBAN</v>
      </c>
      <c r="C861" s="1">
        <f>IFERROR(__xludf.DUMMYFUNCTION("""COMPUTED_VALUE"""),2312961408)</f>
        <v>2312961408</v>
      </c>
      <c r="D861" s="1"/>
      <c r="E861" s="1"/>
      <c r="F861" s="1" t="str">
        <f>IFERROR(__xludf.DUMMYFUNCTION("""COMPUTED_VALUE"""),"CANCELLED")</f>
        <v>CANCELLED</v>
      </c>
      <c r="G861" s="1" t="str">
        <f>IFERROR(__xludf.DUMMYFUNCTION("""COMPUTED_VALUE"""),"CANCELLED")</f>
        <v>CANCELLED</v>
      </c>
      <c r="H861" s="1"/>
      <c r="I861" s="1"/>
      <c r="J861" s="1"/>
      <c r="K861" s="1"/>
      <c r="L861" s="1" t="str">
        <f>IFERROR(__xludf.DUMMYFUNCTION("""COMPUTED_VALUE"""),"CANCELLED")</f>
        <v>CANCELLED</v>
      </c>
      <c r="M861" s="1" t="str">
        <f>IFERROR(__xludf.DUMMYFUNCTION("""COMPUTED_VALUE"""),"CANCELLED - WITH OB")</f>
        <v>CANCELLED - WITH OB</v>
      </c>
      <c r="N861" s="3"/>
      <c r="O861" s="1" t="str">
        <f>IFERROR(__xludf.DUMMYFUNCTION("""COMPUTED_VALUE"""),"FIBR PLAN 1299")</f>
        <v>FIBR PLAN 1299</v>
      </c>
      <c r="P861" s="1" t="str">
        <f>IFERROR(__xludf.DUMMYFUNCTION("""COMPUTED_VALUE"""),"LOWPLAN")</f>
        <v>LOWPLAN</v>
      </c>
      <c r="Q861" s="1" t="str">
        <f>IFERROR(__xludf.DUMMYFUNCTION("""COMPUTED_VALUE"""),"P407517")</f>
        <v>P407517</v>
      </c>
      <c r="R861" s="1" t="str">
        <f>IFERROR(__xludf.DUMMYFUNCTION("""COMPUTED_VALUE"""),"GABAY, MANUEL")</f>
        <v>GABAY, MANUEL</v>
      </c>
      <c r="S861" s="1" t="str">
        <f>IFERROR(__xludf.DUMMYFUNCTION("""COMPUTED_VALUE"""),"FLA")</f>
        <v>FLA</v>
      </c>
      <c r="T861" s="1" t="str">
        <f>IFERROR(__xludf.DUMMYFUNCTION("""COMPUTED_VALUE"""),"JERIC NAVARRO")</f>
        <v>JERIC NAVARRO</v>
      </c>
      <c r="U861" s="1" t="str">
        <f>IFERROR(__xludf.DUMMYFUNCTION("""COMPUTED_VALUE"""),"JB SALIOA")</f>
        <v>JB SALIOA</v>
      </c>
      <c r="V861" s="1" t="str">
        <f>IFERROR(__xludf.DUMMYFUNCTION("""COMPUTED_VALUE"""),"BK HSTK")</f>
        <v>BK HSTK</v>
      </c>
      <c r="W861" s="1" t="str">
        <f>IFERROR(__xludf.DUMMYFUNCTION("""COMPUTED_VALUE"""),"BK HSTK")</f>
        <v>BK HSTK</v>
      </c>
      <c r="X861" s="1" t="str">
        <f>IFERROR(__xludf.DUMMYFUNCTION("""COMPUTED_VALUE"""),"REGULAR")</f>
        <v>REGULAR</v>
      </c>
      <c r="Y861" s="1" t="str">
        <f>IFERROR(__xludf.DUMMYFUNCTION("""COMPUTED_VALUE"""),"BK_CVEU_260827")</f>
        <v>BK_CVEU_260827</v>
      </c>
      <c r="Z861" s="1" t="str">
        <f>IFERROR(__xludf.DUMMYFUNCTION("""COMPUTED_VALUE"""),"NEW CONNECT")</f>
        <v>NEW CONNECT</v>
      </c>
      <c r="AA861" s="1">
        <f>IFERROR(__xludf.DUMMYFUNCTION("""COMPUTED_VALUE"""),639947693440)</f>
        <v>639947693440</v>
      </c>
      <c r="AB861" s="1">
        <f>IFERROR(__xludf.DUMMYFUNCTION("""COMPUTED_VALUE"""),639925796579)</f>
        <v>639925796579</v>
      </c>
      <c r="AC861" s="1">
        <f>IFERROR(__xludf.DUMMYFUNCTION("""COMPUTED_VALUE"""),274)</f>
        <v>274</v>
      </c>
      <c r="AD861" s="1" t="str">
        <f>IFERROR(__xludf.DUMMYFUNCTION("""COMPUTED_VALUE"""),"POOC 2")</f>
        <v>POOC 2</v>
      </c>
      <c r="AE861" s="1"/>
      <c r="AF861" s="1" t="str">
        <f>IFERROR(__xludf.DUMMYFUNCTION("""COMPUTED_VALUE"""),"BGY POOC 2")</f>
        <v>BGY POOC 2</v>
      </c>
      <c r="AG861" s="1" t="str">
        <f>IFERROR(__xludf.DUMMYFUNCTION("""COMPUTED_VALUE"""),"SILANG")</f>
        <v>SILANG</v>
      </c>
      <c r="AH861" s="1" t="str">
        <f>IFERROR(__xludf.DUMMYFUNCTION("""COMPUTED_VALUE"""),"-")</f>
        <v>-</v>
      </c>
      <c r="AI861" s="1" t="str">
        <f>IFERROR(__xludf.DUMMYFUNCTION("""COMPUTED_VALUE"""),"CLUSTER 11")</f>
        <v>CLUSTER 11</v>
      </c>
    </row>
    <row r="862" customHeight="1" spans="1:35">
      <c r="A862" s="3">
        <f>IFERROR(__xludf.DUMMYFUNCTION("""COMPUTED_VALUE"""),46299)</f>
        <v>46299</v>
      </c>
      <c r="B862" s="1" t="str">
        <f>IFERROR(__xludf.DUMMYFUNCTION("""COMPUTED_VALUE"""),"ALLAN ALVIN CAO ALVERIO")</f>
        <v>ALLAN ALVIN CAO ALVERIO</v>
      </c>
      <c r="C862" s="1">
        <f>IFERROR(__xludf.DUMMYFUNCTION("""COMPUTED_VALUE"""),2312961501)</f>
        <v>2312961501</v>
      </c>
      <c r="D862" s="1"/>
      <c r="E862" s="1"/>
      <c r="F862" s="1" t="str">
        <f>IFERROR(__xludf.DUMMYFUNCTION("""COMPUTED_VALUE"""),"CANCELLED")</f>
        <v>CANCELLED</v>
      </c>
      <c r="G862" s="1" t="str">
        <f>IFERROR(__xludf.DUMMYFUNCTION("""COMPUTED_VALUE"""),"CANCELLED")</f>
        <v>CANCELLED</v>
      </c>
      <c r="H862" s="1"/>
      <c r="I862" s="1"/>
      <c r="J862" s="1"/>
      <c r="K862" s="1"/>
      <c r="L862" s="1" t="str">
        <f>IFERROR(__xludf.DUMMYFUNCTION("""COMPUTED_VALUE"""),"CANCELLED")</f>
        <v>CANCELLED</v>
      </c>
      <c r="M862" s="1" t="str">
        <f>IFERROR(__xludf.DUMMYFUNCTION("""COMPUTED_VALUE"""),"CANCELLED - WITH OB")</f>
        <v>CANCELLED - WITH OB</v>
      </c>
      <c r="N862" s="3"/>
      <c r="O862" s="1" t="str">
        <f>IFERROR(__xludf.DUMMYFUNCTION("""COMPUTED_VALUE"""),"FIBR PLAN 1299")</f>
        <v>FIBR PLAN 1299</v>
      </c>
      <c r="P862" s="1" t="str">
        <f>IFERROR(__xludf.DUMMYFUNCTION("""COMPUTED_VALUE"""),"LOWPLAN")</f>
        <v>LOWPLAN</v>
      </c>
      <c r="Q862" s="1" t="str">
        <f>IFERROR(__xludf.DUMMYFUNCTION("""COMPUTED_VALUE"""),"P407562")</f>
        <v>P407562</v>
      </c>
      <c r="R862" s="1" t="str">
        <f>IFERROR(__xludf.DUMMYFUNCTION("""COMPUTED_VALUE"""),"IVNO, RAZZEL")</f>
        <v>IVNO, RAZZEL</v>
      </c>
      <c r="S862" s="1" t="str">
        <f>IFERROR(__xludf.DUMMYFUNCTION("""COMPUTED_VALUE"""),"FLA")</f>
        <v>FLA</v>
      </c>
      <c r="T862" s="1" t="str">
        <f>IFERROR(__xludf.DUMMYFUNCTION("""COMPUTED_VALUE"""),"JERIC NAVARRO")</f>
        <v>JERIC NAVARRO</v>
      </c>
      <c r="U862" s="1" t="str">
        <f>IFERROR(__xludf.DUMMYFUNCTION("""COMPUTED_VALUE"""),"JB SALIOA")</f>
        <v>JB SALIOA</v>
      </c>
      <c r="V862" s="1" t="str">
        <f>IFERROR(__xludf.DUMMYFUNCTION("""COMPUTED_VALUE"""),"BK REGULAR")</f>
        <v>BK REGULAR</v>
      </c>
      <c r="W862" s="1" t="str">
        <f>IFERROR(__xludf.DUMMYFUNCTION("""COMPUTED_VALUE"""),"STK REGULAR")</f>
        <v>STK REGULAR</v>
      </c>
      <c r="X862" s="1" t="str">
        <f>IFERROR(__xludf.DUMMYFUNCTION("""COMPUTED_VALUE"""),"REGULAR")</f>
        <v>REGULAR</v>
      </c>
      <c r="Y862" s="1" t="str">
        <f>IFERROR(__xludf.DUMMYFUNCTION("""COMPUTED_VALUE"""),"BK_CVEU_260825")</f>
        <v>BK_CVEU_260825</v>
      </c>
      <c r="Z862" s="1" t="str">
        <f>IFERROR(__xludf.DUMMYFUNCTION("""COMPUTED_VALUE"""),"NEW CONNECT")</f>
        <v>NEW CONNECT</v>
      </c>
      <c r="AA862" s="1">
        <f>IFERROR(__xludf.DUMMYFUNCTION("""COMPUTED_VALUE"""),639947693440)</f>
        <v>639947693440</v>
      </c>
      <c r="AB862" s="1">
        <f>IFERROR(__xludf.DUMMYFUNCTION("""COMPUTED_VALUE"""),639925796579)</f>
        <v>639925796579</v>
      </c>
      <c r="AC862" s="1"/>
      <c r="AD862" s="1" t="str">
        <f>IFERROR(__xludf.DUMMYFUNCTION("""COMPUTED_VALUE"""),"STRAWBERRY HILLS")</f>
        <v>STRAWBERRY HILLS</v>
      </c>
      <c r="AE862" s="1" t="str">
        <f>IFERROR(__xludf.DUMMYFUNCTION("""COMPUTED_VALUE"""),"STRAWBERRY HILLS")</f>
        <v>STRAWBERRY HILLS</v>
      </c>
      <c r="AF862" s="1" t="str">
        <f>IFERROR(__xludf.DUMMYFUNCTION("""COMPUTED_VALUE"""),"BGY FRANCISCO REYES")</f>
        <v>BGY FRANCISCO REYES</v>
      </c>
      <c r="AG862" s="1" t="str">
        <f>IFERROR(__xludf.DUMMYFUNCTION("""COMPUTED_VALUE"""),"GEN MARIANO ALVAREZ")</f>
        <v>GEN MARIANO ALVAREZ</v>
      </c>
      <c r="AH862" s="1" t="str">
        <f>IFERROR(__xludf.DUMMYFUNCTION("""COMPUTED_VALUE"""),"TRICYCLE TERMINAL")</f>
        <v>TRICYCLE TERMINAL</v>
      </c>
      <c r="AI862" s="1" t="str">
        <f>IFERROR(__xludf.DUMMYFUNCTION("""COMPUTED_VALUE"""),"CLUSTER 11")</f>
        <v>CLUSTER 11</v>
      </c>
    </row>
    <row r="863" customHeight="1" spans="1:35">
      <c r="A863" s="3">
        <f>IFERROR(__xludf.DUMMYFUNCTION("""COMPUTED_VALUE"""),46300)</f>
        <v>46300</v>
      </c>
      <c r="B863" s="1" t="str">
        <f>IFERROR(__xludf.DUMMYFUNCTION("""COMPUTED_VALUE"""),"FEVES RUTH BERDANDINO ALBACINO")</f>
        <v>FEVES RUTH BERDANDINO ALBACINO</v>
      </c>
      <c r="C863" s="1">
        <f>IFERROR(__xludf.DUMMYFUNCTION("""COMPUTED_VALUE"""),2312969492)</f>
        <v>2312969492</v>
      </c>
      <c r="D863" s="1">
        <f>IFERROR(__xludf.DUMMYFUNCTION("""COMPUTED_VALUE"""),408667283)</f>
        <v>408667283</v>
      </c>
      <c r="E863" s="1">
        <f>IFERROR(__xludf.DUMMYFUNCTION("""COMPUTED_VALUE"""),474298164004)</f>
        <v>474298164004</v>
      </c>
      <c r="F863" s="1" t="str">
        <f>IFERROR(__xludf.DUMMYFUNCTION("""COMPUTED_VALUE"""),"CLOSED")</f>
        <v>CLOSED</v>
      </c>
      <c r="G863" s="1" t="str">
        <f>IFERROR(__xludf.DUMMYFUNCTION("""COMPUTED_VALUE"""),"CLOSED")</f>
        <v>CLOSED</v>
      </c>
      <c r="H863" s="1" t="str">
        <f>IFERROR(__xludf.DUMMYFUNCTION("""COMPUTED_VALUE"""),"PAID VIA MAYA REF 628522815821 OCT 13")</f>
        <v>PAID VIA MAYA REF 628522815821 OCT 13</v>
      </c>
      <c r="I863" s="1" t="str">
        <f>IFERROR(__xludf.DUMMYFUNCTION("""COMPUTED_VALUE"""),"WITH 1 AMSF")</f>
        <v>WITH 1 AMSF</v>
      </c>
      <c r="J863" s="1"/>
      <c r="K863" s="1" t="str">
        <f>IFERROR(__xludf.DUMMYFUNCTION("""COMPUTED_VALUE"""),"COMPLETED")</f>
        <v>COMPLETED</v>
      </c>
      <c r="L863" s="1" t="str">
        <f>IFERROR(__xludf.DUMMYFUNCTION("""COMPUTED_VALUE"""),"POSTED")</f>
        <v>POSTED</v>
      </c>
      <c r="M863" s="1" t="str">
        <f>IFERROR(__xludf.DUMMYFUNCTION("""COMPUTED_VALUE"""),"POSTED")</f>
        <v>POSTED</v>
      </c>
      <c r="N863" s="3">
        <f>IFERROR(__xludf.DUMMYFUNCTION("""COMPUTED_VALUE"""),46305)</f>
        <v>46305</v>
      </c>
      <c r="O863" s="1" t="str">
        <f>IFERROR(__xludf.DUMMYFUNCTION("""COMPUTED_VALUE"""),"FIBER UNLI PLAN 1399")</f>
        <v>FIBER UNLI PLAN 1399</v>
      </c>
      <c r="P863" s="1" t="str">
        <f>IFERROR(__xludf.DUMMYFUNCTION("""COMPUTED_VALUE"""),"LOWPLAN")</f>
        <v>LOWPLAN</v>
      </c>
      <c r="Q863" s="1" t="str">
        <f>IFERROR(__xludf.DUMMYFUNCTION("""COMPUTED_VALUE"""),"P407049")</f>
        <v>P407049</v>
      </c>
      <c r="R863" s="1" t="str">
        <f>IFERROR(__xludf.DUMMYFUNCTION("""COMPUTED_VALUE"""),"CADERAO, RONALD")</f>
        <v>CADERAO, RONALD</v>
      </c>
      <c r="S863" s="1" t="str">
        <f>IFERROR(__xludf.DUMMYFUNCTION("""COMPUTED_VALUE"""),"ORGANIC")</f>
        <v>ORGANIC</v>
      </c>
      <c r="T863" s="1" t="str">
        <f>IFERROR(__xludf.DUMMYFUNCTION("""COMPUTED_VALUE"""),"LEA REMOLLO")</f>
        <v>LEA REMOLLO</v>
      </c>
      <c r="U863" s="1" t="str">
        <f>IFERROR(__xludf.DUMMYFUNCTION("""COMPUTED_VALUE"""),"JB SALIOA")</f>
        <v>JB SALIOA</v>
      </c>
      <c r="V863" s="1" t="str">
        <f>IFERROR(__xludf.DUMMYFUNCTION("""COMPUTED_VALUE"""),"H2H")</f>
        <v>H2H</v>
      </c>
      <c r="W863" s="1" t="str">
        <f>IFERROR(__xludf.DUMMYFUNCTION("""COMPUTED_VALUE"""),"STK REGULAR")</f>
        <v>STK REGULAR</v>
      </c>
      <c r="X863" s="1" t="str">
        <f>IFERROR(__xludf.DUMMYFUNCTION("""COMPUTED_VALUE"""),"FIBER 1399 98TH YR")</f>
        <v>FIBER 1399 98TH YR</v>
      </c>
      <c r="Y863" s="1" t="str">
        <f>IFERROR(__xludf.DUMMYFUNCTION("""COMPUTED_VALUE"""),"RS_HH_CVEU_2026")</f>
        <v>RS_HH_CVEU_2026</v>
      </c>
      <c r="Z863" s="1" t="str">
        <f>IFERROR(__xludf.DUMMYFUNCTION("""COMPUTED_VALUE"""),"NEW CONNECT")</f>
        <v>NEW CONNECT</v>
      </c>
      <c r="AA863" s="1">
        <f>IFERROR(__xludf.DUMMYFUNCTION("""COMPUTED_VALUE"""),639569444676)</f>
        <v>639569444676</v>
      </c>
      <c r="AB863" s="1">
        <f>IFERROR(__xludf.DUMMYFUNCTION("""COMPUTED_VALUE"""),639937417744)</f>
        <v>639937417744</v>
      </c>
      <c r="AC863" s="1">
        <f>IFERROR(__xludf.DUMMYFUNCTION("""COMPUTED_VALUE"""),75)</f>
        <v>75</v>
      </c>
      <c r="AD863" s="1" t="str">
        <f>IFERROR(__xludf.DUMMYFUNCTION("""COMPUTED_VALUE"""),"BALITE 1")</f>
        <v>BALITE 1</v>
      </c>
      <c r="AE863" s="1" t="str">
        <f>IFERROR(__xludf.DUMMYFUNCTION("""COMPUTED_VALUE"""),"UNIT F")</f>
        <v>UNIT F</v>
      </c>
      <c r="AF863" s="1" t="str">
        <f>IFERROR(__xludf.DUMMYFUNCTION("""COMPUTED_VALUE"""),"BGY BALITE 1")</f>
        <v>BGY BALITE 1</v>
      </c>
      <c r="AG863" s="1" t="str">
        <f>IFERROR(__xludf.DUMMYFUNCTION("""COMPUTED_VALUE"""),"SILANG")</f>
        <v>SILANG</v>
      </c>
      <c r="AH863" s="1" t="str">
        <f>IFERROR(__xludf.DUMMYFUNCTION("""COMPUTED_VALUE"""),"ALFAMART")</f>
        <v>ALFAMART</v>
      </c>
      <c r="AI863" s="1" t="str">
        <f>IFERROR(__xludf.DUMMYFUNCTION("""COMPUTED_VALUE"""),"CLUSTER 11")</f>
        <v>CLUSTER 11</v>
      </c>
    </row>
    <row r="864" customHeight="1" spans="1:35">
      <c r="A864" s="3">
        <f>IFERROR(__xludf.DUMMYFUNCTION("""COMPUTED_VALUE"""),46300)</f>
        <v>46300</v>
      </c>
      <c r="B864" s="1" t="str">
        <f>IFERROR(__xludf.DUMMYFUNCTION("""COMPUTED_VALUE"""),"KEREN HAPPUCH MACARAYA OZAMIZ")</f>
        <v>KEREN HAPPUCH MACARAYA OZAMIZ</v>
      </c>
      <c r="C864" s="1">
        <f>IFERROR(__xludf.DUMMYFUNCTION("""COMPUTED_VALUE"""),2312969780)</f>
        <v>2312969780</v>
      </c>
      <c r="D864" s="1">
        <f>IFERROR(__xludf.DUMMYFUNCTION("""COMPUTED_VALUE"""),408670810)</f>
        <v>408670810</v>
      </c>
      <c r="E864" s="1">
        <f>IFERROR(__xludf.DUMMYFUNCTION("""COMPUTED_VALUE"""),474308134004)</f>
        <v>474308134004</v>
      </c>
      <c r="F864" s="1" t="str">
        <f>IFERROR(__xludf.DUMMYFUNCTION("""COMPUTED_VALUE"""),"CLOSED")</f>
        <v>CLOSED</v>
      </c>
      <c r="G864" s="1" t="str">
        <f>IFERROR(__xludf.DUMMYFUNCTION("""COMPUTED_VALUE"""),"CLOSED")</f>
        <v>CLOSED</v>
      </c>
      <c r="H864" s="1" t="str">
        <f>IFERROR(__xludf.DUMMYFUNCTION("""COMPUTED_VALUE"""),"PAID VIA PAYBOX REF 238575")</f>
        <v>PAID VIA PAYBOX REF 238575</v>
      </c>
      <c r="I864" s="1" t="str">
        <f>IFERROR(__xludf.DUMMYFUNCTION("""COMPUTED_VALUE"""),"WITH 1 AMSF")</f>
        <v>WITH 1 AMSF</v>
      </c>
      <c r="J864" s="1"/>
      <c r="K864" s="1" t="str">
        <f>IFERROR(__xludf.DUMMYFUNCTION("""COMPUTED_VALUE"""),"COMPLETED")</f>
        <v>COMPLETED</v>
      </c>
      <c r="L864" s="1" t="str">
        <f>IFERROR(__xludf.DUMMYFUNCTION("""COMPUTED_VALUE"""),"POSTED")</f>
        <v>POSTED</v>
      </c>
      <c r="M864" s="1" t="str">
        <f>IFERROR(__xludf.DUMMYFUNCTION("""COMPUTED_VALUE"""),"POSTED")</f>
        <v>POSTED</v>
      </c>
      <c r="N864" s="3">
        <f>IFERROR(__xludf.DUMMYFUNCTION("""COMPUTED_VALUE"""),46308)</f>
        <v>46308</v>
      </c>
      <c r="O864" s="1" t="str">
        <f>IFERROR(__xludf.DUMMYFUNCTION("""COMPUTED_VALUE"""),"FIBER UNLI PLAN 1399")</f>
        <v>FIBER UNLI PLAN 1399</v>
      </c>
      <c r="P864" s="1" t="str">
        <f>IFERROR(__xludf.DUMMYFUNCTION("""COMPUTED_VALUE"""),"LOWPLAN")</f>
        <v>LOWPLAN</v>
      </c>
      <c r="Q864" s="1" t="str">
        <f>IFERROR(__xludf.DUMMYFUNCTION("""COMPUTED_VALUE"""),"P407564")</f>
        <v>P407564</v>
      </c>
      <c r="R864" s="1" t="str">
        <f>IFERROR(__xludf.DUMMYFUNCTION("""COMPUTED_VALUE"""),"ARENA, LYKA")</f>
        <v>ARENA, LYKA</v>
      </c>
      <c r="S864" s="1" t="str">
        <f>IFERROR(__xludf.DUMMYFUNCTION("""COMPUTED_VALUE"""),"ORGANIC")</f>
        <v>ORGANIC</v>
      </c>
      <c r="T864" s="1" t="str">
        <f>IFERROR(__xludf.DUMMYFUNCTION("""COMPUTED_VALUE"""),"LEA REMOLLO")</f>
        <v>LEA REMOLLO</v>
      </c>
      <c r="U864" s="1" t="str">
        <f>IFERROR(__xludf.DUMMYFUNCTION("""COMPUTED_VALUE"""),"JB SALIOA")</f>
        <v>JB SALIOA</v>
      </c>
      <c r="V864" s="1" t="str">
        <f>IFERROR(__xludf.DUMMYFUNCTION("""COMPUTED_VALUE"""),"H2H")</f>
        <v>H2H</v>
      </c>
      <c r="W864" s="1" t="str">
        <f>IFERROR(__xludf.DUMMYFUNCTION("""COMPUTED_VALUE"""),"STK REGULAR")</f>
        <v>STK REGULAR</v>
      </c>
      <c r="X864" s="1" t="str">
        <f>IFERROR(__xludf.DUMMYFUNCTION("""COMPUTED_VALUE"""),"FIBER 1399 98TH YR")</f>
        <v>FIBER 1399 98TH YR</v>
      </c>
      <c r="Y864" s="1" t="str">
        <f>IFERROR(__xludf.DUMMYFUNCTION("""COMPUTED_VALUE"""),"RS_SS_CVEU_2026")</f>
        <v>RS_SS_CVEU_2026</v>
      </c>
      <c r="Z864" s="1" t="str">
        <f>IFERROR(__xludf.DUMMYFUNCTION("""COMPUTED_VALUE"""),"NEW CONNECT")</f>
        <v>NEW CONNECT</v>
      </c>
      <c r="AA864" s="1">
        <f>IFERROR(__xludf.DUMMYFUNCTION("""COMPUTED_VALUE"""),639454025367)</f>
        <v>639454025367</v>
      </c>
      <c r="AB864" s="1"/>
      <c r="AC864" s="1"/>
      <c r="AD864" s="1" t="str">
        <f>IFERROR(__xludf.DUMMYFUNCTION("""COMPUTED_VALUE"""),"PHASE 1")</f>
        <v>PHASE 1</v>
      </c>
      <c r="AE864" s="1" t="str">
        <f>IFERROR(__xludf.DUMMYFUNCTION("""COMPUTED_VALUE"""),"CARISSA HOMES")</f>
        <v>CARISSA HOMES</v>
      </c>
      <c r="AF864" s="1" t="str">
        <f>IFERROR(__xludf.DUMMYFUNCTION("""COMPUTED_VALUE"""),"BGY BAGTAS")</f>
        <v>BGY BAGTAS</v>
      </c>
      <c r="AG864" s="1" t="str">
        <f>IFERROR(__xludf.DUMMYFUNCTION("""COMPUTED_VALUE"""),"TANZA")</f>
        <v>TANZA</v>
      </c>
      <c r="AH864" s="1" t="str">
        <f>IFERROR(__xludf.DUMMYFUNCTION("""COMPUTED_VALUE"""),"DEI GRATIA INC HIGH SCHOOL")</f>
        <v>DEI GRATIA INC HIGH SCHOOL</v>
      </c>
      <c r="AI864" s="1" t="str">
        <f>IFERROR(__xludf.DUMMYFUNCTION("""COMPUTED_VALUE"""),"NOT AOR")</f>
        <v>NOT AOR</v>
      </c>
    </row>
    <row r="865" customHeight="1" spans="1:35">
      <c r="A865" s="3">
        <f>IFERROR(__xludf.DUMMYFUNCTION("""COMPUTED_VALUE"""),46300)</f>
        <v>46300</v>
      </c>
      <c r="B865" s="1" t="str">
        <f>IFERROR(__xludf.DUMMYFUNCTION("""COMPUTED_VALUE"""),"RUTH HABOC MONTIADORA")</f>
        <v>RUTH HABOC MONTIADORA</v>
      </c>
      <c r="C865" s="1">
        <f>IFERROR(__xludf.DUMMYFUNCTION("""COMPUTED_VALUE"""),2312970843)</f>
        <v>2312970843</v>
      </c>
      <c r="D865" s="1">
        <f>IFERROR(__xludf.DUMMYFUNCTION("""COMPUTED_VALUE"""),408693462)</f>
        <v>408693462</v>
      </c>
      <c r="E865" s="1">
        <f>IFERROR(__xludf.DUMMYFUNCTION("""COMPUTED_VALUE"""),474329946004)</f>
        <v>474329946004</v>
      </c>
      <c r="F865" s="1" t="str">
        <f>IFERROR(__xludf.DUMMYFUNCTION("""COMPUTED_VALUE"""),"CLOSED")</f>
        <v>CLOSED</v>
      </c>
      <c r="G865" s="1" t="str">
        <f>IFERROR(__xludf.DUMMYFUNCTION("""COMPUTED_VALUE"""),"CLOSED")</f>
        <v>CLOSED</v>
      </c>
      <c r="H865" s="1"/>
      <c r="I865" s="1" t="str">
        <f>IFERROR(__xludf.DUMMYFUNCTION("""COMPUTED_VALUE"""),"NO 1 AMSF")</f>
        <v>NO 1 AMSF</v>
      </c>
      <c r="J865" s="1" t="str">
        <f>IFERROR(__xludf.DUMMYFUNCTION("""COMPUTED_VALUE"""),"DUE DATE - 02-Nov-26 - 1,538.90")</f>
        <v>DUE DATE - 02-Nov-26 - 1,538.90</v>
      </c>
      <c r="K865" s="1" t="str">
        <f>IFERROR(__xludf.DUMMYFUNCTION("""COMPUTED_VALUE"""),"COMPLETED")</f>
        <v>COMPLETED</v>
      </c>
      <c r="L865" s="1" t="str">
        <f>IFERROR(__xludf.DUMMYFUNCTION("""COMPUTED_VALUE"""),"POSTED")</f>
        <v>POSTED</v>
      </c>
      <c r="M865" s="1" t="str">
        <f>IFERROR(__xludf.DUMMYFUNCTION("""COMPUTED_VALUE"""),"POSTED")</f>
        <v>POSTED</v>
      </c>
      <c r="N865" s="3">
        <f>IFERROR(__xludf.DUMMYFUNCTION("""COMPUTED_VALUE"""),46301)</f>
        <v>46301</v>
      </c>
      <c r="O865" s="1" t="str">
        <f>IFERROR(__xludf.DUMMYFUNCTION("""COMPUTED_VALUE"""),"FIBER UNLI PLAN 1399")</f>
        <v>FIBER UNLI PLAN 1399</v>
      </c>
      <c r="P865" s="1" t="str">
        <f>IFERROR(__xludf.DUMMYFUNCTION("""COMPUTED_VALUE"""),"LOWPLAN")</f>
        <v>LOWPLAN</v>
      </c>
      <c r="Q865" s="1" t="str">
        <f>IFERROR(__xludf.DUMMYFUNCTION("""COMPUTED_VALUE"""),"P407563")</f>
        <v>P407563</v>
      </c>
      <c r="R865" s="1" t="str">
        <f>IFERROR(__xludf.DUMMYFUNCTION("""COMPUTED_VALUE"""),"BAQUIT, JAZMIN")</f>
        <v>BAQUIT, JAZMIN</v>
      </c>
      <c r="S865" s="1" t="str">
        <f>IFERROR(__xludf.DUMMYFUNCTION("""COMPUTED_VALUE"""),"ORGANIC")</f>
        <v>ORGANIC</v>
      </c>
      <c r="T865" s="1" t="str">
        <f>IFERROR(__xludf.DUMMYFUNCTION("""COMPUTED_VALUE"""),"LEA REMOLLO")</f>
        <v>LEA REMOLLO</v>
      </c>
      <c r="U865" s="1" t="str">
        <f>IFERROR(__xludf.DUMMYFUNCTION("""COMPUTED_VALUE"""),"JB SALIOA")</f>
        <v>JB SALIOA</v>
      </c>
      <c r="V865" s="1" t="str">
        <f>IFERROR(__xludf.DUMMYFUNCTION("""COMPUTED_VALUE"""),"H2H")</f>
        <v>H2H</v>
      </c>
      <c r="W865" s="1" t="str">
        <f>IFERROR(__xludf.DUMMYFUNCTION("""COMPUTED_VALUE"""),"STK REGULAR")</f>
        <v>STK REGULAR</v>
      </c>
      <c r="X865" s="1" t="str">
        <f>IFERROR(__xludf.DUMMYFUNCTION("""COMPUTED_VALUE"""),"FIBER 1399 98TH YR")</f>
        <v>FIBER 1399 98TH YR</v>
      </c>
      <c r="Y865" s="1" t="str">
        <f>IFERROR(__xludf.DUMMYFUNCTION("""COMPUTED_VALUE"""),"RS_HH_CVEU_2026")</f>
        <v>RS_HH_CVEU_2026</v>
      </c>
      <c r="Z865" s="1" t="str">
        <f>IFERROR(__xludf.DUMMYFUNCTION("""COMPUTED_VALUE"""),"NEW CONNECT")</f>
        <v>NEW CONNECT</v>
      </c>
      <c r="AA865" s="1">
        <f>IFERROR(__xludf.DUMMYFUNCTION("""COMPUTED_VALUE"""),639702053665)</f>
        <v>639702053665</v>
      </c>
      <c r="AB865" s="1"/>
      <c r="AC865" s="1"/>
      <c r="AD865" s="1" t="str">
        <f>IFERROR(__xludf.DUMMYFUNCTION("""COMPUTED_VALUE"""),"PHASE 6")</f>
        <v>PHASE 6</v>
      </c>
      <c r="AE865" s="1"/>
      <c r="AF865" s="1" t="str">
        <f>IFERROR(__xludf.DUMMYFUNCTION("""COMPUTED_VALUE"""),"BGY BANABA")</f>
        <v>BGY BANABA</v>
      </c>
      <c r="AG865" s="1" t="str">
        <f>IFERROR(__xludf.DUMMYFUNCTION("""COMPUTED_VALUE"""),"SILANG")</f>
        <v>SILANG</v>
      </c>
      <c r="AH865" s="1" t="str">
        <f>IFERROR(__xludf.DUMMYFUNCTION("""COMPUTED_VALUE"""),"DALI")</f>
        <v>DALI</v>
      </c>
      <c r="AI865" s="1" t="str">
        <f>IFERROR(__xludf.DUMMYFUNCTION("""COMPUTED_VALUE"""),"CLUSTER 11")</f>
        <v>CLUSTER 11</v>
      </c>
    </row>
    <row r="866" customHeight="1" spans="1:35">
      <c r="A866" s="3">
        <f>IFERROR(__xludf.DUMMYFUNCTION("""COMPUTED_VALUE"""),46300)</f>
        <v>46300</v>
      </c>
      <c r="B866" s="1" t="str">
        <f>IFERROR(__xludf.DUMMYFUNCTION("""COMPUTED_VALUE"""),"ARCHIE QUIOGUE REYES")</f>
        <v>ARCHIE QUIOGUE REYES</v>
      </c>
      <c r="C866" s="1">
        <f>IFERROR(__xludf.DUMMYFUNCTION("""COMPUTED_VALUE"""),2312971167)</f>
        <v>2312971167</v>
      </c>
      <c r="D866" s="1"/>
      <c r="E866" s="1"/>
      <c r="F866" s="1" t="str">
        <f>IFERROR(__xludf.DUMMYFUNCTION("""COMPUTED_VALUE"""),"REENCODED")</f>
        <v>REENCODED</v>
      </c>
      <c r="G866" s="1" t="str">
        <f>IFERROR(__xludf.DUMMYFUNCTION("""COMPUTED_VALUE"""),"REENCODED")</f>
        <v>REENCODED</v>
      </c>
      <c r="H866" s="1"/>
      <c r="I866" s="1"/>
      <c r="J866" s="1"/>
      <c r="K866" s="1"/>
      <c r="L866" s="1" t="str">
        <f>IFERROR(__xludf.DUMMYFUNCTION("""COMPUTED_VALUE"""),"REENCODED")</f>
        <v>REENCODED</v>
      </c>
      <c r="M866" s="1" t="str">
        <f>IFERROR(__xludf.DUMMYFUNCTION("""COMPUTED_VALUE"""),"REENCODED")</f>
        <v>REENCODED</v>
      </c>
      <c r="N866" s="3"/>
      <c r="O866" s="1" t="str">
        <f>IFERROR(__xludf.DUMMYFUNCTION("""COMPUTED_VALUE"""),"FIBER UNLI PLAN 1399")</f>
        <v>FIBER UNLI PLAN 1399</v>
      </c>
      <c r="P866" s="1" t="str">
        <f>IFERROR(__xludf.DUMMYFUNCTION("""COMPUTED_VALUE"""),"LOWPLAN")</f>
        <v>LOWPLAN</v>
      </c>
      <c r="Q866" s="1" t="str">
        <f>IFERROR(__xludf.DUMMYFUNCTION("""COMPUTED_VALUE"""),"P407561")</f>
        <v>P407561</v>
      </c>
      <c r="R866" s="1" t="str">
        <f>IFERROR(__xludf.DUMMYFUNCTION("""COMPUTED_VALUE"""),"TAMAYO, MARY ROSE ZAIRA")</f>
        <v>TAMAYO, MARY ROSE ZAIRA</v>
      </c>
      <c r="S866" s="1" t="str">
        <f>IFERROR(__xludf.DUMMYFUNCTION("""COMPUTED_VALUE"""),"ORGANIC")</f>
        <v>ORGANIC</v>
      </c>
      <c r="T866" s="1" t="str">
        <f>IFERROR(__xludf.DUMMYFUNCTION("""COMPUTED_VALUE"""),"LEA REMOLLO")</f>
        <v>LEA REMOLLO</v>
      </c>
      <c r="U866" s="1" t="str">
        <f>IFERROR(__xludf.DUMMYFUNCTION("""COMPUTED_VALUE"""),"JB SALIOA")</f>
        <v>JB SALIOA</v>
      </c>
      <c r="V866" s="1" t="str">
        <f>IFERROR(__xludf.DUMMYFUNCTION("""COMPUTED_VALUE"""),"H2H")</f>
        <v>H2H</v>
      </c>
      <c r="W866" s="1" t="str">
        <f>IFERROR(__xludf.DUMMYFUNCTION("""COMPUTED_VALUE"""),"STK REGULAR")</f>
        <v>STK REGULAR</v>
      </c>
      <c r="X866" s="1" t="str">
        <f>IFERROR(__xludf.DUMMYFUNCTION("""COMPUTED_VALUE"""),"FIBER 1399 98TH YR")</f>
        <v>FIBER 1399 98TH YR</v>
      </c>
      <c r="Y866" s="1" t="str">
        <f>IFERROR(__xludf.DUMMYFUNCTION("""COMPUTED_VALUE"""),"RS_HH_CVEU_2026")</f>
        <v>RS_HH_CVEU_2026</v>
      </c>
      <c r="Z866" s="1" t="str">
        <f>IFERROR(__xludf.DUMMYFUNCTION("""COMPUTED_VALUE"""),"NEW CONNECT")</f>
        <v>NEW CONNECT</v>
      </c>
      <c r="AA866" s="1">
        <f>IFERROR(__xludf.DUMMYFUNCTION("""COMPUTED_VALUE"""),639195850125)</f>
        <v>639195850125</v>
      </c>
      <c r="AB866" s="1"/>
      <c r="AC866" s="1"/>
      <c r="AD866" s="1" t="str">
        <f>IFERROR(__xludf.DUMMYFUNCTION("""COMPUTED_VALUE"""),"KINARRI")</f>
        <v>KINARRI</v>
      </c>
      <c r="AE866" s="1" t="str">
        <f>IFERROR(__xludf.DUMMYFUNCTION("""COMPUTED_VALUE"""),"CARMONA ESTATES PHASE 2")</f>
        <v>CARMONA ESTATES PHASE 2</v>
      </c>
      <c r="AF866" s="1" t="str">
        <f>IFERROR(__xludf.DUMMYFUNCTION("""COMPUTED_VALUE"""),"BGY LANTIC")</f>
        <v>BGY LANTIC</v>
      </c>
      <c r="AG866" s="1" t="str">
        <f>IFERROR(__xludf.DUMMYFUNCTION("""COMPUTED_VALUE"""),"CARMONA")</f>
        <v>CARMONA</v>
      </c>
      <c r="AH866" s="1" t="str">
        <f>IFERROR(__xludf.DUMMYFUNCTION("""COMPUTED_VALUE"""),"COSTA RICA ST")</f>
        <v>COSTA RICA ST</v>
      </c>
      <c r="AI866" s="1" t="str">
        <f>IFERROR(__xludf.DUMMYFUNCTION("""COMPUTED_VALUE"""),"CLUSTER 11")</f>
        <v>CLUSTER 11</v>
      </c>
    </row>
    <row r="867" customHeight="1" spans="1:35">
      <c r="A867" s="3">
        <f>IFERROR(__xludf.DUMMYFUNCTION("""COMPUTED_VALUE"""),46300)</f>
        <v>46300</v>
      </c>
      <c r="B867" s="1" t="str">
        <f>IFERROR(__xludf.DUMMYFUNCTION("""COMPUTED_VALUE"""),"ROSALINDA GUIYAB LAO")</f>
        <v>ROSALINDA GUIYAB LAO</v>
      </c>
      <c r="C867" s="1">
        <f>IFERROR(__xludf.DUMMYFUNCTION("""COMPUTED_VALUE"""),2312970181)</f>
        <v>2312970181</v>
      </c>
      <c r="D867" s="1"/>
      <c r="E867" s="1"/>
      <c r="F867" s="1" t="str">
        <f>IFERROR(__xludf.DUMMYFUNCTION("""COMPUTED_VALUE"""),"REENCODED")</f>
        <v>REENCODED</v>
      </c>
      <c r="G867" s="1" t="str">
        <f>IFERROR(__xludf.DUMMYFUNCTION("""COMPUTED_VALUE"""),"REENCODED")</f>
        <v>REENCODED</v>
      </c>
      <c r="H867" s="1"/>
      <c r="I867" s="1"/>
      <c r="J867" s="1"/>
      <c r="K867" s="1"/>
      <c r="L867" s="1" t="str">
        <f>IFERROR(__xludf.DUMMYFUNCTION("""COMPUTED_VALUE"""),"REENCODED")</f>
        <v>REENCODED</v>
      </c>
      <c r="M867" s="1" t="str">
        <f>IFERROR(__xludf.DUMMYFUNCTION("""COMPUTED_VALUE"""),"REENCODED")</f>
        <v>REENCODED</v>
      </c>
      <c r="N867" s="3"/>
      <c r="O867" s="1" t="str">
        <f>IFERROR(__xludf.DUMMYFUNCTION("""COMPUTED_VALUE"""),"FIBER UNLI ALL PLAN 1899")</f>
        <v>FIBER UNLI ALL PLAN 1899</v>
      </c>
      <c r="P867" s="1" t="str">
        <f>IFERROR(__xludf.DUMMYFUNCTION("""COMPUTED_VALUE"""),"HIGHPLAN")</f>
        <v>HIGHPLAN</v>
      </c>
      <c r="Q867" s="1" t="str">
        <f>IFERROR(__xludf.DUMMYFUNCTION("""COMPUTED_VALUE"""),"P407520")</f>
        <v>P407520</v>
      </c>
      <c r="R867" s="1" t="str">
        <f>IFERROR(__xludf.DUMMYFUNCTION("""COMPUTED_VALUE"""),"MALIWAT, MARK")</f>
        <v>MALIWAT, MARK</v>
      </c>
      <c r="S867" s="1" t="str">
        <f>IFERROR(__xludf.DUMMYFUNCTION("""COMPUTED_VALUE"""),"FLA")</f>
        <v>FLA</v>
      </c>
      <c r="T867" s="1" t="str">
        <f>IFERROR(__xludf.DUMMYFUNCTION("""COMPUTED_VALUE"""),"JERIC NAVARRO")</f>
        <v>JERIC NAVARRO</v>
      </c>
      <c r="U867" s="1" t="str">
        <f>IFERROR(__xludf.DUMMYFUNCTION("""COMPUTED_VALUE"""),"JB SALIOA")</f>
        <v>JB SALIOA</v>
      </c>
      <c r="V867" s="1" t="str">
        <f>IFERROR(__xludf.DUMMYFUNCTION("""COMPUTED_VALUE"""),"ONLINE/CRANFORD")</f>
        <v>ONLINE/CRANFORD</v>
      </c>
      <c r="W867" s="1" t="str">
        <f>IFERROR(__xludf.DUMMYFUNCTION("""COMPUTED_VALUE"""),"STK REGULAR")</f>
        <v>STK REGULAR</v>
      </c>
      <c r="X867" s="1" t="str">
        <f>IFERROR(__xludf.DUMMYFUNCTION("""COMPUTED_VALUE"""),"REGULAR")</f>
        <v>REGULAR</v>
      </c>
      <c r="Y867" s="1" t="str">
        <f>IFERROR(__xludf.DUMMYFUNCTION("""COMPUTED_VALUE"""),"RS_ONL_CVEU_2026")</f>
        <v>RS_ONL_CVEU_2026</v>
      </c>
      <c r="Z867" s="1" t="str">
        <f>IFERROR(__xludf.DUMMYFUNCTION("""COMPUTED_VALUE"""),"NEW CONNECT")</f>
        <v>NEW CONNECT</v>
      </c>
      <c r="AA867" s="1">
        <f>IFERROR(__xludf.DUMMYFUNCTION("""COMPUTED_VALUE"""),639959709819)</f>
        <v>639959709819</v>
      </c>
      <c r="AB867" s="1"/>
      <c r="AC867" s="1"/>
      <c r="AD867" s="1" t="str">
        <f>IFERROR(__xludf.DUMMYFUNCTION("""COMPUTED_VALUE"""),"LAURUS")</f>
        <v>LAURUS</v>
      </c>
      <c r="AE867" s="1" t="str">
        <f>IFERROR(__xludf.DUMMYFUNCTION("""COMPUTED_VALUE"""),"SOMERSET PHASE 4")</f>
        <v>SOMERSET PHASE 4</v>
      </c>
      <c r="AF867" s="1" t="str">
        <f>IFERROR(__xludf.DUMMYFUNCTION("""COMPUTED_VALUE"""),"BGY NAVARRO")</f>
        <v>BGY NAVARRO</v>
      </c>
      <c r="AG867" s="1" t="str">
        <f>IFERROR(__xludf.DUMMYFUNCTION("""COMPUTED_VALUE"""),"GENERAL TRIAS")</f>
        <v>GENERAL TRIAS</v>
      </c>
      <c r="AH867" s="1" t="str">
        <f>IFERROR(__xludf.DUMMYFUNCTION("""COMPUTED_VALUE"""),"NEAR SS4 GATE")</f>
        <v>NEAR SS4 GATE</v>
      </c>
      <c r="AI867" s="1" t="str">
        <f>IFERROR(__xludf.DUMMYFUNCTION("""COMPUTED_VALUE"""),"NOT AOR")</f>
        <v>NOT AOR</v>
      </c>
    </row>
    <row r="868" customHeight="1" spans="1:35">
      <c r="A868" s="3">
        <f>IFERROR(__xludf.DUMMYFUNCTION("""COMPUTED_VALUE"""),46300)</f>
        <v>46300</v>
      </c>
      <c r="B868" s="1" t="str">
        <f>IFERROR(__xludf.DUMMYFUNCTION("""COMPUTED_VALUE"""),"ROSALINDA LAO JURUENA")</f>
        <v>ROSALINDA LAO JURUENA</v>
      </c>
      <c r="C868" s="1">
        <f>IFERROR(__xludf.DUMMYFUNCTION("""COMPUTED_VALUE"""),2312970582)</f>
        <v>2312970582</v>
      </c>
      <c r="D868" s="1">
        <f>IFERROR(__xludf.DUMMYFUNCTION("""COMPUTED_VALUE"""),408680999)</f>
        <v>408680999</v>
      </c>
      <c r="E868" s="1">
        <f>IFERROR(__xludf.DUMMYFUNCTION("""COMPUTED_VALUE"""),474315188004)</f>
        <v>474315188004</v>
      </c>
      <c r="F868" s="1" t="str">
        <f>IFERROR(__xludf.DUMMYFUNCTION("""COMPUTED_VALUE"""),"CLOSED")</f>
        <v>CLOSED</v>
      </c>
      <c r="G868" s="1" t="str">
        <f>IFERROR(__xludf.DUMMYFUNCTION("""COMPUTED_VALUE"""),"CLOSED")</f>
        <v>CLOSED</v>
      </c>
      <c r="H868" s="1"/>
      <c r="I868" s="1" t="str">
        <f>IFERROR(__xludf.DUMMYFUNCTION("""COMPUTED_VALUE"""),"NO 1 AMSF")</f>
        <v>NO 1 AMSF</v>
      </c>
      <c r="J868" s="1" t="str">
        <f>IFERROR(__xludf.DUMMYFUNCTION("""COMPUTED_VALUE"""),"DUE DATE - 02-Nov-26 - 2,248.90")</f>
        <v>DUE DATE - 02-Nov-26 - 2,248.90</v>
      </c>
      <c r="K868" s="1" t="str">
        <f>IFERROR(__xludf.DUMMYFUNCTION("""COMPUTED_VALUE"""),"COMPLETED")</f>
        <v>COMPLETED</v>
      </c>
      <c r="L868" s="1" t="str">
        <f>IFERROR(__xludf.DUMMYFUNCTION("""COMPUTED_VALUE"""),"POSTED")</f>
        <v>POSTED</v>
      </c>
      <c r="M868" s="1" t="str">
        <f>IFERROR(__xludf.DUMMYFUNCTION("""COMPUTED_VALUE"""),"POSTED")</f>
        <v>POSTED</v>
      </c>
      <c r="N868" s="3">
        <f>IFERROR(__xludf.DUMMYFUNCTION("""COMPUTED_VALUE"""),46303)</f>
        <v>46303</v>
      </c>
      <c r="O868" s="1" t="str">
        <f>IFERROR(__xludf.DUMMYFUNCTION("""COMPUTED_VALUE"""),"FIBER UNLI ALL PLAN 1899")</f>
        <v>FIBER UNLI ALL PLAN 1899</v>
      </c>
      <c r="P868" s="1" t="str">
        <f>IFERROR(__xludf.DUMMYFUNCTION("""COMPUTED_VALUE"""),"HIGHPLAN")</f>
        <v>HIGHPLAN</v>
      </c>
      <c r="Q868" s="1" t="str">
        <f>IFERROR(__xludf.DUMMYFUNCTION("""COMPUTED_VALUE"""),"P407520")</f>
        <v>P407520</v>
      </c>
      <c r="R868" s="1" t="str">
        <f>IFERROR(__xludf.DUMMYFUNCTION("""COMPUTED_VALUE"""),"MALIWAT, MARK")</f>
        <v>MALIWAT, MARK</v>
      </c>
      <c r="S868" s="1" t="str">
        <f>IFERROR(__xludf.DUMMYFUNCTION("""COMPUTED_VALUE"""),"FLA")</f>
        <v>FLA</v>
      </c>
      <c r="T868" s="1" t="str">
        <f>IFERROR(__xludf.DUMMYFUNCTION("""COMPUTED_VALUE"""),"JERIC NAVARRO")</f>
        <v>JERIC NAVARRO</v>
      </c>
      <c r="U868" s="1" t="str">
        <f>IFERROR(__xludf.DUMMYFUNCTION("""COMPUTED_VALUE"""),"JB SALIOA")</f>
        <v>JB SALIOA</v>
      </c>
      <c r="V868" s="1" t="str">
        <f>IFERROR(__xludf.DUMMYFUNCTION("""COMPUTED_VALUE"""),"ONLINE/CRANFORD")</f>
        <v>ONLINE/CRANFORD</v>
      </c>
      <c r="W868" s="1" t="str">
        <f>IFERROR(__xludf.DUMMYFUNCTION("""COMPUTED_VALUE"""),"STK REGULAR")</f>
        <v>STK REGULAR</v>
      </c>
      <c r="X868" s="1" t="str">
        <f>IFERROR(__xludf.DUMMYFUNCTION("""COMPUTED_VALUE"""),"REGULAR")</f>
        <v>REGULAR</v>
      </c>
      <c r="Y868" s="1" t="str">
        <f>IFERROR(__xludf.DUMMYFUNCTION("""COMPUTED_VALUE"""),"RS_ONL_CVEU_2026")</f>
        <v>RS_ONL_CVEU_2026</v>
      </c>
      <c r="Z868" s="1" t="str">
        <f>IFERROR(__xludf.DUMMYFUNCTION("""COMPUTED_VALUE"""),"NEW CONNECT")</f>
        <v>NEW CONNECT</v>
      </c>
      <c r="AA868" s="1">
        <f>IFERROR(__xludf.DUMMYFUNCTION("""COMPUTED_VALUE"""),639959709819)</f>
        <v>639959709819</v>
      </c>
      <c r="AB868" s="1"/>
      <c r="AC868" s="1"/>
      <c r="AD868" s="1" t="str">
        <f>IFERROR(__xludf.DUMMYFUNCTION("""COMPUTED_VALUE"""),"LAURUS")</f>
        <v>LAURUS</v>
      </c>
      <c r="AE868" s="1" t="str">
        <f>IFERROR(__xludf.DUMMYFUNCTION("""COMPUTED_VALUE"""),"SOMERSET PHASE 4")</f>
        <v>SOMERSET PHASE 4</v>
      </c>
      <c r="AF868" s="1" t="str">
        <f>IFERROR(__xludf.DUMMYFUNCTION("""COMPUTED_VALUE"""),"BGY NAVARRO")</f>
        <v>BGY NAVARRO</v>
      </c>
      <c r="AG868" s="1" t="str">
        <f>IFERROR(__xludf.DUMMYFUNCTION("""COMPUTED_VALUE"""),"GENERAL TRIAS")</f>
        <v>GENERAL TRIAS</v>
      </c>
      <c r="AH868" s="1" t="str">
        <f>IFERROR(__xludf.DUMMYFUNCTION("""COMPUTED_VALUE"""),"SS4 GATE")</f>
        <v>SS4 GATE</v>
      </c>
      <c r="AI868" s="1" t="str">
        <f>IFERROR(__xludf.DUMMYFUNCTION("""COMPUTED_VALUE"""),"NOT AOR")</f>
        <v>NOT AOR</v>
      </c>
    </row>
    <row r="869" customHeight="1" spans="1:35">
      <c r="A869" s="3">
        <f>IFERROR(__xludf.DUMMYFUNCTION("""COMPUTED_VALUE"""),46300)</f>
        <v>46300</v>
      </c>
      <c r="B869" s="1" t="str">
        <f>IFERROR(__xludf.DUMMYFUNCTION("""COMPUTED_VALUE"""),"JEFF CALUNSAG LINDO")</f>
        <v>JEFF CALUNSAG LINDO</v>
      </c>
      <c r="C869" s="1">
        <f>IFERROR(__xludf.DUMMYFUNCTION("""COMPUTED_VALUE"""),2312971941)</f>
        <v>2312971941</v>
      </c>
      <c r="D869" s="1">
        <f>IFERROR(__xludf.DUMMYFUNCTION("""COMPUTED_VALUE"""),408671965)</f>
        <v>408671965</v>
      </c>
      <c r="E869" s="1">
        <f>IFERROR(__xludf.DUMMYFUNCTION("""COMPUTED_VALUE"""),474308238004)</f>
        <v>474308238004</v>
      </c>
      <c r="F869" s="1" t="str">
        <f>IFERROR(__xludf.DUMMYFUNCTION("""COMPUTED_VALUE"""),"CLOSED")</f>
        <v>CLOSED</v>
      </c>
      <c r="G869" s="1" t="str">
        <f>IFERROR(__xludf.DUMMYFUNCTION("""COMPUTED_VALUE"""),"CLOSED")</f>
        <v>CLOSED</v>
      </c>
      <c r="H869" s="1"/>
      <c r="I869" s="1" t="str">
        <f>IFERROR(__xludf.DUMMYFUNCTION("""COMPUTED_VALUE"""),"NO 1 AMSF")</f>
        <v>NO 1 AMSF</v>
      </c>
      <c r="J869" s="1" t="str">
        <f>IFERROR(__xludf.DUMMYFUNCTION("""COMPUTED_VALUE"""),"DUE DATE - 02-Nov-26 - 1,585.54")</f>
        <v>DUE DATE - 02-Nov-26 - 1,585.54</v>
      </c>
      <c r="K869" s="1" t="str">
        <f>IFERROR(__xludf.DUMMYFUNCTION("""COMPUTED_VALUE"""),"COMPLETED")</f>
        <v>COMPLETED</v>
      </c>
      <c r="L869" s="1" t="str">
        <f>IFERROR(__xludf.DUMMYFUNCTION("""COMPUTED_VALUE"""),"POSTED")</f>
        <v>POSTED</v>
      </c>
      <c r="M869" s="1" t="str">
        <f>IFERROR(__xludf.DUMMYFUNCTION("""COMPUTED_VALUE"""),"POSTED")</f>
        <v>POSTED</v>
      </c>
      <c r="N869" s="3">
        <f>IFERROR(__xludf.DUMMYFUNCTION("""COMPUTED_VALUE"""),46301)</f>
        <v>46301</v>
      </c>
      <c r="O869" s="1" t="str">
        <f>IFERROR(__xludf.DUMMYFUNCTION("""COMPUTED_VALUE"""),"FIBER UNLI PLAN 1399")</f>
        <v>FIBER UNLI PLAN 1399</v>
      </c>
      <c r="P869" s="1" t="str">
        <f>IFERROR(__xludf.DUMMYFUNCTION("""COMPUTED_VALUE"""),"LOWPLAN")</f>
        <v>LOWPLAN</v>
      </c>
      <c r="Q869" s="1" t="str">
        <f>IFERROR(__xludf.DUMMYFUNCTION("""COMPUTED_VALUE"""),"P407520")</f>
        <v>P407520</v>
      </c>
      <c r="R869" s="1" t="str">
        <f>IFERROR(__xludf.DUMMYFUNCTION("""COMPUTED_VALUE"""),"MALIWAT, MARK")</f>
        <v>MALIWAT, MARK</v>
      </c>
      <c r="S869" s="1" t="str">
        <f>IFERROR(__xludf.DUMMYFUNCTION("""COMPUTED_VALUE"""),"FLA")</f>
        <v>FLA</v>
      </c>
      <c r="T869" s="1" t="str">
        <f>IFERROR(__xludf.DUMMYFUNCTION("""COMPUTED_VALUE"""),"JERIC NAVARRO")</f>
        <v>JERIC NAVARRO</v>
      </c>
      <c r="U869" s="1" t="str">
        <f>IFERROR(__xludf.DUMMYFUNCTION("""COMPUTED_VALUE"""),"JB SALIOA")</f>
        <v>JB SALIOA</v>
      </c>
      <c r="V869" s="1" t="str">
        <f>IFERROR(__xludf.DUMMYFUNCTION("""COMPUTED_VALUE"""),"ONLINE/CRANFORD")</f>
        <v>ONLINE/CRANFORD</v>
      </c>
      <c r="W869" s="1" t="str">
        <f>IFERROR(__xludf.DUMMYFUNCTION("""COMPUTED_VALUE"""),"STK REGULAR")</f>
        <v>STK REGULAR</v>
      </c>
      <c r="X869" s="1" t="str">
        <f>IFERROR(__xludf.DUMMYFUNCTION("""COMPUTED_VALUE"""),"FIBER 1399 98TH YR")</f>
        <v>FIBER 1399 98TH YR</v>
      </c>
      <c r="Y869" s="1" t="str">
        <f>IFERROR(__xludf.DUMMYFUNCTION("""COMPUTED_VALUE"""),"RS_SS_CVEU_2026")</f>
        <v>RS_SS_CVEU_2026</v>
      </c>
      <c r="Z869" s="1" t="str">
        <f>IFERROR(__xludf.DUMMYFUNCTION("""COMPUTED_VALUE"""),"NEW CONNECT")</f>
        <v>NEW CONNECT</v>
      </c>
      <c r="AA869" s="1">
        <f>IFERROR(__xludf.DUMMYFUNCTION("""COMPUTED_VALUE"""),639913451057)</f>
        <v>639913451057</v>
      </c>
      <c r="AB869" s="1">
        <f>IFERROR(__xludf.DUMMYFUNCTION("""COMPUTED_VALUE"""),639485022069)</f>
        <v>639485022069</v>
      </c>
      <c r="AC869" s="1"/>
      <c r="AD869" s="1" t="str">
        <f>IFERROR(__xludf.DUMMYFUNCTION("""COMPUTED_VALUE"""),"MAIN")</f>
        <v>MAIN</v>
      </c>
      <c r="AE869" s="1" t="str">
        <f>IFERROR(__xludf.DUMMYFUNCTION("""COMPUTED_VALUE"""),"CITYHOMES RESORTVILLE PH 1")</f>
        <v>CITYHOMES RESORTVILLE PH 1</v>
      </c>
      <c r="AF869" s="1" t="str">
        <f>IFERROR(__xludf.DUMMYFUNCTION("""COMPUTED_VALUE"""),"BGY LANGKAAN 2")</f>
        <v>BGY LANGKAAN 2</v>
      </c>
      <c r="AG869" s="1" t="str">
        <f>IFERROR(__xludf.DUMMYFUNCTION("""COMPUTED_VALUE"""),"DASMARINAS")</f>
        <v>DASMARINAS</v>
      </c>
      <c r="AH869" s="1" t="str">
        <f>IFERROR(__xludf.DUMMYFUNCTION("""COMPUTED_VALUE"""),"JEJUMART")</f>
        <v>JEJUMART</v>
      </c>
      <c r="AI869" s="1" t="str">
        <f>IFERROR(__xludf.DUMMYFUNCTION("""COMPUTED_VALUE"""),"NOT AOR")</f>
        <v>NOT AOR</v>
      </c>
    </row>
    <row r="870" customHeight="1" spans="1:35">
      <c r="A870" s="3">
        <f>IFERROR(__xludf.DUMMYFUNCTION("""COMPUTED_VALUE"""),46300)</f>
        <v>46300</v>
      </c>
      <c r="B870" s="1" t="str">
        <f>IFERROR(__xludf.DUMMYFUNCTION("""COMPUTED_VALUE"""),"JAY-R DELMORO RAMOS")</f>
        <v>JAY-R DELMORO RAMOS</v>
      </c>
      <c r="C870" s="1">
        <f>IFERROR(__xludf.DUMMYFUNCTION("""COMPUTED_VALUE"""),2312972583)</f>
        <v>2312972583</v>
      </c>
      <c r="D870" s="1">
        <f>IFERROR(__xludf.DUMMYFUNCTION("""COMPUTED_VALUE"""),408678811)</f>
        <v>408678811</v>
      </c>
      <c r="E870" s="1">
        <f>IFERROR(__xludf.DUMMYFUNCTION("""COMPUTED_VALUE"""),474314247004)</f>
        <v>474314247004</v>
      </c>
      <c r="F870" s="1" t="str">
        <f>IFERROR(__xludf.DUMMYFUNCTION("""COMPUTED_VALUE"""),"CLOSED")</f>
        <v>CLOSED</v>
      </c>
      <c r="G870" s="1" t="str">
        <f>IFERROR(__xludf.DUMMYFUNCTION("""COMPUTED_VALUE"""),"CLOSED")</f>
        <v>CLOSED</v>
      </c>
      <c r="H870" s="1" t="str">
        <f>IFERROR(__xludf.DUMMYFUNCTION("""COMPUTED_VALUE"""),"PAID THRU GCASH SUBS DID NOT PROVIDE REF 10/08")</f>
        <v>PAID THRU GCASH SUBS DID NOT PROVIDE REF 10/08</v>
      </c>
      <c r="I870" s="1" t="str">
        <f>IFERROR(__xludf.DUMMYFUNCTION("""COMPUTED_VALUE"""),"WITH 1 AMSF")</f>
        <v>WITH 1 AMSF</v>
      </c>
      <c r="J870" s="1"/>
      <c r="K870" s="1" t="str">
        <f>IFERROR(__xludf.DUMMYFUNCTION("""COMPUTED_VALUE"""),"COMPLETED")</f>
        <v>COMPLETED</v>
      </c>
      <c r="L870" s="1" t="str">
        <f>IFERROR(__xludf.DUMMYFUNCTION("""COMPUTED_VALUE"""),"POSTED")</f>
        <v>POSTED</v>
      </c>
      <c r="M870" s="1" t="str">
        <f>IFERROR(__xludf.DUMMYFUNCTION("""COMPUTED_VALUE"""),"POSTED")</f>
        <v>POSTED</v>
      </c>
      <c r="N870" s="3">
        <f>IFERROR(__xludf.DUMMYFUNCTION("""COMPUTED_VALUE"""),46302)</f>
        <v>46302</v>
      </c>
      <c r="O870" s="1" t="str">
        <f>IFERROR(__xludf.DUMMYFUNCTION("""COMPUTED_VALUE"""),"FIBER UNLI PLAN 1399")</f>
        <v>FIBER UNLI PLAN 1399</v>
      </c>
      <c r="P870" s="1" t="str">
        <f>IFERROR(__xludf.DUMMYFUNCTION("""COMPUTED_VALUE"""),"LOWPLAN")</f>
        <v>LOWPLAN</v>
      </c>
      <c r="Q870" s="1" t="str">
        <f>IFERROR(__xludf.DUMMYFUNCTION("""COMPUTED_VALUE"""),"P407560")</f>
        <v>P407560</v>
      </c>
      <c r="R870" s="1" t="str">
        <f>IFERROR(__xludf.DUMMYFUNCTION("""COMPUTED_VALUE"""),"ASEO, VINCENT")</f>
        <v>ASEO, VINCENT</v>
      </c>
      <c r="S870" s="1" t="str">
        <f>IFERROR(__xludf.DUMMYFUNCTION("""COMPUTED_VALUE"""),"ORGANIC")</f>
        <v>ORGANIC</v>
      </c>
      <c r="T870" s="1" t="str">
        <f>IFERROR(__xludf.DUMMYFUNCTION("""COMPUTED_VALUE"""),"LEA REMOLLO")</f>
        <v>LEA REMOLLO</v>
      </c>
      <c r="U870" s="1" t="str">
        <f>IFERROR(__xludf.DUMMYFUNCTION("""COMPUTED_VALUE"""),"JB SALIOA")</f>
        <v>JB SALIOA</v>
      </c>
      <c r="V870" s="1" t="str">
        <f>IFERROR(__xludf.DUMMYFUNCTION("""COMPUTED_VALUE"""),"H2H")</f>
        <v>H2H</v>
      </c>
      <c r="W870" s="1" t="str">
        <f>IFERROR(__xludf.DUMMYFUNCTION("""COMPUTED_VALUE"""),"STK REGULAR")</f>
        <v>STK REGULAR</v>
      </c>
      <c r="X870" s="1" t="str">
        <f>IFERROR(__xludf.DUMMYFUNCTION("""COMPUTED_VALUE"""),"FIBER 1399 98TH YR")</f>
        <v>FIBER 1399 98TH YR</v>
      </c>
      <c r="Y870" s="1" t="str">
        <f>IFERROR(__xludf.DUMMYFUNCTION("""COMPUTED_VALUE"""),"RS_HH_CVEU_2026")</f>
        <v>RS_HH_CVEU_2026</v>
      </c>
      <c r="Z870" s="1" t="str">
        <f>IFERROR(__xludf.DUMMYFUNCTION("""COMPUTED_VALUE"""),"NEW CONNECT")</f>
        <v>NEW CONNECT</v>
      </c>
      <c r="AA870" s="1">
        <f>IFERROR(__xludf.DUMMYFUNCTION("""COMPUTED_VALUE"""),639069551539)</f>
        <v>639069551539</v>
      </c>
      <c r="AB870" s="1">
        <f>IFERROR(__xludf.DUMMYFUNCTION("""COMPUTED_VALUE"""),639069551539)</f>
        <v>639069551539</v>
      </c>
      <c r="AC870" s="1">
        <f>IFERROR(__xludf.DUMMYFUNCTION("""COMPUTED_VALUE"""),30)</f>
        <v>30</v>
      </c>
      <c r="AD870" s="1" t="str">
        <f>IFERROR(__xludf.DUMMYFUNCTION("""COMPUTED_VALUE"""),"MAKABUHAY")</f>
        <v>MAKABUHAY</v>
      </c>
      <c r="AE870" s="1"/>
      <c r="AF870" s="1" t="str">
        <f>IFERROR(__xludf.DUMMYFUNCTION("""COMPUTED_VALUE"""),"BGY PUTING KAHOY")</f>
        <v>BGY PUTING KAHOY</v>
      </c>
      <c r="AG870" s="1" t="str">
        <f>IFERROR(__xludf.DUMMYFUNCTION("""COMPUTED_VALUE"""),"SILANG")</f>
        <v>SILANG</v>
      </c>
      <c r="AH870" s="1" t="str">
        <f>IFERROR(__xludf.DUMMYFUNCTION("""COMPUTED_VALUE"""),"CHUPHENGZ KTV")</f>
        <v>CHUPHENGZ KTV</v>
      </c>
      <c r="AI870" s="1" t="str">
        <f>IFERROR(__xludf.DUMMYFUNCTION("""COMPUTED_VALUE"""),"CLUSTER 11")</f>
        <v>CLUSTER 11</v>
      </c>
    </row>
    <row r="871" customHeight="1" spans="1:35">
      <c r="A871" s="3">
        <f>IFERROR(__xludf.DUMMYFUNCTION("""COMPUTED_VALUE"""),46300)</f>
        <v>46300</v>
      </c>
      <c r="B871" s="1" t="str">
        <f>IFERROR(__xludf.DUMMYFUNCTION("""COMPUTED_VALUE"""),"JUNREY PEPITO BALLENA")</f>
        <v>JUNREY PEPITO BALLENA</v>
      </c>
      <c r="C871" s="1">
        <f>IFERROR(__xludf.DUMMYFUNCTION("""COMPUTED_VALUE"""),2312973194)</f>
        <v>2312973194</v>
      </c>
      <c r="D871" s="1">
        <f>IFERROR(__xludf.DUMMYFUNCTION("""COMPUTED_VALUE"""),408675553)</f>
        <v>408675553</v>
      </c>
      <c r="E871" s="1">
        <f>IFERROR(__xludf.DUMMYFUNCTION("""COMPUTED_VALUE"""),474311718004)</f>
        <v>474311718004</v>
      </c>
      <c r="F871" s="1" t="str">
        <f>IFERROR(__xludf.DUMMYFUNCTION("""COMPUTED_VALUE"""),"CANCELED")</f>
        <v>CANCELED</v>
      </c>
      <c r="G871" s="1" t="str">
        <f>IFERROR(__xludf.DUMMYFUNCTION("""COMPUTED_VALUE"""),"NEAREST CAFAC FULL MDZLP097NP4P7 ACTIVE MDZLP097NP4P8 ACTIVE ASSIGN CAFAC NOT ONSITE SUBS ALREADY ADVICE NA PUNUAN NASA AREA")</f>
        <v>NEAREST CAFAC FULL MDZLP097NP4P7 ACTIVE MDZLP097NP4P8 ACTIVE ASSIGN CAFAC NOT ONSITE SUBS ALREADY ADVICE NA PUNUAN NASA AREA</v>
      </c>
      <c r="H871" s="1"/>
      <c r="I871" s="1"/>
      <c r="J871" s="1"/>
      <c r="K871" s="1" t="str">
        <f>IFERROR(__xludf.DUMMYFUNCTION("""COMPUTED_VALUE"""),"CANCELED")</f>
        <v>CANCELED</v>
      </c>
      <c r="L871" s="1" t="str">
        <f>IFERROR(__xludf.DUMMYFUNCTION("""COMPUTED_VALUE"""),"RPR - NAP FULL")</f>
        <v>RPR - NAP FULL</v>
      </c>
      <c r="M871" s="1" t="str">
        <f>IFERROR(__xludf.DUMMYFUNCTION("""COMPUTED_VALUE"""),"RPR- NAP FULL")</f>
        <v>RPR- NAP FULL</v>
      </c>
      <c r="N871" s="3"/>
      <c r="O871" s="1" t="str">
        <f>IFERROR(__xludf.DUMMYFUNCTION("""COMPUTED_VALUE"""),"FIBER UNLI PLAN 1399")</f>
        <v>FIBER UNLI PLAN 1399</v>
      </c>
      <c r="P871" s="1" t="str">
        <f>IFERROR(__xludf.DUMMYFUNCTION("""COMPUTED_VALUE"""),"LOWPLAN")</f>
        <v>LOWPLAN</v>
      </c>
      <c r="Q871" s="1" t="str">
        <f>IFERROR(__xludf.DUMMYFUNCTION("""COMPUTED_VALUE"""),"P407050")</f>
        <v>P407050</v>
      </c>
      <c r="R871" s="1" t="str">
        <f>IFERROR(__xludf.DUMMYFUNCTION("""COMPUTED_VALUE"""),"ESCARCHA, ALMA")</f>
        <v>ESCARCHA, ALMA</v>
      </c>
      <c r="S871" s="1" t="str">
        <f>IFERROR(__xludf.DUMMYFUNCTION("""COMPUTED_VALUE"""),"ORGANIC")</f>
        <v>ORGANIC</v>
      </c>
      <c r="T871" s="1" t="str">
        <f>IFERROR(__xludf.DUMMYFUNCTION("""COMPUTED_VALUE"""),"LEA REMOLLO")</f>
        <v>LEA REMOLLO</v>
      </c>
      <c r="U871" s="1" t="str">
        <f>IFERROR(__xludf.DUMMYFUNCTION("""COMPUTED_VALUE"""),"JB SALIOA")</f>
        <v>JB SALIOA</v>
      </c>
      <c r="V871" s="1" t="str">
        <f>IFERROR(__xludf.DUMMYFUNCTION("""COMPUTED_VALUE"""),"H2H")</f>
        <v>H2H</v>
      </c>
      <c r="W871" s="1" t="str">
        <f>IFERROR(__xludf.DUMMYFUNCTION("""COMPUTED_VALUE"""),"STK REGULAR")</f>
        <v>STK REGULAR</v>
      </c>
      <c r="X871" s="1" t="str">
        <f>IFERROR(__xludf.DUMMYFUNCTION("""COMPUTED_VALUE"""),"FIBER 1399 98TH YR")</f>
        <v>FIBER 1399 98TH YR</v>
      </c>
      <c r="Y871" s="1" t="str">
        <f>IFERROR(__xludf.DUMMYFUNCTION("""COMPUTED_VALUE"""),"RS_HH_CVEU_2026")</f>
        <v>RS_HH_CVEU_2026</v>
      </c>
      <c r="Z871" s="1" t="str">
        <f>IFERROR(__xludf.DUMMYFUNCTION("""COMPUTED_VALUE"""),"NEW CONNECT")</f>
        <v>NEW CONNECT</v>
      </c>
      <c r="AA871" s="1">
        <f>IFERROR(__xludf.DUMMYFUNCTION("""COMPUTED_VALUE"""),639071404673)</f>
        <v>639071404673</v>
      </c>
      <c r="AB871" s="1">
        <f>IFERROR(__xludf.DUMMYFUNCTION("""COMPUTED_VALUE"""),639298877035)</f>
        <v>639298877035</v>
      </c>
      <c r="AC871" s="1">
        <f>IFERROR(__xludf.DUMMYFUNCTION("""COMPUTED_VALUE"""),1673)</f>
        <v>1673</v>
      </c>
      <c r="AD871" s="1" t="str">
        <f>IFERROR(__xludf.DUMMYFUNCTION("""COMPUTED_VALUE"""),"BIGNAYAN")</f>
        <v>BIGNAYAN</v>
      </c>
      <c r="AE871" s="1"/>
      <c r="AF871" s="1" t="str">
        <f>IFERROR(__xludf.DUMMYFUNCTION("""COMPUTED_VALUE"""),"BGY ASIS 3")</f>
        <v>BGY ASIS 3</v>
      </c>
      <c r="AG871" s="1" t="str">
        <f>IFERROR(__xludf.DUMMYFUNCTION("""COMPUTED_VALUE"""),"MENDEZ")</f>
        <v>MENDEZ</v>
      </c>
      <c r="AH871" s="1" t="str">
        <f>IFERROR(__xludf.DUMMYFUNCTION("""COMPUTED_VALUE"""),"MENDEZ CHRISTIAN ACADEMY")</f>
        <v>MENDEZ CHRISTIAN ACADEMY</v>
      </c>
      <c r="AI871" s="1" t="str">
        <f>IFERROR(__xludf.DUMMYFUNCTION("""COMPUTED_VALUE"""),"CLUSTER 12")</f>
        <v>CLUSTER 12</v>
      </c>
    </row>
    <row r="872" customHeight="1" spans="1:35">
      <c r="A872" s="3">
        <f>IFERROR(__xludf.DUMMYFUNCTION("""COMPUTED_VALUE"""),46300)</f>
        <v>46300</v>
      </c>
      <c r="B872" s="1" t="str">
        <f>IFERROR(__xludf.DUMMYFUNCTION("""COMPUTED_VALUE"""),"NOEL GARAMPIL SANTIAGO")</f>
        <v>NOEL GARAMPIL SANTIAGO</v>
      </c>
      <c r="C872" s="1">
        <f>IFERROR(__xludf.DUMMYFUNCTION("""COMPUTED_VALUE"""),2312975943)</f>
        <v>2312975943</v>
      </c>
      <c r="D872" s="1">
        <f>IFERROR(__xludf.DUMMYFUNCTION("""COMPUTED_VALUE"""),408696321)</f>
        <v>408696321</v>
      </c>
      <c r="E872" s="1">
        <f>IFERROR(__xludf.DUMMYFUNCTION("""COMPUTED_VALUE"""),474346467004)</f>
        <v>474346467004</v>
      </c>
      <c r="F872" s="1" t="str">
        <f>IFERROR(__xludf.DUMMYFUNCTION("""COMPUTED_VALUE"""),"CLOSED")</f>
        <v>CLOSED</v>
      </c>
      <c r="G872" s="1" t="str">
        <f>IFERROR(__xludf.DUMMYFUNCTION("""COMPUTED_VALUE"""),"CLOSED")</f>
        <v>CLOSED</v>
      </c>
      <c r="H872" s="1" t="str">
        <f>IFERROR(__xludf.DUMMYFUNCTION("""COMPUTED_VALUE"""),"PAID THRU GCASH REF# 251968199 10/6")</f>
        <v>PAID THRU GCASH REF# 251968199 10/6</v>
      </c>
      <c r="I872" s="1" t="str">
        <f>IFERROR(__xludf.DUMMYFUNCTION("""COMPUTED_VALUE"""),"WITH 1 AMSF")</f>
        <v>WITH 1 AMSF</v>
      </c>
      <c r="J872" s="1"/>
      <c r="K872" s="1" t="str">
        <f>IFERROR(__xludf.DUMMYFUNCTION("""COMPUTED_VALUE"""),"COMPLETED")</f>
        <v>COMPLETED</v>
      </c>
      <c r="L872" s="1" t="str">
        <f>IFERROR(__xludf.DUMMYFUNCTION("""COMPUTED_VALUE"""),"POSTED")</f>
        <v>POSTED</v>
      </c>
      <c r="M872" s="1" t="str">
        <f>IFERROR(__xludf.DUMMYFUNCTION("""COMPUTED_VALUE"""),"POSTED")</f>
        <v>POSTED</v>
      </c>
      <c r="N872" s="3">
        <f>IFERROR(__xludf.DUMMYFUNCTION("""COMPUTED_VALUE"""),46301)</f>
        <v>46301</v>
      </c>
      <c r="O872" s="1" t="str">
        <f>IFERROR(__xludf.DUMMYFUNCTION("""COMPUTED_VALUE"""),"FIBER UNLI PLAN 1399")</f>
        <v>FIBER UNLI PLAN 1399</v>
      </c>
      <c r="P872" s="1" t="str">
        <f>IFERROR(__xludf.DUMMYFUNCTION("""COMPUTED_VALUE"""),"LOWPLAN")</f>
        <v>LOWPLAN</v>
      </c>
      <c r="Q872" s="1" t="str">
        <f>IFERROR(__xludf.DUMMYFUNCTION("""COMPUTED_VALUE"""),"P407520")</f>
        <v>P407520</v>
      </c>
      <c r="R872" s="1" t="str">
        <f>IFERROR(__xludf.DUMMYFUNCTION("""COMPUTED_VALUE"""),"MALIWAT, MARK")</f>
        <v>MALIWAT, MARK</v>
      </c>
      <c r="S872" s="1" t="str">
        <f>IFERROR(__xludf.DUMMYFUNCTION("""COMPUTED_VALUE"""),"FLA")</f>
        <v>FLA</v>
      </c>
      <c r="T872" s="1" t="str">
        <f>IFERROR(__xludf.DUMMYFUNCTION("""COMPUTED_VALUE"""),"JERIC NAVARRO")</f>
        <v>JERIC NAVARRO</v>
      </c>
      <c r="U872" s="1" t="str">
        <f>IFERROR(__xludf.DUMMYFUNCTION("""COMPUTED_VALUE"""),"JB SALIOA")</f>
        <v>JB SALIOA</v>
      </c>
      <c r="V872" s="1" t="str">
        <f>IFERROR(__xludf.DUMMYFUNCTION("""COMPUTED_VALUE"""),"H2H")</f>
        <v>H2H</v>
      </c>
      <c r="W872" s="1" t="str">
        <f>IFERROR(__xludf.DUMMYFUNCTION("""COMPUTED_VALUE"""),"STK REGULAR")</f>
        <v>STK REGULAR</v>
      </c>
      <c r="X872" s="1" t="str">
        <f>IFERROR(__xludf.DUMMYFUNCTION("""COMPUTED_VALUE"""),"FIBER 1399 98TH YR")</f>
        <v>FIBER 1399 98TH YR</v>
      </c>
      <c r="Y872" s="1" t="str">
        <f>IFERROR(__xludf.DUMMYFUNCTION("""COMPUTED_VALUE"""),"RS_HH_CVEU_2026")</f>
        <v>RS_HH_CVEU_2026</v>
      </c>
      <c r="Z872" s="1" t="str">
        <f>IFERROR(__xludf.DUMMYFUNCTION("""COMPUTED_VALUE"""),"NEW CONNECT")</f>
        <v>NEW CONNECT</v>
      </c>
      <c r="AA872" s="1">
        <f>IFERROR(__xludf.DUMMYFUNCTION("""COMPUTED_VALUE"""),639924272584)</f>
        <v>639924272584</v>
      </c>
      <c r="AB872" s="1">
        <f>IFERROR(__xludf.DUMMYFUNCTION("""COMPUTED_VALUE"""),639928586011)</f>
        <v>639928586011</v>
      </c>
      <c r="AC872" s="1"/>
      <c r="AD872" s="1" t="str">
        <f>IFERROR(__xludf.DUMMYFUNCTION("""COMPUTED_VALUE"""),"PHASE 1")</f>
        <v>PHASE 1</v>
      </c>
      <c r="AE872" s="1" t="str">
        <f>IFERROR(__xludf.DUMMYFUNCTION("""COMPUTED_VALUE"""),"PARKLANE SUBD")</f>
        <v>PARKLANE SUBD</v>
      </c>
      <c r="AF872" s="1" t="str">
        <f>IFERROR(__xludf.DUMMYFUNCTION("""COMPUTED_VALUE"""),"BGY SANTIAGO")</f>
        <v>BGY SANTIAGO</v>
      </c>
      <c r="AG872" s="1" t="str">
        <f>IFERROR(__xludf.DUMMYFUNCTION("""COMPUTED_VALUE"""),"GENERAL TRIAS")</f>
        <v>GENERAL TRIAS</v>
      </c>
      <c r="AH872" s="1" t="str">
        <f>IFERROR(__xludf.DUMMYFUNCTION("""COMPUTED_VALUE"""),"HOA")</f>
        <v>HOA</v>
      </c>
      <c r="AI872" s="1" t="str">
        <f>IFERROR(__xludf.DUMMYFUNCTION("""COMPUTED_VALUE"""),"NOT AOR")</f>
        <v>NOT AOR</v>
      </c>
    </row>
    <row r="873" customHeight="1" spans="1:35">
      <c r="A873" s="3">
        <f>IFERROR(__xludf.DUMMYFUNCTION("""COMPUTED_VALUE"""),46300)</f>
        <v>46300</v>
      </c>
      <c r="B873" s="1" t="str">
        <f>IFERROR(__xludf.DUMMYFUNCTION("""COMPUTED_VALUE"""),"ROGER HERRERA . SANCHEZ")</f>
        <v>ROGER HERRERA . SANCHEZ</v>
      </c>
      <c r="C873" s="1">
        <f>IFERROR(__xludf.DUMMYFUNCTION("""COMPUTED_VALUE"""),2312977196)</f>
        <v>2312977196</v>
      </c>
      <c r="D873" s="1">
        <f>IFERROR(__xludf.DUMMYFUNCTION("""COMPUTED_VALUE"""),408728185)</f>
        <v>408728185</v>
      </c>
      <c r="E873" s="1">
        <f>IFERROR(__xludf.DUMMYFUNCTION("""COMPUTED_VALUE"""),474622384004)</f>
        <v>474622384004</v>
      </c>
      <c r="F873" s="1" t="str">
        <f>IFERROR(__xludf.DUMMYFUNCTION("""COMPUTED_VALUE"""),"FOR CANCELLATION")</f>
        <v>FOR CANCELLATION</v>
      </c>
      <c r="G873" s="1" t="str">
        <f>IFERROR(__xludf.DUMMYFUNCTION("""COMPUTED_VALUE"""),"FOR CANCELLATION")</f>
        <v>FOR CANCELLATION</v>
      </c>
      <c r="H873" s="1" t="str">
        <f>IFERROR(__xludf.DUMMYFUNCTION("""COMPUTED_VALUE"""),"CBR RINGING ONLY")</f>
        <v>CBR RINGING ONLY</v>
      </c>
      <c r="I873" s="1"/>
      <c r="J873" s="1"/>
      <c r="K873" s="1" t="str">
        <f>IFERROR(__xludf.DUMMYFUNCTION("""COMPUTED_VALUE"""),"NOT IN OFSC")</f>
        <v>NOT IN OFSC</v>
      </c>
      <c r="L873" s="1" t="str">
        <f>IFERROR(__xludf.DUMMYFUNCTION("""COMPUTED_VALUE"""),"FOR CANCELLATION")</f>
        <v>FOR CANCELLATION</v>
      </c>
      <c r="M873" s="1" t="str">
        <f>IFERROR(__xludf.DUMMYFUNCTION("""COMPUTED_VALUE"""),"FOR CANCELLATION - NON COMPLIANCE - NO PAYMENT")</f>
        <v>FOR CANCELLATION - NON COMPLIANCE - NO PAYMENT</v>
      </c>
      <c r="N873" s="3"/>
      <c r="O873" s="1" t="str">
        <f>IFERROR(__xludf.DUMMYFUNCTION("""COMPUTED_VALUE"""),"FIBR PLAN 1299")</f>
        <v>FIBR PLAN 1299</v>
      </c>
      <c r="P873" s="1" t="str">
        <f>IFERROR(__xludf.DUMMYFUNCTION("""COMPUTED_VALUE"""),"LOWPLAN")</f>
        <v>LOWPLAN</v>
      </c>
      <c r="Q873" s="1" t="str">
        <f>IFERROR(__xludf.DUMMYFUNCTION("""COMPUTED_VALUE"""),"P407047")</f>
        <v>P407047</v>
      </c>
      <c r="R873" s="1" t="str">
        <f>IFERROR(__xludf.DUMMYFUNCTION("""COMPUTED_VALUE"""),"FRANCISCO, ROSELYN")</f>
        <v>FRANCISCO, ROSELYN</v>
      </c>
      <c r="S873" s="1" t="str">
        <f>IFERROR(__xludf.DUMMYFUNCTION("""COMPUTED_VALUE"""),"ORGANIC")</f>
        <v>ORGANIC</v>
      </c>
      <c r="T873" s="1" t="str">
        <f>IFERROR(__xludf.DUMMYFUNCTION("""COMPUTED_VALUE"""),"LEA REMOLLO")</f>
        <v>LEA REMOLLO</v>
      </c>
      <c r="U873" s="1" t="str">
        <f>IFERROR(__xludf.DUMMYFUNCTION("""COMPUTED_VALUE"""),"JB SALIOA")</f>
        <v>JB SALIOA</v>
      </c>
      <c r="V873" s="1" t="str">
        <f>IFERROR(__xludf.DUMMYFUNCTION("""COMPUTED_VALUE"""),"H2H")</f>
        <v>H2H</v>
      </c>
      <c r="W873" s="1" t="str">
        <f>IFERROR(__xludf.DUMMYFUNCTION("""COMPUTED_VALUE"""),"STK REGULAR")</f>
        <v>STK REGULAR</v>
      </c>
      <c r="X873" s="1" t="str">
        <f>IFERROR(__xludf.DUMMYFUNCTION("""COMPUTED_VALUE"""),"REGULAR")</f>
        <v>REGULAR</v>
      </c>
      <c r="Y873" s="1" t="str">
        <f>IFERROR(__xludf.DUMMYFUNCTION("""COMPUTED_VALUE"""),"RS_HH_CVEU_2026")</f>
        <v>RS_HH_CVEU_2026</v>
      </c>
      <c r="Z873" s="1" t="str">
        <f>IFERROR(__xludf.DUMMYFUNCTION("""COMPUTED_VALUE"""),"NEW CONNECT")</f>
        <v>NEW CONNECT</v>
      </c>
      <c r="AA873" s="1">
        <f>IFERROR(__xludf.DUMMYFUNCTION("""COMPUTED_VALUE"""),639690866605)</f>
        <v>639690866605</v>
      </c>
      <c r="AB873" s="1"/>
      <c r="AC873" s="1">
        <f>IFERROR(__xludf.DUMMYFUNCTION("""COMPUTED_VALUE"""),68)</f>
        <v>68</v>
      </c>
      <c r="AD873" s="1" t="str">
        <f>IFERROR(__xludf.DUMMYFUNCTION("""COMPUTED_VALUE"""),"ANTONIO")</f>
        <v>ANTONIO</v>
      </c>
      <c r="AE873" s="1" t="str">
        <f>IFERROR(__xludf.DUMMYFUNCTION("""COMPUTED_VALUE"""),"PUROK 3")</f>
        <v>PUROK 3</v>
      </c>
      <c r="AF873" s="1" t="str">
        <f>IFERROR(__xludf.DUMMYFUNCTION("""COMPUTED_VALUE"""),"BGY BATAS")</f>
        <v>BGY BATAS</v>
      </c>
      <c r="AG873" s="1" t="str">
        <f>IFERROR(__xludf.DUMMYFUNCTION("""COMPUTED_VALUE"""),"SILANG")</f>
        <v>SILANG</v>
      </c>
      <c r="AH873" s="1" t="str">
        <f>IFERROR(__xludf.DUMMYFUNCTION("""COMPUTED_VALUE"""),"MAYYAM WATER STATION")</f>
        <v>MAYYAM WATER STATION</v>
      </c>
      <c r="AI873" s="1" t="str">
        <f>IFERROR(__xludf.DUMMYFUNCTION("""COMPUTED_VALUE"""),"CLUSTER 11")</f>
        <v>CLUSTER 11</v>
      </c>
    </row>
    <row r="874" customHeight="1" spans="1:35">
      <c r="A874" s="3">
        <f>IFERROR(__xludf.DUMMYFUNCTION("""COMPUTED_VALUE"""),46300)</f>
        <v>46300</v>
      </c>
      <c r="B874" s="1" t="str">
        <f>IFERROR(__xludf.DUMMYFUNCTION("""COMPUTED_VALUE"""),"MARIVIC MANALO MAYORDO")</f>
        <v>MARIVIC MANALO MAYORDO</v>
      </c>
      <c r="C874" s="1">
        <f>IFERROR(__xludf.DUMMYFUNCTION("""COMPUTED_VALUE"""),2312977705)</f>
        <v>2312977705</v>
      </c>
      <c r="D874" s="1">
        <f>IFERROR(__xludf.DUMMYFUNCTION("""COMPUTED_VALUE"""),408720907)</f>
        <v>408720907</v>
      </c>
      <c r="E874" s="1">
        <f>IFERROR(__xludf.DUMMYFUNCTION("""COMPUTED_VALUE"""),474479514004)</f>
        <v>474479514004</v>
      </c>
      <c r="F874" s="1" t="str">
        <f>IFERROR(__xludf.DUMMYFUNCTION("""COMPUTED_VALUE"""),"CLOSED")</f>
        <v>CLOSED</v>
      </c>
      <c r="G874" s="1" t="str">
        <f>IFERROR(__xludf.DUMMYFUNCTION("""COMPUTED_VALUE"""),"CLOSED")</f>
        <v>CLOSED</v>
      </c>
      <c r="H874" s="1" t="str">
        <f>IFERROR(__xludf.DUMMYFUNCTION("""COMPUTED_VALUE"""),"PAID VIA GCASH REF 960479117 OCT 8")</f>
        <v>PAID VIA GCASH REF 960479117 OCT 8</v>
      </c>
      <c r="I874" s="1" t="str">
        <f>IFERROR(__xludf.DUMMYFUNCTION("""COMPUTED_VALUE"""),"WITH 1 AMSF")</f>
        <v>WITH 1 AMSF</v>
      </c>
      <c r="J874" s="1"/>
      <c r="K874" s="1" t="str">
        <f>IFERROR(__xludf.DUMMYFUNCTION("""COMPUTED_VALUE"""),"COMPLETED")</f>
        <v>COMPLETED</v>
      </c>
      <c r="L874" s="1" t="str">
        <f>IFERROR(__xludf.DUMMYFUNCTION("""COMPUTED_VALUE"""),"POSTED")</f>
        <v>POSTED</v>
      </c>
      <c r="M874" s="1" t="str">
        <f>IFERROR(__xludf.DUMMYFUNCTION("""COMPUTED_VALUE"""),"POSTED")</f>
        <v>POSTED</v>
      </c>
      <c r="N874" s="3">
        <f>IFERROR(__xludf.DUMMYFUNCTION("""COMPUTED_VALUE"""),46305)</f>
        <v>46305</v>
      </c>
      <c r="O874" s="1" t="str">
        <f>IFERROR(__xludf.DUMMYFUNCTION("""COMPUTED_VALUE"""),"FIBER UNLI PLAN 1399")</f>
        <v>FIBER UNLI PLAN 1399</v>
      </c>
      <c r="P874" s="1" t="str">
        <f>IFERROR(__xludf.DUMMYFUNCTION("""COMPUTED_VALUE"""),"LOWPLAN")</f>
        <v>LOWPLAN</v>
      </c>
      <c r="Q874" s="1" t="str">
        <f>IFERROR(__xludf.DUMMYFUNCTION("""COMPUTED_VALUE"""),"P07560")</f>
        <v>P07560</v>
      </c>
      <c r="R874" s="1" t="str">
        <f>IFERROR(__xludf.DUMMYFUNCTION("""COMPUTED_VALUE"""),"LOPEZ, JENIELYN")</f>
        <v>LOPEZ, JENIELYN</v>
      </c>
      <c r="S874" s="1" t="str">
        <f>IFERROR(__xludf.DUMMYFUNCTION("""COMPUTED_VALUE"""),"ORGANIC")</f>
        <v>ORGANIC</v>
      </c>
      <c r="T874" s="1" t="str">
        <f>IFERROR(__xludf.DUMMYFUNCTION("""COMPUTED_VALUE"""),"LEA REMOLLO")</f>
        <v>LEA REMOLLO</v>
      </c>
      <c r="U874" s="1" t="str">
        <f>IFERROR(__xludf.DUMMYFUNCTION("""COMPUTED_VALUE"""),"JB SALIOA")</f>
        <v>JB SALIOA</v>
      </c>
      <c r="V874" s="1" t="str">
        <f>IFERROR(__xludf.DUMMYFUNCTION("""COMPUTED_VALUE"""),"H2H")</f>
        <v>H2H</v>
      </c>
      <c r="W874" s="1" t="str">
        <f>IFERROR(__xludf.DUMMYFUNCTION("""COMPUTED_VALUE"""),"STK REGULAR")</f>
        <v>STK REGULAR</v>
      </c>
      <c r="X874" s="1" t="str">
        <f>IFERROR(__xludf.DUMMYFUNCTION("""COMPUTED_VALUE"""),"FIBER 1399 98TH YR")</f>
        <v>FIBER 1399 98TH YR</v>
      </c>
      <c r="Y874" s="1" t="str">
        <f>IFERROR(__xludf.DUMMYFUNCTION("""COMPUTED_VALUE"""),"RS_HH_CVEU_2026")</f>
        <v>RS_HH_CVEU_2026</v>
      </c>
      <c r="Z874" s="1" t="str">
        <f>IFERROR(__xludf.DUMMYFUNCTION("""COMPUTED_VALUE"""),"NEW CONNECT")</f>
        <v>NEW CONNECT</v>
      </c>
      <c r="AA874" s="1">
        <f>IFERROR(__xludf.DUMMYFUNCTION("""COMPUTED_VALUE"""),639551737098)</f>
        <v>639551737098</v>
      </c>
      <c r="AB874" s="1"/>
      <c r="AC874" s="1"/>
      <c r="AD874" s="1" t="str">
        <f>IFERROR(__xludf.DUMMYFUNCTION("""COMPUTED_VALUE"""),"CEDAR 1")</f>
        <v>CEDAR 1</v>
      </c>
      <c r="AE874" s="1" t="str">
        <f>IFERROR(__xludf.DUMMYFUNCTION("""COMPUTED_VALUE"""),"CARMONA ESTATES")</f>
        <v>CARMONA ESTATES</v>
      </c>
      <c r="AF874" s="1" t="str">
        <f>IFERROR(__xludf.DUMMYFUNCTION("""COMPUTED_VALUE"""),"BGY LANTIC")</f>
        <v>BGY LANTIC</v>
      </c>
      <c r="AG874" s="1" t="str">
        <f>IFERROR(__xludf.DUMMYFUNCTION("""COMPUTED_VALUE"""),"CARMONA")</f>
        <v>CARMONA</v>
      </c>
      <c r="AH874" s="1" t="str">
        <f>IFERROR(__xludf.DUMMYFUNCTION("""COMPUTED_VALUE"""),"ASTER ST")</f>
        <v>ASTER ST</v>
      </c>
      <c r="AI874" s="1" t="str">
        <f>IFERROR(__xludf.DUMMYFUNCTION("""COMPUTED_VALUE"""),"CLUSTER 11")</f>
        <v>CLUSTER 11</v>
      </c>
    </row>
    <row r="875" customHeight="1" spans="1:35">
      <c r="A875" s="3">
        <f>IFERROR(__xludf.DUMMYFUNCTION("""COMPUTED_VALUE"""),46300)</f>
        <v>46300</v>
      </c>
      <c r="B875" s="1" t="str">
        <f>IFERROR(__xludf.DUMMYFUNCTION("""COMPUTED_VALUE"""),"ARNULFO BALMES TALAY")</f>
        <v>ARNULFO BALMES TALAY</v>
      </c>
      <c r="C875" s="1">
        <f>IFERROR(__xludf.DUMMYFUNCTION("""COMPUTED_VALUE"""),2312978347)</f>
        <v>2312978347</v>
      </c>
      <c r="D875" s="1"/>
      <c r="E875" s="1"/>
      <c r="F875" s="1" t="str">
        <f>IFERROR(__xludf.DUMMYFUNCTION("""COMPUTED_VALUE"""),"CANCELLED")</f>
        <v>CANCELLED</v>
      </c>
      <c r="G875" s="1" t="str">
        <f>IFERROR(__xludf.DUMMYFUNCTION("""COMPUTED_VALUE"""),"RTS | PLEASE SETTLE FIRST THE OB BEFORE WE PROCEED THIS NEW APP | FOUND ACTIVE ACC# 0392843418 SAME NAME | DIFF ADD | WITH OB AMOUNTING TO Php7,310.51 FOR SETTLEMENT| CALL THRU CBR 639924785848 06:06 PM | TALKED TO SOR |CONFIRMED HE APPLIED A NEW LINE | c"&amp;"leared from blacklist hit| Done Validation with submitted complete docs| correct encoded info in CSP | waived the 1 AMSF requirements (FIBER 1399 98TH YR) | SCANNABLE SUBMITTED NATUIONAL ID")</f>
        <v>RTS | PLEASE SETTLE FIRST THE OB BEFORE WE PROCEED THIS NEW APP | FOUND ACTIVE ACC# 0392843418 SAME NAME | DIFF ADD | WITH OB AMOUNTING TO Php7,310.51 FOR SETTLEMENT| CALL THRU CBR 639924785848 06:06 PM | TALKED TO SOR |CONFIRMED HE APPLIED A NEW LINE | cleared from blacklist hit| Done Validation with submitted complete docs| correct encoded info in CSP | waived the 1 AMSF requirements (FIBER 1399 98TH YR) | SCANNABLE SUBMITTED NATUIONAL ID</v>
      </c>
      <c r="H875" s="1"/>
      <c r="I875" s="1"/>
      <c r="J875" s="1"/>
      <c r="K875" s="1"/>
      <c r="L875" s="1" t="str">
        <f>IFERROR(__xludf.DUMMYFUNCTION("""COMPUTED_VALUE"""),"CANCELLED - WITH OB")</f>
        <v>CANCELLED - WITH OB</v>
      </c>
      <c r="M875" s="1" t="str">
        <f>IFERROR(__xludf.DUMMYFUNCTION("""COMPUTED_VALUE"""),"CANCELLED - WITH OB")</f>
        <v>CANCELLED - WITH OB</v>
      </c>
      <c r="N875" s="3"/>
      <c r="O875" s="1" t="str">
        <f>IFERROR(__xludf.DUMMYFUNCTION("""COMPUTED_VALUE"""),"FIBER UNLI PLAN 1399")</f>
        <v>FIBER UNLI PLAN 1399</v>
      </c>
      <c r="P875" s="1" t="str">
        <f>IFERROR(__xludf.DUMMYFUNCTION("""COMPUTED_VALUE"""),"LOWPLAN")</f>
        <v>LOWPLAN</v>
      </c>
      <c r="Q875" s="1" t="str">
        <f>IFERROR(__xludf.DUMMYFUNCTION("""COMPUTED_VALUE"""),"P407049")</f>
        <v>P407049</v>
      </c>
      <c r="R875" s="1" t="str">
        <f>IFERROR(__xludf.DUMMYFUNCTION("""COMPUTED_VALUE"""),"ALINGARO, CINDY")</f>
        <v>ALINGARO, CINDY</v>
      </c>
      <c r="S875" s="1" t="str">
        <f>IFERROR(__xludf.DUMMYFUNCTION("""COMPUTED_VALUE"""),"ORGANIC")</f>
        <v>ORGANIC</v>
      </c>
      <c r="T875" s="1" t="str">
        <f>IFERROR(__xludf.DUMMYFUNCTION("""COMPUTED_VALUE"""),"LEA REMOLLO")</f>
        <v>LEA REMOLLO</v>
      </c>
      <c r="U875" s="1" t="str">
        <f>IFERROR(__xludf.DUMMYFUNCTION("""COMPUTED_VALUE"""),"JB SALIOA")</f>
        <v>JB SALIOA</v>
      </c>
      <c r="V875" s="1" t="str">
        <f>IFERROR(__xludf.DUMMYFUNCTION("""COMPUTED_VALUE"""),"H2H")</f>
        <v>H2H</v>
      </c>
      <c r="W875" s="1" t="str">
        <f>IFERROR(__xludf.DUMMYFUNCTION("""COMPUTED_VALUE"""),"STK REGULAR")</f>
        <v>STK REGULAR</v>
      </c>
      <c r="X875" s="1" t="str">
        <f>IFERROR(__xludf.DUMMYFUNCTION("""COMPUTED_VALUE"""),"FIBER 1399 98TH YR")</f>
        <v>FIBER 1399 98TH YR</v>
      </c>
      <c r="Y875" s="1" t="str">
        <f>IFERROR(__xludf.DUMMYFUNCTION("""COMPUTED_VALUE"""),"RS_HH_CVEU_2026")</f>
        <v>RS_HH_CVEU_2026</v>
      </c>
      <c r="Z875" s="1" t="str">
        <f>IFERROR(__xludf.DUMMYFUNCTION("""COMPUTED_VALUE"""),"NEW CONNECT")</f>
        <v>NEW CONNECT</v>
      </c>
      <c r="AA875" s="1">
        <f>IFERROR(__xludf.DUMMYFUNCTION("""COMPUTED_VALUE"""),639924785848)</f>
        <v>639924785848</v>
      </c>
      <c r="AB875" s="1"/>
      <c r="AC875" s="1"/>
      <c r="AD875" s="1" t="str">
        <f>IFERROR(__xludf.DUMMYFUNCTION("""COMPUTED_VALUE"""),"ARISTON VILLANUEVA")</f>
        <v>ARISTON VILLANUEVA</v>
      </c>
      <c r="AE875" s="1"/>
      <c r="AF875" s="1" t="str">
        <f>IFERROR(__xludf.DUMMYFUNCTION("""COMPUTED_VALUE"""),"BGY P GRANADOS")</f>
        <v>BGY P GRANADOS</v>
      </c>
      <c r="AG875" s="1" t="str">
        <f>IFERROR(__xludf.DUMMYFUNCTION("""COMPUTED_VALUE"""),"GEN MARIANO ALVAREZ")</f>
        <v>GEN MARIANO ALVAREZ</v>
      </c>
      <c r="AH875" s="1" t="str">
        <f>IFERROR(__xludf.DUMMYFUNCTION("""COMPUTED_VALUE"""),"-")</f>
        <v>-</v>
      </c>
      <c r="AI875" s="1" t="str">
        <f>IFERROR(__xludf.DUMMYFUNCTION("""COMPUTED_VALUE"""),"CLUSTER 11")</f>
        <v>CLUSTER 11</v>
      </c>
    </row>
    <row r="876" customHeight="1" spans="1:35">
      <c r="A876" s="3">
        <f>IFERROR(__xludf.DUMMYFUNCTION("""COMPUTED_VALUE"""),46300)</f>
        <v>46300</v>
      </c>
      <c r="B876" s="1" t="str">
        <f>IFERROR(__xludf.DUMMYFUNCTION("""COMPUTED_VALUE"""),"LADYS MEDINA DELA CRUZ")</f>
        <v>LADYS MEDINA DELA CRUZ</v>
      </c>
      <c r="C876" s="1">
        <f>IFERROR(__xludf.DUMMYFUNCTION("""COMPUTED_VALUE"""),2312978832)</f>
        <v>2312978832</v>
      </c>
      <c r="D876" s="1">
        <f>IFERROR(__xludf.DUMMYFUNCTION("""COMPUTED_VALUE"""),408699150)</f>
        <v>408699150</v>
      </c>
      <c r="E876" s="1">
        <f>IFERROR(__xludf.DUMMYFUNCTION("""COMPUTED_VALUE"""),474355934004)</f>
        <v>474355934004</v>
      </c>
      <c r="F876" s="1" t="str">
        <f>IFERROR(__xludf.DUMMYFUNCTION("""COMPUTED_VALUE"""),"CLOSED")</f>
        <v>CLOSED</v>
      </c>
      <c r="G876" s="1" t="str">
        <f>IFERROR(__xludf.DUMMYFUNCTION("""COMPUTED_VALUE"""),"CLOSED")</f>
        <v>CLOSED</v>
      </c>
      <c r="H876" s="1" t="str">
        <f>IFERROR(__xludf.DUMMYFUNCTION("""COMPUTED_VALUE"""),"PAID VIA GCASH REF 953619600 OCT 6")</f>
        <v>PAID VIA GCASH REF 953619600 OCT 6</v>
      </c>
      <c r="I876" s="1" t="str">
        <f>IFERROR(__xludf.DUMMYFUNCTION("""COMPUTED_VALUE"""),"WITH 1 AMSF")</f>
        <v>WITH 1 AMSF</v>
      </c>
      <c r="J876" s="1"/>
      <c r="K876" s="1" t="str">
        <f>IFERROR(__xludf.DUMMYFUNCTION("""COMPUTED_VALUE"""),"COMPLETED")</f>
        <v>COMPLETED</v>
      </c>
      <c r="L876" s="1" t="str">
        <f>IFERROR(__xludf.DUMMYFUNCTION("""COMPUTED_VALUE"""),"POSTED")</f>
        <v>POSTED</v>
      </c>
      <c r="M876" s="1" t="str">
        <f>IFERROR(__xludf.DUMMYFUNCTION("""COMPUTED_VALUE"""),"POSTED")</f>
        <v>POSTED</v>
      </c>
      <c r="N876" s="3">
        <f>IFERROR(__xludf.DUMMYFUNCTION("""COMPUTED_VALUE"""),46301)</f>
        <v>46301</v>
      </c>
      <c r="O876" s="1" t="str">
        <f>IFERROR(__xludf.DUMMYFUNCTION("""COMPUTED_VALUE"""),"FIBER UNLI PLAN 1399")</f>
        <v>FIBER UNLI PLAN 1399</v>
      </c>
      <c r="P876" s="1" t="str">
        <f>IFERROR(__xludf.DUMMYFUNCTION("""COMPUTED_VALUE"""),"LOWPLAN")</f>
        <v>LOWPLAN</v>
      </c>
      <c r="Q876" s="1" t="str">
        <f>IFERROR(__xludf.DUMMYFUNCTION("""COMPUTED_VALUE"""),"P407050")</f>
        <v>P407050</v>
      </c>
      <c r="R876" s="1" t="str">
        <f>IFERROR(__xludf.DUMMYFUNCTION("""COMPUTED_VALUE"""),"ESCARCHA, ALMA")</f>
        <v>ESCARCHA, ALMA</v>
      </c>
      <c r="S876" s="1" t="str">
        <f>IFERROR(__xludf.DUMMYFUNCTION("""COMPUTED_VALUE"""),"ORGANIC")</f>
        <v>ORGANIC</v>
      </c>
      <c r="T876" s="1" t="str">
        <f>IFERROR(__xludf.DUMMYFUNCTION("""COMPUTED_VALUE"""),"LEA REMOLLO")</f>
        <v>LEA REMOLLO</v>
      </c>
      <c r="U876" s="1" t="str">
        <f>IFERROR(__xludf.DUMMYFUNCTION("""COMPUTED_VALUE"""),"JB SALIOA")</f>
        <v>JB SALIOA</v>
      </c>
      <c r="V876" s="1" t="str">
        <f>IFERROR(__xludf.DUMMYFUNCTION("""COMPUTED_VALUE"""),"H2H")</f>
        <v>H2H</v>
      </c>
      <c r="W876" s="1" t="str">
        <f>IFERROR(__xludf.DUMMYFUNCTION("""COMPUTED_VALUE"""),"STK REGULAR")</f>
        <v>STK REGULAR</v>
      </c>
      <c r="X876" s="1" t="str">
        <f>IFERROR(__xludf.DUMMYFUNCTION("""COMPUTED_VALUE"""),"FIBER 1399 98TH YR")</f>
        <v>FIBER 1399 98TH YR</v>
      </c>
      <c r="Y876" s="1" t="str">
        <f>IFERROR(__xludf.DUMMYFUNCTION("""COMPUTED_VALUE"""),"RS_HH_CVEU_2026")</f>
        <v>RS_HH_CVEU_2026</v>
      </c>
      <c r="Z876" s="1" t="str">
        <f>IFERROR(__xludf.DUMMYFUNCTION("""COMPUTED_VALUE"""),"NEW CONNECT")</f>
        <v>NEW CONNECT</v>
      </c>
      <c r="AA876" s="1">
        <f>IFERROR(__xludf.DUMMYFUNCTION("""COMPUTED_VALUE"""),639483595136)</f>
        <v>639483595136</v>
      </c>
      <c r="AB876" s="1">
        <f>IFERROR(__xludf.DUMMYFUNCTION("""COMPUTED_VALUE"""),639560158010)</f>
        <v>639560158010</v>
      </c>
      <c r="AC876" s="1">
        <f>IFERROR(__xludf.DUMMYFUNCTION("""COMPUTED_VALUE"""),354)</f>
        <v>354</v>
      </c>
      <c r="AD876" s="1" t="str">
        <f>IFERROR(__xludf.DUMMYFUNCTION("""COMPUTED_VALUE"""),"SITIO ILANG ILANG")</f>
        <v>SITIO ILANG ILANG</v>
      </c>
      <c r="AE876" s="1"/>
      <c r="AF876" s="1" t="str">
        <f>IFERROR(__xludf.DUMMYFUNCTION("""COMPUTED_VALUE"""),"BGY BATAS")</f>
        <v>BGY BATAS</v>
      </c>
      <c r="AG876" s="1" t="str">
        <f>IFERROR(__xludf.DUMMYFUNCTION("""COMPUTED_VALUE"""),"SILANG")</f>
        <v>SILANG</v>
      </c>
      <c r="AH876" s="1" t="str">
        <f>IFERROR(__xludf.DUMMYFUNCTION("""COMPUTED_VALUE"""),"HEALTH CENTER.")</f>
        <v>HEALTH CENTER.</v>
      </c>
      <c r="AI876" s="1" t="str">
        <f>IFERROR(__xludf.DUMMYFUNCTION("""COMPUTED_VALUE"""),"CLUSTER 11")</f>
        <v>CLUSTER 11</v>
      </c>
    </row>
    <row r="877" customHeight="1" spans="1:35">
      <c r="A877" s="3">
        <f>IFERROR(__xludf.DUMMYFUNCTION("""COMPUTED_VALUE"""),46300)</f>
        <v>46300</v>
      </c>
      <c r="B877" s="1" t="str">
        <f>IFERROR(__xludf.DUMMYFUNCTION("""COMPUTED_VALUE"""),"JAYVIE . BALLE")</f>
        <v>JAYVIE . BALLE</v>
      </c>
      <c r="C877" s="1">
        <f>IFERROR(__xludf.DUMMYFUNCTION("""COMPUTED_VALUE"""),2312979164)</f>
        <v>2312979164</v>
      </c>
      <c r="D877" s="1">
        <f>IFERROR(__xludf.DUMMYFUNCTION("""COMPUTED_VALUE"""),408686733)</f>
        <v>408686733</v>
      </c>
      <c r="E877" s="1">
        <f>IFERROR(__xludf.DUMMYFUNCTION("""COMPUTED_VALUE"""),474320033004)</f>
        <v>474320033004</v>
      </c>
      <c r="F877" s="1" t="str">
        <f>IFERROR(__xludf.DUMMYFUNCTION("""COMPUTED_VALUE"""),"CLOSED")</f>
        <v>CLOSED</v>
      </c>
      <c r="G877" s="1" t="str">
        <f>IFERROR(__xludf.DUMMYFUNCTION("""COMPUTED_VALUE"""),"CLOSED")</f>
        <v>CLOSED</v>
      </c>
      <c r="H877" s="1"/>
      <c r="I877" s="1" t="str">
        <f>IFERROR(__xludf.DUMMYFUNCTION("""COMPUTED_VALUE"""),"NO 1 AMSF")</f>
        <v>NO 1 AMSF</v>
      </c>
      <c r="J877" s="1" t="str">
        <f>IFERROR(__xludf.DUMMYFUNCTION("""COMPUTED_VALUE"""),"DUE DATE - 02-Nov-26 - 1,538.90")</f>
        <v>DUE DATE - 02-Nov-26 - 1,538.90</v>
      </c>
      <c r="K877" s="1" t="str">
        <f>IFERROR(__xludf.DUMMYFUNCTION("""COMPUTED_VALUE"""),"COMPLETED")</f>
        <v>COMPLETED</v>
      </c>
      <c r="L877" s="1" t="str">
        <f>IFERROR(__xludf.DUMMYFUNCTION("""COMPUTED_VALUE"""),"POSTED")</f>
        <v>POSTED</v>
      </c>
      <c r="M877" s="1" t="str">
        <f>IFERROR(__xludf.DUMMYFUNCTION("""COMPUTED_VALUE"""),"POSTED")</f>
        <v>POSTED</v>
      </c>
      <c r="N877" s="3">
        <f>IFERROR(__xludf.DUMMYFUNCTION("""COMPUTED_VALUE"""),46301)</f>
        <v>46301</v>
      </c>
      <c r="O877" s="1" t="str">
        <f>IFERROR(__xludf.DUMMYFUNCTION("""COMPUTED_VALUE"""),"FIBER UNLI PLAN 1399")</f>
        <v>FIBER UNLI PLAN 1399</v>
      </c>
      <c r="P877" s="1" t="str">
        <f>IFERROR(__xludf.DUMMYFUNCTION("""COMPUTED_VALUE"""),"LOWPLAN")</f>
        <v>LOWPLAN</v>
      </c>
      <c r="Q877" s="1" t="str">
        <f>IFERROR(__xludf.DUMMYFUNCTION("""COMPUTED_VALUE"""),"P407049")</f>
        <v>P407049</v>
      </c>
      <c r="R877" s="1" t="str">
        <f>IFERROR(__xludf.DUMMYFUNCTION("""COMPUTED_VALUE"""),"CADERAO, RONALD")</f>
        <v>CADERAO, RONALD</v>
      </c>
      <c r="S877" s="1" t="str">
        <f>IFERROR(__xludf.DUMMYFUNCTION("""COMPUTED_VALUE"""),"ORGANIC")</f>
        <v>ORGANIC</v>
      </c>
      <c r="T877" s="1" t="str">
        <f>IFERROR(__xludf.DUMMYFUNCTION("""COMPUTED_VALUE"""),"LEA REMOLLO")</f>
        <v>LEA REMOLLO</v>
      </c>
      <c r="U877" s="1" t="str">
        <f>IFERROR(__xludf.DUMMYFUNCTION("""COMPUTED_VALUE"""),"JB SALIOA")</f>
        <v>JB SALIOA</v>
      </c>
      <c r="V877" s="1" t="str">
        <f>IFERROR(__xludf.DUMMYFUNCTION("""COMPUTED_VALUE"""),"H2H")</f>
        <v>H2H</v>
      </c>
      <c r="W877" s="1" t="str">
        <f>IFERROR(__xludf.DUMMYFUNCTION("""COMPUTED_VALUE"""),"STK REGULAR")</f>
        <v>STK REGULAR</v>
      </c>
      <c r="X877" s="1" t="str">
        <f>IFERROR(__xludf.DUMMYFUNCTION("""COMPUTED_VALUE"""),"FIBER 1399 98TH YR")</f>
        <v>FIBER 1399 98TH YR</v>
      </c>
      <c r="Y877" s="1" t="str">
        <f>IFERROR(__xludf.DUMMYFUNCTION("""COMPUTED_VALUE"""),"RS_HH_CVEU_2026")</f>
        <v>RS_HH_CVEU_2026</v>
      </c>
      <c r="Z877" s="1" t="str">
        <f>IFERROR(__xludf.DUMMYFUNCTION("""COMPUTED_VALUE"""),"NEW CONNECT")</f>
        <v>NEW CONNECT</v>
      </c>
      <c r="AA877" s="1">
        <f>IFERROR(__xludf.DUMMYFUNCTION("""COMPUTED_VALUE"""),639552430526)</f>
        <v>639552430526</v>
      </c>
      <c r="AB877" s="1">
        <f>IFERROR(__xludf.DUMMYFUNCTION("""COMPUTED_VALUE"""),639951056486)</f>
        <v>639951056486</v>
      </c>
      <c r="AC877" s="1">
        <f>IFERROR(__xludf.DUMMYFUNCTION("""COMPUTED_VALUE"""),19)</f>
        <v>19</v>
      </c>
      <c r="AD877" s="1" t="str">
        <f>IFERROR(__xludf.DUMMYFUNCTION("""COMPUTED_VALUE"""),"ZONE 3")</f>
        <v>ZONE 3</v>
      </c>
      <c r="AE877" s="1" t="str">
        <f>IFERROR(__xludf.DUMMYFUNCTION("""COMPUTED_VALUE"""),"AFP HOUSING")</f>
        <v>AFP HOUSING</v>
      </c>
      <c r="AF877" s="1" t="str">
        <f>IFERROR(__xludf.DUMMYFUNCTION("""COMPUTED_VALUE"""),"BGY BULIHAN")</f>
        <v>BGY BULIHAN</v>
      </c>
      <c r="AG877" s="1" t="str">
        <f>IFERROR(__xludf.DUMMYFUNCTION("""COMPUTED_VALUE"""),"SILANG")</f>
        <v>SILANG</v>
      </c>
      <c r="AH877" s="1" t="str">
        <f>IFERROR(__xludf.DUMMYFUNCTION("""COMPUTED_VALUE"""),"INFRONT OF PRINEWATER")</f>
        <v>INFRONT OF PRINEWATER</v>
      </c>
      <c r="AI877" s="1" t="str">
        <f>IFERROR(__xludf.DUMMYFUNCTION("""COMPUTED_VALUE"""),"CLUSTER 11")</f>
        <v>CLUSTER 11</v>
      </c>
    </row>
    <row r="878" customHeight="1" spans="1:35">
      <c r="A878" s="3">
        <f>IFERROR(__xludf.DUMMYFUNCTION("""COMPUTED_VALUE"""),46300)</f>
        <v>46300</v>
      </c>
      <c r="B878" s="1" t="str">
        <f>IFERROR(__xludf.DUMMYFUNCTION("""COMPUTED_VALUE"""),"JIMMY ALTICHE MADARASO")</f>
        <v>JIMMY ALTICHE MADARASO</v>
      </c>
      <c r="C878" s="1">
        <f>IFERROR(__xludf.DUMMYFUNCTION("""COMPUTED_VALUE"""),2312979508)</f>
        <v>2312979508</v>
      </c>
      <c r="D878" s="1"/>
      <c r="E878" s="1"/>
      <c r="F878" s="1" t="str">
        <f>IFERROR(__xludf.DUMMYFUNCTION("""COMPUTED_VALUE"""),"CANCELLED")</f>
        <v>CANCELLED</v>
      </c>
      <c r="G878" s="1" t="str">
        <f>IFERROR(__xludf.DUMMYFUNCTION("""COMPUTED_VALUE"""),"CANCELLED")</f>
        <v>CANCELLED</v>
      </c>
      <c r="H878" s="1"/>
      <c r="I878" s="1"/>
      <c r="J878" s="1"/>
      <c r="K878" s="1"/>
      <c r="L878" s="1" t="str">
        <f>IFERROR(__xludf.DUMMYFUNCTION("""COMPUTED_VALUE"""),"CANCELLED")</f>
        <v>CANCELLED</v>
      </c>
      <c r="M878" s="1" t="str">
        <f>IFERROR(__xludf.DUMMYFUNCTION("""COMPUTED_VALUE"""),"CANCELLED - WITH OB")</f>
        <v>CANCELLED - WITH OB</v>
      </c>
      <c r="N878" s="3"/>
      <c r="O878" s="1" t="str">
        <f>IFERROR(__xludf.DUMMYFUNCTION("""COMPUTED_VALUE"""),"FIBR PLAN 1299")</f>
        <v>FIBR PLAN 1299</v>
      </c>
      <c r="P878" s="1" t="str">
        <f>IFERROR(__xludf.DUMMYFUNCTION("""COMPUTED_VALUE"""),"LOWPLAN")</f>
        <v>LOWPLAN</v>
      </c>
      <c r="Q878" s="1" t="str">
        <f>IFERROR(__xludf.DUMMYFUNCTION("""COMPUTED_VALUE"""),"P407047 ")</f>
        <v>P407047 </v>
      </c>
      <c r="R878" s="1" t="str">
        <f>IFERROR(__xludf.DUMMYFUNCTION("""COMPUTED_VALUE"""),"FRANCISCO, ROSELYN")</f>
        <v>FRANCISCO, ROSELYN</v>
      </c>
      <c r="S878" s="1" t="str">
        <f>IFERROR(__xludf.DUMMYFUNCTION("""COMPUTED_VALUE"""),"ORGANIC")</f>
        <v>ORGANIC</v>
      </c>
      <c r="T878" s="1" t="str">
        <f>IFERROR(__xludf.DUMMYFUNCTION("""COMPUTED_VALUE"""),"LEA REMOLLO")</f>
        <v>LEA REMOLLO</v>
      </c>
      <c r="U878" s="1" t="str">
        <f>IFERROR(__xludf.DUMMYFUNCTION("""COMPUTED_VALUE"""),"JULIE ESPIRITU")</f>
        <v>JULIE ESPIRITU</v>
      </c>
      <c r="V878" s="1" t="str">
        <f>IFERROR(__xludf.DUMMYFUNCTION("""COMPUTED_VALUE"""),"H2H")</f>
        <v>H2H</v>
      </c>
      <c r="W878" s="1" t="str">
        <f>IFERROR(__xludf.DUMMYFUNCTION("""COMPUTED_VALUE"""),"STK REGULAR")</f>
        <v>STK REGULAR</v>
      </c>
      <c r="X878" s="1" t="str">
        <f>IFERROR(__xludf.DUMMYFUNCTION("""COMPUTED_VALUE"""),"REGULAR")</f>
        <v>REGULAR</v>
      </c>
      <c r="Y878" s="1" t="str">
        <f>IFERROR(__xludf.DUMMYFUNCTION("""COMPUTED_VALUE"""),"RS_HH_CVEU_2026")</f>
        <v>RS_HH_CVEU_2026</v>
      </c>
      <c r="Z878" s="1" t="str">
        <f>IFERROR(__xludf.DUMMYFUNCTION("""COMPUTED_VALUE"""),"NEW CONNECT")</f>
        <v>NEW CONNECT</v>
      </c>
      <c r="AA878" s="1">
        <f>IFERROR(__xludf.DUMMYFUNCTION("""COMPUTED_VALUE"""),639310344135)</f>
        <v>639310344135</v>
      </c>
      <c r="AB878" s="1"/>
      <c r="AC878" s="1"/>
      <c r="AD878" s="1" t="str">
        <f>IFERROR(__xludf.DUMMYFUNCTION("""COMPUTED_VALUE"""),"PHASE 6")</f>
        <v>PHASE 6</v>
      </c>
      <c r="AE878" s="1"/>
      <c r="AF878" s="1" t="str">
        <f>IFERROR(__xludf.DUMMYFUNCTION("""COMPUTED_VALUE"""),"BGY BANABA")</f>
        <v>BGY BANABA</v>
      </c>
      <c r="AG878" s="1" t="str">
        <f>IFERROR(__xludf.DUMMYFUNCTION("""COMPUTED_VALUE"""),"SILANG")</f>
        <v>SILANG</v>
      </c>
      <c r="AH878" s="1" t="str">
        <f>IFERROR(__xludf.DUMMYFUNCTION("""COMPUTED_VALUE"""),"PLAZA 38")</f>
        <v>PLAZA 38</v>
      </c>
      <c r="AI878" s="1" t="str">
        <f>IFERROR(__xludf.DUMMYFUNCTION("""COMPUTED_VALUE"""),"CLUSTER 11")</f>
        <v>CLUSTER 11</v>
      </c>
    </row>
    <row r="879" customHeight="1" spans="1:35">
      <c r="A879" s="3">
        <f>IFERROR(__xludf.DUMMYFUNCTION("""COMPUTED_VALUE"""),46300)</f>
        <v>46300</v>
      </c>
      <c r="B879" s="1" t="str">
        <f>IFERROR(__xludf.DUMMYFUNCTION("""COMPUTED_VALUE"""),"LILIBETH VARGAS FETIZANAN")</f>
        <v>LILIBETH VARGAS FETIZANAN</v>
      </c>
      <c r="C879" s="1">
        <f>IFERROR(__xludf.DUMMYFUNCTION("""COMPUTED_VALUE"""),2312979485)</f>
        <v>2312979485</v>
      </c>
      <c r="D879" s="1"/>
      <c r="E879" s="1"/>
      <c r="F879" s="1" t="str">
        <f>IFERROR(__xludf.DUMMYFUNCTION("""COMPUTED_VALUE"""),"CANCELLED")</f>
        <v>CANCELLED</v>
      </c>
      <c r="G879" s="1" t="str">
        <f>IFERROR(__xludf.DUMMYFUNCTION("""COMPUTED_VALUE"""),"CANCELLED")</f>
        <v>CANCELLED</v>
      </c>
      <c r="H879" s="1"/>
      <c r="I879" s="1"/>
      <c r="J879" s="1"/>
      <c r="K879" s="1"/>
      <c r="L879" s="1" t="str">
        <f>IFERROR(__xludf.DUMMYFUNCTION("""COMPUTED_VALUE"""),"CANCELLED")</f>
        <v>CANCELLED</v>
      </c>
      <c r="M879" s="1" t="str">
        <f>IFERROR(__xludf.DUMMYFUNCTION("""COMPUTED_VALUE"""),"CANCELLED - WITH OB")</f>
        <v>CANCELLED - WITH OB</v>
      </c>
      <c r="N879" s="3"/>
      <c r="O879" s="1" t="str">
        <f>IFERROR(__xludf.DUMMYFUNCTION("""COMPUTED_VALUE"""),"FIBR PLAN 1299")</f>
        <v>FIBR PLAN 1299</v>
      </c>
      <c r="P879" s="1" t="str">
        <f>IFERROR(__xludf.DUMMYFUNCTION("""COMPUTED_VALUE"""),"LOWPLAN")</f>
        <v>LOWPLAN</v>
      </c>
      <c r="Q879" s="1" t="str">
        <f>IFERROR(__xludf.DUMMYFUNCTION("""COMPUTED_VALUE"""),"P407566")</f>
        <v>P407566</v>
      </c>
      <c r="R879" s="1" t="str">
        <f>IFERROR(__xludf.DUMMYFUNCTION("""COMPUTED_VALUE"""),"DENACO, RODNEY")</f>
        <v>DENACO, RODNEY</v>
      </c>
      <c r="S879" s="1" t="str">
        <f>IFERROR(__xludf.DUMMYFUNCTION("""COMPUTED_VALUE"""),"ORGANIC")</f>
        <v>ORGANIC</v>
      </c>
      <c r="T879" s="1" t="str">
        <f>IFERROR(__xludf.DUMMYFUNCTION("""COMPUTED_VALUE"""),"LEA REMOLLO")</f>
        <v>LEA REMOLLO</v>
      </c>
      <c r="U879" s="1" t="str">
        <f>IFERROR(__xludf.DUMMYFUNCTION("""COMPUTED_VALUE"""),"JB SALIOA")</f>
        <v>JB SALIOA</v>
      </c>
      <c r="V879" s="1" t="str">
        <f>IFERROR(__xludf.DUMMYFUNCTION("""COMPUTED_VALUE"""),"H2H")</f>
        <v>H2H</v>
      </c>
      <c r="W879" s="1" t="str">
        <f>IFERROR(__xludf.DUMMYFUNCTION("""COMPUTED_VALUE"""),"STK REGULAR")</f>
        <v>STK REGULAR</v>
      </c>
      <c r="X879" s="1" t="str">
        <f>IFERROR(__xludf.DUMMYFUNCTION("""COMPUTED_VALUE"""),"REGULAR")</f>
        <v>REGULAR</v>
      </c>
      <c r="Y879" s="1" t="str">
        <f>IFERROR(__xludf.DUMMYFUNCTION("""COMPUTED_VALUE"""),"RS_HH_CVEU_2026")</f>
        <v>RS_HH_CVEU_2026</v>
      </c>
      <c r="Z879" s="1" t="str">
        <f>IFERROR(__xludf.DUMMYFUNCTION("""COMPUTED_VALUE"""),"NEW CONNECT")</f>
        <v>NEW CONNECT</v>
      </c>
      <c r="AA879" s="1"/>
      <c r="AB879" s="1"/>
      <c r="AC879" s="1"/>
      <c r="AD879" s="1" t="str">
        <f>IFERROR(__xludf.DUMMYFUNCTION("""COMPUTED_VALUE"""),"AREA E")</f>
        <v>AREA E</v>
      </c>
      <c r="AE879" s="1"/>
      <c r="AF879" s="1" t="str">
        <f>IFERROR(__xludf.DUMMYFUNCTION("""COMPUTED_VALUE"""),"BGY COL J P ELISES")</f>
        <v>BGY COL J P ELISES</v>
      </c>
      <c r="AG879" s="1" t="str">
        <f>IFERROR(__xludf.DUMMYFUNCTION("""COMPUTED_VALUE"""),"GEN MARIANO ALVAREZ")</f>
        <v>GEN MARIANO ALVAREZ</v>
      </c>
      <c r="AH879" s="1" t="str">
        <f>IFERROR(__xludf.DUMMYFUNCTION("""COMPUTED_VALUE"""),"AREA E")</f>
        <v>AREA E</v>
      </c>
      <c r="AI879" s="1" t="str">
        <f>IFERROR(__xludf.DUMMYFUNCTION("""COMPUTED_VALUE"""),"CLUSTER 11")</f>
        <v>CLUSTER 11</v>
      </c>
    </row>
    <row r="880" customHeight="1" spans="1:35">
      <c r="A880" s="3">
        <f>IFERROR(__xludf.DUMMYFUNCTION("""COMPUTED_VALUE"""),46300)</f>
        <v>46300</v>
      </c>
      <c r="B880" s="1" t="str">
        <f>IFERROR(__xludf.DUMMYFUNCTION("""COMPUTED_VALUE""")," ERWIN DELA TORRE MEDIODIA")</f>
        <v> ERWIN DELA TORRE MEDIODIA</v>
      </c>
      <c r="C880" s="1">
        <f>IFERROR(__xludf.DUMMYFUNCTION("""COMPUTED_VALUE"""),2312979631)</f>
        <v>2312979631</v>
      </c>
      <c r="D880" s="1"/>
      <c r="E880" s="1"/>
      <c r="F880" s="1" t="str">
        <f>IFERROR(__xludf.DUMMYFUNCTION("""COMPUTED_VALUE"""),"CANCELLED")</f>
        <v>CANCELLED</v>
      </c>
      <c r="G880" s="1" t="str">
        <f>IFERROR(__xludf.DUMMYFUNCTION("""COMPUTED_VALUE"""),"CANCELLED")</f>
        <v>CANCELLED</v>
      </c>
      <c r="H880" s="1"/>
      <c r="I880" s="1"/>
      <c r="J880" s="1"/>
      <c r="K880" s="1"/>
      <c r="L880" s="1" t="str">
        <f>IFERROR(__xludf.DUMMYFUNCTION("""COMPUTED_VALUE"""),"CANCELLED")</f>
        <v>CANCELLED</v>
      </c>
      <c r="M880" s="1" t="str">
        <f>IFERROR(__xludf.DUMMYFUNCTION("""COMPUTED_VALUE"""),"CANCELLED - WITH OB")</f>
        <v>CANCELLED - WITH OB</v>
      </c>
      <c r="N880" s="3"/>
      <c r="O880" s="1" t="str">
        <f>IFERROR(__xludf.DUMMYFUNCTION("""COMPUTED_VALUE"""),"FIBR PLAN 1299")</f>
        <v>FIBR PLAN 1299</v>
      </c>
      <c r="P880" s="1" t="str">
        <f>IFERROR(__xludf.DUMMYFUNCTION("""COMPUTED_VALUE"""),"LOWPLAN")</f>
        <v>LOWPLAN</v>
      </c>
      <c r="Q880" s="1" t="str">
        <f>IFERROR(__xludf.DUMMYFUNCTION("""COMPUTED_VALUE"""),"P407561 ")</f>
        <v>P407561 </v>
      </c>
      <c r="R880" s="1" t="str">
        <f>IFERROR(__xludf.DUMMYFUNCTION("""COMPUTED_VALUE"""),"TAMAYO, MARY ROSE ZAIRA")</f>
        <v>TAMAYO, MARY ROSE ZAIRA</v>
      </c>
      <c r="S880" s="1" t="str">
        <f>IFERROR(__xludf.DUMMYFUNCTION("""COMPUTED_VALUE"""),"ORGANIC")</f>
        <v>ORGANIC</v>
      </c>
      <c r="T880" s="1" t="str">
        <f>IFERROR(__xludf.DUMMYFUNCTION("""COMPUTED_VALUE"""),"LEA REMOLLO")</f>
        <v>LEA REMOLLO</v>
      </c>
      <c r="U880" s="1" t="str">
        <f>IFERROR(__xludf.DUMMYFUNCTION("""COMPUTED_VALUE"""),"JULIE ESPIRITU")</f>
        <v>JULIE ESPIRITU</v>
      </c>
      <c r="V880" s="1" t="str">
        <f>IFERROR(__xludf.DUMMYFUNCTION("""COMPUTED_VALUE"""),"H2H")</f>
        <v>H2H</v>
      </c>
      <c r="W880" s="1" t="str">
        <f>IFERROR(__xludf.DUMMYFUNCTION("""COMPUTED_VALUE"""),"STK REGULAR")</f>
        <v>STK REGULAR</v>
      </c>
      <c r="X880" s="1" t="str">
        <f>IFERROR(__xludf.DUMMYFUNCTION("""COMPUTED_VALUE"""),"REGULAR")</f>
        <v>REGULAR</v>
      </c>
      <c r="Y880" s="1" t="str">
        <f>IFERROR(__xludf.DUMMYFUNCTION("""COMPUTED_VALUE"""),"RS_HH_CVEU_2026")</f>
        <v>RS_HH_CVEU_2026</v>
      </c>
      <c r="Z880" s="1" t="str">
        <f>IFERROR(__xludf.DUMMYFUNCTION("""COMPUTED_VALUE"""),"NEW CONNECT")</f>
        <v>NEW CONNECT</v>
      </c>
      <c r="AA880" s="1">
        <f>IFERROR(__xludf.DUMMYFUNCTION("""COMPUTED_VALUE"""),639051444566)</f>
        <v>639051444566</v>
      </c>
      <c r="AB880" s="1"/>
      <c r="AC880" s="1"/>
      <c r="AD880" s="1" t="str">
        <f>IFERROR(__xludf.DUMMYFUNCTION("""COMPUTED_VALUE"""),"ZONE 1")</f>
        <v>ZONE 1</v>
      </c>
      <c r="AE880" s="1"/>
      <c r="AF880" s="1" t="str">
        <f>IFERROR(__xludf.DUMMYFUNCTION("""COMPUTED_VALUE"""),"BGY BULIHAN")</f>
        <v>BGY BULIHAN</v>
      </c>
      <c r="AG880" s="1" t="str">
        <f>IFERROR(__xludf.DUMMYFUNCTION("""COMPUTED_VALUE"""),"SILANG")</f>
        <v>SILANG</v>
      </c>
      <c r="AH880" s="1" t="str">
        <f>IFERROR(__xludf.DUMMYFUNCTION("""COMPUTED_VALUE"""),"COURT ZONE 1")</f>
        <v>COURT ZONE 1</v>
      </c>
      <c r="AI880" s="1" t="str">
        <f>IFERROR(__xludf.DUMMYFUNCTION("""COMPUTED_VALUE"""),"CLUSTER 11")</f>
        <v>CLUSTER 11</v>
      </c>
    </row>
    <row r="881" customHeight="1" spans="1:35">
      <c r="A881" s="3">
        <f>IFERROR(__xludf.DUMMYFUNCTION("""COMPUTED_VALUE"""),46300)</f>
        <v>46300</v>
      </c>
      <c r="B881" s="1" t="str">
        <f>IFERROR(__xludf.DUMMYFUNCTION("""COMPUTED_VALUE"""),"ARCHIE QUIOGUE REYES")</f>
        <v>ARCHIE QUIOGUE REYES</v>
      </c>
      <c r="C881" s="1">
        <f>IFERROR(__xludf.DUMMYFUNCTION("""COMPUTED_VALUE"""),2312980089)</f>
        <v>2312980089</v>
      </c>
      <c r="D881" s="1">
        <f>IFERROR(__xludf.DUMMYFUNCTION("""COMPUTED_VALUE"""),408697247)</f>
        <v>408697247</v>
      </c>
      <c r="E881" s="1">
        <f>IFERROR(__xludf.DUMMYFUNCTION("""COMPUTED_VALUE"""),474346486004)</f>
        <v>474346486004</v>
      </c>
      <c r="F881" s="1" t="str">
        <f>IFERROR(__xludf.DUMMYFUNCTION("""COMPUTED_VALUE"""),"CLOSED")</f>
        <v>CLOSED</v>
      </c>
      <c r="G881" s="1" t="str">
        <f>IFERROR(__xludf.DUMMYFUNCTION("""COMPUTED_VALUE"""),"CLOSED")</f>
        <v>CLOSED</v>
      </c>
      <c r="H881" s="1"/>
      <c r="I881" s="1" t="str">
        <f>IFERROR(__xludf.DUMMYFUNCTION("""COMPUTED_VALUE"""),"NO 1 AMSF")</f>
        <v>NO 1 AMSF</v>
      </c>
      <c r="J881" s="1" t="str">
        <f>IFERROR(__xludf.DUMMYFUNCTION("""COMPUTED_VALUE"""),"DUE DATE - 02-Nov-26 - 1,445.64")</f>
        <v>DUE DATE - 02-Nov-26 - 1,445.64</v>
      </c>
      <c r="K881" s="1" t="str">
        <f>IFERROR(__xludf.DUMMYFUNCTION("""COMPUTED_VALUE"""),"COMPLETED")</f>
        <v>COMPLETED</v>
      </c>
      <c r="L881" s="1" t="str">
        <f>IFERROR(__xludf.DUMMYFUNCTION("""COMPUTED_VALUE"""),"POSTED")</f>
        <v>POSTED</v>
      </c>
      <c r="M881" s="1" t="str">
        <f>IFERROR(__xludf.DUMMYFUNCTION("""COMPUTED_VALUE"""),"POSTED")</f>
        <v>POSTED</v>
      </c>
      <c r="N881" s="3">
        <f>IFERROR(__xludf.DUMMYFUNCTION("""COMPUTED_VALUE"""),46303)</f>
        <v>46303</v>
      </c>
      <c r="O881" s="1" t="str">
        <f>IFERROR(__xludf.DUMMYFUNCTION("""COMPUTED_VALUE"""),"FIBER UNLI PLAN 1399")</f>
        <v>FIBER UNLI PLAN 1399</v>
      </c>
      <c r="P881" s="1" t="str">
        <f>IFERROR(__xludf.DUMMYFUNCTION("""COMPUTED_VALUE"""),"LOWPLAN")</f>
        <v>LOWPLAN</v>
      </c>
      <c r="Q881" s="1" t="str">
        <f>IFERROR(__xludf.DUMMYFUNCTION("""COMPUTED_VALUE"""),"P407561")</f>
        <v>P407561</v>
      </c>
      <c r="R881" s="1" t="str">
        <f>IFERROR(__xludf.DUMMYFUNCTION("""COMPUTED_VALUE"""),"TAMAYO, MARY ROSE ZAIRA")</f>
        <v>TAMAYO, MARY ROSE ZAIRA</v>
      </c>
      <c r="S881" s="1" t="str">
        <f>IFERROR(__xludf.DUMMYFUNCTION("""COMPUTED_VALUE"""),"ORGANIC")</f>
        <v>ORGANIC</v>
      </c>
      <c r="T881" s="1" t="str">
        <f>IFERROR(__xludf.DUMMYFUNCTION("""COMPUTED_VALUE"""),"LEA REMOLLO")</f>
        <v>LEA REMOLLO</v>
      </c>
      <c r="U881" s="1" t="str">
        <f>IFERROR(__xludf.DUMMYFUNCTION("""COMPUTED_VALUE"""),"JB SALIOA")</f>
        <v>JB SALIOA</v>
      </c>
      <c r="V881" s="1" t="str">
        <f>IFERROR(__xludf.DUMMYFUNCTION("""COMPUTED_VALUE"""),"H2H")</f>
        <v>H2H</v>
      </c>
      <c r="W881" s="1" t="str">
        <f>IFERROR(__xludf.DUMMYFUNCTION("""COMPUTED_VALUE"""),"STK REGULAR")</f>
        <v>STK REGULAR</v>
      </c>
      <c r="X881" s="1" t="str">
        <f>IFERROR(__xludf.DUMMYFUNCTION("""COMPUTED_VALUE"""),"FIBER 1399 98TH YR")</f>
        <v>FIBER 1399 98TH YR</v>
      </c>
      <c r="Y881" s="1" t="str">
        <f>IFERROR(__xludf.DUMMYFUNCTION("""COMPUTED_VALUE"""),"RS_HH_CVEU_2026")</f>
        <v>RS_HH_CVEU_2026</v>
      </c>
      <c r="Z881" s="1" t="str">
        <f>IFERROR(__xludf.DUMMYFUNCTION("""COMPUTED_VALUE"""),"NEW CONNECT")</f>
        <v>NEW CONNECT</v>
      </c>
      <c r="AA881" s="1">
        <f>IFERROR(__xludf.DUMMYFUNCTION("""COMPUTED_VALUE"""),639195850125)</f>
        <v>639195850125</v>
      </c>
      <c r="AB881" s="1"/>
      <c r="AC881" s="1"/>
      <c r="AD881" s="1" t="str">
        <f>IFERROR(__xludf.DUMMYFUNCTION("""COMPUTED_VALUE"""),"KINARRI")</f>
        <v>KINARRI</v>
      </c>
      <c r="AE881" s="1" t="str">
        <f>IFERROR(__xludf.DUMMYFUNCTION("""COMPUTED_VALUE"""),"CARMONA ESTATES PHASE 2")</f>
        <v>CARMONA ESTATES PHASE 2</v>
      </c>
      <c r="AF881" s="1" t="str">
        <f>IFERROR(__xludf.DUMMYFUNCTION("""COMPUTED_VALUE"""),"BGY LANTIC")</f>
        <v>BGY LANTIC</v>
      </c>
      <c r="AG881" s="1" t="str">
        <f>IFERROR(__xludf.DUMMYFUNCTION("""COMPUTED_VALUE"""),"CARMONA")</f>
        <v>CARMONA</v>
      </c>
      <c r="AH881" s="1" t="str">
        <f>IFERROR(__xludf.DUMMYFUNCTION("""COMPUTED_VALUE"""),"COSTA RICA ST")</f>
        <v>COSTA RICA ST</v>
      </c>
      <c r="AI881" s="1" t="str">
        <f>IFERROR(__xludf.DUMMYFUNCTION("""COMPUTED_VALUE"""),"CLUSTER 11")</f>
        <v>CLUSTER 11</v>
      </c>
    </row>
    <row r="882" customHeight="1" spans="1:35">
      <c r="A882" s="3">
        <f>IFERROR(__xludf.DUMMYFUNCTION("""COMPUTED_VALUE"""),46300)</f>
        <v>46300</v>
      </c>
      <c r="B882" s="1" t="str">
        <f>IFERROR(__xludf.DUMMYFUNCTION("""COMPUTED_VALUE"""),"EDNALENE VILLANIA MEDINA")</f>
        <v>EDNALENE VILLANIA MEDINA</v>
      </c>
      <c r="C882" s="1">
        <f>IFERROR(__xludf.DUMMYFUNCTION("""COMPUTED_VALUE"""),2312980061)</f>
        <v>2312980061</v>
      </c>
      <c r="D882" s="1"/>
      <c r="E882" s="1"/>
      <c r="F882" s="1" t="str">
        <f>IFERROR(__xludf.DUMMYFUNCTION("""COMPUTED_VALUE"""),"CANCELLED")</f>
        <v>CANCELLED</v>
      </c>
      <c r="G882" s="1" t="str">
        <f>IFERROR(__xludf.DUMMYFUNCTION("""COMPUTED_VALUE"""),"CANCELLED")</f>
        <v>CANCELLED</v>
      </c>
      <c r="H882" s="1"/>
      <c r="I882" s="1"/>
      <c r="J882" s="1"/>
      <c r="K882" s="1"/>
      <c r="L882" s="1" t="str">
        <f>IFERROR(__xludf.DUMMYFUNCTION("""COMPUTED_VALUE"""),"CANCELLED")</f>
        <v>CANCELLED</v>
      </c>
      <c r="M882" s="1" t="str">
        <f>IFERROR(__xludf.DUMMYFUNCTION("""COMPUTED_VALUE"""),"CANCELLED - WITH OB")</f>
        <v>CANCELLED - WITH OB</v>
      </c>
      <c r="N882" s="3"/>
      <c r="O882" s="1" t="str">
        <f>IFERROR(__xludf.DUMMYFUNCTION("""COMPUTED_VALUE"""),"FIBR PLAN 1299")</f>
        <v>FIBR PLAN 1299</v>
      </c>
      <c r="P882" s="1" t="str">
        <f>IFERROR(__xludf.DUMMYFUNCTION("""COMPUTED_VALUE"""),"LOWPLAN")</f>
        <v>LOWPLAN</v>
      </c>
      <c r="Q882" s="1" t="str">
        <f>IFERROR(__xludf.DUMMYFUNCTION("""COMPUTED_VALUE"""),"P407050")</f>
        <v>P407050</v>
      </c>
      <c r="R882" s="1" t="str">
        <f>IFERROR(__xludf.DUMMYFUNCTION("""COMPUTED_VALUE"""),"ESCARCHA, ALMA")</f>
        <v>ESCARCHA, ALMA</v>
      </c>
      <c r="S882" s="1" t="str">
        <f>IFERROR(__xludf.DUMMYFUNCTION("""COMPUTED_VALUE"""),"ORGANIC")</f>
        <v>ORGANIC</v>
      </c>
      <c r="T882" s="1" t="str">
        <f>IFERROR(__xludf.DUMMYFUNCTION("""COMPUTED_VALUE"""),"LEA REMOLLO")</f>
        <v>LEA REMOLLO</v>
      </c>
      <c r="U882" s="1" t="str">
        <f>IFERROR(__xludf.DUMMYFUNCTION("""COMPUTED_VALUE"""),"JB SALIOA")</f>
        <v>JB SALIOA</v>
      </c>
      <c r="V882" s="1" t="str">
        <f>IFERROR(__xludf.DUMMYFUNCTION("""COMPUTED_VALUE"""),"H2H")</f>
        <v>H2H</v>
      </c>
      <c r="W882" s="1" t="str">
        <f>IFERROR(__xludf.DUMMYFUNCTION("""COMPUTED_VALUE"""),"STK REGULAR")</f>
        <v>STK REGULAR</v>
      </c>
      <c r="X882" s="1" t="str">
        <f>IFERROR(__xludf.DUMMYFUNCTION("""COMPUTED_VALUE"""),"REGULAR")</f>
        <v>REGULAR</v>
      </c>
      <c r="Y882" s="1" t="str">
        <f>IFERROR(__xludf.DUMMYFUNCTION("""COMPUTED_VALUE"""),"RS_HH_CVEU_2026")</f>
        <v>RS_HH_CVEU_2026</v>
      </c>
      <c r="Z882" s="1" t="str">
        <f>IFERROR(__xludf.DUMMYFUNCTION("""COMPUTED_VALUE"""),"NEW CONNECT")</f>
        <v>NEW CONNECT</v>
      </c>
      <c r="AA882" s="1">
        <f>IFERROR(__xludf.DUMMYFUNCTION("""COMPUTED_VALUE"""),639630754168)</f>
        <v>639630754168</v>
      </c>
      <c r="AB882" s="1">
        <f>IFERROR(__xludf.DUMMYFUNCTION("""COMPUTED_VALUE"""),639562872343)</f>
        <v>639562872343</v>
      </c>
      <c r="AC882" s="1"/>
      <c r="AD882" s="1" t="str">
        <f>IFERROR(__xludf.DUMMYFUNCTION("""COMPUTED_VALUE"""),"CASA DE MONTEVERDE")</f>
        <v>CASA DE MONTEVERDE</v>
      </c>
      <c r="AE882" s="1" t="str">
        <f>IFERROR(__xludf.DUMMYFUNCTION("""COMPUTED_VALUE"""),"CASA DE MONTEVERDE")</f>
        <v>CASA DE MONTEVERDE</v>
      </c>
      <c r="AF882" s="1" t="str">
        <f>IFERROR(__xludf.DUMMYFUNCTION("""COMPUTED_VALUE"""),"BGY F DE CASTRO")</f>
        <v>BGY F DE CASTRO</v>
      </c>
      <c r="AG882" s="1" t="str">
        <f>IFERROR(__xludf.DUMMYFUNCTION("""COMPUTED_VALUE"""),"GEN MARIANO ALVAREZ")</f>
        <v>GEN MARIANO ALVAREZ</v>
      </c>
      <c r="AH882" s="1" t="str">
        <f>IFERROR(__xludf.DUMMYFUNCTION("""COMPUTED_VALUE"""),"IGLESIA NI CRISTO")</f>
        <v>IGLESIA NI CRISTO</v>
      </c>
      <c r="AI882" s="1" t="str">
        <f>IFERROR(__xludf.DUMMYFUNCTION("""COMPUTED_VALUE"""),"CLUSTER 11")</f>
        <v>CLUSTER 11</v>
      </c>
    </row>
    <row r="883" customHeight="1" spans="1:35">
      <c r="A883" s="3">
        <f>IFERROR(__xludf.DUMMYFUNCTION("""COMPUTED_VALUE"""),46301)</f>
        <v>46301</v>
      </c>
      <c r="B883" s="1" t="str">
        <f>IFERROR(__xludf.DUMMYFUNCTION("""COMPUTED_VALUE"""),"MARY JANE . AMISTAD")</f>
        <v>MARY JANE . AMISTAD</v>
      </c>
      <c r="C883" s="1">
        <f>IFERROR(__xludf.DUMMYFUNCTION("""COMPUTED_VALUE"""),2312992511)</f>
        <v>2312992511</v>
      </c>
      <c r="D883" s="1"/>
      <c r="E883" s="1"/>
      <c r="F883" s="1" t="str">
        <f>IFERROR(__xludf.DUMMYFUNCTION("""COMPUTED_VALUE"""),"REENCODED")</f>
        <v>REENCODED</v>
      </c>
      <c r="G883" s="1" t="str">
        <f>IFERROR(__xludf.DUMMYFUNCTION("""COMPUTED_VALUE"""),"CANNOT TAG DECISION |CANNOT CHANGE PAY MENT REQUIED| APPROVED | VALIDATED COMPLETE DOCS | DONE VALIDATION | CORRECT ENCODED INFO IN CSP | TU SCORING - FF - 1 (NTC)|NOT QUALIFIED FOR NO AMSF | 1 AMSF REQUIRED | CLEARED FROM BLACKLISTED HIT | NO EXISTING AC"&amp;"TIVE ACCT AND/OR PENDING/CANCELLED APPLICATION|")</f>
        <v>CANNOT TAG DECISION |CANNOT CHANGE PAY MENT REQUIED| APPROVED | VALIDATED COMPLETE DOCS | DONE VALIDATION | CORRECT ENCODED INFO IN CSP | TU SCORING - FF - 1 (NTC)|NOT QUALIFIED FOR NO AMSF | 1 AMSF REQUIRED | CLEARED FROM BLACKLISTED HIT | NO EXISTING ACTIVE ACCT AND/OR PENDING/CANCELLED APPLICATION|</v>
      </c>
      <c r="H883" s="1"/>
      <c r="I883" s="1"/>
      <c r="J883" s="1"/>
      <c r="K883" s="1"/>
      <c r="L883" s="1" t="str">
        <f>IFERROR(__xludf.DUMMYFUNCTION("""COMPUTED_VALUE"""),"REENCODED")</f>
        <v>REENCODED</v>
      </c>
      <c r="M883" s="1" t="str">
        <f>IFERROR(__xludf.DUMMYFUNCTION("""COMPUTED_VALUE"""),"REENCODED")</f>
        <v>REENCODED</v>
      </c>
      <c r="N883" s="3"/>
      <c r="O883" s="1" t="str">
        <f>IFERROR(__xludf.DUMMYFUNCTION("""COMPUTED_VALUE"""),"FIBER UNLI PLAN 1399")</f>
        <v>FIBER UNLI PLAN 1399</v>
      </c>
      <c r="P883" s="1" t="str">
        <f>IFERROR(__xludf.DUMMYFUNCTION("""COMPUTED_VALUE"""),"LOWPLAN")</f>
        <v>LOWPLAN</v>
      </c>
      <c r="Q883" s="1" t="str">
        <f>IFERROR(__xludf.DUMMYFUNCTION("""COMPUTED_VALUE"""),"P407047")</f>
        <v>P407047</v>
      </c>
      <c r="R883" s="1" t="str">
        <f>IFERROR(__xludf.DUMMYFUNCTION("""COMPUTED_VALUE"""),"FRANCISCO, ROSELYN")</f>
        <v>FRANCISCO, ROSELYN</v>
      </c>
      <c r="S883" s="1" t="str">
        <f>IFERROR(__xludf.DUMMYFUNCTION("""COMPUTED_VALUE"""),"ORGANIC")</f>
        <v>ORGANIC</v>
      </c>
      <c r="T883" s="1" t="str">
        <f>IFERROR(__xludf.DUMMYFUNCTION("""COMPUTED_VALUE"""),"LEA REMOLLO")</f>
        <v>LEA REMOLLO</v>
      </c>
      <c r="U883" s="1" t="str">
        <f>IFERROR(__xludf.DUMMYFUNCTION("""COMPUTED_VALUE"""),"JB SALIOA")</f>
        <v>JB SALIOA</v>
      </c>
      <c r="V883" s="1" t="str">
        <f>IFERROR(__xludf.DUMMYFUNCTION("""COMPUTED_VALUE"""),"H2H")</f>
        <v>H2H</v>
      </c>
      <c r="W883" s="1" t="str">
        <f>IFERROR(__xludf.DUMMYFUNCTION("""COMPUTED_VALUE"""),"STK REGULAR")</f>
        <v>STK REGULAR</v>
      </c>
      <c r="X883" s="1" t="str">
        <f>IFERROR(__xludf.DUMMYFUNCTION("""COMPUTED_VALUE"""),"FIBER 1399 98TH YR")</f>
        <v>FIBER 1399 98TH YR</v>
      </c>
      <c r="Y883" s="1" t="str">
        <f>IFERROR(__xludf.DUMMYFUNCTION("""COMPUTED_VALUE"""),"RS_HH_CVEU_2026")</f>
        <v>RS_HH_CVEU_2026</v>
      </c>
      <c r="Z883" s="1" t="str">
        <f>IFERROR(__xludf.DUMMYFUNCTION("""COMPUTED_VALUE"""),"NEW CONNECT")</f>
        <v>NEW CONNECT</v>
      </c>
      <c r="AA883" s="1">
        <f>IFERROR(__xludf.DUMMYFUNCTION("""COMPUTED_VALUE"""),639914973658)</f>
        <v>639914973658</v>
      </c>
      <c r="AB883" s="1"/>
      <c r="AC883" s="1"/>
      <c r="AD883" s="1" t="str">
        <f>IFERROR(__xludf.DUMMYFUNCTION("""COMPUTED_VALUE"""),"ZONE 11")</f>
        <v>ZONE 11</v>
      </c>
      <c r="AE883" s="1"/>
      <c r="AF883" s="1" t="str">
        <f>IFERROR(__xludf.DUMMYFUNCTION("""COMPUTED_VALUE"""),"BGY BULIHAN")</f>
        <v>BGY BULIHAN</v>
      </c>
      <c r="AG883" s="1" t="str">
        <f>IFERROR(__xludf.DUMMYFUNCTION("""COMPUTED_VALUE"""),"SILANG")</f>
        <v>SILANG</v>
      </c>
      <c r="AH883" s="1" t="str">
        <f>IFERROR(__xludf.DUMMYFUNCTION("""COMPUTED_VALUE"""),"ALFAMART // INFRONT OF BNHS")</f>
        <v>ALFAMART // INFRONT OF BNHS</v>
      </c>
      <c r="AI883" s="1" t="str">
        <f>IFERROR(__xludf.DUMMYFUNCTION("""COMPUTED_VALUE"""),"CLUSTER 11")</f>
        <v>CLUSTER 11</v>
      </c>
    </row>
    <row r="884" customHeight="1" spans="1:35">
      <c r="A884" s="3">
        <f>IFERROR(__xludf.DUMMYFUNCTION("""COMPUTED_VALUE"""),46301)</f>
        <v>46301</v>
      </c>
      <c r="B884" s="1" t="str">
        <f>IFERROR(__xludf.DUMMYFUNCTION("""COMPUTED_VALUE"""),"JANETH DE CASTRO UMALI")</f>
        <v>JANETH DE CASTRO UMALI</v>
      </c>
      <c r="C884" s="1">
        <f>IFERROR(__xludf.DUMMYFUNCTION("""COMPUTED_VALUE"""),2312995055)</f>
        <v>2312995055</v>
      </c>
      <c r="D884" s="1">
        <f>IFERROR(__xludf.DUMMYFUNCTION("""COMPUTED_VALUE"""),408720990)</f>
        <v>408720990</v>
      </c>
      <c r="E884" s="1">
        <f>IFERROR(__xludf.DUMMYFUNCTION("""COMPUTED_VALUE"""),474478795004)</f>
        <v>474478795004</v>
      </c>
      <c r="F884" s="1" t="str">
        <f>IFERROR(__xludf.DUMMYFUNCTION("""COMPUTED_VALUE"""),"CANCELED")</f>
        <v>CANCELED</v>
      </c>
      <c r="G884" s="1" t="str">
        <f>IFERROR(__xludf.DUMMYFUNCTION("""COMPUTED_VALUE"""),"FULL CAFAC ON AREA SUBS ALLREADY ADVISE ISANG CAFAC LANG ANG MERON SA AREA ASSIGN CAFAC NOT ONSITE ALFLP117NP8 P4 ALFLP32NP4 3 SPAN FULL")</f>
        <v>FULL CAFAC ON AREA SUBS ALLREADY ADVISE ISANG CAFAC LANG ANG MERON SA AREA ASSIGN CAFAC NOT ONSITE ALFLP117NP8 P4 ALFLP32NP4 3 SPAN FULL</v>
      </c>
      <c r="H884" s="1" t="str">
        <f>IFERROR(__xludf.DUMMYFUNCTION("""COMPUTED_VALUE"""),"TALKED TO SOR, MAGBABAYAD DAW TODAY HINIHINTAY LANG ANAK NYA ")</f>
        <v>TALKED TO SOR, MAGBABAYAD DAW TODAY HINIHINTAY LANG ANAK NYA </v>
      </c>
      <c r="I884" s="1" t="str">
        <f>IFERROR(__xludf.DUMMYFUNCTION("""COMPUTED_VALUE"""),"NO 1 AMSF")</f>
        <v>NO 1 AMSF</v>
      </c>
      <c r="J884" s="1"/>
      <c r="K884" s="1" t="str">
        <f>IFERROR(__xludf.DUMMYFUNCTION("""COMPUTED_VALUE"""),"CANCELED")</f>
        <v>CANCELED</v>
      </c>
      <c r="L884" s="1" t="str">
        <f>IFERROR(__xludf.DUMMYFUNCTION("""COMPUTED_VALUE"""),"RPR - NAP FULL")</f>
        <v>RPR - NAP FULL</v>
      </c>
      <c r="M884" s="1" t="str">
        <f>IFERROR(__xludf.DUMMYFUNCTION("""COMPUTED_VALUE"""),"RPR- NAP FULL")</f>
        <v>RPR- NAP FULL</v>
      </c>
      <c r="N884" s="3"/>
      <c r="O884" s="1" t="str">
        <f>IFERROR(__xludf.DUMMYFUNCTION("""COMPUTED_VALUE"""),"FIBER UNLI PLAN 1399")</f>
        <v>FIBER UNLI PLAN 1399</v>
      </c>
      <c r="P884" s="1" t="str">
        <f>IFERROR(__xludf.DUMMYFUNCTION("""COMPUTED_VALUE"""),"LOWPLAN")</f>
        <v>LOWPLAN</v>
      </c>
      <c r="Q884" s="1" t="str">
        <f>IFERROR(__xludf.DUMMYFUNCTION("""COMPUTED_VALUE"""),"P407049")</f>
        <v>P407049</v>
      </c>
      <c r="R884" s="1" t="str">
        <f>IFERROR(__xludf.DUMMYFUNCTION("""COMPUTED_VALUE"""),"CADERAO, RONALD")</f>
        <v>CADERAO, RONALD</v>
      </c>
      <c r="S884" s="1" t="str">
        <f>IFERROR(__xludf.DUMMYFUNCTION("""COMPUTED_VALUE"""),"ORGANIC")</f>
        <v>ORGANIC</v>
      </c>
      <c r="T884" s="1" t="str">
        <f>IFERROR(__xludf.DUMMYFUNCTION("""COMPUTED_VALUE"""),"LEA REMOLLO")</f>
        <v>LEA REMOLLO</v>
      </c>
      <c r="U884" s="1" t="str">
        <f>IFERROR(__xludf.DUMMYFUNCTION("""COMPUTED_VALUE"""),"JB SALIOA")</f>
        <v>JB SALIOA</v>
      </c>
      <c r="V884" s="1" t="str">
        <f>IFERROR(__xludf.DUMMYFUNCTION("""COMPUTED_VALUE"""),"H2H")</f>
        <v>H2H</v>
      </c>
      <c r="W884" s="1" t="str">
        <f>IFERROR(__xludf.DUMMYFUNCTION("""COMPUTED_VALUE"""),"STK REGULAR")</f>
        <v>STK REGULAR</v>
      </c>
      <c r="X884" s="1" t="str">
        <f>IFERROR(__xludf.DUMMYFUNCTION("""COMPUTED_VALUE"""),"FIBER 1399 98TH YR")</f>
        <v>FIBER 1399 98TH YR</v>
      </c>
      <c r="Y884" s="1" t="str">
        <f>IFERROR(__xludf.DUMMYFUNCTION("""COMPUTED_VALUE"""),"RS_HH_CVEU_2026")</f>
        <v>RS_HH_CVEU_2026</v>
      </c>
      <c r="Z884" s="1" t="str">
        <f>IFERROR(__xludf.DUMMYFUNCTION("""COMPUTED_VALUE"""),"NEW CONNECT")</f>
        <v>NEW CONNECT</v>
      </c>
      <c r="AA884" s="1">
        <f>IFERROR(__xludf.DUMMYFUNCTION("""COMPUTED_VALUE"""),639301567629)</f>
        <v>639301567629</v>
      </c>
      <c r="AB884" s="1"/>
      <c r="AC884" s="1">
        <f>IFERROR(__xludf.DUMMYFUNCTION("""COMPUTED_VALUE"""),75)</f>
        <v>75</v>
      </c>
      <c r="AD884" s="1" t="str">
        <f>IFERROR(__xludf.DUMMYFUNCTION("""COMPUTED_VALUE"""),"QUINTIN GUMIIT")</f>
        <v>QUINTIN GUMIIT</v>
      </c>
      <c r="AE884" s="1"/>
      <c r="AF884" s="1" t="str">
        <f>IFERROR(__xludf.DUMMYFUNCTION("""COMPUTED_VALUE"""),"BGY MARAHAN 2")</f>
        <v>BGY MARAHAN 2</v>
      </c>
      <c r="AG884" s="1" t="str">
        <f>IFERROR(__xludf.DUMMYFUNCTION("""COMPUTED_VALUE"""),"ALFONSO")</f>
        <v>ALFONSO</v>
      </c>
      <c r="AH884" s="1" t="str">
        <f>IFERROR(__xludf.DUMMYFUNCTION("""COMPUTED_VALUE"""),"NEAR LAS TRELLAS")</f>
        <v>NEAR LAS TRELLAS</v>
      </c>
      <c r="AI884" s="1" t="str">
        <f>IFERROR(__xludf.DUMMYFUNCTION("""COMPUTED_VALUE"""),"CLUSTER 12")</f>
        <v>CLUSTER 12</v>
      </c>
    </row>
    <row r="885" customHeight="1" spans="1:35">
      <c r="A885" s="3">
        <f>IFERROR(__xludf.DUMMYFUNCTION("""COMPUTED_VALUE"""),46301)</f>
        <v>46301</v>
      </c>
      <c r="B885" s="1" t="str">
        <f>IFERROR(__xludf.DUMMYFUNCTION("""COMPUTED_VALUE"""),"ESTRELLA POLIDARIO ESPERANZATE")</f>
        <v>ESTRELLA POLIDARIO ESPERANZATE</v>
      </c>
      <c r="C885" s="1">
        <f>IFERROR(__xludf.DUMMYFUNCTION("""COMPUTED_VALUE"""),2312996910)</f>
        <v>2312996910</v>
      </c>
      <c r="D885" s="1">
        <f>IFERROR(__xludf.DUMMYFUNCTION("""COMPUTED_VALUE"""),408723957)</f>
        <v>408723957</v>
      </c>
      <c r="E885" s="1">
        <f>IFERROR(__xludf.DUMMYFUNCTION("""COMPUTED_VALUE"""),474480580004)</f>
        <v>474480580004</v>
      </c>
      <c r="F885" s="1" t="str">
        <f>IFERROR(__xludf.DUMMYFUNCTION("""COMPUTED_VALUE"""),"CANCELED")</f>
        <v>CANCELED</v>
      </c>
      <c r="G885" s="1" t="str">
        <f>IFERROR(__xludf.DUMMYFUNCTION("""COMPUTED_VALUE"""),"CALLTHRU REMARKS   CANCEL SERVICE ORDER REQUEST   AYAW PUMAYAG NG MAY ARI NG PRIVATE NA MAGSABIT NG INTERNET WIRE   TALK ESTRELLA POLIDARIO  ESPERANZATE 09351608870")</f>
        <v>CALLTHRU REMARKS   CANCEL SERVICE ORDER REQUEST   AYAW PUMAYAG NG MAY ARI NG PRIVATE NA MAGSABIT NG INTERNET WIRE   TALK ESTRELLA POLIDARIO  ESPERANZATE 09351608870</v>
      </c>
      <c r="H885" s="1"/>
      <c r="I885" s="1"/>
      <c r="J885" s="1"/>
      <c r="K885" s="1" t="str">
        <f>IFERROR(__xludf.DUMMYFUNCTION("""COMPUTED_VALUE"""),"CANCELED")</f>
        <v>CANCELED</v>
      </c>
      <c r="L885" s="1" t="str">
        <f>IFERROR(__xludf.DUMMYFUNCTION("""COMPUTED_VALUE"""),"RPR - UNMAINTAINABLE")</f>
        <v>RPR - UNMAINTAINABLE</v>
      </c>
      <c r="M885" s="1" t="str">
        <f>IFERROR(__xludf.DUMMYFUNCTION("""COMPUTED_VALUE"""),"RPR - UNMAINTAINABLE")</f>
        <v>RPR - UNMAINTAINABLE</v>
      </c>
      <c r="N885" s="3"/>
      <c r="O885" s="1" t="str">
        <f>IFERROR(__xludf.DUMMYFUNCTION("""COMPUTED_VALUE"""),"FIBER UNLI PLAN 1399")</f>
        <v>FIBER UNLI PLAN 1399</v>
      </c>
      <c r="P885" s="1" t="str">
        <f>IFERROR(__xludf.DUMMYFUNCTION("""COMPUTED_VALUE"""),"LOWPLAN")</f>
        <v>LOWPLAN</v>
      </c>
      <c r="Q885" s="1" t="str">
        <f>IFERROR(__xludf.DUMMYFUNCTION("""COMPUTED_VALUE"""),"P407045")</f>
        <v>P407045</v>
      </c>
      <c r="R885" s="1" t="str">
        <f>IFERROR(__xludf.DUMMYFUNCTION("""COMPUTED_VALUE"""),"REMOLLO, LEA")</f>
        <v>REMOLLO, LEA</v>
      </c>
      <c r="S885" s="1" t="str">
        <f>IFERROR(__xludf.DUMMYFUNCTION("""COMPUTED_VALUE"""),"FLA")</f>
        <v>FLA</v>
      </c>
      <c r="T885" s="1" t="str">
        <f>IFERROR(__xludf.DUMMYFUNCTION("""COMPUTED_VALUE"""),"JERIC NAVARRO")</f>
        <v>JERIC NAVARRO</v>
      </c>
      <c r="U885" s="1" t="str">
        <f>IFERROR(__xludf.DUMMYFUNCTION("""COMPUTED_VALUE"""),"JB SALIOA")</f>
        <v>JB SALIOA</v>
      </c>
      <c r="V885" s="1" t="str">
        <f>IFERROR(__xludf.DUMMYFUNCTION("""COMPUTED_VALUE"""),"H2H")</f>
        <v>H2H</v>
      </c>
      <c r="W885" s="1" t="str">
        <f>IFERROR(__xludf.DUMMYFUNCTION("""COMPUTED_VALUE"""),"STK REGULAR")</f>
        <v>STK REGULAR</v>
      </c>
      <c r="X885" s="1" t="str">
        <f>IFERROR(__xludf.DUMMYFUNCTION("""COMPUTED_VALUE"""),"FIBER 1399 98TH YR")</f>
        <v>FIBER 1399 98TH YR</v>
      </c>
      <c r="Y885" s="1" t="str">
        <f>IFERROR(__xludf.DUMMYFUNCTION("""COMPUTED_VALUE"""),"RS_HH_CVEU_2026")</f>
        <v>RS_HH_CVEU_2026</v>
      </c>
      <c r="Z885" s="1" t="str">
        <f>IFERROR(__xludf.DUMMYFUNCTION("""COMPUTED_VALUE"""),"NEW CONNECT")</f>
        <v>NEW CONNECT</v>
      </c>
      <c r="AA885" s="1">
        <f>IFERROR(__xludf.DUMMYFUNCTION("""COMPUTED_VALUE"""),639351608870)</f>
        <v>639351608870</v>
      </c>
      <c r="AB885" s="1"/>
      <c r="AC885" s="1">
        <f>IFERROR(__xludf.DUMMYFUNCTION("""COMPUTED_VALUE"""),421)</f>
        <v>421</v>
      </c>
      <c r="AD885" s="1" t="str">
        <f>IFERROR(__xludf.DUMMYFUNCTION("""COMPUTED_VALUE"""),"SITIO ILANG ILANG")</f>
        <v>SITIO ILANG ILANG</v>
      </c>
      <c r="AE885" s="1"/>
      <c r="AF885" s="1" t="str">
        <f>IFERROR(__xludf.DUMMYFUNCTION("""COMPUTED_VALUE"""),"BGY BATAS")</f>
        <v>BGY BATAS</v>
      </c>
      <c r="AG885" s="1" t="str">
        <f>IFERROR(__xludf.DUMMYFUNCTION("""COMPUTED_VALUE"""),"SILANG")</f>
        <v>SILANG</v>
      </c>
      <c r="AH885" s="1" t="str">
        <f>IFERROR(__xludf.DUMMYFUNCTION("""COMPUTED_VALUE"""),"-")</f>
        <v>-</v>
      </c>
      <c r="AI885" s="1" t="str">
        <f>IFERROR(__xludf.DUMMYFUNCTION("""COMPUTED_VALUE"""),"CLUSTER 11")</f>
        <v>CLUSTER 11</v>
      </c>
    </row>
    <row r="886" customHeight="1" spans="1:35">
      <c r="A886" s="3">
        <f>IFERROR(__xludf.DUMMYFUNCTION("""COMPUTED_VALUE"""),46301)</f>
        <v>46301</v>
      </c>
      <c r="B886" s="1" t="str">
        <f>IFERROR(__xludf.DUMMYFUNCTION("""COMPUTED_VALUE"""),"EMILY ATON LORILLA")</f>
        <v>EMILY ATON LORILLA</v>
      </c>
      <c r="C886" s="1">
        <f>IFERROR(__xludf.DUMMYFUNCTION("""COMPUTED_VALUE"""),2312997377)</f>
        <v>2312997377</v>
      </c>
      <c r="D886" s="1">
        <f>IFERROR(__xludf.DUMMYFUNCTION("""COMPUTED_VALUE"""),408729793)</f>
        <v>408729793</v>
      </c>
      <c r="E886" s="1">
        <f>IFERROR(__xludf.DUMMYFUNCTION("""COMPUTED_VALUE"""),474502014004)</f>
        <v>474502014004</v>
      </c>
      <c r="F886" s="1" t="str">
        <f>IFERROR(__xludf.DUMMYFUNCTION("""COMPUTED_VALUE"""),"CLOSED")</f>
        <v>CLOSED</v>
      </c>
      <c r="G886" s="1" t="str">
        <f>IFERROR(__xludf.DUMMYFUNCTION("""COMPUTED_VALUE"""),"CLOSED")</f>
        <v>CLOSED</v>
      </c>
      <c r="H886" s="1" t="str">
        <f>IFERROR(__xludf.DUMMYFUNCTION("""COMPUTED_VALUE"""),"PAID VIA GCASH - OCT 7 - REF- 851558308")</f>
        <v>PAID VIA GCASH - OCT 7 - REF- 851558308</v>
      </c>
      <c r="I886" s="1" t="str">
        <f>IFERROR(__xludf.DUMMYFUNCTION("""COMPUTED_VALUE"""),"WITH 1 AMSF")</f>
        <v>WITH 1 AMSF</v>
      </c>
      <c r="J886" s="1"/>
      <c r="K886" s="1" t="str">
        <f>IFERROR(__xludf.DUMMYFUNCTION("""COMPUTED_VALUE"""),"COMPLETED")</f>
        <v>COMPLETED</v>
      </c>
      <c r="L886" s="1" t="str">
        <f>IFERROR(__xludf.DUMMYFUNCTION("""COMPUTED_VALUE"""),"POSTED")</f>
        <v>POSTED</v>
      </c>
      <c r="M886" s="1" t="str">
        <f>IFERROR(__xludf.DUMMYFUNCTION("""COMPUTED_VALUE"""),"POSTED")</f>
        <v>POSTED</v>
      </c>
      <c r="N886" s="3">
        <f>IFERROR(__xludf.DUMMYFUNCTION("""COMPUTED_VALUE"""),46302)</f>
        <v>46302</v>
      </c>
      <c r="O886" s="1" t="str">
        <f>IFERROR(__xludf.DUMMYFUNCTION("""COMPUTED_VALUE"""),"FIBER UNLI PLAN 1399")</f>
        <v>FIBER UNLI PLAN 1399</v>
      </c>
      <c r="P886" s="1" t="str">
        <f>IFERROR(__xludf.DUMMYFUNCTION("""COMPUTED_VALUE"""),"LOWPLAN")</f>
        <v>LOWPLAN</v>
      </c>
      <c r="Q886" s="1" t="str">
        <f>IFERROR(__xludf.DUMMYFUNCTION("""COMPUTED_VALUE"""),"P407517")</f>
        <v>P407517</v>
      </c>
      <c r="R886" s="1" t="str">
        <f>IFERROR(__xludf.DUMMYFUNCTION("""COMPUTED_VALUE"""),"GABAY, MANUEL")</f>
        <v>GABAY, MANUEL</v>
      </c>
      <c r="S886" s="1" t="str">
        <f>IFERROR(__xludf.DUMMYFUNCTION("""COMPUTED_VALUE"""),"FLA")</f>
        <v>FLA</v>
      </c>
      <c r="T886" s="1" t="str">
        <f>IFERROR(__xludf.DUMMYFUNCTION("""COMPUTED_VALUE"""),"JERIC NAVARRO")</f>
        <v>JERIC NAVARRO</v>
      </c>
      <c r="U886" s="1" t="str">
        <f>IFERROR(__xludf.DUMMYFUNCTION("""COMPUTED_VALUE"""),"JB SALIOA")</f>
        <v>JB SALIOA</v>
      </c>
      <c r="V886" s="1" t="str">
        <f>IFERROR(__xludf.DUMMYFUNCTION("""COMPUTED_VALUE"""),"H2H")</f>
        <v>H2H</v>
      </c>
      <c r="W886" s="1" t="str">
        <f>IFERROR(__xludf.DUMMYFUNCTION("""COMPUTED_VALUE"""),"STK REGULAR")</f>
        <v>STK REGULAR</v>
      </c>
      <c r="X886" s="1" t="str">
        <f>IFERROR(__xludf.DUMMYFUNCTION("""COMPUTED_VALUE"""),"FIBER 1399 98TH YR")</f>
        <v>FIBER 1399 98TH YR</v>
      </c>
      <c r="Y886" s="1" t="str">
        <f>IFERROR(__xludf.DUMMYFUNCTION("""COMPUTED_VALUE"""),"BK_CVEU_261005")</f>
        <v>BK_CVEU_261005</v>
      </c>
      <c r="Z886" s="1" t="str">
        <f>IFERROR(__xludf.DUMMYFUNCTION("""COMPUTED_VALUE"""),"NEW CONNECT")</f>
        <v>NEW CONNECT</v>
      </c>
      <c r="AA886" s="1">
        <f>IFERROR(__xludf.DUMMYFUNCTION("""COMPUTED_VALUE"""),639386558446)</f>
        <v>639386558446</v>
      </c>
      <c r="AB886" s="1">
        <f>IFERROR(__xludf.DUMMYFUNCTION("""COMPUTED_VALUE"""),639666593656)</f>
        <v>639666593656</v>
      </c>
      <c r="AC886" s="1">
        <f>IFERROR(__xludf.DUMMYFUNCTION("""COMPUTED_VALUE"""),442)</f>
        <v>442</v>
      </c>
      <c r="AD886" s="1" t="str">
        <f>IFERROR(__xludf.DUMMYFUNCTION("""COMPUTED_VALUE"""),"DOROTEO VILLE")</f>
        <v>DOROTEO VILLE</v>
      </c>
      <c r="AE886" s="1" t="str">
        <f>IFERROR(__xludf.DUMMYFUNCTION("""COMPUTED_VALUE"""),"DOROTEO VILLE SUBD")</f>
        <v>DOROTEO VILLE SUBD</v>
      </c>
      <c r="AF886" s="1" t="str">
        <f>IFERROR(__xludf.DUMMYFUNCTION("""COMPUTED_VALUE"""),"BGY PANUNGYAN 1")</f>
        <v>BGY PANUNGYAN 1</v>
      </c>
      <c r="AG886" s="1" t="str">
        <f>IFERROR(__xludf.DUMMYFUNCTION("""COMPUTED_VALUE"""),"MENDEZ")</f>
        <v>MENDEZ</v>
      </c>
      <c r="AH886" s="1" t="str">
        <f>IFERROR(__xludf.DUMMYFUNCTION("""COMPUTED_VALUE"""),"DOROTEO VILLE")</f>
        <v>DOROTEO VILLE</v>
      </c>
      <c r="AI886" s="1" t="str">
        <f>IFERROR(__xludf.DUMMYFUNCTION("""COMPUTED_VALUE"""),"CLUSTER 12")</f>
        <v>CLUSTER 12</v>
      </c>
    </row>
    <row r="887" customHeight="1" spans="1:35">
      <c r="A887" s="3">
        <f>IFERROR(__xludf.DUMMYFUNCTION("""COMPUTED_VALUE"""),46301)</f>
        <v>46301</v>
      </c>
      <c r="B887" s="1" t="str">
        <f>IFERROR(__xludf.DUMMYFUNCTION("""COMPUTED_VALUE"""),"PHILOASIS INC.")</f>
        <v>PHILOASIS INC.</v>
      </c>
      <c r="C887" s="1">
        <f>IFERROR(__xludf.DUMMYFUNCTION("""COMPUTED_VALUE"""),2312998564)</f>
        <v>2312998564</v>
      </c>
      <c r="D887" s="1">
        <f>IFERROR(__xludf.DUMMYFUNCTION("""COMPUTED_VALUE"""),408721105)</f>
        <v>408721105</v>
      </c>
      <c r="E887" s="1">
        <f>IFERROR(__xludf.DUMMYFUNCTION("""COMPUTED_VALUE"""),474478558004)</f>
        <v>474478558004</v>
      </c>
      <c r="F887" s="1" t="str">
        <f>IFERROR(__xludf.DUMMYFUNCTION("""COMPUTED_VALUE"""),"CLOSED")</f>
        <v>CLOSED</v>
      </c>
      <c r="G887" s="1" t="str">
        <f>IFERROR(__xludf.DUMMYFUNCTION("""COMPUTED_VALUE"""),"CLOSED")</f>
        <v>CLOSED</v>
      </c>
      <c r="H887" s="1" t="str">
        <f>IFERROR(__xludf.DUMMYFUNCTION("""COMPUTED_VALUE"""),"PAID VIA PAYBOX KIOSK REF 21779333 OCT 7")</f>
        <v>PAID VIA PAYBOX KIOSK REF 21779333 OCT 7</v>
      </c>
      <c r="I887" s="1" t="str">
        <f>IFERROR(__xludf.DUMMYFUNCTION("""COMPUTED_VALUE"""),"WITH 1 AMSF")</f>
        <v>WITH 1 AMSF</v>
      </c>
      <c r="J887" s="1"/>
      <c r="K887" s="1" t="str">
        <f>IFERROR(__xludf.DUMMYFUNCTION("""COMPUTED_VALUE"""),"COMPLETED")</f>
        <v>COMPLETED</v>
      </c>
      <c r="L887" s="1" t="str">
        <f>IFERROR(__xludf.DUMMYFUNCTION("""COMPUTED_VALUE"""),"POSTED")</f>
        <v>POSTED</v>
      </c>
      <c r="M887" s="1" t="str">
        <f>IFERROR(__xludf.DUMMYFUNCTION("""COMPUTED_VALUE"""),"POSTED")</f>
        <v>POSTED</v>
      </c>
      <c r="N887" s="3">
        <f>IFERROR(__xludf.DUMMYFUNCTION("""COMPUTED_VALUE"""),46302)</f>
        <v>46302</v>
      </c>
      <c r="O887" s="1" t="str">
        <f>IFERROR(__xludf.DUMMYFUNCTION("""COMPUTED_VALUE"""),"HOME BIZ PLAN 2699")</f>
        <v>HOME BIZ PLAN 2699</v>
      </c>
      <c r="P887" s="1" t="str">
        <f>IFERROR(__xludf.DUMMYFUNCTION("""COMPUTED_VALUE"""),"HIGHPLAN")</f>
        <v>HIGHPLAN</v>
      </c>
      <c r="Q887" s="1" t="str">
        <f>IFERROR(__xludf.DUMMYFUNCTION("""COMPUTED_VALUE"""),"P407516")</f>
        <v>P407516</v>
      </c>
      <c r="R887" s="1" t="str">
        <f>IFERROR(__xludf.DUMMYFUNCTION("""COMPUTED_VALUE"""),"AYON, MANUEL")</f>
        <v>AYON, MANUEL</v>
      </c>
      <c r="S887" s="1" t="str">
        <f>IFERROR(__xludf.DUMMYFUNCTION("""COMPUTED_VALUE"""),"FLA")</f>
        <v>FLA</v>
      </c>
      <c r="T887" s="1" t="str">
        <f>IFERROR(__xludf.DUMMYFUNCTION("""COMPUTED_VALUE"""),"JERIC NAVARRO")</f>
        <v>JERIC NAVARRO</v>
      </c>
      <c r="U887" s="1" t="str">
        <f>IFERROR(__xludf.DUMMYFUNCTION("""COMPUTED_VALUE"""),"JB SALIOA")</f>
        <v>JB SALIOA</v>
      </c>
      <c r="V887" s="1" t="str">
        <f>IFERROR(__xludf.DUMMYFUNCTION("""COMPUTED_VALUE"""),"BK REGULAR")</f>
        <v>BK REGULAR</v>
      </c>
      <c r="W887" s="1" t="str">
        <f>IFERROR(__xludf.DUMMYFUNCTION("""COMPUTED_VALUE"""),"STK REGULAR")</f>
        <v>STK REGULAR</v>
      </c>
      <c r="X887" s="1" t="str">
        <f>IFERROR(__xludf.DUMMYFUNCTION("""COMPUTED_VALUE"""),"REGULAR")</f>
        <v>REGULAR</v>
      </c>
      <c r="Y887" s="1" t="str">
        <f>IFERROR(__xludf.DUMMYFUNCTION("""COMPUTED_VALUE"""),"BK_CVEU_261006")</f>
        <v>BK_CVEU_261006</v>
      </c>
      <c r="Z887" s="1" t="str">
        <f>IFERROR(__xludf.DUMMYFUNCTION("""COMPUTED_VALUE"""),"NEW CONNECT")</f>
        <v>NEW CONNECT</v>
      </c>
      <c r="AA887" s="1">
        <f>IFERROR(__xludf.DUMMYFUNCTION("""COMPUTED_VALUE"""),639637335110)</f>
        <v>639637335110</v>
      </c>
      <c r="AB887" s="1">
        <f>IFERROR(__xludf.DUMMYFUNCTION("""COMPUTED_VALUE"""),639108239895)</f>
        <v>639108239895</v>
      </c>
      <c r="AC887" s="1"/>
      <c r="AD887" s="1" t="str">
        <f>IFERROR(__xludf.DUMMYFUNCTION("""COMPUTED_VALUE"""),"BORROMEO")</f>
        <v>BORROMEO</v>
      </c>
      <c r="AE887" s="1"/>
      <c r="AF887" s="1" t="str">
        <f>IFERROR(__xludf.DUMMYFUNCTION("""COMPUTED_VALUE"""),"BGY BILUSO")</f>
        <v>BGY BILUSO</v>
      </c>
      <c r="AG887" s="1" t="str">
        <f>IFERROR(__xludf.DUMMYFUNCTION("""COMPUTED_VALUE"""),"SILANG")</f>
        <v>SILANG</v>
      </c>
      <c r="AH887" s="1" t="str">
        <f>IFERROR(__xludf.DUMMYFUNCTION("""COMPUTED_VALUE"""),"NEAR WALTERMART SILANG")</f>
        <v>NEAR WALTERMART SILANG</v>
      </c>
      <c r="AI887" s="1" t="str">
        <f>IFERROR(__xludf.DUMMYFUNCTION("""COMPUTED_VALUE"""),"CLUSTER 11")</f>
        <v>CLUSTER 11</v>
      </c>
    </row>
    <row r="888" customHeight="1" spans="1:35">
      <c r="A888" s="3">
        <f>IFERROR(__xludf.DUMMYFUNCTION("""COMPUTED_VALUE"""),46301)</f>
        <v>46301</v>
      </c>
      <c r="B888" s="1" t="str">
        <f>IFERROR(__xludf.DUMMYFUNCTION("""COMPUTED_VALUE"""),"NIYAH JINNELL LY RIA")</f>
        <v>NIYAH JINNELL LY RIA</v>
      </c>
      <c r="C888" s="1">
        <f>IFERROR(__xludf.DUMMYFUNCTION("""COMPUTED_VALUE"""),2313000347)</f>
        <v>2313000347</v>
      </c>
      <c r="D888" s="1"/>
      <c r="E888" s="1"/>
      <c r="F888" s="1" t="str">
        <f>IFERROR(__xludf.DUMMYFUNCTION("""COMPUTED_VALUE"""),"CANCELLED")</f>
        <v>CANCELLED</v>
      </c>
      <c r="G888" s="1" t="str">
        <f>IFERROR(__xludf.DUMMYFUNCTION("""COMPUTED_VALUE"""),"CANCELLED")</f>
        <v>CANCELLED</v>
      </c>
      <c r="H888" s="1"/>
      <c r="I888" s="1"/>
      <c r="J888" s="1"/>
      <c r="K888" s="1"/>
      <c r="L888" s="1" t="str">
        <f>IFERROR(__xludf.DUMMYFUNCTION("""COMPUTED_VALUE"""),"CANCELLED")</f>
        <v>CANCELLED</v>
      </c>
      <c r="M888" s="1" t="str">
        <f>IFERROR(__xludf.DUMMYFUNCTION("""COMPUTED_VALUE"""),"CANCELLED - WITH OB")</f>
        <v>CANCELLED - WITH OB</v>
      </c>
      <c r="N888" s="3"/>
      <c r="O888" s="1" t="str">
        <f>IFERROR(__xludf.DUMMYFUNCTION("""COMPUTED_VALUE"""),"FIBR PLAN 1299")</f>
        <v>FIBR PLAN 1299</v>
      </c>
      <c r="P888" s="1" t="str">
        <f>IFERROR(__xludf.DUMMYFUNCTION("""COMPUTED_VALUE"""),"LOWPLAN")</f>
        <v>LOWPLAN</v>
      </c>
      <c r="Q888" s="1" t="str">
        <f>IFERROR(__xludf.DUMMYFUNCTION("""COMPUTED_VALUE"""),"P407520")</f>
        <v>P407520</v>
      </c>
      <c r="R888" s="1" t="str">
        <f>IFERROR(__xludf.DUMMYFUNCTION("""COMPUTED_VALUE"""),"MALIWAT, MARK")</f>
        <v>MALIWAT, MARK</v>
      </c>
      <c r="S888" s="1" t="str">
        <f>IFERROR(__xludf.DUMMYFUNCTION("""COMPUTED_VALUE"""),"FLA")</f>
        <v>FLA</v>
      </c>
      <c r="T888" s="1" t="str">
        <f>IFERROR(__xludf.DUMMYFUNCTION("""COMPUTED_VALUE"""),"JERIC NAVARRO")</f>
        <v>JERIC NAVARRO</v>
      </c>
      <c r="U888" s="1" t="str">
        <f>IFERROR(__xludf.DUMMYFUNCTION("""COMPUTED_VALUE"""),"JULIE ESPIRITU")</f>
        <v>JULIE ESPIRITU</v>
      </c>
      <c r="V888" s="1" t="str">
        <f>IFERROR(__xludf.DUMMYFUNCTION("""COMPUTED_VALUE"""),"BK REGULAR")</f>
        <v>BK REGULAR</v>
      </c>
      <c r="W888" s="1" t="str">
        <f>IFERROR(__xludf.DUMMYFUNCTION("""COMPUTED_VALUE"""),"STK REGULAR")</f>
        <v>STK REGULAR</v>
      </c>
      <c r="X888" s="1" t="str">
        <f>IFERROR(__xludf.DUMMYFUNCTION("""COMPUTED_VALUE"""),"REGULAR")</f>
        <v>REGULAR</v>
      </c>
      <c r="Y888" s="1" t="str">
        <f>IFERROR(__xludf.DUMMYFUNCTION("""COMPUTED_VALUE"""),"BK_CVEU_261006")</f>
        <v>BK_CVEU_261006</v>
      </c>
      <c r="Z888" s="1" t="str">
        <f>IFERROR(__xludf.DUMMYFUNCTION("""COMPUTED_VALUE"""),"NEW CONNECT")</f>
        <v>NEW CONNECT</v>
      </c>
      <c r="AA888" s="1">
        <f>IFERROR(__xludf.DUMMYFUNCTION("""COMPUTED_VALUE"""),639927933934)</f>
        <v>639927933934</v>
      </c>
      <c r="AB888" s="1">
        <f>IFERROR(__xludf.DUMMYFUNCTION("""COMPUTED_VALUE"""),639304480602)</f>
        <v>639304480602</v>
      </c>
      <c r="AC888" s="1"/>
      <c r="AD888" s="1" t="str">
        <f>IFERROR(__xludf.DUMMYFUNCTION("""COMPUTED_VALUE"""),"ZONE 5")</f>
        <v>ZONE 5</v>
      </c>
      <c r="AE888" s="1" t="str">
        <f>IFERROR(__xludf.DUMMYFUNCTION("""COMPUTED_VALUE"""),"AFP HOUSING")</f>
        <v>AFP HOUSING</v>
      </c>
      <c r="AF888" s="1" t="str">
        <f>IFERROR(__xludf.DUMMYFUNCTION("""COMPUTED_VALUE"""),"BGY BULIHAN")</f>
        <v>BGY BULIHAN</v>
      </c>
      <c r="AG888" s="1" t="str">
        <f>IFERROR(__xludf.DUMMYFUNCTION("""COMPUTED_VALUE"""),"SILANG")</f>
        <v>SILANG</v>
      </c>
      <c r="AH888" s="1" t="str">
        <f>IFERROR(__xludf.DUMMYFUNCTION("""COMPUTED_VALUE"""),"ALFAMART")</f>
        <v>ALFAMART</v>
      </c>
      <c r="AI888" s="1" t="str">
        <f>IFERROR(__xludf.DUMMYFUNCTION("""COMPUTED_VALUE"""),"CLUSTER 11")</f>
        <v>CLUSTER 11</v>
      </c>
    </row>
    <row r="889" customHeight="1" spans="1:35">
      <c r="A889" s="3">
        <f>IFERROR(__xludf.DUMMYFUNCTION("""COMPUTED_VALUE"""),46301)</f>
        <v>46301</v>
      </c>
      <c r="B889" s="1" t="str">
        <f>IFERROR(__xludf.DUMMYFUNCTION("""COMPUTED_VALUE"""),"EDRIANNA JULIENNE PENALBA ETRUISTE")</f>
        <v>EDRIANNA JULIENNE PENALBA ETRUISTE</v>
      </c>
      <c r="C889" s="1">
        <f>IFERROR(__xludf.DUMMYFUNCTION("""COMPUTED_VALUE"""),2313000487)</f>
        <v>2313000487</v>
      </c>
      <c r="D889" s="1"/>
      <c r="E889" s="1"/>
      <c r="F889" s="1" t="str">
        <f>IFERROR(__xludf.DUMMYFUNCTION("""COMPUTED_VALUE"""),"REENCODED")</f>
        <v>REENCODED</v>
      </c>
      <c r="G889" s="1" t="str">
        <f>IFERROR(__xludf.DUMMYFUNCTION("""COMPUTED_VALUE"""),"(P-OTHERS) APPROVED | COMPLETE DOCS | DONE VALIDATION | CORRECT ENCODED INFO IN CSP | TU SCORING GG - 1 (NTC) | 1 AMSF | CLEARED BL HIT | NO PENDING/CANCELLED/ACTIVE ACCT APPLICATION ")</f>
        <v>(P-OTHERS) APPROVED | COMPLETE DOCS | DONE VALIDATION | CORRECT ENCODED INFO IN CSP | TU SCORING GG - 1 (NTC) | 1 AMSF | CLEARED BL HIT | NO PENDING/CANCELLED/ACTIVE ACCT APPLICATION </v>
      </c>
      <c r="H889" s="1"/>
      <c r="I889" s="1"/>
      <c r="J889" s="1"/>
      <c r="K889" s="1"/>
      <c r="L889" s="1" t="str">
        <f>IFERROR(__xludf.DUMMYFUNCTION("""COMPUTED_VALUE"""),"REENCODED")</f>
        <v>REENCODED</v>
      </c>
      <c r="M889" s="1" t="str">
        <f>IFERROR(__xludf.DUMMYFUNCTION("""COMPUTED_VALUE"""),"REENCODED")</f>
        <v>REENCODED</v>
      </c>
      <c r="N889" s="3"/>
      <c r="O889" s="1" t="str">
        <f>IFERROR(__xludf.DUMMYFUNCTION("""COMPUTED_VALUE"""),"FIBR UNLI ALL PLAN 999")</f>
        <v>FIBR UNLI ALL PLAN 999</v>
      </c>
      <c r="P889" s="1" t="str">
        <f>IFERROR(__xludf.DUMMYFUNCTION("""COMPUTED_VALUE"""),"LOWPLAN")</f>
        <v>LOWPLAN</v>
      </c>
      <c r="Q889" s="1" t="str">
        <f>IFERROR(__xludf.DUMMYFUNCTION("""COMPUTED_VALUE"""),"P407050")</f>
        <v>P407050</v>
      </c>
      <c r="R889" s="1" t="str">
        <f>IFERROR(__xludf.DUMMYFUNCTION("""COMPUTED_VALUE"""),"ESCARCHA, ALMA")</f>
        <v>ESCARCHA, ALMA</v>
      </c>
      <c r="S889" s="1" t="str">
        <f>IFERROR(__xludf.DUMMYFUNCTION("""COMPUTED_VALUE"""),"ORGANIC")</f>
        <v>ORGANIC</v>
      </c>
      <c r="T889" s="1" t="str">
        <f>IFERROR(__xludf.DUMMYFUNCTION("""COMPUTED_VALUE"""),"LEA REMOLLO")</f>
        <v>LEA REMOLLO</v>
      </c>
      <c r="U889" s="1" t="str">
        <f>IFERROR(__xludf.DUMMYFUNCTION("""COMPUTED_VALUE"""),"JB SALIOA")</f>
        <v>JB SALIOA</v>
      </c>
      <c r="V889" s="1" t="str">
        <f>IFERROR(__xludf.DUMMYFUNCTION("""COMPUTED_VALUE"""),"BK REGULAR")</f>
        <v>BK REGULAR</v>
      </c>
      <c r="W889" s="1" t="str">
        <f>IFERROR(__xludf.DUMMYFUNCTION("""COMPUTED_VALUE"""),"STK REGULAR")</f>
        <v>STK REGULAR</v>
      </c>
      <c r="X889" s="1" t="str">
        <f>IFERROR(__xludf.DUMMYFUNCTION("""COMPUTED_VALUE"""),"REGULAR")</f>
        <v>REGULAR</v>
      </c>
      <c r="Y889" s="1" t="str">
        <f>IFERROR(__xludf.DUMMYFUNCTION("""COMPUTED_VALUE"""),"BK_CVEU_261005")</f>
        <v>BK_CVEU_261005</v>
      </c>
      <c r="Z889" s="1" t="str">
        <f>IFERROR(__xludf.DUMMYFUNCTION("""COMPUTED_VALUE"""),"NEW CONNECT")</f>
        <v>NEW CONNECT</v>
      </c>
      <c r="AA889" s="1">
        <f>IFERROR(__xludf.DUMMYFUNCTION("""COMPUTED_VALUE"""),639283425692)</f>
        <v>639283425692</v>
      </c>
      <c r="AB889" s="1"/>
      <c r="AC889" s="1">
        <f>IFERROR(__xludf.DUMMYFUNCTION("""COMPUTED_VALUE"""),28)</f>
        <v>28</v>
      </c>
      <c r="AD889" s="1" t="str">
        <f>IFERROR(__xludf.DUMMYFUNCTION("""COMPUTED_VALUE"""),"ZAMORA")</f>
        <v>ZAMORA</v>
      </c>
      <c r="AE889" s="1"/>
      <c r="AF889" s="1" t="str">
        <f>IFERROR(__xludf.DUMMYFUNCTION("""COMPUTED_VALUE"""),"BGY ASIS 1")</f>
        <v>BGY ASIS 1</v>
      </c>
      <c r="AG889" s="1" t="str">
        <f>IFERROR(__xludf.DUMMYFUNCTION("""COMPUTED_VALUE"""),"MENDEZ")</f>
        <v>MENDEZ</v>
      </c>
      <c r="AH889" s="1" t="str">
        <f>IFERROR(__xludf.DUMMYFUNCTION("""COMPUTED_VALUE"""),"ARKO")</f>
        <v>ARKO</v>
      </c>
      <c r="AI889" s="1" t="str">
        <f>IFERROR(__xludf.DUMMYFUNCTION("""COMPUTED_VALUE"""),"CLUSTER 12")</f>
        <v>CLUSTER 12</v>
      </c>
    </row>
    <row r="890" customHeight="1" spans="1:35">
      <c r="A890" s="3">
        <f>IFERROR(__xludf.DUMMYFUNCTION("""COMPUTED_VALUE"""),46301)</f>
        <v>46301</v>
      </c>
      <c r="B890" s="1" t="str">
        <f>IFERROR(__xludf.DUMMYFUNCTION("""COMPUTED_VALUE""")," JHOPER . CASANTUSAN")</f>
        <v> JHOPER . CASANTUSAN</v>
      </c>
      <c r="C890" s="1">
        <f>IFERROR(__xludf.DUMMYFUNCTION("""COMPUTED_VALUE"""),2313000564)</f>
        <v>2313000564</v>
      </c>
      <c r="D890" s="1"/>
      <c r="E890" s="1"/>
      <c r="F890" s="1" t="str">
        <f>IFERROR(__xludf.DUMMYFUNCTION("""COMPUTED_VALUE"""),"CANCELLED")</f>
        <v>CANCELLED</v>
      </c>
      <c r="G890" s="1" t="str">
        <f>IFERROR(__xludf.DUMMYFUNCTION("""COMPUTED_VALUE"""),"CANCELLED")</f>
        <v>CANCELLED</v>
      </c>
      <c r="H890" s="1"/>
      <c r="I890" s="1"/>
      <c r="J890" s="1"/>
      <c r="K890" s="1"/>
      <c r="L890" s="1" t="str">
        <f>IFERROR(__xludf.DUMMYFUNCTION("""COMPUTED_VALUE"""),"CANCELLED")</f>
        <v>CANCELLED</v>
      </c>
      <c r="M890" s="1" t="str">
        <f>IFERROR(__xludf.DUMMYFUNCTION("""COMPUTED_VALUE"""),"CANCELLED - WITH OB")</f>
        <v>CANCELLED - WITH OB</v>
      </c>
      <c r="N890" s="3"/>
      <c r="O890" s="1" t="str">
        <f>IFERROR(__xludf.DUMMYFUNCTION("""COMPUTED_VALUE"""),"FIBR PLAN 1299")</f>
        <v>FIBR PLAN 1299</v>
      </c>
      <c r="P890" s="1" t="str">
        <f>IFERROR(__xludf.DUMMYFUNCTION("""COMPUTED_VALUE"""),"LOWPLAN")</f>
        <v>LOWPLAN</v>
      </c>
      <c r="Q890" s="1" t="str">
        <f>IFERROR(__xludf.DUMMYFUNCTION("""COMPUTED_VALUE"""),"P407050 ")</f>
        <v>P407050 </v>
      </c>
      <c r="R890" s="1" t="str">
        <f>IFERROR(__xludf.DUMMYFUNCTION("""COMPUTED_VALUE"""),"ESCARCHA, ALMA")</f>
        <v>ESCARCHA, ALMA</v>
      </c>
      <c r="S890" s="1" t="str">
        <f>IFERROR(__xludf.DUMMYFUNCTION("""COMPUTED_VALUE"""),"ORGANIC")</f>
        <v>ORGANIC</v>
      </c>
      <c r="T890" s="1" t="str">
        <f>IFERROR(__xludf.DUMMYFUNCTION("""COMPUTED_VALUE"""),"LEA REMOLLO")</f>
        <v>LEA REMOLLO</v>
      </c>
      <c r="U890" s="1" t="str">
        <f>IFERROR(__xludf.DUMMYFUNCTION("""COMPUTED_VALUE"""),"JULIE ESPIRITU")</f>
        <v>JULIE ESPIRITU</v>
      </c>
      <c r="V890" s="1" t="str">
        <f>IFERROR(__xludf.DUMMYFUNCTION("""COMPUTED_VALUE"""),"BK REGULAR")</f>
        <v>BK REGULAR</v>
      </c>
      <c r="W890" s="1" t="str">
        <f>IFERROR(__xludf.DUMMYFUNCTION("""COMPUTED_VALUE"""),"STK REGULAR")</f>
        <v>STK REGULAR</v>
      </c>
      <c r="X890" s="1" t="str">
        <f>IFERROR(__xludf.DUMMYFUNCTION("""COMPUTED_VALUE"""),"REGULAR")</f>
        <v>REGULAR</v>
      </c>
      <c r="Y890" s="1" t="str">
        <f>IFERROR(__xludf.DUMMYFUNCTION("""COMPUTED_VALUE"""),"BK_CVEU_261006")</f>
        <v>BK_CVEU_261006</v>
      </c>
      <c r="Z890" s="1" t="str">
        <f>IFERROR(__xludf.DUMMYFUNCTION("""COMPUTED_VALUE"""),"NEW CONNECT")</f>
        <v>NEW CONNECT</v>
      </c>
      <c r="AA890" s="1">
        <f>IFERROR(__xludf.DUMMYFUNCTION("""COMPUTED_VALUE"""),639626704883)</f>
        <v>639626704883</v>
      </c>
      <c r="AB890" s="1"/>
      <c r="AC890" s="1"/>
      <c r="AD890" s="1" t="str">
        <f>IFERROR(__xludf.DUMMYFUNCTION("""COMPUTED_VALUE"""),"NARRA 1")</f>
        <v>NARRA 1</v>
      </c>
      <c r="AE890" s="1"/>
      <c r="AF890" s="1" t="str">
        <f>IFERROR(__xludf.DUMMYFUNCTION("""COMPUTED_VALUE"""),"BGY NARRA 1")</f>
        <v>BGY NARRA 1</v>
      </c>
      <c r="AG890" s="1" t="str">
        <f>IFERROR(__xludf.DUMMYFUNCTION("""COMPUTED_VALUE"""),"SILANG")</f>
        <v>SILANG</v>
      </c>
      <c r="AH890" s="1" t="str">
        <f>IFERROR(__xludf.DUMMYFUNCTION("""COMPUTED_VALUE"""),"BRGY HALL")</f>
        <v>BRGY HALL</v>
      </c>
      <c r="AI890" s="1" t="str">
        <f>IFERROR(__xludf.DUMMYFUNCTION("""COMPUTED_VALUE"""),"CLUSTER 11")</f>
        <v>CLUSTER 11</v>
      </c>
    </row>
    <row r="891" customHeight="1" spans="1:35">
      <c r="A891" s="3">
        <f>IFERROR(__xludf.DUMMYFUNCTION("""COMPUTED_VALUE"""),46301)</f>
        <v>46301</v>
      </c>
      <c r="B891" s="1" t="str">
        <f>IFERROR(__xludf.DUMMYFUNCTION("""COMPUTED_VALUE""")," JOSEPH OLID MONTANO")</f>
        <v> JOSEPH OLID MONTANO</v>
      </c>
      <c r="C891" s="1">
        <f>IFERROR(__xludf.DUMMYFUNCTION("""COMPUTED_VALUE"""),2313000715)</f>
        <v>2313000715</v>
      </c>
      <c r="D891" s="1"/>
      <c r="E891" s="1"/>
      <c r="F891" s="1" t="str">
        <f>IFERROR(__xludf.DUMMYFUNCTION("""COMPUTED_VALUE"""),"CANCELLED")</f>
        <v>CANCELLED</v>
      </c>
      <c r="G891" s="1" t="str">
        <f>IFERROR(__xludf.DUMMYFUNCTION("""COMPUTED_VALUE"""),"CANCELLED")</f>
        <v>CANCELLED</v>
      </c>
      <c r="H891" s="1"/>
      <c r="I891" s="1"/>
      <c r="J891" s="1"/>
      <c r="K891" s="1"/>
      <c r="L891" s="1" t="str">
        <f>IFERROR(__xludf.DUMMYFUNCTION("""COMPUTED_VALUE"""),"CANCELLED")</f>
        <v>CANCELLED</v>
      </c>
      <c r="M891" s="1" t="str">
        <f>IFERROR(__xludf.DUMMYFUNCTION("""COMPUTED_VALUE"""),"CANCELLED - WITH OB")</f>
        <v>CANCELLED - WITH OB</v>
      </c>
      <c r="N891" s="3"/>
      <c r="O891" s="1" t="str">
        <f>IFERROR(__xludf.DUMMYFUNCTION("""COMPUTED_VALUE"""),"FIBR NETFLIX PLAN 1599")</f>
        <v>FIBR NETFLIX PLAN 1599</v>
      </c>
      <c r="P891" s="1" t="str">
        <f>IFERROR(__xludf.DUMMYFUNCTION("""COMPUTED_VALUE"""),"LOWPLAN")</f>
        <v>LOWPLAN</v>
      </c>
      <c r="Q891" s="1" t="str">
        <f>IFERROR(__xludf.DUMMYFUNCTION("""COMPUTED_VALUE"""),"P407565")</f>
        <v>P407565</v>
      </c>
      <c r="R891" s="1" t="str">
        <f>IFERROR(__xludf.DUMMYFUNCTION("""COMPUTED_VALUE"""),"MANDUCDOC, MARIANE")</f>
        <v>MANDUCDOC, MARIANE</v>
      </c>
      <c r="S891" s="1" t="str">
        <f>IFERROR(__xludf.DUMMYFUNCTION("""COMPUTED_VALUE"""),"ORGANIC")</f>
        <v>ORGANIC</v>
      </c>
      <c r="T891" s="1" t="str">
        <f>IFERROR(__xludf.DUMMYFUNCTION("""COMPUTED_VALUE"""),"LEA REMOLLO")</f>
        <v>LEA REMOLLO</v>
      </c>
      <c r="U891" s="1" t="str">
        <f>IFERROR(__xludf.DUMMYFUNCTION("""COMPUTED_VALUE"""),"JULIE ESPIRITU")</f>
        <v>JULIE ESPIRITU</v>
      </c>
      <c r="V891" s="1" t="str">
        <f>IFERROR(__xludf.DUMMYFUNCTION("""COMPUTED_VALUE"""),"BK REGULAR")</f>
        <v>BK REGULAR</v>
      </c>
      <c r="W891" s="1" t="str">
        <f>IFERROR(__xludf.DUMMYFUNCTION("""COMPUTED_VALUE"""),"STK REGULAR")</f>
        <v>STK REGULAR</v>
      </c>
      <c r="X891" s="1" t="str">
        <f>IFERROR(__xludf.DUMMYFUNCTION("""COMPUTED_VALUE"""),"REGULAR")</f>
        <v>REGULAR</v>
      </c>
      <c r="Y891" s="1" t="str">
        <f>IFERROR(__xludf.DUMMYFUNCTION("""COMPUTED_VALUE"""),"BK_CVEU_261004")</f>
        <v>BK_CVEU_261004</v>
      </c>
      <c r="Z891" s="1" t="str">
        <f>IFERROR(__xludf.DUMMYFUNCTION("""COMPUTED_VALUE"""),"NEW CONNECT")</f>
        <v>NEW CONNECT</v>
      </c>
      <c r="AA891" s="1">
        <f>IFERROR(__xludf.DUMMYFUNCTION("""COMPUTED_VALUE"""),639318177644)</f>
        <v>639318177644</v>
      </c>
      <c r="AB891" s="1"/>
      <c r="AC891" s="1"/>
      <c r="AD891" s="1" t="str">
        <f>IFERROR(__xludf.DUMMYFUNCTION("""COMPUTED_VALUE"""),"FRANCISCO REYES")</f>
        <v>FRANCISCO REYES</v>
      </c>
      <c r="AE891" s="1"/>
      <c r="AF891" s="1" t="str">
        <f>IFERROR(__xludf.DUMMYFUNCTION("""COMPUTED_VALUE"""),"BGY FRANCISCO REYES")</f>
        <v>BGY FRANCISCO REYES</v>
      </c>
      <c r="AG891" s="1" t="str">
        <f>IFERROR(__xludf.DUMMYFUNCTION("""COMPUTED_VALUE"""),"GEN MARIANO ALVAREZ")</f>
        <v>GEN MARIANO ALVAREZ</v>
      </c>
      <c r="AH891" s="1" t="str">
        <f>IFERROR(__xludf.DUMMYFUNCTION("""COMPUTED_VALUE"""),"INRONT OF PALENGKE")</f>
        <v>INRONT OF PALENGKE</v>
      </c>
      <c r="AI891" s="1" t="str">
        <f>IFERROR(__xludf.DUMMYFUNCTION("""COMPUTED_VALUE"""),"CLUSTER 11")</f>
        <v>CLUSTER 11</v>
      </c>
    </row>
    <row r="892" customHeight="1" spans="1:35">
      <c r="A892" s="3">
        <f>IFERROR(__xludf.DUMMYFUNCTION("""COMPUTED_VALUE"""),46301)</f>
        <v>46301</v>
      </c>
      <c r="B892" s="1" t="str">
        <f>IFERROR(__xludf.DUMMYFUNCTION("""COMPUTED_VALUE"""),"RANDEL BALLOZOS CANETE")</f>
        <v>RANDEL BALLOZOS CANETE</v>
      </c>
      <c r="C892" s="1">
        <f>IFERROR(__xludf.DUMMYFUNCTION("""COMPUTED_VALUE"""),2313000879)</f>
        <v>2313000879</v>
      </c>
      <c r="D892" s="1">
        <f>IFERROR(__xludf.DUMMYFUNCTION("""COMPUTED_VALUE"""),408721334)</f>
        <v>408721334</v>
      </c>
      <c r="E892" s="1">
        <f>IFERROR(__xludf.DUMMYFUNCTION("""COMPUTED_VALUE"""),474479492004)</f>
        <v>474479492004</v>
      </c>
      <c r="F892" s="1" t="str">
        <f>IFERROR(__xludf.DUMMYFUNCTION("""COMPUTED_VALUE"""),"CLOSED")</f>
        <v>CLOSED</v>
      </c>
      <c r="G892" s="1" t="str">
        <f>IFERROR(__xludf.DUMMYFUNCTION("""COMPUTED_VALUE"""),"CLOSED")</f>
        <v>CLOSED</v>
      </c>
      <c r="H892" s="1"/>
      <c r="I892" s="1" t="str">
        <f>IFERROR(__xludf.DUMMYFUNCTION("""COMPUTED_VALUE"""),"NO 1 AMSF")</f>
        <v>NO 1 AMSF</v>
      </c>
      <c r="J892" s="1" t="str">
        <f>IFERROR(__xludf.DUMMYFUNCTION("""COMPUTED_VALUE"""),"DUE DATE - 02-Nov-26 - 2,182.28")</f>
        <v>DUE DATE - 02-Nov-26 - 2,182.28</v>
      </c>
      <c r="K892" s="1" t="str">
        <f>IFERROR(__xludf.DUMMYFUNCTION("""COMPUTED_VALUE"""),"COMPLETED")</f>
        <v>COMPLETED</v>
      </c>
      <c r="L892" s="1" t="str">
        <f>IFERROR(__xludf.DUMMYFUNCTION("""COMPUTED_VALUE"""),"POSTED")</f>
        <v>POSTED</v>
      </c>
      <c r="M892" s="1" t="str">
        <f>IFERROR(__xludf.DUMMYFUNCTION("""COMPUTED_VALUE"""),"POSTED")</f>
        <v>POSTED</v>
      </c>
      <c r="N892" s="3">
        <f>IFERROR(__xludf.DUMMYFUNCTION("""COMPUTED_VALUE"""),46302)</f>
        <v>46302</v>
      </c>
      <c r="O892" s="1" t="str">
        <f>IFERROR(__xludf.DUMMYFUNCTION("""COMPUTED_VALUE"""),"FIBER UNLI ALL PLAN 1899")</f>
        <v>FIBER UNLI ALL PLAN 1899</v>
      </c>
      <c r="P892" s="1" t="str">
        <f>IFERROR(__xludf.DUMMYFUNCTION("""COMPUTED_VALUE"""),"HIGHPLAN")</f>
        <v>HIGHPLAN</v>
      </c>
      <c r="Q892" s="1" t="str">
        <f>IFERROR(__xludf.DUMMYFUNCTION("""COMPUTED_VALUE"""),"P407049")</f>
        <v>P407049</v>
      </c>
      <c r="R892" s="1" t="str">
        <f>IFERROR(__xludf.DUMMYFUNCTION("""COMPUTED_VALUE"""),"ALINGARO, CINDY")</f>
        <v>ALINGARO, CINDY</v>
      </c>
      <c r="S892" s="1" t="str">
        <f>IFERROR(__xludf.DUMMYFUNCTION("""COMPUTED_VALUE"""),"ORGANIC")</f>
        <v>ORGANIC</v>
      </c>
      <c r="T892" s="1" t="str">
        <f>IFERROR(__xludf.DUMMYFUNCTION("""COMPUTED_VALUE"""),"LEA REMOLLO")</f>
        <v>LEA REMOLLO</v>
      </c>
      <c r="U892" s="1" t="str">
        <f>IFERROR(__xludf.DUMMYFUNCTION("""COMPUTED_VALUE"""),"JB SALIOA")</f>
        <v>JB SALIOA</v>
      </c>
      <c r="V892" s="1" t="str">
        <f>IFERROR(__xludf.DUMMYFUNCTION("""COMPUTED_VALUE"""),"BK REGULAR")</f>
        <v>BK REGULAR</v>
      </c>
      <c r="W892" s="1" t="str">
        <f>IFERROR(__xludf.DUMMYFUNCTION("""COMPUTED_VALUE"""),"STK REGULAR")</f>
        <v>STK REGULAR</v>
      </c>
      <c r="X892" s="1" t="str">
        <f>IFERROR(__xludf.DUMMYFUNCTION("""COMPUTED_VALUE"""),"REGULAR")</f>
        <v>REGULAR</v>
      </c>
      <c r="Y892" s="1" t="str">
        <f>IFERROR(__xludf.DUMMYFUNCTION("""COMPUTED_VALUE"""),"BK_CVEU_261005")</f>
        <v>BK_CVEU_261005</v>
      </c>
      <c r="Z892" s="1" t="str">
        <f>IFERROR(__xludf.DUMMYFUNCTION("""COMPUTED_VALUE"""),"NEW CONNECT")</f>
        <v>NEW CONNECT</v>
      </c>
      <c r="AA892" s="1">
        <f>IFERROR(__xludf.DUMMYFUNCTION("""COMPUTED_VALUE"""),639219282401)</f>
        <v>639219282401</v>
      </c>
      <c r="AB892" s="1">
        <f>IFERROR(__xludf.DUMMYFUNCTION("""COMPUTED_VALUE"""),639958843823)</f>
        <v>639958843823</v>
      </c>
      <c r="AC892" s="1">
        <f>IFERROR(__xludf.DUMMYFUNCTION("""COMPUTED_VALUE"""),92)</f>
        <v>92</v>
      </c>
      <c r="AD892" s="1" t="str">
        <f>IFERROR(__xludf.DUMMYFUNCTION("""COMPUTED_VALUE"""),"ZAMORA")</f>
        <v>ZAMORA</v>
      </c>
      <c r="AE892" s="1"/>
      <c r="AF892" s="1" t="str">
        <f>IFERROR(__xludf.DUMMYFUNCTION("""COMPUTED_VALUE"""),"BGY ASIS 1")</f>
        <v>BGY ASIS 1</v>
      </c>
      <c r="AG892" s="1" t="str">
        <f>IFERROR(__xludf.DUMMYFUNCTION("""COMPUTED_VALUE"""),"MENDEZ")</f>
        <v>MENDEZ</v>
      </c>
      <c r="AH892" s="1" t="str">
        <f>IFERROR(__xludf.DUMMYFUNCTION("""COMPUTED_VALUE"""),"GRAINSMART STORE")</f>
        <v>GRAINSMART STORE</v>
      </c>
      <c r="AI892" s="1" t="str">
        <f>IFERROR(__xludf.DUMMYFUNCTION("""COMPUTED_VALUE"""),"CLUSTER 12")</f>
        <v>CLUSTER 12</v>
      </c>
    </row>
    <row r="893" customHeight="1" spans="1:35">
      <c r="A893" s="3">
        <f>IFERROR(__xludf.DUMMYFUNCTION("""COMPUTED_VALUE"""),46301)</f>
        <v>46301</v>
      </c>
      <c r="B893" s="1" t="str">
        <f>IFERROR(__xludf.DUMMYFUNCTION("""COMPUTED_VALUE""")," MA MAGDALENA SURLA PEGA")</f>
        <v> MA MAGDALENA SURLA PEGA</v>
      </c>
      <c r="C893" s="1">
        <f>IFERROR(__xludf.DUMMYFUNCTION("""COMPUTED_VALUE"""),2313001045)</f>
        <v>2313001045</v>
      </c>
      <c r="D893" s="1"/>
      <c r="E893" s="1"/>
      <c r="F893" s="1" t="str">
        <f>IFERROR(__xludf.DUMMYFUNCTION("""COMPUTED_VALUE"""),"CANCELLED")</f>
        <v>CANCELLED</v>
      </c>
      <c r="G893" s="1" t="str">
        <f>IFERROR(__xludf.DUMMYFUNCTION("""COMPUTED_VALUE"""),"CANCELLED")</f>
        <v>CANCELLED</v>
      </c>
      <c r="H893" s="1"/>
      <c r="I893" s="1"/>
      <c r="J893" s="1"/>
      <c r="K893" s="1"/>
      <c r="L893" s="1" t="str">
        <f>IFERROR(__xludf.DUMMYFUNCTION("""COMPUTED_VALUE"""),"CANCELLED")</f>
        <v>CANCELLED</v>
      </c>
      <c r="M893" s="1" t="str">
        <f>IFERROR(__xludf.DUMMYFUNCTION("""COMPUTED_VALUE"""),"CANCELLED - WITH OB")</f>
        <v>CANCELLED - WITH OB</v>
      </c>
      <c r="N893" s="3"/>
      <c r="O893" s="1" t="str">
        <f>IFERROR(__xludf.DUMMYFUNCTION("""COMPUTED_VALUE"""),"FIBR PLAN 1299")</f>
        <v>FIBR PLAN 1299</v>
      </c>
      <c r="P893" s="1" t="str">
        <f>IFERROR(__xludf.DUMMYFUNCTION("""COMPUTED_VALUE"""),"LOWPLAN")</f>
        <v>LOWPLAN</v>
      </c>
      <c r="Q893" s="1" t="str">
        <f>IFERROR(__xludf.DUMMYFUNCTION("""COMPUTED_VALUE"""),"P407050 ")</f>
        <v>P407050 </v>
      </c>
      <c r="R893" s="1" t="str">
        <f>IFERROR(__xludf.DUMMYFUNCTION("""COMPUTED_VALUE"""),"ESCARCHA, ALMA")</f>
        <v>ESCARCHA, ALMA</v>
      </c>
      <c r="S893" s="1" t="str">
        <f>IFERROR(__xludf.DUMMYFUNCTION("""COMPUTED_VALUE"""),"ORGANIC")</f>
        <v>ORGANIC</v>
      </c>
      <c r="T893" s="1" t="str">
        <f>IFERROR(__xludf.DUMMYFUNCTION("""COMPUTED_VALUE"""),"LEA REMOLLO")</f>
        <v>LEA REMOLLO</v>
      </c>
      <c r="U893" s="1" t="str">
        <f>IFERROR(__xludf.DUMMYFUNCTION("""COMPUTED_VALUE"""),"JULIE ESPIRITU")</f>
        <v>JULIE ESPIRITU</v>
      </c>
      <c r="V893" s="1" t="str">
        <f>IFERROR(__xludf.DUMMYFUNCTION("""COMPUTED_VALUE"""),"BK REGULAR")</f>
        <v>BK REGULAR</v>
      </c>
      <c r="W893" s="1" t="str">
        <f>IFERROR(__xludf.DUMMYFUNCTION("""COMPUTED_VALUE"""),"STK REGULAR")</f>
        <v>STK REGULAR</v>
      </c>
      <c r="X893" s="1" t="str">
        <f>IFERROR(__xludf.DUMMYFUNCTION("""COMPUTED_VALUE"""),"REGULAR")</f>
        <v>REGULAR</v>
      </c>
      <c r="Y893" s="1" t="str">
        <f>IFERROR(__xludf.DUMMYFUNCTION("""COMPUTED_VALUE"""),"BK_CVEU_261001")</f>
        <v>BK_CVEU_261001</v>
      </c>
      <c r="Z893" s="1" t="str">
        <f>IFERROR(__xludf.DUMMYFUNCTION("""COMPUTED_VALUE"""),"NEW CONNECT")</f>
        <v>NEW CONNECT</v>
      </c>
      <c r="AA893" s="1">
        <f>IFERROR(__xludf.DUMMYFUNCTION("""COMPUTED_VALUE"""),639283976279)</f>
        <v>639283976279</v>
      </c>
      <c r="AB893" s="1"/>
      <c r="AC893" s="1"/>
      <c r="AD893" s="1" t="str">
        <f>IFERROR(__xludf.DUMMYFUNCTION("""COMPUTED_VALUE"""),"SITIO KAYTAYO")</f>
        <v>SITIO KAYTAYO</v>
      </c>
      <c r="AE893" s="1" t="str">
        <f>IFERROR(__xludf.DUMMYFUNCTION("""COMPUTED_VALUE"""),"PUROK 5")</f>
        <v>PUROK 5</v>
      </c>
      <c r="AF893" s="1" t="str">
        <f>IFERROR(__xludf.DUMMYFUNCTION("""COMPUTED_VALUE"""),"BGY STA TERESA")</f>
        <v>BGY STA TERESA</v>
      </c>
      <c r="AG893" s="1" t="str">
        <f>IFERROR(__xludf.DUMMYFUNCTION("""COMPUTED_VALUE"""),"ALFONSO")</f>
        <v>ALFONSO</v>
      </c>
      <c r="AH893" s="1" t="str">
        <f>IFERROR(__xludf.DUMMYFUNCTION("""COMPUTED_VALUE"""),"BGY HALL")</f>
        <v>BGY HALL</v>
      </c>
      <c r="AI893" s="1" t="str">
        <f>IFERROR(__xludf.DUMMYFUNCTION("""COMPUTED_VALUE"""),"CLUSTER 12")</f>
        <v>CLUSTER 12</v>
      </c>
    </row>
    <row r="894" customHeight="1" spans="1:35">
      <c r="A894" s="3">
        <f>IFERROR(__xludf.DUMMYFUNCTION("""COMPUTED_VALUE"""),46301)</f>
        <v>46301</v>
      </c>
      <c r="B894" s="1" t="str">
        <f>IFERROR(__xludf.DUMMYFUNCTION("""COMPUTED_VALUE""")," ROMEO ORTIZ HONDO")</f>
        <v> ROMEO ORTIZ HONDO</v>
      </c>
      <c r="C894" s="1">
        <f>IFERROR(__xludf.DUMMYFUNCTION("""COMPUTED_VALUE"""),2313001337)</f>
        <v>2313001337</v>
      </c>
      <c r="D894" s="1"/>
      <c r="E894" s="1"/>
      <c r="F894" s="1" t="str">
        <f>IFERROR(__xludf.DUMMYFUNCTION("""COMPUTED_VALUE"""),"CANCELLED")</f>
        <v>CANCELLED</v>
      </c>
      <c r="G894" s="1" t="str">
        <f>IFERROR(__xludf.DUMMYFUNCTION("""COMPUTED_VALUE"""),"CANCELLED")</f>
        <v>CANCELLED</v>
      </c>
      <c r="H894" s="1"/>
      <c r="I894" s="1"/>
      <c r="J894" s="1"/>
      <c r="K894" s="1"/>
      <c r="L894" s="1" t="str">
        <f>IFERROR(__xludf.DUMMYFUNCTION("""COMPUTED_VALUE"""),"CANCELLED")</f>
        <v>CANCELLED</v>
      </c>
      <c r="M894" s="1" t="str">
        <f>IFERROR(__xludf.DUMMYFUNCTION("""COMPUTED_VALUE"""),"CANCELLED - WITH OB")</f>
        <v>CANCELLED - WITH OB</v>
      </c>
      <c r="N894" s="3"/>
      <c r="O894" s="1" t="str">
        <f>IFERROR(__xludf.DUMMYFUNCTION("""COMPUTED_VALUE"""),"FIBR PLAN 1299")</f>
        <v>FIBR PLAN 1299</v>
      </c>
      <c r="P894" s="1" t="str">
        <f>IFERROR(__xludf.DUMMYFUNCTION("""COMPUTED_VALUE"""),"LOWPLAN")</f>
        <v>LOWPLAN</v>
      </c>
      <c r="Q894" s="1" t="str">
        <f>IFERROR(__xludf.DUMMYFUNCTION("""COMPUTED_VALUE"""),"P407561")</f>
        <v>P407561</v>
      </c>
      <c r="R894" s="1" t="str">
        <f>IFERROR(__xludf.DUMMYFUNCTION("""COMPUTED_VALUE"""),"TAMAYO, MARY ROSE ZAIRA")</f>
        <v>TAMAYO, MARY ROSE ZAIRA</v>
      </c>
      <c r="S894" s="1" t="str">
        <f>IFERROR(__xludf.DUMMYFUNCTION("""COMPUTED_VALUE"""),"ORGANIC")</f>
        <v>ORGANIC</v>
      </c>
      <c r="T894" s="1" t="str">
        <f>IFERROR(__xludf.DUMMYFUNCTION("""COMPUTED_VALUE"""),"LEA REMOLLO")</f>
        <v>LEA REMOLLO</v>
      </c>
      <c r="U894" s="1" t="str">
        <f>IFERROR(__xludf.DUMMYFUNCTION("""COMPUTED_VALUE"""),"JULIE ESPIRITU")</f>
        <v>JULIE ESPIRITU</v>
      </c>
      <c r="V894" s="1" t="str">
        <f>IFERROR(__xludf.DUMMYFUNCTION("""COMPUTED_VALUE"""),"BK REGULAR")</f>
        <v>BK REGULAR</v>
      </c>
      <c r="W894" s="1" t="str">
        <f>IFERROR(__xludf.DUMMYFUNCTION("""COMPUTED_VALUE"""),"STK REGULAR")</f>
        <v>STK REGULAR</v>
      </c>
      <c r="X894" s="1" t="str">
        <f>IFERROR(__xludf.DUMMYFUNCTION("""COMPUTED_VALUE"""),"REGULAR")</f>
        <v>REGULAR</v>
      </c>
      <c r="Y894" s="1" t="str">
        <f>IFERROR(__xludf.DUMMYFUNCTION("""COMPUTED_VALUE"""),"BK_CVEU_261005")</f>
        <v>BK_CVEU_261005</v>
      </c>
      <c r="Z894" s="1" t="str">
        <f>IFERROR(__xludf.DUMMYFUNCTION("""COMPUTED_VALUE"""),"NEW CONNECT")</f>
        <v>NEW CONNECT</v>
      </c>
      <c r="AA894" s="1">
        <f>IFERROR(__xludf.DUMMYFUNCTION("""COMPUTED_VALUE"""),639659904386)</f>
        <v>639659904386</v>
      </c>
      <c r="AB894" s="1"/>
      <c r="AC894" s="1">
        <f>IFERROR(__xludf.DUMMYFUNCTION("""COMPUTED_VALUE"""),72)</f>
        <v>72</v>
      </c>
      <c r="AD894" s="1" t="str">
        <f>IFERROR(__xludf.DUMMYFUNCTION("""COMPUTED_VALUE"""),"MABINI")</f>
        <v>MABINI</v>
      </c>
      <c r="AE894" s="1"/>
      <c r="AF894" s="1" t="str">
        <f>IFERROR(__xludf.DUMMYFUNCTION("""COMPUTED_VALUE"""),"BGY 3")</f>
        <v>BGY 3</v>
      </c>
      <c r="AG894" s="1" t="str">
        <f>IFERROR(__xludf.DUMMYFUNCTION("""COMPUTED_VALUE"""),"MENDEZ")</f>
        <v>MENDEZ</v>
      </c>
      <c r="AH894" s="1" t="str">
        <f>IFERROR(__xludf.DUMMYFUNCTION("""COMPUTED_VALUE"""),"-")</f>
        <v>-</v>
      </c>
      <c r="AI894" s="1" t="str">
        <f>IFERROR(__xludf.DUMMYFUNCTION("""COMPUTED_VALUE"""),"CLUSTER 12")</f>
        <v>CLUSTER 12</v>
      </c>
    </row>
    <row r="895" customHeight="1" spans="1:35">
      <c r="A895" s="3">
        <f>IFERROR(__xludf.DUMMYFUNCTION("""COMPUTED_VALUE"""),46301)</f>
        <v>46301</v>
      </c>
      <c r="B895" s="1" t="str">
        <f>IFERROR(__xludf.DUMMYFUNCTION("""COMPUTED_VALUE"""),"BRANDEN CABRERA CARANDANG")</f>
        <v>BRANDEN CABRERA CARANDANG</v>
      </c>
      <c r="C895" s="1">
        <f>IFERROR(__xludf.DUMMYFUNCTION("""COMPUTED_VALUE"""),2313001338)</f>
        <v>2313001338</v>
      </c>
      <c r="D895" s="1"/>
      <c r="E895" s="1"/>
      <c r="F895" s="1" t="str">
        <f>IFERROR(__xludf.DUMMYFUNCTION("""COMPUTED_VALUE"""),"CANCELLED")</f>
        <v>CANCELLED</v>
      </c>
      <c r="G895" s="1" t="str">
        <f>IFERROR(__xludf.DUMMYFUNCTION("""COMPUTED_VALUE"""),"CANCELLED")</f>
        <v>CANCELLED</v>
      </c>
      <c r="H895" s="1"/>
      <c r="I895" s="1"/>
      <c r="J895" s="1"/>
      <c r="K895" s="1"/>
      <c r="L895" s="1" t="str">
        <f>IFERROR(__xludf.DUMMYFUNCTION("""COMPUTED_VALUE"""),"CANCELLED")</f>
        <v>CANCELLED</v>
      </c>
      <c r="M895" s="1" t="str">
        <f>IFERROR(__xludf.DUMMYFUNCTION("""COMPUTED_VALUE"""),"CANCELLED - WITH OB")</f>
        <v>CANCELLED - WITH OB</v>
      </c>
      <c r="N895" s="3"/>
      <c r="O895" s="1" t="str">
        <f>IFERROR(__xludf.DUMMYFUNCTION("""COMPUTED_VALUE"""),"SWITCH FIBER 1699")</f>
        <v>SWITCH FIBER 1699</v>
      </c>
      <c r="P895" s="1" t="str">
        <f>IFERROR(__xludf.DUMMYFUNCTION("""COMPUTED_VALUE"""),"SWITCH")</f>
        <v>SWITCH</v>
      </c>
      <c r="Q895" s="1" t="str">
        <f>IFERROR(__xludf.DUMMYFUNCTION("""COMPUTED_VALUE"""),"P407566")</f>
        <v>P407566</v>
      </c>
      <c r="R895" s="1" t="str">
        <f>IFERROR(__xludf.DUMMYFUNCTION("""COMPUTED_VALUE"""),"DENACO, RODNEY")</f>
        <v>DENACO, RODNEY</v>
      </c>
      <c r="S895" s="1" t="str">
        <f>IFERROR(__xludf.DUMMYFUNCTION("""COMPUTED_VALUE"""),"ORGANIC")</f>
        <v>ORGANIC</v>
      </c>
      <c r="T895" s="1" t="str">
        <f>IFERROR(__xludf.DUMMYFUNCTION("""COMPUTED_VALUE"""),"LEA REMOLLO")</f>
        <v>LEA REMOLLO</v>
      </c>
      <c r="U895" s="1" t="str">
        <f>IFERROR(__xludf.DUMMYFUNCTION("""COMPUTED_VALUE"""),"JB SALIOA")</f>
        <v>JB SALIOA</v>
      </c>
      <c r="V895" s="1" t="str">
        <f>IFERROR(__xludf.DUMMYFUNCTION("""COMPUTED_VALUE"""),"ONLINE/CRANFORD")</f>
        <v>ONLINE/CRANFORD</v>
      </c>
      <c r="W895" s="1" t="str">
        <f>IFERROR(__xludf.DUMMYFUNCTION("""COMPUTED_VALUE"""),"STK REGULAR")</f>
        <v>STK REGULAR</v>
      </c>
      <c r="X895" s="1" t="str">
        <f>IFERROR(__xludf.DUMMYFUNCTION("""COMPUTED_VALUE"""),"ANTI COMPETITOR")</f>
        <v>ANTI COMPETITOR</v>
      </c>
      <c r="Y895" s="1" t="str">
        <f>IFERROR(__xludf.DUMMYFUNCTION("""COMPUTED_VALUE"""),"RS_SS_CVEU_2026")</f>
        <v>RS_SS_CVEU_2026</v>
      </c>
      <c r="Z895" s="1" t="str">
        <f>IFERROR(__xludf.DUMMYFUNCTION("""COMPUTED_VALUE"""),"NEW CONNECT")</f>
        <v>NEW CONNECT</v>
      </c>
      <c r="AA895" s="1">
        <f>IFERROR(__xludf.DUMMYFUNCTION("""COMPUTED_VALUE"""),639277939004)</f>
        <v>639277939004</v>
      </c>
      <c r="AB895" s="1"/>
      <c r="AC895" s="1">
        <f>IFERROR(__xludf.DUMMYFUNCTION("""COMPUTED_VALUE"""),99)</f>
        <v>99</v>
      </c>
      <c r="AD895" s="1" t="str">
        <f>IFERROR(__xludf.DUMMYFUNCTION("""COMPUTED_VALUE"""),"RESURECTION")</f>
        <v>RESURECTION</v>
      </c>
      <c r="AE895" s="1"/>
      <c r="AF895" s="1" t="str">
        <f>IFERROR(__xludf.DUMMYFUNCTION("""COMPUTED_VALUE"""),"BGY JULUGAN 5")</f>
        <v>BGY JULUGAN 5</v>
      </c>
      <c r="AG895" s="1" t="str">
        <f>IFERROR(__xludf.DUMMYFUNCTION("""COMPUTED_VALUE"""),"TANZA")</f>
        <v>TANZA</v>
      </c>
      <c r="AH895" s="1" t="str">
        <f>IFERROR(__xludf.DUMMYFUNCTION("""COMPUTED_VALUE"""),"BRGY HALL")</f>
        <v>BRGY HALL</v>
      </c>
      <c r="AI895" s="1" t="str">
        <f>IFERROR(__xludf.DUMMYFUNCTION("""COMPUTED_VALUE"""),"NOT AOR")</f>
        <v>NOT AOR</v>
      </c>
    </row>
    <row r="896" customHeight="1" spans="1:35">
      <c r="A896" s="3">
        <f>IFERROR(__xludf.DUMMYFUNCTION("""COMPUTED_VALUE"""),46301)</f>
        <v>46301</v>
      </c>
      <c r="B896" s="1" t="str">
        <f>IFERROR(__xludf.DUMMYFUNCTION("""COMPUTED_VALUE"""),"RYAN NICHOLAS REYES PINEDA")</f>
        <v>RYAN NICHOLAS REYES PINEDA</v>
      </c>
      <c r="C896" s="1">
        <f>IFERROR(__xludf.DUMMYFUNCTION("""COMPUTED_VALUE"""),2313001807)</f>
        <v>2313001807</v>
      </c>
      <c r="D896" s="1"/>
      <c r="E896" s="1"/>
      <c r="F896" s="1" t="str">
        <f>IFERROR(__xludf.DUMMYFUNCTION("""COMPUTED_VALUE"""),"CANCELLED")</f>
        <v>CANCELLED</v>
      </c>
      <c r="G896" s="1" t="str">
        <f>IFERROR(__xludf.DUMMYFUNCTION("""COMPUTED_VALUE"""),"CANCELLED")</f>
        <v>CANCELLED</v>
      </c>
      <c r="H896" s="1"/>
      <c r="I896" s="1"/>
      <c r="J896" s="1"/>
      <c r="K896" s="1"/>
      <c r="L896" s="1" t="str">
        <f>IFERROR(__xludf.DUMMYFUNCTION("""COMPUTED_VALUE"""),"CANCELLED")</f>
        <v>CANCELLED</v>
      </c>
      <c r="M896" s="1" t="str">
        <f>IFERROR(__xludf.DUMMYFUNCTION("""COMPUTED_VALUE"""),"CANCELLED - WITH OB")</f>
        <v>CANCELLED - WITH OB</v>
      </c>
      <c r="N896" s="3"/>
      <c r="O896" s="1" t="str">
        <f>IFERROR(__xludf.DUMMYFUNCTION("""COMPUTED_VALUE"""),"FIBR UNLI ALL PLAN 999")</f>
        <v>FIBR UNLI ALL PLAN 999</v>
      </c>
      <c r="P896" s="1" t="str">
        <f>IFERROR(__xludf.DUMMYFUNCTION("""COMPUTED_VALUE"""),"LOWPLAN")</f>
        <v>LOWPLAN</v>
      </c>
      <c r="Q896" s="1" t="str">
        <f>IFERROR(__xludf.DUMMYFUNCTION("""COMPUTED_VALUE"""),"P407566")</f>
        <v>P407566</v>
      </c>
      <c r="R896" s="1" t="str">
        <f>IFERROR(__xludf.DUMMYFUNCTION("""COMPUTED_VALUE"""),"DENACO, RODNEY")</f>
        <v>DENACO, RODNEY</v>
      </c>
      <c r="S896" s="1" t="str">
        <f>IFERROR(__xludf.DUMMYFUNCTION("""COMPUTED_VALUE"""),"ORGANIC")</f>
        <v>ORGANIC</v>
      </c>
      <c r="T896" s="1" t="str">
        <f>IFERROR(__xludf.DUMMYFUNCTION("""COMPUTED_VALUE"""),"LEA REMOLLO")</f>
        <v>LEA REMOLLO</v>
      </c>
      <c r="U896" s="1" t="str">
        <f>IFERROR(__xludf.DUMMYFUNCTION("""COMPUTED_VALUE"""),"JB SALIOA")</f>
        <v>JB SALIOA</v>
      </c>
      <c r="V896" s="1" t="str">
        <f>IFERROR(__xludf.DUMMYFUNCTION("""COMPUTED_VALUE"""),"BK REGULAR")</f>
        <v>BK REGULAR</v>
      </c>
      <c r="W896" s="1" t="str">
        <f>IFERROR(__xludf.DUMMYFUNCTION("""COMPUTED_VALUE"""),"STK REGULAR")</f>
        <v>STK REGULAR</v>
      </c>
      <c r="X896" s="1" t="str">
        <f>IFERROR(__xludf.DUMMYFUNCTION("""COMPUTED_VALUE"""),"REGULAR")</f>
        <v>REGULAR</v>
      </c>
      <c r="Y896" s="1" t="str">
        <f>IFERROR(__xludf.DUMMYFUNCTION("""COMPUTED_VALUE"""),"BK_CVEU_261007")</f>
        <v>BK_CVEU_261007</v>
      </c>
      <c r="Z896" s="1" t="str">
        <f>IFERROR(__xludf.DUMMYFUNCTION("""COMPUTED_VALUE"""),"NEW CONNECT")</f>
        <v>NEW CONNECT</v>
      </c>
      <c r="AA896" s="1">
        <f>IFERROR(__xludf.DUMMYFUNCTION("""COMPUTED_VALUE"""),639988696924)</f>
        <v>639988696924</v>
      </c>
      <c r="AB896" s="1"/>
      <c r="AC896" s="1"/>
      <c r="AD896" s="1" t="str">
        <f>IFERROR(__xludf.DUMMYFUNCTION("""COMPUTED_VALUE"""),"GEN E AGUINALDO")</f>
        <v>GEN E AGUINALDO</v>
      </c>
      <c r="AE896" s="1" t="str">
        <f>IFERROR(__xludf.DUMMYFUNCTION("""COMPUTED_VALUE"""),"WIND RESIDENCES TOWER 5")</f>
        <v>WIND RESIDENCES TOWER 5</v>
      </c>
      <c r="AF896" s="1" t="str">
        <f>IFERROR(__xludf.DUMMYFUNCTION("""COMPUTED_VALUE"""),"BGY MAHARLIKA WEST")</f>
        <v>BGY MAHARLIKA WEST</v>
      </c>
      <c r="AG896" s="1" t="str">
        <f>IFERROR(__xludf.DUMMYFUNCTION("""COMPUTED_VALUE"""),"TAGAYTAY")</f>
        <v>TAGAYTAY</v>
      </c>
      <c r="AH896" s="1" t="str">
        <f>IFERROR(__xludf.DUMMYFUNCTION("""COMPUTED_VALUE"""),"NEAR PETRON TAGAYTAY")</f>
        <v>NEAR PETRON TAGAYTAY</v>
      </c>
      <c r="AI896" s="1" t="str">
        <f>IFERROR(__xludf.DUMMYFUNCTION("""COMPUTED_VALUE"""),"CLUSTER 12")</f>
        <v>CLUSTER 12</v>
      </c>
    </row>
    <row r="897" customHeight="1" spans="1:35">
      <c r="A897" s="3">
        <f>IFERROR(__xludf.DUMMYFUNCTION("""COMPUTED_VALUE"""),46301)</f>
        <v>46301</v>
      </c>
      <c r="B897" s="1" t="str">
        <f>IFERROR(__xludf.DUMMYFUNCTION("""COMPUTED_VALUE"""),"JEANETTE CLAMOR MONROY")</f>
        <v>JEANETTE CLAMOR MONROY</v>
      </c>
      <c r="C897" s="1">
        <f>IFERROR(__xludf.DUMMYFUNCTION("""COMPUTED_VALUE"""),2313002702)</f>
        <v>2313002702</v>
      </c>
      <c r="D897" s="1"/>
      <c r="E897" s="1"/>
      <c r="F897" s="1" t="str">
        <f>IFERROR(__xludf.DUMMYFUNCTION("""COMPUTED_VALUE"""),"CANCELLED")</f>
        <v>CANCELLED</v>
      </c>
      <c r="G897" s="1" t="str">
        <f>IFERROR(__xludf.DUMMYFUNCTION("""COMPUTED_VALUE"""),"CANCELLED")</f>
        <v>CANCELLED</v>
      </c>
      <c r="H897" s="1"/>
      <c r="I897" s="1"/>
      <c r="J897" s="1"/>
      <c r="K897" s="1"/>
      <c r="L897" s="1" t="str">
        <f>IFERROR(__xludf.DUMMYFUNCTION("""COMPUTED_VALUE"""),"CANCELLED")</f>
        <v>CANCELLED</v>
      </c>
      <c r="M897" s="1" t="str">
        <f>IFERROR(__xludf.DUMMYFUNCTION("""COMPUTED_VALUE"""),"CANCELLED - WITH OB")</f>
        <v>CANCELLED - WITH OB</v>
      </c>
      <c r="N897" s="3"/>
      <c r="O897" s="1" t="str">
        <f>IFERROR(__xludf.DUMMYFUNCTION("""COMPUTED_VALUE"""),"FIBR PLAN 1699")</f>
        <v>FIBR PLAN 1699</v>
      </c>
      <c r="P897" s="1" t="str">
        <f>IFERROR(__xludf.DUMMYFUNCTION("""COMPUTED_VALUE"""),"HIGHPLAN")</f>
        <v>HIGHPLAN</v>
      </c>
      <c r="Q897" s="1" t="str">
        <f>IFERROR(__xludf.DUMMYFUNCTION("""COMPUTED_VALUE"""),"P407566")</f>
        <v>P407566</v>
      </c>
      <c r="R897" s="1" t="str">
        <f>IFERROR(__xludf.DUMMYFUNCTION("""COMPUTED_VALUE"""),"DE VERA, MARIVIC")</f>
        <v>DE VERA, MARIVIC</v>
      </c>
      <c r="S897" s="1" t="str">
        <f>IFERROR(__xludf.DUMMYFUNCTION("""COMPUTED_VALUE"""),"ORGANIC")</f>
        <v>ORGANIC</v>
      </c>
      <c r="T897" s="1" t="str">
        <f>IFERROR(__xludf.DUMMYFUNCTION("""COMPUTED_VALUE"""),"LEA REMOLLO")</f>
        <v>LEA REMOLLO</v>
      </c>
      <c r="U897" s="1" t="str">
        <f>IFERROR(__xludf.DUMMYFUNCTION("""COMPUTED_VALUE"""),"JB SALIOA")</f>
        <v>JB SALIOA</v>
      </c>
      <c r="V897" s="1" t="str">
        <f>IFERROR(__xludf.DUMMYFUNCTION("""COMPUTED_VALUE"""),"BK REGULAR")</f>
        <v>BK REGULAR</v>
      </c>
      <c r="W897" s="1" t="str">
        <f>IFERROR(__xludf.DUMMYFUNCTION("""COMPUTED_VALUE"""),"STK REGULAR")</f>
        <v>STK REGULAR</v>
      </c>
      <c r="X897" s="1" t="str">
        <f>IFERROR(__xludf.DUMMYFUNCTION("""COMPUTED_VALUE"""),"REGULAR")</f>
        <v>REGULAR</v>
      </c>
      <c r="Y897" s="1" t="str">
        <f>IFERROR(__xludf.DUMMYFUNCTION("""COMPUTED_VALUE"""),"RS_SS_CVEU_2026")</f>
        <v>RS_SS_CVEU_2026</v>
      </c>
      <c r="Z897" s="1" t="str">
        <f>IFERROR(__xludf.DUMMYFUNCTION("""COMPUTED_VALUE"""),"NEW CONNECT")</f>
        <v>NEW CONNECT</v>
      </c>
      <c r="AA897" s="1">
        <f>IFERROR(__xludf.DUMMYFUNCTION("""COMPUTED_VALUE"""),639088150531)</f>
        <v>639088150531</v>
      </c>
      <c r="AB897" s="1"/>
      <c r="AC897" s="1">
        <f>IFERROR(__xludf.DUMMYFUNCTION("""COMPUTED_VALUE"""),1122)</f>
        <v>1122</v>
      </c>
      <c r="AD897" s="1" t="str">
        <f>IFERROR(__xludf.DUMMYFUNCTION("""COMPUTED_VALUE"""),"ILAYA")</f>
        <v>ILAYA</v>
      </c>
      <c r="AE897" s="1" t="str">
        <f>IFERROR(__xludf.DUMMYFUNCTION("""COMPUTED_VALUE"""),"PUROK 7")</f>
        <v>PUROK 7</v>
      </c>
      <c r="AF897" s="1" t="str">
        <f>IFERROR(__xludf.DUMMYFUNCTION("""COMPUTED_VALUE"""),"BGY GUYAM MALAKI")</f>
        <v>BGY GUYAM MALAKI</v>
      </c>
      <c r="AG897" s="1" t="str">
        <f>IFERROR(__xludf.DUMMYFUNCTION("""COMPUTED_VALUE"""),"INDANG")</f>
        <v>INDANG</v>
      </c>
      <c r="AH897" s="1" t="str">
        <f>IFERROR(__xludf.DUMMYFUNCTION("""COMPUTED_VALUE"""),"STAYCATION HOUSE")</f>
        <v>STAYCATION HOUSE</v>
      </c>
      <c r="AI897" s="1" t="str">
        <f>IFERROR(__xludf.DUMMYFUNCTION("""COMPUTED_VALUE"""),"NOT AOR")</f>
        <v>NOT AOR</v>
      </c>
    </row>
    <row r="898" customHeight="1" spans="1:35">
      <c r="A898" s="3">
        <f>IFERROR(__xludf.DUMMYFUNCTION("""COMPUTED_VALUE"""),46302)</f>
        <v>46302</v>
      </c>
      <c r="B898" s="1" t="str">
        <f>IFERROR(__xludf.DUMMYFUNCTION("""COMPUTED_VALUE"""),"MARY JANE . AMISTAD")</f>
        <v>MARY JANE . AMISTAD</v>
      </c>
      <c r="C898" s="1">
        <f>IFERROR(__xludf.DUMMYFUNCTION("""COMPUTED_VALUE"""),2313017208)</f>
        <v>2313017208</v>
      </c>
      <c r="D898" s="1">
        <f>IFERROR(__xludf.DUMMYFUNCTION("""COMPUTED_VALUE"""),408757266)</f>
        <v>408757266</v>
      </c>
      <c r="E898" s="1">
        <f>IFERROR(__xludf.DUMMYFUNCTION("""COMPUTED_VALUE"""),474600843004)</f>
        <v>474600843004</v>
      </c>
      <c r="F898" s="1" t="str">
        <f>IFERROR(__xludf.DUMMYFUNCTION("""COMPUTED_VALUE"""),"CLOSED")</f>
        <v>CLOSED</v>
      </c>
      <c r="G898" s="1" t="str">
        <f>IFERROR(__xludf.DUMMYFUNCTION("""COMPUTED_VALUE"""),"CLOSED")</f>
        <v>CLOSED</v>
      </c>
      <c r="H898" s="1"/>
      <c r="I898" s="1" t="str">
        <f>IFERROR(__xludf.DUMMYFUNCTION("""COMPUTED_VALUE"""),"NO 1 AMSF")</f>
        <v>NO 1 AMSF</v>
      </c>
      <c r="J898" s="1" t="str">
        <f>IFERROR(__xludf.DUMMYFUNCTION("""COMPUTED_VALUE"""),"DUE DATE - 02-Nov-26 -1,445.64")</f>
        <v>DUE DATE - 02-Nov-26 -1,445.64</v>
      </c>
      <c r="K898" s="1" t="str">
        <f>IFERROR(__xludf.DUMMYFUNCTION("""COMPUTED_VALUE"""),"COMPLETED")</f>
        <v>COMPLETED</v>
      </c>
      <c r="L898" s="1" t="str">
        <f>IFERROR(__xludf.DUMMYFUNCTION("""COMPUTED_VALUE"""),"POSTED")</f>
        <v>POSTED</v>
      </c>
      <c r="M898" s="1" t="str">
        <f>IFERROR(__xludf.DUMMYFUNCTION("""COMPUTED_VALUE"""),"POSTED")</f>
        <v>POSTED</v>
      </c>
      <c r="N898" s="3">
        <f>IFERROR(__xludf.DUMMYFUNCTION("""COMPUTED_VALUE"""),46303)</f>
        <v>46303</v>
      </c>
      <c r="O898" s="1" t="str">
        <f>IFERROR(__xludf.DUMMYFUNCTION("""COMPUTED_VALUE"""),"FIBER UNLI PLAN 1399")</f>
        <v>FIBER UNLI PLAN 1399</v>
      </c>
      <c r="P898" s="1" t="str">
        <f>IFERROR(__xludf.DUMMYFUNCTION("""COMPUTED_VALUE"""),"LOWPLAN")</f>
        <v>LOWPLAN</v>
      </c>
      <c r="Q898" s="1" t="str">
        <f>IFERROR(__xludf.DUMMYFUNCTION("""COMPUTED_VALUE"""),"P407047")</f>
        <v>P407047</v>
      </c>
      <c r="R898" s="1" t="str">
        <f>IFERROR(__xludf.DUMMYFUNCTION("""COMPUTED_VALUE"""),"FRANCISCO, ROSELYN")</f>
        <v>FRANCISCO, ROSELYN</v>
      </c>
      <c r="S898" s="1" t="str">
        <f>IFERROR(__xludf.DUMMYFUNCTION("""COMPUTED_VALUE"""),"ORGANIC")</f>
        <v>ORGANIC</v>
      </c>
      <c r="T898" s="1" t="str">
        <f>IFERROR(__xludf.DUMMYFUNCTION("""COMPUTED_VALUE"""),"LEA REMOLLO")</f>
        <v>LEA REMOLLO</v>
      </c>
      <c r="U898" s="1" t="str">
        <f>IFERROR(__xludf.DUMMYFUNCTION("""COMPUTED_VALUE"""),"JB SALIOA")</f>
        <v>JB SALIOA</v>
      </c>
      <c r="V898" s="1" t="str">
        <f>IFERROR(__xludf.DUMMYFUNCTION("""COMPUTED_VALUE"""),"BK REGULAR")</f>
        <v>BK REGULAR</v>
      </c>
      <c r="W898" s="1" t="str">
        <f>IFERROR(__xludf.DUMMYFUNCTION("""COMPUTED_VALUE"""),"STK REGULAR")</f>
        <v>STK REGULAR</v>
      </c>
      <c r="X898" s="1" t="str">
        <f>IFERROR(__xludf.DUMMYFUNCTION("""COMPUTED_VALUE"""),"FIBER 1399 98TH YR")</f>
        <v>FIBER 1399 98TH YR</v>
      </c>
      <c r="Y898" s="1" t="str">
        <f>IFERROR(__xludf.DUMMYFUNCTION("""COMPUTED_VALUE"""),"BK_CVEU_261006")</f>
        <v>BK_CVEU_261006</v>
      </c>
      <c r="Z898" s="1" t="str">
        <f>IFERROR(__xludf.DUMMYFUNCTION("""COMPUTED_VALUE"""),"NEW CONNECT")</f>
        <v>NEW CONNECT</v>
      </c>
      <c r="AA898" s="1">
        <f>IFERROR(__xludf.DUMMYFUNCTION("""COMPUTED_VALUE"""),639914973658)</f>
        <v>639914973658</v>
      </c>
      <c r="AB898" s="1"/>
      <c r="AC898" s="1"/>
      <c r="AD898" s="1" t="str">
        <f>IFERROR(__xludf.DUMMYFUNCTION("""COMPUTED_VALUE"""),"ZONE 11")</f>
        <v>ZONE 11</v>
      </c>
      <c r="AE898" s="1" t="str">
        <f>IFERROR(__xludf.DUMMYFUNCTION("""COMPUTED_VALUE"""),"AFP HOUSING")</f>
        <v>AFP HOUSING</v>
      </c>
      <c r="AF898" s="1" t="str">
        <f>IFERROR(__xludf.DUMMYFUNCTION("""COMPUTED_VALUE"""),"BGY BULIHAN")</f>
        <v>BGY BULIHAN</v>
      </c>
      <c r="AG898" s="1" t="str">
        <f>IFERROR(__xludf.DUMMYFUNCTION("""COMPUTED_VALUE"""),"SILANG")</f>
        <v>SILANG</v>
      </c>
      <c r="AH898" s="1" t="str">
        <f>IFERROR(__xludf.DUMMYFUNCTION("""COMPUTED_VALUE"""),"ALFAMART // INFRONT OF BNHS")</f>
        <v>ALFAMART // INFRONT OF BNHS</v>
      </c>
      <c r="AI898" s="1" t="str">
        <f>IFERROR(__xludf.DUMMYFUNCTION("""COMPUTED_VALUE"""),"CLUSTER 11")</f>
        <v>CLUSTER 11</v>
      </c>
    </row>
    <row r="899" customHeight="1" spans="1:35">
      <c r="A899" s="3">
        <f>IFERROR(__xludf.DUMMYFUNCTION("""COMPUTED_VALUE"""),46302)</f>
        <v>46302</v>
      </c>
      <c r="B899" s="1" t="str">
        <f>IFERROR(__xludf.DUMMYFUNCTION("""COMPUTED_VALUE"""),"EDRIANNA JULIENNE PENALBA ETRUISTE")</f>
        <v>EDRIANNA JULIENNE PENALBA ETRUISTE</v>
      </c>
      <c r="C899" s="1">
        <f>IFERROR(__xludf.DUMMYFUNCTION("""COMPUTED_VALUE"""),2313017581)</f>
        <v>2313017581</v>
      </c>
      <c r="D899" s="1">
        <f>IFERROR(__xludf.DUMMYFUNCTION("""COMPUTED_VALUE"""),408765048)</f>
        <v>408765048</v>
      </c>
      <c r="E899" s="1">
        <f>IFERROR(__xludf.DUMMYFUNCTION("""COMPUTED_VALUE"""),474621199004)</f>
        <v>474621199004</v>
      </c>
      <c r="F899" s="1" t="str">
        <f>IFERROR(__xludf.DUMMYFUNCTION("""COMPUTED_VALUE"""),"FOR CANCELLATION")</f>
        <v>FOR CANCELLATION</v>
      </c>
      <c r="G899" s="1" t="str">
        <f>IFERROR(__xludf.DUMMYFUNCTION("""COMPUTED_VALUE"""),"FOR CANCELLATION")</f>
        <v>FOR CANCELLATION</v>
      </c>
      <c r="H899" s="1" t="str">
        <f>IFERROR(__xludf.DUMMYFUNCTION("""COMPUTED_VALUE"""),"INUUBOS LANG LOAD NILA BAGO DAW SILA MAGBABAYAD")</f>
        <v>INUUBOS LANG LOAD NILA BAGO DAW SILA MAGBABAYAD</v>
      </c>
      <c r="I899" s="1"/>
      <c r="J899" s="1"/>
      <c r="K899" s="1" t="str">
        <f>IFERROR(__xludf.DUMMYFUNCTION("""COMPUTED_VALUE"""),"NOT IN OFSC")</f>
        <v>NOT IN OFSC</v>
      </c>
      <c r="L899" s="1" t="str">
        <f>IFERROR(__xludf.DUMMYFUNCTION("""COMPUTED_VALUE"""),"FOR CANCELLATION")</f>
        <v>FOR CANCELLATION</v>
      </c>
      <c r="M899" s="1" t="str">
        <f>IFERROR(__xludf.DUMMYFUNCTION("""COMPUTED_VALUE"""),"FOR CANCELLATION - NON COMPLIANCE - NO PAYMENT")</f>
        <v>FOR CANCELLATION - NON COMPLIANCE - NO PAYMENT</v>
      </c>
      <c r="N899" s="3"/>
      <c r="O899" s="1" t="str">
        <f>IFERROR(__xludf.DUMMYFUNCTION("""COMPUTED_VALUE"""),"FIBR UNLI ALL PLAN 999")</f>
        <v>FIBR UNLI ALL PLAN 999</v>
      </c>
      <c r="P899" s="1" t="str">
        <f>IFERROR(__xludf.DUMMYFUNCTION("""COMPUTED_VALUE"""),"LOWPLAN")</f>
        <v>LOWPLAN</v>
      </c>
      <c r="Q899" s="1" t="str">
        <f>IFERROR(__xludf.DUMMYFUNCTION("""COMPUTED_VALUE"""),"P407050")</f>
        <v>P407050</v>
      </c>
      <c r="R899" s="1" t="str">
        <f>IFERROR(__xludf.DUMMYFUNCTION("""COMPUTED_VALUE"""),"ESCARCHA, ALMA")</f>
        <v>ESCARCHA, ALMA</v>
      </c>
      <c r="S899" s="1" t="str">
        <f>IFERROR(__xludf.DUMMYFUNCTION("""COMPUTED_VALUE"""),"ORGANIC")</f>
        <v>ORGANIC</v>
      </c>
      <c r="T899" s="1" t="str">
        <f>IFERROR(__xludf.DUMMYFUNCTION("""COMPUTED_VALUE"""),"LEA REMOLLO")</f>
        <v>LEA REMOLLO</v>
      </c>
      <c r="U899" s="1" t="str">
        <f>IFERROR(__xludf.DUMMYFUNCTION("""COMPUTED_VALUE"""),"JB SALIOA")</f>
        <v>JB SALIOA</v>
      </c>
      <c r="V899" s="1" t="str">
        <f>IFERROR(__xludf.DUMMYFUNCTION("""COMPUTED_VALUE"""),"BK REGULAR")</f>
        <v>BK REGULAR</v>
      </c>
      <c r="W899" s="1" t="str">
        <f>IFERROR(__xludf.DUMMYFUNCTION("""COMPUTED_VALUE"""),"STK REGULAR")</f>
        <v>STK REGULAR</v>
      </c>
      <c r="X899" s="1" t="str">
        <f>IFERROR(__xludf.DUMMYFUNCTION("""COMPUTED_VALUE"""),"REGULAR")</f>
        <v>REGULAR</v>
      </c>
      <c r="Y899" s="1" t="str">
        <f>IFERROR(__xludf.DUMMYFUNCTION("""COMPUTED_VALUE"""),"BK_CVEU_261005")</f>
        <v>BK_CVEU_261005</v>
      </c>
      <c r="Z899" s="1" t="str">
        <f>IFERROR(__xludf.DUMMYFUNCTION("""COMPUTED_VALUE"""),"NEW CONNECT")</f>
        <v>NEW CONNECT</v>
      </c>
      <c r="AA899" s="1">
        <f>IFERROR(__xludf.DUMMYFUNCTION("""COMPUTED_VALUE"""),639283425692)</f>
        <v>639283425692</v>
      </c>
      <c r="AB899" s="1"/>
      <c r="AC899" s="1">
        <f>IFERROR(__xludf.DUMMYFUNCTION("""COMPUTED_VALUE"""),28)</f>
        <v>28</v>
      </c>
      <c r="AD899" s="1" t="str">
        <f>IFERROR(__xludf.DUMMYFUNCTION("""COMPUTED_VALUE"""),"ZAMORA")</f>
        <v>ZAMORA</v>
      </c>
      <c r="AE899" s="1"/>
      <c r="AF899" s="1" t="str">
        <f>IFERROR(__xludf.DUMMYFUNCTION("""COMPUTED_VALUE"""),"BGY ASIS 1")</f>
        <v>BGY ASIS 1</v>
      </c>
      <c r="AG899" s="1" t="str">
        <f>IFERROR(__xludf.DUMMYFUNCTION("""COMPUTED_VALUE"""),"MENDEZ")</f>
        <v>MENDEZ</v>
      </c>
      <c r="AH899" s="1" t="str">
        <f>IFERROR(__xludf.DUMMYFUNCTION("""COMPUTED_VALUE"""),"ARKO")</f>
        <v>ARKO</v>
      </c>
      <c r="AI899" s="1" t="str">
        <f>IFERROR(__xludf.DUMMYFUNCTION("""COMPUTED_VALUE"""),"CLUSTER 12")</f>
        <v>CLUSTER 12</v>
      </c>
    </row>
    <row r="900" customHeight="1" spans="1:35">
      <c r="A900" s="3">
        <f>IFERROR(__xludf.DUMMYFUNCTION("""COMPUTED_VALUE"""),46302)</f>
        <v>46302</v>
      </c>
      <c r="B900" s="1" t="str">
        <f>IFERROR(__xludf.DUMMYFUNCTION("""COMPUTED_VALUE"""),"AMY BLANCA BRIMBUELA")</f>
        <v>AMY BLANCA BRIMBUELA</v>
      </c>
      <c r="C900" s="1">
        <f>IFERROR(__xludf.DUMMYFUNCTION("""COMPUTED_VALUE"""),2313018318)</f>
        <v>2313018318</v>
      </c>
      <c r="D900" s="1">
        <f>IFERROR(__xludf.DUMMYFUNCTION("""COMPUTED_VALUE"""),408746027)</f>
        <v>408746027</v>
      </c>
      <c r="E900" s="1">
        <f>IFERROR(__xludf.DUMMYFUNCTION("""COMPUTED_VALUE"""),474594161004)</f>
        <v>474594161004</v>
      </c>
      <c r="F900" s="1" t="str">
        <f>IFERROR(__xludf.DUMMYFUNCTION("""COMPUTED_VALUE"""),"CLOSED")</f>
        <v>CLOSED</v>
      </c>
      <c r="G900" s="1" t="str">
        <f>IFERROR(__xludf.DUMMYFUNCTION("""COMPUTED_VALUE"""),"CLOSED")</f>
        <v>CLOSED</v>
      </c>
      <c r="H900" s="1" t="str">
        <f>IFERROR(__xludf.DUMMYFUNCTION("""COMPUTED_VALUE"""),"PQGOR366761461	09-Oct-26	Regular Payment	CIS-GCASH 3.0	1,399.00	947546882	09-Oct-26")</f>
        <v>PQGOR366761461	09-Oct-26	Regular Payment	CIS-GCASH 3.0	1,399.00	947546882	09-Oct-26</v>
      </c>
      <c r="I900" s="1" t="str">
        <f>IFERROR(__xludf.DUMMYFUNCTION("""COMPUTED_VALUE"""),"WITH 1 AMSF")</f>
        <v>WITH 1 AMSF</v>
      </c>
      <c r="J900" s="1"/>
      <c r="K900" s="1" t="str">
        <f>IFERROR(__xludf.DUMMYFUNCTION("""COMPUTED_VALUE"""),"COMPLETED")</f>
        <v>COMPLETED</v>
      </c>
      <c r="L900" s="1" t="str">
        <f>IFERROR(__xludf.DUMMYFUNCTION("""COMPUTED_VALUE"""),"POSTED")</f>
        <v>POSTED</v>
      </c>
      <c r="M900" s="1" t="str">
        <f>IFERROR(__xludf.DUMMYFUNCTION("""COMPUTED_VALUE"""),"POSTED")</f>
        <v>POSTED</v>
      </c>
      <c r="N900" s="3">
        <f>IFERROR(__xludf.DUMMYFUNCTION("""COMPUTED_VALUE"""),46303)</f>
        <v>46303</v>
      </c>
      <c r="O900" s="1" t="str">
        <f>IFERROR(__xludf.DUMMYFUNCTION("""COMPUTED_VALUE"""),"FIBER UNLI PLAN 1399")</f>
        <v>FIBER UNLI PLAN 1399</v>
      </c>
      <c r="P900" s="1" t="str">
        <f>IFERROR(__xludf.DUMMYFUNCTION("""COMPUTED_VALUE"""),"LOWPLAN")</f>
        <v>LOWPLAN</v>
      </c>
      <c r="Q900" s="1" t="str">
        <f>IFERROR(__xludf.DUMMYFUNCTION("""COMPUTED_VALUE"""),"P407561")</f>
        <v>P407561</v>
      </c>
      <c r="R900" s="1" t="str">
        <f>IFERROR(__xludf.DUMMYFUNCTION("""COMPUTED_VALUE"""),"TAMAYO, MARY ROSE ZAIRA")</f>
        <v>TAMAYO, MARY ROSE ZAIRA</v>
      </c>
      <c r="S900" s="1" t="str">
        <f>IFERROR(__xludf.DUMMYFUNCTION("""COMPUTED_VALUE"""),"ORGANIC")</f>
        <v>ORGANIC</v>
      </c>
      <c r="T900" s="1" t="str">
        <f>IFERROR(__xludf.DUMMYFUNCTION("""COMPUTED_VALUE"""),"LEA REMOLLO")</f>
        <v>LEA REMOLLO</v>
      </c>
      <c r="U900" s="1" t="str">
        <f>IFERROR(__xludf.DUMMYFUNCTION("""COMPUTED_VALUE"""),"JB SALIOA")</f>
        <v>JB SALIOA</v>
      </c>
      <c r="V900" s="1" t="str">
        <f>IFERROR(__xludf.DUMMYFUNCTION("""COMPUTED_VALUE"""),"BK REGULAR")</f>
        <v>BK REGULAR</v>
      </c>
      <c r="W900" s="1" t="str">
        <f>IFERROR(__xludf.DUMMYFUNCTION("""COMPUTED_VALUE"""),"STK REGULAR")</f>
        <v>STK REGULAR</v>
      </c>
      <c r="X900" s="1" t="str">
        <f>IFERROR(__xludf.DUMMYFUNCTION("""COMPUTED_VALUE"""),"FIBER 1399 98TH YR")</f>
        <v>FIBER 1399 98TH YR</v>
      </c>
      <c r="Y900" s="1" t="str">
        <f>IFERROR(__xludf.DUMMYFUNCTION("""COMPUTED_VALUE"""),"BK_CVEU_261005")</f>
        <v>BK_CVEU_261005</v>
      </c>
      <c r="Z900" s="1" t="str">
        <f>IFERROR(__xludf.DUMMYFUNCTION("""COMPUTED_VALUE"""),"NEW CONNECT")</f>
        <v>NEW CONNECT</v>
      </c>
      <c r="AA900" s="1">
        <f>IFERROR(__xludf.DUMMYFUNCTION("""COMPUTED_VALUE"""),639568237148)</f>
        <v>639568237148</v>
      </c>
      <c r="AB900" s="1"/>
      <c r="AC900" s="1"/>
      <c r="AD900" s="1" t="str">
        <f>IFERROR(__xludf.DUMMYFUNCTION("""COMPUTED_VALUE"""),"CINTA DESSA")</f>
        <v>CINTA DESSA</v>
      </c>
      <c r="AE900" s="1" t="str">
        <f>IFERROR(__xludf.DUMMYFUNCTION("""COMPUTED_VALUE"""),"CINTA DESSA")</f>
        <v>CINTA DESSA</v>
      </c>
      <c r="AF900" s="1" t="str">
        <f>IFERROR(__xludf.DUMMYFUNCTION("""COMPUTED_VALUE"""),"BGY TARTARIA")</f>
        <v>BGY TARTARIA</v>
      </c>
      <c r="AG900" s="1" t="str">
        <f>IFERROR(__xludf.DUMMYFUNCTION("""COMPUTED_VALUE"""),"SILANG")</f>
        <v>SILANG</v>
      </c>
      <c r="AH900" s="1" t="str">
        <f>IFERROR(__xludf.DUMMYFUNCTION("""COMPUTED_VALUE"""),"SAVEMORE")</f>
        <v>SAVEMORE</v>
      </c>
      <c r="AI900" s="1" t="str">
        <f>IFERROR(__xludf.DUMMYFUNCTION("""COMPUTED_VALUE"""),"CLUSTER 11")</f>
        <v>CLUSTER 11</v>
      </c>
    </row>
    <row r="901" customHeight="1" spans="1:35">
      <c r="A901" s="3">
        <f>IFERROR(__xludf.DUMMYFUNCTION("""COMPUTED_VALUE"""),46302)</f>
        <v>46302</v>
      </c>
      <c r="B901" s="1" t="str">
        <f>IFERROR(__xludf.DUMMYFUNCTION("""COMPUTED_VALUE"""),"JARED IPAN TAYO")</f>
        <v>JARED IPAN TAYO</v>
      </c>
      <c r="C901" s="1">
        <f>IFERROR(__xludf.DUMMYFUNCTION("""COMPUTED_VALUE"""),2313019071)</f>
        <v>2313019071</v>
      </c>
      <c r="D901" s="1">
        <f>IFERROR(__xludf.DUMMYFUNCTION("""COMPUTED_VALUE"""),408743656)</f>
        <v>408743656</v>
      </c>
      <c r="E901" s="1">
        <f>IFERROR(__xludf.DUMMYFUNCTION("""COMPUTED_VALUE"""),474592324004)</f>
        <v>474592324004</v>
      </c>
      <c r="F901" s="1" t="str">
        <f>IFERROR(__xludf.DUMMYFUNCTION("""COMPUTED_VALUE"""),"CLOSED")</f>
        <v>CLOSED</v>
      </c>
      <c r="G901" s="1" t="str">
        <f>IFERROR(__xludf.DUMMYFUNCTION("""COMPUTED_VALUE"""),"CLOSED")</f>
        <v>CLOSED</v>
      </c>
      <c r="H901" s="1" t="str">
        <f>IFERROR(__xludf.DUMMYFUNCTION("""COMPUTED_VALUE"""),"PQGOR367017751	12-Oct-26	Regular Payment	CIS-GCASH 3.0	1,399.00	0	12-Oct-26")</f>
        <v>PQGOR367017751	12-Oct-26	Regular Payment	CIS-GCASH 3.0	1,399.00	0	12-Oct-26</v>
      </c>
      <c r="I901" s="1" t="str">
        <f>IFERROR(__xludf.DUMMYFUNCTION("""COMPUTED_VALUE"""),"WITH 1 AMSF")</f>
        <v>WITH 1 AMSF</v>
      </c>
      <c r="J901" s="1"/>
      <c r="K901" s="1" t="str">
        <f>IFERROR(__xludf.DUMMYFUNCTION("""COMPUTED_VALUE"""),"COMPLETED")</f>
        <v>COMPLETED</v>
      </c>
      <c r="L901" s="1" t="str">
        <f>IFERROR(__xludf.DUMMYFUNCTION("""COMPUTED_VALUE"""),"POSTED")</f>
        <v>POSTED</v>
      </c>
      <c r="M901" s="1" t="str">
        <f>IFERROR(__xludf.DUMMYFUNCTION("""COMPUTED_VALUE"""),"POSTED")</f>
        <v>POSTED</v>
      </c>
      <c r="N901" s="3">
        <f>IFERROR(__xludf.DUMMYFUNCTION("""COMPUTED_VALUE"""),46307)</f>
        <v>46307</v>
      </c>
      <c r="O901" s="1" t="str">
        <f>IFERROR(__xludf.DUMMYFUNCTION("""COMPUTED_VALUE"""),"FIBER UNLI PLAN 1399")</f>
        <v>FIBER UNLI PLAN 1399</v>
      </c>
      <c r="P901" s="1" t="str">
        <f>IFERROR(__xludf.DUMMYFUNCTION("""COMPUTED_VALUE"""),"LOWPLAN")</f>
        <v>LOWPLAN</v>
      </c>
      <c r="Q901" s="1" t="str">
        <f>IFERROR(__xludf.DUMMYFUNCTION("""COMPUTED_VALUE"""),"P407047")</f>
        <v>P407047</v>
      </c>
      <c r="R901" s="1" t="str">
        <f>IFERROR(__xludf.DUMMYFUNCTION("""COMPUTED_VALUE"""),"FRANCISCO, ROSELYN")</f>
        <v>FRANCISCO, ROSELYN</v>
      </c>
      <c r="S901" s="1" t="str">
        <f>IFERROR(__xludf.DUMMYFUNCTION("""COMPUTED_VALUE"""),"ORGANIC")</f>
        <v>ORGANIC</v>
      </c>
      <c r="T901" s="1" t="str">
        <f>IFERROR(__xludf.DUMMYFUNCTION("""COMPUTED_VALUE"""),"LEA REMOLLO")</f>
        <v>LEA REMOLLO</v>
      </c>
      <c r="U901" s="1" t="str">
        <f>IFERROR(__xludf.DUMMYFUNCTION("""COMPUTED_VALUE"""),"JB SALIOA")</f>
        <v>JB SALIOA</v>
      </c>
      <c r="V901" s="1" t="str">
        <f>IFERROR(__xludf.DUMMYFUNCTION("""COMPUTED_VALUE"""),"BK REGULAR")</f>
        <v>BK REGULAR</v>
      </c>
      <c r="W901" s="1" t="str">
        <f>IFERROR(__xludf.DUMMYFUNCTION("""COMPUTED_VALUE"""),"STK REGULAR")</f>
        <v>STK REGULAR</v>
      </c>
      <c r="X901" s="1" t="str">
        <f>IFERROR(__xludf.DUMMYFUNCTION("""COMPUTED_VALUE"""),"FIBER 1399 98TH YR")</f>
        <v>FIBER 1399 98TH YR</v>
      </c>
      <c r="Y901" s="1" t="str">
        <f>IFERROR(__xludf.DUMMYFUNCTION("""COMPUTED_VALUE"""),"BK_CVEU_261006")</f>
        <v>BK_CVEU_261006</v>
      </c>
      <c r="Z901" s="1" t="str">
        <f>IFERROR(__xludf.DUMMYFUNCTION("""COMPUTED_VALUE"""),"NEW CONNECT")</f>
        <v>NEW CONNECT</v>
      </c>
      <c r="AA901" s="1">
        <f>IFERROR(__xludf.DUMMYFUNCTION("""COMPUTED_VALUE"""),639925155055)</f>
        <v>639925155055</v>
      </c>
      <c r="AB901" s="1">
        <f>IFERROR(__xludf.DUMMYFUNCTION("""COMPUTED_VALUE"""),639536022380)</f>
        <v>639536022380</v>
      </c>
      <c r="AC901" s="1">
        <f>IFERROR(__xludf.DUMMYFUNCTION("""COMPUTED_VALUE"""),707)</f>
        <v>707</v>
      </c>
      <c r="AD901" s="1" t="str">
        <f>IFERROR(__xludf.DUMMYFUNCTION("""COMPUTED_VALUE"""),"MAKABUHAY")</f>
        <v>MAKABUHAY</v>
      </c>
      <c r="AE901" s="1"/>
      <c r="AF901" s="1" t="str">
        <f>IFERROR(__xludf.DUMMYFUNCTION("""COMPUTED_VALUE"""),"BGY PUTING KAHOY")</f>
        <v>BGY PUTING KAHOY</v>
      </c>
      <c r="AG901" s="1" t="str">
        <f>IFERROR(__xludf.DUMMYFUNCTION("""COMPUTED_VALUE"""),"SILANG")</f>
        <v>SILANG</v>
      </c>
      <c r="AH901" s="1" t="str">
        <f>IFERROR(__xludf.DUMMYFUNCTION("""COMPUTED_VALUE"""),"MORNING VIEW")</f>
        <v>MORNING VIEW</v>
      </c>
      <c r="AI901" s="1" t="str">
        <f>IFERROR(__xludf.DUMMYFUNCTION("""COMPUTED_VALUE"""),"CLUSTER 11")</f>
        <v>CLUSTER 11</v>
      </c>
    </row>
    <row r="902" customHeight="1" spans="1:35">
      <c r="A902" s="3">
        <f>IFERROR(__xludf.DUMMYFUNCTION("""COMPUTED_VALUE"""),46302)</f>
        <v>46302</v>
      </c>
      <c r="B902" s="1" t="str">
        <f>IFERROR(__xludf.DUMMYFUNCTION("""COMPUTED_VALUE"""),"GIAN CARLO HIDALGO")</f>
        <v>GIAN CARLO HIDALGO</v>
      </c>
      <c r="C902" s="1">
        <f>IFERROR(__xludf.DUMMYFUNCTION("""COMPUTED_VALUE"""),2313020338)</f>
        <v>2313020338</v>
      </c>
      <c r="D902" s="1">
        <f>IFERROR(__xludf.DUMMYFUNCTION("""COMPUTED_VALUE"""),408749050)</f>
        <v>408749050</v>
      </c>
      <c r="E902" s="1">
        <f>IFERROR(__xludf.DUMMYFUNCTION("""COMPUTED_VALUE"""),474596058004)</f>
        <v>474596058004</v>
      </c>
      <c r="F902" s="1" t="str">
        <f>IFERROR(__xludf.DUMMYFUNCTION("""COMPUTED_VALUE"""),"PAID")</f>
        <v>PAID</v>
      </c>
      <c r="G902" s="1" t="str">
        <f>IFERROR(__xludf.DUMMYFUNCTION("""COMPUTED_VALUE"""),"PAID")</f>
        <v>PAID</v>
      </c>
      <c r="H902" s="1" t="str">
        <f>IFERROR(__xludf.DUMMYFUNCTION("""COMPUTED_VALUE"""),"PAID VIA GCASH REF 612066328 OCT 10")</f>
        <v>PAID VIA GCASH REF 612066328 OCT 10</v>
      </c>
      <c r="I902" s="1" t="str">
        <f>IFERROR(__xludf.DUMMYFUNCTION("""COMPUTED_VALUE"""),"NO 1 AMSF")</f>
        <v>NO 1 AMSF</v>
      </c>
      <c r="J902" s="1" t="str">
        <f>IFERROR(__xludf.DUMMYFUNCTION("""COMPUTED_VALUE"""),"PAYMENT  NOT REFLECTED")</f>
        <v>PAYMENT  NOT REFLECTED</v>
      </c>
      <c r="K902" s="1" t="str">
        <f>IFERROR(__xludf.DUMMYFUNCTION("""COMPUTED_VALUE"""),"NOT IN OFSC")</f>
        <v>NOT IN OFSC</v>
      </c>
      <c r="L902" s="1" t="str">
        <f>IFERROR(__xludf.DUMMYFUNCTION("""COMPUTED_VALUE"""),"PAID")</f>
        <v>PAID</v>
      </c>
      <c r="M902" s="1" t="str">
        <f>IFERROR(__xludf.DUMMYFUNCTION("""COMPUTED_VALUE"""),"PAID - FOR INSTALLATION")</f>
        <v>PAID - FOR INSTALLATION</v>
      </c>
      <c r="N902" s="3"/>
      <c r="O902" s="1" t="str">
        <f>IFERROR(__xludf.DUMMYFUNCTION("""COMPUTED_VALUE"""),"FIBER UNLI PLAN 1399")</f>
        <v>FIBER UNLI PLAN 1399</v>
      </c>
      <c r="P902" s="1" t="str">
        <f>IFERROR(__xludf.DUMMYFUNCTION("""COMPUTED_VALUE"""),"LOWPLAN")</f>
        <v>LOWPLAN</v>
      </c>
      <c r="Q902" s="1" t="str">
        <f>IFERROR(__xludf.DUMMYFUNCTION("""COMPUTED_VALUE"""),"P407560")</f>
        <v>P407560</v>
      </c>
      <c r="R902" s="1" t="str">
        <f>IFERROR(__xludf.DUMMYFUNCTION("""COMPUTED_VALUE"""),"LOPEZ, JENIELYN")</f>
        <v>LOPEZ, JENIELYN</v>
      </c>
      <c r="S902" s="1" t="str">
        <f>IFERROR(__xludf.DUMMYFUNCTION("""COMPUTED_VALUE"""),"ORGANIC")</f>
        <v>ORGANIC</v>
      </c>
      <c r="T902" s="1" t="str">
        <f>IFERROR(__xludf.DUMMYFUNCTION("""COMPUTED_VALUE"""),"LEA REMOLLO")</f>
        <v>LEA REMOLLO</v>
      </c>
      <c r="U902" s="1" t="str">
        <f>IFERROR(__xludf.DUMMYFUNCTION("""COMPUTED_VALUE"""),"JB SALIOA")</f>
        <v>JB SALIOA</v>
      </c>
      <c r="V902" s="1" t="str">
        <f>IFERROR(__xludf.DUMMYFUNCTION("""COMPUTED_VALUE"""),"BK REGULAR")</f>
        <v>BK REGULAR</v>
      </c>
      <c r="W902" s="1" t="str">
        <f>IFERROR(__xludf.DUMMYFUNCTION("""COMPUTED_VALUE"""),"STK REGULAR")</f>
        <v>STK REGULAR</v>
      </c>
      <c r="X902" s="1" t="str">
        <f>IFERROR(__xludf.DUMMYFUNCTION("""COMPUTED_VALUE"""),"FIBER 1399 98TH YR")</f>
        <v>FIBER 1399 98TH YR</v>
      </c>
      <c r="Y902" s="1" t="str">
        <f>IFERROR(__xludf.DUMMYFUNCTION("""COMPUTED_VALUE"""),"BK_CVEU_261006")</f>
        <v>BK_CVEU_261006</v>
      </c>
      <c r="Z902" s="1" t="str">
        <f>IFERROR(__xludf.DUMMYFUNCTION("""COMPUTED_VALUE"""),"NEW CONNECT")</f>
        <v>NEW CONNECT</v>
      </c>
      <c r="AA902" s="1">
        <f>IFERROR(__xludf.DUMMYFUNCTION("""COMPUTED_VALUE"""),639294351822)</f>
        <v>639294351822</v>
      </c>
      <c r="AB902" s="1"/>
      <c r="AC902" s="1"/>
      <c r="AD902" s="1" t="str">
        <f>IFERROR(__xludf.DUMMYFUNCTION("""COMPUTED_VALUE"""),"PUTING KAHOY")</f>
        <v>PUTING KAHOY</v>
      </c>
      <c r="AE902" s="1" t="str">
        <f>IFERROR(__xludf.DUMMYFUNCTION("""COMPUTED_VALUE"""),"RIVERA RESIDENCE")</f>
        <v>RIVERA RESIDENCE</v>
      </c>
      <c r="AF902" s="1" t="str">
        <f>IFERROR(__xludf.DUMMYFUNCTION("""COMPUTED_VALUE"""),"BGY PUTING KAHOY")</f>
        <v>BGY PUTING KAHOY</v>
      </c>
      <c r="AG902" s="1" t="str">
        <f>IFERROR(__xludf.DUMMYFUNCTION("""COMPUTED_VALUE"""),"SILANG")</f>
        <v>SILANG</v>
      </c>
      <c r="AH902" s="1" t="str">
        <f>IFERROR(__xludf.DUMMYFUNCTION("""COMPUTED_VALUE"""),"PUTING KAHOY ELEMENTARY SCHOOL")</f>
        <v>PUTING KAHOY ELEMENTARY SCHOOL</v>
      </c>
      <c r="AI902" s="1" t="str">
        <f>IFERROR(__xludf.DUMMYFUNCTION("""COMPUTED_VALUE"""),"CLUSTER 11")</f>
        <v>CLUSTER 11</v>
      </c>
    </row>
    <row r="903" customHeight="1" spans="1:35">
      <c r="A903" s="3">
        <f>IFERROR(__xludf.DUMMYFUNCTION("""COMPUTED_VALUE"""),46302)</f>
        <v>46302</v>
      </c>
      <c r="B903" s="1" t="str">
        <f>IFERROR(__xludf.DUMMYFUNCTION("""COMPUTED_VALUE"""),"SONIA FERMA MARASIGAN")</f>
        <v>SONIA FERMA MARASIGAN</v>
      </c>
      <c r="C903" s="1">
        <f>IFERROR(__xludf.DUMMYFUNCTION("""COMPUTED_VALUE"""),2313022545)</f>
        <v>2313022545</v>
      </c>
      <c r="D903" s="1"/>
      <c r="E903" s="1"/>
      <c r="F903" s="1" t="str">
        <f>IFERROR(__xludf.DUMMYFUNCTION("""COMPUTED_VALUE"""),"REENCODED")</f>
        <v>REENCODED</v>
      </c>
      <c r="G903" s="1" t="str">
        <f>IFERROR(__xludf.DUMMYFUNCTION("""COMPUTED_VALUE"""),"(OTHERS) DISAPPROVED | WITH DISCREPANCY IN POID SUBMITTED | TAMPERED POID (VERIFIED TIN ID THRU WEBSITE BUT INFORMATION DOE NOT MATCH THE RECORD ON DATA BASE) | DONE VALIDATION | CORRECT ENCODED INFO IN CSP | TU SCORING FF - 1 (NTC) | 1 AMSF REQUIRED | CL"&amp;"EARED FROM BLACKLISTED HIT | NO EXISTING ACTIVE ACCT AND/OR PENDING/CANCELLED APPLICATION")</f>
        <v>(OTHERS) DISAPPROVED | WITH DISCREPANCY IN POID SUBMITTED | TAMPERED POID (VERIFIED TIN ID THRU WEBSITE BUT INFORMATION DOE NOT MATCH THE RECORD ON DATA BASE) | DONE VALIDATION | CORRECT ENCODED INFO IN CSP | TU SCORING FF - 1 (NTC) | 1 AMSF REQUIRED | CLEARED FROM BLACKLISTED HIT | NO EXISTING ACTIVE ACCT AND/OR PENDING/CANCELLED APPLICATION</v>
      </c>
      <c r="H903" s="1"/>
      <c r="I903" s="1"/>
      <c r="J903" s="1"/>
      <c r="K903" s="1"/>
      <c r="L903" s="1" t="str">
        <f>IFERROR(__xludf.DUMMYFUNCTION("""COMPUTED_VALUE"""),"REENCODED")</f>
        <v>REENCODED</v>
      </c>
      <c r="M903" s="1" t="str">
        <f>IFERROR(__xludf.DUMMYFUNCTION("""COMPUTED_VALUE"""),"REENCODED")</f>
        <v>REENCODED</v>
      </c>
      <c r="N903" s="3"/>
      <c r="O903" s="1" t="str">
        <f>IFERROR(__xludf.DUMMYFUNCTION("""COMPUTED_VALUE"""),"FIBER UNLI PLAN 1399")</f>
        <v>FIBER UNLI PLAN 1399</v>
      </c>
      <c r="P903" s="1" t="str">
        <f>IFERROR(__xludf.DUMMYFUNCTION("""COMPUTED_VALUE"""),"LOWPLAN")</f>
        <v>LOWPLAN</v>
      </c>
      <c r="Q903" s="1" t="str">
        <f>IFERROR(__xludf.DUMMYFUNCTION("""COMPUTED_VALUE"""),"P407564")</f>
        <v>P407564</v>
      </c>
      <c r="R903" s="1" t="str">
        <f>IFERROR(__xludf.DUMMYFUNCTION("""COMPUTED_VALUE"""),"ARENA, LYKA")</f>
        <v>ARENA, LYKA</v>
      </c>
      <c r="S903" s="1" t="str">
        <f>IFERROR(__xludf.DUMMYFUNCTION("""COMPUTED_VALUE"""),"ORGANIC")</f>
        <v>ORGANIC</v>
      </c>
      <c r="T903" s="1" t="str">
        <f>IFERROR(__xludf.DUMMYFUNCTION("""COMPUTED_VALUE"""),"LEA REMOLLO")</f>
        <v>LEA REMOLLO</v>
      </c>
      <c r="U903" s="1" t="str">
        <f>IFERROR(__xludf.DUMMYFUNCTION("""COMPUTED_VALUE"""),"JB SALIOA")</f>
        <v>JB SALIOA</v>
      </c>
      <c r="V903" s="1" t="str">
        <f>IFERROR(__xludf.DUMMYFUNCTION("""COMPUTED_VALUE"""),"BK REGULAR")</f>
        <v>BK REGULAR</v>
      </c>
      <c r="W903" s="1" t="str">
        <f>IFERROR(__xludf.DUMMYFUNCTION("""COMPUTED_VALUE"""),"STK REGULAR")</f>
        <v>STK REGULAR</v>
      </c>
      <c r="X903" s="1" t="str">
        <f>IFERROR(__xludf.DUMMYFUNCTION("""COMPUTED_VALUE"""),"FIBER 1399 98TH YR")</f>
        <v>FIBER 1399 98TH YR</v>
      </c>
      <c r="Y903" s="1" t="str">
        <f>IFERROR(__xludf.DUMMYFUNCTION("""COMPUTED_VALUE"""),"BK_CVEU_261006")</f>
        <v>BK_CVEU_261006</v>
      </c>
      <c r="Z903" s="1" t="str">
        <f>IFERROR(__xludf.DUMMYFUNCTION("""COMPUTED_VALUE"""),"NEW CONNECT")</f>
        <v>NEW CONNECT</v>
      </c>
      <c r="AA903" s="1">
        <f>IFERROR(__xludf.DUMMYFUNCTION("""COMPUTED_VALUE"""),639706637789)</f>
        <v>639706637789</v>
      </c>
      <c r="AB903" s="1"/>
      <c r="AC903" s="1">
        <f>IFERROR(__xludf.DUMMYFUNCTION("""COMPUTED_VALUE"""),220)</f>
        <v>220</v>
      </c>
      <c r="AD903" s="1" t="str">
        <f>IFERROR(__xludf.DUMMYFUNCTION("""COMPUTED_VALUE"""),"POOC 1")</f>
        <v>POOC 1</v>
      </c>
      <c r="AE903" s="1"/>
      <c r="AF903" s="1" t="str">
        <f>IFERROR(__xludf.DUMMYFUNCTION("""COMPUTED_VALUE"""),"BGY POOC 1")</f>
        <v>BGY POOC 1</v>
      </c>
      <c r="AG903" s="1" t="str">
        <f>IFERROR(__xludf.DUMMYFUNCTION("""COMPUTED_VALUE"""),"SILANG")</f>
        <v>SILANG</v>
      </c>
      <c r="AH903" s="1" t="str">
        <f>IFERROR(__xludf.DUMMYFUNCTION("""COMPUTED_VALUE"""),"ACOSTA // SAN ANTONIO CHURCH")</f>
        <v>ACOSTA // SAN ANTONIO CHURCH</v>
      </c>
      <c r="AI903" s="1" t="str">
        <f>IFERROR(__xludf.DUMMYFUNCTION("""COMPUTED_VALUE"""),"CLUSTER 11")</f>
        <v>CLUSTER 11</v>
      </c>
    </row>
    <row r="904" customHeight="1" spans="1:35">
      <c r="A904" s="3">
        <f>IFERROR(__xludf.DUMMYFUNCTION("""COMPUTED_VALUE"""),46302)</f>
        <v>46302</v>
      </c>
      <c r="B904" s="1" t="str">
        <f>IFERROR(__xludf.DUMMYFUNCTION("""COMPUTED_VALUE"""),"ANGELO ALVARAN MAGO")</f>
        <v>ANGELO ALVARAN MAGO</v>
      </c>
      <c r="C904" s="1">
        <f>IFERROR(__xludf.DUMMYFUNCTION("""COMPUTED_VALUE"""),2313023026)</f>
        <v>2313023026</v>
      </c>
      <c r="D904" s="1"/>
      <c r="E904" s="1"/>
      <c r="F904" s="1" t="str">
        <f>IFERROR(__xludf.DUMMYFUNCTION("""COMPUTED_VALUE"""),"REENCODED")</f>
        <v>REENCODED</v>
      </c>
      <c r="G904" s="1" t="str">
        <f>IFERROR(__xludf.DUMMYFUNCTION("""COMPUTED_VALUE"""),"CANNOT CHANGE THE PAYMENT REQUIRED |APPROVED | CLEARED FROM BLACKLIST HIT, NO EXISTING ACTIVE ACCT AND/ OR PENDING APPLICATION | DONE VALIDATION WITH SUBMITTED COMPLETE DOCS| CORRECT ENCODED INFO IN CSP | WITH 1 AMSF REQUIREMENTS (GG - 1 (NTC) | PART OF T"&amp;"HE EXEMPTED OF AREAS IN PROMO OF FIBER 1399 98TH YR")</f>
        <v>CANNOT CHANGE THE PAYMENT REQUIRED |APPROVED | CLEARED FROM BLACKLIST HIT, NO EXISTING ACTIVE ACCT AND/ OR PENDING APPLICATION | DONE VALIDATION WITH SUBMITTED COMPLETE DOCS| CORRECT ENCODED INFO IN CSP | WITH 1 AMSF REQUIREMENTS (GG - 1 (NTC) | PART OF THE EXEMPTED OF AREAS IN PROMO OF FIBER 1399 98TH YR</v>
      </c>
      <c r="H904" s="1"/>
      <c r="I904" s="1"/>
      <c r="J904" s="1"/>
      <c r="K904" s="1"/>
      <c r="L904" s="1" t="str">
        <f>IFERROR(__xludf.DUMMYFUNCTION("""COMPUTED_VALUE"""),"REENCODED")</f>
        <v>REENCODED</v>
      </c>
      <c r="M904" s="1" t="str">
        <f>IFERROR(__xludf.DUMMYFUNCTION("""COMPUTED_VALUE"""),"REENCODED")</f>
        <v>REENCODED</v>
      </c>
      <c r="N904" s="3"/>
      <c r="O904" s="1" t="str">
        <f>IFERROR(__xludf.DUMMYFUNCTION("""COMPUTED_VALUE"""),"FIBER UNLI PLAN 1399")</f>
        <v>FIBER UNLI PLAN 1399</v>
      </c>
      <c r="P904" s="1" t="str">
        <f>IFERROR(__xludf.DUMMYFUNCTION("""COMPUTED_VALUE"""),"LOWPLAN")</f>
        <v>LOWPLAN</v>
      </c>
      <c r="Q904" s="1" t="str">
        <f>IFERROR(__xludf.DUMMYFUNCTION("""COMPUTED_VALUE"""),"P407563")</f>
        <v>P407563</v>
      </c>
      <c r="R904" s="1" t="str">
        <f>IFERROR(__xludf.DUMMYFUNCTION("""COMPUTED_VALUE"""),"BAQUIT, JAZMIN")</f>
        <v>BAQUIT, JAZMIN</v>
      </c>
      <c r="S904" s="1" t="str">
        <f>IFERROR(__xludf.DUMMYFUNCTION("""COMPUTED_VALUE"""),"ORGANIC")</f>
        <v>ORGANIC</v>
      </c>
      <c r="T904" s="1" t="str">
        <f>IFERROR(__xludf.DUMMYFUNCTION("""COMPUTED_VALUE"""),"LEA REMOLLO")</f>
        <v>LEA REMOLLO</v>
      </c>
      <c r="U904" s="1" t="str">
        <f>IFERROR(__xludf.DUMMYFUNCTION("""COMPUTED_VALUE"""),"JB SALIOA")</f>
        <v>JB SALIOA</v>
      </c>
      <c r="V904" s="1" t="str">
        <f>IFERROR(__xludf.DUMMYFUNCTION("""COMPUTED_VALUE"""),"BK REGULAR")</f>
        <v>BK REGULAR</v>
      </c>
      <c r="W904" s="1" t="str">
        <f>IFERROR(__xludf.DUMMYFUNCTION("""COMPUTED_VALUE"""),"STK REGULAR")</f>
        <v>STK REGULAR</v>
      </c>
      <c r="X904" s="1" t="str">
        <f>IFERROR(__xludf.DUMMYFUNCTION("""COMPUTED_VALUE"""),"FIBER 1399 98TH YR")</f>
        <v>FIBER 1399 98TH YR</v>
      </c>
      <c r="Y904" s="1" t="str">
        <f>IFERROR(__xludf.DUMMYFUNCTION("""COMPUTED_VALUE"""),"BK_CVEU_261005")</f>
        <v>BK_CVEU_261005</v>
      </c>
      <c r="Z904" s="1" t="str">
        <f>IFERROR(__xludf.DUMMYFUNCTION("""COMPUTED_VALUE"""),"NEW CONNECT")</f>
        <v>NEW CONNECT</v>
      </c>
      <c r="AA904" s="1">
        <f>IFERROR(__xludf.DUMMYFUNCTION("""COMPUTED_VALUE"""),639930622874)</f>
        <v>639930622874</v>
      </c>
      <c r="AB904" s="1">
        <f>IFERROR(__xludf.DUMMYFUNCTION("""COMPUTED_VALUE"""),639535319081)</f>
        <v>639535319081</v>
      </c>
      <c r="AC904" s="1">
        <f>IFERROR(__xludf.DUMMYFUNCTION("""COMPUTED_VALUE"""),198)</f>
        <v>198</v>
      </c>
      <c r="AD904" s="1" t="str">
        <f>IFERROR(__xludf.DUMMYFUNCTION("""COMPUTED_VALUE"""),"TAMANLI")</f>
        <v>TAMANLI</v>
      </c>
      <c r="AE904" s="1"/>
      <c r="AF904" s="1" t="str">
        <f>IFERROR(__xludf.DUMMYFUNCTION("""COMPUTED_VALUE"""),"BGY KAPITAN KUA")</f>
        <v>BGY KAPITAN KUA</v>
      </c>
      <c r="AG904" s="1" t="str">
        <f>IFERROR(__xludf.DUMMYFUNCTION("""COMPUTED_VALUE"""),"GEN MARIANO ALVAREZ")</f>
        <v>GEN MARIANO ALVAREZ</v>
      </c>
      <c r="AH904" s="1" t="str">
        <f>IFERROR(__xludf.DUMMYFUNCTION("""COMPUTED_VALUE"""),"NEAR LOVE JOY RESORT")</f>
        <v>NEAR LOVE JOY RESORT</v>
      </c>
      <c r="AI904" s="1" t="str">
        <f>IFERROR(__xludf.DUMMYFUNCTION("""COMPUTED_VALUE"""),"CLUSTER 11")</f>
        <v>CLUSTER 11</v>
      </c>
    </row>
    <row r="905" customHeight="1" spans="1:35">
      <c r="A905" s="3">
        <f>IFERROR(__xludf.DUMMYFUNCTION("""COMPUTED_VALUE"""),46302)</f>
        <v>46302</v>
      </c>
      <c r="B905" s="1" t="str">
        <f>IFERROR(__xludf.DUMMYFUNCTION("""COMPUTED_VALUE"""),"MARILYN JIMENEZ PEREZ")</f>
        <v>MARILYN JIMENEZ PEREZ</v>
      </c>
      <c r="C905" s="1">
        <f>IFERROR(__xludf.DUMMYFUNCTION("""COMPUTED_VALUE"""),2313023897)</f>
        <v>2313023897</v>
      </c>
      <c r="D905" s="1">
        <f>IFERROR(__xludf.DUMMYFUNCTION("""COMPUTED_VALUE"""),408768586)</f>
        <v>408768586</v>
      </c>
      <c r="E905" s="1">
        <f>IFERROR(__xludf.DUMMYFUNCTION("""COMPUTED_VALUE"""),474640429004)</f>
        <v>474640429004</v>
      </c>
      <c r="F905" s="1" t="str">
        <f>IFERROR(__xludf.DUMMYFUNCTION("""COMPUTED_VALUE"""),"CLOSED")</f>
        <v>CLOSED</v>
      </c>
      <c r="G905" s="1" t="str">
        <f>IFERROR(__xludf.DUMMYFUNCTION("""COMPUTED_VALUE"""),"CLOSED")</f>
        <v>CLOSED</v>
      </c>
      <c r="H905" s="1" t="str">
        <f>IFERROR(__xludf.DUMMYFUNCTION("""COMPUTED_VALUE"""),"PAID VIA GCASH - OCT 8 - REF - 095990603")</f>
        <v>PAID VIA GCASH - OCT 8 - REF - 095990603</v>
      </c>
      <c r="I905" s="1" t="str">
        <f>IFERROR(__xludf.DUMMYFUNCTION("""COMPUTED_VALUE"""),"WITH 1 AMSF")</f>
        <v>WITH 1 AMSF</v>
      </c>
      <c r="J905" s="1"/>
      <c r="K905" s="1" t="str">
        <f>IFERROR(__xludf.DUMMYFUNCTION("""COMPUTED_VALUE"""),"COMPLETED")</f>
        <v>COMPLETED</v>
      </c>
      <c r="L905" s="1" t="str">
        <f>IFERROR(__xludf.DUMMYFUNCTION("""COMPUTED_VALUE"""),"POSTED")</f>
        <v>POSTED</v>
      </c>
      <c r="M905" s="1" t="str">
        <f>IFERROR(__xludf.DUMMYFUNCTION("""COMPUTED_VALUE"""),"POSTED")</f>
        <v>POSTED</v>
      </c>
      <c r="N905" s="3">
        <f>IFERROR(__xludf.DUMMYFUNCTION("""COMPUTED_VALUE"""),46304)</f>
        <v>46304</v>
      </c>
      <c r="O905" s="1" t="str">
        <f>IFERROR(__xludf.DUMMYFUNCTION("""COMPUTED_VALUE"""),"FIBR PLAN 2699")</f>
        <v>FIBR PLAN 2699</v>
      </c>
      <c r="P905" s="1" t="str">
        <f>IFERROR(__xludf.DUMMYFUNCTION("""COMPUTED_VALUE"""),"HIGHPLAN")</f>
        <v>HIGHPLAN</v>
      </c>
      <c r="Q905" s="1" t="str">
        <f>IFERROR(__xludf.DUMMYFUNCTION("""COMPUTED_VALUE"""),"P407044")</f>
        <v>P407044</v>
      </c>
      <c r="R905" s="1" t="str">
        <f>IFERROR(__xludf.DUMMYFUNCTION("""COMPUTED_VALUE"""),"REMOLLO, LEA")</f>
        <v>REMOLLO, LEA</v>
      </c>
      <c r="S905" s="1" t="str">
        <f>IFERROR(__xludf.DUMMYFUNCTION("""COMPUTED_VALUE"""),"FLA")</f>
        <v>FLA</v>
      </c>
      <c r="T905" s="1" t="str">
        <f>IFERROR(__xludf.DUMMYFUNCTION("""COMPUTED_VALUE"""),"JERIC NAVARRO")</f>
        <v>JERIC NAVARRO</v>
      </c>
      <c r="U905" s="1" t="str">
        <f>IFERROR(__xludf.DUMMYFUNCTION("""COMPUTED_VALUE"""),"JB SALIOA")</f>
        <v>JB SALIOA</v>
      </c>
      <c r="V905" s="1" t="str">
        <f>IFERROR(__xludf.DUMMYFUNCTION("""COMPUTED_VALUE"""),"BK REGULAR")</f>
        <v>BK REGULAR</v>
      </c>
      <c r="W905" s="1" t="str">
        <f>IFERROR(__xludf.DUMMYFUNCTION("""COMPUTED_VALUE"""),"STK REGULAR")</f>
        <v>STK REGULAR</v>
      </c>
      <c r="X905" s="1" t="str">
        <f>IFERROR(__xludf.DUMMYFUNCTION("""COMPUTED_VALUE"""),"REGULAR")</f>
        <v>REGULAR</v>
      </c>
      <c r="Y905" s="1" t="str">
        <f>IFERROR(__xludf.DUMMYFUNCTION("""COMPUTED_VALUE"""),"BK_CVEU_261007")</f>
        <v>BK_CVEU_261007</v>
      </c>
      <c r="Z905" s="1" t="str">
        <f>IFERROR(__xludf.DUMMYFUNCTION("""COMPUTED_VALUE"""),"NEW CONNECT")</f>
        <v>NEW CONNECT</v>
      </c>
      <c r="AA905" s="1">
        <f>IFERROR(__xludf.DUMMYFUNCTION("""COMPUTED_VALUE"""),639515747154)</f>
        <v>639515747154</v>
      </c>
      <c r="AB905" s="1"/>
      <c r="AC905" s="1">
        <f>IFERROR(__xludf.DUMMYFUNCTION("""COMPUTED_VALUE"""),70)</f>
        <v>70</v>
      </c>
      <c r="AD905" s="1" t="str">
        <f>IFERROR(__xludf.DUMMYFUNCTION("""COMPUTED_VALUE"""),"DAPDAP WEST")</f>
        <v>DAPDAP WEST</v>
      </c>
      <c r="AE905" s="1"/>
      <c r="AF905" s="1" t="str">
        <f>IFERROR(__xludf.DUMMYFUNCTION("""COMPUTED_VALUE"""),"BGY DAPDAP WEST")</f>
        <v>BGY DAPDAP WEST</v>
      </c>
      <c r="AG905" s="1" t="str">
        <f>IFERROR(__xludf.DUMMYFUNCTION("""COMPUTED_VALUE"""),"TAGAYTAY")</f>
        <v>TAGAYTAY</v>
      </c>
      <c r="AH905" s="1" t="str">
        <f>IFERROR(__xludf.DUMMYFUNCTION("""COMPUTED_VALUE"""),"-")</f>
        <v>-</v>
      </c>
      <c r="AI905" s="1" t="str">
        <f>IFERROR(__xludf.DUMMYFUNCTION("""COMPUTED_VALUE"""),"CLUSTER 12")</f>
        <v>CLUSTER 12</v>
      </c>
    </row>
    <row r="906" customHeight="1" spans="1:35">
      <c r="A906" s="3">
        <f>IFERROR(__xludf.DUMMYFUNCTION("""COMPUTED_VALUE"""),46302)</f>
        <v>46302</v>
      </c>
      <c r="B906" s="1" t="str">
        <f>IFERROR(__xludf.DUMMYFUNCTION("""COMPUTED_VALUE"""),"MARIA LYN RAMOS NEZORTADO")</f>
        <v>MARIA LYN RAMOS NEZORTADO</v>
      </c>
      <c r="C906" s="1">
        <f>IFERROR(__xludf.DUMMYFUNCTION("""COMPUTED_VALUE"""),2313024303)</f>
        <v>2313024303</v>
      </c>
      <c r="D906" s="1">
        <f>IFERROR(__xludf.DUMMYFUNCTION("""COMPUTED_VALUE"""),408764289)</f>
        <v>408764289</v>
      </c>
      <c r="E906" s="1">
        <f>IFERROR(__xludf.DUMMYFUNCTION("""COMPUTED_VALUE"""),474613508004)</f>
        <v>474613508004</v>
      </c>
      <c r="F906" s="1" t="str">
        <f>IFERROR(__xludf.DUMMYFUNCTION("""COMPUTED_VALUE"""),"CANCELED")</f>
        <v>CANCELED</v>
      </c>
      <c r="G906" s="1" t="str">
        <f>IFERROR(__xludf.DUMMYFUNCTION("""COMPUTED_VALUE"""),"CANT PROCEED INSTALLATION STILL WAITING FOR CITY PERMIT AS PER BRGY ADMIN SUBS ALREADY ADVISE TRUCKROLL VISITED TALK MARIA LYN RAMOS NEZORTADO CBR 09606821147")</f>
        <v>CANT PROCEED INSTALLATION STILL WAITING FOR CITY PERMIT AS PER BRGY ADMIN SUBS ALREADY ADVISE TRUCKROLL VISITED TALK MARIA LYN RAMOS NEZORTADO CBR 09606821147</v>
      </c>
      <c r="H906" s="1" t="str">
        <f>IFERROR(__xludf.DUMMYFUNCTION("""COMPUTED_VALUE"""),"PAID VIA GCASH REF 960185180 OCT 8")</f>
        <v>PAID VIA GCASH REF 960185180 OCT 8</v>
      </c>
      <c r="I906" s="1" t="str">
        <f>IFERROR(__xludf.DUMMYFUNCTION("""COMPUTED_VALUE"""),"WITH 1 AMSF")</f>
        <v>WITH 1 AMSF</v>
      </c>
      <c r="J906" s="1"/>
      <c r="K906" s="1" t="str">
        <f>IFERROR(__xludf.DUMMYFUNCTION("""COMPUTED_VALUE"""),"CANCELED")</f>
        <v>CANCELED</v>
      </c>
      <c r="L906" s="1" t="str">
        <f>IFERROR(__xludf.DUMMYFUNCTION("""COMPUTED_VALUE"""),"RPR - PASSING PRIVATE PROPERTY")</f>
        <v>RPR - PASSING PRIVATE PROPERTY</v>
      </c>
      <c r="M906" s="1" t="str">
        <f>IFERROR(__xludf.DUMMYFUNCTION("""COMPUTED_VALUE"""),"RPR - PASSING PRIVATE PROPERTY")</f>
        <v>RPR - PASSING PRIVATE PROPERTY</v>
      </c>
      <c r="N906" s="3"/>
      <c r="O906" s="1" t="str">
        <f>IFERROR(__xludf.DUMMYFUNCTION("""COMPUTED_VALUE"""),"FIBR PLAN 1299")</f>
        <v>FIBR PLAN 1299</v>
      </c>
      <c r="P906" s="1" t="str">
        <f>IFERROR(__xludf.DUMMYFUNCTION("""COMPUTED_VALUE"""),"LOWPLAN")</f>
        <v>LOWPLAN</v>
      </c>
      <c r="Q906" s="1" t="str">
        <f>IFERROR(__xludf.DUMMYFUNCTION("""COMPUTED_VALUE"""),"P407048")</f>
        <v>P407048</v>
      </c>
      <c r="R906" s="1" t="str">
        <f>IFERROR(__xludf.DUMMYFUNCTION("""COMPUTED_VALUE"""),"PEREZ, RONELL")</f>
        <v>PEREZ, RONELL</v>
      </c>
      <c r="S906" s="1" t="str">
        <f>IFERROR(__xludf.DUMMYFUNCTION("""COMPUTED_VALUE"""),"ORGANIC")</f>
        <v>ORGANIC</v>
      </c>
      <c r="T906" s="1" t="str">
        <f>IFERROR(__xludf.DUMMYFUNCTION("""COMPUTED_VALUE"""),"GARCIA MICHAEL JETTS")</f>
        <v>GARCIA MICHAEL JETTS</v>
      </c>
      <c r="U906" s="1" t="str">
        <f>IFERROR(__xludf.DUMMYFUNCTION("""COMPUTED_VALUE"""),"JB SALIOA")</f>
        <v>JB SALIOA</v>
      </c>
      <c r="V906" s="1" t="str">
        <f>IFERROR(__xludf.DUMMYFUNCTION("""COMPUTED_VALUE"""),"ONLINE/CRANFORD")</f>
        <v>ONLINE/CRANFORD</v>
      </c>
      <c r="W906" s="1" t="str">
        <f>IFERROR(__xludf.DUMMYFUNCTION("""COMPUTED_VALUE"""),"STK REGULAR")</f>
        <v>STK REGULAR</v>
      </c>
      <c r="X906" s="1" t="str">
        <f>IFERROR(__xludf.DUMMYFUNCTION("""COMPUTED_VALUE"""),"REGULAR")</f>
        <v>REGULAR</v>
      </c>
      <c r="Y906" s="1" t="str">
        <f>IFERROR(__xludf.DUMMYFUNCTION("""COMPUTED_VALUE"""),"RS_ONL_CVEU_2026")</f>
        <v>RS_ONL_CVEU_2026</v>
      </c>
      <c r="Z906" s="1" t="str">
        <f>IFERROR(__xludf.DUMMYFUNCTION("""COMPUTED_VALUE"""),"NEW CONNECT")</f>
        <v>NEW CONNECT</v>
      </c>
      <c r="AA906" s="1">
        <f>IFERROR(__xludf.DUMMYFUNCTION("""COMPUTED_VALUE"""),639606821147)</f>
        <v>639606821147</v>
      </c>
      <c r="AB906" s="1"/>
      <c r="AC906" s="1">
        <f>IFERROR(__xludf.DUMMYFUNCTION("""COMPUTED_VALUE"""),296)</f>
        <v>296</v>
      </c>
      <c r="AD906" s="1" t="str">
        <f>IFERROR(__xludf.DUMMYFUNCTION("""COMPUTED_VALUE"""),"ANDREA")</f>
        <v>ANDREA</v>
      </c>
      <c r="AE906" s="1" t="str">
        <f>IFERROR(__xludf.DUMMYFUNCTION("""COMPUTED_VALUE"""),"ANDREA VILLAGE 2")</f>
        <v>ANDREA VILLAGE 2</v>
      </c>
      <c r="AF906" s="1" t="str">
        <f>IFERROR(__xludf.DUMMYFUNCTION("""COMPUTED_VALUE"""),"BGY PF ESPIRITU 5")</f>
        <v>BGY PF ESPIRITU 5</v>
      </c>
      <c r="AG906" s="1" t="str">
        <f>IFERROR(__xludf.DUMMYFUNCTION("""COMPUTED_VALUE"""),"BACOOR")</f>
        <v>BACOOR</v>
      </c>
      <c r="AH906" s="1" t="str">
        <f>IFERROR(__xludf.DUMMYFUNCTION("""COMPUTED_VALUE"""),"IPHARMA MART")</f>
        <v>IPHARMA MART</v>
      </c>
      <c r="AI906" s="1" t="str">
        <f>IFERROR(__xludf.DUMMYFUNCTION("""COMPUTED_VALUE"""),"NOT AOR")</f>
        <v>NOT AOR</v>
      </c>
    </row>
    <row r="907" customHeight="1" spans="1:35">
      <c r="A907" s="3">
        <f>IFERROR(__xludf.DUMMYFUNCTION("""COMPUTED_VALUE"""),46302)</f>
        <v>46302</v>
      </c>
      <c r="B907" s="1" t="str">
        <f>IFERROR(__xludf.DUMMYFUNCTION("""COMPUTED_VALUE"""),"SUNITA IDNANI DELA PAZ")</f>
        <v>SUNITA IDNANI DELA PAZ</v>
      </c>
      <c r="C907" s="1">
        <f>IFERROR(__xludf.DUMMYFUNCTION("""COMPUTED_VALUE"""),2313024933)</f>
        <v>2313024933</v>
      </c>
      <c r="D907" s="1"/>
      <c r="E907" s="1"/>
      <c r="F907" s="1" t="str">
        <f>IFERROR(__xludf.DUMMYFUNCTION("""COMPUTED_VALUE"""),"CANCELLED")</f>
        <v>CANCELLED</v>
      </c>
      <c r="G907" s="1" t="str">
        <f>IFERROR(__xludf.DUMMYFUNCTION("""COMPUTED_VALUE"""),"CANCELLED")</f>
        <v>CANCELLED</v>
      </c>
      <c r="H907" s="1"/>
      <c r="I907" s="1"/>
      <c r="J907" s="1"/>
      <c r="K907" s="1"/>
      <c r="L907" s="1" t="str">
        <f>IFERROR(__xludf.DUMMYFUNCTION("""COMPUTED_VALUE"""),"CANCELLED - WITH OB")</f>
        <v>CANCELLED - WITH OB</v>
      </c>
      <c r="M907" s="1" t="str">
        <f>IFERROR(__xludf.DUMMYFUNCTION("""COMPUTED_VALUE"""),"CANCELLED - WITH OB")</f>
        <v>CANCELLED - WITH OB</v>
      </c>
      <c r="N907" s="3"/>
      <c r="O907" s="1" t="str">
        <f>IFERROR(__xludf.DUMMYFUNCTION("""COMPUTED_VALUE"""),"FIBR PLAN 1699")</f>
        <v>FIBR PLAN 1699</v>
      </c>
      <c r="P907" s="1" t="str">
        <f>IFERROR(__xludf.DUMMYFUNCTION("""COMPUTED_VALUE"""),"HIGHPLAN")</f>
        <v>HIGHPLAN</v>
      </c>
      <c r="Q907" s="1" t="str">
        <f>IFERROR(__xludf.DUMMYFUNCTION("""COMPUTED_VALUE"""),"P407566")</f>
        <v>P407566</v>
      </c>
      <c r="R907" s="1" t="str">
        <f>IFERROR(__xludf.DUMMYFUNCTION("""COMPUTED_VALUE"""),"DENACO, RODNEY")</f>
        <v>DENACO, RODNEY</v>
      </c>
      <c r="S907" s="1" t="str">
        <f>IFERROR(__xludf.DUMMYFUNCTION("""COMPUTED_VALUE"""),"ORGANIC")</f>
        <v>ORGANIC</v>
      </c>
      <c r="T907" s="1" t="str">
        <f>IFERROR(__xludf.DUMMYFUNCTION("""COMPUTED_VALUE"""),"LEA REMOLLO")</f>
        <v>LEA REMOLLO</v>
      </c>
      <c r="U907" s="1" t="str">
        <f>IFERROR(__xludf.DUMMYFUNCTION("""COMPUTED_VALUE"""),"JB SALIOA")</f>
        <v>JB SALIOA</v>
      </c>
      <c r="V907" s="1" t="str">
        <f>IFERROR(__xludf.DUMMYFUNCTION("""COMPUTED_VALUE"""),"BK REGULAR")</f>
        <v>BK REGULAR</v>
      </c>
      <c r="W907" s="1" t="str">
        <f>IFERROR(__xludf.DUMMYFUNCTION("""COMPUTED_VALUE"""),"STK REGULAR")</f>
        <v>STK REGULAR</v>
      </c>
      <c r="X907" s="1" t="str">
        <f>IFERROR(__xludf.DUMMYFUNCTION("""COMPUTED_VALUE"""),"REGULAR")</f>
        <v>REGULAR</v>
      </c>
      <c r="Y907" s="1" t="str">
        <f>IFERROR(__xludf.DUMMYFUNCTION("""COMPUTED_VALUE"""),"BK_CVEU_261001")</f>
        <v>BK_CVEU_261001</v>
      </c>
      <c r="Z907" s="1" t="str">
        <f>IFERROR(__xludf.DUMMYFUNCTION("""COMPUTED_VALUE"""),"NEW CONNECT")</f>
        <v>NEW CONNECT</v>
      </c>
      <c r="AA907" s="1">
        <f>IFERROR(__xludf.DUMMYFUNCTION("""COMPUTED_VALUE"""),639625310235)</f>
        <v>639625310235</v>
      </c>
      <c r="AB907" s="1">
        <f>IFERROR(__xludf.DUMMYFUNCTION("""COMPUTED_VALUE"""),639622132345)</f>
        <v>639622132345</v>
      </c>
      <c r="AC907" s="1">
        <f>IFERROR(__xludf.DUMMYFUNCTION("""COMPUTED_VALUE"""),1)</f>
        <v>1</v>
      </c>
      <c r="AD907" s="1" t="str">
        <f>IFERROR(__xludf.DUMMYFUNCTION("""COMPUTED_VALUE"""),"KAYTITINGA 2")</f>
        <v>KAYTITINGA 2</v>
      </c>
      <c r="AE907" s="1"/>
      <c r="AF907" s="1" t="str">
        <f>IFERROR(__xludf.DUMMYFUNCTION("""COMPUTED_VALUE"""),"BGY KAYTITINGA 2")</f>
        <v>BGY KAYTITINGA 2</v>
      </c>
      <c r="AG907" s="1" t="str">
        <f>IFERROR(__xludf.DUMMYFUNCTION("""COMPUTED_VALUE"""),"ALFONSO")</f>
        <v>ALFONSO</v>
      </c>
      <c r="AH907" s="1" t="str">
        <f>IFERROR(__xludf.DUMMYFUNCTION("""COMPUTED_VALUE"""),"BESIDE COCO HUBCAFE")</f>
        <v>BESIDE COCO HUBCAFE</v>
      </c>
      <c r="AI907" s="1" t="str">
        <f>IFERROR(__xludf.DUMMYFUNCTION("""COMPUTED_VALUE"""),"CLUSTER 12")</f>
        <v>CLUSTER 12</v>
      </c>
    </row>
    <row r="908" customHeight="1" spans="1:35">
      <c r="A908" s="3">
        <f>IFERROR(__xludf.DUMMYFUNCTION("""COMPUTED_VALUE"""),46302)</f>
        <v>46302</v>
      </c>
      <c r="B908" s="1" t="str">
        <f>IFERROR(__xludf.DUMMYFUNCTION("""COMPUTED_VALUE"""),"DINNA CRUZ CABAIS")</f>
        <v>DINNA CRUZ CABAIS</v>
      </c>
      <c r="C908" s="1">
        <f>IFERROR(__xludf.DUMMYFUNCTION("""COMPUTED_VALUE"""),2313025151)</f>
        <v>2313025151</v>
      </c>
      <c r="D908" s="1"/>
      <c r="E908" s="1"/>
      <c r="F908" s="1" t="str">
        <f>IFERROR(__xludf.DUMMYFUNCTION("""COMPUTED_VALUE"""),"CANCELLED")</f>
        <v>CANCELLED</v>
      </c>
      <c r="G908" s="1" t="str">
        <f>IFERROR(__xludf.DUMMYFUNCTION("""COMPUTED_VALUE"""),"CANCELLED")</f>
        <v>CANCELLED</v>
      </c>
      <c r="H908" s="1"/>
      <c r="I908" s="1"/>
      <c r="J908" s="1"/>
      <c r="K908" s="1"/>
      <c r="L908" s="1" t="str">
        <f>IFERROR(__xludf.DUMMYFUNCTION("""COMPUTED_VALUE"""),"CANCELLED - WITH OB")</f>
        <v>CANCELLED - WITH OB</v>
      </c>
      <c r="M908" s="1" t="str">
        <f>IFERROR(__xludf.DUMMYFUNCTION("""COMPUTED_VALUE"""),"CANCELLED - WITH OB")</f>
        <v>CANCELLED - WITH OB</v>
      </c>
      <c r="N908" s="3"/>
      <c r="O908" s="1" t="str">
        <f>IFERROR(__xludf.DUMMYFUNCTION("""COMPUTED_VALUE"""),"FIBR PLAN 1299")</f>
        <v>FIBR PLAN 1299</v>
      </c>
      <c r="P908" s="1" t="str">
        <f>IFERROR(__xludf.DUMMYFUNCTION("""COMPUTED_VALUE"""),"LOWPLAN")</f>
        <v>LOWPLAN</v>
      </c>
      <c r="Q908" s="1" t="str">
        <f>IFERROR(__xludf.DUMMYFUNCTION("""COMPUTED_VALUE"""),"P407566")</f>
        <v>P407566</v>
      </c>
      <c r="R908" s="1" t="str">
        <f>IFERROR(__xludf.DUMMYFUNCTION("""COMPUTED_VALUE"""),"DENACO, RODNEY")</f>
        <v>DENACO, RODNEY</v>
      </c>
      <c r="S908" s="1" t="str">
        <f>IFERROR(__xludf.DUMMYFUNCTION("""COMPUTED_VALUE"""),"ORGANIC")</f>
        <v>ORGANIC</v>
      </c>
      <c r="T908" s="1" t="str">
        <f>IFERROR(__xludf.DUMMYFUNCTION("""COMPUTED_VALUE"""),"LEA REMOLLO")</f>
        <v>LEA REMOLLO</v>
      </c>
      <c r="U908" s="1" t="str">
        <f>IFERROR(__xludf.DUMMYFUNCTION("""COMPUTED_VALUE"""),"JB SALIOA")</f>
        <v>JB SALIOA</v>
      </c>
      <c r="V908" s="1" t="str">
        <f>IFERROR(__xludf.DUMMYFUNCTION("""COMPUTED_VALUE"""),"BK REGULAR")</f>
        <v>BK REGULAR</v>
      </c>
      <c r="W908" s="1" t="str">
        <f>IFERROR(__xludf.DUMMYFUNCTION("""COMPUTED_VALUE"""),"STK REGULAR")</f>
        <v>STK REGULAR</v>
      </c>
      <c r="X908" s="1" t="str">
        <f>IFERROR(__xludf.DUMMYFUNCTION("""COMPUTED_VALUE"""),"REGULAR")</f>
        <v>REGULAR</v>
      </c>
      <c r="Y908" s="1" t="str">
        <f>IFERROR(__xludf.DUMMYFUNCTION("""COMPUTED_VALUE"""),"BK_CVEU_261006")</f>
        <v>BK_CVEU_261006</v>
      </c>
      <c r="Z908" s="1" t="str">
        <f>IFERROR(__xludf.DUMMYFUNCTION("""COMPUTED_VALUE"""),"NEW CONNECT")</f>
        <v>NEW CONNECT</v>
      </c>
      <c r="AA908" s="1">
        <f>IFERROR(__xludf.DUMMYFUNCTION("""COMPUTED_VALUE"""),639972254585)</f>
        <v>639972254585</v>
      </c>
      <c r="AB908" s="1"/>
      <c r="AC908" s="1">
        <f>IFERROR(__xludf.DUMMYFUNCTION("""COMPUTED_VALUE"""),48)</f>
        <v>48</v>
      </c>
      <c r="AD908" s="1" t="str">
        <f>IFERROR(__xludf.DUMMYFUNCTION("""COMPUTED_VALUE"""),"OLD BULIHAN")</f>
        <v>OLD BULIHAN</v>
      </c>
      <c r="AE908" s="1"/>
      <c r="AF908" s="1" t="str">
        <f>IFERROR(__xludf.DUMMYFUNCTION("""COMPUTED_VALUE"""),"BGY BULIHAN")</f>
        <v>BGY BULIHAN</v>
      </c>
      <c r="AG908" s="1" t="str">
        <f>IFERROR(__xludf.DUMMYFUNCTION("""COMPUTED_VALUE"""),"SILANG")</f>
        <v>SILANG</v>
      </c>
      <c r="AH908" s="1" t="str">
        <f>IFERROR(__xludf.DUMMYFUNCTION("""COMPUTED_VALUE"""),"MCDO")</f>
        <v>MCDO</v>
      </c>
      <c r="AI908" s="1" t="str">
        <f>IFERROR(__xludf.DUMMYFUNCTION("""COMPUTED_VALUE"""),"CLUSTER 11")</f>
        <v>CLUSTER 11</v>
      </c>
    </row>
    <row r="909" customHeight="1" spans="1:35">
      <c r="A909" s="3">
        <f>IFERROR(__xludf.DUMMYFUNCTION("""COMPUTED_VALUE"""),46302)</f>
        <v>46302</v>
      </c>
      <c r="B909" s="1" t="str">
        <f>IFERROR(__xludf.DUMMYFUNCTION("""COMPUTED_VALUE"""),"EDILBERTA MAIZO RIDDLE")</f>
        <v>EDILBERTA MAIZO RIDDLE</v>
      </c>
      <c r="C909" s="1">
        <f>IFERROR(__xludf.DUMMYFUNCTION("""COMPUTED_VALUE"""),2313025380)</f>
        <v>2313025380</v>
      </c>
      <c r="D909" s="1"/>
      <c r="E909" s="1"/>
      <c r="F909" s="1" t="str">
        <f>IFERROR(__xludf.DUMMYFUNCTION("""COMPUTED_VALUE"""),"CANCELLED")</f>
        <v>CANCELLED</v>
      </c>
      <c r="G909" s="1" t="str">
        <f>IFERROR(__xludf.DUMMYFUNCTION("""COMPUTED_VALUE"""),"CANCELLED")</f>
        <v>CANCELLED</v>
      </c>
      <c r="H909" s="1"/>
      <c r="I909" s="1"/>
      <c r="J909" s="1"/>
      <c r="K909" s="1"/>
      <c r="L909" s="1" t="str">
        <f>IFERROR(__xludf.DUMMYFUNCTION("""COMPUTED_VALUE"""),"CANCELLED - WITH OB")</f>
        <v>CANCELLED - WITH OB</v>
      </c>
      <c r="M909" s="1" t="str">
        <f>IFERROR(__xludf.DUMMYFUNCTION("""COMPUTED_VALUE"""),"CANCELLED - WITH OB")</f>
        <v>CANCELLED - WITH OB</v>
      </c>
      <c r="N909" s="3"/>
      <c r="O909" s="1" t="str">
        <f>IFERROR(__xludf.DUMMYFUNCTION("""COMPUTED_VALUE"""),"FIBR PLAN 1299")</f>
        <v>FIBR PLAN 1299</v>
      </c>
      <c r="P909" s="1" t="str">
        <f>IFERROR(__xludf.DUMMYFUNCTION("""COMPUTED_VALUE"""),"LOWPLAN")</f>
        <v>LOWPLAN</v>
      </c>
      <c r="Q909" s="1" t="str">
        <f>IFERROR(__xludf.DUMMYFUNCTION("""COMPUTED_VALUE"""),"P407566")</f>
        <v>P407566</v>
      </c>
      <c r="R909" s="1" t="str">
        <f>IFERROR(__xludf.DUMMYFUNCTION("""COMPUTED_VALUE"""),"DENACO, RODNEY")</f>
        <v>DENACO, RODNEY</v>
      </c>
      <c r="S909" s="1" t="str">
        <f>IFERROR(__xludf.DUMMYFUNCTION("""COMPUTED_VALUE"""),"ORGANIC")</f>
        <v>ORGANIC</v>
      </c>
      <c r="T909" s="1" t="str">
        <f>IFERROR(__xludf.DUMMYFUNCTION("""COMPUTED_VALUE"""),"LEA REMOLLO")</f>
        <v>LEA REMOLLO</v>
      </c>
      <c r="U909" s="1" t="str">
        <f>IFERROR(__xludf.DUMMYFUNCTION("""COMPUTED_VALUE"""),"JB SALIOA")</f>
        <v>JB SALIOA</v>
      </c>
      <c r="V909" s="1" t="str">
        <f>IFERROR(__xludf.DUMMYFUNCTION("""COMPUTED_VALUE"""),"BK REGULAR")</f>
        <v>BK REGULAR</v>
      </c>
      <c r="W909" s="1" t="str">
        <f>IFERROR(__xludf.DUMMYFUNCTION("""COMPUTED_VALUE"""),"STK REGULAR")</f>
        <v>STK REGULAR</v>
      </c>
      <c r="X909" s="1" t="str">
        <f>IFERROR(__xludf.DUMMYFUNCTION("""COMPUTED_VALUE"""),"REGULAR")</f>
        <v>REGULAR</v>
      </c>
      <c r="Y909" s="1" t="str">
        <f>IFERROR(__xludf.DUMMYFUNCTION("""COMPUTED_VALUE"""),"BK_CVEU_261006")</f>
        <v>BK_CVEU_261006</v>
      </c>
      <c r="Z909" s="1" t="str">
        <f>IFERROR(__xludf.DUMMYFUNCTION("""COMPUTED_VALUE"""),"NEW CONNECT")</f>
        <v>NEW CONNECT</v>
      </c>
      <c r="AA909" s="1">
        <f>IFERROR(__xludf.DUMMYFUNCTION("""COMPUTED_VALUE"""),639671543412)</f>
        <v>639671543412</v>
      </c>
      <c r="AB909" s="1"/>
      <c r="AC909" s="1">
        <f>IFERROR(__xludf.DUMMYFUNCTION("""COMPUTED_VALUE"""),267)</f>
        <v>267</v>
      </c>
      <c r="AD909" s="1" t="str">
        <f>IFERROR(__xludf.DUMMYFUNCTION("""COMPUTED_VALUE"""),"IBABA")</f>
        <v>IBABA</v>
      </c>
      <c r="AE909" s="1"/>
      <c r="AF909" s="1" t="str">
        <f>IFERROR(__xludf.DUMMYFUNCTION("""COMPUTED_VALUE"""),"BGY IBA")</f>
        <v>BGY IBA</v>
      </c>
      <c r="AG909" s="1" t="str">
        <f>IFERROR(__xludf.DUMMYFUNCTION("""COMPUTED_VALUE"""),"SILANG")</f>
        <v>SILANG</v>
      </c>
      <c r="AH909" s="1" t="str">
        <f>IFERROR(__xludf.DUMMYFUNCTION("""COMPUTED_VALUE"""),"-")</f>
        <v>-</v>
      </c>
      <c r="AI909" s="1" t="str">
        <f>IFERROR(__xludf.DUMMYFUNCTION("""COMPUTED_VALUE"""),"CLUSTER 11")</f>
        <v>CLUSTER 11</v>
      </c>
    </row>
    <row r="910" customHeight="1" spans="1:35">
      <c r="A910" s="3">
        <f>IFERROR(__xludf.DUMMYFUNCTION("""COMPUTED_VALUE"""),46302)</f>
        <v>46302</v>
      </c>
      <c r="B910" s="1" t="str">
        <f>IFERROR(__xludf.DUMMYFUNCTION("""COMPUTED_VALUE"""),"ANNA ROSE FRANCISCO SAMSON")</f>
        <v>ANNA ROSE FRANCISCO SAMSON</v>
      </c>
      <c r="C910" s="1">
        <f>IFERROR(__xludf.DUMMYFUNCTION("""COMPUTED_VALUE"""),2313025600)</f>
        <v>2313025600</v>
      </c>
      <c r="D910" s="1"/>
      <c r="E910" s="1"/>
      <c r="F910" s="1" t="str">
        <f>IFERROR(__xludf.DUMMYFUNCTION("""COMPUTED_VALUE"""),"CANCELLED")</f>
        <v>CANCELLED</v>
      </c>
      <c r="G910" s="1" t="str">
        <f>IFERROR(__xludf.DUMMYFUNCTION("""COMPUTED_VALUE"""),"CANCELLED")</f>
        <v>CANCELLED</v>
      </c>
      <c r="H910" s="1"/>
      <c r="I910" s="1"/>
      <c r="J910" s="1"/>
      <c r="K910" s="1"/>
      <c r="L910" s="1" t="str">
        <f>IFERROR(__xludf.DUMMYFUNCTION("""COMPUTED_VALUE"""),"CANCELLED - WITH OB")</f>
        <v>CANCELLED - WITH OB</v>
      </c>
      <c r="M910" s="1" t="str">
        <f>IFERROR(__xludf.DUMMYFUNCTION("""COMPUTED_VALUE"""),"CANCELLED - WITH OB")</f>
        <v>CANCELLED - WITH OB</v>
      </c>
      <c r="N910" s="3"/>
      <c r="O910" s="1" t="str">
        <f>IFERROR(__xludf.DUMMYFUNCTION("""COMPUTED_VALUE"""),"FIBR PLAN 1299")</f>
        <v>FIBR PLAN 1299</v>
      </c>
      <c r="P910" s="1" t="str">
        <f>IFERROR(__xludf.DUMMYFUNCTION("""COMPUTED_VALUE"""),"LOWPLAN")</f>
        <v>LOWPLAN</v>
      </c>
      <c r="Q910" s="1" t="str">
        <f>IFERROR(__xludf.DUMMYFUNCTION("""COMPUTED_VALUE"""),"P407566")</f>
        <v>P407566</v>
      </c>
      <c r="R910" s="1" t="str">
        <f>IFERROR(__xludf.DUMMYFUNCTION("""COMPUTED_VALUE"""),"DENACO, RODNEY")</f>
        <v>DENACO, RODNEY</v>
      </c>
      <c r="S910" s="1" t="str">
        <f>IFERROR(__xludf.DUMMYFUNCTION("""COMPUTED_VALUE"""),"ORGANIC")</f>
        <v>ORGANIC</v>
      </c>
      <c r="T910" s="1" t="str">
        <f>IFERROR(__xludf.DUMMYFUNCTION("""COMPUTED_VALUE"""),"LEA REMOLLO")</f>
        <v>LEA REMOLLO</v>
      </c>
      <c r="U910" s="1" t="str">
        <f>IFERROR(__xludf.DUMMYFUNCTION("""COMPUTED_VALUE"""),"JB SALIOA")</f>
        <v>JB SALIOA</v>
      </c>
      <c r="V910" s="1" t="str">
        <f>IFERROR(__xludf.DUMMYFUNCTION("""COMPUTED_VALUE"""),"BK REGULAR")</f>
        <v>BK REGULAR</v>
      </c>
      <c r="W910" s="1" t="str">
        <f>IFERROR(__xludf.DUMMYFUNCTION("""COMPUTED_VALUE"""),"STK REGULAR")</f>
        <v>STK REGULAR</v>
      </c>
      <c r="X910" s="1" t="str">
        <f>IFERROR(__xludf.DUMMYFUNCTION("""COMPUTED_VALUE"""),"REGULAR")</f>
        <v>REGULAR</v>
      </c>
      <c r="Y910" s="1" t="str">
        <f>IFERROR(__xludf.DUMMYFUNCTION("""COMPUTED_VALUE"""),"BK_CVEU_261006")</f>
        <v>BK_CVEU_261006</v>
      </c>
      <c r="Z910" s="1" t="str">
        <f>IFERROR(__xludf.DUMMYFUNCTION("""COMPUTED_VALUE"""),"NEW CONNECT")</f>
        <v>NEW CONNECT</v>
      </c>
      <c r="AA910" s="1">
        <f>IFERROR(__xludf.DUMMYFUNCTION("""COMPUTED_VALUE"""),639534400853)</f>
        <v>639534400853</v>
      </c>
      <c r="AB910" s="1"/>
      <c r="AC910" s="1"/>
      <c r="AD910" s="1" t="str">
        <f>IFERROR(__xludf.DUMMYFUNCTION("""COMPUTED_VALUE"""),"PUROK 2")</f>
        <v>PUROK 2</v>
      </c>
      <c r="AE910" s="1"/>
      <c r="AF910" s="1" t="str">
        <f>IFERROR(__xludf.DUMMYFUNCTION("""COMPUTED_VALUE"""),"BGY MALABAG")</f>
        <v>BGY MALABAG</v>
      </c>
      <c r="AG910" s="1" t="str">
        <f>IFERROR(__xludf.DUMMYFUNCTION("""COMPUTED_VALUE"""),"SILANG")</f>
        <v>SILANG</v>
      </c>
      <c r="AH910" s="1" t="str">
        <f>IFERROR(__xludf.DUMMYFUNCTION("""COMPUTED_VALUE"""),"BESIDE CAPA HARDWARE")</f>
        <v>BESIDE CAPA HARDWARE</v>
      </c>
      <c r="AI910" s="1" t="str">
        <f>IFERROR(__xludf.DUMMYFUNCTION("""COMPUTED_VALUE"""),"CLUSTER 11")</f>
        <v>CLUSTER 11</v>
      </c>
    </row>
    <row r="911" customHeight="1" spans="1:35">
      <c r="A911" s="3">
        <f>IFERROR(__xludf.DUMMYFUNCTION("""COMPUTED_VALUE"""),46302)</f>
        <v>46302</v>
      </c>
      <c r="B911" s="1" t="str">
        <f>IFERROR(__xludf.DUMMYFUNCTION("""COMPUTED_VALUE"""),"GLENDYSH . RACOMA")</f>
        <v>GLENDYSH . RACOMA</v>
      </c>
      <c r="C911" s="1">
        <f>IFERROR(__xludf.DUMMYFUNCTION("""COMPUTED_VALUE"""),2313025826)</f>
        <v>2313025826</v>
      </c>
      <c r="D911" s="1"/>
      <c r="E911" s="1"/>
      <c r="F911" s="1" t="str">
        <f>IFERROR(__xludf.DUMMYFUNCTION("""COMPUTED_VALUE"""),"CANCELLED")</f>
        <v>CANCELLED</v>
      </c>
      <c r="G911" s="1" t="str">
        <f>IFERROR(__xludf.DUMMYFUNCTION("""COMPUTED_VALUE"""),"CANCELLED")</f>
        <v>CANCELLED</v>
      </c>
      <c r="H911" s="1"/>
      <c r="I911" s="1"/>
      <c r="J911" s="1"/>
      <c r="K911" s="1"/>
      <c r="L911" s="1" t="str">
        <f>IFERROR(__xludf.DUMMYFUNCTION("""COMPUTED_VALUE"""),"CANCELLED - WITH OB")</f>
        <v>CANCELLED - WITH OB</v>
      </c>
      <c r="M911" s="1" t="str">
        <f>IFERROR(__xludf.DUMMYFUNCTION("""COMPUTED_VALUE"""),"CANCELLED - WITH OB")</f>
        <v>CANCELLED - WITH OB</v>
      </c>
      <c r="N911" s="3"/>
      <c r="O911" s="1" t="str">
        <f>IFERROR(__xludf.DUMMYFUNCTION("""COMPUTED_VALUE"""),"FIBR PLAN 1299")</f>
        <v>FIBR PLAN 1299</v>
      </c>
      <c r="P911" s="1" t="str">
        <f>IFERROR(__xludf.DUMMYFUNCTION("""COMPUTED_VALUE"""),"LOWPLAN")</f>
        <v>LOWPLAN</v>
      </c>
      <c r="Q911" s="1" t="str">
        <f>IFERROR(__xludf.DUMMYFUNCTION("""COMPUTED_VALUE"""),"P407566")</f>
        <v>P407566</v>
      </c>
      <c r="R911" s="1" t="str">
        <f>IFERROR(__xludf.DUMMYFUNCTION("""COMPUTED_VALUE"""),"DENACO, RODNEY")</f>
        <v>DENACO, RODNEY</v>
      </c>
      <c r="S911" s="1" t="str">
        <f>IFERROR(__xludf.DUMMYFUNCTION("""COMPUTED_VALUE"""),"ORGANIC")</f>
        <v>ORGANIC</v>
      </c>
      <c r="T911" s="1" t="str">
        <f>IFERROR(__xludf.DUMMYFUNCTION("""COMPUTED_VALUE"""),"LEA REMOLLO")</f>
        <v>LEA REMOLLO</v>
      </c>
      <c r="U911" s="1" t="str">
        <f>IFERROR(__xludf.DUMMYFUNCTION("""COMPUTED_VALUE"""),"JB SALIOA")</f>
        <v>JB SALIOA</v>
      </c>
      <c r="V911" s="1" t="str">
        <f>IFERROR(__xludf.DUMMYFUNCTION("""COMPUTED_VALUE"""),"BK REGULAR")</f>
        <v>BK REGULAR</v>
      </c>
      <c r="W911" s="1" t="str">
        <f>IFERROR(__xludf.DUMMYFUNCTION("""COMPUTED_VALUE"""),"STK REGULAR")</f>
        <v>STK REGULAR</v>
      </c>
      <c r="X911" s="1" t="str">
        <f>IFERROR(__xludf.DUMMYFUNCTION("""COMPUTED_VALUE"""),"REGULAR")</f>
        <v>REGULAR</v>
      </c>
      <c r="Y911" s="1" t="str">
        <f>IFERROR(__xludf.DUMMYFUNCTION("""COMPUTED_VALUE"""),"BK_CVEU_261006")</f>
        <v>BK_CVEU_261006</v>
      </c>
      <c r="Z911" s="1" t="str">
        <f>IFERROR(__xludf.DUMMYFUNCTION("""COMPUTED_VALUE"""),"NEW CONNECT")</f>
        <v>NEW CONNECT</v>
      </c>
      <c r="AA911" s="1">
        <f>IFERROR(__xludf.DUMMYFUNCTION("""COMPUTED_VALUE"""),639764935216)</f>
        <v>639764935216</v>
      </c>
      <c r="AB911" s="1">
        <f>IFERROR(__xludf.DUMMYFUNCTION("""COMPUTED_VALUE"""),639171866732)</f>
        <v>639171866732</v>
      </c>
      <c r="AC911" s="1"/>
      <c r="AD911" s="1" t="str">
        <f>IFERROR(__xludf.DUMMYFUNCTION("""COMPUTED_VALUE"""),"SOUTH")</f>
        <v>SOUTH</v>
      </c>
      <c r="AE911" s="1" t="str">
        <f>IFERROR(__xludf.DUMMYFUNCTION("""COMPUTED_VALUE"""),"STANFORD SUITES 2")</f>
        <v>STANFORD SUITES 2</v>
      </c>
      <c r="AF911" s="1" t="str">
        <f>IFERROR(__xludf.DUMMYFUNCTION("""COMPUTED_VALUE"""),"BGY INCHICAN")</f>
        <v>BGY INCHICAN</v>
      </c>
      <c r="AG911" s="1" t="str">
        <f>IFERROR(__xludf.DUMMYFUNCTION("""COMPUTED_VALUE"""),"SILANG")</f>
        <v>SILANG</v>
      </c>
      <c r="AH911" s="1" t="str">
        <f>IFERROR(__xludf.DUMMYFUNCTION("""COMPUTED_VALUE"""),"WEST GROVE NEAR MICROTEL SOUTH FORBES")</f>
        <v>WEST GROVE NEAR MICROTEL SOUTH FORBES</v>
      </c>
      <c r="AI911" s="1" t="str">
        <f>IFERROR(__xludf.DUMMYFUNCTION("""COMPUTED_VALUE"""),"CLUSTER 11")</f>
        <v>CLUSTER 11</v>
      </c>
    </row>
    <row r="912" customHeight="1" spans="1:35">
      <c r="A912" s="3">
        <f>IFERROR(__xludf.DUMMYFUNCTION("""COMPUTED_VALUE"""),46302)</f>
        <v>46302</v>
      </c>
      <c r="B912" s="1" t="str">
        <f>IFERROR(__xludf.DUMMYFUNCTION("""COMPUTED_VALUE"""),"ANNAMARIE PANIS MANGLICMOT")</f>
        <v>ANNAMARIE PANIS MANGLICMOT</v>
      </c>
      <c r="C912" s="1">
        <f>IFERROR(__xludf.DUMMYFUNCTION("""COMPUTED_VALUE"""),2313025983)</f>
        <v>2313025983</v>
      </c>
      <c r="D912" s="1"/>
      <c r="E912" s="1"/>
      <c r="F912" s="1" t="str">
        <f>IFERROR(__xludf.DUMMYFUNCTION("""COMPUTED_VALUE"""),"CANCELLED")</f>
        <v>CANCELLED</v>
      </c>
      <c r="G912" s="1" t="str">
        <f>IFERROR(__xludf.DUMMYFUNCTION("""COMPUTED_VALUE"""),"CANCELLED")</f>
        <v>CANCELLED</v>
      </c>
      <c r="H912" s="1"/>
      <c r="I912" s="1"/>
      <c r="J912" s="1"/>
      <c r="K912" s="1"/>
      <c r="L912" s="1" t="str">
        <f>IFERROR(__xludf.DUMMYFUNCTION("""COMPUTED_VALUE"""),"CANCELLED - WITH OB")</f>
        <v>CANCELLED - WITH OB</v>
      </c>
      <c r="M912" s="1" t="str">
        <f>IFERROR(__xludf.DUMMYFUNCTION("""COMPUTED_VALUE"""),"CANCELLED - WITH OB")</f>
        <v>CANCELLED - WITH OB</v>
      </c>
      <c r="N912" s="3"/>
      <c r="O912" s="1" t="str">
        <f>IFERROR(__xludf.DUMMYFUNCTION("""COMPUTED_VALUE"""),"FIBER UNLI ALL PLAN 2599")</f>
        <v>FIBER UNLI ALL PLAN 2599</v>
      </c>
      <c r="P912" s="1" t="str">
        <f>IFERROR(__xludf.DUMMYFUNCTION("""COMPUTED_VALUE"""),"HIGHPLAN")</f>
        <v>HIGHPLAN</v>
      </c>
      <c r="Q912" s="1" t="str">
        <f>IFERROR(__xludf.DUMMYFUNCTION("""COMPUTED_VALUE"""),"P407566")</f>
        <v>P407566</v>
      </c>
      <c r="R912" s="1" t="str">
        <f>IFERROR(__xludf.DUMMYFUNCTION("""COMPUTED_VALUE"""),"DENACO, RODNEY")</f>
        <v>DENACO, RODNEY</v>
      </c>
      <c r="S912" s="1" t="str">
        <f>IFERROR(__xludf.DUMMYFUNCTION("""COMPUTED_VALUE"""),"ORGANIC")</f>
        <v>ORGANIC</v>
      </c>
      <c r="T912" s="1" t="str">
        <f>IFERROR(__xludf.DUMMYFUNCTION("""COMPUTED_VALUE"""),"LEA REMOLLO")</f>
        <v>LEA REMOLLO</v>
      </c>
      <c r="U912" s="1" t="str">
        <f>IFERROR(__xludf.DUMMYFUNCTION("""COMPUTED_VALUE"""),"JB SALIOA")</f>
        <v>JB SALIOA</v>
      </c>
      <c r="V912" s="1" t="str">
        <f>IFERROR(__xludf.DUMMYFUNCTION("""COMPUTED_VALUE"""),"BK REGULAR")</f>
        <v>BK REGULAR</v>
      </c>
      <c r="W912" s="1" t="str">
        <f>IFERROR(__xludf.DUMMYFUNCTION("""COMPUTED_VALUE"""),"STK REGULAR")</f>
        <v>STK REGULAR</v>
      </c>
      <c r="X912" s="1" t="str">
        <f>IFERROR(__xludf.DUMMYFUNCTION("""COMPUTED_VALUE"""),"REGULAR")</f>
        <v>REGULAR</v>
      </c>
      <c r="Y912" s="1" t="str">
        <f>IFERROR(__xludf.DUMMYFUNCTION("""COMPUTED_VALUE"""),"BK_CVEU_261006")</f>
        <v>BK_CVEU_261006</v>
      </c>
      <c r="Z912" s="1" t="str">
        <f>IFERROR(__xludf.DUMMYFUNCTION("""COMPUTED_VALUE"""),"NEW CONNECT")</f>
        <v>NEW CONNECT</v>
      </c>
      <c r="AA912" s="1">
        <f>IFERROR(__xludf.DUMMYFUNCTION("""COMPUTED_VALUE"""),639162036317)</f>
        <v>639162036317</v>
      </c>
      <c r="AB912" s="1">
        <f>IFERROR(__xludf.DUMMYFUNCTION("""COMPUTED_VALUE"""),639164676005)</f>
        <v>639164676005</v>
      </c>
      <c r="AC912" s="1"/>
      <c r="AD912" s="1" t="str">
        <f>IFERROR(__xludf.DUMMYFUNCTION("""COMPUTED_VALUE"""),"PHASE 2")</f>
        <v>PHASE 2</v>
      </c>
      <c r="AE912" s="1" t="str">
        <f>IFERROR(__xludf.DUMMYFUNCTION("""COMPUTED_VALUE"""),"RANCHO IMPERIAL")</f>
        <v>RANCHO IMPERIAL</v>
      </c>
      <c r="AF912" s="1" t="str">
        <f>IFERROR(__xludf.DUMMYFUNCTION("""COMPUTED_VALUE"""),"BGY TARTARIA")</f>
        <v>BGY TARTARIA</v>
      </c>
      <c r="AG912" s="1" t="str">
        <f>IFERROR(__xludf.DUMMYFUNCTION("""COMPUTED_VALUE"""),"SILANG")</f>
        <v>SILANG</v>
      </c>
      <c r="AH912" s="1" t="str">
        <f>IFERROR(__xludf.DUMMYFUNCTION("""COMPUTED_VALUE"""),"HOA")</f>
        <v>HOA</v>
      </c>
      <c r="AI912" s="1" t="str">
        <f>IFERROR(__xludf.DUMMYFUNCTION("""COMPUTED_VALUE"""),"CLUSTER 11")</f>
        <v>CLUSTER 11</v>
      </c>
    </row>
    <row r="913" customHeight="1" spans="1:35">
      <c r="A913" s="3">
        <f>IFERROR(__xludf.DUMMYFUNCTION("""COMPUTED_VALUE"""),46302)</f>
        <v>46302</v>
      </c>
      <c r="B913" s="1" t="str">
        <f>IFERROR(__xludf.DUMMYFUNCTION("""COMPUTED_VALUE"""),"ALDRIAN JAY MORADA DE GUIA")</f>
        <v>ALDRIAN JAY MORADA DE GUIA</v>
      </c>
      <c r="C913" s="1">
        <f>IFERROR(__xludf.DUMMYFUNCTION("""COMPUTED_VALUE"""),2313026791)</f>
        <v>2313026791</v>
      </c>
      <c r="D913" s="1"/>
      <c r="E913" s="1"/>
      <c r="F913" s="1" t="str">
        <f>IFERROR(__xludf.DUMMYFUNCTION("""COMPUTED_VALUE"""),"REENCODED")</f>
        <v>REENCODED</v>
      </c>
      <c r="G913" s="1" t="str">
        <f>IFERROR(__xludf.DUMMYFUNCTION("""COMPUTED_VALUE"""),"REENCODED")</f>
        <v>REENCODED</v>
      </c>
      <c r="H913" s="1"/>
      <c r="I913" s="1"/>
      <c r="J913" s="1"/>
      <c r="K913" s="1"/>
      <c r="L913" s="1" t="str">
        <f>IFERROR(__xludf.DUMMYFUNCTION("""COMPUTED_VALUE"""),"REENCODED")</f>
        <v>REENCODED</v>
      </c>
      <c r="M913" s="1" t="str">
        <f>IFERROR(__xludf.DUMMYFUNCTION("""COMPUTED_VALUE"""),"REENCODED")</f>
        <v>REENCODED</v>
      </c>
      <c r="N913" s="3"/>
      <c r="O913" s="1" t="str">
        <f>IFERROR(__xludf.DUMMYFUNCTION("""COMPUTED_VALUE"""),"FIBER UNLI PLAN 1399")</f>
        <v>FIBER UNLI PLAN 1399</v>
      </c>
      <c r="P913" s="1" t="str">
        <f>IFERROR(__xludf.DUMMYFUNCTION("""COMPUTED_VALUE"""),"LOWPLAN")</f>
        <v>LOWPLAN</v>
      </c>
      <c r="Q913" s="1" t="str">
        <f>IFERROR(__xludf.DUMMYFUNCTION("""COMPUTED_VALUE"""),"P407565")</f>
        <v>P407565</v>
      </c>
      <c r="R913" s="1" t="str">
        <f>IFERROR(__xludf.DUMMYFUNCTION("""COMPUTED_VALUE"""),"MANDUCDOC, MARIANE")</f>
        <v>MANDUCDOC, MARIANE</v>
      </c>
      <c r="S913" s="1" t="str">
        <f>IFERROR(__xludf.DUMMYFUNCTION("""COMPUTED_VALUE"""),"ORGANIC")</f>
        <v>ORGANIC</v>
      </c>
      <c r="T913" s="1" t="str">
        <f>IFERROR(__xludf.DUMMYFUNCTION("""COMPUTED_VALUE"""),"LEA REMOLLO")</f>
        <v>LEA REMOLLO</v>
      </c>
      <c r="U913" s="1" t="str">
        <f>IFERROR(__xludf.DUMMYFUNCTION("""COMPUTED_VALUE"""),"JB SALIOA")</f>
        <v>JB SALIOA</v>
      </c>
      <c r="V913" s="1" t="str">
        <f>IFERROR(__xludf.DUMMYFUNCTION("""COMPUTED_VALUE"""),"BK REGULAR")</f>
        <v>BK REGULAR</v>
      </c>
      <c r="W913" s="1" t="str">
        <f>IFERROR(__xludf.DUMMYFUNCTION("""COMPUTED_VALUE"""),"STK REGULAR")</f>
        <v>STK REGULAR</v>
      </c>
      <c r="X913" s="1" t="str">
        <f>IFERROR(__xludf.DUMMYFUNCTION("""COMPUTED_VALUE"""),"FIBER 1399 98TH YR")</f>
        <v>FIBER 1399 98TH YR</v>
      </c>
      <c r="Y913" s="1" t="str">
        <f>IFERROR(__xludf.DUMMYFUNCTION("""COMPUTED_VALUE"""),"BK_CVEU_261004")</f>
        <v>BK_CVEU_261004</v>
      </c>
      <c r="Z913" s="1" t="str">
        <f>IFERROR(__xludf.DUMMYFUNCTION("""COMPUTED_VALUE"""),"NEW CONNECT")</f>
        <v>NEW CONNECT</v>
      </c>
      <c r="AA913" s="1">
        <f>IFERROR(__xludf.DUMMYFUNCTION("""COMPUTED_VALUE"""),639931485288)</f>
        <v>639931485288</v>
      </c>
      <c r="AB913" s="1"/>
      <c r="AC913" s="1"/>
      <c r="AD913" s="1" t="str">
        <f>IFERROR(__xludf.DUMMYFUNCTION("""COMPUTED_VALUE"""),"SAN JOSE")</f>
        <v>SAN JOSE</v>
      </c>
      <c r="AE913" s="1"/>
      <c r="AF913" s="1" t="str">
        <f>IFERROR(__xludf.DUMMYFUNCTION("""COMPUTED_VALUE"""),"BGY SAN JOSE")</f>
        <v>BGY SAN JOSE</v>
      </c>
      <c r="AG913" s="1" t="str">
        <f>IFERROR(__xludf.DUMMYFUNCTION("""COMPUTED_VALUE"""),"GEN MARIANO ALVAREZ")</f>
        <v>GEN MARIANO ALVAREZ</v>
      </c>
      <c r="AH913" s="1" t="str">
        <f>IFERROR(__xludf.DUMMYFUNCTION("""COMPUTED_VALUE"""),"SHEKAINAH LEARNING SCHOOL")</f>
        <v>SHEKAINAH LEARNING SCHOOL</v>
      </c>
      <c r="AI913" s="1" t="str">
        <f>IFERROR(__xludf.DUMMYFUNCTION("""COMPUTED_VALUE"""),"CLUSTER 11")</f>
        <v>CLUSTER 11</v>
      </c>
    </row>
    <row r="914" customHeight="1" spans="1:35">
      <c r="A914" s="3">
        <f>IFERROR(__xludf.DUMMYFUNCTION("""COMPUTED_VALUE"""),46302)</f>
        <v>46302</v>
      </c>
      <c r="B914" s="1" t="str">
        <f>IFERROR(__xludf.DUMMYFUNCTION("""COMPUTED_VALUE"""),"ALDRIAN JAY MORADA DE GUIA")</f>
        <v>ALDRIAN JAY MORADA DE GUIA</v>
      </c>
      <c r="C914" s="1">
        <f>IFERROR(__xludf.DUMMYFUNCTION("""COMPUTED_VALUE"""),2313026991)</f>
        <v>2313026991</v>
      </c>
      <c r="D914" s="1">
        <f>IFERROR(__xludf.DUMMYFUNCTION("""COMPUTED_VALUE"""),408780381)</f>
        <v>408780381</v>
      </c>
      <c r="E914" s="1">
        <f>IFERROR(__xludf.DUMMYFUNCTION("""COMPUTED_VALUE"""),474726596004)</f>
        <v>474726596004</v>
      </c>
      <c r="F914" s="1" t="str">
        <f>IFERROR(__xludf.DUMMYFUNCTION("""COMPUTED_VALUE"""),"CANCELLED")</f>
        <v>CANCELLED</v>
      </c>
      <c r="G914" s="1" t="str">
        <f>IFERROR(__xludf.DUMMYFUNCTION("""COMPUTED_VALUE"""),"CANCELLED")</f>
        <v>CANCELLED</v>
      </c>
      <c r="H914" s="1"/>
      <c r="I914" s="1"/>
      <c r="J914" s="1"/>
      <c r="K914" s="1" t="str">
        <f>IFERROR(__xludf.DUMMYFUNCTION("""COMPUTED_VALUE"""),"NOT IN OFSC")</f>
        <v>NOT IN OFSC</v>
      </c>
      <c r="L914" s="1" t="str">
        <f>IFERROR(__xludf.DUMMYFUNCTION("""COMPUTED_VALUE"""),"CANCELLED")</f>
        <v>CANCELLED</v>
      </c>
      <c r="M914" s="1" t="str">
        <f>IFERROR(__xludf.DUMMYFUNCTION("""COMPUTED_VALUE"""),"CSP CANCELLED")</f>
        <v>CSP CANCELLED</v>
      </c>
      <c r="N914" s="3"/>
      <c r="O914" s="1" t="str">
        <f>IFERROR(__xludf.DUMMYFUNCTION("""COMPUTED_VALUE"""),"FIBER UNLI PLAN 1399")</f>
        <v>FIBER UNLI PLAN 1399</v>
      </c>
      <c r="P914" s="1" t="str">
        <f>IFERROR(__xludf.DUMMYFUNCTION("""COMPUTED_VALUE"""),"LOWPLAN")</f>
        <v>LOWPLAN</v>
      </c>
      <c r="Q914" s="1" t="str">
        <f>IFERROR(__xludf.DUMMYFUNCTION("""COMPUTED_VALUE"""),"P407565")</f>
        <v>P407565</v>
      </c>
      <c r="R914" s="1" t="str">
        <f>IFERROR(__xludf.DUMMYFUNCTION("""COMPUTED_VALUE"""),"MANDUCDOC, MARIANE")</f>
        <v>MANDUCDOC, MARIANE</v>
      </c>
      <c r="S914" s="1" t="str">
        <f>IFERROR(__xludf.DUMMYFUNCTION("""COMPUTED_VALUE"""),"ORGANIC")</f>
        <v>ORGANIC</v>
      </c>
      <c r="T914" s="1" t="str">
        <f>IFERROR(__xludf.DUMMYFUNCTION("""COMPUTED_VALUE"""),"LEA REMOLLO")</f>
        <v>LEA REMOLLO</v>
      </c>
      <c r="U914" s="1" t="str">
        <f>IFERROR(__xludf.DUMMYFUNCTION("""COMPUTED_VALUE"""),"JB SALIOA")</f>
        <v>JB SALIOA</v>
      </c>
      <c r="V914" s="1" t="str">
        <f>IFERROR(__xludf.DUMMYFUNCTION("""COMPUTED_VALUE"""),"BK REGULAR")</f>
        <v>BK REGULAR</v>
      </c>
      <c r="W914" s="1" t="str">
        <f>IFERROR(__xludf.DUMMYFUNCTION("""COMPUTED_VALUE"""),"STK REGULAR")</f>
        <v>STK REGULAR</v>
      </c>
      <c r="X914" s="1" t="str">
        <f>IFERROR(__xludf.DUMMYFUNCTION("""COMPUTED_VALUE"""),"FIBER 1399 98TH YR")</f>
        <v>FIBER 1399 98TH YR</v>
      </c>
      <c r="Y914" s="1" t="str">
        <f>IFERROR(__xludf.DUMMYFUNCTION("""COMPUTED_VALUE"""),"BK_CVEU_261004")</f>
        <v>BK_CVEU_261004</v>
      </c>
      <c r="Z914" s="1" t="str">
        <f>IFERROR(__xludf.DUMMYFUNCTION("""COMPUTED_VALUE"""),"NEW CONNECT")</f>
        <v>NEW CONNECT</v>
      </c>
      <c r="AA914" s="1">
        <f>IFERROR(__xludf.DUMMYFUNCTION("""COMPUTED_VALUE"""),639931485288)</f>
        <v>639931485288</v>
      </c>
      <c r="AB914" s="1"/>
      <c r="AC914" s="1"/>
      <c r="AD914" s="1" t="str">
        <f>IFERROR(__xludf.DUMMYFUNCTION("""COMPUTED_VALUE"""),"SAN JOSE")</f>
        <v>SAN JOSE</v>
      </c>
      <c r="AE914" s="1"/>
      <c r="AF914" s="1" t="str">
        <f>IFERROR(__xludf.DUMMYFUNCTION("""COMPUTED_VALUE"""),"BGY SAN JOSE")</f>
        <v>BGY SAN JOSE</v>
      </c>
      <c r="AG914" s="1" t="str">
        <f>IFERROR(__xludf.DUMMYFUNCTION("""COMPUTED_VALUE"""),"GEN MARIANO ALVAREZ")</f>
        <v>GEN MARIANO ALVAREZ</v>
      </c>
      <c r="AH914" s="1" t="str">
        <f>IFERROR(__xludf.DUMMYFUNCTION("""COMPUTED_VALUE"""),"SHEKAINAH LEARNING SCHOOL")</f>
        <v>SHEKAINAH LEARNING SCHOOL</v>
      </c>
      <c r="AI914" s="1" t="str">
        <f>IFERROR(__xludf.DUMMYFUNCTION("""COMPUTED_VALUE"""),"CLUSTER 11")</f>
        <v>CLUSTER 11</v>
      </c>
    </row>
    <row r="915" customHeight="1" spans="1:35">
      <c r="A915" s="3">
        <f>IFERROR(__xludf.DUMMYFUNCTION("""COMPUTED_VALUE"""),46303)</f>
        <v>46303</v>
      </c>
      <c r="B915" s="1" t="str">
        <f>IFERROR(__xludf.DUMMYFUNCTION("""COMPUTED_VALUE"""),"JUAN CARLOS APO SUZARA")</f>
        <v>JUAN CARLOS APO SUZARA</v>
      </c>
      <c r="C915" s="1">
        <f>IFERROR(__xludf.DUMMYFUNCTION("""COMPUTED_VALUE"""),2313038700)</f>
        <v>2313038700</v>
      </c>
      <c r="D915" s="1">
        <f>IFERROR(__xludf.DUMMYFUNCTION("""COMPUTED_VALUE"""),408789427)</f>
        <v>408789427</v>
      </c>
      <c r="E915" s="1">
        <f>IFERROR(__xludf.DUMMYFUNCTION("""COMPUTED_VALUE"""),474733413004)</f>
        <v>474733413004</v>
      </c>
      <c r="F915" s="1" t="str">
        <f>IFERROR(__xludf.DUMMYFUNCTION("""COMPUTED_VALUE"""),"CLOSED")</f>
        <v>CLOSED</v>
      </c>
      <c r="G915" s="1" t="str">
        <f>IFERROR(__xludf.DUMMYFUNCTION("""COMPUTED_VALUE"""),"CLOSED")</f>
        <v>CLOSED</v>
      </c>
      <c r="H915" s="1" t="str">
        <f>IFERROR(__xludf.DUMMYFUNCTION("""COMPUTED_VALUE"""),"PQGOR367040053	12-Oct-26	Regular Payment	CIS-GCASH 3.0	1,399.00	948147385	12-Oct-26")</f>
        <v>PQGOR367040053	12-Oct-26	Regular Payment	CIS-GCASH 3.0	1,399.00	948147385	12-Oct-26</v>
      </c>
      <c r="I915" s="1" t="str">
        <f>IFERROR(__xludf.DUMMYFUNCTION("""COMPUTED_VALUE"""),"WITH 1 AMSF")</f>
        <v>WITH 1 AMSF</v>
      </c>
      <c r="J915" s="1"/>
      <c r="K915" s="1" t="str">
        <f>IFERROR(__xludf.DUMMYFUNCTION("""COMPUTED_VALUE"""),"COMPLETED")</f>
        <v>COMPLETED</v>
      </c>
      <c r="L915" s="1" t="str">
        <f>IFERROR(__xludf.DUMMYFUNCTION("""COMPUTED_VALUE"""),"POSTED")</f>
        <v>POSTED</v>
      </c>
      <c r="M915" s="1" t="str">
        <f>IFERROR(__xludf.DUMMYFUNCTION("""COMPUTED_VALUE"""),"POSTED")</f>
        <v>POSTED</v>
      </c>
      <c r="N915" s="3">
        <f>IFERROR(__xludf.DUMMYFUNCTION("""COMPUTED_VALUE"""),46304)</f>
        <v>46304</v>
      </c>
      <c r="O915" s="1" t="str">
        <f>IFERROR(__xludf.DUMMYFUNCTION("""COMPUTED_VALUE"""),"FIBER UNLI PLAN 1399")</f>
        <v>FIBER UNLI PLAN 1399</v>
      </c>
      <c r="P915" s="1" t="str">
        <f>IFERROR(__xludf.DUMMYFUNCTION("""COMPUTED_VALUE"""),"LOWPLAN")</f>
        <v>LOWPLAN</v>
      </c>
      <c r="Q915" s="1" t="str">
        <f>IFERROR(__xludf.DUMMYFUNCTION("""COMPUTED_VALUE"""),"P407047")</f>
        <v>P407047</v>
      </c>
      <c r="R915" s="1" t="str">
        <f>IFERROR(__xludf.DUMMYFUNCTION("""COMPUTED_VALUE"""),"FRANCISCO, ROSELYN")</f>
        <v>FRANCISCO, ROSELYN</v>
      </c>
      <c r="S915" s="1" t="str">
        <f>IFERROR(__xludf.DUMMYFUNCTION("""COMPUTED_VALUE"""),"ORGANIC")</f>
        <v>ORGANIC</v>
      </c>
      <c r="T915" s="1" t="str">
        <f>IFERROR(__xludf.DUMMYFUNCTION("""COMPUTED_VALUE"""),"LEA REMOLLO")</f>
        <v>LEA REMOLLO</v>
      </c>
      <c r="U915" s="1" t="str">
        <f>IFERROR(__xludf.DUMMYFUNCTION("""COMPUTED_VALUE"""),"JULIE ESPIRITU")</f>
        <v>JULIE ESPIRITU</v>
      </c>
      <c r="V915" s="1" t="str">
        <f>IFERROR(__xludf.DUMMYFUNCTION("""COMPUTED_VALUE"""),"BK REGULAR")</f>
        <v>BK REGULAR</v>
      </c>
      <c r="W915" s="1" t="str">
        <f>IFERROR(__xludf.DUMMYFUNCTION("""COMPUTED_VALUE"""),"STK REGULAR")</f>
        <v>STK REGULAR</v>
      </c>
      <c r="X915" s="1" t="str">
        <f>IFERROR(__xludf.DUMMYFUNCTION("""COMPUTED_VALUE"""),"FIBER 1399 98TH YR")</f>
        <v>FIBER 1399 98TH YR</v>
      </c>
      <c r="Y915" s="1" t="str">
        <f>IFERROR(__xludf.DUMMYFUNCTION("""COMPUTED_VALUE"""),"BK_CVEU_261004")</f>
        <v>BK_CVEU_261004</v>
      </c>
      <c r="Z915" s="1" t="str">
        <f>IFERROR(__xludf.DUMMYFUNCTION("""COMPUTED_VALUE"""),"NEW CONNECT")</f>
        <v>NEW CONNECT</v>
      </c>
      <c r="AA915" s="1">
        <f>IFERROR(__xludf.DUMMYFUNCTION("""COMPUTED_VALUE"""),639544555858)</f>
        <v>639544555858</v>
      </c>
      <c r="AB915" s="1">
        <f>IFERROR(__xludf.DUMMYFUNCTION("""COMPUTED_VALUE"""),639171752568)</f>
        <v>639171752568</v>
      </c>
      <c r="AC915" s="1"/>
      <c r="AD915" s="1" t="str">
        <f>IFERROR(__xludf.DUMMYFUNCTION("""COMPUTED_VALUE"""),"VISAYAS")</f>
        <v>VISAYAS</v>
      </c>
      <c r="AE915" s="1"/>
      <c r="AF915" s="1" t="str">
        <f>IFERROR(__xludf.DUMMYFUNCTION("""COMPUTED_VALUE"""),"BGY GAVINO MADERAN")</f>
        <v>BGY GAVINO MADERAN</v>
      </c>
      <c r="AG915" s="1" t="str">
        <f>IFERROR(__xludf.DUMMYFUNCTION("""COMPUTED_VALUE"""),"GEN MARIANO ALVAREZ")</f>
        <v>GEN MARIANO ALVAREZ</v>
      </c>
      <c r="AH915" s="1" t="str">
        <f>IFERROR(__xludf.DUMMYFUNCTION("""COMPUTED_VALUE"""),"NEAR FORMER SELECTA WAREHOUSE")</f>
        <v>NEAR FORMER SELECTA WAREHOUSE</v>
      </c>
      <c r="AI915" s="1" t="str">
        <f>IFERROR(__xludf.DUMMYFUNCTION("""COMPUTED_VALUE"""),"CLUSTER 11")</f>
        <v>CLUSTER 11</v>
      </c>
    </row>
    <row r="916" customHeight="1" spans="1:35">
      <c r="A916" s="3">
        <f>IFERROR(__xludf.DUMMYFUNCTION("""COMPUTED_VALUE"""),46303)</f>
        <v>46303</v>
      </c>
      <c r="B916" s="1" t="str">
        <f>IFERROR(__xludf.DUMMYFUNCTION("""COMPUTED_VALUE"""),"ANGELO ALVARAN MAGO")</f>
        <v>ANGELO ALVARAN MAGO</v>
      </c>
      <c r="C916" s="1">
        <f>IFERROR(__xludf.DUMMYFUNCTION("""COMPUTED_VALUE"""),2313040118)</f>
        <v>2313040118</v>
      </c>
      <c r="D916" s="1"/>
      <c r="E916" s="1"/>
      <c r="F916" s="1" t="str">
        <f>IFERROR(__xludf.DUMMYFUNCTION("""COMPUTED_VALUE"""),"BLACKLISTED CVA DISAPPROVED")</f>
        <v>BLACKLISTED CVA DISAPPROVED</v>
      </c>
      <c r="G916" s="1" t="str">
        <f>IFERROR(__xludf.DUMMYFUNCTION("""COMPUTED_VALUE"""),"(OTHERS) DISAPPROVED |WITH DISCREPANCIES ON POID SUBMITTED |ACCT# (0338354924,0354759160,0369910418) SAME ID NO# BUT DIFF NAME | CORRECT ENCODED INFO IN CSP | TU SCORING - GG - 1 (NTC)| 1 AMSF REQUIRED | CLEARED FROM BLACKLISTED HIT | NO EXISTING ACTIVE A"&amp;"CCT AND/OR PENDING/CANCELLED APPLICATION ")</f>
        <v>(OTHERS) DISAPPROVED |WITH DISCREPANCIES ON POID SUBMITTED |ACCT# (0338354924,0354759160,0369910418) SAME ID NO# BUT DIFF NAME | CORRECT ENCODED INFO IN CSP | TU SCORING - GG - 1 (NTC)| 1 AMSF REQUIRED | CLEARED FROM BLACKLISTED HIT | NO EXISTING ACTIVE ACCT AND/OR PENDING/CANCELLED APPLICATION </v>
      </c>
      <c r="H916" s="1"/>
      <c r="I916" s="1"/>
      <c r="J916" s="1"/>
      <c r="K916" s="1"/>
      <c r="L916" s="1" t="str">
        <f>IFERROR(__xludf.DUMMYFUNCTION("""COMPUTED_VALUE"""),"DISAPPROVED - FOR CUSTOMER COMPLIANCE")</f>
        <v>DISAPPROVED - FOR CUSTOMER COMPLIANCE</v>
      </c>
      <c r="M916" s="1" t="str">
        <f>IFERROR(__xludf.DUMMYFUNCTION("""COMPUTED_VALUE"""),"DISAPPROVED - UNCLEAR DOCS")</f>
        <v>DISAPPROVED - UNCLEAR DOCS</v>
      </c>
      <c r="N916" s="3"/>
      <c r="O916" s="1" t="str">
        <f>IFERROR(__xludf.DUMMYFUNCTION("""COMPUTED_VALUE"""),"FIBER UNLI PLAN 1399")</f>
        <v>FIBER UNLI PLAN 1399</v>
      </c>
      <c r="P916" s="1" t="str">
        <f>IFERROR(__xludf.DUMMYFUNCTION("""COMPUTED_VALUE"""),"LOWPLAN")</f>
        <v>LOWPLAN</v>
      </c>
      <c r="Q916" s="1" t="str">
        <f>IFERROR(__xludf.DUMMYFUNCTION("""COMPUTED_VALUE"""),"P407563 ")</f>
        <v>P407563 </v>
      </c>
      <c r="R916" s="1" t="str">
        <f>IFERROR(__xludf.DUMMYFUNCTION("""COMPUTED_VALUE"""),"BAQUIT, JAZMIN")</f>
        <v>BAQUIT, JAZMIN</v>
      </c>
      <c r="S916" s="1" t="str">
        <f>IFERROR(__xludf.DUMMYFUNCTION("""COMPUTED_VALUE"""),"ORGANIC")</f>
        <v>ORGANIC</v>
      </c>
      <c r="T916" s="1" t="str">
        <f>IFERROR(__xludf.DUMMYFUNCTION("""COMPUTED_VALUE"""),"LEA REMOLLO")</f>
        <v>LEA REMOLLO</v>
      </c>
      <c r="U916" s="1" t="str">
        <f>IFERROR(__xludf.DUMMYFUNCTION("""COMPUTED_VALUE"""),"JULIE ESPIRITU")</f>
        <v>JULIE ESPIRITU</v>
      </c>
      <c r="V916" s="1" t="str">
        <f>IFERROR(__xludf.DUMMYFUNCTION("""COMPUTED_VALUE"""),"BK REGULAR")</f>
        <v>BK REGULAR</v>
      </c>
      <c r="W916" s="1" t="str">
        <f>IFERROR(__xludf.DUMMYFUNCTION("""COMPUTED_VALUE"""),"CSP")</f>
        <v>CSP</v>
      </c>
      <c r="X916" s="1" t="str">
        <f>IFERROR(__xludf.DUMMYFUNCTION("""COMPUTED_VALUE"""),"FIBER 1399 98TH YR")</f>
        <v>FIBER 1399 98TH YR</v>
      </c>
      <c r="Y916" s="1" t="str">
        <f>IFERROR(__xludf.DUMMYFUNCTION("""COMPUTED_VALUE"""),"BK_CVEU_261004")</f>
        <v>BK_CVEU_261004</v>
      </c>
      <c r="Z916" s="1" t="str">
        <f>IFERROR(__xludf.DUMMYFUNCTION("""COMPUTED_VALUE"""),"NEW CONNECT")</f>
        <v>NEW CONNECT</v>
      </c>
      <c r="AA916" s="1">
        <f>IFERROR(__xludf.DUMMYFUNCTION("""COMPUTED_VALUE"""),639930622874)</f>
        <v>639930622874</v>
      </c>
      <c r="AB916" s="1">
        <f>IFERROR(__xludf.DUMMYFUNCTION("""COMPUTED_VALUE"""),639535319081)</f>
        <v>639535319081</v>
      </c>
      <c r="AC916" s="1">
        <f>IFERROR(__xludf.DUMMYFUNCTION("""COMPUTED_VALUE"""),198)</f>
        <v>198</v>
      </c>
      <c r="AD916" s="1" t="str">
        <f>IFERROR(__xludf.DUMMYFUNCTION("""COMPUTED_VALUE"""),"TAMANLI")</f>
        <v>TAMANLI</v>
      </c>
      <c r="AE916" s="1"/>
      <c r="AF916" s="1" t="str">
        <f>IFERROR(__xludf.DUMMYFUNCTION("""COMPUTED_VALUE"""),"BGY KAPITAN KUA")</f>
        <v>BGY KAPITAN KUA</v>
      </c>
      <c r="AG916" s="1" t="str">
        <f>IFERROR(__xludf.DUMMYFUNCTION("""COMPUTED_VALUE"""),"GEN MARIANO ALVAREZ")</f>
        <v>GEN MARIANO ALVAREZ</v>
      </c>
      <c r="AH916" s="1" t="str">
        <f>IFERROR(__xludf.DUMMYFUNCTION("""COMPUTED_VALUE"""),"NEAR LOVE JOY RESORT")</f>
        <v>NEAR LOVE JOY RESORT</v>
      </c>
      <c r="AI916" s="1" t="str">
        <f>IFERROR(__xludf.DUMMYFUNCTION("""COMPUTED_VALUE"""),"CLUSTER 11")</f>
        <v>CLUSTER 11</v>
      </c>
    </row>
    <row r="917" customHeight="1" spans="1:35">
      <c r="A917" s="3">
        <f>IFERROR(__xludf.DUMMYFUNCTION("""COMPUTED_VALUE"""),46303)</f>
        <v>46303</v>
      </c>
      <c r="B917" s="1" t="str">
        <f>IFERROR(__xludf.DUMMYFUNCTION("""COMPUTED_VALUE""")," LIEZEL JOY . REYES")</f>
        <v> LIEZEL JOY . REYES</v>
      </c>
      <c r="C917" s="1">
        <f>IFERROR(__xludf.DUMMYFUNCTION("""COMPUTED_VALUE"""),2313041647)</f>
        <v>2313041647</v>
      </c>
      <c r="D917" s="1">
        <f>IFERROR(__xludf.DUMMYFUNCTION("""COMPUTED_VALUE"""),408776333)</f>
        <v>408776333</v>
      </c>
      <c r="E917" s="1">
        <f>IFERROR(__xludf.DUMMYFUNCTION("""COMPUTED_VALUE"""),474722790004)</f>
        <v>474722790004</v>
      </c>
      <c r="F917" s="1" t="str">
        <f>IFERROR(__xludf.DUMMYFUNCTION("""COMPUTED_VALUE"""),"CANCELED")</f>
        <v>CANCELED</v>
      </c>
      <c r="G917" s="1" t="str">
        <f>IFERROR(__xludf.DUMMYFUNCTION("""COMPUTED_VALUE"""),"VISITED     REMARKS   CANCEL APPLICATION NAKA GLOBE NA RAW SI SUBS   TALK LIEZEL JOY REYES 09381766249")</f>
        <v>VISITED     REMARKS   CANCEL APPLICATION NAKA GLOBE NA RAW SI SUBS   TALK LIEZEL JOY REYES 09381766249</v>
      </c>
      <c r="H917" s="1"/>
      <c r="I917" s="1"/>
      <c r="J917" s="1"/>
      <c r="K917" s="1" t="str">
        <f>IFERROR(__xludf.DUMMYFUNCTION("""COMPUTED_VALUE"""),"CANCELED")</f>
        <v>CANCELED</v>
      </c>
      <c r="L917" s="1" t="str">
        <f>IFERROR(__xludf.DUMMYFUNCTION("""COMPUTED_VALUE"""),"RPR - SUBS CANCEL REQUEST")</f>
        <v>RPR - SUBS CANCEL REQUEST</v>
      </c>
      <c r="M917" s="1" t="str">
        <f>IFERROR(__xludf.DUMMYFUNCTION("""COMPUTED_VALUE"""),"RPR- SUBS CANCEL REQUEST")</f>
        <v>RPR- SUBS CANCEL REQUEST</v>
      </c>
      <c r="N917" s="3"/>
      <c r="O917" s="1" t="str">
        <f>IFERROR(__xludf.DUMMYFUNCTION("""COMPUTED_VALUE"""),"FIBR UNLI ALL PLAN 999")</f>
        <v>FIBR UNLI ALL PLAN 999</v>
      </c>
      <c r="P917" s="1" t="str">
        <f>IFERROR(__xludf.DUMMYFUNCTION("""COMPUTED_VALUE"""),"LOWPLAN")</f>
        <v>LOWPLAN</v>
      </c>
      <c r="Q917" s="1" t="str">
        <f>IFERROR(__xludf.DUMMYFUNCTION("""COMPUTED_VALUE"""),"P407564 ")</f>
        <v>P407564 </v>
      </c>
      <c r="R917" s="1" t="str">
        <f>IFERROR(__xludf.DUMMYFUNCTION("""COMPUTED_VALUE"""),"ARENA, LYKA")</f>
        <v>ARENA, LYKA</v>
      </c>
      <c r="S917" s="1" t="str">
        <f>IFERROR(__xludf.DUMMYFUNCTION("""COMPUTED_VALUE"""),"ORGANIC")</f>
        <v>ORGANIC</v>
      </c>
      <c r="T917" s="1" t="str">
        <f>IFERROR(__xludf.DUMMYFUNCTION("""COMPUTED_VALUE"""),"LEA REMOLLO")</f>
        <v>LEA REMOLLO</v>
      </c>
      <c r="U917" s="1" t="str">
        <f>IFERROR(__xludf.DUMMYFUNCTION("""COMPUTED_VALUE"""),"JULIE ESPIRITU")</f>
        <v>JULIE ESPIRITU</v>
      </c>
      <c r="V917" s="1" t="str">
        <f>IFERROR(__xludf.DUMMYFUNCTION("""COMPUTED_VALUE"""),"BK REGULAR")</f>
        <v>BK REGULAR</v>
      </c>
      <c r="W917" s="1" t="str">
        <f>IFERROR(__xludf.DUMMYFUNCTION("""COMPUTED_VALUE"""),"STK REGULAR")</f>
        <v>STK REGULAR</v>
      </c>
      <c r="X917" s="1" t="str">
        <f>IFERROR(__xludf.DUMMYFUNCTION("""COMPUTED_VALUE"""),"REGULAR")</f>
        <v>REGULAR</v>
      </c>
      <c r="Y917" s="1" t="str">
        <f>IFERROR(__xludf.DUMMYFUNCTION("""COMPUTED_VALUE"""),"BK_CVEU_261006")</f>
        <v>BK_CVEU_261006</v>
      </c>
      <c r="Z917" s="1" t="str">
        <f>IFERROR(__xludf.DUMMYFUNCTION("""COMPUTED_VALUE"""),"NEW CONNECT")</f>
        <v>NEW CONNECT</v>
      </c>
      <c r="AA917" s="1">
        <f>IFERROR(__xludf.DUMMYFUNCTION("""COMPUTED_VALUE"""),639381766249)</f>
        <v>639381766249</v>
      </c>
      <c r="AB917" s="1"/>
      <c r="AC917" s="1">
        <f>IFERROR(__xludf.DUMMYFUNCTION("""COMPUTED_VALUE"""),40)</f>
        <v>40</v>
      </c>
      <c r="AD917" s="1" t="str">
        <f>IFERROR(__xludf.DUMMYFUNCTION("""COMPUTED_VALUE"""),"NEW YORK")</f>
        <v>NEW YORK</v>
      </c>
      <c r="AE917" s="1" t="str">
        <f>IFERROR(__xludf.DUMMYFUNCTION("""COMPUTED_VALUE"""),"SITIO KANLURAN")</f>
        <v>SITIO KANLURAN</v>
      </c>
      <c r="AF917" s="1" t="str">
        <f>IFERROR(__xludf.DUMMYFUNCTION("""COMPUTED_VALUE"""),"BGY TIBIG")</f>
        <v>BGY TIBIG</v>
      </c>
      <c r="AG917" s="1" t="str">
        <f>IFERROR(__xludf.DUMMYFUNCTION("""COMPUTED_VALUE"""),"SILANG")</f>
        <v>SILANG</v>
      </c>
      <c r="AH917" s="1" t="str">
        <f>IFERROR(__xludf.DUMMYFUNCTION("""COMPUTED_VALUE"""),"TIBIG ELEMENTARY SCHOOL / MILKTEA SHOP")</f>
        <v>TIBIG ELEMENTARY SCHOOL / MILKTEA SHOP</v>
      </c>
      <c r="AI917" s="1" t="str">
        <f>IFERROR(__xludf.DUMMYFUNCTION("""COMPUTED_VALUE"""),"CLUSTER 11")</f>
        <v>CLUSTER 11</v>
      </c>
    </row>
    <row r="918" customHeight="1" spans="1:35">
      <c r="A918" s="3">
        <f>IFERROR(__xludf.DUMMYFUNCTION("""COMPUTED_VALUE"""),46303)</f>
        <v>46303</v>
      </c>
      <c r="B918" s="1" t="str">
        <f>IFERROR(__xludf.DUMMYFUNCTION("""COMPUTED_VALUE""")," LEONARDO FLORES MIRAFUENTE")</f>
        <v> LEONARDO FLORES MIRAFUENTE</v>
      </c>
      <c r="C918" s="1">
        <f>IFERROR(__xludf.DUMMYFUNCTION("""COMPUTED_VALUE"""),2313041909)</f>
        <v>2313041909</v>
      </c>
      <c r="D918" s="1"/>
      <c r="E918" s="1"/>
      <c r="F918" s="1" t="str">
        <f>IFERROR(__xludf.DUMMYFUNCTION("""COMPUTED_VALUE"""),"CANCELLED")</f>
        <v>CANCELLED</v>
      </c>
      <c r="G918" s="1" t="str">
        <f>IFERROR(__xludf.DUMMYFUNCTION("""COMPUTED_VALUE"""),"(WITH BLACKLISTED ACCOUNT FOR SETTLEMENT) Return to sales/ found BLACKLISTED account under the Same NAME, Diff Add./ account# (0330757094) OB (Php1,819.47) Subs need to settle OB |no existing active acct and/or pending application | Done Validation with s"&amp;"ubmitted complete docs| correct encoded info in CSP| with 1amsf requirements TU score (FF - 1 (NTC)")</f>
        <v>(WITH BLACKLISTED ACCOUNT FOR SETTLEMENT) Return to sales/ found BLACKLISTED account under the Same NAME, Diff Add./ account# (0330757094) OB (Php1,819.47) Subs need to settle OB |no existing active acct and/or pending application | Done Validation with submitted complete docs| correct encoded info in CSP| with 1amsf requirements TU score (FF - 1 (NTC)</v>
      </c>
      <c r="H918" s="1"/>
      <c r="I918" s="1"/>
      <c r="J918" s="1"/>
      <c r="K918" s="1"/>
      <c r="L918" s="1" t="str">
        <f>IFERROR(__xludf.DUMMYFUNCTION("""COMPUTED_VALUE"""),"CANCELLED - WITH OB")</f>
        <v>CANCELLED - WITH OB</v>
      </c>
      <c r="M918" s="1" t="str">
        <f>IFERROR(__xludf.DUMMYFUNCTION("""COMPUTED_VALUE"""),"CANCELLED - WITH OB")</f>
        <v>CANCELLED - WITH OB</v>
      </c>
      <c r="N918" s="3"/>
      <c r="O918" s="1" t="str">
        <f>IFERROR(__xludf.DUMMYFUNCTION("""COMPUTED_VALUE"""),"FIBR UNLI ALL PLAN 999")</f>
        <v>FIBR UNLI ALL PLAN 999</v>
      </c>
      <c r="P918" s="1" t="str">
        <f>IFERROR(__xludf.DUMMYFUNCTION("""COMPUTED_VALUE"""),"LOWPLAN")</f>
        <v>LOWPLAN</v>
      </c>
      <c r="Q918" s="1" t="str">
        <f>IFERROR(__xludf.DUMMYFUNCTION("""COMPUTED_VALUE"""),"P407564 ")</f>
        <v>P407564 </v>
      </c>
      <c r="R918" s="1" t="str">
        <f>IFERROR(__xludf.DUMMYFUNCTION("""COMPUTED_VALUE"""),"ARENA, LYKA")</f>
        <v>ARENA, LYKA</v>
      </c>
      <c r="S918" s="1" t="str">
        <f>IFERROR(__xludf.DUMMYFUNCTION("""COMPUTED_VALUE"""),"ORGANIC")</f>
        <v>ORGANIC</v>
      </c>
      <c r="T918" s="1" t="str">
        <f>IFERROR(__xludf.DUMMYFUNCTION("""COMPUTED_VALUE"""),"LEA REMOLLO")</f>
        <v>LEA REMOLLO</v>
      </c>
      <c r="U918" s="1" t="str">
        <f>IFERROR(__xludf.DUMMYFUNCTION("""COMPUTED_VALUE"""),"JULIE ESPIRITU")</f>
        <v>JULIE ESPIRITU</v>
      </c>
      <c r="V918" s="1" t="str">
        <f>IFERROR(__xludf.DUMMYFUNCTION("""COMPUTED_VALUE"""),"BK REGULAR")</f>
        <v>BK REGULAR</v>
      </c>
      <c r="W918" s="1" t="str">
        <f>IFERROR(__xludf.DUMMYFUNCTION("""COMPUTED_VALUE"""),"STK REGULAR")</f>
        <v>STK REGULAR</v>
      </c>
      <c r="X918" s="1" t="str">
        <f>IFERROR(__xludf.DUMMYFUNCTION("""COMPUTED_VALUE"""),"REGULAR")</f>
        <v>REGULAR</v>
      </c>
      <c r="Y918" s="1" t="str">
        <f>IFERROR(__xludf.DUMMYFUNCTION("""COMPUTED_VALUE"""),"BK_CVEU_261006")</f>
        <v>BK_CVEU_261006</v>
      </c>
      <c r="Z918" s="1" t="str">
        <f>IFERROR(__xludf.DUMMYFUNCTION("""COMPUTED_VALUE"""),"NEW CONNECT")</f>
        <v>NEW CONNECT</v>
      </c>
      <c r="AA918" s="1">
        <f>IFERROR(__xludf.DUMMYFUNCTION("""COMPUTED_VALUE"""),639696202749)</f>
        <v>639696202749</v>
      </c>
      <c r="AB918" s="1"/>
      <c r="AC918" s="1">
        <f>IFERROR(__xludf.DUMMYFUNCTION("""COMPUTED_VALUE"""),43)</f>
        <v>43</v>
      </c>
      <c r="AD918" s="1" t="str">
        <f>IFERROR(__xludf.DUMMYFUNCTION("""COMPUTED_VALUE"""),"SITIO KANLURAN")</f>
        <v>SITIO KANLURAN</v>
      </c>
      <c r="AE918" s="1" t="str">
        <f>IFERROR(__xludf.DUMMYFUNCTION("""COMPUTED_VALUE"""),"SITIO KANLURAN")</f>
        <v>SITIO KANLURAN</v>
      </c>
      <c r="AF918" s="1" t="str">
        <f>IFERROR(__xludf.DUMMYFUNCTION("""COMPUTED_VALUE"""),"BGY TIBIG")</f>
        <v>BGY TIBIG</v>
      </c>
      <c r="AG918" s="1" t="str">
        <f>IFERROR(__xludf.DUMMYFUNCTION("""COMPUTED_VALUE"""),"SILANG")</f>
        <v>SILANG</v>
      </c>
      <c r="AH918" s="1" t="str">
        <f>IFERROR(__xludf.DUMMYFUNCTION("""COMPUTED_VALUE"""),"TIBIG ELEMENTARY SCHOOL ")</f>
        <v>TIBIG ELEMENTARY SCHOOL </v>
      </c>
      <c r="AI918" s="1" t="str">
        <f>IFERROR(__xludf.DUMMYFUNCTION("""COMPUTED_VALUE"""),"CLUSTER 11")</f>
        <v>CLUSTER 11</v>
      </c>
    </row>
    <row r="919" customHeight="1" spans="1:35">
      <c r="A919" s="3">
        <f>IFERROR(__xludf.DUMMYFUNCTION("""COMPUTED_VALUE"""),46303)</f>
        <v>46303</v>
      </c>
      <c r="B919" s="1" t="str">
        <f>IFERROR(__xludf.DUMMYFUNCTION("""COMPUTED_VALUE""")," MA VIRONICA MIRANDA ORDAN")</f>
        <v> MA VIRONICA MIRANDA ORDAN</v>
      </c>
      <c r="C919" s="1">
        <f>IFERROR(__xludf.DUMMYFUNCTION("""COMPUTED_VALUE"""),2313042213)</f>
        <v>2313042213</v>
      </c>
      <c r="D919" s="1">
        <f>IFERROR(__xludf.DUMMYFUNCTION("""COMPUTED_VALUE"""),408777488)</f>
        <v>408777488</v>
      </c>
      <c r="E919" s="1">
        <f>IFERROR(__xludf.DUMMYFUNCTION("""COMPUTED_VALUE"""),474724097004)</f>
        <v>474724097004</v>
      </c>
      <c r="F919" s="1" t="str">
        <f>IFERROR(__xludf.DUMMYFUNCTION("""COMPUTED_VALUE"""),"CLOSED")</f>
        <v>CLOSED</v>
      </c>
      <c r="G919" s="1" t="str">
        <f>IFERROR(__xludf.DUMMYFUNCTION("""COMPUTED_VALUE"""),"CLOSED")</f>
        <v>CLOSED</v>
      </c>
      <c r="H919" s="1" t="str">
        <f>IFERROR(__xludf.DUMMYFUNCTION("""COMPUTED_VALUE"""),"PAID VIA GCASH REF 612066328 OCT 10")</f>
        <v>PAID VIA GCASH REF 612066328 OCT 10</v>
      </c>
      <c r="I919" s="1" t="str">
        <f>IFERROR(__xludf.DUMMYFUNCTION("""COMPUTED_VALUE"""),"WITH 1 AMSF")</f>
        <v>WITH 1 AMSF</v>
      </c>
      <c r="J919" s="1"/>
      <c r="K919" s="1" t="str">
        <f>IFERROR(__xludf.DUMMYFUNCTION("""COMPUTED_VALUE"""),"COMPLETED")</f>
        <v>COMPLETED</v>
      </c>
      <c r="L919" s="1" t="str">
        <f>IFERROR(__xludf.DUMMYFUNCTION("""COMPUTED_VALUE"""),"POSTED")</f>
        <v>POSTED</v>
      </c>
      <c r="M919" s="1" t="str">
        <f>IFERROR(__xludf.DUMMYFUNCTION("""COMPUTED_VALUE"""),"POSTED")</f>
        <v>POSTED</v>
      </c>
      <c r="N919" s="3">
        <f>IFERROR(__xludf.DUMMYFUNCTION("""COMPUTED_VALUE"""),46305)</f>
        <v>46305</v>
      </c>
      <c r="O919" s="1" t="str">
        <f>IFERROR(__xludf.DUMMYFUNCTION("""COMPUTED_VALUE"""),"FIBER UNLI PLAN 1399")</f>
        <v>FIBER UNLI PLAN 1399</v>
      </c>
      <c r="P919" s="1" t="str">
        <f>IFERROR(__xludf.DUMMYFUNCTION("""COMPUTED_VALUE"""),"LOWPLAN")</f>
        <v>LOWPLAN</v>
      </c>
      <c r="Q919" s="1" t="str">
        <f>IFERROR(__xludf.DUMMYFUNCTION("""COMPUTED_VALUE"""),"P407560 ")</f>
        <v>P407560 </v>
      </c>
      <c r="R919" s="1" t="str">
        <f>IFERROR(__xludf.DUMMYFUNCTION("""COMPUTED_VALUE"""),"DACLAN, IVY")</f>
        <v>DACLAN, IVY</v>
      </c>
      <c r="S919" s="1" t="str">
        <f>IFERROR(__xludf.DUMMYFUNCTION("""COMPUTED_VALUE"""),"ORGANIC")</f>
        <v>ORGANIC</v>
      </c>
      <c r="T919" s="1" t="str">
        <f>IFERROR(__xludf.DUMMYFUNCTION("""COMPUTED_VALUE"""),"LEA REMOLLO")</f>
        <v>LEA REMOLLO</v>
      </c>
      <c r="U919" s="1" t="str">
        <f>IFERROR(__xludf.DUMMYFUNCTION("""COMPUTED_VALUE"""),"JULIE ESPIRITU")</f>
        <v>JULIE ESPIRITU</v>
      </c>
      <c r="V919" s="1" t="str">
        <f>IFERROR(__xludf.DUMMYFUNCTION("""COMPUTED_VALUE"""),"BK REGULAR")</f>
        <v>BK REGULAR</v>
      </c>
      <c r="W919" s="1" t="str">
        <f>IFERROR(__xludf.DUMMYFUNCTION("""COMPUTED_VALUE"""),"STK REGULAR")</f>
        <v>STK REGULAR</v>
      </c>
      <c r="X919" s="1" t="str">
        <f>IFERROR(__xludf.DUMMYFUNCTION("""COMPUTED_VALUE"""),"FIBER 1399 98TH YR")</f>
        <v>FIBER 1399 98TH YR</v>
      </c>
      <c r="Y919" s="1" t="str">
        <f>IFERROR(__xludf.DUMMYFUNCTION("""COMPUTED_VALUE"""),"BK_CVEU_261006")</f>
        <v>BK_CVEU_261006</v>
      </c>
      <c r="Z919" s="1" t="str">
        <f>IFERROR(__xludf.DUMMYFUNCTION("""COMPUTED_VALUE"""),"NEW CONNECT")</f>
        <v>NEW CONNECT</v>
      </c>
      <c r="AA919" s="1">
        <f>IFERROR(__xludf.DUMMYFUNCTION("""COMPUTED_VALUE"""),639512208347)</f>
        <v>639512208347</v>
      </c>
      <c r="AB919" s="1"/>
      <c r="AC919" s="1">
        <f>IFERROR(__xludf.DUMMYFUNCTION("""COMPUTED_VALUE"""),66)</f>
        <v>66</v>
      </c>
      <c r="AD919" s="1" t="str">
        <f>IFERROR(__xludf.DUMMYFUNCTION("""COMPUTED_VALUE"""),"HUMARANG")</f>
        <v>HUMARANG</v>
      </c>
      <c r="AE919" s="1" t="str">
        <f>IFERROR(__xludf.DUMMYFUNCTION("""COMPUTED_VALUE"""),"PUROK 1")</f>
        <v>PUROK 1</v>
      </c>
      <c r="AF919" s="1" t="str">
        <f>IFERROR(__xludf.DUMMYFUNCTION("""COMPUTED_VALUE"""),"BGY LUMIL")</f>
        <v>BGY LUMIL</v>
      </c>
      <c r="AG919" s="1" t="str">
        <f>IFERROR(__xludf.DUMMYFUNCTION("""COMPUTED_VALUE"""),"SILANG")</f>
        <v>SILANG</v>
      </c>
      <c r="AH919" s="1" t="str">
        <f>IFERROR(__xludf.DUMMYFUNCTION("""COMPUTED_VALUE"""),"TEOFELY GARDEN")</f>
        <v>TEOFELY GARDEN</v>
      </c>
      <c r="AI919" s="1" t="str">
        <f>IFERROR(__xludf.DUMMYFUNCTION("""COMPUTED_VALUE"""),"CLUSTER 11")</f>
        <v>CLUSTER 11</v>
      </c>
    </row>
    <row r="920" customHeight="1" spans="1:35">
      <c r="A920" s="3">
        <f>IFERROR(__xludf.DUMMYFUNCTION("""COMPUTED_VALUE"""),46303)</f>
        <v>46303</v>
      </c>
      <c r="B920" s="1" t="str">
        <f>IFERROR(__xludf.DUMMYFUNCTION("""COMPUTED_VALUE""")," SARAH JOY SEVELINA DELGADO")</f>
        <v> SARAH JOY SEVELINA DELGADO</v>
      </c>
      <c r="C920" s="1">
        <f>IFERROR(__xludf.DUMMYFUNCTION("""COMPUTED_VALUE"""),2313042709)</f>
        <v>2313042709</v>
      </c>
      <c r="D920" s="1">
        <f>IFERROR(__xludf.DUMMYFUNCTION("""COMPUTED_VALUE"""),408781957)</f>
        <v>408781957</v>
      </c>
      <c r="E920" s="1">
        <f>IFERROR(__xludf.DUMMYFUNCTION("""COMPUTED_VALUE"""),474727896004)</f>
        <v>474727896004</v>
      </c>
      <c r="F920" s="1" t="str">
        <f>IFERROR(__xludf.DUMMYFUNCTION("""COMPUTED_VALUE"""),"CANCELED")</f>
        <v>CANCELED</v>
      </c>
      <c r="G920" s="1" t="str">
        <f>IFERROR(__xludf.DUMMYFUNCTION("""COMPUTED_VALUE"""),"FULL NAP NO PORT AVAILABLE")</f>
        <v>FULL NAP NO PORT AVAILABLE</v>
      </c>
      <c r="H920" s="1" t="str">
        <f>IFERROR(__xludf.DUMMYFUNCTION("""COMPUTED_VALUE"""),"PAID VIA GCASH REF 607413998 OCT 9 ")</f>
        <v>PAID VIA GCASH REF 607413998 OCT 9 </v>
      </c>
      <c r="I920" s="1" t="str">
        <f>IFERROR(__xludf.DUMMYFUNCTION("""COMPUTED_VALUE"""),"WITH 1 AMSF")</f>
        <v>WITH 1 AMSF</v>
      </c>
      <c r="J920" s="1" t="str">
        <f>IFERROR(__xludf.DUMMYFUNCTION("""COMPUTED_VALUE"""),"FOR CHECKING - COMMI RELEASED ALREADY")</f>
        <v>FOR CHECKING - COMMI RELEASED ALREADY</v>
      </c>
      <c r="K920" s="1" t="str">
        <f>IFERROR(__xludf.DUMMYFUNCTION("""COMPUTED_VALUE"""),"CANCELED")</f>
        <v>CANCELED</v>
      </c>
      <c r="L920" s="1" t="str">
        <f>IFERROR(__xludf.DUMMYFUNCTION("""COMPUTED_VALUE"""),"RPR - NAP FULL")</f>
        <v>RPR - NAP FULL</v>
      </c>
      <c r="M920" s="1" t="str">
        <f>IFERROR(__xludf.DUMMYFUNCTION("""COMPUTED_VALUE"""),"RPR- NAP FULL")</f>
        <v>RPR- NAP FULL</v>
      </c>
      <c r="N920" s="3"/>
      <c r="O920" s="1" t="str">
        <f>IFERROR(__xludf.DUMMYFUNCTION("""COMPUTED_VALUE"""),"FIBER UNLI ALL PLAN 1899")</f>
        <v>FIBER UNLI ALL PLAN 1899</v>
      </c>
      <c r="P920" s="1" t="str">
        <f>IFERROR(__xludf.DUMMYFUNCTION("""COMPUTED_VALUE"""),"LOWPLAN")</f>
        <v>LOWPLAN</v>
      </c>
      <c r="Q920" s="1" t="str">
        <f>IFERROR(__xludf.DUMMYFUNCTION("""COMPUTED_VALUE"""),"P407515 ")</f>
        <v>P407515 </v>
      </c>
      <c r="R920" s="1" t="str">
        <f>IFERROR(__xludf.DUMMYFUNCTION("""COMPUTED_VALUE"""),"MORADOS, MARVIN")</f>
        <v>MORADOS, MARVIN</v>
      </c>
      <c r="S920" s="1" t="str">
        <f>IFERROR(__xludf.DUMMYFUNCTION("""COMPUTED_VALUE"""),"FLA")</f>
        <v>FLA</v>
      </c>
      <c r="T920" s="1" t="str">
        <f>IFERROR(__xludf.DUMMYFUNCTION("""COMPUTED_VALUE"""),"JERIC NAVARRO")</f>
        <v>JERIC NAVARRO</v>
      </c>
      <c r="U920" s="1" t="str">
        <f>IFERROR(__xludf.DUMMYFUNCTION("""COMPUTED_VALUE"""),"JULIE ESPIRITU")</f>
        <v>JULIE ESPIRITU</v>
      </c>
      <c r="V920" s="1" t="str">
        <f>IFERROR(__xludf.DUMMYFUNCTION("""COMPUTED_VALUE"""),"ONLINE/CRANFORD")</f>
        <v>ONLINE/CRANFORD</v>
      </c>
      <c r="W920" s="1" t="str">
        <f>IFERROR(__xludf.DUMMYFUNCTION("""COMPUTED_VALUE"""),"STK REGULAR")</f>
        <v>STK REGULAR</v>
      </c>
      <c r="X920" s="1" t="str">
        <f>IFERROR(__xludf.DUMMYFUNCTION("""COMPUTED_VALUE"""),"REGULAR")</f>
        <v>REGULAR</v>
      </c>
      <c r="Y920" s="1" t="str">
        <f>IFERROR(__xludf.DUMMYFUNCTION("""COMPUTED_VALUE"""),"RS_ONL_CVEU_2026")</f>
        <v>RS_ONL_CVEU_2026</v>
      </c>
      <c r="Z920" s="1" t="str">
        <f>IFERROR(__xludf.DUMMYFUNCTION("""COMPUTED_VALUE"""),"NEW CONNECT")</f>
        <v>NEW CONNECT</v>
      </c>
      <c r="AA920" s="1">
        <f>IFERROR(__xludf.DUMMYFUNCTION("""COMPUTED_VALUE"""),639919399869)</f>
        <v>639919399869</v>
      </c>
      <c r="AB920" s="1">
        <f>IFERROR(__xludf.DUMMYFUNCTION("""COMPUTED_VALUE"""),639913835589)</f>
        <v>639913835589</v>
      </c>
      <c r="AC920" s="1"/>
      <c r="AD920" s="1" t="str">
        <f>IFERROR(__xludf.DUMMYFUNCTION("""COMPUTED_VALUE"""),"PHASE 4")</f>
        <v>PHASE 4</v>
      </c>
      <c r="AE920" s="1" t="str">
        <f>IFERROR(__xludf.DUMMYFUNCTION("""COMPUTED_VALUE"""),"CABUCO HEIGHTS")</f>
        <v>CABUCO HEIGHTS</v>
      </c>
      <c r="AF920" s="1" t="str">
        <f>IFERROR(__xludf.DUMMYFUNCTION("""COMPUTED_VALUE"""),"BGY CABUCO")</f>
        <v>BGY CABUCO</v>
      </c>
      <c r="AG920" s="1" t="str">
        <f>IFERROR(__xludf.DUMMYFUNCTION("""COMPUTED_VALUE"""),"TRECE MARTIREZ CITY")</f>
        <v>TRECE MARTIREZ CITY</v>
      </c>
      <c r="AH920" s="1"/>
      <c r="AI920" s="1" t="str">
        <f>IFERROR(__xludf.DUMMYFUNCTION("""COMPUTED_VALUE"""),"NOT AOR")</f>
        <v>NOT AOR</v>
      </c>
    </row>
    <row r="921" customHeight="1" spans="1:35">
      <c r="A921" s="3">
        <f>IFERROR(__xludf.DUMMYFUNCTION("""COMPUTED_VALUE"""),46303)</f>
        <v>46303</v>
      </c>
      <c r="B921" s="1" t="str">
        <f>IFERROR(__xludf.DUMMYFUNCTION("""COMPUTED_VALUE""")," NENETTE BUSTAMANTE PADAYAO")</f>
        <v> NENETTE BUSTAMANTE PADAYAO</v>
      </c>
      <c r="C921" s="1">
        <f>IFERROR(__xludf.DUMMYFUNCTION("""COMPUTED_VALUE"""),2313044098)</f>
        <v>2313044098</v>
      </c>
      <c r="D921" s="1">
        <f>IFERROR(__xludf.DUMMYFUNCTION("""COMPUTED_VALUE"""),408780268)</f>
        <v>408780268</v>
      </c>
      <c r="E921" s="1">
        <f>IFERROR(__xludf.DUMMYFUNCTION("""COMPUTED_VALUE"""),474726595004)</f>
        <v>474726595004</v>
      </c>
      <c r="F921" s="1" t="str">
        <f>IFERROR(__xludf.DUMMYFUNCTION("""COMPUTED_VALUE"""),"CLOSED")</f>
        <v>CLOSED</v>
      </c>
      <c r="G921" s="1" t="str">
        <f>IFERROR(__xludf.DUMMYFUNCTION("""COMPUTED_VALUE"""),"CLOSED")</f>
        <v>CLOSED</v>
      </c>
      <c r="H921" s="1" t="str">
        <f>IFERROR(__xludf.DUMMYFUNCTION("""COMPUTED_VALUE"""),"PAID VIA GCASH REF 860913090 OCT 10")</f>
        <v>PAID VIA GCASH REF 860913090 OCT 10</v>
      </c>
      <c r="I921" s="1" t="str">
        <f>IFERROR(__xludf.DUMMYFUNCTION("""COMPUTED_VALUE"""),"WITH 1 AMSF")</f>
        <v>WITH 1 AMSF</v>
      </c>
      <c r="J921" s="1"/>
      <c r="K921" s="1" t="str">
        <f>IFERROR(__xludf.DUMMYFUNCTION("""COMPUTED_VALUE"""),"COMPLETED")</f>
        <v>COMPLETED</v>
      </c>
      <c r="L921" s="1" t="str">
        <f>IFERROR(__xludf.DUMMYFUNCTION("""COMPUTED_VALUE"""),"POSTED")</f>
        <v>POSTED</v>
      </c>
      <c r="M921" s="1" t="str">
        <f>IFERROR(__xludf.DUMMYFUNCTION("""COMPUTED_VALUE"""),"POSTED")</f>
        <v>POSTED</v>
      </c>
      <c r="N921" s="3">
        <f>IFERROR(__xludf.DUMMYFUNCTION("""COMPUTED_VALUE"""),46305)</f>
        <v>46305</v>
      </c>
      <c r="O921" s="1" t="str">
        <f>IFERROR(__xludf.DUMMYFUNCTION("""COMPUTED_VALUE"""),"FIBER UNLI PLAN 1399")</f>
        <v>FIBER UNLI PLAN 1399</v>
      </c>
      <c r="P921" s="1" t="str">
        <f>IFERROR(__xludf.DUMMYFUNCTION("""COMPUTED_VALUE"""),"LOWPLAN")</f>
        <v>LOWPLAN</v>
      </c>
      <c r="Q921" s="1" t="str">
        <f>IFERROR(__xludf.DUMMYFUNCTION("""COMPUTED_VALUE"""),"P407049 ")</f>
        <v>P407049 </v>
      </c>
      <c r="R921" s="1" t="str">
        <f>IFERROR(__xludf.DUMMYFUNCTION("""COMPUTED_VALUE"""),"CADERAO, RONALD")</f>
        <v>CADERAO, RONALD</v>
      </c>
      <c r="S921" s="1" t="str">
        <f>IFERROR(__xludf.DUMMYFUNCTION("""COMPUTED_VALUE"""),"ORGANIC")</f>
        <v>ORGANIC</v>
      </c>
      <c r="T921" s="1" t="str">
        <f>IFERROR(__xludf.DUMMYFUNCTION("""COMPUTED_VALUE"""),"LEA REMOLLO")</f>
        <v>LEA REMOLLO</v>
      </c>
      <c r="U921" s="1" t="str">
        <f>IFERROR(__xludf.DUMMYFUNCTION("""COMPUTED_VALUE"""),"JULIE ESPIRITU")</f>
        <v>JULIE ESPIRITU</v>
      </c>
      <c r="V921" s="1" t="str">
        <f>IFERROR(__xludf.DUMMYFUNCTION("""COMPUTED_VALUE"""),"BK REGULAR")</f>
        <v>BK REGULAR</v>
      </c>
      <c r="W921" s="1" t="str">
        <f>IFERROR(__xludf.DUMMYFUNCTION("""COMPUTED_VALUE"""),"STK REGULAR")</f>
        <v>STK REGULAR</v>
      </c>
      <c r="X921" s="1" t="str">
        <f>IFERROR(__xludf.DUMMYFUNCTION("""COMPUTED_VALUE"""),"FIBER 1399 98TH YR")</f>
        <v>FIBER 1399 98TH YR</v>
      </c>
      <c r="Y921" s="1" t="str">
        <f>IFERROR(__xludf.DUMMYFUNCTION("""COMPUTED_VALUE"""),"BK_CVEU_261001")</f>
        <v>BK_CVEU_261001</v>
      </c>
      <c r="Z921" s="1" t="str">
        <f>IFERROR(__xludf.DUMMYFUNCTION("""COMPUTED_VALUE"""),"NEW CONNECT")</f>
        <v>NEW CONNECT</v>
      </c>
      <c r="AA921" s="1">
        <f>IFERROR(__xludf.DUMMYFUNCTION("""COMPUTED_VALUE"""),639303523916)</f>
        <v>639303523916</v>
      </c>
      <c r="AB921" s="1"/>
      <c r="AC921" s="1">
        <f>IFERROR(__xludf.DUMMYFUNCTION("""COMPUTED_VALUE"""),294)</f>
        <v>294</v>
      </c>
      <c r="AD921" s="1" t="str">
        <f>IFERROR(__xludf.DUMMYFUNCTION("""COMPUTED_VALUE"""),"KULIPAY")</f>
        <v>KULIPAY</v>
      </c>
      <c r="AE921" s="1"/>
      <c r="AF921" s="1" t="str">
        <f>IFERROR(__xludf.DUMMYFUNCTION("""COMPUTED_VALUE"""),"BGY MATAGBAK 1")</f>
        <v>BGY MATAGBAK 1</v>
      </c>
      <c r="AG921" s="1" t="str">
        <f>IFERROR(__xludf.DUMMYFUNCTION("""COMPUTED_VALUE"""),"ALFONSO")</f>
        <v>ALFONSO</v>
      </c>
      <c r="AH921" s="1"/>
      <c r="AI921" s="1" t="str">
        <f>IFERROR(__xludf.DUMMYFUNCTION("""COMPUTED_VALUE"""),"CLUSTER 12")</f>
        <v>CLUSTER 12</v>
      </c>
    </row>
    <row r="922" customHeight="1" spans="1:35">
      <c r="A922" s="3">
        <f>IFERROR(__xludf.DUMMYFUNCTION("""COMPUTED_VALUE"""),46303)</f>
        <v>46303</v>
      </c>
      <c r="B922" s="1" t="str">
        <f>IFERROR(__xludf.DUMMYFUNCTION("""COMPUTED_VALUE""")," MAY OCHAVO SALAZAR")</f>
        <v> MAY OCHAVO SALAZAR</v>
      </c>
      <c r="C922" s="1">
        <f>IFERROR(__xludf.DUMMYFUNCTION("""COMPUTED_VALUE"""),2313044459)</f>
        <v>2313044459</v>
      </c>
      <c r="D922" s="1"/>
      <c r="E922" s="1"/>
      <c r="F922" s="1" t="str">
        <f>IFERROR(__xludf.DUMMYFUNCTION("""COMPUTED_VALUE"""),"REENCODED")</f>
        <v>REENCODED</v>
      </c>
      <c r="G922" s="1" t="str">
        <f>IFERROR(__xludf.DUMMYFUNCTION("""COMPUTED_VALUE"""),"(P-OTHERS) DISAPPRAOVED | NO RECORD FOUND IN TIN ID |VALIDATED COMPLETE DOCS | CORRECT ENCODED INFO IN CSP | 1AMSF WAIVED ( FF-2NTC) |NO EXISTING ACTIVE ACCT AND / OR PENDING | CLEARED FROM BLACKLISTED | FOUND CANCEL (0397634779) SAME NAME / SAME ADDRESS "&amp;"| SCANNED NATIONAL ID (scannable ) |")</f>
        <v>(P-OTHERS) DISAPPRAOVED | NO RECORD FOUND IN TIN ID |VALIDATED COMPLETE DOCS | CORRECT ENCODED INFO IN CSP | 1AMSF WAIVED ( FF-2NTC) |NO EXISTING ACTIVE ACCT AND / OR PENDING | CLEARED FROM BLACKLISTED | FOUND CANCEL (0397634779) SAME NAME / SAME ADDRESS | SCANNED NATIONAL ID (scannable ) |</v>
      </c>
      <c r="H922" s="1"/>
      <c r="I922" s="1"/>
      <c r="J922" s="1"/>
      <c r="K922" s="1"/>
      <c r="L922" s="1" t="str">
        <f>IFERROR(__xludf.DUMMYFUNCTION("""COMPUTED_VALUE"""),"REENCODED")</f>
        <v>REENCODED</v>
      </c>
      <c r="M922" s="1" t="str">
        <f>IFERROR(__xludf.DUMMYFUNCTION("""COMPUTED_VALUE"""),"REENCODED")</f>
        <v>REENCODED</v>
      </c>
      <c r="N922" s="3"/>
      <c r="O922" s="1" t="str">
        <f>IFERROR(__xludf.DUMMYFUNCTION("""COMPUTED_VALUE"""),"FIBER UNLI PLAN 1399")</f>
        <v>FIBER UNLI PLAN 1399</v>
      </c>
      <c r="P922" s="1" t="str">
        <f>IFERROR(__xludf.DUMMYFUNCTION("""COMPUTED_VALUE"""),"LOWPLAN")</f>
        <v>LOWPLAN</v>
      </c>
      <c r="Q922" s="1" t="str">
        <f>IFERROR(__xludf.DUMMYFUNCTION("""COMPUTED_VALUE"""),"P407049 ")</f>
        <v>P407049 </v>
      </c>
      <c r="R922" s="1" t="str">
        <f>IFERROR(__xludf.DUMMYFUNCTION("""COMPUTED_VALUE"""),"ALINGARO, CINDY")</f>
        <v>ALINGARO, CINDY</v>
      </c>
      <c r="S922" s="1" t="str">
        <f>IFERROR(__xludf.DUMMYFUNCTION("""COMPUTED_VALUE"""),"ORGANIC")</f>
        <v>ORGANIC</v>
      </c>
      <c r="T922" s="1" t="str">
        <f>IFERROR(__xludf.DUMMYFUNCTION("""COMPUTED_VALUE"""),"LEA REMOLLO")</f>
        <v>LEA REMOLLO</v>
      </c>
      <c r="U922" s="1" t="str">
        <f>IFERROR(__xludf.DUMMYFUNCTION("""COMPUTED_VALUE"""),"JULIE ESPIRITU")</f>
        <v>JULIE ESPIRITU</v>
      </c>
      <c r="V922" s="1" t="str">
        <f>IFERROR(__xludf.DUMMYFUNCTION("""COMPUTED_VALUE"""),"BK REGULAR")</f>
        <v>BK REGULAR</v>
      </c>
      <c r="W922" s="1" t="str">
        <f>IFERROR(__xludf.DUMMYFUNCTION("""COMPUTED_VALUE"""),"STK REGULAR")</f>
        <v>STK REGULAR</v>
      </c>
      <c r="X922" s="1" t="str">
        <f>IFERROR(__xludf.DUMMYFUNCTION("""COMPUTED_VALUE"""),"FIBER 1399 98TH YR")</f>
        <v>FIBER 1399 98TH YR</v>
      </c>
      <c r="Y922" s="1" t="str">
        <f>IFERROR(__xludf.DUMMYFUNCTION("""COMPUTED_VALUE"""),"BK_CVEU_261001")</f>
        <v>BK_CVEU_261001</v>
      </c>
      <c r="Z922" s="1" t="str">
        <f>IFERROR(__xludf.DUMMYFUNCTION("""COMPUTED_VALUE"""),"NEW CONNECT")</f>
        <v>NEW CONNECT</v>
      </c>
      <c r="AA922" s="1">
        <f>IFERROR(__xludf.DUMMYFUNCTION("""COMPUTED_VALUE"""),639637220507)</f>
        <v>639637220507</v>
      </c>
      <c r="AB922" s="1">
        <f>IFERROR(__xludf.DUMMYFUNCTION("""COMPUTED_VALUE"""),639277468781)</f>
        <v>639277468781</v>
      </c>
      <c r="AC922" s="1">
        <f>IFERROR(__xludf.DUMMYFUNCTION("""COMPUTED_VALUE"""),18)</f>
        <v>18</v>
      </c>
      <c r="AD922" s="1" t="str">
        <f>IFERROR(__xludf.DUMMYFUNCTION("""COMPUTED_VALUE"""),"SITIO KULIPAY")</f>
        <v>SITIO KULIPAY</v>
      </c>
      <c r="AE922" s="1" t="str">
        <f>IFERROR(__xludf.DUMMYFUNCTION("""COMPUTED_VALUE"""),"PUROK 5")</f>
        <v>PUROK 5</v>
      </c>
      <c r="AF922" s="1" t="str">
        <f>IFERROR(__xludf.DUMMYFUNCTION("""COMPUTED_VALUE"""),"BGY MATAGBAK 1")</f>
        <v>BGY MATAGBAK 1</v>
      </c>
      <c r="AG922" s="1" t="str">
        <f>IFERROR(__xludf.DUMMYFUNCTION("""COMPUTED_VALUE"""),"ALFONSO")</f>
        <v>ALFONSO</v>
      </c>
      <c r="AH922" s="1"/>
      <c r="AI922" s="1" t="str">
        <f>IFERROR(__xludf.DUMMYFUNCTION("""COMPUTED_VALUE"""),"CLUSTER 12")</f>
        <v>CLUSTER 12</v>
      </c>
    </row>
    <row r="923" customHeight="1" spans="1:35">
      <c r="A923" s="3">
        <f>IFERROR(__xludf.DUMMYFUNCTION("""COMPUTED_VALUE"""),46303)</f>
        <v>46303</v>
      </c>
      <c r="B923" s="1" t="str">
        <f>IFERROR(__xludf.DUMMYFUNCTION("""COMPUTED_VALUE""")," KHINETTE DADOR PENIERO")</f>
        <v> KHINETTE DADOR PENIERO</v>
      </c>
      <c r="C923" s="1">
        <f>IFERROR(__xludf.DUMMYFUNCTION("""COMPUTED_VALUE"""),2313044826)</f>
        <v>2313044826</v>
      </c>
      <c r="D923" s="1">
        <f>IFERROR(__xludf.DUMMYFUNCTION("""COMPUTED_VALUE"""),408781361)</f>
        <v>408781361</v>
      </c>
      <c r="E923" s="1">
        <f>IFERROR(__xludf.DUMMYFUNCTION("""COMPUTED_VALUE"""),474727385004)</f>
        <v>474727385004</v>
      </c>
      <c r="F923" s="1" t="str">
        <f>IFERROR(__xludf.DUMMYFUNCTION("""COMPUTED_VALUE"""),"CLOSED")</f>
        <v>CLOSED</v>
      </c>
      <c r="G923" s="1" t="str">
        <f>IFERROR(__xludf.DUMMYFUNCTION("""COMPUTED_VALUE"""),"CLOSED")</f>
        <v>CLOSED</v>
      </c>
      <c r="H923" s="1" t="str">
        <f>IFERROR(__xludf.DUMMYFUNCTION("""COMPUTED_VALUE"""),"PAID VIA GCASH REF 276865374 OCT 14")</f>
        <v>PAID VIA GCASH REF 276865374 OCT 14</v>
      </c>
      <c r="I923" s="1" t="str">
        <f>IFERROR(__xludf.DUMMYFUNCTION("""COMPUTED_VALUE"""),"WITH 1 AMSF")</f>
        <v>WITH 1 AMSF</v>
      </c>
      <c r="J923" s="1"/>
      <c r="K923" s="1" t="str">
        <f>IFERROR(__xludf.DUMMYFUNCTION("""COMPUTED_VALUE"""),"COMPLETED")</f>
        <v>COMPLETED</v>
      </c>
      <c r="L923" s="1" t="str">
        <f>IFERROR(__xludf.DUMMYFUNCTION("""COMPUTED_VALUE"""),"POSTED")</f>
        <v>POSTED</v>
      </c>
      <c r="M923" s="1" t="str">
        <f>IFERROR(__xludf.DUMMYFUNCTION("""COMPUTED_VALUE"""),"POSTED")</f>
        <v>POSTED</v>
      </c>
      <c r="N923" s="3">
        <f>IFERROR(__xludf.DUMMYFUNCTION("""COMPUTED_VALUE"""),46310)</f>
        <v>46310</v>
      </c>
      <c r="O923" s="1" t="str">
        <f>IFERROR(__xludf.DUMMYFUNCTION("""COMPUTED_VALUE"""),"FIBER UNLI PLAN 1399")</f>
        <v>FIBER UNLI PLAN 1399</v>
      </c>
      <c r="P923" s="1" t="str">
        <f>IFERROR(__xludf.DUMMYFUNCTION("""COMPUTED_VALUE"""),"LOWPLAN")</f>
        <v>LOWPLAN</v>
      </c>
      <c r="Q923" s="1" t="str">
        <f>IFERROR(__xludf.DUMMYFUNCTION("""COMPUTED_VALUE"""),"P407559 ")</f>
        <v>P407559 </v>
      </c>
      <c r="R923" s="1" t="str">
        <f>IFERROR(__xludf.DUMMYFUNCTION("""COMPUTED_VALUE"""),"MAGDARAOG, KENNETH")</f>
        <v>MAGDARAOG, KENNETH</v>
      </c>
      <c r="S923" s="1" t="str">
        <f>IFERROR(__xludf.DUMMYFUNCTION("""COMPUTED_VALUE"""),"ORGANIC")</f>
        <v>ORGANIC</v>
      </c>
      <c r="T923" s="1" t="str">
        <f>IFERROR(__xludf.DUMMYFUNCTION("""COMPUTED_VALUE"""),"LEA REMOLLO")</f>
        <v>LEA REMOLLO</v>
      </c>
      <c r="U923" s="1" t="str">
        <f>IFERROR(__xludf.DUMMYFUNCTION("""COMPUTED_VALUE"""),"JULIE ESPIRITU")</f>
        <v>JULIE ESPIRITU</v>
      </c>
      <c r="V923" s="1" t="str">
        <f>IFERROR(__xludf.DUMMYFUNCTION("""COMPUTED_VALUE"""),"BK REGULAR")</f>
        <v>BK REGULAR</v>
      </c>
      <c r="W923" s="1" t="str">
        <f>IFERROR(__xludf.DUMMYFUNCTION("""COMPUTED_VALUE"""),"STK REGULAR")</f>
        <v>STK REGULAR</v>
      </c>
      <c r="X923" s="1" t="str">
        <f>IFERROR(__xludf.DUMMYFUNCTION("""COMPUTED_VALUE"""),"FIBER 1399 98TH YR")</f>
        <v>FIBER 1399 98TH YR</v>
      </c>
      <c r="Y923" s="1" t="str">
        <f>IFERROR(__xludf.DUMMYFUNCTION("""COMPUTED_VALUE"""),"BK_CVEU_261001")</f>
        <v>BK_CVEU_261001</v>
      </c>
      <c r="Z923" s="1" t="str">
        <f>IFERROR(__xludf.DUMMYFUNCTION("""COMPUTED_VALUE"""),"NEW CONNECT")</f>
        <v>NEW CONNECT</v>
      </c>
      <c r="AA923" s="1">
        <f>IFERROR(__xludf.DUMMYFUNCTION("""COMPUTED_VALUE"""),639364530344)</f>
        <v>639364530344</v>
      </c>
      <c r="AB923" s="1">
        <f>IFERROR(__xludf.DUMMYFUNCTION("""COMPUTED_VALUE"""),639165631103)</f>
        <v>639165631103</v>
      </c>
      <c r="AC923" s="1">
        <f>IFERROR(__xludf.DUMMYFUNCTION("""COMPUTED_VALUE"""),69)</f>
        <v>69</v>
      </c>
      <c r="AD923" s="1" t="str">
        <f>IFERROR(__xludf.DUMMYFUNCTION("""COMPUTED_VALUE"""),"PUROK 3")</f>
        <v>PUROK 3</v>
      </c>
      <c r="AE923" s="1"/>
      <c r="AF923" s="1" t="str">
        <f>IFERROR(__xludf.DUMMYFUNCTION("""COMPUTED_VALUE"""),"BGY MATAGBAK 2")</f>
        <v>BGY MATAGBAK 2</v>
      </c>
      <c r="AG923" s="1" t="str">
        <f>IFERROR(__xludf.DUMMYFUNCTION("""COMPUTED_VALUE"""),"ALFONSO")</f>
        <v>ALFONSO</v>
      </c>
      <c r="AH923" s="1" t="str">
        <f>IFERROR(__xludf.DUMMYFUNCTION("""COMPUTED_VALUE"""),"IEMELIF CHURCH")</f>
        <v>IEMELIF CHURCH</v>
      </c>
      <c r="AI923" s="1" t="str">
        <f>IFERROR(__xludf.DUMMYFUNCTION("""COMPUTED_VALUE"""),"CLUSTER 12")</f>
        <v>CLUSTER 12</v>
      </c>
    </row>
    <row r="924" customHeight="1" spans="1:35">
      <c r="A924" s="3">
        <f>IFERROR(__xludf.DUMMYFUNCTION("""COMPUTED_VALUE"""),46303)</f>
        <v>46303</v>
      </c>
      <c r="B924" s="1" t="str">
        <f>IFERROR(__xludf.DUMMYFUNCTION("""COMPUTED_VALUE""")," SONIA FERMA MARASIGAN")</f>
        <v> SONIA FERMA MARASIGAN</v>
      </c>
      <c r="C924" s="1">
        <f>IFERROR(__xludf.DUMMYFUNCTION("""COMPUTED_VALUE"""),2313045320)</f>
        <v>2313045320</v>
      </c>
      <c r="D924" s="1"/>
      <c r="E924" s="1"/>
      <c r="F924" s="1" t="str">
        <f>IFERROR(__xludf.DUMMYFUNCTION("""COMPUTED_VALUE"""),"REENCODED")</f>
        <v>REENCODED</v>
      </c>
      <c r="G924" s="1" t="str">
        <f>IFERROR(__xludf.DUMMYFUNCTION("""COMPUTED_VALUE"""),"CANNOT CHANGE THE PAYMENT REQUIRED/ APPROVED| CLEARED FROM BLACKLIST HIT, NO EXISTING ACTIVE ACCT AND/OR PENDING/CANCELLED APPLICATION| DONE VALIDATION WITH SUBMITTED COMPLETE DOCS| CORRECT ENCODED INFO IN CSP |DONE VALIDATION WITH NO 1AMSF |TU SCORE FF -"&amp;" 1 (NTC)")</f>
        <v>CANNOT CHANGE THE PAYMENT REQUIRED/ APPROVED| CLEARED FROM BLACKLIST HIT, NO EXISTING ACTIVE ACCT AND/OR PENDING/CANCELLED APPLICATION| DONE VALIDATION WITH SUBMITTED COMPLETE DOCS| CORRECT ENCODED INFO IN CSP |DONE VALIDATION WITH NO 1AMSF |TU SCORE FF - 1 (NTC)</v>
      </c>
      <c r="H924" s="1"/>
      <c r="I924" s="1"/>
      <c r="J924" s="1"/>
      <c r="K924" s="1"/>
      <c r="L924" s="1" t="str">
        <f>IFERROR(__xludf.DUMMYFUNCTION("""COMPUTED_VALUE"""),"REENCODED")</f>
        <v>REENCODED</v>
      </c>
      <c r="M924" s="1" t="str">
        <f>IFERROR(__xludf.DUMMYFUNCTION("""COMPUTED_VALUE"""),"REENCODED")</f>
        <v>REENCODED</v>
      </c>
      <c r="N924" s="3"/>
      <c r="O924" s="1" t="str">
        <f>IFERROR(__xludf.DUMMYFUNCTION("""COMPUTED_VALUE"""),"FIBER UNLI PLAN 1399")</f>
        <v>FIBER UNLI PLAN 1399</v>
      </c>
      <c r="P924" s="1" t="str">
        <f>IFERROR(__xludf.DUMMYFUNCTION("""COMPUTED_VALUE"""),"LOWPLAN")</f>
        <v>LOWPLAN</v>
      </c>
      <c r="Q924" s="1" t="str">
        <f>IFERROR(__xludf.DUMMYFUNCTION("""COMPUTED_VALUE"""),"P407564")</f>
        <v>P407564</v>
      </c>
      <c r="R924" s="1" t="str">
        <f>IFERROR(__xludf.DUMMYFUNCTION("""COMPUTED_VALUE"""),"ARENA, LYKA")</f>
        <v>ARENA, LYKA</v>
      </c>
      <c r="S924" s="1" t="str">
        <f>IFERROR(__xludf.DUMMYFUNCTION("""COMPUTED_VALUE"""),"ORGANIC")</f>
        <v>ORGANIC</v>
      </c>
      <c r="T924" s="1" t="str">
        <f>IFERROR(__xludf.DUMMYFUNCTION("""COMPUTED_VALUE"""),"LEA REMOLLO")</f>
        <v>LEA REMOLLO</v>
      </c>
      <c r="U924" s="1" t="str">
        <f>IFERROR(__xludf.DUMMYFUNCTION("""COMPUTED_VALUE"""),"JULIE ESPIRITU")</f>
        <v>JULIE ESPIRITU</v>
      </c>
      <c r="V924" s="1" t="str">
        <f>IFERROR(__xludf.DUMMYFUNCTION("""COMPUTED_VALUE"""),"BK REGULAR")</f>
        <v>BK REGULAR</v>
      </c>
      <c r="W924" s="1" t="str">
        <f>IFERROR(__xludf.DUMMYFUNCTION("""COMPUTED_VALUE"""),"STK REGULAR")</f>
        <v>STK REGULAR</v>
      </c>
      <c r="X924" s="1" t="str">
        <f>IFERROR(__xludf.DUMMYFUNCTION("""COMPUTED_VALUE"""),"FIBER 1399 98TH YR")</f>
        <v>FIBER 1399 98TH YR</v>
      </c>
      <c r="Y924" s="1" t="str">
        <f>IFERROR(__xludf.DUMMYFUNCTION("""COMPUTED_VALUE"""),"BK_CVEU_261006")</f>
        <v>BK_CVEU_261006</v>
      </c>
      <c r="Z924" s="1" t="str">
        <f>IFERROR(__xludf.DUMMYFUNCTION("""COMPUTED_VALUE"""),"NEW CONNECT")</f>
        <v>NEW CONNECT</v>
      </c>
      <c r="AA924" s="1">
        <f>IFERROR(__xludf.DUMMYFUNCTION("""COMPUTED_VALUE"""),639706637789)</f>
        <v>639706637789</v>
      </c>
      <c r="AB924" s="1"/>
      <c r="AC924" s="1">
        <f>IFERROR(__xludf.DUMMYFUNCTION("""COMPUTED_VALUE"""),220)</f>
        <v>220</v>
      </c>
      <c r="AD924" s="1" t="str">
        <f>IFERROR(__xludf.DUMMYFUNCTION("""COMPUTED_VALUE"""),"POOC 1")</f>
        <v>POOC 1</v>
      </c>
      <c r="AE924" s="1"/>
      <c r="AF924" s="1" t="str">
        <f>IFERROR(__xludf.DUMMYFUNCTION("""COMPUTED_VALUE"""),"BGY POOC 1")</f>
        <v>BGY POOC 1</v>
      </c>
      <c r="AG924" s="1" t="str">
        <f>IFERROR(__xludf.DUMMYFUNCTION("""COMPUTED_VALUE"""),"SILANG")</f>
        <v>SILANG</v>
      </c>
      <c r="AH924" s="1" t="str">
        <f>IFERROR(__xludf.DUMMYFUNCTION("""COMPUTED_VALUE"""),"ACOSTA // SAN ANTONIO CHURCH")</f>
        <v>ACOSTA // SAN ANTONIO CHURCH</v>
      </c>
      <c r="AI924" s="1" t="str">
        <f>IFERROR(__xludf.DUMMYFUNCTION("""COMPUTED_VALUE"""),"CLUSTER 11")</f>
        <v>CLUSTER 11</v>
      </c>
    </row>
    <row r="925" customHeight="1" spans="1:35">
      <c r="A925" s="3">
        <f>IFERROR(__xludf.DUMMYFUNCTION("""COMPUTED_VALUE"""),46303)</f>
        <v>46303</v>
      </c>
      <c r="B925" s="1" t="str">
        <f>IFERROR(__xludf.DUMMYFUNCTION("""COMPUTED_VALUE""")," JULIUS JR REVILLA PEDROSO")</f>
        <v> JULIUS JR REVILLA PEDROSO</v>
      </c>
      <c r="C925" s="1">
        <f>IFERROR(__xludf.DUMMYFUNCTION("""COMPUTED_VALUE"""),2313045682)</f>
        <v>2313045682</v>
      </c>
      <c r="D925" s="1"/>
      <c r="E925" s="1"/>
      <c r="F925" s="1" t="str">
        <f>IFERROR(__xludf.DUMMYFUNCTION("""COMPUTED_VALUE"""),"DISAPPROVED")</f>
        <v>DISAPPROVED</v>
      </c>
      <c r="G925" s="1" t="str">
        <f>IFERROR(__xludf.DUMMYFUNCTION("""COMPUTED_VALUE"""),"(CANNOT BE CONTACTED AFTER 3 CALL ATTEMPTS MADE THE ENTIRE DAY) DISAPPROVED | DONE VALIDATION WITH COMPLETE DOCS | FOUND BLACKLISTED ACCT# (0342339018) SAME NAME/DIFF ADDRESS | WITH OUTSTANDING: (Php5,478.36) FOR SETTLEMENT | FOUND CANCELLED ACCT# (031952"&amp;"5068 ) SAME NAME/DIFF ADDRESS | FOUND DUPLICATE CBR (09652609940) UNDER ACTIVE ACCT# (0242157508) DIFF NAME/DIFF ADDRESS | CALL THRU: (09511618715) 12:09PM/2:08PM/3:31pm (09652609940) 12:10PM/2:09PM/3:32PM (09071034425) 12:10PM/2:09PM/3:32PM (09977805722)"&amp;" 12:10PM/2:10PM/3:33PM | UNCONTACTED | CORRECT ENCODE")</f>
        <v>(CANNOT BE CONTACTED AFTER 3 CALL ATTEMPTS MADE THE ENTIRE DAY) DISAPPROVED | DONE VALIDATION WITH COMPLETE DOCS | FOUND BLACKLISTED ACCT# (0342339018) SAME NAME/DIFF ADDRESS | WITH OUTSTANDING: (Php5,478.36) FOR SETTLEMENT | FOUND CANCELLED ACCT# (0319525068 ) SAME NAME/DIFF ADDRESS | FOUND DUPLICATE CBR (09652609940) UNDER ACTIVE ACCT# (0242157508) DIFF NAME/DIFF ADDRESS | CALL THRU: (09511618715) 12:09PM/2:08PM/3:31pm (09652609940) 12:10PM/2:09PM/3:32PM (09071034425) 12:10PM/2:09PM/3:32PM (09977805722) 12:10PM/2:10PM/3:33PM | UNCONTACTED | CORRECT ENCODE</v>
      </c>
      <c r="H925" s="1"/>
      <c r="I925" s="1"/>
      <c r="J925" s="1"/>
      <c r="K925" s="1"/>
      <c r="L925" s="1" t="str">
        <f>IFERROR(__xludf.DUMMYFUNCTION("""COMPUTED_VALUE"""),"DISAPPROVED - WITH OB")</f>
        <v>DISAPPROVED - WITH OB</v>
      </c>
      <c r="M925" s="1" t="str">
        <f>IFERROR(__xludf.DUMMYFUNCTION("""COMPUTED_VALUE"""),"DISAPPROVED - WITH OB")</f>
        <v>DISAPPROVED - WITH OB</v>
      </c>
      <c r="N925" s="3"/>
      <c r="O925" s="1" t="str">
        <f>IFERROR(__xludf.DUMMYFUNCTION("""COMPUTED_VALUE"""),"FIBR UNLI ALL PLAN 999")</f>
        <v>FIBR UNLI ALL PLAN 999</v>
      </c>
      <c r="P925" s="1" t="str">
        <f>IFERROR(__xludf.DUMMYFUNCTION("""COMPUTED_VALUE"""),"LOWPLAN")</f>
        <v>LOWPLAN</v>
      </c>
      <c r="Q925" s="1" t="str">
        <f>IFERROR(__xludf.DUMMYFUNCTION("""COMPUTED_VALUE"""),"P407047 ")</f>
        <v>P407047 </v>
      </c>
      <c r="R925" s="1" t="str">
        <f>IFERROR(__xludf.DUMMYFUNCTION("""COMPUTED_VALUE"""),"FRANCISCO, ROSELYN")</f>
        <v>FRANCISCO, ROSELYN</v>
      </c>
      <c r="S925" s="1" t="str">
        <f>IFERROR(__xludf.DUMMYFUNCTION("""COMPUTED_VALUE"""),"ORGANIC")</f>
        <v>ORGANIC</v>
      </c>
      <c r="T925" s="1" t="str">
        <f>IFERROR(__xludf.DUMMYFUNCTION("""COMPUTED_VALUE"""),"LEA REMOLLO")</f>
        <v>LEA REMOLLO</v>
      </c>
      <c r="U925" s="1" t="str">
        <f>IFERROR(__xludf.DUMMYFUNCTION("""COMPUTED_VALUE"""),"JULIE ESPIRITU")</f>
        <v>JULIE ESPIRITU</v>
      </c>
      <c r="V925" s="1" t="str">
        <f>IFERROR(__xludf.DUMMYFUNCTION("""COMPUTED_VALUE"""),"BK REGULAR")</f>
        <v>BK REGULAR</v>
      </c>
      <c r="W925" s="1" t="str">
        <f>IFERROR(__xludf.DUMMYFUNCTION("""COMPUTED_VALUE"""),"STK REGULAR")</f>
        <v>STK REGULAR</v>
      </c>
      <c r="X925" s="1" t="str">
        <f>IFERROR(__xludf.DUMMYFUNCTION("""COMPUTED_VALUE"""),"FIBER 1399 98TH YR")</f>
        <v>FIBER 1399 98TH YR</v>
      </c>
      <c r="Y925" s="1" t="str">
        <f>IFERROR(__xludf.DUMMYFUNCTION("""COMPUTED_VALUE"""),"BK_CVEU_261003")</f>
        <v>BK_CVEU_261003</v>
      </c>
      <c r="Z925" s="1" t="str">
        <f>IFERROR(__xludf.DUMMYFUNCTION("""COMPUTED_VALUE"""),"NEW CONNECT")</f>
        <v>NEW CONNECT</v>
      </c>
      <c r="AA925" s="1">
        <f>IFERROR(__xludf.DUMMYFUNCTION("""COMPUTED_VALUE"""),639511618715)</f>
        <v>639511618715</v>
      </c>
      <c r="AB925" s="1">
        <f>IFERROR(__xludf.DUMMYFUNCTION("""COMPUTED_VALUE"""),639652609940)</f>
        <v>639652609940</v>
      </c>
      <c r="AC925" s="1">
        <f>IFERROR(__xludf.DUMMYFUNCTION("""COMPUTED_VALUE"""),307)</f>
        <v>307</v>
      </c>
      <c r="AD925" s="1" t="str">
        <f>IFERROR(__xludf.DUMMYFUNCTION("""COMPUTED_VALUE"""),"PHASE 3")</f>
        <v>PHASE 3</v>
      </c>
      <c r="AE925" s="1" t="str">
        <f>IFERROR(__xludf.DUMMYFUNCTION("""COMPUTED_VALUE"""),"PATINDIG ARAW")</f>
        <v>PATINDIG ARAW</v>
      </c>
      <c r="AF925" s="1" t="str">
        <f>IFERROR(__xludf.DUMMYFUNCTION("""COMPUTED_VALUE"""),"BGY MILAGROSA")</f>
        <v>BGY MILAGROSA</v>
      </c>
      <c r="AG925" s="1" t="str">
        <f>IFERROR(__xludf.DUMMYFUNCTION("""COMPUTED_VALUE"""),"CARMONA")</f>
        <v>CARMONA</v>
      </c>
      <c r="AH925" s="1"/>
      <c r="AI925" s="1" t="str">
        <f>IFERROR(__xludf.DUMMYFUNCTION("""COMPUTED_VALUE"""),"CLUSTER 11")</f>
        <v>CLUSTER 11</v>
      </c>
    </row>
    <row r="926" customHeight="1" spans="1:35">
      <c r="A926" s="3">
        <f>IFERROR(__xludf.DUMMYFUNCTION("""COMPUTED_VALUE"""),46303)</f>
        <v>46303</v>
      </c>
      <c r="B926" s="1" t="str">
        <f>IFERROR(__xludf.DUMMYFUNCTION("""COMPUTED_VALUE""")," ROMMEL MONTOYA BILLONES")</f>
        <v> ROMMEL MONTOYA BILLONES</v>
      </c>
      <c r="C926" s="1">
        <f>IFERROR(__xludf.DUMMYFUNCTION("""COMPUTED_VALUE"""),2313046323)</f>
        <v>2313046323</v>
      </c>
      <c r="D926" s="1">
        <f>IFERROR(__xludf.DUMMYFUNCTION("""COMPUTED_VALUE"""),408799120)</f>
        <v>408799120</v>
      </c>
      <c r="E926" s="1">
        <f>IFERROR(__xludf.DUMMYFUNCTION("""COMPUTED_VALUE"""),474760681004)</f>
        <v>474760681004</v>
      </c>
      <c r="F926" s="1" t="str">
        <f>IFERROR(__xludf.DUMMYFUNCTION("""COMPUTED_VALUE"""),"CANCELED")</f>
        <v>CANCELED</v>
      </c>
      <c r="G926" s="1" t="str">
        <f>IFERROR(__xludf.DUMMYFUNCTION("""COMPUTED_VALUE"""),"VISITED  REMARKS   NAP FULL SURVEY CAFAC SILLP77NP5 LOCK 2 ACTIVE FULL SILLP77NP6 LOCK 8 ACTIVE FULL SILLP77NP7 7 FULL SILLP77NP8 1 FULL SILLP630NP1 FULL SILLP630NP2 FULL SILLP630NP3 FULL SILLP78NP1 LOCK 1 ACTIVE FULL SILLP78NP2 NO RESULTS SILLP78NP3 LOCK"&amp;" 1 ACTIVE FULL SUBS ALREADY ADVICED TALK MOTHER OF SUBS 09056549162")</f>
        <v>VISITED  REMARKS   NAP FULL SURVEY CAFAC SILLP77NP5 LOCK 2 ACTIVE FULL SILLP77NP6 LOCK 8 ACTIVE FULL SILLP77NP7 7 FULL SILLP77NP8 1 FULL SILLP630NP1 FULL SILLP630NP2 FULL SILLP630NP3 FULL SILLP78NP1 LOCK 1 ACTIVE FULL SILLP78NP2 NO RESULTS SILLP78NP3 LOCK 1 ACTIVE FULL SUBS ALREADY ADVICED TALK MOTHER OF SUBS 09056549162</v>
      </c>
      <c r="H926" s="1" t="str">
        <f>IFERROR(__xludf.DUMMYFUNCTION("""COMPUTED_VALUE"""),"PAID VIA PAY EXPESS PX126978977 OCT 12")</f>
        <v>PAID VIA PAY EXPESS PX126978977 OCT 12</v>
      </c>
      <c r="I926" s="1" t="str">
        <f>IFERROR(__xludf.DUMMYFUNCTION("""COMPUTED_VALUE"""),"WITH 1 AMSF")</f>
        <v>WITH 1 AMSF</v>
      </c>
      <c r="J926" s="1"/>
      <c r="K926" s="1" t="str">
        <f>IFERROR(__xludf.DUMMYFUNCTION("""COMPUTED_VALUE"""),"CANCELED")</f>
        <v>CANCELED</v>
      </c>
      <c r="L926" s="1" t="str">
        <f>IFERROR(__xludf.DUMMYFUNCTION("""COMPUTED_VALUE"""),"POSTED")</f>
        <v>POSTED</v>
      </c>
      <c r="M926" s="1" t="str">
        <f>IFERROR(__xludf.DUMMYFUNCTION("""COMPUTED_VALUE"""),"POSTED")</f>
        <v>POSTED</v>
      </c>
      <c r="N926" s="3">
        <f>IFERROR(__xludf.DUMMYFUNCTION("""COMPUTED_VALUE"""),46306)</f>
        <v>46306</v>
      </c>
      <c r="O926" s="1" t="str">
        <f>IFERROR(__xludf.DUMMYFUNCTION("""COMPUTED_VALUE"""),"FIBER UNLI ALL PLAN 1499")</f>
        <v>FIBER UNLI ALL PLAN 1499</v>
      </c>
      <c r="P926" s="1" t="str">
        <f>IFERROR(__xludf.DUMMYFUNCTION("""COMPUTED_VALUE"""),"LOWPLAN")</f>
        <v>LOWPLAN</v>
      </c>
      <c r="Q926" s="1" t="str">
        <f>IFERROR(__xludf.DUMMYFUNCTION("""COMPUTED_VALUE"""),"P407047 ")</f>
        <v>P407047 </v>
      </c>
      <c r="R926" s="1" t="str">
        <f>IFERROR(__xludf.DUMMYFUNCTION("""COMPUTED_VALUE"""),"FRANCISCO, ROSELYN")</f>
        <v>FRANCISCO, ROSELYN</v>
      </c>
      <c r="S926" s="1" t="str">
        <f>IFERROR(__xludf.DUMMYFUNCTION("""COMPUTED_VALUE"""),"ORGANIC")</f>
        <v>ORGANIC</v>
      </c>
      <c r="T926" s="1" t="str">
        <f>IFERROR(__xludf.DUMMYFUNCTION("""COMPUTED_VALUE"""),"LEA REMOLLO")</f>
        <v>LEA REMOLLO</v>
      </c>
      <c r="U926" s="1" t="str">
        <f>IFERROR(__xludf.DUMMYFUNCTION("""COMPUTED_VALUE"""),"JULIE ESPIRITU")</f>
        <v>JULIE ESPIRITU</v>
      </c>
      <c r="V926" s="1" t="str">
        <f>IFERROR(__xludf.DUMMYFUNCTION("""COMPUTED_VALUE"""),"BK REGULAR")</f>
        <v>BK REGULAR</v>
      </c>
      <c r="W926" s="1" t="str">
        <f>IFERROR(__xludf.DUMMYFUNCTION("""COMPUTED_VALUE"""),"STK REGULAR")</f>
        <v>STK REGULAR</v>
      </c>
      <c r="X926" s="1" t="str">
        <f>IFERROR(__xludf.DUMMYFUNCTION("""COMPUTED_VALUE"""),"REGULAR")</f>
        <v>REGULAR</v>
      </c>
      <c r="Y926" s="1" t="str">
        <f>IFERROR(__xludf.DUMMYFUNCTION("""COMPUTED_VALUE"""),"BK_CVEU_261006")</f>
        <v>BK_CVEU_261006</v>
      </c>
      <c r="Z926" s="1" t="str">
        <f>IFERROR(__xludf.DUMMYFUNCTION("""COMPUTED_VALUE"""),"NEW CONNECT")</f>
        <v>NEW CONNECT</v>
      </c>
      <c r="AA926" s="1">
        <f>IFERROR(__xludf.DUMMYFUNCTION("""COMPUTED_VALUE"""),639056549162)</f>
        <v>639056549162</v>
      </c>
      <c r="AB926" s="1"/>
      <c r="AC926" s="1">
        <f>IFERROR(__xludf.DUMMYFUNCTION("""COMPUTED_VALUE"""),123)</f>
        <v>123</v>
      </c>
      <c r="AD926" s="1" t="str">
        <f>IFERROR(__xludf.DUMMYFUNCTION("""COMPUTED_VALUE"""),"SITIO KANLURAN")</f>
        <v>SITIO KANLURAN</v>
      </c>
      <c r="AE926" s="1"/>
      <c r="AF926" s="1" t="str">
        <f>IFERROR(__xludf.DUMMYFUNCTION("""COMPUTED_VALUE"""),"BGY TIBIG")</f>
        <v>BGY TIBIG</v>
      </c>
      <c r="AG926" s="1" t="str">
        <f>IFERROR(__xludf.DUMMYFUNCTION("""COMPUTED_VALUE"""),"SILANG")</f>
        <v>SILANG</v>
      </c>
      <c r="AH926" s="1" t="str">
        <f>IFERROR(__xludf.DUMMYFUNCTION("""COMPUTED_VALUE"""),"IGLESIA NI CRISTO")</f>
        <v>IGLESIA NI CRISTO</v>
      </c>
      <c r="AI926" s="1" t="str">
        <f>IFERROR(__xludf.DUMMYFUNCTION("""COMPUTED_VALUE"""),"CLUSTER 11")</f>
        <v>CLUSTER 11</v>
      </c>
    </row>
    <row r="927" customHeight="1" spans="1:35">
      <c r="A927" s="3">
        <f>IFERROR(__xludf.DUMMYFUNCTION("""COMPUTED_VALUE"""),46303)</f>
        <v>46303</v>
      </c>
      <c r="B927" s="1" t="str">
        <f>IFERROR(__xludf.DUMMYFUNCTION("""COMPUTED_VALUE""")," ERNESTO ACEVEDA FLORES")</f>
        <v> ERNESTO ACEVEDA FLORES</v>
      </c>
      <c r="C927" s="1">
        <f>IFERROR(__xludf.DUMMYFUNCTION("""COMPUTED_VALUE"""),2313048577)</f>
        <v>2313048577</v>
      </c>
      <c r="D927" s="1"/>
      <c r="E927" s="1"/>
      <c r="F927" s="1" t="str">
        <f>IFERROR(__xludf.DUMMYFUNCTION("""COMPUTED_VALUE"""),"CANCELLED")</f>
        <v>CANCELLED</v>
      </c>
      <c r="G927" s="1" t="str">
        <f>IFERROR(__xludf.DUMMYFUNCTION("""COMPUTED_VALUE"""),"CANCELLED")</f>
        <v>CANCELLED</v>
      </c>
      <c r="H927" s="1"/>
      <c r="I927" s="1"/>
      <c r="J927" s="1"/>
      <c r="K927" s="1"/>
      <c r="L927" s="1" t="str">
        <f>IFERROR(__xludf.DUMMYFUNCTION("""COMPUTED_VALUE"""),"CANCELLED - WITH OB")</f>
        <v>CANCELLED - WITH OB</v>
      </c>
      <c r="M927" s="1" t="str">
        <f>IFERROR(__xludf.DUMMYFUNCTION("""COMPUTED_VALUE"""),"CANCELLED - WITH OB")</f>
        <v>CANCELLED - WITH OB</v>
      </c>
      <c r="N927" s="3"/>
      <c r="O927" s="1" t="str">
        <f>IFERROR(__xludf.DUMMYFUNCTION("""COMPUTED_VALUE"""),"FIBR PLAN 1299")</f>
        <v>FIBR PLAN 1299</v>
      </c>
      <c r="P927" s="1" t="str">
        <f>IFERROR(__xludf.DUMMYFUNCTION("""COMPUTED_VALUE"""),"LOWPLAN")</f>
        <v>LOWPLAN</v>
      </c>
      <c r="Q927" s="1" t="str">
        <f>IFERROR(__xludf.DUMMYFUNCTION("""COMPUTED_VALUE"""),"P407566 ")</f>
        <v>P407566 </v>
      </c>
      <c r="R927" s="1" t="str">
        <f>IFERROR(__xludf.DUMMYFUNCTION("""COMPUTED_VALUE"""),"DENACO, RODNEY")</f>
        <v>DENACO, RODNEY</v>
      </c>
      <c r="S927" s="1" t="str">
        <f>IFERROR(__xludf.DUMMYFUNCTION("""COMPUTED_VALUE"""),"ORGANIC")</f>
        <v>ORGANIC</v>
      </c>
      <c r="T927" s="1" t="str">
        <f>IFERROR(__xludf.DUMMYFUNCTION("""COMPUTED_VALUE"""),"LEA REMOLLO")</f>
        <v>LEA REMOLLO</v>
      </c>
      <c r="U927" s="1" t="str">
        <f>IFERROR(__xludf.DUMMYFUNCTION("""COMPUTED_VALUE"""),"JULIE ESPIRITU")</f>
        <v>JULIE ESPIRITU</v>
      </c>
      <c r="V927" s="1" t="str">
        <f>IFERROR(__xludf.DUMMYFUNCTION("""COMPUTED_VALUE"""),"BK REGULAR")</f>
        <v>BK REGULAR</v>
      </c>
      <c r="W927" s="1" t="str">
        <f>IFERROR(__xludf.DUMMYFUNCTION("""COMPUTED_VALUE"""),"STK REGULAR")</f>
        <v>STK REGULAR</v>
      </c>
      <c r="X927" s="1" t="str">
        <f>IFERROR(__xludf.DUMMYFUNCTION("""COMPUTED_VALUE"""),"REGULAR")</f>
        <v>REGULAR</v>
      </c>
      <c r="Y927" s="1" t="str">
        <f>IFERROR(__xludf.DUMMYFUNCTION("""COMPUTED_VALUE"""),"BK_CVEU_261005")</f>
        <v>BK_CVEU_261005</v>
      </c>
      <c r="Z927" s="1" t="str">
        <f>IFERROR(__xludf.DUMMYFUNCTION("""COMPUTED_VALUE"""),"NEW CONNECT")</f>
        <v>NEW CONNECT</v>
      </c>
      <c r="AA927" s="1">
        <f>IFERROR(__xludf.DUMMYFUNCTION("""COMPUTED_VALUE"""),639175008849)</f>
        <v>639175008849</v>
      </c>
      <c r="AB927" s="1">
        <f>IFERROR(__xludf.DUMMYFUNCTION("""COMPUTED_VALUE"""),639176577820)</f>
        <v>639176577820</v>
      </c>
      <c r="AC927" s="1">
        <f>IFERROR(__xludf.DUMMYFUNCTION("""COMPUTED_VALUE"""),67)</f>
        <v>67</v>
      </c>
      <c r="AD927" s="1" t="str">
        <f>IFERROR(__xludf.DUMMYFUNCTION("""COMPUTED_VALUE"""),"JP RIZAL")</f>
        <v>JP RIZAL</v>
      </c>
      <c r="AE927" s="1"/>
      <c r="AF927" s="1" t="str">
        <f>IFERROR(__xludf.DUMMYFUNCTION("""COMPUTED_VALUE"""),"BGY GALICIA 2")</f>
        <v>BGY GALICIA 2</v>
      </c>
      <c r="AG927" s="1" t="str">
        <f>IFERROR(__xludf.DUMMYFUNCTION("""COMPUTED_VALUE"""),"MENDEZ")</f>
        <v>MENDEZ</v>
      </c>
      <c r="AH927" s="1" t="str">
        <f>IFERROR(__xludf.DUMMYFUNCTION("""COMPUTED_VALUE"""),"-")</f>
        <v>-</v>
      </c>
      <c r="AI927" s="1" t="str">
        <f>IFERROR(__xludf.DUMMYFUNCTION("""COMPUTED_VALUE"""),"CLUSTER 12")</f>
        <v>CLUSTER 12</v>
      </c>
    </row>
    <row r="928" customHeight="1" spans="1:35">
      <c r="A928" s="3">
        <f>IFERROR(__xludf.DUMMYFUNCTION("""COMPUTED_VALUE"""),46303)</f>
        <v>46303</v>
      </c>
      <c r="B928" s="1" t="str">
        <f>IFERROR(__xludf.DUMMYFUNCTION("""COMPUTED_VALUE""")," TESSIE LOPEZ ROXAS")</f>
        <v> TESSIE LOPEZ ROXAS</v>
      </c>
      <c r="C928" s="1">
        <f>IFERROR(__xludf.DUMMYFUNCTION("""COMPUTED_VALUE"""),2313048731)</f>
        <v>2313048731</v>
      </c>
      <c r="D928" s="1"/>
      <c r="E928" s="1"/>
      <c r="F928" s="1" t="str">
        <f>IFERROR(__xludf.DUMMYFUNCTION("""COMPUTED_VALUE"""),"CANCELLED")</f>
        <v>CANCELLED</v>
      </c>
      <c r="G928" s="1" t="str">
        <f>IFERROR(__xludf.DUMMYFUNCTION("""COMPUTED_VALUE"""),"CANCELLED")</f>
        <v>CANCELLED</v>
      </c>
      <c r="H928" s="1"/>
      <c r="I928" s="1"/>
      <c r="J928" s="1"/>
      <c r="K928" s="1"/>
      <c r="L928" s="1" t="str">
        <f>IFERROR(__xludf.DUMMYFUNCTION("""COMPUTED_VALUE"""),"CANCELLED - WITH OB")</f>
        <v>CANCELLED - WITH OB</v>
      </c>
      <c r="M928" s="1" t="str">
        <f>IFERROR(__xludf.DUMMYFUNCTION("""COMPUTED_VALUE"""),"CANCELLED - WITH OB")</f>
        <v>CANCELLED - WITH OB</v>
      </c>
      <c r="N928" s="3"/>
      <c r="O928" s="1" t="str">
        <f>IFERROR(__xludf.DUMMYFUNCTION("""COMPUTED_VALUE"""),"FIBR PLAN 1299")</f>
        <v>FIBR PLAN 1299</v>
      </c>
      <c r="P928" s="1" t="str">
        <f>IFERROR(__xludf.DUMMYFUNCTION("""COMPUTED_VALUE"""),"LOWPLAN")</f>
        <v>LOWPLAN</v>
      </c>
      <c r="Q928" s="1" t="str">
        <f>IFERROR(__xludf.DUMMYFUNCTION("""COMPUTED_VALUE"""),"P407050 ")</f>
        <v>P407050 </v>
      </c>
      <c r="R928" s="1" t="str">
        <f>IFERROR(__xludf.DUMMYFUNCTION("""COMPUTED_VALUE"""),"ESCARCHA, ALMA")</f>
        <v>ESCARCHA, ALMA</v>
      </c>
      <c r="S928" s="1" t="str">
        <f>IFERROR(__xludf.DUMMYFUNCTION("""COMPUTED_VALUE"""),"ORGANIC")</f>
        <v>ORGANIC</v>
      </c>
      <c r="T928" s="1" t="str">
        <f>IFERROR(__xludf.DUMMYFUNCTION("""COMPUTED_VALUE"""),"LEA REMOLLO")</f>
        <v>LEA REMOLLO</v>
      </c>
      <c r="U928" s="1" t="str">
        <f>IFERROR(__xludf.DUMMYFUNCTION("""COMPUTED_VALUE"""),"JULIE ESPIRITU")</f>
        <v>JULIE ESPIRITU</v>
      </c>
      <c r="V928" s="1" t="str">
        <f>IFERROR(__xludf.DUMMYFUNCTION("""COMPUTED_VALUE"""),"BK REGULAR")</f>
        <v>BK REGULAR</v>
      </c>
      <c r="W928" s="1" t="str">
        <f>IFERROR(__xludf.DUMMYFUNCTION("""COMPUTED_VALUE"""),"STK REGULAR")</f>
        <v>STK REGULAR</v>
      </c>
      <c r="X928" s="1" t="str">
        <f>IFERROR(__xludf.DUMMYFUNCTION("""COMPUTED_VALUE"""),"REGULAR")</f>
        <v>REGULAR</v>
      </c>
      <c r="Y928" s="1" t="str">
        <f>IFERROR(__xludf.DUMMYFUNCTION("""COMPUTED_VALUE"""),"BK_CVEU_261007")</f>
        <v>BK_CVEU_261007</v>
      </c>
      <c r="Z928" s="1" t="str">
        <f>IFERROR(__xludf.DUMMYFUNCTION("""COMPUTED_VALUE"""),"NEW CONNECT")</f>
        <v>NEW CONNECT</v>
      </c>
      <c r="AA928" s="1">
        <f>IFERROR(__xludf.DUMMYFUNCTION("""COMPUTED_VALUE"""),639552649893)</f>
        <v>639552649893</v>
      </c>
      <c r="AB928" s="1"/>
      <c r="AC928" s="1">
        <f>IFERROR(__xludf.DUMMYFUNCTION("""COMPUTED_VALUE"""),9563)</f>
        <v>9563</v>
      </c>
      <c r="AD928" s="1" t="str">
        <f>IFERROR(__xludf.DUMMYFUNCTION("""COMPUTED_VALUE"""),"GUINHAWA NORTH")</f>
        <v>GUINHAWA NORTH</v>
      </c>
      <c r="AE928" s="1"/>
      <c r="AF928" s="1" t="str">
        <f>IFERROR(__xludf.DUMMYFUNCTION("""COMPUTED_VALUE"""),"BGY GUINHAWA NORTH")</f>
        <v>BGY GUINHAWA NORTH</v>
      </c>
      <c r="AG928" s="1" t="str">
        <f>IFERROR(__xludf.DUMMYFUNCTION("""COMPUTED_VALUE"""),"TAGAYTAY")</f>
        <v>TAGAYTAY</v>
      </c>
      <c r="AH928" s="1" t="str">
        <f>IFERROR(__xludf.DUMMYFUNCTION("""COMPUTED_VALUE"""),"CHAI CAFE")</f>
        <v>CHAI CAFE</v>
      </c>
      <c r="AI928" s="1" t="str">
        <f>IFERROR(__xludf.DUMMYFUNCTION("""COMPUTED_VALUE"""),"CLUSTER 12")</f>
        <v>CLUSTER 12</v>
      </c>
    </row>
    <row r="929" customHeight="1" spans="1:35">
      <c r="A929" s="3">
        <f>IFERROR(__xludf.DUMMYFUNCTION("""COMPUTED_VALUE"""),46303)</f>
        <v>46303</v>
      </c>
      <c r="B929" s="1" t="str">
        <f>IFERROR(__xludf.DUMMYFUNCTION("""COMPUTED_VALUE"""),"JONNY ALAYZA CIUBAL")</f>
        <v>JONNY ALAYZA CIUBAL</v>
      </c>
      <c r="C929" s="1">
        <f>IFERROR(__xludf.DUMMYFUNCTION("""COMPUTED_VALUE"""),2313048965)</f>
        <v>2313048965</v>
      </c>
      <c r="D929" s="1"/>
      <c r="E929" s="1"/>
      <c r="F929" s="1" t="str">
        <f>IFERROR(__xludf.DUMMYFUNCTION("""COMPUTED_VALUE"""),"CANCELLED")</f>
        <v>CANCELLED</v>
      </c>
      <c r="G929" s="1" t="str">
        <f>IFERROR(__xludf.DUMMYFUNCTION("""COMPUTED_VALUE"""),"CANCELLED")</f>
        <v>CANCELLED</v>
      </c>
      <c r="H929" s="1"/>
      <c r="I929" s="1"/>
      <c r="J929" s="1"/>
      <c r="K929" s="1"/>
      <c r="L929" s="1" t="str">
        <f>IFERROR(__xludf.DUMMYFUNCTION("""COMPUTED_VALUE"""),"CANCELLED - WITH OB")</f>
        <v>CANCELLED - WITH OB</v>
      </c>
      <c r="M929" s="1" t="str">
        <f>IFERROR(__xludf.DUMMYFUNCTION("""COMPUTED_VALUE"""),"CANCELLED - WITH OB")</f>
        <v>CANCELLED - WITH OB</v>
      </c>
      <c r="N929" s="3"/>
      <c r="O929" s="1" t="str">
        <f>IFERROR(__xludf.DUMMYFUNCTION("""COMPUTED_VALUE"""),"FIBR PLAN 1299")</f>
        <v>FIBR PLAN 1299</v>
      </c>
      <c r="P929" s="1" t="str">
        <f>IFERROR(__xludf.DUMMYFUNCTION("""COMPUTED_VALUE"""),"LOWPLAN")</f>
        <v>LOWPLAN</v>
      </c>
      <c r="Q929" s="1" t="str">
        <f>IFERROR(__xludf.DUMMYFUNCTION("""COMPUTED_VALUE"""),"P407563 ")</f>
        <v>P407563 </v>
      </c>
      <c r="R929" s="1" t="str">
        <f>IFERROR(__xludf.DUMMYFUNCTION("""COMPUTED_VALUE"""),"BAQUIT, JAZMIN")</f>
        <v>BAQUIT, JAZMIN</v>
      </c>
      <c r="S929" s="1" t="str">
        <f>IFERROR(__xludf.DUMMYFUNCTION("""COMPUTED_VALUE"""),"ORGANIC")</f>
        <v>ORGANIC</v>
      </c>
      <c r="T929" s="1" t="str">
        <f>IFERROR(__xludf.DUMMYFUNCTION("""COMPUTED_VALUE"""),"LEA REMOLLO")</f>
        <v>LEA REMOLLO</v>
      </c>
      <c r="U929" s="1" t="str">
        <f>IFERROR(__xludf.DUMMYFUNCTION("""COMPUTED_VALUE"""),"JULIE ESPIRITU")</f>
        <v>JULIE ESPIRITU</v>
      </c>
      <c r="V929" s="1" t="str">
        <f>IFERROR(__xludf.DUMMYFUNCTION("""COMPUTED_VALUE"""),"BK REGULAR")</f>
        <v>BK REGULAR</v>
      </c>
      <c r="W929" s="1" t="str">
        <f>IFERROR(__xludf.DUMMYFUNCTION("""COMPUTED_VALUE"""),"STK REGULAR")</f>
        <v>STK REGULAR</v>
      </c>
      <c r="X929" s="1" t="str">
        <f>IFERROR(__xludf.DUMMYFUNCTION("""COMPUTED_VALUE"""),"REGULAR")</f>
        <v>REGULAR</v>
      </c>
      <c r="Y929" s="1" t="str">
        <f>IFERROR(__xludf.DUMMYFUNCTION("""COMPUTED_VALUE"""),"BK_CVEU_261002")</f>
        <v>BK_CVEU_261002</v>
      </c>
      <c r="Z929" s="1" t="str">
        <f>IFERROR(__xludf.DUMMYFUNCTION("""COMPUTED_VALUE"""),"NEW CONNECT")</f>
        <v>NEW CONNECT</v>
      </c>
      <c r="AA929" s="1">
        <f>IFERROR(__xludf.DUMMYFUNCTION("""COMPUTED_VALUE"""),639757611699)</f>
        <v>639757611699</v>
      </c>
      <c r="AB929" s="1"/>
      <c r="AC929" s="1"/>
      <c r="AD929" s="1" t="str">
        <f>IFERROR(__xludf.DUMMYFUNCTION("""COMPUTED_VALUE"""),"PUROK 5")</f>
        <v>PUROK 5</v>
      </c>
      <c r="AE929" s="1" t="str">
        <f>IFERROR(__xludf.DUMMYFUNCTION("""COMPUTED_VALUE"""),"OLV APARTMENT")</f>
        <v>OLV APARTMENT</v>
      </c>
      <c r="AF929" s="1" t="str">
        <f>IFERROR(__xludf.DUMMYFUNCTION("""COMPUTED_VALUE"""),"BGY TALON")</f>
        <v>BGY TALON</v>
      </c>
      <c r="AG929" s="1" t="str">
        <f>IFERROR(__xludf.DUMMYFUNCTION("""COMPUTED_VALUE"""),"AMADEO")</f>
        <v>AMADEO</v>
      </c>
      <c r="AH929" s="1" t="str">
        <f>IFERROR(__xludf.DUMMYFUNCTION("""COMPUTED_VALUE"""),"I3R HARDWARE")</f>
        <v>I3R HARDWARE</v>
      </c>
      <c r="AI929" s="1" t="str">
        <f>IFERROR(__xludf.DUMMYFUNCTION("""COMPUTED_VALUE"""),"CLUSTER 12")</f>
        <v>CLUSTER 12</v>
      </c>
    </row>
    <row r="930" customHeight="1" spans="1:35">
      <c r="A930" s="3">
        <f>IFERROR(__xludf.DUMMYFUNCTION("""COMPUTED_VALUE"""),46303)</f>
        <v>46303</v>
      </c>
      <c r="B930" s="1" t="str">
        <f>IFERROR(__xludf.DUMMYFUNCTION("""COMPUTED_VALUE""")," JOY DELA CRUZ DELA CRUZ")</f>
        <v> JOY DELA CRUZ DELA CRUZ</v>
      </c>
      <c r="C930" s="1">
        <f>IFERROR(__xludf.DUMMYFUNCTION("""COMPUTED_VALUE"""),2313049116)</f>
        <v>2313049116</v>
      </c>
      <c r="D930" s="1"/>
      <c r="E930" s="1"/>
      <c r="F930" s="1" t="str">
        <f>IFERROR(__xludf.DUMMYFUNCTION("""COMPUTED_VALUE"""),"CANCELLED")</f>
        <v>CANCELLED</v>
      </c>
      <c r="G930" s="1" t="str">
        <f>IFERROR(__xludf.DUMMYFUNCTION("""COMPUTED_VALUE"""),"CANCELLED")</f>
        <v>CANCELLED</v>
      </c>
      <c r="H930" s="1"/>
      <c r="I930" s="1"/>
      <c r="J930" s="1"/>
      <c r="K930" s="1"/>
      <c r="L930" s="1" t="str">
        <f>IFERROR(__xludf.DUMMYFUNCTION("""COMPUTED_VALUE"""),"CANCELLED - WITH OB")</f>
        <v>CANCELLED - WITH OB</v>
      </c>
      <c r="M930" s="1" t="str">
        <f>IFERROR(__xludf.DUMMYFUNCTION("""COMPUTED_VALUE"""),"CANCELLED - WITH OB")</f>
        <v>CANCELLED - WITH OB</v>
      </c>
      <c r="N930" s="3"/>
      <c r="O930" s="1" t="str">
        <f>IFERROR(__xludf.DUMMYFUNCTION("""COMPUTED_VALUE"""),"FIBR NETFLIX PLAN 1599")</f>
        <v>FIBR NETFLIX PLAN 1599</v>
      </c>
      <c r="P930" s="1" t="str">
        <f>IFERROR(__xludf.DUMMYFUNCTION("""COMPUTED_VALUE"""),"LOWPLAN")</f>
        <v>LOWPLAN</v>
      </c>
      <c r="Q930" s="1" t="str">
        <f>IFERROR(__xludf.DUMMYFUNCTION("""COMPUTED_VALUE"""),"P407561")</f>
        <v>P407561</v>
      </c>
      <c r="R930" s="1" t="str">
        <f>IFERROR(__xludf.DUMMYFUNCTION("""COMPUTED_VALUE"""),"TAMAYO, MARY ROSE ZAIRA")</f>
        <v>TAMAYO, MARY ROSE ZAIRA</v>
      </c>
      <c r="S930" s="1" t="str">
        <f>IFERROR(__xludf.DUMMYFUNCTION("""COMPUTED_VALUE"""),"ORGANIC")</f>
        <v>ORGANIC</v>
      </c>
      <c r="T930" s="1" t="str">
        <f>IFERROR(__xludf.DUMMYFUNCTION("""COMPUTED_VALUE"""),"LEA REMOLLO")</f>
        <v>LEA REMOLLO</v>
      </c>
      <c r="U930" s="1" t="str">
        <f>IFERROR(__xludf.DUMMYFUNCTION("""COMPUTED_VALUE"""),"JULIE ESPIRITU")</f>
        <v>JULIE ESPIRITU</v>
      </c>
      <c r="V930" s="1" t="str">
        <f>IFERROR(__xludf.DUMMYFUNCTION("""COMPUTED_VALUE"""),"BK REGULAR")</f>
        <v>BK REGULAR</v>
      </c>
      <c r="W930" s="1" t="str">
        <f>IFERROR(__xludf.DUMMYFUNCTION("""COMPUTED_VALUE"""),"STK REGULAR")</f>
        <v>STK REGULAR</v>
      </c>
      <c r="X930" s="1" t="str">
        <f>IFERROR(__xludf.DUMMYFUNCTION("""COMPUTED_VALUE"""),"REGULAR")</f>
        <v>REGULAR</v>
      </c>
      <c r="Y930" s="1" t="str">
        <f>IFERROR(__xludf.DUMMYFUNCTION("""COMPUTED_VALUE"""),"BK_CVEU_261006")</f>
        <v>BK_CVEU_261006</v>
      </c>
      <c r="Z930" s="1" t="str">
        <f>IFERROR(__xludf.DUMMYFUNCTION("""COMPUTED_VALUE"""),"NEW CONNECT")</f>
        <v>NEW CONNECT</v>
      </c>
      <c r="AA930" s="1">
        <f>IFERROR(__xludf.DUMMYFUNCTION("""COMPUTED_VALUE"""),639560985705)</f>
        <v>639560985705</v>
      </c>
      <c r="AB930" s="1"/>
      <c r="AC930" s="1">
        <f>IFERROR(__xludf.DUMMYFUNCTION("""COMPUTED_VALUE"""),18)</f>
        <v>18</v>
      </c>
      <c r="AD930" s="1" t="str">
        <f>IFERROR(__xludf.DUMMYFUNCTION("""COMPUTED_VALUE"""),"BUHO")</f>
        <v>BUHO</v>
      </c>
      <c r="AE930" s="1"/>
      <c r="AF930" s="1" t="str">
        <f>IFERROR(__xludf.DUMMYFUNCTION("""COMPUTED_VALUE"""),"BGY BUHO")</f>
        <v>BGY BUHO</v>
      </c>
      <c r="AG930" s="1" t="str">
        <f>IFERROR(__xludf.DUMMYFUNCTION("""COMPUTED_VALUE"""),"SILANG")</f>
        <v>SILANG</v>
      </c>
      <c r="AH930" s="1"/>
      <c r="AI930" s="1" t="str">
        <f>IFERROR(__xludf.DUMMYFUNCTION("""COMPUTED_VALUE"""),"CLUSTER 11")</f>
        <v>CLUSTER 11</v>
      </c>
    </row>
    <row r="931" customHeight="1" spans="1:35">
      <c r="A931" s="3">
        <f>IFERROR(__xludf.DUMMYFUNCTION("""COMPUTED_VALUE"""),46303)</f>
        <v>46303</v>
      </c>
      <c r="B931" s="1" t="str">
        <f>IFERROR(__xludf.DUMMYFUNCTION("""COMPUTED_VALUE""")," VINCENT ZABALA VALLE")</f>
        <v> VINCENT ZABALA VALLE</v>
      </c>
      <c r="C931" s="1">
        <f>IFERROR(__xludf.DUMMYFUNCTION("""COMPUTED_VALUE"""),2313049335)</f>
        <v>2313049335</v>
      </c>
      <c r="D931" s="1"/>
      <c r="E931" s="1"/>
      <c r="F931" s="1" t="str">
        <f>IFERROR(__xludf.DUMMYFUNCTION("""COMPUTED_VALUE"""),"CANCELLED")</f>
        <v>CANCELLED</v>
      </c>
      <c r="G931" s="1" t="str">
        <f>IFERROR(__xludf.DUMMYFUNCTION("""COMPUTED_VALUE"""),"CANCELLED")</f>
        <v>CANCELLED</v>
      </c>
      <c r="H931" s="1"/>
      <c r="I931" s="1"/>
      <c r="J931" s="1"/>
      <c r="K931" s="1"/>
      <c r="L931" s="1" t="str">
        <f>IFERROR(__xludf.DUMMYFUNCTION("""COMPUTED_VALUE"""),"CANCELLED - WITH OB")</f>
        <v>CANCELLED - WITH OB</v>
      </c>
      <c r="M931" s="1" t="str">
        <f>IFERROR(__xludf.DUMMYFUNCTION("""COMPUTED_VALUE"""),"CANCELLED - WITH OB")</f>
        <v>CANCELLED - WITH OB</v>
      </c>
      <c r="N931" s="3"/>
      <c r="O931" s="1" t="str">
        <f>IFERROR(__xludf.DUMMYFUNCTION("""COMPUTED_VALUE"""),"FIBR PLAN 1299")</f>
        <v>FIBR PLAN 1299</v>
      </c>
      <c r="P931" s="1" t="str">
        <f>IFERROR(__xludf.DUMMYFUNCTION("""COMPUTED_VALUE"""),"LOWPLAN")</f>
        <v>LOWPLAN</v>
      </c>
      <c r="Q931" s="1" t="str">
        <f>IFERROR(__xludf.DUMMYFUNCTION("""COMPUTED_VALUE"""),"P407566 ")</f>
        <v>P407566 </v>
      </c>
      <c r="R931" s="1" t="str">
        <f>IFERROR(__xludf.DUMMYFUNCTION("""COMPUTED_VALUE"""),"DENACO, RODNEY")</f>
        <v>DENACO, RODNEY</v>
      </c>
      <c r="S931" s="1" t="str">
        <f>IFERROR(__xludf.DUMMYFUNCTION("""COMPUTED_VALUE"""),"ORGANIC")</f>
        <v>ORGANIC</v>
      </c>
      <c r="T931" s="1" t="str">
        <f>IFERROR(__xludf.DUMMYFUNCTION("""COMPUTED_VALUE"""),"LEA REMOLLO")</f>
        <v>LEA REMOLLO</v>
      </c>
      <c r="U931" s="1" t="str">
        <f>IFERROR(__xludf.DUMMYFUNCTION("""COMPUTED_VALUE"""),"JULIE ESPIRITU")</f>
        <v>JULIE ESPIRITU</v>
      </c>
      <c r="V931" s="1" t="str">
        <f>IFERROR(__xludf.DUMMYFUNCTION("""COMPUTED_VALUE"""),"BK REGULAR")</f>
        <v>BK REGULAR</v>
      </c>
      <c r="W931" s="1" t="str">
        <f>IFERROR(__xludf.DUMMYFUNCTION("""COMPUTED_VALUE"""),"STK REGULAR")</f>
        <v>STK REGULAR</v>
      </c>
      <c r="X931" s="1" t="str">
        <f>IFERROR(__xludf.DUMMYFUNCTION("""COMPUTED_VALUE"""),"REGULAR")</f>
        <v>REGULAR</v>
      </c>
      <c r="Y931" s="1" t="str">
        <f>IFERROR(__xludf.DUMMYFUNCTION("""COMPUTED_VALUE"""),"BK_CVEU_261006")</f>
        <v>BK_CVEU_261006</v>
      </c>
      <c r="Z931" s="1" t="str">
        <f>IFERROR(__xludf.DUMMYFUNCTION("""COMPUTED_VALUE"""),"NEW CONNECT")</f>
        <v>NEW CONNECT</v>
      </c>
      <c r="AA931" s="1">
        <f>IFERROR(__xludf.DUMMYFUNCTION("""COMPUTED_VALUE"""),639459614924)</f>
        <v>639459614924</v>
      </c>
      <c r="AB931" s="1"/>
      <c r="AC931" s="1"/>
      <c r="AD931" s="1" t="str">
        <f>IFERROR(__xludf.DUMMYFUNCTION("""COMPUTED_VALUE"""),"BUKLURAN 1")</f>
        <v>BUKLURAN 1</v>
      </c>
      <c r="AE931" s="1" t="str">
        <f>IFERROR(__xludf.DUMMYFUNCTION("""COMPUTED_VALUE"""),"BUKLURAN 1")</f>
        <v>BUKLURAN 1</v>
      </c>
      <c r="AF931" s="1" t="str">
        <f>IFERROR(__xludf.DUMMYFUNCTION("""COMPUTED_VALUE"""),"BGY BULIHAN")</f>
        <v>BGY BULIHAN</v>
      </c>
      <c r="AG931" s="1" t="str">
        <f>IFERROR(__xludf.DUMMYFUNCTION("""COMPUTED_VALUE"""),"SILANG")</f>
        <v>SILANG</v>
      </c>
      <c r="AH931" s="1" t="str">
        <f>IFERROR(__xludf.DUMMYFUNCTION("""COMPUTED_VALUE"""),"MCDO BULIHAN")</f>
        <v>MCDO BULIHAN</v>
      </c>
      <c r="AI931" s="1" t="str">
        <f>IFERROR(__xludf.DUMMYFUNCTION("""COMPUTED_VALUE"""),"CLUSTER 11")</f>
        <v>CLUSTER 11</v>
      </c>
    </row>
    <row r="932" customHeight="1" spans="1:35">
      <c r="A932" s="3">
        <f>IFERROR(__xludf.DUMMYFUNCTION("""COMPUTED_VALUE"""),46303)</f>
        <v>46303</v>
      </c>
      <c r="B932" s="1" t="str">
        <f>IFERROR(__xludf.DUMMYFUNCTION("""COMPUTED_VALUE""")," CARMENCITA UMBAL LOPENA")</f>
        <v> CARMENCITA UMBAL LOPENA</v>
      </c>
      <c r="C932" s="1">
        <f>IFERROR(__xludf.DUMMYFUNCTION("""COMPUTED_VALUE"""),2313049513)</f>
        <v>2313049513</v>
      </c>
      <c r="D932" s="1"/>
      <c r="E932" s="1"/>
      <c r="F932" s="1" t="str">
        <f>IFERROR(__xludf.DUMMYFUNCTION("""COMPUTED_VALUE"""),"CANCELLED")</f>
        <v>CANCELLED</v>
      </c>
      <c r="G932" s="1" t="str">
        <f>IFERROR(__xludf.DUMMYFUNCTION("""COMPUTED_VALUE"""),"CANCELLED")</f>
        <v>CANCELLED</v>
      </c>
      <c r="H932" s="1"/>
      <c r="I932" s="1"/>
      <c r="J932" s="1"/>
      <c r="K932" s="1"/>
      <c r="L932" s="1" t="str">
        <f>IFERROR(__xludf.DUMMYFUNCTION("""COMPUTED_VALUE"""),"CANCELLED - WITH OB")</f>
        <v>CANCELLED - WITH OB</v>
      </c>
      <c r="M932" s="1" t="str">
        <f>IFERROR(__xludf.DUMMYFUNCTION("""COMPUTED_VALUE"""),"CANCELLED - WITH OB")</f>
        <v>CANCELLED - WITH OB</v>
      </c>
      <c r="N932" s="3"/>
      <c r="O932" s="1" t="str">
        <f>IFERROR(__xludf.DUMMYFUNCTION("""COMPUTED_VALUE"""),"FIBR PLAN 1299")</f>
        <v>FIBR PLAN 1299</v>
      </c>
      <c r="P932" s="1" t="str">
        <f>IFERROR(__xludf.DUMMYFUNCTION("""COMPUTED_VALUE"""),"LOWPLAN")</f>
        <v>LOWPLAN</v>
      </c>
      <c r="Q932" s="1" t="str">
        <f>IFERROR(__xludf.DUMMYFUNCTION("""COMPUTED_VALUE"""),"P407566 ")</f>
        <v>P407566 </v>
      </c>
      <c r="R932" s="1" t="str">
        <f>IFERROR(__xludf.DUMMYFUNCTION("""COMPUTED_VALUE"""),"DENACO, RODNEY")</f>
        <v>DENACO, RODNEY</v>
      </c>
      <c r="S932" s="1" t="str">
        <f>IFERROR(__xludf.DUMMYFUNCTION("""COMPUTED_VALUE"""),"ORGANIC")</f>
        <v>ORGANIC</v>
      </c>
      <c r="T932" s="1" t="str">
        <f>IFERROR(__xludf.DUMMYFUNCTION("""COMPUTED_VALUE"""),"LEA REMOLLO")</f>
        <v>LEA REMOLLO</v>
      </c>
      <c r="U932" s="1" t="str">
        <f>IFERROR(__xludf.DUMMYFUNCTION("""COMPUTED_VALUE"""),"JULIE ESPIRITU")</f>
        <v>JULIE ESPIRITU</v>
      </c>
      <c r="V932" s="1" t="str">
        <f>IFERROR(__xludf.DUMMYFUNCTION("""COMPUTED_VALUE"""),"BK REGULAR")</f>
        <v>BK REGULAR</v>
      </c>
      <c r="W932" s="1" t="str">
        <f>IFERROR(__xludf.DUMMYFUNCTION("""COMPUTED_VALUE"""),"STK REGULAR")</f>
        <v>STK REGULAR</v>
      </c>
      <c r="X932" s="1" t="str">
        <f>IFERROR(__xludf.DUMMYFUNCTION("""COMPUTED_VALUE"""),"REGULAR")</f>
        <v>REGULAR</v>
      </c>
      <c r="Y932" s="1" t="str">
        <f>IFERROR(__xludf.DUMMYFUNCTION("""COMPUTED_VALUE"""),"BK_CVEU_261001")</f>
        <v>BK_CVEU_261001</v>
      </c>
      <c r="Z932" s="1" t="str">
        <f>IFERROR(__xludf.DUMMYFUNCTION("""COMPUTED_VALUE"""),"NEW CONNECT")</f>
        <v>NEW CONNECT</v>
      </c>
      <c r="AA932" s="1">
        <f>IFERROR(__xludf.DUMMYFUNCTION("""COMPUTED_VALUE"""),639214938990)</f>
        <v>639214938990</v>
      </c>
      <c r="AB932" s="1"/>
      <c r="AC932" s="1">
        <f>IFERROR(__xludf.DUMMYFUNCTION("""COMPUTED_VALUE"""),2007)</f>
        <v>2007</v>
      </c>
      <c r="AD932" s="1" t="str">
        <f>IFERROR(__xludf.DUMMYFUNCTION("""COMPUTED_VALUE"""),"KAYSUYO")</f>
        <v>KAYSUYO</v>
      </c>
      <c r="AE932" s="1"/>
      <c r="AF932" s="1" t="str">
        <f>IFERROR(__xludf.DUMMYFUNCTION("""COMPUTED_VALUE"""),"BGY KAYSUYO")</f>
        <v>BGY KAYSUYO</v>
      </c>
      <c r="AG932" s="1" t="str">
        <f>IFERROR(__xludf.DUMMYFUNCTION("""COMPUTED_VALUE"""),"ALFONSO")</f>
        <v>ALFONSO</v>
      </c>
      <c r="AH932" s="1"/>
      <c r="AI932" s="1" t="str">
        <f>IFERROR(__xludf.DUMMYFUNCTION("""COMPUTED_VALUE"""),"CLUSTER 12")</f>
        <v>CLUSTER 12</v>
      </c>
    </row>
    <row r="933" customHeight="1" spans="1:35">
      <c r="A933" s="3">
        <f>IFERROR(__xludf.DUMMYFUNCTION("""COMPUTED_VALUE"""),46303)</f>
        <v>46303</v>
      </c>
      <c r="B933" s="1" t="str">
        <f>IFERROR(__xludf.DUMMYFUNCTION("""COMPUTED_VALUE""")," CRESENCIANO JR DACILLO NAPARATO")</f>
        <v> CRESENCIANO JR DACILLO NAPARATO</v>
      </c>
      <c r="C933" s="1">
        <f>IFERROR(__xludf.DUMMYFUNCTION("""COMPUTED_VALUE"""),2313049709)</f>
        <v>2313049709</v>
      </c>
      <c r="D933" s="1"/>
      <c r="E933" s="1"/>
      <c r="F933" s="1" t="str">
        <f>IFERROR(__xludf.DUMMYFUNCTION("""COMPUTED_VALUE"""),"CANCELLED")</f>
        <v>CANCELLED</v>
      </c>
      <c r="G933" s="1" t="str">
        <f>IFERROR(__xludf.DUMMYFUNCTION("""COMPUTED_VALUE"""),"CANCELLED")</f>
        <v>CANCELLED</v>
      </c>
      <c r="H933" s="1"/>
      <c r="I933" s="1"/>
      <c r="J933" s="1"/>
      <c r="K933" s="1"/>
      <c r="L933" s="1" t="str">
        <f>IFERROR(__xludf.DUMMYFUNCTION("""COMPUTED_VALUE"""),"CANCELLED - WITH OB")</f>
        <v>CANCELLED - WITH OB</v>
      </c>
      <c r="M933" s="1" t="str">
        <f>IFERROR(__xludf.DUMMYFUNCTION("""COMPUTED_VALUE"""),"CANCELLED - WITH OB")</f>
        <v>CANCELLED - WITH OB</v>
      </c>
      <c r="N933" s="3"/>
      <c r="O933" s="1" t="str">
        <f>IFERROR(__xludf.DUMMYFUNCTION("""COMPUTED_VALUE"""),"FIBR PLAN 1299")</f>
        <v>FIBR PLAN 1299</v>
      </c>
      <c r="P933" s="1" t="str">
        <f>IFERROR(__xludf.DUMMYFUNCTION("""COMPUTED_VALUE"""),"LOWPLAN")</f>
        <v>LOWPLAN</v>
      </c>
      <c r="Q933" s="1" t="str">
        <f>IFERROR(__xludf.DUMMYFUNCTION("""COMPUTED_VALUE"""),"P407566 ")</f>
        <v>P407566 </v>
      </c>
      <c r="R933" s="1" t="str">
        <f>IFERROR(__xludf.DUMMYFUNCTION("""COMPUTED_VALUE"""),"DENACO, RODNEY")</f>
        <v>DENACO, RODNEY</v>
      </c>
      <c r="S933" s="1" t="str">
        <f>IFERROR(__xludf.DUMMYFUNCTION("""COMPUTED_VALUE"""),"ORGANIC")</f>
        <v>ORGANIC</v>
      </c>
      <c r="T933" s="1" t="str">
        <f>IFERROR(__xludf.DUMMYFUNCTION("""COMPUTED_VALUE"""),"LEA REMOLLO")</f>
        <v>LEA REMOLLO</v>
      </c>
      <c r="U933" s="1" t="str">
        <f>IFERROR(__xludf.DUMMYFUNCTION("""COMPUTED_VALUE"""),"JULIE ESPIRITU")</f>
        <v>JULIE ESPIRITU</v>
      </c>
      <c r="V933" s="1" t="str">
        <f>IFERROR(__xludf.DUMMYFUNCTION("""COMPUTED_VALUE"""),"BK REGULAR")</f>
        <v>BK REGULAR</v>
      </c>
      <c r="W933" s="1" t="str">
        <f>IFERROR(__xludf.DUMMYFUNCTION("""COMPUTED_VALUE"""),"STK REGULAR")</f>
        <v>STK REGULAR</v>
      </c>
      <c r="X933" s="1" t="str">
        <f>IFERROR(__xludf.DUMMYFUNCTION("""COMPUTED_VALUE"""),"REGULAR")</f>
        <v>REGULAR</v>
      </c>
      <c r="Y933" s="1" t="str">
        <f>IFERROR(__xludf.DUMMYFUNCTION("""COMPUTED_VALUE"""),"BK_CVEU_261004")</f>
        <v>BK_CVEU_261004</v>
      </c>
      <c r="Z933" s="1" t="str">
        <f>IFERROR(__xludf.DUMMYFUNCTION("""COMPUTED_VALUE"""),"NEW CONNECT")</f>
        <v>NEW CONNECT</v>
      </c>
      <c r="AA933" s="1">
        <f>IFERROR(__xludf.DUMMYFUNCTION("""COMPUTED_VALUE"""),639304304994)</f>
        <v>639304304994</v>
      </c>
      <c r="AB933" s="1"/>
      <c r="AC933" s="1"/>
      <c r="AD933" s="1" t="str">
        <f>IFERROR(__xludf.DUMMYFUNCTION("""COMPUTED_VALUE"""),"COL J P ELISES")</f>
        <v>COL J P ELISES</v>
      </c>
      <c r="AE933" s="1"/>
      <c r="AF933" s="1" t="str">
        <f>IFERROR(__xludf.DUMMYFUNCTION("""COMPUTED_VALUE"""),"BGY COL J P ELISES")</f>
        <v>BGY COL J P ELISES</v>
      </c>
      <c r="AG933" s="1" t="str">
        <f>IFERROR(__xludf.DUMMYFUNCTION("""COMPUTED_VALUE"""),"GEN MARIANO ALVAREZ")</f>
        <v>GEN MARIANO ALVAREZ</v>
      </c>
      <c r="AH933" s="1"/>
      <c r="AI933" s="1" t="str">
        <f>IFERROR(__xludf.DUMMYFUNCTION("""COMPUTED_VALUE"""),"CLUSTER 11")</f>
        <v>CLUSTER 11</v>
      </c>
    </row>
    <row r="934" customHeight="1" spans="1:35">
      <c r="A934" s="3">
        <f>IFERROR(__xludf.DUMMYFUNCTION("""COMPUTED_VALUE"""),46303)</f>
        <v>46303</v>
      </c>
      <c r="B934" s="1" t="str">
        <f>IFERROR(__xludf.DUMMYFUNCTION("""COMPUTED_VALUE""")," JENNYLYN JOY VERGARA OLFATO")</f>
        <v> JENNYLYN JOY VERGARA OLFATO</v>
      </c>
      <c r="C934" s="1">
        <f>IFERROR(__xludf.DUMMYFUNCTION("""COMPUTED_VALUE"""),2313050130)</f>
        <v>2313050130</v>
      </c>
      <c r="D934" s="1">
        <f>IFERROR(__xludf.DUMMYFUNCTION("""COMPUTED_VALUE"""),408827035)</f>
        <v>408827035</v>
      </c>
      <c r="E934" s="1">
        <f>IFERROR(__xludf.DUMMYFUNCTION("""COMPUTED_VALUE"""),474894189004)</f>
        <v>474894189004</v>
      </c>
      <c r="F934" s="1" t="str">
        <f>IFERROR(__xludf.DUMMYFUNCTION("""COMPUTED_VALUE"""),"FOR CANCELLATION")</f>
        <v>FOR CANCELLATION</v>
      </c>
      <c r="G934" s="1" t="str">
        <f>IFERROR(__xludf.DUMMYFUNCTION("""COMPUTED_VALUE"""),"FOR CANCELLATION")</f>
        <v>FOR CANCELLATION</v>
      </c>
      <c r="H934" s="1" t="str">
        <f>IFERROR(__xludf.DUMMYFUNCTION("""COMPUTED_VALUE"""),"FOR CANCELLATION- TALKED TO SOR AYAW NA DAW NG ASAWA NYA")</f>
        <v>FOR CANCELLATION- TALKED TO SOR AYAW NA DAW NG ASAWA NYA</v>
      </c>
      <c r="I934" s="1"/>
      <c r="J934" s="1"/>
      <c r="K934" s="1" t="str">
        <f>IFERROR(__xludf.DUMMYFUNCTION("""COMPUTED_VALUE"""),"NOT IN OFSC")</f>
        <v>NOT IN OFSC</v>
      </c>
      <c r="L934" s="1" t="str">
        <f>IFERROR(__xludf.DUMMYFUNCTION("""COMPUTED_VALUE"""),"FOR PAYMENT")</f>
        <v>FOR PAYMENT</v>
      </c>
      <c r="M934" s="1" t="str">
        <f>IFERROR(__xludf.DUMMYFUNCTION("""COMPUTED_VALUE"""),"FOR CANCELLATION - NON COMPLIANCE - NO PAYMENT")</f>
        <v>FOR CANCELLATION - NON COMPLIANCE - NO PAYMENT</v>
      </c>
      <c r="N934" s="3"/>
      <c r="O934" s="1" t="str">
        <f>IFERROR(__xludf.DUMMYFUNCTION("""COMPUTED_VALUE"""),"FIBER UNLI PLAN 1399")</f>
        <v>FIBER UNLI PLAN 1399</v>
      </c>
      <c r="P934" s="1" t="str">
        <f>IFERROR(__xludf.DUMMYFUNCTION("""COMPUTED_VALUE"""),"LOWPLAN")</f>
        <v>LOWPLAN</v>
      </c>
      <c r="Q934" s="1" t="str">
        <f>IFERROR(__xludf.DUMMYFUNCTION("""COMPUTED_VALUE"""),"P407560 ")</f>
        <v>P407560 </v>
      </c>
      <c r="R934" s="1" t="str">
        <f>IFERROR(__xludf.DUMMYFUNCTION("""COMPUTED_VALUE"""),"LABONG, AJAY")</f>
        <v>LABONG, AJAY</v>
      </c>
      <c r="S934" s="1" t="str">
        <f>IFERROR(__xludf.DUMMYFUNCTION("""COMPUTED_VALUE"""),"ORGANIC")</f>
        <v>ORGANIC</v>
      </c>
      <c r="T934" s="1" t="str">
        <f>IFERROR(__xludf.DUMMYFUNCTION("""COMPUTED_VALUE"""),"LEA REMOLLO")</f>
        <v>LEA REMOLLO</v>
      </c>
      <c r="U934" s="1" t="str">
        <f>IFERROR(__xludf.DUMMYFUNCTION("""COMPUTED_VALUE"""),"JULIE ESPIRITU")</f>
        <v>JULIE ESPIRITU</v>
      </c>
      <c r="V934" s="1" t="str">
        <f>IFERROR(__xludf.DUMMYFUNCTION("""COMPUTED_VALUE"""),"BK REGULAR")</f>
        <v>BK REGULAR</v>
      </c>
      <c r="W934" s="1" t="str">
        <f>IFERROR(__xludf.DUMMYFUNCTION("""COMPUTED_VALUE"""),"STK REGULAR")</f>
        <v>STK REGULAR</v>
      </c>
      <c r="X934" s="1" t="str">
        <f>IFERROR(__xludf.DUMMYFUNCTION("""COMPUTED_VALUE"""),"FIBER 1399 98TH YR")</f>
        <v>FIBER 1399 98TH YR</v>
      </c>
      <c r="Y934" s="1" t="str">
        <f>IFERROR(__xludf.DUMMYFUNCTION("""COMPUTED_VALUE"""),"BK_CVEU_261004")</f>
        <v>BK_CVEU_261004</v>
      </c>
      <c r="Z934" s="1" t="str">
        <f>IFERROR(__xludf.DUMMYFUNCTION("""COMPUTED_VALUE"""),"NEW CONNECT")</f>
        <v>NEW CONNECT</v>
      </c>
      <c r="AA934" s="1">
        <f>IFERROR(__xludf.DUMMYFUNCTION("""COMPUTED_VALUE"""),639853693875)</f>
        <v>639853693875</v>
      </c>
      <c r="AB934" s="1"/>
      <c r="AC934" s="1"/>
      <c r="AD934" s="1" t="str">
        <f>IFERROR(__xludf.DUMMYFUNCTION("""COMPUTED_VALUE"""),"SAN ISIDRO")</f>
        <v>SAN ISIDRO</v>
      </c>
      <c r="AE934" s="1"/>
      <c r="AF934" s="1" t="str">
        <f>IFERROR(__xludf.DUMMYFUNCTION("""COMPUTED_VALUE"""),"BGY SAN GABRIEL")</f>
        <v>BGY SAN GABRIEL</v>
      </c>
      <c r="AG934" s="1" t="str">
        <f>IFERROR(__xludf.DUMMYFUNCTION("""COMPUTED_VALUE"""),"GEN MARIANO ALVAREZ")</f>
        <v>GEN MARIANO ALVAREZ</v>
      </c>
      <c r="AH934" s="1" t="str">
        <f>IFERROR(__xludf.DUMMYFUNCTION("""COMPUTED_VALUE"""),"PUREGOLD")</f>
        <v>PUREGOLD</v>
      </c>
      <c r="AI934" s="1" t="str">
        <f>IFERROR(__xludf.DUMMYFUNCTION("""COMPUTED_VALUE"""),"CLUSTER 11")</f>
        <v>CLUSTER 11</v>
      </c>
    </row>
    <row r="935" customHeight="1" spans="1:35">
      <c r="A935" s="3">
        <f>IFERROR(__xludf.DUMMYFUNCTION("""COMPUTED_VALUE"""),46304)</f>
        <v>46304</v>
      </c>
      <c r="B935" s="1" t="str">
        <f>IFERROR(__xludf.DUMMYFUNCTION("""COMPUTED_VALUE"""),"WEBSTER ALVAREZ GARCIA")</f>
        <v>WEBSTER ALVAREZ GARCIA</v>
      </c>
      <c r="C935" s="1">
        <f>IFERROR(__xludf.DUMMYFUNCTION("""COMPUTED_VALUE"""),2313059394)</f>
        <v>2313059394</v>
      </c>
      <c r="D935" s="1">
        <f>IFERROR(__xludf.DUMMYFUNCTION("""COMPUTED_VALUE"""),408807689)</f>
        <v>408807689</v>
      </c>
      <c r="E935" s="1">
        <f>IFERROR(__xludf.DUMMYFUNCTION("""COMPUTED_VALUE"""),474875363004)</f>
        <v>474875363004</v>
      </c>
      <c r="F935" s="1" t="str">
        <f>IFERROR(__xludf.DUMMYFUNCTION("""COMPUTED_VALUE"""),"CANCELED")</f>
        <v>CANCELED</v>
      </c>
      <c r="G935" s="1" t="str">
        <f>IFERROR(__xludf.DUMMYFUNCTION("""COMPUTED_VALUE"""),"VISITED REMAKRS   SUBS REQUEST FOR CANCEL APPLICATION DUE TO FINANCIAL PROBLEM  SHORT YUNG PANG BAYAD NI SUBS SA BILL  AT MANGANGANAK YUNG ASAWA NI SUBS TALK MARY JOY GARCIA   ASAWA   09484262579")</f>
        <v>VISITED REMAKRS   SUBS REQUEST FOR CANCEL APPLICATION DUE TO FINANCIAL PROBLEM  SHORT YUNG PANG BAYAD NI SUBS SA BILL  AT MANGANGANAK YUNG ASAWA NI SUBS TALK MARY JOY GARCIA   ASAWA   09484262579</v>
      </c>
      <c r="H935" s="1"/>
      <c r="I935" s="1"/>
      <c r="J935" s="1"/>
      <c r="K935" s="1" t="str">
        <f>IFERROR(__xludf.DUMMYFUNCTION("""COMPUTED_VALUE"""),"CANCELED")</f>
        <v>CANCELED</v>
      </c>
      <c r="L935" s="1" t="str">
        <f>IFERROR(__xludf.DUMMYFUNCTION("""COMPUTED_VALUE"""),"RPR - SUBS CANCEL REQUEST")</f>
        <v>RPR - SUBS CANCEL REQUEST</v>
      </c>
      <c r="M935" s="1" t="str">
        <f>IFERROR(__xludf.DUMMYFUNCTION("""COMPUTED_VALUE"""),"RPR- SUBS CANCEL REQUEST")</f>
        <v>RPR- SUBS CANCEL REQUEST</v>
      </c>
      <c r="N935" s="3"/>
      <c r="O935" s="1" t="str">
        <f>IFERROR(__xludf.DUMMYFUNCTION("""COMPUTED_VALUE"""),"FIBER UNLI ALL PLAN 1499")</f>
        <v>FIBER UNLI ALL PLAN 1499</v>
      </c>
      <c r="P935" s="1" t="str">
        <f>IFERROR(__xludf.DUMMYFUNCTION("""COMPUTED_VALUE"""),"LOWPLAN")</f>
        <v>LOWPLAN</v>
      </c>
      <c r="Q935" s="1" t="str">
        <f>IFERROR(__xludf.DUMMYFUNCTION("""COMPUTED_VALUE"""),"P407517")</f>
        <v>P407517</v>
      </c>
      <c r="R935" s="1" t="str">
        <f>IFERROR(__xludf.DUMMYFUNCTION("""COMPUTED_VALUE"""),"GABAY, MANUEL")</f>
        <v>GABAY, MANUEL</v>
      </c>
      <c r="S935" s="1" t="str">
        <f>IFERROR(__xludf.DUMMYFUNCTION("""COMPUTED_VALUE"""),"FLA")</f>
        <v>FLA</v>
      </c>
      <c r="T935" s="1" t="str">
        <f>IFERROR(__xludf.DUMMYFUNCTION("""COMPUTED_VALUE"""),"JERIC NAVARRO")</f>
        <v>JERIC NAVARRO</v>
      </c>
      <c r="U935" s="1" t="str">
        <f>IFERROR(__xludf.DUMMYFUNCTION("""COMPUTED_VALUE"""),"JB SALIOA")</f>
        <v>JB SALIOA</v>
      </c>
      <c r="V935" s="1" t="str">
        <f>IFERROR(__xludf.DUMMYFUNCTION("""COMPUTED_VALUE"""),"BK HSTK")</f>
        <v>BK HSTK</v>
      </c>
      <c r="W935" s="1" t="str">
        <f>IFERROR(__xludf.DUMMYFUNCTION("""COMPUTED_VALUE"""),"BK HSTK")</f>
        <v>BK HSTK</v>
      </c>
      <c r="X935" s="1" t="str">
        <f>IFERROR(__xludf.DUMMYFUNCTION("""COMPUTED_VALUE"""),"REGULAR")</f>
        <v>REGULAR</v>
      </c>
      <c r="Y935" s="1" t="str">
        <f>IFERROR(__xludf.DUMMYFUNCTION("""COMPUTED_VALUE"""),"BK_CVEU_261004")</f>
        <v>BK_CVEU_261004</v>
      </c>
      <c r="Z935" s="1" t="str">
        <f>IFERROR(__xludf.DUMMYFUNCTION("""COMPUTED_VALUE"""),"NEW CONNECT")</f>
        <v>NEW CONNECT</v>
      </c>
      <c r="AA935" s="1">
        <f>IFERROR(__xludf.DUMMYFUNCTION("""COMPUTED_VALUE"""),639484262579)</f>
        <v>639484262579</v>
      </c>
      <c r="AB935" s="1"/>
      <c r="AC935" s="1">
        <f>IFERROR(__xludf.DUMMYFUNCTION("""COMPUTED_VALUE"""),458)</f>
        <v>458</v>
      </c>
      <c r="AD935" s="1" t="str">
        <f>IFERROR(__xludf.DUMMYFUNCTION("""COMPUTED_VALUE"""),"PINK")</f>
        <v>PINK</v>
      </c>
      <c r="AE935" s="1"/>
      <c r="AF935" s="1" t="str">
        <f>IFERROR(__xludf.DUMMYFUNCTION("""COMPUTED_VALUE"""),"BGY NICOLASA VIRATA")</f>
        <v>BGY NICOLASA VIRATA</v>
      </c>
      <c r="AG935" s="1" t="str">
        <f>IFERROR(__xludf.DUMMYFUNCTION("""COMPUTED_VALUE"""),"GEN MARIANO ALVAREZ")</f>
        <v>GEN MARIANO ALVAREZ</v>
      </c>
      <c r="AH935" s="1" t="str">
        <f>IFERROR(__xludf.DUMMYFUNCTION("""COMPUTED_VALUE"""),"-")</f>
        <v>-</v>
      </c>
      <c r="AI935" s="1" t="str">
        <f>IFERROR(__xludf.DUMMYFUNCTION("""COMPUTED_VALUE"""),"CLUSTER 11")</f>
        <v>CLUSTER 11</v>
      </c>
    </row>
    <row r="936" customHeight="1" spans="1:35">
      <c r="A936" s="3">
        <f>IFERROR(__xludf.DUMMYFUNCTION("""COMPUTED_VALUE"""),46304)</f>
        <v>46304</v>
      </c>
      <c r="B936" s="1" t="str">
        <f>IFERROR(__xludf.DUMMYFUNCTION("""COMPUTED_VALUE"""),"RHINA ANGCAYA DE PADUA")</f>
        <v>RHINA ANGCAYA DE PADUA</v>
      </c>
      <c r="C936" s="1">
        <f>IFERROR(__xludf.DUMMYFUNCTION("""COMPUTED_VALUE"""),2313060474)</f>
        <v>2313060474</v>
      </c>
      <c r="D936" s="1">
        <f>IFERROR(__xludf.DUMMYFUNCTION("""COMPUTED_VALUE"""),408809894)</f>
        <v>408809894</v>
      </c>
      <c r="E936" s="1">
        <f>IFERROR(__xludf.DUMMYFUNCTION("""COMPUTED_VALUE"""),474877958004)</f>
        <v>474877958004</v>
      </c>
      <c r="F936" s="1" t="str">
        <f>IFERROR(__xludf.DUMMYFUNCTION("""COMPUTED_VALUE"""),"CLOSED")</f>
        <v>CLOSED</v>
      </c>
      <c r="G936" s="1" t="str">
        <f>IFERROR(__xludf.DUMMYFUNCTION("""COMPUTED_VALUE"""),"CLOSED")</f>
        <v>CLOSED</v>
      </c>
      <c r="H936" s="1" t="str">
        <f>IFERROR(__xludf.DUMMYFUNCTION("""COMPUTED_VALUE"""),"PAID VIA GACSH REF 012294930 OCT 11")</f>
        <v>PAID VIA GACSH REF 012294930 OCT 11</v>
      </c>
      <c r="I936" s="1" t="str">
        <f>IFERROR(__xludf.DUMMYFUNCTION("""COMPUTED_VALUE"""),"WITH 1 AMSF")</f>
        <v>WITH 1 AMSF</v>
      </c>
      <c r="J936" s="1"/>
      <c r="K936" s="1" t="str">
        <f>IFERROR(__xludf.DUMMYFUNCTION("""COMPUTED_VALUE"""),"COMPLETED")</f>
        <v>COMPLETED</v>
      </c>
      <c r="L936" s="1" t="str">
        <f>IFERROR(__xludf.DUMMYFUNCTION("""COMPUTED_VALUE"""),"POSTED")</f>
        <v>POSTED</v>
      </c>
      <c r="M936" s="1" t="str">
        <f>IFERROR(__xludf.DUMMYFUNCTION("""COMPUTED_VALUE"""),"POSTED")</f>
        <v>POSTED</v>
      </c>
      <c r="N936" s="3">
        <f>IFERROR(__xludf.DUMMYFUNCTION("""COMPUTED_VALUE"""),46306)</f>
        <v>46306</v>
      </c>
      <c r="O936" s="1" t="str">
        <f>IFERROR(__xludf.DUMMYFUNCTION("""COMPUTED_VALUE"""),"SWITCH FIBER UNLI ALL PLAN 1499")</f>
        <v>SWITCH FIBER UNLI ALL PLAN 1499</v>
      </c>
      <c r="P936" s="1" t="str">
        <f>IFERROR(__xludf.DUMMYFUNCTION("""COMPUTED_VALUE"""),"SWITCH")</f>
        <v>SWITCH</v>
      </c>
      <c r="Q936" s="1" t="str">
        <f>IFERROR(__xludf.DUMMYFUNCTION("""COMPUTED_VALUE"""),"P407049")</f>
        <v>P407049</v>
      </c>
      <c r="R936" s="1" t="str">
        <f>IFERROR(__xludf.DUMMYFUNCTION("""COMPUTED_VALUE"""),"CORNELIO, CATHERINE")</f>
        <v>CORNELIO, CATHERINE</v>
      </c>
      <c r="S936" s="1" t="str">
        <f>IFERROR(__xludf.DUMMYFUNCTION("""COMPUTED_VALUE"""),"ORGANIC")</f>
        <v>ORGANIC</v>
      </c>
      <c r="T936" s="1" t="str">
        <f>IFERROR(__xludf.DUMMYFUNCTION("""COMPUTED_VALUE"""),"LEA REMOLLO")</f>
        <v>LEA REMOLLO</v>
      </c>
      <c r="U936" s="1" t="str">
        <f>IFERROR(__xludf.DUMMYFUNCTION("""COMPUTED_VALUE"""),"JB SALIOA")</f>
        <v>JB SALIOA</v>
      </c>
      <c r="V936" s="1" t="str">
        <f>IFERROR(__xludf.DUMMYFUNCTION("""COMPUTED_VALUE"""),"BK REGULAR")</f>
        <v>BK REGULAR</v>
      </c>
      <c r="W936" s="1" t="str">
        <f>IFERROR(__xludf.DUMMYFUNCTION("""COMPUTED_VALUE"""),"STK REGULAR")</f>
        <v>STK REGULAR</v>
      </c>
      <c r="X936" s="1" t="str">
        <f>IFERROR(__xludf.DUMMYFUNCTION("""COMPUTED_VALUE"""),"ANTI COMPETITOR")</f>
        <v>ANTI COMPETITOR</v>
      </c>
      <c r="Y936" s="1" t="str">
        <f>IFERROR(__xludf.DUMMYFUNCTION("""COMPUTED_VALUE"""),"BK_CVEU_261006")</f>
        <v>BK_CVEU_261006</v>
      </c>
      <c r="Z936" s="1" t="str">
        <f>IFERROR(__xludf.DUMMYFUNCTION("""COMPUTED_VALUE"""),"NEW CONNECT")</f>
        <v>NEW CONNECT</v>
      </c>
      <c r="AA936" s="1">
        <f>IFERROR(__xludf.DUMMYFUNCTION("""COMPUTED_VALUE"""),639702198275)</f>
        <v>639702198275</v>
      </c>
      <c r="AB936" s="1">
        <f>IFERROR(__xludf.DUMMYFUNCTION("""COMPUTED_VALUE"""),639262765442)</f>
        <v>639262765442</v>
      </c>
      <c r="AC936" s="1">
        <f>IFERROR(__xludf.DUMMYFUNCTION("""COMPUTED_VALUE"""),108)</f>
        <v>108</v>
      </c>
      <c r="AD936" s="1" t="str">
        <f>IFERROR(__xludf.DUMMYFUNCTION("""COMPUTED_VALUE"""),"MALABAG-TOLEDO")</f>
        <v>MALABAG-TOLEDO</v>
      </c>
      <c r="AE936" s="1"/>
      <c r="AF936" s="1" t="str">
        <f>IFERROR(__xludf.DUMMYFUNCTION("""COMPUTED_VALUE"""),"BGY TOLEDO")</f>
        <v>BGY TOLEDO</v>
      </c>
      <c r="AG936" s="1" t="str">
        <f>IFERROR(__xludf.DUMMYFUNCTION("""COMPUTED_VALUE"""),"SILANG")</f>
        <v>SILANG</v>
      </c>
      <c r="AH936" s="1" t="str">
        <f>IFERROR(__xludf.DUMMYFUNCTION("""COMPUTED_VALUE"""),"EPHESIANS WATER STATION")</f>
        <v>EPHESIANS WATER STATION</v>
      </c>
      <c r="AI936" s="1" t="str">
        <f>IFERROR(__xludf.DUMMYFUNCTION("""COMPUTED_VALUE"""),"CLUSTER 11")</f>
        <v>CLUSTER 11</v>
      </c>
    </row>
    <row r="937" customHeight="1" spans="1:35">
      <c r="A937" s="3">
        <f>IFERROR(__xludf.DUMMYFUNCTION("""COMPUTED_VALUE"""),46304)</f>
        <v>46304</v>
      </c>
      <c r="B937" s="1" t="str">
        <f>IFERROR(__xludf.DUMMYFUNCTION("""COMPUTED_VALUE"""),"REA EMBIDO FIDELSON")</f>
        <v>REA EMBIDO FIDELSON</v>
      </c>
      <c r="C937" s="1">
        <f>IFERROR(__xludf.DUMMYFUNCTION("""COMPUTED_VALUE"""),2313060937)</f>
        <v>2313060937</v>
      </c>
      <c r="D937" s="1">
        <f>IFERROR(__xludf.DUMMYFUNCTION("""COMPUTED_VALUE"""),408810477)</f>
        <v>408810477</v>
      </c>
      <c r="E937" s="1">
        <f>IFERROR(__xludf.DUMMYFUNCTION("""COMPUTED_VALUE"""),474881173004)</f>
        <v>474881173004</v>
      </c>
      <c r="F937" s="1" t="str">
        <f>IFERROR(__xludf.DUMMYFUNCTION("""COMPUTED_VALUE"""),"CLOSED")</f>
        <v>CLOSED</v>
      </c>
      <c r="G937" s="1" t="str">
        <f>IFERROR(__xludf.DUMMYFUNCTION("""COMPUTED_VALUE"""),"CLOSED")</f>
        <v>CLOSED</v>
      </c>
      <c r="H937" s="1"/>
      <c r="I937" s="1" t="str">
        <f>IFERROR(__xludf.DUMMYFUNCTION("""COMPUTED_VALUE"""),"NO 1 AMSF")</f>
        <v>NO 1 AMSF</v>
      </c>
      <c r="J937" s="1" t="str">
        <f>IFERROR(__xludf.DUMMYFUNCTION("""COMPUTED_VALUE"""),"DUE DATE - 05-Nov-26 - 1,445.64")</f>
        <v>DUE DATE - 05-Nov-26 - 1,445.64</v>
      </c>
      <c r="K937" s="1" t="str">
        <f>IFERROR(__xludf.DUMMYFUNCTION("""COMPUTED_VALUE"""),"COMPLETED")</f>
        <v>COMPLETED</v>
      </c>
      <c r="L937" s="1" t="str">
        <f>IFERROR(__xludf.DUMMYFUNCTION("""COMPUTED_VALUE"""),"POSTED")</f>
        <v>POSTED</v>
      </c>
      <c r="M937" s="1" t="str">
        <f>IFERROR(__xludf.DUMMYFUNCTION("""COMPUTED_VALUE"""),"POSTED")</f>
        <v>POSTED</v>
      </c>
      <c r="N937" s="3">
        <f>IFERROR(__xludf.DUMMYFUNCTION("""COMPUTED_VALUE"""),46306)</f>
        <v>46306</v>
      </c>
      <c r="O937" s="1" t="str">
        <f>IFERROR(__xludf.DUMMYFUNCTION("""COMPUTED_VALUE"""),"FIBER UNLI PLAN 1399")</f>
        <v>FIBER UNLI PLAN 1399</v>
      </c>
      <c r="P937" s="1" t="str">
        <f>IFERROR(__xludf.DUMMYFUNCTION("""COMPUTED_VALUE"""),"LOWPLAN")</f>
        <v>LOWPLAN</v>
      </c>
      <c r="Q937" s="1" t="str">
        <f>IFERROR(__xludf.DUMMYFUNCTION("""COMPUTED_VALUE"""),"P407049")</f>
        <v>P407049</v>
      </c>
      <c r="R937" s="1" t="str">
        <f>IFERROR(__xludf.DUMMYFUNCTION("""COMPUTED_VALUE"""),"CADERAO, RONALD")</f>
        <v>CADERAO, RONALD</v>
      </c>
      <c r="S937" s="1" t="str">
        <f>IFERROR(__xludf.DUMMYFUNCTION("""COMPUTED_VALUE"""),"ORGANIC")</f>
        <v>ORGANIC</v>
      </c>
      <c r="T937" s="1" t="str">
        <f>IFERROR(__xludf.DUMMYFUNCTION("""COMPUTED_VALUE"""),"LEA REMOLLO")</f>
        <v>LEA REMOLLO</v>
      </c>
      <c r="U937" s="1" t="str">
        <f>IFERROR(__xludf.DUMMYFUNCTION("""COMPUTED_VALUE"""),"JB SALIOA")</f>
        <v>JB SALIOA</v>
      </c>
      <c r="V937" s="1" t="str">
        <f>IFERROR(__xludf.DUMMYFUNCTION("""COMPUTED_VALUE"""),"BK REGULAR")</f>
        <v>BK REGULAR</v>
      </c>
      <c r="W937" s="1" t="str">
        <f>IFERROR(__xludf.DUMMYFUNCTION("""COMPUTED_VALUE"""),"STK REGULAR")</f>
        <v>STK REGULAR</v>
      </c>
      <c r="X937" s="1" t="str">
        <f>IFERROR(__xludf.DUMMYFUNCTION("""COMPUTED_VALUE"""),"FIBER 1399 98TH YR")</f>
        <v>FIBER 1399 98TH YR</v>
      </c>
      <c r="Y937" s="1" t="str">
        <f>IFERROR(__xludf.DUMMYFUNCTION("""COMPUTED_VALUE"""),"BK_CVEU_261001")</f>
        <v>BK_CVEU_261001</v>
      </c>
      <c r="Z937" s="1" t="str">
        <f>IFERROR(__xludf.DUMMYFUNCTION("""COMPUTED_VALUE"""),"NEW CONNECT")</f>
        <v>NEW CONNECT</v>
      </c>
      <c r="AA937" s="1">
        <f>IFERROR(__xludf.DUMMYFUNCTION("""COMPUTED_VALUE"""),639620686405)</f>
        <v>639620686405</v>
      </c>
      <c r="AB937" s="1">
        <f>IFERROR(__xludf.DUMMYFUNCTION("""COMPUTED_VALUE"""),639920587747)</f>
        <v>639920587747</v>
      </c>
      <c r="AC937" s="1">
        <f>IFERROR(__xludf.DUMMYFUNCTION("""COMPUTED_VALUE"""),21)</f>
        <v>21</v>
      </c>
      <c r="AD937" s="1" t="str">
        <f>IFERROR(__xludf.DUMMYFUNCTION("""COMPUTED_VALUE"""),"PUROK 3")</f>
        <v>PUROK 3</v>
      </c>
      <c r="AE937" s="1"/>
      <c r="AF937" s="1" t="str">
        <f>IFERROR(__xludf.DUMMYFUNCTION("""COMPUTED_VALUE"""),"BGY KAYTITINGA 3")</f>
        <v>BGY KAYTITINGA 3</v>
      </c>
      <c r="AG937" s="1" t="str">
        <f>IFERROR(__xludf.DUMMYFUNCTION("""COMPUTED_VALUE"""),"ALFONSO")</f>
        <v>ALFONSO</v>
      </c>
      <c r="AH937" s="1" t="str">
        <f>IFERROR(__xludf.DUMMYFUNCTION("""COMPUTED_VALUE"""),"AT THE BACK OF BRGY HALL")</f>
        <v>AT THE BACK OF BRGY HALL</v>
      </c>
      <c r="AI937" s="1" t="str">
        <f>IFERROR(__xludf.DUMMYFUNCTION("""COMPUTED_VALUE"""),"CLUSTER 12")</f>
        <v>CLUSTER 12</v>
      </c>
    </row>
    <row r="938" customHeight="1" spans="1:35">
      <c r="A938" s="3">
        <f>IFERROR(__xludf.DUMMYFUNCTION("""COMPUTED_VALUE"""),46304)</f>
        <v>46304</v>
      </c>
      <c r="B938" s="1" t="str">
        <f>IFERROR(__xludf.DUMMYFUNCTION("""COMPUTED_VALUE"""),"MYLENE EBREO ESPINUEVA")</f>
        <v>MYLENE EBREO ESPINUEVA</v>
      </c>
      <c r="C938" s="1">
        <f>IFERROR(__xludf.DUMMYFUNCTION("""COMPUTED_VALUE"""),2313061426)</f>
        <v>2313061426</v>
      </c>
      <c r="D938" s="1"/>
      <c r="E938" s="1"/>
      <c r="F938" s="1" t="str">
        <f>IFERROR(__xludf.DUMMYFUNCTION("""COMPUTED_VALUE"""),"CANCELLED")</f>
        <v>CANCELLED</v>
      </c>
      <c r="G938" s="1" t="str">
        <f>IFERROR(__xludf.DUMMYFUNCTION("""COMPUTED_VALUE"""),"WITH ACTIVE SERVICE | ACCT # 0257957306 | SAME NAME | SAME DOB | DIFF ADDRESS | PLS PROVIDE POA WITH INSTALLATION ADDRESS UNDER SOR NAME ")</f>
        <v>WITH ACTIVE SERVICE | ACCT # 0257957306 | SAME NAME | SAME DOB | DIFF ADDRESS | PLS PROVIDE POA WITH INSTALLATION ADDRESS UNDER SOR NAME </v>
      </c>
      <c r="H938" s="1"/>
      <c r="I938" s="1"/>
      <c r="J938" s="1"/>
      <c r="K938" s="1"/>
      <c r="L938" s="1" t="str">
        <f>IFERROR(__xludf.DUMMYFUNCTION("""COMPUTED_VALUE"""),"CANCELLED - WITH EXISTING LINE")</f>
        <v>CANCELLED - WITH EXISTING LINE</v>
      </c>
      <c r="M938" s="1" t="str">
        <f>IFERROR(__xludf.DUMMYFUNCTION("""COMPUTED_VALUE"""),"CANCELLED - WITH ACTIVE LINE")</f>
        <v>CANCELLED - WITH ACTIVE LINE</v>
      </c>
      <c r="N938" s="3"/>
      <c r="O938" s="1" t="str">
        <f>IFERROR(__xludf.DUMMYFUNCTION("""COMPUTED_VALUE"""),"FIBR NETFLIX PLAN 1599")</f>
        <v>FIBR NETFLIX PLAN 1599</v>
      </c>
      <c r="P938" s="1" t="str">
        <f>IFERROR(__xludf.DUMMYFUNCTION("""COMPUTED_VALUE"""),"LOWPLAN")</f>
        <v>LOWPLAN</v>
      </c>
      <c r="Q938" s="1" t="str">
        <f>IFERROR(__xludf.DUMMYFUNCTION("""COMPUTED_VALUE"""),"P407045")</f>
        <v>P407045</v>
      </c>
      <c r="R938" s="1" t="str">
        <f>IFERROR(__xludf.DUMMYFUNCTION("""COMPUTED_VALUE"""),"FARO, REFRANTA ")</f>
        <v>FARO, REFRANTA </v>
      </c>
      <c r="S938" s="1" t="str">
        <f>IFERROR(__xludf.DUMMYFUNCTION("""COMPUTED_VALUE"""),"FLA")</f>
        <v>FLA</v>
      </c>
      <c r="T938" s="1" t="str">
        <f>IFERROR(__xludf.DUMMYFUNCTION("""COMPUTED_VALUE"""),"JERIC NAVARRO")</f>
        <v>JERIC NAVARRO</v>
      </c>
      <c r="U938" s="1" t="str">
        <f>IFERROR(__xludf.DUMMYFUNCTION("""COMPUTED_VALUE"""),"JB SALIOA")</f>
        <v>JB SALIOA</v>
      </c>
      <c r="V938" s="1" t="str">
        <f>IFERROR(__xludf.DUMMYFUNCTION("""COMPUTED_VALUE"""),"BK REGULAR")</f>
        <v>BK REGULAR</v>
      </c>
      <c r="W938" s="1" t="str">
        <f>IFERROR(__xludf.DUMMYFUNCTION("""COMPUTED_VALUE"""),"STK REGULAR")</f>
        <v>STK REGULAR</v>
      </c>
      <c r="X938" s="1" t="str">
        <f>IFERROR(__xludf.DUMMYFUNCTION("""COMPUTED_VALUE"""),"REGULAR")</f>
        <v>REGULAR</v>
      </c>
      <c r="Y938" s="1" t="str">
        <f>IFERROR(__xludf.DUMMYFUNCTION("""COMPUTED_VALUE"""),"BK_CVEU_261007")</f>
        <v>BK_CVEU_261007</v>
      </c>
      <c r="Z938" s="1" t="str">
        <f>IFERROR(__xludf.DUMMYFUNCTION("""COMPUTED_VALUE"""),"NEW CONNECT")</f>
        <v>NEW CONNECT</v>
      </c>
      <c r="AA938" s="1">
        <f>IFERROR(__xludf.DUMMYFUNCTION("""COMPUTED_VALUE"""),639178804034)</f>
        <v>639178804034</v>
      </c>
      <c r="AB938" s="1"/>
      <c r="AC938" s="1">
        <f>IFERROR(__xludf.DUMMYFUNCTION("""COMPUTED_VALUE"""),2083)</f>
        <v>2083</v>
      </c>
      <c r="AD938" s="1" t="str">
        <f>IFERROR(__xludf.DUMMYFUNCTION("""COMPUTED_VALUE"""),"ELEVE HOMES")</f>
        <v>ELEVE HOMES</v>
      </c>
      <c r="AE938" s="1" t="str">
        <f>IFERROR(__xludf.DUMMYFUNCTION("""COMPUTED_VALUE"""),"ELEVE HOMES")</f>
        <v>ELEVE HOMES</v>
      </c>
      <c r="AF938" s="1" t="str">
        <f>IFERROR(__xludf.DUMMYFUNCTION("""COMPUTED_VALUE"""),"BGY MAHARLIKA WEST")</f>
        <v>BGY MAHARLIKA WEST</v>
      </c>
      <c r="AG938" s="1" t="str">
        <f>IFERROR(__xludf.DUMMYFUNCTION("""COMPUTED_VALUE"""),"TAGAYTAY")</f>
        <v>TAGAYTAY</v>
      </c>
      <c r="AH938" s="1" t="str">
        <f>IFERROR(__xludf.DUMMYFUNCTION("""COMPUTED_VALUE"""),"ELEVE HOMES")</f>
        <v>ELEVE HOMES</v>
      </c>
      <c r="AI938" s="1" t="str">
        <f>IFERROR(__xludf.DUMMYFUNCTION("""COMPUTED_VALUE"""),"CLUSTER 12")</f>
        <v>CLUSTER 12</v>
      </c>
    </row>
    <row r="939" customHeight="1" spans="1:35">
      <c r="A939" s="3">
        <f>IFERROR(__xludf.DUMMYFUNCTION("""COMPUTED_VALUE"""),46304)</f>
        <v>46304</v>
      </c>
      <c r="B939" s="1" t="str">
        <f>IFERROR(__xludf.DUMMYFUNCTION("""COMPUTED_VALUE"""),"JEAN ROSE AGUILA DUCAY")</f>
        <v>JEAN ROSE AGUILA DUCAY</v>
      </c>
      <c r="C939" s="1">
        <f>IFERROR(__xludf.DUMMYFUNCTION("""COMPUTED_VALUE"""),2313061897)</f>
        <v>2313061897</v>
      </c>
      <c r="D939" s="1">
        <f>IFERROR(__xludf.DUMMYFUNCTION("""COMPUTED_VALUE"""),408811910)</f>
        <v>408811910</v>
      </c>
      <c r="E939" s="1">
        <f>IFERROR(__xludf.DUMMYFUNCTION("""COMPUTED_VALUE"""),474882100004)</f>
        <v>474882100004</v>
      </c>
      <c r="F939" s="1" t="str">
        <f>IFERROR(__xludf.DUMMYFUNCTION("""COMPUTED_VALUE"""),"CLOSED")</f>
        <v>CLOSED</v>
      </c>
      <c r="G939" s="1" t="str">
        <f>IFERROR(__xludf.DUMMYFUNCTION("""COMPUTED_VALUE"""),"CLOSED")</f>
        <v>CLOSED</v>
      </c>
      <c r="H939" s="1"/>
      <c r="I939" s="1" t="str">
        <f>IFERROR(__xludf.DUMMYFUNCTION("""COMPUTED_VALUE"""),"NO 1 AMSF")</f>
        <v>NO 1 AMSF</v>
      </c>
      <c r="J939" s="1" t="str">
        <f>IFERROR(__xludf.DUMMYFUNCTION("""COMPUTED_VALUE"""),"DUE DATE - 05-Nov-26 - 2,182.28")</f>
        <v>DUE DATE - 05-Nov-26 - 2,182.28</v>
      </c>
      <c r="K939" s="1" t="str">
        <f>IFERROR(__xludf.DUMMYFUNCTION("""COMPUTED_VALUE"""),"COMPLETED")</f>
        <v>COMPLETED</v>
      </c>
      <c r="L939" s="1" t="str">
        <f>IFERROR(__xludf.DUMMYFUNCTION("""COMPUTED_VALUE"""),"POSTED")</f>
        <v>POSTED</v>
      </c>
      <c r="M939" s="1" t="str">
        <f>IFERROR(__xludf.DUMMYFUNCTION("""COMPUTED_VALUE"""),"POSTED")</f>
        <v>POSTED</v>
      </c>
      <c r="N939" s="3">
        <f>IFERROR(__xludf.DUMMYFUNCTION("""COMPUTED_VALUE"""),46305)</f>
        <v>46305</v>
      </c>
      <c r="O939" s="1" t="str">
        <f>IFERROR(__xludf.DUMMYFUNCTION("""COMPUTED_VALUE"""),"FIBER UNLI ALL PLAN 1899")</f>
        <v>FIBER UNLI ALL PLAN 1899</v>
      </c>
      <c r="P939" s="1" t="str">
        <f>IFERROR(__xludf.DUMMYFUNCTION("""COMPUTED_VALUE"""),"HIGHPLAN")</f>
        <v>HIGHPLAN</v>
      </c>
      <c r="Q939" s="1" t="str">
        <f>IFERROR(__xludf.DUMMYFUNCTION("""COMPUTED_VALUE"""),"P407049")</f>
        <v>P407049</v>
      </c>
      <c r="R939" s="1" t="str">
        <f>IFERROR(__xludf.DUMMYFUNCTION("""COMPUTED_VALUE"""),"ALINGARO, CINDY")</f>
        <v>ALINGARO, CINDY</v>
      </c>
      <c r="S939" s="1" t="str">
        <f>IFERROR(__xludf.DUMMYFUNCTION("""COMPUTED_VALUE"""),"ORGANIC")</f>
        <v>ORGANIC</v>
      </c>
      <c r="T939" s="1" t="str">
        <f>IFERROR(__xludf.DUMMYFUNCTION("""COMPUTED_VALUE"""),"LEA REMOLLO")</f>
        <v>LEA REMOLLO</v>
      </c>
      <c r="U939" s="1" t="str">
        <f>IFERROR(__xludf.DUMMYFUNCTION("""COMPUTED_VALUE"""),"JB SALIOA")</f>
        <v>JB SALIOA</v>
      </c>
      <c r="V939" s="1" t="str">
        <f>IFERROR(__xludf.DUMMYFUNCTION("""COMPUTED_VALUE"""),"BK REGULAR")</f>
        <v>BK REGULAR</v>
      </c>
      <c r="W939" s="1" t="str">
        <f>IFERROR(__xludf.DUMMYFUNCTION("""COMPUTED_VALUE"""),"STK REGULAR")</f>
        <v>STK REGULAR</v>
      </c>
      <c r="X939" s="1" t="str">
        <f>IFERROR(__xludf.DUMMYFUNCTION("""COMPUTED_VALUE"""),"REGULAR")</f>
        <v>REGULAR</v>
      </c>
      <c r="Y939" s="1" t="str">
        <f>IFERROR(__xludf.DUMMYFUNCTION("""COMPUTED_VALUE"""),"BK_CVEU_261006")</f>
        <v>BK_CVEU_261006</v>
      </c>
      <c r="Z939" s="1" t="str">
        <f>IFERROR(__xludf.DUMMYFUNCTION("""COMPUTED_VALUE"""),"NEW CONNECT")</f>
        <v>NEW CONNECT</v>
      </c>
      <c r="AA939" s="1">
        <f>IFERROR(__xludf.DUMMYFUNCTION("""COMPUTED_VALUE"""),639974253089)</f>
        <v>639974253089</v>
      </c>
      <c r="AB939" s="1">
        <f>IFERROR(__xludf.DUMMYFUNCTION("""COMPUTED_VALUE"""),639756373295)</f>
        <v>639756373295</v>
      </c>
      <c r="AC939" s="1"/>
      <c r="AD939" s="1" t="str">
        <f>IFERROR(__xludf.DUMMYFUNCTION("""COMPUTED_VALUE"""),"GEN EMILIO AGUINALDO")</f>
        <v>GEN EMILIO AGUINALDO</v>
      </c>
      <c r="AE939" s="1"/>
      <c r="AF939" s="1" t="str">
        <f>IFERROR(__xludf.DUMMYFUNCTION("""COMPUTED_VALUE"""),"BGY LALAAN 1")</f>
        <v>BGY LALAAN 1</v>
      </c>
      <c r="AG939" s="1" t="str">
        <f>IFERROR(__xludf.DUMMYFUNCTION("""COMPUTED_VALUE"""),"SILANG")</f>
        <v>SILANG</v>
      </c>
      <c r="AH939" s="1" t="str">
        <f>IFERROR(__xludf.DUMMYFUNCTION("""COMPUTED_VALUE"""),"INFRONT OF CALTEX")</f>
        <v>INFRONT OF CALTEX</v>
      </c>
      <c r="AI939" s="1" t="str">
        <f>IFERROR(__xludf.DUMMYFUNCTION("""COMPUTED_VALUE"""),"CLUSTER 11")</f>
        <v>CLUSTER 11</v>
      </c>
    </row>
    <row r="940" customHeight="1" spans="1:35">
      <c r="A940" s="3">
        <f>IFERROR(__xludf.DUMMYFUNCTION("""COMPUTED_VALUE"""),46304)</f>
        <v>46304</v>
      </c>
      <c r="B940" s="1" t="str">
        <f>IFERROR(__xludf.DUMMYFUNCTION("""COMPUTED_VALUE"""),"DOMINADOR AMBOJIA ANGELES")</f>
        <v>DOMINADOR AMBOJIA ANGELES</v>
      </c>
      <c r="C940" s="1">
        <f>IFERROR(__xludf.DUMMYFUNCTION("""COMPUTED_VALUE"""),2313062205)</f>
        <v>2313062205</v>
      </c>
      <c r="D940" s="1">
        <f>IFERROR(__xludf.DUMMYFUNCTION("""COMPUTED_VALUE"""),408833620)</f>
        <v>408833620</v>
      </c>
      <c r="E940" s="1">
        <f>IFERROR(__xludf.DUMMYFUNCTION("""COMPUTED_VALUE"""),474914187004)</f>
        <v>474914187004</v>
      </c>
      <c r="F940" s="1" t="str">
        <f>IFERROR(__xludf.DUMMYFUNCTION("""COMPUTED_VALUE"""),"CLOSED")</f>
        <v>CLOSED</v>
      </c>
      <c r="G940" s="1" t="str">
        <f>IFERROR(__xludf.DUMMYFUNCTION("""COMPUTED_VALUE"""),"CLOSED")</f>
        <v>CLOSED</v>
      </c>
      <c r="H940" s="1" t="str">
        <f>IFERROR(__xludf.DUMMYFUNCTION("""COMPUTED_VALUE"""),"PAID VIA GCASH REF 615529678 OCT 11")</f>
        <v>PAID VIA GCASH REF 615529678 OCT 11</v>
      </c>
      <c r="I940" s="1" t="str">
        <f>IFERROR(__xludf.DUMMYFUNCTION("""COMPUTED_VALUE"""),"WITH 1 AMSF")</f>
        <v>WITH 1 AMSF</v>
      </c>
      <c r="J940" s="1"/>
      <c r="K940" s="1" t="str">
        <f>IFERROR(__xludf.DUMMYFUNCTION("""COMPUTED_VALUE"""),"COMPLETED")</f>
        <v>COMPLETED</v>
      </c>
      <c r="L940" s="1" t="str">
        <f>IFERROR(__xludf.DUMMYFUNCTION("""COMPUTED_VALUE"""),"POSTED")</f>
        <v>POSTED</v>
      </c>
      <c r="M940" s="1" t="str">
        <f>IFERROR(__xludf.DUMMYFUNCTION("""COMPUTED_VALUE"""),"POSTED")</f>
        <v>POSTED</v>
      </c>
      <c r="N940" s="3">
        <f>IFERROR(__xludf.DUMMYFUNCTION("""COMPUTED_VALUE"""),46306)</f>
        <v>46306</v>
      </c>
      <c r="O940" s="1" t="str">
        <f>IFERROR(__xludf.DUMMYFUNCTION("""COMPUTED_VALUE"""),"FIBER UNLI PLAN 1399")</f>
        <v>FIBER UNLI PLAN 1399</v>
      </c>
      <c r="P940" s="1" t="str">
        <f>IFERROR(__xludf.DUMMYFUNCTION("""COMPUTED_VALUE"""),"LOWPLAN")</f>
        <v>LOWPLAN</v>
      </c>
      <c r="Q940" s="1" t="str">
        <f>IFERROR(__xludf.DUMMYFUNCTION("""COMPUTED_VALUE"""),"P407560")</f>
        <v>P407560</v>
      </c>
      <c r="R940" s="1" t="str">
        <f>IFERROR(__xludf.DUMMYFUNCTION("""COMPUTED_VALUE"""),"LABONG, AJAY")</f>
        <v>LABONG, AJAY</v>
      </c>
      <c r="S940" s="1" t="str">
        <f>IFERROR(__xludf.DUMMYFUNCTION("""COMPUTED_VALUE"""),"ORGANIC")</f>
        <v>ORGANIC</v>
      </c>
      <c r="T940" s="1" t="str">
        <f>IFERROR(__xludf.DUMMYFUNCTION("""COMPUTED_VALUE"""),"LEA REMOLLO")</f>
        <v>LEA REMOLLO</v>
      </c>
      <c r="U940" s="1" t="str">
        <f>IFERROR(__xludf.DUMMYFUNCTION("""COMPUTED_VALUE"""),"JB SALIOA")</f>
        <v>JB SALIOA</v>
      </c>
      <c r="V940" s="1" t="str">
        <f>IFERROR(__xludf.DUMMYFUNCTION("""COMPUTED_VALUE"""),"BK REGULAR")</f>
        <v>BK REGULAR</v>
      </c>
      <c r="W940" s="1" t="str">
        <f>IFERROR(__xludf.DUMMYFUNCTION("""COMPUTED_VALUE"""),"STK REGULAR")</f>
        <v>STK REGULAR</v>
      </c>
      <c r="X940" s="1" t="str">
        <f>IFERROR(__xludf.DUMMYFUNCTION("""COMPUTED_VALUE"""),"FIBER 1399 98TH YR")</f>
        <v>FIBER 1399 98TH YR</v>
      </c>
      <c r="Y940" s="1" t="str">
        <f>IFERROR(__xludf.DUMMYFUNCTION("""COMPUTED_VALUE"""),"BK_CVEU_261006")</f>
        <v>BK_CVEU_261006</v>
      </c>
      <c r="Z940" s="1" t="str">
        <f>IFERROR(__xludf.DUMMYFUNCTION("""COMPUTED_VALUE"""),"NEW CONNECT")</f>
        <v>NEW CONNECT</v>
      </c>
      <c r="AA940" s="1">
        <f>IFERROR(__xludf.DUMMYFUNCTION("""COMPUTED_VALUE"""),639952883640)</f>
        <v>639952883640</v>
      </c>
      <c r="AB940" s="1"/>
      <c r="AC940" s="1">
        <f>IFERROR(__xludf.DUMMYFUNCTION("""COMPUTED_VALUE"""),251)</f>
        <v>251</v>
      </c>
      <c r="AD940" s="1" t="str">
        <f>IFERROR(__xludf.DUMMYFUNCTION("""COMPUTED_VALUE"""),"AGUILAR")</f>
        <v>AGUILAR</v>
      </c>
      <c r="AE940" s="1" t="str">
        <f>IFERROR(__xludf.DUMMYFUNCTION("""COMPUTED_VALUE"""),"PUROK 5")</f>
        <v>PUROK 5</v>
      </c>
      <c r="AF940" s="1" t="str">
        <f>IFERROR(__xludf.DUMMYFUNCTION("""COMPUTED_VALUE"""),"BGY BATAS")</f>
        <v>BGY BATAS</v>
      </c>
      <c r="AG940" s="1" t="str">
        <f>IFERROR(__xludf.DUMMYFUNCTION("""COMPUTED_VALUE"""),"SILANG")</f>
        <v>SILANG</v>
      </c>
      <c r="AH940" s="1" t="str">
        <f>IFERROR(__xludf.DUMMYFUNCTION("""COMPUTED_VALUE"""),"COURT")</f>
        <v>COURT</v>
      </c>
      <c r="AI940" s="1" t="str">
        <f>IFERROR(__xludf.DUMMYFUNCTION("""COMPUTED_VALUE"""),"CLUSTER 11")</f>
        <v>CLUSTER 11</v>
      </c>
    </row>
    <row r="941" customHeight="1" spans="1:35">
      <c r="A941" s="3">
        <f>IFERROR(__xludf.DUMMYFUNCTION("""COMPUTED_VALUE"""),46304)</f>
        <v>46304</v>
      </c>
      <c r="B941" s="1" t="str">
        <f>IFERROR(__xludf.DUMMYFUNCTION("""COMPUTED_VALUE"""),"BRENT WILSEN BELEN MAMARADLO")</f>
        <v>BRENT WILSEN BELEN MAMARADLO</v>
      </c>
      <c r="C941" s="1">
        <f>IFERROR(__xludf.DUMMYFUNCTION("""COMPUTED_VALUE"""),2313062546)</f>
        <v>2313062546</v>
      </c>
      <c r="D941" s="1">
        <f>IFERROR(__xludf.DUMMYFUNCTION("""COMPUTED_VALUE"""),408817587)</f>
        <v>408817587</v>
      </c>
      <c r="E941" s="1">
        <f>IFERROR(__xludf.DUMMYFUNCTION("""COMPUTED_VALUE"""),474887964004)</f>
        <v>474887964004</v>
      </c>
      <c r="F941" s="1" t="str">
        <f>IFERROR(__xludf.DUMMYFUNCTION("""COMPUTED_VALUE"""),"CLOSED")</f>
        <v>CLOSED</v>
      </c>
      <c r="G941" s="1" t="str">
        <f>IFERROR(__xludf.DUMMYFUNCTION("""COMPUTED_VALUE"""),"CLOSED")</f>
        <v>CLOSED</v>
      </c>
      <c r="H941" s="1"/>
      <c r="I941" s="1" t="str">
        <f>IFERROR(__xludf.DUMMYFUNCTION("""COMPUTED_VALUE"""),"NO 1 AMSF")</f>
        <v>NO 1 AMSF</v>
      </c>
      <c r="J941" s="1" t="str">
        <f>IFERROR(__xludf.DUMMYFUNCTION("""COMPUTED_VALUE"""),"DUE DATE - 05-Nov-26 - 1,492.27")</f>
        <v>DUE DATE - 05-Nov-26 - 1,492.27</v>
      </c>
      <c r="K941" s="1" t="str">
        <f>IFERROR(__xludf.DUMMYFUNCTION("""COMPUTED_VALUE"""),"COMPLETED")</f>
        <v>COMPLETED</v>
      </c>
      <c r="L941" s="1" t="str">
        <f>IFERROR(__xludf.DUMMYFUNCTION("""COMPUTED_VALUE"""),"POSTED")</f>
        <v>POSTED</v>
      </c>
      <c r="M941" s="1" t="str">
        <f>IFERROR(__xludf.DUMMYFUNCTION("""COMPUTED_VALUE"""),"POSTED")</f>
        <v>POSTED</v>
      </c>
      <c r="N941" s="3">
        <f>IFERROR(__xludf.DUMMYFUNCTION("""COMPUTED_VALUE"""),46305)</f>
        <v>46305</v>
      </c>
      <c r="O941" s="1" t="str">
        <f>IFERROR(__xludf.DUMMYFUNCTION("""COMPUTED_VALUE"""),"FIBER UNLI PLAN 1399")</f>
        <v>FIBER UNLI PLAN 1399</v>
      </c>
      <c r="P941" s="1" t="str">
        <f>IFERROR(__xludf.DUMMYFUNCTION("""COMPUTED_VALUE"""),"LOWPLAN")</f>
        <v>LOWPLAN</v>
      </c>
      <c r="Q941" s="1" t="str">
        <f>IFERROR(__xludf.DUMMYFUNCTION("""COMPUTED_VALUE"""),"P407564")</f>
        <v>P407564</v>
      </c>
      <c r="R941" s="1" t="str">
        <f>IFERROR(__xludf.DUMMYFUNCTION("""COMPUTED_VALUE"""),"ARENA, LYKA")</f>
        <v>ARENA, LYKA</v>
      </c>
      <c r="S941" s="1" t="str">
        <f>IFERROR(__xludf.DUMMYFUNCTION("""COMPUTED_VALUE"""),"ORGANIC")</f>
        <v>ORGANIC</v>
      </c>
      <c r="T941" s="1" t="str">
        <f>IFERROR(__xludf.DUMMYFUNCTION("""COMPUTED_VALUE"""),"LEA REMOLLO")</f>
        <v>LEA REMOLLO</v>
      </c>
      <c r="U941" s="1" t="str">
        <f>IFERROR(__xludf.DUMMYFUNCTION("""COMPUTED_VALUE"""),"JB SALIOA")</f>
        <v>JB SALIOA</v>
      </c>
      <c r="V941" s="1" t="str">
        <f>IFERROR(__xludf.DUMMYFUNCTION("""COMPUTED_VALUE"""),"BK REGULAR")</f>
        <v>BK REGULAR</v>
      </c>
      <c r="W941" s="1" t="str">
        <f>IFERROR(__xludf.DUMMYFUNCTION("""COMPUTED_VALUE"""),"STK REGULAR")</f>
        <v>STK REGULAR</v>
      </c>
      <c r="X941" s="1" t="str">
        <f>IFERROR(__xludf.DUMMYFUNCTION("""COMPUTED_VALUE"""),"FIBER 1399 98TH YR")</f>
        <v>FIBER 1399 98TH YR</v>
      </c>
      <c r="Y941" s="1" t="str">
        <f>IFERROR(__xludf.DUMMYFUNCTION("""COMPUTED_VALUE"""),"BK_CVEU_261006")</f>
        <v>BK_CVEU_261006</v>
      </c>
      <c r="Z941" s="1" t="str">
        <f>IFERROR(__xludf.DUMMYFUNCTION("""COMPUTED_VALUE"""),"NEW CONNECT")</f>
        <v>NEW CONNECT</v>
      </c>
      <c r="AA941" s="1">
        <f>IFERROR(__xludf.DUMMYFUNCTION("""COMPUTED_VALUE"""),639761710703)</f>
        <v>639761710703</v>
      </c>
      <c r="AB941" s="1"/>
      <c r="AC941" s="1">
        <f>IFERROR(__xludf.DUMMYFUNCTION("""COMPUTED_VALUE"""),159)</f>
        <v>159</v>
      </c>
      <c r="AD941" s="1" t="str">
        <f>IFERROR(__xludf.DUMMYFUNCTION("""COMPUTED_VALUE"""),"LAYSA")</f>
        <v>LAYSA</v>
      </c>
      <c r="AE941" s="1"/>
      <c r="AF941" s="1" t="str">
        <f>IFERROR(__xludf.DUMMYFUNCTION("""COMPUTED_VALUE"""),"BGY BATAS")</f>
        <v>BGY BATAS</v>
      </c>
      <c r="AG941" s="1" t="str">
        <f>IFERROR(__xludf.DUMMYFUNCTION("""COMPUTED_VALUE"""),"SILANG")</f>
        <v>SILANG</v>
      </c>
      <c r="AH941" s="1" t="str">
        <f>IFERROR(__xludf.DUMMYFUNCTION("""COMPUTED_VALUE"""),"BASKETBALL COURT")</f>
        <v>BASKETBALL COURT</v>
      </c>
      <c r="AI941" s="1" t="str">
        <f>IFERROR(__xludf.DUMMYFUNCTION("""COMPUTED_VALUE"""),"CLUSTER 11")</f>
        <v>CLUSTER 11</v>
      </c>
    </row>
    <row r="942" customHeight="1" spans="1:35">
      <c r="A942" s="3">
        <f>IFERROR(__xludf.DUMMYFUNCTION("""COMPUTED_VALUE"""),46304)</f>
        <v>46304</v>
      </c>
      <c r="B942" s="1" t="str">
        <f>IFERROR(__xludf.DUMMYFUNCTION("""COMPUTED_VALUE"""),"JOHN LLOYD RORALDO RANIN")</f>
        <v>JOHN LLOYD RORALDO RANIN</v>
      </c>
      <c r="C942" s="1">
        <f>IFERROR(__xludf.DUMMYFUNCTION("""COMPUTED_VALUE"""),2313064091)</f>
        <v>2313064091</v>
      </c>
      <c r="D942" s="1">
        <f>IFERROR(__xludf.DUMMYFUNCTION("""COMPUTED_VALUE"""),408815746)</f>
        <v>408815746</v>
      </c>
      <c r="E942" s="1">
        <f>IFERROR(__xludf.DUMMYFUNCTION("""COMPUTED_VALUE"""),474886252004)</f>
        <v>474886252004</v>
      </c>
      <c r="F942" s="1" t="str">
        <f>IFERROR(__xludf.DUMMYFUNCTION("""COMPUTED_VALUE"""),"CLOSED")</f>
        <v>CLOSED</v>
      </c>
      <c r="G942" s="1" t="str">
        <f>IFERROR(__xludf.DUMMYFUNCTION("""COMPUTED_VALUE"""),"CLOSED")</f>
        <v>CLOSED</v>
      </c>
      <c r="H942" s="1" t="str">
        <f>IFERROR(__xludf.DUMMYFUNCTION("""COMPUTED_VALUE"""),"PAID VIA GCASH - OCT 9 - REF - 608504954")</f>
        <v>PAID VIA GCASH - OCT 9 - REF - 608504954</v>
      </c>
      <c r="I942" s="1" t="str">
        <f>IFERROR(__xludf.DUMMYFUNCTION("""COMPUTED_VALUE"""),"WITH 1 AMSF")</f>
        <v>WITH 1 AMSF</v>
      </c>
      <c r="J942" s="1"/>
      <c r="K942" s="1" t="str">
        <f>IFERROR(__xludf.DUMMYFUNCTION("""COMPUTED_VALUE"""),"COMPLETED")</f>
        <v>COMPLETED</v>
      </c>
      <c r="L942" s="1" t="str">
        <f>IFERROR(__xludf.DUMMYFUNCTION("""COMPUTED_VALUE"""),"POSTED")</f>
        <v>POSTED</v>
      </c>
      <c r="M942" s="1" t="str">
        <f>IFERROR(__xludf.DUMMYFUNCTION("""COMPUTED_VALUE"""),"POSTED")</f>
        <v>POSTED</v>
      </c>
      <c r="N942" s="3">
        <f>IFERROR(__xludf.DUMMYFUNCTION("""COMPUTED_VALUE"""),46305)</f>
        <v>46305</v>
      </c>
      <c r="O942" s="1" t="str">
        <f>IFERROR(__xludf.DUMMYFUNCTION("""COMPUTED_VALUE"""),"FIBER UNLI ALL PLAN 1499")</f>
        <v>FIBER UNLI ALL PLAN 1499</v>
      </c>
      <c r="P942" s="1" t="str">
        <f>IFERROR(__xludf.DUMMYFUNCTION("""COMPUTED_VALUE"""),"LOWPLAN")</f>
        <v>LOWPLAN</v>
      </c>
      <c r="Q942" s="1" t="str">
        <f>IFERROR(__xludf.DUMMYFUNCTION("""COMPUTED_VALUE"""),"P407517")</f>
        <v>P407517</v>
      </c>
      <c r="R942" s="1" t="str">
        <f>IFERROR(__xludf.DUMMYFUNCTION("""COMPUTED_VALUE"""),"GABAY, MANUEL")</f>
        <v>GABAY, MANUEL</v>
      </c>
      <c r="S942" s="1" t="str">
        <f>IFERROR(__xludf.DUMMYFUNCTION("""COMPUTED_VALUE"""),"FLA")</f>
        <v>FLA</v>
      </c>
      <c r="T942" s="1" t="str">
        <f>IFERROR(__xludf.DUMMYFUNCTION("""COMPUTED_VALUE"""),"JERIC NAVARRO")</f>
        <v>JERIC NAVARRO</v>
      </c>
      <c r="U942" s="1" t="str">
        <f>IFERROR(__xludf.DUMMYFUNCTION("""COMPUTED_VALUE"""),"JB SALIOA")</f>
        <v>JB SALIOA</v>
      </c>
      <c r="V942" s="1" t="str">
        <f>IFERROR(__xludf.DUMMYFUNCTION("""COMPUTED_VALUE"""),"BK HSTK")</f>
        <v>BK HSTK</v>
      </c>
      <c r="W942" s="1" t="str">
        <f>IFERROR(__xludf.DUMMYFUNCTION("""COMPUTED_VALUE"""),"BK HSTK")</f>
        <v>BK HSTK</v>
      </c>
      <c r="X942" s="1" t="str">
        <f>IFERROR(__xludf.DUMMYFUNCTION("""COMPUTED_VALUE"""),"REGULAR")</f>
        <v>REGULAR</v>
      </c>
      <c r="Y942" s="1" t="str">
        <f>IFERROR(__xludf.DUMMYFUNCTION("""COMPUTED_VALUE"""),"BK_CVEU_261005")</f>
        <v>BK_CVEU_261005</v>
      </c>
      <c r="Z942" s="1" t="str">
        <f>IFERROR(__xludf.DUMMYFUNCTION("""COMPUTED_VALUE"""),"NEW CONNECT")</f>
        <v>NEW CONNECT</v>
      </c>
      <c r="AA942" s="1">
        <f>IFERROR(__xludf.DUMMYFUNCTION("""COMPUTED_VALUE"""),639568890488)</f>
        <v>639568890488</v>
      </c>
      <c r="AB942" s="1">
        <f>IFERROR(__xludf.DUMMYFUNCTION("""COMPUTED_VALUE"""),639609284027)</f>
        <v>639609284027</v>
      </c>
      <c r="AC942" s="1">
        <f>IFERROR(__xludf.DUMMYFUNCTION("""COMPUTED_VALUE"""),151)</f>
        <v>151</v>
      </c>
      <c r="AD942" s="1" t="str">
        <f>IFERROR(__xludf.DUMMYFUNCTION("""COMPUTED_VALUE"""),"DIMAPILIS")</f>
        <v>DIMAPILIS</v>
      </c>
      <c r="AE942" s="1"/>
      <c r="AF942" s="1" t="str">
        <f>IFERROR(__xludf.DUMMYFUNCTION("""COMPUTED_VALUE"""),"BGY ANULING CERCA 1")</f>
        <v>BGY ANULING CERCA 1</v>
      </c>
      <c r="AG942" s="1" t="str">
        <f>IFERROR(__xludf.DUMMYFUNCTION("""COMPUTED_VALUE"""),"MENDEZ")</f>
        <v>MENDEZ</v>
      </c>
      <c r="AH942" s="1" t="str">
        <f>IFERROR(__xludf.DUMMYFUNCTION("""COMPUTED_VALUE"""),"ANULING ELEMENTARY SCHOOL")</f>
        <v>ANULING ELEMENTARY SCHOOL</v>
      </c>
      <c r="AI942" s="1" t="str">
        <f>IFERROR(__xludf.DUMMYFUNCTION("""COMPUTED_VALUE"""),"CLUSTER 12")</f>
        <v>CLUSTER 12</v>
      </c>
    </row>
    <row r="943" customHeight="1" spans="1:35">
      <c r="A943" s="3">
        <f>IFERROR(__xludf.DUMMYFUNCTION("""COMPUTED_VALUE"""),46304)</f>
        <v>46304</v>
      </c>
      <c r="B943" s="1" t="str">
        <f>IFERROR(__xludf.DUMMYFUNCTION("""COMPUTED_VALUE""")," EL JOMER DIAZ SENITA")</f>
        <v> EL JOMER DIAZ SENITA</v>
      </c>
      <c r="C943" s="1">
        <f>IFERROR(__xludf.DUMMYFUNCTION("""COMPUTED_VALUE"""),2313064376)</f>
        <v>2313064376</v>
      </c>
      <c r="D943" s="1"/>
      <c r="E943" s="1"/>
      <c r="F943" s="1" t="str">
        <f>IFERROR(__xludf.DUMMYFUNCTION("""COMPUTED_VALUE"""),"REENCODED")</f>
        <v>REENCODED</v>
      </c>
      <c r="G943" s="1" t="str">
        <f>IFERROR(__xludf.DUMMYFUNCTION("""COMPUTED_VALUE"""),"(P-OTHERS) &amp;#8203;DISAPPROVED| INCORRECT ENCODED DOB - IN CSP 06/07/1994 VS IN POID - 06/07/1992 | STAND ALONE SUBMITTED POID WITH CUT BACK PORION | CANT CONSIDER SUBMTTED SELFIE PIC OF SUBS DUE TO UNCLEAR SIGNATURE | TU SCORING - FF - 2 (NTC) | WITH 1 AM"&amp;"SF REQUIREMENT | NO BLACKLIST HIT | wih same cbr - 0406300986 0360532909 0384416268 | call thru: 09936180256 6:57 pm | talked to subs confirmed applying and verifed cbr ")</f>
        <v>(P-OTHERS) &amp;#8203;DISAPPROVED| INCORRECT ENCODED DOB - IN CSP 06/07/1994 VS IN POID - 06/07/1992 | STAND ALONE SUBMITTED POID WITH CUT BACK PORION | CANT CONSIDER SUBMTTED SELFIE PIC OF SUBS DUE TO UNCLEAR SIGNATURE | TU SCORING - FF - 2 (NTC) | WITH 1 AMSF REQUIREMENT | NO BLACKLIST HIT | wih same cbr - 0406300986 0360532909 0384416268 | call thru: 09936180256 6:57 pm | talked to subs confirmed applying and verifed cbr </v>
      </c>
      <c r="H943" s="1"/>
      <c r="I943" s="1"/>
      <c r="J943" s="1"/>
      <c r="K943" s="1"/>
      <c r="L943" s="1" t="str">
        <f>IFERROR(__xludf.DUMMYFUNCTION("""COMPUTED_VALUE"""),"REENCODED")</f>
        <v>REENCODED</v>
      </c>
      <c r="M943" s="1" t="str">
        <f>IFERROR(__xludf.DUMMYFUNCTION("""COMPUTED_VALUE"""),"REENCODED")</f>
        <v>REENCODED</v>
      </c>
      <c r="N943" s="3"/>
      <c r="O943" s="1" t="str">
        <f>IFERROR(__xludf.DUMMYFUNCTION("""COMPUTED_VALUE"""),"FIBER UNLI ALL PLAN 2599")</f>
        <v>FIBER UNLI ALL PLAN 2599</v>
      </c>
      <c r="P943" s="1" t="str">
        <f>IFERROR(__xludf.DUMMYFUNCTION("""COMPUTED_VALUE"""),"HIGHPLAN")</f>
        <v>HIGHPLAN</v>
      </c>
      <c r="Q943" s="1" t="str">
        <f>IFERROR(__xludf.DUMMYFUNCTION("""COMPUTED_VALUE"""),"P407520 ")</f>
        <v>P407520 </v>
      </c>
      <c r="R943" s="1" t="str">
        <f>IFERROR(__xludf.DUMMYFUNCTION("""COMPUTED_VALUE"""),"MALIWAT, MARK")</f>
        <v>MALIWAT, MARK</v>
      </c>
      <c r="S943" s="1" t="str">
        <f>IFERROR(__xludf.DUMMYFUNCTION("""COMPUTED_VALUE"""),"FLA")</f>
        <v>FLA</v>
      </c>
      <c r="T943" s="1" t="str">
        <f>IFERROR(__xludf.DUMMYFUNCTION("""COMPUTED_VALUE"""),"JERIC NAVARRO")</f>
        <v>JERIC NAVARRO</v>
      </c>
      <c r="U943" s="1" t="str">
        <f>IFERROR(__xludf.DUMMYFUNCTION("""COMPUTED_VALUE"""),"JULIE ESPIRITU")</f>
        <v>JULIE ESPIRITU</v>
      </c>
      <c r="V943" s="1" t="str">
        <f>IFERROR(__xludf.DUMMYFUNCTION("""COMPUTED_VALUE"""),"ONLINE/CRANFORD")</f>
        <v>ONLINE/CRANFORD</v>
      </c>
      <c r="W943" s="1" t="str">
        <f>IFERROR(__xludf.DUMMYFUNCTION("""COMPUTED_VALUE"""),"STK REGULAR")</f>
        <v>STK REGULAR</v>
      </c>
      <c r="X943" s="1" t="str">
        <f>IFERROR(__xludf.DUMMYFUNCTION("""COMPUTED_VALUE"""),"REGULAR")</f>
        <v>REGULAR</v>
      </c>
      <c r="Y943" s="1" t="str">
        <f>IFERROR(__xludf.DUMMYFUNCTION("""COMPUTED_VALUE"""),"RS_ONL_CVEU_2026")</f>
        <v>RS_ONL_CVEU_2026</v>
      </c>
      <c r="Z943" s="1" t="str">
        <f>IFERROR(__xludf.DUMMYFUNCTION("""COMPUTED_VALUE"""),"NEW CONNECT")</f>
        <v>NEW CONNECT</v>
      </c>
      <c r="AA943" s="1">
        <f>IFERROR(__xludf.DUMMYFUNCTION("""COMPUTED_VALUE"""),639936180256)</f>
        <v>639936180256</v>
      </c>
      <c r="AB943" s="1">
        <f>IFERROR(__xludf.DUMMYFUNCTION("""COMPUTED_VALUE"""),639175175424)</f>
        <v>639175175424</v>
      </c>
      <c r="AC943" s="1">
        <f>IFERROR(__xludf.DUMMYFUNCTION("""COMPUTED_VALUE"""),6)</f>
        <v>6</v>
      </c>
      <c r="AD943" s="1" t="str">
        <f>IFERROR(__xludf.DUMMYFUNCTION("""COMPUTED_VALUE"""),"BOUGAINVILLA")</f>
        <v>BOUGAINVILLA</v>
      </c>
      <c r="AE943" s="1" t="str">
        <f>IFERROR(__xludf.DUMMYFUNCTION("""COMPUTED_VALUE"""),"PAYAPA SUBDIVISION")</f>
        <v>PAYAPA SUBDIVISION</v>
      </c>
      <c r="AF943" s="1" t="str">
        <f>IFERROR(__xludf.DUMMYFUNCTION("""COMPUTED_VALUE"""),"BGY GALICIA 3")</f>
        <v>BGY GALICIA 3</v>
      </c>
      <c r="AG943" s="1" t="str">
        <f>IFERROR(__xludf.DUMMYFUNCTION("""COMPUTED_VALUE"""),"MENDEZ")</f>
        <v>MENDEZ</v>
      </c>
      <c r="AH943" s="1" t="str">
        <f>IFERROR(__xludf.DUMMYFUNCTION("""COMPUTED_VALUE"""),"XIOMING COLLEGE")</f>
        <v>XIOMING COLLEGE</v>
      </c>
      <c r="AI943" s="1" t="str">
        <f>IFERROR(__xludf.DUMMYFUNCTION("""COMPUTED_VALUE"""),"CLUSTER 12")</f>
        <v>CLUSTER 12</v>
      </c>
    </row>
    <row r="944" customHeight="1" spans="1:35">
      <c r="A944" s="3">
        <f>IFERROR(__xludf.DUMMYFUNCTION("""COMPUTED_VALUE"""),46304)</f>
        <v>46304</v>
      </c>
      <c r="B944" s="1" t="str">
        <f>IFERROR(__xludf.DUMMYFUNCTION("""COMPUTED_VALUE"""),"ALITH JR ROSAS PACHECO")</f>
        <v>ALITH JR ROSAS PACHECO</v>
      </c>
      <c r="C944" s="1">
        <f>IFERROR(__xludf.DUMMYFUNCTION("""COMPUTED_VALUE"""),2313064675)</f>
        <v>2313064675</v>
      </c>
      <c r="D944" s="1">
        <f>IFERROR(__xludf.DUMMYFUNCTION("""COMPUTED_VALUE"""),408843413)</f>
        <v>408843413</v>
      </c>
      <c r="E944" s="1">
        <f>IFERROR(__xludf.DUMMYFUNCTION("""COMPUTED_VALUE"""),474973170004)</f>
        <v>474973170004</v>
      </c>
      <c r="F944" s="1" t="str">
        <f>IFERROR(__xludf.DUMMYFUNCTION("""COMPUTED_VALUE"""),"CLOSED")</f>
        <v>CLOSED</v>
      </c>
      <c r="G944" s="1" t="str">
        <f>IFERROR(__xludf.DUMMYFUNCTION("""COMPUTED_VALUE"""),"CLOSED")</f>
        <v>CLOSED</v>
      </c>
      <c r="H944" s="1" t="str">
        <f>IFERROR(__xludf.DUMMYFUNCTION("""COMPUTED_VALUE"""),"PAID VIA GCASH - OCT 13 - REF - 870032762")</f>
        <v>PAID VIA GCASH - OCT 13 - REF - 870032762</v>
      </c>
      <c r="I944" s="1" t="str">
        <f>IFERROR(__xludf.DUMMYFUNCTION("""COMPUTED_VALUE"""),"WITH 1 AMSF")</f>
        <v>WITH 1 AMSF</v>
      </c>
      <c r="J944" s="1"/>
      <c r="K944" s="1" t="str">
        <f>IFERROR(__xludf.DUMMYFUNCTION("""COMPUTED_VALUE"""),"COMPLETED")</f>
        <v>COMPLETED</v>
      </c>
      <c r="L944" s="1" t="str">
        <f>IFERROR(__xludf.DUMMYFUNCTION("""COMPUTED_VALUE"""),"POSTED")</f>
        <v>POSTED</v>
      </c>
      <c r="M944" s="1" t="str">
        <f>IFERROR(__xludf.DUMMYFUNCTION("""COMPUTED_VALUE"""),"POSTED")</f>
        <v>POSTED</v>
      </c>
      <c r="N944" s="3">
        <f>IFERROR(__xludf.DUMMYFUNCTION("""COMPUTED_VALUE"""),46309)</f>
        <v>46309</v>
      </c>
      <c r="O944" s="1" t="str">
        <f>IFERROR(__xludf.DUMMYFUNCTION("""COMPUTED_VALUE"""),"SWITCH FIBER 1299")</f>
        <v>SWITCH FIBER 1299</v>
      </c>
      <c r="P944" s="1" t="str">
        <f>IFERROR(__xludf.DUMMYFUNCTION("""COMPUTED_VALUE"""),"SWITCH")</f>
        <v>SWITCH</v>
      </c>
      <c r="Q944" s="1" t="str">
        <f>IFERROR(__xludf.DUMMYFUNCTION("""COMPUTED_VALUE"""),"P407517")</f>
        <v>P407517</v>
      </c>
      <c r="R944" s="1" t="str">
        <f>IFERROR(__xludf.DUMMYFUNCTION("""COMPUTED_VALUE"""),"GABAY, MANUEL")</f>
        <v>GABAY, MANUEL</v>
      </c>
      <c r="S944" s="1" t="str">
        <f>IFERROR(__xludf.DUMMYFUNCTION("""COMPUTED_VALUE"""),"FLA")</f>
        <v>FLA</v>
      </c>
      <c r="T944" s="1" t="str">
        <f>IFERROR(__xludf.DUMMYFUNCTION("""COMPUTED_VALUE"""),"JERIC NAVARRO")</f>
        <v>JERIC NAVARRO</v>
      </c>
      <c r="U944" s="1" t="str">
        <f>IFERROR(__xludf.DUMMYFUNCTION("""COMPUTED_VALUE"""),"JB SALIOA")</f>
        <v>JB SALIOA</v>
      </c>
      <c r="V944" s="1" t="str">
        <f>IFERROR(__xludf.DUMMYFUNCTION("""COMPUTED_VALUE"""),"BK REGULAR")</f>
        <v>BK REGULAR</v>
      </c>
      <c r="W944" s="1" t="str">
        <f>IFERROR(__xludf.DUMMYFUNCTION("""COMPUTED_VALUE"""),"STK REGULAR")</f>
        <v>STK REGULAR</v>
      </c>
      <c r="X944" s="1" t="str">
        <f>IFERROR(__xludf.DUMMYFUNCTION("""COMPUTED_VALUE"""),"ANTI COMPETITOR")</f>
        <v>ANTI COMPETITOR</v>
      </c>
      <c r="Y944" s="1" t="str">
        <f>IFERROR(__xludf.DUMMYFUNCTION("""COMPUTED_VALUE"""),"BK_CVEU_261005")</f>
        <v>BK_CVEU_261005</v>
      </c>
      <c r="Z944" s="1" t="str">
        <f>IFERROR(__xludf.DUMMYFUNCTION("""COMPUTED_VALUE"""),"NEW CONNECT")</f>
        <v>NEW CONNECT</v>
      </c>
      <c r="AA944" s="1">
        <f>IFERROR(__xludf.DUMMYFUNCTION("""COMPUTED_VALUE"""),639278971139)</f>
        <v>639278971139</v>
      </c>
      <c r="AB944" s="1">
        <f>IFERROR(__xludf.DUMMYFUNCTION("""COMPUTED_VALUE"""),639692941352)</f>
        <v>639692941352</v>
      </c>
      <c r="AC944" s="1">
        <f>IFERROR(__xludf.DUMMYFUNCTION("""COMPUTED_VALUE"""),36)</f>
        <v>36</v>
      </c>
      <c r="AD944" s="1" t="str">
        <f>IFERROR(__xludf.DUMMYFUNCTION("""COMPUTED_VALUE"""),"GATPANDAN")</f>
        <v>GATPANDAN</v>
      </c>
      <c r="AE944" s="1"/>
      <c r="AF944" s="1" t="str">
        <f>IFERROR(__xludf.DUMMYFUNCTION("""COMPUTED_VALUE"""),"BGY ANULING LEJOS 2")</f>
        <v>BGY ANULING LEJOS 2</v>
      </c>
      <c r="AG944" s="1" t="str">
        <f>IFERROR(__xludf.DUMMYFUNCTION("""COMPUTED_VALUE"""),"MENDEZ")</f>
        <v>MENDEZ</v>
      </c>
      <c r="AH944" s="1" t="str">
        <f>IFERROR(__xludf.DUMMYFUNCTION("""COMPUTED_VALUE"""),"-")</f>
        <v>-</v>
      </c>
      <c r="AI944" s="1" t="str">
        <f>IFERROR(__xludf.DUMMYFUNCTION("""COMPUTED_VALUE"""),"CLUSTER 12")</f>
        <v>CLUSTER 12</v>
      </c>
    </row>
    <row r="945" customHeight="1" spans="1:35">
      <c r="A945" s="3">
        <f>IFERROR(__xludf.DUMMYFUNCTION("""COMPUTED_VALUE"""),46304)</f>
        <v>46304</v>
      </c>
      <c r="B945" s="1" t="str">
        <f>IFERROR(__xludf.DUMMYFUNCTION("""COMPUTED_VALUE"""),"DAISERIE ARAO FLORES")</f>
        <v>DAISERIE ARAO FLORES</v>
      </c>
      <c r="C945" s="1">
        <f>IFERROR(__xludf.DUMMYFUNCTION("""COMPUTED_VALUE"""),2313065076)</f>
        <v>2313065076</v>
      </c>
      <c r="D945" s="1">
        <f>IFERROR(__xludf.DUMMYFUNCTION("""COMPUTED_VALUE"""),408842425)</f>
        <v>408842425</v>
      </c>
      <c r="E945" s="1">
        <f>IFERROR(__xludf.DUMMYFUNCTION("""COMPUTED_VALUE"""),474972278004)</f>
        <v>474972278004</v>
      </c>
      <c r="F945" s="1" t="str">
        <f>IFERROR(__xludf.DUMMYFUNCTION("""COMPUTED_VALUE"""),"CLOSED")</f>
        <v>CLOSED</v>
      </c>
      <c r="G945" s="1" t="str">
        <f>IFERROR(__xludf.DUMMYFUNCTION("""COMPUTED_VALUE"""),"CLOSED")</f>
        <v>CLOSED</v>
      </c>
      <c r="H945" s="1" t="str">
        <f>IFERROR(__xludf.DUMMYFUNCTION("""COMPUTED_VALUE"""),"PAID THRU GCASH 471090999 OCT 11")</f>
        <v>PAID THRU GCASH 471090999 OCT 11</v>
      </c>
      <c r="I945" s="1" t="str">
        <f>IFERROR(__xludf.DUMMYFUNCTION("""COMPUTED_VALUE"""),"WITH 1 AMSF")</f>
        <v>WITH 1 AMSF</v>
      </c>
      <c r="J945" s="1"/>
      <c r="K945" s="1" t="str">
        <f>IFERROR(__xludf.DUMMYFUNCTION("""COMPUTED_VALUE"""),"COMPLETED")</f>
        <v>COMPLETED</v>
      </c>
      <c r="L945" s="1" t="str">
        <f>IFERROR(__xludf.DUMMYFUNCTION("""COMPUTED_VALUE"""),"POSTED")</f>
        <v>POSTED</v>
      </c>
      <c r="M945" s="1" t="str">
        <f>IFERROR(__xludf.DUMMYFUNCTION("""COMPUTED_VALUE"""),"POSTED")</f>
        <v>POSTED</v>
      </c>
      <c r="N945" s="3">
        <f>IFERROR(__xludf.DUMMYFUNCTION("""COMPUTED_VALUE"""),46306)</f>
        <v>46306</v>
      </c>
      <c r="O945" s="1" t="str">
        <f>IFERROR(__xludf.DUMMYFUNCTION("""COMPUTED_VALUE"""),"FIBER UNLI PLAN 1399")</f>
        <v>FIBER UNLI PLAN 1399</v>
      </c>
      <c r="P945" s="1" t="str">
        <f>IFERROR(__xludf.DUMMYFUNCTION("""COMPUTED_VALUE"""),"LOWPLAN")</f>
        <v>LOWPLAN</v>
      </c>
      <c r="Q945" s="1" t="str">
        <f>IFERROR(__xludf.DUMMYFUNCTION("""COMPUTED_VALUE"""),"P407520")</f>
        <v>P407520</v>
      </c>
      <c r="R945" s="1" t="str">
        <f>IFERROR(__xludf.DUMMYFUNCTION("""COMPUTED_VALUE"""),"MALIWAT, MARK")</f>
        <v>MALIWAT, MARK</v>
      </c>
      <c r="S945" s="1" t="str">
        <f>IFERROR(__xludf.DUMMYFUNCTION("""COMPUTED_VALUE"""),"FLA")</f>
        <v>FLA</v>
      </c>
      <c r="T945" s="1" t="str">
        <f>IFERROR(__xludf.DUMMYFUNCTION("""COMPUTED_VALUE"""),"JERIC NAVARRO")</f>
        <v>JERIC NAVARRO</v>
      </c>
      <c r="U945" s="1" t="str">
        <f>IFERROR(__xludf.DUMMYFUNCTION("""COMPUTED_VALUE"""),"JB SALIOA")</f>
        <v>JB SALIOA</v>
      </c>
      <c r="V945" s="1" t="str">
        <f>IFERROR(__xludf.DUMMYFUNCTION("""COMPUTED_VALUE"""),"BK REGULAR")</f>
        <v>BK REGULAR</v>
      </c>
      <c r="W945" s="1" t="str">
        <f>IFERROR(__xludf.DUMMYFUNCTION("""COMPUTED_VALUE"""),"STK REGULAR")</f>
        <v>STK REGULAR</v>
      </c>
      <c r="X945" s="1" t="str">
        <f>IFERROR(__xludf.DUMMYFUNCTION("""COMPUTED_VALUE"""),"FIBER 1399 98TH YR")</f>
        <v>FIBER 1399 98TH YR</v>
      </c>
      <c r="Y945" s="1" t="str">
        <f>IFERROR(__xludf.DUMMYFUNCTION("""COMPUTED_VALUE"""),"BK_CVEU_261001")</f>
        <v>BK_CVEU_261001</v>
      </c>
      <c r="Z945" s="1" t="str">
        <f>IFERROR(__xludf.DUMMYFUNCTION("""COMPUTED_VALUE"""),"NEW CONNECT")</f>
        <v>NEW CONNECT</v>
      </c>
      <c r="AA945" s="1">
        <f>IFERROR(__xludf.DUMMYFUNCTION("""COMPUTED_VALUE"""),639350380453)</f>
        <v>639350380453</v>
      </c>
      <c r="AB945" s="1">
        <f>IFERROR(__xludf.DUMMYFUNCTION("""COMPUTED_VALUE"""),639168749958)</f>
        <v>639168749958</v>
      </c>
      <c r="AC945" s="1"/>
      <c r="AD945" s="1" t="str">
        <f>IFERROR(__xludf.DUMMYFUNCTION("""COMPUTED_VALUE"""),"MANGAS 1")</f>
        <v>MANGAS 1</v>
      </c>
      <c r="AE945" s="1"/>
      <c r="AF945" s="1" t="str">
        <f>IFERROR(__xludf.DUMMYFUNCTION("""COMPUTED_VALUE"""),"BGY MANGAS 1")</f>
        <v>BGY MANGAS 1</v>
      </c>
      <c r="AG945" s="1" t="str">
        <f>IFERROR(__xludf.DUMMYFUNCTION("""COMPUTED_VALUE"""),"ALFONSO")</f>
        <v>ALFONSO</v>
      </c>
      <c r="AH945" s="1" t="str">
        <f>IFERROR(__xludf.DUMMYFUNCTION("""COMPUTED_VALUE"""),"ALFAMART")</f>
        <v>ALFAMART</v>
      </c>
      <c r="AI945" s="1" t="str">
        <f>IFERROR(__xludf.DUMMYFUNCTION("""COMPUTED_VALUE"""),"CLUSTER 12")</f>
        <v>CLUSTER 12</v>
      </c>
    </row>
    <row r="946" customHeight="1" spans="1:35">
      <c r="A946" s="3">
        <f>IFERROR(__xludf.DUMMYFUNCTION("""COMPUTED_VALUE"""),46304)</f>
        <v>46304</v>
      </c>
      <c r="B946" s="1" t="str">
        <f>IFERROR(__xludf.DUMMYFUNCTION("""COMPUTED_VALUE"""),"JULIAN DIOQUINO DELGADO")</f>
        <v>JULIAN DIOQUINO DELGADO</v>
      </c>
      <c r="C946" s="1">
        <f>IFERROR(__xludf.DUMMYFUNCTION("""COMPUTED_VALUE"""),2313065512)</f>
        <v>2313065512</v>
      </c>
      <c r="D946" s="1">
        <f>IFERROR(__xludf.DUMMYFUNCTION("""COMPUTED_VALUE"""),408819555)</f>
        <v>408819555</v>
      </c>
      <c r="E946" s="1">
        <f>IFERROR(__xludf.DUMMYFUNCTION("""COMPUTED_VALUE"""),474889259004)</f>
        <v>474889259004</v>
      </c>
      <c r="F946" s="1" t="str">
        <f>IFERROR(__xludf.DUMMYFUNCTION("""COMPUTED_VALUE"""),"CLOSED")</f>
        <v>CLOSED</v>
      </c>
      <c r="G946" s="1" t="str">
        <f>IFERROR(__xludf.DUMMYFUNCTION("""COMPUTED_VALUE"""),"CLOSED")</f>
        <v>CLOSED</v>
      </c>
      <c r="H946" s="1" t="str">
        <f>IFERROR(__xludf.DUMMYFUNCTION("""COMPUTED_VALUE"""),"PQGOR367028389	12-Oct-26	Regular Payment	CIS-GCASH 3.0	1,649.00	0	12-Oct-26")</f>
        <v>PQGOR367028389	12-Oct-26	Regular Payment	CIS-GCASH 3.0	1,649.00	0	12-Oct-26</v>
      </c>
      <c r="I946" s="1" t="str">
        <f>IFERROR(__xludf.DUMMYFUNCTION("""COMPUTED_VALUE"""),"WITH 1 AMSF")</f>
        <v>WITH 1 AMSF</v>
      </c>
      <c r="J946" s="1"/>
      <c r="K946" s="1" t="str">
        <f>IFERROR(__xludf.DUMMYFUNCTION("""COMPUTED_VALUE"""),"COMPLETED")</f>
        <v>COMPLETED</v>
      </c>
      <c r="L946" s="1" t="str">
        <f>IFERROR(__xludf.DUMMYFUNCTION("""COMPUTED_VALUE"""),"POSTED")</f>
        <v>POSTED</v>
      </c>
      <c r="M946" s="1" t="str">
        <f>IFERROR(__xludf.DUMMYFUNCTION("""COMPUTED_VALUE"""),"POSTED")</f>
        <v>POSTED</v>
      </c>
      <c r="N946" s="3">
        <f>IFERROR(__xludf.DUMMYFUNCTION("""COMPUTED_VALUE"""),46308)</f>
        <v>46308</v>
      </c>
      <c r="O946" s="1" t="str">
        <f>IFERROR(__xludf.DUMMYFUNCTION("""COMPUTED_VALUE"""),"FIBER UNLI ALL PLAN 1499")</f>
        <v>FIBER UNLI ALL PLAN 1499</v>
      </c>
      <c r="P946" s="1" t="str">
        <f>IFERROR(__xludf.DUMMYFUNCTION("""COMPUTED_VALUE"""),"LOWPLAN")</f>
        <v>LOWPLAN</v>
      </c>
      <c r="Q946" s="1" t="str">
        <f>IFERROR(__xludf.DUMMYFUNCTION("""COMPUTED_VALUE"""),"P407517")</f>
        <v>P407517</v>
      </c>
      <c r="R946" s="1" t="str">
        <f>IFERROR(__xludf.DUMMYFUNCTION("""COMPUTED_VALUE"""),"GABAY, MANUEL")</f>
        <v>GABAY, MANUEL</v>
      </c>
      <c r="S946" s="1" t="str">
        <f>IFERROR(__xludf.DUMMYFUNCTION("""COMPUTED_VALUE"""),"FLA")</f>
        <v>FLA</v>
      </c>
      <c r="T946" s="1" t="str">
        <f>IFERROR(__xludf.DUMMYFUNCTION("""COMPUTED_VALUE"""),"JERIC NAVARRO")</f>
        <v>JERIC NAVARRO</v>
      </c>
      <c r="U946" s="1" t="str">
        <f>IFERROR(__xludf.DUMMYFUNCTION("""COMPUTED_VALUE"""),"JB SALIOA")</f>
        <v>JB SALIOA</v>
      </c>
      <c r="V946" s="1" t="str">
        <f>IFERROR(__xludf.DUMMYFUNCTION("""COMPUTED_VALUE"""),"BK HSTK")</f>
        <v>BK HSTK</v>
      </c>
      <c r="W946" s="1" t="str">
        <f>IFERROR(__xludf.DUMMYFUNCTION("""COMPUTED_VALUE"""),"BK HSTK")</f>
        <v>BK HSTK</v>
      </c>
      <c r="X946" s="1" t="str">
        <f>IFERROR(__xludf.DUMMYFUNCTION("""COMPUTED_VALUE"""),"REGULAR")</f>
        <v>REGULAR</v>
      </c>
      <c r="Y946" s="1" t="str">
        <f>IFERROR(__xludf.DUMMYFUNCTION("""COMPUTED_VALUE"""),"BK_CVEU_261005")</f>
        <v>BK_CVEU_261005</v>
      </c>
      <c r="Z946" s="1" t="str">
        <f>IFERROR(__xludf.DUMMYFUNCTION("""COMPUTED_VALUE"""),"NEW CONNECT")</f>
        <v>NEW CONNECT</v>
      </c>
      <c r="AA946" s="1">
        <f>IFERROR(__xludf.DUMMYFUNCTION("""COMPUTED_VALUE"""),639924613910)</f>
        <v>639924613910</v>
      </c>
      <c r="AB946" s="1">
        <f>IFERROR(__xludf.DUMMYFUNCTION("""COMPUTED_VALUE"""),639166884143)</f>
        <v>639166884143</v>
      </c>
      <c r="AC946" s="1">
        <f>IFERROR(__xludf.DUMMYFUNCTION("""COMPUTED_VALUE"""),9012)</f>
        <v>9012</v>
      </c>
      <c r="AD946" s="1" t="str">
        <f>IFERROR(__xludf.DUMMYFUNCTION("""COMPUTED_VALUE"""),"INDANG")</f>
        <v>INDANG</v>
      </c>
      <c r="AE946" s="1"/>
      <c r="AF946" s="1" t="str">
        <f>IFERROR(__xludf.DUMMYFUNCTION("""COMPUTED_VALUE"""),"BGY BANAYAD")</f>
        <v>BGY BANAYAD</v>
      </c>
      <c r="AG946" s="1" t="str">
        <f>IFERROR(__xludf.DUMMYFUNCTION("""COMPUTED_VALUE"""),"MENDEZ")</f>
        <v>MENDEZ</v>
      </c>
      <c r="AH946" s="1" t="str">
        <f>IFERROR(__xludf.DUMMYFUNCTION("""COMPUTED_VALUE"""),"-")</f>
        <v>-</v>
      </c>
      <c r="AI946" s="1" t="str">
        <f>IFERROR(__xludf.DUMMYFUNCTION("""COMPUTED_VALUE"""),"CLUSTER 12")</f>
        <v>CLUSTER 12</v>
      </c>
    </row>
    <row r="947" customHeight="1" spans="1:35">
      <c r="A947" s="3">
        <f>IFERROR(__xludf.DUMMYFUNCTION("""COMPUTED_VALUE"""),46304)</f>
        <v>46304</v>
      </c>
      <c r="B947" s="1" t="str">
        <f>IFERROR(__xludf.DUMMYFUNCTION("""COMPUTED_VALUE"""),"PHIA ANN ZUNIEGA BLASO")</f>
        <v>PHIA ANN ZUNIEGA BLASO</v>
      </c>
      <c r="C947" s="1">
        <f>IFERROR(__xludf.DUMMYFUNCTION("""COMPUTED_VALUE"""),2313066060)</f>
        <v>2313066060</v>
      </c>
      <c r="D947" s="1">
        <f>IFERROR(__xludf.DUMMYFUNCTION("""COMPUTED_VALUE"""),408820774)</f>
        <v>408820774</v>
      </c>
      <c r="E947" s="1">
        <f>IFERROR(__xludf.DUMMYFUNCTION("""COMPUTED_VALUE"""),474890516004)</f>
        <v>474890516004</v>
      </c>
      <c r="F947" s="1" t="str">
        <f>IFERROR(__xludf.DUMMYFUNCTION("""COMPUTED_VALUE"""),"CANCELED")</f>
        <v>CANCELED</v>
      </c>
      <c r="G947" s="1" t="str">
        <f>IFERROR(__xludf.DUMMYFUNCTION("""COMPUTED_VALUE"""),"CANCEL APPLICATION, NO LONGER INTERESTED, SAGLIT NA LANG DAW SYA MAG STAY SA APARTMENT NYA")</f>
        <v>CANCEL APPLICATION, NO LONGER INTERESTED, SAGLIT NA LANG DAW SYA MAG STAY SA APARTMENT NYA</v>
      </c>
      <c r="H947" s="1"/>
      <c r="I947" s="1"/>
      <c r="J947" s="1"/>
      <c r="K947" s="1" t="str">
        <f>IFERROR(__xludf.DUMMYFUNCTION("""COMPUTED_VALUE"""),"CANCELED")</f>
        <v>CANCELED</v>
      </c>
      <c r="L947" s="1" t="str">
        <f>IFERROR(__xludf.DUMMYFUNCTION("""COMPUTED_VALUE"""),"CANCELLED")</f>
        <v>CANCELLED</v>
      </c>
      <c r="M947" s="1" t="str">
        <f>IFERROR(__xludf.DUMMYFUNCTION("""COMPUTED_VALUE"""),"CSP CANCELLED")</f>
        <v>CSP CANCELLED</v>
      </c>
      <c r="N947" s="3"/>
      <c r="O947" s="1" t="str">
        <f>IFERROR(__xludf.DUMMYFUNCTION("""COMPUTED_VALUE"""),"FIBER UNLI PLAN 1399")</f>
        <v>FIBER UNLI PLAN 1399</v>
      </c>
      <c r="P947" s="1" t="str">
        <f>IFERROR(__xludf.DUMMYFUNCTION("""COMPUTED_VALUE"""),"LOWPLAN")</f>
        <v>LOWPLAN</v>
      </c>
      <c r="Q947" s="1" t="str">
        <f>IFERROR(__xludf.DUMMYFUNCTION("""COMPUTED_VALUE"""),"P407559")</f>
        <v>P407559</v>
      </c>
      <c r="R947" s="1" t="str">
        <f>IFERROR(__xludf.DUMMYFUNCTION("""COMPUTED_VALUE"""),"MAGDARAOG, KENNETH")</f>
        <v>MAGDARAOG, KENNETH</v>
      </c>
      <c r="S947" s="1" t="str">
        <f>IFERROR(__xludf.DUMMYFUNCTION("""COMPUTED_VALUE"""),"ORGANIC")</f>
        <v>ORGANIC</v>
      </c>
      <c r="T947" s="1" t="str">
        <f>IFERROR(__xludf.DUMMYFUNCTION("""COMPUTED_VALUE"""),"LEA REMOLLO")</f>
        <v>LEA REMOLLO</v>
      </c>
      <c r="U947" s="1" t="str">
        <f>IFERROR(__xludf.DUMMYFUNCTION("""COMPUTED_VALUE"""),"JB SALIOA")</f>
        <v>JB SALIOA</v>
      </c>
      <c r="V947" s="1" t="str">
        <f>IFERROR(__xludf.DUMMYFUNCTION("""COMPUTED_VALUE"""),"BK REGULAR")</f>
        <v>BK REGULAR</v>
      </c>
      <c r="W947" s="1" t="str">
        <f>IFERROR(__xludf.DUMMYFUNCTION("""COMPUTED_VALUE"""),"STK REGULAR")</f>
        <v>STK REGULAR</v>
      </c>
      <c r="X947" s="1" t="str">
        <f>IFERROR(__xludf.DUMMYFUNCTION("""COMPUTED_VALUE"""),"FIBER 1399 98TH YR")</f>
        <v>FIBER 1399 98TH YR</v>
      </c>
      <c r="Y947" s="1" t="str">
        <f>IFERROR(__xludf.DUMMYFUNCTION("""COMPUTED_VALUE"""),"BK_CVEU_261005")</f>
        <v>BK_CVEU_261005</v>
      </c>
      <c r="Z947" s="1" t="str">
        <f>IFERROR(__xludf.DUMMYFUNCTION("""COMPUTED_VALUE"""),"NEW CONNECT")</f>
        <v>NEW CONNECT</v>
      </c>
      <c r="AA947" s="1">
        <f>IFERROR(__xludf.DUMMYFUNCTION("""COMPUTED_VALUE"""),639273462752)</f>
        <v>639273462752</v>
      </c>
      <c r="AB947" s="1"/>
      <c r="AC947" s="1">
        <f>IFERROR(__xludf.DUMMYFUNCTION("""COMPUTED_VALUE"""),9036)</f>
        <v>9036</v>
      </c>
      <c r="AD947" s="1" t="str">
        <f>IFERROR(__xludf.DUMMYFUNCTION("""COMPUTED_VALUE"""),"KAP L C SALAZAR")</f>
        <v>KAP L C SALAZAR</v>
      </c>
      <c r="AE947" s="1" t="str">
        <f>IFERROR(__xludf.DUMMYFUNCTION("""COMPUTED_VALUE"""),"UNIT C3")</f>
        <v>UNIT C3</v>
      </c>
      <c r="AF947" s="1" t="str">
        <f>IFERROR(__xludf.DUMMYFUNCTION("""COMPUTED_VALUE"""),"BGY BUKAL")</f>
        <v>BGY BUKAL</v>
      </c>
      <c r="AG947" s="1" t="str">
        <f>IFERROR(__xludf.DUMMYFUNCTION("""COMPUTED_VALUE"""),"MENDEZ")</f>
        <v>MENDEZ</v>
      </c>
      <c r="AH947" s="1" t="str">
        <f>IFERROR(__xludf.DUMMYFUNCTION("""COMPUTED_VALUE"""),"MENDEZ SPECIALISTS MEDICAL CENTER")</f>
        <v>MENDEZ SPECIALISTS MEDICAL CENTER</v>
      </c>
      <c r="AI947" s="1" t="str">
        <f>IFERROR(__xludf.DUMMYFUNCTION("""COMPUTED_VALUE"""),"CLUSTER 12")</f>
        <v>CLUSTER 12</v>
      </c>
    </row>
    <row r="948" customHeight="1" spans="1:35">
      <c r="A948" s="3">
        <f>IFERROR(__xludf.DUMMYFUNCTION("""COMPUTED_VALUE"""),46304)</f>
        <v>46304</v>
      </c>
      <c r="B948" s="1" t="str">
        <f>IFERROR(__xludf.DUMMYFUNCTION("""COMPUTED_VALUE"""),"SONIA FERMA MARASIGAN")</f>
        <v>SONIA FERMA MARASIGAN</v>
      </c>
      <c r="C948" s="1">
        <f>IFERROR(__xludf.DUMMYFUNCTION("""COMPUTED_VALUE"""),2313066566)</f>
        <v>2313066566</v>
      </c>
      <c r="D948" s="1">
        <f>IFERROR(__xludf.DUMMYFUNCTION("""COMPUTED_VALUE"""),408844371)</f>
        <v>408844371</v>
      </c>
      <c r="E948" s="1">
        <f>IFERROR(__xludf.DUMMYFUNCTION("""COMPUTED_VALUE"""),474973085004)</f>
        <v>474973085004</v>
      </c>
      <c r="F948" s="1" t="str">
        <f>IFERROR(__xludf.DUMMYFUNCTION("""COMPUTED_VALUE"""),"CANCELED")</f>
        <v>CANCELED</v>
      </c>
      <c r="G948" s="1" t="str">
        <f>IFERROR(__xludf.DUMMYFUNCTION("""COMPUTED_VALUE"""),"TRHU TXT AND CALL SUBS CANCEL REQUEST FOR PERSONAL REASON CANCEL DAW PO MUNA ANG INSTALLATION PUPUNTA NLNG DAW SILA SA PLDT BO")</f>
        <v>TRHU TXT AND CALL SUBS CANCEL REQUEST FOR PERSONAL REASON CANCEL DAW PO MUNA ANG INSTALLATION PUPUNTA NLNG DAW SILA SA PLDT BO</v>
      </c>
      <c r="H948" s="1"/>
      <c r="I948" s="1"/>
      <c r="J948" s="1"/>
      <c r="K948" s="1" t="str">
        <f>IFERROR(__xludf.DUMMYFUNCTION("""COMPUTED_VALUE"""),"CANCELED")</f>
        <v>CANCELED</v>
      </c>
      <c r="L948" s="1" t="str">
        <f>IFERROR(__xludf.DUMMYFUNCTION("""COMPUTED_VALUE"""),"CANCELLED")</f>
        <v>CANCELLED</v>
      </c>
      <c r="M948" s="1" t="str">
        <f>IFERROR(__xludf.DUMMYFUNCTION("""COMPUTED_VALUE"""),"CSP CANCELLED")</f>
        <v>CSP CANCELLED</v>
      </c>
      <c r="N948" s="3"/>
      <c r="O948" s="1" t="str">
        <f>IFERROR(__xludf.DUMMYFUNCTION("""COMPUTED_VALUE"""),"FIBER UNLI PLAN 1399")</f>
        <v>FIBER UNLI PLAN 1399</v>
      </c>
      <c r="P948" s="1" t="str">
        <f>IFERROR(__xludf.DUMMYFUNCTION("""COMPUTED_VALUE"""),"LOWPLAN")</f>
        <v>LOWPLAN</v>
      </c>
      <c r="Q948" s="1" t="str">
        <f>IFERROR(__xludf.DUMMYFUNCTION("""COMPUTED_VALUE"""),"P407564")</f>
        <v>P407564</v>
      </c>
      <c r="R948" s="1" t="str">
        <f>IFERROR(__xludf.DUMMYFUNCTION("""COMPUTED_VALUE"""),"ARENA, LYKA")</f>
        <v>ARENA, LYKA</v>
      </c>
      <c r="S948" s="1" t="str">
        <f>IFERROR(__xludf.DUMMYFUNCTION("""COMPUTED_VALUE"""),"ORGANIC")</f>
        <v>ORGANIC</v>
      </c>
      <c r="T948" s="1" t="str">
        <f>IFERROR(__xludf.DUMMYFUNCTION("""COMPUTED_VALUE"""),"LEA REMOLLO")</f>
        <v>LEA REMOLLO</v>
      </c>
      <c r="U948" s="1" t="str">
        <f>IFERROR(__xludf.DUMMYFUNCTION("""COMPUTED_VALUE"""),"JB SALIOA")</f>
        <v>JB SALIOA</v>
      </c>
      <c r="V948" s="1" t="str">
        <f>IFERROR(__xludf.DUMMYFUNCTION("""COMPUTED_VALUE"""),"BK REGULAR")</f>
        <v>BK REGULAR</v>
      </c>
      <c r="W948" s="1" t="str">
        <f>IFERROR(__xludf.DUMMYFUNCTION("""COMPUTED_VALUE"""),"STK REGULAR")</f>
        <v>STK REGULAR</v>
      </c>
      <c r="X948" s="1" t="str">
        <f>IFERROR(__xludf.DUMMYFUNCTION("""COMPUTED_VALUE"""),"FIBER 1399 98TH YR")</f>
        <v>FIBER 1399 98TH YR</v>
      </c>
      <c r="Y948" s="1" t="str">
        <f>IFERROR(__xludf.DUMMYFUNCTION("""COMPUTED_VALUE"""),"BK_CVEU_261006")</f>
        <v>BK_CVEU_261006</v>
      </c>
      <c r="Z948" s="1" t="str">
        <f>IFERROR(__xludf.DUMMYFUNCTION("""COMPUTED_VALUE"""),"NEW CONNECT")</f>
        <v>NEW CONNECT</v>
      </c>
      <c r="AA948" s="1">
        <f>IFERROR(__xludf.DUMMYFUNCTION("""COMPUTED_VALUE"""),639706637789)</f>
        <v>639706637789</v>
      </c>
      <c r="AB948" s="1"/>
      <c r="AC948" s="1">
        <f>IFERROR(__xludf.DUMMYFUNCTION("""COMPUTED_VALUE"""),220)</f>
        <v>220</v>
      </c>
      <c r="AD948" s="1" t="str">
        <f>IFERROR(__xludf.DUMMYFUNCTION("""COMPUTED_VALUE"""),"POOC 1")</f>
        <v>POOC 1</v>
      </c>
      <c r="AE948" s="1"/>
      <c r="AF948" s="1" t="str">
        <f>IFERROR(__xludf.DUMMYFUNCTION("""COMPUTED_VALUE"""),"BGY POOC 1")</f>
        <v>BGY POOC 1</v>
      </c>
      <c r="AG948" s="1" t="str">
        <f>IFERROR(__xludf.DUMMYFUNCTION("""COMPUTED_VALUE"""),"SILANG")</f>
        <v>SILANG</v>
      </c>
      <c r="AH948" s="1" t="str">
        <f>IFERROR(__xludf.DUMMYFUNCTION("""COMPUTED_VALUE"""),"ACOSTA // SAN ANTONIO CHURCH")</f>
        <v>ACOSTA // SAN ANTONIO CHURCH</v>
      </c>
      <c r="AI948" s="1" t="str">
        <f>IFERROR(__xludf.DUMMYFUNCTION("""COMPUTED_VALUE"""),"CLUSTER 11")</f>
        <v>CLUSTER 11</v>
      </c>
    </row>
    <row r="949" customHeight="1" spans="1:35">
      <c r="A949" s="3">
        <f>IFERROR(__xludf.DUMMYFUNCTION("""COMPUTED_VALUE"""),46304)</f>
        <v>46304</v>
      </c>
      <c r="B949" s="1" t="str">
        <f>IFERROR(__xludf.DUMMYFUNCTION("""COMPUTED_VALUE"""),"ADRIAN JAMES NARRA NIU")</f>
        <v>ADRIAN JAMES NARRA NIU</v>
      </c>
      <c r="C949" s="1">
        <f>IFERROR(__xludf.DUMMYFUNCTION("""COMPUTED_VALUE"""),2313066848)</f>
        <v>2313066848</v>
      </c>
      <c r="D949" s="1">
        <f>IFERROR(__xludf.DUMMYFUNCTION("""COMPUTED_VALUE"""),408822289)</f>
        <v>408822289</v>
      </c>
      <c r="E949" s="1">
        <f>IFERROR(__xludf.DUMMYFUNCTION("""COMPUTED_VALUE"""),474890477004)</f>
        <v>474890477004</v>
      </c>
      <c r="F949" s="1" t="str">
        <f>IFERROR(__xludf.DUMMYFUNCTION("""COMPUTED_VALUE"""),"CLOSED")</f>
        <v>CLOSED</v>
      </c>
      <c r="G949" s="1" t="str">
        <f>IFERROR(__xludf.DUMMYFUNCTION("""COMPUTED_VALUE"""),"CLOSED")</f>
        <v>CLOSED</v>
      </c>
      <c r="H949" s="1" t="str">
        <f>IFERROR(__xludf.DUMMYFUNCTION("""COMPUTED_VALUE"""),"PAID THRU GCASH 858028851 OCT 9")</f>
        <v>PAID THRU GCASH 858028851 OCT 9</v>
      </c>
      <c r="I949" s="1" t="str">
        <f>IFERROR(__xludf.DUMMYFUNCTION("""COMPUTED_VALUE"""),"WITH 1 AMSF")</f>
        <v>WITH 1 AMSF</v>
      </c>
      <c r="J949" s="1"/>
      <c r="K949" s="1" t="str">
        <f>IFERROR(__xludf.DUMMYFUNCTION("""COMPUTED_VALUE"""),"COMPLETED")</f>
        <v>COMPLETED</v>
      </c>
      <c r="L949" s="1" t="str">
        <f>IFERROR(__xludf.DUMMYFUNCTION("""COMPUTED_VALUE"""),"POSTED")</f>
        <v>POSTED</v>
      </c>
      <c r="M949" s="1" t="str">
        <f>IFERROR(__xludf.DUMMYFUNCTION("""COMPUTED_VALUE"""),"POSTED")</f>
        <v>POSTED</v>
      </c>
      <c r="N949" s="3">
        <f>IFERROR(__xludf.DUMMYFUNCTION("""COMPUTED_VALUE"""),46305)</f>
        <v>46305</v>
      </c>
      <c r="O949" s="1" t="str">
        <f>IFERROR(__xludf.DUMMYFUNCTION("""COMPUTED_VALUE"""),"FIBER UNLI ALL PLAN 1899")</f>
        <v>FIBER UNLI ALL PLAN 1899</v>
      </c>
      <c r="P949" s="1" t="str">
        <f>IFERROR(__xludf.DUMMYFUNCTION("""COMPUTED_VALUE"""),"HIGHPLAN")</f>
        <v>HIGHPLAN</v>
      </c>
      <c r="Q949" s="1" t="str">
        <f>IFERROR(__xludf.DUMMYFUNCTION("""COMPUTED_VALUE"""),"P407520 ")</f>
        <v>P407520 </v>
      </c>
      <c r="R949" s="1" t="str">
        <f>IFERROR(__xludf.DUMMYFUNCTION("""COMPUTED_VALUE"""),"MALIWAT, MARK")</f>
        <v>MALIWAT, MARK</v>
      </c>
      <c r="S949" s="1" t="str">
        <f>IFERROR(__xludf.DUMMYFUNCTION("""COMPUTED_VALUE"""),"FLA")</f>
        <v>FLA</v>
      </c>
      <c r="T949" s="1" t="str">
        <f>IFERROR(__xludf.DUMMYFUNCTION("""COMPUTED_VALUE"""),"JERIC NAVARRO")</f>
        <v>JERIC NAVARRO</v>
      </c>
      <c r="U949" s="1" t="str">
        <f>IFERROR(__xludf.DUMMYFUNCTION("""COMPUTED_VALUE"""),"MARK MALIWAT")</f>
        <v>MARK MALIWAT</v>
      </c>
      <c r="V949" s="1" t="str">
        <f>IFERROR(__xludf.DUMMYFUNCTION("""COMPUTED_VALUE"""),"BK REGULAR")</f>
        <v>BK REGULAR</v>
      </c>
      <c r="W949" s="1" t="str">
        <f>IFERROR(__xludf.DUMMYFUNCTION("""COMPUTED_VALUE"""),"STK REGULAR")</f>
        <v>STK REGULAR</v>
      </c>
      <c r="X949" s="1" t="str">
        <f>IFERROR(__xludf.DUMMYFUNCTION("""COMPUTED_VALUE"""),"REGULAR")</f>
        <v>REGULAR</v>
      </c>
      <c r="Y949" s="1" t="str">
        <f>IFERROR(__xludf.DUMMYFUNCTION("""COMPUTED_VALUE"""),"BK_CVEU_261007")</f>
        <v>BK_CVEU_261007</v>
      </c>
      <c r="Z949" s="1" t="str">
        <f>IFERROR(__xludf.DUMMYFUNCTION("""COMPUTED_VALUE"""),"NEW CONNECT")</f>
        <v>NEW CONNECT</v>
      </c>
      <c r="AA949" s="1">
        <f>IFERROR(__xludf.DUMMYFUNCTION("""COMPUTED_VALUE"""),639682382168)</f>
        <v>639682382168</v>
      </c>
      <c r="AB949" s="1"/>
      <c r="AC949" s="1">
        <f>IFERROR(__xludf.DUMMYFUNCTION("""COMPUTED_VALUE"""),6522)</f>
        <v>6522</v>
      </c>
      <c r="AD949" s="1" t="str">
        <f>IFERROR(__xludf.DUMMYFUNCTION("""COMPUTED_VALUE"""),"GENEROSITY COR JUSTICE")</f>
        <v>GENEROSITY COR JUSTICE</v>
      </c>
      <c r="AE949" s="1" t="str">
        <f>IFERROR(__xludf.DUMMYFUNCTION("""COMPUTED_VALUE"""),"PAMOSO SERENATA PUROK 35")</f>
        <v>PAMOSO SERENATA PUROK 35</v>
      </c>
      <c r="AF949" s="1" t="str">
        <f>IFERROR(__xludf.DUMMYFUNCTION("""COMPUTED_VALUE"""),"BGY GUINHAWA SOUTH")</f>
        <v>BGY GUINHAWA SOUTH</v>
      </c>
      <c r="AG949" s="1" t="str">
        <f>IFERROR(__xludf.DUMMYFUNCTION("""COMPUTED_VALUE"""),"TAGAYTAY")</f>
        <v>TAGAYTAY</v>
      </c>
      <c r="AH949" s="1"/>
      <c r="AI949" s="1" t="str">
        <f>IFERROR(__xludf.DUMMYFUNCTION("""COMPUTED_VALUE"""),"CLUSTER 12")</f>
        <v>CLUSTER 12</v>
      </c>
    </row>
    <row r="950" customHeight="1" spans="1:35">
      <c r="A950" s="3">
        <f>IFERROR(__xludf.DUMMYFUNCTION("""COMPUTED_VALUE"""),46304)</f>
        <v>46304</v>
      </c>
      <c r="B950" s="1" t="str">
        <f>IFERROR(__xludf.DUMMYFUNCTION("""COMPUTED_VALUE"""),"MAY OCHAVO SALAZAR")</f>
        <v>MAY OCHAVO SALAZAR</v>
      </c>
      <c r="C950" s="1">
        <f>IFERROR(__xludf.DUMMYFUNCTION("""COMPUTED_VALUE"""),2313067131)</f>
        <v>2313067131</v>
      </c>
      <c r="D950" s="1">
        <f>IFERROR(__xludf.DUMMYFUNCTION("""COMPUTED_VALUE"""),408855306)</f>
        <v>408855306</v>
      </c>
      <c r="E950" s="1">
        <f>IFERROR(__xludf.DUMMYFUNCTION("""COMPUTED_VALUE"""),474994377004)</f>
        <v>474994377004</v>
      </c>
      <c r="F950" s="1" t="str">
        <f>IFERROR(__xludf.DUMMYFUNCTION("""COMPUTED_VALUE"""),"CANCELED")</f>
        <v>CANCELED</v>
      </c>
      <c r="G950" s="1" t="str">
        <f>IFERROR(__xludf.DUMMYFUNCTION("""COMPUTED_VALUE"""),"AFD FOR REDISPATCH NOV 5")</f>
        <v>AFD FOR REDISPATCH NOV 5</v>
      </c>
      <c r="H950" s="1"/>
      <c r="I950" s="1"/>
      <c r="J950" s="1"/>
      <c r="K950" s="1" t="str">
        <f>IFERROR(__xludf.DUMMYFUNCTION("""COMPUTED_VALUE"""),"CANCELED")</f>
        <v>CANCELED</v>
      </c>
      <c r="L950" s="1" t="str">
        <f>IFERROR(__xludf.DUMMYFUNCTION("""COMPUTED_VALUE"""),"AFD - RESCHEDULE")</f>
        <v>AFD - RESCHEDULE</v>
      </c>
      <c r="M950" s="1" t="str">
        <f>IFERROR(__xludf.DUMMYFUNCTION("""COMPUTED_VALUE"""),"AFD - RESCHEDULED")</f>
        <v>AFD - RESCHEDULED</v>
      </c>
      <c r="N950" s="3"/>
      <c r="O950" s="1" t="str">
        <f>IFERROR(__xludf.DUMMYFUNCTION("""COMPUTED_VALUE"""),"FIBER UNLI PLAN 1399")</f>
        <v>FIBER UNLI PLAN 1399</v>
      </c>
      <c r="P950" s="1" t="str">
        <f>IFERROR(__xludf.DUMMYFUNCTION("""COMPUTED_VALUE"""),"LOWPLAN")</f>
        <v>LOWPLAN</v>
      </c>
      <c r="Q950" s="1" t="str">
        <f>IFERROR(__xludf.DUMMYFUNCTION("""COMPUTED_VALUE"""),"P407049")</f>
        <v>P407049</v>
      </c>
      <c r="R950" s="1" t="str">
        <f>IFERROR(__xludf.DUMMYFUNCTION("""COMPUTED_VALUE"""),"ALINGARO, CINDY")</f>
        <v>ALINGARO, CINDY</v>
      </c>
      <c r="S950" s="1" t="str">
        <f>IFERROR(__xludf.DUMMYFUNCTION("""COMPUTED_VALUE"""),"ORGANIC")</f>
        <v>ORGANIC</v>
      </c>
      <c r="T950" s="1" t="str">
        <f>IFERROR(__xludf.DUMMYFUNCTION("""COMPUTED_VALUE"""),"LEA REMOLLO")</f>
        <v>LEA REMOLLO</v>
      </c>
      <c r="U950" s="1" t="str">
        <f>IFERROR(__xludf.DUMMYFUNCTION("""COMPUTED_VALUE"""),"JB SALIOA")</f>
        <v>JB SALIOA</v>
      </c>
      <c r="V950" s="1" t="str">
        <f>IFERROR(__xludf.DUMMYFUNCTION("""COMPUTED_VALUE"""),"BK REGULAR")</f>
        <v>BK REGULAR</v>
      </c>
      <c r="W950" s="1" t="str">
        <f>IFERROR(__xludf.DUMMYFUNCTION("""COMPUTED_VALUE"""),"STK REGULAR")</f>
        <v>STK REGULAR</v>
      </c>
      <c r="X950" s="1" t="str">
        <f>IFERROR(__xludf.DUMMYFUNCTION("""COMPUTED_VALUE"""),"FIBER 1399 98TH YR")</f>
        <v>FIBER 1399 98TH YR</v>
      </c>
      <c r="Y950" s="1" t="str">
        <f>IFERROR(__xludf.DUMMYFUNCTION("""COMPUTED_VALUE"""),"BK_CVEU_261006")</f>
        <v>BK_CVEU_261006</v>
      </c>
      <c r="Z950" s="1" t="str">
        <f>IFERROR(__xludf.DUMMYFUNCTION("""COMPUTED_VALUE"""),"NEW CONNECT")</f>
        <v>NEW CONNECT</v>
      </c>
      <c r="AA950" s="1">
        <f>IFERROR(__xludf.DUMMYFUNCTION("""COMPUTED_VALUE"""),639637220507)</f>
        <v>639637220507</v>
      </c>
      <c r="AB950" s="1">
        <f>IFERROR(__xludf.DUMMYFUNCTION("""COMPUTED_VALUE"""),639277468781)</f>
        <v>639277468781</v>
      </c>
      <c r="AC950" s="1">
        <f>IFERROR(__xludf.DUMMYFUNCTION("""COMPUTED_VALUE"""),78)</f>
        <v>78</v>
      </c>
      <c r="AD950" s="1" t="str">
        <f>IFERROR(__xludf.DUMMYFUNCTION("""COMPUTED_VALUE"""),"SITIO KULIPAY")</f>
        <v>SITIO KULIPAY</v>
      </c>
      <c r="AE950" s="1" t="str">
        <f>IFERROR(__xludf.DUMMYFUNCTION("""COMPUTED_VALUE"""),"PUROK 5")</f>
        <v>PUROK 5</v>
      </c>
      <c r="AF950" s="1" t="str">
        <f>IFERROR(__xludf.DUMMYFUNCTION("""COMPUTED_VALUE"""),"BGY MATAGBAK 1")</f>
        <v>BGY MATAGBAK 1</v>
      </c>
      <c r="AG950" s="1" t="str">
        <f>IFERROR(__xludf.DUMMYFUNCTION("""COMPUTED_VALUE"""),"ALFONSO")</f>
        <v>ALFONSO</v>
      </c>
      <c r="AH950" s="1" t="str">
        <f>IFERROR(__xludf.DUMMYFUNCTION("""COMPUTED_VALUE"""),"POR LA GRACIA RESORT")</f>
        <v>POR LA GRACIA RESORT</v>
      </c>
      <c r="AI950" s="1" t="str">
        <f>IFERROR(__xludf.DUMMYFUNCTION("""COMPUTED_VALUE"""),"CLUSTER 12")</f>
        <v>CLUSTER 12</v>
      </c>
    </row>
    <row r="951" customHeight="1" spans="1:35">
      <c r="A951" s="3">
        <f>IFERROR(__xludf.DUMMYFUNCTION("""COMPUTED_VALUE"""),46304)</f>
        <v>46304</v>
      </c>
      <c r="B951" s="1" t="str">
        <f>IFERROR(__xludf.DUMMYFUNCTION("""COMPUTED_VALUE""")," ULLYSIS BRAVO ESTRADA")</f>
        <v> ULLYSIS BRAVO ESTRADA</v>
      </c>
      <c r="C951" s="1">
        <f>IFERROR(__xludf.DUMMYFUNCTION("""COMPUTED_VALUE"""),2313068680)</f>
        <v>2313068680</v>
      </c>
      <c r="D951" s="1"/>
      <c r="E951" s="1"/>
      <c r="F951" s="1" t="str">
        <f>IFERROR(__xludf.DUMMYFUNCTION("""COMPUTED_VALUE"""),"CANCELLED")</f>
        <v>CANCELLED</v>
      </c>
      <c r="G951" s="1" t="str">
        <f>IFERROR(__xludf.DUMMYFUNCTION("""COMPUTED_VALUE"""),"CANCELLED")</f>
        <v>CANCELLED</v>
      </c>
      <c r="H951" s="1"/>
      <c r="I951" s="1"/>
      <c r="J951" s="1"/>
      <c r="K951" s="1"/>
      <c r="L951" s="1" t="str">
        <f>IFERROR(__xludf.DUMMYFUNCTION("""COMPUTED_VALUE"""),"CANCELLED - WITH OB")</f>
        <v>CANCELLED - WITH OB</v>
      </c>
      <c r="M951" s="1" t="str">
        <f>IFERROR(__xludf.DUMMYFUNCTION("""COMPUTED_VALUE"""),"CANCELLED - WITH OB")</f>
        <v>CANCELLED - WITH OB</v>
      </c>
      <c r="N951" s="3"/>
      <c r="O951" s="1" t="str">
        <f>IFERROR(__xludf.DUMMYFUNCTION("""COMPUTED_VALUE"""),"FIBR PLAN 1299")</f>
        <v>FIBR PLAN 1299</v>
      </c>
      <c r="P951" s="1" t="str">
        <f>IFERROR(__xludf.DUMMYFUNCTION("""COMPUTED_VALUE"""),"LOWPLAN")</f>
        <v>LOWPLAN</v>
      </c>
      <c r="Q951" s="1" t="str">
        <f>IFERROR(__xludf.DUMMYFUNCTION("""COMPUTED_VALUE"""),"P407050 ")</f>
        <v>P407050 </v>
      </c>
      <c r="R951" s="1" t="str">
        <f>IFERROR(__xludf.DUMMYFUNCTION("""COMPUTED_VALUE"""),"ESCARCHA, ALMA")</f>
        <v>ESCARCHA, ALMA</v>
      </c>
      <c r="S951" s="1" t="str">
        <f>IFERROR(__xludf.DUMMYFUNCTION("""COMPUTED_VALUE"""),"ORGANIC")</f>
        <v>ORGANIC</v>
      </c>
      <c r="T951" s="1" t="str">
        <f>IFERROR(__xludf.DUMMYFUNCTION("""COMPUTED_VALUE"""),"LEA REMOLLO")</f>
        <v>LEA REMOLLO</v>
      </c>
      <c r="U951" s="1" t="str">
        <f>IFERROR(__xludf.DUMMYFUNCTION("""COMPUTED_VALUE"""),"JULIE ESPIRITU")</f>
        <v>JULIE ESPIRITU</v>
      </c>
      <c r="V951" s="1" t="str">
        <f>IFERROR(__xludf.DUMMYFUNCTION("""COMPUTED_VALUE"""),"BK REGULAR")</f>
        <v>BK REGULAR</v>
      </c>
      <c r="W951" s="1" t="str">
        <f>IFERROR(__xludf.DUMMYFUNCTION("""COMPUTED_VALUE"""),"STK REGULAR")</f>
        <v>STK REGULAR</v>
      </c>
      <c r="X951" s="1" t="str">
        <f>IFERROR(__xludf.DUMMYFUNCTION("""COMPUTED_VALUE"""),"REGULAR")</f>
        <v>REGULAR</v>
      </c>
      <c r="Y951" s="1" t="str">
        <f>IFERROR(__xludf.DUMMYFUNCTION("""COMPUTED_VALUE"""),"BK_CVEU_261004")</f>
        <v>BK_CVEU_261004</v>
      </c>
      <c r="Z951" s="1" t="str">
        <f>IFERROR(__xludf.DUMMYFUNCTION("""COMPUTED_VALUE"""),"NEW CONNECT")</f>
        <v>NEW CONNECT</v>
      </c>
      <c r="AA951" s="1">
        <f>IFERROR(__xludf.DUMMYFUNCTION("""COMPUTED_VALUE"""),639464252157)</f>
        <v>639464252157</v>
      </c>
      <c r="AB951" s="1"/>
      <c r="AC951" s="1"/>
      <c r="AD951" s="1" t="str">
        <f>IFERROR(__xludf.DUMMYFUNCTION("""COMPUTED_VALUE"""),"STRAWBERRY HILLS")</f>
        <v>STRAWBERRY HILLS</v>
      </c>
      <c r="AE951" s="1" t="str">
        <f>IFERROR(__xludf.DUMMYFUNCTION("""COMPUTED_VALUE"""),"STRAWBERRY HILLS SUBD")</f>
        <v>STRAWBERRY HILLS SUBD</v>
      </c>
      <c r="AF951" s="1" t="str">
        <f>IFERROR(__xludf.DUMMYFUNCTION("""COMPUTED_VALUE"""),"BGY FRANCISCO REYES")</f>
        <v>BGY FRANCISCO REYES</v>
      </c>
      <c r="AG951" s="1" t="str">
        <f>IFERROR(__xludf.DUMMYFUNCTION("""COMPUTED_VALUE"""),"GEN MARIANO ALVAREZ")</f>
        <v>GEN MARIANO ALVAREZ</v>
      </c>
      <c r="AH951" s="1" t="str">
        <f>IFERROR(__xludf.DUMMYFUNCTION("""COMPUTED_VALUE"""),"-")</f>
        <v>-</v>
      </c>
      <c r="AI951" s="1" t="str">
        <f>IFERROR(__xludf.DUMMYFUNCTION("""COMPUTED_VALUE"""),"CLUSTER 11")</f>
        <v>CLUSTER 11</v>
      </c>
    </row>
    <row r="952" customHeight="1" spans="1:35">
      <c r="A952" s="3">
        <f>IFERROR(__xludf.DUMMYFUNCTION("""COMPUTED_VALUE"""),46304)</f>
        <v>46304</v>
      </c>
      <c r="B952" s="1" t="str">
        <f>IFERROR(__xludf.DUMMYFUNCTION("""COMPUTED_VALUE""")," ALOHA CAMPANO DE BELEN")</f>
        <v> ALOHA CAMPANO DE BELEN</v>
      </c>
      <c r="C952" s="1">
        <f>IFERROR(__xludf.DUMMYFUNCTION("""COMPUTED_VALUE"""),2313068836)</f>
        <v>2313068836</v>
      </c>
      <c r="D952" s="1"/>
      <c r="E952" s="1"/>
      <c r="F952" s="1" t="str">
        <f>IFERROR(__xludf.DUMMYFUNCTION("""COMPUTED_VALUE"""),"CANCELLED")</f>
        <v>CANCELLED</v>
      </c>
      <c r="G952" s="1" t="str">
        <f>IFERROR(__xludf.DUMMYFUNCTION("""COMPUTED_VALUE"""),"CANCELLED")</f>
        <v>CANCELLED</v>
      </c>
      <c r="H952" s="1"/>
      <c r="I952" s="1"/>
      <c r="J952" s="1"/>
      <c r="K952" s="1"/>
      <c r="L952" s="1" t="str">
        <f>IFERROR(__xludf.DUMMYFUNCTION("""COMPUTED_VALUE"""),"CANCELLED - WITH OB")</f>
        <v>CANCELLED - WITH OB</v>
      </c>
      <c r="M952" s="1" t="str">
        <f>IFERROR(__xludf.DUMMYFUNCTION("""COMPUTED_VALUE"""),"CANCELLED - WITH OB")</f>
        <v>CANCELLED - WITH OB</v>
      </c>
      <c r="N952" s="3"/>
      <c r="O952" s="1" t="str">
        <f>IFERROR(__xludf.DUMMYFUNCTION("""COMPUTED_VALUE"""),"FIBR NETFLIX PLAN 1599")</f>
        <v>FIBR NETFLIX PLAN 1599</v>
      </c>
      <c r="P952" s="1" t="str">
        <f>IFERROR(__xludf.DUMMYFUNCTION("""COMPUTED_VALUE"""),"LOWPLAN")</f>
        <v>LOWPLAN</v>
      </c>
      <c r="Q952" s="1" t="str">
        <f>IFERROR(__xludf.DUMMYFUNCTION("""COMPUTED_VALUE"""),"P407562 ")</f>
        <v>P407562 </v>
      </c>
      <c r="R952" s="1" t="str">
        <f>IFERROR(__xludf.DUMMYFUNCTION("""COMPUTED_VALUE"""),"IVNO, RAZZEL")</f>
        <v>IVNO, RAZZEL</v>
      </c>
      <c r="S952" s="1" t="str">
        <f>IFERROR(__xludf.DUMMYFUNCTION("""COMPUTED_VALUE"""),"FLA")</f>
        <v>FLA</v>
      </c>
      <c r="T952" s="1" t="str">
        <f>IFERROR(__xludf.DUMMYFUNCTION("""COMPUTED_VALUE"""),"JERIC NAVARRO")</f>
        <v>JERIC NAVARRO</v>
      </c>
      <c r="U952" s="1" t="str">
        <f>IFERROR(__xludf.DUMMYFUNCTION("""COMPUTED_VALUE"""),"JULIE ESPIRITU")</f>
        <v>JULIE ESPIRITU</v>
      </c>
      <c r="V952" s="1" t="str">
        <f>IFERROR(__xludf.DUMMYFUNCTION("""COMPUTED_VALUE"""),"BK REGULAR")</f>
        <v>BK REGULAR</v>
      </c>
      <c r="W952" s="1" t="str">
        <f>IFERROR(__xludf.DUMMYFUNCTION("""COMPUTED_VALUE"""),"STK REGULAR")</f>
        <v>STK REGULAR</v>
      </c>
      <c r="X952" s="1" t="str">
        <f>IFERROR(__xludf.DUMMYFUNCTION("""COMPUTED_VALUE"""),"REGULAR")</f>
        <v>REGULAR</v>
      </c>
      <c r="Y952" s="1" t="str">
        <f>IFERROR(__xludf.DUMMYFUNCTION("""COMPUTED_VALUE"""),"BK_CVEU_261005")</f>
        <v>BK_CVEU_261005</v>
      </c>
      <c r="Z952" s="1" t="str">
        <f>IFERROR(__xludf.DUMMYFUNCTION("""COMPUTED_VALUE"""),"NEW CONNECT")</f>
        <v>NEW CONNECT</v>
      </c>
      <c r="AA952" s="1">
        <f>IFERROR(__xludf.DUMMYFUNCTION("""COMPUTED_VALUE"""),639153743480)</f>
        <v>639153743480</v>
      </c>
      <c r="AB952" s="1"/>
      <c r="AC952" s="1">
        <f>IFERROR(__xludf.DUMMYFUNCTION("""COMPUTED_VALUE"""),118)</f>
        <v>118</v>
      </c>
      <c r="AD952" s="1" t="str">
        <f>IFERROR(__xludf.DUMMYFUNCTION("""COMPUTED_VALUE"""),"MAYSILI")</f>
        <v>MAYSILI</v>
      </c>
      <c r="AE952" s="1"/>
      <c r="AF952" s="1" t="str">
        <f>IFERROR(__xludf.DUMMYFUNCTION("""COMPUTED_VALUE"""),"BGY ASIS 2")</f>
        <v>BGY ASIS 2</v>
      </c>
      <c r="AG952" s="1" t="str">
        <f>IFERROR(__xludf.DUMMYFUNCTION("""COMPUTED_VALUE"""),"MENDEZ")</f>
        <v>MENDEZ</v>
      </c>
      <c r="AH952" s="1"/>
      <c r="AI952" s="1" t="str">
        <f>IFERROR(__xludf.DUMMYFUNCTION("""COMPUTED_VALUE"""),"CLUSTER 12")</f>
        <v>CLUSTER 12</v>
      </c>
    </row>
    <row r="953" customHeight="1" spans="1:35">
      <c r="A953" s="3">
        <f>IFERROR(__xludf.DUMMYFUNCTION("""COMPUTED_VALUE"""),46304)</f>
        <v>46304</v>
      </c>
      <c r="B953" s="1" t="str">
        <f>IFERROR(__xludf.DUMMYFUNCTION("""COMPUTED_VALUE""")," LORENZO BRAVO VERGARA")</f>
        <v> LORENZO BRAVO VERGARA</v>
      </c>
      <c r="C953" s="1">
        <f>IFERROR(__xludf.DUMMYFUNCTION("""COMPUTED_VALUE"""),2313069027)</f>
        <v>2313069027</v>
      </c>
      <c r="D953" s="1"/>
      <c r="E953" s="1"/>
      <c r="F953" s="1" t="str">
        <f>IFERROR(__xludf.DUMMYFUNCTION("""COMPUTED_VALUE"""),"CANCELLED")</f>
        <v>CANCELLED</v>
      </c>
      <c r="G953" s="1" t="str">
        <f>IFERROR(__xludf.DUMMYFUNCTION("""COMPUTED_VALUE"""),"CANCELLED")</f>
        <v>CANCELLED</v>
      </c>
      <c r="H953" s="1"/>
      <c r="I953" s="1"/>
      <c r="J953" s="1"/>
      <c r="K953" s="1"/>
      <c r="L953" s="1" t="str">
        <f>IFERROR(__xludf.DUMMYFUNCTION("""COMPUTED_VALUE"""),"CANCELLED - WITH OB")</f>
        <v>CANCELLED - WITH OB</v>
      </c>
      <c r="M953" s="1" t="str">
        <f>IFERROR(__xludf.DUMMYFUNCTION("""COMPUTED_VALUE"""),"CANCELLED - WITH OB")</f>
        <v>CANCELLED - WITH OB</v>
      </c>
      <c r="N953" s="3"/>
      <c r="O953" s="1" t="str">
        <f>IFERROR(__xludf.DUMMYFUNCTION("""COMPUTED_VALUE"""),"FIBR NETFLIX PLAN 1599")</f>
        <v>FIBR NETFLIX PLAN 1599</v>
      </c>
      <c r="P953" s="1" t="str">
        <f>IFERROR(__xludf.DUMMYFUNCTION("""COMPUTED_VALUE"""),"LOWPLAN")</f>
        <v>LOWPLAN</v>
      </c>
      <c r="Q953" s="1" t="str">
        <f>IFERROR(__xludf.DUMMYFUNCTION("""COMPUTED_VALUE"""),"P407566 ")</f>
        <v>P407566 </v>
      </c>
      <c r="R953" s="1" t="str">
        <f>IFERROR(__xludf.DUMMYFUNCTION("""COMPUTED_VALUE"""),"DENACO, RODNEY")</f>
        <v>DENACO, RODNEY</v>
      </c>
      <c r="S953" s="1" t="str">
        <f>IFERROR(__xludf.DUMMYFUNCTION("""COMPUTED_VALUE"""),"ORGANIC")</f>
        <v>ORGANIC</v>
      </c>
      <c r="T953" s="1" t="str">
        <f>IFERROR(__xludf.DUMMYFUNCTION("""COMPUTED_VALUE"""),"LEA REMOLLO")</f>
        <v>LEA REMOLLO</v>
      </c>
      <c r="U953" s="1" t="str">
        <f>IFERROR(__xludf.DUMMYFUNCTION("""COMPUTED_VALUE"""),"JULIE ESPIRITU")</f>
        <v>JULIE ESPIRITU</v>
      </c>
      <c r="V953" s="1" t="str">
        <f>IFERROR(__xludf.DUMMYFUNCTION("""COMPUTED_VALUE"""),"BK REGULAR")</f>
        <v>BK REGULAR</v>
      </c>
      <c r="W953" s="1" t="str">
        <f>IFERROR(__xludf.DUMMYFUNCTION("""COMPUTED_VALUE"""),"STK REGULAR")</f>
        <v>STK REGULAR</v>
      </c>
      <c r="X953" s="1" t="str">
        <f>IFERROR(__xludf.DUMMYFUNCTION("""COMPUTED_VALUE"""),"REGULAR")</f>
        <v>REGULAR</v>
      </c>
      <c r="Y953" s="1" t="str">
        <f>IFERROR(__xludf.DUMMYFUNCTION("""COMPUTED_VALUE"""),"BK_CVEU_261007")</f>
        <v>BK_CVEU_261007</v>
      </c>
      <c r="Z953" s="1" t="str">
        <f>IFERROR(__xludf.DUMMYFUNCTION("""COMPUTED_VALUE"""),"NEW CONNECT")</f>
        <v>NEW CONNECT</v>
      </c>
      <c r="AA953" s="1">
        <f>IFERROR(__xludf.DUMMYFUNCTION("""COMPUTED_VALUE"""),639262545988)</f>
        <v>639262545988</v>
      </c>
      <c r="AB953" s="1">
        <f>IFERROR(__xludf.DUMMYFUNCTION("""COMPUTED_VALUE"""),639472831918)</f>
        <v>639472831918</v>
      </c>
      <c r="AC953" s="1">
        <f>IFERROR(__xludf.DUMMYFUNCTION("""COMPUTED_VALUE"""),7)</f>
        <v>7</v>
      </c>
      <c r="AD953" s="1" t="str">
        <f>IFERROR(__xludf.DUMMYFUNCTION("""COMPUTED_VALUE"""),"D CRUZADO SR EXTENSION")</f>
        <v>D CRUZADO SR EXTENSION</v>
      </c>
      <c r="AE953" s="1"/>
      <c r="AF953" s="1" t="str">
        <f>IFERROR(__xludf.DUMMYFUNCTION("""COMPUTED_VALUE"""),"BGY GUINHAWA SOUTH")</f>
        <v>BGY GUINHAWA SOUTH</v>
      </c>
      <c r="AG953" s="1" t="str">
        <f>IFERROR(__xludf.DUMMYFUNCTION("""COMPUTED_VALUE"""),"TAGAYTAY")</f>
        <v>TAGAYTAY</v>
      </c>
      <c r="AH953" s="1"/>
      <c r="AI953" s="1" t="str">
        <f>IFERROR(__xludf.DUMMYFUNCTION("""COMPUTED_VALUE"""),"CLUSTER 12")</f>
        <v>CLUSTER 12</v>
      </c>
    </row>
    <row r="954" customHeight="1" spans="1:35">
      <c r="A954" s="3">
        <f>IFERROR(__xludf.DUMMYFUNCTION("""COMPUTED_VALUE"""),46304)</f>
        <v>46304</v>
      </c>
      <c r="B954" s="1" t="str">
        <f>IFERROR(__xludf.DUMMYFUNCTION("""COMPUTED_VALUE""")," RIZALINO BRAVO VERGARA")</f>
        <v> RIZALINO BRAVO VERGARA</v>
      </c>
      <c r="C954" s="1">
        <f>IFERROR(__xludf.DUMMYFUNCTION("""COMPUTED_VALUE"""),2313069165)</f>
        <v>2313069165</v>
      </c>
      <c r="D954" s="1"/>
      <c r="E954" s="1"/>
      <c r="F954" s="1" t="str">
        <f>IFERROR(__xludf.DUMMYFUNCTION("""COMPUTED_VALUE"""),"CANCELLED")</f>
        <v>CANCELLED</v>
      </c>
      <c r="G954" s="1" t="str">
        <f>IFERROR(__xludf.DUMMYFUNCTION("""COMPUTED_VALUE"""),"CANCELLED")</f>
        <v>CANCELLED</v>
      </c>
      <c r="H954" s="1"/>
      <c r="I954" s="1"/>
      <c r="J954" s="1"/>
      <c r="K954" s="1"/>
      <c r="L954" s="1" t="str">
        <f>IFERROR(__xludf.DUMMYFUNCTION("""COMPUTED_VALUE"""),"CANCELLED - WITH OB")</f>
        <v>CANCELLED - WITH OB</v>
      </c>
      <c r="M954" s="1" t="str">
        <f>IFERROR(__xludf.DUMMYFUNCTION("""COMPUTED_VALUE"""),"CANCELLED - WITH OB")</f>
        <v>CANCELLED - WITH OB</v>
      </c>
      <c r="N954" s="3"/>
      <c r="O954" s="1" t="str">
        <f>IFERROR(__xludf.DUMMYFUNCTION("""COMPUTED_VALUE"""),"FIBR PLAN 1299")</f>
        <v>FIBR PLAN 1299</v>
      </c>
      <c r="P954" s="1" t="str">
        <f>IFERROR(__xludf.DUMMYFUNCTION("""COMPUTED_VALUE"""),"LOWPLAN")</f>
        <v>LOWPLAN</v>
      </c>
      <c r="Q954" s="1" t="str">
        <f>IFERROR(__xludf.DUMMYFUNCTION("""COMPUTED_VALUE"""),"P407049 ")</f>
        <v>P407049 </v>
      </c>
      <c r="R954" s="1" t="str">
        <f>IFERROR(__xludf.DUMMYFUNCTION("""COMPUTED_VALUE"""),"SAMPANG, JAYCEE")</f>
        <v>SAMPANG, JAYCEE</v>
      </c>
      <c r="S954" s="1" t="str">
        <f>IFERROR(__xludf.DUMMYFUNCTION("""COMPUTED_VALUE"""),"ORGANIC")</f>
        <v>ORGANIC</v>
      </c>
      <c r="T954" s="1" t="str">
        <f>IFERROR(__xludf.DUMMYFUNCTION("""COMPUTED_VALUE"""),"LEA REMOLLO")</f>
        <v>LEA REMOLLO</v>
      </c>
      <c r="U954" s="1" t="str">
        <f>IFERROR(__xludf.DUMMYFUNCTION("""COMPUTED_VALUE"""),"JULIE ESPIRITU")</f>
        <v>JULIE ESPIRITU</v>
      </c>
      <c r="V954" s="1" t="str">
        <f>IFERROR(__xludf.DUMMYFUNCTION("""COMPUTED_VALUE"""),"BK REGULAR")</f>
        <v>BK REGULAR</v>
      </c>
      <c r="W954" s="1" t="str">
        <f>IFERROR(__xludf.DUMMYFUNCTION("""COMPUTED_VALUE"""),"STK REGULAR")</f>
        <v>STK REGULAR</v>
      </c>
      <c r="X954" s="1" t="str">
        <f>IFERROR(__xludf.DUMMYFUNCTION("""COMPUTED_VALUE"""),"REGULAR")</f>
        <v>REGULAR</v>
      </c>
      <c r="Y954" s="1" t="str">
        <f>IFERROR(__xludf.DUMMYFUNCTION("""COMPUTED_VALUE"""),"BK_CVEU_261007")</f>
        <v>BK_CVEU_261007</v>
      </c>
      <c r="Z954" s="1" t="str">
        <f>IFERROR(__xludf.DUMMYFUNCTION("""COMPUTED_VALUE"""),"NEW CONNECT")</f>
        <v>NEW CONNECT</v>
      </c>
      <c r="AA954" s="1">
        <f>IFERROR(__xludf.DUMMYFUNCTION("""COMPUTED_VALUE"""),639269108331)</f>
        <v>639269108331</v>
      </c>
      <c r="AB954" s="1">
        <f>IFERROR(__xludf.DUMMYFUNCTION("""COMPUTED_VALUE"""),639674002422)</f>
        <v>639674002422</v>
      </c>
      <c r="AC954" s="1">
        <f>IFERROR(__xludf.DUMMYFUNCTION("""COMPUTED_VALUE"""),2110)</f>
        <v>2110</v>
      </c>
      <c r="AD954" s="1" t="str">
        <f>IFERROR(__xludf.DUMMYFUNCTION("""COMPUTED_VALUE"""),"D CRUZADO SR EXTENSION")</f>
        <v>D CRUZADO SR EXTENSION</v>
      </c>
      <c r="AE954" s="1"/>
      <c r="AF954" s="1" t="str">
        <f>IFERROR(__xludf.DUMMYFUNCTION("""COMPUTED_VALUE"""),"BGY GUINHAWA SOUTH")</f>
        <v>BGY GUINHAWA SOUTH</v>
      </c>
      <c r="AG954" s="1" t="str">
        <f>IFERROR(__xludf.DUMMYFUNCTION("""COMPUTED_VALUE"""),"TAGAYTAY CITY")</f>
        <v>TAGAYTAY CITY</v>
      </c>
      <c r="AH954" s="1"/>
      <c r="AI954" s="1" t="str">
        <f>IFERROR(__xludf.DUMMYFUNCTION("""COMPUTED_VALUE"""),"CLUSTER 12")</f>
        <v>CLUSTER 12</v>
      </c>
    </row>
    <row r="955" customHeight="1" spans="1:35">
      <c r="A955" s="3">
        <f>IFERROR(__xludf.DUMMYFUNCTION("""COMPUTED_VALUE"""),46304)</f>
        <v>46304</v>
      </c>
      <c r="B955" s="1" t="str">
        <f>IFERROR(__xludf.DUMMYFUNCTION("""COMPUTED_VALUE"""),"BEVERLY TIONGSON COLLAMAR")</f>
        <v>BEVERLY TIONGSON COLLAMAR</v>
      </c>
      <c r="C955" s="1">
        <f>IFERROR(__xludf.DUMMYFUNCTION("""COMPUTED_VALUE"""),2313069449)</f>
        <v>2313069449</v>
      </c>
      <c r="D955" s="1"/>
      <c r="E955" s="1"/>
      <c r="F955" s="1" t="str">
        <f>IFERROR(__xludf.DUMMYFUNCTION("""COMPUTED_VALUE"""),"CANCELLED")</f>
        <v>CANCELLED</v>
      </c>
      <c r="G955" s="1" t="str">
        <f>IFERROR(__xludf.DUMMYFUNCTION("""COMPUTED_VALUE"""),"CANCELLED")</f>
        <v>CANCELLED</v>
      </c>
      <c r="H955" s="1"/>
      <c r="I955" s="1"/>
      <c r="J955" s="1"/>
      <c r="K955" s="1"/>
      <c r="L955" s="1" t="str">
        <f>IFERROR(__xludf.DUMMYFUNCTION("""COMPUTED_VALUE"""),"CANCELLED - WITH OB")</f>
        <v>CANCELLED - WITH OB</v>
      </c>
      <c r="M955" s="1" t="str">
        <f>IFERROR(__xludf.DUMMYFUNCTION("""COMPUTED_VALUE"""),"CANCELLED - WITH OB")</f>
        <v>CANCELLED - WITH OB</v>
      </c>
      <c r="N955" s="3"/>
      <c r="O955" s="1" t="str">
        <f>IFERROR(__xludf.DUMMYFUNCTION("""COMPUTED_VALUE"""),"FIBR PLAN 1299")</f>
        <v>FIBR PLAN 1299</v>
      </c>
      <c r="P955" s="1" t="str">
        <f>IFERROR(__xludf.DUMMYFUNCTION("""COMPUTED_VALUE"""),"LOWPLAN")</f>
        <v>LOWPLAN</v>
      </c>
      <c r="Q955" s="1" t="str">
        <f>IFERROR(__xludf.DUMMYFUNCTION("""COMPUTED_VALUE"""),"P407050 ")</f>
        <v>P407050 </v>
      </c>
      <c r="R955" s="1" t="str">
        <f>IFERROR(__xludf.DUMMYFUNCTION("""COMPUTED_VALUE"""),"TIONGSON, ASHLEE SHEINE")</f>
        <v>TIONGSON, ASHLEE SHEINE</v>
      </c>
      <c r="S955" s="1" t="str">
        <f>IFERROR(__xludf.DUMMYFUNCTION("""COMPUTED_VALUE"""),"ORGANIC")</f>
        <v>ORGANIC</v>
      </c>
      <c r="T955" s="1" t="str">
        <f>IFERROR(__xludf.DUMMYFUNCTION("""COMPUTED_VALUE"""),"LEA REMOLLO")</f>
        <v>LEA REMOLLO</v>
      </c>
      <c r="U955" s="1" t="str">
        <f>IFERROR(__xludf.DUMMYFUNCTION("""COMPUTED_VALUE"""),"MARK MALIWAT")</f>
        <v>MARK MALIWAT</v>
      </c>
      <c r="V955" s="1" t="str">
        <f>IFERROR(__xludf.DUMMYFUNCTION("""COMPUTED_VALUE"""),"BK REGULAR")</f>
        <v>BK REGULAR</v>
      </c>
      <c r="W955" s="1" t="str">
        <f>IFERROR(__xludf.DUMMYFUNCTION("""COMPUTED_VALUE"""),"STK REGULAR")</f>
        <v>STK REGULAR</v>
      </c>
      <c r="X955" s="1" t="str">
        <f>IFERROR(__xludf.DUMMYFUNCTION("""COMPUTED_VALUE"""),"REGULAR")</f>
        <v>REGULAR</v>
      </c>
      <c r="Y955" s="1" t="str">
        <f>IFERROR(__xludf.DUMMYFUNCTION("""COMPUTED_VALUE"""),"BK_CVEU_261007")</f>
        <v>BK_CVEU_261007</v>
      </c>
      <c r="Z955" s="1" t="str">
        <f>IFERROR(__xludf.DUMMYFUNCTION("""COMPUTED_VALUE"""),"NEW CONNECT")</f>
        <v>NEW CONNECT</v>
      </c>
      <c r="AA955" s="1">
        <f>IFERROR(__xludf.DUMMYFUNCTION("""COMPUTED_VALUE"""),639166969649)</f>
        <v>639166969649</v>
      </c>
      <c r="AB955" s="1">
        <f>IFERROR(__xludf.DUMMYFUNCTION("""COMPUTED_VALUE"""),639562551032)</f>
        <v>639562551032</v>
      </c>
      <c r="AC955" s="1"/>
      <c r="AD955" s="1" t="str">
        <f>IFERROR(__xludf.DUMMYFUNCTION("""COMPUTED_VALUE"""),"PULIDO EXTENSION")</f>
        <v>PULIDO EXTENSION</v>
      </c>
      <c r="AE955" s="1"/>
      <c r="AF955" s="1" t="str">
        <f>IFERROR(__xludf.DUMMYFUNCTION("""COMPUTED_VALUE"""),"BGY BERNARDO PULIDO")</f>
        <v>BGY BERNARDO PULIDO</v>
      </c>
      <c r="AG955" s="1" t="str">
        <f>IFERROR(__xludf.DUMMYFUNCTION("""COMPUTED_VALUE"""),"GEN MARIANO ALVAREZ")</f>
        <v>GEN MARIANO ALVAREZ</v>
      </c>
      <c r="AH955" s="1"/>
      <c r="AI955" s="1" t="str">
        <f>IFERROR(__xludf.DUMMYFUNCTION("""COMPUTED_VALUE"""),"CLUSTER 11")</f>
        <v>CLUSTER 11</v>
      </c>
    </row>
    <row r="956" customHeight="1" spans="1:35">
      <c r="A956" s="3">
        <f>IFERROR(__xludf.DUMMYFUNCTION("""COMPUTED_VALUE"""),46304)</f>
        <v>46304</v>
      </c>
      <c r="B956" s="1" t="str">
        <f>IFERROR(__xludf.DUMMYFUNCTION("""COMPUTED_VALUE""")," ARNULFO HERMANO MOJICA")</f>
        <v> ARNULFO HERMANO MOJICA</v>
      </c>
      <c r="C956" s="1">
        <f>IFERROR(__xludf.DUMMYFUNCTION("""COMPUTED_VALUE"""),2313069292)</f>
        <v>2313069292</v>
      </c>
      <c r="D956" s="1"/>
      <c r="E956" s="1"/>
      <c r="F956" s="1" t="str">
        <f>IFERROR(__xludf.DUMMYFUNCTION("""COMPUTED_VALUE"""),"CANCELLED")</f>
        <v>CANCELLED</v>
      </c>
      <c r="G956" s="1" t="str">
        <f>IFERROR(__xludf.DUMMYFUNCTION("""COMPUTED_VALUE"""),"CANCELLED")</f>
        <v>CANCELLED</v>
      </c>
      <c r="H956" s="1"/>
      <c r="I956" s="1"/>
      <c r="J956" s="1"/>
      <c r="K956" s="1"/>
      <c r="L956" s="1" t="str">
        <f>IFERROR(__xludf.DUMMYFUNCTION("""COMPUTED_VALUE"""),"CANCELLED - WITH OB")</f>
        <v>CANCELLED - WITH OB</v>
      </c>
      <c r="M956" s="1" t="str">
        <f>IFERROR(__xludf.DUMMYFUNCTION("""COMPUTED_VALUE"""),"CANCELLED - WITH OB")</f>
        <v>CANCELLED - WITH OB</v>
      </c>
      <c r="N956" s="3"/>
      <c r="O956" s="1" t="str">
        <f>IFERROR(__xludf.DUMMYFUNCTION("""COMPUTED_VALUE"""),"SWITCH FIBER UNLI ALL PLAN 1499")</f>
        <v>SWITCH FIBER UNLI ALL PLAN 1499</v>
      </c>
      <c r="P956" s="1" t="str">
        <f>IFERROR(__xludf.DUMMYFUNCTION("""COMPUTED_VALUE"""),"LOWPLAN")</f>
        <v>LOWPLAN</v>
      </c>
      <c r="Q956" s="1" t="str">
        <f>IFERROR(__xludf.DUMMYFUNCTION("""COMPUTED_VALUE"""),"P407050 ")</f>
        <v>P407050 </v>
      </c>
      <c r="R956" s="1" t="str">
        <f>IFERROR(__xludf.DUMMYFUNCTION("""COMPUTED_VALUE"""),"ESCARCHA, ALMA")</f>
        <v>ESCARCHA, ALMA</v>
      </c>
      <c r="S956" s="1" t="str">
        <f>IFERROR(__xludf.DUMMYFUNCTION("""COMPUTED_VALUE"""),"ORGANIC")</f>
        <v>ORGANIC</v>
      </c>
      <c r="T956" s="1" t="str">
        <f>IFERROR(__xludf.DUMMYFUNCTION("""COMPUTED_VALUE"""),"LEA REMOLLO")</f>
        <v>LEA REMOLLO</v>
      </c>
      <c r="U956" s="1" t="str">
        <f>IFERROR(__xludf.DUMMYFUNCTION("""COMPUTED_VALUE"""),"JULIE ESPIRITU")</f>
        <v>JULIE ESPIRITU</v>
      </c>
      <c r="V956" s="1" t="str">
        <f>IFERROR(__xludf.DUMMYFUNCTION("""COMPUTED_VALUE"""),"BK REGULAR")</f>
        <v>BK REGULAR</v>
      </c>
      <c r="W956" s="1" t="str">
        <f>IFERROR(__xludf.DUMMYFUNCTION("""COMPUTED_VALUE"""),"STK REGULAR")</f>
        <v>STK REGULAR</v>
      </c>
      <c r="X956" s="1" t="str">
        <f>IFERROR(__xludf.DUMMYFUNCTION("""COMPUTED_VALUE"""),"REGULAR")</f>
        <v>REGULAR</v>
      </c>
      <c r="Y956" s="1" t="str">
        <f>IFERROR(__xludf.DUMMYFUNCTION("""COMPUTED_VALUE"""),"BK_CVEU_261006")</f>
        <v>BK_CVEU_261006</v>
      </c>
      <c r="Z956" s="1" t="str">
        <f>IFERROR(__xludf.DUMMYFUNCTION("""COMPUTED_VALUE"""),"NEW CONNECT")</f>
        <v>NEW CONNECT</v>
      </c>
      <c r="AA956" s="1">
        <f>IFERROR(__xludf.DUMMYFUNCTION("""COMPUTED_VALUE"""),639516291393)</f>
        <v>639516291393</v>
      </c>
      <c r="AB956" s="1"/>
      <c r="AC956" s="1"/>
      <c r="AD956" s="1" t="str">
        <f>IFERROR(__xludf.DUMMYFUNCTION("""COMPUTED_VALUE"""),"NARRA 2")</f>
        <v>NARRA 2</v>
      </c>
      <c r="AE956" s="1"/>
      <c r="AF956" s="1" t="str">
        <f>IFERROR(__xludf.DUMMYFUNCTION("""COMPUTED_VALUE"""),"BGY NARRA 2")</f>
        <v>BGY NARRA 2</v>
      </c>
      <c r="AG956" s="1" t="str">
        <f>IFERROR(__xludf.DUMMYFUNCTION("""COMPUTED_VALUE"""),"SILANG")</f>
        <v>SILANG</v>
      </c>
      <c r="AH956" s="1" t="str">
        <f>IFERROR(__xludf.DUMMYFUNCTION("""COMPUTED_VALUE"""),"BRGY HALL")</f>
        <v>BRGY HALL</v>
      </c>
      <c r="AI956" s="1" t="str">
        <f>IFERROR(__xludf.DUMMYFUNCTION("""COMPUTED_VALUE"""),"CLUSTER 11")</f>
        <v>CLUSTER 11</v>
      </c>
    </row>
    <row r="957" customHeight="1" spans="1:35">
      <c r="A957" s="3">
        <f>IFERROR(__xludf.DUMMYFUNCTION("""COMPUTED_VALUE"""),46304)</f>
        <v>46304</v>
      </c>
      <c r="B957" s="1" t="str">
        <f>IFERROR(__xludf.DUMMYFUNCTION("""COMPUTED_VALUE"""),"GEMMA LUPANGO BALAG")</f>
        <v>GEMMA LUPANGO BALAG</v>
      </c>
      <c r="C957" s="1">
        <f>IFERROR(__xludf.DUMMYFUNCTION("""COMPUTED_VALUE"""),2313069329)</f>
        <v>2313069329</v>
      </c>
      <c r="D957" s="1"/>
      <c r="E957" s="1"/>
      <c r="F957" s="1" t="str">
        <f>IFERROR(__xludf.DUMMYFUNCTION("""COMPUTED_VALUE"""),"CANCELLED")</f>
        <v>CANCELLED</v>
      </c>
      <c r="G957" s="1" t="str">
        <f>IFERROR(__xludf.DUMMYFUNCTION("""COMPUTED_VALUE"""),"CANCELLED")</f>
        <v>CANCELLED</v>
      </c>
      <c r="H957" s="1"/>
      <c r="I957" s="1"/>
      <c r="J957" s="1"/>
      <c r="K957" s="1"/>
      <c r="L957" s="1" t="str">
        <f>IFERROR(__xludf.DUMMYFUNCTION("""COMPUTED_VALUE"""),"CANCELLED - WITH OB")</f>
        <v>CANCELLED - WITH OB</v>
      </c>
      <c r="M957" s="1" t="str">
        <f>IFERROR(__xludf.DUMMYFUNCTION("""COMPUTED_VALUE"""),"CANCELLED - WITH OB")</f>
        <v>CANCELLED - WITH OB</v>
      </c>
      <c r="N957" s="3"/>
      <c r="O957" s="1" t="str">
        <f>IFERROR(__xludf.DUMMYFUNCTION("""COMPUTED_VALUE"""),"FIBR UNLI ALL PLAN 999")</f>
        <v>FIBR UNLI ALL PLAN 999</v>
      </c>
      <c r="P957" s="1" t="str">
        <f>IFERROR(__xludf.DUMMYFUNCTION("""COMPUTED_VALUE"""),"LOWPLAN")</f>
        <v>LOWPLAN</v>
      </c>
      <c r="Q957" s="1" t="str">
        <f>IFERROR(__xludf.DUMMYFUNCTION("""COMPUTED_VALUE"""),"P407566")</f>
        <v>P407566</v>
      </c>
      <c r="R957" s="1" t="str">
        <f>IFERROR(__xludf.DUMMYFUNCTION("""COMPUTED_VALUE"""),"DENACO, RODNEY")</f>
        <v>DENACO, RODNEY</v>
      </c>
      <c r="S957" s="1" t="str">
        <f>IFERROR(__xludf.DUMMYFUNCTION("""COMPUTED_VALUE"""),"ORGANIC")</f>
        <v>ORGANIC</v>
      </c>
      <c r="T957" s="1" t="str">
        <f>IFERROR(__xludf.DUMMYFUNCTION("""COMPUTED_VALUE"""),"LEA REMOLLO")</f>
        <v>LEA REMOLLO</v>
      </c>
      <c r="U957" s="1" t="str">
        <f>IFERROR(__xludf.DUMMYFUNCTION("""COMPUTED_VALUE"""),"JB SALIOA")</f>
        <v>JB SALIOA</v>
      </c>
      <c r="V957" s="1" t="str">
        <f>IFERROR(__xludf.DUMMYFUNCTION("""COMPUTED_VALUE"""),"BK REGULAR")</f>
        <v>BK REGULAR</v>
      </c>
      <c r="W957" s="1" t="str">
        <f>IFERROR(__xludf.DUMMYFUNCTION("""COMPUTED_VALUE"""),"STK REGULAR")</f>
        <v>STK REGULAR</v>
      </c>
      <c r="X957" s="1" t="str">
        <f>IFERROR(__xludf.DUMMYFUNCTION("""COMPUTED_VALUE"""),"REGULAR")</f>
        <v>REGULAR</v>
      </c>
      <c r="Y957" s="1" t="str">
        <f>IFERROR(__xludf.DUMMYFUNCTION("""COMPUTED_VALUE"""),"BK_CVEU_261005")</f>
        <v>BK_CVEU_261005</v>
      </c>
      <c r="Z957" s="1" t="str">
        <f>IFERROR(__xludf.DUMMYFUNCTION("""COMPUTED_VALUE"""),"NEW CONNECT")</f>
        <v>NEW CONNECT</v>
      </c>
      <c r="AA957" s="1">
        <f>IFERROR(__xludf.DUMMYFUNCTION("""COMPUTED_VALUE"""),639553954561)</f>
        <v>639553954561</v>
      </c>
      <c r="AB957" s="1">
        <f>IFERROR(__xludf.DUMMYFUNCTION("""COMPUTED_VALUE"""),639757348582)</f>
        <v>639757348582</v>
      </c>
      <c r="AC957" s="1">
        <f>IFERROR(__xludf.DUMMYFUNCTION("""COMPUTED_VALUE"""),77)</f>
        <v>77</v>
      </c>
      <c r="AD957" s="1" t="str">
        <f>IFERROR(__xludf.DUMMYFUNCTION("""COMPUTED_VALUE"""),"J GATPANDAN")</f>
        <v>J GATPANDAN</v>
      </c>
      <c r="AE957" s="1"/>
      <c r="AF957" s="1" t="str">
        <f>IFERROR(__xludf.DUMMYFUNCTION("""COMPUTED_VALUE"""),"BGY ANULING CERCA 2")</f>
        <v>BGY ANULING CERCA 2</v>
      </c>
      <c r="AG957" s="1" t="str">
        <f>IFERROR(__xludf.DUMMYFUNCTION("""COMPUTED_VALUE"""),"MENDEZ")</f>
        <v>MENDEZ</v>
      </c>
      <c r="AH957" s="1" t="str">
        <f>IFERROR(__xludf.DUMMYFUNCTION("""COMPUTED_VALUE"""),"L AND J RESORT")</f>
        <v>L AND J RESORT</v>
      </c>
      <c r="AI957" s="1" t="str">
        <f>IFERROR(__xludf.DUMMYFUNCTION("""COMPUTED_VALUE"""),"CLUSTER 12")</f>
        <v>CLUSTER 12</v>
      </c>
    </row>
    <row r="958" customHeight="1" spans="1:35">
      <c r="A958" s="3">
        <f>IFERROR(__xludf.DUMMYFUNCTION("""COMPUTED_VALUE"""),46304)</f>
        <v>46304</v>
      </c>
      <c r="B958" s="1" t="str">
        <f>IFERROR(__xludf.DUMMYFUNCTION("""COMPUTED_VALUE"""),"HERLENE SANTOS TAN")</f>
        <v>HERLENE SANTOS TAN</v>
      </c>
      <c r="C958" s="1">
        <f>IFERROR(__xludf.DUMMYFUNCTION("""COMPUTED_VALUE"""),2313069596)</f>
        <v>2313069596</v>
      </c>
      <c r="D958" s="1"/>
      <c r="E958" s="1"/>
      <c r="F958" s="1" t="str">
        <f>IFERROR(__xludf.DUMMYFUNCTION("""COMPUTED_VALUE"""),"CANCELLED")</f>
        <v>CANCELLED</v>
      </c>
      <c r="G958" s="1" t="str">
        <f>IFERROR(__xludf.DUMMYFUNCTION("""COMPUTED_VALUE"""),"CANCELLED")</f>
        <v>CANCELLED</v>
      </c>
      <c r="H958" s="1"/>
      <c r="I958" s="1"/>
      <c r="J958" s="1"/>
      <c r="K958" s="1"/>
      <c r="L958" s="1" t="str">
        <f>IFERROR(__xludf.DUMMYFUNCTION("""COMPUTED_VALUE"""),"CANCELLED - WITH OB")</f>
        <v>CANCELLED - WITH OB</v>
      </c>
      <c r="M958" s="1" t="str">
        <f>IFERROR(__xludf.DUMMYFUNCTION("""COMPUTED_VALUE"""),"CANCELLED - WITH OB")</f>
        <v>CANCELLED - WITH OB</v>
      </c>
      <c r="N958" s="3"/>
      <c r="O958" s="1" t="str">
        <f>IFERROR(__xludf.DUMMYFUNCTION("""COMPUTED_VALUE"""),"FIBR PLAN 1299")</f>
        <v>FIBR PLAN 1299</v>
      </c>
      <c r="P958" s="1" t="str">
        <f>IFERROR(__xludf.DUMMYFUNCTION("""COMPUTED_VALUE"""),"LOWPLAN")</f>
        <v>LOWPLAN</v>
      </c>
      <c r="Q958" s="1" t="str">
        <f>IFERROR(__xludf.DUMMYFUNCTION("""COMPUTED_VALUE"""),"P407566 ")</f>
        <v>P407566 </v>
      </c>
      <c r="R958" s="1" t="str">
        <f>IFERROR(__xludf.DUMMYFUNCTION("""COMPUTED_VALUE"""),"DENACO, RODNEY")</f>
        <v>DENACO, RODNEY</v>
      </c>
      <c r="S958" s="1" t="str">
        <f>IFERROR(__xludf.DUMMYFUNCTION("""COMPUTED_VALUE"""),"ORGANIC")</f>
        <v>ORGANIC</v>
      </c>
      <c r="T958" s="1" t="str">
        <f>IFERROR(__xludf.DUMMYFUNCTION("""COMPUTED_VALUE"""),"LEA REMOLLO")</f>
        <v>LEA REMOLLO</v>
      </c>
      <c r="U958" s="1" t="str">
        <f>IFERROR(__xludf.DUMMYFUNCTION("""COMPUTED_VALUE"""),"MARK MALIWAT")</f>
        <v>MARK MALIWAT</v>
      </c>
      <c r="V958" s="1" t="str">
        <f>IFERROR(__xludf.DUMMYFUNCTION("""COMPUTED_VALUE"""),"BK")</f>
        <v>BK</v>
      </c>
      <c r="W958" s="1" t="str">
        <f>IFERROR(__xludf.DUMMYFUNCTION("""COMPUTED_VALUE"""),"STK REGULAR")</f>
        <v>STK REGULAR</v>
      </c>
      <c r="X958" s="1" t="str">
        <f>IFERROR(__xludf.DUMMYFUNCTION("""COMPUTED_VALUE"""),"REGULAR")</f>
        <v>REGULAR</v>
      </c>
      <c r="Y958" s="1" t="str">
        <f>IFERROR(__xludf.DUMMYFUNCTION("""COMPUTED_VALUE"""),"BK_CVEU_261005")</f>
        <v>BK_CVEU_261005</v>
      </c>
      <c r="Z958" s="1" t="str">
        <f>IFERROR(__xludf.DUMMYFUNCTION("""COMPUTED_VALUE"""),"NEW CONNECT")</f>
        <v>NEW CONNECT</v>
      </c>
      <c r="AA958" s="1">
        <f>IFERROR(__xludf.DUMMYFUNCTION("""COMPUTED_VALUE"""),639178266666)</f>
        <v>639178266666</v>
      </c>
      <c r="AB958" s="1"/>
      <c r="AC958" s="1">
        <f>IFERROR(__xludf.DUMMYFUNCTION("""COMPUTED_VALUE"""),555)</f>
        <v>555</v>
      </c>
      <c r="AD958" s="1" t="str">
        <f>IFERROR(__xludf.DUMMYFUNCTION("""COMPUTED_VALUE"""),"P MONTOYA")</f>
        <v>P MONTOYA</v>
      </c>
      <c r="AE958" s="1"/>
      <c r="AF958" s="1" t="str">
        <f>IFERROR(__xludf.DUMMYFUNCTION("""COMPUTED_VALUE"""),"BGY 4")</f>
        <v>BGY 4</v>
      </c>
      <c r="AG958" s="1" t="str">
        <f>IFERROR(__xludf.DUMMYFUNCTION("""COMPUTED_VALUE"""),"SILANG")</f>
        <v>SILANG</v>
      </c>
      <c r="AH958" s="1" t="str">
        <f>IFERROR(__xludf.DUMMYFUNCTION("""COMPUTED_VALUE"""),"HOA")</f>
        <v>HOA</v>
      </c>
      <c r="AI958" s="1" t="str">
        <f>IFERROR(__xludf.DUMMYFUNCTION("""COMPUTED_VALUE"""),"CLUSTER 11")</f>
        <v>CLUSTER 11</v>
      </c>
    </row>
    <row r="959" customHeight="1" spans="1:35">
      <c r="A959" s="3">
        <f>IFERROR(__xludf.DUMMYFUNCTION("""COMPUTED_VALUE"""),46304)</f>
        <v>46304</v>
      </c>
      <c r="B959" s="1" t="str">
        <f>IFERROR(__xludf.DUMMYFUNCTION("""COMPUTED_VALUE"""),"JOHN MICHAEL . ROMANO")</f>
        <v>JOHN MICHAEL . ROMANO</v>
      </c>
      <c r="C959" s="1">
        <f>IFERROR(__xludf.DUMMYFUNCTION("""COMPUTED_VALUE"""),2313069580)</f>
        <v>2313069580</v>
      </c>
      <c r="D959" s="1">
        <f>IFERROR(__xludf.DUMMYFUNCTION("""COMPUTED_VALUE"""),408867576)</f>
        <v>408867576</v>
      </c>
      <c r="E959" s="1">
        <f>IFERROR(__xludf.DUMMYFUNCTION("""COMPUTED_VALUE"""),475033701004)</f>
        <v>475033701004</v>
      </c>
      <c r="F959" s="1" t="str">
        <f>IFERROR(__xludf.DUMMYFUNCTION("""COMPUTED_VALUE"""),"FOR CANCELLATION")</f>
        <v>FOR CANCELLATION</v>
      </c>
      <c r="G959" s="1" t="str">
        <f>IFERROR(__xludf.DUMMYFUNCTION("""COMPUTED_VALUE"""),"FOR CANCELLATION")</f>
        <v>FOR CANCELLATION</v>
      </c>
      <c r="H959" s="1" t="str">
        <f>IFERROR(__xludf.DUMMYFUNCTION("""COMPUTED_VALUE"""),"FOR CANCELLATION- TALKED TO SOR SABE DAW KASI NI AGENT IKAKABIT DAW MUNA")</f>
        <v>FOR CANCELLATION- TALKED TO SOR SABE DAW KASI NI AGENT IKAKABIT DAW MUNA</v>
      </c>
      <c r="I959" s="1"/>
      <c r="J959" s="1"/>
      <c r="K959" s="1" t="str">
        <f>IFERROR(__xludf.DUMMYFUNCTION("""COMPUTED_VALUE"""),"NOT IN OFSC")</f>
        <v>NOT IN OFSC</v>
      </c>
      <c r="L959" s="1" t="str">
        <f>IFERROR(__xludf.DUMMYFUNCTION("""COMPUTED_VALUE"""),"FOR PAYMENT")</f>
        <v>FOR PAYMENT</v>
      </c>
      <c r="M959" s="1" t="str">
        <f>IFERROR(__xludf.DUMMYFUNCTION("""COMPUTED_VALUE"""),"FOR CANCELLATION - NON COMPLIANCE - NO PAYMENT")</f>
        <v>FOR CANCELLATION - NON COMPLIANCE - NO PAYMENT</v>
      </c>
      <c r="N959" s="3"/>
      <c r="O959" s="1" t="str">
        <f>IFERROR(__xludf.DUMMYFUNCTION("""COMPUTED_VALUE"""),"FIBER UNLI PLAN 1399")</f>
        <v>FIBER UNLI PLAN 1399</v>
      </c>
      <c r="P959" s="1" t="str">
        <f>IFERROR(__xludf.DUMMYFUNCTION("""COMPUTED_VALUE"""),"LOWPLAN")</f>
        <v>LOWPLAN</v>
      </c>
      <c r="Q959" s="1" t="str">
        <f>IFERROR(__xludf.DUMMYFUNCTION("""COMPUTED_VALUE"""),"P407050")</f>
        <v>P407050</v>
      </c>
      <c r="R959" s="1" t="str">
        <f>IFERROR(__xludf.DUMMYFUNCTION("""COMPUTED_VALUE"""),"ESCARCHA, ALMA")</f>
        <v>ESCARCHA, ALMA</v>
      </c>
      <c r="S959" s="1" t="str">
        <f>IFERROR(__xludf.DUMMYFUNCTION("""COMPUTED_VALUE"""),"ORGANIC")</f>
        <v>ORGANIC</v>
      </c>
      <c r="T959" s="1" t="str">
        <f>IFERROR(__xludf.DUMMYFUNCTION("""COMPUTED_VALUE"""),"LEA REMOLLO")</f>
        <v>LEA REMOLLO</v>
      </c>
      <c r="U959" s="1" t="str">
        <f>IFERROR(__xludf.DUMMYFUNCTION("""COMPUTED_VALUE"""),"JB SALIOA")</f>
        <v>JB SALIOA</v>
      </c>
      <c r="V959" s="1" t="str">
        <f>IFERROR(__xludf.DUMMYFUNCTION("""COMPUTED_VALUE"""),"BK REGULAR")</f>
        <v>BK REGULAR</v>
      </c>
      <c r="W959" s="1" t="str">
        <f>IFERROR(__xludf.DUMMYFUNCTION("""COMPUTED_VALUE"""),"STK REGULAR")</f>
        <v>STK REGULAR</v>
      </c>
      <c r="X959" s="1" t="str">
        <f>IFERROR(__xludf.DUMMYFUNCTION("""COMPUTED_VALUE"""),"FIBER 1399 98TH YR")</f>
        <v>FIBER 1399 98TH YR</v>
      </c>
      <c r="Y959" s="1" t="str">
        <f>IFERROR(__xludf.DUMMYFUNCTION("""COMPUTED_VALUE"""),"BK_CVEU_261005")</f>
        <v>BK_CVEU_261005</v>
      </c>
      <c r="Z959" s="1" t="str">
        <f>IFERROR(__xludf.DUMMYFUNCTION("""COMPUTED_VALUE"""),"NEW CONNECT")</f>
        <v>NEW CONNECT</v>
      </c>
      <c r="AA959" s="1">
        <f>IFERROR(__xludf.DUMMYFUNCTION("""COMPUTED_VALUE"""),639319248660)</f>
        <v>639319248660</v>
      </c>
      <c r="AB959" s="1"/>
      <c r="AC959" s="1"/>
      <c r="AD959" s="1" t="str">
        <f>IFERROR(__xludf.DUMMYFUNCTION("""COMPUTED_VALUE"""),"ANAHAW 1")</f>
        <v>ANAHAW 1</v>
      </c>
      <c r="AE959" s="1"/>
      <c r="AF959" s="1" t="str">
        <f>IFERROR(__xludf.DUMMYFUNCTION("""COMPUTED_VALUE"""),"BGY ANAHAW 1")</f>
        <v>BGY ANAHAW 1</v>
      </c>
      <c r="AG959" s="1" t="str">
        <f>IFERROR(__xludf.DUMMYFUNCTION("""COMPUTED_VALUE"""),"SILANG")</f>
        <v>SILANG</v>
      </c>
      <c r="AH959" s="1" t="str">
        <f>IFERROR(__xludf.DUMMYFUNCTION("""COMPUTED_VALUE"""),"ANAHAW 1 COVERED COURT")</f>
        <v>ANAHAW 1 COVERED COURT</v>
      </c>
      <c r="AI959" s="1" t="str">
        <f>IFERROR(__xludf.DUMMYFUNCTION("""COMPUTED_VALUE"""),"CLUSTER 11")</f>
        <v>CLUSTER 11</v>
      </c>
    </row>
    <row r="960" customHeight="1" spans="1:35">
      <c r="A960" s="3">
        <f>IFERROR(__xludf.DUMMYFUNCTION("""COMPUTED_VALUE"""),46305)</f>
        <v>46305</v>
      </c>
      <c r="B960" s="1" t="str">
        <f>IFERROR(__xludf.DUMMYFUNCTION("""COMPUTED_VALUE""")," EL JOMER DIAZ SENITA")</f>
        <v> EL JOMER DIAZ SENITA</v>
      </c>
      <c r="C960" s="1">
        <f>IFERROR(__xludf.DUMMYFUNCTION("""COMPUTED_VALUE"""),2313079282)</f>
        <v>2313079282</v>
      </c>
      <c r="D960" s="1">
        <f>IFERROR(__xludf.DUMMYFUNCTION("""COMPUTED_VALUE"""),408846005)</f>
        <v>408846005</v>
      </c>
      <c r="E960" s="1">
        <f>IFERROR(__xludf.DUMMYFUNCTION("""COMPUTED_VALUE"""),474973634004)</f>
        <v>474973634004</v>
      </c>
      <c r="F960" s="1" t="str">
        <f>IFERROR(__xludf.DUMMYFUNCTION("""COMPUTED_VALUE"""),"CLOSED")</f>
        <v>CLOSED</v>
      </c>
      <c r="G960" s="1" t="str">
        <f>IFERROR(__xludf.DUMMYFUNCTION("""COMPUTED_VALUE"""),"CLOSED")</f>
        <v>CLOSED</v>
      </c>
      <c r="H960" s="1" t="str">
        <f>IFERROR(__xludf.DUMMYFUNCTION("""COMPUTED_VALUE"""),"PAID THRU GCASH 87951591 OCT 16")</f>
        <v>PAID THRU GCASH 87951591 OCT 16</v>
      </c>
      <c r="I960" s="1" t="str">
        <f>IFERROR(__xludf.DUMMYFUNCTION("""COMPUTED_VALUE"""),"WITH 1 AMSF")</f>
        <v>WITH 1 AMSF</v>
      </c>
      <c r="J960" s="1"/>
      <c r="K960" s="1" t="str">
        <f>IFERROR(__xludf.DUMMYFUNCTION("""COMPUTED_VALUE"""),"COMPLETED")</f>
        <v>COMPLETED</v>
      </c>
      <c r="L960" s="1" t="str">
        <f>IFERROR(__xludf.DUMMYFUNCTION("""COMPUTED_VALUE"""),"POSTED")</f>
        <v>POSTED</v>
      </c>
      <c r="M960" s="1" t="str">
        <f>IFERROR(__xludf.DUMMYFUNCTION("""COMPUTED_VALUE"""),"POSTED")</f>
        <v>POSTED</v>
      </c>
      <c r="N960" s="3">
        <f>IFERROR(__xludf.DUMMYFUNCTION("""COMPUTED_VALUE"""),46311)</f>
        <v>46311</v>
      </c>
      <c r="O960" s="1" t="str">
        <f>IFERROR(__xludf.DUMMYFUNCTION("""COMPUTED_VALUE"""),"FIBER UNLI ALL PLAN 2599")</f>
        <v>FIBER UNLI ALL PLAN 2599</v>
      </c>
      <c r="P960" s="1" t="str">
        <f>IFERROR(__xludf.DUMMYFUNCTION("""COMPUTED_VALUE"""),"HIGHPLAN")</f>
        <v>HIGHPLAN</v>
      </c>
      <c r="Q960" s="1" t="str">
        <f>IFERROR(__xludf.DUMMYFUNCTION("""COMPUTED_VALUE"""),"P407520 ")</f>
        <v>P407520 </v>
      </c>
      <c r="R960" s="1" t="str">
        <f>IFERROR(__xludf.DUMMYFUNCTION("""COMPUTED_VALUE"""),"MALIWAT, MARK")</f>
        <v>MALIWAT, MARK</v>
      </c>
      <c r="S960" s="1" t="str">
        <f>IFERROR(__xludf.DUMMYFUNCTION("""COMPUTED_VALUE"""),"FLA")</f>
        <v>FLA</v>
      </c>
      <c r="T960" s="1" t="str">
        <f>IFERROR(__xludf.DUMMYFUNCTION("""COMPUTED_VALUE"""),"JERIC NAVARRO")</f>
        <v>JERIC NAVARRO</v>
      </c>
      <c r="U960" s="1" t="str">
        <f>IFERROR(__xludf.DUMMYFUNCTION("""COMPUTED_VALUE"""),"MARK MALIWAT")</f>
        <v>MARK MALIWAT</v>
      </c>
      <c r="V960" s="1" t="str">
        <f>IFERROR(__xludf.DUMMYFUNCTION("""COMPUTED_VALUE"""),"H2H")</f>
        <v>H2H</v>
      </c>
      <c r="W960" s="1" t="str">
        <f>IFERROR(__xludf.DUMMYFUNCTION("""COMPUTED_VALUE"""),"STK REGULAR")</f>
        <v>STK REGULAR</v>
      </c>
      <c r="X960" s="1" t="str">
        <f>IFERROR(__xludf.DUMMYFUNCTION("""COMPUTED_VALUE"""),"REGULAR")</f>
        <v>REGULAR</v>
      </c>
      <c r="Y960" s="1" t="str">
        <f>IFERROR(__xludf.DUMMYFUNCTION("""COMPUTED_VALUE"""),"RS_ONL_CVEU_2026")</f>
        <v>RS_ONL_CVEU_2026</v>
      </c>
      <c r="Z960" s="1" t="str">
        <f>IFERROR(__xludf.DUMMYFUNCTION("""COMPUTED_VALUE"""),"NEW CONNECT")</f>
        <v>NEW CONNECT</v>
      </c>
      <c r="AA960" s="1">
        <f>IFERROR(__xludf.DUMMYFUNCTION("""COMPUTED_VALUE"""),639936180256)</f>
        <v>639936180256</v>
      </c>
      <c r="AB960" s="1">
        <f>IFERROR(__xludf.DUMMYFUNCTION("""COMPUTED_VALUE"""),639175175424)</f>
        <v>639175175424</v>
      </c>
      <c r="AC960" s="1">
        <f>IFERROR(__xludf.DUMMYFUNCTION("""COMPUTED_VALUE"""),6)</f>
        <v>6</v>
      </c>
      <c r="AD960" s="1" t="str">
        <f>IFERROR(__xludf.DUMMYFUNCTION("""COMPUTED_VALUE"""),"BOUGAINVILLA")</f>
        <v>BOUGAINVILLA</v>
      </c>
      <c r="AE960" s="1" t="str">
        <f>IFERROR(__xludf.DUMMYFUNCTION("""COMPUTED_VALUE"""),"PAYAPA SUBDIVISION")</f>
        <v>PAYAPA SUBDIVISION</v>
      </c>
      <c r="AF960" s="1" t="str">
        <f>IFERROR(__xludf.DUMMYFUNCTION("""COMPUTED_VALUE"""),"BGY GALICIA 3")</f>
        <v>BGY GALICIA 3</v>
      </c>
      <c r="AG960" s="1" t="str">
        <f>IFERROR(__xludf.DUMMYFUNCTION("""COMPUTED_VALUE"""),"MENDEZ")</f>
        <v>MENDEZ</v>
      </c>
      <c r="AH960" s="1" t="str">
        <f>IFERROR(__xludf.DUMMYFUNCTION("""COMPUTED_VALUE"""),"XIOMING COLLEGE")</f>
        <v>XIOMING COLLEGE</v>
      </c>
      <c r="AI960" s="1" t="str">
        <f>IFERROR(__xludf.DUMMYFUNCTION("""COMPUTED_VALUE"""),"CLUSTER 12")</f>
        <v>CLUSTER 12</v>
      </c>
    </row>
    <row r="961" customHeight="1" spans="1:35">
      <c r="A961" s="3">
        <f>IFERROR(__xludf.DUMMYFUNCTION("""COMPUTED_VALUE"""),46305)</f>
        <v>46305</v>
      </c>
      <c r="B961" s="1" t="str">
        <f>IFERROR(__xludf.DUMMYFUNCTION("""COMPUTED_VALUE""")," SALVADOR MADARANG DE GUZMAN")</f>
        <v> SALVADOR MADARANG DE GUZMAN</v>
      </c>
      <c r="C961" s="1">
        <f>IFERROR(__xludf.DUMMYFUNCTION("""COMPUTED_VALUE"""),2313079525)</f>
        <v>2313079525</v>
      </c>
      <c r="D961" s="1">
        <f>IFERROR(__xludf.DUMMYFUNCTION("""COMPUTED_VALUE"""),408859107)</f>
        <v>408859107</v>
      </c>
      <c r="E961" s="1">
        <f>IFERROR(__xludf.DUMMYFUNCTION("""COMPUTED_VALUE"""),474995361004)</f>
        <v>474995361004</v>
      </c>
      <c r="F961" s="1" t="str">
        <f>IFERROR(__xludf.DUMMYFUNCTION("""COMPUTED_VALUE"""),"CANCELED")</f>
        <v>CANCELED</v>
      </c>
      <c r="G961" s="1" t="str">
        <f>IFERROR(__xludf.DUMMYFUNCTION("""COMPUTED_VALUE"""),"VISITED REMARKS   NAP FULL CMNLP243NP1 FULL CMNLP243NP2 FULL CMNLP243NP3 FULL WALA NA IBANG NAP SA AREA SUBS ALREADY ADVICE TALK SALVADOR MADARANG DE GUZMAN 09171847551")</f>
        <v>VISITED REMARKS   NAP FULL CMNLP243NP1 FULL CMNLP243NP2 FULL CMNLP243NP3 FULL WALA NA IBANG NAP SA AREA SUBS ALREADY ADVICE TALK SALVADOR MADARANG DE GUZMAN 09171847551</v>
      </c>
      <c r="H961" s="1" t="str">
        <f>IFERROR(__xludf.DUMMYFUNCTION("""COMPUTED_VALUE"""),"PQGOR366918114	11-Oct-26	Regular Payment	CIS- MAYA 3.0	1,399.00	0	11-Oct-26")</f>
        <v>PQGOR366918114	11-Oct-26	Regular Payment	CIS- MAYA 3.0	1,399.00	0	11-Oct-26</v>
      </c>
      <c r="I961" s="1" t="str">
        <f>IFERROR(__xludf.DUMMYFUNCTION("""COMPUTED_VALUE"""),"WITH 1 AMSF")</f>
        <v>WITH 1 AMSF</v>
      </c>
      <c r="J961" s="1"/>
      <c r="K961" s="1" t="str">
        <f>IFERROR(__xludf.DUMMYFUNCTION("""COMPUTED_VALUE"""),"CANCELED")</f>
        <v>CANCELED</v>
      </c>
      <c r="L961" s="1" t="str">
        <f>IFERROR(__xludf.DUMMYFUNCTION("""COMPUTED_VALUE"""),"RPR - NAP FULL")</f>
        <v>RPR - NAP FULL</v>
      </c>
      <c r="M961" s="1" t="str">
        <f>IFERROR(__xludf.DUMMYFUNCTION("""COMPUTED_VALUE"""),"RPR- NAP FULL")</f>
        <v>RPR- NAP FULL</v>
      </c>
      <c r="N961" s="3"/>
      <c r="O961" s="1" t="str">
        <f>IFERROR(__xludf.DUMMYFUNCTION("""COMPUTED_VALUE"""),"FIBER UNLI PLAN 1399")</f>
        <v>FIBER UNLI PLAN 1399</v>
      </c>
      <c r="P961" s="1" t="str">
        <f>IFERROR(__xludf.DUMMYFUNCTION("""COMPUTED_VALUE"""),"LOWPLAN")</f>
        <v>LOWPLAN</v>
      </c>
      <c r="Q961" s="1" t="str">
        <f>IFERROR(__xludf.DUMMYFUNCTION("""COMPUTED_VALUE"""),"P407564 ")</f>
        <v>P407564 </v>
      </c>
      <c r="R961" s="1" t="str">
        <f>IFERROR(__xludf.DUMMYFUNCTION("""COMPUTED_VALUE"""),"ARENA, LYKA")</f>
        <v>ARENA, LYKA</v>
      </c>
      <c r="S961" s="1" t="str">
        <f>IFERROR(__xludf.DUMMYFUNCTION("""COMPUTED_VALUE"""),"ORGANIC")</f>
        <v>ORGANIC</v>
      </c>
      <c r="T961" s="1" t="str">
        <f>IFERROR(__xludf.DUMMYFUNCTION("""COMPUTED_VALUE"""),"LEA REMOLLO")</f>
        <v>LEA REMOLLO</v>
      </c>
      <c r="U961" s="1" t="str">
        <f>IFERROR(__xludf.DUMMYFUNCTION("""COMPUTED_VALUE"""),"MARK MALIWAT")</f>
        <v>MARK MALIWAT</v>
      </c>
      <c r="V961" s="1" t="str">
        <f>IFERROR(__xludf.DUMMYFUNCTION("""COMPUTED_VALUE"""),"H2H")</f>
        <v>H2H</v>
      </c>
      <c r="W961" s="1" t="str">
        <f>IFERROR(__xludf.DUMMYFUNCTION("""COMPUTED_VALUE"""),"STK REGULAR")</f>
        <v>STK REGULAR</v>
      </c>
      <c r="X961" s="1" t="str">
        <f>IFERROR(__xludf.DUMMYFUNCTION("""COMPUTED_VALUE"""),"FIBER 1399 98TH YR")</f>
        <v>FIBER 1399 98TH YR</v>
      </c>
      <c r="Y961" s="1" t="str">
        <f>IFERROR(__xludf.DUMMYFUNCTION("""COMPUTED_VALUE"""),"BK_CVEU_261005")</f>
        <v>BK_CVEU_261005</v>
      </c>
      <c r="Z961" s="1" t="str">
        <f>IFERROR(__xludf.DUMMYFUNCTION("""COMPUTED_VALUE"""),"NEW CONNECT")</f>
        <v>NEW CONNECT</v>
      </c>
      <c r="AA961" s="1">
        <f>IFERROR(__xludf.DUMMYFUNCTION("""COMPUTED_VALUE"""),639171847551)</f>
        <v>639171847551</v>
      </c>
      <c r="AB961" s="1"/>
      <c r="AC961" s="1">
        <f>IFERROR(__xludf.DUMMYFUNCTION("""COMPUTED_VALUE"""),9780)</f>
        <v>9780</v>
      </c>
      <c r="AD961" s="1" t="str">
        <f>IFERROR(__xludf.DUMMYFUNCTION("""COMPUTED_VALUE"""),"ALTAREZ")</f>
        <v>ALTAREZ</v>
      </c>
      <c r="AE961" s="1" t="str">
        <f>IFERROR(__xludf.DUMMYFUNCTION("""COMPUTED_VALUE"""),"ALTAREZ VILLAGE")</f>
        <v>ALTAREZ VILLAGE</v>
      </c>
      <c r="AF961" s="1" t="str">
        <f>IFERROR(__xludf.DUMMYFUNCTION("""COMPUTED_VALUE"""),"BGY MADUYA")</f>
        <v>BGY MADUYA</v>
      </c>
      <c r="AG961" s="1" t="str">
        <f>IFERROR(__xludf.DUMMYFUNCTION("""COMPUTED_VALUE"""),"CARMONA")</f>
        <v>CARMONA</v>
      </c>
      <c r="AH961" s="1" t="str">
        <f>IFERROR(__xludf.DUMMYFUNCTION("""COMPUTED_VALUE"""),"POLICE STATION")</f>
        <v>POLICE STATION</v>
      </c>
      <c r="AI961" s="1" t="str">
        <f>IFERROR(__xludf.DUMMYFUNCTION("""COMPUTED_VALUE"""),"CLUSTER 11")</f>
        <v>CLUSTER 11</v>
      </c>
    </row>
    <row r="962" customHeight="1" spans="1:35">
      <c r="A962" s="3">
        <f>IFERROR(__xludf.DUMMYFUNCTION("""COMPUTED_VALUE"""),46305)</f>
        <v>46305</v>
      </c>
      <c r="B962" s="1" t="str">
        <f>IFERROR(__xludf.DUMMYFUNCTION("""COMPUTED_VALUE""")," NATHANIEL BAGAY CARIAS")</f>
        <v> NATHANIEL BAGAY CARIAS</v>
      </c>
      <c r="C962" s="1">
        <f>IFERROR(__xludf.DUMMYFUNCTION("""COMPUTED_VALUE"""),2313080023)</f>
        <v>2313080023</v>
      </c>
      <c r="D962" s="1">
        <f>IFERROR(__xludf.DUMMYFUNCTION("""COMPUTED_VALUE"""),408845661)</f>
        <v>408845661</v>
      </c>
      <c r="E962" s="1">
        <f>IFERROR(__xludf.DUMMYFUNCTION("""COMPUTED_VALUE"""),474973633004)</f>
        <v>474973633004</v>
      </c>
      <c r="F962" s="1" t="str">
        <f>IFERROR(__xludf.DUMMYFUNCTION("""COMPUTED_VALUE"""),"CANCELED")</f>
        <v>CANCELED</v>
      </c>
      <c r="G962" s="1" t="str">
        <f>IFERROR(__xludf.DUMMYFUNCTION("""COMPUTED_VALUE"""),"VISITED  CALLTHRU   REMARKS   CANCEL APPLICATION DUE TO FINANCIAL PROBLEM   AS PER SUBS MAG REAPPLY NA LANG DAW SILA PAG OK NA      TALK NATHANIEL BAGAY CARIAS 09555683501")</f>
        <v>VISITED  CALLTHRU   REMARKS   CANCEL APPLICATION DUE TO FINANCIAL PROBLEM   AS PER SUBS MAG REAPPLY NA LANG DAW SILA PAG OK NA      TALK NATHANIEL BAGAY CARIAS 09555683501</v>
      </c>
      <c r="H962" s="1"/>
      <c r="I962" s="1" t="str">
        <f>IFERROR(__xludf.DUMMYFUNCTION("""COMPUTED_VALUE"""),"NO 1 AMSF")</f>
        <v>NO 1 AMSF</v>
      </c>
      <c r="J962" s="1" t="str">
        <f>IFERROR(__xludf.DUMMYFUNCTION("""COMPUTED_VALUE"""),"NO PAYMENT")</f>
        <v>NO PAYMENT</v>
      </c>
      <c r="K962" s="1" t="str">
        <f>IFERROR(__xludf.DUMMYFUNCTION("""COMPUTED_VALUE"""),"CANCELED")</f>
        <v>CANCELED</v>
      </c>
      <c r="L962" s="1" t="str">
        <f>IFERROR(__xludf.DUMMYFUNCTION("""COMPUTED_VALUE"""),"RPR - SUBS CANCEL REQUEST")</f>
        <v>RPR - SUBS CANCEL REQUEST</v>
      </c>
      <c r="M962" s="1" t="str">
        <f>IFERROR(__xludf.DUMMYFUNCTION("""COMPUTED_VALUE"""),"RPR- SUBS CANCEL REQUEST")</f>
        <v>RPR- SUBS CANCEL REQUEST</v>
      </c>
      <c r="N962" s="3"/>
      <c r="O962" s="1" t="str">
        <f>IFERROR(__xludf.DUMMYFUNCTION("""COMPUTED_VALUE"""),"FIBER UNLI PLAN 1399")</f>
        <v>FIBER UNLI PLAN 1399</v>
      </c>
      <c r="P962" s="1" t="str">
        <f>IFERROR(__xludf.DUMMYFUNCTION("""COMPUTED_VALUE"""),"LOWPLAN")</f>
        <v>LOWPLAN</v>
      </c>
      <c r="Q962" s="1" t="str">
        <f>IFERROR(__xludf.DUMMYFUNCTION("""COMPUTED_VALUE"""),"P407049 ")</f>
        <v>P407049 </v>
      </c>
      <c r="R962" s="1" t="str">
        <f>IFERROR(__xludf.DUMMYFUNCTION("""COMPUTED_VALUE"""),"ALINGARO, CINDY")</f>
        <v>ALINGARO, CINDY</v>
      </c>
      <c r="S962" s="1" t="str">
        <f>IFERROR(__xludf.DUMMYFUNCTION("""COMPUTED_VALUE"""),"ORGANIC")</f>
        <v>ORGANIC</v>
      </c>
      <c r="T962" s="1" t="str">
        <f>IFERROR(__xludf.DUMMYFUNCTION("""COMPUTED_VALUE"""),"LEA REMOLLO")</f>
        <v>LEA REMOLLO</v>
      </c>
      <c r="U962" s="1" t="str">
        <f>IFERROR(__xludf.DUMMYFUNCTION("""COMPUTED_VALUE"""),"MARK MALIWAT")</f>
        <v>MARK MALIWAT</v>
      </c>
      <c r="V962" s="1" t="str">
        <f>IFERROR(__xludf.DUMMYFUNCTION("""COMPUTED_VALUE"""),"H2H")</f>
        <v>H2H</v>
      </c>
      <c r="W962" s="1" t="str">
        <f>IFERROR(__xludf.DUMMYFUNCTION("""COMPUTED_VALUE"""),"STK REGULAR")</f>
        <v>STK REGULAR</v>
      </c>
      <c r="X962" s="1" t="str">
        <f>IFERROR(__xludf.DUMMYFUNCTION("""COMPUTED_VALUE"""),"FIBER 1399 98TH YR")</f>
        <v>FIBER 1399 98TH YR</v>
      </c>
      <c r="Y962" s="1" t="str">
        <f>IFERROR(__xludf.DUMMYFUNCTION("""COMPUTED_VALUE"""),"BK_CVEU_261005")</f>
        <v>BK_CVEU_261005</v>
      </c>
      <c r="Z962" s="1" t="str">
        <f>IFERROR(__xludf.DUMMYFUNCTION("""COMPUTED_VALUE"""),"NEW CONNECT")</f>
        <v>NEW CONNECT</v>
      </c>
      <c r="AA962" s="1">
        <f>IFERROR(__xludf.DUMMYFUNCTION("""COMPUTED_VALUE"""),639555683501)</f>
        <v>639555683501</v>
      </c>
      <c r="AB962" s="1"/>
      <c r="AC962" s="1"/>
      <c r="AD962" s="1" t="str">
        <f>IFERROR(__xludf.DUMMYFUNCTION("""COMPUTED_VALUE"""),"BORROMEO")</f>
        <v>BORROMEO</v>
      </c>
      <c r="AE962" s="1" t="str">
        <f>IFERROR(__xludf.DUMMYFUNCTION("""COMPUTED_VALUE"""),"LETICIA PROTACIO APARTMENT")</f>
        <v>LETICIA PROTACIO APARTMENT</v>
      </c>
      <c r="AF962" s="1" t="str">
        <f>IFERROR(__xludf.DUMMYFUNCTION("""COMPUTED_VALUE"""),"BGY BILUSO")</f>
        <v>BGY BILUSO</v>
      </c>
      <c r="AG962" s="1" t="str">
        <f>IFERROR(__xludf.DUMMYFUNCTION("""COMPUTED_VALUE"""),"SILANG")</f>
        <v>SILANG</v>
      </c>
      <c r="AH962" s="1"/>
      <c r="AI962" s="1" t="str">
        <f>IFERROR(__xludf.DUMMYFUNCTION("""COMPUTED_VALUE"""),"CLUSTER 11")</f>
        <v>CLUSTER 11</v>
      </c>
    </row>
    <row r="963" customHeight="1" spans="1:35">
      <c r="A963" s="3">
        <f>IFERROR(__xludf.DUMMYFUNCTION("""COMPUTED_VALUE"""),46305)</f>
        <v>46305</v>
      </c>
      <c r="B963" s="1" t="str">
        <f>IFERROR(__xludf.DUMMYFUNCTION("""COMPUTED_VALUE""")," PRINCESS GENEVA PARAISO DECENA")</f>
        <v> PRINCESS GENEVA PARAISO DECENA</v>
      </c>
      <c r="C963" s="1">
        <f>IFERROR(__xludf.DUMMYFUNCTION("""COMPUTED_VALUE"""),2313080518)</f>
        <v>2313080518</v>
      </c>
      <c r="D963" s="1">
        <f>IFERROR(__xludf.DUMMYFUNCTION("""COMPUTED_VALUE"""),408884594)</f>
        <v>408884594</v>
      </c>
      <c r="E963" s="1">
        <f>IFERROR(__xludf.DUMMYFUNCTION("""COMPUTED_VALUE"""),475123728004)</f>
        <v>475123728004</v>
      </c>
      <c r="F963" s="1" t="str">
        <f>IFERROR(__xludf.DUMMYFUNCTION("""COMPUTED_VALUE"""),"CLOSED")</f>
        <v>CLOSED</v>
      </c>
      <c r="G963" s="1" t="str">
        <f>IFERROR(__xludf.DUMMYFUNCTION("""COMPUTED_VALUE"""),"CLOSED")</f>
        <v>CLOSED</v>
      </c>
      <c r="H963" s="1" t="str">
        <f>IFERROR(__xludf.DUMMYFUNCTION("""COMPUTED_VALUE"""),"PAID SEC BANK REF 10122026006083 OCT 12")</f>
        <v>PAID SEC BANK REF 10122026006083 OCT 12</v>
      </c>
      <c r="I963" s="1" t="str">
        <f>IFERROR(__xludf.DUMMYFUNCTION("""COMPUTED_VALUE"""),"WITH 1 AMSF")</f>
        <v>WITH 1 AMSF</v>
      </c>
      <c r="J963" s="1"/>
      <c r="K963" s="1" t="str">
        <f>IFERROR(__xludf.DUMMYFUNCTION("""COMPUTED_VALUE"""),"COMPLETED")</f>
        <v>COMPLETED</v>
      </c>
      <c r="L963" s="1" t="str">
        <f>IFERROR(__xludf.DUMMYFUNCTION("""COMPUTED_VALUE"""),"POSTED")</f>
        <v>POSTED</v>
      </c>
      <c r="M963" s="1" t="str">
        <f>IFERROR(__xludf.DUMMYFUNCTION("""COMPUTED_VALUE"""),"POSTED")</f>
        <v>POSTED</v>
      </c>
      <c r="N963" s="3">
        <f>IFERROR(__xludf.DUMMYFUNCTION("""COMPUTED_VALUE"""),46307)</f>
        <v>46307</v>
      </c>
      <c r="O963" s="1" t="str">
        <f>IFERROR(__xludf.DUMMYFUNCTION("""COMPUTED_VALUE"""),"FIBER UNLI PLAN 1399")</f>
        <v>FIBER UNLI PLAN 1399</v>
      </c>
      <c r="P963" s="1" t="str">
        <f>IFERROR(__xludf.DUMMYFUNCTION("""COMPUTED_VALUE"""),"LOWPLAN")</f>
        <v>LOWPLAN</v>
      </c>
      <c r="Q963" s="1" t="str">
        <f>IFERROR(__xludf.DUMMYFUNCTION("""COMPUTED_VALUE"""),"P407561 ")</f>
        <v>P407561 </v>
      </c>
      <c r="R963" s="1" t="str">
        <f>IFERROR(__xludf.DUMMYFUNCTION("""COMPUTED_VALUE"""),"TAMAYO, MARY ROSE ZAIRA")</f>
        <v>TAMAYO, MARY ROSE ZAIRA</v>
      </c>
      <c r="S963" s="1" t="str">
        <f>IFERROR(__xludf.DUMMYFUNCTION("""COMPUTED_VALUE"""),"ORGANIC")</f>
        <v>ORGANIC</v>
      </c>
      <c r="T963" s="1" t="str">
        <f>IFERROR(__xludf.DUMMYFUNCTION("""COMPUTED_VALUE"""),"LEA REMOLLO")</f>
        <v>LEA REMOLLO</v>
      </c>
      <c r="U963" s="1" t="str">
        <f>IFERROR(__xludf.DUMMYFUNCTION("""COMPUTED_VALUE"""),"MARK MALIWAT")</f>
        <v>MARK MALIWAT</v>
      </c>
      <c r="V963" s="1" t="str">
        <f>IFERROR(__xludf.DUMMYFUNCTION("""COMPUTED_VALUE"""),"H2H")</f>
        <v>H2H</v>
      </c>
      <c r="W963" s="1" t="str">
        <f>IFERROR(__xludf.DUMMYFUNCTION("""COMPUTED_VALUE"""),"STK REGULAR")</f>
        <v>STK REGULAR</v>
      </c>
      <c r="X963" s="1" t="str">
        <f>IFERROR(__xludf.DUMMYFUNCTION("""COMPUTED_VALUE"""),"FIBER 1399 98TH YR")</f>
        <v>FIBER 1399 98TH YR</v>
      </c>
      <c r="Y963" s="1" t="str">
        <f>IFERROR(__xludf.DUMMYFUNCTION("""COMPUTED_VALUE"""),"BK_CVEU_261005")</f>
        <v>BK_CVEU_261005</v>
      </c>
      <c r="Z963" s="1" t="str">
        <f>IFERROR(__xludf.DUMMYFUNCTION("""COMPUTED_VALUE"""),"NEW CONNECT")</f>
        <v>NEW CONNECT</v>
      </c>
      <c r="AA963" s="1">
        <f>IFERROR(__xludf.DUMMYFUNCTION("""COMPUTED_VALUE"""),639497801873)</f>
        <v>639497801873</v>
      </c>
      <c r="AB963" s="1">
        <f>IFERROR(__xludf.DUMMYFUNCTION("""COMPUTED_VALUE"""),639279128397)</f>
        <v>639279128397</v>
      </c>
      <c r="AC963" s="1"/>
      <c r="AD963" s="1" t="str">
        <f>IFERROR(__xludf.DUMMYFUNCTION("""COMPUTED_VALUE"""),"CAUSAREN")</f>
        <v>CAUSAREN</v>
      </c>
      <c r="AE963" s="1" t="str">
        <f>IFERROR(__xludf.DUMMYFUNCTION("""COMPUTED_VALUE"""),"DANILO APARTMENT")</f>
        <v>DANILO APARTMENT</v>
      </c>
      <c r="AF963" s="1" t="str">
        <f>IFERROR(__xludf.DUMMYFUNCTION("""COMPUTED_VALUE"""),"BGY BUHO")</f>
        <v>BGY BUHO</v>
      </c>
      <c r="AG963" s="1" t="str">
        <f>IFERROR(__xludf.DUMMYFUNCTION("""COMPUTED_VALUE"""),"SILANG")</f>
        <v>SILANG</v>
      </c>
      <c r="AH963" s="1"/>
      <c r="AI963" s="1" t="str">
        <f>IFERROR(__xludf.DUMMYFUNCTION("""COMPUTED_VALUE"""),"CLUSTER 11")</f>
        <v>CLUSTER 11</v>
      </c>
    </row>
    <row r="964" customHeight="1" spans="1:35">
      <c r="A964" s="3">
        <f>IFERROR(__xludf.DUMMYFUNCTION("""COMPUTED_VALUE"""),46305)</f>
        <v>46305</v>
      </c>
      <c r="B964" s="1" t="str">
        <f>IFERROR(__xludf.DUMMYFUNCTION("""COMPUTED_VALUE""")," ANGELO CORTEZ LICO")</f>
        <v> ANGELO CORTEZ LICO</v>
      </c>
      <c r="C964" s="1">
        <f>IFERROR(__xludf.DUMMYFUNCTION("""COMPUTED_VALUE"""),2313080996)</f>
        <v>2313080996</v>
      </c>
      <c r="D964" s="1">
        <f>IFERROR(__xludf.DUMMYFUNCTION("""COMPUTED_VALUE"""),408884713)</f>
        <v>408884713</v>
      </c>
      <c r="E964" s="1">
        <f>IFERROR(__xludf.DUMMYFUNCTION("""COMPUTED_VALUE"""),475124039004)</f>
        <v>475124039004</v>
      </c>
      <c r="F964" s="1" t="str">
        <f>IFERROR(__xludf.DUMMYFUNCTION("""COMPUTED_VALUE"""),"FOR PAYMENT")</f>
        <v>FOR PAYMENT</v>
      </c>
      <c r="G964" s="1" t="str">
        <f>IFERROR(__xludf.DUMMYFUNCTION("""COMPUTED_VALUE"""),"FOR PAYMENT")</f>
        <v>FOR PAYMENT</v>
      </c>
      <c r="H964" s="1"/>
      <c r="I964" s="1"/>
      <c r="J964" s="1"/>
      <c r="K964" s="1" t="str">
        <f>IFERROR(__xludf.DUMMYFUNCTION("""COMPUTED_VALUE"""),"NOT IN OFSC")</f>
        <v>NOT IN OFSC</v>
      </c>
      <c r="L964" s="1" t="str">
        <f>IFERROR(__xludf.DUMMYFUNCTION("""COMPUTED_VALUE"""),"FOR PAYMENT")</f>
        <v>FOR PAYMENT</v>
      </c>
      <c r="M964" s="1" t="str">
        <f>IFERROR(__xludf.DUMMYFUNCTION("""COMPUTED_VALUE"""),"FOR PAYMENT - FOR CALL OUT")</f>
        <v>FOR PAYMENT - FOR CALL OUT</v>
      </c>
      <c r="N964" s="3"/>
      <c r="O964" s="1" t="str">
        <f>IFERROR(__xludf.DUMMYFUNCTION("""COMPUTED_VALUE"""),"FIBR UNLI ALL PLAN 999")</f>
        <v>FIBR UNLI ALL PLAN 999</v>
      </c>
      <c r="P964" s="1" t="str">
        <f>IFERROR(__xludf.DUMMYFUNCTION("""COMPUTED_VALUE"""),"LOWPLAN")</f>
        <v>LOWPLAN</v>
      </c>
      <c r="Q964" s="1" t="str">
        <f>IFERROR(__xludf.DUMMYFUNCTION("""COMPUTED_VALUE"""),"P407049 ")</f>
        <v>P407049 </v>
      </c>
      <c r="R964" s="1" t="str">
        <f>IFERROR(__xludf.DUMMYFUNCTION("""COMPUTED_VALUE"""),"CORNELIO, CATHERINE")</f>
        <v>CORNELIO, CATHERINE</v>
      </c>
      <c r="S964" s="1" t="str">
        <f>IFERROR(__xludf.DUMMYFUNCTION("""COMPUTED_VALUE"""),"ORGANIC")</f>
        <v>ORGANIC</v>
      </c>
      <c r="T964" s="1" t="str">
        <f>IFERROR(__xludf.DUMMYFUNCTION("""COMPUTED_VALUE"""),"LEA REMOLLO")</f>
        <v>LEA REMOLLO</v>
      </c>
      <c r="U964" s="1" t="str">
        <f>IFERROR(__xludf.DUMMYFUNCTION("""COMPUTED_VALUE"""),"MARK MALIWAT")</f>
        <v>MARK MALIWAT</v>
      </c>
      <c r="V964" s="1" t="str">
        <f>IFERROR(__xludf.DUMMYFUNCTION("""COMPUTED_VALUE"""),"H2H")</f>
        <v>H2H</v>
      </c>
      <c r="W964" s="1" t="str">
        <f>IFERROR(__xludf.DUMMYFUNCTION("""COMPUTED_VALUE"""),"STK REGULAR")</f>
        <v>STK REGULAR</v>
      </c>
      <c r="X964" s="1" t="str">
        <f>IFERROR(__xludf.DUMMYFUNCTION("""COMPUTED_VALUE"""),"FIBER 1399 98TH YR")</f>
        <v>FIBER 1399 98TH YR</v>
      </c>
      <c r="Y964" s="1" t="str">
        <f>IFERROR(__xludf.DUMMYFUNCTION("""COMPUTED_VALUE"""),"BK_CVEU_261005")</f>
        <v>BK_CVEU_261005</v>
      </c>
      <c r="Z964" s="1" t="str">
        <f>IFERROR(__xludf.DUMMYFUNCTION("""COMPUTED_VALUE"""),"NEW CONNECT")</f>
        <v>NEW CONNECT</v>
      </c>
      <c r="AA964" s="1">
        <f>IFERROR(__xludf.DUMMYFUNCTION("""COMPUTED_VALUE"""),639707310995)</f>
        <v>639707310995</v>
      </c>
      <c r="AB964" s="1">
        <f>IFERROR(__xludf.DUMMYFUNCTION("""COMPUTED_VALUE"""),639568334734)</f>
        <v>639568334734</v>
      </c>
      <c r="AC964" s="1">
        <f>IFERROR(__xludf.DUMMYFUNCTION("""COMPUTED_VALUE"""),73)</f>
        <v>73</v>
      </c>
      <c r="AD964" s="1" t="str">
        <f>IFERROR(__xludf.DUMMYFUNCTION("""COMPUTED_VALUE"""),"BOROMMEO")</f>
        <v>BOROMMEO</v>
      </c>
      <c r="AE964" s="1"/>
      <c r="AF964" s="1" t="str">
        <f>IFERROR(__xludf.DUMMYFUNCTION("""COMPUTED_VALUE"""),"BGY BILUSO")</f>
        <v>BGY BILUSO</v>
      </c>
      <c r="AG964" s="1" t="str">
        <f>IFERROR(__xludf.DUMMYFUNCTION("""COMPUTED_VALUE"""),"SILANG")</f>
        <v>SILANG</v>
      </c>
      <c r="AH964" s="1"/>
      <c r="AI964" s="1" t="str">
        <f>IFERROR(__xludf.DUMMYFUNCTION("""COMPUTED_VALUE"""),"CLUSTER 11")</f>
        <v>CLUSTER 11</v>
      </c>
    </row>
    <row r="965" customHeight="1" spans="1:35">
      <c r="A965" s="3">
        <f>IFERROR(__xludf.DUMMYFUNCTION("""COMPUTED_VALUE"""),46305)</f>
        <v>46305</v>
      </c>
      <c r="B965" s="1" t="str">
        <f>IFERROR(__xludf.DUMMYFUNCTION("""COMPUTED_VALUE""")," MARY GRACE MARTINEZ GABUYA")</f>
        <v> MARY GRACE MARTINEZ GABUYA</v>
      </c>
      <c r="C965" s="1">
        <f>IFERROR(__xludf.DUMMYFUNCTION("""COMPUTED_VALUE"""),2313081452)</f>
        <v>2313081452</v>
      </c>
      <c r="D965" s="1">
        <f>IFERROR(__xludf.DUMMYFUNCTION("""COMPUTED_VALUE"""),408866898)</f>
        <v>408866898</v>
      </c>
      <c r="E965" s="1">
        <f>IFERROR(__xludf.DUMMYFUNCTION("""COMPUTED_VALUE"""),475024770004)</f>
        <v>475024770004</v>
      </c>
      <c r="F965" s="1" t="str">
        <f>IFERROR(__xludf.DUMMYFUNCTION("""COMPUTED_VALUE"""),"CLOSED")</f>
        <v>CLOSED</v>
      </c>
      <c r="G965" s="1" t="str">
        <f>IFERROR(__xludf.DUMMYFUNCTION("""COMPUTED_VALUE"""),"CLOSED")</f>
        <v>CLOSED</v>
      </c>
      <c r="H965" s="1"/>
      <c r="I965" s="1" t="str">
        <f>IFERROR(__xludf.DUMMYFUNCTION("""COMPUTED_VALUE"""),"NO 1 AMSF")</f>
        <v>NO 1 AMSF</v>
      </c>
      <c r="J965" s="1" t="str">
        <f>IFERROR(__xludf.DUMMYFUNCTION("""COMPUTED_VALUE"""),"DUE DATE - 08-Nov-26 - 1,594.90")</f>
        <v>DUE DATE - 08-Nov-26 - 1,594.90</v>
      </c>
      <c r="K965" s="1" t="str">
        <f>IFERROR(__xludf.DUMMYFUNCTION("""COMPUTED_VALUE"""),"COMPLETED")</f>
        <v>COMPLETED</v>
      </c>
      <c r="L965" s="1" t="str">
        <f>IFERROR(__xludf.DUMMYFUNCTION("""COMPUTED_VALUE"""),"POSTED")</f>
        <v>POSTED</v>
      </c>
      <c r="M965" s="1" t="str">
        <f>IFERROR(__xludf.DUMMYFUNCTION("""COMPUTED_VALUE"""),"POSTED")</f>
        <v>POSTED</v>
      </c>
      <c r="N965" s="3">
        <f>IFERROR(__xludf.DUMMYFUNCTION("""COMPUTED_VALUE"""),46307)</f>
        <v>46307</v>
      </c>
      <c r="O965" s="1" t="str">
        <f>IFERROR(__xludf.DUMMYFUNCTION("""COMPUTED_VALUE"""),"FIBER UNLI PLAN 1399")</f>
        <v>FIBER UNLI PLAN 1399</v>
      </c>
      <c r="P965" s="1" t="str">
        <f>IFERROR(__xludf.DUMMYFUNCTION("""COMPUTED_VALUE"""),"LOWPLAN")</f>
        <v>LOWPLAN</v>
      </c>
      <c r="Q965" s="1" t="str">
        <f>IFERROR(__xludf.DUMMYFUNCTION("""COMPUTED_VALUE"""),"P407050 ")</f>
        <v>P407050 </v>
      </c>
      <c r="R965" s="1" t="str">
        <f>IFERROR(__xludf.DUMMYFUNCTION("""COMPUTED_VALUE"""),"ESCARCHA, ALMA")</f>
        <v>ESCARCHA, ALMA</v>
      </c>
      <c r="S965" s="1" t="str">
        <f>IFERROR(__xludf.DUMMYFUNCTION("""COMPUTED_VALUE"""),"ORGANIC")</f>
        <v>ORGANIC</v>
      </c>
      <c r="T965" s="1" t="str">
        <f>IFERROR(__xludf.DUMMYFUNCTION("""COMPUTED_VALUE"""),"LEA REMOLLO")</f>
        <v>LEA REMOLLO</v>
      </c>
      <c r="U965" s="1" t="str">
        <f>IFERROR(__xludf.DUMMYFUNCTION("""COMPUTED_VALUE"""),"MARK MALIWAT")</f>
        <v>MARK MALIWAT</v>
      </c>
      <c r="V965" s="1" t="str">
        <f>IFERROR(__xludf.DUMMYFUNCTION("""COMPUTED_VALUE"""),"H2H")</f>
        <v>H2H</v>
      </c>
      <c r="W965" s="1" t="str">
        <f>IFERROR(__xludf.DUMMYFUNCTION("""COMPUTED_VALUE"""),"STK REGULAR")</f>
        <v>STK REGULAR</v>
      </c>
      <c r="X965" s="1" t="str">
        <f>IFERROR(__xludf.DUMMYFUNCTION("""COMPUTED_VALUE"""),"FIBER 1399 98TH YR")</f>
        <v>FIBER 1399 98TH YR</v>
      </c>
      <c r="Y965" s="1" t="str">
        <f>IFERROR(__xludf.DUMMYFUNCTION("""COMPUTED_VALUE"""),"BK_CVEU_261005")</f>
        <v>BK_CVEU_261005</v>
      </c>
      <c r="Z965" s="1" t="str">
        <f>IFERROR(__xludf.DUMMYFUNCTION("""COMPUTED_VALUE"""),"NEW CONNECT")</f>
        <v>NEW CONNECT</v>
      </c>
      <c r="AA965" s="1">
        <f>IFERROR(__xludf.DUMMYFUNCTION("""COMPUTED_VALUE"""),639539259830)</f>
        <v>639539259830</v>
      </c>
      <c r="AB965" s="1">
        <f>IFERROR(__xludf.DUMMYFUNCTION("""COMPUTED_VALUE"""),639530832304)</f>
        <v>639530832304</v>
      </c>
      <c r="AC965" s="1"/>
      <c r="AD965" s="1" t="str">
        <f>IFERROR(__xludf.DUMMYFUNCTION("""COMPUTED_VALUE"""),"PUROK 2")</f>
        <v>PUROK 2</v>
      </c>
      <c r="AE965" s="1"/>
      <c r="AF965" s="1" t="str">
        <f>IFERROR(__xludf.DUMMYFUNCTION("""COMPUTED_VALUE"""),"BGY BILUSO")</f>
        <v>BGY BILUSO</v>
      </c>
      <c r="AG965" s="1" t="str">
        <f>IFERROR(__xludf.DUMMYFUNCTION("""COMPUTED_VALUE"""),"SILANG")</f>
        <v>SILANG</v>
      </c>
      <c r="AH965" s="1" t="str">
        <f>IFERROR(__xludf.DUMMYFUNCTION("""COMPUTED_VALUE"""),"JPO APARTMENT")</f>
        <v>JPO APARTMENT</v>
      </c>
      <c r="AI965" s="1" t="str">
        <f>IFERROR(__xludf.DUMMYFUNCTION("""COMPUTED_VALUE"""),"CLUSTER 11")</f>
        <v>CLUSTER 11</v>
      </c>
    </row>
    <row r="966" customHeight="1" spans="1:35">
      <c r="A966" s="3">
        <f>IFERROR(__xludf.DUMMYFUNCTION("""COMPUTED_VALUE"""),46305)</f>
        <v>46305</v>
      </c>
      <c r="B966" s="1" t="str">
        <f>IFERROR(__xludf.DUMMYFUNCTION("""COMPUTED_VALUE""")," RODOLFO JR GARCIA NAVARRO")</f>
        <v> RODOLFO JR GARCIA NAVARRO</v>
      </c>
      <c r="C966" s="1">
        <f>IFERROR(__xludf.DUMMYFUNCTION("""COMPUTED_VALUE"""),2313081811)</f>
        <v>2313081811</v>
      </c>
      <c r="D966" s="1"/>
      <c r="E966" s="1"/>
      <c r="F966" s="1" t="str">
        <f>IFERROR(__xludf.DUMMYFUNCTION("""COMPUTED_VALUE"""),"REENCODED")</f>
        <v>REENCODED</v>
      </c>
      <c r="G966" s="1" t="str">
        <f>IFERROR(__xludf.DUMMYFUNCTION("""COMPUTED_VALUE"""),"CANNOT CHANGE THE PAYMEN REQUIRED | APPROVED | CLEARED FROM BLACKLIST HIT, NO EXISTING ACTIVE ACCT AND/ OR PENDING APPLICATION | DONE VALIDATION WITH SUBMITTED COMPLETE DOCS| CORRECT ENCODED INFO IN CSP |WAIVED 1 AMSF REQUIREMENTS (FF - 1 (NTC) | PART OF "&amp;"THE EXEMPTED OF AREAS IN PROMO OF FIBER 1399 98TH YR|SCANNABLE SUBMITTED NATIONAL ID")</f>
        <v>CANNOT CHANGE THE PAYMEN REQUIRED | APPROVED | CLEARED FROM BLACKLIST HIT, NO EXISTING ACTIVE ACCT AND/ OR PENDING APPLICATION | DONE VALIDATION WITH SUBMITTED COMPLETE DOCS| CORRECT ENCODED INFO IN CSP |WAIVED 1 AMSF REQUIREMENTS (FF - 1 (NTC) | PART OF THE EXEMPTED OF AREAS IN PROMO OF FIBER 1399 98TH YR|SCANNABLE SUBMITTED NATIONAL ID</v>
      </c>
      <c r="H966" s="1"/>
      <c r="I966" s="1"/>
      <c r="J966" s="1"/>
      <c r="K966" s="1"/>
      <c r="L966" s="1" t="str">
        <f>IFERROR(__xludf.DUMMYFUNCTION("""COMPUTED_VALUE"""),"REENCODED")</f>
        <v>REENCODED</v>
      </c>
      <c r="M966" s="1" t="str">
        <f>IFERROR(__xludf.DUMMYFUNCTION("""COMPUTED_VALUE"""),"REENCODED")</f>
        <v>REENCODED</v>
      </c>
      <c r="N966" s="3"/>
      <c r="O966" s="1" t="str">
        <f>IFERROR(__xludf.DUMMYFUNCTION("""COMPUTED_VALUE"""),"FIBER UNLI PLAN 1399")</f>
        <v>FIBER UNLI PLAN 1399</v>
      </c>
      <c r="P966" s="1" t="str">
        <f>IFERROR(__xludf.DUMMYFUNCTION("""COMPUTED_VALUE"""),"LOWPLAN")</f>
        <v>LOWPLAN</v>
      </c>
      <c r="Q966" s="1" t="str">
        <f>IFERROR(__xludf.DUMMYFUNCTION("""COMPUTED_VALUE"""),"P407049 ")</f>
        <v>P407049 </v>
      </c>
      <c r="R966" s="1" t="str">
        <f>IFERROR(__xludf.DUMMYFUNCTION("""COMPUTED_VALUE"""),"LOTOJA, LOVELY JOICE")</f>
        <v>LOTOJA, LOVELY JOICE</v>
      </c>
      <c r="S966" s="1" t="str">
        <f>IFERROR(__xludf.DUMMYFUNCTION("""COMPUTED_VALUE"""),"ORGANIC")</f>
        <v>ORGANIC</v>
      </c>
      <c r="T966" s="1" t="str">
        <f>IFERROR(__xludf.DUMMYFUNCTION("""COMPUTED_VALUE"""),"LEA REMOLLO")</f>
        <v>LEA REMOLLO</v>
      </c>
      <c r="U966" s="1" t="str">
        <f>IFERROR(__xludf.DUMMYFUNCTION("""COMPUTED_VALUE"""),"MARK MALIWAT")</f>
        <v>MARK MALIWAT</v>
      </c>
      <c r="V966" s="1" t="str">
        <f>IFERROR(__xludf.DUMMYFUNCTION("""COMPUTED_VALUE"""),"H2H")</f>
        <v>H2H</v>
      </c>
      <c r="W966" s="1" t="str">
        <f>IFERROR(__xludf.DUMMYFUNCTION("""COMPUTED_VALUE"""),"STK REGULAR")</f>
        <v>STK REGULAR</v>
      </c>
      <c r="X966" s="1" t="str">
        <f>IFERROR(__xludf.DUMMYFUNCTION("""COMPUTED_VALUE"""),"FIBER 1399 98TH YR")</f>
        <v>FIBER 1399 98TH YR</v>
      </c>
      <c r="Y966" s="1" t="str">
        <f>IFERROR(__xludf.DUMMYFUNCTION("""COMPUTED_VALUE"""),"BK_CVEU_261005")</f>
        <v>BK_CVEU_261005</v>
      </c>
      <c r="Z966" s="1" t="str">
        <f>IFERROR(__xludf.DUMMYFUNCTION("""COMPUTED_VALUE"""),"NEW CONNECT")</f>
        <v>NEW CONNECT</v>
      </c>
      <c r="AA966" s="1">
        <f>IFERROR(__xludf.DUMMYFUNCTION("""COMPUTED_VALUE"""),639192890511)</f>
        <v>639192890511</v>
      </c>
      <c r="AB966" s="1"/>
      <c r="AC966" s="1">
        <f>IFERROR(__xludf.DUMMYFUNCTION("""COMPUTED_VALUE"""),16)</f>
        <v>16</v>
      </c>
      <c r="AD966" s="1" t="str">
        <f>IFERROR(__xludf.DUMMYFUNCTION("""COMPUTED_VALUE"""),"PUROK 1")</f>
        <v>PUROK 1</v>
      </c>
      <c r="AE966" s="1"/>
      <c r="AF966" s="1" t="str">
        <f>IFERROR(__xludf.DUMMYFUNCTION("""COMPUTED_VALUE"""),"BGY BILUSO")</f>
        <v>BGY BILUSO</v>
      </c>
      <c r="AG966" s="1" t="str">
        <f>IFERROR(__xludf.DUMMYFUNCTION("""COMPUTED_VALUE"""),"SILANG")</f>
        <v>SILANG</v>
      </c>
      <c r="AH966" s="1"/>
      <c r="AI966" s="1" t="str">
        <f>IFERROR(__xludf.DUMMYFUNCTION("""COMPUTED_VALUE"""),"CLUSTER 12")</f>
        <v>CLUSTER 12</v>
      </c>
    </row>
    <row r="967" customHeight="1" spans="1:35">
      <c r="A967" s="3">
        <f>IFERROR(__xludf.DUMMYFUNCTION("""COMPUTED_VALUE"""),46305)</f>
        <v>46305</v>
      </c>
      <c r="B967" s="1" t="str">
        <f>IFERROR(__xludf.DUMMYFUNCTION("""COMPUTED_VALUE"""),"JEREMIAH TEVES FRANCISCO")</f>
        <v>JEREMIAH TEVES FRANCISCO</v>
      </c>
      <c r="C967" s="1">
        <f>IFERROR(__xludf.DUMMYFUNCTION("""COMPUTED_VALUE"""),2313083078)</f>
        <v>2313083078</v>
      </c>
      <c r="D967" s="1">
        <f>IFERROR(__xludf.DUMMYFUNCTION("""COMPUTED_VALUE"""),408852994)</f>
        <v>408852994</v>
      </c>
      <c r="E967" s="1">
        <f>IFERROR(__xludf.DUMMYFUNCTION("""COMPUTED_VALUE"""),474992104004)</f>
        <v>474992104004</v>
      </c>
      <c r="F967" s="1" t="str">
        <f>IFERROR(__xludf.DUMMYFUNCTION("""COMPUTED_VALUE"""),"CLOSED")</f>
        <v>CLOSED</v>
      </c>
      <c r="G967" s="1" t="str">
        <f>IFERROR(__xludf.DUMMYFUNCTION("""COMPUTED_VALUE"""),"CLOSED")</f>
        <v>CLOSED</v>
      </c>
      <c r="H967" s="1" t="str">
        <f>IFERROR(__xludf.DUMMYFUNCTION("""COMPUTED_VALUE"""),"PQGOR367175255	13-Oct-26	Regular Payment	CIS-GCASH 3.0	1,399.00	0	13-Oct-26")</f>
        <v>PQGOR367175255	13-Oct-26	Regular Payment	CIS-GCASH 3.0	1,399.00	0	13-Oct-26</v>
      </c>
      <c r="I967" s="1" t="str">
        <f>IFERROR(__xludf.DUMMYFUNCTION("""COMPUTED_VALUE"""),"WITH 1 AMSF")</f>
        <v>WITH 1 AMSF</v>
      </c>
      <c r="J967" s="1" t="str">
        <f>IFERROR(__xludf.DUMMYFUNCTION("""COMPUTED_VALUE"""),"BALANCE - 46.64")</f>
        <v>BALANCE - 46.64</v>
      </c>
      <c r="K967" s="1" t="str">
        <f>IFERROR(__xludf.DUMMYFUNCTION("""COMPUTED_VALUE"""),"COMPLETED")</f>
        <v>COMPLETED</v>
      </c>
      <c r="L967" s="1" t="str">
        <f>IFERROR(__xludf.DUMMYFUNCTION("""COMPUTED_VALUE"""),"POSTED")</f>
        <v>POSTED</v>
      </c>
      <c r="M967" s="1" t="str">
        <f>IFERROR(__xludf.DUMMYFUNCTION("""COMPUTED_VALUE"""),"POSTED")</f>
        <v>POSTED</v>
      </c>
      <c r="N967" s="3">
        <f>IFERROR(__xludf.DUMMYFUNCTION("""COMPUTED_VALUE"""),46306)</f>
        <v>46306</v>
      </c>
      <c r="O967" s="1" t="str">
        <f>IFERROR(__xludf.DUMMYFUNCTION("""COMPUTED_VALUE"""),"FIBER UNLI PLAN 1399")</f>
        <v>FIBER UNLI PLAN 1399</v>
      </c>
      <c r="P967" s="1" t="str">
        <f>IFERROR(__xludf.DUMMYFUNCTION("""COMPUTED_VALUE"""),"LOWPLAN")</f>
        <v>LOWPLAN</v>
      </c>
      <c r="Q967" s="1" t="str">
        <f>IFERROR(__xludf.DUMMYFUNCTION("""COMPUTED_VALUE"""),"P407559")</f>
        <v>P407559</v>
      </c>
      <c r="R967" s="1" t="str">
        <f>IFERROR(__xludf.DUMMYFUNCTION("""COMPUTED_VALUE"""),"MAGDARAOG, KENNETH")</f>
        <v>MAGDARAOG, KENNETH</v>
      </c>
      <c r="S967" s="1" t="str">
        <f>IFERROR(__xludf.DUMMYFUNCTION("""COMPUTED_VALUE"""),"ORGANIC")</f>
        <v>ORGANIC</v>
      </c>
      <c r="T967" s="1" t="str">
        <f>IFERROR(__xludf.DUMMYFUNCTION("""COMPUTED_VALUE"""),"LEA REMOLLO")</f>
        <v>LEA REMOLLO</v>
      </c>
      <c r="U967" s="1" t="str">
        <f>IFERROR(__xludf.DUMMYFUNCTION("""COMPUTED_VALUE"""),"JB SALIOA")</f>
        <v>JB SALIOA</v>
      </c>
      <c r="V967" s="1" t="str">
        <f>IFERROR(__xludf.DUMMYFUNCTION("""COMPUTED_VALUE"""),"BK HSTK")</f>
        <v>BK HSTK</v>
      </c>
      <c r="W967" s="1" t="str">
        <f>IFERROR(__xludf.DUMMYFUNCTION("""COMPUTED_VALUE"""),"BK HSTK")</f>
        <v>BK HSTK</v>
      </c>
      <c r="X967" s="1" t="str">
        <f>IFERROR(__xludf.DUMMYFUNCTION("""COMPUTED_VALUE"""),"FIBER 1399 98TH YR")</f>
        <v>FIBER 1399 98TH YR</v>
      </c>
      <c r="Y967" s="1" t="str">
        <f>IFERROR(__xludf.DUMMYFUNCTION("""COMPUTED_VALUE"""),"BK_CVEU_261006")</f>
        <v>BK_CVEU_261006</v>
      </c>
      <c r="Z967" s="1" t="str">
        <f>IFERROR(__xludf.DUMMYFUNCTION("""COMPUTED_VALUE"""),"NEW CONNECT")</f>
        <v>NEW CONNECT</v>
      </c>
      <c r="AA967" s="1">
        <f>IFERROR(__xludf.DUMMYFUNCTION("""COMPUTED_VALUE"""),639758060258)</f>
        <v>639758060258</v>
      </c>
      <c r="AB967" s="1">
        <f>IFERROR(__xludf.DUMMYFUNCTION("""COMPUTED_VALUE"""),639941610849)</f>
        <v>639941610849</v>
      </c>
      <c r="AC967" s="1"/>
      <c r="AD967" s="1" t="str">
        <f>IFERROR(__xludf.DUMMYFUNCTION("""COMPUTED_VALUE"""),"CUCKOO")</f>
        <v>CUCKOO</v>
      </c>
      <c r="AE967" s="1" t="str">
        <f>IFERROR(__xludf.DUMMYFUNCTION("""COMPUTED_VALUE"""),"RCD ROYALE HOMES PH 2")</f>
        <v>RCD ROYALE HOMES PH 2</v>
      </c>
      <c r="AF967" s="1" t="str">
        <f>IFERROR(__xludf.DUMMYFUNCTION("""COMPUTED_VALUE"""),"BGY KALUBKOB")</f>
        <v>BGY KALUBKOB</v>
      </c>
      <c r="AG967" s="1" t="str">
        <f>IFERROR(__xludf.DUMMYFUNCTION("""COMPUTED_VALUE"""),"SILANG")</f>
        <v>SILANG</v>
      </c>
      <c r="AH967" s="1"/>
      <c r="AI967" s="1" t="str">
        <f>IFERROR(__xludf.DUMMYFUNCTION("""COMPUTED_VALUE"""),"CLUSTER 11")</f>
        <v>CLUSTER 11</v>
      </c>
    </row>
    <row r="968" customHeight="1" spans="1:35">
      <c r="A968" s="3">
        <f>IFERROR(__xludf.DUMMYFUNCTION("""COMPUTED_VALUE"""),46305)</f>
        <v>46305</v>
      </c>
      <c r="B968" s="1" t="str">
        <f>IFERROR(__xludf.DUMMYFUNCTION("""COMPUTED_VALUE"""),"CARMELITA PEJI DELOS REYES")</f>
        <v>CARMELITA PEJI DELOS REYES</v>
      </c>
      <c r="C968" s="1">
        <f>IFERROR(__xludf.DUMMYFUNCTION("""COMPUTED_VALUE"""),2313083522)</f>
        <v>2313083522</v>
      </c>
      <c r="D968" s="1">
        <f>IFERROR(__xludf.DUMMYFUNCTION("""COMPUTED_VALUE"""),408854636)</f>
        <v>408854636</v>
      </c>
      <c r="E968" s="1">
        <f>IFERROR(__xludf.DUMMYFUNCTION("""COMPUTED_VALUE"""),474992811004)</f>
        <v>474992811004</v>
      </c>
      <c r="F968" s="1" t="str">
        <f>IFERROR(__xludf.DUMMYFUNCTION("""COMPUTED_VALUE"""),"FOR PAYMENT")</f>
        <v>FOR PAYMENT</v>
      </c>
      <c r="G968" s="1" t="str">
        <f>IFERROR(__xludf.DUMMYFUNCTION("""COMPUTED_VALUE"""),"FOR PAYMENT")</f>
        <v>FOR PAYMENT</v>
      </c>
      <c r="H968" s="1"/>
      <c r="I968" s="1"/>
      <c r="J968" s="1"/>
      <c r="K968" s="1" t="str">
        <f>IFERROR(__xludf.DUMMYFUNCTION("""COMPUTED_VALUE"""),"NOT IN OFSC")</f>
        <v>NOT IN OFSC</v>
      </c>
      <c r="L968" s="1" t="str">
        <f>IFERROR(__xludf.DUMMYFUNCTION("""COMPUTED_VALUE"""),"FOR PAYMENT")</f>
        <v>FOR PAYMENT</v>
      </c>
      <c r="M968" s="1" t="str">
        <f>IFERROR(__xludf.DUMMYFUNCTION("""COMPUTED_VALUE"""),"FOR PAYMENT - FOR CALL OUT")</f>
        <v>FOR PAYMENT - FOR CALL OUT</v>
      </c>
      <c r="N968" s="3"/>
      <c r="O968" s="1" t="str">
        <f>IFERROR(__xludf.DUMMYFUNCTION("""COMPUTED_VALUE"""),"FIBR UNLI ALL PLAN 999")</f>
        <v>FIBR UNLI ALL PLAN 999</v>
      </c>
      <c r="P968" s="1" t="str">
        <f>IFERROR(__xludf.DUMMYFUNCTION("""COMPUTED_VALUE"""),"LOWPLAN")</f>
        <v>LOWPLAN</v>
      </c>
      <c r="Q968" s="1" t="str">
        <f>IFERROR(__xludf.DUMMYFUNCTION("""COMPUTED_VALUE"""),"P407045")</f>
        <v>P407045</v>
      </c>
      <c r="R968" s="1" t="str">
        <f>IFERROR(__xludf.DUMMYFUNCTION("""COMPUTED_VALUE"""),"REMOLLO, LEA")</f>
        <v>REMOLLO, LEA</v>
      </c>
      <c r="S968" s="1" t="str">
        <f>IFERROR(__xludf.DUMMYFUNCTION("""COMPUTED_VALUE"""),"FLA")</f>
        <v>FLA</v>
      </c>
      <c r="T968" s="1" t="str">
        <f>IFERROR(__xludf.DUMMYFUNCTION("""COMPUTED_VALUE"""),"JERIC NAVARRO")</f>
        <v>JERIC NAVARRO</v>
      </c>
      <c r="U968" s="1" t="str">
        <f>IFERROR(__xludf.DUMMYFUNCTION("""COMPUTED_VALUE"""),"JB SALIOA")</f>
        <v>JB SALIOA</v>
      </c>
      <c r="V968" s="1" t="str">
        <f>IFERROR(__xludf.DUMMYFUNCTION("""COMPUTED_VALUE"""),"BK HSTK")</f>
        <v>BK HSTK</v>
      </c>
      <c r="W968" s="1" t="str">
        <f>IFERROR(__xludf.DUMMYFUNCTION("""COMPUTED_VALUE"""),"BK HSTK")</f>
        <v>BK HSTK</v>
      </c>
      <c r="X968" s="1" t="str">
        <f>IFERROR(__xludf.DUMMYFUNCTION("""COMPUTED_VALUE"""),"REGULAR")</f>
        <v>REGULAR</v>
      </c>
      <c r="Y968" s="1" t="str">
        <f>IFERROR(__xludf.DUMMYFUNCTION("""COMPUTED_VALUE"""),"BK_CVEU_261006")</f>
        <v>BK_CVEU_261006</v>
      </c>
      <c r="Z968" s="1" t="str">
        <f>IFERROR(__xludf.DUMMYFUNCTION("""COMPUTED_VALUE"""),"NEW CONNECT")</f>
        <v>NEW CONNECT</v>
      </c>
      <c r="AA968" s="1">
        <f>IFERROR(__xludf.DUMMYFUNCTION("""COMPUTED_VALUE"""),639089872954)</f>
        <v>639089872954</v>
      </c>
      <c r="AB968" s="1">
        <f>IFERROR(__xludf.DUMMYFUNCTION("""COMPUTED_VALUE"""),639978767025)</f>
        <v>639978767025</v>
      </c>
      <c r="AC968" s="1">
        <f>IFERROR(__xludf.DUMMYFUNCTION("""COMPUTED_VALUE"""),3200)</f>
        <v>3200</v>
      </c>
      <c r="AD968" s="1" t="str">
        <f>IFERROR(__xludf.DUMMYFUNCTION("""COMPUTED_VALUE"""),"BAYACAL")</f>
        <v>BAYACAL</v>
      </c>
      <c r="AE968" s="1"/>
      <c r="AF968" s="1" t="str">
        <f>IFERROR(__xludf.DUMMYFUNCTION("""COMPUTED_VALUE"""),"BGY SABUTAN")</f>
        <v>BGY SABUTAN</v>
      </c>
      <c r="AG968" s="1" t="str">
        <f>IFERROR(__xludf.DUMMYFUNCTION("""COMPUTED_VALUE"""),"SILANG")</f>
        <v>SILANG</v>
      </c>
      <c r="AH968" s="1" t="str">
        <f>IFERROR(__xludf.DUMMYFUNCTION("""COMPUTED_VALUE"""),"SEA OIL")</f>
        <v>SEA OIL</v>
      </c>
      <c r="AI968" s="1" t="str">
        <f>IFERROR(__xludf.DUMMYFUNCTION("""COMPUTED_VALUE"""),"CLUSTER 11")</f>
        <v>CLUSTER 11</v>
      </c>
    </row>
    <row r="969" customHeight="1" spans="1:35">
      <c r="A969" s="3">
        <f>IFERROR(__xludf.DUMMYFUNCTION("""COMPUTED_VALUE"""),46305)</f>
        <v>46305</v>
      </c>
      <c r="B969" s="1" t="str">
        <f>IFERROR(__xludf.DUMMYFUNCTION("""COMPUTED_VALUE"""),"ALFREDO JR MIRAFUENTE QUERI JR")</f>
        <v>ALFREDO JR MIRAFUENTE QUERI JR</v>
      </c>
      <c r="C969" s="1">
        <f>IFERROR(__xludf.DUMMYFUNCTION("""COMPUTED_VALUE"""),2313083799)</f>
        <v>2313083799</v>
      </c>
      <c r="D969" s="1"/>
      <c r="E969" s="1"/>
      <c r="F969" s="1" t="str">
        <f>IFERROR(__xludf.DUMMYFUNCTION("""COMPUTED_VALUE"""),"REENCODED")</f>
        <v>REENCODED</v>
      </c>
      <c r="G969" s="1" t="str">
        <f>IFERROR(__xludf.DUMMYFUNCTION("""COMPUTED_VALUE"""),"REENCODED")</f>
        <v>REENCODED</v>
      </c>
      <c r="H969" s="1"/>
      <c r="I969" s="1"/>
      <c r="J969" s="1"/>
      <c r="K969" s="1"/>
      <c r="L969" s="1" t="str">
        <f>IFERROR(__xludf.DUMMYFUNCTION("""COMPUTED_VALUE"""),"REENCODED")</f>
        <v>REENCODED</v>
      </c>
      <c r="M969" s="1" t="str">
        <f>IFERROR(__xludf.DUMMYFUNCTION("""COMPUTED_VALUE"""),"REENCODED")</f>
        <v>REENCODED</v>
      </c>
      <c r="N969" s="3"/>
      <c r="O969" s="1" t="str">
        <f>IFERROR(__xludf.DUMMYFUNCTION("""COMPUTED_VALUE"""),"FIBR UNLI ALL PLAN 999")</f>
        <v>FIBR UNLI ALL PLAN 999</v>
      </c>
      <c r="P969" s="1" t="str">
        <f>IFERROR(__xludf.DUMMYFUNCTION("""COMPUTED_VALUE"""),"LOWPLAN")</f>
        <v>LOWPLAN</v>
      </c>
      <c r="Q969" s="1" t="str">
        <f>IFERROR(__xludf.DUMMYFUNCTION("""COMPUTED_VALUE"""),"P407564")</f>
        <v>P407564</v>
      </c>
      <c r="R969" s="1" t="str">
        <f>IFERROR(__xludf.DUMMYFUNCTION("""COMPUTED_VALUE"""),"ARENA, LYKA")</f>
        <v>ARENA, LYKA</v>
      </c>
      <c r="S969" s="1" t="str">
        <f>IFERROR(__xludf.DUMMYFUNCTION("""COMPUTED_VALUE"""),"ORGANIC")</f>
        <v>ORGANIC</v>
      </c>
      <c r="T969" s="1" t="str">
        <f>IFERROR(__xludf.DUMMYFUNCTION("""COMPUTED_VALUE"""),"LEA REMOLLO")</f>
        <v>LEA REMOLLO</v>
      </c>
      <c r="U969" s="1" t="str">
        <f>IFERROR(__xludf.DUMMYFUNCTION("""COMPUTED_VALUE"""),"JB SALIOA")</f>
        <v>JB SALIOA</v>
      </c>
      <c r="V969" s="1" t="str">
        <f>IFERROR(__xludf.DUMMYFUNCTION("""COMPUTED_VALUE"""),"BK HSTK")</f>
        <v>BK HSTK</v>
      </c>
      <c r="W969" s="1" t="str">
        <f>IFERROR(__xludf.DUMMYFUNCTION("""COMPUTED_VALUE"""),"BK HSTK")</f>
        <v>BK HSTK</v>
      </c>
      <c r="X969" s="1" t="str">
        <f>IFERROR(__xludf.DUMMYFUNCTION("""COMPUTED_VALUE"""),"REGULAR")</f>
        <v>REGULAR</v>
      </c>
      <c r="Y969" s="1" t="str">
        <f>IFERROR(__xludf.DUMMYFUNCTION("""COMPUTED_VALUE"""),"BK_CVEU_261006")</f>
        <v>BK_CVEU_261006</v>
      </c>
      <c r="Z969" s="1" t="str">
        <f>IFERROR(__xludf.DUMMYFUNCTION("""COMPUTED_VALUE"""),"NEW CONNECT")</f>
        <v>NEW CONNECT</v>
      </c>
      <c r="AA969" s="1">
        <f>IFERROR(__xludf.DUMMYFUNCTION("""COMPUTED_VALUE"""),639696202749)</f>
        <v>639696202749</v>
      </c>
      <c r="AB969" s="1"/>
      <c r="AC969" s="1">
        <f>IFERROR(__xludf.DUMMYFUNCTION("""COMPUTED_VALUE"""),43)</f>
        <v>43</v>
      </c>
      <c r="AD969" s="1" t="str">
        <f>IFERROR(__xludf.DUMMYFUNCTION("""COMPUTED_VALUE"""),"SITIO KANLURAN")</f>
        <v>SITIO KANLURAN</v>
      </c>
      <c r="AE969" s="1"/>
      <c r="AF969" s="1" t="str">
        <f>IFERROR(__xludf.DUMMYFUNCTION("""COMPUTED_VALUE"""),"BGY TIBIG")</f>
        <v>BGY TIBIG</v>
      </c>
      <c r="AG969" s="1" t="str">
        <f>IFERROR(__xludf.DUMMYFUNCTION("""COMPUTED_VALUE"""),"SILANG")</f>
        <v>SILANG</v>
      </c>
      <c r="AH969" s="1" t="str">
        <f>IFERROR(__xludf.DUMMYFUNCTION("""COMPUTED_VALUE"""),"TIBIG ELEM SCHOOL")</f>
        <v>TIBIG ELEM SCHOOL</v>
      </c>
      <c r="AI969" s="1" t="str">
        <f>IFERROR(__xludf.DUMMYFUNCTION("""COMPUTED_VALUE"""),"CLUSTER 11")</f>
        <v>CLUSTER 11</v>
      </c>
    </row>
    <row r="970" customHeight="1" spans="1:35">
      <c r="A970" s="3">
        <f>IFERROR(__xludf.DUMMYFUNCTION("""COMPUTED_VALUE"""),46305)</f>
        <v>46305</v>
      </c>
      <c r="B970" s="1" t="str">
        <f>IFERROR(__xludf.DUMMYFUNCTION("""COMPUTED_VALUE"""),"ALFREDO JR MIRAFUENTE QUERI")</f>
        <v>ALFREDO JR MIRAFUENTE QUERI</v>
      </c>
      <c r="C970" s="1">
        <f>IFERROR(__xludf.DUMMYFUNCTION("""COMPUTED_VALUE"""),2313083952)</f>
        <v>2313083952</v>
      </c>
      <c r="D970" s="1">
        <f>IFERROR(__xludf.DUMMYFUNCTION("""COMPUTED_VALUE"""),408852951)</f>
        <v>408852951</v>
      </c>
      <c r="E970" s="1">
        <f>IFERROR(__xludf.DUMMYFUNCTION("""COMPUTED_VALUE"""),474992145004)</f>
        <v>474992145004</v>
      </c>
      <c r="F970" s="1" t="str">
        <f>IFERROR(__xludf.DUMMYFUNCTION("""COMPUTED_VALUE"""),"CLOSED")</f>
        <v>CLOSED</v>
      </c>
      <c r="G970" s="1" t="str">
        <f>IFERROR(__xludf.DUMMYFUNCTION("""COMPUTED_VALUE"""),"CLOSED")</f>
        <v>CLOSED</v>
      </c>
      <c r="H970" s="1"/>
      <c r="I970" s="1" t="str">
        <f>IFERROR(__xludf.DUMMYFUNCTION("""COMPUTED_VALUE"""),"NO 1 AMSF")</f>
        <v>NO 1 AMSF</v>
      </c>
      <c r="J970" s="1" t="str">
        <f>IFERROR(__xludf.DUMMYFUNCTION("""COMPUTED_VALUE"""),"DUE DATE - 08-Nov-26 - 1,222.26")</f>
        <v>DUE DATE - 08-Nov-26 - 1,222.26</v>
      </c>
      <c r="K970" s="1" t="str">
        <f>IFERROR(__xludf.DUMMYFUNCTION("""COMPUTED_VALUE"""),"COMPLETED")</f>
        <v>COMPLETED</v>
      </c>
      <c r="L970" s="1" t="str">
        <f>IFERROR(__xludf.DUMMYFUNCTION("""COMPUTED_VALUE"""),"POSTED")</f>
        <v>POSTED</v>
      </c>
      <c r="M970" s="1" t="str">
        <f>IFERROR(__xludf.DUMMYFUNCTION("""COMPUTED_VALUE"""),"POSTED")</f>
        <v>POSTED</v>
      </c>
      <c r="N970" s="3">
        <f>IFERROR(__xludf.DUMMYFUNCTION("""COMPUTED_VALUE"""),46308)</f>
        <v>46308</v>
      </c>
      <c r="O970" s="1" t="str">
        <f>IFERROR(__xludf.DUMMYFUNCTION("""COMPUTED_VALUE"""),"FIBR UNLI ALL PLAN 999")</f>
        <v>FIBR UNLI ALL PLAN 999</v>
      </c>
      <c r="P970" s="1" t="str">
        <f>IFERROR(__xludf.DUMMYFUNCTION("""COMPUTED_VALUE"""),"LOWPLAN")</f>
        <v>LOWPLAN</v>
      </c>
      <c r="Q970" s="1" t="str">
        <f>IFERROR(__xludf.DUMMYFUNCTION("""COMPUTED_VALUE"""),"P407564")</f>
        <v>P407564</v>
      </c>
      <c r="R970" s="1" t="str">
        <f>IFERROR(__xludf.DUMMYFUNCTION("""COMPUTED_VALUE"""),"ARENA, LYKA")</f>
        <v>ARENA, LYKA</v>
      </c>
      <c r="S970" s="1" t="str">
        <f>IFERROR(__xludf.DUMMYFUNCTION("""COMPUTED_VALUE"""),"ORGANIC")</f>
        <v>ORGANIC</v>
      </c>
      <c r="T970" s="1" t="str">
        <f>IFERROR(__xludf.DUMMYFUNCTION("""COMPUTED_VALUE"""),"LEA REMOLLO")</f>
        <v>LEA REMOLLO</v>
      </c>
      <c r="U970" s="1" t="str">
        <f>IFERROR(__xludf.DUMMYFUNCTION("""COMPUTED_VALUE"""),"JB SALIOA")</f>
        <v>JB SALIOA</v>
      </c>
      <c r="V970" s="1" t="str">
        <f>IFERROR(__xludf.DUMMYFUNCTION("""COMPUTED_VALUE"""),"BK HSTK")</f>
        <v>BK HSTK</v>
      </c>
      <c r="W970" s="1" t="str">
        <f>IFERROR(__xludf.DUMMYFUNCTION("""COMPUTED_VALUE"""),"BK HSTK")</f>
        <v>BK HSTK</v>
      </c>
      <c r="X970" s="1" t="str">
        <f>IFERROR(__xludf.DUMMYFUNCTION("""COMPUTED_VALUE"""),"REGULAR")</f>
        <v>REGULAR</v>
      </c>
      <c r="Y970" s="1" t="str">
        <f>IFERROR(__xludf.DUMMYFUNCTION("""COMPUTED_VALUE"""),"BK_CVEU_261006")</f>
        <v>BK_CVEU_261006</v>
      </c>
      <c r="Z970" s="1" t="str">
        <f>IFERROR(__xludf.DUMMYFUNCTION("""COMPUTED_VALUE"""),"NEW CONNECT")</f>
        <v>NEW CONNECT</v>
      </c>
      <c r="AA970" s="1">
        <f>IFERROR(__xludf.DUMMYFUNCTION("""COMPUTED_VALUE"""),639696202749)</f>
        <v>639696202749</v>
      </c>
      <c r="AB970" s="1"/>
      <c r="AC970" s="1">
        <f>IFERROR(__xludf.DUMMYFUNCTION("""COMPUTED_VALUE"""),43)</f>
        <v>43</v>
      </c>
      <c r="AD970" s="1" t="str">
        <f>IFERROR(__xludf.DUMMYFUNCTION("""COMPUTED_VALUE"""),"SITIO KANLURAN")</f>
        <v>SITIO KANLURAN</v>
      </c>
      <c r="AE970" s="1"/>
      <c r="AF970" s="1" t="str">
        <f>IFERROR(__xludf.DUMMYFUNCTION("""COMPUTED_VALUE"""),"BGY TIBIG")</f>
        <v>BGY TIBIG</v>
      </c>
      <c r="AG970" s="1" t="str">
        <f>IFERROR(__xludf.DUMMYFUNCTION("""COMPUTED_VALUE"""),"SILANG")</f>
        <v>SILANG</v>
      </c>
      <c r="AH970" s="1" t="str">
        <f>IFERROR(__xludf.DUMMYFUNCTION("""COMPUTED_VALUE"""),"TIBIG ELEM SCHOOL")</f>
        <v>TIBIG ELEM SCHOOL</v>
      </c>
      <c r="AI970" s="1" t="str">
        <f>IFERROR(__xludf.DUMMYFUNCTION("""COMPUTED_VALUE"""),"CLUSTER 11")</f>
        <v>CLUSTER 11</v>
      </c>
    </row>
    <row r="971" customHeight="1" spans="1:35">
      <c r="A971" s="3">
        <f>IFERROR(__xludf.DUMMYFUNCTION("""COMPUTED_VALUE"""),46305)</f>
        <v>46305</v>
      </c>
      <c r="B971" s="1" t="str">
        <f>IFERROR(__xludf.DUMMYFUNCTION("""COMPUTED_VALUE"""),"REYNAN AMATRIAM MANAHAN")</f>
        <v>REYNAN AMATRIAM MANAHAN</v>
      </c>
      <c r="C971" s="1">
        <f>IFERROR(__xludf.DUMMYFUNCTION("""COMPUTED_VALUE"""),2313084173)</f>
        <v>2313084173</v>
      </c>
      <c r="D971" s="1">
        <f>IFERROR(__xludf.DUMMYFUNCTION("""COMPUTED_VALUE"""),408884802)</f>
        <v>408884802</v>
      </c>
      <c r="E971" s="1">
        <f>IFERROR(__xludf.DUMMYFUNCTION("""COMPUTED_VALUE"""),475124073004)</f>
        <v>475124073004</v>
      </c>
      <c r="F971" s="1" t="str">
        <f>IFERROR(__xludf.DUMMYFUNCTION("""COMPUTED_VALUE"""),"CLOSED")</f>
        <v>CLOSED</v>
      </c>
      <c r="G971" s="1" t="str">
        <f>IFERROR(__xludf.DUMMYFUNCTION("""COMPUTED_VALUE"""),"CLOSED")</f>
        <v>CLOSED</v>
      </c>
      <c r="H971" s="1" t="str">
        <f>IFERROR(__xludf.DUMMYFUNCTION("""COMPUTED_VALUE"""),"PAID VIA PAY GCASH REF 0124242834290 OCT 10")</f>
        <v>PAID VIA PAY GCASH REF 0124242834290 OCT 10</v>
      </c>
      <c r="I971" s="1" t="str">
        <f>IFERROR(__xludf.DUMMYFUNCTION("""COMPUTED_VALUE"""),"WITH 1 AMSF")</f>
        <v>WITH 1 AMSF</v>
      </c>
      <c r="J971" s="1"/>
      <c r="K971" s="1" t="str">
        <f>IFERROR(__xludf.DUMMYFUNCTION("""COMPUTED_VALUE"""),"COMPLETED")</f>
        <v>COMPLETED</v>
      </c>
      <c r="L971" s="1" t="str">
        <f>IFERROR(__xludf.DUMMYFUNCTION("""COMPUTED_VALUE"""),"POSTED")</f>
        <v>POSTED</v>
      </c>
      <c r="M971" s="1" t="str">
        <f>IFERROR(__xludf.DUMMYFUNCTION("""COMPUTED_VALUE"""),"POSTED")</f>
        <v>POSTED</v>
      </c>
      <c r="N971" s="3">
        <f>IFERROR(__xludf.DUMMYFUNCTION("""COMPUTED_VALUE"""),46308)</f>
        <v>46308</v>
      </c>
      <c r="O971" s="1" t="str">
        <f>IFERROR(__xludf.DUMMYFUNCTION("""COMPUTED_VALUE"""),"FIBR UNLI ALL PLAN 999")</f>
        <v>FIBR UNLI ALL PLAN 999</v>
      </c>
      <c r="P971" s="1" t="str">
        <f>IFERROR(__xludf.DUMMYFUNCTION("""COMPUTED_VALUE"""),"LOWPLAN")</f>
        <v>LOWPLAN</v>
      </c>
      <c r="Q971" s="1" t="str">
        <f>IFERROR(__xludf.DUMMYFUNCTION("""COMPUTED_VALUE"""),"P407047")</f>
        <v>P407047</v>
      </c>
      <c r="R971" s="1" t="str">
        <f>IFERROR(__xludf.DUMMYFUNCTION("""COMPUTED_VALUE"""),"FRANCISCO, ROSELYN")</f>
        <v>FRANCISCO, ROSELYN</v>
      </c>
      <c r="S971" s="1" t="str">
        <f>IFERROR(__xludf.DUMMYFUNCTION("""COMPUTED_VALUE"""),"ORGANIC")</f>
        <v>ORGANIC</v>
      </c>
      <c r="T971" s="1" t="str">
        <f>IFERROR(__xludf.DUMMYFUNCTION("""COMPUTED_VALUE"""),"LEA REMOLLO")</f>
        <v>LEA REMOLLO</v>
      </c>
      <c r="U971" s="1" t="str">
        <f>IFERROR(__xludf.DUMMYFUNCTION("""COMPUTED_VALUE"""),"JB SALIOA")</f>
        <v>JB SALIOA</v>
      </c>
      <c r="V971" s="1" t="str">
        <f>IFERROR(__xludf.DUMMYFUNCTION("""COMPUTED_VALUE"""),"BK HSTK")</f>
        <v>BK HSTK</v>
      </c>
      <c r="W971" s="1" t="str">
        <f>IFERROR(__xludf.DUMMYFUNCTION("""COMPUTED_VALUE"""),"BK HSTK")</f>
        <v>BK HSTK</v>
      </c>
      <c r="X971" s="1" t="str">
        <f>IFERROR(__xludf.DUMMYFUNCTION("""COMPUTED_VALUE"""),"REGULAR")</f>
        <v>REGULAR</v>
      </c>
      <c r="Y971" s="1" t="str">
        <f>IFERROR(__xludf.DUMMYFUNCTION("""COMPUTED_VALUE"""),"BK_CVEU_261006")</f>
        <v>BK_CVEU_261006</v>
      </c>
      <c r="Z971" s="1" t="str">
        <f>IFERROR(__xludf.DUMMYFUNCTION("""COMPUTED_VALUE"""),"NEW CONNECT")</f>
        <v>NEW CONNECT</v>
      </c>
      <c r="AA971" s="1">
        <f>IFERROR(__xludf.DUMMYFUNCTION("""COMPUTED_VALUE"""),639948135983)</f>
        <v>639948135983</v>
      </c>
      <c r="AB971" s="1"/>
      <c r="AC971" s="1">
        <f>IFERROR(__xludf.DUMMYFUNCTION("""COMPUTED_VALUE"""),325)</f>
        <v>325</v>
      </c>
      <c r="AD971" s="1" t="str">
        <f>IFERROR(__xludf.DUMMYFUNCTION("""COMPUTED_VALUE"""),"J P RIZAL")</f>
        <v>J P RIZAL</v>
      </c>
      <c r="AE971" s="1"/>
      <c r="AF971" s="1" t="str">
        <f>IFERROR(__xludf.DUMMYFUNCTION("""COMPUTED_VALUE"""),"BGY TUBUAN 2")</f>
        <v>BGY TUBUAN 2</v>
      </c>
      <c r="AG971" s="1" t="str">
        <f>IFERROR(__xludf.DUMMYFUNCTION("""COMPUTED_VALUE"""),"SILANG")</f>
        <v>SILANG</v>
      </c>
      <c r="AH971" s="1" t="str">
        <f>IFERROR(__xludf.DUMMYFUNCTION("""COMPUTED_VALUE"""),"GEEKPRINTS")</f>
        <v>GEEKPRINTS</v>
      </c>
      <c r="AI971" s="1" t="str">
        <f>IFERROR(__xludf.DUMMYFUNCTION("""COMPUTED_VALUE"""),"CLUSTER 11")</f>
        <v>CLUSTER 11</v>
      </c>
    </row>
    <row r="972" customHeight="1" spans="1:35">
      <c r="A972" s="3">
        <f>IFERROR(__xludf.DUMMYFUNCTION("""COMPUTED_VALUE"""),46305)</f>
        <v>46305</v>
      </c>
      <c r="B972" s="1" t="str">
        <f>IFERROR(__xludf.DUMMYFUNCTION("""COMPUTED_VALUE"""),"MANILYN BEATO ABACHE")</f>
        <v>MANILYN BEATO ABACHE</v>
      </c>
      <c r="C972" s="1">
        <f>IFERROR(__xludf.DUMMYFUNCTION("""COMPUTED_VALUE"""),2313084382)</f>
        <v>2313084382</v>
      </c>
      <c r="D972" s="1"/>
      <c r="E972" s="1"/>
      <c r="F972" s="1" t="str">
        <f>IFERROR(__xludf.DUMMYFUNCTION("""COMPUTED_VALUE"""),"CANCELLED")</f>
        <v>CANCELLED</v>
      </c>
      <c r="G972" s="1" t="str">
        <f>IFERROR(__xludf.DUMMYFUNCTION("""COMPUTED_VALUE"""),"FOUND WITH ATIVE TEL#0468906511  DIFFERENT ADDRESS// FOR MULTIPLE LINE APPLICATION// NEED TO SUBMIT")</f>
        <v>FOUND WITH ATIVE TEL#0468906511  DIFFERENT ADDRESS// FOR MULTIPLE LINE APPLICATION// NEED TO SUBMIT</v>
      </c>
      <c r="H972" s="1"/>
      <c r="I972" s="1"/>
      <c r="J972" s="1"/>
      <c r="K972" s="1"/>
      <c r="L972" s="1" t="str">
        <f>IFERROR(__xludf.DUMMYFUNCTION("""COMPUTED_VALUE"""),"CANCELLED")</f>
        <v>CANCELLED</v>
      </c>
      <c r="M972" s="1" t="str">
        <f>IFERROR(__xludf.DUMMYFUNCTION("""COMPUTED_VALUE"""),"CANCELLED - WITH ACTIVE LINE")</f>
        <v>CANCELLED - WITH ACTIVE LINE</v>
      </c>
      <c r="N972" s="3"/>
      <c r="O972" s="1" t="str">
        <f>IFERROR(__xludf.DUMMYFUNCTION("""COMPUTED_VALUE"""),"FIBER UNLI PLAN 1399")</f>
        <v>FIBER UNLI PLAN 1399</v>
      </c>
      <c r="P972" s="1" t="str">
        <f>IFERROR(__xludf.DUMMYFUNCTION("""COMPUTED_VALUE"""),"LOWPLAN")</f>
        <v>LOWPLAN</v>
      </c>
      <c r="Q972" s="1" t="str">
        <f>IFERROR(__xludf.DUMMYFUNCTION("""COMPUTED_VALUE"""),"P407517")</f>
        <v>P407517</v>
      </c>
      <c r="R972" s="1" t="str">
        <f>IFERROR(__xludf.DUMMYFUNCTION("""COMPUTED_VALUE"""),"GABAY, MANUEL")</f>
        <v>GABAY, MANUEL</v>
      </c>
      <c r="S972" s="1" t="str">
        <f>IFERROR(__xludf.DUMMYFUNCTION("""COMPUTED_VALUE"""),"FLA")</f>
        <v>FLA</v>
      </c>
      <c r="T972" s="1" t="str">
        <f>IFERROR(__xludf.DUMMYFUNCTION("""COMPUTED_VALUE"""),"JERIC NAVARRO")</f>
        <v>JERIC NAVARRO</v>
      </c>
      <c r="U972" s="1" t="str">
        <f>IFERROR(__xludf.DUMMYFUNCTION("""COMPUTED_VALUE"""),"JB SALIOA")</f>
        <v>JB SALIOA</v>
      </c>
      <c r="V972" s="1" t="str">
        <f>IFERROR(__xludf.DUMMYFUNCTION("""COMPUTED_VALUE"""),"BK REGULAR")</f>
        <v>BK REGULAR</v>
      </c>
      <c r="W972" s="1" t="str">
        <f>IFERROR(__xludf.DUMMYFUNCTION("""COMPUTED_VALUE"""),"STK REGULAR")</f>
        <v>STK REGULAR</v>
      </c>
      <c r="X972" s="1" t="str">
        <f>IFERROR(__xludf.DUMMYFUNCTION("""COMPUTED_VALUE"""),"FIBER 1399 98TH YR")</f>
        <v>FIBER 1399 98TH YR</v>
      </c>
      <c r="Y972" s="1" t="str">
        <f>IFERROR(__xludf.DUMMYFUNCTION("""COMPUTED_VALUE"""),"BK_CVEU_261006")</f>
        <v>BK_CVEU_261006</v>
      </c>
      <c r="Z972" s="1" t="str">
        <f>IFERROR(__xludf.DUMMYFUNCTION("""COMPUTED_VALUE"""),"NEW CONNECT")</f>
        <v>NEW CONNECT</v>
      </c>
      <c r="AA972" s="1">
        <f>IFERROR(__xludf.DUMMYFUNCTION("""COMPUTED_VALUE"""),639360546188)</f>
        <v>639360546188</v>
      </c>
      <c r="AB972" s="1">
        <f>IFERROR(__xludf.DUMMYFUNCTION("""COMPUTED_VALUE"""),639381171868)</f>
        <v>639381171868</v>
      </c>
      <c r="AC972" s="1"/>
      <c r="AD972" s="1" t="str">
        <f>IFERROR(__xludf.DUMMYFUNCTION("""COMPUTED_VALUE"""),"STA ROSA")</f>
        <v>STA ROSA</v>
      </c>
      <c r="AE972" s="1" t="str">
        <f>IFERROR(__xludf.DUMMYFUNCTION("""COMPUTED_VALUE"""),"PUROK 1")</f>
        <v>PUROK 1</v>
      </c>
      <c r="AF972" s="1" t="str">
        <f>IFERROR(__xludf.DUMMYFUNCTION("""COMPUTED_VALUE"""),"BGY PUTING KAHOY")</f>
        <v>BGY PUTING KAHOY</v>
      </c>
      <c r="AG972" s="1" t="str">
        <f>IFERROR(__xludf.DUMMYFUNCTION("""COMPUTED_VALUE"""),"SILANG")</f>
        <v>SILANG</v>
      </c>
      <c r="AH972" s="1" t="str">
        <f>IFERROR(__xludf.DUMMYFUNCTION("""COMPUTED_VALUE"""),"YSABELLAS GARDEN")</f>
        <v>YSABELLAS GARDEN</v>
      </c>
      <c r="AI972" s="1" t="str">
        <f>IFERROR(__xludf.DUMMYFUNCTION("""COMPUTED_VALUE"""),"CLUSTER 11")</f>
        <v>CLUSTER 11</v>
      </c>
    </row>
    <row r="973" customHeight="1" spans="1:35">
      <c r="A973" s="3">
        <f>IFERROR(__xludf.DUMMYFUNCTION("""COMPUTED_VALUE"""),46305)</f>
        <v>46305</v>
      </c>
      <c r="B973" s="1" t="str">
        <f>IFERROR(__xludf.DUMMYFUNCTION("""COMPUTED_VALUE"""),"JOEL TOMENIO POMAREJOS")</f>
        <v>JOEL TOMENIO POMAREJOS</v>
      </c>
      <c r="C973" s="1">
        <f>IFERROR(__xludf.DUMMYFUNCTION("""COMPUTED_VALUE"""),2313084727)</f>
        <v>2313084727</v>
      </c>
      <c r="D973" s="1">
        <f>IFERROR(__xludf.DUMMYFUNCTION("""COMPUTED_VALUE"""),408854865)</f>
        <v>408854865</v>
      </c>
      <c r="E973" s="1">
        <f>IFERROR(__xludf.DUMMYFUNCTION("""COMPUTED_VALUE"""),474994910004)</f>
        <v>474994910004</v>
      </c>
      <c r="F973" s="1" t="str">
        <f>IFERROR(__xludf.DUMMYFUNCTION("""COMPUTED_VALUE"""),"CLOSED")</f>
        <v>CLOSED</v>
      </c>
      <c r="G973" s="1" t="str">
        <f>IFERROR(__xludf.DUMMYFUNCTION("""COMPUTED_VALUE"""),"CLOSED")</f>
        <v>CLOSED</v>
      </c>
      <c r="H973" s="1" t="str">
        <f>IFERROR(__xludf.DUMMYFUNCTION("""COMPUTED_VALUE"""),"PQGOR367626028	17-Oct-26	Regular Payment	CIS - 7ELEVEN - NCR	1,399.00	0	17-Oct-26")</f>
        <v>PQGOR367626028	17-Oct-26	Regular Payment	CIS - 7ELEVEN - NCR	1,399.00	0	17-Oct-26</v>
      </c>
      <c r="I973" s="1" t="str">
        <f>IFERROR(__xludf.DUMMYFUNCTION("""COMPUTED_VALUE"""),"WITH 1 AMSF")</f>
        <v>WITH 1 AMSF</v>
      </c>
      <c r="J973" s="1"/>
      <c r="K973" s="1" t="str">
        <f>IFERROR(__xludf.DUMMYFUNCTION("""COMPUTED_VALUE"""),"COMPLETED")</f>
        <v>COMPLETED</v>
      </c>
      <c r="L973" s="1" t="str">
        <f>IFERROR(__xludf.DUMMYFUNCTION("""COMPUTED_VALUE"""),"POSTED")</f>
        <v>POSTED</v>
      </c>
      <c r="M973" s="1" t="str">
        <f>IFERROR(__xludf.DUMMYFUNCTION("""COMPUTED_VALUE"""),"POSTED")</f>
        <v>POSTED</v>
      </c>
      <c r="N973" s="3">
        <f>IFERROR(__xludf.DUMMYFUNCTION("""COMPUTED_VALUE"""),46307)</f>
        <v>46307</v>
      </c>
      <c r="O973" s="1" t="str">
        <f>IFERROR(__xludf.DUMMYFUNCTION("""COMPUTED_VALUE"""),"FIBER UNLI PLAN 1399")</f>
        <v>FIBER UNLI PLAN 1399</v>
      </c>
      <c r="P973" s="1" t="str">
        <f>IFERROR(__xludf.DUMMYFUNCTION("""COMPUTED_VALUE"""),"LOWPLAN")</f>
        <v>LOWPLAN</v>
      </c>
      <c r="Q973" s="1" t="str">
        <f>IFERROR(__xludf.DUMMYFUNCTION("""COMPUTED_VALUE"""),"P407050")</f>
        <v>P407050</v>
      </c>
      <c r="R973" s="1" t="str">
        <f>IFERROR(__xludf.DUMMYFUNCTION("""COMPUTED_VALUE"""),"ESCARCHA, ALMA")</f>
        <v>ESCARCHA, ALMA</v>
      </c>
      <c r="S973" s="1" t="str">
        <f>IFERROR(__xludf.DUMMYFUNCTION("""COMPUTED_VALUE"""),"ORGANIC")</f>
        <v>ORGANIC</v>
      </c>
      <c r="T973" s="1" t="str">
        <f>IFERROR(__xludf.DUMMYFUNCTION("""COMPUTED_VALUE"""),"LEA REMOLLO")</f>
        <v>LEA REMOLLO</v>
      </c>
      <c r="U973" s="1" t="str">
        <f>IFERROR(__xludf.DUMMYFUNCTION("""COMPUTED_VALUE"""),"JB SALIOA")</f>
        <v>JB SALIOA</v>
      </c>
      <c r="V973" s="1" t="str">
        <f>IFERROR(__xludf.DUMMYFUNCTION("""COMPUTED_VALUE"""),"BK HSTK")</f>
        <v>BK HSTK</v>
      </c>
      <c r="W973" s="1" t="str">
        <f>IFERROR(__xludf.DUMMYFUNCTION("""COMPUTED_VALUE"""),"BK HSTK")</f>
        <v>BK HSTK</v>
      </c>
      <c r="X973" s="1" t="str">
        <f>IFERROR(__xludf.DUMMYFUNCTION("""COMPUTED_VALUE"""),"FIBER 1399 98TH YR")</f>
        <v>FIBER 1399 98TH YR</v>
      </c>
      <c r="Y973" s="1" t="str">
        <f>IFERROR(__xludf.DUMMYFUNCTION("""COMPUTED_VALUE"""),"BK_CVEU_261002")</f>
        <v>BK_CVEU_261002</v>
      </c>
      <c r="Z973" s="1" t="str">
        <f>IFERROR(__xludf.DUMMYFUNCTION("""COMPUTED_VALUE"""),"NEW CONNECT")</f>
        <v>NEW CONNECT</v>
      </c>
      <c r="AA973" s="1">
        <f>IFERROR(__xludf.DUMMYFUNCTION("""COMPUTED_VALUE"""),639499550844)</f>
        <v>639499550844</v>
      </c>
      <c r="AB973" s="1"/>
      <c r="AC973" s="1"/>
      <c r="AD973" s="1" t="str">
        <f>IFERROR(__xludf.DUMMYFUNCTION("""COMPUTED_VALUE"""),"PUROK 3")</f>
        <v>PUROK 3</v>
      </c>
      <c r="AE973" s="1" t="str">
        <f>IFERROR(__xludf.DUMMYFUNCTION("""COMPUTED_VALUE"""),"HERNANDEZ CMPD")</f>
        <v>HERNANDEZ CMPD</v>
      </c>
      <c r="AF973" s="1" t="str">
        <f>IFERROR(__xludf.DUMMYFUNCTION("""COMPUTED_VALUE"""),"BGY DAGATAN")</f>
        <v>BGY DAGATAN</v>
      </c>
      <c r="AG973" s="1" t="str">
        <f>IFERROR(__xludf.DUMMYFUNCTION("""COMPUTED_VALUE"""),"AMADEO")</f>
        <v>AMADEO</v>
      </c>
      <c r="AH973" s="1" t="str">
        <f>IFERROR(__xludf.DUMMYFUNCTION("""COMPUTED_VALUE"""),"CBO PAINT CENTER")</f>
        <v>CBO PAINT CENTER</v>
      </c>
      <c r="AI973" s="1" t="str">
        <f>IFERROR(__xludf.DUMMYFUNCTION("""COMPUTED_VALUE"""),"CLUSTER 12")</f>
        <v>CLUSTER 12</v>
      </c>
    </row>
    <row r="974" customHeight="1" spans="1:35">
      <c r="A974" s="3">
        <f>IFERROR(__xludf.DUMMYFUNCTION("""COMPUTED_VALUE"""),46305)</f>
        <v>46305</v>
      </c>
      <c r="B974" s="1" t="str">
        <f>IFERROR(__xludf.DUMMYFUNCTION("""COMPUTED_VALUE"""),"MARJORIE EPIS SAYAM")</f>
        <v>MARJORIE EPIS SAYAM</v>
      </c>
      <c r="C974" s="1">
        <f>IFERROR(__xludf.DUMMYFUNCTION("""COMPUTED_VALUE"""),2313085106)</f>
        <v>2313085106</v>
      </c>
      <c r="D974" s="1">
        <f>IFERROR(__xludf.DUMMYFUNCTION("""COMPUTED_VALUE"""),408885094)</f>
        <v>408885094</v>
      </c>
      <c r="E974" s="1">
        <f>IFERROR(__xludf.DUMMYFUNCTION("""COMPUTED_VALUE"""),475124194004)</f>
        <v>475124194004</v>
      </c>
      <c r="F974" s="1" t="str">
        <f>IFERROR(__xludf.DUMMYFUNCTION("""COMPUTED_VALUE"""),"CANCELED")</f>
        <v>CANCELED</v>
      </c>
      <c r="G974" s="1" t="str">
        <f>IFERROR(__xludf.DUMMYFUNCTION("""COMPUTED_VALUE"""),"VISITED REMARKS   FULL CAFAC SILLP273NP1 FULL SILLP273NP2 FULL SILLP273NP4 FULL SILLP273NP4P2 ACTIVE FULL SILLP273NP5 FULL NAP SUBS ALREADY ADVICE NA PUNUAN NA SA AREA  TALK MARJORIE EPIS SAYAM 09452490881 09452490877")</f>
        <v>VISITED REMARKS   FULL CAFAC SILLP273NP1 FULL SILLP273NP2 FULL SILLP273NP4 FULL SILLP273NP4P2 ACTIVE FULL SILLP273NP5 FULL NAP SUBS ALREADY ADVICE NA PUNUAN NA SA AREA  TALK MARJORIE EPIS SAYAM 09452490881 09452490877</v>
      </c>
      <c r="H974" s="1" t="str">
        <f>IFERROR(__xludf.DUMMYFUNCTION("""COMPUTED_VALUE"""),"PQGOR366976603	12-Oct-26	Regular Payment	CIS-GCASH 3.0	1,149.00	0	12-Oct-26")</f>
        <v>PQGOR366976603	12-Oct-26	Regular Payment	CIS-GCASH 3.0	1,149.00	0	12-Oct-26</v>
      </c>
      <c r="I974" s="1" t="str">
        <f>IFERROR(__xludf.DUMMYFUNCTION("""COMPUTED_VALUE"""),"WITH 1 AMSF")</f>
        <v>WITH 1 AMSF</v>
      </c>
      <c r="J974" s="1"/>
      <c r="K974" s="1" t="str">
        <f>IFERROR(__xludf.DUMMYFUNCTION("""COMPUTED_VALUE"""),"CANCELED")</f>
        <v>CANCELED</v>
      </c>
      <c r="L974" s="1" t="str">
        <f>IFERROR(__xludf.DUMMYFUNCTION("""COMPUTED_VALUE"""),"CANCELLED - RPR")</f>
        <v>CANCELLED - RPR</v>
      </c>
      <c r="M974" s="1" t="str">
        <f>IFERROR(__xludf.DUMMYFUNCTION("""COMPUTED_VALUE"""),"CANCELLED - RPR")</f>
        <v>CANCELLED - RPR</v>
      </c>
      <c r="N974" s="3"/>
      <c r="O974" s="1" t="str">
        <f>IFERROR(__xludf.DUMMYFUNCTION("""COMPUTED_VALUE"""),"FIBR UNLI ALL PLAN 999")</f>
        <v>FIBR UNLI ALL PLAN 999</v>
      </c>
      <c r="P974" s="1" t="str">
        <f>IFERROR(__xludf.DUMMYFUNCTION("""COMPUTED_VALUE"""),"LOWPLAN")</f>
        <v>LOWPLAN</v>
      </c>
      <c r="Q974" s="1" t="str">
        <f>IFERROR(__xludf.DUMMYFUNCTION("""COMPUTED_VALUE"""),"P407520")</f>
        <v>P407520</v>
      </c>
      <c r="R974" s="1" t="str">
        <f>IFERROR(__xludf.DUMMYFUNCTION("""COMPUTED_VALUE"""),"MALIWAT, MARK")</f>
        <v>MALIWAT, MARK</v>
      </c>
      <c r="S974" s="1" t="str">
        <f>IFERROR(__xludf.DUMMYFUNCTION("""COMPUTED_VALUE"""),"FLA")</f>
        <v>FLA</v>
      </c>
      <c r="T974" s="1" t="str">
        <f>IFERROR(__xludf.DUMMYFUNCTION("""COMPUTED_VALUE"""),"JERIC NAVARRO")</f>
        <v>JERIC NAVARRO</v>
      </c>
      <c r="U974" s="1" t="str">
        <f>IFERROR(__xludf.DUMMYFUNCTION("""COMPUTED_VALUE"""),"JB SALIOA")</f>
        <v>JB SALIOA</v>
      </c>
      <c r="V974" s="1" t="str">
        <f>IFERROR(__xludf.DUMMYFUNCTION("""COMPUTED_VALUE"""),"ONLINE/CRANFORD")</f>
        <v>ONLINE/CRANFORD</v>
      </c>
      <c r="W974" s="1" t="str">
        <f>IFERROR(__xludf.DUMMYFUNCTION("""COMPUTED_VALUE"""),"STK REGULAR")</f>
        <v>STK REGULAR</v>
      </c>
      <c r="X974" s="1" t="str">
        <f>IFERROR(__xludf.DUMMYFUNCTION("""COMPUTED_VALUE"""),"REGULAR")</f>
        <v>REGULAR</v>
      </c>
      <c r="Y974" s="1" t="str">
        <f>IFERROR(__xludf.DUMMYFUNCTION("""COMPUTED_VALUE"""),"RS_ONL_CVEU_2026")</f>
        <v>RS_ONL_CVEU_2026</v>
      </c>
      <c r="Z974" s="1" t="str">
        <f>IFERROR(__xludf.DUMMYFUNCTION("""COMPUTED_VALUE"""),"NEW CONNECT")</f>
        <v>NEW CONNECT</v>
      </c>
      <c r="AA974" s="1">
        <f>IFERROR(__xludf.DUMMYFUNCTION("""COMPUTED_VALUE"""),639452490881)</f>
        <v>639452490881</v>
      </c>
      <c r="AB974" s="1">
        <f>IFERROR(__xludf.DUMMYFUNCTION("""COMPUTED_VALUE"""),639452490877)</f>
        <v>639452490877</v>
      </c>
      <c r="AC974" s="1"/>
      <c r="AD974" s="1" t="str">
        <f>IFERROR(__xludf.DUMMYFUNCTION("""COMPUTED_VALUE"""),"PUROK 2")</f>
        <v>PUROK 2</v>
      </c>
      <c r="AE974" s="1" t="str">
        <f>IFERROR(__xludf.DUMMYFUNCTION("""COMPUTED_VALUE"""),"JRE APARTMENT")</f>
        <v>JRE APARTMENT</v>
      </c>
      <c r="AF974" s="1" t="str">
        <f>IFERROR(__xludf.DUMMYFUNCTION("""COMPUTED_VALUE"""),"BGY BILUSO")</f>
        <v>BGY BILUSO</v>
      </c>
      <c r="AG974" s="1" t="str">
        <f>IFERROR(__xludf.DUMMYFUNCTION("""COMPUTED_VALUE"""),"SILANG")</f>
        <v>SILANG</v>
      </c>
      <c r="AH974" s="1" t="str">
        <f>IFERROR(__xludf.DUMMYFUNCTION("""COMPUTED_VALUE"""),"INFRONT OF LAUNDRY SHOP")</f>
        <v>INFRONT OF LAUNDRY SHOP</v>
      </c>
      <c r="AI974" s="1" t="str">
        <f>IFERROR(__xludf.DUMMYFUNCTION("""COMPUTED_VALUE"""),"CLUSTER 11")</f>
        <v>CLUSTER 11</v>
      </c>
    </row>
    <row r="975" customHeight="1" spans="1:35">
      <c r="A975" s="3">
        <f>IFERROR(__xludf.DUMMYFUNCTION("""COMPUTED_VALUE"""),46305)</f>
        <v>46305</v>
      </c>
      <c r="B975" s="1" t="str">
        <f>IFERROR(__xludf.DUMMYFUNCTION("""COMPUTED_VALUE"""),"CARMENCITA MAGLANGIT TOMAMPOC")</f>
        <v>CARMENCITA MAGLANGIT TOMAMPOC</v>
      </c>
      <c r="C975" s="1">
        <f>IFERROR(__xludf.DUMMYFUNCTION("""COMPUTED_VALUE"""),2313085393)</f>
        <v>2313085393</v>
      </c>
      <c r="D975" s="1">
        <f>IFERROR(__xludf.DUMMYFUNCTION("""COMPUTED_VALUE"""),408859514)</f>
        <v>408859514</v>
      </c>
      <c r="E975" s="1">
        <f>IFERROR(__xludf.DUMMYFUNCTION("""COMPUTED_VALUE"""),474995047004)</f>
        <v>474995047004</v>
      </c>
      <c r="F975" s="1" t="str">
        <f>IFERROR(__xludf.DUMMYFUNCTION("""COMPUTED_VALUE"""),"CLOSED")</f>
        <v>CLOSED</v>
      </c>
      <c r="G975" s="1" t="str">
        <f>IFERROR(__xludf.DUMMYFUNCTION("""COMPUTED_VALUE"""),"CLOSED")</f>
        <v>CLOSED</v>
      </c>
      <c r="H975" s="1"/>
      <c r="I975" s="1" t="str">
        <f>IFERROR(__xludf.DUMMYFUNCTION("""COMPUTED_VALUE"""),"NO 1 AMSF")</f>
        <v>NO 1 AMSF</v>
      </c>
      <c r="J975" s="1" t="str">
        <f>IFERROR(__xludf.DUMMYFUNCTION("""COMPUTED_VALUE"""),"DUE DATE - 05-Nov-26 - 1,445.64")</f>
        <v>DUE DATE - 05-Nov-26 - 1,445.64</v>
      </c>
      <c r="K975" s="1" t="str">
        <f>IFERROR(__xludf.DUMMYFUNCTION("""COMPUTED_VALUE"""),"COMPLETED")</f>
        <v>COMPLETED</v>
      </c>
      <c r="L975" s="1" t="str">
        <f>IFERROR(__xludf.DUMMYFUNCTION("""COMPUTED_VALUE"""),"POSTED")</f>
        <v>POSTED</v>
      </c>
      <c r="M975" s="1" t="str">
        <f>IFERROR(__xludf.DUMMYFUNCTION("""COMPUTED_VALUE"""),"POSTED")</f>
        <v>POSTED</v>
      </c>
      <c r="N975" s="3">
        <f>IFERROR(__xludf.DUMMYFUNCTION("""COMPUTED_VALUE"""),46306)</f>
        <v>46306</v>
      </c>
      <c r="O975" s="1" t="str">
        <f>IFERROR(__xludf.DUMMYFUNCTION("""COMPUTED_VALUE"""),"FIBER UNLI PLAN 1399")</f>
        <v>FIBER UNLI PLAN 1399</v>
      </c>
      <c r="P975" s="1" t="str">
        <f>IFERROR(__xludf.DUMMYFUNCTION("""COMPUTED_VALUE"""),"LOWPLAN")</f>
        <v>LOWPLAN</v>
      </c>
      <c r="Q975" s="1" t="str">
        <f>IFERROR(__xludf.DUMMYFUNCTION("""COMPUTED_VALUE"""),"P407049")</f>
        <v>P407049</v>
      </c>
      <c r="R975" s="1" t="str">
        <f>IFERROR(__xludf.DUMMYFUNCTION("""COMPUTED_VALUE"""),"CADERAO, RONALD")</f>
        <v>CADERAO, RONALD</v>
      </c>
      <c r="S975" s="1" t="str">
        <f>IFERROR(__xludf.DUMMYFUNCTION("""COMPUTED_VALUE"""),"ORGANIC")</f>
        <v>ORGANIC</v>
      </c>
      <c r="T975" s="1" t="str">
        <f>IFERROR(__xludf.DUMMYFUNCTION("""COMPUTED_VALUE"""),"LEA REMOLLO")</f>
        <v>LEA REMOLLO</v>
      </c>
      <c r="U975" s="1" t="str">
        <f>IFERROR(__xludf.DUMMYFUNCTION("""COMPUTED_VALUE"""),"JB SALIOA")</f>
        <v>JB SALIOA</v>
      </c>
      <c r="V975" s="1" t="str">
        <f>IFERROR(__xludf.DUMMYFUNCTION("""COMPUTED_VALUE"""),"BK HSTK")</f>
        <v>BK HSTK</v>
      </c>
      <c r="W975" s="1" t="str">
        <f>IFERROR(__xludf.DUMMYFUNCTION("""COMPUTED_VALUE"""),"BK HSTK")</f>
        <v>BK HSTK</v>
      </c>
      <c r="X975" s="1" t="str">
        <f>IFERROR(__xludf.DUMMYFUNCTION("""COMPUTED_VALUE"""),"FIBER 1399 98TH YR")</f>
        <v>FIBER 1399 98TH YR</v>
      </c>
      <c r="Y975" s="1" t="str">
        <f>IFERROR(__xludf.DUMMYFUNCTION("""COMPUTED_VALUE"""),"BK_CVEU_261002")</f>
        <v>BK_CVEU_261002</v>
      </c>
      <c r="Z975" s="1" t="str">
        <f>IFERROR(__xludf.DUMMYFUNCTION("""COMPUTED_VALUE"""),"NEW CONNECT")</f>
        <v>NEW CONNECT</v>
      </c>
      <c r="AA975" s="1">
        <f>IFERROR(__xludf.DUMMYFUNCTION("""COMPUTED_VALUE"""),639972479819)</f>
        <v>639972479819</v>
      </c>
      <c r="AB975" s="1">
        <f>IFERROR(__xludf.DUMMYFUNCTION("""COMPUTED_VALUE"""),639519874239)</f>
        <v>639519874239</v>
      </c>
      <c r="AC975" s="1">
        <f>IFERROR(__xludf.DUMMYFUNCTION("""COMPUTED_VALUE"""),101)</f>
        <v>101</v>
      </c>
      <c r="AD975" s="1" t="str">
        <f>IFERROR(__xludf.DUMMYFUNCTION("""COMPUTED_VALUE"""),"PUROK 3")</f>
        <v>PUROK 3</v>
      </c>
      <c r="AE975" s="1"/>
      <c r="AF975" s="1" t="str">
        <f>IFERROR(__xludf.DUMMYFUNCTION("""COMPUTED_VALUE"""),"BGY DAGATAN")</f>
        <v>BGY DAGATAN</v>
      </c>
      <c r="AG975" s="1" t="str">
        <f>IFERROR(__xludf.DUMMYFUNCTION("""COMPUTED_VALUE"""),"AMADEO")</f>
        <v>AMADEO</v>
      </c>
      <c r="AH975" s="1" t="str">
        <f>IFERROR(__xludf.DUMMYFUNCTION("""COMPUTED_VALUE"""),"-")</f>
        <v>-</v>
      </c>
      <c r="AI975" s="1" t="str">
        <f>IFERROR(__xludf.DUMMYFUNCTION("""COMPUTED_VALUE"""),"CLUSTER 12")</f>
        <v>CLUSTER 12</v>
      </c>
    </row>
    <row r="976" customHeight="1" spans="1:35">
      <c r="A976" s="3">
        <f>IFERROR(__xludf.DUMMYFUNCTION("""COMPUTED_VALUE"""),46305)</f>
        <v>46305</v>
      </c>
      <c r="B976" s="1" t="str">
        <f>IFERROR(__xludf.DUMMYFUNCTION("""COMPUTED_VALUE"""),"DINA TANEDO NOFIES")</f>
        <v>DINA TANEDO NOFIES</v>
      </c>
      <c r="C976" s="1">
        <f>IFERROR(__xludf.DUMMYFUNCTION("""COMPUTED_VALUE"""),2313085666)</f>
        <v>2313085666</v>
      </c>
      <c r="D976" s="1"/>
      <c r="E976" s="1"/>
      <c r="F976" s="1" t="str">
        <f>IFERROR(__xludf.DUMMYFUNCTION("""COMPUTED_VALUE"""),"REENCODED")</f>
        <v>REENCODED</v>
      </c>
      <c r="G976" s="1" t="str">
        <f>IFERROR(__xludf.DUMMYFUNCTION("""COMPUTED_VALUE"""),"&amp;#8203;DISAPPROVED | DONE VALIDATION | ALREADY SCANNED POID (SCANNABLE) | COMPLETE DOCS | CORRECT ENCODED INFO IN CSP | TU SCORING - FF - 1 (NTC) | WAIVED 1AMSF - DUE TO FIBER 1399 98TH YR | CLEARED FROM BLACKLISTED HIT | FOUND CANCELLED APP #0360112292 U"&amp;"NDER SAME NAME DIFF ADD | CALL THRU: 09655561962 | 11:38 AM | 2:01 PM | 5:33 PM, 09651157206 | 11:39 AM | 2:01 PM | 5:34 PM - OCT. 11, 2026 | UNCONTACTED SUBS | NO EXISTING ACTIVE ACCT AND/OR PENDING APP")</f>
        <v>&amp;#8203;DISAPPROVED | DONE VALIDATION | ALREADY SCANNED POID (SCANNABLE) | COMPLETE DOCS | CORRECT ENCODED INFO IN CSP | TU SCORING - FF - 1 (NTC) | WAIVED 1AMSF - DUE TO FIBER 1399 98TH YR | CLEARED FROM BLACKLISTED HIT | FOUND CANCELLED APP #0360112292 UNDER SAME NAME DIFF ADD | CALL THRU: 09655561962 | 11:38 AM | 2:01 PM | 5:33 PM, 09651157206 | 11:39 AM | 2:01 PM | 5:34 PM - OCT. 11, 2026 | UNCONTACTED SUBS | NO EXISTING ACTIVE ACCT AND/OR PENDING APP</v>
      </c>
      <c r="H976" s="1"/>
      <c r="I976" s="1"/>
      <c r="J976" s="1"/>
      <c r="K976" s="1"/>
      <c r="L976" s="1" t="str">
        <f>IFERROR(__xludf.DUMMYFUNCTION("""COMPUTED_VALUE"""),"REENCODED")</f>
        <v>REENCODED</v>
      </c>
      <c r="M976" s="1" t="str">
        <f>IFERROR(__xludf.DUMMYFUNCTION("""COMPUTED_VALUE"""),"REENCODED")</f>
        <v>REENCODED</v>
      </c>
      <c r="N976" s="3"/>
      <c r="O976" s="1" t="str">
        <f>IFERROR(__xludf.DUMMYFUNCTION("""COMPUTED_VALUE"""),"FIBER UNLI PLAN 1399")</f>
        <v>FIBER UNLI PLAN 1399</v>
      </c>
      <c r="P976" s="1" t="str">
        <f>IFERROR(__xludf.DUMMYFUNCTION("""COMPUTED_VALUE"""),"LOWPLAN")</f>
        <v>LOWPLAN</v>
      </c>
      <c r="Q976" s="1" t="str">
        <f>IFERROR(__xludf.DUMMYFUNCTION("""COMPUTED_VALUE"""),"P407049")</f>
        <v>P407049</v>
      </c>
      <c r="R976" s="1" t="str">
        <f>IFERROR(__xludf.DUMMYFUNCTION("""COMPUTED_VALUE"""),"CADERAO, RONALD")</f>
        <v>CADERAO, RONALD</v>
      </c>
      <c r="S976" s="1" t="str">
        <f>IFERROR(__xludf.DUMMYFUNCTION("""COMPUTED_VALUE"""),"ORGANIC")</f>
        <v>ORGANIC</v>
      </c>
      <c r="T976" s="1" t="str">
        <f>IFERROR(__xludf.DUMMYFUNCTION("""COMPUTED_VALUE"""),"LEA REMOLLO")</f>
        <v>LEA REMOLLO</v>
      </c>
      <c r="U976" s="1" t="str">
        <f>IFERROR(__xludf.DUMMYFUNCTION("""COMPUTED_VALUE"""),"JB SALIOA")</f>
        <v>JB SALIOA</v>
      </c>
      <c r="V976" s="1" t="str">
        <f>IFERROR(__xludf.DUMMYFUNCTION("""COMPUTED_VALUE"""),"BK REGULAR")</f>
        <v>BK REGULAR</v>
      </c>
      <c r="W976" s="1" t="str">
        <f>IFERROR(__xludf.DUMMYFUNCTION("""COMPUTED_VALUE"""),"STK REGULAR")</f>
        <v>STK REGULAR</v>
      </c>
      <c r="X976" s="1" t="str">
        <f>IFERROR(__xludf.DUMMYFUNCTION("""COMPUTED_VALUE"""),"FIBER 1399 98TH YR")</f>
        <v>FIBER 1399 98TH YR</v>
      </c>
      <c r="Y976" s="1" t="str">
        <f>IFERROR(__xludf.DUMMYFUNCTION("""COMPUTED_VALUE"""),"BK_CVEU_261002")</f>
        <v>BK_CVEU_261002</v>
      </c>
      <c r="Z976" s="1" t="str">
        <f>IFERROR(__xludf.DUMMYFUNCTION("""COMPUTED_VALUE"""),"NEW CONNECT")</f>
        <v>NEW CONNECT</v>
      </c>
      <c r="AA976" s="1">
        <f>IFERROR(__xludf.DUMMYFUNCTION("""COMPUTED_VALUE"""),639655561962)</f>
        <v>639655561962</v>
      </c>
      <c r="AB976" s="1"/>
      <c r="AC976" s="1">
        <f>IFERROR(__xludf.DUMMYFUNCTION("""COMPUTED_VALUE"""),17)</f>
        <v>17</v>
      </c>
      <c r="AD976" s="1" t="str">
        <f>IFERROR(__xludf.DUMMYFUNCTION("""COMPUTED_VALUE"""),"PASONG MATANDA")</f>
        <v>PASONG MATANDA</v>
      </c>
      <c r="AE976" s="1"/>
      <c r="AF976" s="1" t="str">
        <f>IFERROR(__xludf.DUMMYFUNCTION("""COMPUTED_VALUE"""),"BGY 5")</f>
        <v>BGY 5</v>
      </c>
      <c r="AG976" s="1" t="str">
        <f>IFERROR(__xludf.DUMMYFUNCTION("""COMPUTED_VALUE"""),"AMADEO")</f>
        <v>AMADEO</v>
      </c>
      <c r="AH976" s="1" t="str">
        <f>IFERROR(__xludf.DUMMYFUNCTION("""COMPUTED_VALUE"""),"-")</f>
        <v>-</v>
      </c>
      <c r="AI976" s="1" t="str">
        <f>IFERROR(__xludf.DUMMYFUNCTION("""COMPUTED_VALUE"""),"CLUSTER 12")</f>
        <v>CLUSTER 12</v>
      </c>
    </row>
    <row r="977" customHeight="1" spans="1:35">
      <c r="A977" s="3">
        <f>IFERROR(__xludf.DUMMYFUNCTION("""COMPUTED_VALUE"""),46305)</f>
        <v>46305</v>
      </c>
      <c r="B977" s="1" t="str">
        <f>IFERROR(__xludf.DUMMYFUNCTION("""COMPUTED_VALUE"""),"ALVIN EVANGELISTA CARPIO")</f>
        <v>ALVIN EVANGELISTA CARPIO</v>
      </c>
      <c r="C977" s="1">
        <f>IFERROR(__xludf.DUMMYFUNCTION("""COMPUTED_VALUE"""),2313086348)</f>
        <v>2313086348</v>
      </c>
      <c r="D977" s="1">
        <f>IFERROR(__xludf.DUMMYFUNCTION("""COMPUTED_VALUE"""),408861209)</f>
        <v>408861209</v>
      </c>
      <c r="E977" s="1">
        <f>IFERROR(__xludf.DUMMYFUNCTION("""COMPUTED_VALUE"""),474996447004)</f>
        <v>474996447004</v>
      </c>
      <c r="F977" s="1" t="str">
        <f>IFERROR(__xludf.DUMMYFUNCTION("""COMPUTED_VALUE"""),"FOR PAYMENT")</f>
        <v>FOR PAYMENT</v>
      </c>
      <c r="G977" s="1" t="str">
        <f>IFERROR(__xludf.DUMMYFUNCTION("""COMPUTED_VALUE"""),"FOR PAYMENT")</f>
        <v>FOR PAYMENT</v>
      </c>
      <c r="H977" s="1" t="str">
        <f>IFERROR(__xludf.DUMMYFUNCTION("""COMPUTED_VALUE"""),"TALKED TO SOR, MAGHIHINTAY LANG DAW NG SAHOD")</f>
        <v>TALKED TO SOR, MAGHIHINTAY LANG DAW NG SAHOD</v>
      </c>
      <c r="I977" s="1"/>
      <c r="J977" s="1"/>
      <c r="K977" s="1" t="str">
        <f>IFERROR(__xludf.DUMMYFUNCTION("""COMPUTED_VALUE"""),"NOT IN OFSC")</f>
        <v>NOT IN OFSC</v>
      </c>
      <c r="L977" s="1" t="str">
        <f>IFERROR(__xludf.DUMMYFUNCTION("""COMPUTED_VALUE"""),"FOR PAYMENT")</f>
        <v>FOR PAYMENT</v>
      </c>
      <c r="M977" s="1" t="str">
        <f>IFERROR(__xludf.DUMMYFUNCTION("""COMPUTED_VALUE"""),"FOR PAYMENT - FOR CALL OUT")</f>
        <v>FOR PAYMENT - FOR CALL OUT</v>
      </c>
      <c r="N977" s="3"/>
      <c r="O977" s="1" t="str">
        <f>IFERROR(__xludf.DUMMYFUNCTION("""COMPUTED_VALUE"""),"FIBER UNLI PLAN 1399")</f>
        <v>FIBER UNLI PLAN 1399</v>
      </c>
      <c r="P977" s="1" t="str">
        <f>IFERROR(__xludf.DUMMYFUNCTION("""COMPUTED_VALUE"""),"LOWPLAN")</f>
        <v>LOWPLAN</v>
      </c>
      <c r="Q977" s="1" t="str">
        <f>IFERROR(__xludf.DUMMYFUNCTION("""COMPUTED_VALUE"""),"P407563")</f>
        <v>P407563</v>
      </c>
      <c r="R977" s="1" t="str">
        <f>IFERROR(__xludf.DUMMYFUNCTION("""COMPUTED_VALUE"""),"BAQUIT, JAZMIN")</f>
        <v>BAQUIT, JAZMIN</v>
      </c>
      <c r="S977" s="1" t="str">
        <f>IFERROR(__xludf.DUMMYFUNCTION("""COMPUTED_VALUE"""),"ORGANIC")</f>
        <v>ORGANIC</v>
      </c>
      <c r="T977" s="1" t="str">
        <f>IFERROR(__xludf.DUMMYFUNCTION("""COMPUTED_VALUE"""),"LEA REMOLLO")</f>
        <v>LEA REMOLLO</v>
      </c>
      <c r="U977" s="1" t="str">
        <f>IFERROR(__xludf.DUMMYFUNCTION("""COMPUTED_VALUE"""),"JB SALIOA")</f>
        <v>JB SALIOA</v>
      </c>
      <c r="V977" s="1" t="str">
        <f>IFERROR(__xludf.DUMMYFUNCTION("""COMPUTED_VALUE"""),"BK HSTK")</f>
        <v>BK HSTK</v>
      </c>
      <c r="W977" s="1" t="str">
        <f>IFERROR(__xludf.DUMMYFUNCTION("""COMPUTED_VALUE"""),"BK HSTK")</f>
        <v>BK HSTK</v>
      </c>
      <c r="X977" s="1" t="str">
        <f>IFERROR(__xludf.DUMMYFUNCTION("""COMPUTED_VALUE"""),"FIBER 1399 98TH YR")</f>
        <v>FIBER 1399 98TH YR</v>
      </c>
      <c r="Y977" s="1" t="str">
        <f>IFERROR(__xludf.DUMMYFUNCTION("""COMPUTED_VALUE"""),"BK_CVEU_261003")</f>
        <v>BK_CVEU_261003</v>
      </c>
      <c r="Z977" s="1" t="str">
        <f>IFERROR(__xludf.DUMMYFUNCTION("""COMPUTED_VALUE"""),"NEW CONNECT")</f>
        <v>NEW CONNECT</v>
      </c>
      <c r="AA977" s="1">
        <f>IFERROR(__xludf.DUMMYFUNCTION("""COMPUTED_VALUE"""),639108274562)</f>
        <v>639108274562</v>
      </c>
      <c r="AB977" s="1">
        <f>IFERROR(__xludf.DUMMYFUNCTION("""COMPUTED_VALUE"""),639281599706)</f>
        <v>639281599706</v>
      </c>
      <c r="AC977" s="1">
        <f>IFERROR(__xludf.DUMMYFUNCTION("""COMPUTED_VALUE"""),9227)</f>
        <v>9227</v>
      </c>
      <c r="AD977" s="1" t="str">
        <f>IFERROR(__xludf.DUMMYFUNCTION("""COMPUTED_VALUE"""),"BERNARDO")</f>
        <v>BERNARDO</v>
      </c>
      <c r="AE977" s="1" t="str">
        <f>IFERROR(__xludf.DUMMYFUNCTION("""COMPUTED_VALUE"""),"ALTAREZ VILL")</f>
        <v>ALTAREZ VILL</v>
      </c>
      <c r="AF977" s="1" t="str">
        <f>IFERROR(__xludf.DUMMYFUNCTION("""COMPUTED_VALUE"""),"BGY MADUYA")</f>
        <v>BGY MADUYA</v>
      </c>
      <c r="AG977" s="1" t="str">
        <f>IFERROR(__xludf.DUMMYFUNCTION("""COMPUTED_VALUE"""),"CARMONA")</f>
        <v>CARMONA</v>
      </c>
      <c r="AH977" s="1" t="str">
        <f>IFERROR(__xludf.DUMMYFUNCTION("""COMPUTED_VALUE"""),"COURT")</f>
        <v>COURT</v>
      </c>
      <c r="AI977" s="1" t="str">
        <f>IFERROR(__xludf.DUMMYFUNCTION("""COMPUTED_VALUE"""),"CLUSTER 11")</f>
        <v>CLUSTER 11</v>
      </c>
    </row>
    <row r="978" customHeight="1" spans="1:35">
      <c r="A978" s="3">
        <f>IFERROR(__xludf.DUMMYFUNCTION("""COMPUTED_VALUE"""),46305)</f>
        <v>46305</v>
      </c>
      <c r="B978" s="1" t="str">
        <f>IFERROR(__xludf.DUMMYFUNCTION("""COMPUTED_VALUE"""),"ELMER LAURELES LOYOLA")</f>
        <v>ELMER LAURELES LOYOLA</v>
      </c>
      <c r="C978" s="1">
        <f>IFERROR(__xludf.DUMMYFUNCTION("""COMPUTED_VALUE"""),2313087042)</f>
        <v>2313087042</v>
      </c>
      <c r="D978" s="1"/>
      <c r="E978" s="1"/>
      <c r="F978" s="1" t="str">
        <f>IFERROR(__xludf.DUMMYFUNCTION("""COMPUTED_VALUE"""),"CANCELLED")</f>
        <v>CANCELLED</v>
      </c>
      <c r="G978" s="1" t="str">
        <f>IFERROR(__xludf.DUMMYFUNCTION("""COMPUTED_VALUE"""),"CANCELLED")</f>
        <v>CANCELLED</v>
      </c>
      <c r="H978" s="1"/>
      <c r="I978" s="1"/>
      <c r="J978" s="1"/>
      <c r="K978" s="1"/>
      <c r="L978" s="1" t="str">
        <f>IFERROR(__xludf.DUMMYFUNCTION("""COMPUTED_VALUE"""),"CANCELLED")</f>
        <v>CANCELLED</v>
      </c>
      <c r="M978" s="1" t="str">
        <f>IFERROR(__xludf.DUMMYFUNCTION("""COMPUTED_VALUE"""),"CANCELLED - WITH OB")</f>
        <v>CANCELLED - WITH OB</v>
      </c>
      <c r="N978" s="3"/>
      <c r="O978" s="1" t="str">
        <f>IFERROR(__xludf.DUMMYFUNCTION("""COMPUTED_VALUE"""),"FIBR PLAN 1299")</f>
        <v>FIBR PLAN 1299</v>
      </c>
      <c r="P978" s="1" t="str">
        <f>IFERROR(__xludf.DUMMYFUNCTION("""COMPUTED_VALUE"""),"LOWPLAN")</f>
        <v>LOWPLAN</v>
      </c>
      <c r="Q978" s="1" t="str">
        <f>IFERROR(__xludf.DUMMYFUNCTION("""COMPUTED_VALUE"""),"P407566")</f>
        <v>P407566</v>
      </c>
      <c r="R978" s="1" t="str">
        <f>IFERROR(__xludf.DUMMYFUNCTION("""COMPUTED_VALUE"""),"DENACO, RODNEY")</f>
        <v>DENACO, RODNEY</v>
      </c>
      <c r="S978" s="1" t="str">
        <f>IFERROR(__xludf.DUMMYFUNCTION("""COMPUTED_VALUE"""),"ORGANIC")</f>
        <v>ORGANIC</v>
      </c>
      <c r="T978" s="1" t="str">
        <f>IFERROR(__xludf.DUMMYFUNCTION("""COMPUTED_VALUE"""),"LEA REMOLLO")</f>
        <v>LEA REMOLLO</v>
      </c>
      <c r="U978" s="1" t="str">
        <f>IFERROR(__xludf.DUMMYFUNCTION("""COMPUTED_VALUE"""),"JB SALIOA")</f>
        <v>JB SALIOA</v>
      </c>
      <c r="V978" s="1" t="str">
        <f>IFERROR(__xludf.DUMMYFUNCTION("""COMPUTED_VALUE"""),"BK HSTK")</f>
        <v>BK HSTK</v>
      </c>
      <c r="W978" s="1" t="str">
        <f>IFERROR(__xludf.DUMMYFUNCTION("""COMPUTED_VALUE"""),"BK HSTK")</f>
        <v>BK HSTK</v>
      </c>
      <c r="X978" s="1" t="str">
        <f>IFERROR(__xludf.DUMMYFUNCTION("""COMPUTED_VALUE"""),"REGULAR")</f>
        <v>REGULAR</v>
      </c>
      <c r="Y978" s="1" t="str">
        <f>IFERROR(__xludf.DUMMYFUNCTION("""COMPUTED_VALUE"""),"BK_CVEU_261006")</f>
        <v>BK_CVEU_261006</v>
      </c>
      <c r="Z978" s="1" t="str">
        <f>IFERROR(__xludf.DUMMYFUNCTION("""COMPUTED_VALUE"""),"NEW CONNECT")</f>
        <v>NEW CONNECT</v>
      </c>
      <c r="AA978" s="1">
        <f>IFERROR(__xludf.DUMMYFUNCTION("""COMPUTED_VALUE"""),639218531820)</f>
        <v>639218531820</v>
      </c>
      <c r="AB978" s="1">
        <f>IFERROR(__xludf.DUMMYFUNCTION("""COMPUTED_VALUE"""),639759496993)</f>
        <v>639759496993</v>
      </c>
      <c r="AC978" s="1">
        <f>IFERROR(__xludf.DUMMYFUNCTION("""COMPUTED_VALUE"""),123)</f>
        <v>123</v>
      </c>
      <c r="AD978" s="1" t="str">
        <f>IFERROR(__xludf.DUMMYFUNCTION("""COMPUTED_VALUE"""),"DAMA DE NOCHE")</f>
        <v>DAMA DE NOCHE</v>
      </c>
      <c r="AE978" s="1"/>
      <c r="AF978" s="1" t="str">
        <f>IFERROR(__xludf.DUMMYFUNCTION("""COMPUTED_VALUE"""),"BGY SAN MIGUEL 2")</f>
        <v>BGY SAN MIGUEL 2</v>
      </c>
      <c r="AG978" s="1" t="str">
        <f>IFERROR(__xludf.DUMMYFUNCTION("""COMPUTED_VALUE"""),"SILANG")</f>
        <v>SILANG</v>
      </c>
      <c r="AH978" s="1" t="str">
        <f>IFERROR(__xludf.DUMMYFUNCTION("""COMPUTED_VALUE"""),"ANDOKS")</f>
        <v>ANDOKS</v>
      </c>
      <c r="AI978" s="1" t="str">
        <f>IFERROR(__xludf.DUMMYFUNCTION("""COMPUTED_VALUE"""),"CLUSTER 11")</f>
        <v>CLUSTER 11</v>
      </c>
    </row>
    <row r="979" customHeight="1" spans="1:35">
      <c r="A979" s="3">
        <f>IFERROR(__xludf.DUMMYFUNCTION("""COMPUTED_VALUE"""),46305)</f>
        <v>46305</v>
      </c>
      <c r="B979" s="1" t="str">
        <f>IFERROR(__xludf.DUMMYFUNCTION("""COMPUTED_VALUE"""),"LESLIE ANN GARCIA GAYTANO")</f>
        <v>LESLIE ANN GARCIA GAYTANO</v>
      </c>
      <c r="C979" s="1">
        <f>IFERROR(__xludf.DUMMYFUNCTION("""COMPUTED_VALUE"""),2313087261)</f>
        <v>2313087261</v>
      </c>
      <c r="D979" s="1"/>
      <c r="E979" s="1"/>
      <c r="F979" s="1" t="str">
        <f>IFERROR(__xludf.DUMMYFUNCTION("""COMPUTED_VALUE"""),"CANCELLED")</f>
        <v>CANCELLED</v>
      </c>
      <c r="G979" s="1" t="str">
        <f>IFERROR(__xludf.DUMMYFUNCTION("""COMPUTED_VALUE"""),"FOUND WITH ACTIVE TEL# 0282967159 DIFFERENT ADDRESS// FOR MULTIPLE LINE APPLICATION// NEED TO SUBMIT")</f>
        <v>FOUND WITH ACTIVE TEL# 0282967159 DIFFERENT ADDRESS// FOR MULTIPLE LINE APPLICATION// NEED TO SUBMIT</v>
      </c>
      <c r="H979" s="1"/>
      <c r="I979" s="1"/>
      <c r="J979" s="1"/>
      <c r="K979" s="1"/>
      <c r="L979" s="1" t="str">
        <f>IFERROR(__xludf.DUMMYFUNCTION("""COMPUTED_VALUE"""),"CANCELLED")</f>
        <v>CANCELLED</v>
      </c>
      <c r="M979" s="1" t="str">
        <f>IFERROR(__xludf.DUMMYFUNCTION("""COMPUTED_VALUE"""),"CANCELLED - WITH ACTIVE LINE")</f>
        <v>CANCELLED - WITH ACTIVE LINE</v>
      </c>
      <c r="N979" s="3"/>
      <c r="O979" s="1" t="str">
        <f>IFERROR(__xludf.DUMMYFUNCTION("""COMPUTED_VALUE"""),"FIBER UNLI PLAN 1399")</f>
        <v>FIBER UNLI PLAN 1399</v>
      </c>
      <c r="P979" s="1" t="str">
        <f>IFERROR(__xludf.DUMMYFUNCTION("""COMPUTED_VALUE"""),"LOWPLAN")</f>
        <v>LOWPLAN</v>
      </c>
      <c r="Q979" s="1" t="str">
        <f>IFERROR(__xludf.DUMMYFUNCTION("""COMPUTED_VALUE"""),"P407520")</f>
        <v>P407520</v>
      </c>
      <c r="R979" s="1" t="str">
        <f>IFERROR(__xludf.DUMMYFUNCTION("""COMPUTED_VALUE"""),"MALIWAT, MARK")</f>
        <v>MALIWAT, MARK</v>
      </c>
      <c r="S979" s="1" t="str">
        <f>IFERROR(__xludf.DUMMYFUNCTION("""COMPUTED_VALUE"""),"FLA")</f>
        <v>FLA</v>
      </c>
      <c r="T979" s="1" t="str">
        <f>IFERROR(__xludf.DUMMYFUNCTION("""COMPUTED_VALUE"""),"JERIC NAVARRO")</f>
        <v>JERIC NAVARRO</v>
      </c>
      <c r="U979" s="1" t="str">
        <f>IFERROR(__xludf.DUMMYFUNCTION("""COMPUTED_VALUE"""),"JB SALIOA")</f>
        <v>JB SALIOA</v>
      </c>
      <c r="V979" s="1" t="str">
        <f>IFERROR(__xludf.DUMMYFUNCTION("""COMPUTED_VALUE"""),"BK REGULAR")</f>
        <v>BK REGULAR</v>
      </c>
      <c r="W979" s="1" t="str">
        <f>IFERROR(__xludf.DUMMYFUNCTION("""COMPUTED_VALUE"""),"STK REGULAR")</f>
        <v>STK REGULAR</v>
      </c>
      <c r="X979" s="1" t="str">
        <f>IFERROR(__xludf.DUMMYFUNCTION("""COMPUTED_VALUE"""),"FIBER 1399 98TH YR")</f>
        <v>FIBER 1399 98TH YR</v>
      </c>
      <c r="Y979" s="1" t="str">
        <f>IFERROR(__xludf.DUMMYFUNCTION("""COMPUTED_VALUE"""),"BK_CVEU_261001")</f>
        <v>BK_CVEU_261001</v>
      </c>
      <c r="Z979" s="1" t="str">
        <f>IFERROR(__xludf.DUMMYFUNCTION("""COMPUTED_VALUE"""),"NEW CONNECT")</f>
        <v>NEW CONNECT</v>
      </c>
      <c r="AA979" s="1">
        <f>IFERROR(__xludf.DUMMYFUNCTION("""COMPUTED_VALUE"""),639176230272)</f>
        <v>639176230272</v>
      </c>
      <c r="AB979" s="1">
        <f>IFERROR(__xludf.DUMMYFUNCTION("""COMPUTED_VALUE"""),639178772360)</f>
        <v>639178772360</v>
      </c>
      <c r="AC979" s="1">
        <f>IFERROR(__xludf.DUMMYFUNCTION("""COMPUTED_VALUE"""),1095)</f>
        <v>1095</v>
      </c>
      <c r="AD979" s="1" t="str">
        <f>IFERROR(__xludf.DUMMYFUNCTION("""COMPUTED_VALUE"""),"ALILIO DRIVE")</f>
        <v>ALILIO DRIVE</v>
      </c>
      <c r="AE979" s="1"/>
      <c r="AF979" s="1" t="str">
        <f>IFERROR(__xludf.DUMMYFUNCTION("""COMPUTED_VALUE"""),"BGY UPLI")</f>
        <v>BGY UPLI</v>
      </c>
      <c r="AG979" s="1" t="str">
        <f>IFERROR(__xludf.DUMMYFUNCTION("""COMPUTED_VALUE"""),"ALFONSO")</f>
        <v>ALFONSO</v>
      </c>
      <c r="AH979" s="1" t="str">
        <f>IFERROR(__xludf.DUMMYFUNCTION("""COMPUTED_VALUE"""),"BACK OF JESUS IS LORD")</f>
        <v>BACK OF JESUS IS LORD</v>
      </c>
      <c r="AI979" s="1" t="str">
        <f>IFERROR(__xludf.DUMMYFUNCTION("""COMPUTED_VALUE"""),"CLUSTER 12")</f>
        <v>CLUSTER 12</v>
      </c>
    </row>
    <row r="980" customHeight="1" spans="1:35">
      <c r="A980" s="3">
        <f>IFERROR(__xludf.DUMMYFUNCTION("""COMPUTED_VALUE"""),46305)</f>
        <v>46305</v>
      </c>
      <c r="B980" s="1" t="str">
        <f>IFERROR(__xludf.DUMMYFUNCTION("""COMPUTED_VALUE"""),"KENNETH . PALEN")</f>
        <v>KENNETH . PALEN</v>
      </c>
      <c r="C980" s="1">
        <f>IFERROR(__xludf.DUMMYFUNCTION("""COMPUTED_VALUE"""),2313087378)</f>
        <v>2313087378</v>
      </c>
      <c r="D980" s="1"/>
      <c r="E980" s="1"/>
      <c r="F980" s="1" t="str">
        <f>IFERROR(__xludf.DUMMYFUNCTION("""COMPUTED_VALUE"""),"CANCELLED")</f>
        <v>CANCELLED</v>
      </c>
      <c r="G980" s="1" t="str">
        <f>IFERROR(__xludf.DUMMYFUNCTION("""COMPUTED_VALUE"""),"CANCELLED")</f>
        <v>CANCELLED</v>
      </c>
      <c r="H980" s="1"/>
      <c r="I980" s="1"/>
      <c r="J980" s="1"/>
      <c r="K980" s="1"/>
      <c r="L980" s="1" t="str">
        <f>IFERROR(__xludf.DUMMYFUNCTION("""COMPUTED_VALUE"""),"CANCELLED")</f>
        <v>CANCELLED</v>
      </c>
      <c r="M980" s="1" t="str">
        <f>IFERROR(__xludf.DUMMYFUNCTION("""COMPUTED_VALUE"""),"CANCELLED - WITH OB")</f>
        <v>CANCELLED - WITH OB</v>
      </c>
      <c r="N980" s="3"/>
      <c r="O980" s="1" t="str">
        <f>IFERROR(__xludf.DUMMYFUNCTION("""COMPUTED_VALUE"""),"FIBR PLAN 1299")</f>
        <v>FIBR PLAN 1299</v>
      </c>
      <c r="P980" s="1" t="str">
        <f>IFERROR(__xludf.DUMMYFUNCTION("""COMPUTED_VALUE"""),"LOWPLAN")</f>
        <v>LOWPLAN</v>
      </c>
      <c r="Q980" s="1" t="str">
        <f>IFERROR(__xludf.DUMMYFUNCTION("""COMPUTED_VALUE"""),"P407049 ")</f>
        <v>P407049 </v>
      </c>
      <c r="R980" s="1" t="str">
        <f>IFERROR(__xludf.DUMMYFUNCTION("""COMPUTED_VALUE"""),"MAGDARAOG, KENNETH")</f>
        <v>MAGDARAOG, KENNETH</v>
      </c>
      <c r="S980" s="1" t="str">
        <f>IFERROR(__xludf.DUMMYFUNCTION("""COMPUTED_VALUE"""),"ORGANIC")</f>
        <v>ORGANIC</v>
      </c>
      <c r="T980" s="1" t="str">
        <f>IFERROR(__xludf.DUMMYFUNCTION("""COMPUTED_VALUE"""),"LEA REMOLLO")</f>
        <v>LEA REMOLLO</v>
      </c>
      <c r="U980" s="1" t="str">
        <f>IFERROR(__xludf.DUMMYFUNCTION("""COMPUTED_VALUE"""),"MARK MALIWAT")</f>
        <v>MARK MALIWAT</v>
      </c>
      <c r="V980" s="1" t="str">
        <f>IFERROR(__xludf.DUMMYFUNCTION("""COMPUTED_VALUE"""),"BK REGULAR")</f>
        <v>BK REGULAR</v>
      </c>
      <c r="W980" s="1" t="str">
        <f>IFERROR(__xludf.DUMMYFUNCTION("""COMPUTED_VALUE"""),"STK REGULAR")</f>
        <v>STK REGULAR</v>
      </c>
      <c r="X980" s="1" t="str">
        <f>IFERROR(__xludf.DUMMYFUNCTION("""COMPUTED_VALUE"""),"REGULAR")</f>
        <v>REGULAR</v>
      </c>
      <c r="Y980" s="1" t="str">
        <f>IFERROR(__xludf.DUMMYFUNCTION("""COMPUTED_VALUE"""),"RS_ONL_CVEU_2026")</f>
        <v>RS_ONL_CVEU_2026</v>
      </c>
      <c r="Z980" s="1" t="str">
        <f>IFERROR(__xludf.DUMMYFUNCTION("""COMPUTED_VALUE"""),"NEW CONNECT")</f>
        <v>NEW CONNECT</v>
      </c>
      <c r="AA980" s="1">
        <f>IFERROR(__xludf.DUMMYFUNCTION("""COMPUTED_VALUE"""),639777120668)</f>
        <v>639777120668</v>
      </c>
      <c r="AB980" s="1"/>
      <c r="AC980" s="1"/>
      <c r="AD980" s="1" t="str">
        <f>IFERROR(__xludf.DUMMYFUNCTION("""COMPUTED_VALUE"""),"PHASE 2")</f>
        <v>PHASE 2</v>
      </c>
      <c r="AE980" s="1"/>
      <c r="AF980" s="1" t="str">
        <f>IFERROR(__xludf.DUMMYFUNCTION("""COMPUTED_VALUE"""),"BGY PANUNGYANAN")</f>
        <v>BGY PANUNGYANAN</v>
      </c>
      <c r="AG980" s="1" t="str">
        <f>IFERROR(__xludf.DUMMYFUNCTION("""COMPUTED_VALUE"""),"GENERAL TRIAS")</f>
        <v>GENERAL TRIAS</v>
      </c>
      <c r="AH980" s="1"/>
      <c r="AI980" s="1" t="str">
        <f>IFERROR(__xludf.DUMMYFUNCTION("""COMPUTED_VALUE"""),"NOT AOR")</f>
        <v>NOT AOR</v>
      </c>
    </row>
    <row r="981" customHeight="1" spans="1:35">
      <c r="A981" s="3">
        <f>IFERROR(__xludf.DUMMYFUNCTION("""COMPUTED_VALUE"""),46305)</f>
        <v>46305</v>
      </c>
      <c r="B981" s="1" t="str">
        <f>IFERROR(__xludf.DUMMYFUNCTION("""COMPUTED_VALUE"""),"JOSEPHINE SARMIENTO ROJAS")</f>
        <v>JOSEPHINE SARMIENTO ROJAS</v>
      </c>
      <c r="C981" s="1">
        <f>IFERROR(__xludf.DUMMYFUNCTION("""COMPUTED_VALUE"""),2313087627)</f>
        <v>2313087627</v>
      </c>
      <c r="D981" s="1"/>
      <c r="E981" s="1"/>
      <c r="F981" s="1" t="str">
        <f>IFERROR(__xludf.DUMMYFUNCTION("""COMPUTED_VALUE"""),"CANCELLED")</f>
        <v>CANCELLED</v>
      </c>
      <c r="G981" s="1" t="str">
        <f>IFERROR(__xludf.DUMMYFUNCTION("""COMPUTED_VALUE"""),"CANCELLED")</f>
        <v>CANCELLED</v>
      </c>
      <c r="H981" s="1"/>
      <c r="I981" s="1"/>
      <c r="J981" s="1"/>
      <c r="K981" s="1"/>
      <c r="L981" s="1" t="str">
        <f>IFERROR(__xludf.DUMMYFUNCTION("""COMPUTED_VALUE"""),"CANCELLED")</f>
        <v>CANCELLED</v>
      </c>
      <c r="M981" s="1" t="str">
        <f>IFERROR(__xludf.DUMMYFUNCTION("""COMPUTED_VALUE"""),"CANCELLED - WITH OB")</f>
        <v>CANCELLED - WITH OB</v>
      </c>
      <c r="N981" s="3"/>
      <c r="O981" s="1" t="str">
        <f>IFERROR(__xludf.DUMMYFUNCTION("""COMPUTED_VALUE"""),"FIBR PLAN 1299")</f>
        <v>FIBR PLAN 1299</v>
      </c>
      <c r="P981" s="1" t="str">
        <f>IFERROR(__xludf.DUMMYFUNCTION("""COMPUTED_VALUE"""),"LOWPLAN")</f>
        <v>LOWPLAN</v>
      </c>
      <c r="Q981" s="1" t="str">
        <f>IFERROR(__xludf.DUMMYFUNCTION("""COMPUTED_VALUE"""),"P407566 ")</f>
        <v>P407566 </v>
      </c>
      <c r="R981" s="1" t="str">
        <f>IFERROR(__xludf.DUMMYFUNCTION("""COMPUTED_VALUE"""),"DENACO, RODNEY")</f>
        <v>DENACO, RODNEY</v>
      </c>
      <c r="S981" s="1" t="str">
        <f>IFERROR(__xludf.DUMMYFUNCTION("""COMPUTED_VALUE"""),"ORGANIC")</f>
        <v>ORGANIC</v>
      </c>
      <c r="T981" s="1" t="str">
        <f>IFERROR(__xludf.DUMMYFUNCTION("""COMPUTED_VALUE"""),"LEA REMOLLO")</f>
        <v>LEA REMOLLO</v>
      </c>
      <c r="U981" s="1" t="str">
        <f>IFERROR(__xludf.DUMMYFUNCTION("""COMPUTED_VALUE"""),"MARK MALIWAT")</f>
        <v>MARK MALIWAT</v>
      </c>
      <c r="V981" s="1" t="str">
        <f>IFERROR(__xludf.DUMMYFUNCTION("""COMPUTED_VALUE"""),"BK")</f>
        <v>BK</v>
      </c>
      <c r="W981" s="1" t="str">
        <f>IFERROR(__xludf.DUMMYFUNCTION("""COMPUTED_VALUE"""),"STK REGULAR")</f>
        <v>STK REGULAR</v>
      </c>
      <c r="X981" s="1" t="str">
        <f>IFERROR(__xludf.DUMMYFUNCTION("""COMPUTED_VALUE"""),"REGULAR")</f>
        <v>REGULAR</v>
      </c>
      <c r="Y981" s="1" t="str">
        <f>IFERROR(__xludf.DUMMYFUNCTION("""COMPUTED_VALUE"""),"BK_CVEU_261002")</f>
        <v>BK_CVEU_261002</v>
      </c>
      <c r="Z981" s="1" t="str">
        <f>IFERROR(__xludf.DUMMYFUNCTION("""COMPUTED_VALUE"""),"NEW CONNECT")</f>
        <v>NEW CONNECT</v>
      </c>
      <c r="AA981" s="1">
        <f>IFERROR(__xludf.DUMMYFUNCTION("""COMPUTED_VALUE"""),639301957290)</f>
        <v>639301957290</v>
      </c>
      <c r="AB981" s="1">
        <f>IFERROR(__xludf.DUMMYFUNCTION("""COMPUTED_VALUE"""),639301297402)</f>
        <v>639301297402</v>
      </c>
      <c r="AC981" s="1"/>
      <c r="AD981" s="1" t="str">
        <f>IFERROR(__xludf.DUMMYFUNCTION("""COMPUTED_VALUE"""),"DACON")</f>
        <v>DACON</v>
      </c>
      <c r="AE981" s="1"/>
      <c r="AF981" s="1" t="str">
        <f>IFERROR(__xludf.DUMMYFUNCTION("""COMPUTED_VALUE"""),"BGY MACARIO DACON")</f>
        <v>BGY MACARIO DACON</v>
      </c>
      <c r="AG981" s="1" t="str">
        <f>IFERROR(__xludf.DUMMYFUNCTION("""COMPUTED_VALUE"""),"GEN MARIANO ALVAREZ")</f>
        <v>GEN MARIANO ALVAREZ</v>
      </c>
      <c r="AH981" s="1" t="str">
        <f>IFERROR(__xludf.DUMMYFUNCTION("""COMPUTED_VALUE"""),"GMZLP133NP1/2")</f>
        <v>GMZLP133NP1/2</v>
      </c>
      <c r="AI981" s="1" t="str">
        <f>IFERROR(__xludf.DUMMYFUNCTION("""COMPUTED_VALUE"""),"CLUSTER 11")</f>
        <v>CLUSTER 11</v>
      </c>
    </row>
    <row r="982" customHeight="1" spans="1:35">
      <c r="A982" s="3">
        <f>IFERROR(__xludf.DUMMYFUNCTION("""COMPUTED_VALUE"""),46305)</f>
        <v>46305</v>
      </c>
      <c r="B982" s="1" t="str">
        <f>IFERROR(__xludf.DUMMYFUNCTION("""COMPUTED_VALUE"""),"RUTHIE BARON DURON")</f>
        <v>RUTHIE BARON DURON</v>
      </c>
      <c r="C982" s="1">
        <f>IFERROR(__xludf.DUMMYFUNCTION("""COMPUTED_VALUE"""),2313087684)</f>
        <v>2313087684</v>
      </c>
      <c r="D982" s="1">
        <f>IFERROR(__xludf.DUMMYFUNCTION("""COMPUTED_VALUE"""),408881307)</f>
        <v>408881307</v>
      </c>
      <c r="E982" s="1">
        <f>IFERROR(__xludf.DUMMYFUNCTION("""COMPUTED_VALUE"""),475121960004)</f>
        <v>475121960004</v>
      </c>
      <c r="F982" s="1" t="str">
        <f>IFERROR(__xludf.DUMMYFUNCTION("""COMPUTED_VALUE"""),"CLOSED")</f>
        <v>CLOSED</v>
      </c>
      <c r="G982" s="1" t="str">
        <f>IFERROR(__xludf.DUMMYFUNCTION("""COMPUTED_VALUE"""),"CLOSED")</f>
        <v>CLOSED</v>
      </c>
      <c r="H982" s="1"/>
      <c r="I982" s="1" t="str">
        <f>IFERROR(__xludf.DUMMYFUNCTION("""COMPUTED_VALUE"""),"NO 1 AMSF")</f>
        <v>NO 1 AMSF</v>
      </c>
      <c r="J982" s="1" t="str">
        <f>IFERROR(__xludf.DUMMYFUNCTION("""COMPUTED_VALUE"""),"DUE DATE - 08-Nov-26 - 1,538.90")</f>
        <v>DUE DATE - 08-Nov-26 - 1,538.90</v>
      </c>
      <c r="K982" s="1" t="str">
        <f>IFERROR(__xludf.DUMMYFUNCTION("""COMPUTED_VALUE"""),"COMPLETED")</f>
        <v>COMPLETED</v>
      </c>
      <c r="L982" s="1" t="str">
        <f>IFERROR(__xludf.DUMMYFUNCTION("""COMPUTED_VALUE"""),"POSTED")</f>
        <v>POSTED</v>
      </c>
      <c r="M982" s="1" t="str">
        <f>IFERROR(__xludf.DUMMYFUNCTION("""COMPUTED_VALUE"""),"POSTED")</f>
        <v>POSTED</v>
      </c>
      <c r="N982" s="3">
        <f>IFERROR(__xludf.DUMMYFUNCTION("""COMPUTED_VALUE"""),46308)</f>
        <v>46308</v>
      </c>
      <c r="O982" s="1" t="str">
        <f>IFERROR(__xludf.DUMMYFUNCTION("""COMPUTED_VALUE"""),"FIBER UNLI PLAN 1399")</f>
        <v>FIBER UNLI PLAN 1399</v>
      </c>
      <c r="P982" s="1" t="str">
        <f>IFERROR(__xludf.DUMMYFUNCTION("""COMPUTED_VALUE"""),"LOWPLAN")</f>
        <v>LOWPLAN</v>
      </c>
      <c r="Q982" s="1" t="str">
        <f>IFERROR(__xludf.DUMMYFUNCTION("""COMPUTED_VALUE"""),"P407047")</f>
        <v>P407047</v>
      </c>
      <c r="R982" s="1" t="str">
        <f>IFERROR(__xludf.DUMMYFUNCTION("""COMPUTED_VALUE"""),"FRANCISCO, ROSELYN")</f>
        <v>FRANCISCO, ROSELYN</v>
      </c>
      <c r="S982" s="1" t="str">
        <f>IFERROR(__xludf.DUMMYFUNCTION("""COMPUTED_VALUE"""),"ORGANIC")</f>
        <v>ORGANIC</v>
      </c>
      <c r="T982" s="1" t="str">
        <f>IFERROR(__xludf.DUMMYFUNCTION("""COMPUTED_VALUE"""),"LEA REMOLLO")</f>
        <v>LEA REMOLLO</v>
      </c>
      <c r="U982" s="1" t="str">
        <f>IFERROR(__xludf.DUMMYFUNCTION("""COMPUTED_VALUE"""),"JB SALIOA")</f>
        <v>JB SALIOA</v>
      </c>
      <c r="V982" s="1" t="str">
        <f>IFERROR(__xludf.DUMMYFUNCTION("""COMPUTED_VALUE"""),"BK REGULAR")</f>
        <v>BK REGULAR</v>
      </c>
      <c r="W982" s="1" t="str">
        <f>IFERROR(__xludf.DUMMYFUNCTION("""COMPUTED_VALUE"""),"STK REGULAR")</f>
        <v>STK REGULAR</v>
      </c>
      <c r="X982" s="1" t="str">
        <f>IFERROR(__xludf.DUMMYFUNCTION("""COMPUTED_VALUE"""),"FIBER 1399 98TH YR")</f>
        <v>FIBER 1399 98TH YR</v>
      </c>
      <c r="Y982" s="1" t="str">
        <f>IFERROR(__xludf.DUMMYFUNCTION("""COMPUTED_VALUE"""),"BK_CVEU_261004")</f>
        <v>BK_CVEU_261004</v>
      </c>
      <c r="Z982" s="1" t="str">
        <f>IFERROR(__xludf.DUMMYFUNCTION("""COMPUTED_VALUE"""),"NEW CONNECT")</f>
        <v>NEW CONNECT</v>
      </c>
      <c r="AA982" s="1">
        <f>IFERROR(__xludf.DUMMYFUNCTION("""COMPUTED_VALUE"""),639984354069)</f>
        <v>639984354069</v>
      </c>
      <c r="AB982" s="1"/>
      <c r="AC982" s="1"/>
      <c r="AD982" s="1" t="str">
        <f>IFERROR(__xludf.DUMMYFUNCTION("""COMPUTED_VALUE"""),"SOLOMON")</f>
        <v>SOLOMON</v>
      </c>
      <c r="AE982" s="1"/>
      <c r="AF982" s="1" t="str">
        <f>IFERROR(__xludf.DUMMYFUNCTION("""COMPUTED_VALUE"""),"SEVERINO DE LAS ALAS")</f>
        <v>SEVERINO DE LAS ALAS</v>
      </c>
      <c r="AG982" s="1" t="str">
        <f>IFERROR(__xludf.DUMMYFUNCTION("""COMPUTED_VALUE"""),"GEN MARIANO ALVAREZ")</f>
        <v>GEN MARIANO ALVAREZ</v>
      </c>
      <c r="AH982" s="1" t="str">
        <f>IFERROR(__xludf.DUMMYFUNCTION("""COMPUTED_VALUE"""),"PARES NI GARAHE")</f>
        <v>PARES NI GARAHE</v>
      </c>
      <c r="AI982" s="1" t="str">
        <f>IFERROR(__xludf.DUMMYFUNCTION("""COMPUTED_VALUE"""),"CLUSTER 11")</f>
        <v>CLUSTER 11</v>
      </c>
    </row>
    <row r="983" customHeight="1" spans="1:35">
      <c r="A983" s="3">
        <f>IFERROR(__xludf.DUMMYFUNCTION("""COMPUTED_VALUE"""),46305)</f>
        <v>46305</v>
      </c>
      <c r="B983" s="1" t="str">
        <f>IFERROR(__xludf.DUMMYFUNCTION("""COMPUTED_VALUE"""),"RONBIE MUDAL TALABI")</f>
        <v>RONBIE MUDAL TALABI</v>
      </c>
      <c r="C983" s="1">
        <f>IFERROR(__xludf.DUMMYFUNCTION("""COMPUTED_VALUE"""),2313087878)</f>
        <v>2313087878</v>
      </c>
      <c r="D983" s="1"/>
      <c r="E983" s="1"/>
      <c r="F983" s="1" t="str">
        <f>IFERROR(__xludf.DUMMYFUNCTION("""COMPUTED_VALUE"""),"CANCELLED")</f>
        <v>CANCELLED</v>
      </c>
      <c r="G983" s="1" t="str">
        <f>IFERROR(__xludf.DUMMYFUNCTION("""COMPUTED_VALUE"""),"CANCELLED")</f>
        <v>CANCELLED</v>
      </c>
      <c r="H983" s="1"/>
      <c r="I983" s="1"/>
      <c r="J983" s="1"/>
      <c r="K983" s="1"/>
      <c r="L983" s="1" t="str">
        <f>IFERROR(__xludf.DUMMYFUNCTION("""COMPUTED_VALUE"""),"CANCELLED")</f>
        <v>CANCELLED</v>
      </c>
      <c r="M983" s="1" t="str">
        <f>IFERROR(__xludf.DUMMYFUNCTION("""COMPUTED_VALUE"""),"CANCELLED - WITH OB")</f>
        <v>CANCELLED - WITH OB</v>
      </c>
      <c r="N983" s="3"/>
      <c r="O983" s="1" t="str">
        <f>IFERROR(__xludf.DUMMYFUNCTION("""COMPUTED_VALUE"""),"FIBR PLAN 1299")</f>
        <v>FIBR PLAN 1299</v>
      </c>
      <c r="P983" s="1" t="str">
        <f>IFERROR(__xludf.DUMMYFUNCTION("""COMPUTED_VALUE"""),"LOWPLAN")</f>
        <v>LOWPLAN</v>
      </c>
      <c r="Q983" s="1" t="str">
        <f>IFERROR(__xludf.DUMMYFUNCTION("""COMPUTED_VALUE"""),"P407560 ")</f>
        <v>P407560 </v>
      </c>
      <c r="R983" s="1" t="str">
        <f>IFERROR(__xludf.DUMMYFUNCTION("""COMPUTED_VALUE"""),"RIVERA, AIRIZH JOY")</f>
        <v>RIVERA, AIRIZH JOY</v>
      </c>
      <c r="S983" s="1" t="str">
        <f>IFERROR(__xludf.DUMMYFUNCTION("""COMPUTED_VALUE"""),"ORGANIC")</f>
        <v>ORGANIC</v>
      </c>
      <c r="T983" s="1" t="str">
        <f>IFERROR(__xludf.DUMMYFUNCTION("""COMPUTED_VALUE"""),"LEA REMOLLO")</f>
        <v>LEA REMOLLO</v>
      </c>
      <c r="U983" s="1" t="str">
        <f>IFERROR(__xludf.DUMMYFUNCTION("""COMPUTED_VALUE"""),"MARK MALIWAT")</f>
        <v>MARK MALIWAT</v>
      </c>
      <c r="V983" s="1" t="str">
        <f>IFERROR(__xludf.DUMMYFUNCTION("""COMPUTED_VALUE"""),"BK REGULAR")</f>
        <v>BK REGULAR</v>
      </c>
      <c r="W983" s="1" t="str">
        <f>IFERROR(__xludf.DUMMYFUNCTION("""COMPUTED_VALUE"""),"STK REGULAR")</f>
        <v>STK REGULAR</v>
      </c>
      <c r="X983" s="1" t="str">
        <f>IFERROR(__xludf.DUMMYFUNCTION("""COMPUTED_VALUE"""),"REGULAR")</f>
        <v>REGULAR</v>
      </c>
      <c r="Y983" s="1" t="str">
        <f>IFERROR(__xludf.DUMMYFUNCTION("""COMPUTED_VALUE"""),"BK_CVEU_261007")</f>
        <v>BK_CVEU_261007</v>
      </c>
      <c r="Z983" s="1" t="str">
        <f>IFERROR(__xludf.DUMMYFUNCTION("""COMPUTED_VALUE"""),"NEW CONNECT")</f>
        <v>NEW CONNECT</v>
      </c>
      <c r="AA983" s="1">
        <f>IFERROR(__xludf.DUMMYFUNCTION("""COMPUTED_VALUE"""),639692169252)</f>
        <v>639692169252</v>
      </c>
      <c r="AB983" s="1"/>
      <c r="AC983" s="1"/>
      <c r="AD983" s="1" t="str">
        <f>IFERROR(__xludf.DUMMYFUNCTION("""COMPUTED_VALUE"""),"CHRYSANTHEMUM")</f>
        <v>CHRYSANTHEMUM</v>
      </c>
      <c r="AE983" s="1" t="str">
        <f>IFERROR(__xludf.DUMMYFUNCTION("""COMPUTED_VALUE"""),"CAPITOL HILLS")</f>
        <v>CAPITOL HILLS</v>
      </c>
      <c r="AF983" s="1" t="str">
        <f>IFERROR(__xludf.DUMMYFUNCTION("""COMPUTED_VALUE"""),"BGY LAPIDARIO")</f>
        <v>BGY LAPIDARIO</v>
      </c>
      <c r="AG983" s="1" t="str">
        <f>IFERROR(__xludf.DUMMYFUNCTION("""COMPUTED_VALUE"""),"TRECE MARTIREZ CITY")</f>
        <v>TRECE MARTIREZ CITY</v>
      </c>
      <c r="AH983" s="1" t="str">
        <f>IFERROR(__xludf.DUMMYFUNCTION("""COMPUTED_VALUE"""),"CAPITOL HILLS TODA")</f>
        <v>CAPITOL HILLS TODA</v>
      </c>
      <c r="AI983" s="1" t="str">
        <f>IFERROR(__xludf.DUMMYFUNCTION("""COMPUTED_VALUE"""),"NOT AOR")</f>
        <v>NOT AOR</v>
      </c>
    </row>
    <row r="984" customHeight="1" spans="1:35">
      <c r="A984" s="3">
        <f>IFERROR(__xludf.DUMMYFUNCTION("""COMPUTED_VALUE"""),46305)</f>
        <v>46305</v>
      </c>
      <c r="B984" s="1" t="str">
        <f>IFERROR(__xludf.DUMMYFUNCTION("""COMPUTED_VALUE"""),"REBECCA DUGAN DONES")</f>
        <v>REBECCA DUGAN DONES</v>
      </c>
      <c r="C984" s="1">
        <f>IFERROR(__xludf.DUMMYFUNCTION("""COMPUTED_VALUE"""),2313087886)</f>
        <v>2313087886</v>
      </c>
      <c r="D984" s="1"/>
      <c r="E984" s="1"/>
      <c r="F984" s="1" t="str">
        <f>IFERROR(__xludf.DUMMYFUNCTION("""COMPUTED_VALUE"""),"CANCELLED")</f>
        <v>CANCELLED</v>
      </c>
      <c r="G984" s="1" t="str">
        <f>IFERROR(__xludf.DUMMYFUNCTION("""COMPUTED_VALUE"""),"CANCELLED")</f>
        <v>CANCELLED</v>
      </c>
      <c r="H984" s="1"/>
      <c r="I984" s="1"/>
      <c r="J984" s="1"/>
      <c r="K984" s="1"/>
      <c r="L984" s="1" t="str">
        <f>IFERROR(__xludf.DUMMYFUNCTION("""COMPUTED_VALUE"""),"CANCELLED")</f>
        <v>CANCELLED</v>
      </c>
      <c r="M984" s="1" t="str">
        <f>IFERROR(__xludf.DUMMYFUNCTION("""COMPUTED_VALUE"""),"CANCELLED - WITH OB")</f>
        <v>CANCELLED - WITH OB</v>
      </c>
      <c r="N984" s="3"/>
      <c r="O984" s="1" t="str">
        <f>IFERROR(__xludf.DUMMYFUNCTION("""COMPUTED_VALUE"""),"FIBR UNLI ALL PLAN 999")</f>
        <v>FIBR UNLI ALL PLAN 999</v>
      </c>
      <c r="P984" s="1" t="str">
        <f>IFERROR(__xludf.DUMMYFUNCTION("""COMPUTED_VALUE"""),"LOWPLAN")</f>
        <v>LOWPLAN</v>
      </c>
      <c r="Q984" s="1" t="str">
        <f>IFERROR(__xludf.DUMMYFUNCTION("""COMPUTED_VALUE"""),"P407566")</f>
        <v>P407566</v>
      </c>
      <c r="R984" s="1" t="str">
        <f>IFERROR(__xludf.DUMMYFUNCTION("""COMPUTED_VALUE"""),"DENACO, RODNEY")</f>
        <v>DENACO, RODNEY</v>
      </c>
      <c r="S984" s="1" t="str">
        <f>IFERROR(__xludf.DUMMYFUNCTION("""COMPUTED_VALUE"""),"ORGANIC")</f>
        <v>ORGANIC</v>
      </c>
      <c r="T984" s="1" t="str">
        <f>IFERROR(__xludf.DUMMYFUNCTION("""COMPUTED_VALUE"""),"LEA REMOLLO")</f>
        <v>LEA REMOLLO</v>
      </c>
      <c r="U984" s="1" t="str">
        <f>IFERROR(__xludf.DUMMYFUNCTION("""COMPUTED_VALUE"""),"JB SALIOA")</f>
        <v>JB SALIOA</v>
      </c>
      <c r="V984" s="1" t="str">
        <f>IFERROR(__xludf.DUMMYFUNCTION("""COMPUTED_VALUE"""),"BK REGULAR")</f>
        <v>BK REGULAR</v>
      </c>
      <c r="W984" s="1" t="str">
        <f>IFERROR(__xludf.DUMMYFUNCTION("""COMPUTED_VALUE"""),"STK REGULAR")</f>
        <v>STK REGULAR</v>
      </c>
      <c r="X984" s="1" t="str">
        <f>IFERROR(__xludf.DUMMYFUNCTION("""COMPUTED_VALUE"""),"REGULAR")</f>
        <v>REGULAR</v>
      </c>
      <c r="Y984" s="1" t="str">
        <f>IFERROR(__xludf.DUMMYFUNCTION("""COMPUTED_VALUE"""),"RS_SS_CVEU_2026")</f>
        <v>RS_SS_CVEU_2026</v>
      </c>
      <c r="Z984" s="1" t="str">
        <f>IFERROR(__xludf.DUMMYFUNCTION("""COMPUTED_VALUE"""),"NEW CONNECT")</f>
        <v>NEW CONNECT</v>
      </c>
      <c r="AA984" s="1">
        <f>IFERROR(__xludf.DUMMYFUNCTION("""COMPUTED_VALUE"""),639383742459)</f>
        <v>639383742459</v>
      </c>
      <c r="AB984" s="1"/>
      <c r="AC984" s="1"/>
      <c r="AD984" s="1" t="str">
        <f>IFERROR(__xludf.DUMMYFUNCTION("""COMPUTED_VALUE"""),"PHASE 6")</f>
        <v>PHASE 6</v>
      </c>
      <c r="AE984" s="1"/>
      <c r="AF984" s="1" t="str">
        <f>IFERROR(__xludf.DUMMYFUNCTION("""COMPUTED_VALUE"""),"BGY FATIMA 3")</f>
        <v>BGY FATIMA 3</v>
      </c>
      <c r="AG984" s="1" t="str">
        <f>IFERROR(__xludf.DUMMYFUNCTION("""COMPUTED_VALUE"""),"DASMARINAS")</f>
        <v>DASMARINAS</v>
      </c>
      <c r="AH984" s="1" t="str">
        <f>IFERROR(__xludf.DUMMYFUNCTION("""COMPUTED_VALUE"""),"7/11")</f>
        <v>7/11</v>
      </c>
      <c r="AI984" s="1" t="str">
        <f>IFERROR(__xludf.DUMMYFUNCTION("""COMPUTED_VALUE"""),"NOT AOR")</f>
        <v>NOT AOR</v>
      </c>
    </row>
    <row r="985" customHeight="1" spans="1:35">
      <c r="A985" s="3">
        <f>IFERROR(__xludf.DUMMYFUNCTION("""COMPUTED_VALUE"""),46306)</f>
        <v>46306</v>
      </c>
      <c r="B985" s="1" t="str">
        <f>IFERROR(__xludf.DUMMYFUNCTION("""COMPUTED_VALUE""")," LEO DELA UMBRIA VILLANEA")</f>
        <v> LEO DELA UMBRIA VILLANEA</v>
      </c>
      <c r="C985" s="1">
        <f>IFERROR(__xludf.DUMMYFUNCTION("""COMPUTED_VALUE"""),2313095071)</f>
        <v>2313095071</v>
      </c>
      <c r="D985" s="1">
        <f>IFERROR(__xludf.DUMMYFUNCTION("""COMPUTED_VALUE"""),408876478)</f>
        <v>408876478</v>
      </c>
      <c r="E985" s="1">
        <f>IFERROR(__xludf.DUMMYFUNCTION("""COMPUTED_VALUE"""),475118428004)</f>
        <v>475118428004</v>
      </c>
      <c r="F985" s="1" t="str">
        <f>IFERROR(__xludf.DUMMYFUNCTION("""COMPUTED_VALUE"""),"CLOSED")</f>
        <v>CLOSED</v>
      </c>
      <c r="G985" s="1" t="str">
        <f>IFERROR(__xludf.DUMMYFUNCTION("""COMPUTED_VALUE"""),"CLOSED")</f>
        <v>CLOSED</v>
      </c>
      <c r="H985" s="1" t="str">
        <f>IFERROR(__xludf.DUMMYFUNCTION("""COMPUTED_VALUE"""),"PAID THRU GOTYME BIL26101101118002 OCT 11")</f>
        <v>PAID THRU GOTYME BIL26101101118002 OCT 11</v>
      </c>
      <c r="I985" s="1" t="str">
        <f>IFERROR(__xludf.DUMMYFUNCTION("""COMPUTED_VALUE"""),"WITH 1 AMSF")</f>
        <v>WITH 1 AMSF</v>
      </c>
      <c r="J985" s="1"/>
      <c r="K985" s="1" t="str">
        <f>IFERROR(__xludf.DUMMYFUNCTION("""COMPUTED_VALUE"""),"NOT IN OFSC")</f>
        <v>NOT IN OFSC</v>
      </c>
      <c r="L985" s="1" t="str">
        <f>IFERROR(__xludf.DUMMYFUNCTION("""COMPUTED_VALUE"""),"POSTED")</f>
        <v>POSTED</v>
      </c>
      <c r="M985" s="1" t="str">
        <f>IFERROR(__xludf.DUMMYFUNCTION("""COMPUTED_VALUE"""),"POSTED")</f>
        <v>POSTED</v>
      </c>
      <c r="N985" s="3">
        <f>IFERROR(__xludf.DUMMYFUNCTION("""COMPUTED_VALUE"""),46306)</f>
        <v>46306</v>
      </c>
      <c r="O985" s="1" t="str">
        <f>IFERROR(__xludf.DUMMYFUNCTION("""COMPUTED_VALUE"""),"FIBER UNLI PLAN 1399")</f>
        <v>FIBER UNLI PLAN 1399</v>
      </c>
      <c r="P985" s="1" t="str">
        <f>IFERROR(__xludf.DUMMYFUNCTION("""COMPUTED_VALUE"""),"LOWPLAN")</f>
        <v>LOWPLAN</v>
      </c>
      <c r="Q985" s="1" t="str">
        <f>IFERROR(__xludf.DUMMYFUNCTION("""COMPUTED_VALUE"""),"P407520 ")</f>
        <v>P407520 </v>
      </c>
      <c r="R985" s="1" t="str">
        <f>IFERROR(__xludf.DUMMYFUNCTION("""COMPUTED_VALUE"""),"MALIWAT, MARK")</f>
        <v>MALIWAT, MARK</v>
      </c>
      <c r="S985" s="1" t="str">
        <f>IFERROR(__xludf.DUMMYFUNCTION("""COMPUTED_VALUE"""),"FLA")</f>
        <v>FLA</v>
      </c>
      <c r="T985" s="1" t="str">
        <f>IFERROR(__xludf.DUMMYFUNCTION("""COMPUTED_VALUE"""),"JERIC NAVARRO")</f>
        <v>JERIC NAVARRO</v>
      </c>
      <c r="U985" s="1" t="str">
        <f>IFERROR(__xludf.DUMMYFUNCTION("""COMPUTED_VALUE"""),"MARK MALIWAT")</f>
        <v>MARK MALIWAT</v>
      </c>
      <c r="V985" s="1" t="str">
        <f>IFERROR(__xludf.DUMMYFUNCTION("""COMPUTED_VALUE"""),"BK REGULAR")</f>
        <v>BK REGULAR</v>
      </c>
      <c r="W985" s="1" t="str">
        <f>IFERROR(__xludf.DUMMYFUNCTION("""COMPUTED_VALUE"""),"STK REGULAR")</f>
        <v>STK REGULAR</v>
      </c>
      <c r="X985" s="1" t="str">
        <f>IFERROR(__xludf.DUMMYFUNCTION("""COMPUTED_VALUE"""),"FIBER 1399 98TH YR")</f>
        <v>FIBER 1399 98TH YR</v>
      </c>
      <c r="Y985" s="1" t="str">
        <f>IFERROR(__xludf.DUMMYFUNCTION("""COMPUTED_VALUE"""),"BK_CVEU_261004")</f>
        <v>BK_CVEU_261004</v>
      </c>
      <c r="Z985" s="1" t="str">
        <f>IFERROR(__xludf.DUMMYFUNCTION("""COMPUTED_VALUE"""),"NEW CONNECT")</f>
        <v>NEW CONNECT</v>
      </c>
      <c r="AA985" s="1">
        <f>IFERROR(__xludf.DUMMYFUNCTION("""COMPUTED_VALUE"""),639777617239)</f>
        <v>639777617239</v>
      </c>
      <c r="AB985" s="1">
        <f>IFERROR(__xludf.DUMMYFUNCTION("""COMPUTED_VALUE"""),639441738296)</f>
        <v>639441738296</v>
      </c>
      <c r="AC985" s="1"/>
      <c r="AD985" s="1" t="str">
        <f>IFERROR(__xludf.DUMMYFUNCTION("""COMPUTED_VALUE"""),"CASA DE MONTEVERDE")</f>
        <v>CASA DE MONTEVERDE</v>
      </c>
      <c r="AE985" s="1" t="str">
        <f>IFERROR(__xludf.DUMMYFUNCTION("""COMPUTED_VALUE"""),"CASA DE MONTEVERDE SUBD")</f>
        <v>CASA DE MONTEVERDE SUBD</v>
      </c>
      <c r="AF985" s="1" t="str">
        <f>IFERROR(__xludf.DUMMYFUNCTION("""COMPUTED_VALUE"""),"BGY F DE CASTRO")</f>
        <v>BGY F DE CASTRO</v>
      </c>
      <c r="AG985" s="1" t="str">
        <f>IFERROR(__xludf.DUMMYFUNCTION("""COMPUTED_VALUE"""),"GEN MARIANO ALVAREZ")</f>
        <v>GEN MARIANO ALVAREZ</v>
      </c>
      <c r="AH985" s="1" t="str">
        <f>IFERROR(__xludf.DUMMYFUNCTION("""COMPUTED_VALUE"""),"HALFCOURT")</f>
        <v>HALFCOURT</v>
      </c>
      <c r="AI985" s="1" t="str">
        <f>IFERROR(__xludf.DUMMYFUNCTION("""COMPUTED_VALUE"""),"CLUSTER 11")</f>
        <v>CLUSTER 11</v>
      </c>
    </row>
    <row r="986" customHeight="1" spans="1:35">
      <c r="A986" s="3">
        <f>IFERROR(__xludf.DUMMYFUNCTION("""COMPUTED_VALUE"""),46306)</f>
        <v>46306</v>
      </c>
      <c r="B986" s="1" t="str">
        <f>IFERROR(__xludf.DUMMYFUNCTION("""COMPUTED_VALUE"""),"JOHN DANIEL MARMOL CLARETE")</f>
        <v>JOHN DANIEL MARMOL CLARETE</v>
      </c>
      <c r="C986" s="1">
        <f>IFERROR(__xludf.DUMMYFUNCTION("""COMPUTED_VALUE"""),2313097237)</f>
        <v>2313097237</v>
      </c>
      <c r="D986" s="1">
        <f>IFERROR(__xludf.DUMMYFUNCTION("""COMPUTED_VALUE"""),408875196)</f>
        <v>408875196</v>
      </c>
      <c r="E986" s="1">
        <f>IFERROR(__xludf.DUMMYFUNCTION("""COMPUTED_VALUE"""),475116808004)</f>
        <v>475116808004</v>
      </c>
      <c r="F986" s="1" t="str">
        <f>IFERROR(__xludf.DUMMYFUNCTION("""COMPUTED_VALUE"""),"CLOSED")</f>
        <v>CLOSED</v>
      </c>
      <c r="G986" s="1" t="str">
        <f>IFERROR(__xludf.DUMMYFUNCTION("""COMPUTED_VALUE"""),"CLOSED")</f>
        <v>CLOSED</v>
      </c>
      <c r="H986" s="1" t="str">
        <f>IFERROR(__xludf.DUMMYFUNCTION("""COMPUTED_VALUE"""),"PAID VIA GCASH REF 170057567 OCT 11")</f>
        <v>PAID VIA GCASH REF 170057567 OCT 11</v>
      </c>
      <c r="I986" s="1" t="str">
        <f>IFERROR(__xludf.DUMMYFUNCTION("""COMPUTED_VALUE"""),"WITH 1 AMSF")</f>
        <v>WITH 1 AMSF</v>
      </c>
      <c r="J986" s="1"/>
      <c r="K986" s="1" t="str">
        <f>IFERROR(__xludf.DUMMYFUNCTION("""COMPUTED_VALUE"""),"COMPLETED")</f>
        <v>COMPLETED</v>
      </c>
      <c r="L986" s="1" t="str">
        <f>IFERROR(__xludf.DUMMYFUNCTION("""COMPUTED_VALUE"""),"POSTED")</f>
        <v>POSTED</v>
      </c>
      <c r="M986" s="1" t="str">
        <f>IFERROR(__xludf.DUMMYFUNCTION("""COMPUTED_VALUE"""),"POSTED")</f>
        <v>POSTED</v>
      </c>
      <c r="N986" s="3">
        <f>IFERROR(__xludf.DUMMYFUNCTION("""COMPUTED_VALUE"""),46308)</f>
        <v>46308</v>
      </c>
      <c r="O986" s="1" t="str">
        <f>IFERROR(__xludf.DUMMYFUNCTION("""COMPUTED_VALUE"""),"FIBER UNLI PLAN 1399")</f>
        <v>FIBER UNLI PLAN 1399</v>
      </c>
      <c r="P986" s="1" t="str">
        <f>IFERROR(__xludf.DUMMYFUNCTION("""COMPUTED_VALUE"""),"LOWPLAN")</f>
        <v>LOWPLAN</v>
      </c>
      <c r="Q986" s="1" t="str">
        <f>IFERROR(__xludf.DUMMYFUNCTION("""COMPUTED_VALUE"""),"P407049")</f>
        <v>P407049</v>
      </c>
      <c r="R986" s="1" t="str">
        <f>IFERROR(__xludf.DUMMYFUNCTION("""COMPUTED_VALUE"""),"CORNELIO, CATHERINE")</f>
        <v>CORNELIO, CATHERINE</v>
      </c>
      <c r="S986" s="1" t="str">
        <f>IFERROR(__xludf.DUMMYFUNCTION("""COMPUTED_VALUE"""),"ORGANIC")</f>
        <v>ORGANIC</v>
      </c>
      <c r="T986" s="1" t="str">
        <f>IFERROR(__xludf.DUMMYFUNCTION("""COMPUTED_VALUE"""),"LEA REMOLLO")</f>
        <v>LEA REMOLLO</v>
      </c>
      <c r="U986" s="1" t="str">
        <f>IFERROR(__xludf.DUMMYFUNCTION("""COMPUTED_VALUE"""),"JB SALIOA")</f>
        <v>JB SALIOA</v>
      </c>
      <c r="V986" s="1" t="str">
        <f>IFERROR(__xludf.DUMMYFUNCTION("""COMPUTED_VALUE"""),"BK HSTK")</f>
        <v>BK HSTK</v>
      </c>
      <c r="W986" s="1" t="str">
        <f>IFERROR(__xludf.DUMMYFUNCTION("""COMPUTED_VALUE"""),"BK HSTK")</f>
        <v>BK HSTK</v>
      </c>
      <c r="X986" s="1" t="str">
        <f>IFERROR(__xludf.DUMMYFUNCTION("""COMPUTED_VALUE"""),"FIBER 1399 98TH YR")</f>
        <v>FIBER 1399 98TH YR</v>
      </c>
      <c r="Y986" s="1" t="str">
        <f>IFERROR(__xludf.DUMMYFUNCTION("""COMPUTED_VALUE"""),"BK_CVEU_261006")</f>
        <v>BK_CVEU_261006</v>
      </c>
      <c r="Z986" s="1" t="str">
        <f>IFERROR(__xludf.DUMMYFUNCTION("""COMPUTED_VALUE"""),"NEW CONNECT")</f>
        <v>NEW CONNECT</v>
      </c>
      <c r="AA986" s="1">
        <f>IFERROR(__xludf.DUMMYFUNCTION("""COMPUTED_VALUE"""),639950223435)</f>
        <v>639950223435</v>
      </c>
      <c r="AB986" s="1"/>
      <c r="AC986" s="1">
        <f>IFERROR(__xludf.DUMMYFUNCTION("""COMPUTED_VALUE"""),59)</f>
        <v>59</v>
      </c>
      <c r="AD986" s="1" t="str">
        <f>IFERROR(__xludf.DUMMYFUNCTION("""COMPUTED_VALUE"""),"BORROMEO")</f>
        <v>BORROMEO</v>
      </c>
      <c r="AE986" s="1"/>
      <c r="AF986" s="1" t="str">
        <f>IFERROR(__xludf.DUMMYFUNCTION("""COMPUTED_VALUE"""),"BGY BILUSO")</f>
        <v>BGY BILUSO</v>
      </c>
      <c r="AG986" s="1" t="str">
        <f>IFERROR(__xludf.DUMMYFUNCTION("""COMPUTED_VALUE"""),"SILANG")</f>
        <v>SILANG</v>
      </c>
      <c r="AH986" s="1" t="str">
        <f>IFERROR(__xludf.DUMMYFUNCTION("""COMPUTED_VALUE"""),"IGLESIA NI CRISTO")</f>
        <v>IGLESIA NI CRISTO</v>
      </c>
      <c r="AI986" s="1" t="str">
        <f>IFERROR(__xludf.DUMMYFUNCTION("""COMPUTED_VALUE"""),"CLUSTER 11")</f>
        <v>CLUSTER 11</v>
      </c>
    </row>
    <row r="987" customHeight="1" spans="1:35">
      <c r="A987" s="3">
        <f>IFERROR(__xludf.DUMMYFUNCTION("""COMPUTED_VALUE"""),46306)</f>
        <v>46306</v>
      </c>
      <c r="B987" s="1" t="str">
        <f>IFERROR(__xludf.DUMMYFUNCTION("""COMPUTED_VALUE"""),"BRENDA LEE BAGANG BELILA")</f>
        <v>BRENDA LEE BAGANG BELILA</v>
      </c>
      <c r="C987" s="1">
        <f>IFERROR(__xludf.DUMMYFUNCTION("""COMPUTED_VALUE"""),2313097424)</f>
        <v>2313097424</v>
      </c>
      <c r="D987" s="1">
        <f>IFERROR(__xludf.DUMMYFUNCTION("""COMPUTED_VALUE"""),408898757)</f>
        <v>408898757</v>
      </c>
      <c r="E987" s="1">
        <f>IFERROR(__xludf.DUMMYFUNCTION("""COMPUTED_VALUE"""),475280528004)</f>
        <v>475280528004</v>
      </c>
      <c r="F987" s="1" t="str">
        <f>IFERROR(__xludf.DUMMYFUNCTION("""COMPUTED_VALUE"""),"FOR PAYMENT")</f>
        <v>FOR PAYMENT</v>
      </c>
      <c r="G987" s="1" t="str">
        <f>IFERROR(__xludf.DUMMYFUNCTION("""COMPUTED_VALUE"""),"FOR PAYMENT")</f>
        <v>FOR PAYMENT</v>
      </c>
      <c r="H987" s="1"/>
      <c r="I987" s="1"/>
      <c r="J987" s="1"/>
      <c r="K987" s="1" t="str">
        <f>IFERROR(__xludf.DUMMYFUNCTION("""COMPUTED_VALUE"""),"NOT IN OFSC")</f>
        <v>NOT IN OFSC</v>
      </c>
      <c r="L987" s="1" t="str">
        <f>IFERROR(__xludf.DUMMYFUNCTION("""COMPUTED_VALUE"""),"FOR PAYMENT")</f>
        <v>FOR PAYMENT</v>
      </c>
      <c r="M987" s="1" t="str">
        <f>IFERROR(__xludf.DUMMYFUNCTION("""COMPUTED_VALUE"""),"FOR PAYMENT - FOR CALL OUT")</f>
        <v>FOR PAYMENT - FOR CALL OUT</v>
      </c>
      <c r="N987" s="3"/>
      <c r="O987" s="1" t="str">
        <f>IFERROR(__xludf.DUMMYFUNCTION("""COMPUTED_VALUE"""),"FIBR UNLI ALL PLAN 999")</f>
        <v>FIBR UNLI ALL PLAN 999</v>
      </c>
      <c r="P987" s="1" t="str">
        <f>IFERROR(__xludf.DUMMYFUNCTION("""COMPUTED_VALUE"""),"LOWPLAN")</f>
        <v>LOWPLAN</v>
      </c>
      <c r="Q987" s="1" t="str">
        <f>IFERROR(__xludf.DUMMYFUNCTION("""COMPUTED_VALUE"""),"P40749")</f>
        <v>P40749</v>
      </c>
      <c r="R987" s="1" t="str">
        <f>IFERROR(__xludf.DUMMYFUNCTION("""COMPUTED_VALUE"""),"ALINGARO, CINDY")</f>
        <v>ALINGARO, CINDY</v>
      </c>
      <c r="S987" s="1" t="str">
        <f>IFERROR(__xludf.DUMMYFUNCTION("""COMPUTED_VALUE"""),"ORGANIC")</f>
        <v>ORGANIC</v>
      </c>
      <c r="T987" s="1" t="str">
        <f>IFERROR(__xludf.DUMMYFUNCTION("""COMPUTED_VALUE"""),"LEA REMOLLO")</f>
        <v>LEA REMOLLO</v>
      </c>
      <c r="U987" s="1" t="str">
        <f>IFERROR(__xludf.DUMMYFUNCTION("""COMPUTED_VALUE"""),"JB SALIOA")</f>
        <v>JB SALIOA</v>
      </c>
      <c r="V987" s="1" t="str">
        <f>IFERROR(__xludf.DUMMYFUNCTION("""COMPUTED_VALUE"""),"BK HSTK")</f>
        <v>BK HSTK</v>
      </c>
      <c r="W987" s="1" t="str">
        <f>IFERROR(__xludf.DUMMYFUNCTION("""COMPUTED_VALUE"""),"BK HSTK")</f>
        <v>BK HSTK</v>
      </c>
      <c r="X987" s="1" t="str">
        <f>IFERROR(__xludf.DUMMYFUNCTION("""COMPUTED_VALUE"""),"FIBER 1399 98TH YR")</f>
        <v>FIBER 1399 98TH YR</v>
      </c>
      <c r="Y987" s="1" t="str">
        <f>IFERROR(__xludf.DUMMYFUNCTION("""COMPUTED_VALUE"""),"BK_CVEU_261006")</f>
        <v>BK_CVEU_261006</v>
      </c>
      <c r="Z987" s="1" t="str">
        <f>IFERROR(__xludf.DUMMYFUNCTION("""COMPUTED_VALUE"""),"NEW CONNECT")</f>
        <v>NEW CONNECT</v>
      </c>
      <c r="AA987" s="1">
        <f>IFERROR(__xludf.DUMMYFUNCTION("""COMPUTED_VALUE"""),639704887954)</f>
        <v>639704887954</v>
      </c>
      <c r="AB987" s="1"/>
      <c r="AC987" s="1">
        <f>IFERROR(__xludf.DUMMYFUNCTION("""COMPUTED_VALUE"""),3099)</f>
        <v>3099</v>
      </c>
      <c r="AD987" s="1" t="str">
        <f>IFERROR(__xludf.DUMMYFUNCTION("""COMPUTED_VALUE"""),"BORROMEO")</f>
        <v>BORROMEO</v>
      </c>
      <c r="AE987" s="1"/>
      <c r="AF987" s="1" t="str">
        <f>IFERROR(__xludf.DUMMYFUNCTION("""COMPUTED_VALUE"""),"BGY BILUSO")</f>
        <v>BGY BILUSO</v>
      </c>
      <c r="AG987" s="1" t="str">
        <f>IFERROR(__xludf.DUMMYFUNCTION("""COMPUTED_VALUE"""),"SILANG")</f>
        <v>SILANG</v>
      </c>
      <c r="AH987" s="1" t="str">
        <f>IFERROR(__xludf.DUMMYFUNCTION("""COMPUTED_VALUE"""),"JUSTIN BAKERY")</f>
        <v>JUSTIN BAKERY</v>
      </c>
      <c r="AI987" s="1" t="str">
        <f>IFERROR(__xludf.DUMMYFUNCTION("""COMPUTED_VALUE"""),"CLUSTER 11")</f>
        <v>CLUSTER 11</v>
      </c>
    </row>
    <row r="988" customHeight="1" spans="1:35">
      <c r="A988" s="3">
        <f>IFERROR(__xludf.DUMMYFUNCTION("""COMPUTED_VALUE"""),46306)</f>
        <v>46306</v>
      </c>
      <c r="B988" s="1" t="str">
        <f>IFERROR(__xludf.DUMMYFUNCTION("""COMPUTED_VALUE"""),"DARLYN CABILES ESPEJON")</f>
        <v>DARLYN CABILES ESPEJON</v>
      </c>
      <c r="C988" s="1">
        <f>IFERROR(__xludf.DUMMYFUNCTION("""COMPUTED_VALUE"""),2313097587)</f>
        <v>2313097587</v>
      </c>
      <c r="D988" s="1">
        <f>IFERROR(__xludf.DUMMYFUNCTION("""COMPUTED_VALUE"""),408898366)</f>
        <v>408898366</v>
      </c>
      <c r="E988" s="1">
        <f>IFERROR(__xludf.DUMMYFUNCTION("""COMPUTED_VALUE"""),475280582004)</f>
        <v>475280582004</v>
      </c>
      <c r="F988" s="1" t="str">
        <f>IFERROR(__xludf.DUMMYFUNCTION("""COMPUTED_VALUE"""),"FOR PAYMENT")</f>
        <v>FOR PAYMENT</v>
      </c>
      <c r="G988" s="1" t="str">
        <f>IFERROR(__xludf.DUMMYFUNCTION("""COMPUTED_VALUE"""),"FOR PAYMENT")</f>
        <v>FOR PAYMENT</v>
      </c>
      <c r="H988" s="1"/>
      <c r="I988" s="1"/>
      <c r="J988" s="1"/>
      <c r="K988" s="1" t="str">
        <f>IFERROR(__xludf.DUMMYFUNCTION("""COMPUTED_VALUE"""),"NOT IN OFSC")</f>
        <v>NOT IN OFSC</v>
      </c>
      <c r="L988" s="1" t="str">
        <f>IFERROR(__xludf.DUMMYFUNCTION("""COMPUTED_VALUE"""),"FOR PAYMENT")</f>
        <v>FOR PAYMENT</v>
      </c>
      <c r="M988" s="1" t="str">
        <f>IFERROR(__xludf.DUMMYFUNCTION("""COMPUTED_VALUE"""),"FOR PAYMENT - FOR CALL OUT")</f>
        <v>FOR PAYMENT - FOR CALL OUT</v>
      </c>
      <c r="N988" s="3"/>
      <c r="O988" s="1" t="str">
        <f>IFERROR(__xludf.DUMMYFUNCTION("""COMPUTED_VALUE"""),"FIBR UNLI ALL PLAN 999")</f>
        <v>FIBR UNLI ALL PLAN 999</v>
      </c>
      <c r="P988" s="1" t="str">
        <f>IFERROR(__xludf.DUMMYFUNCTION("""COMPUTED_VALUE"""),"LOWPLAN")</f>
        <v>LOWPLAN</v>
      </c>
      <c r="Q988" s="1" t="str">
        <f>IFERROR(__xludf.DUMMYFUNCTION("""COMPUTED_VALUE"""),"P407564")</f>
        <v>P407564</v>
      </c>
      <c r="R988" s="1" t="str">
        <f>IFERROR(__xludf.DUMMYFUNCTION("""COMPUTED_VALUE"""),"ARENA, LYKA")</f>
        <v>ARENA, LYKA</v>
      </c>
      <c r="S988" s="1" t="str">
        <f>IFERROR(__xludf.DUMMYFUNCTION("""COMPUTED_VALUE"""),"ORGANIC")</f>
        <v>ORGANIC</v>
      </c>
      <c r="T988" s="1" t="str">
        <f>IFERROR(__xludf.DUMMYFUNCTION("""COMPUTED_VALUE"""),"LEA REMOLLO")</f>
        <v>LEA REMOLLO</v>
      </c>
      <c r="U988" s="1" t="str">
        <f>IFERROR(__xludf.DUMMYFUNCTION("""COMPUTED_VALUE"""),"JB SALIOA")</f>
        <v>JB SALIOA</v>
      </c>
      <c r="V988" s="1" t="str">
        <f>IFERROR(__xludf.DUMMYFUNCTION("""COMPUTED_VALUE"""),"BK REGULAR")</f>
        <v>BK REGULAR</v>
      </c>
      <c r="W988" s="1" t="str">
        <f>IFERROR(__xludf.DUMMYFUNCTION("""COMPUTED_VALUE"""),"STK REGULAR")</f>
        <v>STK REGULAR</v>
      </c>
      <c r="X988" s="1" t="str">
        <f>IFERROR(__xludf.DUMMYFUNCTION("""COMPUTED_VALUE"""),"FIBER 1399 98TH YR")</f>
        <v>FIBER 1399 98TH YR</v>
      </c>
      <c r="Y988" s="1" t="str">
        <f>IFERROR(__xludf.DUMMYFUNCTION("""COMPUTED_VALUE"""),"BK_CVEU_261006")</f>
        <v>BK_CVEU_261006</v>
      </c>
      <c r="Z988" s="1" t="str">
        <f>IFERROR(__xludf.DUMMYFUNCTION("""COMPUTED_VALUE"""),"NEW CONNECT")</f>
        <v>NEW CONNECT</v>
      </c>
      <c r="AA988" s="1">
        <f>IFERROR(__xludf.DUMMYFUNCTION("""COMPUTED_VALUE"""),639956604199)</f>
        <v>639956604199</v>
      </c>
      <c r="AB988" s="1"/>
      <c r="AC988" s="1"/>
      <c r="AD988" s="1" t="str">
        <f>IFERROR(__xludf.DUMMYFUNCTION("""COMPUTED_VALUE"""),"BUKLOD BAHAYAN")</f>
        <v>BUKLOD BAHAYAN</v>
      </c>
      <c r="AE988" s="1" t="str">
        <f>IFERROR(__xludf.DUMMYFUNCTION("""COMPUTED_VALUE"""),"BUKLOD BAHAYAN")</f>
        <v>BUKLOD BAHAYAN</v>
      </c>
      <c r="AF988" s="1" t="str">
        <f>IFERROR(__xludf.DUMMYFUNCTION("""COMPUTED_VALUE"""),"BGY TARTARIA")</f>
        <v>BGY TARTARIA</v>
      </c>
      <c r="AG988" s="1" t="str">
        <f>IFERROR(__xludf.DUMMYFUNCTION("""COMPUTED_VALUE"""),"SILANG")</f>
        <v>SILANG</v>
      </c>
      <c r="AH988" s="1" t="str">
        <f>IFERROR(__xludf.DUMMYFUNCTION("""COMPUTED_VALUE"""),"COVERED COURT")</f>
        <v>COVERED COURT</v>
      </c>
      <c r="AI988" s="1" t="str">
        <f>IFERROR(__xludf.DUMMYFUNCTION("""COMPUTED_VALUE"""),"CLUSTER 11")</f>
        <v>CLUSTER 11</v>
      </c>
    </row>
    <row r="989" customHeight="1" spans="1:35">
      <c r="A989" s="3">
        <f>IFERROR(__xludf.DUMMYFUNCTION("""COMPUTED_VALUE"""),46306)</f>
        <v>46306</v>
      </c>
      <c r="B989" s="1" t="str">
        <f>IFERROR(__xludf.DUMMYFUNCTION("""COMPUTED_VALUE"""),"AIR ZONE SOLUTIONS CO.")</f>
        <v>AIR ZONE SOLUTIONS CO.</v>
      </c>
      <c r="C989" s="1">
        <f>IFERROR(__xludf.DUMMYFUNCTION("""COMPUTED_VALUE"""),2313099080)</f>
        <v>2313099080</v>
      </c>
      <c r="D989" s="1">
        <f>IFERROR(__xludf.DUMMYFUNCTION("""COMPUTED_VALUE"""),408878373)</f>
        <v>408878373</v>
      </c>
      <c r="E989" s="1">
        <f>IFERROR(__xludf.DUMMYFUNCTION("""COMPUTED_VALUE"""),475119655004)</f>
        <v>475119655004</v>
      </c>
      <c r="F989" s="1" t="str">
        <f>IFERROR(__xludf.DUMMYFUNCTION("""COMPUTED_VALUE"""),"CLOSED")</f>
        <v>CLOSED</v>
      </c>
      <c r="G989" s="1" t="str">
        <f>IFERROR(__xludf.DUMMYFUNCTION("""COMPUTED_VALUE"""),"CLOSED")</f>
        <v>CLOSED</v>
      </c>
      <c r="H989" s="1" t="str">
        <f>IFERROR(__xludf.DUMMYFUNCTION("""COMPUTED_VALUE"""),"PAID VIA GCASH REF 619458462 OCT 12")</f>
        <v>PAID VIA GCASH REF 619458462 OCT 12</v>
      </c>
      <c r="I989" s="1" t="str">
        <f>IFERROR(__xludf.DUMMYFUNCTION("""COMPUTED_VALUE"""),"WITH 1 AMSF")</f>
        <v>WITH 1 AMSF</v>
      </c>
      <c r="J989" s="1"/>
      <c r="K989" s="1" t="str">
        <f>IFERROR(__xludf.DUMMYFUNCTION("""COMPUTED_VALUE"""),"COMPLETED")</f>
        <v>COMPLETED</v>
      </c>
      <c r="L989" s="1" t="str">
        <f>IFERROR(__xludf.DUMMYFUNCTION("""COMPUTED_VALUE"""),"POSTED")</f>
        <v>POSTED</v>
      </c>
      <c r="M989" s="1" t="str">
        <f>IFERROR(__xludf.DUMMYFUNCTION("""COMPUTED_VALUE"""),"POSTED")</f>
        <v>POSTED</v>
      </c>
      <c r="N989" s="3">
        <f>IFERROR(__xludf.DUMMYFUNCTION("""COMPUTED_VALUE"""),46308)</f>
        <v>46308</v>
      </c>
      <c r="O989" s="1" t="str">
        <f>IFERROR(__xludf.DUMMYFUNCTION("""COMPUTED_VALUE"""),"HOME BIZ PLAN 1699")</f>
        <v>HOME BIZ PLAN 1699</v>
      </c>
      <c r="P989" s="1" t="str">
        <f>IFERROR(__xludf.DUMMYFUNCTION("""COMPUTED_VALUE"""),"BIZ PLAN")</f>
        <v>BIZ PLAN</v>
      </c>
      <c r="Q989" s="1" t="str">
        <f>IFERROR(__xludf.DUMMYFUNCTION("""COMPUTED_VALUE"""),"P407048")</f>
        <v>P407048</v>
      </c>
      <c r="R989" s="1" t="str">
        <f>IFERROR(__xludf.DUMMYFUNCTION("""COMPUTED_VALUE"""),"KAWAUCHI, SHANE")</f>
        <v>KAWAUCHI, SHANE</v>
      </c>
      <c r="S989" s="1" t="str">
        <f>IFERROR(__xludf.DUMMYFUNCTION("""COMPUTED_VALUE"""),"ORGANIC")</f>
        <v>ORGANIC</v>
      </c>
      <c r="T989" s="1" t="str">
        <f>IFERROR(__xludf.DUMMYFUNCTION("""COMPUTED_VALUE"""),"GARCIA MICHAEL JETTS")</f>
        <v>GARCIA MICHAEL JETTS</v>
      </c>
      <c r="U989" s="1" t="str">
        <f>IFERROR(__xludf.DUMMYFUNCTION("""COMPUTED_VALUE"""),"JB SALIOA")</f>
        <v>JB SALIOA</v>
      </c>
      <c r="V989" s="1" t="str">
        <f>IFERROR(__xludf.DUMMYFUNCTION("""COMPUTED_VALUE"""),"ONLINE/CRANFORD")</f>
        <v>ONLINE/CRANFORD</v>
      </c>
      <c r="W989" s="1" t="str">
        <f>IFERROR(__xludf.DUMMYFUNCTION("""COMPUTED_VALUE"""),"CSP")</f>
        <v>CSP</v>
      </c>
      <c r="X989" s="1" t="str">
        <f>IFERROR(__xludf.DUMMYFUNCTION("""COMPUTED_VALUE"""),"REGULAR")</f>
        <v>REGULAR</v>
      </c>
      <c r="Y989" s="1" t="str">
        <f>IFERROR(__xludf.DUMMYFUNCTION("""COMPUTED_VALUE"""),"RS_SS_CVEU_2026")</f>
        <v>RS_SS_CVEU_2026</v>
      </c>
      <c r="Z989" s="1" t="str">
        <f>IFERROR(__xludf.DUMMYFUNCTION("""COMPUTED_VALUE"""),"NEW CONNECT")</f>
        <v>NEW CONNECT</v>
      </c>
      <c r="AA989" s="1">
        <f>IFERROR(__xludf.DUMMYFUNCTION("""COMPUTED_VALUE"""),639052220099)</f>
        <v>639052220099</v>
      </c>
      <c r="AB989" s="1"/>
      <c r="AC989" s="1">
        <f>IFERROR(__xludf.DUMMYFUNCTION("""COMPUTED_VALUE"""),415)</f>
        <v>415</v>
      </c>
      <c r="AD989" s="1" t="str">
        <f>IFERROR(__xludf.DUMMYFUNCTION("""COMPUTED_VALUE"""),"A SORIANO")</f>
        <v>A SORIANO</v>
      </c>
      <c r="AE989" s="1"/>
      <c r="AF989" s="1" t="str">
        <f>IFERROR(__xludf.DUMMYFUNCTION("""COMPUTED_VALUE"""),"BGY DAANG AMAYA 1")</f>
        <v>BGY DAANG AMAYA 1</v>
      </c>
      <c r="AG989" s="1" t="str">
        <f>IFERROR(__xludf.DUMMYFUNCTION("""COMPUTED_VALUE"""),"TANZA")</f>
        <v>TANZA</v>
      </c>
      <c r="AH989" s="1" t="str">
        <f>IFERROR(__xludf.DUMMYFUNCTION("""COMPUTED_VALUE"""),"A SORIANO HWY")</f>
        <v>A SORIANO HWY</v>
      </c>
      <c r="AI989" s="1" t="str">
        <f>IFERROR(__xludf.DUMMYFUNCTION("""COMPUTED_VALUE"""),"NOT AOR")</f>
        <v>NOT AOR</v>
      </c>
    </row>
    <row r="990" customHeight="1" spans="1:35">
      <c r="A990" s="3">
        <f>IFERROR(__xludf.DUMMYFUNCTION("""COMPUTED_VALUE"""),46306)</f>
        <v>46306</v>
      </c>
      <c r="B990" s="1" t="str">
        <f>IFERROR(__xludf.DUMMYFUNCTION("""COMPUTED_VALUE"""),"JAYSON SIGNO AMBION")</f>
        <v>JAYSON SIGNO AMBION</v>
      </c>
      <c r="C990" s="1">
        <f>IFERROR(__xludf.DUMMYFUNCTION("""COMPUTED_VALUE"""),2313099365)</f>
        <v>2313099365</v>
      </c>
      <c r="D990" s="1">
        <f>IFERROR(__xludf.DUMMYFUNCTION("""COMPUTED_VALUE"""),408878934)</f>
        <v>408878934</v>
      </c>
      <c r="E990" s="1">
        <f>IFERROR(__xludf.DUMMYFUNCTION("""COMPUTED_VALUE"""),475120220004)</f>
        <v>475120220004</v>
      </c>
      <c r="F990" s="1" t="str">
        <f>IFERROR(__xludf.DUMMYFUNCTION("""COMPUTED_VALUE"""),"CLOSED")</f>
        <v>CLOSED</v>
      </c>
      <c r="G990" s="1" t="str">
        <f>IFERROR(__xludf.DUMMYFUNCTION("""COMPUTED_VALUE"""),"CLOSED")</f>
        <v>CLOSED</v>
      </c>
      <c r="H990" s="1" t="str">
        <f>IFERROR(__xludf.DUMMYFUNCTION("""COMPUTED_VALUE"""),"PQGOR367022065	12-Oct-26	Regular Payment	CIS-GCASH 3.0	1,649.00	0	12-Oct-26")</f>
        <v>PQGOR367022065	12-Oct-26	Regular Payment	CIS-GCASH 3.0	1,649.00	0	12-Oct-26</v>
      </c>
      <c r="I990" s="1" t="str">
        <f>IFERROR(__xludf.DUMMYFUNCTION("""COMPUTED_VALUE"""),"WITH 1 AMSF")</f>
        <v>WITH 1 AMSF</v>
      </c>
      <c r="J990" s="1"/>
      <c r="K990" s="1" t="str">
        <f>IFERROR(__xludf.DUMMYFUNCTION("""COMPUTED_VALUE"""),"COMPLETED")</f>
        <v>COMPLETED</v>
      </c>
      <c r="L990" s="1" t="str">
        <f>IFERROR(__xludf.DUMMYFUNCTION("""COMPUTED_VALUE"""),"POSTED")</f>
        <v>POSTED</v>
      </c>
      <c r="M990" s="1" t="str">
        <f>IFERROR(__xludf.DUMMYFUNCTION("""COMPUTED_VALUE"""),"POSTED")</f>
        <v>POSTED</v>
      </c>
      <c r="N990" s="3">
        <f>IFERROR(__xludf.DUMMYFUNCTION("""COMPUTED_VALUE"""),46308)</f>
        <v>46308</v>
      </c>
      <c r="O990" s="1" t="str">
        <f>IFERROR(__xludf.DUMMYFUNCTION("""COMPUTED_VALUE"""),"FIBER UNLI ALL PLAN 1499")</f>
        <v>FIBER UNLI ALL PLAN 1499</v>
      </c>
      <c r="P990" s="1" t="str">
        <f>IFERROR(__xludf.DUMMYFUNCTION("""COMPUTED_VALUE"""),"LOWPLAN")</f>
        <v>LOWPLAN</v>
      </c>
      <c r="Q990" s="1" t="str">
        <f>IFERROR(__xludf.DUMMYFUNCTION("""COMPUTED_VALUE"""),"P407517")</f>
        <v>P407517</v>
      </c>
      <c r="R990" s="1" t="str">
        <f>IFERROR(__xludf.DUMMYFUNCTION("""COMPUTED_VALUE"""),"GABAY, MANUEL")</f>
        <v>GABAY, MANUEL</v>
      </c>
      <c r="S990" s="1" t="str">
        <f>IFERROR(__xludf.DUMMYFUNCTION("""COMPUTED_VALUE"""),"FLA")</f>
        <v>FLA</v>
      </c>
      <c r="T990" s="1" t="str">
        <f>IFERROR(__xludf.DUMMYFUNCTION("""COMPUTED_VALUE"""),"JERIC NAVARRO")</f>
        <v>JERIC NAVARRO</v>
      </c>
      <c r="U990" s="1" t="str">
        <f>IFERROR(__xludf.DUMMYFUNCTION("""COMPUTED_VALUE"""),"JB SALIOA")</f>
        <v>JB SALIOA</v>
      </c>
      <c r="V990" s="1" t="str">
        <f>IFERROR(__xludf.DUMMYFUNCTION("""COMPUTED_VALUE"""),"BK HSTK")</f>
        <v>BK HSTK</v>
      </c>
      <c r="W990" s="1" t="str">
        <f>IFERROR(__xludf.DUMMYFUNCTION("""COMPUTED_VALUE"""),"BK HSTK")</f>
        <v>BK HSTK</v>
      </c>
      <c r="X990" s="1" t="str">
        <f>IFERROR(__xludf.DUMMYFUNCTION("""COMPUTED_VALUE"""),"REGULAR")</f>
        <v>REGULAR</v>
      </c>
      <c r="Y990" s="1" t="str">
        <f>IFERROR(__xludf.DUMMYFUNCTION("""COMPUTED_VALUE"""),"BK_CVEU_261002")</f>
        <v>BK_CVEU_261002</v>
      </c>
      <c r="Z990" s="1" t="str">
        <f>IFERROR(__xludf.DUMMYFUNCTION("""COMPUTED_VALUE"""),"NEW CONNECT")</f>
        <v>NEW CONNECT</v>
      </c>
      <c r="AA990" s="1">
        <f>IFERROR(__xludf.DUMMYFUNCTION("""COMPUTED_VALUE"""),639061086313)</f>
        <v>639061086313</v>
      </c>
      <c r="AB990" s="1">
        <f>IFERROR(__xludf.DUMMYFUNCTION("""COMPUTED_VALUE"""),639050683058)</f>
        <v>639050683058</v>
      </c>
      <c r="AC990" s="1">
        <f>IFERROR(__xludf.DUMMYFUNCTION("""COMPUTED_VALUE"""),5028)</f>
        <v>5028</v>
      </c>
      <c r="AD990" s="1" t="str">
        <f>IFERROR(__xludf.DUMMYFUNCTION("""COMPUTED_VALUE"""),"PUROK 5")</f>
        <v>PUROK 5</v>
      </c>
      <c r="AE990" s="1"/>
      <c r="AF990" s="1" t="str">
        <f>IFERROR(__xludf.DUMMYFUNCTION("""COMPUTED_VALUE"""),"BGY PANGIL")</f>
        <v>BGY PANGIL</v>
      </c>
      <c r="AG990" s="1" t="str">
        <f>IFERROR(__xludf.DUMMYFUNCTION("""COMPUTED_VALUE"""),"AMADEO")</f>
        <v>AMADEO</v>
      </c>
      <c r="AH990" s="1" t="str">
        <f>IFERROR(__xludf.DUMMYFUNCTION("""COMPUTED_VALUE"""),"BRIDGE")</f>
        <v>BRIDGE</v>
      </c>
      <c r="AI990" s="1" t="str">
        <f>IFERROR(__xludf.DUMMYFUNCTION("""COMPUTED_VALUE"""),"CLUSTER 12")</f>
        <v>CLUSTER 12</v>
      </c>
    </row>
    <row r="991" customHeight="1" spans="1:35">
      <c r="A991" s="3">
        <f>IFERROR(__xludf.DUMMYFUNCTION("""COMPUTED_VALUE"""),46306)</f>
        <v>46306</v>
      </c>
      <c r="B991" s="1" t="str">
        <f>IFERROR(__xludf.DUMMYFUNCTION("""COMPUTED_VALUE"""),"AINIE DELOS SANTOS BALAGTAS")</f>
        <v>AINIE DELOS SANTOS BALAGTAS</v>
      </c>
      <c r="C991" s="1">
        <f>IFERROR(__xludf.DUMMYFUNCTION("""COMPUTED_VALUE"""),2313099680)</f>
        <v>2313099680</v>
      </c>
      <c r="D991" s="1">
        <f>IFERROR(__xludf.DUMMYFUNCTION("""COMPUTED_VALUE"""),408879671)</f>
        <v>408879671</v>
      </c>
      <c r="E991" s="1">
        <f>IFERROR(__xludf.DUMMYFUNCTION("""COMPUTED_VALUE"""),475120383004)</f>
        <v>475120383004</v>
      </c>
      <c r="F991" s="1" t="str">
        <f>IFERROR(__xludf.DUMMYFUNCTION("""COMPUTED_VALUE"""),"FOR PAYMENT")</f>
        <v>FOR PAYMENT</v>
      </c>
      <c r="G991" s="1" t="str">
        <f>IFERROR(__xludf.DUMMYFUNCTION("""COMPUTED_VALUE"""),"FOR PAYMENT")</f>
        <v>FOR PAYMENT</v>
      </c>
      <c r="H991" s="1"/>
      <c r="I991" s="1"/>
      <c r="J991" s="1"/>
      <c r="K991" s="1" t="str">
        <f>IFERROR(__xludf.DUMMYFUNCTION("""COMPUTED_VALUE"""),"NOT IN OFSC")</f>
        <v>NOT IN OFSC</v>
      </c>
      <c r="L991" s="1" t="str">
        <f>IFERROR(__xludf.DUMMYFUNCTION("""COMPUTED_VALUE"""),"FOR PAYMENT")</f>
        <v>FOR PAYMENT</v>
      </c>
      <c r="M991" s="1" t="str">
        <f>IFERROR(__xludf.DUMMYFUNCTION("""COMPUTED_VALUE"""),"FOR PAYMENT - FOR CALL OUT")</f>
        <v>FOR PAYMENT - FOR CALL OUT</v>
      </c>
      <c r="N991" s="3"/>
      <c r="O991" s="1" t="str">
        <f>IFERROR(__xludf.DUMMYFUNCTION("""COMPUTED_VALUE"""),"FIBR UNLI ALL PLAN 999")</f>
        <v>FIBR UNLI ALL PLAN 999</v>
      </c>
      <c r="P991" s="1" t="str">
        <f>IFERROR(__xludf.DUMMYFUNCTION("""COMPUTED_VALUE"""),"LOWPLAN")</f>
        <v>LOWPLAN</v>
      </c>
      <c r="Q991" s="1" t="str">
        <f>IFERROR(__xludf.DUMMYFUNCTION("""COMPUTED_VALUE"""),"P407047")</f>
        <v>P407047</v>
      </c>
      <c r="R991" s="1" t="str">
        <f>IFERROR(__xludf.DUMMYFUNCTION("""COMPUTED_VALUE"""),"FRANCISCO, ROSELYN")</f>
        <v>FRANCISCO, ROSELYN</v>
      </c>
      <c r="S991" s="1" t="str">
        <f>IFERROR(__xludf.DUMMYFUNCTION("""COMPUTED_VALUE"""),"ORGANIC")</f>
        <v>ORGANIC</v>
      </c>
      <c r="T991" s="1" t="str">
        <f>IFERROR(__xludf.DUMMYFUNCTION("""COMPUTED_VALUE"""),"LEA REMOLLO")</f>
        <v>LEA REMOLLO</v>
      </c>
      <c r="U991" s="1" t="str">
        <f>IFERROR(__xludf.DUMMYFUNCTION("""COMPUTED_VALUE"""),"JB SALIOA")</f>
        <v>JB SALIOA</v>
      </c>
      <c r="V991" s="1" t="str">
        <f>IFERROR(__xludf.DUMMYFUNCTION("""COMPUTED_VALUE"""),"BK HSTK")</f>
        <v>BK HSTK</v>
      </c>
      <c r="W991" s="1" t="str">
        <f>IFERROR(__xludf.DUMMYFUNCTION("""COMPUTED_VALUE"""),"BK HSTK")</f>
        <v>BK HSTK</v>
      </c>
      <c r="X991" s="1" t="str">
        <f>IFERROR(__xludf.DUMMYFUNCTION("""COMPUTED_VALUE"""),"REGULAR")</f>
        <v>REGULAR</v>
      </c>
      <c r="Y991" s="1" t="str">
        <f>IFERROR(__xludf.DUMMYFUNCTION("""COMPUTED_VALUE"""),"BK_CVEU_261003")</f>
        <v>BK_CVEU_261003</v>
      </c>
      <c r="Z991" s="1" t="str">
        <f>IFERROR(__xludf.DUMMYFUNCTION("""COMPUTED_VALUE"""),"NEW CONNECT")</f>
        <v>NEW CONNECT</v>
      </c>
      <c r="AA991" s="1">
        <f>IFERROR(__xludf.DUMMYFUNCTION("""COMPUTED_VALUE"""),639511618715)</f>
        <v>639511618715</v>
      </c>
      <c r="AB991" s="1">
        <f>IFERROR(__xludf.DUMMYFUNCTION("""COMPUTED_VALUE"""),639652609936)</f>
        <v>639652609936</v>
      </c>
      <c r="AC991" s="1">
        <f>IFERROR(__xludf.DUMMYFUNCTION("""COMPUTED_VALUE"""),307)</f>
        <v>307</v>
      </c>
      <c r="AD991" s="1" t="str">
        <f>IFERROR(__xludf.DUMMYFUNCTION("""COMPUTED_VALUE"""),"PHASE 3")</f>
        <v>PHASE 3</v>
      </c>
      <c r="AE991" s="1" t="str">
        <f>IFERROR(__xludf.DUMMYFUNCTION("""COMPUTED_VALUE"""),"PATINDIG ARAW")</f>
        <v>PATINDIG ARAW</v>
      </c>
      <c r="AF991" s="1" t="str">
        <f>IFERROR(__xludf.DUMMYFUNCTION("""COMPUTED_VALUE"""),"BGY MILAGROSA")</f>
        <v>BGY MILAGROSA</v>
      </c>
      <c r="AG991" s="1" t="str">
        <f>IFERROR(__xludf.DUMMYFUNCTION("""COMPUTED_VALUE"""),"CARMONA")</f>
        <v>CARMONA</v>
      </c>
      <c r="AH991" s="1" t="str">
        <f>IFERROR(__xludf.DUMMYFUNCTION("""COMPUTED_VALUE"""),"NEAR WATER STATION")</f>
        <v>NEAR WATER STATION</v>
      </c>
      <c r="AI991" s="1" t="str">
        <f>IFERROR(__xludf.DUMMYFUNCTION("""COMPUTED_VALUE"""),"CLUSTER 11")</f>
        <v>CLUSTER 11</v>
      </c>
    </row>
    <row r="992" customHeight="1" spans="1:35">
      <c r="A992" s="3">
        <f>IFERROR(__xludf.DUMMYFUNCTION("""COMPUTED_VALUE"""),46306)</f>
        <v>46306</v>
      </c>
      <c r="B992" s="1" t="str">
        <f>IFERROR(__xludf.DUMMYFUNCTION("""COMPUTED_VALUE"""),"RAYMUND JACINTO FELICANO")</f>
        <v>RAYMUND JACINTO FELICANO</v>
      </c>
      <c r="C992" s="1">
        <f>IFERROR(__xludf.DUMMYFUNCTION("""COMPUTED_VALUE"""),2313099923)</f>
        <v>2313099923</v>
      </c>
      <c r="D992" s="1">
        <f>IFERROR(__xludf.DUMMYFUNCTION("""COMPUTED_VALUE"""),408898870)</f>
        <v>408898870</v>
      </c>
      <c r="E992" s="1">
        <f>IFERROR(__xludf.DUMMYFUNCTION("""COMPUTED_VALUE"""),475281679004)</f>
        <v>475281679004</v>
      </c>
      <c r="F992" s="1" t="str">
        <f>IFERROR(__xludf.DUMMYFUNCTION("""COMPUTED_VALUE"""),"FOR CANCELLATION")</f>
        <v>FOR CANCELLATION</v>
      </c>
      <c r="G992" s="1" t="str">
        <f>IFERROR(__xludf.DUMMYFUNCTION("""COMPUTED_VALUE"""),"FOR CANCELLATION")</f>
        <v>FOR CANCELLATION</v>
      </c>
      <c r="H992" s="1" t="str">
        <f>IFERROR(__xludf.DUMMYFUNCTION("""COMPUTED_VALUE"""),"FOR CANCELLATION- WALA DAW BOX MALAPIT SA KANILA PINUNTAHAN NA DAW SILA ")</f>
        <v>FOR CANCELLATION- WALA DAW BOX MALAPIT SA KANILA PINUNTAHAN NA DAW SILA </v>
      </c>
      <c r="I992" s="1"/>
      <c r="J992" s="1"/>
      <c r="K992" s="1" t="str">
        <f>IFERROR(__xludf.DUMMYFUNCTION("""COMPUTED_VALUE"""),"NOT IN OFSC")</f>
        <v>NOT IN OFSC</v>
      </c>
      <c r="L992" s="1" t="str">
        <f>IFERROR(__xludf.DUMMYFUNCTION("""COMPUTED_VALUE"""),"FOR PAYMENT")</f>
        <v>FOR PAYMENT</v>
      </c>
      <c r="M992" s="1" t="str">
        <f>IFERROR(__xludf.DUMMYFUNCTION("""COMPUTED_VALUE"""),"FOR CANCELLATION - NON COMPLIANCE - NO PAYMENT")</f>
        <v>FOR CANCELLATION - NON COMPLIANCE - NO PAYMENT</v>
      </c>
      <c r="N992" s="3"/>
      <c r="O992" s="1" t="str">
        <f>IFERROR(__xludf.DUMMYFUNCTION("""COMPUTED_VALUE"""),"FIBER UNLI ALL PLAN 1499")</f>
        <v>FIBER UNLI ALL PLAN 1499</v>
      </c>
      <c r="P992" s="1" t="str">
        <f>IFERROR(__xludf.DUMMYFUNCTION("""COMPUTED_VALUE"""),"LOWPLAN")</f>
        <v>LOWPLAN</v>
      </c>
      <c r="Q992" s="1" t="str">
        <f>IFERROR(__xludf.DUMMYFUNCTION("""COMPUTED_VALUE"""),"P407049")</f>
        <v>P407049</v>
      </c>
      <c r="R992" s="1" t="str">
        <f>IFERROR(__xludf.DUMMYFUNCTION("""COMPUTED_VALUE"""),"CADERAO, RONALD")</f>
        <v>CADERAO, RONALD</v>
      </c>
      <c r="S992" s="1" t="str">
        <f>IFERROR(__xludf.DUMMYFUNCTION("""COMPUTED_VALUE"""),"ORGANIC")</f>
        <v>ORGANIC</v>
      </c>
      <c r="T992" s="1" t="str">
        <f>IFERROR(__xludf.DUMMYFUNCTION("""COMPUTED_VALUE"""),"LEA REMOLLO")</f>
        <v>LEA REMOLLO</v>
      </c>
      <c r="U992" s="1" t="str">
        <f>IFERROR(__xludf.DUMMYFUNCTION("""COMPUTED_VALUE"""),"JB SALIOA")</f>
        <v>JB SALIOA</v>
      </c>
      <c r="V992" s="1" t="str">
        <f>IFERROR(__xludf.DUMMYFUNCTION("""COMPUTED_VALUE"""),"BK HSTK")</f>
        <v>BK HSTK</v>
      </c>
      <c r="W992" s="1" t="str">
        <f>IFERROR(__xludf.DUMMYFUNCTION("""COMPUTED_VALUE"""),"BK HSTK")</f>
        <v>BK HSTK</v>
      </c>
      <c r="X992" s="1" t="str">
        <f>IFERROR(__xludf.DUMMYFUNCTION("""COMPUTED_VALUE"""),"REGULAR")</f>
        <v>REGULAR</v>
      </c>
      <c r="Y992" s="1" t="str">
        <f>IFERROR(__xludf.DUMMYFUNCTION("""COMPUTED_VALUE"""),"BK_CVEU_261002")</f>
        <v>BK_CVEU_261002</v>
      </c>
      <c r="Z992" s="1" t="str">
        <f>IFERROR(__xludf.DUMMYFUNCTION("""COMPUTED_VALUE"""),"NEW CONNECT")</f>
        <v>NEW CONNECT</v>
      </c>
      <c r="AA992" s="1">
        <f>IFERROR(__xludf.DUMMYFUNCTION("""COMPUTED_VALUE"""),639929591705)</f>
        <v>639929591705</v>
      </c>
      <c r="AB992" s="1"/>
      <c r="AC992" s="1">
        <f>IFERROR(__xludf.DUMMYFUNCTION("""COMPUTED_VALUE"""),46)</f>
        <v>46</v>
      </c>
      <c r="AD992" s="1" t="str">
        <f>IFERROR(__xludf.DUMMYFUNCTION("""COMPUTED_VALUE"""),"FERNANDEZ")</f>
        <v>FERNANDEZ</v>
      </c>
      <c r="AE992" s="1" t="str">
        <f>IFERROR(__xludf.DUMMYFUNCTION("""COMPUTED_VALUE"""),"PUROK 3B")</f>
        <v>PUROK 3B</v>
      </c>
      <c r="AF992" s="1" t="str">
        <f>IFERROR(__xludf.DUMMYFUNCTION("""COMPUTED_VALUE"""),"BGY PANGIL")</f>
        <v>BGY PANGIL</v>
      </c>
      <c r="AG992" s="1" t="str">
        <f>IFERROR(__xludf.DUMMYFUNCTION("""COMPUTED_VALUE"""),"AMADEO")</f>
        <v>AMADEO</v>
      </c>
      <c r="AH992" s="1" t="str">
        <f>IFERROR(__xludf.DUMMYFUNCTION("""COMPUTED_VALUE"""),"PONIENTE RESORT")</f>
        <v>PONIENTE RESORT</v>
      </c>
      <c r="AI992" s="1" t="str">
        <f>IFERROR(__xludf.DUMMYFUNCTION("""COMPUTED_VALUE"""),"CLUSTER 12")</f>
        <v>CLUSTER 12</v>
      </c>
    </row>
    <row r="993" customHeight="1" spans="1:35">
      <c r="A993" s="3">
        <f>IFERROR(__xludf.DUMMYFUNCTION("""COMPUTED_VALUE"""),46306)</f>
        <v>46306</v>
      </c>
      <c r="B993" s="1" t="str">
        <f>IFERROR(__xludf.DUMMYFUNCTION("""COMPUTED_VALUE"""),"ROMEO CAGUITLA ARTISTA")</f>
        <v>ROMEO CAGUITLA ARTISTA</v>
      </c>
      <c r="C993" s="1">
        <f>IFERROR(__xludf.DUMMYFUNCTION("""COMPUTED_VALUE"""),2313100120)</f>
        <v>2313100120</v>
      </c>
      <c r="D993" s="1">
        <f>IFERROR(__xludf.DUMMYFUNCTION("""COMPUTED_VALUE"""),408880556)</f>
        <v>408880556</v>
      </c>
      <c r="E993" s="1">
        <f>IFERROR(__xludf.DUMMYFUNCTION("""COMPUTED_VALUE"""),475121144004)</f>
        <v>475121144004</v>
      </c>
      <c r="F993" s="1" t="str">
        <f>IFERROR(__xludf.DUMMYFUNCTION("""COMPUTED_VALUE"""),"CANCELED")</f>
        <v>CANCELED</v>
      </c>
      <c r="G993" s="1" t="str">
        <f>IFERROR(__xludf.DUMMYFUNCTION("""COMPUTED_VALUE"""),"NO FIBER FACILITIES SA AREA SUBS ALREADY ADVISE")</f>
        <v>NO FIBER FACILITIES SA AREA SUBS ALREADY ADVISE</v>
      </c>
      <c r="H993" s="1"/>
      <c r="I993" s="1"/>
      <c r="J993" s="1"/>
      <c r="K993" s="1" t="str">
        <f>IFERROR(__xludf.DUMMYFUNCTION("""COMPUTED_VALUE"""),"CANCELED")</f>
        <v>CANCELED</v>
      </c>
      <c r="L993" s="1" t="str">
        <f>IFERROR(__xludf.DUMMYFUNCTION("""COMPUTED_VALUE"""),"CANCELLED - NO FTTH")</f>
        <v>CANCELLED - NO FTTH</v>
      </c>
      <c r="M993" s="1" t="str">
        <f>IFERROR(__xludf.DUMMYFUNCTION("""COMPUTED_VALUE"""),"CANCELLED - NAP FULL")</f>
        <v>CANCELLED - NAP FULL</v>
      </c>
      <c r="N993" s="3"/>
      <c r="O993" s="1" t="str">
        <f>IFERROR(__xludf.DUMMYFUNCTION("""COMPUTED_VALUE"""),"FIBER UNLI PLAN 1399")</f>
        <v>FIBER UNLI PLAN 1399</v>
      </c>
      <c r="P993" s="1" t="str">
        <f>IFERROR(__xludf.DUMMYFUNCTION("""COMPUTED_VALUE"""),"LOWPLAN")</f>
        <v>LOWPLAN</v>
      </c>
      <c r="Q993" s="1" t="str">
        <f>IFERROR(__xludf.DUMMYFUNCTION("""COMPUTED_VALUE"""),"P407049")</f>
        <v>P407049</v>
      </c>
      <c r="R993" s="1" t="str">
        <f>IFERROR(__xludf.DUMMYFUNCTION("""COMPUTED_VALUE"""),"CADERAO, RONALD")</f>
        <v>CADERAO, RONALD</v>
      </c>
      <c r="S993" s="1" t="str">
        <f>IFERROR(__xludf.DUMMYFUNCTION("""COMPUTED_VALUE"""),"ORGANIC")</f>
        <v>ORGANIC</v>
      </c>
      <c r="T993" s="1" t="str">
        <f>IFERROR(__xludf.DUMMYFUNCTION("""COMPUTED_VALUE"""),"LEA REMOLLO")</f>
        <v>LEA REMOLLO</v>
      </c>
      <c r="U993" s="1" t="str">
        <f>IFERROR(__xludf.DUMMYFUNCTION("""COMPUTED_VALUE"""),"JB SALIOA")</f>
        <v>JB SALIOA</v>
      </c>
      <c r="V993" s="1" t="str">
        <f>IFERROR(__xludf.DUMMYFUNCTION("""COMPUTED_VALUE"""),"BK HSTK")</f>
        <v>BK HSTK</v>
      </c>
      <c r="W993" s="1" t="str">
        <f>IFERROR(__xludf.DUMMYFUNCTION("""COMPUTED_VALUE"""),"BK HSTK")</f>
        <v>BK HSTK</v>
      </c>
      <c r="X993" s="1" t="str">
        <f>IFERROR(__xludf.DUMMYFUNCTION("""COMPUTED_VALUE"""),"FIBER 1399 98TH YR")</f>
        <v>FIBER 1399 98TH YR</v>
      </c>
      <c r="Y993" s="1" t="str">
        <f>IFERROR(__xludf.DUMMYFUNCTION("""COMPUTED_VALUE"""),"BK_CVEU_261002")</f>
        <v>BK_CVEU_261002</v>
      </c>
      <c r="Z993" s="1" t="str">
        <f>IFERROR(__xludf.DUMMYFUNCTION("""COMPUTED_VALUE"""),"NEW CONNECT")</f>
        <v>NEW CONNECT</v>
      </c>
      <c r="AA993" s="1">
        <f>IFERROR(__xludf.DUMMYFUNCTION("""COMPUTED_VALUE"""),639759447540)</f>
        <v>639759447540</v>
      </c>
      <c r="AB993" s="1"/>
      <c r="AC993" s="1">
        <f>IFERROR(__xludf.DUMMYFUNCTION("""COMPUTED_VALUE"""),47)</f>
        <v>47</v>
      </c>
      <c r="AD993" s="1" t="str">
        <f>IFERROR(__xludf.DUMMYFUNCTION("""COMPUTED_VALUE"""),"FERNANDEZ")</f>
        <v>FERNANDEZ</v>
      </c>
      <c r="AE993" s="1" t="str">
        <f>IFERROR(__xludf.DUMMYFUNCTION("""COMPUTED_VALUE"""),"PUROK 3B")</f>
        <v>PUROK 3B</v>
      </c>
      <c r="AF993" s="1" t="str">
        <f>IFERROR(__xludf.DUMMYFUNCTION("""COMPUTED_VALUE"""),"BGY PANGIL")</f>
        <v>BGY PANGIL</v>
      </c>
      <c r="AG993" s="1" t="str">
        <f>IFERROR(__xludf.DUMMYFUNCTION("""COMPUTED_VALUE"""),"AMADEO")</f>
        <v>AMADEO</v>
      </c>
      <c r="AH993" s="1" t="str">
        <f>IFERROR(__xludf.DUMMYFUNCTION("""COMPUTED_VALUE"""),"PONIENTE RESORT")</f>
        <v>PONIENTE RESORT</v>
      </c>
      <c r="AI993" s="1" t="str">
        <f>IFERROR(__xludf.DUMMYFUNCTION("""COMPUTED_VALUE"""),"CLUSTER 12")</f>
        <v>CLUSTER 12</v>
      </c>
    </row>
    <row r="994" customHeight="1" spans="1:35">
      <c r="A994" s="3">
        <f>IFERROR(__xludf.DUMMYFUNCTION("""COMPUTED_VALUE"""),46306)</f>
        <v>46306</v>
      </c>
      <c r="B994" s="1" t="str">
        <f>IFERROR(__xludf.DUMMYFUNCTION("""COMPUTED_VALUE"""),"RHON JETT DAGANDAN DE LUNA")</f>
        <v>RHON JETT DAGANDAN DE LUNA</v>
      </c>
      <c r="C994" s="1">
        <f>IFERROR(__xludf.DUMMYFUNCTION("""COMPUTED_VALUE"""),2313100374)</f>
        <v>2313100374</v>
      </c>
      <c r="D994" s="1">
        <f>IFERROR(__xludf.DUMMYFUNCTION("""COMPUTED_VALUE"""),408898943)</f>
        <v>408898943</v>
      </c>
      <c r="E994" s="1">
        <f>IFERROR(__xludf.DUMMYFUNCTION("""COMPUTED_VALUE"""),475281728004)</f>
        <v>475281728004</v>
      </c>
      <c r="F994" s="1" t="str">
        <f>IFERROR(__xludf.DUMMYFUNCTION("""COMPUTED_VALUE"""),"CANCELED")</f>
        <v>CANCELED</v>
      </c>
      <c r="G994" s="1" t="str">
        <f>IFERROR(__xludf.DUMMYFUNCTION("""COMPUTED_VALUE"""),"installation completed")</f>
        <v>installation completed</v>
      </c>
      <c r="H994" s="1" t="str">
        <f>IFERROR(__xludf.DUMMYFUNCTION("""COMPUTED_VALUE"""),"PQGOR367077639	13-Oct-26	Regular Payment	PLDT Pay Express-Web-App credit	1,399.00	0	13-Oct-26")</f>
        <v>PQGOR367077639	13-Oct-26	Regular Payment	PLDT Pay Express-Web-App credit	1,399.00	0	13-Oct-26</v>
      </c>
      <c r="I994" s="1" t="str">
        <f>IFERROR(__xludf.DUMMYFUNCTION("""COMPUTED_VALUE"""),"WITH 1 AMSF")</f>
        <v>WITH 1 AMSF</v>
      </c>
      <c r="J994" s="1"/>
      <c r="K994" s="1" t="str">
        <f>IFERROR(__xludf.DUMMYFUNCTION("""COMPUTED_VALUE"""),"CANCELED")</f>
        <v>CANCELED</v>
      </c>
      <c r="L994" s="1" t="str">
        <f>IFERROR(__xludf.DUMMYFUNCTION("""COMPUTED_VALUE"""),"RPR - NO FTTH")</f>
        <v>RPR - NO FTTH</v>
      </c>
      <c r="M994" s="1" t="str">
        <f>IFERROR(__xludf.DUMMYFUNCTION("""COMPUTED_VALUE"""),"RPR- NAP FULL")</f>
        <v>RPR- NAP FULL</v>
      </c>
      <c r="N994" s="3"/>
      <c r="O994" s="1" t="str">
        <f>IFERROR(__xludf.DUMMYFUNCTION("""COMPUTED_VALUE"""),"FIBER UNLI PLAN 1399")</f>
        <v>FIBER UNLI PLAN 1399</v>
      </c>
      <c r="P994" s="1" t="str">
        <f>IFERROR(__xludf.DUMMYFUNCTION("""COMPUTED_VALUE"""),"LOWPLAN")</f>
        <v>LOWPLAN</v>
      </c>
      <c r="Q994" s="1" t="str">
        <f>IFERROR(__xludf.DUMMYFUNCTION("""COMPUTED_VALUE"""),"P407563")</f>
        <v>P407563</v>
      </c>
      <c r="R994" s="1" t="str">
        <f>IFERROR(__xludf.DUMMYFUNCTION("""COMPUTED_VALUE"""),"BAQUIT, JAZMIN")</f>
        <v>BAQUIT, JAZMIN</v>
      </c>
      <c r="S994" s="1" t="str">
        <f>IFERROR(__xludf.DUMMYFUNCTION("""COMPUTED_VALUE"""),"ORGANIC")</f>
        <v>ORGANIC</v>
      </c>
      <c r="T994" s="1" t="str">
        <f>IFERROR(__xludf.DUMMYFUNCTION("""COMPUTED_VALUE"""),"LEA REMOLLO")</f>
        <v>LEA REMOLLO</v>
      </c>
      <c r="U994" s="1" t="str">
        <f>IFERROR(__xludf.DUMMYFUNCTION("""COMPUTED_VALUE"""),"JB SALIOA")</f>
        <v>JB SALIOA</v>
      </c>
      <c r="V994" s="1" t="str">
        <f>IFERROR(__xludf.DUMMYFUNCTION("""COMPUTED_VALUE"""),"ONLINE/CRANFORD")</f>
        <v>ONLINE/CRANFORD</v>
      </c>
      <c r="W994" s="1" t="str">
        <f>IFERROR(__xludf.DUMMYFUNCTION("""COMPUTED_VALUE"""),"STK REGULAR")</f>
        <v>STK REGULAR</v>
      </c>
      <c r="X994" s="1" t="str">
        <f>IFERROR(__xludf.DUMMYFUNCTION("""COMPUTED_VALUE"""),"FIBER 1399 98TH YR")</f>
        <v>FIBER 1399 98TH YR</v>
      </c>
      <c r="Y994" s="1" t="str">
        <f>IFERROR(__xludf.DUMMYFUNCTION("""COMPUTED_VALUE"""),"RS_SS_CVEU_2026")</f>
        <v>RS_SS_CVEU_2026</v>
      </c>
      <c r="Z994" s="1" t="str">
        <f>IFERROR(__xludf.DUMMYFUNCTION("""COMPUTED_VALUE"""),"NEW CONNECT")</f>
        <v>NEW CONNECT</v>
      </c>
      <c r="AA994" s="1">
        <f>IFERROR(__xludf.DUMMYFUNCTION("""COMPUTED_VALUE"""),639957380868)</f>
        <v>639957380868</v>
      </c>
      <c r="AB994" s="1">
        <f>IFERROR(__xludf.DUMMYFUNCTION("""COMPUTED_VALUE"""),639977357565)</f>
        <v>639977357565</v>
      </c>
      <c r="AC994" s="1"/>
      <c r="AD994" s="1" t="str">
        <f>IFERROR(__xludf.DUMMYFUNCTION("""COMPUTED_VALUE"""),"PHASE 2")</f>
        <v>PHASE 2</v>
      </c>
      <c r="AE994" s="1" t="str">
        <f>IFERROR(__xludf.DUMMYFUNCTION("""COMPUTED_VALUE"""),"AMAYA RESIDENCE")</f>
        <v>AMAYA RESIDENCE</v>
      </c>
      <c r="AF994" s="1" t="str">
        <f>IFERROR(__xludf.DUMMYFUNCTION("""COMPUTED_VALUE"""),"BGY AMAYA 7")</f>
        <v>BGY AMAYA 7</v>
      </c>
      <c r="AG994" s="1" t="str">
        <f>IFERROR(__xludf.DUMMYFUNCTION("""COMPUTED_VALUE"""),"TANZA")</f>
        <v>TANZA</v>
      </c>
      <c r="AH994" s="1" t="str">
        <f>IFERROR(__xludf.DUMMYFUNCTION("""COMPUTED_VALUE"""),"AMAYA ELEMENTARY SCHOOL")</f>
        <v>AMAYA ELEMENTARY SCHOOL</v>
      </c>
      <c r="AI994" s="1" t="str">
        <f>IFERROR(__xludf.DUMMYFUNCTION("""COMPUTED_VALUE"""),"NOT AOR")</f>
        <v>NOT AOR</v>
      </c>
    </row>
    <row r="995" customHeight="1" spans="1:35">
      <c r="A995" s="3">
        <f>IFERROR(__xludf.DUMMYFUNCTION("""COMPUTED_VALUE"""),46306)</f>
        <v>46306</v>
      </c>
      <c r="B995" s="1" t="str">
        <f>IFERROR(__xludf.DUMMYFUNCTION("""COMPUTED_VALUE"""),"ROLLIE PALMERIA ALBINO")</f>
        <v>ROLLIE PALMERIA ALBINO</v>
      </c>
      <c r="C995" s="1">
        <f>IFERROR(__xludf.DUMMYFUNCTION("""COMPUTED_VALUE"""),2313100875)</f>
        <v>2313100875</v>
      </c>
      <c r="D995" s="1"/>
      <c r="E995" s="1"/>
      <c r="F995" s="1" t="str">
        <f>IFERROR(__xludf.DUMMYFUNCTION("""COMPUTED_VALUE"""),"CANCELLED")</f>
        <v>CANCELLED</v>
      </c>
      <c r="G995" s="1" t="str">
        <f>IFERROR(__xludf.DUMMYFUNCTION("""COMPUTED_VALUE"""),"(WITH BLACKLISTED ACCOUNT FOR SETTLEMENT) RETURN TO SALES | DONE VALIDATION | CORRECT ENCODED INFO IN CSP | TU SCORING -DD - 13 (LOW RISK) | WAIVED AMSF | BLACKLISTED - NAME - ACCT#: 0377531418 | SAME NAME/DIFFERENT ADDRESS | OUTSTANDING: Php2,946.50 | FO"&amp;"R SETTLEMENT |WITH CANCELLED APPLICATION -SAME NAME/DIFFERENT ADDRESS | ACCT#: 0377531280 | CALL THRU: 639165582326 -12:39 PM | TALKED TO: SUBS CONFIRMED APPLYING NEW APPLICATION ")</f>
        <v>(WITH BLACKLISTED ACCOUNT FOR SETTLEMENT) RETURN TO SALES | DONE VALIDATION | CORRECT ENCODED INFO IN CSP | TU SCORING -DD - 13 (LOW RISK) | WAIVED AMSF | BLACKLISTED - NAME - ACCT#: 0377531418 | SAME NAME/DIFFERENT ADDRESS | OUTSTANDING: Php2,946.50 | FOR SETTLEMENT |WITH CANCELLED APPLICATION -SAME NAME/DIFFERENT ADDRESS | ACCT#: 0377531280 | CALL THRU: 639165582326 -12:39 PM | TALKED TO: SUBS CONFIRMED APPLYING NEW APPLICATION </v>
      </c>
      <c r="H995" s="1"/>
      <c r="I995" s="1"/>
      <c r="J995" s="1"/>
      <c r="K995" s="1"/>
      <c r="L995" s="1" t="str">
        <f>IFERROR(__xludf.DUMMYFUNCTION("""COMPUTED_VALUE"""),"CANCELLED")</f>
        <v>CANCELLED</v>
      </c>
      <c r="M995" s="1" t="str">
        <f>IFERROR(__xludf.DUMMYFUNCTION("""COMPUTED_VALUE"""),"CANCELLED - WITH OB")</f>
        <v>CANCELLED - WITH OB</v>
      </c>
      <c r="N995" s="3"/>
      <c r="O995" s="1" t="str">
        <f>IFERROR(__xludf.DUMMYFUNCTION("""COMPUTED_VALUE"""),"FIBR NETFLIX PLAN 1599")</f>
        <v>FIBR NETFLIX PLAN 1599</v>
      </c>
      <c r="P995" s="1" t="str">
        <f>IFERROR(__xludf.DUMMYFUNCTION("""COMPUTED_VALUE"""),"LOWPLAN")</f>
        <v>LOWPLAN</v>
      </c>
      <c r="Q995" s="1" t="str">
        <f>IFERROR(__xludf.DUMMYFUNCTION("""COMPUTED_VALUE"""),"P407045")</f>
        <v>P407045</v>
      </c>
      <c r="R995" s="1" t="str">
        <f>IFERROR(__xludf.DUMMYFUNCTION("""COMPUTED_VALUE"""),"REMOLLO, LEA")</f>
        <v>REMOLLO, LEA</v>
      </c>
      <c r="S995" s="1" t="str">
        <f>IFERROR(__xludf.DUMMYFUNCTION("""COMPUTED_VALUE"""),"FLA")</f>
        <v>FLA</v>
      </c>
      <c r="T995" s="1" t="str">
        <f>IFERROR(__xludf.DUMMYFUNCTION("""COMPUTED_VALUE"""),"JERIC NAVARRO")</f>
        <v>JERIC NAVARRO</v>
      </c>
      <c r="U995" s="1" t="str">
        <f>IFERROR(__xludf.DUMMYFUNCTION("""COMPUTED_VALUE"""),"JB SALIOA")</f>
        <v>JB SALIOA</v>
      </c>
      <c r="V995" s="1" t="str">
        <f>IFERROR(__xludf.DUMMYFUNCTION("""COMPUTED_VALUE"""),"BK REGULAR")</f>
        <v>BK REGULAR</v>
      </c>
      <c r="W995" s="1" t="str">
        <f>IFERROR(__xludf.DUMMYFUNCTION("""COMPUTED_VALUE"""),"STK REGULAR")</f>
        <v>STK REGULAR</v>
      </c>
      <c r="X995" s="1" t="str">
        <f>IFERROR(__xludf.DUMMYFUNCTION("""COMPUTED_VALUE"""),"REGULAR")</f>
        <v>REGULAR</v>
      </c>
      <c r="Y995" s="1" t="str">
        <f>IFERROR(__xludf.DUMMYFUNCTION("""COMPUTED_VALUE"""),"BK_CVEU_261004")</f>
        <v>BK_CVEU_261004</v>
      </c>
      <c r="Z995" s="1" t="str">
        <f>IFERROR(__xludf.DUMMYFUNCTION("""COMPUTED_VALUE"""),"NEW CONNECT")</f>
        <v>NEW CONNECT</v>
      </c>
      <c r="AA995" s="1">
        <f>IFERROR(__xludf.DUMMYFUNCTION("""COMPUTED_VALUE"""),639165582326)</f>
        <v>639165582326</v>
      </c>
      <c r="AB995" s="1"/>
      <c r="AC995" s="1"/>
      <c r="AD995" s="1" t="str">
        <f>IFERROR(__xludf.DUMMYFUNCTION("""COMPUTED_VALUE"""),"KARUNUNGAN TEACHERS VILL")</f>
        <v>KARUNUNGAN TEACHERS VILL</v>
      </c>
      <c r="AE995" s="1" t="str">
        <f>IFERROR(__xludf.DUMMYFUNCTION("""COMPUTED_VALUE"""),"KARUNUNGAN TEACHERS VILL")</f>
        <v>KARUNUNGAN TEACHERS VILL</v>
      </c>
      <c r="AF995" s="1" t="str">
        <f>IFERROR(__xludf.DUMMYFUNCTION("""COMPUTED_VALUE"""),"BGY SAN GABRIEL")</f>
        <v>BGY SAN GABRIEL</v>
      </c>
      <c r="AG995" s="1" t="str">
        <f>IFERROR(__xludf.DUMMYFUNCTION("""COMPUTED_VALUE"""),"GEN MARIANO ALVAREZ")</f>
        <v>GEN MARIANO ALVAREZ</v>
      </c>
      <c r="AH995" s="1" t="str">
        <f>IFERROR(__xludf.DUMMYFUNCTION("""COMPUTED_VALUE"""),"KARUNUNGAN TEACHERS VILL")</f>
        <v>KARUNUNGAN TEACHERS VILL</v>
      </c>
      <c r="AI995" s="1" t="str">
        <f>IFERROR(__xludf.DUMMYFUNCTION("""COMPUTED_VALUE"""),"CLUSTER 11")</f>
        <v>CLUSTER 11</v>
      </c>
    </row>
    <row r="996" customHeight="1" spans="1:35">
      <c r="A996" s="3">
        <f>IFERROR(__xludf.DUMMYFUNCTION("""COMPUTED_VALUE"""),46306)</f>
        <v>46306</v>
      </c>
      <c r="B996" s="1" t="str">
        <f>IFERROR(__xludf.DUMMYFUNCTION("""COMPUTED_VALUE"""),"RODOLFO JR GARCIA NAVARRO")</f>
        <v>RODOLFO JR GARCIA NAVARRO</v>
      </c>
      <c r="C996" s="1">
        <f>IFERROR(__xludf.DUMMYFUNCTION("""COMPUTED_VALUE"""),2313101225)</f>
        <v>2313101225</v>
      </c>
      <c r="D996" s="1">
        <f>IFERROR(__xludf.DUMMYFUNCTION("""COMPUTED_VALUE"""),408884330)</f>
        <v>408884330</v>
      </c>
      <c r="E996" s="1">
        <f>IFERROR(__xludf.DUMMYFUNCTION("""COMPUTED_VALUE"""),475124436004)</f>
        <v>475124436004</v>
      </c>
      <c r="F996" s="1" t="str">
        <f>IFERROR(__xludf.DUMMYFUNCTION("""COMPUTED_VALUE"""),"CANCELED")</f>
        <v>CANCELED</v>
      </c>
      <c r="G996" s="1" t="str">
        <f>IFERROR(__xludf.DUMMYFUNCTION("""COMPUTED_VALUE"""),"VISITED REMARKS   NAP FULL SILLP272NP4 FULL SILLP272NP5 FULL SILLP43NP4P4 ACTIVE TALK RODOLFO JR GARCIA NAVARRO 09192890511")</f>
        <v>VISITED REMARKS   NAP FULL SILLP272NP4 FULL SILLP272NP5 FULL SILLP43NP4P4 ACTIVE TALK RODOLFO JR GARCIA NAVARRO 09192890511</v>
      </c>
      <c r="H996" s="1"/>
      <c r="I996" s="1"/>
      <c r="J996" s="1"/>
      <c r="K996" s="1" t="str">
        <f>IFERROR(__xludf.DUMMYFUNCTION("""COMPUTED_VALUE"""),"CANCELED")</f>
        <v>CANCELED</v>
      </c>
      <c r="L996" s="1" t="str">
        <f>IFERROR(__xludf.DUMMYFUNCTION("""COMPUTED_VALUE"""),"RPR - NAP FULL")</f>
        <v>RPR - NAP FULL</v>
      </c>
      <c r="M996" s="1" t="str">
        <f>IFERROR(__xludf.DUMMYFUNCTION("""COMPUTED_VALUE"""),"RPR- NAP FULL")</f>
        <v>RPR- NAP FULL</v>
      </c>
      <c r="N996" s="3"/>
      <c r="O996" s="1" t="str">
        <f>IFERROR(__xludf.DUMMYFUNCTION("""COMPUTED_VALUE"""),"FIBER UNLI PLAN 1399")</f>
        <v>FIBER UNLI PLAN 1399</v>
      </c>
      <c r="P996" s="1" t="str">
        <f>IFERROR(__xludf.DUMMYFUNCTION("""COMPUTED_VALUE"""),"LOWPLAN")</f>
        <v>LOWPLAN</v>
      </c>
      <c r="Q996" s="1" t="str">
        <f>IFERROR(__xludf.DUMMYFUNCTION("""COMPUTED_VALUE"""),"P407049")</f>
        <v>P407049</v>
      </c>
      <c r="R996" s="1" t="str">
        <f>IFERROR(__xludf.DUMMYFUNCTION("""COMPUTED_VALUE"""),"LOTOJA, LOVELY JOICE")</f>
        <v>LOTOJA, LOVELY JOICE</v>
      </c>
      <c r="S996" s="1" t="str">
        <f>IFERROR(__xludf.DUMMYFUNCTION("""COMPUTED_VALUE"""),"ORGANIC")</f>
        <v>ORGANIC</v>
      </c>
      <c r="T996" s="1" t="str">
        <f>IFERROR(__xludf.DUMMYFUNCTION("""COMPUTED_VALUE"""),"LEA REMOLLO")</f>
        <v>LEA REMOLLO</v>
      </c>
      <c r="U996" s="1" t="str">
        <f>IFERROR(__xludf.DUMMYFUNCTION("""COMPUTED_VALUE"""),"JB SALIOA")</f>
        <v>JB SALIOA</v>
      </c>
      <c r="V996" s="1" t="str">
        <f>IFERROR(__xludf.DUMMYFUNCTION("""COMPUTED_VALUE"""),"BK HSTK")</f>
        <v>BK HSTK</v>
      </c>
      <c r="W996" s="1" t="str">
        <f>IFERROR(__xludf.DUMMYFUNCTION("""COMPUTED_VALUE"""),"BK HSTK")</f>
        <v>BK HSTK</v>
      </c>
      <c r="X996" s="1" t="str">
        <f>IFERROR(__xludf.DUMMYFUNCTION("""COMPUTED_VALUE"""),"FIBER 1399 98TH YR")</f>
        <v>FIBER 1399 98TH YR</v>
      </c>
      <c r="Y996" s="1" t="str">
        <f>IFERROR(__xludf.DUMMYFUNCTION("""COMPUTED_VALUE"""),"BK_CVEU_261006")</f>
        <v>BK_CVEU_261006</v>
      </c>
      <c r="Z996" s="1" t="str">
        <f>IFERROR(__xludf.DUMMYFUNCTION("""COMPUTED_VALUE"""),"NEW CONNECT")</f>
        <v>NEW CONNECT</v>
      </c>
      <c r="AA996" s="1">
        <f>IFERROR(__xludf.DUMMYFUNCTION("""COMPUTED_VALUE"""),639192890511)</f>
        <v>639192890511</v>
      </c>
      <c r="AB996" s="1"/>
      <c r="AC996" s="1">
        <f>IFERROR(__xludf.DUMMYFUNCTION("""COMPUTED_VALUE"""),16)</f>
        <v>16</v>
      </c>
      <c r="AD996" s="1" t="str">
        <f>IFERROR(__xludf.DUMMYFUNCTION("""COMPUTED_VALUE"""),"PUROK 1")</f>
        <v>PUROK 1</v>
      </c>
      <c r="AE996" s="1" t="str">
        <f>IFERROR(__xludf.DUMMYFUNCTION("""COMPUTED_VALUE"""),"PUROK 1")</f>
        <v>PUROK 1</v>
      </c>
      <c r="AF996" s="1" t="str">
        <f>IFERROR(__xludf.DUMMYFUNCTION("""COMPUTED_VALUE"""),"BGY BILUSO")</f>
        <v>BGY BILUSO</v>
      </c>
      <c r="AG996" s="1" t="str">
        <f>IFERROR(__xludf.DUMMYFUNCTION("""COMPUTED_VALUE"""),"SILANG")</f>
        <v>SILANG</v>
      </c>
      <c r="AH996" s="1" t="str">
        <f>IFERROR(__xludf.DUMMYFUNCTION("""COMPUTED_VALUE"""),"-")</f>
        <v>-</v>
      </c>
      <c r="AI996" s="1" t="str">
        <f>IFERROR(__xludf.DUMMYFUNCTION("""COMPUTED_VALUE"""),"CLUSTER 11")</f>
        <v>CLUSTER 11</v>
      </c>
    </row>
    <row r="997" customHeight="1" spans="1:35">
      <c r="A997" s="3">
        <f>IFERROR(__xludf.DUMMYFUNCTION("""COMPUTED_VALUE"""),46306)</f>
        <v>46306</v>
      </c>
      <c r="B997" s="1" t="str">
        <f>IFERROR(__xludf.DUMMYFUNCTION("""COMPUTED_VALUE"""),"CEVIN MANALO CULLO")</f>
        <v>CEVIN MANALO CULLO</v>
      </c>
      <c r="C997" s="1">
        <f>IFERROR(__xludf.DUMMYFUNCTION("""COMPUTED_VALUE"""),2313152580)</f>
        <v>2313152580</v>
      </c>
      <c r="D997" s="1">
        <f>IFERROR(__xludf.DUMMYFUNCTION("""COMPUTED_VALUE"""),408883911)</f>
        <v>408883911</v>
      </c>
      <c r="E997" s="1">
        <f>IFERROR(__xludf.DUMMYFUNCTION("""COMPUTED_VALUE"""),475123664004)</f>
        <v>475123664004</v>
      </c>
      <c r="F997" s="1" t="str">
        <f>IFERROR(__xludf.DUMMYFUNCTION("""COMPUTED_VALUE"""),"CLOSED")</f>
        <v>CLOSED</v>
      </c>
      <c r="G997" s="1" t="str">
        <f>IFERROR(__xludf.DUMMYFUNCTION("""COMPUTED_VALUE"""),"CLOSED")</f>
        <v>CLOSED</v>
      </c>
      <c r="H997" s="1"/>
      <c r="I997" s="1" t="str">
        <f>IFERROR(__xludf.DUMMYFUNCTION("""COMPUTED_VALUE"""),"NO 1 AMSF")</f>
        <v>NO 1 AMSF</v>
      </c>
      <c r="J997" s="1" t="str">
        <f>IFERROR(__xludf.DUMMYFUNCTION("""COMPUTED_VALUE"""),"DUE DATE - 11-Nov-26 -1,492.27")</f>
        <v>DUE DATE - 11-Nov-26 -1,492.27</v>
      </c>
      <c r="K997" s="1" t="str">
        <f>IFERROR(__xludf.DUMMYFUNCTION("""COMPUTED_VALUE"""),"COMPLETED")</f>
        <v>COMPLETED</v>
      </c>
      <c r="L997" s="1" t="str">
        <f>IFERROR(__xludf.DUMMYFUNCTION("""COMPUTED_VALUE"""),"POSTED")</f>
        <v>POSTED</v>
      </c>
      <c r="M997" s="1" t="str">
        <f>IFERROR(__xludf.DUMMYFUNCTION("""COMPUTED_VALUE"""),"POSTED")</f>
        <v>POSTED</v>
      </c>
      <c r="N997" s="3">
        <f>IFERROR(__xludf.DUMMYFUNCTION("""COMPUTED_VALUE"""),46315)</f>
        <v>46315</v>
      </c>
      <c r="O997" s="1" t="str">
        <f>IFERROR(__xludf.DUMMYFUNCTION("""COMPUTED_VALUE"""),"FIBER UNLI PLAN 1399")</f>
        <v>FIBER UNLI PLAN 1399</v>
      </c>
      <c r="P997" s="1" t="str">
        <f>IFERROR(__xludf.DUMMYFUNCTION("""COMPUTED_VALUE"""),"LOWPLAN")</f>
        <v>LOWPLAN</v>
      </c>
      <c r="Q997" s="1" t="str">
        <f>IFERROR(__xludf.DUMMYFUNCTION("""COMPUTED_VALUE"""),"P407561")</f>
        <v>P407561</v>
      </c>
      <c r="R997" s="1" t="str">
        <f>IFERROR(__xludf.DUMMYFUNCTION("""COMPUTED_VALUE"""),"TAMAYO, MARY ROSE ZAIRA")</f>
        <v>TAMAYO, MARY ROSE ZAIRA</v>
      </c>
      <c r="S997" s="1" t="str">
        <f>IFERROR(__xludf.DUMMYFUNCTION("""COMPUTED_VALUE"""),"ORGANIC")</f>
        <v>ORGANIC</v>
      </c>
      <c r="T997" s="1" t="str">
        <f>IFERROR(__xludf.DUMMYFUNCTION("""COMPUTED_VALUE"""),"LEA REMOLLO")</f>
        <v>LEA REMOLLO</v>
      </c>
      <c r="U997" s="1" t="str">
        <f>IFERROR(__xludf.DUMMYFUNCTION("""COMPUTED_VALUE"""),"JB SALIOA")</f>
        <v>JB SALIOA</v>
      </c>
      <c r="V997" s="1" t="str">
        <f>IFERROR(__xludf.DUMMYFUNCTION("""COMPUTED_VALUE"""),"BK HSTK")</f>
        <v>BK HSTK</v>
      </c>
      <c r="W997" s="1" t="str">
        <f>IFERROR(__xludf.DUMMYFUNCTION("""COMPUTED_VALUE"""),"BK HSTK")</f>
        <v>BK HSTK</v>
      </c>
      <c r="X997" s="1" t="str">
        <f>IFERROR(__xludf.DUMMYFUNCTION("""COMPUTED_VALUE"""),"FIBER 1399 98TH YR")</f>
        <v>FIBER 1399 98TH YR</v>
      </c>
      <c r="Y997" s="1" t="str">
        <f>IFERROR(__xludf.DUMMYFUNCTION("""COMPUTED_VALUE"""),"BK_CVEU_261003")</f>
        <v>BK_CVEU_261003</v>
      </c>
      <c r="Z997" s="1" t="str">
        <f>IFERROR(__xludf.DUMMYFUNCTION("""COMPUTED_VALUE"""),"NEW CONNECT")</f>
        <v>NEW CONNECT</v>
      </c>
      <c r="AA997" s="1">
        <f>IFERROR(__xludf.DUMMYFUNCTION("""COMPUTED_VALUE"""),639092997293)</f>
        <v>639092997293</v>
      </c>
      <c r="AB997" s="1">
        <f>IFERROR(__xludf.DUMMYFUNCTION("""COMPUTED_VALUE"""),639368662859)</f>
        <v>639368662859</v>
      </c>
      <c r="AC997" s="1">
        <f>IFERROR(__xludf.DUMMYFUNCTION("""COMPUTED_VALUE"""),9312)</f>
        <v>9312</v>
      </c>
      <c r="AD997" s="1" t="str">
        <f>IFERROR(__xludf.DUMMYFUNCTION("""COMPUTED_VALUE"""),"JM LOYALA")</f>
        <v>JM LOYALA</v>
      </c>
      <c r="AE997" s="1"/>
      <c r="AF997" s="1" t="str">
        <f>IFERROR(__xludf.DUMMYFUNCTION("""COMPUTED_VALUE"""),"BGY MADUYA")</f>
        <v>BGY MADUYA</v>
      </c>
      <c r="AG997" s="1" t="str">
        <f>IFERROR(__xludf.DUMMYFUNCTION("""COMPUTED_VALUE"""),"CARMONA")</f>
        <v>CARMONA</v>
      </c>
      <c r="AH997" s="1" t="str">
        <f>IFERROR(__xludf.DUMMYFUNCTION("""COMPUTED_VALUE"""),"ELMARS COMPOUND // DON BENITOS")</f>
        <v>ELMARS COMPOUND // DON BENITOS</v>
      </c>
      <c r="AI997" s="1" t="str">
        <f>IFERROR(__xludf.DUMMYFUNCTION("""COMPUTED_VALUE"""),"CLUSTER 11")</f>
        <v>CLUSTER 11</v>
      </c>
    </row>
    <row r="998" customHeight="1" spans="1:35">
      <c r="A998" s="3">
        <f>IFERROR(__xludf.DUMMYFUNCTION("""COMPUTED_VALUE"""),46306)</f>
        <v>46306</v>
      </c>
      <c r="B998" s="1" t="str">
        <f>IFERROR(__xludf.DUMMYFUNCTION("""COMPUTED_VALUE"""),"VERJELCARL TOMAQUE SALVOZA")</f>
        <v>VERJELCARL TOMAQUE SALVOZA</v>
      </c>
      <c r="C998" s="1">
        <f>IFERROR(__xludf.DUMMYFUNCTION("""COMPUTED_VALUE"""),2313101809)</f>
        <v>2313101809</v>
      </c>
      <c r="D998" s="1">
        <f>IFERROR(__xludf.DUMMYFUNCTION("""COMPUTED_VALUE"""),408920361)</f>
        <v>408920361</v>
      </c>
      <c r="E998" s="1">
        <f>IFERROR(__xludf.DUMMYFUNCTION("""COMPUTED_VALUE"""),475320292004)</f>
        <v>475320292004</v>
      </c>
      <c r="F998" s="1" t="str">
        <f>IFERROR(__xludf.DUMMYFUNCTION("""COMPUTED_VALUE"""),"FOR CANCELLATION")</f>
        <v>FOR CANCELLATION</v>
      </c>
      <c r="G998" s="1" t="str">
        <f>IFERROR(__xludf.DUMMYFUNCTION("""COMPUTED_VALUE"""),"FOR CANCELLATION")</f>
        <v>FOR CANCELLATION</v>
      </c>
      <c r="H998" s="1" t="str">
        <f>IFERROR(__xludf.DUMMYFUNCTION("""COMPUTED_VALUE"""),"FOR CANCELLATION- HINDI DAW PINALIWANAG NI AGENT NA MAY ADVANCE PAYMENT")</f>
        <v>FOR CANCELLATION- HINDI DAW PINALIWANAG NI AGENT NA MAY ADVANCE PAYMENT</v>
      </c>
      <c r="I998" s="1"/>
      <c r="J998" s="1"/>
      <c r="K998" s="1" t="str">
        <f>IFERROR(__xludf.DUMMYFUNCTION("""COMPUTED_VALUE"""),"NOT IN OFSC")</f>
        <v>NOT IN OFSC</v>
      </c>
      <c r="L998" s="1" t="str">
        <f>IFERROR(__xludf.DUMMYFUNCTION("""COMPUTED_VALUE"""),"FOR PAYMENT")</f>
        <v>FOR PAYMENT</v>
      </c>
      <c r="M998" s="1" t="str">
        <f>IFERROR(__xludf.DUMMYFUNCTION("""COMPUTED_VALUE"""),"FOR CANCELLATION - NON COMPLIANCE - NO PAYMENT")</f>
        <v>FOR CANCELLATION - NON COMPLIANCE - NO PAYMENT</v>
      </c>
      <c r="N998" s="3"/>
      <c r="O998" s="1" t="str">
        <f>IFERROR(__xludf.DUMMYFUNCTION("""COMPUTED_VALUE"""),"FIBR PLAN 1299")</f>
        <v>FIBR PLAN 1299</v>
      </c>
      <c r="P998" s="1" t="str">
        <f>IFERROR(__xludf.DUMMYFUNCTION("""COMPUTED_VALUE"""),"LOWPLAN")</f>
        <v>LOWPLAN</v>
      </c>
      <c r="Q998" s="1" t="str">
        <f>IFERROR(__xludf.DUMMYFUNCTION("""COMPUTED_VALUE"""),"P407559")</f>
        <v>P407559</v>
      </c>
      <c r="R998" s="1" t="str">
        <f>IFERROR(__xludf.DUMMYFUNCTION("""COMPUTED_VALUE"""),"MAGDARAOG, KENNETH")</f>
        <v>MAGDARAOG, KENNETH</v>
      </c>
      <c r="S998" s="1" t="str">
        <f>IFERROR(__xludf.DUMMYFUNCTION("""COMPUTED_VALUE"""),"ORGANIC")</f>
        <v>ORGANIC</v>
      </c>
      <c r="T998" s="1" t="str">
        <f>IFERROR(__xludf.DUMMYFUNCTION("""COMPUTED_VALUE"""),"LEA REMOLLO")</f>
        <v>LEA REMOLLO</v>
      </c>
      <c r="U998" s="1" t="str">
        <f>IFERROR(__xludf.DUMMYFUNCTION("""COMPUTED_VALUE"""),"JB SALIOA")</f>
        <v>JB SALIOA</v>
      </c>
      <c r="V998" s="1" t="str">
        <f>IFERROR(__xludf.DUMMYFUNCTION("""COMPUTED_VALUE"""),"ONLINE/CRANFORD")</f>
        <v>ONLINE/CRANFORD</v>
      </c>
      <c r="W998" s="1" t="str">
        <f>IFERROR(__xludf.DUMMYFUNCTION("""COMPUTED_VALUE"""),"STK REGULAR")</f>
        <v>STK REGULAR</v>
      </c>
      <c r="X998" s="1" t="str">
        <f>IFERROR(__xludf.DUMMYFUNCTION("""COMPUTED_VALUE"""),"REGULAR")</f>
        <v>REGULAR</v>
      </c>
      <c r="Y998" s="1" t="str">
        <f>IFERROR(__xludf.DUMMYFUNCTION("""COMPUTED_VALUE"""),"RS_SS_CVEU_2026")</f>
        <v>RS_SS_CVEU_2026</v>
      </c>
      <c r="Z998" s="1" t="str">
        <f>IFERROR(__xludf.DUMMYFUNCTION("""COMPUTED_VALUE"""),"NEW CONNECT")</f>
        <v>NEW CONNECT</v>
      </c>
      <c r="AA998" s="1">
        <f>IFERROR(__xludf.DUMMYFUNCTION("""COMPUTED_VALUE"""),639451807865)</f>
        <v>639451807865</v>
      </c>
      <c r="AB998" s="1"/>
      <c r="AC998" s="1"/>
      <c r="AD998" s="1" t="str">
        <f>IFERROR(__xludf.DUMMYFUNCTION("""COMPUTED_VALUE"""),"PHASE 8")</f>
        <v>PHASE 8</v>
      </c>
      <c r="AE998" s="1" t="str">
        <f>IFERROR(__xludf.DUMMYFUNCTION("""COMPUTED_VALUE"""),"WOODCRESS LANCASTER")</f>
        <v>WOODCRESS LANCASTER</v>
      </c>
      <c r="AF998" s="1" t="str">
        <f>IFERROR(__xludf.DUMMYFUNCTION("""COMPUTED_VALUE"""),"BGY TAPIA")</f>
        <v>BGY TAPIA</v>
      </c>
      <c r="AG998" s="1" t="str">
        <f>IFERROR(__xludf.DUMMYFUNCTION("""COMPUTED_VALUE"""),"GENERAL TRIAS")</f>
        <v>GENERAL TRIAS</v>
      </c>
      <c r="AH998" s="1" t="str">
        <f>IFERROR(__xludf.DUMMYFUNCTION("""COMPUTED_VALUE"""),"TOMAQUE RESIDENCES")</f>
        <v>TOMAQUE RESIDENCES</v>
      </c>
      <c r="AI998" s="1" t="str">
        <f>IFERROR(__xludf.DUMMYFUNCTION("""COMPUTED_VALUE"""),"NOT AOR")</f>
        <v>NOT AOR</v>
      </c>
    </row>
    <row r="999" customHeight="1" spans="1:35">
      <c r="A999" s="3">
        <f>IFERROR(__xludf.DUMMYFUNCTION("""COMPUTED_VALUE"""),46306)</f>
        <v>46306</v>
      </c>
      <c r="B999" s="1" t="str">
        <f>IFERROR(__xludf.DUMMYFUNCTION("""COMPUTED_VALUE"""),"ALVIN MARANGUIS PRESTO")</f>
        <v>ALVIN MARANGUIS PRESTO</v>
      </c>
      <c r="C999" s="1">
        <f>IFERROR(__xludf.DUMMYFUNCTION("""COMPUTED_VALUE"""),2313101925)</f>
        <v>2313101925</v>
      </c>
      <c r="D999" s="1"/>
      <c r="E999" s="1"/>
      <c r="F999" s="1" t="str">
        <f>IFERROR(__xludf.DUMMYFUNCTION("""COMPUTED_VALUE"""),"CANCELLED")</f>
        <v>CANCELLED</v>
      </c>
      <c r="G999" s="1" t="str">
        <f>IFERROR(__xludf.DUMMYFUNCTION("""COMPUTED_VALUE"""),"CANCELLED")</f>
        <v>CANCELLED</v>
      </c>
      <c r="H999" s="1"/>
      <c r="I999" s="1"/>
      <c r="J999" s="1"/>
      <c r="K999" s="1"/>
      <c r="L999" s="1" t="str">
        <f>IFERROR(__xludf.DUMMYFUNCTION("""COMPUTED_VALUE"""),"CANCELLED")</f>
        <v>CANCELLED</v>
      </c>
      <c r="M999" s="1" t="str">
        <f>IFERROR(__xludf.DUMMYFUNCTION("""COMPUTED_VALUE"""),"CANCELLED - WITH OB")</f>
        <v>CANCELLED - WITH OB</v>
      </c>
      <c r="N999" s="3"/>
      <c r="O999" s="1" t="str">
        <f>IFERROR(__xludf.DUMMYFUNCTION("""COMPUTED_VALUE"""),"FIBR PLAN 1299")</f>
        <v>FIBR PLAN 1299</v>
      </c>
      <c r="P999" s="1" t="str">
        <f>IFERROR(__xludf.DUMMYFUNCTION("""COMPUTED_VALUE"""),"LOWPLAN")</f>
        <v>LOWPLAN</v>
      </c>
      <c r="Q999" s="1" t="str">
        <f>IFERROR(__xludf.DUMMYFUNCTION("""COMPUTED_VALUE"""),"P407566")</f>
        <v>P407566</v>
      </c>
      <c r="R999" s="1" t="str">
        <f>IFERROR(__xludf.DUMMYFUNCTION("""COMPUTED_VALUE"""),"DENACO, RODNEY")</f>
        <v>DENACO, RODNEY</v>
      </c>
      <c r="S999" s="1" t="str">
        <f>IFERROR(__xludf.DUMMYFUNCTION("""COMPUTED_VALUE"""),"ORGANIC")</f>
        <v>ORGANIC</v>
      </c>
      <c r="T999" s="1" t="str">
        <f>IFERROR(__xludf.DUMMYFUNCTION("""COMPUTED_VALUE"""),"LEA REMOLLO")</f>
        <v>LEA REMOLLO</v>
      </c>
      <c r="U999" s="1" t="str">
        <f>IFERROR(__xludf.DUMMYFUNCTION("""COMPUTED_VALUE"""),"JB SALIOA")</f>
        <v>JB SALIOA</v>
      </c>
      <c r="V999" s="1" t="str">
        <f>IFERROR(__xludf.DUMMYFUNCTION("""COMPUTED_VALUE"""),"BK REGULAR")</f>
        <v>BK REGULAR</v>
      </c>
      <c r="W999" s="1" t="str">
        <f>IFERROR(__xludf.DUMMYFUNCTION("""COMPUTED_VALUE"""),"STK REGULAR")</f>
        <v>STK REGULAR</v>
      </c>
      <c r="X999" s="1" t="str">
        <f>IFERROR(__xludf.DUMMYFUNCTION("""COMPUTED_VALUE"""),"REGULAR")</f>
        <v>REGULAR</v>
      </c>
      <c r="Y999" s="1" t="str">
        <f>IFERROR(__xludf.DUMMYFUNCTION("""COMPUTED_VALUE"""),"BK_CVEU_261007")</f>
        <v>BK_CVEU_261007</v>
      </c>
      <c r="Z999" s="1" t="str">
        <f>IFERROR(__xludf.DUMMYFUNCTION("""COMPUTED_VALUE"""),"NEW CONNECT")</f>
        <v>NEW CONNECT</v>
      </c>
      <c r="AA999" s="1">
        <f>IFERROR(__xludf.DUMMYFUNCTION("""COMPUTED_VALUE"""),639462387663)</f>
        <v>639462387663</v>
      </c>
      <c r="AB999" s="1">
        <f>IFERROR(__xludf.DUMMYFUNCTION("""COMPUTED_VALUE"""),639637173854)</f>
        <v>639637173854</v>
      </c>
      <c r="AC999" s="1"/>
      <c r="AD999" s="1" t="str">
        <f>IFERROR(__xludf.DUMMYFUNCTION("""COMPUTED_VALUE"""),"PUROK 49")</f>
        <v>PUROK 49</v>
      </c>
      <c r="AE999" s="1"/>
      <c r="AF999" s="1" t="str">
        <f>IFERROR(__xludf.DUMMYFUNCTION("""COMPUTED_VALUE"""),"BGY IRUHIN WEST")</f>
        <v>BGY IRUHIN WEST</v>
      </c>
      <c r="AG999" s="1" t="str">
        <f>IFERROR(__xludf.DUMMYFUNCTION("""COMPUTED_VALUE"""),"TAGAYTAY")</f>
        <v>TAGAYTAY</v>
      </c>
      <c r="AH999" s="1" t="str">
        <f>IFERROR(__xludf.DUMMYFUNCTION("""COMPUTED_VALUE"""),"MARYRIDGE")</f>
        <v>MARYRIDGE</v>
      </c>
      <c r="AI999" s="1" t="str">
        <f>IFERROR(__xludf.DUMMYFUNCTION("""COMPUTED_VALUE"""),"CLUSTER 12")</f>
        <v>CLUSTER 12</v>
      </c>
    </row>
    <row r="1000" customHeight="1" spans="1:35">
      <c r="A1000" s="3">
        <f>IFERROR(__xludf.DUMMYFUNCTION("""COMPUTED_VALUE"""),46306)</f>
        <v>46306</v>
      </c>
      <c r="B1000" s="1" t="str">
        <f>IFERROR(__xludf.DUMMYFUNCTION("""COMPUTED_VALUE"""),"ALFREDO LLABRES MALACAD")</f>
        <v>ALFREDO LLABRES MALACAD</v>
      </c>
      <c r="C1000" s="1">
        <f>IFERROR(__xludf.DUMMYFUNCTION("""COMPUTED_VALUE"""),2313102045)</f>
        <v>2313102045</v>
      </c>
      <c r="D1000" s="1"/>
      <c r="E1000" s="1"/>
      <c r="F1000" s="1" t="str">
        <f>IFERROR(__xludf.DUMMYFUNCTION("""COMPUTED_VALUE"""),"CANCELLED")</f>
        <v>CANCELLED</v>
      </c>
      <c r="G1000" s="1" t="str">
        <f>IFERROR(__xludf.DUMMYFUNCTION("""COMPUTED_VALUE"""),"CANCELLED")</f>
        <v>CANCELLED</v>
      </c>
      <c r="H1000" s="1"/>
      <c r="I1000" s="1"/>
      <c r="J1000" s="1"/>
      <c r="K1000" s="1"/>
      <c r="L1000" s="1" t="str">
        <f>IFERROR(__xludf.DUMMYFUNCTION("""COMPUTED_VALUE"""),"CANCELLED")</f>
        <v>CANCELLED</v>
      </c>
      <c r="M1000" s="1" t="str">
        <f>IFERROR(__xludf.DUMMYFUNCTION("""COMPUTED_VALUE"""),"CANCELLED - WITH OB")</f>
        <v>CANCELLED - WITH OB</v>
      </c>
      <c r="N1000" s="3"/>
      <c r="O1000" s="1" t="str">
        <f>IFERROR(__xludf.DUMMYFUNCTION("""COMPUTED_VALUE"""),"FIBR UNLI ALL PLAN 999")</f>
        <v>FIBR UNLI ALL PLAN 999</v>
      </c>
      <c r="P1000" s="1" t="str">
        <f>IFERROR(__xludf.DUMMYFUNCTION("""COMPUTED_VALUE"""),"LOWPLAN")</f>
        <v>LOWPLAN</v>
      </c>
      <c r="Q1000" s="1" t="str">
        <f>IFERROR(__xludf.DUMMYFUNCTION("""COMPUTED_VALUE"""),"P407566")</f>
        <v>P407566</v>
      </c>
      <c r="R1000" s="1" t="str">
        <f>IFERROR(__xludf.DUMMYFUNCTION("""COMPUTED_VALUE"""),"DENACO, RODNEY")</f>
        <v>DENACO, RODNEY</v>
      </c>
      <c r="S1000" s="1" t="str">
        <f>IFERROR(__xludf.DUMMYFUNCTION("""COMPUTED_VALUE"""),"ORGANIC")</f>
        <v>ORGANIC</v>
      </c>
      <c r="T1000" s="1" t="str">
        <f>IFERROR(__xludf.DUMMYFUNCTION("""COMPUTED_VALUE"""),"LEA REMOLLO")</f>
        <v>LEA REMOLLO</v>
      </c>
      <c r="U1000" s="1" t="str">
        <f>IFERROR(__xludf.DUMMYFUNCTION("""COMPUTED_VALUE"""),"JB SALIOA")</f>
        <v>JB SALIOA</v>
      </c>
      <c r="V1000" s="1" t="str">
        <f>IFERROR(__xludf.DUMMYFUNCTION("""COMPUTED_VALUE"""),"BK HSTK")</f>
        <v>BK HSTK</v>
      </c>
      <c r="W1000" s="1" t="str">
        <f>IFERROR(__xludf.DUMMYFUNCTION("""COMPUTED_VALUE"""),"BK HSTK")</f>
        <v>BK HSTK</v>
      </c>
      <c r="X1000" s="1" t="str">
        <f>IFERROR(__xludf.DUMMYFUNCTION("""COMPUTED_VALUE"""),"REGULAR")</f>
        <v>REGULAR</v>
      </c>
      <c r="Y1000" s="1" t="str">
        <f>IFERROR(__xludf.DUMMYFUNCTION("""COMPUTED_VALUE"""),"BK_CVEU_261007")</f>
        <v>BK_CVEU_261007</v>
      </c>
      <c r="Z1000" s="1" t="str">
        <f>IFERROR(__xludf.DUMMYFUNCTION("""COMPUTED_VALUE"""),"NEW CONNECT")</f>
        <v>NEW CONNECT</v>
      </c>
      <c r="AA1000" s="1">
        <f>IFERROR(__xludf.DUMMYFUNCTION("""COMPUTED_VALUE"""),639568100693)</f>
        <v>639568100693</v>
      </c>
      <c r="AB1000" s="1"/>
      <c r="AC1000" s="1">
        <f>IFERROR(__xludf.DUMMYFUNCTION("""COMPUTED_VALUE"""),225)</f>
        <v>225</v>
      </c>
      <c r="AD1000" s="1" t="str">
        <f>IFERROR(__xludf.DUMMYFUNCTION("""COMPUTED_VALUE"""),"PUROK 188")</f>
        <v>PUROK 188</v>
      </c>
      <c r="AE1000" s="1" t="str">
        <f>IFERROR(__xludf.DUMMYFUNCTION("""COMPUTED_VALUE"""),"MICHAEL VILLAGE")</f>
        <v>MICHAEL VILLAGE</v>
      </c>
      <c r="AF1000" s="1" t="str">
        <f>IFERROR(__xludf.DUMMYFUNCTION("""COMPUTED_VALUE"""),"BGY SUNGAY NORTH")</f>
        <v>BGY SUNGAY NORTH</v>
      </c>
      <c r="AG1000" s="1" t="str">
        <f>IFERROR(__xludf.DUMMYFUNCTION("""COMPUTED_VALUE"""),"TAGAYTAY")</f>
        <v>TAGAYTAY</v>
      </c>
      <c r="AH1000" s="1" t="str">
        <f>IFERROR(__xludf.DUMMYFUNCTION("""COMPUTED_VALUE"""),"BABY SARISARI STORE")</f>
        <v>BABY SARISARI STORE</v>
      </c>
      <c r="AI1000" s="1" t="str">
        <f>IFERROR(__xludf.DUMMYFUNCTION("""COMPUTED_VALUE"""),"CLUSTER 12")</f>
        <v>CLUSTER 12</v>
      </c>
    </row>
    <row r="1001" customHeight="1" spans="1:35">
      <c r="A1001" s="3">
        <f>IFERROR(__xludf.DUMMYFUNCTION("""COMPUTED_VALUE"""),46306)</f>
        <v>46306</v>
      </c>
      <c r="B1001" s="1" t="str">
        <f>IFERROR(__xludf.DUMMYFUNCTION("""COMPUTED_VALUE"""),"ELENA QUINTO MACEDA")</f>
        <v>ELENA QUINTO MACEDA</v>
      </c>
      <c r="C1001" s="1">
        <f>IFERROR(__xludf.DUMMYFUNCTION("""COMPUTED_VALUE"""),2313102229)</f>
        <v>2313102229</v>
      </c>
      <c r="D1001" s="1"/>
      <c r="E1001" s="1"/>
      <c r="F1001" s="1" t="str">
        <f>IFERROR(__xludf.DUMMYFUNCTION("""COMPUTED_VALUE"""),"CANCELLED")</f>
        <v>CANCELLED</v>
      </c>
      <c r="G1001" s="1" t="str">
        <f>IFERROR(__xludf.DUMMYFUNCTION("""COMPUTED_VALUE"""),"CANCELLED")</f>
        <v>CANCELLED</v>
      </c>
      <c r="H1001" s="1"/>
      <c r="I1001" s="1"/>
      <c r="J1001" s="1"/>
      <c r="K1001" s="1"/>
      <c r="L1001" s="1" t="str">
        <f>IFERROR(__xludf.DUMMYFUNCTION("""COMPUTED_VALUE"""),"CANCELLED")</f>
        <v>CANCELLED</v>
      </c>
      <c r="M1001" s="1" t="str">
        <f>IFERROR(__xludf.DUMMYFUNCTION("""COMPUTED_VALUE"""),"CANCELLED - WITH OB")</f>
        <v>CANCELLED - WITH OB</v>
      </c>
      <c r="N1001" s="3"/>
      <c r="O1001" s="1" t="str">
        <f>IFERROR(__xludf.DUMMYFUNCTION("""COMPUTED_VALUE"""),"FIBR UNLI ALL PLAN 999")</f>
        <v>FIBR UNLI ALL PLAN 999</v>
      </c>
      <c r="P1001" s="1" t="str">
        <f>IFERROR(__xludf.DUMMYFUNCTION("""COMPUTED_VALUE"""),"LOWPLAN")</f>
        <v>LOWPLAN</v>
      </c>
      <c r="Q1001" s="1" t="str">
        <f>IFERROR(__xludf.DUMMYFUNCTION("""COMPUTED_VALUE"""),"P407566")</f>
        <v>P407566</v>
      </c>
      <c r="R1001" s="1" t="str">
        <f>IFERROR(__xludf.DUMMYFUNCTION("""COMPUTED_VALUE"""),"DENACO, RODNEY")</f>
        <v>DENACO, RODNEY</v>
      </c>
      <c r="S1001" s="1" t="str">
        <f>IFERROR(__xludf.DUMMYFUNCTION("""COMPUTED_VALUE"""),"ORGANIC")</f>
        <v>ORGANIC</v>
      </c>
      <c r="T1001" s="1" t="str">
        <f>IFERROR(__xludf.DUMMYFUNCTION("""COMPUTED_VALUE"""),"LEA REMOLLO")</f>
        <v>LEA REMOLLO</v>
      </c>
      <c r="U1001" s="1" t="str">
        <f>IFERROR(__xludf.DUMMYFUNCTION("""COMPUTED_VALUE"""),"JB SALIOA")</f>
        <v>JB SALIOA</v>
      </c>
      <c r="V1001" s="1" t="str">
        <f>IFERROR(__xludf.DUMMYFUNCTION("""COMPUTED_VALUE"""),"ONLINE/CRANFORD")</f>
        <v>ONLINE/CRANFORD</v>
      </c>
      <c r="W1001" s="1" t="str">
        <f>IFERROR(__xludf.DUMMYFUNCTION("""COMPUTED_VALUE"""),"STK REGULAR")</f>
        <v>STK REGULAR</v>
      </c>
      <c r="X1001" s="1" t="str">
        <f>IFERROR(__xludf.DUMMYFUNCTION("""COMPUTED_VALUE"""),"REGULAR")</f>
        <v>REGULAR</v>
      </c>
      <c r="Y1001" s="1" t="str">
        <f>IFERROR(__xludf.DUMMYFUNCTION("""COMPUTED_VALUE"""),"RS_ONL_CVEU_2026")</f>
        <v>RS_ONL_CVEU_2026</v>
      </c>
      <c r="Z1001" s="1" t="str">
        <f>IFERROR(__xludf.DUMMYFUNCTION("""COMPUTED_VALUE"""),"NEW CONNECT")</f>
        <v>NEW CONNECT</v>
      </c>
      <c r="AA1001" s="1">
        <f>IFERROR(__xludf.DUMMYFUNCTION("""COMPUTED_VALUE"""),639925164337)</f>
        <v>639925164337</v>
      </c>
      <c r="AB1001" s="1">
        <f>IFERROR(__xludf.DUMMYFUNCTION("""COMPUTED_VALUE"""),639358022597)</f>
        <v>639358022597</v>
      </c>
      <c r="AC1001" s="1"/>
      <c r="AD1001" s="1" t="str">
        <f>IFERROR(__xludf.DUMMYFUNCTION("""COMPUTED_VALUE"""),"MIAMI CORNER")</f>
        <v>MIAMI CORNER</v>
      </c>
      <c r="AE1001" s="1" t="str">
        <f>IFERROR(__xludf.DUMMYFUNCTION("""COMPUTED_VALUE"""),"SAN MARINO CITY NORTH 1")</f>
        <v>SAN MARINO CITY NORTH 1</v>
      </c>
      <c r="AF1001" s="1" t="str">
        <f>IFERROR(__xludf.DUMMYFUNCTION("""COMPUTED_VALUE"""),"BGY SALAWAG")</f>
        <v>BGY SALAWAG</v>
      </c>
      <c r="AG1001" s="1" t="str">
        <f>IFERROR(__xludf.DUMMYFUNCTION("""COMPUTED_VALUE"""),"DASMARINAS")</f>
        <v>DASMARINAS</v>
      </c>
      <c r="AH1001" s="1" t="str">
        <f>IFERROR(__xludf.DUMMYFUNCTION("""COMPUTED_VALUE"""),"SAVEMORE")</f>
        <v>SAVEMORE</v>
      </c>
      <c r="AI1001" s="1" t="str">
        <f>IFERROR(__xludf.DUMMYFUNCTION("""COMPUTED_VALUE"""),"NOT AOR")</f>
        <v>NOT AOR</v>
      </c>
    </row>
    <row r="1002" customHeight="1" spans="1:35">
      <c r="A1002" s="3">
        <f>IFERROR(__xludf.DUMMYFUNCTION("""COMPUTED_VALUE"""),46306)</f>
        <v>46306</v>
      </c>
      <c r="B1002" s="1" t="str">
        <f>IFERROR(__xludf.DUMMYFUNCTION("""COMPUTED_VALUE"""),"KENNETH COSME CARAGAY")</f>
        <v>KENNETH COSME CARAGAY</v>
      </c>
      <c r="C1002" s="1">
        <f>IFERROR(__xludf.DUMMYFUNCTION("""COMPUTED_VALUE"""),2313102363)</f>
        <v>2313102363</v>
      </c>
      <c r="D1002" s="1"/>
      <c r="E1002" s="1"/>
      <c r="F1002" s="1" t="str">
        <f>IFERROR(__xludf.DUMMYFUNCTION("""COMPUTED_VALUE"""),"CANCELLED")</f>
        <v>CANCELLED</v>
      </c>
      <c r="G1002" s="1" t="str">
        <f>IFERROR(__xludf.DUMMYFUNCTION("""COMPUTED_VALUE"""),"CANCELLED")</f>
        <v>CANCELLED</v>
      </c>
      <c r="H1002" s="1"/>
      <c r="I1002" s="1"/>
      <c r="J1002" s="1"/>
      <c r="K1002" s="1"/>
      <c r="L1002" s="1" t="str">
        <f>IFERROR(__xludf.DUMMYFUNCTION("""COMPUTED_VALUE"""),"CANCELLED")</f>
        <v>CANCELLED</v>
      </c>
      <c r="M1002" s="1" t="str">
        <f>IFERROR(__xludf.DUMMYFUNCTION("""COMPUTED_VALUE"""),"CANCELLED - WITH OB")</f>
        <v>CANCELLED - WITH OB</v>
      </c>
      <c r="N1002" s="3"/>
      <c r="O1002" s="1" t="str">
        <f>IFERROR(__xludf.DUMMYFUNCTION("""COMPUTED_VALUE"""),"FIBR PLAN 1299")</f>
        <v>FIBR PLAN 1299</v>
      </c>
      <c r="P1002" s="1" t="str">
        <f>IFERROR(__xludf.DUMMYFUNCTION("""COMPUTED_VALUE"""),"LOWPLAN")</f>
        <v>LOWPLAN</v>
      </c>
      <c r="Q1002" s="1" t="str">
        <f>IFERROR(__xludf.DUMMYFUNCTION("""COMPUTED_VALUE"""),"P407566")</f>
        <v>P407566</v>
      </c>
      <c r="R1002" s="1" t="str">
        <f>IFERROR(__xludf.DUMMYFUNCTION("""COMPUTED_VALUE"""),"DENACO, RODNEY")</f>
        <v>DENACO, RODNEY</v>
      </c>
      <c r="S1002" s="1" t="str">
        <f>IFERROR(__xludf.DUMMYFUNCTION("""COMPUTED_VALUE"""),"ORGANIC")</f>
        <v>ORGANIC</v>
      </c>
      <c r="T1002" s="1" t="str">
        <f>IFERROR(__xludf.DUMMYFUNCTION("""COMPUTED_VALUE"""),"LEA REMOLLO")</f>
        <v>LEA REMOLLO</v>
      </c>
      <c r="U1002" s="1" t="str">
        <f>IFERROR(__xludf.DUMMYFUNCTION("""COMPUTED_VALUE"""),"JB SALIOA")</f>
        <v>JB SALIOA</v>
      </c>
      <c r="V1002" s="1" t="str">
        <f>IFERROR(__xludf.DUMMYFUNCTION("""COMPUTED_VALUE"""),"BK HSTK")</f>
        <v>BK HSTK</v>
      </c>
      <c r="W1002" s="1" t="str">
        <f>IFERROR(__xludf.DUMMYFUNCTION("""COMPUTED_VALUE"""),"BK HSTK")</f>
        <v>BK HSTK</v>
      </c>
      <c r="X1002" s="1" t="str">
        <f>IFERROR(__xludf.DUMMYFUNCTION("""COMPUTED_VALUE"""),"REGULAR")</f>
        <v>REGULAR</v>
      </c>
      <c r="Y1002" s="1" t="str">
        <f>IFERROR(__xludf.DUMMYFUNCTION("""COMPUTED_VALUE"""),"BK_CVEU_261001")</f>
        <v>BK_CVEU_261001</v>
      </c>
      <c r="Z1002" s="1" t="str">
        <f>IFERROR(__xludf.DUMMYFUNCTION("""COMPUTED_VALUE"""),"NEW CONNECT")</f>
        <v>NEW CONNECT</v>
      </c>
      <c r="AA1002" s="1">
        <f>IFERROR(__xludf.DUMMYFUNCTION("""COMPUTED_VALUE"""),639203270465)</f>
        <v>639203270465</v>
      </c>
      <c r="AB1002" s="1"/>
      <c r="AC1002" s="1">
        <f>IFERROR(__xludf.DUMMYFUNCTION("""COMPUTED_VALUE"""),340)</f>
        <v>340</v>
      </c>
      <c r="AD1002" s="1" t="str">
        <f>IFERROR(__xludf.DUMMYFUNCTION("""COMPUTED_VALUE"""),"PUROK 6")</f>
        <v>PUROK 6</v>
      </c>
      <c r="AE1002" s="1"/>
      <c r="AF1002" s="1" t="str">
        <f>IFERROR(__xludf.DUMMYFUNCTION("""COMPUTED_VALUE"""),"BGY SICAT")</f>
        <v>BGY SICAT</v>
      </c>
      <c r="AG1002" s="1" t="str">
        <f>IFERROR(__xludf.DUMMYFUNCTION("""COMPUTED_VALUE"""),"ALFONSO")</f>
        <v>ALFONSO</v>
      </c>
      <c r="AH1002" s="1" t="str">
        <f>IFERROR(__xludf.DUMMYFUNCTION("""COMPUTED_VALUE"""),"-")</f>
        <v>-</v>
      </c>
      <c r="AI1002" s="1" t="str">
        <f>IFERROR(__xludf.DUMMYFUNCTION("""COMPUTED_VALUE"""),"CLUSTER 12")</f>
        <v>CLUSTER 12</v>
      </c>
    </row>
    <row r="1003" customHeight="1" spans="1:35">
      <c r="A1003" s="3">
        <f>IFERROR(__xludf.DUMMYFUNCTION("""COMPUTED_VALUE"""),46306)</f>
        <v>46306</v>
      </c>
      <c r="B1003" s="1" t="str">
        <f>IFERROR(__xludf.DUMMYFUNCTION("""COMPUTED_VALUE"""),"JEAN . FEBRA")</f>
        <v>JEAN . FEBRA</v>
      </c>
      <c r="C1003" s="1">
        <f>IFERROR(__xludf.DUMMYFUNCTION("""COMPUTED_VALUE"""),2313100219)</f>
        <v>2313100219</v>
      </c>
      <c r="D1003" s="1"/>
      <c r="E1003" s="1"/>
      <c r="F1003" s="1" t="str">
        <f>IFERROR(__xludf.DUMMYFUNCTION("""COMPUTED_VALUE"""),"CANCELLED")</f>
        <v>CANCELLED</v>
      </c>
      <c r="G1003" s="1" t="str">
        <f>IFERROR(__xludf.DUMMYFUNCTION("""COMPUTED_VALUE"""),"CANCELLED")</f>
        <v>CANCELLED</v>
      </c>
      <c r="H1003" s="1"/>
      <c r="I1003" s="1"/>
      <c r="J1003" s="1"/>
      <c r="K1003" s="1"/>
      <c r="L1003" s="1" t="str">
        <f>IFERROR(__xludf.DUMMYFUNCTION("""COMPUTED_VALUE"""),"CANCELLED")</f>
        <v>CANCELLED</v>
      </c>
      <c r="M1003" s="1" t="str">
        <f>IFERROR(__xludf.DUMMYFUNCTION("""COMPUTED_VALUE"""),"CANCELLED - WITH OB")</f>
        <v>CANCELLED - WITH OB</v>
      </c>
      <c r="N1003" s="3"/>
      <c r="O1003" s="1" t="str">
        <f>IFERROR(__xludf.DUMMYFUNCTION("""COMPUTED_VALUE"""),"FIBR PLAN 1299")</f>
        <v>FIBR PLAN 1299</v>
      </c>
      <c r="P1003" s="1" t="str">
        <f>IFERROR(__xludf.DUMMYFUNCTION("""COMPUTED_VALUE"""),"LOWPLAN")</f>
        <v>LOWPLAN</v>
      </c>
      <c r="Q1003" s="1" t="str">
        <f>IFERROR(__xludf.DUMMYFUNCTION("""COMPUTED_VALUE"""),"P407560")</f>
        <v>P407560</v>
      </c>
      <c r="R1003" s="1" t="str">
        <f>IFERROR(__xludf.DUMMYFUNCTION("""COMPUTED_VALUE"""),"RIVERA, AIRIZH JOY")</f>
        <v>RIVERA, AIRIZH JOY</v>
      </c>
      <c r="S1003" s="1" t="str">
        <f>IFERROR(__xludf.DUMMYFUNCTION("""COMPUTED_VALUE"""),"ORGANIC")</f>
        <v>ORGANIC</v>
      </c>
      <c r="T1003" s="1" t="str">
        <f>IFERROR(__xludf.DUMMYFUNCTION("""COMPUTED_VALUE"""),"LEA REMOLLO")</f>
        <v>LEA REMOLLO</v>
      </c>
      <c r="U1003" s="1" t="str">
        <f>IFERROR(__xludf.DUMMYFUNCTION("""COMPUTED_VALUE"""),"JULIE ESPIRITU")</f>
        <v>JULIE ESPIRITU</v>
      </c>
      <c r="V1003" s="1" t="str">
        <f>IFERROR(__xludf.DUMMYFUNCTION("""COMPUTED_VALUE"""),"BK HSTK")</f>
        <v>BK HSTK</v>
      </c>
      <c r="W1003" s="1" t="str">
        <f>IFERROR(__xludf.DUMMYFUNCTION("""COMPUTED_VALUE"""),"BK HSTK")</f>
        <v>BK HSTK</v>
      </c>
      <c r="X1003" s="1" t="str">
        <f>IFERROR(__xludf.DUMMYFUNCTION("""COMPUTED_VALUE"""),"REGULAR")</f>
        <v>REGULAR</v>
      </c>
      <c r="Y1003" s="1" t="str">
        <f>IFERROR(__xludf.DUMMYFUNCTION("""COMPUTED_VALUE"""),"BK_CVEU_261005")</f>
        <v>BK_CVEU_261005</v>
      </c>
      <c r="Z1003" s="1" t="str">
        <f>IFERROR(__xludf.DUMMYFUNCTION("""COMPUTED_VALUE"""),"NEW CONNECT")</f>
        <v>NEW CONNECT</v>
      </c>
      <c r="AA1003" s="1">
        <f>IFERROR(__xludf.DUMMYFUNCTION("""COMPUTED_VALUE"""),639753605827)</f>
        <v>639753605827</v>
      </c>
      <c r="AB1003" s="1">
        <f>IFERROR(__xludf.DUMMYFUNCTION("""COMPUTED_VALUE"""),639755605827)</f>
        <v>639755605827</v>
      </c>
      <c r="AC1003" s="1">
        <f>IFERROR(__xludf.DUMMYFUNCTION("""COMPUTED_VALUE"""),128)</f>
        <v>128</v>
      </c>
      <c r="AD1003" s="1" t="str">
        <f>IFERROR(__xludf.DUMMYFUNCTION("""COMPUTED_VALUE"""),"NARRA")</f>
        <v>NARRA</v>
      </c>
      <c r="AE1003" s="1"/>
      <c r="AF1003" s="1" t="str">
        <f>IFERROR(__xludf.DUMMYFUNCTION("""COMPUTED_VALUE"""),"BGY BANAYAD")</f>
        <v>BGY BANAYAD</v>
      </c>
      <c r="AG1003" s="1" t="str">
        <f>IFERROR(__xludf.DUMMYFUNCTION("""COMPUTED_VALUE"""),"MENDEZ")</f>
        <v>MENDEZ</v>
      </c>
      <c r="AH1003" s="1" t="str">
        <f>IFERROR(__xludf.DUMMYFUNCTION("""COMPUTED_VALUE"""),"RENAB RESORT")</f>
        <v>RENAB RESORT</v>
      </c>
      <c r="AI1003" s="1" t="str">
        <f>IFERROR(__xludf.DUMMYFUNCTION("""COMPUTED_VALUE"""),"CLUSTER 12")</f>
        <v>CLUSTER 12</v>
      </c>
    </row>
    <row r="1004" customHeight="1" spans="1:35">
      <c r="A1004" s="3">
        <f>IFERROR(__xludf.DUMMYFUNCTION("""COMPUTED_VALUE"""),46306)</f>
        <v>46306</v>
      </c>
      <c r="B1004" s="1" t="str">
        <f>IFERROR(__xludf.DUMMYFUNCTION("""COMPUTED_VALUE"""),"KURT VINCENT ASIS MADUROG")</f>
        <v>KURT VINCENT ASIS MADUROG</v>
      </c>
      <c r="C1004" s="1">
        <f>IFERROR(__xludf.DUMMYFUNCTION("""COMPUTED_VALUE"""),2313100320)</f>
        <v>2313100320</v>
      </c>
      <c r="D1004" s="1"/>
      <c r="E1004" s="1"/>
      <c r="F1004" s="1" t="str">
        <f>IFERROR(__xludf.DUMMYFUNCTION("""COMPUTED_VALUE"""),"CANCELLED")</f>
        <v>CANCELLED</v>
      </c>
      <c r="G1004" s="1" t="str">
        <f>IFERROR(__xludf.DUMMYFUNCTION("""COMPUTED_VALUE"""),"CANCELLED")</f>
        <v>CANCELLED</v>
      </c>
      <c r="H1004" s="1"/>
      <c r="I1004" s="1"/>
      <c r="J1004" s="1"/>
      <c r="K1004" s="1"/>
      <c r="L1004" s="1" t="str">
        <f>IFERROR(__xludf.DUMMYFUNCTION("""COMPUTED_VALUE"""),"CANCELLED")</f>
        <v>CANCELLED</v>
      </c>
      <c r="M1004" s="1" t="str">
        <f>IFERROR(__xludf.DUMMYFUNCTION("""COMPUTED_VALUE"""),"CANCELLED - WITH OB")</f>
        <v>CANCELLED - WITH OB</v>
      </c>
      <c r="N1004" s="3"/>
      <c r="O1004" s="1" t="str">
        <f>IFERROR(__xludf.DUMMYFUNCTION("""COMPUTED_VALUE"""),"FIBR NETFLIX PLAN 1599")</f>
        <v>FIBR NETFLIX PLAN 1599</v>
      </c>
      <c r="P1004" s="1" t="str">
        <f>IFERROR(__xludf.DUMMYFUNCTION("""COMPUTED_VALUE"""),"LOWPLAN")</f>
        <v>LOWPLAN</v>
      </c>
      <c r="Q1004" s="1" t="str">
        <f>IFERROR(__xludf.DUMMYFUNCTION("""COMPUTED_VALUE"""),"P407050")</f>
        <v>P407050</v>
      </c>
      <c r="R1004" s="1" t="str">
        <f>IFERROR(__xludf.DUMMYFUNCTION("""COMPUTED_VALUE"""),"ESCARCHA, ALMA")</f>
        <v>ESCARCHA, ALMA</v>
      </c>
      <c r="S1004" s="1" t="str">
        <f>IFERROR(__xludf.DUMMYFUNCTION("""COMPUTED_VALUE"""),"ORGANIC")</f>
        <v>ORGANIC</v>
      </c>
      <c r="T1004" s="1" t="str">
        <f>IFERROR(__xludf.DUMMYFUNCTION("""COMPUTED_VALUE"""),"LEA REMOLLO")</f>
        <v>LEA REMOLLO</v>
      </c>
      <c r="U1004" s="1" t="str">
        <f>IFERROR(__xludf.DUMMYFUNCTION("""COMPUTED_VALUE"""),"JULIE ESPIRITU")</f>
        <v>JULIE ESPIRITU</v>
      </c>
      <c r="V1004" s="1" t="str">
        <f>IFERROR(__xludf.DUMMYFUNCTION("""COMPUTED_VALUE"""),"BK HSTK")</f>
        <v>BK HSTK</v>
      </c>
      <c r="W1004" s="1" t="str">
        <f>IFERROR(__xludf.DUMMYFUNCTION("""COMPUTED_VALUE"""),"BK HSTK")</f>
        <v>BK HSTK</v>
      </c>
      <c r="X1004" s="1" t="str">
        <f>IFERROR(__xludf.DUMMYFUNCTION("""COMPUTED_VALUE"""),"REGULAR")</f>
        <v>REGULAR</v>
      </c>
      <c r="Y1004" s="1" t="str">
        <f>IFERROR(__xludf.DUMMYFUNCTION("""COMPUTED_VALUE"""),"BK_CVEU_261005")</f>
        <v>BK_CVEU_261005</v>
      </c>
      <c r="Z1004" s="1" t="str">
        <f>IFERROR(__xludf.DUMMYFUNCTION("""COMPUTED_VALUE"""),"NEW CONNECT")</f>
        <v>NEW CONNECT</v>
      </c>
      <c r="AA1004" s="1">
        <f>IFERROR(__xludf.DUMMYFUNCTION("""COMPUTED_VALUE"""),639912645122)</f>
        <v>639912645122</v>
      </c>
      <c r="AB1004" s="1"/>
      <c r="AC1004" s="1">
        <f>IFERROR(__xludf.DUMMYFUNCTION("""COMPUTED_VALUE"""),150)</f>
        <v>150</v>
      </c>
      <c r="AD1004" s="1" t="str">
        <f>IFERROR(__xludf.DUMMYFUNCTION("""COMPUTED_VALUE"""),"NARRA")</f>
        <v>NARRA</v>
      </c>
      <c r="AE1004" s="1"/>
      <c r="AF1004" s="1" t="str">
        <f>IFERROR(__xludf.DUMMYFUNCTION("""COMPUTED_VALUE"""),"BGY BANAYAD")</f>
        <v>BGY BANAYAD</v>
      </c>
      <c r="AG1004" s="1" t="str">
        <f>IFERROR(__xludf.DUMMYFUNCTION("""COMPUTED_VALUE"""),"MENDEZ")</f>
        <v>MENDEZ</v>
      </c>
      <c r="AH1004" s="1" t="str">
        <f>IFERROR(__xludf.DUMMYFUNCTION("""COMPUTED_VALUE"""),"RENALOU RESORT")</f>
        <v>RENALOU RESORT</v>
      </c>
      <c r="AI1004" s="1" t="str">
        <f>IFERROR(__xludf.DUMMYFUNCTION("""COMPUTED_VALUE"""),"CLUSTER 12")</f>
        <v>CLUSTER 12</v>
      </c>
    </row>
    <row r="1005" customHeight="1" spans="1:35">
      <c r="A1005" s="3">
        <f>IFERROR(__xludf.DUMMYFUNCTION("""COMPUTED_VALUE"""),46306)</f>
        <v>46306</v>
      </c>
      <c r="B1005" s="1" t="str">
        <f>IFERROR(__xludf.DUMMYFUNCTION("""COMPUTED_VALUE"""),"JEROM ALABAT MIRANDO")</f>
        <v>JEROM ALABAT MIRANDO</v>
      </c>
      <c r="C1005" s="1">
        <f>IFERROR(__xludf.DUMMYFUNCTION("""COMPUTED_VALUE"""),2313100475)</f>
        <v>2313100475</v>
      </c>
      <c r="D1005" s="1"/>
      <c r="E1005" s="1"/>
      <c r="F1005" s="1" t="str">
        <f>IFERROR(__xludf.DUMMYFUNCTION("""COMPUTED_VALUE"""),"CANCELLED")</f>
        <v>CANCELLED</v>
      </c>
      <c r="G1005" s="1" t="str">
        <f>IFERROR(__xludf.DUMMYFUNCTION("""COMPUTED_VALUE"""),"CANCELLED")</f>
        <v>CANCELLED</v>
      </c>
      <c r="H1005" s="1"/>
      <c r="I1005" s="1"/>
      <c r="J1005" s="1"/>
      <c r="K1005" s="1"/>
      <c r="L1005" s="1" t="str">
        <f>IFERROR(__xludf.DUMMYFUNCTION("""COMPUTED_VALUE"""),"CANCELLED")</f>
        <v>CANCELLED</v>
      </c>
      <c r="M1005" s="1" t="str">
        <f>IFERROR(__xludf.DUMMYFUNCTION("""COMPUTED_VALUE"""),"CANCELLED - WITH OB")</f>
        <v>CANCELLED - WITH OB</v>
      </c>
      <c r="N1005" s="3"/>
      <c r="O1005" s="1" t="str">
        <f>IFERROR(__xludf.DUMMYFUNCTION("""COMPUTED_VALUE"""),"FIBR PLAN 1299")</f>
        <v>FIBR PLAN 1299</v>
      </c>
      <c r="P1005" s="1" t="str">
        <f>IFERROR(__xludf.DUMMYFUNCTION("""COMPUTED_VALUE"""),"LOWPLAN")</f>
        <v>LOWPLAN</v>
      </c>
      <c r="Q1005" s="1" t="str">
        <f>IFERROR(__xludf.DUMMYFUNCTION("""COMPUTED_VALUE"""),"P407562")</f>
        <v>P407562</v>
      </c>
      <c r="R1005" s="1" t="str">
        <f>IFERROR(__xludf.DUMMYFUNCTION("""COMPUTED_VALUE"""),"IVNO, RAZZEL")</f>
        <v>IVNO, RAZZEL</v>
      </c>
      <c r="S1005" s="1" t="str">
        <f>IFERROR(__xludf.DUMMYFUNCTION("""COMPUTED_VALUE"""),"FLA")</f>
        <v>FLA</v>
      </c>
      <c r="T1005" s="1" t="str">
        <f>IFERROR(__xludf.DUMMYFUNCTION("""COMPUTED_VALUE"""),"JERIC NAVARRO")</f>
        <v>JERIC NAVARRO</v>
      </c>
      <c r="U1005" s="1" t="str">
        <f>IFERROR(__xludf.DUMMYFUNCTION("""COMPUTED_VALUE"""),"JULIE ESPIRITU")</f>
        <v>JULIE ESPIRITU</v>
      </c>
      <c r="V1005" s="1" t="str">
        <f>IFERROR(__xludf.DUMMYFUNCTION("""COMPUTED_VALUE"""),"BK HSTK")</f>
        <v>BK HSTK</v>
      </c>
      <c r="W1005" s="1" t="str">
        <f>IFERROR(__xludf.DUMMYFUNCTION("""COMPUTED_VALUE"""),"BK HSTK")</f>
        <v>BK HSTK</v>
      </c>
      <c r="X1005" s="1" t="str">
        <f>IFERROR(__xludf.DUMMYFUNCTION("""COMPUTED_VALUE"""),"REGULAR")</f>
        <v>REGULAR</v>
      </c>
      <c r="Y1005" s="1" t="str">
        <f>IFERROR(__xludf.DUMMYFUNCTION("""COMPUTED_VALUE"""),"BK_CVEU_261003")</f>
        <v>BK_CVEU_261003</v>
      </c>
      <c r="Z1005" s="1" t="str">
        <f>IFERROR(__xludf.DUMMYFUNCTION("""COMPUTED_VALUE"""),"NEW CONNECT")</f>
        <v>NEW CONNECT</v>
      </c>
      <c r="AA1005" s="1">
        <f>IFERROR(__xludf.DUMMYFUNCTION("""COMPUTED_VALUE"""),639970852691)</f>
        <v>639970852691</v>
      </c>
      <c r="AB1005" s="1">
        <f>IFERROR(__xludf.DUMMYFUNCTION("""COMPUTED_VALUE"""),639608693454)</f>
        <v>639608693454</v>
      </c>
      <c r="AC1005" s="1">
        <f>IFERROR(__xludf.DUMMYFUNCTION("""COMPUTED_VALUE"""),9141)</f>
        <v>9141</v>
      </c>
      <c r="AD1005" s="1" t="str">
        <f>IFERROR(__xludf.DUMMYFUNCTION("""COMPUTED_VALUE"""),"PALIGAWAN MATANDA")</f>
        <v>PALIGAWAN MATANDA</v>
      </c>
      <c r="AE1005" s="1"/>
      <c r="AF1005" s="1" t="str">
        <f>IFERROR(__xludf.DUMMYFUNCTION("""COMPUTED_VALUE"""),"BGY LANTIC")</f>
        <v>BGY LANTIC</v>
      </c>
      <c r="AG1005" s="1" t="str">
        <f>IFERROR(__xludf.DUMMYFUNCTION("""COMPUTED_VALUE"""),"CARMONA")</f>
        <v>CARMONA</v>
      </c>
      <c r="AH1005" s="1" t="str">
        <f>IFERROR(__xludf.DUMMYFUNCTION("""COMPUTED_VALUE"""),"-")</f>
        <v>-</v>
      </c>
      <c r="AI1005" s="1" t="str">
        <f>IFERROR(__xludf.DUMMYFUNCTION("""COMPUTED_VALUE"""),"CLUSTER 11")</f>
        <v>CLUSTER 11</v>
      </c>
    </row>
    <row r="1006" customHeight="1" spans="1:35">
      <c r="A1006" s="3">
        <f>IFERROR(__xludf.DUMMYFUNCTION("""COMPUTED_VALUE"""),46306)</f>
        <v>46306</v>
      </c>
      <c r="B1006" s="1" t="str">
        <f>IFERROR(__xludf.DUMMYFUNCTION("""COMPUTED_VALUE"""),"ELIZABETH ZURITA CANADA")</f>
        <v>ELIZABETH ZURITA CANADA</v>
      </c>
      <c r="C1006" s="1">
        <f>IFERROR(__xludf.DUMMYFUNCTION("""COMPUTED_VALUE"""),2313100356)</f>
        <v>2313100356</v>
      </c>
      <c r="D1006" s="1"/>
      <c r="E1006" s="1"/>
      <c r="F1006" s="1" t="str">
        <f>IFERROR(__xludf.DUMMYFUNCTION("""COMPUTED_VALUE"""),"CANCELLED")</f>
        <v>CANCELLED</v>
      </c>
      <c r="G1006" s="1" t="str">
        <f>IFERROR(__xludf.DUMMYFUNCTION("""COMPUTED_VALUE"""),"CANCELLED")</f>
        <v>CANCELLED</v>
      </c>
      <c r="H1006" s="1"/>
      <c r="I1006" s="1"/>
      <c r="J1006" s="1"/>
      <c r="K1006" s="1"/>
      <c r="L1006" s="1" t="str">
        <f>IFERROR(__xludf.DUMMYFUNCTION("""COMPUTED_VALUE"""),"CANCELLED")</f>
        <v>CANCELLED</v>
      </c>
      <c r="M1006" s="1" t="str">
        <f>IFERROR(__xludf.DUMMYFUNCTION("""COMPUTED_VALUE"""),"CANCELLED - WITH OB")</f>
        <v>CANCELLED - WITH OB</v>
      </c>
      <c r="N1006" s="3"/>
      <c r="O1006" s="1" t="str">
        <f>IFERROR(__xludf.DUMMYFUNCTION("""COMPUTED_VALUE"""),"FIBR PLAN 1299")</f>
        <v>FIBR PLAN 1299</v>
      </c>
      <c r="P1006" s="1" t="str">
        <f>IFERROR(__xludf.DUMMYFUNCTION("""COMPUTED_VALUE"""),"LOWPLAN")</f>
        <v>LOWPLAN</v>
      </c>
      <c r="Q1006" s="1" t="str">
        <f>IFERROR(__xludf.DUMMYFUNCTION("""COMPUTED_VALUE"""),"P407565 ")</f>
        <v>P407565 </v>
      </c>
      <c r="R1006" s="1" t="str">
        <f>IFERROR(__xludf.DUMMYFUNCTION("""COMPUTED_VALUE"""),"MANDUCDOC, MARIANE")</f>
        <v>MANDUCDOC, MARIANE</v>
      </c>
      <c r="S1006" s="1" t="str">
        <f>IFERROR(__xludf.DUMMYFUNCTION("""COMPUTED_VALUE"""),"ORGANIC")</f>
        <v>ORGANIC</v>
      </c>
      <c r="T1006" s="1" t="str">
        <f>IFERROR(__xludf.DUMMYFUNCTION("""COMPUTED_VALUE"""),"LEA REMOLLO")</f>
        <v>LEA REMOLLO</v>
      </c>
      <c r="U1006" s="1" t="str">
        <f>IFERROR(__xludf.DUMMYFUNCTION("""COMPUTED_VALUE"""),"MARK MALIWAT")</f>
        <v>MARK MALIWAT</v>
      </c>
      <c r="V1006" s="1" t="str">
        <f>IFERROR(__xludf.DUMMYFUNCTION("""COMPUTED_VALUE"""),"H2H")</f>
        <v>H2H</v>
      </c>
      <c r="W1006" s="1" t="str">
        <f>IFERROR(__xludf.DUMMYFUNCTION("""COMPUTED_VALUE"""),"STK REGULAR")</f>
        <v>STK REGULAR</v>
      </c>
      <c r="X1006" s="1" t="str">
        <f>IFERROR(__xludf.DUMMYFUNCTION("""COMPUTED_VALUE"""),"REGULAR")</f>
        <v>REGULAR</v>
      </c>
      <c r="Y1006" s="1" t="str">
        <f>IFERROR(__xludf.DUMMYFUNCTION("""COMPUTED_VALUE"""),"BK_CVEU_261006")</f>
        <v>BK_CVEU_261006</v>
      </c>
      <c r="Z1006" s="1" t="str">
        <f>IFERROR(__xludf.DUMMYFUNCTION("""COMPUTED_VALUE"""),"NEW CONNECT")</f>
        <v>NEW CONNECT</v>
      </c>
      <c r="AA1006" s="1">
        <f>IFERROR(__xludf.DUMMYFUNCTION("""COMPUTED_VALUE"""),639957380868)</f>
        <v>639957380868</v>
      </c>
      <c r="AB1006" s="1">
        <f>IFERROR(__xludf.DUMMYFUNCTION("""COMPUTED_VALUE"""),639173205268)</f>
        <v>639173205268</v>
      </c>
      <c r="AC1006" s="1">
        <f>IFERROR(__xludf.DUMMYFUNCTION("""COMPUTED_VALUE"""),10149)</f>
        <v>10149</v>
      </c>
      <c r="AD1006" s="1" t="str">
        <f>IFERROR(__xludf.DUMMYFUNCTION("""COMPUTED_VALUE"""),"SITIO IBAYONG ILOG")</f>
        <v>SITIO IBAYONG ILOG</v>
      </c>
      <c r="AE1006" s="1"/>
      <c r="AF1006" s="1" t="str">
        <f>IFERROR(__xludf.DUMMYFUNCTION("""COMPUTED_VALUE"""),"BGY KAONG")</f>
        <v>BGY KAONG</v>
      </c>
      <c r="AG1006" s="1" t="str">
        <f>IFERROR(__xludf.DUMMYFUNCTION("""COMPUTED_VALUE"""),"SILANG")</f>
        <v>SILANG</v>
      </c>
      <c r="AH1006" s="1" t="str">
        <f>IFERROR(__xludf.DUMMYFUNCTION("""COMPUTED_VALUE"""),"LONG COURSE FIRING RANGE")</f>
        <v>LONG COURSE FIRING RANGE</v>
      </c>
      <c r="AI1006" s="1" t="str">
        <f>IFERROR(__xludf.DUMMYFUNCTION("""COMPUTED_VALUE"""),"CLUSTER 11")</f>
        <v>CLUSTER 11</v>
      </c>
    </row>
    <row r="1007" customHeight="1" spans="1:35">
      <c r="A1007" s="3">
        <f>IFERROR(__xludf.DUMMYFUNCTION("""COMPUTED_VALUE"""),46306)</f>
        <v>46306</v>
      </c>
      <c r="B1007" s="1" t="str">
        <f>IFERROR(__xludf.DUMMYFUNCTION("""COMPUTED_VALUE"""),"MIGUELITO SUMADSAD AMON")</f>
        <v>MIGUELITO SUMADSAD AMON</v>
      </c>
      <c r="C1007" s="1">
        <f>IFERROR(__xludf.DUMMYFUNCTION("""COMPUTED_VALUE"""),2313100591)</f>
        <v>2313100591</v>
      </c>
      <c r="D1007" s="1"/>
      <c r="E1007" s="1"/>
      <c r="F1007" s="1" t="str">
        <f>IFERROR(__xludf.DUMMYFUNCTION("""COMPUTED_VALUE"""),"CANCELLED")</f>
        <v>CANCELLED</v>
      </c>
      <c r="G1007" s="1" t="str">
        <f>IFERROR(__xludf.DUMMYFUNCTION("""COMPUTED_VALUE"""),"CANCELLED")</f>
        <v>CANCELLED</v>
      </c>
      <c r="H1007" s="1"/>
      <c r="I1007" s="1"/>
      <c r="J1007" s="1"/>
      <c r="K1007" s="1"/>
      <c r="L1007" s="1" t="str">
        <f>IFERROR(__xludf.DUMMYFUNCTION("""COMPUTED_VALUE"""),"CANCELLED")</f>
        <v>CANCELLED</v>
      </c>
      <c r="M1007" s="1" t="str">
        <f>IFERROR(__xludf.DUMMYFUNCTION("""COMPUTED_VALUE"""),"CANCELLED - WITH OB")</f>
        <v>CANCELLED - WITH OB</v>
      </c>
      <c r="N1007" s="3"/>
      <c r="O1007" s="1" t="str">
        <f>IFERROR(__xludf.DUMMYFUNCTION("""COMPUTED_VALUE"""),"FIBR PLAN 1299")</f>
        <v>FIBR PLAN 1299</v>
      </c>
      <c r="P1007" s="1" t="str">
        <f>IFERROR(__xludf.DUMMYFUNCTION("""COMPUTED_VALUE"""),"LOWPLAN")</f>
        <v>LOWPLAN</v>
      </c>
      <c r="Q1007" s="1" t="str">
        <f>IFERROR(__xludf.DUMMYFUNCTION("""COMPUTED_VALUE"""),"P407045 ")</f>
        <v>P407045 </v>
      </c>
      <c r="R1007" s="1" t="str">
        <f>IFERROR(__xludf.DUMMYFUNCTION("""COMPUTED_VALUE"""),"REMOLLO, LEA")</f>
        <v>REMOLLO, LEA</v>
      </c>
      <c r="S1007" s="1" t="str">
        <f>IFERROR(__xludf.DUMMYFUNCTION("""COMPUTED_VALUE"""),"FLA")</f>
        <v>FLA</v>
      </c>
      <c r="T1007" s="1" t="str">
        <f>IFERROR(__xludf.DUMMYFUNCTION("""COMPUTED_VALUE"""),"LEA REMOLLO")</f>
        <v>LEA REMOLLO</v>
      </c>
      <c r="U1007" s="1" t="str">
        <f>IFERROR(__xludf.DUMMYFUNCTION("""COMPUTED_VALUE"""),"MARK MALIWAT")</f>
        <v>MARK MALIWAT</v>
      </c>
      <c r="V1007" s="1" t="str">
        <f>IFERROR(__xludf.DUMMYFUNCTION("""COMPUTED_VALUE"""),"H2H")</f>
        <v>H2H</v>
      </c>
      <c r="W1007" s="1" t="str">
        <f>IFERROR(__xludf.DUMMYFUNCTION("""COMPUTED_VALUE"""),"STK REGULAR")</f>
        <v>STK REGULAR</v>
      </c>
      <c r="X1007" s="1" t="str">
        <f>IFERROR(__xludf.DUMMYFUNCTION("""COMPUTED_VALUE"""),"REGULAR")</f>
        <v>REGULAR</v>
      </c>
      <c r="Y1007" s="1" t="str">
        <f>IFERROR(__xludf.DUMMYFUNCTION("""COMPUTED_VALUE"""),"BK_CVEU_261006")</f>
        <v>BK_CVEU_261006</v>
      </c>
      <c r="Z1007" s="1" t="str">
        <f>IFERROR(__xludf.DUMMYFUNCTION("""COMPUTED_VALUE"""),"NEW CONNECT")</f>
        <v>NEW CONNECT</v>
      </c>
      <c r="AA1007" s="1">
        <f>IFERROR(__xludf.DUMMYFUNCTION("""COMPUTED_VALUE"""),639367722900)</f>
        <v>639367722900</v>
      </c>
      <c r="AB1007" s="1">
        <f>IFERROR(__xludf.DUMMYFUNCTION("""COMPUTED_VALUE"""),639943375442)</f>
        <v>639943375442</v>
      </c>
      <c r="AC1007" s="1">
        <f>IFERROR(__xludf.DUMMYFUNCTION("""COMPUTED_VALUE"""),213)</f>
        <v>213</v>
      </c>
      <c r="AD1007" s="1" t="str">
        <f>IFERROR(__xludf.DUMMYFUNCTION("""COMPUTED_VALUE"""),"KARSADAHAN KANLURAN")</f>
        <v>KARSADAHAN KANLURAN</v>
      </c>
      <c r="AE1007" s="1"/>
      <c r="AF1007" s="1" t="str">
        <f>IFERROR(__xludf.DUMMYFUNCTION("""COMPUTED_VALUE"""),"BGY KAONG")</f>
        <v>BGY KAONG</v>
      </c>
      <c r="AG1007" s="1" t="str">
        <f>IFERROR(__xludf.DUMMYFUNCTION("""COMPUTED_VALUE"""),"SILANG")</f>
        <v>SILANG</v>
      </c>
      <c r="AH1007" s="1" t="str">
        <f>IFERROR(__xludf.DUMMYFUNCTION("""COMPUTED_VALUE"""),"7/11 / SAN ANTONIO ABAD CHURCH")</f>
        <v>7/11 / SAN ANTONIO ABAD CHURCH</v>
      </c>
      <c r="AI1007" s="1" t="str">
        <f>IFERROR(__xludf.DUMMYFUNCTION("""COMPUTED_VALUE"""),"CLUSTER 11")</f>
        <v>CLUSTER 11</v>
      </c>
    </row>
    <row r="1008" customHeight="1" spans="1:35">
      <c r="A1008" s="3">
        <f>IFERROR(__xludf.DUMMYFUNCTION("""COMPUTED_VALUE"""),46307)</f>
        <v>46307</v>
      </c>
      <c r="B1008" s="1" t="str">
        <f>IFERROR(__xludf.DUMMYFUNCTION("""COMPUTED_VALUE"""),"JOHNNY CALIPLIP CANTERO")</f>
        <v>JOHNNY CALIPLIP CANTERO</v>
      </c>
      <c r="C1008" s="1">
        <f>IFERROR(__xludf.DUMMYFUNCTION("""COMPUTED_VALUE"""),2313111028)</f>
        <v>2313111028</v>
      </c>
      <c r="D1008" s="1">
        <f>IFERROR(__xludf.DUMMYFUNCTION("""COMPUTED_VALUE"""),408930367)</f>
        <v>408930367</v>
      </c>
      <c r="E1008" s="1">
        <f>IFERROR(__xludf.DUMMYFUNCTION("""COMPUTED_VALUE"""),475409783004)</f>
        <v>475409783004</v>
      </c>
      <c r="F1008" s="1" t="str">
        <f>IFERROR(__xludf.DUMMYFUNCTION("""COMPUTED_VALUE"""),"CANCELED")</f>
        <v>CANCELED</v>
      </c>
      <c r="G1008" s="1" t="str">
        <f>IFERROR(__xludf.DUMMYFUNCTION("""COMPUTED_VALUE"""),"VISITED REMARKS   FULL PLDT FIBER FACILITY   ASSIGN CAFAC SILFELP270NP004 Port 3 NOT ON SITE   CUSTOMER ALREADY ADVICED NA PUNUAN NA SA AREA NILA   SILLP102NP1 FULL SILLP102NP2 NOT BROADCASTED SILLP102NP6 FULL SILLP101NP4 FULL SILLP101NP5 FULL TALK JOHN C"&amp;"ALIPLIP CANTERO 09360546188 09381171868")</f>
        <v>VISITED REMARKS   FULL PLDT FIBER FACILITY   ASSIGN CAFAC SILFELP270NP004 Port 3 NOT ON SITE   CUSTOMER ALREADY ADVICED NA PUNUAN NA SA AREA NILA   SILLP102NP1 FULL SILLP102NP2 NOT BROADCASTED SILLP102NP6 FULL SILLP101NP4 FULL SILLP101NP5 FULL TALK JOHN CALIPLIP CANTERO 09360546188 09381171868</v>
      </c>
      <c r="H1008" s="1"/>
      <c r="I1008" s="1" t="str">
        <f>IFERROR(__xludf.DUMMYFUNCTION("""COMPUTED_VALUE"""),"WITH 1 AMSF")</f>
        <v>WITH 1 AMSF</v>
      </c>
      <c r="J1008" s="1"/>
      <c r="K1008" s="1" t="str">
        <f>IFERROR(__xludf.DUMMYFUNCTION("""COMPUTED_VALUE"""),"CANCELED")</f>
        <v>CANCELED</v>
      </c>
      <c r="L1008" s="1" t="str">
        <f>IFERROR(__xludf.DUMMYFUNCTION("""COMPUTED_VALUE"""),"CANCELLED")</f>
        <v>CANCELLED</v>
      </c>
      <c r="M1008" s="1" t="str">
        <f>IFERROR(__xludf.DUMMYFUNCTION("""COMPUTED_VALUE"""),"CANCELLED - RPR")</f>
        <v>CANCELLED - RPR</v>
      </c>
      <c r="N1008" s="3"/>
      <c r="O1008" s="1" t="str">
        <f>IFERROR(__xludf.DUMMYFUNCTION("""COMPUTED_VALUE"""),"FIBER UNLI PLAN 1399")</f>
        <v>FIBER UNLI PLAN 1399</v>
      </c>
      <c r="P1008" s="1" t="str">
        <f>IFERROR(__xludf.DUMMYFUNCTION("""COMPUTED_VALUE"""),"LOWPLAN")</f>
        <v>LOWPLAN</v>
      </c>
      <c r="Q1008" s="1" t="str">
        <f>IFERROR(__xludf.DUMMYFUNCTION("""COMPUTED_VALUE"""),"P407517")</f>
        <v>P407517</v>
      </c>
      <c r="R1008" s="1" t="str">
        <f>IFERROR(__xludf.DUMMYFUNCTION("""COMPUTED_VALUE"""),"GABAY, MANUEL")</f>
        <v>GABAY, MANUEL</v>
      </c>
      <c r="S1008" s="1" t="str">
        <f>IFERROR(__xludf.DUMMYFUNCTION("""COMPUTED_VALUE"""),"FLA")</f>
        <v>FLA</v>
      </c>
      <c r="T1008" s="1" t="str">
        <f>IFERROR(__xludf.DUMMYFUNCTION("""COMPUTED_VALUE"""),"JERIC NAVARRO")</f>
        <v>JERIC NAVARRO</v>
      </c>
      <c r="U1008" s="1" t="str">
        <f>IFERROR(__xludf.DUMMYFUNCTION("""COMPUTED_VALUE"""),"JB SALIOA")</f>
        <v>JB SALIOA</v>
      </c>
      <c r="V1008" s="1" t="str">
        <f>IFERROR(__xludf.DUMMYFUNCTION("""COMPUTED_VALUE"""),"BK REGULAR")</f>
        <v>BK REGULAR</v>
      </c>
      <c r="W1008" s="1" t="str">
        <f>IFERROR(__xludf.DUMMYFUNCTION("""COMPUTED_VALUE"""),"STK REGULAR")</f>
        <v>STK REGULAR</v>
      </c>
      <c r="X1008" s="1" t="str">
        <f>IFERROR(__xludf.DUMMYFUNCTION("""COMPUTED_VALUE"""),"FIBER 1399 98TH YR")</f>
        <v>FIBER 1399 98TH YR</v>
      </c>
      <c r="Y1008" s="1" t="str">
        <f>IFERROR(__xludf.DUMMYFUNCTION("""COMPUTED_VALUE"""),"BK_CVEU_261006")</f>
        <v>BK_CVEU_261006</v>
      </c>
      <c r="Z1008" s="1" t="str">
        <f>IFERROR(__xludf.DUMMYFUNCTION("""COMPUTED_VALUE"""),"NEW CONNECT")</f>
        <v>NEW CONNECT</v>
      </c>
      <c r="AA1008" s="1">
        <f>IFERROR(__xludf.DUMMYFUNCTION("""COMPUTED_VALUE"""),639360546188)</f>
        <v>639360546188</v>
      </c>
      <c r="AB1008" s="1">
        <f>IFERROR(__xludf.DUMMYFUNCTION("""COMPUTED_VALUE"""),639381171868)</f>
        <v>639381171868</v>
      </c>
      <c r="AC1008" s="1"/>
      <c r="AD1008" s="1" t="str">
        <f>IFERROR(__xludf.DUMMYFUNCTION("""COMPUTED_VALUE"""),"TAGAYTAY-STA ROSA")</f>
        <v>TAGAYTAY-STA ROSA</v>
      </c>
      <c r="AE1008" s="1" t="str">
        <f>IFERROR(__xludf.DUMMYFUNCTION("""COMPUTED_VALUE"""),"PUROK 1")</f>
        <v>PUROK 1</v>
      </c>
      <c r="AF1008" s="1" t="str">
        <f>IFERROR(__xludf.DUMMYFUNCTION("""COMPUTED_VALUE"""),"BGY PUTING KAHOY")</f>
        <v>BGY PUTING KAHOY</v>
      </c>
      <c r="AG1008" s="1" t="str">
        <f>IFERROR(__xludf.DUMMYFUNCTION("""COMPUTED_VALUE"""),"SILANG")</f>
        <v>SILANG</v>
      </c>
      <c r="AH1008" s="1" t="str">
        <f>IFERROR(__xludf.DUMMYFUNCTION("""COMPUTED_VALUE"""),"PUROK 1")</f>
        <v>PUROK 1</v>
      </c>
      <c r="AI1008" s="1" t="str">
        <f>IFERROR(__xludf.DUMMYFUNCTION("""COMPUTED_VALUE"""),"CLUSTER 11")</f>
        <v>CLUSTER 11</v>
      </c>
    </row>
    <row r="1009" customHeight="1" spans="1:35">
      <c r="A1009" s="3">
        <f>IFERROR(__xludf.DUMMYFUNCTION("""COMPUTED_VALUE"""),46307)</f>
        <v>46307</v>
      </c>
      <c r="B1009" s="1" t="str">
        <f>IFERROR(__xludf.DUMMYFUNCTION("""COMPUTED_VALUE"""),"LESLIE ANN GARCIA GAYTANO")</f>
        <v>LESLIE ANN GARCIA GAYTANO</v>
      </c>
      <c r="C1009" s="1">
        <f>IFERROR(__xludf.DUMMYFUNCTION("""COMPUTED_VALUE"""),2313111427)</f>
        <v>2313111427</v>
      </c>
      <c r="D1009" s="1"/>
      <c r="E1009" s="1"/>
      <c r="F1009" s="1" t="str">
        <f>IFERROR(__xludf.DUMMYFUNCTION("""COMPUTED_VALUE"""),"CANCELLED")</f>
        <v>CANCELLED</v>
      </c>
      <c r="G1009" s="1" t="str">
        <f>IFERROR(__xludf.DUMMYFUNCTION("""COMPUTED_VALUE"""),"FOR SETTLEMENT AC#0267108021 WITH OB AMOUNTING TO PHP3 033.00")</f>
        <v>FOR SETTLEMENT AC#0267108021 WITH OB AMOUNTING TO PHP3 033.00</v>
      </c>
      <c r="H1009" s="1"/>
      <c r="I1009" s="1"/>
      <c r="J1009" s="1"/>
      <c r="K1009" s="1"/>
      <c r="L1009" s="1" t="str">
        <f>IFERROR(__xludf.DUMMYFUNCTION("""COMPUTED_VALUE"""),"CANCELLED")</f>
        <v>CANCELLED</v>
      </c>
      <c r="M1009" s="1" t="str">
        <f>IFERROR(__xludf.DUMMYFUNCTION("""COMPUTED_VALUE"""),"CANCELLED - WITH OB")</f>
        <v>CANCELLED - WITH OB</v>
      </c>
      <c r="N1009" s="3"/>
      <c r="O1009" s="1" t="str">
        <f>IFERROR(__xludf.DUMMYFUNCTION("""COMPUTED_VALUE"""),"FIBER UNLI PLAN 1399")</f>
        <v>FIBER UNLI PLAN 1399</v>
      </c>
      <c r="P1009" s="1" t="str">
        <f>IFERROR(__xludf.DUMMYFUNCTION("""COMPUTED_VALUE"""),"LOWPLAN")</f>
        <v>LOWPLAN</v>
      </c>
      <c r="Q1009" s="1" t="str">
        <f>IFERROR(__xludf.DUMMYFUNCTION("""COMPUTED_VALUE"""),"P407520")</f>
        <v>P407520</v>
      </c>
      <c r="R1009" s="1" t="str">
        <f>IFERROR(__xludf.DUMMYFUNCTION("""COMPUTED_VALUE"""),"MALIWAT, MARK")</f>
        <v>MALIWAT, MARK</v>
      </c>
      <c r="S1009" s="1" t="str">
        <f>IFERROR(__xludf.DUMMYFUNCTION("""COMPUTED_VALUE"""),"FLA")</f>
        <v>FLA</v>
      </c>
      <c r="T1009" s="1" t="str">
        <f>IFERROR(__xludf.DUMMYFUNCTION("""COMPUTED_VALUE"""),"JERIC NAVARRO")</f>
        <v>JERIC NAVARRO</v>
      </c>
      <c r="U1009" s="1" t="str">
        <f>IFERROR(__xludf.DUMMYFUNCTION("""COMPUTED_VALUE"""),"JB SALIOA")</f>
        <v>JB SALIOA</v>
      </c>
      <c r="V1009" s="1" t="str">
        <f>IFERROR(__xludf.DUMMYFUNCTION("""COMPUTED_VALUE"""),"BK REGULAR")</f>
        <v>BK REGULAR</v>
      </c>
      <c r="W1009" s="1" t="str">
        <f>IFERROR(__xludf.DUMMYFUNCTION("""COMPUTED_VALUE"""),"STK REGULAR")</f>
        <v>STK REGULAR</v>
      </c>
      <c r="X1009" s="1" t="str">
        <f>IFERROR(__xludf.DUMMYFUNCTION("""COMPUTED_VALUE"""),"FIBER 1399 98TH YR")</f>
        <v>FIBER 1399 98TH YR</v>
      </c>
      <c r="Y1009" s="1" t="str">
        <f>IFERROR(__xludf.DUMMYFUNCTION("""COMPUTED_VALUE"""),"BK_CVEU_261001")</f>
        <v>BK_CVEU_261001</v>
      </c>
      <c r="Z1009" s="1" t="str">
        <f>IFERROR(__xludf.DUMMYFUNCTION("""COMPUTED_VALUE"""),"NEW CONNECT")</f>
        <v>NEW CONNECT</v>
      </c>
      <c r="AA1009" s="1">
        <f>IFERROR(__xludf.DUMMYFUNCTION("""COMPUTED_VALUE"""),639176230272)</f>
        <v>639176230272</v>
      </c>
      <c r="AB1009" s="1">
        <f>IFERROR(__xludf.DUMMYFUNCTION("""COMPUTED_VALUE"""),639178772360)</f>
        <v>639178772360</v>
      </c>
      <c r="AC1009" s="1">
        <f>IFERROR(__xludf.DUMMYFUNCTION("""COMPUTED_VALUE"""),1095)</f>
        <v>1095</v>
      </c>
      <c r="AD1009" s="1" t="str">
        <f>IFERROR(__xludf.DUMMYFUNCTION("""COMPUTED_VALUE"""),"UPLI")</f>
        <v>UPLI</v>
      </c>
      <c r="AE1009" s="1"/>
      <c r="AF1009" s="1" t="str">
        <f>IFERROR(__xludf.DUMMYFUNCTION("""COMPUTED_VALUE"""),"BGY UPLI")</f>
        <v>BGY UPLI</v>
      </c>
      <c r="AG1009" s="1" t="str">
        <f>IFERROR(__xludf.DUMMYFUNCTION("""COMPUTED_VALUE"""),"ALFONSO")</f>
        <v>ALFONSO</v>
      </c>
      <c r="AH1009" s="1" t="str">
        <f>IFERROR(__xludf.DUMMYFUNCTION("""COMPUTED_VALUE"""),"BACK OF JESUS IS LORD")</f>
        <v>BACK OF JESUS IS LORD</v>
      </c>
      <c r="AI1009" s="1" t="str">
        <f>IFERROR(__xludf.DUMMYFUNCTION("""COMPUTED_VALUE"""),"CLUSTER 12")</f>
        <v>CLUSTER 12</v>
      </c>
    </row>
    <row r="1010" customHeight="1" spans="1:35">
      <c r="A1010" s="3">
        <f>IFERROR(__xludf.DUMMYFUNCTION("""COMPUTED_VALUE"""),46307)</f>
        <v>46307</v>
      </c>
      <c r="B1010" s="1" t="str">
        <f>IFERROR(__xludf.DUMMYFUNCTION("""COMPUTED_VALUE"""),"FE ABUG GRATIL")</f>
        <v>FE ABUG GRATIL</v>
      </c>
      <c r="C1010" s="1">
        <f>IFERROR(__xludf.DUMMYFUNCTION("""COMPUTED_VALUE"""),2313111829)</f>
        <v>2313111829</v>
      </c>
      <c r="D1010" s="1">
        <f>IFERROR(__xludf.DUMMYFUNCTION("""COMPUTED_VALUE"""),408898641)</f>
        <v>408898641</v>
      </c>
      <c r="E1010" s="1">
        <f>IFERROR(__xludf.DUMMYFUNCTION("""COMPUTED_VALUE"""),475280599004)</f>
        <v>475280599004</v>
      </c>
      <c r="F1010" s="1" t="str">
        <f>IFERROR(__xludf.DUMMYFUNCTION("""COMPUTED_VALUE"""),"FOR PAYMENT")</f>
        <v>FOR PAYMENT</v>
      </c>
      <c r="G1010" s="1" t="str">
        <f>IFERROR(__xludf.DUMMYFUNCTION("""COMPUTED_VALUE"""),"FOR PAYMENT")</f>
        <v>FOR PAYMENT</v>
      </c>
      <c r="H1010" s="1" t="str">
        <f>IFERROR(__xludf.DUMMYFUNCTION("""COMPUTED_VALUE"""),"UNATENDED CBR")</f>
        <v>UNATENDED CBR</v>
      </c>
      <c r="I1010" s="1"/>
      <c r="J1010" s="1"/>
      <c r="K1010" s="1" t="str">
        <f>IFERROR(__xludf.DUMMYFUNCTION("""COMPUTED_VALUE"""),"NOT IN OFSC")</f>
        <v>NOT IN OFSC</v>
      </c>
      <c r="L1010" s="1" t="str">
        <f>IFERROR(__xludf.DUMMYFUNCTION("""COMPUTED_VALUE"""),"FOR PAYMENT")</f>
        <v>FOR PAYMENT</v>
      </c>
      <c r="M1010" s="1" t="str">
        <f>IFERROR(__xludf.DUMMYFUNCTION("""COMPUTED_VALUE"""),"FOR PAYMENT - FOR CALL OUT")</f>
        <v>FOR PAYMENT - FOR CALL OUT</v>
      </c>
      <c r="N1010" s="3"/>
      <c r="O1010" s="1" t="str">
        <f>IFERROR(__xludf.DUMMYFUNCTION("""COMPUTED_VALUE"""),"FIBER UNLI PLAN 1399")</f>
        <v>FIBER UNLI PLAN 1399</v>
      </c>
      <c r="P1010" s="1" t="str">
        <f>IFERROR(__xludf.DUMMYFUNCTION("""COMPUTED_VALUE"""),"LOWPLAN")</f>
        <v>LOWPLAN</v>
      </c>
      <c r="Q1010" s="1" t="str">
        <f>IFERROR(__xludf.DUMMYFUNCTION("""COMPUTED_VALUE"""),"P407560")</f>
        <v>P407560</v>
      </c>
      <c r="R1010" s="1" t="str">
        <f>IFERROR(__xludf.DUMMYFUNCTION("""COMPUTED_VALUE"""),"LOTOJA, LOVELY JOICE")</f>
        <v>LOTOJA, LOVELY JOICE</v>
      </c>
      <c r="S1010" s="1" t="str">
        <f>IFERROR(__xludf.DUMMYFUNCTION("""COMPUTED_VALUE"""),"ORGANIC")</f>
        <v>ORGANIC</v>
      </c>
      <c r="T1010" s="1" t="str">
        <f>IFERROR(__xludf.DUMMYFUNCTION("""COMPUTED_VALUE"""),"LEA REMOLLO")</f>
        <v>LEA REMOLLO</v>
      </c>
      <c r="U1010" s="1" t="str">
        <f>IFERROR(__xludf.DUMMYFUNCTION("""COMPUTED_VALUE"""),"JB SALIOA")</f>
        <v>JB SALIOA</v>
      </c>
      <c r="V1010" s="1" t="str">
        <f>IFERROR(__xludf.DUMMYFUNCTION("""COMPUTED_VALUE"""),"BK HSTK")</f>
        <v>BK HSTK</v>
      </c>
      <c r="W1010" s="1" t="str">
        <f>IFERROR(__xludf.DUMMYFUNCTION("""COMPUTED_VALUE"""),"BK HSTK")</f>
        <v>BK HSTK</v>
      </c>
      <c r="X1010" s="1" t="str">
        <f>IFERROR(__xludf.DUMMYFUNCTION("""COMPUTED_VALUE"""),"FIBER 1399 98TH YR")</f>
        <v>FIBER 1399 98TH YR</v>
      </c>
      <c r="Y1010" s="1" t="str">
        <f>IFERROR(__xludf.DUMMYFUNCTION("""COMPUTED_VALUE"""),"BK_CVEU_261006")</f>
        <v>BK_CVEU_261006</v>
      </c>
      <c r="Z1010" s="1" t="str">
        <f>IFERROR(__xludf.DUMMYFUNCTION("""COMPUTED_VALUE"""),"NEW CONNECT")</f>
        <v>NEW CONNECT</v>
      </c>
      <c r="AA1010" s="1">
        <f>IFERROR(__xludf.DUMMYFUNCTION("""COMPUTED_VALUE"""),639709217465)</f>
        <v>639709217465</v>
      </c>
      <c r="AB1010" s="1"/>
      <c r="AC1010" s="1"/>
      <c r="AD1010" s="1" t="str">
        <f>IFERROR(__xludf.DUMMYFUNCTION("""COMPUTED_VALUE"""),"IPIL 2")</f>
        <v>IPIL 2</v>
      </c>
      <c r="AE1010" s="1"/>
      <c r="AF1010" s="1" t="str">
        <f>IFERROR(__xludf.DUMMYFUNCTION("""COMPUTED_VALUE"""),"BGY IPIL 2")</f>
        <v>BGY IPIL 2</v>
      </c>
      <c r="AG1010" s="1" t="str">
        <f>IFERROR(__xludf.DUMMYFUNCTION("""COMPUTED_VALUE"""),"SILANG")</f>
        <v>SILANG</v>
      </c>
      <c r="AH1010" s="1" t="str">
        <f>IFERROR(__xludf.DUMMYFUNCTION("""COMPUTED_VALUE"""),"COVERED COURT")</f>
        <v>COVERED COURT</v>
      </c>
      <c r="AI1010" s="1" t="str">
        <f>IFERROR(__xludf.DUMMYFUNCTION("""COMPUTED_VALUE"""),"CLUSTER 11")</f>
        <v>CLUSTER 11</v>
      </c>
    </row>
    <row r="1011" customHeight="1" spans="1:35">
      <c r="A1011" s="3">
        <f>IFERROR(__xludf.DUMMYFUNCTION("""COMPUTED_VALUE"""),46307)</f>
        <v>46307</v>
      </c>
      <c r="B1011" s="1" t="str">
        <f>IFERROR(__xludf.DUMMYFUNCTION("""COMPUTED_VALUE"""),"JOHN NIKKO BERATIO MADIA")</f>
        <v>JOHN NIKKO BERATIO MADIA</v>
      </c>
      <c r="C1011" s="1">
        <f>IFERROR(__xludf.DUMMYFUNCTION("""COMPUTED_VALUE"""),2313112292)</f>
        <v>2313112292</v>
      </c>
      <c r="D1011" s="1">
        <f>IFERROR(__xludf.DUMMYFUNCTION("""COMPUTED_VALUE"""),408921015)</f>
        <v>408921015</v>
      </c>
      <c r="E1011" s="1">
        <f>IFERROR(__xludf.DUMMYFUNCTION("""COMPUTED_VALUE"""),475325168004)</f>
        <v>475325168004</v>
      </c>
      <c r="F1011" s="1" t="str">
        <f>IFERROR(__xludf.DUMMYFUNCTION("""COMPUTED_VALUE"""),"FOR PAYMENT")</f>
        <v>FOR PAYMENT</v>
      </c>
      <c r="G1011" s="1" t="str">
        <f>IFERROR(__xludf.DUMMYFUNCTION("""COMPUTED_VALUE"""),"FOR PAYMENT")</f>
        <v>FOR PAYMENT</v>
      </c>
      <c r="H1011" s="1" t="str">
        <f>IFERROR(__xludf.DUMMYFUNCTION("""COMPUTED_VALUE"""),"CBR AUTO BUSY / AS PER AGENT OCT 21 DAW ITO MAGBABAYAD")</f>
        <v>CBR AUTO BUSY / AS PER AGENT OCT 21 DAW ITO MAGBABAYAD</v>
      </c>
      <c r="I1011" s="1"/>
      <c r="J1011" s="1"/>
      <c r="K1011" s="1" t="str">
        <f>IFERROR(__xludf.DUMMYFUNCTION("""COMPUTED_VALUE"""),"NOT IN OFSC")</f>
        <v>NOT IN OFSC</v>
      </c>
      <c r="L1011" s="1" t="str">
        <f>IFERROR(__xludf.DUMMYFUNCTION("""COMPUTED_VALUE"""),"FOR PAYMENT")</f>
        <v>FOR PAYMENT</v>
      </c>
      <c r="M1011" s="1" t="str">
        <f>IFERROR(__xludf.DUMMYFUNCTION("""COMPUTED_VALUE"""),"FOR PAYMENT - FOR CALL OUT")</f>
        <v>FOR PAYMENT - FOR CALL OUT</v>
      </c>
      <c r="N1011" s="3"/>
      <c r="O1011" s="1" t="str">
        <f>IFERROR(__xludf.DUMMYFUNCTION("""COMPUTED_VALUE"""),"FIBER UNLI PLAN 1399")</f>
        <v>FIBER UNLI PLAN 1399</v>
      </c>
      <c r="P1011" s="1" t="str">
        <f>IFERROR(__xludf.DUMMYFUNCTION("""COMPUTED_VALUE"""),"LOWPLAN")</f>
        <v>LOWPLAN</v>
      </c>
      <c r="Q1011" s="1" t="str">
        <f>IFERROR(__xludf.DUMMYFUNCTION("""COMPUTED_VALUE"""),"P407050")</f>
        <v>P407050</v>
      </c>
      <c r="R1011" s="1" t="str">
        <f>IFERROR(__xludf.DUMMYFUNCTION("""COMPUTED_VALUE"""),"ESCARCHA, ALMA")</f>
        <v>ESCARCHA, ALMA</v>
      </c>
      <c r="S1011" s="1" t="str">
        <f>IFERROR(__xludf.DUMMYFUNCTION("""COMPUTED_VALUE"""),"ORGANIC")</f>
        <v>ORGANIC</v>
      </c>
      <c r="T1011" s="1" t="str">
        <f>IFERROR(__xludf.DUMMYFUNCTION("""COMPUTED_VALUE"""),"LEA REMOLLO")</f>
        <v>LEA REMOLLO</v>
      </c>
      <c r="U1011" s="1" t="str">
        <f>IFERROR(__xludf.DUMMYFUNCTION("""COMPUTED_VALUE"""),"JB SALIOA")</f>
        <v>JB SALIOA</v>
      </c>
      <c r="V1011" s="1" t="str">
        <f>IFERROR(__xludf.DUMMYFUNCTION("""COMPUTED_VALUE"""),"BK HSTK")</f>
        <v>BK HSTK</v>
      </c>
      <c r="W1011" s="1" t="str">
        <f>IFERROR(__xludf.DUMMYFUNCTION("""COMPUTED_VALUE"""),"BK HSTK")</f>
        <v>BK HSTK</v>
      </c>
      <c r="X1011" s="1" t="str">
        <f>IFERROR(__xludf.DUMMYFUNCTION("""COMPUTED_VALUE"""),"FIBER 1399 98TH YR")</f>
        <v>FIBER 1399 98TH YR</v>
      </c>
      <c r="Y1011" s="1" t="str">
        <f>IFERROR(__xludf.DUMMYFUNCTION("""COMPUTED_VALUE"""),"BK_CVEU_261006")</f>
        <v>BK_CVEU_261006</v>
      </c>
      <c r="Z1011" s="1" t="str">
        <f>IFERROR(__xludf.DUMMYFUNCTION("""COMPUTED_VALUE"""),"NEW CONNECT")</f>
        <v>NEW CONNECT</v>
      </c>
      <c r="AA1011" s="1">
        <f>IFERROR(__xludf.DUMMYFUNCTION("""COMPUTED_VALUE"""),639852971605)</f>
        <v>639852971605</v>
      </c>
      <c r="AB1011" s="1"/>
      <c r="AC1011" s="1"/>
      <c r="AD1011" s="1" t="str">
        <f>IFERROR(__xludf.DUMMYFUNCTION("""COMPUTED_VALUE"""),"IPIL 2")</f>
        <v>IPIL 2</v>
      </c>
      <c r="AE1011" s="1"/>
      <c r="AF1011" s="1" t="str">
        <f>IFERROR(__xludf.DUMMYFUNCTION("""COMPUTED_VALUE"""),"BGY IPIL 2")</f>
        <v>BGY IPIL 2</v>
      </c>
      <c r="AG1011" s="1" t="str">
        <f>IFERROR(__xludf.DUMMYFUNCTION("""COMPUTED_VALUE"""),"SILANG")</f>
        <v>SILANG</v>
      </c>
      <c r="AH1011" s="1" t="str">
        <f>IFERROR(__xludf.DUMMYFUNCTION("""COMPUTED_VALUE"""),"COVERED COURT")</f>
        <v>COVERED COURT</v>
      </c>
      <c r="AI1011" s="1" t="str">
        <f>IFERROR(__xludf.DUMMYFUNCTION("""COMPUTED_VALUE"""),"CLUSTER 11")</f>
        <v>CLUSTER 11</v>
      </c>
    </row>
    <row r="1012" customHeight="1" spans="1:35">
      <c r="A1012" s="3">
        <f>IFERROR(__xludf.DUMMYFUNCTION("""COMPUTED_VALUE"""),46307)</f>
        <v>46307</v>
      </c>
      <c r="B1012" s="1" t="str">
        <f>IFERROR(__xludf.DUMMYFUNCTION("""COMPUTED_VALUE"""),"NIEN JOY MADIA ILAGAN")</f>
        <v>NIEN JOY MADIA ILAGAN</v>
      </c>
      <c r="C1012" s="1">
        <f>IFERROR(__xludf.DUMMYFUNCTION("""COMPUTED_VALUE"""),2313112902)</f>
        <v>2313112902</v>
      </c>
      <c r="D1012" s="1">
        <f>IFERROR(__xludf.DUMMYFUNCTION("""COMPUTED_VALUE"""),408901294)</f>
        <v>408901294</v>
      </c>
      <c r="E1012" s="1">
        <f>IFERROR(__xludf.DUMMYFUNCTION("""COMPUTED_VALUE"""),475285371004)</f>
        <v>475285371004</v>
      </c>
      <c r="F1012" s="1" t="str">
        <f>IFERROR(__xludf.DUMMYFUNCTION("""COMPUTED_VALUE"""),"FOR PAYMENT")</f>
        <v>FOR PAYMENT</v>
      </c>
      <c r="G1012" s="1" t="str">
        <f>IFERROR(__xludf.DUMMYFUNCTION("""COMPUTED_VALUE"""),"FOR PAYMENT")</f>
        <v>FOR PAYMENT</v>
      </c>
      <c r="H1012" s="1" t="str">
        <f>IFERROR(__xludf.DUMMYFUNCTION("""COMPUTED_VALUE"""),"UNATTENDED CBR / AS PER AGENT OCT 21 DAW ITO MAGBABAYAD")</f>
        <v>UNATTENDED CBR / AS PER AGENT OCT 21 DAW ITO MAGBABAYAD</v>
      </c>
      <c r="I1012" s="1"/>
      <c r="J1012" s="1"/>
      <c r="K1012" s="1" t="str">
        <f>IFERROR(__xludf.DUMMYFUNCTION("""COMPUTED_VALUE"""),"NOT IN OFSC")</f>
        <v>NOT IN OFSC</v>
      </c>
      <c r="L1012" s="1" t="str">
        <f>IFERROR(__xludf.DUMMYFUNCTION("""COMPUTED_VALUE"""),"FOR PAYMENT")</f>
        <v>FOR PAYMENT</v>
      </c>
      <c r="M1012" s="1" t="str">
        <f>IFERROR(__xludf.DUMMYFUNCTION("""COMPUTED_VALUE"""),"FOR PAYMENT - FOR CALL OUT")</f>
        <v>FOR PAYMENT - FOR CALL OUT</v>
      </c>
      <c r="N1012" s="3"/>
      <c r="O1012" s="1" t="str">
        <f>IFERROR(__xludf.DUMMYFUNCTION("""COMPUTED_VALUE"""),"FIBER UNLI PLAN 1399")</f>
        <v>FIBER UNLI PLAN 1399</v>
      </c>
      <c r="P1012" s="1" t="str">
        <f>IFERROR(__xludf.DUMMYFUNCTION("""COMPUTED_VALUE"""),"LOWPLAN")</f>
        <v>LOWPLAN</v>
      </c>
      <c r="Q1012" s="1" t="str">
        <f>IFERROR(__xludf.DUMMYFUNCTION("""COMPUTED_VALUE"""),"P407050")</f>
        <v>P407050</v>
      </c>
      <c r="R1012" s="1" t="str">
        <f>IFERROR(__xludf.DUMMYFUNCTION("""COMPUTED_VALUE"""),"ESCARCHA, ALMA")</f>
        <v>ESCARCHA, ALMA</v>
      </c>
      <c r="S1012" s="1" t="str">
        <f>IFERROR(__xludf.DUMMYFUNCTION("""COMPUTED_VALUE"""),"ORGANIC")</f>
        <v>ORGANIC</v>
      </c>
      <c r="T1012" s="1" t="str">
        <f>IFERROR(__xludf.DUMMYFUNCTION("""COMPUTED_VALUE"""),"LEA REMOLLO")</f>
        <v>LEA REMOLLO</v>
      </c>
      <c r="U1012" s="1" t="str">
        <f>IFERROR(__xludf.DUMMYFUNCTION("""COMPUTED_VALUE"""),"JB SALIOA")</f>
        <v>JB SALIOA</v>
      </c>
      <c r="V1012" s="1" t="str">
        <f>IFERROR(__xludf.DUMMYFUNCTION("""COMPUTED_VALUE"""),"BK HSTK")</f>
        <v>BK HSTK</v>
      </c>
      <c r="W1012" s="1" t="str">
        <f>IFERROR(__xludf.DUMMYFUNCTION("""COMPUTED_VALUE"""),"BK HSTK")</f>
        <v>BK HSTK</v>
      </c>
      <c r="X1012" s="1" t="str">
        <f>IFERROR(__xludf.DUMMYFUNCTION("""COMPUTED_VALUE"""),"FIBER 1399 98TH YR")</f>
        <v>FIBER 1399 98TH YR</v>
      </c>
      <c r="Y1012" s="1" t="str">
        <f>IFERROR(__xludf.DUMMYFUNCTION("""COMPUTED_VALUE"""),"BK_CVEU_261006")</f>
        <v>BK_CVEU_261006</v>
      </c>
      <c r="Z1012" s="1" t="str">
        <f>IFERROR(__xludf.DUMMYFUNCTION("""COMPUTED_VALUE"""),"NEW CONNECT")</f>
        <v>NEW CONNECT</v>
      </c>
      <c r="AA1012" s="1">
        <f>IFERROR(__xludf.DUMMYFUNCTION("""COMPUTED_VALUE"""),639660136788)</f>
        <v>639660136788</v>
      </c>
      <c r="AB1012" s="1"/>
      <c r="AC1012" s="1"/>
      <c r="AD1012" s="1" t="str">
        <f>IFERROR(__xludf.DUMMYFUNCTION("""COMPUTED_VALUE"""),"IPIL 2")</f>
        <v>IPIL 2</v>
      </c>
      <c r="AE1012" s="1"/>
      <c r="AF1012" s="1" t="str">
        <f>IFERROR(__xludf.DUMMYFUNCTION("""COMPUTED_VALUE"""),"BGY IPIL 2")</f>
        <v>BGY IPIL 2</v>
      </c>
      <c r="AG1012" s="1" t="str">
        <f>IFERROR(__xludf.DUMMYFUNCTION("""COMPUTED_VALUE"""),"SILANG")</f>
        <v>SILANG</v>
      </c>
      <c r="AH1012" s="1" t="str">
        <f>IFERROR(__xludf.DUMMYFUNCTION("""COMPUTED_VALUE"""),"-")</f>
        <v>-</v>
      </c>
      <c r="AI1012" s="1" t="str">
        <f>IFERROR(__xludf.DUMMYFUNCTION("""COMPUTED_VALUE"""),"CLUSTER 11")</f>
        <v>CLUSTER 11</v>
      </c>
    </row>
    <row r="1013" customHeight="1" spans="1:35">
      <c r="A1013" s="3">
        <f>IFERROR(__xludf.DUMMYFUNCTION("""COMPUTED_VALUE"""),46307)</f>
        <v>46307</v>
      </c>
      <c r="B1013" s="1" t="str">
        <f>IFERROR(__xludf.DUMMYFUNCTION("""COMPUTED_VALUE"""),"DANIEL CALMA MANCIA")</f>
        <v>DANIEL CALMA MANCIA</v>
      </c>
      <c r="C1013" s="1">
        <f>IFERROR(__xludf.DUMMYFUNCTION("""COMPUTED_VALUE"""),2313113641)</f>
        <v>2313113641</v>
      </c>
      <c r="D1013" s="1">
        <f>IFERROR(__xludf.DUMMYFUNCTION("""COMPUTED_VALUE"""),408905877)</f>
        <v>408905877</v>
      </c>
      <c r="E1013" s="1">
        <f>IFERROR(__xludf.DUMMYFUNCTION("""COMPUTED_VALUE"""),475288985004)</f>
        <v>475288985004</v>
      </c>
      <c r="F1013" s="1" t="str">
        <f>IFERROR(__xludf.DUMMYFUNCTION("""COMPUTED_VALUE"""),"FOR PAYMENT")</f>
        <v>FOR PAYMENT</v>
      </c>
      <c r="G1013" s="1" t="str">
        <f>IFERROR(__xludf.DUMMYFUNCTION("""COMPUTED_VALUE"""),"FOR PAYMENT")</f>
        <v>FOR PAYMENT</v>
      </c>
      <c r="H1013" s="1" t="str">
        <f>IFERROR(__xludf.DUMMYFUNCTION("""COMPUTED_VALUE"""),"CANNOT BE REACHED ")</f>
        <v>CANNOT BE REACHED </v>
      </c>
      <c r="I1013" s="1"/>
      <c r="J1013" s="1"/>
      <c r="K1013" s="1" t="str">
        <f>IFERROR(__xludf.DUMMYFUNCTION("""COMPUTED_VALUE"""),"NOT IN OFSC")</f>
        <v>NOT IN OFSC</v>
      </c>
      <c r="L1013" s="1" t="str">
        <f>IFERROR(__xludf.DUMMYFUNCTION("""COMPUTED_VALUE"""),"FOR PAYMENT")</f>
        <v>FOR PAYMENT</v>
      </c>
      <c r="M1013" s="1" t="str">
        <f>IFERROR(__xludf.DUMMYFUNCTION("""COMPUTED_VALUE"""),"FOR PAYMENT - FOR CALL OUT")</f>
        <v>FOR PAYMENT - FOR CALL OUT</v>
      </c>
      <c r="N1013" s="3"/>
      <c r="O1013" s="1" t="str">
        <f>IFERROR(__xludf.DUMMYFUNCTION("""COMPUTED_VALUE"""),"FIBR UNLI ALL PLAN 999")</f>
        <v>FIBR UNLI ALL PLAN 999</v>
      </c>
      <c r="P1013" s="1" t="str">
        <f>IFERROR(__xludf.DUMMYFUNCTION("""COMPUTED_VALUE"""),"LOWPLAN")</f>
        <v>LOWPLAN</v>
      </c>
      <c r="Q1013" s="1" t="str">
        <f>IFERROR(__xludf.DUMMYFUNCTION("""COMPUTED_VALUE"""),"P407560")</f>
        <v>P407560</v>
      </c>
      <c r="R1013" s="1" t="str">
        <f>IFERROR(__xludf.DUMMYFUNCTION("""COMPUTED_VALUE"""),"LOTOJA, LOVELY JOICE")</f>
        <v>LOTOJA, LOVELY JOICE</v>
      </c>
      <c r="S1013" s="1" t="str">
        <f>IFERROR(__xludf.DUMMYFUNCTION("""COMPUTED_VALUE"""),"ORGANIC")</f>
        <v>ORGANIC</v>
      </c>
      <c r="T1013" s="1" t="str">
        <f>IFERROR(__xludf.DUMMYFUNCTION("""COMPUTED_VALUE"""),"LEA REMOLLO")</f>
        <v>LEA REMOLLO</v>
      </c>
      <c r="U1013" s="1" t="str">
        <f>IFERROR(__xludf.DUMMYFUNCTION("""COMPUTED_VALUE"""),"JB SALIOA")</f>
        <v>JB SALIOA</v>
      </c>
      <c r="V1013" s="1" t="str">
        <f>IFERROR(__xludf.DUMMYFUNCTION("""COMPUTED_VALUE"""),"BK HSTK")</f>
        <v>BK HSTK</v>
      </c>
      <c r="W1013" s="1" t="str">
        <f>IFERROR(__xludf.DUMMYFUNCTION("""COMPUTED_VALUE"""),"BK HSTK")</f>
        <v>BK HSTK</v>
      </c>
      <c r="X1013" s="1" t="str">
        <f>IFERROR(__xludf.DUMMYFUNCTION("""COMPUTED_VALUE"""),"FIBER 1399 98TH YR")</f>
        <v>FIBER 1399 98TH YR</v>
      </c>
      <c r="Y1013" s="1" t="str">
        <f>IFERROR(__xludf.DUMMYFUNCTION("""COMPUTED_VALUE"""),"BK_CVEU_261006")</f>
        <v>BK_CVEU_261006</v>
      </c>
      <c r="Z1013" s="1" t="str">
        <f>IFERROR(__xludf.DUMMYFUNCTION("""COMPUTED_VALUE"""),"NEW CONNECT")</f>
        <v>NEW CONNECT</v>
      </c>
      <c r="AA1013" s="1">
        <f>IFERROR(__xludf.DUMMYFUNCTION("""COMPUTED_VALUE"""),639687604817)</f>
        <v>639687604817</v>
      </c>
      <c r="AB1013" s="1">
        <f>IFERROR(__xludf.DUMMYFUNCTION("""COMPUTED_VALUE"""),639702702645)</f>
        <v>639702702645</v>
      </c>
      <c r="AC1013" s="1"/>
      <c r="AD1013" s="1" t="str">
        <f>IFERROR(__xludf.DUMMYFUNCTION("""COMPUTED_VALUE"""),"IPIL 2")</f>
        <v>IPIL 2</v>
      </c>
      <c r="AE1013" s="1"/>
      <c r="AF1013" s="1" t="str">
        <f>IFERROR(__xludf.DUMMYFUNCTION("""COMPUTED_VALUE"""),"BGY IPIL 2")</f>
        <v>BGY IPIL 2</v>
      </c>
      <c r="AG1013" s="1" t="str">
        <f>IFERROR(__xludf.DUMMYFUNCTION("""COMPUTED_VALUE"""),"SILANG")</f>
        <v>SILANG</v>
      </c>
      <c r="AH1013" s="1" t="str">
        <f>IFERROR(__xludf.DUMMYFUNCTION("""COMPUTED_VALUE"""),"IPIL II COVERED COURT")</f>
        <v>IPIL II COVERED COURT</v>
      </c>
      <c r="AI1013" s="1" t="str">
        <f>IFERROR(__xludf.DUMMYFUNCTION("""COMPUTED_VALUE"""),"CLUSTER 11")</f>
        <v>CLUSTER 11</v>
      </c>
    </row>
    <row r="1014" customHeight="1" spans="1:35">
      <c r="A1014" s="3">
        <f>IFERROR(__xludf.DUMMYFUNCTION("""COMPUTED_VALUE"""),46307)</f>
        <v>46307</v>
      </c>
      <c r="B1014" s="1" t="str">
        <f>IFERROR(__xludf.DUMMYFUNCTION("""COMPUTED_VALUE"""),"JESSA GABO DENILA")</f>
        <v>JESSA GABO DENILA</v>
      </c>
      <c r="C1014" s="1">
        <f>IFERROR(__xludf.DUMMYFUNCTION("""COMPUTED_VALUE"""),2313115873)</f>
        <v>2313115873</v>
      </c>
      <c r="D1014" s="1">
        <f>IFERROR(__xludf.DUMMYFUNCTION("""COMPUTED_VALUE"""),408993571)</f>
        <v>408993571</v>
      </c>
      <c r="E1014" s="1">
        <f>IFERROR(__xludf.DUMMYFUNCTION("""COMPUTED_VALUE"""),475603738004)</f>
        <v>475603738004</v>
      </c>
      <c r="F1014" s="1" t="str">
        <f>IFERROR(__xludf.DUMMYFUNCTION("""COMPUTED_VALUE"""),"CANCELED")</f>
        <v>CANCELED</v>
      </c>
      <c r="G1014" s="1" t="str">
        <f>IFERROR(__xludf.DUMMYFUNCTION("""COMPUTED_VALUE"""),"ERROR REDE")</f>
        <v>ERROR REDE</v>
      </c>
      <c r="H1014" s="1" t="str">
        <f>IFERROR(__xludf.DUMMYFUNCTION("""COMPUTED_VALUE"""),"PAID THRU GCASH 794242037 OCT 19")</f>
        <v>PAID THRU GCASH 794242037 OCT 19</v>
      </c>
      <c r="I1014" s="1" t="str">
        <f>IFERROR(__xludf.DUMMYFUNCTION("""COMPUTED_VALUE"""),"WITH 1 AMSF")</f>
        <v>WITH 1 AMSF</v>
      </c>
      <c r="J1014" s="1"/>
      <c r="K1014" s="1" t="str">
        <f>IFERROR(__xludf.DUMMYFUNCTION("""COMPUTED_VALUE"""),"CANCELED")</f>
        <v>CANCELED</v>
      </c>
      <c r="L1014" s="1" t="str">
        <f>IFERROR(__xludf.DUMMYFUNCTION("""COMPUTED_VALUE"""),"POSTED")</f>
        <v>POSTED</v>
      </c>
      <c r="M1014" s="1" t="str">
        <f>IFERROR(__xludf.DUMMYFUNCTION("""COMPUTED_VALUE"""),"POSTED")</f>
        <v>POSTED</v>
      </c>
      <c r="N1014" s="3">
        <f>IFERROR(__xludf.DUMMYFUNCTION("""COMPUTED_VALUE"""),2026)</f>
        <v>2026</v>
      </c>
      <c r="O1014" s="1" t="str">
        <f>IFERROR(__xludf.DUMMYFUNCTION("""COMPUTED_VALUE"""),"FIBER UNLI PLAN 1399")</f>
        <v>FIBER UNLI PLAN 1399</v>
      </c>
      <c r="P1014" s="1" t="str">
        <f>IFERROR(__xludf.DUMMYFUNCTION("""COMPUTED_VALUE"""),"LOWPLAN")</f>
        <v>LOWPLAN</v>
      </c>
      <c r="Q1014" s="1" t="str">
        <f>IFERROR(__xludf.DUMMYFUNCTION("""COMPUTED_VALUE"""),"P407520")</f>
        <v>P407520</v>
      </c>
      <c r="R1014" s="1" t="str">
        <f>IFERROR(__xludf.DUMMYFUNCTION("""COMPUTED_VALUE"""),"MALIWAT, MARK")</f>
        <v>MALIWAT, MARK</v>
      </c>
      <c r="S1014" s="1" t="str">
        <f>IFERROR(__xludf.DUMMYFUNCTION("""COMPUTED_VALUE"""),"FLA")</f>
        <v>FLA</v>
      </c>
      <c r="T1014" s="1" t="str">
        <f>IFERROR(__xludf.DUMMYFUNCTION("""COMPUTED_VALUE"""),"JERIC NAVARRO")</f>
        <v>JERIC NAVARRO</v>
      </c>
      <c r="U1014" s="1" t="str">
        <f>IFERROR(__xludf.DUMMYFUNCTION("""COMPUTED_VALUE"""),"JB SALIOA")</f>
        <v>JB SALIOA</v>
      </c>
      <c r="V1014" s="1" t="str">
        <f>IFERROR(__xludf.DUMMYFUNCTION("""COMPUTED_VALUE"""),"ONLINE/CRANFORD")</f>
        <v>ONLINE/CRANFORD</v>
      </c>
      <c r="W1014" s="1" t="str">
        <f>IFERROR(__xludf.DUMMYFUNCTION("""COMPUTED_VALUE"""),"STK REGULAR")</f>
        <v>STK REGULAR</v>
      </c>
      <c r="X1014" s="1" t="str">
        <f>IFERROR(__xludf.DUMMYFUNCTION("""COMPUTED_VALUE"""),"FIBER 1399 98TH YR")</f>
        <v>FIBER 1399 98TH YR</v>
      </c>
      <c r="Y1014" s="1" t="str">
        <f>IFERROR(__xludf.DUMMYFUNCTION("""COMPUTED_VALUE"""),"RS_SS_CVEU_2026")</f>
        <v>RS_SS_CVEU_2026</v>
      </c>
      <c r="Z1014" s="1" t="str">
        <f>IFERROR(__xludf.DUMMYFUNCTION("""COMPUTED_VALUE"""),"NEW CONNECT")</f>
        <v>NEW CONNECT</v>
      </c>
      <c r="AA1014" s="1">
        <f>IFERROR(__xludf.DUMMYFUNCTION("""COMPUTED_VALUE"""),639560344255)</f>
        <v>639560344255</v>
      </c>
      <c r="AB1014" s="1"/>
      <c r="AC1014" s="1">
        <f>IFERROR(__xludf.DUMMYFUNCTION("""COMPUTED_VALUE"""),289)</f>
        <v>289</v>
      </c>
      <c r="AD1014" s="1" t="str">
        <f>IFERROR(__xludf.DUMMYFUNCTION("""COMPUTED_VALUE"""),"PUROK 5")</f>
        <v>PUROK 5</v>
      </c>
      <c r="AE1014" s="1"/>
      <c r="AF1014" s="1" t="str">
        <f>IFERROR(__xludf.DUMMYFUNCTION("""COMPUTED_VALUE"""),"BGY ALULOD")</f>
        <v>BGY ALULOD</v>
      </c>
      <c r="AG1014" s="1" t="str">
        <f>IFERROR(__xludf.DUMMYFUNCTION("""COMPUTED_VALUE"""),"INDANG")</f>
        <v>INDANG</v>
      </c>
      <c r="AH1014" s="1" t="str">
        <f>IFERROR(__xludf.DUMMYFUNCTION("""COMPUTED_VALUE"""),"MANFASY HARDWARE")</f>
        <v>MANFASY HARDWARE</v>
      </c>
      <c r="AI1014" s="1" t="str">
        <f>IFERROR(__xludf.DUMMYFUNCTION("""COMPUTED_VALUE"""),"NOT AOR")</f>
        <v>NOT AOR</v>
      </c>
    </row>
    <row r="1015" customHeight="1" spans="1:35">
      <c r="A1015" s="3">
        <f>IFERROR(__xludf.DUMMYFUNCTION("""COMPUTED_VALUE"""),46307)</f>
        <v>46307</v>
      </c>
      <c r="B1015" s="1" t="str">
        <f>IFERROR(__xludf.DUMMYFUNCTION("""COMPUTED_VALUE"""),"MYLENE EBREO ESPINUEVA")</f>
        <v>MYLENE EBREO ESPINUEVA</v>
      </c>
      <c r="C1015" s="1">
        <f>IFERROR(__xludf.DUMMYFUNCTION("""COMPUTED_VALUE"""),2313116296)</f>
        <v>2313116296</v>
      </c>
      <c r="D1015" s="1"/>
      <c r="E1015" s="1"/>
      <c r="F1015" s="1" t="str">
        <f>IFERROR(__xludf.DUMMYFUNCTION("""COMPUTED_VALUE"""),"FOR REENCODE")</f>
        <v>FOR REENCODE</v>
      </c>
      <c r="G1015" s="1" t="str">
        <f>IFERROR(__xludf.DUMMYFUNCTION("""COMPUTED_VALUE"""),"(FOR RE-ENCODING ) FF - SEGMENT 14 - MID RISK || INCORRECT ADDRESS ENCODED - BLK AND LOT ")</f>
        <v>(FOR RE-ENCODING ) FF - SEGMENT 14 - MID RISK || INCORRECT ADDRESS ENCODED - BLK AND LOT </v>
      </c>
      <c r="H1015" s="1"/>
      <c r="I1015" s="1"/>
      <c r="J1015" s="1"/>
      <c r="K1015" s="1"/>
      <c r="L1015" s="1" t="str">
        <f>IFERROR(__xludf.DUMMYFUNCTION("""COMPUTED_VALUE"""),"FOR REENCODE")</f>
        <v>FOR REENCODE</v>
      </c>
      <c r="M1015" s="1" t="str">
        <f>IFERROR(__xludf.DUMMYFUNCTION("""COMPUTED_VALUE"""),"FOR REENCODE")</f>
        <v>FOR REENCODE</v>
      </c>
      <c r="N1015" s="3"/>
      <c r="O1015" s="1" t="str">
        <f>IFERROR(__xludf.DUMMYFUNCTION("""COMPUTED_VALUE"""),"FIBR NETFLIX PLAN 1599")</f>
        <v>FIBR NETFLIX PLAN 1599</v>
      </c>
      <c r="P1015" s="1" t="str">
        <f>IFERROR(__xludf.DUMMYFUNCTION("""COMPUTED_VALUE"""),"LOWPLAN")</f>
        <v>LOWPLAN</v>
      </c>
      <c r="Q1015" s="1" t="str">
        <f>IFERROR(__xludf.DUMMYFUNCTION("""COMPUTED_VALUE"""),"P407045")</f>
        <v>P407045</v>
      </c>
      <c r="R1015" s="1" t="str">
        <f>IFERROR(__xludf.DUMMYFUNCTION("""COMPUTED_VALUE"""),"FARO, REFRANTA ")</f>
        <v>FARO, REFRANTA </v>
      </c>
      <c r="S1015" s="1" t="str">
        <f>IFERROR(__xludf.DUMMYFUNCTION("""COMPUTED_VALUE"""),"FLA")</f>
        <v>FLA</v>
      </c>
      <c r="T1015" s="1" t="str">
        <f>IFERROR(__xludf.DUMMYFUNCTION("""COMPUTED_VALUE"""),"LEA REMOLLO")</f>
        <v>LEA REMOLLO</v>
      </c>
      <c r="U1015" s="1" t="str">
        <f>IFERROR(__xludf.DUMMYFUNCTION("""COMPUTED_VALUE"""),"JB SALIOA")</f>
        <v>JB SALIOA</v>
      </c>
      <c r="V1015" s="1" t="str">
        <f>IFERROR(__xludf.DUMMYFUNCTION("""COMPUTED_VALUE"""),"BK REGULAR")</f>
        <v>BK REGULAR</v>
      </c>
      <c r="W1015" s="1" t="str">
        <f>IFERROR(__xludf.DUMMYFUNCTION("""COMPUTED_VALUE"""),"STK REGULAR")</f>
        <v>STK REGULAR</v>
      </c>
      <c r="X1015" s="1" t="str">
        <f>IFERROR(__xludf.DUMMYFUNCTION("""COMPUTED_VALUE"""),"REGULAR")</f>
        <v>REGULAR</v>
      </c>
      <c r="Y1015" s="1" t="str">
        <f>IFERROR(__xludf.DUMMYFUNCTION("""COMPUTED_VALUE"""),"BK_CVEU_261007")</f>
        <v>BK_CVEU_261007</v>
      </c>
      <c r="Z1015" s="1" t="str">
        <f>IFERROR(__xludf.DUMMYFUNCTION("""COMPUTED_VALUE"""),"NEW CONNECT")</f>
        <v>NEW CONNECT</v>
      </c>
      <c r="AA1015" s="1">
        <f>IFERROR(__xludf.DUMMYFUNCTION("""COMPUTED_VALUE"""),639178804034)</f>
        <v>639178804034</v>
      </c>
      <c r="AB1015" s="1"/>
      <c r="AC1015" s="1"/>
      <c r="AD1015" s="1" t="str">
        <f>IFERROR(__xludf.DUMMYFUNCTION("""COMPUTED_VALUE"""),"ELEVE HOMES")</f>
        <v>ELEVE HOMES</v>
      </c>
      <c r="AE1015" s="1" t="str">
        <f>IFERROR(__xludf.DUMMYFUNCTION("""COMPUTED_VALUE"""),"ELEVE HOMES")</f>
        <v>ELEVE HOMES</v>
      </c>
      <c r="AF1015" s="1" t="str">
        <f>IFERROR(__xludf.DUMMYFUNCTION("""COMPUTED_VALUE"""),"BGY MAHARLIKA WEST")</f>
        <v>BGY MAHARLIKA WEST</v>
      </c>
      <c r="AG1015" s="1" t="str">
        <f>IFERROR(__xludf.DUMMYFUNCTION("""COMPUTED_VALUE"""),"TAGAYTAY")</f>
        <v>TAGAYTAY</v>
      </c>
      <c r="AH1015" s="1" t="str">
        <f>IFERROR(__xludf.DUMMYFUNCTION("""COMPUTED_VALUE"""),"ELEVE HOMES")</f>
        <v>ELEVE HOMES</v>
      </c>
      <c r="AI1015" s="1" t="str">
        <f>IFERROR(__xludf.DUMMYFUNCTION("""COMPUTED_VALUE"""),"CLUSTER 12")</f>
        <v>CLUSTER 12</v>
      </c>
    </row>
    <row r="1016" customHeight="1" spans="1:35">
      <c r="A1016" s="3">
        <f>IFERROR(__xludf.DUMMYFUNCTION("""COMPUTED_VALUE"""),46307)</f>
        <v>46307</v>
      </c>
      <c r="B1016" s="1" t="str">
        <f>IFERROR(__xludf.DUMMYFUNCTION("""COMPUTED_VALUE"""),"MARIZ KRISHA HERMOSILLAS PANGANIBAN")</f>
        <v>MARIZ KRISHA HERMOSILLAS PANGANIBAN</v>
      </c>
      <c r="C1016" s="1">
        <f>IFERROR(__xludf.DUMMYFUNCTION("""COMPUTED_VALUE"""),2313116536)</f>
        <v>2313116536</v>
      </c>
      <c r="D1016" s="1">
        <f>IFERROR(__xludf.DUMMYFUNCTION("""COMPUTED_VALUE"""),408908183)</f>
        <v>408908183</v>
      </c>
      <c r="E1016" s="1">
        <f>IFERROR(__xludf.DUMMYFUNCTION("""COMPUTED_VALUE"""),475292524004)</f>
        <v>475292524004</v>
      </c>
      <c r="F1016" s="1" t="str">
        <f>IFERROR(__xludf.DUMMYFUNCTION("""COMPUTED_VALUE"""),"CLOSED")</f>
        <v>CLOSED</v>
      </c>
      <c r="G1016" s="1" t="str">
        <f>IFERROR(__xludf.DUMMYFUNCTION("""COMPUTED_VALUE"""),"CLOSED")</f>
        <v>CLOSED</v>
      </c>
      <c r="H1016" s="1"/>
      <c r="I1016" s="1" t="str">
        <f>IFERROR(__xludf.DUMMYFUNCTION("""COMPUTED_VALUE"""),"NO 1 AMSF")</f>
        <v>NO 1 AMSF</v>
      </c>
      <c r="J1016" s="1" t="str">
        <f>IFERROR(__xludf.DUMMYFUNCTION("""COMPUTED_VALUE"""),"DUE DATE - 08-Nov-26 - 1,492.27")</f>
        <v>DUE DATE - 08-Nov-26 - 1,492.27</v>
      </c>
      <c r="K1016" s="1" t="str">
        <f>IFERROR(__xludf.DUMMYFUNCTION("""COMPUTED_VALUE"""),"COMPLETED")</f>
        <v>COMPLETED</v>
      </c>
      <c r="L1016" s="1" t="str">
        <f>IFERROR(__xludf.DUMMYFUNCTION("""COMPUTED_VALUE"""),"POSTED")</f>
        <v>POSTED</v>
      </c>
      <c r="M1016" s="1" t="str">
        <f>IFERROR(__xludf.DUMMYFUNCTION("""COMPUTED_VALUE"""),"POSTED")</f>
        <v>POSTED</v>
      </c>
      <c r="N1016" s="3">
        <f>IFERROR(__xludf.DUMMYFUNCTION("""COMPUTED_VALUE"""),46308)</f>
        <v>46308</v>
      </c>
      <c r="O1016" s="1" t="str">
        <f>IFERROR(__xludf.DUMMYFUNCTION("""COMPUTED_VALUE"""),"FIBER UNLI PLAN 1399")</f>
        <v>FIBER UNLI PLAN 1399</v>
      </c>
      <c r="P1016" s="1" t="str">
        <f>IFERROR(__xludf.DUMMYFUNCTION("""COMPUTED_VALUE"""),"LOWPLAN")</f>
        <v>LOWPLAN</v>
      </c>
      <c r="Q1016" s="1" t="str">
        <f>IFERROR(__xludf.DUMMYFUNCTION("""COMPUTED_VALUE"""),"P407517")</f>
        <v>P407517</v>
      </c>
      <c r="R1016" s="1" t="str">
        <f>IFERROR(__xludf.DUMMYFUNCTION("""COMPUTED_VALUE"""),"GABAY, MANUEL")</f>
        <v>GABAY, MANUEL</v>
      </c>
      <c r="S1016" s="1" t="str">
        <f>IFERROR(__xludf.DUMMYFUNCTION("""COMPUTED_VALUE"""),"FLA")</f>
        <v>FLA</v>
      </c>
      <c r="T1016" s="1" t="str">
        <f>IFERROR(__xludf.DUMMYFUNCTION("""COMPUTED_VALUE"""),"JERIC NAVARRO")</f>
        <v>JERIC NAVARRO</v>
      </c>
      <c r="U1016" s="1" t="str">
        <f>IFERROR(__xludf.DUMMYFUNCTION("""COMPUTED_VALUE"""),"JB SALIOA")</f>
        <v>JB SALIOA</v>
      </c>
      <c r="V1016" s="1" t="str">
        <f>IFERROR(__xludf.DUMMYFUNCTION("""COMPUTED_VALUE"""),"BK HSTK")</f>
        <v>BK HSTK</v>
      </c>
      <c r="W1016" s="1" t="str">
        <f>IFERROR(__xludf.DUMMYFUNCTION("""COMPUTED_VALUE"""),"BK HSTK")</f>
        <v>BK HSTK</v>
      </c>
      <c r="X1016" s="1" t="str">
        <f>IFERROR(__xludf.DUMMYFUNCTION("""COMPUTED_VALUE"""),"FIBER 1399 98TH YR")</f>
        <v>FIBER 1399 98TH YR</v>
      </c>
      <c r="Y1016" s="1" t="str">
        <f>IFERROR(__xludf.DUMMYFUNCTION("""COMPUTED_VALUE"""),"BK_CVEU_261006")</f>
        <v>BK_CVEU_261006</v>
      </c>
      <c r="Z1016" s="1" t="str">
        <f>IFERROR(__xludf.DUMMYFUNCTION("""COMPUTED_VALUE"""),"NEW CONNECT")</f>
        <v>NEW CONNECT</v>
      </c>
      <c r="AA1016" s="1">
        <f>IFERROR(__xludf.DUMMYFUNCTION("""COMPUTED_VALUE"""),639637644974)</f>
        <v>639637644974</v>
      </c>
      <c r="AB1016" s="1">
        <f>IFERROR(__xludf.DUMMYFUNCTION("""COMPUTED_VALUE"""),639639982397)</f>
        <v>639639982397</v>
      </c>
      <c r="AC1016" s="1"/>
      <c r="AD1016" s="1" t="str">
        <f>IFERROR(__xludf.DUMMYFUNCTION("""COMPUTED_VALUE"""),"PHASE 6")</f>
        <v>PHASE 6</v>
      </c>
      <c r="AE1016" s="1"/>
      <c r="AF1016" s="1" t="str">
        <f>IFERROR(__xludf.DUMMYFUNCTION("""COMPUTED_VALUE"""),"BGY BANABA")</f>
        <v>BGY BANABA</v>
      </c>
      <c r="AG1016" s="1" t="str">
        <f>IFERROR(__xludf.DUMMYFUNCTION("""COMPUTED_VALUE"""),"SILANG")</f>
        <v>SILANG</v>
      </c>
      <c r="AH1016" s="1" t="str">
        <f>IFERROR(__xludf.DUMMYFUNCTION("""COMPUTED_VALUE"""),"-")</f>
        <v>-</v>
      </c>
      <c r="AI1016" s="1" t="str">
        <f>IFERROR(__xludf.DUMMYFUNCTION("""COMPUTED_VALUE"""),"CLUSTER 11")</f>
        <v>CLUSTER 11</v>
      </c>
    </row>
    <row r="1017" customHeight="1" spans="1:35">
      <c r="A1017" s="3">
        <f>IFERROR(__xludf.DUMMYFUNCTION("""COMPUTED_VALUE"""),46307)</f>
        <v>46307</v>
      </c>
      <c r="B1017" s="1" t="str">
        <f>IFERROR(__xludf.DUMMYFUNCTION("""COMPUTED_VALUE"""),"JHON REYMOND DILLO ROMEROSO")</f>
        <v>JHON REYMOND DILLO ROMEROSO</v>
      </c>
      <c r="C1017" s="1">
        <f>IFERROR(__xludf.DUMMYFUNCTION("""COMPUTED_VALUE"""),2313116907)</f>
        <v>2313116907</v>
      </c>
      <c r="D1017" s="1"/>
      <c r="E1017" s="1"/>
      <c r="F1017" s="1" t="str">
        <f>IFERROR(__xludf.DUMMYFUNCTION("""COMPUTED_VALUE"""),"RTS")</f>
        <v>RTS</v>
      </c>
      <c r="G1017" s="1" t="str">
        <f>IFERROR(__xludf.DUMMYFUNCTION("""COMPUTED_VALUE"""),"RTS | FOUND PENDING APP SAME NAME/SAME ADD ACCT#0408265177 | FOUND CANCELLED APP SAME NAME/DIFF ADD ACCT#0405982773 | FOUND DUP CBR 0405974231 | DONE VALIDATION | CORRECT ENCODED INFO IN CSP | TU SCORING - GG - 1 (NTC) |WAIVED 1 AMSF REQUIRED UNDER PROMO "&amp;"CODE | CLEARED FROM BLACKLISTED HIT | CALLED THRU: 639279905459 4:52 PM 639703139696 4:53 PM UNCONTACTED | UNDER CATCH UP STRATEGY")</f>
        <v>RTS | FOUND PENDING APP SAME NAME/SAME ADD ACCT#0408265177 | FOUND CANCELLED APP SAME NAME/DIFF ADD ACCT#0405982773 | FOUND DUP CBR 0405974231 | DONE VALIDATION | CORRECT ENCODED INFO IN CSP | TU SCORING - GG - 1 (NTC) |WAIVED 1 AMSF REQUIRED UNDER PROMO CODE | CLEARED FROM BLACKLISTED HIT | CALLED THRU: 639279905459 4:52 PM 639703139696 4:53 PM UNCONTACTED | UNDER CATCH UP STRATEGY</v>
      </c>
      <c r="H1017" s="1"/>
      <c r="I1017" s="1"/>
      <c r="J1017" s="1"/>
      <c r="K1017" s="1"/>
      <c r="L1017" s="1" t="str">
        <f>IFERROR(__xludf.DUMMYFUNCTION("""COMPUTED_VALUE"""),"RTS - FOR CUSTOMER COMPLIANCE")</f>
        <v>RTS - FOR CUSTOMER COMPLIANCE</v>
      </c>
      <c r="M1017" s="1" t="str">
        <f>IFERROR(__xludf.DUMMYFUNCTION("""COMPUTED_VALUE"""),"RTS - CUSTOMER COMPLIANCE")</f>
        <v>RTS - CUSTOMER COMPLIANCE</v>
      </c>
      <c r="N1017" s="3"/>
      <c r="O1017" s="1" t="str">
        <f>IFERROR(__xludf.DUMMYFUNCTION("""COMPUTED_VALUE"""),"FIBER UNLI PLAN 1399")</f>
        <v>FIBER UNLI PLAN 1399</v>
      </c>
      <c r="P1017" s="1" t="str">
        <f>IFERROR(__xludf.DUMMYFUNCTION("""COMPUTED_VALUE"""),"LOWPLAN")</f>
        <v>LOWPLAN</v>
      </c>
      <c r="Q1017" s="1" t="str">
        <f>IFERROR(__xludf.DUMMYFUNCTION("""COMPUTED_VALUE"""),"P407517")</f>
        <v>P407517</v>
      </c>
      <c r="R1017" s="1" t="str">
        <f>IFERROR(__xludf.DUMMYFUNCTION("""COMPUTED_VALUE"""),"GABAY, MANUEL")</f>
        <v>GABAY, MANUEL</v>
      </c>
      <c r="S1017" s="1" t="str">
        <f>IFERROR(__xludf.DUMMYFUNCTION("""COMPUTED_VALUE"""),"FLA")</f>
        <v>FLA</v>
      </c>
      <c r="T1017" s="1" t="str">
        <f>IFERROR(__xludf.DUMMYFUNCTION("""COMPUTED_VALUE"""),"JERIC NAVARRO")</f>
        <v>JERIC NAVARRO</v>
      </c>
      <c r="U1017" s="1" t="str">
        <f>IFERROR(__xludf.DUMMYFUNCTION("""COMPUTED_VALUE"""),"JB SALIOA")</f>
        <v>JB SALIOA</v>
      </c>
      <c r="V1017" s="1" t="str">
        <f>IFERROR(__xludf.DUMMYFUNCTION("""COMPUTED_VALUE"""),"ONLINE/CRANFORD")</f>
        <v>ONLINE/CRANFORD</v>
      </c>
      <c r="W1017" s="1" t="str">
        <f>IFERROR(__xludf.DUMMYFUNCTION("""COMPUTED_VALUE"""),"STK REGULAR")</f>
        <v>STK REGULAR</v>
      </c>
      <c r="X1017" s="1" t="str">
        <f>IFERROR(__xludf.DUMMYFUNCTION("""COMPUTED_VALUE"""),"FIBER 1399 98TH YR")</f>
        <v>FIBER 1399 98TH YR</v>
      </c>
      <c r="Y1017" s="1" t="str">
        <f>IFERROR(__xludf.DUMMYFUNCTION("""COMPUTED_VALUE"""),"RS_SS_CVEU_2026")</f>
        <v>RS_SS_CVEU_2026</v>
      </c>
      <c r="Z1017" s="1" t="str">
        <f>IFERROR(__xludf.DUMMYFUNCTION("""COMPUTED_VALUE"""),"NEW CONNECT")</f>
        <v>NEW CONNECT</v>
      </c>
      <c r="AA1017" s="1">
        <f>IFERROR(__xludf.DUMMYFUNCTION("""COMPUTED_VALUE"""),639279905459)</f>
        <v>639279905459</v>
      </c>
      <c r="AB1017" s="1">
        <f>IFERROR(__xludf.DUMMYFUNCTION("""COMPUTED_VALUE"""),639703139696)</f>
        <v>639703139696</v>
      </c>
      <c r="AC1017" s="1">
        <f>IFERROR(__xludf.DUMMYFUNCTION("""COMPUTED_VALUE"""),218)</f>
        <v>218</v>
      </c>
      <c r="AD1017" s="1" t="str">
        <f>IFERROR(__xludf.DUMMYFUNCTION("""COMPUTED_VALUE"""),"IBABA")</f>
        <v>IBABA</v>
      </c>
      <c r="AE1017" s="1" t="str">
        <f>IFERROR(__xludf.DUMMYFUNCTION("""COMPUTED_VALUE"""),"PUROK 3")</f>
        <v>PUROK 3</v>
      </c>
      <c r="AF1017" s="1" t="str">
        <f>IFERROR(__xludf.DUMMYFUNCTION("""COMPUTED_VALUE"""),"BGY GUYAM MALAKI")</f>
        <v>BGY GUYAM MALAKI</v>
      </c>
      <c r="AG1017" s="1" t="str">
        <f>IFERROR(__xludf.DUMMYFUNCTION("""COMPUTED_VALUE"""),"INDANG")</f>
        <v>INDANG</v>
      </c>
      <c r="AH1017" s="1" t="str">
        <f>IFERROR(__xludf.DUMMYFUNCTION("""COMPUTED_VALUE"""),"PUROK 3")</f>
        <v>PUROK 3</v>
      </c>
      <c r="AI1017" s="1" t="str">
        <f>IFERROR(__xludf.DUMMYFUNCTION("""COMPUTED_VALUE"""),"NOT AOR")</f>
        <v>NOT AOR</v>
      </c>
    </row>
    <row r="1018" customHeight="1" spans="1:35">
      <c r="A1018" s="3">
        <f>IFERROR(__xludf.DUMMYFUNCTION("""COMPUTED_VALUE"""),46307)</f>
        <v>46307</v>
      </c>
      <c r="B1018" s="1" t="str">
        <f>IFERROR(__xludf.DUMMYFUNCTION("""COMPUTED_VALUE"""),"SPECIAL PAINTS MANUFACTURING, INC.")</f>
        <v>SPECIAL PAINTS MANUFACTURING, INC.</v>
      </c>
      <c r="C1018" s="1">
        <f>IFERROR(__xludf.DUMMYFUNCTION("""COMPUTED_VALUE"""),2313117650)</f>
        <v>2313117650</v>
      </c>
      <c r="D1018" s="1">
        <f>IFERROR(__xludf.DUMMYFUNCTION("""COMPUTED_VALUE"""),408993679)</f>
        <v>408993679</v>
      </c>
      <c r="E1018" s="1">
        <f>IFERROR(__xludf.DUMMYFUNCTION("""COMPUTED_VALUE"""),475604310004)</f>
        <v>475604310004</v>
      </c>
      <c r="F1018" s="1" t="str">
        <f>IFERROR(__xludf.DUMMYFUNCTION("""COMPUTED_VALUE"""),"CLOSED")</f>
        <v>CLOSED</v>
      </c>
      <c r="G1018" s="1" t="str">
        <f>IFERROR(__xludf.DUMMYFUNCTION("""COMPUTED_VALUE"""),"CLOSED")</f>
        <v>CLOSED</v>
      </c>
      <c r="H1018" s="1" t="str">
        <f>IFERROR(__xludf.DUMMYFUNCTION("""COMPUTED_VALUE"""),"PAID VIA GCASH REF 027896132 OCT 15")</f>
        <v>PAID VIA GCASH REF 027896132 OCT 15</v>
      </c>
      <c r="I1018" s="1" t="str">
        <f>IFERROR(__xludf.DUMMYFUNCTION("""COMPUTED_VALUE"""),"WITH 1 AMSF")</f>
        <v>WITH 1 AMSF</v>
      </c>
      <c r="J1018" s="1"/>
      <c r="K1018" s="1" t="str">
        <f>IFERROR(__xludf.DUMMYFUNCTION("""COMPUTED_VALUE"""),"COMPLETED")</f>
        <v>COMPLETED</v>
      </c>
      <c r="L1018" s="1" t="str">
        <f>IFERROR(__xludf.DUMMYFUNCTION("""COMPUTED_VALUE"""),"POSTED")</f>
        <v>POSTED</v>
      </c>
      <c r="M1018" s="1" t="str">
        <f>IFERROR(__xludf.DUMMYFUNCTION("""COMPUTED_VALUE"""),"POSTED")</f>
        <v>POSTED</v>
      </c>
      <c r="N1018" s="3">
        <f>IFERROR(__xludf.DUMMYFUNCTION("""COMPUTED_VALUE"""),46310)</f>
        <v>46310</v>
      </c>
      <c r="O1018" s="1" t="str">
        <f>IFERROR(__xludf.DUMMYFUNCTION("""COMPUTED_VALUE"""),"HOME BIZ PLAN 2699")</f>
        <v>HOME BIZ PLAN 2699</v>
      </c>
      <c r="P1018" s="1" t="str">
        <f>IFERROR(__xludf.DUMMYFUNCTION("""COMPUTED_VALUE"""),"BIZ PLAN")</f>
        <v>BIZ PLAN</v>
      </c>
      <c r="Q1018" s="1" t="str">
        <f>IFERROR(__xludf.DUMMYFUNCTION("""COMPUTED_VALUE"""),"P407049")</f>
        <v>P407049</v>
      </c>
      <c r="R1018" s="1" t="str">
        <f>IFERROR(__xludf.DUMMYFUNCTION("""COMPUTED_VALUE"""),"CADERAO, RONALD")</f>
        <v>CADERAO, RONALD</v>
      </c>
      <c r="S1018" s="1" t="str">
        <f>IFERROR(__xludf.DUMMYFUNCTION("""COMPUTED_VALUE"""),"ORGANIC")</f>
        <v>ORGANIC</v>
      </c>
      <c r="T1018" s="1" t="str">
        <f>IFERROR(__xludf.DUMMYFUNCTION("""COMPUTED_VALUE"""),"LEA REMOLLO")</f>
        <v>LEA REMOLLO</v>
      </c>
      <c r="U1018" s="1" t="str">
        <f>IFERROR(__xludf.DUMMYFUNCTION("""COMPUTED_VALUE"""),"JB SALIOA")</f>
        <v>JB SALIOA</v>
      </c>
      <c r="V1018" s="1" t="str">
        <f>IFERROR(__xludf.DUMMYFUNCTION("""COMPUTED_VALUE"""),"BK REGULAR")</f>
        <v>BK REGULAR</v>
      </c>
      <c r="W1018" s="1" t="str">
        <f>IFERROR(__xludf.DUMMYFUNCTION("""COMPUTED_VALUE"""),"CSP")</f>
        <v>CSP</v>
      </c>
      <c r="X1018" s="1" t="str">
        <f>IFERROR(__xludf.DUMMYFUNCTION("""COMPUTED_VALUE"""),"REGULAR")</f>
        <v>REGULAR</v>
      </c>
      <c r="Y1018" s="1" t="str">
        <f>IFERROR(__xludf.DUMMYFUNCTION("""COMPUTED_VALUE"""),"BK_CVEU_261006")</f>
        <v>BK_CVEU_261006</v>
      </c>
      <c r="Z1018" s="1" t="str">
        <f>IFERROR(__xludf.DUMMYFUNCTION("""COMPUTED_VALUE"""),"NEW CONNECT")</f>
        <v>NEW CONNECT</v>
      </c>
      <c r="AA1018" s="1">
        <f>IFERROR(__xludf.DUMMYFUNCTION("""COMPUTED_VALUE"""),639178356203)</f>
        <v>639178356203</v>
      </c>
      <c r="AB1018" s="1"/>
      <c r="AC1018" s="1"/>
      <c r="AD1018" s="1" t="str">
        <f>IFERROR(__xludf.DUMMYFUNCTION("""COMPUTED_VALUE"""),"GOVERNORS")</f>
        <v>GOVERNORS</v>
      </c>
      <c r="AE1018" s="1" t="str">
        <f>IFERROR(__xludf.DUMMYFUNCTION("""COMPUTED_VALUE"""),"GREENWAY BUSSINESS PARK")</f>
        <v>GREENWAY BUSSINESS PARK</v>
      </c>
      <c r="AF1018" s="1" t="str">
        <f>IFERROR(__xludf.DUMMYFUNCTION("""COMPUTED_VALUE"""),"BGY BULIHAN")</f>
        <v>BGY BULIHAN</v>
      </c>
      <c r="AG1018" s="1" t="str">
        <f>IFERROR(__xludf.DUMMYFUNCTION("""COMPUTED_VALUE"""),"SILANG")</f>
        <v>SILANG</v>
      </c>
      <c r="AH1018" s="1" t="str">
        <f>IFERROR(__xludf.DUMMYFUNCTION("""COMPUTED_VALUE"""),"PUREGOLD GMA CAVITE")</f>
        <v>PUREGOLD GMA CAVITE</v>
      </c>
      <c r="AI1018" s="1" t="str">
        <f>IFERROR(__xludf.DUMMYFUNCTION("""COMPUTED_VALUE"""),"CLUSTER 11")</f>
        <v>CLUSTER 11</v>
      </c>
    </row>
    <row r="1019" customHeight="1" spans="1:35">
      <c r="A1019" s="3">
        <f>IFERROR(__xludf.DUMMYFUNCTION("""COMPUTED_VALUE"""),46307)</f>
        <v>46307</v>
      </c>
      <c r="B1019" s="1" t="str">
        <f>IFERROR(__xludf.DUMMYFUNCTION("""COMPUTED_VALUE"""),"MA. DESIREE ESGUERRA ALCARAZ")</f>
        <v>MA. DESIREE ESGUERRA ALCARAZ</v>
      </c>
      <c r="C1019" s="1">
        <f>IFERROR(__xludf.DUMMYFUNCTION("""COMPUTED_VALUE"""),2313118111)</f>
        <v>2313118111</v>
      </c>
      <c r="D1019" s="1"/>
      <c r="E1019" s="1"/>
      <c r="F1019" s="1" t="str">
        <f>IFERROR(__xludf.DUMMYFUNCTION("""COMPUTED_VALUE"""),"DISAPPROVED")</f>
        <v>DISAPPROVED</v>
      </c>
      <c r="G1019" s="1" t="str">
        <f>IFERROR(__xludf.DUMMYFUNCTION("""COMPUTED_VALUE"""),"DISAPPROVED |2ND ESCA|UNDER SWITCHER APPLICATION |FOUND CANCELLED ACC#0407576748 UNDER SAME NAME AND ADDRESS|REASON FOR CALL OUT:TO VERIFY THE SOA SUBMITTED|CALL THRU:639972444053/639560384733 9:30 AM|CALLOUT RESULT:UNCONTACTED |DONE VALIDATION| COMPLETE "&amp;"DOCS| CORRECT ENCODED INFO IN CSP|TU SCORING FF-2(NTC)|1AMSF BASE ON PROMO 1399| CLEARED FROM BLACKLISTED HITS| NO EXISTING ACT ACC AND/OR PENDING/CANCELLED APPLICATION ")</f>
        <v>DISAPPROVED |2ND ESCA|UNDER SWITCHER APPLICATION |FOUND CANCELLED ACC#0407576748 UNDER SAME NAME AND ADDRESS|REASON FOR CALL OUT:TO VERIFY THE SOA SUBMITTED|CALL THRU:639972444053/639560384733 9:30 AM|CALLOUT RESULT:UNCONTACTED |DONE VALIDATION| COMPLETE DOCS| CORRECT ENCODED INFO IN CSP|TU SCORING FF-2(NTC)|1AMSF BASE ON PROMO 1399| CLEARED FROM BLACKLISTED HITS| NO EXISTING ACT ACC AND/OR PENDING/CANCELLED APPLICATION </v>
      </c>
      <c r="H1019" s="1"/>
      <c r="I1019" s="1"/>
      <c r="J1019" s="1"/>
      <c r="K1019" s="1"/>
      <c r="L1019" s="1" t="str">
        <f>IFERROR(__xludf.DUMMYFUNCTION("""COMPUTED_VALUE"""),"RTS - FOR CUSTOMER COMPLIANCE")</f>
        <v>RTS - FOR CUSTOMER COMPLIANCE</v>
      </c>
      <c r="M1019" s="1" t="str">
        <f>IFERROR(__xludf.DUMMYFUNCTION("""COMPUTED_VALUE"""),"RTS - CUSTOMER COMPLIANCE")</f>
        <v>RTS - CUSTOMER COMPLIANCE</v>
      </c>
      <c r="N1019" s="3"/>
      <c r="O1019" s="1" t="str">
        <f>IFERROR(__xludf.DUMMYFUNCTION("""COMPUTED_VALUE"""),"SWITCH FIBER 1299")</f>
        <v>SWITCH FIBER 1299</v>
      </c>
      <c r="P1019" s="1" t="str">
        <f>IFERROR(__xludf.DUMMYFUNCTION("""COMPUTED_VALUE"""),"SWITCH")</f>
        <v>SWITCH</v>
      </c>
      <c r="Q1019" s="1" t="str">
        <f>IFERROR(__xludf.DUMMYFUNCTION("""COMPUTED_VALUE"""),"P407044")</f>
        <v>P407044</v>
      </c>
      <c r="R1019" s="1" t="str">
        <f>IFERROR(__xludf.DUMMYFUNCTION("""COMPUTED_VALUE"""),"AYON, MANUEL")</f>
        <v>AYON, MANUEL</v>
      </c>
      <c r="S1019" s="1" t="str">
        <f>IFERROR(__xludf.DUMMYFUNCTION("""COMPUTED_VALUE"""),"FLA")</f>
        <v>FLA</v>
      </c>
      <c r="T1019" s="1" t="str">
        <f>IFERROR(__xludf.DUMMYFUNCTION("""COMPUTED_VALUE"""),"JERIC NAVARRO")</f>
        <v>JERIC NAVARRO</v>
      </c>
      <c r="U1019" s="1" t="str">
        <f>IFERROR(__xludf.DUMMYFUNCTION("""COMPUTED_VALUE"""),"JB SALIOA")</f>
        <v>JB SALIOA</v>
      </c>
      <c r="V1019" s="1" t="str">
        <f>IFERROR(__xludf.DUMMYFUNCTION("""COMPUTED_VALUE"""),"BK HSTK")</f>
        <v>BK HSTK</v>
      </c>
      <c r="W1019" s="1" t="str">
        <f>IFERROR(__xludf.DUMMYFUNCTION("""COMPUTED_VALUE"""),"BK HSTK")</f>
        <v>BK HSTK</v>
      </c>
      <c r="X1019" s="1" t="str">
        <f>IFERROR(__xludf.DUMMYFUNCTION("""COMPUTED_VALUE"""),"ANTI COMPETITOR")</f>
        <v>ANTI COMPETITOR</v>
      </c>
      <c r="Y1019" s="1" t="str">
        <f>IFERROR(__xludf.DUMMYFUNCTION("""COMPUTED_VALUE"""),"BK_CVEU_261006")</f>
        <v>BK_CVEU_261006</v>
      </c>
      <c r="Z1019" s="1" t="str">
        <f>IFERROR(__xludf.DUMMYFUNCTION("""COMPUTED_VALUE"""),"NEW CONNECT")</f>
        <v>NEW CONNECT</v>
      </c>
      <c r="AA1019" s="1">
        <f>IFERROR(__xludf.DUMMYFUNCTION("""COMPUTED_VALUE"""),639972444053)</f>
        <v>639972444053</v>
      </c>
      <c r="AB1019" s="1">
        <f>IFERROR(__xludf.DUMMYFUNCTION("""COMPUTED_VALUE"""),639560384733)</f>
        <v>639560384733</v>
      </c>
      <c r="AC1019" s="1">
        <f>IFERROR(__xludf.DUMMYFUNCTION("""COMPUTED_VALUE"""),9051)</f>
        <v>9051</v>
      </c>
      <c r="AD1019" s="1" t="str">
        <f>IFERROR(__xludf.DUMMYFUNCTION("""COMPUTED_VALUE"""),"PALIGAWAN")</f>
        <v>PALIGAWAN</v>
      </c>
      <c r="AE1019" s="1"/>
      <c r="AF1019" s="1" t="str">
        <f>IFERROR(__xludf.DUMMYFUNCTION("""COMPUTED_VALUE"""),"BGY PALIGAWAN")</f>
        <v>BGY PALIGAWAN</v>
      </c>
      <c r="AG1019" s="1" t="str">
        <f>IFERROR(__xludf.DUMMYFUNCTION("""COMPUTED_VALUE"""),"SILANG")</f>
        <v>SILANG</v>
      </c>
      <c r="AH1019" s="1" t="str">
        <f>IFERROR(__xludf.DUMMYFUNCTION("""COMPUTED_VALUE"""),"INFRON OF MAYENS GARDEN")</f>
        <v>INFRON OF MAYENS GARDEN</v>
      </c>
      <c r="AI1019" s="1" t="str">
        <f>IFERROR(__xludf.DUMMYFUNCTION("""COMPUTED_VALUE"""),"CLUSTER 11")</f>
        <v>CLUSTER 11</v>
      </c>
    </row>
    <row r="1020" customHeight="1" spans="1:35">
      <c r="A1020" s="3">
        <f>IFERROR(__xludf.DUMMYFUNCTION("""COMPUTED_VALUE"""),46307)</f>
        <v>46307</v>
      </c>
      <c r="B1020" s="1" t="str">
        <f>IFERROR(__xludf.DUMMYFUNCTION("""COMPUTED_VALUE"""),"JON JON ROA RAMOS")</f>
        <v>JON JON ROA RAMOS</v>
      </c>
      <c r="C1020" s="1">
        <f>IFERROR(__xludf.DUMMYFUNCTION("""COMPUTED_VALUE"""),2313118699)</f>
        <v>2313118699</v>
      </c>
      <c r="D1020" s="1"/>
      <c r="E1020" s="1"/>
      <c r="F1020" s="1" t="str">
        <f>IFERROR(__xludf.DUMMYFUNCTION("""COMPUTED_VALUE"""),"CANCELLED")</f>
        <v>CANCELLED</v>
      </c>
      <c r="G1020" s="1" t="str">
        <f>IFERROR(__xludf.DUMMYFUNCTION("""COMPUTED_VALUE"""),"(WITH PENDING APPLICATION ALREADY; CANCELLED THE NEW APPLICATION) GG - SEGMENT 1 - NEW TO CREDIT - HIGH RISK")</f>
        <v>(WITH PENDING APPLICATION ALREADY; CANCELLED THE NEW APPLICATION) GG - SEGMENT 1 - NEW TO CREDIT - HIGH RISK</v>
      </c>
      <c r="H1020" s="1"/>
      <c r="I1020" s="1"/>
      <c r="J1020" s="1"/>
      <c r="K1020" s="1"/>
      <c r="L1020" s="1" t="str">
        <f>IFERROR(__xludf.DUMMYFUNCTION("""COMPUTED_VALUE"""),"CANCELLED")</f>
        <v>CANCELLED</v>
      </c>
      <c r="M1020" s="1" t="str">
        <f>IFERROR(__xludf.DUMMYFUNCTION("""COMPUTED_VALUE"""),"CANCELLED - WITH EXISTING SR")</f>
        <v>CANCELLED - WITH EXISTING SR</v>
      </c>
      <c r="N1020" s="3"/>
      <c r="O1020" s="1" t="str">
        <f>IFERROR(__xludf.DUMMYFUNCTION("""COMPUTED_VALUE"""),"FIBER UNLI PLAN 1399")</f>
        <v>FIBER UNLI PLAN 1399</v>
      </c>
      <c r="P1020" s="1" t="str">
        <f>IFERROR(__xludf.DUMMYFUNCTION("""COMPUTED_VALUE"""),"LOWPLAN")</f>
        <v>LOWPLAN</v>
      </c>
      <c r="Q1020" s="1" t="str">
        <f>IFERROR(__xludf.DUMMYFUNCTION("""COMPUTED_VALUE"""),"P407563")</f>
        <v>P407563</v>
      </c>
      <c r="R1020" s="1" t="str">
        <f>IFERROR(__xludf.DUMMYFUNCTION("""COMPUTED_VALUE"""),"BAQUIT, JAZMIN")</f>
        <v>BAQUIT, JAZMIN</v>
      </c>
      <c r="S1020" s="1" t="str">
        <f>IFERROR(__xludf.DUMMYFUNCTION("""COMPUTED_VALUE"""),"ORGANIC")</f>
        <v>ORGANIC</v>
      </c>
      <c r="T1020" s="1" t="str">
        <f>IFERROR(__xludf.DUMMYFUNCTION("""COMPUTED_VALUE"""),"LEA REMOLLO")</f>
        <v>LEA REMOLLO</v>
      </c>
      <c r="U1020" s="1" t="str">
        <f>IFERROR(__xludf.DUMMYFUNCTION("""COMPUTED_VALUE"""),"JB SALIOA")</f>
        <v>JB SALIOA</v>
      </c>
      <c r="V1020" s="1" t="str">
        <f>IFERROR(__xludf.DUMMYFUNCTION("""COMPUTED_VALUE"""),"BK HSTK")</f>
        <v>BK HSTK</v>
      </c>
      <c r="W1020" s="1" t="str">
        <f>IFERROR(__xludf.DUMMYFUNCTION("""COMPUTED_VALUE"""),"BK HSTK")</f>
        <v>BK HSTK</v>
      </c>
      <c r="X1020" s="1" t="str">
        <f>IFERROR(__xludf.DUMMYFUNCTION("""COMPUTED_VALUE"""),"FIBER 1399 98TH YR")</f>
        <v>FIBER 1399 98TH YR</v>
      </c>
      <c r="Y1020" s="1" t="str">
        <f>IFERROR(__xludf.DUMMYFUNCTION("""COMPUTED_VALUE"""),"BK_CVEU_261004")</f>
        <v>BK_CVEU_261004</v>
      </c>
      <c r="Z1020" s="1" t="str">
        <f>IFERROR(__xludf.DUMMYFUNCTION("""COMPUTED_VALUE"""),"NEW CONNECT")</f>
        <v>NEW CONNECT</v>
      </c>
      <c r="AA1020" s="1">
        <f>IFERROR(__xludf.DUMMYFUNCTION("""COMPUTED_VALUE"""),639953818698)</f>
        <v>639953818698</v>
      </c>
      <c r="AB1020" s="1"/>
      <c r="AC1020" s="1"/>
      <c r="AD1020" s="1" t="str">
        <f>IFERROR(__xludf.DUMMYFUNCTION("""COMPUTED_VALUE"""),"J LUMBRERAS")</f>
        <v>J LUMBRERAS</v>
      </c>
      <c r="AE1020" s="1"/>
      <c r="AF1020" s="1" t="str">
        <f>IFERROR(__xludf.DUMMYFUNCTION("""COMPUTED_VALUE"""),"BGY J LUMBRERAS")</f>
        <v>BGY J LUMBRERAS</v>
      </c>
      <c r="AG1020" s="1" t="str">
        <f>IFERROR(__xludf.DUMMYFUNCTION("""COMPUTED_VALUE"""),"GEN MARIANO ALVAREZ")</f>
        <v>GEN MARIANO ALVAREZ</v>
      </c>
      <c r="AH1020" s="1" t="str">
        <f>IFERROR(__xludf.DUMMYFUNCTION("""COMPUTED_VALUE"""),"-")</f>
        <v>-</v>
      </c>
      <c r="AI1020" s="1" t="str">
        <f>IFERROR(__xludf.DUMMYFUNCTION("""COMPUTED_VALUE"""),"CLUSTER 11")</f>
        <v>CLUSTER 11</v>
      </c>
    </row>
    <row r="1021" customHeight="1" spans="1:35">
      <c r="A1021" s="3">
        <f>IFERROR(__xludf.DUMMYFUNCTION("""COMPUTED_VALUE"""),46307)</f>
        <v>46307</v>
      </c>
      <c r="B1021" s="1" t="str">
        <f>IFERROR(__xludf.DUMMYFUNCTION("""COMPUTED_VALUE"""),"KARL ANTHONY VILLAS ANG")</f>
        <v>KARL ANTHONY VILLAS ANG</v>
      </c>
      <c r="C1021" s="1">
        <f>IFERROR(__xludf.DUMMYFUNCTION("""COMPUTED_VALUE"""),2313119805)</f>
        <v>2313119805</v>
      </c>
      <c r="D1021" s="1"/>
      <c r="E1021" s="1"/>
      <c r="F1021" s="1" t="str">
        <f>IFERROR(__xludf.DUMMYFUNCTION("""COMPUTED_VALUE"""),"CANCELLED")</f>
        <v>CANCELLED</v>
      </c>
      <c r="G1021" s="1" t="str">
        <f>IFERROR(__xludf.DUMMYFUNCTION("""COMPUTED_VALUE"""),"CANCELLED")</f>
        <v>CANCELLED</v>
      </c>
      <c r="H1021" s="1"/>
      <c r="I1021" s="1"/>
      <c r="J1021" s="1"/>
      <c r="K1021" s="1"/>
      <c r="L1021" s="1" t="str">
        <f>IFERROR(__xludf.DUMMYFUNCTION("""COMPUTED_VALUE"""),"CANCELLED")</f>
        <v>CANCELLED</v>
      </c>
      <c r="M1021" s="1" t="str">
        <f>IFERROR(__xludf.DUMMYFUNCTION("""COMPUTED_VALUE"""),"CANCELLED - WITH OB")</f>
        <v>CANCELLED - WITH OB</v>
      </c>
      <c r="N1021" s="3"/>
      <c r="O1021" s="1" t="str">
        <f>IFERROR(__xludf.DUMMYFUNCTION("""COMPUTED_VALUE"""),"FIBR PLAN 1299")</f>
        <v>FIBR PLAN 1299</v>
      </c>
      <c r="P1021" s="1" t="str">
        <f>IFERROR(__xludf.DUMMYFUNCTION("""COMPUTED_VALUE"""),"LOWPLAN")</f>
        <v>LOWPLAN</v>
      </c>
      <c r="Q1021" s="1" t="str">
        <f>IFERROR(__xludf.DUMMYFUNCTION("""COMPUTED_VALUE"""),"P407519")</f>
        <v>P407519</v>
      </c>
      <c r="R1021" s="1" t="str">
        <f>IFERROR(__xludf.DUMMYFUNCTION("""COMPUTED_VALUE"""),"DENACO, RODNEY")</f>
        <v>DENACO, RODNEY</v>
      </c>
      <c r="S1021" s="1" t="str">
        <f>IFERROR(__xludf.DUMMYFUNCTION("""COMPUTED_VALUE"""),"ORGANIC")</f>
        <v>ORGANIC</v>
      </c>
      <c r="T1021" s="1" t="str">
        <f>IFERROR(__xludf.DUMMYFUNCTION("""COMPUTED_VALUE"""),"LEA REMOLLO")</f>
        <v>LEA REMOLLO</v>
      </c>
      <c r="U1021" s="1" t="str">
        <f>IFERROR(__xludf.DUMMYFUNCTION("""COMPUTED_VALUE"""),"JB SALIOA")</f>
        <v>JB SALIOA</v>
      </c>
      <c r="V1021" s="1" t="str">
        <f>IFERROR(__xludf.DUMMYFUNCTION("""COMPUTED_VALUE"""),"BK REGULAR")</f>
        <v>BK REGULAR</v>
      </c>
      <c r="W1021" s="1" t="str">
        <f>IFERROR(__xludf.DUMMYFUNCTION("""COMPUTED_VALUE"""),"STK REGULAR")</f>
        <v>STK REGULAR</v>
      </c>
      <c r="X1021" s="1" t="str">
        <f>IFERROR(__xludf.DUMMYFUNCTION("""COMPUTED_VALUE"""),"REGULAR")</f>
        <v>REGULAR</v>
      </c>
      <c r="Y1021" s="1" t="str">
        <f>IFERROR(__xludf.DUMMYFUNCTION("""COMPUTED_VALUE"""),"BK_CVEU_261001")</f>
        <v>BK_CVEU_261001</v>
      </c>
      <c r="Z1021" s="1" t="str">
        <f>IFERROR(__xludf.DUMMYFUNCTION("""COMPUTED_VALUE"""),"NEW CONNECT")</f>
        <v>NEW CONNECT</v>
      </c>
      <c r="AA1021" s="1">
        <f>IFERROR(__xludf.DUMMYFUNCTION("""COMPUTED_VALUE"""),639166334168)</f>
        <v>639166334168</v>
      </c>
      <c r="AB1021" s="1"/>
      <c r="AC1021" s="1"/>
      <c r="AD1021" s="1" t="str">
        <f>IFERROR(__xludf.DUMMYFUNCTION("""COMPUTED_VALUE"""),"RODEO COUNTRYSIDE ESTATES")</f>
        <v>RODEO COUNTRYSIDE ESTATES</v>
      </c>
      <c r="AE1021" s="1" t="str">
        <f>IFERROR(__xludf.DUMMYFUNCTION("""COMPUTED_VALUE"""),"RODEO COUNTRYSIDE ESTATES")</f>
        <v>RODEO COUNTRYSIDE ESTATES</v>
      </c>
      <c r="AF1021" s="1" t="str">
        <f>IFERROR(__xludf.DUMMYFUNCTION("""COMPUTED_VALUE"""),"BGY ESPERANZA ILAYA")</f>
        <v>BGY ESPERANZA ILAYA</v>
      </c>
      <c r="AG1021" s="1" t="str">
        <f>IFERROR(__xludf.DUMMYFUNCTION("""COMPUTED_VALUE"""),"ALFONSO")</f>
        <v>ALFONSO</v>
      </c>
      <c r="AH1021" s="1" t="str">
        <f>IFERROR(__xludf.DUMMYFUNCTION("""COMPUTED_VALUE"""),"RODEO COUNTRYSIDE ESTATES")</f>
        <v>RODEO COUNTRYSIDE ESTATES</v>
      </c>
      <c r="AI1021" s="1" t="str">
        <f>IFERROR(__xludf.DUMMYFUNCTION("""COMPUTED_VALUE"""),"CLUSTER 12")</f>
        <v>CLUSTER 12</v>
      </c>
    </row>
    <row r="1022" customHeight="1" spans="1:35">
      <c r="A1022" s="3">
        <f>IFERROR(__xludf.DUMMYFUNCTION("""COMPUTED_VALUE"""),46307)</f>
        <v>46307</v>
      </c>
      <c r="B1022" s="1" t="str">
        <f>IFERROR(__xludf.DUMMYFUNCTION("""COMPUTED_VALUE"""),"JOHN CARLO PANLAQUI PORTENTO")</f>
        <v>JOHN CARLO PANLAQUI PORTENTO</v>
      </c>
      <c r="C1022" s="1">
        <f>IFERROR(__xludf.DUMMYFUNCTION("""COMPUTED_VALUE"""),2313120051)</f>
        <v>2313120051</v>
      </c>
      <c r="D1022" s="1"/>
      <c r="E1022" s="1"/>
      <c r="F1022" s="1" t="str">
        <f>IFERROR(__xludf.DUMMYFUNCTION("""COMPUTED_VALUE"""),"CANCELLED")</f>
        <v>CANCELLED</v>
      </c>
      <c r="G1022" s="1" t="str">
        <f>IFERROR(__xludf.DUMMYFUNCTION("""COMPUTED_VALUE"""),"CANCELLED")</f>
        <v>CANCELLED</v>
      </c>
      <c r="H1022" s="1"/>
      <c r="I1022" s="1"/>
      <c r="J1022" s="1"/>
      <c r="K1022" s="1"/>
      <c r="L1022" s="1" t="str">
        <f>IFERROR(__xludf.DUMMYFUNCTION("""COMPUTED_VALUE"""),"CANCELLED")</f>
        <v>CANCELLED</v>
      </c>
      <c r="M1022" s="1" t="str">
        <f>IFERROR(__xludf.DUMMYFUNCTION("""COMPUTED_VALUE"""),"CANCELLED - WITH OB")</f>
        <v>CANCELLED - WITH OB</v>
      </c>
      <c r="N1022" s="3"/>
      <c r="O1022" s="1" t="str">
        <f>IFERROR(__xludf.DUMMYFUNCTION("""COMPUTED_VALUE"""),"FIBR PLAN 1299")</f>
        <v>FIBR PLAN 1299</v>
      </c>
      <c r="P1022" s="1" t="str">
        <f>IFERROR(__xludf.DUMMYFUNCTION("""COMPUTED_VALUE"""),"LOWPLAN")</f>
        <v>LOWPLAN</v>
      </c>
      <c r="Q1022" s="1" t="str">
        <f>IFERROR(__xludf.DUMMYFUNCTION("""COMPUTED_VALUE"""),"P407566")</f>
        <v>P407566</v>
      </c>
      <c r="R1022" s="1" t="str">
        <f>IFERROR(__xludf.DUMMYFUNCTION("""COMPUTED_VALUE"""),"DENACO, RODNEY")</f>
        <v>DENACO, RODNEY</v>
      </c>
      <c r="S1022" s="1" t="str">
        <f>IFERROR(__xludf.DUMMYFUNCTION("""COMPUTED_VALUE"""),"ORGANIC")</f>
        <v>ORGANIC</v>
      </c>
      <c r="T1022" s="1" t="str">
        <f>IFERROR(__xludf.DUMMYFUNCTION("""COMPUTED_VALUE"""),"LEA REMOLLO")</f>
        <v>LEA REMOLLO</v>
      </c>
      <c r="U1022" s="1" t="str">
        <f>IFERROR(__xludf.DUMMYFUNCTION("""COMPUTED_VALUE"""),"JB SALIOA")</f>
        <v>JB SALIOA</v>
      </c>
      <c r="V1022" s="1" t="str">
        <f>IFERROR(__xludf.DUMMYFUNCTION("""COMPUTED_VALUE"""),"ONLINE/CRANFORD")</f>
        <v>ONLINE/CRANFORD</v>
      </c>
      <c r="W1022" s="1" t="str">
        <f>IFERROR(__xludf.DUMMYFUNCTION("""COMPUTED_VALUE"""),"STK REGULAR")</f>
        <v>STK REGULAR</v>
      </c>
      <c r="X1022" s="1" t="str">
        <f>IFERROR(__xludf.DUMMYFUNCTION("""COMPUTED_VALUE"""),"REGULAR")</f>
        <v>REGULAR</v>
      </c>
      <c r="Y1022" s="1" t="str">
        <f>IFERROR(__xludf.DUMMYFUNCTION("""COMPUTED_VALUE"""),"RS_ONL_CVEU_2026")</f>
        <v>RS_ONL_CVEU_2026</v>
      </c>
      <c r="Z1022" s="1" t="str">
        <f>IFERROR(__xludf.DUMMYFUNCTION("""COMPUTED_VALUE"""),"NEW CONNECT")</f>
        <v>NEW CONNECT</v>
      </c>
      <c r="AA1022" s="1">
        <f>IFERROR(__xludf.DUMMYFUNCTION("""COMPUTED_VALUE"""),639944469244)</f>
        <v>639944469244</v>
      </c>
      <c r="AB1022" s="1">
        <f>IFERROR(__xludf.DUMMYFUNCTION("""COMPUTED_VALUE"""),639393502189)</f>
        <v>639393502189</v>
      </c>
      <c r="AC1022" s="1"/>
      <c r="AD1022" s="1" t="str">
        <f>IFERROR(__xludf.DUMMYFUNCTION("""COMPUTED_VALUE"""),"BEECH")</f>
        <v>BEECH</v>
      </c>
      <c r="AE1022" s="1" t="str">
        <f>IFERROR(__xludf.DUMMYFUNCTION("""COMPUTED_VALUE"""),"SAINT JOSEPH RIDGEVIEW")</f>
        <v>SAINT JOSEPH RIDGEVIEW</v>
      </c>
      <c r="AF1022" s="1" t="str">
        <f>IFERROR(__xludf.DUMMYFUNCTION("""COMPUTED_VALUE"""),"BGY PALIPARAN 2")</f>
        <v>BGY PALIPARAN 2</v>
      </c>
      <c r="AG1022" s="1" t="str">
        <f>IFERROR(__xludf.DUMMYFUNCTION("""COMPUTED_VALUE"""),"DASMARINAS")</f>
        <v>DASMARINAS</v>
      </c>
      <c r="AH1022" s="1" t="str">
        <f>IFERROR(__xludf.DUMMYFUNCTION("""COMPUTED_VALUE"""),"SAINT JOSEPH PATRIARCH CHURCH")</f>
        <v>SAINT JOSEPH PATRIARCH CHURCH</v>
      </c>
      <c r="AI1022" s="1" t="str">
        <f>IFERROR(__xludf.DUMMYFUNCTION("""COMPUTED_VALUE"""),"NOT AOR")</f>
        <v>NOT AOR</v>
      </c>
    </row>
    <row r="1023" customHeight="1" spans="1:35">
      <c r="A1023" s="3">
        <f>IFERROR(__xludf.DUMMYFUNCTION("""COMPUTED_VALUE"""),46307)</f>
        <v>46307</v>
      </c>
      <c r="B1023" s="1" t="str">
        <f>IFERROR(__xludf.DUMMYFUNCTION("""COMPUTED_VALUE""")," EDITHA DEMON GANE")</f>
        <v> EDITHA DEMON GANE</v>
      </c>
      <c r="C1023" s="1">
        <f>IFERROR(__xludf.DUMMYFUNCTION("""COMPUTED_VALUE"""),2313118331)</f>
        <v>2313118331</v>
      </c>
      <c r="D1023" s="1"/>
      <c r="E1023" s="1"/>
      <c r="F1023" s="1" t="str">
        <f>IFERROR(__xludf.DUMMYFUNCTION("""COMPUTED_VALUE"""),"CANCELLED")</f>
        <v>CANCELLED</v>
      </c>
      <c r="G1023" s="1" t="str">
        <f>IFERROR(__xludf.DUMMYFUNCTION("""COMPUTED_VALUE"""),"CANCELLED")</f>
        <v>CANCELLED</v>
      </c>
      <c r="H1023" s="1"/>
      <c r="I1023" s="1"/>
      <c r="J1023" s="1"/>
      <c r="K1023" s="1"/>
      <c r="L1023" s="1" t="str">
        <f>IFERROR(__xludf.DUMMYFUNCTION("""COMPUTED_VALUE"""),"CANCELLED")</f>
        <v>CANCELLED</v>
      </c>
      <c r="M1023" s="1" t="str">
        <f>IFERROR(__xludf.DUMMYFUNCTION("""COMPUTED_VALUE"""),"CANCELLED - WITH OB")</f>
        <v>CANCELLED - WITH OB</v>
      </c>
      <c r="N1023" s="3"/>
      <c r="O1023" s="1" t="str">
        <f>IFERROR(__xludf.DUMMYFUNCTION("""COMPUTED_VALUE"""),"FIBR PLAN 1299")</f>
        <v>FIBR PLAN 1299</v>
      </c>
      <c r="P1023" s="1" t="str">
        <f>IFERROR(__xludf.DUMMYFUNCTION("""COMPUTED_VALUE"""),"LOWPLAN")</f>
        <v>LOWPLAN</v>
      </c>
      <c r="Q1023" s="1" t="str">
        <f>IFERROR(__xludf.DUMMYFUNCTION("""COMPUTED_VALUE"""),"P407046 ")</f>
        <v>P407046 </v>
      </c>
      <c r="R1023" s="1" t="str">
        <f>IFERROR(__xludf.DUMMYFUNCTION("""COMPUTED_VALUE"""),"MATUDAN, LEBRON JAMES")</f>
        <v>MATUDAN, LEBRON JAMES</v>
      </c>
      <c r="S1023" s="1" t="str">
        <f>IFERROR(__xludf.DUMMYFUNCTION("""COMPUTED_VALUE"""),"FLA")</f>
        <v>FLA</v>
      </c>
      <c r="T1023" s="1" t="str">
        <f>IFERROR(__xludf.DUMMYFUNCTION("""COMPUTED_VALUE"""),"JERIC NAVARRO")</f>
        <v>JERIC NAVARRO</v>
      </c>
      <c r="U1023" s="1" t="str">
        <f>IFERROR(__xludf.DUMMYFUNCTION("""COMPUTED_VALUE"""),"JULIE ESPIRITU")</f>
        <v>JULIE ESPIRITU</v>
      </c>
      <c r="V1023" s="1" t="str">
        <f>IFERROR(__xludf.DUMMYFUNCTION("""COMPUTED_VALUE"""),"BK HSTK")</f>
        <v>BK HSTK</v>
      </c>
      <c r="W1023" s="1" t="str">
        <f>IFERROR(__xludf.DUMMYFUNCTION("""COMPUTED_VALUE"""),"BK HSTK")</f>
        <v>BK HSTK</v>
      </c>
      <c r="X1023" s="1" t="str">
        <f>IFERROR(__xludf.DUMMYFUNCTION("""COMPUTED_VALUE"""),"REGULAR")</f>
        <v>REGULAR</v>
      </c>
      <c r="Y1023" s="1" t="str">
        <f>IFERROR(__xludf.DUMMYFUNCTION("""COMPUTED_VALUE"""),"BK_CVEU_261004")</f>
        <v>BK_CVEU_261004</v>
      </c>
      <c r="Z1023" s="1" t="str">
        <f>IFERROR(__xludf.DUMMYFUNCTION("""COMPUTED_VALUE"""),"NEW CONNECT")</f>
        <v>NEW CONNECT</v>
      </c>
      <c r="AA1023" s="1">
        <f>IFERROR(__xludf.DUMMYFUNCTION("""COMPUTED_VALUE"""),639472971900)</f>
        <v>639472971900</v>
      </c>
      <c r="AB1023" s="1">
        <f>IFERROR(__xludf.DUMMYFUNCTION("""COMPUTED_VALUE"""),639108240311)</f>
        <v>639108240311</v>
      </c>
      <c r="AC1023" s="1"/>
      <c r="AD1023" s="1" t="str">
        <f>IFERROR(__xludf.DUMMYFUNCTION("""COMPUTED_VALUE"""),"G DE JESUS")</f>
        <v>G DE JESUS</v>
      </c>
      <c r="AE1023" s="1"/>
      <c r="AF1023" s="1" t="str">
        <f>IFERROR(__xludf.DUMMYFUNCTION("""COMPUTED_VALUE"""),"BGY G DE JESUS")</f>
        <v>BGY G DE JESUS</v>
      </c>
      <c r="AG1023" s="1" t="str">
        <f>IFERROR(__xludf.DUMMYFUNCTION("""COMPUTED_VALUE"""),"GEN MARIANO ALVAREZ")</f>
        <v>GEN MARIANO ALVAREZ</v>
      </c>
      <c r="AH1023" s="1"/>
      <c r="AI1023" s="1" t="str">
        <f>IFERROR(__xludf.DUMMYFUNCTION("""COMPUTED_VALUE"""),"CLUSTER 11")</f>
        <v>CLUSTER 11</v>
      </c>
    </row>
    <row r="1024" customHeight="1" spans="1:35">
      <c r="A1024" s="3">
        <f>IFERROR(__xludf.DUMMYFUNCTION("""COMPUTED_VALUE"""),46307)</f>
        <v>46307</v>
      </c>
      <c r="B1024" s="1" t="str">
        <f>IFERROR(__xludf.DUMMYFUNCTION("""COMPUTED_VALUE""")," CATHERINE ARCA RIVAS")</f>
        <v> CATHERINE ARCA RIVAS</v>
      </c>
      <c r="C1024" s="1">
        <f>IFERROR(__xludf.DUMMYFUNCTION("""COMPUTED_VALUE"""),2313118513)</f>
        <v>2313118513</v>
      </c>
      <c r="D1024" s="1"/>
      <c r="E1024" s="1"/>
      <c r="F1024" s="1" t="str">
        <f>IFERROR(__xludf.DUMMYFUNCTION("""COMPUTED_VALUE"""),"CANCELLED")</f>
        <v>CANCELLED</v>
      </c>
      <c r="G1024" s="1" t="str">
        <f>IFERROR(__xludf.DUMMYFUNCTION("""COMPUTED_VALUE"""),"CANCELLED")</f>
        <v>CANCELLED</v>
      </c>
      <c r="H1024" s="1"/>
      <c r="I1024" s="1"/>
      <c r="J1024" s="1"/>
      <c r="K1024" s="1"/>
      <c r="L1024" s="1" t="str">
        <f>IFERROR(__xludf.DUMMYFUNCTION("""COMPUTED_VALUE"""),"CANCELLED")</f>
        <v>CANCELLED</v>
      </c>
      <c r="M1024" s="1" t="str">
        <f>IFERROR(__xludf.DUMMYFUNCTION("""COMPUTED_VALUE"""),"CANCELLED - WITH OB")</f>
        <v>CANCELLED - WITH OB</v>
      </c>
      <c r="N1024" s="3"/>
      <c r="O1024" s="1" t="str">
        <f>IFERROR(__xludf.DUMMYFUNCTION("""COMPUTED_VALUE"""),"FIBR NETFLIX PLAN 1599")</f>
        <v>FIBR NETFLIX PLAN 1599</v>
      </c>
      <c r="P1024" s="1" t="str">
        <f>IFERROR(__xludf.DUMMYFUNCTION("""COMPUTED_VALUE"""),"LOWPLAN")</f>
        <v>LOWPLAN</v>
      </c>
      <c r="Q1024" s="1" t="str">
        <f>IFERROR(__xludf.DUMMYFUNCTION("""COMPUTED_VALUE"""),"P407046 ")</f>
        <v>P407046 </v>
      </c>
      <c r="R1024" s="1" t="str">
        <f>IFERROR(__xludf.DUMMYFUNCTION("""COMPUTED_VALUE"""),"MATUDAN, LEBRON JAMES")</f>
        <v>MATUDAN, LEBRON JAMES</v>
      </c>
      <c r="S1024" s="1" t="str">
        <f>IFERROR(__xludf.DUMMYFUNCTION("""COMPUTED_VALUE"""),"FLA")</f>
        <v>FLA</v>
      </c>
      <c r="T1024" s="1" t="str">
        <f>IFERROR(__xludf.DUMMYFUNCTION("""COMPUTED_VALUE"""),"JERIC NAVARRO")</f>
        <v>JERIC NAVARRO</v>
      </c>
      <c r="U1024" s="1" t="str">
        <f>IFERROR(__xludf.DUMMYFUNCTION("""COMPUTED_VALUE"""),"JULIE ESPIRITU")</f>
        <v>JULIE ESPIRITU</v>
      </c>
      <c r="V1024" s="1" t="str">
        <f>IFERROR(__xludf.DUMMYFUNCTION("""COMPUTED_VALUE"""),"BK HSTK")</f>
        <v>BK HSTK</v>
      </c>
      <c r="W1024" s="1" t="str">
        <f>IFERROR(__xludf.DUMMYFUNCTION("""COMPUTED_VALUE"""),"BK HSTK")</f>
        <v>BK HSTK</v>
      </c>
      <c r="X1024" s="1" t="str">
        <f>IFERROR(__xludf.DUMMYFUNCTION("""COMPUTED_VALUE"""),"REGULAR")</f>
        <v>REGULAR</v>
      </c>
      <c r="Y1024" s="1" t="str">
        <f>IFERROR(__xludf.DUMMYFUNCTION("""COMPUTED_VALUE"""),"BK_CVEU_261004")</f>
        <v>BK_CVEU_261004</v>
      </c>
      <c r="Z1024" s="1" t="str">
        <f>IFERROR(__xludf.DUMMYFUNCTION("""COMPUTED_VALUE"""),"NEW CONNECT")</f>
        <v>NEW CONNECT</v>
      </c>
      <c r="AA1024" s="1">
        <f>IFERROR(__xludf.DUMMYFUNCTION("""COMPUTED_VALUE"""),639551734777)</f>
        <v>639551734777</v>
      </c>
      <c r="AB1024" s="1"/>
      <c r="AC1024" s="1"/>
      <c r="AD1024" s="1" t="str">
        <f>IFERROR(__xludf.DUMMYFUNCTION("""COMPUTED_VALUE"""),"EPIFANIO MALIA")</f>
        <v>EPIFANIO MALIA</v>
      </c>
      <c r="AE1024" s="1"/>
      <c r="AF1024" s="1" t="str">
        <f>IFERROR(__xludf.DUMMYFUNCTION("""COMPUTED_VALUE"""),"BGY EPIFANIO MALIA")</f>
        <v>BGY EPIFANIO MALIA</v>
      </c>
      <c r="AG1024" s="1" t="str">
        <f>IFERROR(__xludf.DUMMYFUNCTION("""COMPUTED_VALUE"""),"GEN MARIANO ALVAREZ")</f>
        <v>GEN MARIANO ALVAREZ</v>
      </c>
      <c r="AH1024" s="1"/>
      <c r="AI1024" s="1" t="str">
        <f>IFERROR(__xludf.DUMMYFUNCTION("""COMPUTED_VALUE"""),"CLUSTER 11")</f>
        <v>CLUSTER 11</v>
      </c>
    </row>
    <row r="1025" customHeight="1" spans="1:35">
      <c r="A1025" s="3">
        <f>IFERROR(__xludf.DUMMYFUNCTION("""COMPUTED_VALUE"""),46307)</f>
        <v>46307</v>
      </c>
      <c r="B1025" s="1" t="str">
        <f>IFERROR(__xludf.DUMMYFUNCTION("""COMPUTED_VALUE""")," MELVIN EUSTAQUIO LANDAYAN")</f>
        <v> MELVIN EUSTAQUIO LANDAYAN</v>
      </c>
      <c r="C1025" s="1">
        <f>IFERROR(__xludf.DUMMYFUNCTION("""COMPUTED_VALUE"""),2313118659)</f>
        <v>2313118659</v>
      </c>
      <c r="D1025" s="1"/>
      <c r="E1025" s="1"/>
      <c r="F1025" s="1" t="str">
        <f>IFERROR(__xludf.DUMMYFUNCTION("""COMPUTED_VALUE"""),"CANCELLED")</f>
        <v>CANCELLED</v>
      </c>
      <c r="G1025" s="1" t="str">
        <f>IFERROR(__xludf.DUMMYFUNCTION("""COMPUTED_VALUE"""),"CANCELLED")</f>
        <v>CANCELLED</v>
      </c>
      <c r="H1025" s="1"/>
      <c r="I1025" s="1"/>
      <c r="J1025" s="1"/>
      <c r="K1025" s="1"/>
      <c r="L1025" s="1" t="str">
        <f>IFERROR(__xludf.DUMMYFUNCTION("""COMPUTED_VALUE"""),"CANCELLED")</f>
        <v>CANCELLED</v>
      </c>
      <c r="M1025" s="1" t="str">
        <f>IFERROR(__xludf.DUMMYFUNCTION("""COMPUTED_VALUE"""),"CANCELLED - WITH OB")</f>
        <v>CANCELLED - WITH OB</v>
      </c>
      <c r="N1025" s="3"/>
      <c r="O1025" s="1" t="str">
        <f>IFERROR(__xludf.DUMMYFUNCTION("""COMPUTED_VALUE"""),"FIBR PLAN 1299")</f>
        <v>FIBR PLAN 1299</v>
      </c>
      <c r="P1025" s="1" t="str">
        <f>IFERROR(__xludf.DUMMYFUNCTION("""COMPUTED_VALUE"""),"LOWPLAN")</f>
        <v>LOWPLAN</v>
      </c>
      <c r="Q1025" s="1" t="str">
        <f>IFERROR(__xludf.DUMMYFUNCTION("""COMPUTED_VALUE"""),"P407046 ")</f>
        <v>P407046 </v>
      </c>
      <c r="R1025" s="1" t="str">
        <f>IFERROR(__xludf.DUMMYFUNCTION("""COMPUTED_VALUE"""),"MATUDAN, LEBRON JAMES")</f>
        <v>MATUDAN, LEBRON JAMES</v>
      </c>
      <c r="S1025" s="1" t="str">
        <f>IFERROR(__xludf.DUMMYFUNCTION("""COMPUTED_VALUE"""),"FLA")</f>
        <v>FLA</v>
      </c>
      <c r="T1025" s="1" t="str">
        <f>IFERROR(__xludf.DUMMYFUNCTION("""COMPUTED_VALUE"""),"JERIC NAVARRO")</f>
        <v>JERIC NAVARRO</v>
      </c>
      <c r="U1025" s="1" t="str">
        <f>IFERROR(__xludf.DUMMYFUNCTION("""COMPUTED_VALUE"""),"JULIE ESPIRITU")</f>
        <v>JULIE ESPIRITU</v>
      </c>
      <c r="V1025" s="1" t="str">
        <f>IFERROR(__xludf.DUMMYFUNCTION("""COMPUTED_VALUE"""),"BK HSTK")</f>
        <v>BK HSTK</v>
      </c>
      <c r="W1025" s="1" t="str">
        <f>IFERROR(__xludf.DUMMYFUNCTION("""COMPUTED_VALUE"""),"BK HSTK")</f>
        <v>BK HSTK</v>
      </c>
      <c r="X1025" s="1" t="str">
        <f>IFERROR(__xludf.DUMMYFUNCTION("""COMPUTED_VALUE"""),"REGULAR")</f>
        <v>REGULAR</v>
      </c>
      <c r="Y1025" s="1" t="str">
        <f>IFERROR(__xludf.DUMMYFUNCTION("""COMPUTED_VALUE"""),"BK_CVEU_261005")</f>
        <v>BK_CVEU_261005</v>
      </c>
      <c r="Z1025" s="1" t="str">
        <f>IFERROR(__xludf.DUMMYFUNCTION("""COMPUTED_VALUE"""),"NEW CONNECT")</f>
        <v>NEW CONNECT</v>
      </c>
      <c r="AA1025" s="1">
        <f>IFERROR(__xludf.DUMMYFUNCTION("""COMPUTED_VALUE"""),639926995407)</f>
        <v>639926995407</v>
      </c>
      <c r="AB1025" s="1">
        <f>IFERROR(__xludf.DUMMYFUNCTION("""COMPUTED_VALUE"""),639926929951)</f>
        <v>639926929951</v>
      </c>
      <c r="AC1025" s="1">
        <f>IFERROR(__xludf.DUMMYFUNCTION("""COMPUTED_VALUE"""),414)</f>
        <v>414</v>
      </c>
      <c r="AD1025" s="1" t="str">
        <f>IFERROR(__xludf.DUMMYFUNCTION("""COMPUTED_VALUE"""),"GATPANDAN")</f>
        <v>GATPANDAN</v>
      </c>
      <c r="AE1025" s="1"/>
      <c r="AF1025" s="1" t="str">
        <f>IFERROR(__xludf.DUMMYFUNCTION("""COMPUTED_VALUE"""),"BGY ANULING CERCA 2")</f>
        <v>BGY ANULING CERCA 2</v>
      </c>
      <c r="AG1025" s="1" t="str">
        <f>IFERROR(__xludf.DUMMYFUNCTION("""COMPUTED_VALUE"""),"MENDEZ")</f>
        <v>MENDEZ</v>
      </c>
      <c r="AH1025" s="1" t="str">
        <f>IFERROR(__xludf.DUMMYFUNCTION("""COMPUTED_VALUE"""),"-")</f>
        <v>-</v>
      </c>
      <c r="AI1025" s="1" t="str">
        <f>IFERROR(__xludf.DUMMYFUNCTION("""COMPUTED_VALUE"""),"CLUSTER 12")</f>
        <v>CLUSTER 12</v>
      </c>
    </row>
    <row r="1026" customHeight="1" spans="1:35">
      <c r="A1026" s="3">
        <f>IFERROR(__xludf.DUMMYFUNCTION("""COMPUTED_VALUE"""),46307)</f>
        <v>46307</v>
      </c>
      <c r="B1026" s="1" t="str">
        <f>IFERROR(__xludf.DUMMYFUNCTION("""COMPUTED_VALUE"""),"ORLANDO BEDANA MALONG")</f>
        <v>ORLANDO BEDANA MALONG</v>
      </c>
      <c r="C1026" s="1">
        <f>IFERROR(__xludf.DUMMYFUNCTION("""COMPUTED_VALUE"""),2313120349)</f>
        <v>2313120349</v>
      </c>
      <c r="D1026" s="1"/>
      <c r="E1026" s="1"/>
      <c r="F1026" s="1" t="str">
        <f>IFERROR(__xludf.DUMMYFUNCTION("""COMPUTED_VALUE"""),"CANCELLED")</f>
        <v>CANCELLED</v>
      </c>
      <c r="G1026" s="1" t="str">
        <f>IFERROR(__xludf.DUMMYFUNCTION("""COMPUTED_VALUE"""),"(POA REQUIREMENT - MULTIPLE LINE APPLICATION) BK SR FOR CALLOUT BUT UNCONTACTED FOUND DUPLICATE CBR (639704772353 )UNDER ACCOUNT 0356957296 0357139716 0319562230 0357726913 DIFF NAME AND ADDRESS CALL THRU 639704772353 05:12 M NO ANSWERED 639103986309 05:1"&amp;"3PM KEEPS ON RINGING FOR CONFIRMATION NO BLACKLIST HIT DONE VALIDATION WITH COMPLETE SUBMITTED DOCS | CORRECT ENCODED INFO CSP \ WITH 1 AMSF REQUIRED FF - 1 (NTC) ")</f>
        <v>(POA REQUIREMENT - MULTIPLE LINE APPLICATION) BK SR FOR CALLOUT BUT UNCONTACTED FOUND DUPLICATE CBR (639704772353 )UNDER ACCOUNT 0356957296 0357139716 0319562230 0357726913 DIFF NAME AND ADDRESS CALL THRU 639704772353 05:12 M NO ANSWERED 639103986309 05:13PM KEEPS ON RINGING FOR CONFIRMATION NO BLACKLIST HIT DONE VALIDATION WITH COMPLETE SUBMITTED DOCS | CORRECT ENCODED INFO CSP \ WITH 1 AMSF REQUIRED FF - 1 (NTC) </v>
      </c>
      <c r="H1026" s="1"/>
      <c r="I1026" s="1"/>
      <c r="J1026" s="1"/>
      <c r="K1026" s="1"/>
      <c r="L1026" s="1" t="str">
        <f>IFERROR(__xludf.DUMMYFUNCTION("""COMPUTED_VALUE"""),"CANCELLED - NON COMPLIANCE")</f>
        <v>CANCELLED - NON COMPLIANCE</v>
      </c>
      <c r="M1026" s="1" t="str">
        <f>IFERROR(__xludf.DUMMYFUNCTION("""COMPUTED_VALUE"""),"CANCELLED - NON COMPLIANCE")</f>
        <v>CANCELLED - NON COMPLIANCE</v>
      </c>
      <c r="N1026" s="3"/>
      <c r="O1026" s="1" t="str">
        <f>IFERROR(__xludf.DUMMYFUNCTION("""COMPUTED_VALUE"""),"FIBR UNLI ALL PLAN 999")</f>
        <v>FIBR UNLI ALL PLAN 999</v>
      </c>
      <c r="P1026" s="1" t="str">
        <f>IFERROR(__xludf.DUMMYFUNCTION("""COMPUTED_VALUE"""),"LOWPLAN")</f>
        <v>LOWPLAN</v>
      </c>
      <c r="Q1026" s="1" t="str">
        <f>IFERROR(__xludf.DUMMYFUNCTION("""COMPUTED_VALUE"""),"P407565")</f>
        <v>P407565</v>
      </c>
      <c r="R1026" s="1" t="str">
        <f>IFERROR(__xludf.DUMMYFUNCTION("""COMPUTED_VALUE"""),"MANDUCDOC, MARIANE")</f>
        <v>MANDUCDOC, MARIANE</v>
      </c>
      <c r="S1026" s="1" t="str">
        <f>IFERROR(__xludf.DUMMYFUNCTION("""COMPUTED_VALUE"""),"ORGANIC")</f>
        <v>ORGANIC</v>
      </c>
      <c r="T1026" s="1" t="str">
        <f>IFERROR(__xludf.DUMMYFUNCTION("""COMPUTED_VALUE"""),"LEA REMOLLO")</f>
        <v>LEA REMOLLO</v>
      </c>
      <c r="U1026" s="1" t="str">
        <f>IFERROR(__xludf.DUMMYFUNCTION("""COMPUTED_VALUE"""),"JB SALIOA")</f>
        <v>JB SALIOA</v>
      </c>
      <c r="V1026" s="1" t="str">
        <f>IFERROR(__xludf.DUMMYFUNCTION("""COMPUTED_VALUE"""),"BK HSTK")</f>
        <v>BK HSTK</v>
      </c>
      <c r="W1026" s="1" t="str">
        <f>IFERROR(__xludf.DUMMYFUNCTION("""COMPUTED_VALUE"""),"BK HSTK")</f>
        <v>BK HSTK</v>
      </c>
      <c r="X1026" s="1" t="str">
        <f>IFERROR(__xludf.DUMMYFUNCTION("""COMPUTED_VALUE"""),"REGULAR")</f>
        <v>REGULAR</v>
      </c>
      <c r="Y1026" s="1" t="str">
        <f>IFERROR(__xludf.DUMMYFUNCTION("""COMPUTED_VALUE"""),"BK_CVEU_261004")</f>
        <v>BK_CVEU_261004</v>
      </c>
      <c r="Z1026" s="1" t="str">
        <f>IFERROR(__xludf.DUMMYFUNCTION("""COMPUTED_VALUE"""),"NEW CONNECT")</f>
        <v>NEW CONNECT</v>
      </c>
      <c r="AA1026" s="1">
        <f>IFERROR(__xludf.DUMMYFUNCTION("""COMPUTED_VALUE"""),639704772353)</f>
        <v>639704772353</v>
      </c>
      <c r="AB1026" s="1">
        <f>IFERROR(__xludf.DUMMYFUNCTION("""COMPUTED_VALUE"""),639103986309)</f>
        <v>639103986309</v>
      </c>
      <c r="AC1026" s="1"/>
      <c r="AD1026" s="1" t="str">
        <f>IFERROR(__xludf.DUMMYFUNCTION("""COMPUTED_VALUE"""),"EXTENSION")</f>
        <v>EXTENSION</v>
      </c>
      <c r="AE1026" s="1"/>
      <c r="AF1026" s="1" t="str">
        <f>IFERROR(__xludf.DUMMYFUNCTION("""COMPUTED_VALUE"""),"BGY GAVINO MADERAN")</f>
        <v>BGY GAVINO MADERAN</v>
      </c>
      <c r="AG1026" s="1" t="str">
        <f>IFERROR(__xludf.DUMMYFUNCTION("""COMPUTED_VALUE"""),"GEN MARIANO ALVAREZ")</f>
        <v>GEN MARIANO ALVAREZ</v>
      </c>
      <c r="AH1026" s="1" t="str">
        <f>IFERROR(__xludf.DUMMYFUNCTION("""COMPUTED_VALUE"""),"BILLONES // BUBBLE K")</f>
        <v>BILLONES // BUBBLE K</v>
      </c>
      <c r="AI1026" s="1" t="str">
        <f>IFERROR(__xludf.DUMMYFUNCTION("""COMPUTED_VALUE"""),"CLUSTER 11")</f>
        <v>CLUSTER 11</v>
      </c>
    </row>
    <row r="1027" customHeight="1" spans="1:35">
      <c r="A1027" s="3">
        <f>IFERROR(__xludf.DUMMYFUNCTION("""COMPUTED_VALUE"""),46307)</f>
        <v>46307</v>
      </c>
      <c r="B1027" s="1" t="str">
        <f>IFERROR(__xludf.DUMMYFUNCTION("""COMPUTED_VALUE"""),"MONALIZA HERNANDEZ SALENGA")</f>
        <v>MONALIZA HERNANDEZ SALENGA</v>
      </c>
      <c r="C1027" s="1">
        <f>IFERROR(__xludf.DUMMYFUNCTION("""COMPUTED_VALUE"""),2313120883)</f>
        <v>2313120883</v>
      </c>
      <c r="D1027" s="1"/>
      <c r="E1027" s="1"/>
      <c r="F1027" s="1" t="str">
        <f>IFERROR(__xludf.DUMMYFUNCTION("""COMPUTED_VALUE"""),"CANCELLED")</f>
        <v>CANCELLED</v>
      </c>
      <c r="G1027" s="1" t="str">
        <f>IFERROR(__xludf.DUMMYFUNCTION("""COMPUTED_VALUE"""),"CANCELLED")</f>
        <v>CANCELLED</v>
      </c>
      <c r="H1027" s="1"/>
      <c r="I1027" s="1"/>
      <c r="J1027" s="1"/>
      <c r="K1027" s="1"/>
      <c r="L1027" s="1" t="str">
        <f>IFERROR(__xludf.DUMMYFUNCTION("""COMPUTED_VALUE"""),"CANCELLED")</f>
        <v>CANCELLED</v>
      </c>
      <c r="M1027" s="1" t="str">
        <f>IFERROR(__xludf.DUMMYFUNCTION("""COMPUTED_VALUE"""),"CANCELLED - WITH OB")</f>
        <v>CANCELLED - WITH OB</v>
      </c>
      <c r="N1027" s="3"/>
      <c r="O1027" s="1" t="str">
        <f>IFERROR(__xludf.DUMMYFUNCTION("""COMPUTED_VALUE"""),"FIBR PLAN 1299")</f>
        <v>FIBR PLAN 1299</v>
      </c>
      <c r="P1027" s="1" t="str">
        <f>IFERROR(__xludf.DUMMYFUNCTION("""COMPUTED_VALUE"""),"LOWPLAN")</f>
        <v>LOWPLAN</v>
      </c>
      <c r="Q1027" s="1" t="str">
        <f>IFERROR(__xludf.DUMMYFUNCTION("""COMPUTED_VALUE"""),"P407566")</f>
        <v>P407566</v>
      </c>
      <c r="R1027" s="1" t="str">
        <f>IFERROR(__xludf.DUMMYFUNCTION("""COMPUTED_VALUE"""),"DENACO, RODNEY")</f>
        <v>DENACO, RODNEY</v>
      </c>
      <c r="S1027" s="1" t="str">
        <f>IFERROR(__xludf.DUMMYFUNCTION("""COMPUTED_VALUE"""),"ORGANIC")</f>
        <v>ORGANIC</v>
      </c>
      <c r="T1027" s="1" t="str">
        <f>IFERROR(__xludf.DUMMYFUNCTION("""COMPUTED_VALUE"""),"LEA REMOLLO")</f>
        <v>LEA REMOLLO</v>
      </c>
      <c r="U1027" s="1" t="str">
        <f>IFERROR(__xludf.DUMMYFUNCTION("""COMPUTED_VALUE"""),"JB SALIOA")</f>
        <v>JB SALIOA</v>
      </c>
      <c r="V1027" s="1" t="str">
        <f>IFERROR(__xludf.DUMMYFUNCTION("""COMPUTED_VALUE"""),"BK HSTK")</f>
        <v>BK HSTK</v>
      </c>
      <c r="W1027" s="1" t="str">
        <f>IFERROR(__xludf.DUMMYFUNCTION("""COMPUTED_VALUE"""),"BK HSTK")</f>
        <v>BK HSTK</v>
      </c>
      <c r="X1027" s="1" t="str">
        <f>IFERROR(__xludf.DUMMYFUNCTION("""COMPUTED_VALUE"""),"REGULAR")</f>
        <v>REGULAR</v>
      </c>
      <c r="Y1027" s="1" t="str">
        <f>IFERROR(__xludf.DUMMYFUNCTION("""COMPUTED_VALUE"""),"BK_CVEU_261003")</f>
        <v>BK_CVEU_261003</v>
      </c>
      <c r="Z1027" s="1" t="str">
        <f>IFERROR(__xludf.DUMMYFUNCTION("""COMPUTED_VALUE"""),"NEW CONNECT")</f>
        <v>NEW CONNECT</v>
      </c>
      <c r="AA1027" s="1">
        <f>IFERROR(__xludf.DUMMYFUNCTION("""COMPUTED_VALUE"""),639175147287)</f>
        <v>639175147287</v>
      </c>
      <c r="AB1027" s="1">
        <f>IFERROR(__xludf.DUMMYFUNCTION("""COMPUTED_VALUE"""),639690638458)</f>
        <v>639690638458</v>
      </c>
      <c r="AC1027" s="1">
        <f>IFERROR(__xludf.DUMMYFUNCTION("""COMPUTED_VALUE"""),9020)</f>
        <v>9020</v>
      </c>
      <c r="AD1027" s="1" t="str">
        <f>IFERROR(__xludf.DUMMYFUNCTION("""COMPUTED_VALUE"""),"WISDOM")</f>
        <v>WISDOM</v>
      </c>
      <c r="AE1027" s="1" t="str">
        <f>IFERROR(__xludf.DUMMYFUNCTION("""COMPUTED_VALUE"""),"CITYLAND PHASE 2")</f>
        <v>CITYLAND PHASE 2</v>
      </c>
      <c r="AF1027" s="1" t="str">
        <f>IFERROR(__xludf.DUMMYFUNCTION("""COMPUTED_VALUE"""),"BGY MABUHAY")</f>
        <v>BGY MABUHAY</v>
      </c>
      <c r="AG1027" s="1" t="str">
        <f>IFERROR(__xludf.DUMMYFUNCTION("""COMPUTED_VALUE"""),"CARMONA")</f>
        <v>CARMONA</v>
      </c>
      <c r="AH1027" s="1" t="str">
        <f>IFERROR(__xludf.DUMMYFUNCTION("""COMPUTED_VALUE"""),"COURT")</f>
        <v>COURT</v>
      </c>
      <c r="AI1027" s="1" t="str">
        <f>IFERROR(__xludf.DUMMYFUNCTION("""COMPUTED_VALUE"""),"CLUSTER 11")</f>
        <v>CLUSTER 11</v>
      </c>
    </row>
    <row r="1028" customHeight="1" spans="1:35">
      <c r="A1028" s="3">
        <f>IFERROR(__xludf.DUMMYFUNCTION("""COMPUTED_VALUE"""),46308)</f>
        <v>46308</v>
      </c>
      <c r="B1028" s="1" t="str">
        <f>IFERROR(__xludf.DUMMYFUNCTION("""COMPUTED_VALUE"""),"NENEBETZ ROMASASA TUSCANO")</f>
        <v>NENEBETZ ROMASASA TUSCANO</v>
      </c>
      <c r="C1028" s="1">
        <f>IFERROR(__xludf.DUMMYFUNCTION("""COMPUTED_VALUE"""),2313130237)</f>
        <v>2313130237</v>
      </c>
      <c r="D1028" s="1"/>
      <c r="E1028" s="1"/>
      <c r="F1028" s="1" t="str">
        <f>IFERROR(__xludf.DUMMYFUNCTION("""COMPUTED_VALUE"""),"RTS")</f>
        <v>RTS</v>
      </c>
      <c r="G1028" s="1" t="str">
        <f>IFERROR(__xludf.DUMMYFUNCTION("""COMPUTED_VALUE"""),"(WITH BLACKLISTED ACCOUNT FOR SETTLEMENT) Rts| found blacklisted acct # (0249705071) under same name dob diff address| ob: (Php5,731.89) for settlement| scannable national id submitted| no existing active acct and/ or pending application| Done Validation "&amp;"with submitted complete docs| correct encoded info in CSP| waived 1AMSF requirements (EE - 5 (LOW RISK)). ")</f>
        <v>(WITH BLACKLISTED ACCOUNT FOR SETTLEMENT) Rts| found blacklisted acct # (0249705071) under same name dob diff address| ob: (Php5,731.89) for settlement| scannable national id submitted| no existing active acct and/ or pending application| Done Validation with submitted complete docs| correct encoded info in CSP| waived 1AMSF requirements (EE - 5 (LOW RISK)). </v>
      </c>
      <c r="H1028" s="1"/>
      <c r="I1028" s="1"/>
      <c r="J1028" s="1"/>
      <c r="K1028" s="1"/>
      <c r="L1028" s="1" t="str">
        <f>IFERROR(__xludf.DUMMYFUNCTION("""COMPUTED_VALUE"""),"RTS")</f>
        <v>RTS</v>
      </c>
      <c r="M1028" s="1" t="str">
        <f>IFERROR(__xludf.DUMMYFUNCTION("""COMPUTED_VALUE"""),"RTS - CUSTOMER COMPLIANCE")</f>
        <v>RTS - CUSTOMER COMPLIANCE</v>
      </c>
      <c r="N1028" s="3"/>
      <c r="O1028" s="1" t="str">
        <f>IFERROR(__xludf.DUMMYFUNCTION("""COMPUTED_VALUE"""),"FIBER UNLI ALL PLAN 1899")</f>
        <v>FIBER UNLI ALL PLAN 1899</v>
      </c>
      <c r="P1028" s="1" t="str">
        <f>IFERROR(__xludf.DUMMYFUNCTION("""COMPUTED_VALUE"""),"HIGHPLAN")</f>
        <v>HIGHPLAN</v>
      </c>
      <c r="Q1028" s="1" t="str">
        <f>IFERROR(__xludf.DUMMYFUNCTION("""COMPUTED_VALUE"""),"P407567")</f>
        <v>P407567</v>
      </c>
      <c r="R1028" s="1" t="str">
        <f>IFERROR(__xludf.DUMMYFUNCTION("""COMPUTED_VALUE"""),"ILANO, LIANDRO TEJAS")</f>
        <v>ILANO, LIANDRO TEJAS</v>
      </c>
      <c r="S1028" s="1" t="str">
        <f>IFERROR(__xludf.DUMMYFUNCTION("""COMPUTED_VALUE"""),"LEADSTORE")</f>
        <v>LEADSTORE</v>
      </c>
      <c r="T1028" s="1" t="str">
        <f>IFERROR(__xludf.DUMMYFUNCTION("""COMPUTED_VALUE"""),"JERIC NAVARRO")</f>
        <v>JERIC NAVARRO</v>
      </c>
      <c r="U1028" s="1" t="str">
        <f>IFERROR(__xludf.DUMMYFUNCTION("""COMPUTED_VALUE"""),"JB SALIOA")</f>
        <v>JB SALIOA</v>
      </c>
      <c r="V1028" s="1" t="str">
        <f>IFERROR(__xludf.DUMMYFUNCTION("""COMPUTED_VALUE"""),"ONLINE/CRANFORD")</f>
        <v>ONLINE/CRANFORD</v>
      </c>
      <c r="W1028" s="1" t="str">
        <f>IFERROR(__xludf.DUMMYFUNCTION("""COMPUTED_VALUE"""),"STK REGULAR")</f>
        <v>STK REGULAR</v>
      </c>
      <c r="X1028" s="1" t="str">
        <f>IFERROR(__xludf.DUMMYFUNCTION("""COMPUTED_VALUE"""),"REGULAR")</f>
        <v>REGULAR</v>
      </c>
      <c r="Y1028" s="1" t="str">
        <f>IFERROR(__xludf.DUMMYFUNCTION("""COMPUTED_VALUE"""),"RS_ONL_CVEU_2026")</f>
        <v>RS_ONL_CVEU_2026</v>
      </c>
      <c r="Z1028" s="1" t="str">
        <f>IFERROR(__xludf.DUMMYFUNCTION("""COMPUTED_VALUE"""),"NEW CONNECT")</f>
        <v>NEW CONNECT</v>
      </c>
      <c r="AA1028" s="1">
        <f>IFERROR(__xludf.DUMMYFUNCTION("""COMPUTED_VALUE"""),639753529170)</f>
        <v>639753529170</v>
      </c>
      <c r="AB1028" s="1"/>
      <c r="AC1028" s="1"/>
      <c r="AD1028" s="1" t="str">
        <f>IFERROR(__xludf.DUMMYFUNCTION("""COMPUTED_VALUE"""),"ILOCOS")</f>
        <v>ILOCOS</v>
      </c>
      <c r="AE1028" s="1"/>
      <c r="AF1028" s="1" t="str">
        <f>IFERROR(__xludf.DUMMYFUNCTION("""COMPUTED_VALUE"""),"BGY GAVINO MADERAN")</f>
        <v>BGY GAVINO MADERAN</v>
      </c>
      <c r="AG1028" s="1" t="str">
        <f>IFERROR(__xludf.DUMMYFUNCTION("""COMPUTED_VALUE"""),"GEN MARIANO ALVAREZ")</f>
        <v>GEN MARIANO ALVAREZ</v>
      </c>
      <c r="AH1028" s="1" t="str">
        <f>IFERROR(__xludf.DUMMYFUNCTION("""COMPUTED_VALUE"""),"ILOCOS ST")</f>
        <v>ILOCOS ST</v>
      </c>
      <c r="AI1028" s="1" t="str">
        <f>IFERROR(__xludf.DUMMYFUNCTION("""COMPUTED_VALUE"""),"CLUSTER 11")</f>
        <v>CLUSTER 11</v>
      </c>
    </row>
    <row r="1029" customHeight="1" spans="1:35">
      <c r="A1029" s="3">
        <f>IFERROR(__xludf.DUMMYFUNCTION("""COMPUTED_VALUE"""),46308)</f>
        <v>46308</v>
      </c>
      <c r="B1029" s="1" t="str">
        <f>IFERROR(__xludf.DUMMYFUNCTION("""COMPUTED_VALUE"""),"DINA TANEDO NOFIES")</f>
        <v>DINA TANEDO NOFIES</v>
      </c>
      <c r="C1029" s="1">
        <f>IFERROR(__xludf.DUMMYFUNCTION("""COMPUTED_VALUE"""),2313130856)</f>
        <v>2313130856</v>
      </c>
      <c r="D1029" s="1">
        <f>IFERROR(__xludf.DUMMYFUNCTION("""COMPUTED_VALUE"""),408955661)</f>
        <v>408955661</v>
      </c>
      <c r="E1029" s="1">
        <f>IFERROR(__xludf.DUMMYFUNCTION("""COMPUTED_VALUE"""),475444808004)</f>
        <v>475444808004</v>
      </c>
      <c r="F1029" s="1" t="str">
        <f>IFERROR(__xludf.DUMMYFUNCTION("""COMPUTED_VALUE"""),"CLOSED")</f>
        <v>CLOSED</v>
      </c>
      <c r="G1029" s="1" t="str">
        <f>IFERROR(__xludf.DUMMYFUNCTION("""COMPUTED_VALUE"""),"CLOSED")</f>
        <v>CLOSED</v>
      </c>
      <c r="H1029" s="1"/>
      <c r="I1029" s="1" t="str">
        <f>IFERROR(__xludf.DUMMYFUNCTION("""COMPUTED_VALUE"""),"NO 1 AMSF")</f>
        <v>NO 1 AMSF</v>
      </c>
      <c r="J1029" s="1" t="str">
        <f>IFERROR(__xludf.DUMMYFUNCTION("""COMPUTED_VALUE"""),"DUE DATE - 08-Nov-26 - 1,445.64")</f>
        <v>DUE DATE - 08-Nov-26 - 1,445.64</v>
      </c>
      <c r="K1029" s="1" t="str">
        <f>IFERROR(__xludf.DUMMYFUNCTION("""COMPUTED_VALUE"""),"COMPLETED")</f>
        <v>COMPLETED</v>
      </c>
      <c r="L1029" s="1" t="str">
        <f>IFERROR(__xludf.DUMMYFUNCTION("""COMPUTED_VALUE"""),"POSTED")</f>
        <v>POSTED</v>
      </c>
      <c r="M1029" s="1" t="str">
        <f>IFERROR(__xludf.DUMMYFUNCTION("""COMPUTED_VALUE"""),"POSTED")</f>
        <v>POSTED</v>
      </c>
      <c r="N1029" s="3">
        <f>IFERROR(__xludf.DUMMYFUNCTION("""COMPUTED_VALUE"""),46309)</f>
        <v>46309</v>
      </c>
      <c r="O1029" s="1" t="str">
        <f>IFERROR(__xludf.DUMMYFUNCTION("""COMPUTED_VALUE"""),"FIBER UNLI PLAN 1399")</f>
        <v>FIBER UNLI PLAN 1399</v>
      </c>
      <c r="P1029" s="1" t="str">
        <f>IFERROR(__xludf.DUMMYFUNCTION("""COMPUTED_VALUE"""),"LOWPLAN")</f>
        <v>LOWPLAN</v>
      </c>
      <c r="Q1029" s="1" t="str">
        <f>IFERROR(__xludf.DUMMYFUNCTION("""COMPUTED_VALUE"""),"P407049")</f>
        <v>P407049</v>
      </c>
      <c r="R1029" s="1" t="str">
        <f>IFERROR(__xludf.DUMMYFUNCTION("""COMPUTED_VALUE"""),"CADERAO, RONALD")</f>
        <v>CADERAO, RONALD</v>
      </c>
      <c r="S1029" s="1" t="str">
        <f>IFERROR(__xludf.DUMMYFUNCTION("""COMPUTED_VALUE"""),"ORGANIC")</f>
        <v>ORGANIC</v>
      </c>
      <c r="T1029" s="1" t="str">
        <f>IFERROR(__xludf.DUMMYFUNCTION("""COMPUTED_VALUE"""),"LEA REMOLLO")</f>
        <v>LEA REMOLLO</v>
      </c>
      <c r="U1029" s="1" t="str">
        <f>IFERROR(__xludf.DUMMYFUNCTION("""COMPUTED_VALUE"""),"JB SALIOA")</f>
        <v>JB SALIOA</v>
      </c>
      <c r="V1029" s="1" t="str">
        <f>IFERROR(__xludf.DUMMYFUNCTION("""COMPUTED_VALUE"""),"BK REGULAR")</f>
        <v>BK REGULAR</v>
      </c>
      <c r="W1029" s="1" t="str">
        <f>IFERROR(__xludf.DUMMYFUNCTION("""COMPUTED_VALUE"""),"STK REGULAR")</f>
        <v>STK REGULAR</v>
      </c>
      <c r="X1029" s="1" t="str">
        <f>IFERROR(__xludf.DUMMYFUNCTION("""COMPUTED_VALUE"""),"FIBER 1399 98TH YR")</f>
        <v>FIBER 1399 98TH YR</v>
      </c>
      <c r="Y1029" s="1" t="str">
        <f>IFERROR(__xludf.DUMMYFUNCTION("""COMPUTED_VALUE"""),"BK_CVEU_261002")</f>
        <v>BK_CVEU_261002</v>
      </c>
      <c r="Z1029" s="1" t="str">
        <f>IFERROR(__xludf.DUMMYFUNCTION("""COMPUTED_VALUE"""),"NEW CONNECT")</f>
        <v>NEW CONNECT</v>
      </c>
      <c r="AA1029" s="1">
        <f>IFERROR(__xludf.DUMMYFUNCTION("""COMPUTED_VALUE"""),639655561962)</f>
        <v>639655561962</v>
      </c>
      <c r="AB1029" s="1"/>
      <c r="AC1029" s="1">
        <f>IFERROR(__xludf.DUMMYFUNCTION("""COMPUTED_VALUE"""),17)</f>
        <v>17</v>
      </c>
      <c r="AD1029" s="1" t="str">
        <f>IFERROR(__xludf.DUMMYFUNCTION("""COMPUTED_VALUE"""),"PASONG MATANDA")</f>
        <v>PASONG MATANDA</v>
      </c>
      <c r="AE1029" s="1"/>
      <c r="AF1029" s="1" t="str">
        <f>IFERROR(__xludf.DUMMYFUNCTION("""COMPUTED_VALUE"""),"BGY 5")</f>
        <v>BGY 5</v>
      </c>
      <c r="AG1029" s="1" t="str">
        <f>IFERROR(__xludf.DUMMYFUNCTION("""COMPUTED_VALUE"""),"AMADEO")</f>
        <v>AMADEO</v>
      </c>
      <c r="AH1029" s="1" t="str">
        <f>IFERROR(__xludf.DUMMYFUNCTION("""COMPUTED_VALUE"""),"-")</f>
        <v>-</v>
      </c>
      <c r="AI1029" s="1" t="str">
        <f>IFERROR(__xludf.DUMMYFUNCTION("""COMPUTED_VALUE"""),"CLUSTER 12")</f>
        <v>CLUSTER 12</v>
      </c>
    </row>
    <row r="1030" customHeight="1" spans="1:35">
      <c r="A1030" s="3">
        <f>IFERROR(__xludf.DUMMYFUNCTION("""COMPUTED_VALUE"""),46308)</f>
        <v>46308</v>
      </c>
      <c r="B1030" s="1" t="str">
        <f>IFERROR(__xludf.DUMMYFUNCTION("""COMPUTED_VALUE"""),"SALAHODEN SALILING MAROHOM")</f>
        <v>SALAHODEN SALILING MAROHOM</v>
      </c>
      <c r="C1030" s="1">
        <f>IFERROR(__xludf.DUMMYFUNCTION("""COMPUTED_VALUE"""),2313132877)</f>
        <v>2313132877</v>
      </c>
      <c r="D1030" s="1">
        <f>IFERROR(__xludf.DUMMYFUNCTION("""COMPUTED_VALUE"""),408993830)</f>
        <v>408993830</v>
      </c>
      <c r="E1030" s="1">
        <f>IFERROR(__xludf.DUMMYFUNCTION("""COMPUTED_VALUE"""),475603737004)</f>
        <v>475603737004</v>
      </c>
      <c r="F1030" s="1" t="str">
        <f>IFERROR(__xludf.DUMMYFUNCTION("""COMPUTED_VALUE"""),"FOR CANCELLATION")</f>
        <v>FOR CANCELLATION</v>
      </c>
      <c r="G1030" s="1" t="str">
        <f>IFERROR(__xludf.DUMMYFUNCTION("""COMPUTED_VALUE"""),"FOR CANCELLATION")</f>
        <v>FOR CANCELLATION</v>
      </c>
      <c r="H1030" s="1" t="str">
        <f>IFERROR(__xludf.DUMMYFUNCTION("""COMPUTED_VALUE"""),"FOR CANCELLATION- AS PER SUBS LILIPAT DAW SILA NG TAGAYTAY MAG ADVICE NALANG DAW KAY AGENT PAG OKAY NA")</f>
        <v>FOR CANCELLATION- AS PER SUBS LILIPAT DAW SILA NG TAGAYTAY MAG ADVICE NALANG DAW KAY AGENT PAG OKAY NA</v>
      </c>
      <c r="I1030" s="1"/>
      <c r="J1030" s="1"/>
      <c r="K1030" s="1" t="str">
        <f>IFERROR(__xludf.DUMMYFUNCTION("""COMPUTED_VALUE"""),"NOT IN OFSC")</f>
        <v>NOT IN OFSC</v>
      </c>
      <c r="L1030" s="1" t="str">
        <f>IFERROR(__xludf.DUMMYFUNCTION("""COMPUTED_VALUE"""),"FOR PAYMENT")</f>
        <v>FOR PAYMENT</v>
      </c>
      <c r="M1030" s="1" t="str">
        <f>IFERROR(__xludf.DUMMYFUNCTION("""COMPUTED_VALUE"""),"FOR CANCELLATION - NON COMPLIANCE - NO PAYMENT")</f>
        <v>FOR CANCELLATION - NON COMPLIANCE - NO PAYMENT</v>
      </c>
      <c r="N1030" s="3"/>
      <c r="O1030" s="1" t="str">
        <f>IFERROR(__xludf.DUMMYFUNCTION("""COMPUTED_VALUE"""),"FIBER UNLI PLAN 1399")</f>
        <v>FIBER UNLI PLAN 1399</v>
      </c>
      <c r="P1030" s="1" t="str">
        <f>IFERROR(__xludf.DUMMYFUNCTION("""COMPUTED_VALUE"""),"LOWPLAN")</f>
        <v>LOWPLAN</v>
      </c>
      <c r="Q1030" s="1" t="str">
        <f>IFERROR(__xludf.DUMMYFUNCTION("""COMPUTED_VALUE"""),"P407045")</f>
        <v>P407045</v>
      </c>
      <c r="R1030" s="1" t="str">
        <f>IFERROR(__xludf.DUMMYFUNCTION("""COMPUTED_VALUE"""),"REMOLLO, LEA")</f>
        <v>REMOLLO, LEA</v>
      </c>
      <c r="S1030" s="1" t="str">
        <f>IFERROR(__xludf.DUMMYFUNCTION("""COMPUTED_VALUE"""),"FLA")</f>
        <v>FLA</v>
      </c>
      <c r="T1030" s="1" t="str">
        <f>IFERROR(__xludf.DUMMYFUNCTION("""COMPUTED_VALUE"""),"JERIC NAVARRO")</f>
        <v>JERIC NAVARRO</v>
      </c>
      <c r="U1030" s="1" t="str">
        <f>IFERROR(__xludf.DUMMYFUNCTION("""COMPUTED_VALUE"""),"JB SALIOA")</f>
        <v>JB SALIOA</v>
      </c>
      <c r="V1030" s="1" t="str">
        <f>IFERROR(__xludf.DUMMYFUNCTION("""COMPUTED_VALUE"""),"BK REGULAR")</f>
        <v>BK REGULAR</v>
      </c>
      <c r="W1030" s="1" t="str">
        <f>IFERROR(__xludf.DUMMYFUNCTION("""COMPUTED_VALUE"""),"STK REGULAR")</f>
        <v>STK REGULAR</v>
      </c>
      <c r="X1030" s="1" t="str">
        <f>IFERROR(__xludf.DUMMYFUNCTION("""COMPUTED_VALUE"""),"FIBER 1399 98TH YR")</f>
        <v>FIBER 1399 98TH YR</v>
      </c>
      <c r="Y1030" s="1" t="str">
        <f>IFERROR(__xludf.DUMMYFUNCTION("""COMPUTED_VALUE"""),"BK_CVEU_261006")</f>
        <v>BK_CVEU_261006</v>
      </c>
      <c r="Z1030" s="1" t="str">
        <f>IFERROR(__xludf.DUMMYFUNCTION("""COMPUTED_VALUE"""),"NEW CONNECT")</f>
        <v>NEW CONNECT</v>
      </c>
      <c r="AA1030" s="1">
        <f>IFERROR(__xludf.DUMMYFUNCTION("""COMPUTED_VALUE"""),639766575685)</f>
        <v>639766575685</v>
      </c>
      <c r="AB1030" s="1"/>
      <c r="AC1030" s="1">
        <f>IFERROR(__xludf.DUMMYFUNCTION("""COMPUTED_VALUE"""),98)</f>
        <v>98</v>
      </c>
      <c r="AD1030" s="1" t="str">
        <f>IFERROR(__xludf.DUMMYFUNCTION("""COMPUTED_VALUE"""),"CAUSAREN")</f>
        <v>CAUSAREN</v>
      </c>
      <c r="AE1030" s="1" t="str">
        <f>IFERROR(__xludf.DUMMYFUNCTION("""COMPUTED_VALUE"""),"DOLOR DANILO APARTMENT UNIT D")</f>
        <v>DOLOR DANILO APARTMENT UNIT D</v>
      </c>
      <c r="AF1030" s="1" t="str">
        <f>IFERROR(__xludf.DUMMYFUNCTION("""COMPUTED_VALUE"""),"BGY BUHO")</f>
        <v>BGY BUHO</v>
      </c>
      <c r="AG1030" s="1" t="str">
        <f>IFERROR(__xludf.DUMMYFUNCTION("""COMPUTED_VALUE"""),"SILANG")</f>
        <v>SILANG</v>
      </c>
      <c r="AH1030" s="1" t="str">
        <f>IFERROR(__xludf.DUMMYFUNCTION("""COMPUTED_VALUE"""),"-")</f>
        <v>-</v>
      </c>
      <c r="AI1030" s="1" t="str">
        <f>IFERROR(__xludf.DUMMYFUNCTION("""COMPUTED_VALUE"""),"CLUSTER 11")</f>
        <v>CLUSTER 11</v>
      </c>
    </row>
    <row r="1031" customHeight="1" spans="1:35">
      <c r="A1031" s="3">
        <f>IFERROR(__xludf.DUMMYFUNCTION("""COMPUTED_VALUE"""),46308)</f>
        <v>46308</v>
      </c>
      <c r="B1031" s="1" t="str">
        <f>IFERROR(__xludf.DUMMYFUNCTION("""COMPUTED_VALUE"""),"MARY ROZEN GATPANDAN FERMA")</f>
        <v>MARY ROZEN GATPANDAN FERMA</v>
      </c>
      <c r="C1031" s="1">
        <f>IFERROR(__xludf.DUMMYFUNCTION("""COMPUTED_VALUE"""),2313142850)</f>
        <v>2313142850</v>
      </c>
      <c r="D1031" s="1">
        <f>IFERROR(__xludf.DUMMYFUNCTION("""COMPUTED_VALUE"""),408956811)</f>
        <v>408956811</v>
      </c>
      <c r="E1031" s="1">
        <f>IFERROR(__xludf.DUMMYFUNCTION("""COMPUTED_VALUE"""),475452035004)</f>
        <v>475452035004</v>
      </c>
      <c r="F1031" s="1" t="str">
        <f>IFERROR(__xludf.DUMMYFUNCTION("""COMPUTED_VALUE"""),"CLOSED")</f>
        <v>CLOSED</v>
      </c>
      <c r="G1031" s="1" t="str">
        <f>IFERROR(__xludf.DUMMYFUNCTION("""COMPUTED_VALUE"""),"CLOSED")</f>
        <v>CLOSED</v>
      </c>
      <c r="H1031" s="1" t="str">
        <f>IFERROR(__xludf.DUMMYFUNCTION("""COMPUTED_VALUE"""),"PAID VIA MAYA 772841BC OCT 14")</f>
        <v>PAID VIA MAYA 772841BC OCT 14</v>
      </c>
      <c r="I1031" s="1" t="str">
        <f>IFERROR(__xludf.DUMMYFUNCTION("""COMPUTED_VALUE"""),"WITH 1 AMSF")</f>
        <v>WITH 1 AMSF</v>
      </c>
      <c r="J1031" s="1"/>
      <c r="K1031" s="1" t="str">
        <f>IFERROR(__xludf.DUMMYFUNCTION("""COMPUTED_VALUE"""),"COMPLETED")</f>
        <v>COMPLETED</v>
      </c>
      <c r="L1031" s="1" t="str">
        <f>IFERROR(__xludf.DUMMYFUNCTION("""COMPUTED_VALUE"""),"POSTED")</f>
        <v>POSTED</v>
      </c>
      <c r="M1031" s="1" t="str">
        <f>IFERROR(__xludf.DUMMYFUNCTION("""COMPUTED_VALUE"""),"POSTED")</f>
        <v>POSTED</v>
      </c>
      <c r="N1031" s="3">
        <f>IFERROR(__xludf.DUMMYFUNCTION("""COMPUTED_VALUE"""),46310)</f>
        <v>46310</v>
      </c>
      <c r="O1031" s="1" t="str">
        <f>IFERROR(__xludf.DUMMYFUNCTION("""COMPUTED_VALUE"""),"FIBER UNLI ALL PLAN 1499")</f>
        <v>FIBER UNLI ALL PLAN 1499</v>
      </c>
      <c r="P1031" s="1" t="str">
        <f>IFERROR(__xludf.DUMMYFUNCTION("""COMPUTED_VALUE"""),"LOWPLAN")</f>
        <v>LOWPLAN</v>
      </c>
      <c r="Q1031" s="1" t="str">
        <f>IFERROR(__xludf.DUMMYFUNCTION("""COMPUTED_VALUE"""),"P407559")</f>
        <v>P407559</v>
      </c>
      <c r="R1031" s="1" t="str">
        <f>IFERROR(__xludf.DUMMYFUNCTION("""COMPUTED_VALUE"""),"MAGDARAOG, KENNETH")</f>
        <v>MAGDARAOG, KENNETH</v>
      </c>
      <c r="S1031" s="1" t="str">
        <f>IFERROR(__xludf.DUMMYFUNCTION("""COMPUTED_VALUE"""),"ORGANIC")</f>
        <v>ORGANIC</v>
      </c>
      <c r="T1031" s="1" t="str">
        <f>IFERROR(__xludf.DUMMYFUNCTION("""COMPUTED_VALUE"""),"LEA REMOLLO")</f>
        <v>LEA REMOLLO</v>
      </c>
      <c r="U1031" s="1" t="str">
        <f>IFERROR(__xludf.DUMMYFUNCTION("""COMPUTED_VALUE"""),"JB SALIOA")</f>
        <v>JB SALIOA</v>
      </c>
      <c r="V1031" s="1" t="str">
        <f>IFERROR(__xludf.DUMMYFUNCTION("""COMPUTED_VALUE"""),"BK HSTK")</f>
        <v>BK HSTK</v>
      </c>
      <c r="W1031" s="1" t="str">
        <f>IFERROR(__xludf.DUMMYFUNCTION("""COMPUTED_VALUE"""),"BK HSTK")</f>
        <v>BK HSTK</v>
      </c>
      <c r="X1031" s="1" t="str">
        <f>IFERROR(__xludf.DUMMYFUNCTION("""COMPUTED_VALUE"""),"REGULAR")</f>
        <v>REGULAR</v>
      </c>
      <c r="Y1031" s="1" t="str">
        <f>IFERROR(__xludf.DUMMYFUNCTION("""COMPUTED_VALUE"""),"BK_CVEU_261005")</f>
        <v>BK_CVEU_261005</v>
      </c>
      <c r="Z1031" s="1" t="str">
        <f>IFERROR(__xludf.DUMMYFUNCTION("""COMPUTED_VALUE"""),"NEW CONNECT")</f>
        <v>NEW CONNECT</v>
      </c>
      <c r="AA1031" s="1">
        <f>IFERROR(__xludf.DUMMYFUNCTION("""COMPUTED_VALUE"""),639178992007)</f>
        <v>639178992007</v>
      </c>
      <c r="AB1031" s="1">
        <f>IFERROR(__xludf.DUMMYFUNCTION("""COMPUTED_VALUE"""),639277004236)</f>
        <v>639277004236</v>
      </c>
      <c r="AC1031" s="1">
        <f>IFERROR(__xludf.DUMMYFUNCTION("""COMPUTED_VALUE"""),133)</f>
        <v>133</v>
      </c>
      <c r="AD1031" s="1" t="str">
        <f>IFERROR(__xludf.DUMMYFUNCTION("""COMPUTED_VALUE"""),"P FERMA")</f>
        <v>P FERMA</v>
      </c>
      <c r="AE1031" s="1"/>
      <c r="AF1031" s="1" t="str">
        <f>IFERROR(__xludf.DUMMYFUNCTION("""COMPUTED_VALUE"""),"BGY ANULING CERCA 1")</f>
        <v>BGY ANULING CERCA 1</v>
      </c>
      <c r="AG1031" s="1" t="str">
        <f>IFERROR(__xludf.DUMMYFUNCTION("""COMPUTED_VALUE"""),"MENDEZ")</f>
        <v>MENDEZ</v>
      </c>
      <c r="AH1031" s="1" t="str">
        <f>IFERROR(__xludf.DUMMYFUNCTION("""COMPUTED_VALUE"""),"THE LAUNDRY PLACE")</f>
        <v>THE LAUNDRY PLACE</v>
      </c>
      <c r="AI1031" s="1" t="str">
        <f>IFERROR(__xludf.DUMMYFUNCTION("""COMPUTED_VALUE"""),"CLUSTER 12")</f>
        <v>CLUSTER 12</v>
      </c>
    </row>
    <row r="1032" customHeight="1" spans="1:35">
      <c r="A1032" s="3">
        <f>IFERROR(__xludf.DUMMYFUNCTION("""COMPUTED_VALUE"""),46308)</f>
        <v>46308</v>
      </c>
      <c r="B1032" s="1" t="str">
        <f>IFERROR(__xludf.DUMMYFUNCTION("""COMPUTED_VALUE"""),"JOHN MARTIN SAPIDA COTONER")</f>
        <v>JOHN MARTIN SAPIDA COTONER</v>
      </c>
      <c r="C1032" s="1">
        <f>IFERROR(__xludf.DUMMYFUNCTION("""COMPUTED_VALUE"""),2313143067)</f>
        <v>2313143067</v>
      </c>
      <c r="D1032" s="1"/>
      <c r="E1032" s="1"/>
      <c r="F1032" s="1" t="str">
        <f>IFERROR(__xludf.DUMMYFUNCTION("""COMPUTED_VALUE"""),"REENCODED")</f>
        <v>REENCODED</v>
      </c>
      <c r="G1032" s="1" t="str">
        <f>IFERROR(__xludf.DUMMYFUNCTION("""COMPUTED_VALUE"""),"REENCODED")</f>
        <v>REENCODED</v>
      </c>
      <c r="H1032" s="1"/>
      <c r="I1032" s="1"/>
      <c r="J1032" s="1"/>
      <c r="K1032" s="1"/>
      <c r="L1032" s="1" t="str">
        <f>IFERROR(__xludf.DUMMYFUNCTION("""COMPUTED_VALUE"""),"REENCODED")</f>
        <v>REENCODED</v>
      </c>
      <c r="M1032" s="1" t="str">
        <f>IFERROR(__xludf.DUMMYFUNCTION("""COMPUTED_VALUE"""),"REENCODED")</f>
        <v>REENCODED</v>
      </c>
      <c r="N1032" s="3"/>
      <c r="O1032" s="1" t="str">
        <f>IFERROR(__xludf.DUMMYFUNCTION("""COMPUTED_VALUE"""),"FIBER UNLI PLAN 1399")</f>
        <v>FIBER UNLI PLAN 1399</v>
      </c>
      <c r="P1032" s="1" t="str">
        <f>IFERROR(__xludf.DUMMYFUNCTION("""COMPUTED_VALUE"""),"LOWPLAN")</f>
        <v>LOWPLAN</v>
      </c>
      <c r="Q1032" s="1" t="str">
        <f>IFERROR(__xludf.DUMMYFUNCTION("""COMPUTED_VALUE"""),"P404045")</f>
        <v>P404045</v>
      </c>
      <c r="R1032" s="1" t="str">
        <f>IFERROR(__xludf.DUMMYFUNCTION("""COMPUTED_VALUE"""),"FRANCISCO, ROSELYN")</f>
        <v>FRANCISCO, ROSELYN</v>
      </c>
      <c r="S1032" s="1" t="str">
        <f>IFERROR(__xludf.DUMMYFUNCTION("""COMPUTED_VALUE"""),"ORGANIC")</f>
        <v>ORGANIC</v>
      </c>
      <c r="T1032" s="1" t="str">
        <f>IFERROR(__xludf.DUMMYFUNCTION("""COMPUTED_VALUE"""),"LEA REMOLLO")</f>
        <v>LEA REMOLLO</v>
      </c>
      <c r="U1032" s="1" t="str">
        <f>IFERROR(__xludf.DUMMYFUNCTION("""COMPUTED_VALUE"""),"JB SALIOA")</f>
        <v>JB SALIOA</v>
      </c>
      <c r="V1032" s="1" t="str">
        <f>IFERROR(__xludf.DUMMYFUNCTION("""COMPUTED_VALUE"""),"BK HSTK")</f>
        <v>BK HSTK</v>
      </c>
      <c r="W1032" s="1" t="str">
        <f>IFERROR(__xludf.DUMMYFUNCTION("""COMPUTED_VALUE"""),"BK HSTK")</f>
        <v>BK HSTK</v>
      </c>
      <c r="X1032" s="1" t="str">
        <f>IFERROR(__xludf.DUMMYFUNCTION("""COMPUTED_VALUE"""),"FIBER 1399 98TH YR")</f>
        <v>FIBER 1399 98TH YR</v>
      </c>
      <c r="Y1032" s="1" t="str">
        <f>IFERROR(__xludf.DUMMYFUNCTION("""COMPUTED_VALUE"""),"BK_CVEU_261006")</f>
        <v>BK_CVEU_261006</v>
      </c>
      <c r="Z1032" s="1" t="str">
        <f>IFERROR(__xludf.DUMMYFUNCTION("""COMPUTED_VALUE"""),"NEW CONNECT")</f>
        <v>NEW CONNECT</v>
      </c>
      <c r="AA1032" s="1">
        <f>IFERROR(__xludf.DUMMYFUNCTION("""COMPUTED_VALUE"""),639481018620)</f>
        <v>639481018620</v>
      </c>
      <c r="AB1032" s="1"/>
      <c r="AC1032" s="1">
        <f>IFERROR(__xludf.DUMMYFUNCTION("""COMPUTED_VALUE"""),140)</f>
        <v>140</v>
      </c>
      <c r="AD1032" s="1" t="str">
        <f>IFERROR(__xludf.DUMMYFUNCTION("""COMPUTED_VALUE"""),"PUROK 2")</f>
        <v>PUROK 2</v>
      </c>
      <c r="AE1032" s="1"/>
      <c r="AF1032" s="1" t="str">
        <f>IFERROR(__xludf.DUMMYFUNCTION("""COMPUTED_VALUE"""),"BGY BIGA 2")</f>
        <v>BGY BIGA 2</v>
      </c>
      <c r="AG1032" s="1" t="str">
        <f>IFERROR(__xludf.DUMMYFUNCTION("""COMPUTED_VALUE"""),"SILANG")</f>
        <v>SILANG</v>
      </c>
      <c r="AH1032" s="1" t="str">
        <f>IFERROR(__xludf.DUMMYFUNCTION("""COMPUTED_VALUE"""),"LYING-IN CLINIC")</f>
        <v>LYING-IN CLINIC</v>
      </c>
      <c r="AI1032" s="1" t="str">
        <f>IFERROR(__xludf.DUMMYFUNCTION("""COMPUTED_VALUE"""),"CLUSTER 11")</f>
        <v>CLUSTER 11</v>
      </c>
    </row>
    <row r="1033" customHeight="1" spans="1:35">
      <c r="A1033" s="3">
        <f>IFERROR(__xludf.DUMMYFUNCTION("""COMPUTED_VALUE"""),46308)</f>
        <v>46308</v>
      </c>
      <c r="B1033" s="1" t="str">
        <f>IFERROR(__xludf.DUMMYFUNCTION("""COMPUTED_VALUE"""),"JOHN MARTIN SAPIDA COTONER")</f>
        <v>JOHN MARTIN SAPIDA COTONER</v>
      </c>
      <c r="C1033" s="1">
        <f>IFERROR(__xludf.DUMMYFUNCTION("""COMPUTED_VALUE"""),2313143209)</f>
        <v>2313143209</v>
      </c>
      <c r="D1033" s="1">
        <f>IFERROR(__xludf.DUMMYFUNCTION("""COMPUTED_VALUE"""),408957559)</f>
        <v>408957559</v>
      </c>
      <c r="E1033" s="1">
        <f>IFERROR(__xludf.DUMMYFUNCTION("""COMPUTED_VALUE"""),475455653004)</f>
        <v>475455653004</v>
      </c>
      <c r="F1033" s="1" t="str">
        <f>IFERROR(__xludf.DUMMYFUNCTION("""COMPUTED_VALUE"""),"CLOSED")</f>
        <v>CLOSED</v>
      </c>
      <c r="G1033" s="1" t="str">
        <f>IFERROR(__xludf.DUMMYFUNCTION("""COMPUTED_VALUE"""),"CLOSED")</f>
        <v>CLOSED</v>
      </c>
      <c r="H1033" s="1" t="str">
        <f>IFERROR(__xludf.DUMMYFUNCTION("""COMPUTED_VALUE"""),"PQGOR367303689	14-Oct-26	Regular Payment	CIS - GOTYME 3.0	1,399.00	948754860	14-Oct-26")</f>
        <v>PQGOR367303689	14-Oct-26	Regular Payment	CIS - GOTYME 3.0	1,399.00	948754860	14-Oct-26</v>
      </c>
      <c r="I1033" s="1" t="str">
        <f>IFERROR(__xludf.DUMMYFUNCTION("""COMPUTED_VALUE"""),"WITH 1 AMSF")</f>
        <v>WITH 1 AMSF</v>
      </c>
      <c r="J1033" s="1" t="str">
        <f>IFERROR(__xludf.DUMMYFUNCTION("""COMPUTED_VALUE"""),"BALANCE - 46.64")</f>
        <v>BALANCE - 46.64</v>
      </c>
      <c r="K1033" s="1" t="str">
        <f>IFERROR(__xludf.DUMMYFUNCTION("""COMPUTED_VALUE"""),"COMPLETED")</f>
        <v>COMPLETED</v>
      </c>
      <c r="L1033" s="1" t="str">
        <f>IFERROR(__xludf.DUMMYFUNCTION("""COMPUTED_VALUE"""),"POSTED")</f>
        <v>POSTED</v>
      </c>
      <c r="M1033" s="1" t="str">
        <f>IFERROR(__xludf.DUMMYFUNCTION("""COMPUTED_VALUE"""),"POSTED")</f>
        <v>POSTED</v>
      </c>
      <c r="N1033" s="3">
        <f>IFERROR(__xludf.DUMMYFUNCTION("""COMPUTED_VALUE"""),46309)</f>
        <v>46309</v>
      </c>
      <c r="O1033" s="1" t="str">
        <f>IFERROR(__xludf.DUMMYFUNCTION("""COMPUTED_VALUE"""),"FIBER UNLI PLAN 1399")</f>
        <v>FIBER UNLI PLAN 1399</v>
      </c>
      <c r="P1033" s="1" t="str">
        <f>IFERROR(__xludf.DUMMYFUNCTION("""COMPUTED_VALUE"""),"LOWPLAN")</f>
        <v>LOWPLAN</v>
      </c>
      <c r="Q1033" s="1" t="str">
        <f>IFERROR(__xludf.DUMMYFUNCTION("""COMPUTED_VALUE"""),"P407047")</f>
        <v>P407047</v>
      </c>
      <c r="R1033" s="1" t="str">
        <f>IFERROR(__xludf.DUMMYFUNCTION("""COMPUTED_VALUE"""),"FRANCISCO, ROSELYN")</f>
        <v>FRANCISCO, ROSELYN</v>
      </c>
      <c r="S1033" s="1" t="str">
        <f>IFERROR(__xludf.DUMMYFUNCTION("""COMPUTED_VALUE"""),"ORGANIC")</f>
        <v>ORGANIC</v>
      </c>
      <c r="T1033" s="1" t="str">
        <f>IFERROR(__xludf.DUMMYFUNCTION("""COMPUTED_VALUE"""),"LEA REMOLLO")</f>
        <v>LEA REMOLLO</v>
      </c>
      <c r="U1033" s="1" t="str">
        <f>IFERROR(__xludf.DUMMYFUNCTION("""COMPUTED_VALUE"""),"JB SALIOA")</f>
        <v>JB SALIOA</v>
      </c>
      <c r="V1033" s="1" t="str">
        <f>IFERROR(__xludf.DUMMYFUNCTION("""COMPUTED_VALUE"""),"BK HSTK")</f>
        <v>BK HSTK</v>
      </c>
      <c r="W1033" s="1" t="str">
        <f>IFERROR(__xludf.DUMMYFUNCTION("""COMPUTED_VALUE"""),"BK HSTK")</f>
        <v>BK HSTK</v>
      </c>
      <c r="X1033" s="1" t="str">
        <f>IFERROR(__xludf.DUMMYFUNCTION("""COMPUTED_VALUE"""),"FIBER 1399 98TH YR")</f>
        <v>FIBER 1399 98TH YR</v>
      </c>
      <c r="Y1033" s="1" t="str">
        <f>IFERROR(__xludf.DUMMYFUNCTION("""COMPUTED_VALUE"""),"BK_CVEU_261006")</f>
        <v>BK_CVEU_261006</v>
      </c>
      <c r="Z1033" s="1" t="str">
        <f>IFERROR(__xludf.DUMMYFUNCTION("""COMPUTED_VALUE"""),"NEW CONNECT")</f>
        <v>NEW CONNECT</v>
      </c>
      <c r="AA1033" s="1">
        <f>IFERROR(__xludf.DUMMYFUNCTION("""COMPUTED_VALUE"""),639481018620)</f>
        <v>639481018620</v>
      </c>
      <c r="AB1033" s="1"/>
      <c r="AC1033" s="1">
        <f>IFERROR(__xludf.DUMMYFUNCTION("""COMPUTED_VALUE"""),140)</f>
        <v>140</v>
      </c>
      <c r="AD1033" s="1" t="str">
        <f>IFERROR(__xludf.DUMMYFUNCTION("""COMPUTED_VALUE"""),"PUROK 2")</f>
        <v>PUROK 2</v>
      </c>
      <c r="AE1033" s="1"/>
      <c r="AF1033" s="1" t="str">
        <f>IFERROR(__xludf.DUMMYFUNCTION("""COMPUTED_VALUE"""),"BGY BIGA 2")</f>
        <v>BGY BIGA 2</v>
      </c>
      <c r="AG1033" s="1" t="str">
        <f>IFERROR(__xludf.DUMMYFUNCTION("""COMPUTED_VALUE"""),"SILANG")</f>
        <v>SILANG</v>
      </c>
      <c r="AH1033" s="1" t="str">
        <f>IFERROR(__xludf.DUMMYFUNCTION("""COMPUTED_VALUE"""),"LYING-IN CLINIC")</f>
        <v>LYING-IN CLINIC</v>
      </c>
      <c r="AI1033" s="1" t="str">
        <f>IFERROR(__xludf.DUMMYFUNCTION("""COMPUTED_VALUE"""),"CLUSTER 11")</f>
        <v>CLUSTER 11</v>
      </c>
    </row>
    <row r="1034" customHeight="1" spans="1:35">
      <c r="A1034" s="3">
        <f>IFERROR(__xludf.DUMMYFUNCTION("""COMPUTED_VALUE"""),46308)</f>
        <v>46308</v>
      </c>
      <c r="B1034" s="1" t="str">
        <f>IFERROR(__xludf.DUMMYFUNCTION("""COMPUTED_VALUE"""),"ANTHONY PADAYAO FORMALEJO")</f>
        <v>ANTHONY PADAYAO FORMALEJO</v>
      </c>
      <c r="C1034" s="1">
        <f>IFERROR(__xludf.DUMMYFUNCTION("""COMPUTED_VALUE"""),2313143424)</f>
        <v>2313143424</v>
      </c>
      <c r="D1034" s="1">
        <f>IFERROR(__xludf.DUMMYFUNCTION("""COMPUTED_VALUE"""),408956536)</f>
        <v>408956536</v>
      </c>
      <c r="E1034" s="1">
        <f>IFERROR(__xludf.DUMMYFUNCTION("""COMPUTED_VALUE"""),475452037004)</f>
        <v>475452037004</v>
      </c>
      <c r="F1034" s="1" t="str">
        <f>IFERROR(__xludf.DUMMYFUNCTION("""COMPUTED_VALUE"""),"CLOSED")</f>
        <v>CLOSED</v>
      </c>
      <c r="G1034" s="1" t="str">
        <f>IFERROR(__xludf.DUMMYFUNCTION("""COMPUTED_VALUE"""),"CLOSED")</f>
        <v>CLOSED</v>
      </c>
      <c r="H1034" s="1" t="str">
        <f>IFERROR(__xludf.DUMMYFUNCTION("""COMPUTED_VALUE"""),"PAID VIA GCASH - OCT 14 - REF - 624940442")</f>
        <v>PAID VIA GCASH - OCT 14 - REF - 624940442</v>
      </c>
      <c r="I1034" s="1" t="str">
        <f>IFERROR(__xludf.DUMMYFUNCTION("""COMPUTED_VALUE"""),"WITH 1 AMSF")</f>
        <v>WITH 1 AMSF</v>
      </c>
      <c r="J1034" s="1"/>
      <c r="K1034" s="1" t="str">
        <f>IFERROR(__xludf.DUMMYFUNCTION("""COMPUTED_VALUE"""),"COMPLETED")</f>
        <v>COMPLETED</v>
      </c>
      <c r="L1034" s="1" t="str">
        <f>IFERROR(__xludf.DUMMYFUNCTION("""COMPUTED_VALUE"""),"POSTED")</f>
        <v>POSTED</v>
      </c>
      <c r="M1034" s="1" t="str">
        <f>IFERROR(__xludf.DUMMYFUNCTION("""COMPUTED_VALUE"""),"POSTED")</f>
        <v>POSTED</v>
      </c>
      <c r="N1034" s="3">
        <f>IFERROR(__xludf.DUMMYFUNCTION("""COMPUTED_VALUE"""),46310)</f>
        <v>46310</v>
      </c>
      <c r="O1034" s="1" t="str">
        <f>IFERROR(__xludf.DUMMYFUNCTION("""COMPUTED_VALUE"""),"FIBER UNLI ALL PLAN 1499")</f>
        <v>FIBER UNLI ALL PLAN 1499</v>
      </c>
      <c r="P1034" s="1" t="str">
        <f>IFERROR(__xludf.DUMMYFUNCTION("""COMPUTED_VALUE"""),"LOWPLAN")</f>
        <v>LOWPLAN</v>
      </c>
      <c r="Q1034" s="1" t="str">
        <f>IFERROR(__xludf.DUMMYFUNCTION("""COMPUTED_VALUE"""),"P407517")</f>
        <v>P407517</v>
      </c>
      <c r="R1034" s="1" t="str">
        <f>IFERROR(__xludf.DUMMYFUNCTION("""COMPUTED_VALUE"""),"GABAY, MANUEL")</f>
        <v>GABAY, MANUEL</v>
      </c>
      <c r="S1034" s="1" t="str">
        <f>IFERROR(__xludf.DUMMYFUNCTION("""COMPUTED_VALUE"""),"FLA")</f>
        <v>FLA</v>
      </c>
      <c r="T1034" s="1" t="str">
        <f>IFERROR(__xludf.DUMMYFUNCTION("""COMPUTED_VALUE"""),"JERIC NAVARRO")</f>
        <v>JERIC NAVARRO</v>
      </c>
      <c r="U1034" s="1" t="str">
        <f>IFERROR(__xludf.DUMMYFUNCTION("""COMPUTED_VALUE"""),"JB SALIOA")</f>
        <v>JB SALIOA</v>
      </c>
      <c r="V1034" s="1" t="str">
        <f>IFERROR(__xludf.DUMMYFUNCTION("""COMPUTED_VALUE"""),"BK HSTK")</f>
        <v>BK HSTK</v>
      </c>
      <c r="W1034" s="1" t="str">
        <f>IFERROR(__xludf.DUMMYFUNCTION("""COMPUTED_VALUE"""),"BK HSTK")</f>
        <v>BK HSTK</v>
      </c>
      <c r="X1034" s="1" t="str">
        <f>IFERROR(__xludf.DUMMYFUNCTION("""COMPUTED_VALUE"""),"REGULAR")</f>
        <v>REGULAR</v>
      </c>
      <c r="Y1034" s="1" t="str">
        <f>IFERROR(__xludf.DUMMYFUNCTION("""COMPUTED_VALUE"""),"BK_CVEU_261005")</f>
        <v>BK_CVEU_261005</v>
      </c>
      <c r="Z1034" s="1" t="str">
        <f>IFERROR(__xludf.DUMMYFUNCTION("""COMPUTED_VALUE"""),"NEW CONNECT")</f>
        <v>NEW CONNECT</v>
      </c>
      <c r="AA1034" s="1">
        <f>IFERROR(__xludf.DUMMYFUNCTION("""COMPUTED_VALUE"""),639485263393)</f>
        <v>639485263393</v>
      </c>
      <c r="AB1034" s="1">
        <f>IFERROR(__xludf.DUMMYFUNCTION("""COMPUTED_VALUE"""),639702197008)</f>
        <v>639702197008</v>
      </c>
      <c r="AC1034" s="1">
        <f>IFERROR(__xludf.DUMMYFUNCTION("""COMPUTED_VALUE"""),152)</f>
        <v>152</v>
      </c>
      <c r="AD1034" s="1" t="str">
        <f>IFERROR(__xludf.DUMMYFUNCTION("""COMPUTED_VALUE"""),"FERMA")</f>
        <v>FERMA</v>
      </c>
      <c r="AE1034" s="1"/>
      <c r="AF1034" s="1" t="str">
        <f>IFERROR(__xludf.DUMMYFUNCTION("""COMPUTED_VALUE"""),"BGY ANULING CERCA 1")</f>
        <v>BGY ANULING CERCA 1</v>
      </c>
      <c r="AG1034" s="1" t="str">
        <f>IFERROR(__xludf.DUMMYFUNCTION("""COMPUTED_VALUE"""),"MENDEZ")</f>
        <v>MENDEZ</v>
      </c>
      <c r="AH1034" s="1" t="str">
        <f>IFERROR(__xludf.DUMMYFUNCTION("""COMPUTED_VALUE"""),"INFRONT OF BLOSSOMWELL TRANSIENT")</f>
        <v>INFRONT OF BLOSSOMWELL TRANSIENT</v>
      </c>
      <c r="AI1034" s="1" t="str">
        <f>IFERROR(__xludf.DUMMYFUNCTION("""COMPUTED_VALUE"""),"CLUSTER 12")</f>
        <v>CLUSTER 12</v>
      </c>
    </row>
    <row r="1035" customHeight="1" spans="1:35">
      <c r="A1035" s="3">
        <f>IFERROR(__xludf.DUMMYFUNCTION("""COMPUTED_VALUE"""),46308)</f>
        <v>46308</v>
      </c>
      <c r="B1035" s="1" t="str">
        <f>IFERROR(__xludf.DUMMYFUNCTION("""COMPUTED_VALUE"""),"NANNETH CARAMILLO DIOCOS")</f>
        <v>NANNETH CARAMILLO DIOCOS</v>
      </c>
      <c r="C1035" s="1">
        <f>IFERROR(__xludf.DUMMYFUNCTION("""COMPUTED_VALUE"""),2313143562)</f>
        <v>2313143562</v>
      </c>
      <c r="D1035" s="1">
        <f>IFERROR(__xludf.DUMMYFUNCTION("""COMPUTED_VALUE"""),408961726)</f>
        <v>408961726</v>
      </c>
      <c r="E1035" s="1">
        <f>IFERROR(__xludf.DUMMYFUNCTION("""COMPUTED_VALUE"""),475525273004)</f>
        <v>475525273004</v>
      </c>
      <c r="F1035" s="1" t="str">
        <f>IFERROR(__xludf.DUMMYFUNCTION("""COMPUTED_VALUE"""),"CLOSED")</f>
        <v>CLOSED</v>
      </c>
      <c r="G1035" s="1" t="str">
        <f>IFERROR(__xludf.DUMMYFUNCTION("""COMPUTED_VALUE"""),"CLOSED")</f>
        <v>CLOSED</v>
      </c>
      <c r="H1035" s="1" t="str">
        <f>IFERROR(__xludf.DUMMYFUNCTION("""COMPUTED_VALUE"""),"PAID THRU GCASH 278094723 OCT 14")</f>
        <v>PAID THRU GCASH 278094723 OCT 14</v>
      </c>
      <c r="I1035" s="1" t="str">
        <f>IFERROR(__xludf.DUMMYFUNCTION("""COMPUTED_VALUE"""),"WITH 1 AMSF")</f>
        <v>WITH 1 AMSF</v>
      </c>
      <c r="J1035" s="1"/>
      <c r="K1035" s="1" t="str">
        <f>IFERROR(__xludf.DUMMYFUNCTION("""COMPUTED_VALUE"""),"COMPLETED")</f>
        <v>COMPLETED</v>
      </c>
      <c r="L1035" s="1" t="str">
        <f>IFERROR(__xludf.DUMMYFUNCTION("""COMPUTED_VALUE"""),"POSTED")</f>
        <v>POSTED</v>
      </c>
      <c r="M1035" s="1" t="str">
        <f>IFERROR(__xludf.DUMMYFUNCTION("""COMPUTED_VALUE"""),"POSTED")</f>
        <v>POSTED</v>
      </c>
      <c r="N1035" s="3">
        <f>IFERROR(__xludf.DUMMYFUNCTION("""COMPUTED_VALUE"""),46309)</f>
        <v>46309</v>
      </c>
      <c r="O1035" s="1" t="str">
        <f>IFERROR(__xludf.DUMMYFUNCTION("""COMPUTED_VALUE"""),"FIBER UNLI PLAN 1399")</f>
        <v>FIBER UNLI PLAN 1399</v>
      </c>
      <c r="P1035" s="1" t="str">
        <f>IFERROR(__xludf.DUMMYFUNCTION("""COMPUTED_VALUE"""),"LOWPLAN")</f>
        <v>LOWPLAN</v>
      </c>
      <c r="Q1035" s="1" t="str">
        <f>IFERROR(__xludf.DUMMYFUNCTION("""COMPUTED_VALUE"""),"P407559")</f>
        <v>P407559</v>
      </c>
      <c r="R1035" s="1" t="str">
        <f>IFERROR(__xludf.DUMMYFUNCTION("""COMPUTED_VALUE"""),"MAGDARAOG, KENNETH")</f>
        <v>MAGDARAOG, KENNETH</v>
      </c>
      <c r="S1035" s="1" t="str">
        <f>IFERROR(__xludf.DUMMYFUNCTION("""COMPUTED_VALUE"""),"ORGANIC")</f>
        <v>ORGANIC</v>
      </c>
      <c r="T1035" s="1" t="str">
        <f>IFERROR(__xludf.DUMMYFUNCTION("""COMPUTED_VALUE"""),"LEA REMOLLO")</f>
        <v>LEA REMOLLO</v>
      </c>
      <c r="U1035" s="1" t="str">
        <f>IFERROR(__xludf.DUMMYFUNCTION("""COMPUTED_VALUE"""),"JB SALIOA")</f>
        <v>JB SALIOA</v>
      </c>
      <c r="V1035" s="1" t="str">
        <f>IFERROR(__xludf.DUMMYFUNCTION("""COMPUTED_VALUE"""),"BK HSTK")</f>
        <v>BK HSTK</v>
      </c>
      <c r="W1035" s="1" t="str">
        <f>IFERROR(__xludf.DUMMYFUNCTION("""COMPUTED_VALUE"""),"BK HSTK")</f>
        <v>BK HSTK</v>
      </c>
      <c r="X1035" s="1" t="str">
        <f>IFERROR(__xludf.DUMMYFUNCTION("""COMPUTED_VALUE"""),"REGULAR")</f>
        <v>REGULAR</v>
      </c>
      <c r="Y1035" s="1" t="str">
        <f>IFERROR(__xludf.DUMMYFUNCTION("""COMPUTED_VALUE"""),"BK_CVEU_261005")</f>
        <v>BK_CVEU_261005</v>
      </c>
      <c r="Z1035" s="1" t="str">
        <f>IFERROR(__xludf.DUMMYFUNCTION("""COMPUTED_VALUE"""),"NEW CONNECT")</f>
        <v>NEW CONNECT</v>
      </c>
      <c r="AA1035" s="1">
        <f>IFERROR(__xludf.DUMMYFUNCTION("""COMPUTED_VALUE"""),639276768124)</f>
        <v>639276768124</v>
      </c>
      <c r="AB1035" s="1">
        <f>IFERROR(__xludf.DUMMYFUNCTION("""COMPUTED_VALUE"""),639760685234)</f>
        <v>639760685234</v>
      </c>
      <c r="AC1035" s="1">
        <f>IFERROR(__xludf.DUMMYFUNCTION("""COMPUTED_VALUE"""),205)</f>
        <v>205</v>
      </c>
      <c r="AD1035" s="1" t="str">
        <f>IFERROR(__xludf.DUMMYFUNCTION("""COMPUTED_VALUE"""),"TAGAYTAY-STA ROSA")</f>
        <v>TAGAYTAY-STA ROSA</v>
      </c>
      <c r="AE1035" s="1"/>
      <c r="AF1035" s="1" t="str">
        <f>IFERROR(__xludf.DUMMYFUNCTION("""COMPUTED_VALUE"""),"BGY TARTARIA")</f>
        <v>BGY TARTARIA</v>
      </c>
      <c r="AG1035" s="1" t="str">
        <f>IFERROR(__xludf.DUMMYFUNCTION("""COMPUTED_VALUE"""),"SILANG")</f>
        <v>SILANG</v>
      </c>
      <c r="AH1035" s="1" t="str">
        <f>IFERROR(__xludf.DUMMYFUNCTION("""COMPUTED_VALUE"""),"NEAR PNPA")</f>
        <v>NEAR PNPA</v>
      </c>
      <c r="AI1035" s="1" t="str">
        <f>IFERROR(__xludf.DUMMYFUNCTION("""COMPUTED_VALUE"""),"CLUSTER 11")</f>
        <v>CLUSTER 11</v>
      </c>
    </row>
    <row r="1036" customHeight="1" spans="1:35">
      <c r="A1036" s="3">
        <f>IFERROR(__xludf.DUMMYFUNCTION("""COMPUTED_VALUE"""),46308)</f>
        <v>46308</v>
      </c>
      <c r="B1036" s="1" t="str">
        <f>IFERROR(__xludf.DUMMYFUNCTION("""COMPUTED_VALUE"""),"HANZEL SUALOG FLORES")</f>
        <v>HANZEL SUALOG FLORES</v>
      </c>
      <c r="C1036" s="1">
        <f>IFERROR(__xludf.DUMMYFUNCTION("""COMPUTED_VALUE"""),2313143765)</f>
        <v>2313143765</v>
      </c>
      <c r="D1036" s="1">
        <f>IFERROR(__xludf.DUMMYFUNCTION("""COMPUTED_VALUE"""),408957613)</f>
        <v>408957613</v>
      </c>
      <c r="E1036" s="1">
        <f>IFERROR(__xludf.DUMMYFUNCTION("""COMPUTED_VALUE"""),475455760004)</f>
        <v>475455760004</v>
      </c>
      <c r="F1036" s="1" t="str">
        <f>IFERROR(__xludf.DUMMYFUNCTION("""COMPUTED_VALUE"""),"CLOSED")</f>
        <v>CLOSED</v>
      </c>
      <c r="G1036" s="1" t="str">
        <f>IFERROR(__xludf.DUMMYFUNCTION("""COMPUTED_VALUE"""),"CLOSED")</f>
        <v>CLOSED</v>
      </c>
      <c r="H1036" s="1"/>
      <c r="I1036" s="1" t="str">
        <f>IFERROR(__xludf.DUMMYFUNCTION("""COMPUTED_VALUE"""),"NO 1 AMSF")</f>
        <v>NO 1 AMSF</v>
      </c>
      <c r="J1036" s="1" t="str">
        <f>IFERROR(__xludf.DUMMYFUNCTION("""COMPUTED_VALUE"""),"DUE DATE -08-Nov-26 - 1,445.64")</f>
        <v>DUE DATE -08-Nov-26 - 1,445.64</v>
      </c>
      <c r="K1036" s="1" t="str">
        <f>IFERROR(__xludf.DUMMYFUNCTION("""COMPUTED_VALUE"""),"COMPLETED")</f>
        <v>COMPLETED</v>
      </c>
      <c r="L1036" s="1" t="str">
        <f>IFERROR(__xludf.DUMMYFUNCTION("""COMPUTED_VALUE"""),"POSTED")</f>
        <v>POSTED</v>
      </c>
      <c r="M1036" s="1" t="str">
        <f>IFERROR(__xludf.DUMMYFUNCTION("""COMPUTED_VALUE"""),"POSTED")</f>
        <v>POSTED</v>
      </c>
      <c r="N1036" s="3">
        <f>IFERROR(__xludf.DUMMYFUNCTION("""COMPUTED_VALUE"""),46309)</f>
        <v>46309</v>
      </c>
      <c r="O1036" s="1" t="str">
        <f>IFERROR(__xludf.DUMMYFUNCTION("""COMPUTED_VALUE"""),"FIBER UNLI PLAN 1399")</f>
        <v>FIBER UNLI PLAN 1399</v>
      </c>
      <c r="P1036" s="1" t="str">
        <f>IFERROR(__xludf.DUMMYFUNCTION("""COMPUTED_VALUE"""),"LOWPLAN")</f>
        <v>LOWPLAN</v>
      </c>
      <c r="Q1036" s="1" t="str">
        <f>IFERROR(__xludf.DUMMYFUNCTION("""COMPUTED_VALUE"""),"P407049")</f>
        <v>P407049</v>
      </c>
      <c r="R1036" s="1" t="str">
        <f>IFERROR(__xludf.DUMMYFUNCTION("""COMPUTED_VALUE"""),"ALINGARO, CINDY")</f>
        <v>ALINGARO, CINDY</v>
      </c>
      <c r="S1036" s="1" t="str">
        <f>IFERROR(__xludf.DUMMYFUNCTION("""COMPUTED_VALUE"""),"ORGANIC")</f>
        <v>ORGANIC</v>
      </c>
      <c r="T1036" s="1" t="str">
        <f>IFERROR(__xludf.DUMMYFUNCTION("""COMPUTED_VALUE"""),"LEA REMOLLO")</f>
        <v>LEA REMOLLO</v>
      </c>
      <c r="U1036" s="1" t="str">
        <f>IFERROR(__xludf.DUMMYFUNCTION("""COMPUTED_VALUE"""),"JB SALIOA")</f>
        <v>JB SALIOA</v>
      </c>
      <c r="V1036" s="1" t="str">
        <f>IFERROR(__xludf.DUMMYFUNCTION("""COMPUTED_VALUE"""),"BK REGULAR")</f>
        <v>BK REGULAR</v>
      </c>
      <c r="W1036" s="1" t="str">
        <f>IFERROR(__xludf.DUMMYFUNCTION("""COMPUTED_VALUE"""),"STK REGULAR")</f>
        <v>STK REGULAR</v>
      </c>
      <c r="X1036" s="1" t="str">
        <f>IFERROR(__xludf.DUMMYFUNCTION("""COMPUTED_VALUE"""),"FIBER 1399 98TH YR")</f>
        <v>FIBER 1399 98TH YR</v>
      </c>
      <c r="Y1036" s="1" t="str">
        <f>IFERROR(__xludf.DUMMYFUNCTION("""COMPUTED_VALUE"""),"BK_CVEU_261006")</f>
        <v>BK_CVEU_261006</v>
      </c>
      <c r="Z1036" s="1" t="str">
        <f>IFERROR(__xludf.DUMMYFUNCTION("""COMPUTED_VALUE"""),"NEW CONNECT")</f>
        <v>NEW CONNECT</v>
      </c>
      <c r="AA1036" s="1">
        <f>IFERROR(__xludf.DUMMYFUNCTION("""COMPUTED_VALUE"""),639279971254)</f>
        <v>639279971254</v>
      </c>
      <c r="AB1036" s="1"/>
      <c r="AC1036" s="1">
        <f>IFERROR(__xludf.DUMMYFUNCTION("""COMPUTED_VALUE"""),210)</f>
        <v>210</v>
      </c>
      <c r="AD1036" s="1" t="str">
        <f>IFERROR(__xludf.DUMMYFUNCTION("""COMPUTED_VALUE"""),"STA ROSA")</f>
        <v>STA ROSA</v>
      </c>
      <c r="AE1036" s="1"/>
      <c r="AF1036" s="1" t="str">
        <f>IFERROR(__xludf.DUMMYFUNCTION("""COMPUTED_VALUE"""),"BGY TARTARIA")</f>
        <v>BGY TARTARIA</v>
      </c>
      <c r="AG1036" s="1" t="str">
        <f>IFERROR(__xludf.DUMMYFUNCTION("""COMPUTED_VALUE"""),"SILANG")</f>
        <v>SILANG</v>
      </c>
      <c r="AH1036" s="1" t="str">
        <f>IFERROR(__xludf.DUMMYFUNCTION("""COMPUTED_VALUE"""),"PNPA")</f>
        <v>PNPA</v>
      </c>
      <c r="AI1036" s="1" t="str">
        <f>IFERROR(__xludf.DUMMYFUNCTION("""COMPUTED_VALUE"""),"CLUSTER 11")</f>
        <v>CLUSTER 11</v>
      </c>
    </row>
    <row r="1037" customHeight="1" spans="1:35">
      <c r="A1037" s="3">
        <f>IFERROR(__xludf.DUMMYFUNCTION("""COMPUTED_VALUE"""),46308)</f>
        <v>46308</v>
      </c>
      <c r="B1037" s="1" t="str">
        <f>IFERROR(__xludf.DUMMYFUNCTION("""COMPUTED_VALUE"""),"JECEL ESPINOSA ALINGASA")</f>
        <v>JECEL ESPINOSA ALINGASA</v>
      </c>
      <c r="C1037" s="1">
        <f>IFERROR(__xludf.DUMMYFUNCTION("""COMPUTED_VALUE"""),2313143956)</f>
        <v>2313143956</v>
      </c>
      <c r="D1037" s="1">
        <f>IFERROR(__xludf.DUMMYFUNCTION("""COMPUTED_VALUE"""),408957974)</f>
        <v>408957974</v>
      </c>
      <c r="E1037" s="1">
        <f>IFERROR(__xludf.DUMMYFUNCTION("""COMPUTED_VALUE"""),475458727004)</f>
        <v>475458727004</v>
      </c>
      <c r="F1037" s="1" t="str">
        <f>IFERROR(__xludf.DUMMYFUNCTION("""COMPUTED_VALUE"""),"CANCELED")</f>
        <v>CANCELED</v>
      </c>
      <c r="G1037" s="1" t="str">
        <f>IFERROR(__xludf.DUMMYFUNCTION("""COMPUTED_VALUE"""),"VISITED  CSR VALIDATED CALLOUT REMARKS   AS PER BOSS CANCEL APPLICATION ANG ALAM DAW NILA 600 LANG ANG MONTHLY BILL 09636300148")</f>
        <v>VISITED  CSR VALIDATED CALLOUT REMARKS   AS PER BOSS CANCEL APPLICATION ANG ALAM DAW NILA 600 LANG ANG MONTHLY BILL 09636300148</v>
      </c>
      <c r="H1037" s="1"/>
      <c r="I1037" s="1"/>
      <c r="J1037" s="1"/>
      <c r="K1037" s="1" t="str">
        <f>IFERROR(__xludf.DUMMYFUNCTION("""COMPUTED_VALUE"""),"CANCELED")</f>
        <v>CANCELED</v>
      </c>
      <c r="L1037" s="1" t="str">
        <f>IFERROR(__xludf.DUMMYFUNCTION("""COMPUTED_VALUE"""),"RPP - SUBS CANCEL REQUEST")</f>
        <v>RPP - SUBS CANCEL REQUEST</v>
      </c>
      <c r="M1037" s="1" t="str">
        <f>IFERROR(__xludf.DUMMYFUNCTION("""COMPUTED_VALUE"""),"RPR- SUBS CANCEL REQUEST")</f>
        <v>RPR- SUBS CANCEL REQUEST</v>
      </c>
      <c r="N1037" s="3"/>
      <c r="O1037" s="1" t="str">
        <f>IFERROR(__xludf.DUMMYFUNCTION("""COMPUTED_VALUE"""),"FIBER UNLI PLAN 1399")</f>
        <v>FIBER UNLI PLAN 1399</v>
      </c>
      <c r="P1037" s="1" t="str">
        <f>IFERROR(__xludf.DUMMYFUNCTION("""COMPUTED_VALUE"""),"LOWPLAN")</f>
        <v>LOWPLAN</v>
      </c>
      <c r="Q1037" s="1" t="str">
        <f>IFERROR(__xludf.DUMMYFUNCTION("""COMPUTED_VALUE"""),"P407049")</f>
        <v>P407049</v>
      </c>
      <c r="R1037" s="1" t="str">
        <f>IFERROR(__xludf.DUMMYFUNCTION("""COMPUTED_VALUE"""),"CADERAO, RONALD")</f>
        <v>CADERAO, RONALD</v>
      </c>
      <c r="S1037" s="1" t="str">
        <f>IFERROR(__xludf.DUMMYFUNCTION("""COMPUTED_VALUE"""),"ORGANIC")</f>
        <v>ORGANIC</v>
      </c>
      <c r="T1037" s="1" t="str">
        <f>IFERROR(__xludf.DUMMYFUNCTION("""COMPUTED_VALUE"""),"LEA REMOLLO")</f>
        <v>LEA REMOLLO</v>
      </c>
      <c r="U1037" s="1" t="str">
        <f>IFERROR(__xludf.DUMMYFUNCTION("""COMPUTED_VALUE"""),"JB SALIOA")</f>
        <v>JB SALIOA</v>
      </c>
      <c r="V1037" s="1" t="str">
        <f>IFERROR(__xludf.DUMMYFUNCTION("""COMPUTED_VALUE"""),"BK HSTK")</f>
        <v>BK HSTK</v>
      </c>
      <c r="W1037" s="1" t="str">
        <f>IFERROR(__xludf.DUMMYFUNCTION("""COMPUTED_VALUE"""),"BK HSTK")</f>
        <v>BK HSTK</v>
      </c>
      <c r="X1037" s="1" t="str">
        <f>IFERROR(__xludf.DUMMYFUNCTION("""COMPUTED_VALUE"""),"FIBER 1399 98TH YR")</f>
        <v>FIBER 1399 98TH YR</v>
      </c>
      <c r="Y1037" s="1" t="str">
        <f>IFERROR(__xludf.DUMMYFUNCTION("""COMPUTED_VALUE"""),"BK_CVEU_261006")</f>
        <v>BK_CVEU_261006</v>
      </c>
      <c r="Z1037" s="1" t="str">
        <f>IFERROR(__xludf.DUMMYFUNCTION("""COMPUTED_VALUE"""),"NEW CONNECT")</f>
        <v>NEW CONNECT</v>
      </c>
      <c r="AA1037" s="1">
        <f>IFERROR(__xludf.DUMMYFUNCTION("""COMPUTED_VALUE"""),639636300148)</f>
        <v>639636300148</v>
      </c>
      <c r="AB1037" s="1"/>
      <c r="AC1037" s="1">
        <f>IFERROR(__xludf.DUMMYFUNCTION("""COMPUTED_VALUE"""),59)</f>
        <v>59</v>
      </c>
      <c r="AD1037" s="1" t="str">
        <f>IFERROR(__xludf.DUMMYFUNCTION("""COMPUTED_VALUE"""),"PUROK 5")</f>
        <v>PUROK 5</v>
      </c>
      <c r="AE1037" s="1"/>
      <c r="AF1037" s="1" t="str">
        <f>IFERROR(__xludf.DUMMYFUNCTION("""COMPUTED_VALUE"""),"BGY PULONG BUNGA")</f>
        <v>BGY PULONG BUNGA</v>
      </c>
      <c r="AG1037" s="1" t="str">
        <f>IFERROR(__xludf.DUMMYFUNCTION("""COMPUTED_VALUE"""),"SILANG")</f>
        <v>SILANG</v>
      </c>
      <c r="AH1037" s="1" t="str">
        <f>IFERROR(__xludf.DUMMYFUNCTION("""COMPUTED_VALUE"""),"-")</f>
        <v>-</v>
      </c>
      <c r="AI1037" s="1" t="str">
        <f>IFERROR(__xludf.DUMMYFUNCTION("""COMPUTED_VALUE"""),"CLUSTER 11")</f>
        <v>CLUSTER 11</v>
      </c>
    </row>
    <row r="1038" customHeight="1" spans="1:35">
      <c r="A1038" s="3">
        <f>IFERROR(__xludf.DUMMYFUNCTION("""COMPUTED_VALUE"""),46308)</f>
        <v>46308</v>
      </c>
      <c r="B1038" s="1" t="str">
        <f>IFERROR(__xludf.DUMMYFUNCTION("""COMPUTED_VALUE"""),"MARITESS PONCE DE GUIA")</f>
        <v>MARITESS PONCE DE GUIA</v>
      </c>
      <c r="C1038" s="1">
        <f>IFERROR(__xludf.DUMMYFUNCTION("""COMPUTED_VALUE"""),2313144157)</f>
        <v>2313144157</v>
      </c>
      <c r="D1038" s="1"/>
      <c r="E1038" s="1"/>
      <c r="F1038" s="1" t="str">
        <f>IFERROR(__xludf.DUMMYFUNCTION("""COMPUTED_VALUE"""),"CANCELLED")</f>
        <v>CANCELLED</v>
      </c>
      <c r="G1038" s="1" t="str">
        <f>IFERROR(__xludf.DUMMYFUNCTION("""COMPUTED_VALUE"""),"2026")</f>
        <v>2026</v>
      </c>
      <c r="H1038" s="1"/>
      <c r="I1038" s="1"/>
      <c r="J1038" s="1"/>
      <c r="K1038" s="1"/>
      <c r="L1038" s="1" t="str">
        <f>IFERROR(__xludf.DUMMYFUNCTION("""COMPUTED_VALUE"""),"CANCELLED")</f>
        <v>CANCELLED</v>
      </c>
      <c r="M1038" s="1" t="str">
        <f>IFERROR(__xludf.DUMMYFUNCTION("""COMPUTED_VALUE"""),"CANCELLED - WITH OB")</f>
        <v>CANCELLED - WITH OB</v>
      </c>
      <c r="N1038" s="3"/>
      <c r="O1038" s="1" t="str">
        <f>IFERROR(__xludf.DUMMYFUNCTION("""COMPUTED_VALUE"""),"FIBR PLAN 1699")</f>
        <v>FIBR PLAN 1699</v>
      </c>
      <c r="P1038" s="1" t="str">
        <f>IFERROR(__xludf.DUMMYFUNCTION("""COMPUTED_VALUE"""),"HIGHPLAN")</f>
        <v>HIGHPLAN</v>
      </c>
      <c r="Q1038" s="1" t="str">
        <f>IFERROR(__xludf.DUMMYFUNCTION("""COMPUTED_VALUE"""),"P407566")</f>
        <v>P407566</v>
      </c>
      <c r="R1038" s="1" t="str">
        <f>IFERROR(__xludf.DUMMYFUNCTION("""COMPUTED_VALUE"""),"DENACO, RODNEY")</f>
        <v>DENACO, RODNEY</v>
      </c>
      <c r="S1038" s="1" t="str">
        <f>IFERROR(__xludf.DUMMYFUNCTION("""COMPUTED_VALUE"""),"ORGANIC")</f>
        <v>ORGANIC</v>
      </c>
      <c r="T1038" s="1" t="str">
        <f>IFERROR(__xludf.DUMMYFUNCTION("""COMPUTED_VALUE"""),"LEA REMOLLO")</f>
        <v>LEA REMOLLO</v>
      </c>
      <c r="U1038" s="1" t="str">
        <f>IFERROR(__xludf.DUMMYFUNCTION("""COMPUTED_VALUE"""),"JB SALIOA")</f>
        <v>JB SALIOA</v>
      </c>
      <c r="V1038" s="1" t="str">
        <f>IFERROR(__xludf.DUMMYFUNCTION("""COMPUTED_VALUE"""),"ONLINE/CRANFORD")</f>
        <v>ONLINE/CRANFORD</v>
      </c>
      <c r="W1038" s="1" t="str">
        <f>IFERROR(__xludf.DUMMYFUNCTION("""COMPUTED_VALUE"""),"STK REGULAR")</f>
        <v>STK REGULAR</v>
      </c>
      <c r="X1038" s="1" t="str">
        <f>IFERROR(__xludf.DUMMYFUNCTION("""COMPUTED_VALUE"""),"REGULAR")</f>
        <v>REGULAR</v>
      </c>
      <c r="Y1038" s="1" t="str">
        <f>IFERROR(__xludf.DUMMYFUNCTION("""COMPUTED_VALUE"""),"RS_ONL_CVEU_2026")</f>
        <v>RS_ONL_CVEU_2026</v>
      </c>
      <c r="Z1038" s="1" t="str">
        <f>IFERROR(__xludf.DUMMYFUNCTION("""COMPUTED_VALUE"""),"NEW CONNECT")</f>
        <v>NEW CONNECT</v>
      </c>
      <c r="AA1038" s="1">
        <f>IFERROR(__xludf.DUMMYFUNCTION("""COMPUTED_VALUE"""),639771992328)</f>
        <v>639771992328</v>
      </c>
      <c r="AB1038" s="1">
        <f>IFERROR(__xludf.DUMMYFUNCTION("""COMPUTED_VALUE"""),639916136107)</f>
        <v>639916136107</v>
      </c>
      <c r="AC1038" s="1">
        <f>IFERROR(__xludf.DUMMYFUNCTION("""COMPUTED_VALUE"""),51)</f>
        <v>51</v>
      </c>
      <c r="AD1038" s="1" t="str">
        <f>IFERROR(__xludf.DUMMYFUNCTION("""COMPUTED_VALUE"""),"PASONG BAYOG")</f>
        <v>PASONG BAYOG</v>
      </c>
      <c r="AE1038" s="1"/>
      <c r="AF1038" s="1" t="str">
        <f>IFERROR(__xludf.DUMMYFUNCTION("""COMPUTED_VALUE"""),"BGY BUROL")</f>
        <v>BGY BUROL</v>
      </c>
      <c r="AG1038" s="1" t="str">
        <f>IFERROR(__xludf.DUMMYFUNCTION("""COMPUTED_VALUE"""),"DASMARINAS")</f>
        <v>DASMARINAS</v>
      </c>
      <c r="AH1038" s="1" t="str">
        <f>IFERROR(__xludf.DUMMYFUNCTION("""COMPUTED_VALUE"""),"INFRONT OF MORMONS CHURCH")</f>
        <v>INFRONT OF MORMONS CHURCH</v>
      </c>
      <c r="AI1038" s="1" t="str">
        <f>IFERROR(__xludf.DUMMYFUNCTION("""COMPUTED_VALUE"""),"NOT AOR")</f>
        <v>NOT AOR</v>
      </c>
    </row>
    <row r="1039" customHeight="1" spans="1:35">
      <c r="A1039" s="3">
        <f>IFERROR(__xludf.DUMMYFUNCTION("""COMPUTED_VALUE"""),46308)</f>
        <v>46308</v>
      </c>
      <c r="B1039" s="1" t="str">
        <f>IFERROR(__xludf.DUMMYFUNCTION("""COMPUTED_VALUE"""),"ADELFA TARAYO ARANAS")</f>
        <v>ADELFA TARAYO ARANAS</v>
      </c>
      <c r="C1039" s="1">
        <f>IFERROR(__xludf.DUMMYFUNCTION("""COMPUTED_VALUE"""),2313144454)</f>
        <v>2313144454</v>
      </c>
      <c r="D1039" s="1"/>
      <c r="E1039" s="1"/>
      <c r="F1039" s="1" t="str">
        <f>IFERROR(__xludf.DUMMYFUNCTION("""COMPUTED_VALUE"""),"CANCELLED")</f>
        <v>CANCELLED</v>
      </c>
      <c r="G1039" s="1" t="str">
        <f>IFERROR(__xludf.DUMMYFUNCTION("""COMPUTED_VALUE"""),"CANCELLED")</f>
        <v>CANCELLED</v>
      </c>
      <c r="H1039" s="1"/>
      <c r="I1039" s="1"/>
      <c r="J1039" s="1"/>
      <c r="K1039" s="1"/>
      <c r="L1039" s="1" t="str">
        <f>IFERROR(__xludf.DUMMYFUNCTION("""COMPUTED_VALUE"""),"CANCELLED")</f>
        <v>CANCELLED</v>
      </c>
      <c r="M1039" s="1" t="str">
        <f>IFERROR(__xludf.DUMMYFUNCTION("""COMPUTED_VALUE"""),"CANCELLED - WITH OB")</f>
        <v>CANCELLED - WITH OB</v>
      </c>
      <c r="N1039" s="3"/>
      <c r="O1039" s="1" t="str">
        <f>IFERROR(__xludf.DUMMYFUNCTION("""COMPUTED_VALUE"""),"FIBR NETFLIX PLAN 1599")</f>
        <v>FIBR NETFLIX PLAN 1599</v>
      </c>
      <c r="P1039" s="1" t="str">
        <f>IFERROR(__xludf.DUMMYFUNCTION("""COMPUTED_VALUE"""),"LOWPLAN")</f>
        <v>LOWPLAN</v>
      </c>
      <c r="Q1039" s="1" t="str">
        <f>IFERROR(__xludf.DUMMYFUNCTION("""COMPUTED_VALUE"""),"P407566")</f>
        <v>P407566</v>
      </c>
      <c r="R1039" s="1" t="str">
        <f>IFERROR(__xludf.DUMMYFUNCTION("""COMPUTED_VALUE"""),"DENACO, RODNEY")</f>
        <v>DENACO, RODNEY</v>
      </c>
      <c r="S1039" s="1" t="str">
        <f>IFERROR(__xludf.DUMMYFUNCTION("""COMPUTED_VALUE"""),"ORGANIC")</f>
        <v>ORGANIC</v>
      </c>
      <c r="T1039" s="1" t="str">
        <f>IFERROR(__xludf.DUMMYFUNCTION("""COMPUTED_VALUE"""),"LEA REMOLLO")</f>
        <v>LEA REMOLLO</v>
      </c>
      <c r="U1039" s="1" t="str">
        <f>IFERROR(__xludf.DUMMYFUNCTION("""COMPUTED_VALUE"""),"JB SALIOA")</f>
        <v>JB SALIOA</v>
      </c>
      <c r="V1039" s="1" t="str">
        <f>IFERROR(__xludf.DUMMYFUNCTION("""COMPUTED_VALUE"""),"BK REGULAR")</f>
        <v>BK REGULAR</v>
      </c>
      <c r="W1039" s="1" t="str">
        <f>IFERROR(__xludf.DUMMYFUNCTION("""COMPUTED_VALUE"""),"STK REGULAR")</f>
        <v>STK REGULAR</v>
      </c>
      <c r="X1039" s="1" t="str">
        <f>IFERROR(__xludf.DUMMYFUNCTION("""COMPUTED_VALUE"""),"REGULAR")</f>
        <v>REGULAR</v>
      </c>
      <c r="Y1039" s="1" t="str">
        <f>IFERROR(__xludf.DUMMYFUNCTION("""COMPUTED_VALUE"""),"BK_CVEU_261004")</f>
        <v>BK_CVEU_261004</v>
      </c>
      <c r="Z1039" s="1" t="str">
        <f>IFERROR(__xludf.DUMMYFUNCTION("""COMPUTED_VALUE"""),"NEW CONNECT")</f>
        <v>NEW CONNECT</v>
      </c>
      <c r="AA1039" s="1">
        <f>IFERROR(__xludf.DUMMYFUNCTION("""COMPUTED_VALUE"""),639632685490)</f>
        <v>639632685490</v>
      </c>
      <c r="AB1039" s="1">
        <f>IFERROR(__xludf.DUMMYFUNCTION("""COMPUTED_VALUE"""),639637835491)</f>
        <v>639637835491</v>
      </c>
      <c r="AC1039" s="1"/>
      <c r="AD1039" s="1" t="str">
        <f>IFERROR(__xludf.DUMMYFUNCTION("""COMPUTED_VALUE"""),"TANGLAD")</f>
        <v>TANGLAD</v>
      </c>
      <c r="AE1039" s="1"/>
      <c r="AF1039" s="1" t="str">
        <f>IFERROR(__xludf.DUMMYFUNCTION("""COMPUTED_VALUE"""),"BGY RAMON CRUZ")</f>
        <v>BGY RAMON CRUZ</v>
      </c>
      <c r="AG1039" s="1" t="str">
        <f>IFERROR(__xludf.DUMMYFUNCTION("""COMPUTED_VALUE"""),"GEN MARIANO ALVAREZ")</f>
        <v>GEN MARIANO ALVAREZ</v>
      </c>
      <c r="AH1039" s="1" t="str">
        <f>IFERROR(__xludf.DUMMYFUNCTION("""COMPUTED_VALUE"""),"AMPE STORE")</f>
        <v>AMPE STORE</v>
      </c>
      <c r="AI1039" s="1" t="str">
        <f>IFERROR(__xludf.DUMMYFUNCTION("""COMPUTED_VALUE"""),"CLUSTER 11")</f>
        <v>CLUSTER 11</v>
      </c>
    </row>
    <row r="1040" customHeight="1" spans="1:35">
      <c r="A1040" s="3">
        <f>IFERROR(__xludf.DUMMYFUNCTION("""COMPUTED_VALUE"""),46308)</f>
        <v>46308</v>
      </c>
      <c r="B1040" s="1" t="str">
        <f>IFERROR(__xludf.DUMMYFUNCTION("""COMPUTED_VALUE"""),"LAUREN CONEL DELOS SANTOS ESTRELLA")</f>
        <v>LAUREN CONEL DELOS SANTOS ESTRELLA</v>
      </c>
      <c r="C1040" s="1">
        <f>IFERROR(__xludf.DUMMYFUNCTION("""COMPUTED_VALUE"""),2313144722)</f>
        <v>2313144722</v>
      </c>
      <c r="D1040" s="1">
        <f>IFERROR(__xludf.DUMMYFUNCTION("""COMPUTED_VALUE"""),408961688)</f>
        <v>408961688</v>
      </c>
      <c r="E1040" s="1">
        <f>IFERROR(__xludf.DUMMYFUNCTION("""COMPUTED_VALUE"""),475525271004)</f>
        <v>475525271004</v>
      </c>
      <c r="F1040" s="1" t="str">
        <f>IFERROR(__xludf.DUMMYFUNCTION("""COMPUTED_VALUE"""),"CLOSED")</f>
        <v>CLOSED</v>
      </c>
      <c r="G1040" s="1" t="str">
        <f>IFERROR(__xludf.DUMMYFUNCTION("""COMPUTED_VALUE"""),"CLOSED")</f>
        <v>CLOSED</v>
      </c>
      <c r="H1040" s="1" t="str">
        <f>IFERROR(__xludf.DUMMYFUNCTION("""COMPUTED_VALUE"""),"PAID VIA GCASH REF 37616936 OCT 14")</f>
        <v>PAID VIA GCASH REF 37616936 OCT 14</v>
      </c>
      <c r="I1040" s="1" t="str">
        <f>IFERROR(__xludf.DUMMYFUNCTION("""COMPUTED_VALUE"""),"WITH 1 AMSF")</f>
        <v>WITH 1 AMSF</v>
      </c>
      <c r="J1040" s="1"/>
      <c r="K1040" s="1" t="str">
        <f>IFERROR(__xludf.DUMMYFUNCTION("""COMPUTED_VALUE"""),"COMPLETED")</f>
        <v>COMPLETED</v>
      </c>
      <c r="L1040" s="1" t="str">
        <f>IFERROR(__xludf.DUMMYFUNCTION("""COMPUTED_VALUE"""),"POSTED")</f>
        <v>POSTED</v>
      </c>
      <c r="M1040" s="1" t="str">
        <f>IFERROR(__xludf.DUMMYFUNCTION("""COMPUTED_VALUE"""),"POSTED")</f>
        <v>POSTED</v>
      </c>
      <c r="N1040" s="3">
        <f>IFERROR(__xludf.DUMMYFUNCTION("""COMPUTED_VALUE"""),46309)</f>
        <v>46309</v>
      </c>
      <c r="O1040" s="1" t="str">
        <f>IFERROR(__xludf.DUMMYFUNCTION("""COMPUTED_VALUE"""),"FIBER UNLI ALL PLAN 1499")</f>
        <v>FIBER UNLI ALL PLAN 1499</v>
      </c>
      <c r="P1040" s="1" t="str">
        <f>IFERROR(__xludf.DUMMYFUNCTION("""COMPUTED_VALUE"""),"LOWPLAN")</f>
        <v>LOWPLAN</v>
      </c>
      <c r="Q1040" s="1" t="str">
        <f>IFERROR(__xludf.DUMMYFUNCTION("""COMPUTED_VALUE"""),"P407516")</f>
        <v>P407516</v>
      </c>
      <c r="R1040" s="1" t="str">
        <f>IFERROR(__xludf.DUMMYFUNCTION("""COMPUTED_VALUE"""),"AYON, MANUEL")</f>
        <v>AYON, MANUEL</v>
      </c>
      <c r="S1040" s="1" t="str">
        <f>IFERROR(__xludf.DUMMYFUNCTION("""COMPUTED_VALUE"""),"FLA")</f>
        <v>FLA</v>
      </c>
      <c r="T1040" s="1" t="str">
        <f>IFERROR(__xludf.DUMMYFUNCTION("""COMPUTED_VALUE"""),"JERIC NAVARRO")</f>
        <v>JERIC NAVARRO</v>
      </c>
      <c r="U1040" s="1" t="str">
        <f>IFERROR(__xludf.DUMMYFUNCTION("""COMPUTED_VALUE"""),"JB SALIOA")</f>
        <v>JB SALIOA</v>
      </c>
      <c r="V1040" s="1" t="str">
        <f>IFERROR(__xludf.DUMMYFUNCTION("""COMPUTED_VALUE"""),"BK HSTK")</f>
        <v>BK HSTK</v>
      </c>
      <c r="W1040" s="1" t="str">
        <f>IFERROR(__xludf.DUMMYFUNCTION("""COMPUTED_VALUE"""),"BK HSTK")</f>
        <v>BK HSTK</v>
      </c>
      <c r="X1040" s="1" t="str">
        <f>IFERROR(__xludf.DUMMYFUNCTION("""COMPUTED_VALUE"""),"REGULAR")</f>
        <v>REGULAR</v>
      </c>
      <c r="Y1040" s="1" t="str">
        <f>IFERROR(__xludf.DUMMYFUNCTION("""COMPUTED_VALUE"""),"BK_CVEU_261006")</f>
        <v>BK_CVEU_261006</v>
      </c>
      <c r="Z1040" s="1" t="str">
        <f>IFERROR(__xludf.DUMMYFUNCTION("""COMPUTED_VALUE"""),"NEW CONNECT")</f>
        <v>NEW CONNECT</v>
      </c>
      <c r="AA1040" s="1">
        <f>IFERROR(__xludf.DUMMYFUNCTION("""COMPUTED_VALUE"""),639178241491)</f>
        <v>639178241491</v>
      </c>
      <c r="AB1040" s="1">
        <f>IFERROR(__xludf.DUMMYFUNCTION("""COMPUTED_VALUE"""),639625227643)</f>
        <v>639625227643</v>
      </c>
      <c r="AC1040" s="1">
        <f>IFERROR(__xludf.DUMMYFUNCTION("""COMPUTED_VALUE"""),9125)</f>
        <v>9125</v>
      </c>
      <c r="AD1040" s="1" t="str">
        <f>IFERROR(__xludf.DUMMYFUNCTION("""COMPUTED_VALUE"""),"BILUSO")</f>
        <v>BILUSO</v>
      </c>
      <c r="AE1040" s="1"/>
      <c r="AF1040" s="1" t="str">
        <f>IFERROR(__xludf.DUMMYFUNCTION("""COMPUTED_VALUE"""),"BGY SAN VICENTE 2")</f>
        <v>BGY SAN VICENTE 2</v>
      </c>
      <c r="AG1040" s="1" t="str">
        <f>IFERROR(__xludf.DUMMYFUNCTION("""COMPUTED_VALUE"""),"SILANG")</f>
        <v>SILANG</v>
      </c>
      <c r="AH1040" s="1" t="str">
        <f>IFERROR(__xludf.DUMMYFUNCTION("""COMPUTED_VALUE"""),"NEAR BILUSO CAFE")</f>
        <v>NEAR BILUSO CAFE</v>
      </c>
      <c r="AI1040" s="1" t="str">
        <f>IFERROR(__xludf.DUMMYFUNCTION("""COMPUTED_VALUE"""),"CLUSTER 11")</f>
        <v>CLUSTER 11</v>
      </c>
    </row>
    <row r="1041" customHeight="1" spans="1:35">
      <c r="A1041" s="3">
        <f>IFERROR(__xludf.DUMMYFUNCTION("""COMPUTED_VALUE"""),46308)</f>
        <v>46308</v>
      </c>
      <c r="B1041" s="1" t="str">
        <f>IFERROR(__xludf.DUMMYFUNCTION("""COMPUTED_VALUE"""),"JOYCE CHRISTINE MANALO BRAGADO")</f>
        <v>JOYCE CHRISTINE MANALO BRAGADO</v>
      </c>
      <c r="C1041" s="1">
        <f>IFERROR(__xludf.DUMMYFUNCTION("""COMPUTED_VALUE"""),2313144858)</f>
        <v>2313144858</v>
      </c>
      <c r="D1041" s="1"/>
      <c r="E1041" s="1"/>
      <c r="F1041" s="1" t="str">
        <f>IFERROR(__xludf.DUMMYFUNCTION("""COMPUTED_VALUE"""),"CANCELLED")</f>
        <v>CANCELLED</v>
      </c>
      <c r="G1041" s="1" t="str">
        <f>IFERROR(__xludf.DUMMYFUNCTION("""COMPUTED_VALUE"""),"CANCELLED")</f>
        <v>CANCELLED</v>
      </c>
      <c r="H1041" s="1"/>
      <c r="I1041" s="1"/>
      <c r="J1041" s="1"/>
      <c r="K1041" s="1"/>
      <c r="L1041" s="1" t="str">
        <f>IFERROR(__xludf.DUMMYFUNCTION("""COMPUTED_VALUE"""),"CANCELLED")</f>
        <v>CANCELLED</v>
      </c>
      <c r="M1041" s="1" t="str">
        <f>IFERROR(__xludf.DUMMYFUNCTION("""COMPUTED_VALUE"""),"CANCELLED - WITH OB")</f>
        <v>CANCELLED - WITH OB</v>
      </c>
      <c r="N1041" s="3"/>
      <c r="O1041" s="1" t="str">
        <f>IFERROR(__xludf.DUMMYFUNCTION("""COMPUTED_VALUE"""),"FIBR UNLI ALL PLAN 999")</f>
        <v>FIBR UNLI ALL PLAN 999</v>
      </c>
      <c r="P1041" s="1" t="str">
        <f>IFERROR(__xludf.DUMMYFUNCTION("""COMPUTED_VALUE"""),"LOWPLAN")</f>
        <v>LOWPLAN</v>
      </c>
      <c r="Q1041" s="1" t="str">
        <f>IFERROR(__xludf.DUMMYFUNCTION("""COMPUTED_VALUE"""),"P407566")</f>
        <v>P407566</v>
      </c>
      <c r="R1041" s="1" t="str">
        <f>IFERROR(__xludf.DUMMYFUNCTION("""COMPUTED_VALUE"""),"DENACO, RODNEY")</f>
        <v>DENACO, RODNEY</v>
      </c>
      <c r="S1041" s="1" t="str">
        <f>IFERROR(__xludf.DUMMYFUNCTION("""COMPUTED_VALUE"""),"ORGANIC")</f>
        <v>ORGANIC</v>
      </c>
      <c r="T1041" s="1" t="str">
        <f>IFERROR(__xludf.DUMMYFUNCTION("""COMPUTED_VALUE"""),"LEA REMOLLO")</f>
        <v>LEA REMOLLO</v>
      </c>
      <c r="U1041" s="1" t="str">
        <f>IFERROR(__xludf.DUMMYFUNCTION("""COMPUTED_VALUE"""),"JB SALIOA")</f>
        <v>JB SALIOA</v>
      </c>
      <c r="V1041" s="1" t="str">
        <f>IFERROR(__xludf.DUMMYFUNCTION("""COMPUTED_VALUE"""),"BK HSTK")</f>
        <v>BK HSTK</v>
      </c>
      <c r="W1041" s="1" t="str">
        <f>IFERROR(__xludf.DUMMYFUNCTION("""COMPUTED_VALUE"""),"BK HSTK")</f>
        <v>BK HSTK</v>
      </c>
      <c r="X1041" s="1" t="str">
        <f>IFERROR(__xludf.DUMMYFUNCTION("""COMPUTED_VALUE"""),"REGULAR")</f>
        <v>REGULAR</v>
      </c>
      <c r="Y1041" s="1" t="str">
        <f>IFERROR(__xludf.DUMMYFUNCTION("""COMPUTED_VALUE"""),"BK_CVEU_261006")</f>
        <v>BK_CVEU_261006</v>
      </c>
      <c r="Z1041" s="1" t="str">
        <f>IFERROR(__xludf.DUMMYFUNCTION("""COMPUTED_VALUE"""),"NEW CONNECT")</f>
        <v>NEW CONNECT</v>
      </c>
      <c r="AA1041" s="1">
        <f>IFERROR(__xludf.DUMMYFUNCTION("""COMPUTED_VALUE"""),639537927796)</f>
        <v>639537927796</v>
      </c>
      <c r="AB1041" s="1">
        <f>IFERROR(__xludf.DUMMYFUNCTION("""COMPUTED_VALUE"""),639351238807)</f>
        <v>639351238807</v>
      </c>
      <c r="AC1041" s="1">
        <f>IFERROR(__xludf.DUMMYFUNCTION("""COMPUTED_VALUE"""),263)</f>
        <v>263</v>
      </c>
      <c r="AD1041" s="1" t="str">
        <f>IFERROR(__xludf.DUMMYFUNCTION("""COMPUTED_VALUE"""),"PUROK 5")</f>
        <v>PUROK 5</v>
      </c>
      <c r="AE1041" s="1"/>
      <c r="AF1041" s="1" t="str">
        <f>IFERROR(__xludf.DUMMYFUNCTION("""COMPUTED_VALUE"""),"BGY LITLIT")</f>
        <v>BGY LITLIT</v>
      </c>
      <c r="AG1041" s="1" t="str">
        <f>IFERROR(__xludf.DUMMYFUNCTION("""COMPUTED_VALUE"""),"SILANG")</f>
        <v>SILANG</v>
      </c>
      <c r="AH1041" s="1" t="str">
        <f>IFERROR(__xludf.DUMMYFUNCTION("""COMPUTED_VALUE"""),"BRGY HALL")</f>
        <v>BRGY HALL</v>
      </c>
      <c r="AI1041" s="1" t="str">
        <f>IFERROR(__xludf.DUMMYFUNCTION("""COMPUTED_VALUE"""),"CLUSTER 11")</f>
        <v>CLUSTER 11</v>
      </c>
    </row>
    <row r="1042" customHeight="1" spans="1:35">
      <c r="A1042" s="3">
        <f>IFERROR(__xludf.DUMMYFUNCTION("""COMPUTED_VALUE"""),46308)</f>
        <v>46308</v>
      </c>
      <c r="B1042" s="1" t="str">
        <f>IFERROR(__xludf.DUMMYFUNCTION("""COMPUTED_VALUE"""),"REGIEN ARSENIO CAUNCA")</f>
        <v>REGIEN ARSENIO CAUNCA</v>
      </c>
      <c r="C1042" s="1">
        <f>IFERROR(__xludf.DUMMYFUNCTION("""COMPUTED_VALUE"""),2313144996)</f>
        <v>2313144996</v>
      </c>
      <c r="D1042" s="1"/>
      <c r="E1042" s="1"/>
      <c r="F1042" s="1" t="str">
        <f>IFERROR(__xludf.DUMMYFUNCTION("""COMPUTED_VALUE"""),"CANCELLED")</f>
        <v>CANCELLED</v>
      </c>
      <c r="G1042" s="1" t="str">
        <f>IFERROR(__xludf.DUMMYFUNCTION("""COMPUTED_VALUE"""),"CANCELLED")</f>
        <v>CANCELLED</v>
      </c>
      <c r="H1042" s="1"/>
      <c r="I1042" s="1"/>
      <c r="J1042" s="1"/>
      <c r="K1042" s="1"/>
      <c r="L1042" s="1" t="str">
        <f>IFERROR(__xludf.DUMMYFUNCTION("""COMPUTED_VALUE"""),"CANCELLED")</f>
        <v>CANCELLED</v>
      </c>
      <c r="M1042" s="1" t="str">
        <f>IFERROR(__xludf.DUMMYFUNCTION("""COMPUTED_VALUE"""),"CANCELLED - WITH OB")</f>
        <v>CANCELLED - WITH OB</v>
      </c>
      <c r="N1042" s="3"/>
      <c r="O1042" s="1" t="str">
        <f>IFERROR(__xludf.DUMMYFUNCTION("""COMPUTED_VALUE"""),"FIBR PLAN 1299")</f>
        <v>FIBR PLAN 1299</v>
      </c>
      <c r="P1042" s="1" t="str">
        <f>IFERROR(__xludf.DUMMYFUNCTION("""COMPUTED_VALUE"""),"LOWPLAN")</f>
        <v>LOWPLAN</v>
      </c>
      <c r="Q1042" s="1" t="str">
        <f>IFERROR(__xludf.DUMMYFUNCTION("""COMPUTED_VALUE"""),"P407566")</f>
        <v>P407566</v>
      </c>
      <c r="R1042" s="1" t="str">
        <f>IFERROR(__xludf.DUMMYFUNCTION("""COMPUTED_VALUE"""),"DENACO, RODNEY")</f>
        <v>DENACO, RODNEY</v>
      </c>
      <c r="S1042" s="1" t="str">
        <f>IFERROR(__xludf.DUMMYFUNCTION("""COMPUTED_VALUE"""),"ORGANIC")</f>
        <v>ORGANIC</v>
      </c>
      <c r="T1042" s="1" t="str">
        <f>IFERROR(__xludf.DUMMYFUNCTION("""COMPUTED_VALUE"""),"LEA REMOLLO")</f>
        <v>LEA REMOLLO</v>
      </c>
      <c r="U1042" s="1" t="str">
        <f>IFERROR(__xludf.DUMMYFUNCTION("""COMPUTED_VALUE"""),"JB SALIOA")</f>
        <v>JB SALIOA</v>
      </c>
      <c r="V1042" s="1" t="str">
        <f>IFERROR(__xludf.DUMMYFUNCTION("""COMPUTED_VALUE"""),"ONLINE/CRANFORD")</f>
        <v>ONLINE/CRANFORD</v>
      </c>
      <c r="W1042" s="1" t="str">
        <f>IFERROR(__xludf.DUMMYFUNCTION("""COMPUTED_VALUE"""),"STK REGULAR")</f>
        <v>STK REGULAR</v>
      </c>
      <c r="X1042" s="1" t="str">
        <f>IFERROR(__xludf.DUMMYFUNCTION("""COMPUTED_VALUE"""),"REGULAR")</f>
        <v>REGULAR</v>
      </c>
      <c r="Y1042" s="1" t="str">
        <f>IFERROR(__xludf.DUMMYFUNCTION("""COMPUTED_VALUE"""),"RS_ONL_CVEU_2026")</f>
        <v>RS_ONL_CVEU_2026</v>
      </c>
      <c r="Z1042" s="1" t="str">
        <f>IFERROR(__xludf.DUMMYFUNCTION("""COMPUTED_VALUE"""),"NEW CONNECT")</f>
        <v>NEW CONNECT</v>
      </c>
      <c r="AA1042" s="1">
        <f>IFERROR(__xludf.DUMMYFUNCTION("""COMPUTED_VALUE"""),639524766827)</f>
        <v>639524766827</v>
      </c>
      <c r="AB1042" s="1"/>
      <c r="AC1042" s="1"/>
      <c r="AD1042" s="1" t="str">
        <f>IFERROR(__xludf.DUMMYFUNCTION("""COMPUTED_VALUE"""),"PHASE 2")</f>
        <v>PHASE 2</v>
      </c>
      <c r="AE1042" s="1" t="str">
        <f>IFERROR(__xludf.DUMMYFUNCTION("""COMPUTED_VALUE"""),"AMAYA BREEZE")</f>
        <v>AMAYA BREEZE</v>
      </c>
      <c r="AF1042" s="1" t="str">
        <f>IFERROR(__xludf.DUMMYFUNCTION("""COMPUTED_VALUE"""),"BGY AMAYA 2")</f>
        <v>BGY AMAYA 2</v>
      </c>
      <c r="AG1042" s="1" t="str">
        <f>IFERROR(__xludf.DUMMYFUNCTION("""COMPUTED_VALUE"""),"TANZA")</f>
        <v>TANZA</v>
      </c>
      <c r="AH1042" s="1" t="str">
        <f>IFERROR(__xludf.DUMMYFUNCTION("""COMPUTED_VALUE"""),"PHASE 2")</f>
        <v>PHASE 2</v>
      </c>
      <c r="AI1042" s="1" t="str">
        <f>IFERROR(__xludf.DUMMYFUNCTION("""COMPUTED_VALUE"""),"NOT AOR")</f>
        <v>NOT AOR</v>
      </c>
    </row>
    <row r="1043" customHeight="1" spans="1:35">
      <c r="A1043" s="3">
        <f>IFERROR(__xludf.DUMMYFUNCTION("""COMPUTED_VALUE"""),46309)</f>
        <v>46309</v>
      </c>
      <c r="B1043" s="1" t="str">
        <f>IFERROR(__xludf.DUMMYFUNCTION("""COMPUTED_VALUE"""),"GERALDINE PAJE OSIAS")</f>
        <v>GERALDINE PAJE OSIAS</v>
      </c>
      <c r="C1043" s="1">
        <f>IFERROR(__xludf.DUMMYFUNCTION("""COMPUTED_VALUE"""),2313149682)</f>
        <v>2313149682</v>
      </c>
      <c r="D1043" s="1">
        <f>IFERROR(__xludf.DUMMYFUNCTION("""COMPUTED_VALUE"""),408993938)</f>
        <v>408993938</v>
      </c>
      <c r="E1043" s="1">
        <f>IFERROR(__xludf.DUMMYFUNCTION("""COMPUTED_VALUE"""),475606336004)</f>
        <v>475606336004</v>
      </c>
      <c r="F1043" s="1" t="str">
        <f>IFERROR(__xludf.DUMMYFUNCTION("""COMPUTED_VALUE"""),"CLOSED")</f>
        <v>CLOSED</v>
      </c>
      <c r="G1043" s="1" t="str">
        <f>IFERROR(__xludf.DUMMYFUNCTION("""COMPUTED_VALUE"""),"CLOSED")</f>
        <v>CLOSED</v>
      </c>
      <c r="H1043" s="1"/>
      <c r="I1043" s="1" t="str">
        <f>IFERROR(__xludf.DUMMYFUNCTION("""COMPUTED_VALUE"""),"NO 1 AMSF")</f>
        <v>NO 1 AMSF</v>
      </c>
      <c r="J1043" s="1" t="str">
        <f>IFERROR(__xludf.DUMMYFUNCTION("""COMPUTED_VALUE"""),"DUE DATE - 11-Nov-26 - 852.80")</f>
        <v>DUE DATE - 11-Nov-26 - 852.80</v>
      </c>
      <c r="K1043" s="1" t="str">
        <f>IFERROR(__xludf.DUMMYFUNCTION("""COMPUTED_VALUE"""),"COMPLETED")</f>
        <v>COMPLETED</v>
      </c>
      <c r="L1043" s="1" t="str">
        <f>IFERROR(__xludf.DUMMYFUNCTION("""COMPUTED_VALUE"""),"POSTED")</f>
        <v>POSTED</v>
      </c>
      <c r="M1043" s="1" t="str">
        <f>IFERROR(__xludf.DUMMYFUNCTION("""COMPUTED_VALUE"""),"POSTED")</f>
        <v>POSTED</v>
      </c>
      <c r="N1043" s="3">
        <f>IFERROR(__xludf.DUMMYFUNCTION("""COMPUTED_VALUE"""),46311)</f>
        <v>46311</v>
      </c>
      <c r="O1043" s="1" t="str">
        <f>IFERROR(__xludf.DUMMYFUNCTION("""COMPUTED_VALUE"""),"SWITCH FIBER NETFLIX PLAN 1599 ")</f>
        <v>SWITCH FIBER NETFLIX PLAN 1599 </v>
      </c>
      <c r="P1043" s="1" t="str">
        <f>IFERROR(__xludf.DUMMYFUNCTION("""COMPUTED_VALUE"""),"SWITCH")</f>
        <v>SWITCH</v>
      </c>
      <c r="Q1043" s="1" t="str">
        <f>IFERROR(__xludf.DUMMYFUNCTION("""COMPUTED_VALUE"""),"P407518")</f>
        <v>P407518</v>
      </c>
      <c r="R1043" s="1" t="str">
        <f>IFERROR(__xludf.DUMMYFUNCTION("""COMPUTED_VALUE"""),"CARPIO, STEPHANIE")</f>
        <v>CARPIO, STEPHANIE</v>
      </c>
      <c r="S1043" s="1" t="str">
        <f>IFERROR(__xludf.DUMMYFUNCTION("""COMPUTED_VALUE"""),"FLA")</f>
        <v>FLA</v>
      </c>
      <c r="T1043" s="1" t="str">
        <f>IFERROR(__xludf.DUMMYFUNCTION("""COMPUTED_VALUE"""),"JERIC NAVARRO")</f>
        <v>JERIC NAVARRO</v>
      </c>
      <c r="U1043" s="1" t="str">
        <f>IFERROR(__xludf.DUMMYFUNCTION("""COMPUTED_VALUE"""),"JB SALIOA")</f>
        <v>JB SALIOA</v>
      </c>
      <c r="V1043" s="1" t="str">
        <f>IFERROR(__xludf.DUMMYFUNCTION("""COMPUTED_VALUE"""),"ONLINE/CRANFORD")</f>
        <v>ONLINE/CRANFORD</v>
      </c>
      <c r="W1043" s="1" t="str">
        <f>IFERROR(__xludf.DUMMYFUNCTION("""COMPUTED_VALUE"""),"STK REGULAR")</f>
        <v>STK REGULAR</v>
      </c>
      <c r="X1043" s="1" t="str">
        <f>IFERROR(__xludf.DUMMYFUNCTION("""COMPUTED_VALUE"""),"ANTI COMPETITOR")</f>
        <v>ANTI COMPETITOR</v>
      </c>
      <c r="Y1043" s="1" t="str">
        <f>IFERROR(__xludf.DUMMYFUNCTION("""COMPUTED_VALUE"""),"RS_SS_CVEU_2026")</f>
        <v>RS_SS_CVEU_2026</v>
      </c>
      <c r="Z1043" s="1" t="str">
        <f>IFERROR(__xludf.DUMMYFUNCTION("""COMPUTED_VALUE"""),"NEW CONNECT")</f>
        <v>NEW CONNECT</v>
      </c>
      <c r="AA1043" s="1">
        <f>IFERROR(__xludf.DUMMYFUNCTION("""COMPUTED_VALUE"""),639469842616)</f>
        <v>639469842616</v>
      </c>
      <c r="AB1043" s="1"/>
      <c r="AC1043" s="1"/>
      <c r="AD1043" s="1" t="str">
        <f>IFERROR(__xludf.DUMMYFUNCTION("""COMPUTED_VALUE"""),"CUEVAS SUBD")</f>
        <v>CUEVAS SUBD</v>
      </c>
      <c r="AE1043" s="1" t="str">
        <f>IFERROR(__xludf.DUMMYFUNCTION("""COMPUTED_VALUE"""),"CUEVAS SUBD")</f>
        <v>CUEVAS SUBD</v>
      </c>
      <c r="AF1043" s="1" t="str">
        <f>IFERROR(__xludf.DUMMYFUNCTION("""COMPUTED_VALUE"""),"BGY SALCEDO 1")</f>
        <v>BGY SALCEDO 1</v>
      </c>
      <c r="AG1043" s="1" t="str">
        <f>IFERROR(__xludf.DUMMYFUNCTION("""COMPUTED_VALUE"""),"NOVELETA")</f>
        <v>NOVELETA</v>
      </c>
      <c r="AH1043" s="1" t="str">
        <f>IFERROR(__xludf.DUMMYFUNCTION("""COMPUTED_VALUE"""),"ABS X ANA GUPPY BETA ASSORTED FISH PET")</f>
        <v>ABS X ANA GUPPY BETA ASSORTED FISH PET</v>
      </c>
      <c r="AI1043" s="1" t="str">
        <f>IFERROR(__xludf.DUMMYFUNCTION("""COMPUTED_VALUE"""),"NOT AOR")</f>
        <v>NOT AOR</v>
      </c>
    </row>
    <row r="1044" customHeight="1" spans="1:35">
      <c r="A1044" s="3">
        <f>IFERROR(__xludf.DUMMYFUNCTION("""COMPUTED_VALUE"""),46309)</f>
        <v>46309</v>
      </c>
      <c r="B1044" s="1" t="str">
        <f>IFERROR(__xludf.DUMMYFUNCTION("""COMPUTED_VALUE"""),"ROWEL LUMABI VILLANUEVA")</f>
        <v>ROWEL LUMABI VILLANUEVA</v>
      </c>
      <c r="C1044" s="1">
        <f>IFERROR(__xludf.DUMMYFUNCTION("""COMPUTED_VALUE"""),2313150160)</f>
        <v>2313150160</v>
      </c>
      <c r="D1044" s="1">
        <f>IFERROR(__xludf.DUMMYFUNCTION("""COMPUTED_VALUE"""),408993989)</f>
        <v>408993989</v>
      </c>
      <c r="E1044" s="1">
        <f>IFERROR(__xludf.DUMMYFUNCTION("""COMPUTED_VALUE"""),475605602004)</f>
        <v>475605602004</v>
      </c>
      <c r="F1044" s="1" t="str">
        <f>IFERROR(__xludf.DUMMYFUNCTION("""COMPUTED_VALUE"""),"CLOSED")</f>
        <v>CLOSED</v>
      </c>
      <c r="G1044" s="1" t="str">
        <f>IFERROR(__xludf.DUMMYFUNCTION("""COMPUTED_VALUE"""),"CLOSED")</f>
        <v>CLOSED</v>
      </c>
      <c r="H1044" s="1" t="str">
        <f>IFERROR(__xludf.DUMMYFUNCTION("""COMPUTED_VALUE"""),"PAID THRU GCASH 780563355 OCT 15")</f>
        <v>PAID THRU GCASH 780563355 OCT 15</v>
      </c>
      <c r="I1044" s="1" t="str">
        <f>IFERROR(__xludf.DUMMYFUNCTION("""COMPUTED_VALUE"""),"WITH 1 AMSF")</f>
        <v>WITH 1 AMSF</v>
      </c>
      <c r="J1044" s="1"/>
      <c r="K1044" s="1" t="str">
        <f>IFERROR(__xludf.DUMMYFUNCTION("""COMPUTED_VALUE"""),"COMPLETED")</f>
        <v>COMPLETED</v>
      </c>
      <c r="L1044" s="1" t="str">
        <f>IFERROR(__xludf.DUMMYFUNCTION("""COMPUTED_VALUE"""),"POSTED")</f>
        <v>POSTED</v>
      </c>
      <c r="M1044" s="1" t="str">
        <f>IFERROR(__xludf.DUMMYFUNCTION("""COMPUTED_VALUE"""),"POSTED")</f>
        <v>POSTED</v>
      </c>
      <c r="N1044" s="3">
        <f>IFERROR(__xludf.DUMMYFUNCTION("""COMPUTED_VALUE"""),46310)</f>
        <v>46310</v>
      </c>
      <c r="O1044" s="1" t="str">
        <f>IFERROR(__xludf.DUMMYFUNCTION("""COMPUTED_VALUE"""),"FIBER UNLI PLAN 1399")</f>
        <v>FIBER UNLI PLAN 1399</v>
      </c>
      <c r="P1044" s="1" t="str">
        <f>IFERROR(__xludf.DUMMYFUNCTION("""COMPUTED_VALUE"""),"LOWPLAN")</f>
        <v>LOWPLAN</v>
      </c>
      <c r="Q1044" s="1" t="str">
        <f>IFERROR(__xludf.DUMMYFUNCTION("""COMPUTED_VALUE"""),"P407520")</f>
        <v>P407520</v>
      </c>
      <c r="R1044" s="1" t="str">
        <f>IFERROR(__xludf.DUMMYFUNCTION("""COMPUTED_VALUE"""),"MALIWAT, MARK")</f>
        <v>MALIWAT, MARK</v>
      </c>
      <c r="S1044" s="1" t="str">
        <f>IFERROR(__xludf.DUMMYFUNCTION("""COMPUTED_VALUE"""),"FLA")</f>
        <v>FLA</v>
      </c>
      <c r="T1044" s="1" t="str">
        <f>IFERROR(__xludf.DUMMYFUNCTION("""COMPUTED_VALUE"""),"JERIC NAVARRO")</f>
        <v>JERIC NAVARRO</v>
      </c>
      <c r="U1044" s="1" t="str">
        <f>IFERROR(__xludf.DUMMYFUNCTION("""COMPUTED_VALUE"""),"JB SALIOA")</f>
        <v>JB SALIOA</v>
      </c>
      <c r="V1044" s="1" t="str">
        <f>IFERROR(__xludf.DUMMYFUNCTION("""COMPUTED_VALUE"""),"ONLINE/CRANFORD")</f>
        <v>ONLINE/CRANFORD</v>
      </c>
      <c r="W1044" s="1" t="str">
        <f>IFERROR(__xludf.DUMMYFUNCTION("""COMPUTED_VALUE"""),"STK REGULAR")</f>
        <v>STK REGULAR</v>
      </c>
      <c r="X1044" s="1" t="str">
        <f>IFERROR(__xludf.DUMMYFUNCTION("""COMPUTED_VALUE"""),"FIBER 1399 98TH YR")</f>
        <v>FIBER 1399 98TH YR</v>
      </c>
      <c r="Y1044" s="1" t="str">
        <f>IFERROR(__xludf.DUMMYFUNCTION("""COMPUTED_VALUE"""),"RS_SS_CVEU_2026")</f>
        <v>RS_SS_CVEU_2026</v>
      </c>
      <c r="Z1044" s="1" t="str">
        <f>IFERROR(__xludf.DUMMYFUNCTION("""COMPUTED_VALUE"""),"NEW CONNECT")</f>
        <v>NEW CONNECT</v>
      </c>
      <c r="AA1044" s="1">
        <f>IFERROR(__xludf.DUMMYFUNCTION("""COMPUTED_VALUE"""),639918494550)</f>
        <v>639918494550</v>
      </c>
      <c r="AB1044" s="1"/>
      <c r="AC1044" s="1"/>
      <c r="AD1044" s="1" t="str">
        <f>IFERROR(__xludf.DUMMYFUNCTION("""COMPUTED_VALUE"""),"MAHOGANY")</f>
        <v>MAHOGANY</v>
      </c>
      <c r="AE1044" s="1"/>
      <c r="AF1044" s="1" t="str">
        <f>IFERROR(__xludf.DUMMYFUNCTION("""COMPUTED_VALUE"""),"BGY STO NINO 2")</f>
        <v>BGY STO NINO 2</v>
      </c>
      <c r="AG1044" s="1" t="str">
        <f>IFERROR(__xludf.DUMMYFUNCTION("""COMPUTED_VALUE"""),"DASMARINAS")</f>
        <v>DASMARINAS</v>
      </c>
      <c r="AH1044" s="1" t="str">
        <f>IFERROR(__xludf.DUMMYFUNCTION("""COMPUTED_VALUE"""),"JOLLIBEE")</f>
        <v>JOLLIBEE</v>
      </c>
      <c r="AI1044" s="1" t="str">
        <f>IFERROR(__xludf.DUMMYFUNCTION("""COMPUTED_VALUE"""),"NOT AOR")</f>
        <v>NOT AOR</v>
      </c>
    </row>
    <row r="1045" customHeight="1" spans="1:35">
      <c r="A1045" s="3">
        <f>IFERROR(__xludf.DUMMYFUNCTION("""COMPUTED_VALUE"""),46309)</f>
        <v>46309</v>
      </c>
      <c r="B1045" s="1" t="str">
        <f>IFERROR(__xludf.DUMMYFUNCTION("""COMPUTED_VALUE"""),"MA. DESIREE ESGUERRA ALCARAZ")</f>
        <v>MA. DESIREE ESGUERRA ALCARAZ</v>
      </c>
      <c r="C1045" s="1">
        <f>IFERROR(__xludf.DUMMYFUNCTION("""COMPUTED_VALUE"""),2313150492)</f>
        <v>2313150492</v>
      </c>
      <c r="D1045" s="1"/>
      <c r="E1045" s="1"/>
      <c r="F1045" s="1" t="str">
        <f>IFERROR(__xludf.DUMMYFUNCTION("""COMPUTED_VALUE"""),"RTS")</f>
        <v>RTS</v>
      </c>
      <c r="G1045" s="1" t="str">
        <f>IFERROR(__xludf.DUMMYFUNCTION("""COMPUTED_VALUE"""),"(OTHERS) RTS |DONE VALIDATION |UNDER SWITCHER APPLICATION|ALREADY VERIFIED SOA IN WEB| CORRECT ENCODED INFO IN CSP | TU SCORING - FF - 2 (NTC) | 1 AMSF REQUIRED | CLEARED FROM BLACKLISTED HIT | FOUND CANCEL ACC#0407576748 SAME NAME SAME ADD|CALL THRU:6399"&amp;"72444053,639560384733 11:53 AM CALLOUT RESULT: UNCONTACTED | FOR VERIFY APPLICATION ")</f>
        <v>(OTHERS) RTS |DONE VALIDATION |UNDER SWITCHER APPLICATION|ALREADY VERIFIED SOA IN WEB| CORRECT ENCODED INFO IN CSP | TU SCORING - FF - 2 (NTC) | 1 AMSF REQUIRED | CLEARED FROM BLACKLISTED HIT | FOUND CANCEL ACC#0407576748 SAME NAME SAME ADD|CALL THRU:639972444053,639560384733 11:53 AM CALLOUT RESULT: UNCONTACTED | FOR VERIFY APPLICATION </v>
      </c>
      <c r="H1045" s="1"/>
      <c r="I1045" s="1"/>
      <c r="J1045" s="1"/>
      <c r="K1045" s="1"/>
      <c r="L1045" s="1" t="str">
        <f>IFERROR(__xludf.DUMMYFUNCTION("""COMPUTED_VALUE"""),"RTS")</f>
        <v>RTS</v>
      </c>
      <c r="M1045" s="1" t="str">
        <f>IFERROR(__xludf.DUMMYFUNCTION("""COMPUTED_VALUE"""),"RTS - UNCONTACTABLE")</f>
        <v>RTS - UNCONTACTABLE</v>
      </c>
      <c r="N1045" s="3"/>
      <c r="O1045" s="1" t="str">
        <f>IFERROR(__xludf.DUMMYFUNCTION("""COMPUTED_VALUE"""),"SWITCH FIBER 1299")</f>
        <v>SWITCH FIBER 1299</v>
      </c>
      <c r="P1045" s="1" t="str">
        <f>IFERROR(__xludf.DUMMYFUNCTION("""COMPUTED_VALUE"""),"SWITCH")</f>
        <v>SWITCH</v>
      </c>
      <c r="Q1045" s="1" t="str">
        <f>IFERROR(__xludf.DUMMYFUNCTION("""COMPUTED_VALUE"""),"P407516")</f>
        <v>P407516</v>
      </c>
      <c r="R1045" s="1" t="str">
        <f>IFERROR(__xludf.DUMMYFUNCTION("""COMPUTED_VALUE"""),"AYON, MANUEL")</f>
        <v>AYON, MANUEL</v>
      </c>
      <c r="S1045" s="1" t="str">
        <f>IFERROR(__xludf.DUMMYFUNCTION("""COMPUTED_VALUE"""),"FLA")</f>
        <v>FLA</v>
      </c>
      <c r="T1045" s="1" t="str">
        <f>IFERROR(__xludf.DUMMYFUNCTION("""COMPUTED_VALUE"""),"JERIC NAVARRO")</f>
        <v>JERIC NAVARRO</v>
      </c>
      <c r="U1045" s="1" t="str">
        <f>IFERROR(__xludf.DUMMYFUNCTION("""COMPUTED_VALUE"""),"JB SALIOA")</f>
        <v>JB SALIOA</v>
      </c>
      <c r="V1045" s="1" t="str">
        <f>IFERROR(__xludf.DUMMYFUNCTION("""COMPUTED_VALUE"""),"BK REGULAR")</f>
        <v>BK REGULAR</v>
      </c>
      <c r="W1045" s="1" t="str">
        <f>IFERROR(__xludf.DUMMYFUNCTION("""COMPUTED_VALUE"""),"STK REGULAR")</f>
        <v>STK REGULAR</v>
      </c>
      <c r="X1045" s="1" t="str">
        <f>IFERROR(__xludf.DUMMYFUNCTION("""COMPUTED_VALUE"""),"ANTI COMPETITOR")</f>
        <v>ANTI COMPETITOR</v>
      </c>
      <c r="Y1045" s="1" t="str">
        <f>IFERROR(__xludf.DUMMYFUNCTION("""COMPUTED_VALUE"""),"BK_CVEU_261006")</f>
        <v>BK_CVEU_261006</v>
      </c>
      <c r="Z1045" s="1" t="str">
        <f>IFERROR(__xludf.DUMMYFUNCTION("""COMPUTED_VALUE"""),"NEW CONNECT")</f>
        <v>NEW CONNECT</v>
      </c>
      <c r="AA1045" s="1">
        <f>IFERROR(__xludf.DUMMYFUNCTION("""COMPUTED_VALUE"""),639972444053)</f>
        <v>639972444053</v>
      </c>
      <c r="AB1045" s="1">
        <f>IFERROR(__xludf.DUMMYFUNCTION("""COMPUTED_VALUE"""),639560384733)</f>
        <v>639560384733</v>
      </c>
      <c r="AC1045" s="1">
        <f>IFERROR(__xludf.DUMMYFUNCTION("""COMPUTED_VALUE"""),9051)</f>
        <v>9051</v>
      </c>
      <c r="AD1045" s="1" t="str">
        <f>IFERROR(__xludf.DUMMYFUNCTION("""COMPUTED_VALUE"""),"PALIGAWAN")</f>
        <v>PALIGAWAN</v>
      </c>
      <c r="AE1045" s="1"/>
      <c r="AF1045" s="1" t="str">
        <f>IFERROR(__xludf.DUMMYFUNCTION("""COMPUTED_VALUE"""),"BGY PALIGAWAN")</f>
        <v>BGY PALIGAWAN</v>
      </c>
      <c r="AG1045" s="1" t="str">
        <f>IFERROR(__xludf.DUMMYFUNCTION("""COMPUTED_VALUE"""),"SILANG")</f>
        <v>SILANG</v>
      </c>
      <c r="AH1045" s="1" t="str">
        <f>IFERROR(__xludf.DUMMYFUNCTION("""COMPUTED_VALUE"""),"INFRONT OF MAYENS GARDEN")</f>
        <v>INFRONT OF MAYENS GARDEN</v>
      </c>
      <c r="AI1045" s="1" t="str">
        <f>IFERROR(__xludf.DUMMYFUNCTION("""COMPUTED_VALUE"""),"CLUSTER 11")</f>
        <v>CLUSTER 11</v>
      </c>
    </row>
    <row r="1046" customHeight="1" spans="1:35">
      <c r="A1046" s="3">
        <f>IFERROR(__xludf.DUMMYFUNCTION("""COMPUTED_VALUE"""),46309)</f>
        <v>46309</v>
      </c>
      <c r="B1046" s="1" t="str">
        <f>IFERROR(__xludf.DUMMYFUNCTION("""COMPUTED_VALUE"""),"JERALDEN VALCONCHA LLADOC")</f>
        <v>JERALDEN VALCONCHA LLADOC</v>
      </c>
      <c r="C1046" s="1">
        <f>IFERROR(__xludf.DUMMYFUNCTION("""COMPUTED_VALUE"""),2313152580)</f>
        <v>2313152580</v>
      </c>
      <c r="D1046" s="1">
        <f>IFERROR(__xludf.DUMMYFUNCTION("""COMPUTED_VALUE"""),408970288)</f>
        <v>408970288</v>
      </c>
      <c r="E1046" s="1">
        <f>IFERROR(__xludf.DUMMYFUNCTION("""COMPUTED_VALUE"""),475546338004)</f>
        <v>475546338004</v>
      </c>
      <c r="F1046" s="1" t="str">
        <f>IFERROR(__xludf.DUMMYFUNCTION("""COMPUTED_VALUE"""),"CLOSED")</f>
        <v>CLOSED</v>
      </c>
      <c r="G1046" s="1" t="str">
        <f>IFERROR(__xludf.DUMMYFUNCTION("""COMPUTED_VALUE"""),"CLOSED")</f>
        <v>CLOSED</v>
      </c>
      <c r="H1046" s="1"/>
      <c r="I1046" s="1"/>
      <c r="J1046" s="1"/>
      <c r="K1046" s="1" t="str">
        <f>IFERROR(__xludf.DUMMYFUNCTION("""COMPUTED_VALUE"""),"CANCELED")</f>
        <v>CANCELED</v>
      </c>
      <c r="L1046" s="1" t="str">
        <f>IFERROR(__xludf.DUMMYFUNCTION("""COMPUTED_VALUE"""),"POSTED")</f>
        <v>POSTED</v>
      </c>
      <c r="M1046" s="1" t="str">
        <f>IFERROR(__xludf.DUMMYFUNCTION("""COMPUTED_VALUE"""),"POSTED")</f>
        <v>POSTED</v>
      </c>
      <c r="N1046" s="3">
        <f>IFERROR(__xludf.DUMMYFUNCTION("""COMPUTED_VALUE"""),46315)</f>
        <v>46315</v>
      </c>
      <c r="O1046" s="1" t="str">
        <f>IFERROR(__xludf.DUMMYFUNCTION("""COMPUTED_VALUE"""),"FIBER UNLI PLAN 1399")</f>
        <v>FIBER UNLI PLAN 1399</v>
      </c>
      <c r="P1046" s="1" t="str">
        <f>IFERROR(__xludf.DUMMYFUNCTION("""COMPUTED_VALUE"""),"LOWPLAN")</f>
        <v>LOWPLAN</v>
      </c>
      <c r="Q1046" s="1" t="str">
        <f>IFERROR(__xludf.DUMMYFUNCTION("""COMPUTED_VALUE"""),"P407561")</f>
        <v>P407561</v>
      </c>
      <c r="R1046" s="1" t="str">
        <f>IFERROR(__xludf.DUMMYFUNCTION("""COMPUTED_VALUE"""),"TAMAYO, MARY ROSE ZAIRA")</f>
        <v>TAMAYO, MARY ROSE ZAIRA</v>
      </c>
      <c r="S1046" s="1" t="str">
        <f>IFERROR(__xludf.DUMMYFUNCTION("""COMPUTED_VALUE"""),"ORGANIC")</f>
        <v>ORGANIC</v>
      </c>
      <c r="T1046" s="1" t="str">
        <f>IFERROR(__xludf.DUMMYFUNCTION("""COMPUTED_VALUE"""),"LEA REMOLLO")</f>
        <v>LEA REMOLLO</v>
      </c>
      <c r="U1046" s="1" t="str">
        <f>IFERROR(__xludf.DUMMYFUNCTION("""COMPUTED_VALUE"""),"JB SALIOA")</f>
        <v>JB SALIOA</v>
      </c>
      <c r="V1046" s="1" t="str">
        <f>IFERROR(__xludf.DUMMYFUNCTION("""COMPUTED_VALUE"""),"BK HSTK")</f>
        <v>BK HSTK</v>
      </c>
      <c r="W1046" s="1" t="str">
        <f>IFERROR(__xludf.DUMMYFUNCTION("""COMPUTED_VALUE"""),"BK HSTK")</f>
        <v>BK HSTK</v>
      </c>
      <c r="X1046" s="1" t="str">
        <f>IFERROR(__xludf.DUMMYFUNCTION("""COMPUTED_VALUE"""),"FIBER 1399 98TH YR")</f>
        <v>FIBER 1399 98TH YR</v>
      </c>
      <c r="Y1046" s="1" t="str">
        <f>IFERROR(__xludf.DUMMYFUNCTION("""COMPUTED_VALUE"""),"BK_CVEU_261003")</f>
        <v>BK_CVEU_261003</v>
      </c>
      <c r="Z1046" s="1" t="str">
        <f>IFERROR(__xludf.DUMMYFUNCTION("""COMPUTED_VALUE"""),"NEW CONNECT")</f>
        <v>NEW CONNECT</v>
      </c>
      <c r="AA1046" s="1">
        <f>IFERROR(__xludf.DUMMYFUNCTION("""COMPUTED_VALUE"""),639977588640)</f>
        <v>639977588640</v>
      </c>
      <c r="AB1046" s="1"/>
      <c r="AC1046" s="1">
        <f>IFERROR(__xludf.DUMMYFUNCTION("""COMPUTED_VALUE"""),1369)</f>
        <v>1369</v>
      </c>
      <c r="AD1046" s="1" t="str">
        <f>IFERROR(__xludf.DUMMYFUNCTION("""COMPUTED_VALUE"""),"LANTIC")</f>
        <v>LANTIC</v>
      </c>
      <c r="AE1046" s="1"/>
      <c r="AF1046" s="1" t="str">
        <f>IFERROR(__xludf.DUMMYFUNCTION("""COMPUTED_VALUE"""),"BGY LANTIC")</f>
        <v>BGY LANTIC</v>
      </c>
      <c r="AG1046" s="1" t="str">
        <f>IFERROR(__xludf.DUMMYFUNCTION("""COMPUTED_VALUE"""),"CARMONA")</f>
        <v>CARMONA</v>
      </c>
      <c r="AH1046" s="1" t="str">
        <f>IFERROR(__xludf.DUMMYFUNCTION("""COMPUTED_VALUE"""),"DPWH")</f>
        <v>DPWH</v>
      </c>
      <c r="AI1046" s="1" t="str">
        <f>IFERROR(__xludf.DUMMYFUNCTION("""COMPUTED_VALUE"""),"CLUSTER 11")</f>
        <v>CLUSTER 11</v>
      </c>
    </row>
    <row r="1047" customHeight="1" spans="1:35">
      <c r="A1047" s="3">
        <f>IFERROR(__xludf.DUMMYFUNCTION("""COMPUTED_VALUE"""),46309)</f>
        <v>46309</v>
      </c>
      <c r="B1047" s="1" t="str">
        <f>IFERROR(__xludf.DUMMYFUNCTION("""COMPUTED_VALUE"""),"JENNIFER RODRIGUEZ RUFO")</f>
        <v>JENNIFER RODRIGUEZ RUFO</v>
      </c>
      <c r="C1047" s="1">
        <f>IFERROR(__xludf.DUMMYFUNCTION("""COMPUTED_VALUE"""),2313152921)</f>
        <v>2313152921</v>
      </c>
      <c r="D1047" s="1">
        <f>IFERROR(__xludf.DUMMYFUNCTION("""COMPUTED_VALUE"""),408993997)</f>
        <v>408993997</v>
      </c>
      <c r="E1047" s="1">
        <f>IFERROR(__xludf.DUMMYFUNCTION("""COMPUTED_VALUE"""),475607985004)</f>
        <v>475607985004</v>
      </c>
      <c r="F1047" s="1" t="str">
        <f>IFERROR(__xludf.DUMMYFUNCTION("""COMPUTED_VALUE"""),"CANCELED")</f>
        <v>CANCELED</v>
      </c>
      <c r="G1047" s="1" t="str">
        <f>IFERROR(__xludf.DUMMYFUNCTION("""COMPUTED_VALUE"""),"VISITED Remarks   NO PLDT FACILITY SA AREA NI SUBS ASSIGN CAFAC NOT ON SITE  CMNFELP140NP002 Port 6 TALK JENNIFER RODRIGUEZ RUFO 09380568250")</f>
        <v>VISITED Remarks   NO PLDT FACILITY SA AREA NI SUBS ASSIGN CAFAC NOT ON SITE  CMNFELP140NP002 Port 6 TALK JENNIFER RODRIGUEZ RUFO 09380568250</v>
      </c>
      <c r="H1047" s="1"/>
      <c r="I1047" s="1" t="str">
        <f>IFERROR(__xludf.DUMMYFUNCTION("""COMPUTED_VALUE"""),"NO 1 AMSF")</f>
        <v>NO 1 AMSF</v>
      </c>
      <c r="J1047" s="1"/>
      <c r="K1047" s="1" t="str">
        <f>IFERROR(__xludf.DUMMYFUNCTION("""COMPUTED_VALUE"""),"CANCELED")</f>
        <v>CANCELED</v>
      </c>
      <c r="L1047" s="1" t="str">
        <f>IFERROR(__xludf.DUMMYFUNCTION("""COMPUTED_VALUE"""),"RPR  - NAP FULL")</f>
        <v>RPR  - NAP FULL</v>
      </c>
      <c r="M1047" s="1" t="str">
        <f>IFERROR(__xludf.DUMMYFUNCTION("""COMPUTED_VALUE"""),"RPR- NAP FULL")</f>
        <v>RPR- NAP FULL</v>
      </c>
      <c r="N1047" s="3"/>
      <c r="O1047" s="1" t="str">
        <f>IFERROR(__xludf.DUMMYFUNCTION("""COMPUTED_VALUE"""),"FIBER UNLI PLAN 1399")</f>
        <v>FIBER UNLI PLAN 1399</v>
      </c>
      <c r="P1047" s="1" t="str">
        <f>IFERROR(__xludf.DUMMYFUNCTION("""COMPUTED_VALUE"""),"LOWPLAN")</f>
        <v>LOWPLAN</v>
      </c>
      <c r="Q1047" s="1" t="str">
        <f>IFERROR(__xludf.DUMMYFUNCTION("""COMPUTED_VALUE"""),"P407561")</f>
        <v>P407561</v>
      </c>
      <c r="R1047" s="1" t="str">
        <f>IFERROR(__xludf.DUMMYFUNCTION("""COMPUTED_VALUE"""),"TAMAYO, MARY ROSE ZAIRA")</f>
        <v>TAMAYO, MARY ROSE ZAIRA</v>
      </c>
      <c r="S1047" s="1" t="str">
        <f>IFERROR(__xludf.DUMMYFUNCTION("""COMPUTED_VALUE"""),"ORGANIC")</f>
        <v>ORGANIC</v>
      </c>
      <c r="T1047" s="1" t="str">
        <f>IFERROR(__xludf.DUMMYFUNCTION("""COMPUTED_VALUE"""),"LEA REMOLLO")</f>
        <v>LEA REMOLLO</v>
      </c>
      <c r="U1047" s="1" t="str">
        <f>IFERROR(__xludf.DUMMYFUNCTION("""COMPUTED_VALUE"""),"JB SALIOA")</f>
        <v>JB SALIOA</v>
      </c>
      <c r="V1047" s="1" t="str">
        <f>IFERROR(__xludf.DUMMYFUNCTION("""COMPUTED_VALUE"""),"BK HSTK")</f>
        <v>BK HSTK</v>
      </c>
      <c r="W1047" s="1" t="str">
        <f>IFERROR(__xludf.DUMMYFUNCTION("""COMPUTED_VALUE"""),"BK HSTK")</f>
        <v>BK HSTK</v>
      </c>
      <c r="X1047" s="1" t="str">
        <f>IFERROR(__xludf.DUMMYFUNCTION("""COMPUTED_VALUE"""),"FIBER 1399 98TH YR")</f>
        <v>FIBER 1399 98TH YR</v>
      </c>
      <c r="Y1047" s="1" t="str">
        <f>IFERROR(__xludf.DUMMYFUNCTION("""COMPUTED_VALUE"""),"BK_CVEU_261003")</f>
        <v>BK_CVEU_261003</v>
      </c>
      <c r="Z1047" s="1" t="str">
        <f>IFERROR(__xludf.DUMMYFUNCTION("""COMPUTED_VALUE"""),"NEW CONNECT")</f>
        <v>NEW CONNECT</v>
      </c>
      <c r="AA1047" s="1">
        <f>IFERROR(__xludf.DUMMYFUNCTION("""COMPUTED_VALUE"""),639380568250)</f>
        <v>639380568250</v>
      </c>
      <c r="AB1047" s="1"/>
      <c r="AC1047" s="1">
        <f>IFERROR(__xludf.DUMMYFUNCTION("""COMPUTED_VALUE"""),68)</f>
        <v>68</v>
      </c>
      <c r="AD1047" s="1" t="str">
        <f>IFERROR(__xludf.DUMMYFUNCTION("""COMPUTED_VALUE"""),"MABUHAY")</f>
        <v>MABUHAY</v>
      </c>
      <c r="AE1047" s="1" t="str">
        <f>IFERROR(__xludf.DUMMYFUNCTION("""COMPUTED_VALUE"""),"ZALASAR COMPOUND")</f>
        <v>ZALASAR COMPOUND</v>
      </c>
      <c r="AF1047" s="1" t="str">
        <f>IFERROR(__xludf.DUMMYFUNCTION("""COMPUTED_VALUE"""),"BGY MABUHAY")</f>
        <v>BGY MABUHAY</v>
      </c>
      <c r="AG1047" s="1" t="str">
        <f>IFERROR(__xludf.DUMMYFUNCTION("""COMPUTED_VALUE"""),"CARMONA")</f>
        <v>CARMONA</v>
      </c>
      <c r="AH1047" s="1" t="str">
        <f>IFERROR(__xludf.DUMMYFUNCTION("""COMPUTED_VALUE"""),"-")</f>
        <v>-</v>
      </c>
      <c r="AI1047" s="1" t="str">
        <f>IFERROR(__xludf.DUMMYFUNCTION("""COMPUTED_VALUE"""),"CLUSTER 11")</f>
        <v>CLUSTER 11</v>
      </c>
    </row>
    <row r="1048" customHeight="1" spans="1:35">
      <c r="A1048" s="3">
        <f>IFERROR(__xludf.DUMMYFUNCTION("""COMPUTED_VALUE"""),46309)</f>
        <v>46309</v>
      </c>
      <c r="B1048" s="1" t="str">
        <f>IFERROR(__xludf.DUMMYFUNCTION("""COMPUTED_VALUE"""),"NORA AGUILAR ACOSTA")</f>
        <v>NORA AGUILAR ACOSTA</v>
      </c>
      <c r="C1048" s="1">
        <f>IFERROR(__xludf.DUMMYFUNCTION("""COMPUTED_VALUE"""),2313153320)</f>
        <v>2313153320</v>
      </c>
      <c r="D1048" s="1">
        <f>IFERROR(__xludf.DUMMYFUNCTION("""COMPUTED_VALUE"""),408971152)</f>
        <v>408971152</v>
      </c>
      <c r="E1048" s="1">
        <f>IFERROR(__xludf.DUMMYFUNCTION("""COMPUTED_VALUE"""),475547560004)</f>
        <v>475547560004</v>
      </c>
      <c r="F1048" s="1" t="str">
        <f>IFERROR(__xludf.DUMMYFUNCTION("""COMPUTED_VALUE"""),"CANCELED")</f>
        <v>CANCELED</v>
      </c>
      <c r="G1048" s="1" t="str">
        <f>IFERROR(__xludf.DUMMYFUNCTION("""COMPUTED_VALUE"""),"VISITED REMARKS   NO FIBER FACILITIES SA AREA NI SUBS ASSIGN CAFAC OVS INDUSTRIAL PARK COMPANY TALK NORA AGUILAR ACOSTA 09477641248")</f>
        <v>VISITED REMARKS   NO FIBER FACILITIES SA AREA NI SUBS ASSIGN CAFAC OVS INDUSTRIAL PARK COMPANY TALK NORA AGUILAR ACOSTA 09477641248</v>
      </c>
      <c r="H1048" s="1"/>
      <c r="I1048" s="1"/>
      <c r="J1048" s="1"/>
      <c r="K1048" s="1" t="str">
        <f>IFERROR(__xludf.DUMMYFUNCTION("""COMPUTED_VALUE"""),"CANCELED")</f>
        <v>CANCELED</v>
      </c>
      <c r="L1048" s="1" t="str">
        <f>IFERROR(__xludf.DUMMYFUNCTION("""COMPUTED_VALUE"""),"CANCELLED - RPR")</f>
        <v>CANCELLED - RPR</v>
      </c>
      <c r="M1048" s="1" t="str">
        <f>IFERROR(__xludf.DUMMYFUNCTION("""COMPUTED_VALUE"""),"CANCELLED - RPR")</f>
        <v>CANCELLED - RPR</v>
      </c>
      <c r="N1048" s="3"/>
      <c r="O1048" s="1" t="str">
        <f>IFERROR(__xludf.DUMMYFUNCTION("""COMPUTED_VALUE"""),"FIBER UNLI PLAN 1399")</f>
        <v>FIBER UNLI PLAN 1399</v>
      </c>
      <c r="P1048" s="1" t="str">
        <f>IFERROR(__xludf.DUMMYFUNCTION("""COMPUTED_VALUE"""),"LOWPLAN")</f>
        <v>LOWPLAN</v>
      </c>
      <c r="Q1048" s="1" t="str">
        <f>IFERROR(__xludf.DUMMYFUNCTION("""COMPUTED_VALUE"""),"P407564")</f>
        <v>P407564</v>
      </c>
      <c r="R1048" s="1" t="str">
        <f>IFERROR(__xludf.DUMMYFUNCTION("""COMPUTED_VALUE"""),"ARENA, LYKA")</f>
        <v>ARENA, LYKA</v>
      </c>
      <c r="S1048" s="1" t="str">
        <f>IFERROR(__xludf.DUMMYFUNCTION("""COMPUTED_VALUE"""),"ORGANIC")</f>
        <v>ORGANIC</v>
      </c>
      <c r="T1048" s="1" t="str">
        <f>IFERROR(__xludf.DUMMYFUNCTION("""COMPUTED_VALUE"""),"LEA REMOLLO")</f>
        <v>LEA REMOLLO</v>
      </c>
      <c r="U1048" s="1" t="str">
        <f>IFERROR(__xludf.DUMMYFUNCTION("""COMPUTED_VALUE"""),"JB SALIOA")</f>
        <v>JB SALIOA</v>
      </c>
      <c r="V1048" s="1" t="str">
        <f>IFERROR(__xludf.DUMMYFUNCTION("""COMPUTED_VALUE"""),"BK HSTK")</f>
        <v>BK HSTK</v>
      </c>
      <c r="W1048" s="1" t="str">
        <f>IFERROR(__xludf.DUMMYFUNCTION("""COMPUTED_VALUE"""),"BK HSTK")</f>
        <v>BK HSTK</v>
      </c>
      <c r="X1048" s="1" t="str">
        <f>IFERROR(__xludf.DUMMYFUNCTION("""COMPUTED_VALUE"""),"FIBER 1399 98TH YR")</f>
        <v>FIBER 1399 98TH YR</v>
      </c>
      <c r="Y1048" s="1" t="str">
        <f>IFERROR(__xludf.DUMMYFUNCTION("""COMPUTED_VALUE"""),"BK_CVEU_261003")</f>
        <v>BK_CVEU_261003</v>
      </c>
      <c r="Z1048" s="1" t="str">
        <f>IFERROR(__xludf.DUMMYFUNCTION("""COMPUTED_VALUE"""),"NEW CONNECT")</f>
        <v>NEW CONNECT</v>
      </c>
      <c r="AA1048" s="1">
        <f>IFERROR(__xludf.DUMMYFUNCTION("""COMPUTED_VALUE"""),639477641248)</f>
        <v>639477641248</v>
      </c>
      <c r="AB1048" s="1"/>
      <c r="AC1048" s="1">
        <f>IFERROR(__xludf.DUMMYFUNCTION("""COMPUTED_VALUE"""),128)</f>
        <v>128</v>
      </c>
      <c r="AD1048" s="1" t="str">
        <f>IFERROR(__xludf.DUMMYFUNCTION("""COMPUTED_VALUE"""),"MABUHAY")</f>
        <v>MABUHAY</v>
      </c>
      <c r="AE1048" s="1" t="str">
        <f>IFERROR(__xludf.DUMMYFUNCTION("""COMPUTED_VALUE"""),"SALAZAR COMPOUND")</f>
        <v>SALAZAR COMPOUND</v>
      </c>
      <c r="AF1048" s="1" t="str">
        <f>IFERROR(__xludf.DUMMYFUNCTION("""COMPUTED_VALUE"""),"BGY MABUHAY")</f>
        <v>BGY MABUHAY</v>
      </c>
      <c r="AG1048" s="1" t="str">
        <f>IFERROR(__xludf.DUMMYFUNCTION("""COMPUTED_VALUE"""),"CARMONA")</f>
        <v>CARMONA</v>
      </c>
      <c r="AH1048" s="1" t="str">
        <f>IFERROR(__xludf.DUMMYFUNCTION("""COMPUTED_VALUE"""),"SALAZAR COMPOUND")</f>
        <v>SALAZAR COMPOUND</v>
      </c>
      <c r="AI1048" s="1" t="str">
        <f>IFERROR(__xludf.DUMMYFUNCTION("""COMPUTED_VALUE"""),"CLUSTER 11")</f>
        <v>CLUSTER 11</v>
      </c>
    </row>
    <row r="1049" customHeight="1" spans="1:35">
      <c r="A1049" s="3">
        <f>IFERROR(__xludf.DUMMYFUNCTION("""COMPUTED_VALUE"""),46309)</f>
        <v>46309</v>
      </c>
      <c r="B1049" s="1" t="str">
        <f>IFERROR(__xludf.DUMMYFUNCTION("""COMPUTED_VALUE"""),"JACQUELYN . PLANAS")</f>
        <v>JACQUELYN . PLANAS</v>
      </c>
      <c r="C1049" s="1">
        <f>IFERROR(__xludf.DUMMYFUNCTION("""COMPUTED_VALUE"""),2313156505)</f>
        <v>2313156505</v>
      </c>
      <c r="D1049" s="1">
        <f>IFERROR(__xludf.DUMMYFUNCTION("""COMPUTED_VALUE"""),408981654)</f>
        <v>408981654</v>
      </c>
      <c r="E1049" s="1">
        <f>IFERROR(__xludf.DUMMYFUNCTION("""COMPUTED_VALUE"""),475555019004)</f>
        <v>475555019004</v>
      </c>
      <c r="F1049" s="1" t="str">
        <f>IFERROR(__xludf.DUMMYFUNCTION("""COMPUTED_VALUE"""),"CANCELED")</f>
        <v>CANCELED</v>
      </c>
      <c r="G1049" s="1" t="str">
        <f>IFERROR(__xludf.DUMMYFUNCTION("""COMPUTED_VALUE"""),"VISITED REMARKS   FULL PLDT FIBER FACILITY   ASSIGN CAFAC CMNFELP140NP003 Port 2 NOT ON SITE   CUSTOMER ALREADY ADVICED NA PUNUAN NA SA AREA NILA    CMNLP138NP5 FULL CMNLP140NP1 FULL TALK JACQUELYN PLANAS 09852868613")</f>
        <v>VISITED REMARKS   FULL PLDT FIBER FACILITY   ASSIGN CAFAC CMNFELP140NP003 Port 2 NOT ON SITE   CUSTOMER ALREADY ADVICED NA PUNUAN NA SA AREA NILA    CMNLP138NP5 FULL CMNLP140NP1 FULL TALK JACQUELYN PLANAS 09852868613</v>
      </c>
      <c r="H1049" s="1"/>
      <c r="I1049" s="1"/>
      <c r="J1049" s="1"/>
      <c r="K1049" s="1" t="str">
        <f>IFERROR(__xludf.DUMMYFUNCTION("""COMPUTED_VALUE"""),"CANCELED")</f>
        <v>CANCELED</v>
      </c>
      <c r="L1049" s="1" t="str">
        <f>IFERROR(__xludf.DUMMYFUNCTION("""COMPUTED_VALUE"""),"RPR  - NAP FULL")</f>
        <v>RPR  - NAP FULL</v>
      </c>
      <c r="M1049" s="1" t="str">
        <f>IFERROR(__xludf.DUMMYFUNCTION("""COMPUTED_VALUE"""),"RPR- NAP FULL")</f>
        <v>RPR- NAP FULL</v>
      </c>
      <c r="N1049" s="3"/>
      <c r="O1049" s="1" t="str">
        <f>IFERROR(__xludf.DUMMYFUNCTION("""COMPUTED_VALUE"""),"FIBER UNLI PLAN 1399")</f>
        <v>FIBER UNLI PLAN 1399</v>
      </c>
      <c r="P1049" s="1" t="str">
        <f>IFERROR(__xludf.DUMMYFUNCTION("""COMPUTED_VALUE"""),"LOWPLAN")</f>
        <v>LOWPLAN</v>
      </c>
      <c r="Q1049" s="1" t="str">
        <f>IFERROR(__xludf.DUMMYFUNCTION("""COMPUTED_VALUE"""),"P407563")</f>
        <v>P407563</v>
      </c>
      <c r="R1049" s="1" t="str">
        <f>IFERROR(__xludf.DUMMYFUNCTION("""COMPUTED_VALUE"""),"BAQUIT, JAZMIN")</f>
        <v>BAQUIT, JAZMIN</v>
      </c>
      <c r="S1049" s="1" t="str">
        <f>IFERROR(__xludf.DUMMYFUNCTION("""COMPUTED_VALUE"""),"ORGANIC")</f>
        <v>ORGANIC</v>
      </c>
      <c r="T1049" s="1" t="str">
        <f>IFERROR(__xludf.DUMMYFUNCTION("""COMPUTED_VALUE"""),"LEA REMOLLO")</f>
        <v>LEA REMOLLO</v>
      </c>
      <c r="U1049" s="1" t="str">
        <f>IFERROR(__xludf.DUMMYFUNCTION("""COMPUTED_VALUE"""),"JB SALIOA")</f>
        <v>JB SALIOA</v>
      </c>
      <c r="V1049" s="1" t="str">
        <f>IFERROR(__xludf.DUMMYFUNCTION("""COMPUTED_VALUE"""),"BK HSTK")</f>
        <v>BK HSTK</v>
      </c>
      <c r="W1049" s="1" t="str">
        <f>IFERROR(__xludf.DUMMYFUNCTION("""COMPUTED_VALUE"""),"BK HSTK")</f>
        <v>BK HSTK</v>
      </c>
      <c r="X1049" s="1" t="str">
        <f>IFERROR(__xludf.DUMMYFUNCTION("""COMPUTED_VALUE"""),"FIBER 1399 98TH YR")</f>
        <v>FIBER 1399 98TH YR</v>
      </c>
      <c r="Y1049" s="1" t="str">
        <f>IFERROR(__xludf.DUMMYFUNCTION("""COMPUTED_VALUE"""),"BK_CVEU_261003")</f>
        <v>BK_CVEU_261003</v>
      </c>
      <c r="Z1049" s="1" t="str">
        <f>IFERROR(__xludf.DUMMYFUNCTION("""COMPUTED_VALUE"""),"NEW CONNECT")</f>
        <v>NEW CONNECT</v>
      </c>
      <c r="AA1049" s="1">
        <f>IFERROR(__xludf.DUMMYFUNCTION("""COMPUTED_VALUE"""),639852868613)</f>
        <v>639852868613</v>
      </c>
      <c r="AB1049" s="1"/>
      <c r="AC1049" s="1">
        <f>IFERROR(__xludf.DUMMYFUNCTION("""COMPUTED_VALUE"""),78)</f>
        <v>78</v>
      </c>
      <c r="AD1049" s="1" t="str">
        <f>IFERROR(__xludf.DUMMYFUNCTION("""COMPUTED_VALUE"""),"MABUHAY")</f>
        <v>MABUHAY</v>
      </c>
      <c r="AE1049" s="1" t="str">
        <f>IFERROR(__xludf.DUMMYFUNCTION("""COMPUTED_VALUE"""),"SALAZAR COMPOUND")</f>
        <v>SALAZAR COMPOUND</v>
      </c>
      <c r="AF1049" s="1" t="str">
        <f>IFERROR(__xludf.DUMMYFUNCTION("""COMPUTED_VALUE"""),"BGY MABUHAY")</f>
        <v>BGY MABUHAY</v>
      </c>
      <c r="AG1049" s="1" t="str">
        <f>IFERROR(__xludf.DUMMYFUNCTION("""COMPUTED_VALUE"""),"CARMONA")</f>
        <v>CARMONA</v>
      </c>
      <c r="AH1049" s="1" t="str">
        <f>IFERROR(__xludf.DUMMYFUNCTION("""COMPUTED_VALUE"""),"TERRAVERDE // GAS STATION")</f>
        <v>TERRAVERDE // GAS STATION</v>
      </c>
      <c r="AI1049" s="1" t="str">
        <f>IFERROR(__xludf.DUMMYFUNCTION("""COMPUTED_VALUE"""),"CLUSTER 11")</f>
        <v>CLUSTER 11</v>
      </c>
    </row>
    <row r="1050" customHeight="1" spans="1:35">
      <c r="A1050" s="3">
        <f>IFERROR(__xludf.DUMMYFUNCTION("""COMPUTED_VALUE"""),46309)</f>
        <v>46309</v>
      </c>
      <c r="B1050" s="1" t="str">
        <f>IFERROR(__xludf.DUMMYFUNCTION("""COMPUTED_VALUE"""),"JENILYN BEDICO BILAOS")</f>
        <v>JENILYN BEDICO BILAOS</v>
      </c>
      <c r="C1050" s="1">
        <f>IFERROR(__xludf.DUMMYFUNCTION("""COMPUTED_VALUE"""),2313157012)</f>
        <v>2313157012</v>
      </c>
      <c r="D1050" s="1">
        <f>IFERROR(__xludf.DUMMYFUNCTION("""COMPUTED_VALUE"""),408987172)</f>
        <v>408987172</v>
      </c>
      <c r="E1050" s="1">
        <f>IFERROR(__xludf.DUMMYFUNCTION("""COMPUTED_VALUE"""),475568915004)</f>
        <v>475568915004</v>
      </c>
      <c r="F1050" s="1" t="str">
        <f>IFERROR(__xludf.DUMMYFUNCTION("""COMPUTED_VALUE"""),"CANCELED")</f>
        <v>CANCELED</v>
      </c>
      <c r="G1050" s="1" t="str">
        <f>IFERROR(__xludf.DUMMYFUNCTION("""COMPUTED_VALUE"""),"VISITED REMARKS   FULL PLDT FIBER FACILITY   ASSIGN CAFAC CMNFELP140NP003 Port3 NOT ON SITE   CUSTOMER ALREADY ADVICED NA PUNUAN NA SA AREA NILA    CMNLP138NP5 FULL CMNLP140NP1 FULL TALK JENILYN BEDICO BILAOS 09092557214")</f>
        <v>VISITED REMARKS   FULL PLDT FIBER FACILITY   ASSIGN CAFAC CMNFELP140NP003 Port3 NOT ON SITE   CUSTOMER ALREADY ADVICED NA PUNUAN NA SA AREA NILA    CMNLP138NP5 FULL CMNLP140NP1 FULL TALK JENILYN BEDICO BILAOS 09092557214</v>
      </c>
      <c r="H1050" s="1"/>
      <c r="I1050" s="1"/>
      <c r="J1050" s="1"/>
      <c r="K1050" s="1" t="str">
        <f>IFERROR(__xludf.DUMMYFUNCTION("""COMPUTED_VALUE"""),"CANCELED")</f>
        <v>CANCELED</v>
      </c>
      <c r="L1050" s="1" t="str">
        <f>IFERROR(__xludf.DUMMYFUNCTION("""COMPUTED_VALUE"""),"RPR  - NAP FULL")</f>
        <v>RPR  - NAP FULL</v>
      </c>
      <c r="M1050" s="1" t="str">
        <f>IFERROR(__xludf.DUMMYFUNCTION("""COMPUTED_VALUE"""),"RPR- NAP FULL")</f>
        <v>RPR- NAP FULL</v>
      </c>
      <c r="N1050" s="3"/>
      <c r="O1050" s="1" t="str">
        <f>IFERROR(__xludf.DUMMYFUNCTION("""COMPUTED_VALUE"""),"FIBER UNLI PLAN 1399")</f>
        <v>FIBER UNLI PLAN 1399</v>
      </c>
      <c r="P1050" s="1" t="str">
        <f>IFERROR(__xludf.DUMMYFUNCTION("""COMPUTED_VALUE"""),"LOWPLAN")</f>
        <v>LOWPLAN</v>
      </c>
      <c r="Q1050" s="1" t="str">
        <f>IFERROR(__xludf.DUMMYFUNCTION("""COMPUTED_VALUE"""),"P407050")</f>
        <v>P407050</v>
      </c>
      <c r="R1050" s="1" t="str">
        <f>IFERROR(__xludf.DUMMYFUNCTION("""COMPUTED_VALUE"""),"ESCARCHA, ALMA")</f>
        <v>ESCARCHA, ALMA</v>
      </c>
      <c r="S1050" s="1" t="str">
        <f>IFERROR(__xludf.DUMMYFUNCTION("""COMPUTED_VALUE"""),"ORGANIC")</f>
        <v>ORGANIC</v>
      </c>
      <c r="T1050" s="1" t="str">
        <f>IFERROR(__xludf.DUMMYFUNCTION("""COMPUTED_VALUE"""),"LEA REMOLLO")</f>
        <v>LEA REMOLLO</v>
      </c>
      <c r="U1050" s="1" t="str">
        <f>IFERROR(__xludf.DUMMYFUNCTION("""COMPUTED_VALUE"""),"JB SALIOA")</f>
        <v>JB SALIOA</v>
      </c>
      <c r="V1050" s="1" t="str">
        <f>IFERROR(__xludf.DUMMYFUNCTION("""COMPUTED_VALUE"""),"BK HSTK")</f>
        <v>BK HSTK</v>
      </c>
      <c r="W1050" s="1" t="str">
        <f>IFERROR(__xludf.DUMMYFUNCTION("""COMPUTED_VALUE"""),"BK HSTK")</f>
        <v>BK HSTK</v>
      </c>
      <c r="X1050" s="1" t="str">
        <f>IFERROR(__xludf.DUMMYFUNCTION("""COMPUTED_VALUE"""),"FIBER 1399 98TH YR")</f>
        <v>FIBER 1399 98TH YR</v>
      </c>
      <c r="Y1050" s="1" t="str">
        <f>IFERROR(__xludf.DUMMYFUNCTION("""COMPUTED_VALUE"""),"BK_CVEU_261003")</f>
        <v>BK_CVEU_261003</v>
      </c>
      <c r="Z1050" s="1" t="str">
        <f>IFERROR(__xludf.DUMMYFUNCTION("""COMPUTED_VALUE"""),"NEW CONNECT")</f>
        <v>NEW CONNECT</v>
      </c>
      <c r="AA1050" s="1">
        <f>IFERROR(__xludf.DUMMYFUNCTION("""COMPUTED_VALUE"""),639092557214)</f>
        <v>639092557214</v>
      </c>
      <c r="AB1050" s="1"/>
      <c r="AC1050" s="1">
        <f>IFERROR(__xludf.DUMMYFUNCTION("""COMPUTED_VALUE"""),15)</f>
        <v>15</v>
      </c>
      <c r="AD1050" s="1" t="str">
        <f>IFERROR(__xludf.DUMMYFUNCTION("""COMPUTED_VALUE"""),"MABUHAY")</f>
        <v>MABUHAY</v>
      </c>
      <c r="AE1050" s="1" t="str">
        <f>IFERROR(__xludf.DUMMYFUNCTION("""COMPUTED_VALUE"""),"SALAZAR COMPOUND")</f>
        <v>SALAZAR COMPOUND</v>
      </c>
      <c r="AF1050" s="1" t="str">
        <f>IFERROR(__xludf.DUMMYFUNCTION("""COMPUTED_VALUE"""),"BGY MABUHAY")</f>
        <v>BGY MABUHAY</v>
      </c>
      <c r="AG1050" s="1" t="str">
        <f>IFERROR(__xludf.DUMMYFUNCTION("""COMPUTED_VALUE"""),"CARMONA")</f>
        <v>CARMONA</v>
      </c>
      <c r="AH1050" s="1" t="str">
        <f>IFERROR(__xludf.DUMMYFUNCTION("""COMPUTED_VALUE"""),"TERRAVERDE")</f>
        <v>TERRAVERDE</v>
      </c>
      <c r="AI1050" s="1" t="str">
        <f>IFERROR(__xludf.DUMMYFUNCTION("""COMPUTED_VALUE"""),"CLUSTER 11")</f>
        <v>CLUSTER 11</v>
      </c>
    </row>
    <row r="1051" customHeight="1" spans="1:35">
      <c r="A1051" s="3">
        <f>IFERROR(__xludf.DUMMYFUNCTION("""COMPUTED_VALUE"""),46309)</f>
        <v>46309</v>
      </c>
      <c r="B1051" s="1" t="str">
        <f>IFERROR(__xludf.DUMMYFUNCTION("""COMPUTED_VALUE"""),"VIVIAN SAGUSAY BERNALES")</f>
        <v>VIVIAN SAGUSAY BERNALES</v>
      </c>
      <c r="C1051" s="1">
        <f>IFERROR(__xludf.DUMMYFUNCTION("""COMPUTED_VALUE"""),2313157249)</f>
        <v>2313157249</v>
      </c>
      <c r="D1051" s="1">
        <f>IFERROR(__xludf.DUMMYFUNCTION("""COMPUTED_VALUE"""),408994004)</f>
        <v>408994004</v>
      </c>
      <c r="E1051" s="1">
        <f>IFERROR(__xludf.DUMMYFUNCTION("""COMPUTED_VALUE"""),475605258004)</f>
        <v>475605258004</v>
      </c>
      <c r="F1051" s="1" t="str">
        <f>IFERROR(__xludf.DUMMYFUNCTION("""COMPUTED_VALUE"""),"CANCELED")</f>
        <v>CANCELED</v>
      </c>
      <c r="G1051" s="1" t="str">
        <f>IFERROR(__xludf.DUMMYFUNCTION("""COMPUTED_VALUE"""),"VISITED REMARKS   NO FIBER FACILITIES ON SITE PURO CONVERGE LANG ANG PUMASOK AT POSTE NG CONVERGE AT MGA PRIVATE POLE TALK VIVIAN SAGUSAY BERNALES 09454502233 09241647623")</f>
        <v>VISITED REMARKS   NO FIBER FACILITIES ON SITE PURO CONVERGE LANG ANG PUMASOK AT POSTE NG CONVERGE AT MGA PRIVATE POLE TALK VIVIAN SAGUSAY BERNALES 09454502233 09241647623</v>
      </c>
      <c r="H1051" s="1"/>
      <c r="I1051" s="1" t="str">
        <f>IFERROR(__xludf.DUMMYFUNCTION("""COMPUTED_VALUE"""),"NO 1 AMSF")</f>
        <v>NO 1 AMSF</v>
      </c>
      <c r="J1051" s="1"/>
      <c r="K1051" s="1" t="str">
        <f>IFERROR(__xludf.DUMMYFUNCTION("""COMPUTED_VALUE"""),"CANCELED")</f>
        <v>CANCELED</v>
      </c>
      <c r="L1051" s="1" t="str">
        <f>IFERROR(__xludf.DUMMYFUNCTION("""COMPUTED_VALUE"""),"RPR - RESCHEDULE")</f>
        <v>RPR - RESCHEDULE</v>
      </c>
      <c r="M1051" s="1" t="str">
        <f>IFERROR(__xludf.DUMMYFUNCTION("""COMPUTED_VALUE"""),"RPR - PASSING PRIVATE PROPERTY")</f>
        <v>RPR - PASSING PRIVATE PROPERTY</v>
      </c>
      <c r="N1051" s="3"/>
      <c r="O1051" s="1" t="str">
        <f>IFERROR(__xludf.DUMMYFUNCTION("""COMPUTED_VALUE"""),"SWITCH FIBER NETFLIX PLAN 1599 ")</f>
        <v>SWITCH FIBER NETFLIX PLAN 1599 </v>
      </c>
      <c r="P1051" s="1" t="str">
        <f>IFERROR(__xludf.DUMMYFUNCTION("""COMPUTED_VALUE"""),"LOWPLAN")</f>
        <v>LOWPLAN</v>
      </c>
      <c r="Q1051" s="1" t="str">
        <f>IFERROR(__xludf.DUMMYFUNCTION("""COMPUTED_VALUE"""),"P407048")</f>
        <v>P407048</v>
      </c>
      <c r="R1051" s="1" t="str">
        <f>IFERROR(__xludf.DUMMYFUNCTION("""COMPUTED_VALUE"""),"FAUSTINO, KIM")</f>
        <v>FAUSTINO, KIM</v>
      </c>
      <c r="S1051" s="1" t="str">
        <f>IFERROR(__xludf.DUMMYFUNCTION("""COMPUTED_VALUE"""),"ORGANIC")</f>
        <v>ORGANIC</v>
      </c>
      <c r="T1051" s="1" t="str">
        <f>IFERROR(__xludf.DUMMYFUNCTION("""COMPUTED_VALUE"""),"GARCIA MICHAEL JETTS")</f>
        <v>GARCIA MICHAEL JETTS</v>
      </c>
      <c r="U1051" s="1" t="str">
        <f>IFERROR(__xludf.DUMMYFUNCTION("""COMPUTED_VALUE"""),"JB SALIOA")</f>
        <v>JB SALIOA</v>
      </c>
      <c r="V1051" s="1" t="str">
        <f>IFERROR(__xludf.DUMMYFUNCTION("""COMPUTED_VALUE"""),"BK REGULAR")</f>
        <v>BK REGULAR</v>
      </c>
      <c r="W1051" s="1" t="str">
        <f>IFERROR(__xludf.DUMMYFUNCTION("""COMPUTED_VALUE"""),"STK REGULAR")</f>
        <v>STK REGULAR</v>
      </c>
      <c r="X1051" s="1" t="str">
        <f>IFERROR(__xludf.DUMMYFUNCTION("""COMPUTED_VALUE"""),"REGULAR")</f>
        <v>REGULAR</v>
      </c>
      <c r="Y1051" s="1" t="str">
        <f>IFERROR(__xludf.DUMMYFUNCTION("""COMPUTED_VALUE"""),"BK_CVEU_261006")</f>
        <v>BK_CVEU_261006</v>
      </c>
      <c r="Z1051" s="1" t="str">
        <f>IFERROR(__xludf.DUMMYFUNCTION("""COMPUTED_VALUE"""),"NEW CONNECT")</f>
        <v>NEW CONNECT</v>
      </c>
      <c r="AA1051" s="1">
        <f>IFERROR(__xludf.DUMMYFUNCTION("""COMPUTED_VALUE"""),639454502233)</f>
        <v>639454502233</v>
      </c>
      <c r="AB1051" s="1">
        <f>IFERROR(__xludf.DUMMYFUNCTION("""COMPUTED_VALUE"""),639241647623)</f>
        <v>639241647623</v>
      </c>
      <c r="AC1051" s="1">
        <f>IFERROR(__xludf.DUMMYFUNCTION("""COMPUTED_VALUE"""),9150)</f>
        <v>9150</v>
      </c>
      <c r="AD1051" s="1" t="str">
        <f>IFERROR(__xludf.DUMMYFUNCTION("""COMPUTED_VALUE"""),"F BELEN")</f>
        <v>F BELEN</v>
      </c>
      <c r="AE1051" s="1" t="str">
        <f>IFERROR(__xludf.DUMMYFUNCTION("""COMPUTED_VALUE"""),"PUROK 4")</f>
        <v>PUROK 4</v>
      </c>
      <c r="AF1051" s="1" t="str">
        <f>IFERROR(__xludf.DUMMYFUNCTION("""COMPUTED_VALUE"""),"BGY BATAS")</f>
        <v>BGY BATAS</v>
      </c>
      <c r="AG1051" s="1" t="str">
        <f>IFERROR(__xludf.DUMMYFUNCTION("""COMPUTED_VALUE"""),"SILANG")</f>
        <v>SILANG</v>
      </c>
      <c r="AH1051" s="1" t="str">
        <f>IFERROR(__xludf.DUMMYFUNCTION("""COMPUTED_VALUE"""),"FEU")</f>
        <v>FEU</v>
      </c>
      <c r="AI1051" s="1" t="str">
        <f>IFERROR(__xludf.DUMMYFUNCTION("""COMPUTED_VALUE"""),"CLUSTER 11")</f>
        <v>CLUSTER 11</v>
      </c>
    </row>
    <row r="1052" customHeight="1" spans="1:35">
      <c r="A1052" s="3">
        <f>IFERROR(__xludf.DUMMYFUNCTION("""COMPUTED_VALUE"""),46309)</f>
        <v>46309</v>
      </c>
      <c r="B1052" s="1" t="str">
        <f>IFERROR(__xludf.DUMMYFUNCTION("""COMPUTED_VALUE"""),"CHRISTOPHER HORMILLOSA LIPAT")</f>
        <v>CHRISTOPHER HORMILLOSA LIPAT</v>
      </c>
      <c r="C1052" s="1">
        <f>IFERROR(__xludf.DUMMYFUNCTION("""COMPUTED_VALUE"""),2313157849)</f>
        <v>2313157849</v>
      </c>
      <c r="D1052" s="1">
        <f>IFERROR(__xludf.DUMMYFUNCTION("""COMPUTED_VALUE"""),408977819)</f>
        <v>408977819</v>
      </c>
      <c r="E1052" s="1">
        <f>IFERROR(__xludf.DUMMYFUNCTION("""COMPUTED_VALUE"""),475552442004)</f>
        <v>475552442004</v>
      </c>
      <c r="F1052" s="1" t="str">
        <f>IFERROR(__xludf.DUMMYFUNCTION("""COMPUTED_VALUE"""),"CLOSED")</f>
        <v>CLOSED</v>
      </c>
      <c r="G1052" s="1" t="str">
        <f>IFERROR(__xludf.DUMMYFUNCTION("""COMPUTED_VALUE"""),"CLOSED")</f>
        <v>CLOSED</v>
      </c>
      <c r="H1052" s="1"/>
      <c r="I1052" s="1" t="str">
        <f>IFERROR(__xludf.DUMMYFUNCTION("""COMPUTED_VALUE"""),"NO 1 AMSF")</f>
        <v>NO 1 AMSF</v>
      </c>
      <c r="J1052" s="1" t="str">
        <f>IFERROR(__xludf.DUMMYFUNCTION("""COMPUTED_VALUE"""),"DUE DATE - 11-Nov-26 - 1,538.90")</f>
        <v>DUE DATE - 11-Nov-26 - 1,538.90</v>
      </c>
      <c r="K1052" s="1" t="str">
        <f>IFERROR(__xludf.DUMMYFUNCTION("""COMPUTED_VALUE"""),"COMPLETED")</f>
        <v>COMPLETED</v>
      </c>
      <c r="L1052" s="1" t="str">
        <f>IFERROR(__xludf.DUMMYFUNCTION("""COMPUTED_VALUE"""),"POSTED")</f>
        <v>POSTED</v>
      </c>
      <c r="M1052" s="1" t="str">
        <f>IFERROR(__xludf.DUMMYFUNCTION("""COMPUTED_VALUE"""),"POSTED")</f>
        <v>POSTED</v>
      </c>
      <c r="N1052" s="3">
        <f>IFERROR(__xludf.DUMMYFUNCTION("""COMPUTED_VALUE"""),46311)</f>
        <v>46311</v>
      </c>
      <c r="O1052" s="1" t="str">
        <f>IFERROR(__xludf.DUMMYFUNCTION("""COMPUTED_VALUE"""),"FIBER UNLI PLAN 1399")</f>
        <v>FIBER UNLI PLAN 1399</v>
      </c>
      <c r="P1052" s="1" t="str">
        <f>IFERROR(__xludf.DUMMYFUNCTION("""COMPUTED_VALUE"""),"LOWPLAN")</f>
        <v>LOWPLAN</v>
      </c>
      <c r="Q1052" s="1" t="str">
        <f>IFERROR(__xludf.DUMMYFUNCTION("""COMPUTED_VALUE"""),"P407047")</f>
        <v>P407047</v>
      </c>
      <c r="R1052" s="1" t="str">
        <f>IFERROR(__xludf.DUMMYFUNCTION("""COMPUTED_VALUE"""),"FRANCISCO, ROSELYN")</f>
        <v>FRANCISCO, ROSELYN</v>
      </c>
      <c r="S1052" s="1" t="str">
        <f>IFERROR(__xludf.DUMMYFUNCTION("""COMPUTED_VALUE"""),"ORGANIC")</f>
        <v>ORGANIC</v>
      </c>
      <c r="T1052" s="1" t="str">
        <f>IFERROR(__xludf.DUMMYFUNCTION("""COMPUTED_VALUE"""),"LEA REMOLLO")</f>
        <v>LEA REMOLLO</v>
      </c>
      <c r="U1052" s="1" t="str">
        <f>IFERROR(__xludf.DUMMYFUNCTION("""COMPUTED_VALUE"""),"JB SALIOA")</f>
        <v>JB SALIOA</v>
      </c>
      <c r="V1052" s="1" t="str">
        <f>IFERROR(__xludf.DUMMYFUNCTION("""COMPUTED_VALUE"""),"BK HSTK")</f>
        <v>BK HSTK</v>
      </c>
      <c r="W1052" s="1" t="str">
        <f>IFERROR(__xludf.DUMMYFUNCTION("""COMPUTED_VALUE"""),"BK HSTK")</f>
        <v>BK HSTK</v>
      </c>
      <c r="X1052" s="1" t="str">
        <f>IFERROR(__xludf.DUMMYFUNCTION("""COMPUTED_VALUE"""),"FIBER 1399 98TH YR")</f>
        <v>FIBER 1399 98TH YR</v>
      </c>
      <c r="Y1052" s="1" t="str">
        <f>IFERROR(__xludf.DUMMYFUNCTION("""COMPUTED_VALUE"""),"BK_CVEU_261006")</f>
        <v>BK_CVEU_261006</v>
      </c>
      <c r="Z1052" s="1" t="str">
        <f>IFERROR(__xludf.DUMMYFUNCTION("""COMPUTED_VALUE"""),"NEW CONNECT")</f>
        <v>NEW CONNECT</v>
      </c>
      <c r="AA1052" s="1">
        <f>IFERROR(__xludf.DUMMYFUNCTION("""COMPUTED_VALUE"""),639750933934)</f>
        <v>639750933934</v>
      </c>
      <c r="AB1052" s="1"/>
      <c r="AC1052" s="1">
        <f>IFERROR(__xludf.DUMMYFUNCTION("""COMPUTED_VALUE"""),6)</f>
        <v>6</v>
      </c>
      <c r="AD1052" s="1" t="str">
        <f>IFERROR(__xludf.DUMMYFUNCTION("""COMPUTED_VALUE"""),"PUROK 5")</f>
        <v>PUROK 5</v>
      </c>
      <c r="AE1052" s="1"/>
      <c r="AF1052" s="1" t="str">
        <f>IFERROR(__xludf.DUMMYFUNCTION("""COMPUTED_VALUE"""),"BGY LUMIL")</f>
        <v>BGY LUMIL</v>
      </c>
      <c r="AG1052" s="1" t="str">
        <f>IFERROR(__xludf.DUMMYFUNCTION("""COMPUTED_VALUE"""),"SILANG")</f>
        <v>SILANG</v>
      </c>
      <c r="AH1052" s="1" t="str">
        <f>IFERROR(__xludf.DUMMYFUNCTION("""COMPUTED_VALUE"""),"-")</f>
        <v>-</v>
      </c>
      <c r="AI1052" s="1" t="str">
        <f>IFERROR(__xludf.DUMMYFUNCTION("""COMPUTED_VALUE"""),"CLUSTER 11")</f>
        <v>CLUSTER 11</v>
      </c>
    </row>
    <row r="1053" customHeight="1" spans="1:35">
      <c r="A1053" s="3">
        <f>IFERROR(__xludf.DUMMYFUNCTION("""COMPUTED_VALUE"""),46309)</f>
        <v>46309</v>
      </c>
      <c r="B1053" s="1" t="str">
        <f>IFERROR(__xludf.DUMMYFUNCTION("""COMPUTED_VALUE"""),"CHARIE ANN ALBANO PAZ")</f>
        <v>CHARIE ANN ALBANO PAZ</v>
      </c>
      <c r="C1053" s="1">
        <f>IFERROR(__xludf.DUMMYFUNCTION("""COMPUTED_VALUE"""),2313158206)</f>
        <v>2313158206</v>
      </c>
      <c r="D1053" s="1">
        <f>IFERROR(__xludf.DUMMYFUNCTION("""COMPUTED_VALUE"""),408979021)</f>
        <v>408979021</v>
      </c>
      <c r="E1053" s="1">
        <f>IFERROR(__xludf.DUMMYFUNCTION("""COMPUTED_VALUE"""),475552252004)</f>
        <v>475552252004</v>
      </c>
      <c r="F1053" s="1" t="str">
        <f>IFERROR(__xludf.DUMMYFUNCTION("""COMPUTED_VALUE"""),"FOR CANCELLATION")</f>
        <v>FOR CANCELLATION</v>
      </c>
      <c r="G1053" s="1" t="str">
        <f>IFERROR(__xludf.DUMMYFUNCTION("""COMPUTED_VALUE"""),"FOR CANCELLATION DUE TO WRONG PLAN TAGGED")</f>
        <v>FOR CANCELLATION DUE TO WRONG PLAN TAGGED</v>
      </c>
      <c r="H1053" s="1"/>
      <c r="I1053" s="1"/>
      <c r="J1053" s="1"/>
      <c r="K1053" s="1" t="str">
        <f>IFERROR(__xludf.DUMMYFUNCTION("""COMPUTED_VALUE"""),"NOT IN OFSC")</f>
        <v>NOT IN OFSC</v>
      </c>
      <c r="L1053" s="1" t="str">
        <f>IFERROR(__xludf.DUMMYFUNCTION("""COMPUTED_VALUE"""),"FOR CANCELLATION")</f>
        <v>FOR CANCELLATION</v>
      </c>
      <c r="M1053" s="1" t="str">
        <f>IFERROR(__xludf.DUMMYFUNCTION("""COMPUTED_VALUE"""),"FOR CANCELLATION - WRONG PLAN TAGGED")</f>
        <v>FOR CANCELLATION - WRONG PLAN TAGGED</v>
      </c>
      <c r="N1053" s="3"/>
      <c r="O1053" s="1" t="str">
        <f>IFERROR(__xludf.DUMMYFUNCTION("""COMPUTED_VALUE"""),"FIBER UNLI PLAN 1399")</f>
        <v>FIBER UNLI PLAN 1399</v>
      </c>
      <c r="P1053" s="1" t="str">
        <f>IFERROR(__xludf.DUMMYFUNCTION("""COMPUTED_VALUE"""),"LOWPLAN")</f>
        <v>LOWPLAN</v>
      </c>
      <c r="Q1053" s="1" t="str">
        <f>IFERROR(__xludf.DUMMYFUNCTION("""COMPUTED_VALUE"""),"P407564")</f>
        <v>P407564</v>
      </c>
      <c r="R1053" s="1" t="str">
        <f>IFERROR(__xludf.DUMMYFUNCTION("""COMPUTED_VALUE"""),"ARENA, LYKA")</f>
        <v>ARENA, LYKA</v>
      </c>
      <c r="S1053" s="1" t="str">
        <f>IFERROR(__xludf.DUMMYFUNCTION("""COMPUTED_VALUE"""),"ORGANIC")</f>
        <v>ORGANIC</v>
      </c>
      <c r="T1053" s="1" t="str">
        <f>IFERROR(__xludf.DUMMYFUNCTION("""COMPUTED_VALUE"""),"LEA REMOLLO")</f>
        <v>LEA REMOLLO</v>
      </c>
      <c r="U1053" s="1" t="str">
        <f>IFERROR(__xludf.DUMMYFUNCTION("""COMPUTED_VALUE"""),"JB SALIOA")</f>
        <v>JB SALIOA</v>
      </c>
      <c r="V1053" s="1" t="str">
        <f>IFERROR(__xludf.DUMMYFUNCTION("""COMPUTED_VALUE"""),"BK HSTK")</f>
        <v>BK HSTK</v>
      </c>
      <c r="W1053" s="1" t="str">
        <f>IFERROR(__xludf.DUMMYFUNCTION("""COMPUTED_VALUE"""),"BK HSTK")</f>
        <v>BK HSTK</v>
      </c>
      <c r="X1053" s="1" t="str">
        <f>IFERROR(__xludf.DUMMYFUNCTION("""COMPUTED_VALUE"""),"FIBER 1399 98TH YR")</f>
        <v>FIBER 1399 98TH YR</v>
      </c>
      <c r="Y1053" s="1" t="str">
        <f>IFERROR(__xludf.DUMMYFUNCTION("""COMPUTED_VALUE"""),"BK_CVEU_261006")</f>
        <v>BK_CVEU_261006</v>
      </c>
      <c r="Z1053" s="1" t="str">
        <f>IFERROR(__xludf.DUMMYFUNCTION("""COMPUTED_VALUE"""),"NEW CONNECT")</f>
        <v>NEW CONNECT</v>
      </c>
      <c r="AA1053" s="1">
        <f>IFERROR(__xludf.DUMMYFUNCTION("""COMPUTED_VALUE"""),639171781816)</f>
        <v>639171781816</v>
      </c>
      <c r="AB1053" s="1"/>
      <c r="AC1053" s="1">
        <f>IFERROR(__xludf.DUMMYFUNCTION("""COMPUTED_VALUE"""),1)</f>
        <v>1</v>
      </c>
      <c r="AD1053" s="1" t="str">
        <f>IFERROR(__xludf.DUMMYFUNCTION("""COMPUTED_VALUE"""),"BAYLA")</f>
        <v>BAYLA</v>
      </c>
      <c r="AE1053" s="1" t="str">
        <f>IFERROR(__xludf.DUMMYFUNCTION("""COMPUTED_VALUE"""),"PUROK 5")</f>
        <v>PUROK 5</v>
      </c>
      <c r="AF1053" s="1" t="str">
        <f>IFERROR(__xludf.DUMMYFUNCTION("""COMPUTED_VALUE"""),"BGY LUMIL")</f>
        <v>BGY LUMIL</v>
      </c>
      <c r="AG1053" s="1" t="str">
        <f>IFERROR(__xludf.DUMMYFUNCTION("""COMPUTED_VALUE"""),"SILANG")</f>
        <v>SILANG</v>
      </c>
      <c r="AH1053" s="1" t="str">
        <f>IFERROR(__xludf.DUMMYFUNCTION("""COMPUTED_VALUE"""),"CALTEX LUMIL")</f>
        <v>CALTEX LUMIL</v>
      </c>
      <c r="AI1053" s="1" t="str">
        <f>IFERROR(__xludf.DUMMYFUNCTION("""COMPUTED_VALUE"""),"CLUSTER 11")</f>
        <v>CLUSTER 11</v>
      </c>
    </row>
    <row r="1054" customHeight="1" spans="1:35">
      <c r="A1054" s="3">
        <f>IFERROR(__xludf.DUMMYFUNCTION("""COMPUTED_VALUE"""),46309)</f>
        <v>46309</v>
      </c>
      <c r="B1054" s="1" t="str">
        <f>IFERROR(__xludf.DUMMYFUNCTION("""COMPUTED_VALUE"""),"CHARIE ANN ALBANO PAZ")</f>
        <v>CHARIE ANN ALBANO PAZ</v>
      </c>
      <c r="C1054" s="1">
        <f>IFERROR(__xludf.DUMMYFUNCTION("""COMPUTED_VALUE"""),2313158579)</f>
        <v>2313158579</v>
      </c>
      <c r="D1054" s="1"/>
      <c r="E1054" s="1"/>
      <c r="F1054" s="1" t="str">
        <f>IFERROR(__xludf.DUMMYFUNCTION("""COMPUTED_VALUE"""),"CANCELLED")</f>
        <v>CANCELLED</v>
      </c>
      <c r="G1054" s="1" t="str">
        <f>IFERROR(__xludf.DUMMYFUNCTION("""COMPUTED_VALUE"""),"(WITH PENDING APPLICATION ALREADY; CANCELLED THE NEW APPLICATION) II - SEGMENT 15 - HIGH RISK")</f>
        <v>(WITH PENDING APPLICATION ALREADY; CANCELLED THE NEW APPLICATION) II - SEGMENT 15 - HIGH RISK</v>
      </c>
      <c r="H1054" s="1"/>
      <c r="I1054" s="1"/>
      <c r="J1054" s="1"/>
      <c r="K1054" s="1"/>
      <c r="L1054" s="1" t="str">
        <f>IFERROR(__xludf.DUMMYFUNCTION("""COMPUTED_VALUE"""),"CANCELLED")</f>
        <v>CANCELLED</v>
      </c>
      <c r="M1054" s="1" t="str">
        <f>IFERROR(__xludf.DUMMYFUNCTION("""COMPUTED_VALUE"""),"CANCELLED - WITH EXISTING SR")</f>
        <v>CANCELLED - WITH EXISTING SR</v>
      </c>
      <c r="N1054" s="3"/>
      <c r="O1054" s="1" t="str">
        <f>IFERROR(__xludf.DUMMYFUNCTION("""COMPUTED_VALUE"""),"FIBER UNLI ALL PLAN 1499")</f>
        <v>FIBER UNLI ALL PLAN 1499</v>
      </c>
      <c r="P1054" s="1" t="str">
        <f>IFERROR(__xludf.DUMMYFUNCTION("""COMPUTED_VALUE"""),"LOWPLAN")</f>
        <v>LOWPLAN</v>
      </c>
      <c r="Q1054" s="1" t="str">
        <f>IFERROR(__xludf.DUMMYFUNCTION("""COMPUTED_VALUE"""),"P407564")</f>
        <v>P407564</v>
      </c>
      <c r="R1054" s="1" t="str">
        <f>IFERROR(__xludf.DUMMYFUNCTION("""COMPUTED_VALUE"""),"ARENA, LYKA")</f>
        <v>ARENA, LYKA</v>
      </c>
      <c r="S1054" s="1" t="str">
        <f>IFERROR(__xludf.DUMMYFUNCTION("""COMPUTED_VALUE"""),"ORGANIC")</f>
        <v>ORGANIC</v>
      </c>
      <c r="T1054" s="1" t="str">
        <f>IFERROR(__xludf.DUMMYFUNCTION("""COMPUTED_VALUE"""),"LEA REMOLLO")</f>
        <v>LEA REMOLLO</v>
      </c>
      <c r="U1054" s="1" t="str">
        <f>IFERROR(__xludf.DUMMYFUNCTION("""COMPUTED_VALUE"""),"JB SALIOA")</f>
        <v>JB SALIOA</v>
      </c>
      <c r="V1054" s="1" t="str">
        <f>IFERROR(__xludf.DUMMYFUNCTION("""COMPUTED_VALUE"""),"BK HSTK")</f>
        <v>BK HSTK</v>
      </c>
      <c r="W1054" s="1" t="str">
        <f>IFERROR(__xludf.DUMMYFUNCTION("""COMPUTED_VALUE"""),"BK HSTK")</f>
        <v>BK HSTK</v>
      </c>
      <c r="X1054" s="1" t="str">
        <f>IFERROR(__xludf.DUMMYFUNCTION("""COMPUTED_VALUE"""),"REGULAR")</f>
        <v>REGULAR</v>
      </c>
      <c r="Y1054" s="1" t="str">
        <f>IFERROR(__xludf.DUMMYFUNCTION("""COMPUTED_VALUE"""),"BK_CVEU_261006")</f>
        <v>BK_CVEU_261006</v>
      </c>
      <c r="Z1054" s="1" t="str">
        <f>IFERROR(__xludf.DUMMYFUNCTION("""COMPUTED_VALUE"""),"NEW CONNECT")</f>
        <v>NEW CONNECT</v>
      </c>
      <c r="AA1054" s="1">
        <f>IFERROR(__xludf.DUMMYFUNCTION("""COMPUTED_VALUE"""),639171781816)</f>
        <v>639171781816</v>
      </c>
      <c r="AB1054" s="1"/>
      <c r="AC1054" s="1"/>
      <c r="AD1054" s="1" t="str">
        <f>IFERROR(__xludf.DUMMYFUNCTION("""COMPUTED_VALUE"""),"BAYLA")</f>
        <v>BAYLA</v>
      </c>
      <c r="AE1054" s="1" t="str">
        <f>IFERROR(__xludf.DUMMYFUNCTION("""COMPUTED_VALUE"""),"PUROK 5")</f>
        <v>PUROK 5</v>
      </c>
      <c r="AF1054" s="1" t="str">
        <f>IFERROR(__xludf.DUMMYFUNCTION("""COMPUTED_VALUE"""),"BGY LUMIL")</f>
        <v>BGY LUMIL</v>
      </c>
      <c r="AG1054" s="1" t="str">
        <f>IFERROR(__xludf.DUMMYFUNCTION("""COMPUTED_VALUE"""),"SILANG")</f>
        <v>SILANG</v>
      </c>
      <c r="AH1054" s="1" t="str">
        <f>IFERROR(__xludf.DUMMYFUNCTION("""COMPUTED_VALUE"""),"CALTEX LUMIL")</f>
        <v>CALTEX LUMIL</v>
      </c>
      <c r="AI1054" s="1" t="str">
        <f>IFERROR(__xludf.DUMMYFUNCTION("""COMPUTED_VALUE"""),"CLUSTER 11")</f>
        <v>CLUSTER 11</v>
      </c>
    </row>
    <row r="1055" customHeight="1" spans="1:35">
      <c r="A1055" s="3">
        <f>IFERROR(__xludf.DUMMYFUNCTION("""COMPUTED_VALUE"""),46309)</f>
        <v>46309</v>
      </c>
      <c r="B1055" s="1" t="str">
        <f>IFERROR(__xludf.DUMMYFUNCTION("""COMPUTED_VALUE"""),"DANIELLA HOLANDA BANARES")</f>
        <v>DANIELLA HOLANDA BANARES</v>
      </c>
      <c r="C1055" s="1">
        <f>IFERROR(__xludf.DUMMYFUNCTION("""COMPUTED_VALUE"""),2313159204)</f>
        <v>2313159204</v>
      </c>
      <c r="D1055" s="1"/>
      <c r="E1055" s="1"/>
      <c r="F1055" s="1" t="str">
        <f>IFERROR(__xludf.DUMMYFUNCTION("""COMPUTED_VALUE"""),"CANCELLED")</f>
        <v>CANCELLED</v>
      </c>
      <c r="G1055" s="1" t="str">
        <f>IFERROR(__xludf.DUMMYFUNCTION("""COMPUTED_VALUE"""),"CANCELLED")</f>
        <v>CANCELLED</v>
      </c>
      <c r="H1055" s="1"/>
      <c r="I1055" s="1"/>
      <c r="J1055" s="1"/>
      <c r="K1055" s="1"/>
      <c r="L1055" s="1" t="str">
        <f>IFERROR(__xludf.DUMMYFUNCTION("""COMPUTED_VALUE"""),"CANCELLED")</f>
        <v>CANCELLED</v>
      </c>
      <c r="M1055" s="1" t="str">
        <f>IFERROR(__xludf.DUMMYFUNCTION("""COMPUTED_VALUE"""),"CANCELLED - WITH OB")</f>
        <v>CANCELLED - WITH OB</v>
      </c>
      <c r="N1055" s="3"/>
      <c r="O1055" s="1" t="str">
        <f>IFERROR(__xludf.DUMMYFUNCTION("""COMPUTED_VALUE"""),"FIBR PLAN 2099")</f>
        <v>FIBR PLAN 2099</v>
      </c>
      <c r="P1055" s="1" t="str">
        <f>IFERROR(__xludf.DUMMYFUNCTION("""COMPUTED_VALUE"""),"HIGHPLAN")</f>
        <v>HIGHPLAN</v>
      </c>
      <c r="Q1055" s="1" t="str">
        <f>IFERROR(__xludf.DUMMYFUNCTION("""COMPUTED_VALUE"""),"P407566")</f>
        <v>P407566</v>
      </c>
      <c r="R1055" s="1" t="str">
        <f>IFERROR(__xludf.DUMMYFUNCTION("""COMPUTED_VALUE"""),"DENACO, RODNEY")</f>
        <v>DENACO, RODNEY</v>
      </c>
      <c r="S1055" s="1" t="str">
        <f>IFERROR(__xludf.DUMMYFUNCTION("""COMPUTED_VALUE"""),"ORGANIC")</f>
        <v>ORGANIC</v>
      </c>
      <c r="T1055" s="1" t="str">
        <f>IFERROR(__xludf.DUMMYFUNCTION("""COMPUTED_VALUE"""),"LEA REMOLLO")</f>
        <v>LEA REMOLLO</v>
      </c>
      <c r="U1055" s="1" t="str">
        <f>IFERROR(__xludf.DUMMYFUNCTION("""COMPUTED_VALUE"""),"JB SALIOA")</f>
        <v>JB SALIOA</v>
      </c>
      <c r="V1055" s="1" t="str">
        <f>IFERROR(__xludf.DUMMYFUNCTION("""COMPUTED_VALUE"""),"ONLINE/CRANFORD")</f>
        <v>ONLINE/CRANFORD</v>
      </c>
      <c r="W1055" s="1" t="str">
        <f>IFERROR(__xludf.DUMMYFUNCTION("""COMPUTED_VALUE"""),"STK REGULAR")</f>
        <v>STK REGULAR</v>
      </c>
      <c r="X1055" s="1" t="str">
        <f>IFERROR(__xludf.DUMMYFUNCTION("""COMPUTED_VALUE"""),"REGULAR")</f>
        <v>REGULAR</v>
      </c>
      <c r="Y1055" s="1" t="str">
        <f>IFERROR(__xludf.DUMMYFUNCTION("""COMPUTED_VALUE"""),"RS_ONL_CVEU_2026")</f>
        <v>RS_ONL_CVEU_2026</v>
      </c>
      <c r="Z1055" s="1" t="str">
        <f>IFERROR(__xludf.DUMMYFUNCTION("""COMPUTED_VALUE"""),"NEW CONNECT")</f>
        <v>NEW CONNECT</v>
      </c>
      <c r="AA1055" s="1">
        <f>IFERROR(__xludf.DUMMYFUNCTION("""COMPUTED_VALUE"""),639603048896)</f>
        <v>639603048896</v>
      </c>
      <c r="AB1055" s="1"/>
      <c r="AC1055" s="1"/>
      <c r="AD1055" s="1" t="str">
        <f>IFERROR(__xludf.DUMMYFUNCTION("""COMPUTED_VALUE"""),"EXCESS LOT")</f>
        <v>EXCESS LOT</v>
      </c>
      <c r="AE1055" s="1" t="str">
        <f>IFERROR(__xludf.DUMMYFUNCTION("""COMPUTED_VALUE"""),"CITIYHOMES RESORTVILLE R5")</f>
        <v>CITIYHOMES RESORTVILLE R5</v>
      </c>
      <c r="AF1055" s="1" t="str">
        <f>IFERROR(__xludf.DUMMYFUNCTION("""COMPUTED_VALUE"""),"BGY LANGKAAN 2")</f>
        <v>BGY LANGKAAN 2</v>
      </c>
      <c r="AG1055" s="1" t="str">
        <f>IFERROR(__xludf.DUMMYFUNCTION("""COMPUTED_VALUE"""),"DASMARINAS")</f>
        <v>DASMARINAS</v>
      </c>
      <c r="AH1055" s="1" t="str">
        <f>IFERROR(__xludf.DUMMYFUNCTION("""COMPUTED_VALUE"""),"-")</f>
        <v>-</v>
      </c>
      <c r="AI1055" s="1" t="str">
        <f>IFERROR(__xludf.DUMMYFUNCTION("""COMPUTED_VALUE"""),"NOT AOR")</f>
        <v>NOT AOR</v>
      </c>
    </row>
    <row r="1056" customHeight="1" spans="1:35">
      <c r="A1056" s="3">
        <f>IFERROR(__xludf.DUMMYFUNCTION("""COMPUTED_VALUE"""),46309)</f>
        <v>46309</v>
      </c>
      <c r="B1056" s="1" t="str">
        <f>IFERROR(__xludf.DUMMYFUNCTION("""COMPUTED_VALUE"""),"MIGUELITO SUMADSAD AMON")</f>
        <v>MIGUELITO SUMADSAD AMON</v>
      </c>
      <c r="C1056" s="1">
        <f>IFERROR(__xludf.DUMMYFUNCTION("""COMPUTED_VALUE"""),2313157987)</f>
        <v>2313157987</v>
      </c>
      <c r="D1056" s="1"/>
      <c r="E1056" s="1"/>
      <c r="F1056" s="1" t="str">
        <f>IFERROR(__xludf.DUMMYFUNCTION("""COMPUTED_VALUE"""),"CANCELLED")</f>
        <v>CANCELLED</v>
      </c>
      <c r="G1056" s="1" t="str">
        <f>IFERROR(__xludf.DUMMYFUNCTION("""COMPUTED_VALUE"""),"CANCELLED")</f>
        <v>CANCELLED</v>
      </c>
      <c r="H1056" s="1"/>
      <c r="I1056" s="1"/>
      <c r="J1056" s="1"/>
      <c r="K1056" s="1"/>
      <c r="L1056" s="1" t="str">
        <f>IFERROR(__xludf.DUMMYFUNCTION("""COMPUTED_VALUE"""),"CANCELLED")</f>
        <v>CANCELLED</v>
      </c>
      <c r="M1056" s="1" t="str">
        <f>IFERROR(__xludf.DUMMYFUNCTION("""COMPUTED_VALUE"""),"CANCELLED - WITH OB")</f>
        <v>CANCELLED - WITH OB</v>
      </c>
      <c r="N1056" s="3"/>
      <c r="O1056" s="1" t="str">
        <f>IFERROR(__xludf.DUMMYFUNCTION("""COMPUTED_VALUE"""),"FIBR PLAN 1299")</f>
        <v>FIBR PLAN 1299</v>
      </c>
      <c r="P1056" s="1" t="str">
        <f>IFERROR(__xludf.DUMMYFUNCTION("""COMPUTED_VALUE"""),"LOWPLAN")</f>
        <v>LOWPLAN</v>
      </c>
      <c r="Q1056" s="1" t="str">
        <f>IFERROR(__xludf.DUMMYFUNCTION("""COMPUTED_VALUE"""),"P407569 ")</f>
        <v>P407569 </v>
      </c>
      <c r="R1056" s="1" t="str">
        <f>IFERROR(__xludf.DUMMYFUNCTION("""COMPUTED_VALUE"""),"ESPINOS, GEMMA LS")</f>
        <v>ESPINOS, GEMMA LS</v>
      </c>
      <c r="S1056" s="1" t="str">
        <f>IFERROR(__xludf.DUMMYFUNCTION("""COMPUTED_VALUE"""),"LEADSTORE")</f>
        <v>LEADSTORE</v>
      </c>
      <c r="T1056" s="1" t="str">
        <f>IFERROR(__xludf.DUMMYFUNCTION("""COMPUTED_VALUE"""),"JERIC NAVARRO")</f>
        <v>JERIC NAVARRO</v>
      </c>
      <c r="U1056" s="1" t="str">
        <f>IFERROR(__xludf.DUMMYFUNCTION("""COMPUTED_VALUE"""),"MARK MALIWAT")</f>
        <v>MARK MALIWAT</v>
      </c>
      <c r="V1056" s="1" t="str">
        <f>IFERROR(__xludf.DUMMYFUNCTION("""COMPUTED_VALUE"""),"H2H")</f>
        <v>H2H</v>
      </c>
      <c r="W1056" s="1" t="str">
        <f>IFERROR(__xludf.DUMMYFUNCTION("""COMPUTED_VALUE"""),"STK REGULAR")</f>
        <v>STK REGULAR</v>
      </c>
      <c r="X1056" s="1" t="str">
        <f>IFERROR(__xludf.DUMMYFUNCTION("""COMPUTED_VALUE"""),"REGULAR")</f>
        <v>REGULAR</v>
      </c>
      <c r="Y1056" s="1" t="str">
        <f>IFERROR(__xludf.DUMMYFUNCTION("""COMPUTED_VALUE"""),"BK_CVEU_261006")</f>
        <v>BK_CVEU_261006</v>
      </c>
      <c r="Z1056" s="1" t="str">
        <f>IFERROR(__xludf.DUMMYFUNCTION("""COMPUTED_VALUE"""),"NEW CONNECT")</f>
        <v>NEW CONNECT</v>
      </c>
      <c r="AA1056" s="1">
        <f>IFERROR(__xludf.DUMMYFUNCTION("""COMPUTED_VALUE"""),639367722900)</f>
        <v>639367722900</v>
      </c>
      <c r="AB1056" s="1"/>
      <c r="AC1056" s="1">
        <f>IFERROR(__xludf.DUMMYFUNCTION("""COMPUTED_VALUE"""),213)</f>
        <v>213</v>
      </c>
      <c r="AD1056" s="1" t="str">
        <f>IFERROR(__xludf.DUMMYFUNCTION("""COMPUTED_VALUE"""),"KARSADAHAN KANLURAN")</f>
        <v>KARSADAHAN KANLURAN</v>
      </c>
      <c r="AE1056" s="1"/>
      <c r="AF1056" s="1" t="str">
        <f>IFERROR(__xludf.DUMMYFUNCTION("""COMPUTED_VALUE"""),"BGY KAONG")</f>
        <v>BGY KAONG</v>
      </c>
      <c r="AG1056" s="1" t="str">
        <f>IFERROR(__xludf.DUMMYFUNCTION("""COMPUTED_VALUE"""),"SILANG")</f>
        <v>SILANG</v>
      </c>
      <c r="AH1056" s="1" t="str">
        <f>IFERROR(__xludf.DUMMYFUNCTION("""COMPUTED_VALUE"""),"7/11 / SAN ANTONIO ABAD CHURCH")</f>
        <v>7/11 / SAN ANTONIO ABAD CHURCH</v>
      </c>
      <c r="AI1056" s="1" t="str">
        <f>IFERROR(__xludf.DUMMYFUNCTION("""COMPUTED_VALUE"""),"CLUSTER 11")</f>
        <v>CLUSTER 11</v>
      </c>
    </row>
    <row r="1057" customHeight="1" spans="1:35">
      <c r="A1057" s="3">
        <f>IFERROR(__xludf.DUMMYFUNCTION("""COMPUTED_VALUE"""),46309)</f>
        <v>46309</v>
      </c>
      <c r="B1057" s="1" t="str">
        <f>IFERROR(__xludf.DUMMYFUNCTION("""COMPUTED_VALUE"""),"JAIME DOLOR POBLETE")</f>
        <v>JAIME DOLOR POBLETE</v>
      </c>
      <c r="C1057" s="1">
        <f>IFERROR(__xludf.DUMMYFUNCTION("""COMPUTED_VALUE"""),2313158356)</f>
        <v>2313158356</v>
      </c>
      <c r="D1057" s="1"/>
      <c r="E1057" s="1"/>
      <c r="F1057" s="1" t="str">
        <f>IFERROR(__xludf.DUMMYFUNCTION("""COMPUTED_VALUE"""),"CANCELLED")</f>
        <v>CANCELLED</v>
      </c>
      <c r="G1057" s="1" t="str">
        <f>IFERROR(__xludf.DUMMYFUNCTION("""COMPUTED_VALUE"""),"CANCELLED")</f>
        <v>CANCELLED</v>
      </c>
      <c r="H1057" s="1"/>
      <c r="I1057" s="1"/>
      <c r="J1057" s="1"/>
      <c r="K1057" s="1"/>
      <c r="L1057" s="1" t="str">
        <f>IFERROR(__xludf.DUMMYFUNCTION("""COMPUTED_VALUE"""),"CANCELLED")</f>
        <v>CANCELLED</v>
      </c>
      <c r="M1057" s="1" t="str">
        <f>IFERROR(__xludf.DUMMYFUNCTION("""COMPUTED_VALUE"""),"CANCELLED - WITH OB")</f>
        <v>CANCELLED - WITH OB</v>
      </c>
      <c r="N1057" s="3"/>
      <c r="O1057" s="1" t="str">
        <f>IFERROR(__xludf.DUMMYFUNCTION("""COMPUTED_VALUE"""),"FIBR PLAN 1299")</f>
        <v>FIBR PLAN 1299</v>
      </c>
      <c r="P1057" s="1" t="str">
        <f>IFERROR(__xludf.DUMMYFUNCTION("""COMPUTED_VALUE"""),"LOWPLAN")</f>
        <v>LOWPLAN</v>
      </c>
      <c r="Q1057" s="1" t="str">
        <f>IFERROR(__xludf.DUMMYFUNCTION("""COMPUTED_VALUE"""),"P407569 ")</f>
        <v>P407569 </v>
      </c>
      <c r="R1057" s="1" t="str">
        <f>IFERROR(__xludf.DUMMYFUNCTION("""COMPUTED_VALUE"""),"ESPINOS, GEMMA LS")</f>
        <v>ESPINOS, GEMMA LS</v>
      </c>
      <c r="S1057" s="1" t="str">
        <f>IFERROR(__xludf.DUMMYFUNCTION("""COMPUTED_VALUE"""),"LEADSTORE")</f>
        <v>LEADSTORE</v>
      </c>
      <c r="T1057" s="1" t="str">
        <f>IFERROR(__xludf.DUMMYFUNCTION("""COMPUTED_VALUE"""),"JERIC NAVARRO")</f>
        <v>JERIC NAVARRO</v>
      </c>
      <c r="U1057" s="1" t="str">
        <f>IFERROR(__xludf.DUMMYFUNCTION("""COMPUTED_VALUE"""),"MARK MALIWAT")</f>
        <v>MARK MALIWAT</v>
      </c>
      <c r="V1057" s="1" t="str">
        <f>IFERROR(__xludf.DUMMYFUNCTION("""COMPUTED_VALUE"""),"H2H")</f>
        <v>H2H</v>
      </c>
      <c r="W1057" s="1" t="str">
        <f>IFERROR(__xludf.DUMMYFUNCTION("""COMPUTED_VALUE"""),"STK REGULAR")</f>
        <v>STK REGULAR</v>
      </c>
      <c r="X1057" s="1" t="str">
        <f>IFERROR(__xludf.DUMMYFUNCTION("""COMPUTED_VALUE"""),"REGULAR")</f>
        <v>REGULAR</v>
      </c>
      <c r="Y1057" s="1" t="str">
        <f>IFERROR(__xludf.DUMMYFUNCTION("""COMPUTED_VALUE"""),"BK_CVEU_261006")</f>
        <v>BK_CVEU_261006</v>
      </c>
      <c r="Z1057" s="1" t="str">
        <f>IFERROR(__xludf.DUMMYFUNCTION("""COMPUTED_VALUE"""),"NEW CONNECT")</f>
        <v>NEW CONNECT</v>
      </c>
      <c r="AA1057" s="1">
        <f>IFERROR(__xludf.DUMMYFUNCTION("""COMPUTED_VALUE"""),639217832096)</f>
        <v>639217832096</v>
      </c>
      <c r="AB1057" s="1"/>
      <c r="AC1057" s="1">
        <f>IFERROR(__xludf.DUMMYFUNCTION("""COMPUTED_VALUE"""),3)</f>
        <v>3</v>
      </c>
      <c r="AD1057" s="1" t="str">
        <f>IFERROR(__xludf.DUMMYFUNCTION("""COMPUTED_VALUE"""),"KARSADAHAN SILANGAN")</f>
        <v>KARSADAHAN SILANGAN</v>
      </c>
      <c r="AE1057" s="1"/>
      <c r="AF1057" s="1" t="str">
        <f>IFERROR(__xludf.DUMMYFUNCTION("""COMPUTED_VALUE"""),"BGY KAONG")</f>
        <v>BGY KAONG</v>
      </c>
      <c r="AG1057" s="1" t="str">
        <f>IFERROR(__xludf.DUMMYFUNCTION("""COMPUTED_VALUE"""),"SILANG")</f>
        <v>SILANG</v>
      </c>
      <c r="AH1057" s="1" t="str">
        <f>IFERROR(__xludf.DUMMYFUNCTION("""COMPUTED_VALUE"""),"INFRONT OF BRGY HALL // SILLP569NP4 // 14.244738 120.998319")</f>
        <v>INFRONT OF BRGY HALL // SILLP569NP4 // 14.244738 120.998319</v>
      </c>
      <c r="AI1057" s="1" t="str">
        <f>IFERROR(__xludf.DUMMYFUNCTION("""COMPUTED_VALUE"""),"CLUSTER 11")</f>
        <v>CLUSTER 11</v>
      </c>
    </row>
    <row r="1058" customHeight="1" spans="1:35">
      <c r="A1058" s="3">
        <f>IFERROR(__xludf.DUMMYFUNCTION("""COMPUTED_VALUE"""),46309)</f>
        <v>46309</v>
      </c>
      <c r="B1058" s="1" t="str">
        <f>IFERROR(__xludf.DUMMYFUNCTION("""COMPUTED_VALUE"""),"GABRIEL VARONA MOQUIA")</f>
        <v>GABRIEL VARONA MOQUIA</v>
      </c>
      <c r="C1058" s="1">
        <f>IFERROR(__xludf.DUMMYFUNCTION("""COMPUTED_VALUE"""),2313158639)</f>
        <v>2313158639</v>
      </c>
      <c r="D1058" s="1"/>
      <c r="E1058" s="1"/>
      <c r="F1058" s="1" t="str">
        <f>IFERROR(__xludf.DUMMYFUNCTION("""COMPUTED_VALUE"""),"CANCELLED")</f>
        <v>CANCELLED</v>
      </c>
      <c r="G1058" s="1" t="str">
        <f>IFERROR(__xludf.DUMMYFUNCTION("""COMPUTED_VALUE"""),"CANCELLED")</f>
        <v>CANCELLED</v>
      </c>
      <c r="H1058" s="1"/>
      <c r="I1058" s="1"/>
      <c r="J1058" s="1"/>
      <c r="K1058" s="1"/>
      <c r="L1058" s="1" t="str">
        <f>IFERROR(__xludf.DUMMYFUNCTION("""COMPUTED_VALUE"""),"CANCELLED")</f>
        <v>CANCELLED</v>
      </c>
      <c r="M1058" s="1" t="str">
        <f>IFERROR(__xludf.DUMMYFUNCTION("""COMPUTED_VALUE"""),"CANCELLED - WITH OB")</f>
        <v>CANCELLED - WITH OB</v>
      </c>
      <c r="N1058" s="3"/>
      <c r="O1058" s="1" t="str">
        <f>IFERROR(__xludf.DUMMYFUNCTION("""COMPUTED_VALUE"""),"FIBR PLAN 1299")</f>
        <v>FIBR PLAN 1299</v>
      </c>
      <c r="P1058" s="1" t="str">
        <f>IFERROR(__xludf.DUMMYFUNCTION("""COMPUTED_VALUE"""),"LOWPLAN")</f>
        <v>LOWPLAN</v>
      </c>
      <c r="Q1058" s="1" t="str">
        <f>IFERROR(__xludf.DUMMYFUNCTION("""COMPUTED_VALUE"""),"P407569 ")</f>
        <v>P407569 </v>
      </c>
      <c r="R1058" s="1" t="str">
        <f>IFERROR(__xludf.DUMMYFUNCTION("""COMPUTED_VALUE"""),"ESPINOS, GEMMA LS")</f>
        <v>ESPINOS, GEMMA LS</v>
      </c>
      <c r="S1058" s="1" t="str">
        <f>IFERROR(__xludf.DUMMYFUNCTION("""COMPUTED_VALUE"""),"LEADSTORE")</f>
        <v>LEADSTORE</v>
      </c>
      <c r="T1058" s="1" t="str">
        <f>IFERROR(__xludf.DUMMYFUNCTION("""COMPUTED_VALUE"""),"JERIC NAVARRO")</f>
        <v>JERIC NAVARRO</v>
      </c>
      <c r="U1058" s="1" t="str">
        <f>IFERROR(__xludf.DUMMYFUNCTION("""COMPUTED_VALUE"""),"MARK MALIWAT")</f>
        <v>MARK MALIWAT</v>
      </c>
      <c r="V1058" s="1" t="str">
        <f>IFERROR(__xludf.DUMMYFUNCTION("""COMPUTED_VALUE"""),"H2H")</f>
        <v>H2H</v>
      </c>
      <c r="W1058" s="1" t="str">
        <f>IFERROR(__xludf.DUMMYFUNCTION("""COMPUTED_VALUE"""),"STK REGULAR")</f>
        <v>STK REGULAR</v>
      </c>
      <c r="X1058" s="1" t="str">
        <f>IFERROR(__xludf.DUMMYFUNCTION("""COMPUTED_VALUE"""),"REGULAR")</f>
        <v>REGULAR</v>
      </c>
      <c r="Y1058" s="1" t="str">
        <f>IFERROR(__xludf.DUMMYFUNCTION("""COMPUTED_VALUE"""),"BK_CVEU_261006")</f>
        <v>BK_CVEU_261006</v>
      </c>
      <c r="Z1058" s="1" t="str">
        <f>IFERROR(__xludf.DUMMYFUNCTION("""COMPUTED_VALUE"""),"NEW CONNECT")</f>
        <v>NEW CONNECT</v>
      </c>
      <c r="AA1058" s="1">
        <f>IFERROR(__xludf.DUMMYFUNCTION("""COMPUTED_VALUE"""),639703930075)</f>
        <v>639703930075</v>
      </c>
      <c r="AB1058" s="1"/>
      <c r="AC1058" s="1"/>
      <c r="AD1058" s="1" t="str">
        <f>IFERROR(__xludf.DUMMYFUNCTION("""COMPUTED_VALUE"""),"DACON")</f>
        <v>DACON</v>
      </c>
      <c r="AE1058" s="1"/>
      <c r="AF1058" s="1" t="str">
        <f>IFERROR(__xludf.DUMMYFUNCTION("""COMPUTED_VALUE"""),"BGY MACARIO DACON")</f>
        <v>BGY MACARIO DACON</v>
      </c>
      <c r="AG1058" s="1" t="str">
        <f>IFERROR(__xludf.DUMMYFUNCTION("""COMPUTED_VALUE"""),"GEN MARIANO ALVAREZ")</f>
        <v>GEN MARIANO ALVAREZ</v>
      </c>
      <c r="AH1058" s="1" t="str">
        <f>IFERROR(__xludf.DUMMYFUNCTION("""COMPUTED_VALUE"""),"GMZLP133NP2")</f>
        <v>GMZLP133NP2</v>
      </c>
      <c r="AI1058" s="1" t="str">
        <f>IFERROR(__xludf.DUMMYFUNCTION("""COMPUTED_VALUE"""),"CLUSTER 11")</f>
        <v>CLUSTER 11</v>
      </c>
    </row>
    <row r="1059" customHeight="1" spans="1:35">
      <c r="A1059" s="3">
        <f>IFERROR(__xludf.DUMMYFUNCTION("""COMPUTED_VALUE"""),46309)</f>
        <v>46309</v>
      </c>
      <c r="B1059" s="1" t="str">
        <f>IFERROR(__xludf.DUMMYFUNCTION("""COMPUTED_VALUE"""),"JEAN . FEBRA")</f>
        <v>JEAN . FEBRA</v>
      </c>
      <c r="C1059" s="1">
        <f>IFERROR(__xludf.DUMMYFUNCTION("""COMPUTED_VALUE"""),2313159465)</f>
        <v>2313159465</v>
      </c>
      <c r="D1059" s="1"/>
      <c r="E1059" s="1"/>
      <c r="F1059" s="1" t="str">
        <f>IFERROR(__xludf.DUMMYFUNCTION("""COMPUTED_VALUE"""),"CANCELLED")</f>
        <v>CANCELLED</v>
      </c>
      <c r="G1059" s="1" t="str">
        <f>IFERROR(__xludf.DUMMYFUNCTION("""COMPUTED_VALUE"""),"CANCELLED")</f>
        <v>CANCELLED</v>
      </c>
      <c r="H1059" s="1"/>
      <c r="I1059" s="1"/>
      <c r="J1059" s="1"/>
      <c r="K1059" s="1"/>
      <c r="L1059" s="1" t="str">
        <f>IFERROR(__xludf.DUMMYFUNCTION("""COMPUTED_VALUE"""),"CANCELLED")</f>
        <v>CANCELLED</v>
      </c>
      <c r="M1059" s="1" t="str">
        <f>IFERROR(__xludf.DUMMYFUNCTION("""COMPUTED_VALUE"""),"CANCELLED - WITH OB")</f>
        <v>CANCELLED - WITH OB</v>
      </c>
      <c r="N1059" s="3"/>
      <c r="O1059" s="1" t="str">
        <f>IFERROR(__xludf.DUMMYFUNCTION("""COMPUTED_VALUE"""),"FIBR PLAN 1299")</f>
        <v>FIBR PLAN 1299</v>
      </c>
      <c r="P1059" s="1" t="str">
        <f>IFERROR(__xludf.DUMMYFUNCTION("""COMPUTED_VALUE"""),"LOWPLAN")</f>
        <v>LOWPLAN</v>
      </c>
      <c r="Q1059" s="1" t="str">
        <f>IFERROR(__xludf.DUMMYFUNCTION("""COMPUTED_VALUE"""),"P407566")</f>
        <v>P407566</v>
      </c>
      <c r="R1059" s="1" t="str">
        <f>IFERROR(__xludf.DUMMYFUNCTION("""COMPUTED_VALUE"""),"DENACO, RODNEY")</f>
        <v>DENACO, RODNEY</v>
      </c>
      <c r="S1059" s="1" t="str">
        <f>IFERROR(__xludf.DUMMYFUNCTION("""COMPUTED_VALUE"""),"ORGANIC")</f>
        <v>ORGANIC</v>
      </c>
      <c r="T1059" s="1" t="str">
        <f>IFERROR(__xludf.DUMMYFUNCTION("""COMPUTED_VALUE"""),"LEA REMOLLO")</f>
        <v>LEA REMOLLO</v>
      </c>
      <c r="U1059" s="1" t="str">
        <f>IFERROR(__xludf.DUMMYFUNCTION("""COMPUTED_VALUE"""),"JB SALIOA")</f>
        <v>JB SALIOA</v>
      </c>
      <c r="V1059" s="1" t="str">
        <f>IFERROR(__xludf.DUMMYFUNCTION("""COMPUTED_VALUE"""),"BK HSTK")</f>
        <v>BK HSTK</v>
      </c>
      <c r="W1059" s="1" t="str">
        <f>IFERROR(__xludf.DUMMYFUNCTION("""COMPUTED_VALUE"""),"BK HSTK")</f>
        <v>BK HSTK</v>
      </c>
      <c r="X1059" s="1" t="str">
        <f>IFERROR(__xludf.DUMMYFUNCTION("""COMPUTED_VALUE"""),"REGULAR")</f>
        <v>REGULAR</v>
      </c>
      <c r="Y1059" s="1" t="str">
        <f>IFERROR(__xludf.DUMMYFUNCTION("""COMPUTED_VALUE"""),"BK_CVEU_261005")</f>
        <v>BK_CVEU_261005</v>
      </c>
      <c r="Z1059" s="1" t="str">
        <f>IFERROR(__xludf.DUMMYFUNCTION("""COMPUTED_VALUE"""),"NEW CONNECT")</f>
        <v>NEW CONNECT</v>
      </c>
      <c r="AA1059" s="1">
        <f>IFERROR(__xludf.DUMMYFUNCTION("""COMPUTED_VALUE"""),639753605827)</f>
        <v>639753605827</v>
      </c>
      <c r="AB1059" s="1"/>
      <c r="AC1059" s="1">
        <f>IFERROR(__xludf.DUMMYFUNCTION("""COMPUTED_VALUE"""),128)</f>
        <v>128</v>
      </c>
      <c r="AD1059" s="1" t="str">
        <f>IFERROR(__xludf.DUMMYFUNCTION("""COMPUTED_VALUE"""),"NARRA")</f>
        <v>NARRA</v>
      </c>
      <c r="AE1059" s="1"/>
      <c r="AF1059" s="1" t="str">
        <f>IFERROR(__xludf.DUMMYFUNCTION("""COMPUTED_VALUE"""),"BGY BANAYAD")</f>
        <v>BGY BANAYAD</v>
      </c>
      <c r="AG1059" s="1" t="str">
        <f>IFERROR(__xludf.DUMMYFUNCTION("""COMPUTED_VALUE"""),"MENDEZ")</f>
        <v>MENDEZ</v>
      </c>
      <c r="AH1059" s="1" t="str">
        <f>IFERROR(__xludf.DUMMYFUNCTION("""COMPUTED_VALUE"""),"RENAB RESORT")</f>
        <v>RENAB RESORT</v>
      </c>
      <c r="AI1059" s="1" t="str">
        <f>IFERROR(__xludf.DUMMYFUNCTION("""COMPUTED_VALUE"""),"CLUSTER 12")</f>
        <v>CLUSTER 12</v>
      </c>
    </row>
    <row r="1060" customHeight="1" spans="1:35">
      <c r="A1060" s="3">
        <f>IFERROR(__xludf.DUMMYFUNCTION("""COMPUTED_VALUE"""),46309)</f>
        <v>46309</v>
      </c>
      <c r="B1060" s="1" t="str">
        <f>IFERROR(__xludf.DUMMYFUNCTION("""COMPUTED_VALUE"""),"CAMILLE MARINAS NOTARIO")</f>
        <v>CAMILLE MARINAS NOTARIO</v>
      </c>
      <c r="C1060" s="1">
        <f>IFERROR(__xludf.DUMMYFUNCTION("""COMPUTED_VALUE"""),2313159681)</f>
        <v>2313159681</v>
      </c>
      <c r="D1060" s="1">
        <f>IFERROR(__xludf.DUMMYFUNCTION("""COMPUTED_VALUE"""),408985552)</f>
        <v>408985552</v>
      </c>
      <c r="E1060" s="1">
        <f>IFERROR(__xludf.DUMMYFUNCTION("""COMPUTED_VALUE"""),475562346004)</f>
        <v>475562346004</v>
      </c>
      <c r="F1060" s="1" t="str">
        <f>IFERROR(__xludf.DUMMYFUNCTION("""COMPUTED_VALUE"""),"CANCELED")</f>
        <v>CANCELED</v>
      </c>
      <c r="G1060" s="1" t="str">
        <f>IFERROR(__xludf.DUMMYFUNCTION("""COMPUTED_VALUE"""),"VISITED REMARKS   NEAREST CAFAC FULL CMNLP243NP1 full CMNLP243NP2 full CMNLP243NP3 full ASSIGNED CAFAC NOT ON SITE SUBS ALREADY ADVISE NA PUNUAN NA SA AREA TALK TATAY NI SUBS 09150995342 09915237825")</f>
        <v>VISITED REMARKS   NEAREST CAFAC FULL CMNLP243NP1 full CMNLP243NP2 full CMNLP243NP3 full ASSIGNED CAFAC NOT ON SITE SUBS ALREADY ADVISE NA PUNUAN NA SA AREA TALK TATAY NI SUBS 09150995342 09915237825</v>
      </c>
      <c r="H1060" s="1" t="str">
        <f>IFERROR(__xludf.DUMMYFUNCTION("""COMPUTED_VALUE"""),"PQGOR367365193	15-Oct-26	Regular Payment	CIS - GOTYME 3.0	1,399.00	0	15-Oct-26")</f>
        <v>PQGOR367365193	15-Oct-26	Regular Payment	CIS - GOTYME 3.0	1,399.00	0	15-Oct-26</v>
      </c>
      <c r="I1060" s="1" t="str">
        <f>IFERROR(__xludf.DUMMYFUNCTION("""COMPUTED_VALUE"""),"WITH 1 AMSF")</f>
        <v>WITH 1 AMSF</v>
      </c>
      <c r="J1060" s="1"/>
      <c r="K1060" s="1" t="str">
        <f>IFERROR(__xludf.DUMMYFUNCTION("""COMPUTED_VALUE"""),"CANCELED")</f>
        <v>CANCELED</v>
      </c>
      <c r="L1060" s="1" t="str">
        <f>IFERROR(__xludf.DUMMYFUNCTION("""COMPUTED_VALUE"""),"RPR - NAP FULL")</f>
        <v>RPR - NAP FULL</v>
      </c>
      <c r="M1060" s="1" t="str">
        <f>IFERROR(__xludf.DUMMYFUNCTION("""COMPUTED_VALUE"""),"RPR- NAP FULL")</f>
        <v>RPR- NAP FULL</v>
      </c>
      <c r="N1060" s="3"/>
      <c r="O1060" s="1" t="str">
        <f>IFERROR(__xludf.DUMMYFUNCTION("""COMPUTED_VALUE"""),"FIBER UNLI PLAN 1399")</f>
        <v>FIBER UNLI PLAN 1399</v>
      </c>
      <c r="P1060" s="1" t="str">
        <f>IFERROR(__xludf.DUMMYFUNCTION("""COMPUTED_VALUE"""),"LOWPLAN")</f>
        <v>LOWPLAN</v>
      </c>
      <c r="Q1060" s="1" t="str">
        <f>IFERROR(__xludf.DUMMYFUNCTION("""COMPUTED_VALUE"""),"P407561")</f>
        <v>P407561</v>
      </c>
      <c r="R1060" s="1" t="str">
        <f>IFERROR(__xludf.DUMMYFUNCTION("""COMPUTED_VALUE"""),"TAMAYO, MARY ROSE ZAIRA")</f>
        <v>TAMAYO, MARY ROSE ZAIRA</v>
      </c>
      <c r="S1060" s="1" t="str">
        <f>IFERROR(__xludf.DUMMYFUNCTION("""COMPUTED_VALUE"""),"ORGANIC")</f>
        <v>ORGANIC</v>
      </c>
      <c r="T1060" s="1" t="str">
        <f>IFERROR(__xludf.DUMMYFUNCTION("""COMPUTED_VALUE"""),"LEA REMOLLO")</f>
        <v>LEA REMOLLO</v>
      </c>
      <c r="U1060" s="1" t="str">
        <f>IFERROR(__xludf.DUMMYFUNCTION("""COMPUTED_VALUE"""),"JB SALIOA")</f>
        <v>JB SALIOA</v>
      </c>
      <c r="V1060" s="1" t="str">
        <f>IFERROR(__xludf.DUMMYFUNCTION("""COMPUTED_VALUE"""),"BK HSTK")</f>
        <v>BK HSTK</v>
      </c>
      <c r="W1060" s="1" t="str">
        <f>IFERROR(__xludf.DUMMYFUNCTION("""COMPUTED_VALUE"""),"BK HSTK")</f>
        <v>BK HSTK</v>
      </c>
      <c r="X1060" s="1" t="str">
        <f>IFERROR(__xludf.DUMMYFUNCTION("""COMPUTED_VALUE"""),"FIBER 1399 98TH YR")</f>
        <v>FIBER 1399 98TH YR</v>
      </c>
      <c r="Y1060" s="1" t="str">
        <f>IFERROR(__xludf.DUMMYFUNCTION("""COMPUTED_VALUE"""),"BK_CVEU_261003")</f>
        <v>BK_CVEU_261003</v>
      </c>
      <c r="Z1060" s="1" t="str">
        <f>IFERROR(__xludf.DUMMYFUNCTION("""COMPUTED_VALUE"""),"NEW CONNECT")</f>
        <v>NEW CONNECT</v>
      </c>
      <c r="AA1060" s="1">
        <f>IFERROR(__xludf.DUMMYFUNCTION("""COMPUTED_VALUE"""),639150995342)</f>
        <v>639150995342</v>
      </c>
      <c r="AB1060" s="1">
        <f>IFERROR(__xludf.DUMMYFUNCTION("""COMPUTED_VALUE"""),639915237825)</f>
        <v>639915237825</v>
      </c>
      <c r="AC1060" s="1">
        <f>IFERROR(__xludf.DUMMYFUNCTION("""COMPUTED_VALUE"""),9041)</f>
        <v>9041</v>
      </c>
      <c r="AD1060" s="1" t="str">
        <f>IFERROR(__xludf.DUMMYFUNCTION("""COMPUTED_VALUE"""),"ALTAREZ VILLAGE")</f>
        <v>ALTAREZ VILLAGE</v>
      </c>
      <c r="AE1060" s="1" t="str">
        <f>IFERROR(__xludf.DUMMYFUNCTION("""COMPUTED_VALUE"""),"ALTAREZ VILLAGE")</f>
        <v>ALTAREZ VILLAGE</v>
      </c>
      <c r="AF1060" s="1" t="str">
        <f>IFERROR(__xludf.DUMMYFUNCTION("""COMPUTED_VALUE"""),"BGY MADUYA")</f>
        <v>BGY MADUYA</v>
      </c>
      <c r="AG1060" s="1" t="str">
        <f>IFERROR(__xludf.DUMMYFUNCTION("""COMPUTED_VALUE"""),"CARMONA")</f>
        <v>CARMONA</v>
      </c>
      <c r="AH1060" s="1" t="str">
        <f>IFERROR(__xludf.DUMMYFUNCTION("""COMPUTED_VALUE"""),"MOTORPOOL")</f>
        <v>MOTORPOOL</v>
      </c>
      <c r="AI1060" s="1" t="str">
        <f>IFERROR(__xludf.DUMMYFUNCTION("""COMPUTED_VALUE"""),"CLUSTER 11")</f>
        <v>CLUSTER 11</v>
      </c>
    </row>
    <row r="1061" customHeight="1" spans="1:35">
      <c r="A1061" s="3">
        <f>IFERROR(__xludf.DUMMYFUNCTION("""COMPUTED_VALUE"""),46309)</f>
        <v>46309</v>
      </c>
      <c r="B1061" s="1" t="str">
        <f>IFERROR(__xludf.DUMMYFUNCTION("""COMPUTED_VALUE"""),"FRANCIS SALAZAR ESTRIBER")</f>
        <v>FRANCIS SALAZAR ESTRIBER</v>
      </c>
      <c r="C1061" s="1">
        <f>IFERROR(__xludf.DUMMYFUNCTION("""COMPUTED_VALUE"""),2313160107)</f>
        <v>2313160107</v>
      </c>
      <c r="D1061" s="1">
        <f>IFERROR(__xludf.DUMMYFUNCTION("""COMPUTED_VALUE"""),409044417)</f>
        <v>409044417</v>
      </c>
      <c r="E1061" s="1">
        <f>IFERROR(__xludf.DUMMYFUNCTION("""COMPUTED_VALUE"""),475844207004)</f>
        <v>475844207004</v>
      </c>
      <c r="F1061" s="1" t="str">
        <f>IFERROR(__xludf.DUMMYFUNCTION("""COMPUTED_VALUE"""),"CLOSED")</f>
        <v>CLOSED</v>
      </c>
      <c r="G1061" s="1" t="str">
        <f>IFERROR(__xludf.DUMMYFUNCTION("""COMPUTED_VALUE"""),"CLOSED")</f>
        <v>CLOSED</v>
      </c>
      <c r="H1061" s="1"/>
      <c r="I1061" s="1" t="str">
        <f>IFERROR(__xludf.DUMMYFUNCTION("""COMPUTED_VALUE"""),"NO 1 AMSF")</f>
        <v>NO 1 AMSF</v>
      </c>
      <c r="J1061" s="1" t="str">
        <f>IFERROR(__xludf.DUMMYFUNCTION("""COMPUTED_VALUE"""),"DUE DATE - 11-Nov-26 - 1,445.64")</f>
        <v>DUE DATE - 11-Nov-26 - 1,445.64</v>
      </c>
      <c r="K1061" s="1" t="str">
        <f>IFERROR(__xludf.DUMMYFUNCTION("""COMPUTED_VALUE"""),"COMPLETED")</f>
        <v>COMPLETED</v>
      </c>
      <c r="L1061" s="1" t="str">
        <f>IFERROR(__xludf.DUMMYFUNCTION("""COMPUTED_VALUE"""),"POSTED")</f>
        <v>POSTED</v>
      </c>
      <c r="M1061" s="1" t="str">
        <f>IFERROR(__xludf.DUMMYFUNCTION("""COMPUTED_VALUE"""),"POSTED")</f>
        <v>POSTED</v>
      </c>
      <c r="N1061" s="3">
        <f>IFERROR(__xludf.DUMMYFUNCTION("""COMPUTED_VALUE"""),46312)</f>
        <v>46312</v>
      </c>
      <c r="O1061" s="1" t="str">
        <f>IFERROR(__xludf.DUMMYFUNCTION("""COMPUTED_VALUE"""),"FIBER UNLI PLAN 1399")</f>
        <v>FIBER UNLI PLAN 1399</v>
      </c>
      <c r="P1061" s="1" t="str">
        <f>IFERROR(__xludf.DUMMYFUNCTION("""COMPUTED_VALUE"""),"LOWPLAN")</f>
        <v>LOWPLAN</v>
      </c>
      <c r="Q1061" s="1" t="str">
        <f>IFERROR(__xludf.DUMMYFUNCTION("""COMPUTED_VALUE"""),"P407049")</f>
        <v>P407049</v>
      </c>
      <c r="R1061" s="1" t="str">
        <f>IFERROR(__xludf.DUMMYFUNCTION("""COMPUTED_VALUE"""),"ALINGARO, CINDY")</f>
        <v>ALINGARO, CINDY</v>
      </c>
      <c r="S1061" s="1" t="str">
        <f>IFERROR(__xludf.DUMMYFUNCTION("""COMPUTED_VALUE"""),"ORGANIC")</f>
        <v>ORGANIC</v>
      </c>
      <c r="T1061" s="1" t="str">
        <f>IFERROR(__xludf.DUMMYFUNCTION("""COMPUTED_VALUE"""),"LEA REMOLLO")</f>
        <v>LEA REMOLLO</v>
      </c>
      <c r="U1061" s="1" t="str">
        <f>IFERROR(__xludf.DUMMYFUNCTION("""COMPUTED_VALUE"""),"JB SALIOA")</f>
        <v>JB SALIOA</v>
      </c>
      <c r="V1061" s="1" t="str">
        <f>IFERROR(__xludf.DUMMYFUNCTION("""COMPUTED_VALUE"""),"BK REGULAR")</f>
        <v>BK REGULAR</v>
      </c>
      <c r="W1061" s="1" t="str">
        <f>IFERROR(__xludf.DUMMYFUNCTION("""COMPUTED_VALUE"""),"STK REGULAR")</f>
        <v>STK REGULAR</v>
      </c>
      <c r="X1061" s="1" t="str">
        <f>IFERROR(__xludf.DUMMYFUNCTION("""COMPUTED_VALUE"""),"FIBER 1399 98TH YR")</f>
        <v>FIBER 1399 98TH YR</v>
      </c>
      <c r="Y1061" s="1" t="str">
        <f>IFERROR(__xludf.DUMMYFUNCTION("""COMPUTED_VALUE"""),"BK_CVEU_261001")</f>
        <v>BK_CVEU_261001</v>
      </c>
      <c r="Z1061" s="1" t="str">
        <f>IFERROR(__xludf.DUMMYFUNCTION("""COMPUTED_VALUE"""),"NEW CONNECT")</f>
        <v>NEW CONNECT</v>
      </c>
      <c r="AA1061" s="1">
        <f>IFERROR(__xludf.DUMMYFUNCTION("""COMPUTED_VALUE"""),639385715863)</f>
        <v>639385715863</v>
      </c>
      <c r="AB1061" s="1"/>
      <c r="AC1061" s="1">
        <f>IFERROR(__xludf.DUMMYFUNCTION("""COMPUTED_VALUE"""),68)</f>
        <v>68</v>
      </c>
      <c r="AD1061" s="1" t="str">
        <f>IFERROR(__xludf.DUMMYFUNCTION("""COMPUTED_VALUE"""),"SITIO ULI ULI")</f>
        <v>SITIO ULI ULI</v>
      </c>
      <c r="AE1061" s="1"/>
      <c r="AF1061" s="1" t="str">
        <f>IFERROR(__xludf.DUMMYFUNCTION("""COMPUTED_VALUE"""),"BGY STA TERESA")</f>
        <v>BGY STA TERESA</v>
      </c>
      <c r="AG1061" s="1" t="str">
        <f>IFERROR(__xludf.DUMMYFUNCTION("""COMPUTED_VALUE"""),"ALFONSO")</f>
        <v>ALFONSO</v>
      </c>
      <c r="AH1061" s="1" t="str">
        <f>IFERROR(__xludf.DUMMYFUNCTION("""COMPUTED_VALUE"""),"RIVERDALE RESORT")</f>
        <v>RIVERDALE RESORT</v>
      </c>
      <c r="AI1061" s="1" t="str">
        <f>IFERROR(__xludf.DUMMYFUNCTION("""COMPUTED_VALUE"""),"CLUSTER 12")</f>
        <v>CLUSTER 12</v>
      </c>
    </row>
    <row r="1062" customHeight="1" spans="1:35">
      <c r="A1062" s="3">
        <f>IFERROR(__xludf.DUMMYFUNCTION("""COMPUTED_VALUE"""),46309)</f>
        <v>46309</v>
      </c>
      <c r="B1062" s="1" t="str">
        <f>IFERROR(__xludf.DUMMYFUNCTION("""COMPUTED_VALUE"""),"KURT VINCENT ASIS MADUROG")</f>
        <v>KURT VINCENT ASIS MADUROG</v>
      </c>
      <c r="C1062" s="1">
        <f>IFERROR(__xludf.DUMMYFUNCTION("""COMPUTED_VALUE"""),2313160496)</f>
        <v>2313160496</v>
      </c>
      <c r="D1062" s="1"/>
      <c r="E1062" s="1"/>
      <c r="F1062" s="1" t="str">
        <f>IFERROR(__xludf.DUMMYFUNCTION("""COMPUTED_VALUE"""),"CANCELLED")</f>
        <v>CANCELLED</v>
      </c>
      <c r="G1062" s="1" t="str">
        <f>IFERROR(__xludf.DUMMYFUNCTION("""COMPUTED_VALUE"""),"CANCELLED")</f>
        <v>CANCELLED</v>
      </c>
      <c r="H1062" s="1"/>
      <c r="I1062" s="1"/>
      <c r="J1062" s="1"/>
      <c r="K1062" s="1"/>
      <c r="L1062" s="1" t="str">
        <f>IFERROR(__xludf.DUMMYFUNCTION("""COMPUTED_VALUE"""),"CANCELLED")</f>
        <v>CANCELLED</v>
      </c>
      <c r="M1062" s="1" t="str">
        <f>IFERROR(__xludf.DUMMYFUNCTION("""COMPUTED_VALUE"""),"CANCELLED - WITH OB")</f>
        <v>CANCELLED - WITH OB</v>
      </c>
      <c r="N1062" s="3"/>
      <c r="O1062" s="1" t="str">
        <f>IFERROR(__xludf.DUMMYFUNCTION("""COMPUTED_VALUE"""),"FIBR PLAN 1299")</f>
        <v>FIBR PLAN 1299</v>
      </c>
      <c r="P1062" s="1" t="str">
        <f>IFERROR(__xludf.DUMMYFUNCTION("""COMPUTED_VALUE"""),"LOWPLAN")</f>
        <v>LOWPLAN</v>
      </c>
      <c r="Q1062" s="1" t="str">
        <f>IFERROR(__xludf.DUMMYFUNCTION("""COMPUTED_VALUE"""),"P407566")</f>
        <v>P407566</v>
      </c>
      <c r="R1062" s="1" t="str">
        <f>IFERROR(__xludf.DUMMYFUNCTION("""COMPUTED_VALUE"""),"DENACO, RODNEY")</f>
        <v>DENACO, RODNEY</v>
      </c>
      <c r="S1062" s="1" t="str">
        <f>IFERROR(__xludf.DUMMYFUNCTION("""COMPUTED_VALUE"""),"ORGANIC")</f>
        <v>ORGANIC</v>
      </c>
      <c r="T1062" s="1" t="str">
        <f>IFERROR(__xludf.DUMMYFUNCTION("""COMPUTED_VALUE"""),"LEA REMOLLO")</f>
        <v>LEA REMOLLO</v>
      </c>
      <c r="U1062" s="1" t="str">
        <f>IFERROR(__xludf.DUMMYFUNCTION("""COMPUTED_VALUE"""),"JB SALIOA")</f>
        <v>JB SALIOA</v>
      </c>
      <c r="V1062" s="1" t="str">
        <f>IFERROR(__xludf.DUMMYFUNCTION("""COMPUTED_VALUE"""),"BK HSTK")</f>
        <v>BK HSTK</v>
      </c>
      <c r="W1062" s="1" t="str">
        <f>IFERROR(__xludf.DUMMYFUNCTION("""COMPUTED_VALUE"""),"BK HSTK")</f>
        <v>BK HSTK</v>
      </c>
      <c r="X1062" s="1" t="str">
        <f>IFERROR(__xludf.DUMMYFUNCTION("""COMPUTED_VALUE"""),"REGULAR")</f>
        <v>REGULAR</v>
      </c>
      <c r="Y1062" s="1" t="str">
        <f>IFERROR(__xludf.DUMMYFUNCTION("""COMPUTED_VALUE"""),"BK_CVEU_261005")</f>
        <v>BK_CVEU_261005</v>
      </c>
      <c r="Z1062" s="1" t="str">
        <f>IFERROR(__xludf.DUMMYFUNCTION("""COMPUTED_VALUE"""),"NEW CONNECT")</f>
        <v>NEW CONNECT</v>
      </c>
      <c r="AA1062" s="1">
        <f>IFERROR(__xludf.DUMMYFUNCTION("""COMPUTED_VALUE"""),639912645122)</f>
        <v>639912645122</v>
      </c>
      <c r="AB1062" s="1"/>
      <c r="AC1062" s="1">
        <f>IFERROR(__xludf.DUMMYFUNCTION("""COMPUTED_VALUE"""),128)</f>
        <v>128</v>
      </c>
      <c r="AD1062" s="1" t="str">
        <f>IFERROR(__xludf.DUMMYFUNCTION("""COMPUTED_VALUE"""),"NARRA")</f>
        <v>NARRA</v>
      </c>
      <c r="AE1062" s="1"/>
      <c r="AF1062" s="1" t="str">
        <f>IFERROR(__xludf.DUMMYFUNCTION("""COMPUTED_VALUE"""),"BGY BANAYAD")</f>
        <v>BGY BANAYAD</v>
      </c>
      <c r="AG1062" s="1" t="str">
        <f>IFERROR(__xludf.DUMMYFUNCTION("""COMPUTED_VALUE"""),"MENDEZ")</f>
        <v>MENDEZ</v>
      </c>
      <c r="AH1062" s="1" t="str">
        <f>IFERROR(__xludf.DUMMYFUNCTION("""COMPUTED_VALUE"""),"RENALOU RESORT")</f>
        <v>RENALOU RESORT</v>
      </c>
      <c r="AI1062" s="1" t="str">
        <f>IFERROR(__xludf.DUMMYFUNCTION("""COMPUTED_VALUE"""),"CLUSTER 12")</f>
        <v>CLUSTER 12</v>
      </c>
    </row>
    <row r="1063" customHeight="1" spans="1:35">
      <c r="A1063" s="3">
        <f>IFERROR(__xludf.DUMMYFUNCTION("""COMPUTED_VALUE"""),46310)</f>
        <v>46310</v>
      </c>
      <c r="B1063" s="1" t="str">
        <f>IFERROR(__xludf.DUMMYFUNCTION("""COMPUTED_VALUE"""),"MYLENE EBREO ESPINUEVA")</f>
        <v>MYLENE EBREO ESPINUEVA</v>
      </c>
      <c r="C1063" s="1">
        <f>IFERROR(__xludf.DUMMYFUNCTION("""COMPUTED_VALUE"""),2313169607)</f>
        <v>2313169607</v>
      </c>
      <c r="D1063" s="1"/>
      <c r="E1063" s="1"/>
      <c r="F1063" s="1" t="str">
        <f>IFERROR(__xludf.DUMMYFUNCTION("""COMPUTED_VALUE"""),"CANCELLED")</f>
        <v>CANCELLED</v>
      </c>
      <c r="G1063" s="1" t="str">
        <f>IFERROR(__xludf.DUMMYFUNCTION("""COMPUTED_VALUE"""),"FOUND WITH ACTIVE TEL#0284702516  DIFFERENT ADDRESS / FOR MULTIPLE LINE APPLICATION// NEED TO SUBMIT")</f>
        <v>FOUND WITH ACTIVE TEL#0284702516  DIFFERENT ADDRESS / FOR MULTIPLE LINE APPLICATION// NEED TO SUBMIT</v>
      </c>
      <c r="H1063" s="1"/>
      <c r="I1063" s="1"/>
      <c r="J1063" s="1"/>
      <c r="K1063" s="1"/>
      <c r="L1063" s="1" t="str">
        <f>IFERROR(__xludf.DUMMYFUNCTION("""COMPUTED_VALUE"""),"CANCELLED - WITH ACTIVE LINE")</f>
        <v>CANCELLED - WITH ACTIVE LINE</v>
      </c>
      <c r="M1063" s="1" t="str">
        <f>IFERROR(__xludf.DUMMYFUNCTION("""COMPUTED_VALUE"""),"CANCELLED - WITH ACTIVE LINE")</f>
        <v>CANCELLED - WITH ACTIVE LINE</v>
      </c>
      <c r="N1063" s="3"/>
      <c r="O1063" s="1" t="str">
        <f>IFERROR(__xludf.DUMMYFUNCTION("""COMPUTED_VALUE"""),"FIBR NETFLIX PLAN 1599")</f>
        <v>FIBR NETFLIX PLAN 1599</v>
      </c>
      <c r="P1063" s="1" t="str">
        <f>IFERROR(__xludf.DUMMYFUNCTION("""COMPUTED_VALUE"""),"LOWPLAN")</f>
        <v>LOWPLAN</v>
      </c>
      <c r="Q1063" s="1" t="str">
        <f>IFERROR(__xludf.DUMMYFUNCTION("""COMPUTED_VALUE"""),"P407045")</f>
        <v>P407045</v>
      </c>
      <c r="R1063" s="1" t="str">
        <f>IFERROR(__xludf.DUMMYFUNCTION("""COMPUTED_VALUE"""),"FARO, REFRANTA")</f>
        <v>FARO, REFRANTA</v>
      </c>
      <c r="S1063" s="1" t="str">
        <f>IFERROR(__xludf.DUMMYFUNCTION("""COMPUTED_VALUE"""),"FLA")</f>
        <v>FLA</v>
      </c>
      <c r="T1063" s="1" t="str">
        <f>IFERROR(__xludf.DUMMYFUNCTION("""COMPUTED_VALUE"""),"LEA REMOLLO")</f>
        <v>LEA REMOLLO</v>
      </c>
      <c r="U1063" s="1" t="str">
        <f>IFERROR(__xludf.DUMMYFUNCTION("""COMPUTED_VALUE"""),"JULIE ESPIRITU")</f>
        <v>JULIE ESPIRITU</v>
      </c>
      <c r="V1063" s="1" t="str">
        <f>IFERROR(__xludf.DUMMYFUNCTION("""COMPUTED_VALUE"""),"BK REGULAR")</f>
        <v>BK REGULAR</v>
      </c>
      <c r="W1063" s="1" t="str">
        <f>IFERROR(__xludf.DUMMYFUNCTION("""COMPUTED_VALUE"""),"STK REGULAR")</f>
        <v>STK REGULAR</v>
      </c>
      <c r="X1063" s="1" t="str">
        <f>IFERROR(__xludf.DUMMYFUNCTION("""COMPUTED_VALUE"""),"REGULAR")</f>
        <v>REGULAR</v>
      </c>
      <c r="Y1063" s="1" t="str">
        <f>IFERROR(__xludf.DUMMYFUNCTION("""COMPUTED_VALUE"""),"BK_CVEU_261007")</f>
        <v>BK_CVEU_261007</v>
      </c>
      <c r="Z1063" s="1" t="str">
        <f>IFERROR(__xludf.DUMMYFUNCTION("""COMPUTED_VALUE"""),"NEW CONNECT")</f>
        <v>NEW CONNECT</v>
      </c>
      <c r="AA1063" s="1">
        <f>IFERROR(__xludf.DUMMYFUNCTION("""COMPUTED_VALUE"""),639178804034)</f>
        <v>639178804034</v>
      </c>
      <c r="AB1063" s="1"/>
      <c r="AC1063" s="1">
        <f>IFERROR(__xludf.DUMMYFUNCTION("""COMPUTED_VALUE"""),2083)</f>
        <v>2083</v>
      </c>
      <c r="AD1063" s="1" t="str">
        <f>IFERROR(__xludf.DUMMYFUNCTION("""COMPUTED_VALUE"""),"ELEVE HOMES")</f>
        <v>ELEVE HOMES</v>
      </c>
      <c r="AE1063" s="1" t="str">
        <f>IFERROR(__xludf.DUMMYFUNCTION("""COMPUTED_VALUE"""),"ELEVE HOMES")</f>
        <v>ELEVE HOMES</v>
      </c>
      <c r="AF1063" s="1" t="str">
        <f>IFERROR(__xludf.DUMMYFUNCTION("""COMPUTED_VALUE"""),"BGY MAHARLIKA WEST")</f>
        <v>BGY MAHARLIKA WEST</v>
      </c>
      <c r="AG1063" s="1" t="str">
        <f>IFERROR(__xludf.DUMMYFUNCTION("""COMPUTED_VALUE"""),"TAGAYTAY")</f>
        <v>TAGAYTAY</v>
      </c>
      <c r="AH1063" s="1" t="str">
        <f>IFERROR(__xludf.DUMMYFUNCTION("""COMPUTED_VALUE"""),"ELEVE HOMES")</f>
        <v>ELEVE HOMES</v>
      </c>
      <c r="AI1063" s="1" t="str">
        <f>IFERROR(__xludf.DUMMYFUNCTION("""COMPUTED_VALUE"""),"CLUSTER 12")</f>
        <v>CLUSTER 12</v>
      </c>
    </row>
    <row r="1064" customHeight="1" spans="1:35">
      <c r="A1064" s="3">
        <f>IFERROR(__xludf.DUMMYFUNCTION("""COMPUTED_VALUE"""),46310)</f>
        <v>46310</v>
      </c>
      <c r="B1064" s="1" t="str">
        <f>IFERROR(__xludf.DUMMYFUNCTION("""COMPUTED_VALUE"""),"MARJON RETUERTO DUGANG")</f>
        <v>MARJON RETUERTO DUGANG</v>
      </c>
      <c r="C1064" s="1">
        <f>IFERROR(__xludf.DUMMYFUNCTION("""COMPUTED_VALUE"""),2313170897)</f>
        <v>2313170897</v>
      </c>
      <c r="D1064" s="1">
        <f>IFERROR(__xludf.DUMMYFUNCTION("""COMPUTED_VALUE"""),409001343)</f>
        <v>409001343</v>
      </c>
      <c r="E1064" s="1">
        <f>IFERROR(__xludf.DUMMYFUNCTION("""COMPUTED_VALUE"""),475682059004)</f>
        <v>475682059004</v>
      </c>
      <c r="F1064" s="1" t="str">
        <f>IFERROR(__xludf.DUMMYFUNCTION("""COMPUTED_VALUE"""),"FOR PAYMENT")</f>
        <v>FOR PAYMENT</v>
      </c>
      <c r="G1064" s="1" t="str">
        <f>IFERROR(__xludf.DUMMYFUNCTION("""COMPUTED_VALUE"""),"FOR PAYMENT")</f>
        <v>FOR PAYMENT</v>
      </c>
      <c r="H1064" s="1" t="str">
        <f>IFERROR(__xludf.DUMMYFUNCTION("""COMPUTED_VALUE"""),"CBR RINGING ONLY")</f>
        <v>CBR RINGING ONLY</v>
      </c>
      <c r="I1064" s="1"/>
      <c r="J1064" s="1"/>
      <c r="K1064" s="1" t="str">
        <f>IFERROR(__xludf.DUMMYFUNCTION("""COMPUTED_VALUE"""),"NOT IN OFSC")</f>
        <v>NOT IN OFSC</v>
      </c>
      <c r="L1064" s="1" t="str">
        <f>IFERROR(__xludf.DUMMYFUNCTION("""COMPUTED_VALUE"""),"FOR PAYMENT")</f>
        <v>FOR PAYMENT</v>
      </c>
      <c r="M1064" s="1" t="str">
        <f>IFERROR(__xludf.DUMMYFUNCTION("""COMPUTED_VALUE"""),"FOR PAYMENT - FOR CALL OUT")</f>
        <v>FOR PAYMENT - FOR CALL OUT</v>
      </c>
      <c r="N1064" s="3"/>
      <c r="O1064" s="1" t="str">
        <f>IFERROR(__xludf.DUMMYFUNCTION("""COMPUTED_VALUE"""),"FIBER UNLI PLAN 1399")</f>
        <v>FIBER UNLI PLAN 1399</v>
      </c>
      <c r="P1064" s="1" t="str">
        <f>IFERROR(__xludf.DUMMYFUNCTION("""COMPUTED_VALUE"""),"LOWPLAN")</f>
        <v>LOWPLAN</v>
      </c>
      <c r="Q1064" s="1" t="str">
        <f>IFERROR(__xludf.DUMMYFUNCTION("""COMPUTED_VALUE"""),"P407560")</f>
        <v>P407560</v>
      </c>
      <c r="R1064" s="1" t="str">
        <f>IFERROR(__xludf.DUMMYFUNCTION("""COMPUTED_VALUE"""),"ALTO, JUNBIRTH")</f>
        <v>ALTO, JUNBIRTH</v>
      </c>
      <c r="S1064" s="1" t="str">
        <f>IFERROR(__xludf.DUMMYFUNCTION("""COMPUTED_VALUE"""),"ORGANIC")</f>
        <v>ORGANIC</v>
      </c>
      <c r="T1064" s="1" t="str">
        <f>IFERROR(__xludf.DUMMYFUNCTION("""COMPUTED_VALUE"""),"LEA REMOLLO")</f>
        <v>LEA REMOLLO</v>
      </c>
      <c r="U1064" s="1" t="str">
        <f>IFERROR(__xludf.DUMMYFUNCTION("""COMPUTED_VALUE"""),"JULIE ESPIRITU")</f>
        <v>JULIE ESPIRITU</v>
      </c>
      <c r="V1064" s="1" t="str">
        <f>IFERROR(__xludf.DUMMYFUNCTION("""COMPUTED_VALUE"""),"BK HSTK")</f>
        <v>BK HSTK</v>
      </c>
      <c r="W1064" s="1" t="str">
        <f>IFERROR(__xludf.DUMMYFUNCTION("""COMPUTED_VALUE"""),"BK HSTK")</f>
        <v>BK HSTK</v>
      </c>
      <c r="X1064" s="1" t="str">
        <f>IFERROR(__xludf.DUMMYFUNCTION("""COMPUTED_VALUE"""),"FIBER 1399 98TH YR")</f>
        <v>FIBER 1399 98TH YR</v>
      </c>
      <c r="Y1064" s="1" t="str">
        <f>IFERROR(__xludf.DUMMYFUNCTION("""COMPUTED_VALUE"""),"BK_CVEU_261006")</f>
        <v>BK_CVEU_261006</v>
      </c>
      <c r="Z1064" s="1" t="str">
        <f>IFERROR(__xludf.DUMMYFUNCTION("""COMPUTED_VALUE"""),"NEW CONNECT")</f>
        <v>NEW CONNECT</v>
      </c>
      <c r="AA1064" s="1">
        <f>IFERROR(__xludf.DUMMYFUNCTION("""COMPUTED_VALUE"""),639954322385)</f>
        <v>639954322385</v>
      </c>
      <c r="AB1064" s="1"/>
      <c r="AC1064" s="1"/>
      <c r="AD1064" s="1" t="str">
        <f>IFERROR(__xludf.DUMMYFUNCTION("""COMPUTED_VALUE"""),"BUKLURAN 2")</f>
        <v>BUKLURAN 2</v>
      </c>
      <c r="AE1064" s="1"/>
      <c r="AF1064" s="1" t="str">
        <f>IFERROR(__xludf.DUMMYFUNCTION("""COMPUTED_VALUE"""),"BGY BULIHAN")</f>
        <v>BGY BULIHAN</v>
      </c>
      <c r="AG1064" s="1" t="str">
        <f>IFERROR(__xludf.DUMMYFUNCTION("""COMPUTED_VALUE"""),"SILANG")</f>
        <v>SILANG</v>
      </c>
      <c r="AH1064" s="1" t="str">
        <f>IFERROR(__xludf.DUMMYFUNCTION("""COMPUTED_VALUE"""),"BRGY HALL / UNCLE JOHNS")</f>
        <v>BRGY HALL / UNCLE JOHNS</v>
      </c>
      <c r="AI1064" s="1" t="str">
        <f>IFERROR(__xludf.DUMMYFUNCTION("""COMPUTED_VALUE"""),"CLUSTER 11")</f>
        <v>CLUSTER 11</v>
      </c>
    </row>
    <row r="1065" customHeight="1" spans="1:35">
      <c r="A1065" s="3">
        <f>IFERROR(__xludf.DUMMYFUNCTION("""COMPUTED_VALUE"""),46310)</f>
        <v>46310</v>
      </c>
      <c r="B1065" s="1" t="str">
        <f>IFERROR(__xludf.DUMMYFUNCTION("""COMPUTED_VALUE"""),"REGINE GOLLEM HALAYAHAY")</f>
        <v>REGINE GOLLEM HALAYAHAY</v>
      </c>
      <c r="C1065" s="1">
        <f>IFERROR(__xludf.DUMMYFUNCTION("""COMPUTED_VALUE"""),2313171655)</f>
        <v>2313171655</v>
      </c>
      <c r="D1065" s="1">
        <f>IFERROR(__xludf.DUMMYFUNCTION("""COMPUTED_VALUE"""),409031234)</f>
        <v>409031234</v>
      </c>
      <c r="E1065" s="1">
        <f>IFERROR(__xludf.DUMMYFUNCTION("""COMPUTED_VALUE"""),475827733004)</f>
        <v>475827733004</v>
      </c>
      <c r="F1065" s="1" t="str">
        <f>IFERROR(__xludf.DUMMYFUNCTION("""COMPUTED_VALUE"""),"FOR CANCELLATION")</f>
        <v>FOR CANCELLATION</v>
      </c>
      <c r="G1065" s="1" t="str">
        <f>IFERROR(__xludf.DUMMYFUNCTION("""COMPUTED_VALUE"""),"FOR CANCELLATION")</f>
        <v>FOR CANCELLATION</v>
      </c>
      <c r="H1065" s="1" t="str">
        <f>IFERROR(__xludf.DUMMYFUNCTION("""COMPUTED_VALUE"""),"FOR CANCELLATION-AS PER SUBS UUWI DAW SILA PANGASINAN NO LONGER NEEDED")</f>
        <v>FOR CANCELLATION-AS PER SUBS UUWI DAW SILA PANGASINAN NO LONGER NEEDED</v>
      </c>
      <c r="I1065" s="1"/>
      <c r="J1065" s="1"/>
      <c r="K1065" s="1" t="str">
        <f>IFERROR(__xludf.DUMMYFUNCTION("""COMPUTED_VALUE"""),"NOT IN OFSC")</f>
        <v>NOT IN OFSC</v>
      </c>
      <c r="L1065" s="1" t="str">
        <f>IFERROR(__xludf.DUMMYFUNCTION("""COMPUTED_VALUE"""),"FOR PAYMENT")</f>
        <v>FOR PAYMENT</v>
      </c>
      <c r="M1065" s="1" t="str">
        <f>IFERROR(__xludf.DUMMYFUNCTION("""COMPUTED_VALUE"""),"FOR CANCELLATION - NON COMPLIANCE - NO PAYMENT")</f>
        <v>FOR CANCELLATION - NON COMPLIANCE - NO PAYMENT</v>
      </c>
      <c r="N1065" s="3"/>
      <c r="O1065" s="1" t="str">
        <f>IFERROR(__xludf.DUMMYFUNCTION("""COMPUTED_VALUE"""),"FIBR UNLI ALL PLAN 999")</f>
        <v>FIBR UNLI ALL PLAN 999</v>
      </c>
      <c r="P1065" s="1" t="str">
        <f>IFERROR(__xludf.DUMMYFUNCTION("""COMPUTED_VALUE"""),"LOWPLAN")</f>
        <v>LOWPLAN</v>
      </c>
      <c r="Q1065" s="1" t="str">
        <f>IFERROR(__xludf.DUMMYFUNCTION("""COMPUTED_VALUE"""),"P407050")</f>
        <v>P407050</v>
      </c>
      <c r="R1065" s="1" t="str">
        <f>IFERROR(__xludf.DUMMYFUNCTION("""COMPUTED_VALUE"""),"ESCARCHA, ALMA")</f>
        <v>ESCARCHA, ALMA</v>
      </c>
      <c r="S1065" s="1" t="str">
        <f>IFERROR(__xludf.DUMMYFUNCTION("""COMPUTED_VALUE"""),"ORGANIC")</f>
        <v>ORGANIC</v>
      </c>
      <c r="T1065" s="1" t="str">
        <f>IFERROR(__xludf.DUMMYFUNCTION("""COMPUTED_VALUE"""),"LEA REMOLLO")</f>
        <v>LEA REMOLLO</v>
      </c>
      <c r="U1065" s="1" t="str">
        <f>IFERROR(__xludf.DUMMYFUNCTION("""COMPUTED_VALUE"""),"JULIE ESPIRITU")</f>
        <v>JULIE ESPIRITU</v>
      </c>
      <c r="V1065" s="1" t="str">
        <f>IFERROR(__xludf.DUMMYFUNCTION("""COMPUTED_VALUE"""),"BK HSTK")</f>
        <v>BK HSTK</v>
      </c>
      <c r="W1065" s="1" t="str">
        <f>IFERROR(__xludf.DUMMYFUNCTION("""COMPUTED_VALUE"""),"BK HSTK")</f>
        <v>BK HSTK</v>
      </c>
      <c r="X1065" s="1" t="str">
        <f>IFERROR(__xludf.DUMMYFUNCTION("""COMPUTED_VALUE"""),"REGULAR")</f>
        <v>REGULAR</v>
      </c>
      <c r="Y1065" s="1" t="str">
        <f>IFERROR(__xludf.DUMMYFUNCTION("""COMPUTED_VALUE"""),"BK_CVEU_261006")</f>
        <v>BK_CVEU_261006</v>
      </c>
      <c r="Z1065" s="1" t="str">
        <f>IFERROR(__xludf.DUMMYFUNCTION("""COMPUTED_VALUE"""),"NEW CONNECT")</f>
        <v>NEW CONNECT</v>
      </c>
      <c r="AA1065" s="1">
        <f>IFERROR(__xludf.DUMMYFUNCTION("""COMPUTED_VALUE"""),639050627516)</f>
        <v>639050627516</v>
      </c>
      <c r="AB1065" s="1"/>
      <c r="AC1065" s="1"/>
      <c r="AD1065" s="1" t="str">
        <f>IFERROR(__xludf.DUMMYFUNCTION("""COMPUTED_VALUE"""),"IPIL 2")</f>
        <v>IPIL 2</v>
      </c>
      <c r="AE1065" s="1"/>
      <c r="AF1065" s="1" t="str">
        <f>IFERROR(__xludf.DUMMYFUNCTION("""COMPUTED_VALUE"""),"BGY IPIL 2")</f>
        <v>BGY IPIL 2</v>
      </c>
      <c r="AG1065" s="1" t="str">
        <f>IFERROR(__xludf.DUMMYFUNCTION("""COMPUTED_VALUE"""),"SILANG")</f>
        <v>SILANG</v>
      </c>
      <c r="AH1065" s="1" t="str">
        <f>IFERROR(__xludf.DUMMYFUNCTION("""COMPUTED_VALUE"""),"COVERED COURT")</f>
        <v>COVERED COURT</v>
      </c>
      <c r="AI1065" s="1" t="str">
        <f>IFERROR(__xludf.DUMMYFUNCTION("""COMPUTED_VALUE"""),"CLUSTER 11")</f>
        <v>CLUSTER 11</v>
      </c>
    </row>
    <row r="1066" customHeight="1" spans="1:35">
      <c r="A1066" s="3">
        <f>IFERROR(__xludf.DUMMYFUNCTION("""COMPUTED_VALUE"""),46310)</f>
        <v>46310</v>
      </c>
      <c r="B1066" s="1" t="str">
        <f>IFERROR(__xludf.DUMMYFUNCTION("""COMPUTED_VALUE"""),"ROMEO CAGUITLA ARTISTA")</f>
        <v>ROMEO CAGUITLA ARTISTA</v>
      </c>
      <c r="C1066" s="1">
        <f>IFERROR(__xludf.DUMMYFUNCTION("""COMPUTED_VALUE"""),2313172195)</f>
        <v>2313172195</v>
      </c>
      <c r="D1066" s="1">
        <f>IFERROR(__xludf.DUMMYFUNCTION("""COMPUTED_VALUE"""),409031323)</f>
        <v>409031323</v>
      </c>
      <c r="E1066" s="1">
        <f>IFERROR(__xludf.DUMMYFUNCTION("""COMPUTED_VALUE"""),475829734004)</f>
        <v>475829734004</v>
      </c>
      <c r="F1066" s="1" t="str">
        <f>IFERROR(__xludf.DUMMYFUNCTION("""COMPUTED_VALUE"""),"CANCELED")</f>
        <v>CANCELED</v>
      </c>
      <c r="G1066" s="1" t="str">
        <f>IFERROR(__xludf.DUMMYFUNCTION("""COMPUTED_VALUE"""),"NO FIBER FACILITIES SA AREA SUBS ALREADY ADVISE")</f>
        <v>NO FIBER FACILITIES SA AREA SUBS ALREADY ADVISE</v>
      </c>
      <c r="H1066" s="1" t="str">
        <f>IFERROR(__xludf.DUMMYFUNCTION("""COMPUTED_VALUE"""),"FOR CANCELLATION- AS PER SUBS PINUNTAHAN NA DAW PO SILA NG INSTALLER WALA DAW BOX NI PLDT NA MALAPIT SA KNILA")</f>
        <v>FOR CANCELLATION- AS PER SUBS PINUNTAHAN NA DAW PO SILA NG INSTALLER WALA DAW BOX NI PLDT NA MALAPIT SA KNILA</v>
      </c>
      <c r="I1066" s="1"/>
      <c r="J1066" s="1"/>
      <c r="K1066" s="1" t="str">
        <f>IFERROR(__xludf.DUMMYFUNCTION("""COMPUTED_VALUE"""),"CANCELED")</f>
        <v>CANCELED</v>
      </c>
      <c r="L1066" s="1" t="str">
        <f>IFERROR(__xludf.DUMMYFUNCTION("""COMPUTED_VALUE"""),"FOR PAYMENT")</f>
        <v>FOR PAYMENT</v>
      </c>
      <c r="M1066" s="1" t="str">
        <f>IFERROR(__xludf.DUMMYFUNCTION("""COMPUTED_VALUE"""),"FOR CANCELLATION - NON COMPLIANCE - NO PAYMENT")</f>
        <v>FOR CANCELLATION - NON COMPLIANCE - NO PAYMENT</v>
      </c>
      <c r="N1066" s="3"/>
      <c r="O1066" s="1" t="str">
        <f>IFERROR(__xludf.DUMMYFUNCTION("""COMPUTED_VALUE"""),"FIBER UNLI PLAN 1399")</f>
        <v>FIBER UNLI PLAN 1399</v>
      </c>
      <c r="P1066" s="1" t="str">
        <f>IFERROR(__xludf.DUMMYFUNCTION("""COMPUTED_VALUE"""),"LOWPLAN")</f>
        <v>LOWPLAN</v>
      </c>
      <c r="Q1066" s="1" t="str">
        <f>IFERROR(__xludf.DUMMYFUNCTION("""COMPUTED_VALUE"""),"P407049")</f>
        <v>P407049</v>
      </c>
      <c r="R1066" s="1" t="str">
        <f>IFERROR(__xludf.DUMMYFUNCTION("""COMPUTED_VALUE"""),"CADERAO, RONALD")</f>
        <v>CADERAO, RONALD</v>
      </c>
      <c r="S1066" s="1" t="str">
        <f>IFERROR(__xludf.DUMMYFUNCTION("""COMPUTED_VALUE"""),"ORGANIC")</f>
        <v>ORGANIC</v>
      </c>
      <c r="T1066" s="1" t="str">
        <f>IFERROR(__xludf.DUMMYFUNCTION("""COMPUTED_VALUE"""),"LEA REMOLLO")</f>
        <v>LEA REMOLLO</v>
      </c>
      <c r="U1066" s="1" t="str">
        <f>IFERROR(__xludf.DUMMYFUNCTION("""COMPUTED_VALUE"""),"JULIE ESPIRITU")</f>
        <v>JULIE ESPIRITU</v>
      </c>
      <c r="V1066" s="1" t="str">
        <f>IFERROR(__xludf.DUMMYFUNCTION("""COMPUTED_VALUE"""),"BK HSTK")</f>
        <v>BK HSTK</v>
      </c>
      <c r="W1066" s="1" t="str">
        <f>IFERROR(__xludf.DUMMYFUNCTION("""COMPUTED_VALUE"""),"BK HSTK")</f>
        <v>BK HSTK</v>
      </c>
      <c r="X1066" s="1" t="str">
        <f>IFERROR(__xludf.DUMMYFUNCTION("""COMPUTED_VALUE"""),"FIBER 1399 98TH YR")</f>
        <v>FIBER 1399 98TH YR</v>
      </c>
      <c r="Y1066" s="1" t="str">
        <f>IFERROR(__xludf.DUMMYFUNCTION("""COMPUTED_VALUE"""),"BK_CVEU_261002")</f>
        <v>BK_CVEU_261002</v>
      </c>
      <c r="Z1066" s="1" t="str">
        <f>IFERROR(__xludf.DUMMYFUNCTION("""COMPUTED_VALUE"""),"NEW CONNECT")</f>
        <v>NEW CONNECT</v>
      </c>
      <c r="AA1066" s="1">
        <f>IFERROR(__xludf.DUMMYFUNCTION("""COMPUTED_VALUE"""),639759447540)</f>
        <v>639759447540</v>
      </c>
      <c r="AB1066" s="1"/>
      <c r="AC1066" s="1">
        <f>IFERROR(__xludf.DUMMYFUNCTION("""COMPUTED_VALUE"""),47)</f>
        <v>47</v>
      </c>
      <c r="AD1066" s="1" t="str">
        <f>IFERROR(__xludf.DUMMYFUNCTION("""COMPUTED_VALUE"""),"FERNANDEZ")</f>
        <v>FERNANDEZ</v>
      </c>
      <c r="AE1066" s="1" t="str">
        <f>IFERROR(__xludf.DUMMYFUNCTION("""COMPUTED_VALUE"""),"PUROK 3B")</f>
        <v>PUROK 3B</v>
      </c>
      <c r="AF1066" s="1" t="str">
        <f>IFERROR(__xludf.DUMMYFUNCTION("""COMPUTED_VALUE"""),"BGY PANGIL")</f>
        <v>BGY PANGIL</v>
      </c>
      <c r="AG1066" s="1" t="str">
        <f>IFERROR(__xludf.DUMMYFUNCTION("""COMPUTED_VALUE"""),"AMADEO")</f>
        <v>AMADEO</v>
      </c>
      <c r="AH1066" s="1" t="str">
        <f>IFERROR(__xludf.DUMMYFUNCTION("""COMPUTED_VALUE"""),"PONIENTE RESORT")</f>
        <v>PONIENTE RESORT</v>
      </c>
      <c r="AI1066" s="1" t="str">
        <f>IFERROR(__xludf.DUMMYFUNCTION("""COMPUTED_VALUE"""),"CLUSTER 12")</f>
        <v>CLUSTER 12</v>
      </c>
    </row>
    <row r="1067" customHeight="1" spans="1:35">
      <c r="A1067" s="3">
        <f>IFERROR(__xludf.DUMMYFUNCTION("""COMPUTED_VALUE"""),46310)</f>
        <v>46310</v>
      </c>
      <c r="B1067" s="1" t="str">
        <f>IFERROR(__xludf.DUMMYFUNCTION("""COMPUTED_VALUE"""),"ELIZA PURIFICACION DERIT")</f>
        <v>ELIZA PURIFICACION DERIT</v>
      </c>
      <c r="C1067" s="1">
        <f>IFERROR(__xludf.DUMMYFUNCTION("""COMPUTED_VALUE"""),2313172956)</f>
        <v>2313172956</v>
      </c>
      <c r="D1067" s="1">
        <f>IFERROR(__xludf.DUMMYFUNCTION("""COMPUTED_VALUE"""),409003125)</f>
        <v>409003125</v>
      </c>
      <c r="E1067" s="1">
        <f>IFERROR(__xludf.DUMMYFUNCTION("""COMPUTED_VALUE"""),475683208004)</f>
        <v>475683208004</v>
      </c>
      <c r="F1067" s="1" t="str">
        <f>IFERROR(__xludf.DUMMYFUNCTION("""COMPUTED_VALUE"""),"CLOSED")</f>
        <v>CLOSED</v>
      </c>
      <c r="G1067" s="1" t="str">
        <f>IFERROR(__xludf.DUMMYFUNCTION("""COMPUTED_VALUE"""),"CLOSED")</f>
        <v>CLOSED</v>
      </c>
      <c r="H1067" s="1" t="str">
        <f>IFERROR(__xludf.DUMMYFUNCTION("""COMPUTED_VALUE"""),"PQGOR367551562	16-Oct-26	Regular Payment	CIS-GCASH 3.0	1,150.00	949652745	16-Oct-26")</f>
        <v>PQGOR367551562	16-Oct-26	Regular Payment	CIS-GCASH 3.0	1,150.00	949652745	16-Oct-26</v>
      </c>
      <c r="I1067" s="1" t="str">
        <f>IFERROR(__xludf.DUMMYFUNCTION("""COMPUTED_VALUE"""),"WITH 1 AMSF")</f>
        <v>WITH 1 AMSF</v>
      </c>
      <c r="J1067" s="1" t="str">
        <f>IFERROR(__xludf.DUMMYFUNCTION("""COMPUTED_VALUE"""),"BALANCE - 108.90")</f>
        <v>BALANCE - 108.90</v>
      </c>
      <c r="K1067" s="1" t="str">
        <f>IFERROR(__xludf.DUMMYFUNCTION("""COMPUTED_VALUE"""),"COMPLETED")</f>
        <v>COMPLETED</v>
      </c>
      <c r="L1067" s="1" t="str">
        <f>IFERROR(__xludf.DUMMYFUNCTION("""COMPUTED_VALUE"""),"POSTED")</f>
        <v>POSTED</v>
      </c>
      <c r="M1067" s="1" t="str">
        <f>IFERROR(__xludf.DUMMYFUNCTION("""COMPUTED_VALUE"""),"POSTED")</f>
        <v>POSTED</v>
      </c>
      <c r="N1067" s="3">
        <f>IFERROR(__xludf.DUMMYFUNCTION("""COMPUTED_VALUE"""),46310)</f>
        <v>46310</v>
      </c>
      <c r="O1067" s="1" t="str">
        <f>IFERROR(__xludf.DUMMYFUNCTION("""COMPUTED_VALUE"""),"FIBR UNLI ALL PLAN 999")</f>
        <v>FIBR UNLI ALL PLAN 999</v>
      </c>
      <c r="P1067" s="1" t="str">
        <f>IFERROR(__xludf.DUMMYFUNCTION("""COMPUTED_VALUE"""),"LOWPLAN")</f>
        <v>LOWPLAN</v>
      </c>
      <c r="Q1067" s="1" t="str">
        <f>IFERROR(__xludf.DUMMYFUNCTION("""COMPUTED_VALUE"""),"P407560")</f>
        <v>P407560</v>
      </c>
      <c r="R1067" s="1" t="str">
        <f>IFERROR(__xludf.DUMMYFUNCTION("""COMPUTED_VALUE"""),"LOTOJA, LOVELY JOICE")</f>
        <v>LOTOJA, LOVELY JOICE</v>
      </c>
      <c r="S1067" s="1" t="str">
        <f>IFERROR(__xludf.DUMMYFUNCTION("""COMPUTED_VALUE"""),"ORGANIC")</f>
        <v>ORGANIC</v>
      </c>
      <c r="T1067" s="1" t="str">
        <f>IFERROR(__xludf.DUMMYFUNCTION("""COMPUTED_VALUE"""),"LEA REMOLLO")</f>
        <v>LEA REMOLLO</v>
      </c>
      <c r="U1067" s="1" t="str">
        <f>IFERROR(__xludf.DUMMYFUNCTION("""COMPUTED_VALUE"""),"JULIE ESPIRITU")</f>
        <v>JULIE ESPIRITU</v>
      </c>
      <c r="V1067" s="1" t="str">
        <f>IFERROR(__xludf.DUMMYFUNCTION("""COMPUTED_VALUE"""),"BK HSTK")</f>
        <v>BK HSTK</v>
      </c>
      <c r="W1067" s="1" t="str">
        <f>IFERROR(__xludf.DUMMYFUNCTION("""COMPUTED_VALUE"""),"BK HSTK")</f>
        <v>BK HSTK</v>
      </c>
      <c r="X1067" s="1" t="str">
        <f>IFERROR(__xludf.DUMMYFUNCTION("""COMPUTED_VALUE"""),"REGULAR")</f>
        <v>REGULAR</v>
      </c>
      <c r="Y1067" s="1" t="str">
        <f>IFERROR(__xludf.DUMMYFUNCTION("""COMPUTED_VALUE"""),"BK_CVEU_261003")</f>
        <v>BK_CVEU_261003</v>
      </c>
      <c r="Z1067" s="1" t="str">
        <f>IFERROR(__xludf.DUMMYFUNCTION("""COMPUTED_VALUE"""),"NEW CONNECT")</f>
        <v>NEW CONNECT</v>
      </c>
      <c r="AA1067" s="1">
        <f>IFERROR(__xludf.DUMMYFUNCTION("""COMPUTED_VALUE"""),639917485675)</f>
        <v>639917485675</v>
      </c>
      <c r="AB1067" s="1"/>
      <c r="AC1067" s="1">
        <f>IFERROR(__xludf.DUMMYFUNCTION("""COMPUTED_VALUE"""),13125)</f>
        <v>13125</v>
      </c>
      <c r="AD1067" s="1" t="str">
        <f>IFERROR(__xludf.DUMMYFUNCTION("""COMPUTED_VALUE"""),"CALUMPANG")</f>
        <v>CALUMPANG</v>
      </c>
      <c r="AE1067" s="1"/>
      <c r="AF1067" s="1" t="str">
        <f>IFERROR(__xludf.DUMMYFUNCTION("""COMPUTED_VALUE"""),"BGY LANTIC")</f>
        <v>BGY LANTIC</v>
      </c>
      <c r="AG1067" s="1" t="str">
        <f>IFERROR(__xludf.DUMMYFUNCTION("""COMPUTED_VALUE"""),"CARMONA")</f>
        <v>CARMONA</v>
      </c>
      <c r="AH1067" s="1" t="str">
        <f>IFERROR(__xludf.DUMMYFUNCTION("""COMPUTED_VALUE"""),"PARK")</f>
        <v>PARK</v>
      </c>
      <c r="AI1067" s="1" t="str">
        <f>IFERROR(__xludf.DUMMYFUNCTION("""COMPUTED_VALUE"""),"CLUSTER 11")</f>
        <v>CLUSTER 11</v>
      </c>
    </row>
    <row r="1068" customHeight="1" spans="1:35">
      <c r="A1068" s="3">
        <f>IFERROR(__xludf.DUMMYFUNCTION("""COMPUTED_VALUE"""),46310)</f>
        <v>46310</v>
      </c>
      <c r="B1068" s="1" t="str">
        <f>IFERROR(__xludf.DUMMYFUNCTION("""COMPUTED_VALUE"""),"JORGE GASI FERNANDEZ")</f>
        <v>JORGE GASI FERNANDEZ</v>
      </c>
      <c r="C1068" s="1">
        <f>IFERROR(__xludf.DUMMYFUNCTION("""COMPUTED_VALUE"""),2313176087)</f>
        <v>2313176087</v>
      </c>
      <c r="D1068" s="1">
        <f>IFERROR(__xludf.DUMMYFUNCTION("""COMPUTED_VALUE"""),409036600)</f>
        <v>409036600</v>
      </c>
      <c r="E1068" s="1">
        <f>IFERROR(__xludf.DUMMYFUNCTION("""COMPUTED_VALUE"""),475839449004)</f>
        <v>475839449004</v>
      </c>
      <c r="F1068" s="1" t="str">
        <f>IFERROR(__xludf.DUMMYFUNCTION("""COMPUTED_VALUE"""),"FOR PAYMENT")</f>
        <v>FOR PAYMENT</v>
      </c>
      <c r="G1068" s="1" t="str">
        <f>IFERROR(__xludf.DUMMYFUNCTION("""COMPUTED_VALUE"""),"FOR PAYMENT")</f>
        <v>FOR PAYMENT</v>
      </c>
      <c r="H1068" s="1" t="str">
        <f>IFERROR(__xludf.DUMMYFUNCTION("""COMPUTED_VALUE"""),"UNATTENDED CBR")</f>
        <v>UNATTENDED CBR</v>
      </c>
      <c r="I1068" s="1"/>
      <c r="J1068" s="1"/>
      <c r="K1068" s="1" t="str">
        <f>IFERROR(__xludf.DUMMYFUNCTION("""COMPUTED_VALUE"""),"NOT IN OFSC")</f>
        <v>NOT IN OFSC</v>
      </c>
      <c r="L1068" s="1" t="str">
        <f>IFERROR(__xludf.DUMMYFUNCTION("""COMPUTED_VALUE"""),"FOR PAYMENT")</f>
        <v>FOR PAYMENT</v>
      </c>
      <c r="M1068" s="1" t="str">
        <f>IFERROR(__xludf.DUMMYFUNCTION("""COMPUTED_VALUE"""),"FOR PAYMENT - FOR CALL OUT")</f>
        <v>FOR PAYMENT - FOR CALL OUT</v>
      </c>
      <c r="N1068" s="3"/>
      <c r="O1068" s="1" t="str">
        <f>IFERROR(__xludf.DUMMYFUNCTION("""COMPUTED_VALUE"""),"FIBR UNLI ALL PLAN 999")</f>
        <v>FIBR UNLI ALL PLAN 999</v>
      </c>
      <c r="P1068" s="1" t="str">
        <f>IFERROR(__xludf.DUMMYFUNCTION("""COMPUTED_VALUE"""),"LOWPLAN")</f>
        <v>LOWPLAN</v>
      </c>
      <c r="Q1068" s="1" t="str">
        <f>IFERROR(__xludf.DUMMYFUNCTION("""COMPUTED_VALUE"""),"P407049")</f>
        <v>P407049</v>
      </c>
      <c r="R1068" s="1" t="str">
        <f>IFERROR(__xludf.DUMMYFUNCTION("""COMPUTED_VALUE"""),"ALINGARO, CINDY")</f>
        <v>ALINGARO, CINDY</v>
      </c>
      <c r="S1068" s="1" t="str">
        <f>IFERROR(__xludf.DUMMYFUNCTION("""COMPUTED_VALUE"""),"ORGANIC")</f>
        <v>ORGANIC</v>
      </c>
      <c r="T1068" s="1" t="str">
        <f>IFERROR(__xludf.DUMMYFUNCTION("""COMPUTED_VALUE"""),"LEA REMOLLO")</f>
        <v>LEA REMOLLO</v>
      </c>
      <c r="U1068" s="1" t="str">
        <f>IFERROR(__xludf.DUMMYFUNCTION("""COMPUTED_VALUE"""),"JULIE ESPIRITU")</f>
        <v>JULIE ESPIRITU</v>
      </c>
      <c r="V1068" s="1" t="str">
        <f>IFERROR(__xludf.DUMMYFUNCTION("""COMPUTED_VALUE"""),"H2H")</f>
        <v>H2H</v>
      </c>
      <c r="W1068" s="1" t="str">
        <f>IFERROR(__xludf.DUMMYFUNCTION("""COMPUTED_VALUE"""),"STK REGULAR")</f>
        <v>STK REGULAR</v>
      </c>
      <c r="X1068" s="1" t="str">
        <f>IFERROR(__xludf.DUMMYFUNCTION("""COMPUTED_VALUE"""),"REGULAR")</f>
        <v>REGULAR</v>
      </c>
      <c r="Y1068" s="1" t="str">
        <f>IFERROR(__xludf.DUMMYFUNCTION("""COMPUTED_VALUE"""),"RS_SS_CVEU_2026")</f>
        <v>RS_SS_CVEU_2026</v>
      </c>
      <c r="Z1068" s="1" t="str">
        <f>IFERROR(__xludf.DUMMYFUNCTION("""COMPUTED_VALUE"""),"NEW CONNECT")</f>
        <v>NEW CONNECT</v>
      </c>
      <c r="AA1068" s="1">
        <f>IFERROR(__xludf.DUMMYFUNCTION("""COMPUTED_VALUE"""),639910619110)</f>
        <v>639910619110</v>
      </c>
      <c r="AB1068" s="1"/>
      <c r="AC1068" s="1">
        <f>IFERROR(__xludf.DUMMYFUNCTION("""COMPUTED_VALUE"""),85)</f>
        <v>85</v>
      </c>
      <c r="AD1068" s="1" t="str">
        <f>IFERROR(__xludf.DUMMYFUNCTION("""COMPUTED_VALUE"""),"ALIANG")</f>
        <v>ALIANG</v>
      </c>
      <c r="AE1068" s="1" t="str">
        <f>IFERROR(__xludf.DUMMYFUNCTION("""COMPUTED_VALUE"""),"PUROK 2")</f>
        <v>PUROK 2</v>
      </c>
      <c r="AF1068" s="1" t="str">
        <f>IFERROR(__xludf.DUMMYFUNCTION("""COMPUTED_VALUE"""),"BGY GREGORIO")</f>
        <v>BGY GREGORIO</v>
      </c>
      <c r="AG1068" s="1" t="str">
        <f>IFERROR(__xludf.DUMMYFUNCTION("""COMPUTED_VALUE"""),"TRECE MARTIREZ CITY")</f>
        <v>TRECE MARTIREZ CITY</v>
      </c>
      <c r="AH1068" s="1"/>
      <c r="AI1068" s="1" t="str">
        <f>IFERROR(__xludf.DUMMYFUNCTION("""COMPUTED_VALUE"""),"NOT AOR")</f>
        <v>NOT AOR</v>
      </c>
    </row>
    <row r="1069" customHeight="1" spans="1:35">
      <c r="A1069" s="3">
        <f>IFERROR(__xludf.DUMMYFUNCTION("""COMPUTED_VALUE"""),46310)</f>
        <v>46310</v>
      </c>
      <c r="B1069" s="1" t="str">
        <f>IFERROR(__xludf.DUMMYFUNCTION("""COMPUTED_VALUE"""),"JHUNIE KYLE PANGANIBAN REYES")</f>
        <v>JHUNIE KYLE PANGANIBAN REYES</v>
      </c>
      <c r="C1069" s="1">
        <f>IFERROR(__xludf.DUMMYFUNCTION("""COMPUTED_VALUE"""),2313176694)</f>
        <v>2313176694</v>
      </c>
      <c r="D1069" s="1">
        <f>IFERROR(__xludf.DUMMYFUNCTION("""COMPUTED_VALUE"""),409010148)</f>
        <v>409010148</v>
      </c>
      <c r="E1069" s="1">
        <f>IFERROR(__xludf.DUMMYFUNCTION("""COMPUTED_VALUE"""),475693774004)</f>
        <v>475693774004</v>
      </c>
      <c r="F1069" s="1" t="str">
        <f>IFERROR(__xludf.DUMMYFUNCTION("""COMPUTED_VALUE"""),"CLOSED")</f>
        <v>CLOSED</v>
      </c>
      <c r="G1069" s="1" t="str">
        <f>IFERROR(__xludf.DUMMYFUNCTION("""COMPUTED_VALUE"""),"CLOSED")</f>
        <v>CLOSED</v>
      </c>
      <c r="H1069" s="1" t="str">
        <f>IFERROR(__xludf.DUMMYFUNCTION("""COMPUTED_VALUE"""),"PAID VIA GCASH REF 191837734 OCT 17")</f>
        <v>PAID VIA GCASH REF 191837734 OCT 17</v>
      </c>
      <c r="I1069" s="1" t="str">
        <f>IFERROR(__xludf.DUMMYFUNCTION("""COMPUTED_VALUE"""),"WITH 1 AMSF")</f>
        <v>WITH 1 AMSF</v>
      </c>
      <c r="J1069" s="1"/>
      <c r="K1069" s="1" t="str">
        <f>IFERROR(__xludf.DUMMYFUNCTION("""COMPUTED_VALUE"""),"COMPLETED")</f>
        <v>COMPLETED</v>
      </c>
      <c r="L1069" s="1" t="str">
        <f>IFERROR(__xludf.DUMMYFUNCTION("""COMPUTED_VALUE"""),"POSTED")</f>
        <v>POSTED</v>
      </c>
      <c r="M1069" s="1" t="str">
        <f>IFERROR(__xludf.DUMMYFUNCTION("""COMPUTED_VALUE"""),"POSTED")</f>
        <v>POSTED</v>
      </c>
      <c r="N1069" s="3">
        <f>IFERROR(__xludf.DUMMYFUNCTION("""COMPUTED_VALUE"""),46313)</f>
        <v>46313</v>
      </c>
      <c r="O1069" s="1" t="str">
        <f>IFERROR(__xludf.DUMMYFUNCTION("""COMPUTED_VALUE"""),"FIBER UNLI PLAN 1399")</f>
        <v>FIBER UNLI PLAN 1399</v>
      </c>
      <c r="P1069" s="1" t="str">
        <f>IFERROR(__xludf.DUMMYFUNCTION("""COMPUTED_VALUE"""),"LOWPLAN")</f>
        <v>LOWPLAN</v>
      </c>
      <c r="Q1069" s="1" t="str">
        <f>IFERROR(__xludf.DUMMYFUNCTION("""COMPUTED_VALUE"""),"P407047")</f>
        <v>P407047</v>
      </c>
      <c r="R1069" s="1" t="str">
        <f>IFERROR(__xludf.DUMMYFUNCTION("""COMPUTED_VALUE"""),"FRANCISCO, ROSELYN")</f>
        <v>FRANCISCO, ROSELYN</v>
      </c>
      <c r="S1069" s="1" t="str">
        <f>IFERROR(__xludf.DUMMYFUNCTION("""COMPUTED_VALUE"""),"ORGANIC")</f>
        <v>ORGANIC</v>
      </c>
      <c r="T1069" s="1" t="str">
        <f>IFERROR(__xludf.DUMMYFUNCTION("""COMPUTED_VALUE"""),"LEA REMOLLO")</f>
        <v>LEA REMOLLO</v>
      </c>
      <c r="U1069" s="1" t="str">
        <f>IFERROR(__xludf.DUMMYFUNCTION("""COMPUTED_VALUE"""),"JULIE ESPIRITU")</f>
        <v>JULIE ESPIRITU</v>
      </c>
      <c r="V1069" s="1" t="str">
        <f>IFERROR(__xludf.DUMMYFUNCTION("""COMPUTED_VALUE"""),"BK HSTK")</f>
        <v>BK HSTK</v>
      </c>
      <c r="W1069" s="1" t="str">
        <f>IFERROR(__xludf.DUMMYFUNCTION("""COMPUTED_VALUE"""),"BK HSTK")</f>
        <v>BK HSTK</v>
      </c>
      <c r="X1069" s="1" t="str">
        <f>IFERROR(__xludf.DUMMYFUNCTION("""COMPUTED_VALUE"""),"FIBER 1399 98TH YR")</f>
        <v>FIBER 1399 98TH YR</v>
      </c>
      <c r="Y1069" s="1" t="str">
        <f>IFERROR(__xludf.DUMMYFUNCTION("""COMPUTED_VALUE"""),"BK_CVEU_261003")</f>
        <v>BK_CVEU_261003</v>
      </c>
      <c r="Z1069" s="1" t="str">
        <f>IFERROR(__xludf.DUMMYFUNCTION("""COMPUTED_VALUE"""),"NEW CONNECT")</f>
        <v>NEW CONNECT</v>
      </c>
      <c r="AA1069" s="1">
        <f>IFERROR(__xludf.DUMMYFUNCTION("""COMPUTED_VALUE"""),639930886193)</f>
        <v>639930886193</v>
      </c>
      <c r="AB1069" s="1">
        <f>IFERROR(__xludf.DUMMYFUNCTION("""COMPUTED_VALUE"""),639814538301)</f>
        <v>639814538301</v>
      </c>
      <c r="AC1069" s="1">
        <f>IFERROR(__xludf.DUMMYFUNCTION("""COMPUTED_VALUE"""),9118)</f>
        <v>9118</v>
      </c>
      <c r="AD1069" s="1" t="str">
        <f>IFERROR(__xludf.DUMMYFUNCTION("""COMPUTED_VALUE"""),"CALUMPANG")</f>
        <v>CALUMPANG</v>
      </c>
      <c r="AE1069" s="1"/>
      <c r="AF1069" s="1" t="str">
        <f>IFERROR(__xludf.DUMMYFUNCTION("""COMPUTED_VALUE"""),"BGY LANTIC")</f>
        <v>BGY LANTIC</v>
      </c>
      <c r="AG1069" s="1" t="str">
        <f>IFERROR(__xludf.DUMMYFUNCTION("""COMPUTED_VALUE"""),"CARMONA")</f>
        <v>CARMONA</v>
      </c>
      <c r="AH1069" s="1" t="str">
        <f>IFERROR(__xludf.DUMMYFUNCTION("""COMPUTED_VALUE"""),"SANCTUARIO DE CARMONA/IGLESIA")</f>
        <v>SANCTUARIO DE CARMONA/IGLESIA</v>
      </c>
      <c r="AI1069" s="1" t="str">
        <f>IFERROR(__xludf.DUMMYFUNCTION("""COMPUTED_VALUE"""),"CLUSTER 11")</f>
        <v>CLUSTER 11</v>
      </c>
    </row>
    <row r="1070" customHeight="1" spans="1:35">
      <c r="A1070" s="3">
        <f>IFERROR(__xludf.DUMMYFUNCTION("""COMPUTED_VALUE"""),46310)</f>
        <v>46310</v>
      </c>
      <c r="B1070" s="1" t="str">
        <f>IFERROR(__xludf.DUMMYFUNCTION("""COMPUTED_VALUE"""),"REYMART SONICO DEAROZ")</f>
        <v>REYMART SONICO DEAROZ</v>
      </c>
      <c r="C1070" s="1">
        <f>IFERROR(__xludf.DUMMYFUNCTION("""COMPUTED_VALUE"""),2313178675)</f>
        <v>2313178675</v>
      </c>
      <c r="D1070" s="1"/>
      <c r="E1070" s="1"/>
      <c r="F1070" s="1" t="str">
        <f>IFERROR(__xludf.DUMMYFUNCTION("""COMPUTED_VALUE"""),"CANCELLED")</f>
        <v>CANCELLED</v>
      </c>
      <c r="G1070" s="1" t="str">
        <f>IFERROR(__xludf.DUMMYFUNCTION("""COMPUTED_VALUE"""),"(WITH BLACKLIST HIT FOR COMPLIANCE) RETURN TO SALES | FOUND BLACKLISTED ACCT (0380958864) WITH OB AMOUNTING (Php2,813.71) FOR SETTLEMENT SAME NAME DIFF ADDRESS | VALIDATED COMPLETE DOCS | CORRECT ENCODED INFO IN CSP | NO EXISTING ACTIVE ACCT AND/OR PENDIN"&amp;"G/CANCELLED APPLICATION | TU SCORING - JJ - 15 (HIGH RISK) | 1 AMSF REQUIRED |")</f>
        <v>(WITH BLACKLIST HIT FOR COMPLIANCE) RETURN TO SALES | FOUND BLACKLISTED ACCT (0380958864) WITH OB AMOUNTING (Php2,813.71) FOR SETTLEMENT SAME NAME DIFF ADDRESS | VALIDATED COMPLETE DOCS | CORRECT ENCODED INFO IN CSP | NO EXISTING ACTIVE ACCT AND/OR PENDING/CANCELLED APPLICATION | TU SCORING - JJ - 15 (HIGH RISK) | 1 AMSF REQUIRED |</v>
      </c>
      <c r="H1070" s="1"/>
      <c r="I1070" s="1"/>
      <c r="J1070" s="1"/>
      <c r="K1070" s="1"/>
      <c r="L1070" s="1" t="str">
        <f>IFERROR(__xludf.DUMMYFUNCTION("""COMPUTED_VALUE"""),"CANCELLED")</f>
        <v>CANCELLED</v>
      </c>
      <c r="M1070" s="1" t="str">
        <f>IFERROR(__xludf.DUMMYFUNCTION("""COMPUTED_VALUE"""),"CANCELLED - WITH OB")</f>
        <v>CANCELLED - WITH OB</v>
      </c>
      <c r="N1070" s="3"/>
      <c r="O1070" s="1" t="str">
        <f>IFERROR(__xludf.DUMMYFUNCTION("""COMPUTED_VALUE"""),"FIBR UNLI ALL PLAN 999")</f>
        <v>FIBR UNLI ALL PLAN 999</v>
      </c>
      <c r="P1070" s="1" t="str">
        <f>IFERROR(__xludf.DUMMYFUNCTION("""COMPUTED_VALUE"""),"LOWPLAN")</f>
        <v>LOWPLAN</v>
      </c>
      <c r="Q1070" s="1" t="str">
        <f>IFERROR(__xludf.DUMMYFUNCTION("""COMPUTED_VALUE"""),"P407561")</f>
        <v>P407561</v>
      </c>
      <c r="R1070" s="1" t="str">
        <f>IFERROR(__xludf.DUMMYFUNCTION("""COMPUTED_VALUE"""),"TAMAYO, MARY ROSE ZAIRA")</f>
        <v>TAMAYO, MARY ROSE ZAIRA</v>
      </c>
      <c r="S1070" s="1" t="str">
        <f>IFERROR(__xludf.DUMMYFUNCTION("""COMPUTED_VALUE"""),"ORGANIC")</f>
        <v>ORGANIC</v>
      </c>
      <c r="T1070" s="1" t="str">
        <f>IFERROR(__xludf.DUMMYFUNCTION("""COMPUTED_VALUE"""),"LEA REMOLLO")</f>
        <v>LEA REMOLLO</v>
      </c>
      <c r="U1070" s="1" t="str">
        <f>IFERROR(__xludf.DUMMYFUNCTION("""COMPUTED_VALUE"""),"JULIE ESPIRITU")</f>
        <v>JULIE ESPIRITU</v>
      </c>
      <c r="V1070" s="1" t="str">
        <f>IFERROR(__xludf.DUMMYFUNCTION("""COMPUTED_VALUE"""),"BK HSTK")</f>
        <v>BK HSTK</v>
      </c>
      <c r="W1070" s="1" t="str">
        <f>IFERROR(__xludf.DUMMYFUNCTION("""COMPUTED_VALUE"""),"BK HSTK")</f>
        <v>BK HSTK</v>
      </c>
      <c r="X1070" s="1" t="str">
        <f>IFERROR(__xludf.DUMMYFUNCTION("""COMPUTED_VALUE"""),"REGULAR")</f>
        <v>REGULAR</v>
      </c>
      <c r="Y1070" s="1" t="str">
        <f>IFERROR(__xludf.DUMMYFUNCTION("""COMPUTED_VALUE"""),"BK_CVEU_261004")</f>
        <v>BK_CVEU_261004</v>
      </c>
      <c r="Z1070" s="1" t="str">
        <f>IFERROR(__xludf.DUMMYFUNCTION("""COMPUTED_VALUE"""),"NEW CONNECT")</f>
        <v>NEW CONNECT</v>
      </c>
      <c r="AA1070" s="1">
        <f>IFERROR(__xludf.DUMMYFUNCTION("""COMPUTED_VALUE"""),639368968299)</f>
        <v>639368968299</v>
      </c>
      <c r="AB1070" s="1">
        <f>IFERROR(__xludf.DUMMYFUNCTION("""COMPUTED_VALUE"""),639099179298)</f>
        <v>639099179298</v>
      </c>
      <c r="AC1070" s="1"/>
      <c r="AD1070" s="1" t="str">
        <f>IFERROR(__xludf.DUMMYFUNCTION("""COMPUTED_VALUE"""),"F REYES")</f>
        <v>F REYES</v>
      </c>
      <c r="AE1070" s="1"/>
      <c r="AF1070" s="1" t="str">
        <f>IFERROR(__xludf.DUMMYFUNCTION("""COMPUTED_VALUE"""),"BGY FRANCISCO REYES")</f>
        <v>BGY FRANCISCO REYES</v>
      </c>
      <c r="AG1070" s="1" t="str">
        <f>IFERROR(__xludf.DUMMYFUNCTION("""COMPUTED_VALUE"""),"GEN MARIANO ALVAREZ")</f>
        <v>GEN MARIANO ALVAREZ</v>
      </c>
      <c r="AH1070" s="1" t="str">
        <f>IFERROR(__xludf.DUMMYFUNCTION("""COMPUTED_VALUE"""),"ILLONGOS LECHON")</f>
        <v>ILLONGOS LECHON</v>
      </c>
      <c r="AI1070" s="1" t="str">
        <f>IFERROR(__xludf.DUMMYFUNCTION("""COMPUTED_VALUE"""),"CLUSTER 11")</f>
        <v>CLUSTER 11</v>
      </c>
    </row>
    <row r="1071" customHeight="1" spans="1:35">
      <c r="A1071" s="3">
        <f>IFERROR(__xludf.DUMMYFUNCTION("""COMPUTED_VALUE"""),46310)</f>
        <v>46310</v>
      </c>
      <c r="B1071" s="1" t="str">
        <f>IFERROR(__xludf.DUMMYFUNCTION("""COMPUTED_VALUE"""),"IVAN JOSHUA CRUZ MATIENZO")</f>
        <v>IVAN JOSHUA CRUZ MATIENZO</v>
      </c>
      <c r="C1071" s="1">
        <f>IFERROR(__xludf.DUMMYFUNCTION("""COMPUTED_VALUE"""),2313178990)</f>
        <v>2313178990</v>
      </c>
      <c r="D1071" s="1">
        <f>IFERROR(__xludf.DUMMYFUNCTION("""COMPUTED_VALUE"""),409018432)</f>
        <v>409018432</v>
      </c>
      <c r="E1071" s="1">
        <f>IFERROR(__xludf.DUMMYFUNCTION("""COMPUTED_VALUE"""),475703539004)</f>
        <v>475703539004</v>
      </c>
      <c r="F1071" s="1" t="str">
        <f>IFERROR(__xludf.DUMMYFUNCTION("""COMPUTED_VALUE"""),"CLOSED")</f>
        <v>CLOSED</v>
      </c>
      <c r="G1071" s="1" t="str">
        <f>IFERROR(__xludf.DUMMYFUNCTION("""COMPUTED_VALUE"""),"CLOSED")</f>
        <v>CLOSED</v>
      </c>
      <c r="H1071" s="1" t="str">
        <f>IFERROR(__xludf.DUMMYFUNCTION("""COMPUTED_VALUE"""),"PAID VIA GCASH REF 634640802 OCT 17")</f>
        <v>PAID VIA GCASH REF 634640802 OCT 17</v>
      </c>
      <c r="I1071" s="1" t="str">
        <f>IFERROR(__xludf.DUMMYFUNCTION("""COMPUTED_VALUE"""),"WITH 1 AMSF")</f>
        <v>WITH 1 AMSF</v>
      </c>
      <c r="J1071" s="1"/>
      <c r="K1071" s="1" t="str">
        <f>IFERROR(__xludf.DUMMYFUNCTION("""COMPUTED_VALUE"""),"COMPLETED")</f>
        <v>COMPLETED</v>
      </c>
      <c r="L1071" s="1" t="str">
        <f>IFERROR(__xludf.DUMMYFUNCTION("""COMPUTED_VALUE"""),"POSTED")</f>
        <v>POSTED</v>
      </c>
      <c r="M1071" s="1" t="str">
        <f>IFERROR(__xludf.DUMMYFUNCTION("""COMPUTED_VALUE"""),"POSTED")</f>
        <v>POSTED</v>
      </c>
      <c r="N1071" s="3">
        <f>IFERROR(__xludf.DUMMYFUNCTION("""COMPUTED_VALUE"""),46312)</f>
        <v>46312</v>
      </c>
      <c r="O1071" s="1" t="str">
        <f>IFERROR(__xludf.DUMMYFUNCTION("""COMPUTED_VALUE"""),"FIBER UNLI ALL PLAN 1499")</f>
        <v>FIBER UNLI ALL PLAN 1499</v>
      </c>
      <c r="P1071" s="1" t="str">
        <f>IFERROR(__xludf.DUMMYFUNCTION("""COMPUTED_VALUE"""),"LOWPLAN")</f>
        <v>LOWPLAN</v>
      </c>
      <c r="Q1071" s="1" t="str">
        <f>IFERROR(__xludf.DUMMYFUNCTION("""COMPUTED_VALUE"""),"P407564")</f>
        <v>P407564</v>
      </c>
      <c r="R1071" s="1" t="str">
        <f>IFERROR(__xludf.DUMMYFUNCTION("""COMPUTED_VALUE"""),"ARENA, LYKA")</f>
        <v>ARENA, LYKA</v>
      </c>
      <c r="S1071" s="1" t="str">
        <f>IFERROR(__xludf.DUMMYFUNCTION("""COMPUTED_VALUE"""),"ORGANIC")</f>
        <v>ORGANIC</v>
      </c>
      <c r="T1071" s="1" t="str">
        <f>IFERROR(__xludf.DUMMYFUNCTION("""COMPUTED_VALUE"""),"LEA REMOLLO")</f>
        <v>LEA REMOLLO</v>
      </c>
      <c r="U1071" s="1" t="str">
        <f>IFERROR(__xludf.DUMMYFUNCTION("""COMPUTED_VALUE"""),"JULIE ESPIRITU")</f>
        <v>JULIE ESPIRITU</v>
      </c>
      <c r="V1071" s="1" t="str">
        <f>IFERROR(__xludf.DUMMYFUNCTION("""COMPUTED_VALUE"""),"BK HSTK")</f>
        <v>BK HSTK</v>
      </c>
      <c r="W1071" s="1" t="str">
        <f>IFERROR(__xludf.DUMMYFUNCTION("""COMPUTED_VALUE"""),"BK HSTK")</f>
        <v>BK HSTK</v>
      </c>
      <c r="X1071" s="1" t="str">
        <f>IFERROR(__xludf.DUMMYFUNCTION("""COMPUTED_VALUE"""),"REGULAR")</f>
        <v>REGULAR</v>
      </c>
      <c r="Y1071" s="1" t="str">
        <f>IFERROR(__xludf.DUMMYFUNCTION("""COMPUTED_VALUE"""),"BK_CVEU_261006")</f>
        <v>BK_CVEU_261006</v>
      </c>
      <c r="Z1071" s="1" t="str">
        <f>IFERROR(__xludf.DUMMYFUNCTION("""COMPUTED_VALUE"""),"NEW CONNECT")</f>
        <v>NEW CONNECT</v>
      </c>
      <c r="AA1071" s="1">
        <f>IFERROR(__xludf.DUMMYFUNCTION("""COMPUTED_VALUE"""),639171781816)</f>
        <v>639171781816</v>
      </c>
      <c r="AB1071" s="1"/>
      <c r="AC1071" s="1">
        <f>IFERROR(__xludf.DUMMYFUNCTION("""COMPUTED_VALUE"""),1)</f>
        <v>1</v>
      </c>
      <c r="AD1071" s="1" t="str">
        <f>IFERROR(__xludf.DUMMYFUNCTION("""COMPUTED_VALUE"""),"BAYLA")</f>
        <v>BAYLA</v>
      </c>
      <c r="AE1071" s="1" t="str">
        <f>IFERROR(__xludf.DUMMYFUNCTION("""COMPUTED_VALUE"""),"PUROK 5")</f>
        <v>PUROK 5</v>
      </c>
      <c r="AF1071" s="1" t="str">
        <f>IFERROR(__xludf.DUMMYFUNCTION("""COMPUTED_VALUE"""),"BGY LUMIL")</f>
        <v>BGY LUMIL</v>
      </c>
      <c r="AG1071" s="1" t="str">
        <f>IFERROR(__xludf.DUMMYFUNCTION("""COMPUTED_VALUE"""),"SILANG")</f>
        <v>SILANG</v>
      </c>
      <c r="AH1071" s="1" t="str">
        <f>IFERROR(__xludf.DUMMYFUNCTION("""COMPUTED_VALUE"""),"CALTEX LUMIL")</f>
        <v>CALTEX LUMIL</v>
      </c>
      <c r="AI1071" s="1" t="str">
        <f>IFERROR(__xludf.DUMMYFUNCTION("""COMPUTED_VALUE"""),"CLUSTER 11")</f>
        <v>CLUSTER 11</v>
      </c>
    </row>
    <row r="1072" customHeight="1" spans="1:35">
      <c r="A1072" s="3">
        <f>IFERROR(__xludf.DUMMYFUNCTION("""COMPUTED_VALUE"""),46310)</f>
        <v>46310</v>
      </c>
      <c r="B1072" s="1" t="str">
        <f>IFERROR(__xludf.DUMMYFUNCTION("""COMPUTED_VALUE"""),"JUNJIE NOBILA TOLIN")</f>
        <v>JUNJIE NOBILA TOLIN</v>
      </c>
      <c r="C1072" s="1">
        <f>IFERROR(__xludf.DUMMYFUNCTION("""COMPUTED_VALUE"""),2313179548)</f>
        <v>2313179548</v>
      </c>
      <c r="D1072" s="1">
        <f>IFERROR(__xludf.DUMMYFUNCTION("""COMPUTED_VALUE"""),409053521)</f>
        <v>409053521</v>
      </c>
      <c r="E1072" s="1">
        <f>IFERROR(__xludf.DUMMYFUNCTION("""COMPUTED_VALUE"""),475871598004)</f>
        <v>475871598004</v>
      </c>
      <c r="F1072" s="1" t="str">
        <f>IFERROR(__xludf.DUMMYFUNCTION("""COMPUTED_VALUE"""),"CLOSED")</f>
        <v>CLOSED</v>
      </c>
      <c r="G1072" s="1" t="str">
        <f>IFERROR(__xludf.DUMMYFUNCTION("""COMPUTED_VALUE"""),"CLOSED")</f>
        <v>CLOSED</v>
      </c>
      <c r="H1072" s="1" t="str">
        <f>IFERROR(__xludf.DUMMYFUNCTION("""COMPUTED_VALUE"""),"CBR RINGING ONLY")</f>
        <v>CBR RINGING ONLY</v>
      </c>
      <c r="I1072" s="1"/>
      <c r="J1072" s="1"/>
      <c r="K1072" s="1" t="str">
        <f>IFERROR(__xludf.DUMMYFUNCTION("""COMPUTED_VALUE"""),"NOT IN OFSC")</f>
        <v>NOT IN OFSC</v>
      </c>
      <c r="L1072" s="1" t="str">
        <f>IFERROR(__xludf.DUMMYFUNCTION("""COMPUTED_VALUE"""),"POSTED")</f>
        <v>POSTED</v>
      </c>
      <c r="M1072" s="1" t="str">
        <f>IFERROR(__xludf.DUMMYFUNCTION("""COMPUTED_VALUE"""),"POSTED")</f>
        <v>POSTED</v>
      </c>
      <c r="N1072" s="3">
        <f>IFERROR(__xludf.DUMMYFUNCTION("""COMPUTED_VALUE"""),46317)</f>
        <v>46317</v>
      </c>
      <c r="O1072" s="1" t="str">
        <f>IFERROR(__xludf.DUMMYFUNCTION("""COMPUTED_VALUE"""),"FIBER UNLI ALL PLAN 1499")</f>
        <v>FIBER UNLI ALL PLAN 1499</v>
      </c>
      <c r="P1072" s="1" t="str">
        <f>IFERROR(__xludf.DUMMYFUNCTION("""COMPUTED_VALUE"""),"LOWPLAN")</f>
        <v>LOWPLAN</v>
      </c>
      <c r="Q1072" s="1" t="str">
        <f>IFERROR(__xludf.DUMMYFUNCTION("""COMPUTED_VALUE"""),"P407561 ")</f>
        <v>P407561 </v>
      </c>
      <c r="R1072" s="1" t="str">
        <f>IFERROR(__xludf.DUMMYFUNCTION("""COMPUTED_VALUE"""),"TAMAYO, MARY ROSE ZAIRA")</f>
        <v>TAMAYO, MARY ROSE ZAIRA</v>
      </c>
      <c r="S1072" s="1" t="str">
        <f>IFERROR(__xludf.DUMMYFUNCTION("""COMPUTED_VALUE"""),"ORGANIC")</f>
        <v>ORGANIC</v>
      </c>
      <c r="T1072" s="1" t="str">
        <f>IFERROR(__xludf.DUMMYFUNCTION("""COMPUTED_VALUE"""),"LEA REMOLLO")</f>
        <v>LEA REMOLLO</v>
      </c>
      <c r="U1072" s="1" t="str">
        <f>IFERROR(__xludf.DUMMYFUNCTION("""COMPUTED_VALUE"""),"MARK MALIWAT")</f>
        <v>MARK MALIWAT</v>
      </c>
      <c r="V1072" s="1" t="str">
        <f>IFERROR(__xludf.DUMMYFUNCTION("""COMPUTED_VALUE"""),"BK HSTK")</f>
        <v>BK HSTK</v>
      </c>
      <c r="W1072" s="1" t="str">
        <f>IFERROR(__xludf.DUMMYFUNCTION("""COMPUTED_VALUE"""),"STK REGULAR")</f>
        <v>STK REGULAR</v>
      </c>
      <c r="X1072" s="1" t="str">
        <f>IFERROR(__xludf.DUMMYFUNCTION("""COMPUTED_VALUE"""),"REGULAR")</f>
        <v>REGULAR</v>
      </c>
      <c r="Y1072" s="1" t="str">
        <f>IFERROR(__xludf.DUMMYFUNCTION("""COMPUTED_VALUE"""),"BK_CVEU_261002")</f>
        <v>BK_CVEU_261002</v>
      </c>
      <c r="Z1072" s="1" t="str">
        <f>IFERROR(__xludf.DUMMYFUNCTION("""COMPUTED_VALUE"""),"NEW CONNECT")</f>
        <v>NEW CONNECT</v>
      </c>
      <c r="AA1072" s="1">
        <f>IFERROR(__xludf.DUMMYFUNCTION("""COMPUTED_VALUE"""),639082887876)</f>
        <v>639082887876</v>
      </c>
      <c r="AB1072" s="1"/>
      <c r="AC1072" s="1">
        <f>IFERROR(__xludf.DUMMYFUNCTION("""COMPUTED_VALUE"""),2)</f>
        <v>2</v>
      </c>
      <c r="AD1072" s="1" t="str">
        <f>IFERROR(__xludf.DUMMYFUNCTION("""COMPUTED_VALUE"""),"PUROK 6")</f>
        <v>PUROK 6</v>
      </c>
      <c r="AE1072" s="1"/>
      <c r="AF1072" s="1" t="str">
        <f>IFERROR(__xludf.DUMMYFUNCTION("""COMPUTED_VALUE"""),"BGY TALON")</f>
        <v>BGY TALON</v>
      </c>
      <c r="AG1072" s="1" t="str">
        <f>IFERROR(__xludf.DUMMYFUNCTION("""COMPUTED_VALUE"""),"AMADEO")</f>
        <v>AMADEO</v>
      </c>
      <c r="AH1072" s="1"/>
      <c r="AI1072" s="1" t="str">
        <f>IFERROR(__xludf.DUMMYFUNCTION("""COMPUTED_VALUE"""),"CLUSTER 12")</f>
        <v>CLUSTER 12</v>
      </c>
    </row>
    <row r="1073" customHeight="1" spans="1:35">
      <c r="A1073" s="3">
        <f>IFERROR(__xludf.DUMMYFUNCTION("""COMPUTED_VALUE"""),46310)</f>
        <v>46310</v>
      </c>
      <c r="B1073" s="1" t="str">
        <f>IFERROR(__xludf.DUMMYFUNCTION("""COMPUTED_VALUE"""),"BAILINDA AMEROL EMAN")</f>
        <v>BAILINDA AMEROL EMAN</v>
      </c>
      <c r="C1073" s="1">
        <f>IFERROR(__xludf.DUMMYFUNCTION("""COMPUTED_VALUE"""),2313179487)</f>
        <v>2313179487</v>
      </c>
      <c r="D1073" s="1">
        <f>IFERROR(__xludf.DUMMYFUNCTION("""COMPUTED_VALUE"""),409021956)</f>
        <v>409021956</v>
      </c>
      <c r="E1073" s="1">
        <f>IFERROR(__xludf.DUMMYFUNCTION("""COMPUTED_VALUE"""),475723335004)</f>
        <v>475723335004</v>
      </c>
      <c r="F1073" s="1" t="str">
        <f>IFERROR(__xludf.DUMMYFUNCTION("""COMPUTED_VALUE"""),"CLOSED")</f>
        <v>CLOSED</v>
      </c>
      <c r="G1073" s="1" t="str">
        <f>IFERROR(__xludf.DUMMYFUNCTION("""COMPUTED_VALUE"""),"CLOSED")</f>
        <v>CLOSED</v>
      </c>
      <c r="H1073" s="1" t="str">
        <f>IFERROR(__xludf.DUMMYFUNCTION("""COMPUTED_VALUE"""),"PAID VIA GACSH REF 880036862 OCT16")</f>
        <v>PAID VIA GACSH REF 880036862 OCT16</v>
      </c>
      <c r="I1073" s="1" t="str">
        <f>IFERROR(__xludf.DUMMYFUNCTION("""COMPUTED_VALUE"""),"WITH 1 AMSF")</f>
        <v>WITH 1 AMSF</v>
      </c>
      <c r="J1073" s="1"/>
      <c r="K1073" s="1" t="str">
        <f>IFERROR(__xludf.DUMMYFUNCTION("""COMPUTED_VALUE"""),"COMPLETED")</f>
        <v>COMPLETED</v>
      </c>
      <c r="L1073" s="1" t="str">
        <f>IFERROR(__xludf.DUMMYFUNCTION("""COMPUTED_VALUE"""),"POSTED")</f>
        <v>POSTED</v>
      </c>
      <c r="M1073" s="1" t="str">
        <f>IFERROR(__xludf.DUMMYFUNCTION("""COMPUTED_VALUE"""),"POSTED")</f>
        <v>POSTED</v>
      </c>
      <c r="N1073" s="3">
        <f>IFERROR(__xludf.DUMMYFUNCTION("""COMPUTED_VALUE"""),46312)</f>
        <v>46312</v>
      </c>
      <c r="O1073" s="1" t="str">
        <f>IFERROR(__xludf.DUMMYFUNCTION("""COMPUTED_VALUE"""),"FIBER UNLI PLAN 1399")</f>
        <v>FIBER UNLI PLAN 1399</v>
      </c>
      <c r="P1073" s="1" t="str">
        <f>IFERROR(__xludf.DUMMYFUNCTION("""COMPUTED_VALUE"""),"LOWPLAN")</f>
        <v>LOWPLAN</v>
      </c>
      <c r="Q1073" s="1" t="str">
        <f>IFERROR(__xludf.DUMMYFUNCTION("""COMPUTED_VALUE"""),"P407045")</f>
        <v>P407045</v>
      </c>
      <c r="R1073" s="1" t="str">
        <f>IFERROR(__xludf.DUMMYFUNCTION("""COMPUTED_VALUE"""),"REMOLLO, LEA")</f>
        <v>REMOLLO, LEA</v>
      </c>
      <c r="S1073" s="1" t="str">
        <f>IFERROR(__xludf.DUMMYFUNCTION("""COMPUTED_VALUE"""),"FLA")</f>
        <v>FLA</v>
      </c>
      <c r="T1073" s="1" t="str">
        <f>IFERROR(__xludf.DUMMYFUNCTION("""COMPUTED_VALUE"""),"JERIC NAVARRO")</f>
        <v>JERIC NAVARRO</v>
      </c>
      <c r="U1073" s="1" t="str">
        <f>IFERROR(__xludf.DUMMYFUNCTION("""COMPUTED_VALUE"""),"JULIE ESPIRITU")</f>
        <v>JULIE ESPIRITU</v>
      </c>
      <c r="V1073" s="1" t="str">
        <f>IFERROR(__xludf.DUMMYFUNCTION("""COMPUTED_VALUE"""),"BK REGULAR")</f>
        <v>BK REGULAR</v>
      </c>
      <c r="W1073" s="1" t="str">
        <f>IFERROR(__xludf.DUMMYFUNCTION("""COMPUTED_VALUE"""),"STK REGULAR")</f>
        <v>STK REGULAR</v>
      </c>
      <c r="X1073" s="1" t="str">
        <f>IFERROR(__xludf.DUMMYFUNCTION("""COMPUTED_VALUE"""),"FIBER 1399 98TH YR")</f>
        <v>FIBER 1399 98TH YR</v>
      </c>
      <c r="Y1073" s="1" t="str">
        <f>IFERROR(__xludf.DUMMYFUNCTION("""COMPUTED_VALUE"""),"BK_CVEU_261007")</f>
        <v>BK_CVEU_261007</v>
      </c>
      <c r="Z1073" s="1" t="str">
        <f>IFERROR(__xludf.DUMMYFUNCTION("""COMPUTED_VALUE"""),"NEW CONNECT")</f>
        <v>NEW CONNECT</v>
      </c>
      <c r="AA1073" s="1">
        <f>IFERROR(__xludf.DUMMYFUNCTION("""COMPUTED_VALUE"""),639383610306)</f>
        <v>639383610306</v>
      </c>
      <c r="AB1073" s="1"/>
      <c r="AC1073" s="1">
        <f>IFERROR(__xludf.DUMMYFUNCTION("""COMPUTED_VALUE"""),20)</f>
        <v>20</v>
      </c>
      <c r="AD1073" s="1" t="str">
        <f>IFERROR(__xludf.DUMMYFUNCTION("""COMPUTED_VALUE"""),"OLIVAREZ")</f>
        <v>OLIVAREZ</v>
      </c>
      <c r="AE1073" s="1"/>
      <c r="AF1073" s="1" t="str">
        <f>IFERROR(__xludf.DUMMYFUNCTION("""COMPUTED_VALUE"""),"BGY SAN JOSE")</f>
        <v>BGY SAN JOSE</v>
      </c>
      <c r="AG1073" s="1" t="str">
        <f>IFERROR(__xludf.DUMMYFUNCTION("""COMPUTED_VALUE"""),"TAGAYTAY")</f>
        <v>TAGAYTAY</v>
      </c>
      <c r="AH1073" s="1" t="str">
        <f>IFERROR(__xludf.DUMMYFUNCTION("""COMPUTED_VALUE"""),"OLIVAREZ PLAZA")</f>
        <v>OLIVAREZ PLAZA</v>
      </c>
      <c r="AI1073" s="1" t="str">
        <f>IFERROR(__xludf.DUMMYFUNCTION("""COMPUTED_VALUE"""),"CLUSTER 12")</f>
        <v>CLUSTER 12</v>
      </c>
    </row>
    <row r="1074" customHeight="1" spans="1:35">
      <c r="A1074" s="3">
        <f>IFERROR(__xludf.DUMMYFUNCTION("""COMPUTED_VALUE"""),46310)</f>
        <v>46310</v>
      </c>
      <c r="B1074" s="1" t="str">
        <f>IFERROR(__xludf.DUMMYFUNCTION("""COMPUTED_VALUE"""),"MARK ANDREI LABANON FERMIZA")</f>
        <v>MARK ANDREI LABANON FERMIZA</v>
      </c>
      <c r="C1074" s="1">
        <f>IFERROR(__xludf.DUMMYFUNCTION("""COMPUTED_VALUE"""),2313182632)</f>
        <v>2313182632</v>
      </c>
      <c r="D1074" s="1">
        <f>IFERROR(__xludf.DUMMYFUNCTION("""COMPUTED_VALUE"""),409053149)</f>
        <v>409053149</v>
      </c>
      <c r="E1074" s="1">
        <f>IFERROR(__xludf.DUMMYFUNCTION("""COMPUTED_VALUE"""),475868779004)</f>
        <v>475868779004</v>
      </c>
      <c r="F1074" s="1" t="str">
        <f>IFERROR(__xludf.DUMMYFUNCTION("""COMPUTED_VALUE"""),"CLOSED")</f>
        <v>CLOSED</v>
      </c>
      <c r="G1074" s="1" t="str">
        <f>IFERROR(__xludf.DUMMYFUNCTION("""COMPUTED_VALUE"""),"CLOSED")</f>
        <v>CLOSED</v>
      </c>
      <c r="H1074" s="1"/>
      <c r="I1074" s="1" t="str">
        <f>IFERROR(__xludf.DUMMYFUNCTION("""COMPUTED_VALUE"""),"NO 1 AMSF")</f>
        <v>NO 1 AMSF</v>
      </c>
      <c r="J1074" s="1" t="str">
        <f>IFERROR(__xludf.DUMMYFUNCTION("""COMPUTED_VALUE"""),"DUE DATE - 11-Nov-26 - 1,445.64")</f>
        <v>DUE DATE - 11-Nov-26 - 1,445.64</v>
      </c>
      <c r="K1074" s="1" t="str">
        <f>IFERROR(__xludf.DUMMYFUNCTION("""COMPUTED_VALUE"""),"COMPLETED")</f>
        <v>COMPLETED</v>
      </c>
      <c r="L1074" s="1" t="str">
        <f>IFERROR(__xludf.DUMMYFUNCTION("""COMPUTED_VALUE"""),"POSTED")</f>
        <v>POSTED</v>
      </c>
      <c r="M1074" s="1" t="str">
        <f>IFERROR(__xludf.DUMMYFUNCTION("""COMPUTED_VALUE"""),"POSTED")</f>
        <v>POSTED</v>
      </c>
      <c r="N1074" s="3">
        <f>IFERROR(__xludf.DUMMYFUNCTION("""COMPUTED_VALUE"""),46312)</f>
        <v>46312</v>
      </c>
      <c r="O1074" s="1" t="str">
        <f>IFERROR(__xludf.DUMMYFUNCTION("""COMPUTED_VALUE"""),"FIBER UNLI PLAN 1399")</f>
        <v>FIBER UNLI PLAN 1399</v>
      </c>
      <c r="P1074" s="1" t="str">
        <f>IFERROR(__xludf.DUMMYFUNCTION("""COMPUTED_VALUE"""),"LOWPLAN")</f>
        <v>LOWPLAN</v>
      </c>
      <c r="Q1074" s="1" t="str">
        <f>IFERROR(__xludf.DUMMYFUNCTION("""COMPUTED_VALUE"""),"P407560")</f>
        <v>P407560</v>
      </c>
      <c r="R1074" s="1" t="str">
        <f>IFERROR(__xludf.DUMMYFUNCTION("""COMPUTED_VALUE"""),"DACLAN, IVY")</f>
        <v>DACLAN, IVY</v>
      </c>
      <c r="S1074" s="1" t="str">
        <f>IFERROR(__xludf.DUMMYFUNCTION("""COMPUTED_VALUE"""),"ORGANIC")</f>
        <v>ORGANIC</v>
      </c>
      <c r="T1074" s="1" t="str">
        <f>IFERROR(__xludf.DUMMYFUNCTION("""COMPUTED_VALUE"""),"LEA REMOLLO")</f>
        <v>LEA REMOLLO</v>
      </c>
      <c r="U1074" s="1" t="str">
        <f>IFERROR(__xludf.DUMMYFUNCTION("""COMPUTED_VALUE"""),"JULIE ESPIRITU")</f>
        <v>JULIE ESPIRITU</v>
      </c>
      <c r="V1074" s="1" t="str">
        <f>IFERROR(__xludf.DUMMYFUNCTION("""COMPUTED_VALUE"""),"BK REGULAR")</f>
        <v>BK REGULAR</v>
      </c>
      <c r="W1074" s="1" t="str">
        <f>IFERROR(__xludf.DUMMYFUNCTION("""COMPUTED_VALUE"""),"STK REGULAR")</f>
        <v>STK REGULAR</v>
      </c>
      <c r="X1074" s="1" t="str">
        <f>IFERROR(__xludf.DUMMYFUNCTION("""COMPUTED_VALUE"""),"FIBER 1399 98TH YR")</f>
        <v>FIBER 1399 98TH YR</v>
      </c>
      <c r="Y1074" s="1" t="str">
        <f>IFERROR(__xludf.DUMMYFUNCTION("""COMPUTED_VALUE"""),"BK_CVEU_261004")</f>
        <v>BK_CVEU_261004</v>
      </c>
      <c r="Z1074" s="1" t="str">
        <f>IFERROR(__xludf.DUMMYFUNCTION("""COMPUTED_VALUE"""),"NEW CONNECT")</f>
        <v>NEW CONNECT</v>
      </c>
      <c r="AA1074" s="1">
        <f>IFERROR(__xludf.DUMMYFUNCTION("""COMPUTED_VALUE"""),639515876762)</f>
        <v>639515876762</v>
      </c>
      <c r="AB1074" s="1"/>
      <c r="AC1074" s="1"/>
      <c r="AD1074" s="1" t="str">
        <f>IFERROR(__xludf.DUMMYFUNCTION("""COMPUTED_VALUE"""),"POBLACION 3")</f>
        <v>POBLACION 3</v>
      </c>
      <c r="AE1074" s="1"/>
      <c r="AF1074" s="1" t="str">
        <f>IFERROR(__xludf.DUMMYFUNCTION("""COMPUTED_VALUE"""),"BGY POBLACION 3")</f>
        <v>BGY POBLACION 3</v>
      </c>
      <c r="AG1074" s="1" t="str">
        <f>IFERROR(__xludf.DUMMYFUNCTION("""COMPUTED_VALUE"""),"GEN MARIANO ALVAREZ")</f>
        <v>GEN MARIANO ALVAREZ</v>
      </c>
      <c r="AH1074" s="1" t="str">
        <f>IFERROR(__xludf.DUMMYFUNCTION("""COMPUTED_VALUE"""),"BILIHAN NG MIRYENDA")</f>
        <v>BILIHAN NG MIRYENDA</v>
      </c>
      <c r="AI1074" s="1" t="str">
        <f>IFERROR(__xludf.DUMMYFUNCTION("""COMPUTED_VALUE"""),"CLUSTER 11")</f>
        <v>CLUSTER 11</v>
      </c>
    </row>
    <row r="1075" customHeight="1" spans="1:35">
      <c r="A1075" s="3">
        <f>IFERROR(__xludf.DUMMYFUNCTION("""COMPUTED_VALUE"""),46310)</f>
        <v>46310</v>
      </c>
      <c r="B1075" s="1" t="str">
        <f>IFERROR(__xludf.DUMMYFUNCTION("""COMPUTED_VALUE"""),"ROCHELLE GARCIA MAGALLANES")</f>
        <v>ROCHELLE GARCIA MAGALLANES</v>
      </c>
      <c r="C1075" s="1">
        <f>IFERROR(__xludf.DUMMYFUNCTION("""COMPUTED_VALUE"""),2313182411)</f>
        <v>2313182411</v>
      </c>
      <c r="D1075" s="1">
        <f>IFERROR(__xludf.DUMMYFUNCTION("""COMPUTED_VALUE"""),409031536)</f>
        <v>409031536</v>
      </c>
      <c r="E1075" s="1">
        <f>IFERROR(__xludf.DUMMYFUNCTION("""COMPUTED_VALUE"""),475827843004)</f>
        <v>475827843004</v>
      </c>
      <c r="F1075" s="1" t="str">
        <f>IFERROR(__xludf.DUMMYFUNCTION("""COMPUTED_VALUE"""),"FOR PAYMENT")</f>
        <v>FOR PAYMENT</v>
      </c>
      <c r="G1075" s="1" t="str">
        <f>IFERROR(__xludf.DUMMYFUNCTION("""COMPUTED_VALUE"""),"FOR PAYMENT")</f>
        <v>FOR PAYMENT</v>
      </c>
      <c r="H1075" s="1" t="str">
        <f>IFERROR(__xludf.DUMMYFUNCTION("""COMPUTED_VALUE"""),"MAGBABAYAD DAW TODAY , NAG PAPASURE KUNG MAY SLOT DAW SA KNILA KASI 3X NA SYANG NAG REFUND")</f>
        <v>MAGBABAYAD DAW TODAY , NAG PAPASURE KUNG MAY SLOT DAW SA KNILA KASI 3X NA SYANG NAG REFUND</v>
      </c>
      <c r="I1075" s="1"/>
      <c r="J1075" s="1"/>
      <c r="K1075" s="1" t="str">
        <f>IFERROR(__xludf.DUMMYFUNCTION("""COMPUTED_VALUE"""),"NOT IN OFSC")</f>
        <v>NOT IN OFSC</v>
      </c>
      <c r="L1075" s="1" t="str">
        <f>IFERROR(__xludf.DUMMYFUNCTION("""COMPUTED_VALUE"""),"FOR PAYMENT")</f>
        <v>FOR PAYMENT</v>
      </c>
      <c r="M1075" s="1" t="str">
        <f>IFERROR(__xludf.DUMMYFUNCTION("""COMPUTED_VALUE"""),"FOR PAYMENT - FOR CALL OUT")</f>
        <v>FOR PAYMENT - FOR CALL OUT</v>
      </c>
      <c r="N1075" s="3"/>
      <c r="O1075" s="1" t="str">
        <f>IFERROR(__xludf.DUMMYFUNCTION("""COMPUTED_VALUE"""),"FIBR NETFLIX PLAN 1599")</f>
        <v>FIBR NETFLIX PLAN 1599</v>
      </c>
      <c r="P1075" s="1" t="str">
        <f>IFERROR(__xludf.DUMMYFUNCTION("""COMPUTED_VALUE"""),"LOWPLAN")</f>
        <v>LOWPLAN</v>
      </c>
      <c r="Q1075" s="1" t="str">
        <f>IFERROR(__xludf.DUMMYFUNCTION("""COMPUTED_VALUE"""),"P407517")</f>
        <v>P407517</v>
      </c>
      <c r="R1075" s="1" t="str">
        <f>IFERROR(__xludf.DUMMYFUNCTION("""COMPUTED_VALUE"""),"GABAY, MANUEL")</f>
        <v>GABAY, MANUEL</v>
      </c>
      <c r="S1075" s="1" t="str">
        <f>IFERROR(__xludf.DUMMYFUNCTION("""COMPUTED_VALUE"""),"FLA")</f>
        <v>FLA</v>
      </c>
      <c r="T1075" s="1" t="str">
        <f>IFERROR(__xludf.DUMMYFUNCTION("""COMPUTED_VALUE"""),"JERIC NAVARRO")</f>
        <v>JERIC NAVARRO</v>
      </c>
      <c r="U1075" s="1" t="str">
        <f>IFERROR(__xludf.DUMMYFUNCTION("""COMPUTED_VALUE"""),"JULIE ESPIRITU")</f>
        <v>JULIE ESPIRITU</v>
      </c>
      <c r="V1075" s="1" t="str">
        <f>IFERROR(__xludf.DUMMYFUNCTION("""COMPUTED_VALUE"""),"BK HSTK")</f>
        <v>BK HSTK</v>
      </c>
      <c r="W1075" s="1" t="str">
        <f>IFERROR(__xludf.DUMMYFUNCTION("""COMPUTED_VALUE"""),"BK HSTK")</f>
        <v>BK HSTK</v>
      </c>
      <c r="X1075" s="1" t="str">
        <f>IFERROR(__xludf.DUMMYFUNCTION("""COMPUTED_VALUE"""),"REGULAR")</f>
        <v>REGULAR</v>
      </c>
      <c r="Y1075" s="1" t="str">
        <f>IFERROR(__xludf.DUMMYFUNCTION("""COMPUTED_VALUE"""),"BK_CVEU_261004")</f>
        <v>BK_CVEU_261004</v>
      </c>
      <c r="Z1075" s="1" t="str">
        <f>IFERROR(__xludf.DUMMYFUNCTION("""COMPUTED_VALUE"""),"NEW CONNECT")</f>
        <v>NEW CONNECT</v>
      </c>
      <c r="AA1075" s="1">
        <f>IFERROR(__xludf.DUMMYFUNCTION("""COMPUTED_VALUE"""),639649824090)</f>
        <v>639649824090</v>
      </c>
      <c r="AB1075" s="1">
        <f>IFERROR(__xludf.DUMMYFUNCTION("""COMPUTED_VALUE"""),639506123179)</f>
        <v>639506123179</v>
      </c>
      <c r="AC1075" s="1"/>
      <c r="AD1075" s="1" t="str">
        <f>IFERROR(__xludf.DUMMYFUNCTION("""COMPUTED_VALUE"""),"HAPPY VALLEY")</f>
        <v>HAPPY VALLEY</v>
      </c>
      <c r="AE1075" s="1" t="str">
        <f>IFERROR(__xludf.DUMMYFUNCTION("""COMPUTED_VALUE"""),"HAPPY VALLEY SUBDIVISION")</f>
        <v>HAPPY VALLEY SUBDIVISION</v>
      </c>
      <c r="AF1075" s="1" t="str">
        <f>IFERROR(__xludf.DUMMYFUNCTION("""COMPUTED_VALUE"""),"BGY RAMON CRUZ")</f>
        <v>BGY RAMON CRUZ</v>
      </c>
      <c r="AG1075" s="1" t="str">
        <f>IFERROR(__xludf.DUMMYFUNCTION("""COMPUTED_VALUE"""),"GEN MARIANO ALVAREZ")</f>
        <v>GEN MARIANO ALVAREZ</v>
      </c>
      <c r="AH1075" s="1"/>
      <c r="AI1075" s="1" t="str">
        <f>IFERROR(__xludf.DUMMYFUNCTION("""COMPUTED_VALUE"""),"CLUSTER 11")</f>
        <v>CLUSTER 11</v>
      </c>
    </row>
    <row r="1076" customHeight="1" spans="1:35">
      <c r="A1076" s="3">
        <f>IFERROR(__xludf.DUMMYFUNCTION("""COMPUTED_VALUE"""),46310)</f>
        <v>46310</v>
      </c>
      <c r="B1076" s="1" t="str">
        <f>IFERROR(__xludf.DUMMYFUNCTION("""COMPUTED_VALUE"""),"ARIELA FRANCISCO CRISOSTOMO")</f>
        <v>ARIELA FRANCISCO CRISOSTOMO</v>
      </c>
      <c r="C1076" s="1">
        <f>IFERROR(__xludf.DUMMYFUNCTION("""COMPUTED_VALUE"""),2313183337)</f>
        <v>2313183337</v>
      </c>
      <c r="D1076" s="1">
        <f>IFERROR(__xludf.DUMMYFUNCTION("""COMPUTED_VALUE"""),409040977)</f>
        <v>409040977</v>
      </c>
      <c r="E1076" s="1">
        <f>IFERROR(__xludf.DUMMYFUNCTION("""COMPUTED_VALUE"""),475842614004)</f>
        <v>475842614004</v>
      </c>
      <c r="F1076" s="1" t="str">
        <f>IFERROR(__xludf.DUMMYFUNCTION("""COMPUTED_VALUE"""),"FOR PAYMENT")</f>
        <v>FOR PAYMENT</v>
      </c>
      <c r="G1076" s="1" t="str">
        <f>IFERROR(__xludf.DUMMYFUNCTION("""COMPUTED_VALUE"""),"FOR PAYMENT")</f>
        <v>FOR PAYMENT</v>
      </c>
      <c r="H1076" s="1" t="str">
        <f>IFERROR(__xludf.DUMMYFUNCTION("""COMPUTED_VALUE"""),"TALKED TO SOR NEXT WEEK DAW MAGBABAYD ")</f>
        <v>TALKED TO SOR NEXT WEEK DAW MAGBABAYD </v>
      </c>
      <c r="I1076" s="1"/>
      <c r="J1076" s="1"/>
      <c r="K1076" s="1" t="str">
        <f>IFERROR(__xludf.DUMMYFUNCTION("""COMPUTED_VALUE"""),"NOT IN OFSC")</f>
        <v>NOT IN OFSC</v>
      </c>
      <c r="L1076" s="1" t="str">
        <f>IFERROR(__xludf.DUMMYFUNCTION("""COMPUTED_VALUE"""),"FOR PAYMENT")</f>
        <v>FOR PAYMENT</v>
      </c>
      <c r="M1076" s="1" t="str">
        <f>IFERROR(__xludf.DUMMYFUNCTION("""COMPUTED_VALUE"""),"FOR PAYMENT - FOR CALL OUT")</f>
        <v>FOR PAYMENT - FOR CALL OUT</v>
      </c>
      <c r="N1076" s="3"/>
      <c r="O1076" s="1" t="str">
        <f>IFERROR(__xludf.DUMMYFUNCTION("""COMPUTED_VALUE"""),"FIBR UNLI ALL PLAN 999")</f>
        <v>FIBR UNLI ALL PLAN 999</v>
      </c>
      <c r="P1076" s="1" t="str">
        <f>IFERROR(__xludf.DUMMYFUNCTION("""COMPUTED_VALUE"""),"LOWPLAN")</f>
        <v>LOWPLAN</v>
      </c>
      <c r="Q1076" s="1" t="str">
        <f>IFERROR(__xludf.DUMMYFUNCTION("""COMPUTED_VALUE"""),"P407565")</f>
        <v>P407565</v>
      </c>
      <c r="R1076" s="1" t="str">
        <f>IFERROR(__xludf.DUMMYFUNCTION("""COMPUTED_VALUE"""),"MANDUCDOC, MARIANE")</f>
        <v>MANDUCDOC, MARIANE</v>
      </c>
      <c r="S1076" s="1" t="str">
        <f>IFERROR(__xludf.DUMMYFUNCTION("""COMPUTED_VALUE"""),"ORGANIC")</f>
        <v>ORGANIC</v>
      </c>
      <c r="T1076" s="1" t="str">
        <f>IFERROR(__xludf.DUMMYFUNCTION("""COMPUTED_VALUE"""),"LEA REMOLLO")</f>
        <v>LEA REMOLLO</v>
      </c>
      <c r="U1076" s="1" t="str">
        <f>IFERROR(__xludf.DUMMYFUNCTION("""COMPUTED_VALUE"""),"JULIE ESPIRITU")</f>
        <v>JULIE ESPIRITU</v>
      </c>
      <c r="V1076" s="1" t="str">
        <f>IFERROR(__xludf.DUMMYFUNCTION("""COMPUTED_VALUE"""),"BK REGULAR")</f>
        <v>BK REGULAR</v>
      </c>
      <c r="W1076" s="1" t="str">
        <f>IFERROR(__xludf.DUMMYFUNCTION("""COMPUTED_VALUE"""),"STK REGULAR")</f>
        <v>STK REGULAR</v>
      </c>
      <c r="X1076" s="1" t="str">
        <f>IFERROR(__xludf.DUMMYFUNCTION("""COMPUTED_VALUE"""),"REGULAR")</f>
        <v>REGULAR</v>
      </c>
      <c r="Y1076" s="1" t="str">
        <f>IFERROR(__xludf.DUMMYFUNCTION("""COMPUTED_VALUE"""),"BK_CVEU_261004")</f>
        <v>BK_CVEU_261004</v>
      </c>
      <c r="Z1076" s="1" t="str">
        <f>IFERROR(__xludf.DUMMYFUNCTION("""COMPUTED_VALUE"""),"NEW CONNECT")</f>
        <v>NEW CONNECT</v>
      </c>
      <c r="AA1076" s="1">
        <f>IFERROR(__xludf.DUMMYFUNCTION("""COMPUTED_VALUE"""),639319665688)</f>
        <v>639319665688</v>
      </c>
      <c r="AB1076" s="1"/>
      <c r="AC1076" s="1"/>
      <c r="AD1076" s="1" t="str">
        <f>IFERROR(__xludf.DUMMYFUNCTION("""COMPUTED_VALUE"""),"OMEGA")</f>
        <v>OMEGA</v>
      </c>
      <c r="AE1076" s="1"/>
      <c r="AF1076" s="1" t="str">
        <f>IFERROR(__xludf.DUMMYFUNCTION("""COMPUTED_VALUE"""),"BGY POBLACION 3")</f>
        <v>BGY POBLACION 3</v>
      </c>
      <c r="AG1076" s="1" t="str">
        <f>IFERROR(__xludf.DUMMYFUNCTION("""COMPUTED_VALUE"""),"GEN MARIANO ALVAREZ")</f>
        <v>GEN MARIANO ALVAREZ</v>
      </c>
      <c r="AH1076" s="1"/>
      <c r="AI1076" s="1" t="str">
        <f>IFERROR(__xludf.DUMMYFUNCTION("""COMPUTED_VALUE"""),"CLUSTER 11")</f>
        <v>CLUSTER 11</v>
      </c>
    </row>
    <row r="1077" customHeight="1" spans="1:35">
      <c r="A1077" s="3">
        <f>IFERROR(__xludf.DUMMYFUNCTION("""COMPUTED_VALUE"""),46310)</f>
        <v>46310</v>
      </c>
      <c r="B1077" s="1" t="str">
        <f>IFERROR(__xludf.DUMMYFUNCTION("""COMPUTED_VALUE"""),"LORIELYN DE JESUS BELANDRES")</f>
        <v>LORIELYN DE JESUS BELANDRES</v>
      </c>
      <c r="C1077" s="1">
        <f>IFERROR(__xludf.DUMMYFUNCTION("""COMPUTED_VALUE"""),2313177794)</f>
        <v>2313177794</v>
      </c>
      <c r="D1077" s="1"/>
      <c r="E1077" s="1"/>
      <c r="F1077" s="1" t="str">
        <f>IFERROR(__xludf.DUMMYFUNCTION("""COMPUTED_VALUE"""),"CANCELLED")</f>
        <v>CANCELLED</v>
      </c>
      <c r="G1077" s="1" t="str">
        <f>IFERROR(__xludf.DUMMYFUNCTION("""COMPUTED_VALUE"""),"CANCELLED")</f>
        <v>CANCELLED</v>
      </c>
      <c r="H1077" s="1"/>
      <c r="I1077" s="1"/>
      <c r="J1077" s="1"/>
      <c r="K1077" s="1"/>
      <c r="L1077" s="1" t="str">
        <f>IFERROR(__xludf.DUMMYFUNCTION("""COMPUTED_VALUE"""),"CANCELLED")</f>
        <v>CANCELLED</v>
      </c>
      <c r="M1077" s="1" t="str">
        <f>IFERROR(__xludf.DUMMYFUNCTION("""COMPUTED_VALUE"""),"CANCELLED - WITH OB")</f>
        <v>CANCELLED - WITH OB</v>
      </c>
      <c r="N1077" s="3"/>
      <c r="O1077" s="1" t="str">
        <f>IFERROR(__xludf.DUMMYFUNCTION("""COMPUTED_VALUE"""),"FIBR PLAN 1299")</f>
        <v>FIBR PLAN 1299</v>
      </c>
      <c r="P1077" s="1" t="str">
        <f>IFERROR(__xludf.DUMMYFUNCTION("""COMPUTED_VALUE"""),"LOWPLAN")</f>
        <v>LOWPLAN</v>
      </c>
      <c r="Q1077" s="1" t="str">
        <f>IFERROR(__xludf.DUMMYFUNCTION("""COMPUTED_VALUE"""),"P407044 ")</f>
        <v>P407044 </v>
      </c>
      <c r="R1077" s="1" t="str">
        <f>IFERROR(__xludf.DUMMYFUNCTION("""COMPUTED_VALUE"""),"DELA CRUZ, PHILLIP")</f>
        <v>DELA CRUZ, PHILLIP</v>
      </c>
      <c r="S1077" s="1" t="str">
        <f>IFERROR(__xludf.DUMMYFUNCTION("""COMPUTED_VALUE"""),"FLA")</f>
        <v>FLA</v>
      </c>
      <c r="T1077" s="1" t="str">
        <f>IFERROR(__xludf.DUMMYFUNCTION("""COMPUTED_VALUE"""),"JERIC NAVARRO")</f>
        <v>JERIC NAVARRO</v>
      </c>
      <c r="U1077" s="1" t="str">
        <f>IFERROR(__xludf.DUMMYFUNCTION("""COMPUTED_VALUE"""),"MARK MALIWAT")</f>
        <v>MARK MALIWAT</v>
      </c>
      <c r="V1077" s="1" t="str">
        <f>IFERROR(__xludf.DUMMYFUNCTION("""COMPUTED_VALUE"""),"H2H")</f>
        <v>H2H</v>
      </c>
      <c r="W1077" s="1" t="str">
        <f>IFERROR(__xludf.DUMMYFUNCTION("""COMPUTED_VALUE"""),"BK HSTK")</f>
        <v>BK HSTK</v>
      </c>
      <c r="X1077" s="1" t="str">
        <f>IFERROR(__xludf.DUMMYFUNCTION("""COMPUTED_VALUE"""),"REGULAR")</f>
        <v>REGULAR</v>
      </c>
      <c r="Y1077" s="1" t="str">
        <f>IFERROR(__xludf.DUMMYFUNCTION("""COMPUTED_VALUE"""),"BK_CVEU_261006")</f>
        <v>BK_CVEU_261006</v>
      </c>
      <c r="Z1077" s="1" t="str">
        <f>IFERROR(__xludf.DUMMYFUNCTION("""COMPUTED_VALUE"""),"NEW CONNECT")</f>
        <v>NEW CONNECT</v>
      </c>
      <c r="AA1077" s="1">
        <f>IFERROR(__xludf.DUMMYFUNCTION("""COMPUTED_VALUE"""),639659739069)</f>
        <v>639659739069</v>
      </c>
      <c r="AB1077" s="1"/>
      <c r="AC1077" s="1">
        <f>IFERROR(__xludf.DUMMYFUNCTION("""COMPUTED_VALUE"""),200)</f>
        <v>200</v>
      </c>
      <c r="AD1077" s="1" t="str">
        <f>IFERROR(__xludf.DUMMYFUNCTION("""COMPUTED_VALUE"""),"ILAYA")</f>
        <v>ILAYA</v>
      </c>
      <c r="AE1077" s="1"/>
      <c r="AF1077" s="1" t="str">
        <f>IFERROR(__xludf.DUMMYFUNCTION("""COMPUTED_VALUE"""),"BGY TIBIG")</f>
        <v>BGY TIBIG</v>
      </c>
      <c r="AG1077" s="1" t="str">
        <f>IFERROR(__xludf.DUMMYFUNCTION("""COMPUTED_VALUE"""),"SILANG")</f>
        <v>SILANG</v>
      </c>
      <c r="AH1077" s="1"/>
      <c r="AI1077" s="1" t="str">
        <f>IFERROR(__xludf.DUMMYFUNCTION("""COMPUTED_VALUE"""),"CLUSTER 11")</f>
        <v>CLUSTER 11</v>
      </c>
    </row>
    <row r="1078" customHeight="1" spans="1:35">
      <c r="A1078" s="3">
        <f>IFERROR(__xludf.DUMMYFUNCTION("""COMPUTED_VALUE"""),46311)</f>
        <v>46311</v>
      </c>
      <c r="B1078" s="1" t="str">
        <f>IFERROR(__xludf.DUMMYFUNCTION("""COMPUTED_VALUE"""),"JESSICA GARCIA REOSA")</f>
        <v>JESSICA GARCIA REOSA</v>
      </c>
      <c r="C1078" s="1">
        <f>IFERROR(__xludf.DUMMYFUNCTION("""COMPUTED_VALUE"""),2313190913)</f>
        <v>2313190913</v>
      </c>
      <c r="D1078" s="1">
        <f>IFERROR(__xludf.DUMMYFUNCTION("""COMPUTED_VALUE"""),409126073)</f>
        <v>409126073</v>
      </c>
      <c r="E1078" s="1">
        <f>IFERROR(__xludf.DUMMYFUNCTION("""COMPUTED_VALUE"""),476243362004)</f>
        <v>476243362004</v>
      </c>
      <c r="F1078" s="1" t="str">
        <f>IFERROR(__xludf.DUMMYFUNCTION("""COMPUTED_VALUE"""),"PAID")</f>
        <v>PAID</v>
      </c>
      <c r="G1078" s="1" t="str">
        <f>IFERROR(__xludf.DUMMYFUNCTION("""COMPUTED_VALUE"""),"FULL NAP PUNUAN PA SA AREA  SUBS ALREADY ADVISED ASSIGN CAFAC NOT ON SiTE  AMALP60NP1 FULL 6 SPAN AMALP60NP3 FULL 9SPAN AMALP61NP1 FULL 11 SPAN AMALP61NP3 FULL 11 SPAN")</f>
        <v>FULL NAP PUNUAN PA SA AREA  SUBS ALREADY ADVISED ASSIGN CAFAC NOT ON SiTE  AMALP60NP1 FULL 6 SPAN AMALP60NP3 FULL 9SPAN AMALP61NP1 FULL 11 SPAN AMALP61NP3 FULL 11 SPAN</v>
      </c>
      <c r="H1078" s="1" t="str">
        <f>IFERROR(__xludf.DUMMYFUNCTION("""COMPUTED_VALUE"""),"PQGOR367804222	19-Oct-26	Regular Payment	PLDT Pay Express-Web-App credit	1,799.00	0	19-Oct-26")</f>
        <v>PQGOR367804222	19-Oct-26	Regular Payment	PLDT Pay Express-Web-App credit	1,799.00	0	19-Oct-26</v>
      </c>
      <c r="I1078" s="1" t="str">
        <f>IFERROR(__xludf.DUMMYFUNCTION("""COMPUTED_VALUE"""),"WITH 1 AMSF")</f>
        <v>WITH 1 AMSF</v>
      </c>
      <c r="J1078" s="1"/>
      <c r="K1078" s="1" t="str">
        <f>IFERROR(__xludf.DUMMYFUNCTION("""COMPUTED_VALUE"""),"OPEN IN OFSC")</f>
        <v>OPEN IN OFSC</v>
      </c>
      <c r="L1078" s="1" t="str">
        <f>IFERROR(__xludf.DUMMYFUNCTION("""COMPUTED_VALUE"""),"RPR - NAP FULL")</f>
        <v>RPR - NAP FULL</v>
      </c>
      <c r="M1078" s="1" t="str">
        <f>IFERROR(__xludf.DUMMYFUNCTION("""COMPUTED_VALUE"""),"RPR- NAP FULL")</f>
        <v>RPR- NAP FULL</v>
      </c>
      <c r="N1078" s="3"/>
      <c r="O1078" s="1" t="str">
        <f>IFERROR(__xludf.DUMMYFUNCTION("""COMPUTED_VALUE"""),"FIBR PLAN 1699")</f>
        <v>FIBR PLAN 1699</v>
      </c>
      <c r="P1078" s="1" t="str">
        <f>IFERROR(__xludf.DUMMYFUNCTION("""COMPUTED_VALUE"""),"HIGHPLAN")</f>
        <v>HIGHPLAN</v>
      </c>
      <c r="Q1078" s="1" t="str">
        <f>IFERROR(__xludf.DUMMYFUNCTION("""COMPUTED_VALUE"""),"P407049")</f>
        <v>P407049</v>
      </c>
      <c r="R1078" s="1" t="str">
        <f>IFERROR(__xludf.DUMMYFUNCTION("""COMPUTED_VALUE"""),"CADERAO, RONALD")</f>
        <v>CADERAO, RONALD</v>
      </c>
      <c r="S1078" s="1" t="str">
        <f>IFERROR(__xludf.DUMMYFUNCTION("""COMPUTED_VALUE"""),"ORGANIC")</f>
        <v>ORGANIC</v>
      </c>
      <c r="T1078" s="1" t="str">
        <f>IFERROR(__xludf.DUMMYFUNCTION("""COMPUTED_VALUE"""),"LEA REMOLLO")</f>
        <v>LEA REMOLLO</v>
      </c>
      <c r="U1078" s="1" t="str">
        <f>IFERROR(__xludf.DUMMYFUNCTION("""COMPUTED_VALUE"""),"JB SALIOA")</f>
        <v>JB SALIOA</v>
      </c>
      <c r="V1078" s="1" t="str">
        <f>IFERROR(__xludf.DUMMYFUNCTION("""COMPUTED_VALUE"""),"BK REGULAR")</f>
        <v>BK REGULAR</v>
      </c>
      <c r="W1078" s="1" t="str">
        <f>IFERROR(__xludf.DUMMYFUNCTION("""COMPUTED_VALUE"""),"STK REGULAR")</f>
        <v>STK REGULAR</v>
      </c>
      <c r="X1078" s="1" t="str">
        <f>IFERROR(__xludf.DUMMYFUNCTION("""COMPUTED_VALUE"""),"REGULAR")</f>
        <v>REGULAR</v>
      </c>
      <c r="Y1078" s="1" t="str">
        <f>IFERROR(__xludf.DUMMYFUNCTION("""COMPUTED_VALUE"""),"BK_CVEU_261002")</f>
        <v>BK_CVEU_261002</v>
      </c>
      <c r="Z1078" s="1" t="str">
        <f>IFERROR(__xludf.DUMMYFUNCTION("""COMPUTED_VALUE"""),"NEW CONNECT")</f>
        <v>NEW CONNECT</v>
      </c>
      <c r="AA1078" s="1">
        <f>IFERROR(__xludf.DUMMYFUNCTION("""COMPUTED_VALUE"""),639664089583)</f>
        <v>639664089583</v>
      </c>
      <c r="AB1078" s="1"/>
      <c r="AC1078" s="1">
        <f>IFERROR(__xludf.DUMMYFUNCTION("""COMPUTED_VALUE"""),86)</f>
        <v>86</v>
      </c>
      <c r="AD1078" s="1" t="str">
        <f>IFERROR(__xludf.DUMMYFUNCTION("""COMPUTED_VALUE"""),"SITIO ILAYA")</f>
        <v>SITIO ILAYA</v>
      </c>
      <c r="AE1078" s="1"/>
      <c r="AF1078" s="1" t="str">
        <f>IFERROR(__xludf.DUMMYFUNCTION("""COMPUTED_VALUE"""),"BGY MAITIM 1")</f>
        <v>BGY MAITIM 1</v>
      </c>
      <c r="AG1078" s="1" t="str">
        <f>IFERROR(__xludf.DUMMYFUNCTION("""COMPUTED_VALUE"""),"AMADEO")</f>
        <v>AMADEO</v>
      </c>
      <c r="AH1078" s="1" t="str">
        <f>IFERROR(__xludf.DUMMYFUNCTION("""COMPUTED_VALUE"""),"-")</f>
        <v>-</v>
      </c>
      <c r="AI1078" s="1" t="str">
        <f>IFERROR(__xludf.DUMMYFUNCTION("""COMPUTED_VALUE"""),"CLUSTER 12")</f>
        <v>CLUSTER 12</v>
      </c>
    </row>
    <row r="1079" customHeight="1" spans="1:35">
      <c r="A1079" s="3">
        <f>IFERROR(__xludf.DUMMYFUNCTION("""COMPUTED_VALUE"""),46311)</f>
        <v>46311</v>
      </c>
      <c r="B1079" s="1" t="str">
        <f>IFERROR(__xludf.DUMMYFUNCTION("""COMPUTED_VALUE"""),"ROEL STEWARD OYANGUREN BAUYA")</f>
        <v>ROEL STEWARD OYANGUREN BAUYA</v>
      </c>
      <c r="C1079" s="1">
        <f>IFERROR(__xludf.DUMMYFUNCTION("""COMPUTED_VALUE"""),2313191467)</f>
        <v>2313191467</v>
      </c>
      <c r="D1079" s="1"/>
      <c r="E1079" s="1"/>
      <c r="F1079" s="1" t="str">
        <f>IFERROR(__xludf.DUMMYFUNCTION("""COMPUTED_VALUE"""),"CANCELLED")</f>
        <v>CANCELLED</v>
      </c>
      <c r="G1079" s="1" t="str">
        <f>IFERROR(__xludf.DUMMYFUNCTION("""COMPUTED_VALUE"""),"(WITH BLACKLISTED ACCOUNT FOR SETTLEMENT) RTS | DONE VALIDATION | CORRECT ENCODED INFO IN CSP | TU SCORING - GG - 2 (NTC) | WAIVED AMSF DUE FIBER 1399 98TH YR PROMO | NO EXISTING ACTIVE ACCT AND/OR PENDING/CANCELLED APPLICATION | FOUND BLACKLISTED ACC:022"&amp;"5706220 WITH OB:8,820.29 | SAME NAME DIFF ADDRESS | SETTLE THE PAYMENT FIRST ")</f>
        <v>(WITH BLACKLISTED ACCOUNT FOR SETTLEMENT) RTS | DONE VALIDATION | CORRECT ENCODED INFO IN CSP | TU SCORING - GG - 2 (NTC) | WAIVED AMSF DUE FIBER 1399 98TH YR PROMO | NO EXISTING ACTIVE ACCT AND/OR PENDING/CANCELLED APPLICATION | FOUND BLACKLISTED ACC:0225706220 WITH OB:8,820.29 | SAME NAME DIFF ADDRESS | SETTLE THE PAYMENT FIRST </v>
      </c>
      <c r="H1079" s="1"/>
      <c r="I1079" s="1"/>
      <c r="J1079" s="1"/>
      <c r="K1079" s="1"/>
      <c r="L1079" s="1" t="str">
        <f>IFERROR(__xludf.DUMMYFUNCTION("""COMPUTED_VALUE"""),"CANCELLED")</f>
        <v>CANCELLED</v>
      </c>
      <c r="M1079" s="1" t="str">
        <f>IFERROR(__xludf.DUMMYFUNCTION("""COMPUTED_VALUE"""),"CANCELLED - WITH OB")</f>
        <v>CANCELLED - WITH OB</v>
      </c>
      <c r="N1079" s="3"/>
      <c r="O1079" s="1" t="str">
        <f>IFERROR(__xludf.DUMMYFUNCTION("""COMPUTED_VALUE"""),"FIBER UNLI PLAN 1399")</f>
        <v>FIBER UNLI PLAN 1399</v>
      </c>
      <c r="P1079" s="1" t="str">
        <f>IFERROR(__xludf.DUMMYFUNCTION("""COMPUTED_VALUE"""),"LOWPLAN")</f>
        <v>LOWPLAN</v>
      </c>
      <c r="Q1079" s="1" t="str">
        <f>IFERROR(__xludf.DUMMYFUNCTION("""COMPUTED_VALUE"""),"P407049")</f>
        <v>P407049</v>
      </c>
      <c r="R1079" s="1" t="str">
        <f>IFERROR(__xludf.DUMMYFUNCTION("""COMPUTED_VALUE"""),"MERCADO, MARK ANTHONY")</f>
        <v>MERCADO, MARK ANTHONY</v>
      </c>
      <c r="S1079" s="1" t="str">
        <f>IFERROR(__xludf.DUMMYFUNCTION("""COMPUTED_VALUE"""),"ORGANIC")</f>
        <v>ORGANIC</v>
      </c>
      <c r="T1079" s="1" t="str">
        <f>IFERROR(__xludf.DUMMYFUNCTION("""COMPUTED_VALUE"""),"LEA REMOLLO")</f>
        <v>LEA REMOLLO</v>
      </c>
      <c r="U1079" s="1" t="str">
        <f>IFERROR(__xludf.DUMMYFUNCTION("""COMPUTED_VALUE"""),"JB SALIOA")</f>
        <v>JB SALIOA</v>
      </c>
      <c r="V1079" s="1" t="str">
        <f>IFERROR(__xludf.DUMMYFUNCTION("""COMPUTED_VALUE"""),"ONLINE/CRANFORD")</f>
        <v>ONLINE/CRANFORD</v>
      </c>
      <c r="W1079" s="1" t="str">
        <f>IFERROR(__xludf.DUMMYFUNCTION("""COMPUTED_VALUE"""),"STK REGULAR")</f>
        <v>STK REGULAR</v>
      </c>
      <c r="X1079" s="1" t="str">
        <f>IFERROR(__xludf.DUMMYFUNCTION("""COMPUTED_VALUE"""),"FIBER 1399 98TH YR")</f>
        <v>FIBER 1399 98TH YR</v>
      </c>
      <c r="Y1079" s="1" t="str">
        <f>IFERROR(__xludf.DUMMYFUNCTION("""COMPUTED_VALUE"""),"RS_SS_CVEU_2026")</f>
        <v>RS_SS_CVEU_2026</v>
      </c>
      <c r="Z1079" s="1" t="str">
        <f>IFERROR(__xludf.DUMMYFUNCTION("""COMPUTED_VALUE"""),"NEW CONNECT")</f>
        <v>NEW CONNECT</v>
      </c>
      <c r="AA1079" s="1">
        <f>IFERROR(__xludf.DUMMYFUNCTION("""COMPUTED_VALUE"""),639451166096)</f>
        <v>639451166096</v>
      </c>
      <c r="AB1079" s="1"/>
      <c r="AC1079" s="1">
        <f>IFERROR(__xludf.DUMMYFUNCTION("""COMPUTED_VALUE"""),15)</f>
        <v>15</v>
      </c>
      <c r="AD1079" s="1" t="str">
        <f>IFERROR(__xludf.DUMMYFUNCTION("""COMPUTED_VALUE"""),"PANAMA")</f>
        <v>PANAMA</v>
      </c>
      <c r="AE1079" s="1" t="str">
        <f>IFERROR(__xludf.DUMMYFUNCTION("""COMPUTED_VALUE"""),"SOUTHPLAINS EXEC VILL")</f>
        <v>SOUTHPLAINS EXEC VILL</v>
      </c>
      <c r="AF1079" s="1" t="str">
        <f>IFERROR(__xludf.DUMMYFUNCTION("""COMPUTED_VALUE"""),"BGY SALITRAN 2")</f>
        <v>BGY SALITRAN 2</v>
      </c>
      <c r="AG1079" s="1" t="str">
        <f>IFERROR(__xludf.DUMMYFUNCTION("""COMPUTED_VALUE"""),"DASMARINAS")</f>
        <v>DASMARINAS</v>
      </c>
      <c r="AH1079" s="1" t="str">
        <f>IFERROR(__xludf.DUMMYFUNCTION("""COMPUTED_VALUE"""),"AUSTRIA COMPOUND")</f>
        <v>AUSTRIA COMPOUND</v>
      </c>
      <c r="AI1079" s="1" t="str">
        <f>IFERROR(__xludf.DUMMYFUNCTION("""COMPUTED_VALUE"""),"NOT AOR")</f>
        <v>NOT AOR</v>
      </c>
    </row>
    <row r="1080" customHeight="1" spans="1:35">
      <c r="A1080" s="3">
        <f>IFERROR(__xludf.DUMMYFUNCTION("""COMPUTED_VALUE"""),46311)</f>
        <v>46311</v>
      </c>
      <c r="B1080" s="1" t="str">
        <f>IFERROR(__xludf.DUMMYFUNCTION("""COMPUTED_VALUE"""),"SAGUIRA GAYAK ALA")</f>
        <v>SAGUIRA GAYAK ALA</v>
      </c>
      <c r="C1080" s="1">
        <f>IFERROR(__xludf.DUMMYFUNCTION("""COMPUTED_VALUE"""),2313192271)</f>
        <v>2313192271</v>
      </c>
      <c r="D1080" s="1"/>
      <c r="E1080" s="1"/>
      <c r="F1080" s="1" t="str">
        <f>IFERROR(__xludf.DUMMYFUNCTION("""COMPUTED_VALUE"""),"CANCELLED")</f>
        <v>CANCELLED</v>
      </c>
      <c r="G1080" s="1" t="str">
        <f>IFERROR(__xludf.DUMMYFUNCTION("""COMPUTED_VALUE"""),"(OTHERS) RTS | FOUND BLACKLISTED ACC (0367651903) SAME ADDRESS WITH OB (5325.17) NEED TO SUBMIT CLEARANCE DOCS | COMPLETE DOCS | CORRECT ENCODED INFO IN CSP | TU SCORING (GG - 1 (NTC)) WITH 1AMSF | SCANNABLE NATIONAL ID ")</f>
        <v>(OTHERS) RTS | FOUND BLACKLISTED ACC (0367651903) SAME ADDRESS WITH OB (5325.17) NEED TO SUBMIT CLEARANCE DOCS | COMPLETE DOCS | CORRECT ENCODED INFO IN CSP | TU SCORING (GG - 1 (NTC)) WITH 1AMSF | SCANNABLE NATIONAL ID </v>
      </c>
      <c r="H1080" s="1"/>
      <c r="I1080" s="1"/>
      <c r="J1080" s="1"/>
      <c r="K1080" s="1"/>
      <c r="L1080" s="1" t="str">
        <f>IFERROR(__xludf.DUMMYFUNCTION("""COMPUTED_VALUE"""),"CANCELLED")</f>
        <v>CANCELLED</v>
      </c>
      <c r="M1080" s="1" t="str">
        <f>IFERROR(__xludf.DUMMYFUNCTION("""COMPUTED_VALUE"""),"CANCELLED - WITH OB")</f>
        <v>CANCELLED - WITH OB</v>
      </c>
      <c r="N1080" s="3"/>
      <c r="O1080" s="1" t="str">
        <f>IFERROR(__xludf.DUMMYFUNCTION("""COMPUTED_VALUE"""),"FIBR PLAN 1299")</f>
        <v>FIBR PLAN 1299</v>
      </c>
      <c r="P1080" s="1" t="str">
        <f>IFERROR(__xludf.DUMMYFUNCTION("""COMPUTED_VALUE"""),"LOWPLAN")</f>
        <v>LOWPLAN</v>
      </c>
      <c r="Q1080" s="1" t="str">
        <f>IFERROR(__xludf.DUMMYFUNCTION("""COMPUTED_VALUE"""),"P407048")</f>
        <v>P407048</v>
      </c>
      <c r="R1080" s="1" t="str">
        <f>IFERROR(__xludf.DUMMYFUNCTION("""COMPUTED_VALUE"""),"PEREZ, RONELL")</f>
        <v>PEREZ, RONELL</v>
      </c>
      <c r="S1080" s="1" t="str">
        <f>IFERROR(__xludf.DUMMYFUNCTION("""COMPUTED_VALUE"""),"ORGANIC")</f>
        <v>ORGANIC</v>
      </c>
      <c r="T1080" s="1" t="str">
        <f>IFERROR(__xludf.DUMMYFUNCTION("""COMPUTED_VALUE"""),"GARCIA MICHAEL JETTS")</f>
        <v>GARCIA MICHAEL JETTS</v>
      </c>
      <c r="U1080" s="1" t="str">
        <f>IFERROR(__xludf.DUMMYFUNCTION("""COMPUTED_VALUE"""),"JB SALIOA")</f>
        <v>JB SALIOA</v>
      </c>
      <c r="V1080" s="1" t="str">
        <f>IFERROR(__xludf.DUMMYFUNCTION("""COMPUTED_VALUE"""),"ONLINE/CRANFORD")</f>
        <v>ONLINE/CRANFORD</v>
      </c>
      <c r="W1080" s="1" t="str">
        <f>IFERROR(__xludf.DUMMYFUNCTION("""COMPUTED_VALUE"""),"STK REGULAR")</f>
        <v>STK REGULAR</v>
      </c>
      <c r="X1080" s="1" t="str">
        <f>IFERROR(__xludf.DUMMYFUNCTION("""COMPUTED_VALUE"""),"REGULAR")</f>
        <v>REGULAR</v>
      </c>
      <c r="Y1080" s="1" t="str">
        <f>IFERROR(__xludf.DUMMYFUNCTION("""COMPUTED_VALUE"""),"RS_SS_CVEU_2026")</f>
        <v>RS_SS_CVEU_2026</v>
      </c>
      <c r="Z1080" s="1" t="str">
        <f>IFERROR(__xludf.DUMMYFUNCTION("""COMPUTED_VALUE"""),"NEW CONNECT")</f>
        <v>NEW CONNECT</v>
      </c>
      <c r="AA1080" s="1">
        <f>IFERROR(__xludf.DUMMYFUNCTION("""COMPUTED_VALUE"""),639929724678)</f>
        <v>639929724678</v>
      </c>
      <c r="AB1080" s="1"/>
      <c r="AC1080" s="1"/>
      <c r="AD1080" s="1" t="str">
        <f>IFERROR(__xludf.DUMMYFUNCTION("""COMPUTED_VALUE"""),"CAMACHILE SUBD")</f>
        <v>CAMACHILE SUBD</v>
      </c>
      <c r="AE1080" s="1" t="str">
        <f>IFERROR(__xludf.DUMMYFUNCTION("""COMPUTED_VALUE"""),"CAMACHILE SUBD")</f>
        <v>CAMACHILE SUBD</v>
      </c>
      <c r="AF1080" s="1" t="str">
        <f>IFERROR(__xludf.DUMMYFUNCTION("""COMPUTED_VALUE"""),"PASONG CAMACHILE 1")</f>
        <v>PASONG CAMACHILE 1</v>
      </c>
      <c r="AG1080" s="1" t="str">
        <f>IFERROR(__xludf.DUMMYFUNCTION("""COMPUTED_VALUE"""),"GENERAL TRIAS")</f>
        <v>GENERAL TRIAS</v>
      </c>
      <c r="AH1080" s="1" t="str">
        <f>IFERROR(__xludf.DUMMYFUNCTION("""COMPUTED_VALUE"""),"CAMACHILE SUBD")</f>
        <v>CAMACHILE SUBD</v>
      </c>
      <c r="AI1080" s="1" t="str">
        <f>IFERROR(__xludf.DUMMYFUNCTION("""COMPUTED_VALUE"""),"NOT AOR")</f>
        <v>NOT AOR</v>
      </c>
    </row>
    <row r="1081" customHeight="1" spans="1:35">
      <c r="A1081" s="3">
        <f>IFERROR(__xludf.DUMMYFUNCTION("""COMPUTED_VALUE"""),46311)</f>
        <v>46311</v>
      </c>
      <c r="B1081" s="1" t="str">
        <f>IFERROR(__xludf.DUMMYFUNCTION("""COMPUTED_VALUE"""),"KAREN CRYSTAL GAYE ODRON LORIO")</f>
        <v>KAREN CRYSTAL GAYE ODRON LORIO</v>
      </c>
      <c r="C1081" s="1">
        <f>IFERROR(__xludf.DUMMYFUNCTION("""COMPUTED_VALUE"""),2313192703)</f>
        <v>2313192703</v>
      </c>
      <c r="D1081" s="1">
        <f>IFERROR(__xludf.DUMMYFUNCTION("""COMPUTED_VALUE"""),409038743)</f>
        <v>409038743</v>
      </c>
      <c r="E1081" s="1">
        <f>IFERROR(__xludf.DUMMYFUNCTION("""COMPUTED_VALUE"""),475841351004)</f>
        <v>475841351004</v>
      </c>
      <c r="F1081" s="1" t="str">
        <f>IFERROR(__xludf.DUMMYFUNCTION("""COMPUTED_VALUE"""),"FOR PAYMENT")</f>
        <v>FOR PAYMENT</v>
      </c>
      <c r="G1081" s="1" t="str">
        <f>IFERROR(__xludf.DUMMYFUNCTION("""COMPUTED_VALUE"""),"FOR PAYMENT")</f>
        <v>FOR PAYMENT</v>
      </c>
      <c r="H1081" s="1" t="str">
        <f>IFERROR(__xludf.DUMMYFUNCTION("""COMPUTED_VALUE"""),"TALKED TO SOR MAGBABAYAD DAW SYA SA OCT 20")</f>
        <v>TALKED TO SOR MAGBABAYAD DAW SYA SA OCT 20</v>
      </c>
      <c r="I1081" s="1"/>
      <c r="J1081" s="1"/>
      <c r="K1081" s="1" t="str">
        <f>IFERROR(__xludf.DUMMYFUNCTION("""COMPUTED_VALUE"""),"NOT IN OFSC")</f>
        <v>NOT IN OFSC</v>
      </c>
      <c r="L1081" s="1" t="str">
        <f>IFERROR(__xludf.DUMMYFUNCTION("""COMPUTED_VALUE"""),"FOR PAYMENT")</f>
        <v>FOR PAYMENT</v>
      </c>
      <c r="M1081" s="1" t="str">
        <f>IFERROR(__xludf.DUMMYFUNCTION("""COMPUTED_VALUE"""),"FOR PAYMENT - FOR CALL OUT")</f>
        <v>FOR PAYMENT - FOR CALL OUT</v>
      </c>
      <c r="N1081" s="3"/>
      <c r="O1081" s="1" t="str">
        <f>IFERROR(__xludf.DUMMYFUNCTION("""COMPUTED_VALUE"""),"FIBER UNLI PLAN 1399")</f>
        <v>FIBER UNLI PLAN 1399</v>
      </c>
      <c r="P1081" s="1" t="str">
        <f>IFERROR(__xludf.DUMMYFUNCTION("""COMPUTED_VALUE"""),"LOWPLAN")</f>
        <v>LOWPLAN</v>
      </c>
      <c r="Q1081" s="1" t="str">
        <f>IFERROR(__xludf.DUMMYFUNCTION("""COMPUTED_VALUE"""),"P407049")</f>
        <v>P407049</v>
      </c>
      <c r="R1081" s="1" t="str">
        <f>IFERROR(__xludf.DUMMYFUNCTION("""COMPUTED_VALUE"""),"CADERAO, RONALD")</f>
        <v>CADERAO, RONALD</v>
      </c>
      <c r="S1081" s="1" t="str">
        <f>IFERROR(__xludf.DUMMYFUNCTION("""COMPUTED_VALUE"""),"ORGANIC")</f>
        <v>ORGANIC</v>
      </c>
      <c r="T1081" s="1" t="str">
        <f>IFERROR(__xludf.DUMMYFUNCTION("""COMPUTED_VALUE"""),"LEA REMOLLO")</f>
        <v>LEA REMOLLO</v>
      </c>
      <c r="U1081" s="1" t="str">
        <f>IFERROR(__xludf.DUMMYFUNCTION("""COMPUTED_VALUE"""),"JB SALIOA")</f>
        <v>JB SALIOA</v>
      </c>
      <c r="V1081" s="1" t="str">
        <f>IFERROR(__xludf.DUMMYFUNCTION("""COMPUTED_VALUE"""),"BK HSTK")</f>
        <v>BK HSTK</v>
      </c>
      <c r="W1081" s="1" t="str">
        <f>IFERROR(__xludf.DUMMYFUNCTION("""COMPUTED_VALUE"""),"BK HSTK")</f>
        <v>BK HSTK</v>
      </c>
      <c r="X1081" s="1" t="str">
        <f>IFERROR(__xludf.DUMMYFUNCTION("""COMPUTED_VALUE"""),"FIBER 1399 98TH YR")</f>
        <v>FIBER 1399 98TH YR</v>
      </c>
      <c r="Y1081" s="1" t="str">
        <f>IFERROR(__xludf.DUMMYFUNCTION("""COMPUTED_VALUE"""),"BK_CVEU_261006")</f>
        <v>BK_CVEU_261006</v>
      </c>
      <c r="Z1081" s="1" t="str">
        <f>IFERROR(__xludf.DUMMYFUNCTION("""COMPUTED_VALUE"""),"NEW CONNECT")</f>
        <v>NEW CONNECT</v>
      </c>
      <c r="AA1081" s="1">
        <f>IFERROR(__xludf.DUMMYFUNCTION("""COMPUTED_VALUE"""),639286136682)</f>
        <v>639286136682</v>
      </c>
      <c r="AB1081" s="1"/>
      <c r="AC1081" s="1">
        <f>IFERROR(__xludf.DUMMYFUNCTION("""COMPUTED_VALUE"""),921)</f>
        <v>921</v>
      </c>
      <c r="AD1081" s="1" t="str">
        <f>IFERROR(__xludf.DUMMYFUNCTION("""COMPUTED_VALUE"""),"ZONE 3")</f>
        <v>ZONE 3</v>
      </c>
      <c r="AE1081" s="1"/>
      <c r="AF1081" s="1" t="str">
        <f>IFERROR(__xludf.DUMMYFUNCTION("""COMPUTED_VALUE"""),"BGY BULIHAN")</f>
        <v>BGY BULIHAN</v>
      </c>
      <c r="AG1081" s="1" t="str">
        <f>IFERROR(__xludf.DUMMYFUNCTION("""COMPUTED_VALUE"""),"SILANG")</f>
        <v>SILANG</v>
      </c>
      <c r="AH1081" s="1" t="str">
        <f>IFERROR(__xludf.DUMMYFUNCTION("""COMPUTED_VALUE"""),"AT THE BACK OF COURT")</f>
        <v>AT THE BACK OF COURT</v>
      </c>
      <c r="AI1081" s="1" t="str">
        <f>IFERROR(__xludf.DUMMYFUNCTION("""COMPUTED_VALUE"""),"CLUSTER 11")</f>
        <v>CLUSTER 11</v>
      </c>
    </row>
    <row r="1082" customHeight="1" spans="1:35">
      <c r="A1082" s="3">
        <f>IFERROR(__xludf.DUMMYFUNCTION("""COMPUTED_VALUE"""),46311)</f>
        <v>46311</v>
      </c>
      <c r="B1082" s="1" t="str">
        <f>IFERROR(__xludf.DUMMYFUNCTION("""COMPUTED_VALUE"""),"CHARLOTTE CAPINTES BOLADO")</f>
        <v>CHARLOTTE CAPINTES BOLADO</v>
      </c>
      <c r="C1082" s="1">
        <f>IFERROR(__xludf.DUMMYFUNCTION("""COMPUTED_VALUE"""),2313194717)</f>
        <v>2313194717</v>
      </c>
      <c r="D1082" s="1">
        <f>IFERROR(__xludf.DUMMYFUNCTION("""COMPUTED_VALUE"""),409043984)</f>
        <v>409043984</v>
      </c>
      <c r="E1082" s="1">
        <f>IFERROR(__xludf.DUMMYFUNCTION("""COMPUTED_VALUE"""),475844108004)</f>
        <v>475844108004</v>
      </c>
      <c r="F1082" s="1" t="str">
        <f>IFERROR(__xludf.DUMMYFUNCTION("""COMPUTED_VALUE"""),"CANCELED")</f>
        <v>CANCELED</v>
      </c>
      <c r="G1082" s="1" t="str">
        <f>IFERROR(__xludf.DUMMYFUNCTION("""COMPUTED_VALUE"""),"LOCK 7  SILLP35NP5 P8 ACTIVE  SILLP35NP1 F SILLP35NP2 F SILLP35NP4 F SILLP35NP6 F SILLP35NP7 F SILLP35NP8 F")</f>
        <v>LOCK 7  SILLP35NP5 P8 ACTIVE  SILLP35NP1 F SILLP35NP2 F SILLP35NP4 F SILLP35NP6 F SILLP35NP7 F SILLP35NP8 F</v>
      </c>
      <c r="H1082" s="1"/>
      <c r="I1082" s="1" t="str">
        <f>IFERROR(__xludf.DUMMYFUNCTION("""COMPUTED_VALUE"""),"NO 1 AMSF")</f>
        <v>NO 1 AMSF</v>
      </c>
      <c r="J1082" s="1" t="str">
        <f>IFERROR(__xludf.DUMMYFUNCTION("""COMPUTED_VALUE"""),"NO PAYMENT")</f>
        <v>NO PAYMENT</v>
      </c>
      <c r="K1082" s="1" t="str">
        <f>IFERROR(__xludf.DUMMYFUNCTION("""COMPUTED_VALUE"""),"CANCELED")</f>
        <v>CANCELED</v>
      </c>
      <c r="L1082" s="1" t="str">
        <f>IFERROR(__xludf.DUMMYFUNCTION("""COMPUTED_VALUE"""),"RPR - NAP FULL")</f>
        <v>RPR - NAP FULL</v>
      </c>
      <c r="M1082" s="1" t="str">
        <f>IFERROR(__xludf.DUMMYFUNCTION("""COMPUTED_VALUE"""),"RPR- NAP FULL")</f>
        <v>RPR- NAP FULL</v>
      </c>
      <c r="N1082" s="3"/>
      <c r="O1082" s="1" t="str">
        <f>IFERROR(__xludf.DUMMYFUNCTION("""COMPUTED_VALUE"""),"FIBER UNLI ALL PLAN 1899")</f>
        <v>FIBER UNLI ALL PLAN 1899</v>
      </c>
      <c r="P1082" s="1" t="str">
        <f>IFERROR(__xludf.DUMMYFUNCTION("""COMPUTED_VALUE"""),"HIGHPLAN")</f>
        <v>HIGHPLAN</v>
      </c>
      <c r="Q1082" s="1" t="str">
        <f>IFERROR(__xludf.DUMMYFUNCTION("""COMPUTED_VALUE"""),"P407516")</f>
        <v>P407516</v>
      </c>
      <c r="R1082" s="1" t="str">
        <f>IFERROR(__xludf.DUMMYFUNCTION("""COMPUTED_VALUE"""),"AYON, MANUEL")</f>
        <v>AYON, MANUEL</v>
      </c>
      <c r="S1082" s="1" t="str">
        <f>IFERROR(__xludf.DUMMYFUNCTION("""COMPUTED_VALUE"""),"FLA")</f>
        <v>FLA</v>
      </c>
      <c r="T1082" s="1" t="str">
        <f>IFERROR(__xludf.DUMMYFUNCTION("""COMPUTED_VALUE"""),"JERIC NAVARRO")</f>
        <v>JERIC NAVARRO</v>
      </c>
      <c r="U1082" s="1" t="str">
        <f>IFERROR(__xludf.DUMMYFUNCTION("""COMPUTED_VALUE"""),"JB SALIOA")</f>
        <v>JB SALIOA</v>
      </c>
      <c r="V1082" s="1" t="str">
        <f>IFERROR(__xludf.DUMMYFUNCTION("""COMPUTED_VALUE"""),"BK EXPRESS")</f>
        <v>BK EXPRESS</v>
      </c>
      <c r="W1082" s="1" t="str">
        <f>IFERROR(__xludf.DUMMYFUNCTION("""COMPUTED_VALUE"""),"BK HSTK")</f>
        <v>BK HSTK</v>
      </c>
      <c r="X1082" s="1" t="str">
        <f>IFERROR(__xludf.DUMMYFUNCTION("""COMPUTED_VALUE"""),"REGULAR")</f>
        <v>REGULAR</v>
      </c>
      <c r="Y1082" s="1" t="str">
        <f>IFERROR(__xludf.DUMMYFUNCTION("""COMPUTED_VALUE"""),"BK_CVEU_261006")</f>
        <v>BK_CVEU_261006</v>
      </c>
      <c r="Z1082" s="1" t="str">
        <f>IFERROR(__xludf.DUMMYFUNCTION("""COMPUTED_VALUE"""),"NEW CONNECT")</f>
        <v>NEW CONNECT</v>
      </c>
      <c r="AA1082" s="1">
        <f>IFERROR(__xludf.DUMMYFUNCTION("""COMPUTED_VALUE"""),639620847103)</f>
        <v>639620847103</v>
      </c>
      <c r="AB1082" s="1">
        <f>IFERROR(__xludf.DUMMYFUNCTION("""COMPUTED_VALUE"""),639608716992)</f>
        <v>639608716992</v>
      </c>
      <c r="AC1082" s="1"/>
      <c r="AD1082" s="1" t="str">
        <f>IFERROR(__xludf.DUMMYFUNCTION("""COMPUTED_VALUE"""),"PHASE 6")</f>
        <v>PHASE 6</v>
      </c>
      <c r="AE1082" s="1" t="str">
        <f>IFERROR(__xludf.DUMMYFUNCTION("""COMPUTED_VALUE"""),"METROGATE SILANG ESTATE")</f>
        <v>METROGATE SILANG ESTATE</v>
      </c>
      <c r="AF1082" s="1" t="str">
        <f>IFERROR(__xludf.DUMMYFUNCTION("""COMPUTED_VALUE"""),"BGY BILUSO")</f>
        <v>BGY BILUSO</v>
      </c>
      <c r="AG1082" s="1" t="str">
        <f>IFERROR(__xludf.DUMMYFUNCTION("""COMPUTED_VALUE"""),"SILANG")</f>
        <v>SILANG</v>
      </c>
      <c r="AH1082" s="1" t="str">
        <f>IFERROR(__xludf.DUMMYFUNCTION("""COMPUTED_VALUE"""),"BKEXPRESS_NEAR FEU")</f>
        <v>BKEXPRESS_NEAR FEU</v>
      </c>
      <c r="AI1082" s="1" t="str">
        <f>IFERROR(__xludf.DUMMYFUNCTION("""COMPUTED_VALUE"""),"CLUSTER 11")</f>
        <v>CLUSTER 11</v>
      </c>
    </row>
    <row r="1083" customHeight="1" spans="1:35">
      <c r="A1083" s="3">
        <f>IFERROR(__xludf.DUMMYFUNCTION("""COMPUTED_VALUE"""),46311)</f>
        <v>46311</v>
      </c>
      <c r="B1083" s="1" t="str">
        <f>IFERROR(__xludf.DUMMYFUNCTION("""COMPUTED_VALUE"""),"AARON CRISTIAN DELA ROSA MILLABAS")</f>
        <v>AARON CRISTIAN DELA ROSA MILLABAS</v>
      </c>
      <c r="C1083" s="1">
        <f>IFERROR(__xludf.DUMMYFUNCTION("""COMPUTED_VALUE"""),2313195256)</f>
        <v>2313195256</v>
      </c>
      <c r="D1083" s="1">
        <f>IFERROR(__xludf.DUMMYFUNCTION("""COMPUTED_VALUE"""),409081371)</f>
        <v>409081371</v>
      </c>
      <c r="E1083" s="1">
        <f>IFERROR(__xludf.DUMMYFUNCTION("""COMPUTED_VALUE"""),475970239004)</f>
        <v>475970239004</v>
      </c>
      <c r="F1083" s="1" t="str">
        <f>IFERROR(__xludf.DUMMYFUNCTION("""COMPUTED_VALUE"""),"CLOSED")</f>
        <v>CLOSED</v>
      </c>
      <c r="G1083" s="1" t="str">
        <f>IFERROR(__xludf.DUMMYFUNCTION("""COMPUTED_VALUE"""),"CLOSED")</f>
        <v>CLOSED</v>
      </c>
      <c r="H1083" s="1" t="str">
        <f>IFERROR(__xludf.DUMMYFUNCTION("""COMPUTED_VALUE"""),"PAID VIA OAYBOX KIOSK OCT 19 9261259")</f>
        <v>PAID VIA OAYBOX KIOSK OCT 19 9261259</v>
      </c>
      <c r="I1083" s="1" t="str">
        <f>IFERROR(__xludf.DUMMYFUNCTION("""COMPUTED_VALUE"""),"WITH 1 AMSF")</f>
        <v>WITH 1 AMSF</v>
      </c>
      <c r="J1083" s="1"/>
      <c r="K1083" s="1" t="str">
        <f>IFERROR(__xludf.DUMMYFUNCTION("""COMPUTED_VALUE"""),"COMPLETED")</f>
        <v>COMPLETED</v>
      </c>
      <c r="L1083" s="1" t="str">
        <f>IFERROR(__xludf.DUMMYFUNCTION("""COMPUTED_VALUE"""),"POSTED")</f>
        <v>POSTED</v>
      </c>
      <c r="M1083" s="1" t="str">
        <f>IFERROR(__xludf.DUMMYFUNCTION("""COMPUTED_VALUE"""),"POSTED")</f>
        <v>POSTED</v>
      </c>
      <c r="N1083" s="3">
        <f>IFERROR(__xludf.DUMMYFUNCTION("""COMPUTED_VALUE"""),46314)</f>
        <v>46314</v>
      </c>
      <c r="O1083" s="1" t="str">
        <f>IFERROR(__xludf.DUMMYFUNCTION("""COMPUTED_VALUE"""),"FIBER UNLI PLAN 1399")</f>
        <v>FIBER UNLI PLAN 1399</v>
      </c>
      <c r="P1083" s="1" t="str">
        <f>IFERROR(__xludf.DUMMYFUNCTION("""COMPUTED_VALUE"""),"LOWPLAN")</f>
        <v>LOWPLAN</v>
      </c>
      <c r="Q1083" s="1" t="str">
        <f>IFERROR(__xludf.DUMMYFUNCTION("""COMPUTED_VALUE"""),"P408073")</f>
        <v>P408073</v>
      </c>
      <c r="R1083" s="1" t="str">
        <f>IFERROR(__xludf.DUMMYFUNCTION("""COMPUTED_VALUE"""),"TISTON, CEDRIC")</f>
        <v>TISTON, CEDRIC</v>
      </c>
      <c r="S1083" s="1" t="str">
        <f>IFERROR(__xludf.DUMMYFUNCTION("""COMPUTED_VALUE"""),"ORGANIC")</f>
        <v>ORGANIC</v>
      </c>
      <c r="T1083" s="1" t="str">
        <f>IFERROR(__xludf.DUMMYFUNCTION("""COMPUTED_VALUE"""),"LEA REMOLLO")</f>
        <v>LEA REMOLLO</v>
      </c>
      <c r="U1083" s="1" t="str">
        <f>IFERROR(__xludf.DUMMYFUNCTION("""COMPUTED_VALUE"""),"JB SALIOA")</f>
        <v>JB SALIOA</v>
      </c>
      <c r="V1083" s="1" t="str">
        <f>IFERROR(__xludf.DUMMYFUNCTION("""COMPUTED_VALUE"""),"BK REGULAR")</f>
        <v>BK REGULAR</v>
      </c>
      <c r="W1083" s="1" t="str">
        <f>IFERROR(__xludf.DUMMYFUNCTION("""COMPUTED_VALUE"""),"STK REGULAR")</f>
        <v>STK REGULAR</v>
      </c>
      <c r="X1083" s="1" t="str">
        <f>IFERROR(__xludf.DUMMYFUNCTION("""COMPUTED_VALUE"""),"FIBER 1399 98TH YR")</f>
        <v>FIBER 1399 98TH YR</v>
      </c>
      <c r="Y1083" s="1" t="str">
        <f>IFERROR(__xludf.DUMMYFUNCTION("""COMPUTED_VALUE"""),"BK_CVEU_261003")</f>
        <v>BK_CVEU_261003</v>
      </c>
      <c r="Z1083" s="1" t="str">
        <f>IFERROR(__xludf.DUMMYFUNCTION("""COMPUTED_VALUE"""),"NEW CONNECT")</f>
        <v>NEW CONNECT</v>
      </c>
      <c r="AA1083" s="1">
        <f>IFERROR(__xludf.DUMMYFUNCTION("""COMPUTED_VALUE"""),639558070841)</f>
        <v>639558070841</v>
      </c>
      <c r="AB1083" s="1"/>
      <c r="AC1083" s="1">
        <f>IFERROR(__xludf.DUMMYFUNCTION("""COMPUTED_VALUE"""),1387)</f>
        <v>1387</v>
      </c>
      <c r="AD1083" s="1" t="str">
        <f>IFERROR(__xludf.DUMMYFUNCTION("""COMPUTED_VALUE"""),"CALUMPANG")</f>
        <v>CALUMPANG</v>
      </c>
      <c r="AE1083" s="1"/>
      <c r="AF1083" s="1" t="str">
        <f>IFERROR(__xludf.DUMMYFUNCTION("""COMPUTED_VALUE"""),"BGY LANTIC")</f>
        <v>BGY LANTIC</v>
      </c>
      <c r="AG1083" s="1" t="str">
        <f>IFERROR(__xludf.DUMMYFUNCTION("""COMPUTED_VALUE"""),"CARMONA")</f>
        <v>CARMONA</v>
      </c>
      <c r="AH1083" s="1" t="str">
        <f>IFERROR(__xludf.DUMMYFUNCTION("""COMPUTED_VALUE"""),"ALL SHS")</f>
        <v>ALL SHS</v>
      </c>
      <c r="AI1083" s="1" t="str">
        <f>IFERROR(__xludf.DUMMYFUNCTION("""COMPUTED_VALUE"""),"CLUSTER 11")</f>
        <v>CLUSTER 11</v>
      </c>
    </row>
    <row r="1084" customHeight="1" spans="1:35">
      <c r="A1084" s="3">
        <f>IFERROR(__xludf.DUMMYFUNCTION("""COMPUTED_VALUE"""),46311)</f>
        <v>46311</v>
      </c>
      <c r="B1084" s="1" t="str">
        <f>IFERROR(__xludf.DUMMYFUNCTION("""COMPUTED_VALUE"""),"DARWIN ERENO MENDOZA")</f>
        <v>DARWIN ERENO MENDOZA</v>
      </c>
      <c r="C1084" s="1">
        <f>IFERROR(__xludf.DUMMYFUNCTION("""COMPUTED_VALUE"""),2313195368)</f>
        <v>2313195368</v>
      </c>
      <c r="D1084" s="1">
        <f>IFERROR(__xludf.DUMMYFUNCTION("""COMPUTED_VALUE"""),409066518)</f>
        <v>409066518</v>
      </c>
      <c r="E1084" s="1">
        <f>IFERROR(__xludf.DUMMYFUNCTION("""COMPUTED_VALUE"""),475946106004)</f>
        <v>475946106004</v>
      </c>
      <c r="F1084" s="1" t="str">
        <f>IFERROR(__xludf.DUMMYFUNCTION("""COMPUTED_VALUE"""),"CLOSED")</f>
        <v>CLOSED</v>
      </c>
      <c r="G1084" s="1" t="str">
        <f>IFERROR(__xludf.DUMMYFUNCTION("""COMPUTED_VALUE"""),"CLOSED")</f>
        <v>CLOSED</v>
      </c>
      <c r="H1084" s="1" t="str">
        <f>IFERROR(__xludf.DUMMYFUNCTION("""COMPUTED_VALUE"""),"PAID VUA GCASH REF 888105832 OCT 18")</f>
        <v>PAID VUA GCASH REF 888105832 OCT 18</v>
      </c>
      <c r="I1084" s="1" t="str">
        <f>IFERROR(__xludf.DUMMYFUNCTION("""COMPUTED_VALUE"""),"WITH 1 AMSF")</f>
        <v>WITH 1 AMSF</v>
      </c>
      <c r="J1084" s="1"/>
      <c r="K1084" s="1" t="str">
        <f>IFERROR(__xludf.DUMMYFUNCTION("""COMPUTED_VALUE"""),"COMPLETED")</f>
        <v>COMPLETED</v>
      </c>
      <c r="L1084" s="1" t="str">
        <f>IFERROR(__xludf.DUMMYFUNCTION("""COMPUTED_VALUE"""),"POSTED")</f>
        <v>POSTED</v>
      </c>
      <c r="M1084" s="1" t="str">
        <f>IFERROR(__xludf.DUMMYFUNCTION("""COMPUTED_VALUE"""),"POSTED")</f>
        <v>POSTED</v>
      </c>
      <c r="N1084" s="3">
        <f>IFERROR(__xludf.DUMMYFUNCTION("""COMPUTED_VALUE"""),46314)</f>
        <v>46314</v>
      </c>
      <c r="O1084" s="1" t="str">
        <f>IFERROR(__xludf.DUMMYFUNCTION("""COMPUTED_VALUE"""),"FIBR PLAN 1299")</f>
        <v>FIBR PLAN 1299</v>
      </c>
      <c r="P1084" s="1" t="str">
        <f>IFERROR(__xludf.DUMMYFUNCTION("""COMPUTED_VALUE"""),"LOWPLAN")</f>
        <v>LOWPLAN</v>
      </c>
      <c r="Q1084" s="1" t="str">
        <f>IFERROR(__xludf.DUMMYFUNCTION("""COMPUTED_VALUE"""),"P407048")</f>
        <v>P407048</v>
      </c>
      <c r="R1084" s="1" t="str">
        <f>IFERROR(__xludf.DUMMYFUNCTION("""COMPUTED_VALUE"""),"PEREZ, RONELL")</f>
        <v>PEREZ, RONELL</v>
      </c>
      <c r="S1084" s="1" t="str">
        <f>IFERROR(__xludf.DUMMYFUNCTION("""COMPUTED_VALUE"""),"ORGANIC")</f>
        <v>ORGANIC</v>
      </c>
      <c r="T1084" s="1" t="str">
        <f>IFERROR(__xludf.DUMMYFUNCTION("""COMPUTED_VALUE"""),"GARCIA MICHAEL JETTS")</f>
        <v>GARCIA MICHAEL JETTS</v>
      </c>
      <c r="U1084" s="1" t="str">
        <f>IFERROR(__xludf.DUMMYFUNCTION("""COMPUTED_VALUE"""),"JULIE ESPIRITU")</f>
        <v>JULIE ESPIRITU</v>
      </c>
      <c r="V1084" s="1" t="str">
        <f>IFERROR(__xludf.DUMMYFUNCTION("""COMPUTED_VALUE"""),"ONLINE/CRANFORD")</f>
        <v>ONLINE/CRANFORD</v>
      </c>
      <c r="W1084" s="1" t="str">
        <f>IFERROR(__xludf.DUMMYFUNCTION("""COMPUTED_VALUE"""),"STK REGULAR")</f>
        <v>STK REGULAR</v>
      </c>
      <c r="X1084" s="1" t="str">
        <f>IFERROR(__xludf.DUMMYFUNCTION("""COMPUTED_VALUE"""),"REGULAR")</f>
        <v>REGULAR</v>
      </c>
      <c r="Y1084" s="1" t="str">
        <f>IFERROR(__xludf.DUMMYFUNCTION("""COMPUTED_VALUE"""),"RS_ONL_CVEU_2026")</f>
        <v>RS_ONL_CVEU_2026</v>
      </c>
      <c r="Z1084" s="1" t="str">
        <f>IFERROR(__xludf.DUMMYFUNCTION("""COMPUTED_VALUE"""),"NEW CONNECT")</f>
        <v>NEW CONNECT</v>
      </c>
      <c r="AA1084" s="1">
        <f>IFERROR(__xludf.DUMMYFUNCTION("""COMPUTED_VALUE"""),639674568746)</f>
        <v>639674568746</v>
      </c>
      <c r="AB1084" s="1">
        <f>IFERROR(__xludf.DUMMYFUNCTION("""COMPUTED_VALUE"""),639278192144)</f>
        <v>639278192144</v>
      </c>
      <c r="AC1084" s="1"/>
      <c r="AD1084" s="1" t="str">
        <f>IFERROR(__xludf.DUMMYFUNCTION("""COMPUTED_VALUE"""),"ISTANA SUBDIVISION")</f>
        <v>ISTANA SUBDIVISION</v>
      </c>
      <c r="AE1084" s="1" t="str">
        <f>IFERROR(__xludf.DUMMYFUNCTION("""COMPUTED_VALUE"""),"ISTANA SUBDIVISION PHASE A")</f>
        <v>ISTANA SUBDIVISION PHASE A</v>
      </c>
      <c r="AF1084" s="1" t="str">
        <f>IFERROR(__xludf.DUMMYFUNCTION("""COMPUTED_VALUE"""),"BGY AMAYA 2")</f>
        <v>BGY AMAYA 2</v>
      </c>
      <c r="AG1084" s="1" t="str">
        <f>IFERROR(__xludf.DUMMYFUNCTION("""COMPUTED_VALUE"""),"TANZA")</f>
        <v>TANZA</v>
      </c>
      <c r="AH1084" s="1"/>
      <c r="AI1084" s="1" t="str">
        <f>IFERROR(__xludf.DUMMYFUNCTION("""COMPUTED_VALUE"""),"NOT AOR")</f>
        <v>NOT AOR</v>
      </c>
    </row>
    <row r="1085" customHeight="1" spans="1:35">
      <c r="A1085" s="3">
        <f>IFERROR(__xludf.DUMMYFUNCTION("""COMPUTED_VALUE"""),46311)</f>
        <v>46311</v>
      </c>
      <c r="B1085" s="1" t="str">
        <f>IFERROR(__xludf.DUMMYFUNCTION("""COMPUTED_VALUE"""),"MATT ROBERT RABAJA CALDERON")</f>
        <v>MATT ROBERT RABAJA CALDERON</v>
      </c>
      <c r="C1085" s="1">
        <f>IFERROR(__xludf.DUMMYFUNCTION("""COMPUTED_VALUE"""),2313196000)</f>
        <v>2313196000</v>
      </c>
      <c r="D1085" s="1">
        <f>IFERROR(__xludf.DUMMYFUNCTION("""COMPUTED_VALUE"""),409039871)</f>
        <v>409039871</v>
      </c>
      <c r="E1085" s="1">
        <f>IFERROR(__xludf.DUMMYFUNCTION("""COMPUTED_VALUE"""),475842106004)</f>
        <v>475842106004</v>
      </c>
      <c r="F1085" s="1" t="str">
        <f>IFERROR(__xludf.DUMMYFUNCTION("""COMPUTED_VALUE"""),"CLOSED")</f>
        <v>CLOSED</v>
      </c>
      <c r="G1085" s="1" t="str">
        <f>IFERROR(__xludf.DUMMYFUNCTION("""COMPUTED_VALUE"""),"CLOSED")</f>
        <v>CLOSED</v>
      </c>
      <c r="H1085" s="1" t="str">
        <f>IFERROR(__xludf.DUMMYFUNCTION("""COMPUTED_VALUE"""),"PAID VIA MAYA629103276830 OCT 18")</f>
        <v>PAID VIA MAYA629103276830 OCT 18</v>
      </c>
      <c r="I1085" s="1" t="str">
        <f>IFERROR(__xludf.DUMMYFUNCTION("""COMPUTED_VALUE"""),"WITH 1 AMSF")</f>
        <v>WITH 1 AMSF</v>
      </c>
      <c r="J1085" s="1"/>
      <c r="K1085" s="1" t="str">
        <f>IFERROR(__xludf.DUMMYFUNCTION("""COMPUTED_VALUE"""),"COMPLETED")</f>
        <v>COMPLETED</v>
      </c>
      <c r="L1085" s="1" t="str">
        <f>IFERROR(__xludf.DUMMYFUNCTION("""COMPUTED_VALUE"""),"POSTED")</f>
        <v>POSTED</v>
      </c>
      <c r="M1085" s="1" t="str">
        <f>IFERROR(__xludf.DUMMYFUNCTION("""COMPUTED_VALUE"""),"POSTED")</f>
        <v>POSTED</v>
      </c>
      <c r="N1085" s="3">
        <f>IFERROR(__xludf.DUMMYFUNCTION("""COMPUTED_VALUE"""),46313)</f>
        <v>46313</v>
      </c>
      <c r="O1085" s="1" t="str">
        <f>IFERROR(__xludf.DUMMYFUNCTION("""COMPUTED_VALUE"""),"FIBR PLAN 1299")</f>
        <v>FIBR PLAN 1299</v>
      </c>
      <c r="P1085" s="1" t="str">
        <f>IFERROR(__xludf.DUMMYFUNCTION("""COMPUTED_VALUE"""),"LOWPLAN")</f>
        <v>LOWPLAN</v>
      </c>
      <c r="Q1085" s="1" t="str">
        <f>IFERROR(__xludf.DUMMYFUNCTION("""COMPUTED_VALUE"""),"P407561")</f>
        <v>P407561</v>
      </c>
      <c r="R1085" s="1" t="str">
        <f>IFERROR(__xludf.DUMMYFUNCTION("""COMPUTED_VALUE"""),"TAMAYO, MARY ROSE ZAIRA")</f>
        <v>TAMAYO, MARY ROSE ZAIRA</v>
      </c>
      <c r="S1085" s="1" t="str">
        <f>IFERROR(__xludf.DUMMYFUNCTION("""COMPUTED_VALUE"""),"ORGANIC")</f>
        <v>ORGANIC</v>
      </c>
      <c r="T1085" s="1" t="str">
        <f>IFERROR(__xludf.DUMMYFUNCTION("""COMPUTED_VALUE"""),"LEA REMOLLO")</f>
        <v>LEA REMOLLO</v>
      </c>
      <c r="U1085" s="1" t="str">
        <f>IFERROR(__xludf.DUMMYFUNCTION("""COMPUTED_VALUE"""),"JB SALIOA")</f>
        <v>JB SALIOA</v>
      </c>
      <c r="V1085" s="1" t="str">
        <f>IFERROR(__xludf.DUMMYFUNCTION("""COMPUTED_VALUE"""),"ONLINE/CRANFORD")</f>
        <v>ONLINE/CRANFORD</v>
      </c>
      <c r="W1085" s="1" t="str">
        <f>IFERROR(__xludf.DUMMYFUNCTION("""COMPUTED_VALUE"""),"STK REGULAR")</f>
        <v>STK REGULAR</v>
      </c>
      <c r="X1085" s="1" t="str">
        <f>IFERROR(__xludf.DUMMYFUNCTION("""COMPUTED_VALUE"""),"REGULAR")</f>
        <v>REGULAR</v>
      </c>
      <c r="Y1085" s="1" t="str">
        <f>IFERROR(__xludf.DUMMYFUNCTION("""COMPUTED_VALUE"""),"RS_ONL_CVEU_2026")</f>
        <v>RS_ONL_CVEU_2026</v>
      </c>
      <c r="Z1085" s="1" t="str">
        <f>IFERROR(__xludf.DUMMYFUNCTION("""COMPUTED_VALUE"""),"NEW CONNECT")</f>
        <v>NEW CONNECT</v>
      </c>
      <c r="AA1085" s="1">
        <f>IFERROR(__xludf.DUMMYFUNCTION("""COMPUTED_VALUE"""),639184839694)</f>
        <v>639184839694</v>
      </c>
      <c r="AB1085" s="1">
        <f>IFERROR(__xludf.DUMMYFUNCTION("""COMPUTED_VALUE"""),639208747912)</f>
        <v>639208747912</v>
      </c>
      <c r="AC1085" s="1"/>
      <c r="AD1085" s="1" t="str">
        <f>IFERROR(__xludf.DUMMYFUNCTION("""COMPUTED_VALUE"""),"BRITSUM")</f>
        <v>BRITSUM</v>
      </c>
      <c r="AE1085" s="1" t="str">
        <f>IFERROR(__xludf.DUMMYFUNCTION("""COMPUTED_VALUE"""),"BLDG 3 APARTMENT")</f>
        <v>BLDG 3 APARTMENT</v>
      </c>
      <c r="AF1085" s="1" t="str">
        <f>IFERROR(__xludf.DUMMYFUNCTION("""COMPUTED_VALUE"""),"BGY PF ESPIRITU 3")</f>
        <v>BGY PF ESPIRITU 3</v>
      </c>
      <c r="AG1085" s="1" t="str">
        <f>IFERROR(__xludf.DUMMYFUNCTION("""COMPUTED_VALUE"""),"BACOOR")</f>
        <v>BACOOR</v>
      </c>
      <c r="AH1085" s="1" t="str">
        <f>IFERROR(__xludf.DUMMYFUNCTION("""COMPUTED_VALUE"""),"ANTORINA PRIVATE RESORT")</f>
        <v>ANTORINA PRIVATE RESORT</v>
      </c>
      <c r="AI1085" s="1" t="str">
        <f>IFERROR(__xludf.DUMMYFUNCTION("""COMPUTED_VALUE"""),"NOT AOR")</f>
        <v>NOT AOR</v>
      </c>
    </row>
    <row r="1086" customHeight="1" spans="1:35">
      <c r="A1086" s="3">
        <f>IFERROR(__xludf.DUMMYFUNCTION("""COMPUTED_VALUE"""),46311)</f>
        <v>46311</v>
      </c>
      <c r="B1086" s="1" t="str">
        <f>IFERROR(__xludf.DUMMYFUNCTION("""COMPUTED_VALUE"""),"ROLAND SAYO GAYTANO")</f>
        <v>ROLAND SAYO GAYTANO</v>
      </c>
      <c r="C1086" s="1">
        <f>IFERROR(__xludf.DUMMYFUNCTION("""COMPUTED_VALUE"""),2313196441)</f>
        <v>2313196441</v>
      </c>
      <c r="D1086" s="1">
        <f>IFERROR(__xludf.DUMMYFUNCTION("""COMPUTED_VALUE"""),409040934)</f>
        <v>409040934</v>
      </c>
      <c r="E1086" s="1">
        <f>IFERROR(__xludf.DUMMYFUNCTION("""COMPUTED_VALUE"""),475842533004)</f>
        <v>475842533004</v>
      </c>
      <c r="F1086" s="1" t="str">
        <f>IFERROR(__xludf.DUMMYFUNCTION("""COMPUTED_VALUE"""),"CLOSED")</f>
        <v>CLOSED</v>
      </c>
      <c r="G1086" s="1" t="str">
        <f>IFERROR(__xludf.DUMMYFUNCTION("""COMPUTED_VALUE"""),"CLOSED")</f>
        <v>CLOSED</v>
      </c>
      <c r="H1086" s="1" t="str">
        <f>IFERROR(__xludf.DUMMYFUNCTION("""COMPUTED_VALUE"""),"PAID THRU MBAGG26101808225510247176")</f>
        <v>PAID THRU MBAGG26101808225510247176</v>
      </c>
      <c r="I1086" s="1" t="str">
        <f>IFERROR(__xludf.DUMMYFUNCTION("""COMPUTED_VALUE"""),"WITH 1 AMSF")</f>
        <v>WITH 1 AMSF</v>
      </c>
      <c r="J1086" s="1"/>
      <c r="K1086" s="1" t="str">
        <f>IFERROR(__xludf.DUMMYFUNCTION("""COMPUTED_VALUE"""),"COMPLETED")</f>
        <v>COMPLETED</v>
      </c>
      <c r="L1086" s="1" t="str">
        <f>IFERROR(__xludf.DUMMYFUNCTION("""COMPUTED_VALUE"""),"POSTED")</f>
        <v>POSTED</v>
      </c>
      <c r="M1086" s="1" t="str">
        <f>IFERROR(__xludf.DUMMYFUNCTION("""COMPUTED_VALUE"""),"POSTED")</f>
        <v>POSTED</v>
      </c>
      <c r="N1086" s="3">
        <f>IFERROR(__xludf.DUMMYFUNCTION("""COMPUTED_VALUE"""),46314)</f>
        <v>46314</v>
      </c>
      <c r="O1086" s="1" t="str">
        <f>IFERROR(__xludf.DUMMYFUNCTION("""COMPUTED_VALUE"""),"FIBER UNLI PLAN 1399")</f>
        <v>FIBER UNLI PLAN 1399</v>
      </c>
      <c r="P1086" s="1" t="str">
        <f>IFERROR(__xludf.DUMMYFUNCTION("""COMPUTED_VALUE"""),"LOWPLAN")</f>
        <v>LOWPLAN</v>
      </c>
      <c r="Q1086" s="1" t="str">
        <f>IFERROR(__xludf.DUMMYFUNCTION("""COMPUTED_VALUE"""),"P407520")</f>
        <v>P407520</v>
      </c>
      <c r="R1086" s="1" t="str">
        <f>IFERROR(__xludf.DUMMYFUNCTION("""COMPUTED_VALUE"""),"MALIWAT, MARK")</f>
        <v>MALIWAT, MARK</v>
      </c>
      <c r="S1086" s="1" t="str">
        <f>IFERROR(__xludf.DUMMYFUNCTION("""COMPUTED_VALUE"""),"FLA")</f>
        <v>FLA</v>
      </c>
      <c r="T1086" s="1" t="str">
        <f>IFERROR(__xludf.DUMMYFUNCTION("""COMPUTED_VALUE"""),"JERIC NAVARRO")</f>
        <v>JERIC NAVARRO</v>
      </c>
      <c r="U1086" s="1" t="str">
        <f>IFERROR(__xludf.DUMMYFUNCTION("""COMPUTED_VALUE"""),"JB SALIOA")</f>
        <v>JB SALIOA</v>
      </c>
      <c r="V1086" s="1" t="str">
        <f>IFERROR(__xludf.DUMMYFUNCTION("""COMPUTED_VALUE"""),"BK REGULAR")</f>
        <v>BK REGULAR</v>
      </c>
      <c r="W1086" s="1" t="str">
        <f>IFERROR(__xludf.DUMMYFUNCTION("""COMPUTED_VALUE"""),"STK REGULAR")</f>
        <v>STK REGULAR</v>
      </c>
      <c r="X1086" s="1" t="str">
        <f>IFERROR(__xludf.DUMMYFUNCTION("""COMPUTED_VALUE"""),"FIBER 1399 98TH YR")</f>
        <v>FIBER 1399 98TH YR</v>
      </c>
      <c r="Y1086" s="1" t="str">
        <f>IFERROR(__xludf.DUMMYFUNCTION("""COMPUTED_VALUE"""),"BK_CVEU_261001")</f>
        <v>BK_CVEU_261001</v>
      </c>
      <c r="Z1086" s="1" t="str">
        <f>IFERROR(__xludf.DUMMYFUNCTION("""COMPUTED_VALUE"""),"NEW CONNECT")</f>
        <v>NEW CONNECT</v>
      </c>
      <c r="AA1086" s="1">
        <f>IFERROR(__xludf.DUMMYFUNCTION("""COMPUTED_VALUE"""),639176230272)</f>
        <v>639176230272</v>
      </c>
      <c r="AB1086" s="1">
        <f>IFERROR(__xludf.DUMMYFUNCTION("""COMPUTED_VALUE"""),639178772360)</f>
        <v>639178772360</v>
      </c>
      <c r="AC1086" s="1">
        <f>IFERROR(__xludf.DUMMYFUNCTION("""COMPUTED_VALUE"""),1095)</f>
        <v>1095</v>
      </c>
      <c r="AD1086" s="1" t="str">
        <f>IFERROR(__xludf.DUMMYFUNCTION("""COMPUTED_VALUE"""),"ALILIO DRIVE")</f>
        <v>ALILIO DRIVE</v>
      </c>
      <c r="AE1086" s="1"/>
      <c r="AF1086" s="1" t="str">
        <f>IFERROR(__xludf.DUMMYFUNCTION("""COMPUTED_VALUE"""),"BGY UPLI")</f>
        <v>BGY UPLI</v>
      </c>
      <c r="AG1086" s="1" t="str">
        <f>IFERROR(__xludf.DUMMYFUNCTION("""COMPUTED_VALUE"""),"ALFONSO")</f>
        <v>ALFONSO</v>
      </c>
      <c r="AH1086" s="1" t="str">
        <f>IFERROR(__xludf.DUMMYFUNCTION("""COMPUTED_VALUE"""),"AT THE BACK OF JESUS IS LORD BRGY UPLI")</f>
        <v>AT THE BACK OF JESUS IS LORD BRGY UPLI</v>
      </c>
      <c r="AI1086" s="1" t="str">
        <f>IFERROR(__xludf.DUMMYFUNCTION("""COMPUTED_VALUE"""),"CLUSTER 12")</f>
        <v>CLUSTER 12</v>
      </c>
    </row>
    <row r="1087" customHeight="1" spans="1:35">
      <c r="A1087" s="3">
        <f>IFERROR(__xludf.DUMMYFUNCTION("""COMPUTED_VALUE"""),46311)</f>
        <v>46311</v>
      </c>
      <c r="B1087" s="1" t="str">
        <f>IFERROR(__xludf.DUMMYFUNCTION("""COMPUTED_VALUE"""),"DAVE LESTER PATRICIO DINCO")</f>
        <v>DAVE LESTER PATRICIO DINCO</v>
      </c>
      <c r="C1087" s="1">
        <f>IFERROR(__xludf.DUMMYFUNCTION("""COMPUTED_VALUE"""),2313196922)</f>
        <v>2313196922</v>
      </c>
      <c r="D1087" s="1"/>
      <c r="E1087" s="1"/>
      <c r="F1087" s="1" t="str">
        <f>IFERROR(__xludf.DUMMYFUNCTION("""COMPUTED_VALUE"""),"REENCODED")</f>
        <v>REENCODED</v>
      </c>
      <c r="G1087" s="1" t="str">
        <f>IFERROR(__xludf.DUMMYFUNCTION("""COMPUTED_VALUE"""),"DISAPPORVED | INCORRECT ENCODED OF ADDRESS IN CSP (1267) VS VIA CALL OUT (267) | FOUND CANCELLED APP SAME NAME/DIFF ADD ACCT#0400857474 | DONE VALIDATION | TU SCORING - FF - 2 (NTC) |WAIVED 1 AMSF REQUIRED UNDER PROMO CODE | CLEARED FROM BLACKLISTED HIT |"&amp;" NO EXISTING ACTIVE ACCT AND/OR PENDING APPLICATION | CALLED THRU: 09685814578 3:27 PM CONTACTED | TALKED TO SOR | CONFIRMED APPLYING LINE ")</f>
        <v>DISAPPORVED | INCORRECT ENCODED OF ADDRESS IN CSP (1267) VS VIA CALL OUT (267) | FOUND CANCELLED APP SAME NAME/DIFF ADD ACCT#0400857474 | DONE VALIDATION | TU SCORING - FF - 2 (NTC) |WAIVED 1 AMSF REQUIRED UNDER PROMO CODE | CLEARED FROM BLACKLISTED HIT | NO EXISTING ACTIVE ACCT AND/OR PENDING APPLICATION | CALLED THRU: 09685814578 3:27 PM CONTACTED | TALKED TO SOR | CONFIRMED APPLYING LINE </v>
      </c>
      <c r="H1087" s="1"/>
      <c r="I1087" s="1"/>
      <c r="J1087" s="1"/>
      <c r="K1087" s="1"/>
      <c r="L1087" s="1" t="str">
        <f>IFERROR(__xludf.DUMMYFUNCTION("""COMPUTED_VALUE"""),"REENCODED")</f>
        <v>REENCODED</v>
      </c>
      <c r="M1087" s="1" t="str">
        <f>IFERROR(__xludf.DUMMYFUNCTION("""COMPUTED_VALUE"""),"REENCODED")</f>
        <v>REENCODED</v>
      </c>
      <c r="N1087" s="3"/>
      <c r="O1087" s="1" t="str">
        <f>IFERROR(__xludf.DUMMYFUNCTION("""COMPUTED_VALUE"""),"FIBER UNLI PLAN 1399")</f>
        <v>FIBER UNLI PLAN 1399</v>
      </c>
      <c r="P1087" s="1" t="str">
        <f>IFERROR(__xludf.DUMMYFUNCTION("""COMPUTED_VALUE"""),"LOWPLAN")</f>
        <v>LOWPLAN</v>
      </c>
      <c r="Q1087" s="1" t="str">
        <f>IFERROR(__xludf.DUMMYFUNCTION("""COMPUTED_VALUE"""),"P408049")</f>
        <v>P408049</v>
      </c>
      <c r="R1087" s="1" t="str">
        <f>IFERROR(__xludf.DUMMYFUNCTION("""COMPUTED_VALUE"""),"CORNELIO, CATHERINE")</f>
        <v>CORNELIO, CATHERINE</v>
      </c>
      <c r="S1087" s="1" t="str">
        <f>IFERROR(__xludf.DUMMYFUNCTION("""COMPUTED_VALUE"""),"ORGANIC")</f>
        <v>ORGANIC</v>
      </c>
      <c r="T1087" s="1" t="str">
        <f>IFERROR(__xludf.DUMMYFUNCTION("""COMPUTED_VALUE"""),"LEA REMOLLO")</f>
        <v>LEA REMOLLO</v>
      </c>
      <c r="U1087" s="1" t="str">
        <f>IFERROR(__xludf.DUMMYFUNCTION("""COMPUTED_VALUE"""),"JB SALIOA")</f>
        <v>JB SALIOA</v>
      </c>
      <c r="V1087" s="1" t="str">
        <f>IFERROR(__xludf.DUMMYFUNCTION("""COMPUTED_VALUE"""),"BK HSTK")</f>
        <v>BK HSTK</v>
      </c>
      <c r="W1087" s="1" t="str">
        <f>IFERROR(__xludf.DUMMYFUNCTION("""COMPUTED_VALUE"""),"BK HSTK")</f>
        <v>BK HSTK</v>
      </c>
      <c r="X1087" s="1" t="str">
        <f>IFERROR(__xludf.DUMMYFUNCTION("""COMPUTED_VALUE"""),"FIBER 1399 98TH YR")</f>
        <v>FIBER 1399 98TH YR</v>
      </c>
      <c r="Y1087" s="1" t="str">
        <f>IFERROR(__xludf.DUMMYFUNCTION("""COMPUTED_VALUE"""),"BK_CVEU_261006")</f>
        <v>BK_CVEU_261006</v>
      </c>
      <c r="Z1087" s="1" t="str">
        <f>IFERROR(__xludf.DUMMYFUNCTION("""COMPUTED_VALUE"""),"NEW CONNECT")</f>
        <v>NEW CONNECT</v>
      </c>
      <c r="AA1087" s="1">
        <f>IFERROR(__xludf.DUMMYFUNCTION("""COMPUTED_VALUE"""),639686814578)</f>
        <v>639686814578</v>
      </c>
      <c r="AB1087" s="1">
        <f>IFERROR(__xludf.DUMMYFUNCTION("""COMPUTED_VALUE"""),639685814578)</f>
        <v>639685814578</v>
      </c>
      <c r="AC1087" s="1"/>
      <c r="AD1087" s="1" t="str">
        <f>IFERROR(__xludf.DUMMYFUNCTION("""COMPUTED_VALUE"""),"AMBID")</f>
        <v>AMBID</v>
      </c>
      <c r="AE1087" s="1"/>
      <c r="AF1087" s="1" t="str">
        <f>IFERROR(__xludf.DUMMYFUNCTION("""COMPUTED_VALUE"""),"BGY BILUSO")</f>
        <v>BGY BILUSO</v>
      </c>
      <c r="AG1087" s="1" t="str">
        <f>IFERROR(__xludf.DUMMYFUNCTION("""COMPUTED_VALUE"""),"SILANG")</f>
        <v>SILANG</v>
      </c>
      <c r="AH1087" s="1" t="str">
        <f>IFERROR(__xludf.DUMMYFUNCTION("""COMPUTED_VALUE"""),"CROWN AESTHETIC DENTAL CLINIC")</f>
        <v>CROWN AESTHETIC DENTAL CLINIC</v>
      </c>
      <c r="AI1087" s="1" t="str">
        <f>IFERROR(__xludf.DUMMYFUNCTION("""COMPUTED_VALUE"""),"CLUSTER 11")</f>
        <v>CLUSTER 11</v>
      </c>
    </row>
    <row r="1088" customHeight="1" spans="1:35">
      <c r="A1088" s="3">
        <f>IFERROR(__xludf.DUMMYFUNCTION("""COMPUTED_VALUE"""),46311)</f>
        <v>46311</v>
      </c>
      <c r="B1088" s="1" t="str">
        <f>IFERROR(__xludf.DUMMYFUNCTION("""COMPUTED_VALUE"""),"MARY JANE LAKANDULA GONZALES")</f>
        <v>MARY JANE LAKANDULA GONZALES</v>
      </c>
      <c r="C1088" s="1">
        <f>IFERROR(__xludf.DUMMYFUNCTION("""COMPUTED_VALUE"""),2313197411)</f>
        <v>2313197411</v>
      </c>
      <c r="D1088" s="1">
        <f>IFERROR(__xludf.DUMMYFUNCTION("""COMPUTED_VALUE"""),409081495)</f>
        <v>409081495</v>
      </c>
      <c r="E1088" s="1">
        <f>IFERROR(__xludf.DUMMYFUNCTION("""COMPUTED_VALUE"""),475970235004)</f>
        <v>475970235004</v>
      </c>
      <c r="F1088" s="1" t="str">
        <f>IFERROR(__xludf.DUMMYFUNCTION("""COMPUTED_VALUE"""),"FOR PAYMENT")</f>
        <v>FOR PAYMENT</v>
      </c>
      <c r="G1088" s="1" t="str">
        <f>IFERROR(__xludf.DUMMYFUNCTION("""COMPUTED_VALUE"""),"FOR PAYMENT")</f>
        <v>FOR PAYMENT</v>
      </c>
      <c r="H1088" s="1"/>
      <c r="I1088" s="1"/>
      <c r="J1088" s="1"/>
      <c r="K1088" s="1" t="str">
        <f>IFERROR(__xludf.DUMMYFUNCTION("""COMPUTED_VALUE"""),"NOT IN OFSC")</f>
        <v>NOT IN OFSC</v>
      </c>
      <c r="L1088" s="1" t="str">
        <f>IFERROR(__xludf.DUMMYFUNCTION("""COMPUTED_VALUE"""),"FOR PAYMENT")</f>
        <v>FOR PAYMENT</v>
      </c>
      <c r="M1088" s="1" t="str">
        <f>IFERROR(__xludf.DUMMYFUNCTION("""COMPUTED_VALUE"""),"FOR PAYMENT - FOR CALL OUT")</f>
        <v>FOR PAYMENT - FOR CALL OUT</v>
      </c>
      <c r="N1088" s="3"/>
      <c r="O1088" s="1" t="str">
        <f>IFERROR(__xludf.DUMMYFUNCTION("""COMPUTED_VALUE"""),"FIBER UNLI PLAN 1399")</f>
        <v>FIBER UNLI PLAN 1399</v>
      </c>
      <c r="P1088" s="1" t="str">
        <f>IFERROR(__xludf.DUMMYFUNCTION("""COMPUTED_VALUE"""),"LOWPLAN")</f>
        <v>LOWPLAN</v>
      </c>
      <c r="Q1088" s="1" t="str">
        <f>IFERROR(__xludf.DUMMYFUNCTION("""COMPUTED_VALUE"""),"P407047")</f>
        <v>P407047</v>
      </c>
      <c r="R1088" s="1" t="str">
        <f>IFERROR(__xludf.DUMMYFUNCTION("""COMPUTED_VALUE"""),"FRANCISCO, ROSELYN")</f>
        <v>FRANCISCO, ROSELYN</v>
      </c>
      <c r="S1088" s="1" t="str">
        <f>IFERROR(__xludf.DUMMYFUNCTION("""COMPUTED_VALUE"""),"ORGANIC")</f>
        <v>ORGANIC</v>
      </c>
      <c r="T1088" s="1" t="str">
        <f>IFERROR(__xludf.DUMMYFUNCTION("""COMPUTED_VALUE"""),"LEA REMOLLO")</f>
        <v>LEA REMOLLO</v>
      </c>
      <c r="U1088" s="1" t="str">
        <f>IFERROR(__xludf.DUMMYFUNCTION("""COMPUTED_VALUE"""),"JB SALIOA")</f>
        <v>JB SALIOA</v>
      </c>
      <c r="V1088" s="1" t="str">
        <f>IFERROR(__xludf.DUMMYFUNCTION("""COMPUTED_VALUE"""),"BK REGULAR")</f>
        <v>BK REGULAR</v>
      </c>
      <c r="W1088" s="1" t="str">
        <f>IFERROR(__xludf.DUMMYFUNCTION("""COMPUTED_VALUE"""),"STK REGULAR")</f>
        <v>STK REGULAR</v>
      </c>
      <c r="X1088" s="1" t="str">
        <f>IFERROR(__xludf.DUMMYFUNCTION("""COMPUTED_VALUE"""),"FIBER 1399 98TH YR")</f>
        <v>FIBER 1399 98TH YR</v>
      </c>
      <c r="Y1088" s="1" t="str">
        <f>IFERROR(__xludf.DUMMYFUNCTION("""COMPUTED_VALUE"""),"BK_CVEU_261003")</f>
        <v>BK_CVEU_261003</v>
      </c>
      <c r="Z1088" s="1" t="str">
        <f>IFERROR(__xludf.DUMMYFUNCTION("""COMPUTED_VALUE"""),"NEW CONNECT")</f>
        <v>NEW CONNECT</v>
      </c>
      <c r="AA1088" s="1">
        <f>IFERROR(__xludf.DUMMYFUNCTION("""COMPUTED_VALUE"""),639665681416)</f>
        <v>639665681416</v>
      </c>
      <c r="AB1088" s="1">
        <f>IFERROR(__xludf.DUMMYFUNCTION("""COMPUTED_VALUE"""),639563544613)</f>
        <v>639563544613</v>
      </c>
      <c r="AC1088" s="1">
        <f>IFERROR(__xludf.DUMMYFUNCTION("""COMPUTED_VALUE"""),108)</f>
        <v>108</v>
      </c>
      <c r="AD1088" s="1" t="str">
        <f>IFERROR(__xludf.DUMMYFUNCTION("""COMPUTED_VALUE"""),"1ALTAREZ")</f>
        <v>1ALTAREZ</v>
      </c>
      <c r="AE1088" s="1"/>
      <c r="AF1088" s="1" t="str">
        <f>IFERROR(__xludf.DUMMYFUNCTION("""COMPUTED_VALUE"""),"BGY MADUYA")</f>
        <v>BGY MADUYA</v>
      </c>
      <c r="AG1088" s="1" t="str">
        <f>IFERROR(__xludf.DUMMYFUNCTION("""COMPUTED_VALUE"""),"CARMONA")</f>
        <v>CARMONA</v>
      </c>
      <c r="AH1088" s="1" t="str">
        <f>IFERROR(__xludf.DUMMYFUNCTION("""COMPUTED_VALUE"""),"FUNDAMENTAL BAPTIST CHURCH")</f>
        <v>FUNDAMENTAL BAPTIST CHURCH</v>
      </c>
      <c r="AI1088" s="1" t="str">
        <f>IFERROR(__xludf.DUMMYFUNCTION("""COMPUTED_VALUE"""),"CLUSTER 11")</f>
        <v>CLUSTER 11</v>
      </c>
    </row>
    <row r="1089" customHeight="1" spans="1:35">
      <c r="A1089" s="3">
        <f>IFERROR(__xludf.DUMMYFUNCTION("""COMPUTED_VALUE"""),46311)</f>
        <v>46311</v>
      </c>
      <c r="B1089" s="1" t="str">
        <f>IFERROR(__xludf.DUMMYFUNCTION("""COMPUTED_VALUE"""),"ROSALIE BACIT ANARNA")</f>
        <v>ROSALIE BACIT ANARNA</v>
      </c>
      <c r="C1089" s="1">
        <f>IFERROR(__xludf.DUMMYFUNCTION("""COMPUTED_VALUE"""),2313197755)</f>
        <v>2313197755</v>
      </c>
      <c r="D1089" s="1">
        <f>IFERROR(__xludf.DUMMYFUNCTION("""COMPUTED_VALUE"""),409043178)</f>
        <v>409043178</v>
      </c>
      <c r="E1089" s="1">
        <f>IFERROR(__xludf.DUMMYFUNCTION("""COMPUTED_VALUE"""),475843696004)</f>
        <v>475843696004</v>
      </c>
      <c r="F1089" s="1" t="str">
        <f>IFERROR(__xludf.DUMMYFUNCTION("""COMPUTED_VALUE"""),"CLOSED")</f>
        <v>CLOSED</v>
      </c>
      <c r="G1089" s="1" t="str">
        <f>IFERROR(__xludf.DUMMYFUNCTION("""COMPUTED_VALUE"""),"CLOSED")</f>
        <v>CLOSED</v>
      </c>
      <c r="H1089" s="1"/>
      <c r="I1089" s="1" t="str">
        <f>IFERROR(__xludf.DUMMYFUNCTION("""COMPUTED_VALUE"""),"NO 1 AMSF")</f>
        <v>NO 1 AMSF</v>
      </c>
      <c r="J1089" s="1" t="str">
        <f>IFERROR(__xludf.DUMMYFUNCTION("""COMPUTED_VALUE"""),"DUE DATE - 11-Nov-26 - 1,445.64")</f>
        <v>DUE DATE - 11-Nov-26 - 1,445.64</v>
      </c>
      <c r="K1089" s="1" t="str">
        <f>IFERROR(__xludf.DUMMYFUNCTION("""COMPUTED_VALUE"""),"COMPLETED")</f>
        <v>COMPLETED</v>
      </c>
      <c r="L1089" s="1" t="str">
        <f>IFERROR(__xludf.DUMMYFUNCTION("""COMPUTED_VALUE"""),"POSTED")</f>
        <v>POSTED</v>
      </c>
      <c r="M1089" s="1" t="str">
        <f>IFERROR(__xludf.DUMMYFUNCTION("""COMPUTED_VALUE"""),"POSTED")</f>
        <v>POSTED</v>
      </c>
      <c r="N1089" s="3">
        <f>IFERROR(__xludf.DUMMYFUNCTION("""COMPUTED_VALUE"""),46312)</f>
        <v>46312</v>
      </c>
      <c r="O1089" s="1" t="str">
        <f>IFERROR(__xludf.DUMMYFUNCTION("""COMPUTED_VALUE"""),"FIBR PLAN 1299")</f>
        <v>FIBR PLAN 1299</v>
      </c>
      <c r="P1089" s="1" t="str">
        <f>IFERROR(__xludf.DUMMYFUNCTION("""COMPUTED_VALUE"""),"LOWPLAN")</f>
        <v>LOWPLAN</v>
      </c>
      <c r="Q1089" s="1" t="str">
        <f>IFERROR(__xludf.DUMMYFUNCTION("""COMPUTED_VALUE"""),"P407049")</f>
        <v>P407049</v>
      </c>
      <c r="R1089" s="1" t="str">
        <f>IFERROR(__xludf.DUMMYFUNCTION("""COMPUTED_VALUE"""),"ALINGARO, CINDY")</f>
        <v>ALINGARO, CINDY</v>
      </c>
      <c r="S1089" s="1" t="str">
        <f>IFERROR(__xludf.DUMMYFUNCTION("""COMPUTED_VALUE"""),"ORGANIC")</f>
        <v>ORGANIC</v>
      </c>
      <c r="T1089" s="1" t="str">
        <f>IFERROR(__xludf.DUMMYFUNCTION("""COMPUTED_VALUE"""),"LEA REMOLLO")</f>
        <v>LEA REMOLLO</v>
      </c>
      <c r="U1089" s="1" t="str">
        <f>IFERROR(__xludf.DUMMYFUNCTION("""COMPUTED_VALUE"""),"JB SALIOA")</f>
        <v>JB SALIOA</v>
      </c>
      <c r="V1089" s="1" t="str">
        <f>IFERROR(__xludf.DUMMYFUNCTION("""COMPUTED_VALUE"""),"BK REGULAR")</f>
        <v>BK REGULAR</v>
      </c>
      <c r="W1089" s="1" t="str">
        <f>IFERROR(__xludf.DUMMYFUNCTION("""COMPUTED_VALUE"""),"STK REGULAR")</f>
        <v>STK REGULAR</v>
      </c>
      <c r="X1089" s="1" t="str">
        <f>IFERROR(__xludf.DUMMYFUNCTION("""COMPUTED_VALUE"""),"FIBER 1399 98TH YR")</f>
        <v>FIBER 1399 98TH YR</v>
      </c>
      <c r="Y1089" s="1" t="str">
        <f>IFERROR(__xludf.DUMMYFUNCTION("""COMPUTED_VALUE"""),"BK_CVEU_261006")</f>
        <v>BK_CVEU_261006</v>
      </c>
      <c r="Z1089" s="1" t="str">
        <f>IFERROR(__xludf.DUMMYFUNCTION("""COMPUTED_VALUE"""),"NEW CONNECT")</f>
        <v>NEW CONNECT</v>
      </c>
      <c r="AA1089" s="1">
        <f>IFERROR(__xludf.DUMMYFUNCTION("""COMPUTED_VALUE"""),639065736442)</f>
        <v>639065736442</v>
      </c>
      <c r="AB1089" s="1"/>
      <c r="AC1089" s="1">
        <f>IFERROR(__xludf.DUMMYFUNCTION("""COMPUTED_VALUE"""),57)</f>
        <v>57</v>
      </c>
      <c r="AD1089" s="1" t="str">
        <f>IFERROR(__xludf.DUMMYFUNCTION("""COMPUTED_VALUE"""),"PAREDES")</f>
        <v>PAREDES</v>
      </c>
      <c r="AE1089" s="1"/>
      <c r="AF1089" s="1" t="str">
        <f>IFERROR(__xludf.DUMMYFUNCTION("""COMPUTED_VALUE"""),"BGY SAN VICENTE 1")</f>
        <v>BGY SAN VICENTE 1</v>
      </c>
      <c r="AG1089" s="1" t="str">
        <f>IFERROR(__xludf.DUMMYFUNCTION("""COMPUTED_VALUE"""),"SILANG")</f>
        <v>SILANG</v>
      </c>
      <c r="AH1089" s="1" t="str">
        <f>IFERROR(__xludf.DUMMYFUNCTION("""COMPUTED_VALUE"""),"-")</f>
        <v>-</v>
      </c>
      <c r="AI1089" s="1" t="str">
        <f>IFERROR(__xludf.DUMMYFUNCTION("""COMPUTED_VALUE"""),"CLUSTER 11")</f>
        <v>CLUSTER 11</v>
      </c>
    </row>
    <row r="1090" customHeight="1" spans="1:35">
      <c r="A1090" s="3">
        <f>IFERROR(__xludf.DUMMYFUNCTION("""COMPUTED_VALUE"""),46311)</f>
        <v>46311</v>
      </c>
      <c r="B1090" s="1" t="str">
        <f>IFERROR(__xludf.DUMMYFUNCTION("""COMPUTED_VALUE""")," REA SIARON REGONDOLA")</f>
        <v> REA SIARON REGONDOLA</v>
      </c>
      <c r="C1090" s="1">
        <f>IFERROR(__xludf.DUMMYFUNCTION("""COMPUTED_VALUE"""),2313178703)</f>
        <v>2313178703</v>
      </c>
      <c r="D1090" s="1"/>
      <c r="E1090" s="1"/>
      <c r="F1090" s="1" t="str">
        <f>IFERROR(__xludf.DUMMYFUNCTION("""COMPUTED_VALUE"""),"CANCELLED")</f>
        <v>CANCELLED</v>
      </c>
      <c r="G1090" s="1" t="str">
        <f>IFERROR(__xludf.DUMMYFUNCTION("""COMPUTED_VALUE"""),"CANCELLED")</f>
        <v>CANCELLED</v>
      </c>
      <c r="H1090" s="1"/>
      <c r="I1090" s="1"/>
      <c r="J1090" s="1"/>
      <c r="K1090" s="1"/>
      <c r="L1090" s="1" t="str">
        <f>IFERROR(__xludf.DUMMYFUNCTION("""COMPUTED_VALUE"""),"CANCELLED")</f>
        <v>CANCELLED</v>
      </c>
      <c r="M1090" s="1" t="str">
        <f>IFERROR(__xludf.DUMMYFUNCTION("""COMPUTED_VALUE"""),"CANCELLED - WITH OB")</f>
        <v>CANCELLED - WITH OB</v>
      </c>
      <c r="N1090" s="3"/>
      <c r="O1090" s="1" t="str">
        <f>IFERROR(__xludf.DUMMYFUNCTION("""COMPUTED_VALUE"""),"FIBR PLAN 1299")</f>
        <v>FIBR PLAN 1299</v>
      </c>
      <c r="P1090" s="1" t="str">
        <f>IFERROR(__xludf.DUMMYFUNCTION("""COMPUTED_VALUE"""),"LOWPLAN")</f>
        <v>LOWPLAN</v>
      </c>
      <c r="Q1090" s="1" t="str">
        <f>IFERROR(__xludf.DUMMYFUNCTION("""COMPUTED_VALUE"""),"P407044 ")</f>
        <v>P407044 </v>
      </c>
      <c r="R1090" s="1" t="str">
        <f>IFERROR(__xludf.DUMMYFUNCTION("""COMPUTED_VALUE"""),"DELA CRUZ, PHILLIP")</f>
        <v>DELA CRUZ, PHILLIP</v>
      </c>
      <c r="S1090" s="1" t="str">
        <f>IFERROR(__xludf.DUMMYFUNCTION("""COMPUTED_VALUE"""),"FLA")</f>
        <v>FLA</v>
      </c>
      <c r="T1090" s="1" t="str">
        <f>IFERROR(__xludf.DUMMYFUNCTION("""COMPUTED_VALUE"""),"JERIC NAVARRO")</f>
        <v>JERIC NAVARRO</v>
      </c>
      <c r="U1090" s="1" t="str">
        <f>IFERROR(__xludf.DUMMYFUNCTION("""COMPUTED_VALUE"""),"MARK MALIWAT")</f>
        <v>MARK MALIWAT</v>
      </c>
      <c r="V1090" s="1" t="str">
        <f>IFERROR(__xludf.DUMMYFUNCTION("""COMPUTED_VALUE"""),"H2H")</f>
        <v>H2H</v>
      </c>
      <c r="W1090" s="1" t="str">
        <f>IFERROR(__xludf.DUMMYFUNCTION("""COMPUTED_VALUE"""),"BK HSTK")</f>
        <v>BK HSTK</v>
      </c>
      <c r="X1090" s="1" t="str">
        <f>IFERROR(__xludf.DUMMYFUNCTION("""COMPUTED_VALUE"""),"REGULAR")</f>
        <v>REGULAR</v>
      </c>
      <c r="Y1090" s="1" t="str">
        <f>IFERROR(__xludf.DUMMYFUNCTION("""COMPUTED_VALUE"""),"BK_CVEU_261006")</f>
        <v>BK_CVEU_261006</v>
      </c>
      <c r="Z1090" s="1" t="str">
        <f>IFERROR(__xludf.DUMMYFUNCTION("""COMPUTED_VALUE"""),"NEW CONNECT")</f>
        <v>NEW CONNECT</v>
      </c>
      <c r="AA1090" s="1">
        <f>IFERROR(__xludf.DUMMYFUNCTION("""COMPUTED_VALUE"""),639950213518)</f>
        <v>639950213518</v>
      </c>
      <c r="AB1090" s="1">
        <f>IFERROR(__xludf.DUMMYFUNCTION("""COMPUTED_VALUE"""),639483710322)</f>
        <v>639483710322</v>
      </c>
      <c r="AC1090" s="1"/>
      <c r="AD1090" s="1" t="str">
        <f>IFERROR(__xludf.DUMMYFUNCTION("""COMPUTED_VALUE"""),"YAKAL")</f>
        <v>YAKAL</v>
      </c>
      <c r="AE1090" s="1"/>
      <c r="AF1090" s="1" t="str">
        <f>IFERROR(__xludf.DUMMYFUNCTION("""COMPUTED_VALUE"""),"BGY YAKAL")</f>
        <v>BGY YAKAL</v>
      </c>
      <c r="AG1090" s="1" t="str">
        <f>IFERROR(__xludf.DUMMYFUNCTION("""COMPUTED_VALUE"""),"SILANG")</f>
        <v>SILANG</v>
      </c>
      <c r="AH1090" s="1" t="str">
        <f>IFERROR(__xludf.DUMMYFUNCTION("""COMPUTED_VALUE"""),"PIPAY GARMENTS")</f>
        <v>PIPAY GARMENTS</v>
      </c>
      <c r="AI1090" s="1" t="str">
        <f>IFERROR(__xludf.DUMMYFUNCTION("""COMPUTED_VALUE"""),"CLUSTER 11")</f>
        <v>CLUSTER 11</v>
      </c>
    </row>
    <row r="1091" customHeight="1" spans="1:35">
      <c r="A1091" s="3">
        <f>IFERROR(__xludf.DUMMYFUNCTION("""COMPUTED_VALUE"""),46311)</f>
        <v>46311</v>
      </c>
      <c r="B1091" s="1" t="str">
        <f>IFERROR(__xludf.DUMMYFUNCTION("""COMPUTED_VALUE"""),"MARK KENNETH PARRENO LUSTERIO")</f>
        <v>MARK KENNETH PARRENO LUSTERIO</v>
      </c>
      <c r="C1091" s="1">
        <f>IFERROR(__xludf.DUMMYFUNCTION("""COMPUTED_VALUE"""),2313179076)</f>
        <v>2313179076</v>
      </c>
      <c r="D1091" s="1"/>
      <c r="E1091" s="1"/>
      <c r="F1091" s="1" t="str">
        <f>IFERROR(__xludf.DUMMYFUNCTION("""COMPUTED_VALUE"""),"CANCELLED")</f>
        <v>CANCELLED</v>
      </c>
      <c r="G1091" s="1" t="str">
        <f>IFERROR(__xludf.DUMMYFUNCTION("""COMPUTED_VALUE"""),"CANCELLED")</f>
        <v>CANCELLED</v>
      </c>
      <c r="H1091" s="1"/>
      <c r="I1091" s="1"/>
      <c r="J1091" s="1"/>
      <c r="K1091" s="1"/>
      <c r="L1091" s="1" t="str">
        <f>IFERROR(__xludf.DUMMYFUNCTION("""COMPUTED_VALUE"""),"CANCELLED")</f>
        <v>CANCELLED</v>
      </c>
      <c r="M1091" s="1" t="str">
        <f>IFERROR(__xludf.DUMMYFUNCTION("""COMPUTED_VALUE"""),"CANCELLED - WITH OB")</f>
        <v>CANCELLED - WITH OB</v>
      </c>
      <c r="N1091" s="3"/>
      <c r="O1091" s="1" t="str">
        <f>IFERROR(__xludf.DUMMYFUNCTION("""COMPUTED_VALUE"""),"FIBR PLAN 1299")</f>
        <v>FIBR PLAN 1299</v>
      </c>
      <c r="P1091" s="1" t="str">
        <f>IFERROR(__xludf.DUMMYFUNCTION("""COMPUTED_VALUE"""),"LOWPLAN")</f>
        <v>LOWPLAN</v>
      </c>
      <c r="Q1091" s="1" t="str">
        <f>IFERROR(__xludf.DUMMYFUNCTION("""COMPUTED_VALUE"""),"P407044 ")</f>
        <v>P407044 </v>
      </c>
      <c r="R1091" s="1" t="str">
        <f>IFERROR(__xludf.DUMMYFUNCTION("""COMPUTED_VALUE"""),"DELA CRUZ, PHILLIP")</f>
        <v>DELA CRUZ, PHILLIP</v>
      </c>
      <c r="S1091" s="1" t="str">
        <f>IFERROR(__xludf.DUMMYFUNCTION("""COMPUTED_VALUE"""),"FLA")</f>
        <v>FLA</v>
      </c>
      <c r="T1091" s="1" t="str">
        <f>IFERROR(__xludf.DUMMYFUNCTION("""COMPUTED_VALUE"""),"JERIC NAVARRO")</f>
        <v>JERIC NAVARRO</v>
      </c>
      <c r="U1091" s="1" t="str">
        <f>IFERROR(__xludf.DUMMYFUNCTION("""COMPUTED_VALUE"""),"MARK MALIWAT")</f>
        <v>MARK MALIWAT</v>
      </c>
      <c r="V1091" s="1" t="str">
        <f>IFERROR(__xludf.DUMMYFUNCTION("""COMPUTED_VALUE"""),"H2H")</f>
        <v>H2H</v>
      </c>
      <c r="W1091" s="1" t="str">
        <f>IFERROR(__xludf.DUMMYFUNCTION("""COMPUTED_VALUE"""),"BK HSTK")</f>
        <v>BK HSTK</v>
      </c>
      <c r="X1091" s="1" t="str">
        <f>IFERROR(__xludf.DUMMYFUNCTION("""COMPUTED_VALUE"""),"REGULAR")</f>
        <v>REGULAR</v>
      </c>
      <c r="Y1091" s="1" t="str">
        <f>IFERROR(__xludf.DUMMYFUNCTION("""COMPUTED_VALUE"""),"BK_CVEU_261006")</f>
        <v>BK_CVEU_261006</v>
      </c>
      <c r="Z1091" s="1" t="str">
        <f>IFERROR(__xludf.DUMMYFUNCTION("""COMPUTED_VALUE"""),"NEW CONNECT")</f>
        <v>NEW CONNECT</v>
      </c>
      <c r="AA1091" s="1">
        <f>IFERROR(__xludf.DUMMYFUNCTION("""COMPUTED_VALUE"""),639260564941)</f>
        <v>639260564941</v>
      </c>
      <c r="AB1091" s="1"/>
      <c r="AC1091" s="1">
        <f>IFERROR(__xludf.DUMMYFUNCTION("""COMPUTED_VALUE"""),77)</f>
        <v>77</v>
      </c>
      <c r="AD1091" s="1" t="str">
        <f>IFERROR(__xludf.DUMMYFUNCTION("""COMPUTED_VALUE"""),"ILAYA")</f>
        <v>ILAYA</v>
      </c>
      <c r="AE1091" s="1" t="str">
        <f>IFERROR(__xludf.DUMMYFUNCTION("""COMPUTED_VALUE"""),"APARTMENT")</f>
        <v>APARTMENT</v>
      </c>
      <c r="AF1091" s="1" t="str">
        <f>IFERROR(__xludf.DUMMYFUNCTION("""COMPUTED_VALUE"""),"BGY TIBIG")</f>
        <v>BGY TIBIG</v>
      </c>
      <c r="AG1091" s="1" t="str">
        <f>IFERROR(__xludf.DUMMYFUNCTION("""COMPUTED_VALUE"""),"SILANG")</f>
        <v>SILANG</v>
      </c>
      <c r="AH1091" s="1"/>
      <c r="AI1091" s="1" t="str">
        <f>IFERROR(__xludf.DUMMYFUNCTION("""COMPUTED_VALUE"""),"CLUSTER 11")</f>
        <v>CLUSTER 11</v>
      </c>
    </row>
    <row r="1092" customHeight="1" spans="1:35">
      <c r="A1092" s="3">
        <f>IFERROR(__xludf.DUMMYFUNCTION("""COMPUTED_VALUE"""),46311)</f>
        <v>46311</v>
      </c>
      <c r="B1092" s="1" t="str">
        <f>IFERROR(__xludf.DUMMYFUNCTION("""COMPUTED_VALUE"""),"ROBERTO JR CUNANAN CAMAGONG")</f>
        <v>ROBERTO JR CUNANAN CAMAGONG</v>
      </c>
      <c r="C1092" s="1">
        <f>IFERROR(__xludf.DUMMYFUNCTION("""COMPUTED_VALUE"""),2313200014)</f>
        <v>2313200014</v>
      </c>
      <c r="D1092" s="1"/>
      <c r="E1092" s="1"/>
      <c r="F1092" s="1" t="str">
        <f>IFERROR(__xludf.DUMMYFUNCTION("""COMPUTED_VALUE"""),"DISAPPROVED")</f>
        <v>DISAPPROVED</v>
      </c>
      <c r="G1092" s="1" t="str">
        <f>IFERROR(__xludf.DUMMYFUNCTION("""COMPUTED_VALUE"""),"(P-UNCONTACTABLE CBRs - DOES NOT ANSWER (DA)_2) DISAPPROVED | 2ND ESCA | COMPLIED NEW DOCS BUT STILL CROPPED SIGNATURE | DONE VALIDATION | COMPLETE DOCS | CORRECT ENCODED INFO IN CSP | TU SCORING - FF - 1 (NTC) | 1 AMSF REQUIRED | CLEARED FROM BLACKLISTED"&amp;" HIT | FOUND PENDING ACC# (0409026621) WITH SAME NAME SAME ADDRESS | CALL THRU: - 639993253625/09635287233 - 6:42 PM | UNCONTACTED ")</f>
        <v>(P-UNCONTACTABLE CBRs - DOES NOT ANSWER (DA)_2) DISAPPROVED | 2ND ESCA | COMPLIED NEW DOCS BUT STILL CROPPED SIGNATURE | DONE VALIDATION | COMPLETE DOCS | CORRECT ENCODED INFO IN CSP | TU SCORING - FF - 1 (NTC) | 1 AMSF REQUIRED | CLEARED FROM BLACKLISTED HIT | FOUND PENDING ACC# (0409026621) WITH SAME NAME SAME ADDRESS | CALL THRU: - 639993253625/09635287233 - 6:42 PM | UNCONTACTED </v>
      </c>
      <c r="H1092" s="1"/>
      <c r="I1092" s="1"/>
      <c r="J1092" s="1"/>
      <c r="K1092" s="1"/>
      <c r="L1092" s="1" t="str">
        <f>IFERROR(__xludf.DUMMYFUNCTION("""COMPUTED_VALUE"""),"DISAPPROVED")</f>
        <v>DISAPPROVED</v>
      </c>
      <c r="M1092" s="1" t="str">
        <f>IFERROR(__xludf.DUMMYFUNCTION("""COMPUTED_VALUE"""),"DISAPPROVED - UNCONTACTABLE")</f>
        <v>DISAPPROVED - UNCONTACTABLE</v>
      </c>
      <c r="N1092" s="3"/>
      <c r="O1092" s="1" t="str">
        <f>IFERROR(__xludf.DUMMYFUNCTION("""COMPUTED_VALUE"""),"FIBR UNLI ALL PLAN 999")</f>
        <v>FIBR UNLI ALL PLAN 999</v>
      </c>
      <c r="P1092" s="1" t="str">
        <f>IFERROR(__xludf.DUMMYFUNCTION("""COMPUTED_VALUE"""),"LOWPLAN")</f>
        <v>LOWPLAN</v>
      </c>
      <c r="Q1092" s="1" t="str">
        <f>IFERROR(__xludf.DUMMYFUNCTION("""COMPUTED_VALUE"""),"P407520")</f>
        <v>P407520</v>
      </c>
      <c r="R1092" s="1" t="str">
        <f>IFERROR(__xludf.DUMMYFUNCTION("""COMPUTED_VALUE"""),"MALIWAT, MARK")</f>
        <v>MALIWAT, MARK</v>
      </c>
      <c r="S1092" s="1" t="str">
        <f>IFERROR(__xludf.DUMMYFUNCTION("""COMPUTED_VALUE"""),"FLA")</f>
        <v>FLA</v>
      </c>
      <c r="T1092" s="1" t="str">
        <f>IFERROR(__xludf.DUMMYFUNCTION("""COMPUTED_VALUE"""),"JERIC NAVARRO")</f>
        <v>JERIC NAVARRO</v>
      </c>
      <c r="U1092" s="1" t="str">
        <f>IFERROR(__xludf.DUMMYFUNCTION("""COMPUTED_VALUE"""),"JB SALIOA")</f>
        <v>JB SALIOA</v>
      </c>
      <c r="V1092" s="1" t="str">
        <f>IFERROR(__xludf.DUMMYFUNCTION("""COMPUTED_VALUE"""),"ONLINE/CRANFORD")</f>
        <v>ONLINE/CRANFORD</v>
      </c>
      <c r="W1092" s="1" t="str">
        <f>IFERROR(__xludf.DUMMYFUNCTION("""COMPUTED_VALUE"""),"STK REGULAR")</f>
        <v>STK REGULAR</v>
      </c>
      <c r="X1092" s="1" t="str">
        <f>IFERROR(__xludf.DUMMYFUNCTION("""COMPUTED_VALUE"""),"REGULAR")</f>
        <v>REGULAR</v>
      </c>
      <c r="Y1092" s="1" t="str">
        <f>IFERROR(__xludf.DUMMYFUNCTION("""COMPUTED_VALUE"""),"RS_SS_CVEU_2026")</f>
        <v>RS_SS_CVEU_2026</v>
      </c>
      <c r="Z1092" s="1" t="str">
        <f>IFERROR(__xludf.DUMMYFUNCTION("""COMPUTED_VALUE"""),"NEW CONNECT")</f>
        <v>NEW CONNECT</v>
      </c>
      <c r="AA1092" s="1">
        <f>IFERROR(__xludf.DUMMYFUNCTION("""COMPUTED_VALUE"""),639993253625)</f>
        <v>639993253625</v>
      </c>
      <c r="AB1092" s="1"/>
      <c r="AC1092" s="1"/>
      <c r="AD1092" s="1" t="str">
        <f>IFERROR(__xludf.DUMMYFUNCTION("""COMPUTED_VALUE"""),"STAR")</f>
        <v>STAR</v>
      </c>
      <c r="AE1092" s="1" t="str">
        <f>IFERROR(__xludf.DUMMYFUNCTION("""COMPUTED_VALUE"""),"SOLAR HOMES PHASE 1")</f>
        <v>SOLAR HOMES PHASE 1</v>
      </c>
      <c r="AF1092" s="1" t="str">
        <f>IFERROR(__xludf.DUMMYFUNCTION("""COMPUTED_VALUE"""),"BGY SAN AGUSTIN 1")</f>
        <v>BGY SAN AGUSTIN 1</v>
      </c>
      <c r="AG1092" s="1" t="str">
        <f>IFERROR(__xludf.DUMMYFUNCTION("""COMPUTED_VALUE"""),"DASMARINAS")</f>
        <v>DASMARINAS</v>
      </c>
      <c r="AH1092" s="1" t="str">
        <f>IFERROR(__xludf.DUMMYFUNCTION("""COMPUTED_VALUE"""),"COVERED COURT")</f>
        <v>COVERED COURT</v>
      </c>
      <c r="AI1092" s="1" t="str">
        <f>IFERROR(__xludf.DUMMYFUNCTION("""COMPUTED_VALUE"""),"NOT AOR")</f>
        <v>NOT AOR</v>
      </c>
    </row>
    <row r="1093" customHeight="1" spans="1:35">
      <c r="A1093" s="3">
        <f>IFERROR(__xludf.DUMMYFUNCTION("""COMPUTED_VALUE"""),46312)</f>
        <v>46312</v>
      </c>
      <c r="B1093" s="1" t="str">
        <f>IFERROR(__xludf.DUMMYFUNCTION("""COMPUTED_VALUE"""),"POLLIE MHERE FRANCISCO CASTILLO")</f>
        <v>POLLIE MHERE FRANCISCO CASTILLO</v>
      </c>
      <c r="C1093" s="1">
        <f>IFERROR(__xludf.DUMMYFUNCTION("""COMPUTED_VALUE"""),2313210305)</f>
        <v>2313210305</v>
      </c>
      <c r="D1093" s="1">
        <f>IFERROR(__xludf.DUMMYFUNCTION("""COMPUTED_VALUE"""),409062954)</f>
        <v>409062954</v>
      </c>
      <c r="E1093" s="1">
        <f>IFERROR(__xludf.DUMMYFUNCTION("""COMPUTED_VALUE"""),475940839004)</f>
        <v>475940839004</v>
      </c>
      <c r="F1093" s="1" t="str">
        <f>IFERROR(__xludf.DUMMYFUNCTION("""COMPUTED_VALUE"""),"CLOSED")</f>
        <v>CLOSED</v>
      </c>
      <c r="G1093" s="1" t="str">
        <f>IFERROR(__xludf.DUMMYFUNCTION("""COMPUTED_VALUE"""),"CLOSED")</f>
        <v>CLOSED</v>
      </c>
      <c r="H1093" s="1" t="str">
        <f>IFERROR(__xludf.DUMMYFUNCTION("""COMPUTED_VALUE"""),"PQGOR367812034	19-Oct-26	Regular Payment	CIS-GCASH 3.0	1,699.00	0	19-Oct-26")</f>
        <v>PQGOR367812034	19-Oct-26	Regular Payment	CIS-GCASH 3.0	1,699.00	0	19-Oct-26</v>
      </c>
      <c r="I1093" s="1" t="str">
        <f>IFERROR(__xludf.DUMMYFUNCTION("""COMPUTED_VALUE"""),"WITH 1 AMSF")</f>
        <v>WITH 1 AMSF</v>
      </c>
      <c r="J1093" s="1"/>
      <c r="K1093" s="1" t="str">
        <f>IFERROR(__xludf.DUMMYFUNCTION("""COMPUTED_VALUE"""),"OPEN IN OFSC")</f>
        <v>OPEN IN OFSC</v>
      </c>
      <c r="L1093" s="1" t="str">
        <f>IFERROR(__xludf.DUMMYFUNCTION("""COMPUTED_VALUE"""),"POSTED")</f>
        <v>POSTED</v>
      </c>
      <c r="M1093" s="1" t="str">
        <f>IFERROR(__xludf.DUMMYFUNCTION("""COMPUTED_VALUE"""),"POSTED")</f>
        <v>POSTED</v>
      </c>
      <c r="N1093" s="3">
        <f>IFERROR(__xludf.DUMMYFUNCTION("""COMPUTED_VALUE"""),46315)</f>
        <v>46315</v>
      </c>
      <c r="O1093" s="1" t="str">
        <f>IFERROR(__xludf.DUMMYFUNCTION("""COMPUTED_VALUE"""),"FIBR NETFLIX PLAN 1599")</f>
        <v>FIBR NETFLIX PLAN 1599</v>
      </c>
      <c r="P1093" s="1" t="str">
        <f>IFERROR(__xludf.DUMMYFUNCTION("""COMPUTED_VALUE"""),"LOWPLAN")</f>
        <v>LOWPLAN</v>
      </c>
      <c r="Q1093" s="1" t="str">
        <f>IFERROR(__xludf.DUMMYFUNCTION("""COMPUTED_VALUE"""),"P407518")</f>
        <v>P407518</v>
      </c>
      <c r="R1093" s="1" t="str">
        <f>IFERROR(__xludf.DUMMYFUNCTION("""COMPUTED_VALUE"""),"CARPIO, STEPHANIE")</f>
        <v>CARPIO, STEPHANIE</v>
      </c>
      <c r="S1093" s="1" t="str">
        <f>IFERROR(__xludf.DUMMYFUNCTION("""COMPUTED_VALUE"""),"FLA")</f>
        <v>FLA</v>
      </c>
      <c r="T1093" s="1" t="str">
        <f>IFERROR(__xludf.DUMMYFUNCTION("""COMPUTED_VALUE"""),"JERIC NAVARRO")</f>
        <v>JERIC NAVARRO</v>
      </c>
      <c r="U1093" s="1" t="str">
        <f>IFERROR(__xludf.DUMMYFUNCTION("""COMPUTED_VALUE"""),"JULIE ESPIRITU")</f>
        <v>JULIE ESPIRITU</v>
      </c>
      <c r="V1093" s="1" t="str">
        <f>IFERROR(__xludf.DUMMYFUNCTION("""COMPUTED_VALUE"""),"H2H")</f>
        <v>H2H</v>
      </c>
      <c r="W1093" s="1" t="str">
        <f>IFERROR(__xludf.DUMMYFUNCTION("""COMPUTED_VALUE"""),"STK REGULAR")</f>
        <v>STK REGULAR</v>
      </c>
      <c r="X1093" s="1" t="str">
        <f>IFERROR(__xludf.DUMMYFUNCTION("""COMPUTED_VALUE"""),"REGULAR")</f>
        <v>REGULAR</v>
      </c>
      <c r="Y1093" s="1" t="str">
        <f>IFERROR(__xludf.DUMMYFUNCTION("""COMPUTED_VALUE"""),"RS_SS_CVEU_2026")</f>
        <v>RS_SS_CVEU_2026</v>
      </c>
      <c r="Z1093" s="1" t="str">
        <f>IFERROR(__xludf.DUMMYFUNCTION("""COMPUTED_VALUE"""),"NEW CONNECT")</f>
        <v>NEW CONNECT</v>
      </c>
      <c r="AA1093" s="1">
        <f>IFERROR(__xludf.DUMMYFUNCTION("""COMPUTED_VALUE"""),639650472719)</f>
        <v>639650472719</v>
      </c>
      <c r="AB1093" s="1"/>
      <c r="AC1093" s="1">
        <f>IFERROR(__xludf.DUMMYFUNCTION("""COMPUTED_VALUE"""),237)</f>
        <v>237</v>
      </c>
      <c r="AD1093" s="1" t="str">
        <f>IFERROR(__xludf.DUMMYFUNCTION("""COMPUTED_VALUE"""),"ALVAREZ")</f>
        <v>ALVAREZ</v>
      </c>
      <c r="AE1093" s="1"/>
      <c r="AF1093" s="1" t="str">
        <f>IFERROR(__xludf.DUMMYFUNCTION("""COMPUTED_VALUE"""),"BGY 42C")</f>
        <v>BGY 42C</v>
      </c>
      <c r="AG1093" s="1" t="str">
        <f>IFERROR(__xludf.DUMMYFUNCTION("""COMPUTED_VALUE"""),"CAVITE CITY")</f>
        <v>CAVITE CITY</v>
      </c>
      <c r="AH1093" s="1"/>
      <c r="AI1093" s="1" t="str">
        <f>IFERROR(__xludf.DUMMYFUNCTION("""COMPUTED_VALUE"""),"NOT AOR")</f>
        <v>NOT AOR</v>
      </c>
    </row>
    <row r="1094" customHeight="1" spans="1:35">
      <c r="A1094" s="3">
        <f>IFERROR(__xludf.DUMMYFUNCTION("""COMPUTED_VALUE"""),46312)</f>
        <v>46312</v>
      </c>
      <c r="B1094" s="1" t="str">
        <f>IFERROR(__xludf.DUMMYFUNCTION("""COMPUTED_VALUE"""),"MICHAEL . BASCO")</f>
        <v>MICHAEL . BASCO</v>
      </c>
      <c r="C1094" s="1">
        <f>IFERROR(__xludf.DUMMYFUNCTION("""COMPUTED_VALUE"""),2313210877)</f>
        <v>2313210877</v>
      </c>
      <c r="D1094" s="1">
        <f>IFERROR(__xludf.DUMMYFUNCTION("""COMPUTED_VALUE"""),409064477)</f>
        <v>409064477</v>
      </c>
      <c r="E1094" s="1">
        <f>IFERROR(__xludf.DUMMYFUNCTION("""COMPUTED_VALUE"""),475941596004)</f>
        <v>475941596004</v>
      </c>
      <c r="F1094" s="1" t="str">
        <f>IFERROR(__xludf.DUMMYFUNCTION("""COMPUTED_VALUE"""),"CLOSED")</f>
        <v>CLOSED</v>
      </c>
      <c r="G1094" s="1" t="str">
        <f>IFERROR(__xludf.DUMMYFUNCTION("""COMPUTED_VALUE"""),"CLOSED")</f>
        <v>CLOSED</v>
      </c>
      <c r="H1094" s="1" t="str">
        <f>IFERROR(__xludf.DUMMYFUNCTION("""COMPUTED_VALUE"""),"PQGOR367691067	18-Oct-26	Regular Payment	CIS-GCASH 3.0	1,399.00	0	18-Oct-26")</f>
        <v>PQGOR367691067	18-Oct-26	Regular Payment	CIS-GCASH 3.0	1,399.00	0	18-Oct-26</v>
      </c>
      <c r="I1094" s="1" t="str">
        <f>IFERROR(__xludf.DUMMYFUNCTION("""COMPUTED_VALUE"""),"WITH 1 AMSF")</f>
        <v>WITH 1 AMSF</v>
      </c>
      <c r="J1094" s="1"/>
      <c r="K1094" s="1" t="str">
        <f>IFERROR(__xludf.DUMMYFUNCTION("""COMPUTED_VALUE"""),"COMPLETED")</f>
        <v>COMPLETED</v>
      </c>
      <c r="L1094" s="1" t="str">
        <f>IFERROR(__xludf.DUMMYFUNCTION("""COMPUTED_VALUE"""),"POSTED")</f>
        <v>POSTED</v>
      </c>
      <c r="M1094" s="1" t="str">
        <f>IFERROR(__xludf.DUMMYFUNCTION("""COMPUTED_VALUE"""),"POSTED")</f>
        <v>POSTED</v>
      </c>
      <c r="N1094" s="3">
        <f>IFERROR(__xludf.DUMMYFUNCTION("""COMPUTED_VALUE"""),46313)</f>
        <v>46313</v>
      </c>
      <c r="O1094" s="1" t="str">
        <f>IFERROR(__xludf.DUMMYFUNCTION("""COMPUTED_VALUE"""),"FIBER UNLI PLAN 1399")</f>
        <v>FIBER UNLI PLAN 1399</v>
      </c>
      <c r="P1094" s="1" t="str">
        <f>IFERROR(__xludf.DUMMYFUNCTION("""COMPUTED_VALUE"""),"LOWPLAN")</f>
        <v>LOWPLAN</v>
      </c>
      <c r="Q1094" s="1" t="str">
        <f>IFERROR(__xludf.DUMMYFUNCTION("""COMPUTED_VALUE"""),"P408049")</f>
        <v>P408049</v>
      </c>
      <c r="R1094" s="1" t="str">
        <f>IFERROR(__xludf.DUMMYFUNCTION("""COMPUTED_VALUE"""),"CORNELIO, CATHERINE")</f>
        <v>CORNELIO, CATHERINE</v>
      </c>
      <c r="S1094" s="1" t="str">
        <f>IFERROR(__xludf.DUMMYFUNCTION("""COMPUTED_VALUE"""),"ORGANIC")</f>
        <v>ORGANIC</v>
      </c>
      <c r="T1094" s="1" t="str">
        <f>IFERROR(__xludf.DUMMYFUNCTION("""COMPUTED_VALUE"""),"LEA REMOLLO")</f>
        <v>LEA REMOLLO</v>
      </c>
      <c r="U1094" s="1" t="str">
        <f>IFERROR(__xludf.DUMMYFUNCTION("""COMPUTED_VALUE"""),"JULIE ESPIRITU")</f>
        <v>JULIE ESPIRITU</v>
      </c>
      <c r="V1094" s="1" t="str">
        <f>IFERROR(__xludf.DUMMYFUNCTION("""COMPUTED_VALUE"""),"BK HSTK")</f>
        <v>BK HSTK</v>
      </c>
      <c r="W1094" s="1" t="str">
        <f>IFERROR(__xludf.DUMMYFUNCTION("""COMPUTED_VALUE"""),"BK HSTK")</f>
        <v>BK HSTK</v>
      </c>
      <c r="X1094" s="1" t="str">
        <f>IFERROR(__xludf.DUMMYFUNCTION("""COMPUTED_VALUE"""),"FIBER 1399 98TH YR")</f>
        <v>FIBER 1399 98TH YR</v>
      </c>
      <c r="Y1094" s="1" t="str">
        <f>IFERROR(__xludf.DUMMYFUNCTION("""COMPUTED_VALUE"""),"BK_CVEU_261007")</f>
        <v>BK_CVEU_261007</v>
      </c>
      <c r="Z1094" s="1" t="str">
        <f>IFERROR(__xludf.DUMMYFUNCTION("""COMPUTED_VALUE"""),"NEW CONNECT")</f>
        <v>NEW CONNECT</v>
      </c>
      <c r="AA1094" s="1">
        <f>IFERROR(__xludf.DUMMYFUNCTION("""COMPUTED_VALUE"""),639099995906)</f>
        <v>639099995906</v>
      </c>
      <c r="AB1094" s="1">
        <f>IFERROR(__xludf.DUMMYFUNCTION("""COMPUTED_VALUE"""),639853178408)</f>
        <v>639853178408</v>
      </c>
      <c r="AC1094" s="1"/>
      <c r="AD1094" s="1" t="str">
        <f>IFERROR(__xludf.DUMMYFUNCTION("""COMPUTED_VALUE"""),"PABAHAY")</f>
        <v>PABAHAY</v>
      </c>
      <c r="AE1094" s="1" t="str">
        <f>IFERROR(__xludf.DUMMYFUNCTION("""COMPUTED_VALUE"""),"PABAHAY")</f>
        <v>PABAHAY</v>
      </c>
      <c r="AF1094" s="1" t="str">
        <f>IFERROR(__xludf.DUMMYFUNCTION("""COMPUTED_VALUE"""),"BGY ZAMBAL")</f>
        <v>BGY ZAMBAL</v>
      </c>
      <c r="AG1094" s="1" t="str">
        <f>IFERROR(__xludf.DUMMYFUNCTION("""COMPUTED_VALUE"""),"TAGAYTAY")</f>
        <v>TAGAYTAY</v>
      </c>
      <c r="AH1094" s="1"/>
      <c r="AI1094" s="1" t="str">
        <f>IFERROR(__xludf.DUMMYFUNCTION("""COMPUTED_VALUE"""),"CLUSTER 12")</f>
        <v>CLUSTER 12</v>
      </c>
    </row>
    <row r="1095" customHeight="1" spans="1:35">
      <c r="A1095" s="3">
        <f>IFERROR(__xludf.DUMMYFUNCTION("""COMPUTED_VALUE"""),46312)</f>
        <v>46312</v>
      </c>
      <c r="B1095" s="1" t="str">
        <f>IFERROR(__xludf.DUMMYFUNCTION("""COMPUTED_VALUE"""),"SALVADOR III LLENAS ALPECHE")</f>
        <v>SALVADOR III LLENAS ALPECHE</v>
      </c>
      <c r="C1095" s="1">
        <f>IFERROR(__xludf.DUMMYFUNCTION("""COMPUTED_VALUE"""),2313211130)</f>
        <v>2313211130</v>
      </c>
      <c r="D1095" s="1">
        <f>IFERROR(__xludf.DUMMYFUNCTION("""COMPUTED_VALUE"""),409065732)</f>
        <v>409065732</v>
      </c>
      <c r="E1095" s="1">
        <f>IFERROR(__xludf.DUMMYFUNCTION("""COMPUTED_VALUE"""),475944585004)</f>
        <v>475944585004</v>
      </c>
      <c r="F1095" s="1" t="str">
        <f>IFERROR(__xludf.DUMMYFUNCTION("""COMPUTED_VALUE"""),"CLOSED")</f>
        <v>CLOSED</v>
      </c>
      <c r="G1095" s="1" t="str">
        <f>IFERROR(__xludf.DUMMYFUNCTION("""COMPUTED_VALUE"""),"CLOSED")</f>
        <v>CLOSED</v>
      </c>
      <c r="H1095" s="1"/>
      <c r="I1095" s="1" t="str">
        <f>IFERROR(__xludf.DUMMYFUNCTION("""COMPUTED_VALUE"""),"NO 1 AMSF")</f>
        <v>NO 1 AMSF</v>
      </c>
      <c r="J1095" s="1" t="str">
        <f>IFERROR(__xludf.DUMMYFUNCTION("""COMPUTED_VALUE"""),"DUE DATE - 11-Nov-26 - 1,445.64")</f>
        <v>DUE DATE - 11-Nov-26 - 1,445.64</v>
      </c>
      <c r="K1095" s="1" t="str">
        <f>IFERROR(__xludf.DUMMYFUNCTION("""COMPUTED_VALUE"""),"COMPLETED")</f>
        <v>COMPLETED</v>
      </c>
      <c r="L1095" s="1" t="str">
        <f>IFERROR(__xludf.DUMMYFUNCTION("""COMPUTED_VALUE"""),"POSTED")</f>
        <v>POSTED</v>
      </c>
      <c r="M1095" s="1" t="str">
        <f>IFERROR(__xludf.DUMMYFUNCTION("""COMPUTED_VALUE"""),"POSTED")</f>
        <v>POSTED</v>
      </c>
      <c r="N1095" s="3">
        <f>IFERROR(__xludf.DUMMYFUNCTION("""COMPUTED_VALUE"""),46312)</f>
        <v>46312</v>
      </c>
      <c r="O1095" s="1" t="str">
        <f>IFERROR(__xludf.DUMMYFUNCTION("""COMPUTED_VALUE"""),"FIBER UNLI PLAN 1399")</f>
        <v>FIBER UNLI PLAN 1399</v>
      </c>
      <c r="P1095" s="1" t="str">
        <f>IFERROR(__xludf.DUMMYFUNCTION("""COMPUTED_VALUE"""),"LOWPLAN")</f>
        <v>LOWPLAN</v>
      </c>
      <c r="Q1095" s="1" t="str">
        <f>IFERROR(__xludf.DUMMYFUNCTION("""COMPUTED_VALUE"""),"P407564")</f>
        <v>P407564</v>
      </c>
      <c r="R1095" s="1" t="str">
        <f>IFERROR(__xludf.DUMMYFUNCTION("""COMPUTED_VALUE"""),"ARENA, LYKA")</f>
        <v>ARENA, LYKA</v>
      </c>
      <c r="S1095" s="1" t="str">
        <f>IFERROR(__xludf.DUMMYFUNCTION("""COMPUTED_VALUE"""),"ORGANIC")</f>
        <v>ORGANIC</v>
      </c>
      <c r="T1095" s="1" t="str">
        <f>IFERROR(__xludf.DUMMYFUNCTION("""COMPUTED_VALUE"""),"LEA REMOLLO")</f>
        <v>LEA REMOLLO</v>
      </c>
      <c r="U1095" s="1" t="str">
        <f>IFERROR(__xludf.DUMMYFUNCTION("""COMPUTED_VALUE"""),"JULIE ESPIRITU")</f>
        <v>JULIE ESPIRITU</v>
      </c>
      <c r="V1095" s="1" t="str">
        <f>IFERROR(__xludf.DUMMYFUNCTION("""COMPUTED_VALUE"""),"BK HSTK")</f>
        <v>BK HSTK</v>
      </c>
      <c r="W1095" s="1" t="str">
        <f>IFERROR(__xludf.DUMMYFUNCTION("""COMPUTED_VALUE"""),"BK HSTK")</f>
        <v>BK HSTK</v>
      </c>
      <c r="X1095" s="1" t="str">
        <f>IFERROR(__xludf.DUMMYFUNCTION("""COMPUTED_VALUE"""),"FIBER 1399 98TH YR")</f>
        <v>FIBER 1399 98TH YR</v>
      </c>
      <c r="Y1095" s="1" t="str">
        <f>IFERROR(__xludf.DUMMYFUNCTION("""COMPUTED_VALUE"""),"BK_CVEU_261007")</f>
        <v>BK_CVEU_261007</v>
      </c>
      <c r="Z1095" s="1" t="str">
        <f>IFERROR(__xludf.DUMMYFUNCTION("""COMPUTED_VALUE"""),"NEW CONNECT")</f>
        <v>NEW CONNECT</v>
      </c>
      <c r="AA1095" s="1">
        <f>IFERROR(__xludf.DUMMYFUNCTION("""COMPUTED_VALUE"""),639700801328)</f>
        <v>639700801328</v>
      </c>
      <c r="AB1095" s="1"/>
      <c r="AC1095" s="1"/>
      <c r="AD1095" s="1" t="str">
        <f>IFERROR(__xludf.DUMMYFUNCTION("""COMPUTED_VALUE"""),"GARNET")</f>
        <v>GARNET</v>
      </c>
      <c r="AE1095" s="1"/>
      <c r="AF1095" s="1" t="str">
        <f>IFERROR(__xludf.DUMMYFUNCTION("""COMPUTED_VALUE"""),"BGY MARCELINO MEMIJE")</f>
        <v>BGY MARCELINO MEMIJE</v>
      </c>
      <c r="AG1095" s="1" t="str">
        <f>IFERROR(__xludf.DUMMYFUNCTION("""COMPUTED_VALUE"""),"GEN MARIANO ALVAREZ")</f>
        <v>GEN MARIANO ALVAREZ</v>
      </c>
      <c r="AH1095" s="1" t="str">
        <f>IFERROR(__xludf.DUMMYFUNCTION("""COMPUTED_VALUE"""),"TRICYCLE TERMINAL")</f>
        <v>TRICYCLE TERMINAL</v>
      </c>
      <c r="AI1095" s="1" t="str">
        <f>IFERROR(__xludf.DUMMYFUNCTION("""COMPUTED_VALUE"""),"CLUSTER 11")</f>
        <v>CLUSTER 11</v>
      </c>
    </row>
    <row r="1096" customHeight="1" spans="1:35">
      <c r="A1096" s="3">
        <f>IFERROR(__xludf.DUMMYFUNCTION("""COMPUTED_VALUE"""),46312)</f>
        <v>46312</v>
      </c>
      <c r="B1096" s="1" t="str">
        <f>IFERROR(__xludf.DUMMYFUNCTION("""COMPUTED_VALUE"""),"ERIC MARCELO LORBES")</f>
        <v>ERIC MARCELO LORBES</v>
      </c>
      <c r="C1096" s="1">
        <f>IFERROR(__xludf.DUMMYFUNCTION("""COMPUTED_VALUE"""),2313211363)</f>
        <v>2313211363</v>
      </c>
      <c r="D1096" s="1">
        <f>IFERROR(__xludf.DUMMYFUNCTION("""COMPUTED_VALUE"""),409110606)</f>
        <v>409110606</v>
      </c>
      <c r="E1096" s="1">
        <f>IFERROR(__xludf.DUMMYFUNCTION("""COMPUTED_VALUE"""),476163119004)</f>
        <v>476163119004</v>
      </c>
      <c r="F1096" s="1" t="str">
        <f>IFERROR(__xludf.DUMMYFUNCTION("""COMPUTED_VALUE"""),"CLOSED")</f>
        <v>CLOSED</v>
      </c>
      <c r="G1096" s="1" t="str">
        <f>IFERROR(__xludf.DUMMYFUNCTION("""COMPUTED_VALUE"""),"CLOSED")</f>
        <v>CLOSED</v>
      </c>
      <c r="H1096" s="1" t="str">
        <f>IFERROR(__xludf.DUMMYFUNCTION("""COMPUTED_VALUE"""),"PAID VIA GCASH - OCT 23 - REF - 507389415")</f>
        <v>PAID VIA GCASH - OCT 23 - REF - 507389415</v>
      </c>
      <c r="I1096" s="1" t="str">
        <f>IFERROR(__xludf.DUMMYFUNCTION("""COMPUTED_VALUE"""),"WITH 1 AMSF")</f>
        <v>WITH 1 AMSF</v>
      </c>
      <c r="J1096" s="1"/>
      <c r="K1096" s="1" t="str">
        <f>IFERROR(__xludf.DUMMYFUNCTION("""COMPUTED_VALUE"""),"COMPLETED")</f>
        <v>COMPLETED</v>
      </c>
      <c r="L1096" s="1" t="str">
        <f>IFERROR(__xludf.DUMMYFUNCTION("""COMPUTED_VALUE"""),"POSTED")</f>
        <v>POSTED</v>
      </c>
      <c r="M1096" s="1" t="str">
        <f>IFERROR(__xludf.DUMMYFUNCTION("""COMPUTED_VALUE"""),"POSTED")</f>
        <v>POSTED</v>
      </c>
      <c r="N1096" s="3">
        <f>IFERROR(__xludf.DUMMYFUNCTION("""COMPUTED_VALUE"""),46314)</f>
        <v>46314</v>
      </c>
      <c r="O1096" s="1" t="str">
        <f>IFERROR(__xludf.DUMMYFUNCTION("""COMPUTED_VALUE"""),"FIBR NETFLIX PLAN 1599")</f>
        <v>FIBR NETFLIX PLAN 1599</v>
      </c>
      <c r="P1096" s="1" t="str">
        <f>IFERROR(__xludf.DUMMYFUNCTION("""COMPUTED_VALUE"""),"LOWPLAN")</f>
        <v>LOWPLAN</v>
      </c>
      <c r="Q1096" s="1" t="str">
        <f>IFERROR(__xludf.DUMMYFUNCTION("""COMPUTED_VALUE"""),"P407517")</f>
        <v>P407517</v>
      </c>
      <c r="R1096" s="1" t="str">
        <f>IFERROR(__xludf.DUMMYFUNCTION("""COMPUTED_VALUE"""),"GABAY, MANUEL")</f>
        <v>GABAY, MANUEL</v>
      </c>
      <c r="S1096" s="1" t="str">
        <f>IFERROR(__xludf.DUMMYFUNCTION("""COMPUTED_VALUE"""),"FLA")</f>
        <v>FLA</v>
      </c>
      <c r="T1096" s="1" t="str">
        <f>IFERROR(__xludf.DUMMYFUNCTION("""COMPUTED_VALUE"""),"JERIC NAVARRO")</f>
        <v>JERIC NAVARRO</v>
      </c>
      <c r="U1096" s="1" t="str">
        <f>IFERROR(__xludf.DUMMYFUNCTION("""COMPUTED_VALUE"""),"JULIE ESPIRITU")</f>
        <v>JULIE ESPIRITU</v>
      </c>
      <c r="V1096" s="1" t="str">
        <f>IFERROR(__xludf.DUMMYFUNCTION("""COMPUTED_VALUE"""),"BK HSTK")</f>
        <v>BK HSTK</v>
      </c>
      <c r="W1096" s="1" t="str">
        <f>IFERROR(__xludf.DUMMYFUNCTION("""COMPUTED_VALUE"""),"BK HSTK")</f>
        <v>BK HSTK</v>
      </c>
      <c r="X1096" s="1" t="str">
        <f>IFERROR(__xludf.DUMMYFUNCTION("""COMPUTED_VALUE"""),"REGULAR")</f>
        <v>REGULAR</v>
      </c>
      <c r="Y1096" s="1" t="str">
        <f>IFERROR(__xludf.DUMMYFUNCTION("""COMPUTED_VALUE"""),"BK_CVEU_261006")</f>
        <v>BK_CVEU_261006</v>
      </c>
      <c r="Z1096" s="1" t="str">
        <f>IFERROR(__xludf.DUMMYFUNCTION("""COMPUTED_VALUE"""),"NEW CONNECT")</f>
        <v>NEW CONNECT</v>
      </c>
      <c r="AA1096" s="1">
        <f>IFERROR(__xludf.DUMMYFUNCTION("""COMPUTED_VALUE"""),639056329340)</f>
        <v>639056329340</v>
      </c>
      <c r="AB1096" s="1">
        <f>IFERROR(__xludf.DUMMYFUNCTION("""COMPUTED_VALUE"""),639850417124)</f>
        <v>639850417124</v>
      </c>
      <c r="AC1096" s="1"/>
      <c r="AD1096" s="1" t="str">
        <f>IFERROR(__xludf.DUMMYFUNCTION("""COMPUTED_VALUE"""),"PHASE 6")</f>
        <v>PHASE 6</v>
      </c>
      <c r="AE1096" s="1"/>
      <c r="AF1096" s="1" t="str">
        <f>IFERROR(__xludf.DUMMYFUNCTION("""COMPUTED_VALUE"""),"BGY BANABA")</f>
        <v>BGY BANABA</v>
      </c>
      <c r="AG1096" s="1" t="str">
        <f>IFERROR(__xludf.DUMMYFUNCTION("""COMPUTED_VALUE"""),"SILANG")</f>
        <v>SILANG</v>
      </c>
      <c r="AH1096" s="1" t="str">
        <f>IFERROR(__xludf.DUMMYFUNCTION("""COMPUTED_VALUE"""),"INFRONT OF UNCLE JOHN")</f>
        <v>INFRONT OF UNCLE JOHN</v>
      </c>
      <c r="AI1096" s="1" t="str">
        <f>IFERROR(__xludf.DUMMYFUNCTION("""COMPUTED_VALUE"""),"CLUSTER 11")</f>
        <v>CLUSTER 11</v>
      </c>
    </row>
    <row r="1097" customHeight="1" spans="1:35">
      <c r="A1097" s="3">
        <f>IFERROR(__xludf.DUMMYFUNCTION("""COMPUTED_VALUE"""),46312)</f>
        <v>46312</v>
      </c>
      <c r="B1097" s="1" t="str">
        <f>IFERROR(__xludf.DUMMYFUNCTION("""COMPUTED_VALUE"""),"MA ALYSSA SALVIO ARCEO")</f>
        <v>MA ALYSSA SALVIO ARCEO</v>
      </c>
      <c r="C1097" s="1">
        <f>IFERROR(__xludf.DUMMYFUNCTION("""COMPUTED_VALUE"""),2313211616)</f>
        <v>2313211616</v>
      </c>
      <c r="D1097" s="1"/>
      <c r="E1097" s="1"/>
      <c r="F1097" s="1" t="str">
        <f>IFERROR(__xludf.DUMMYFUNCTION("""COMPUTED_VALUE"""),"REENCODED")</f>
        <v>REENCODED</v>
      </c>
      <c r="G1097" s="1" t="str">
        <f>IFERROR(__xludf.DUMMYFUNCTION("""COMPUTED_VALUE"""),"(OTHERS) DISAPPROVED| INCORRECT ENCODED NAME – IN CSP (MA ALYSSA SALVIO ARCEO) VS POID (MA. ALYSSA SALVIO ARCEO) | DONE VALIDATION | TU SCORING - FF - 8 (MID RISK)) | 1 AMSF REQUIRED | CLEARED FROM BLACKLISTED HIT | NO EXISTING ACTIVE ACCT AND/OR PENDING/"&amp;"CANCELLED APPLICATION")</f>
        <v>(OTHERS) DISAPPROVED| INCORRECT ENCODED NAME – IN CSP (MA ALYSSA SALVIO ARCEO) VS POID (MA. ALYSSA SALVIO ARCEO) | DONE VALIDATION | TU SCORING - FF - 8 (MID RISK)) | 1 AMSF REQUIRED | CLEARED FROM BLACKLISTED HIT | NO EXISTING ACTIVE ACCT AND/OR PENDING/CANCELLED APPLICATION</v>
      </c>
      <c r="H1097" s="1"/>
      <c r="I1097" s="1"/>
      <c r="J1097" s="1"/>
      <c r="K1097" s="1"/>
      <c r="L1097" s="1" t="str">
        <f>IFERROR(__xludf.DUMMYFUNCTION("""COMPUTED_VALUE"""),"REENCODED")</f>
        <v>REENCODED</v>
      </c>
      <c r="M1097" s="1" t="str">
        <f>IFERROR(__xludf.DUMMYFUNCTION("""COMPUTED_VALUE"""),"REENCODED")</f>
        <v>REENCODED</v>
      </c>
      <c r="N1097" s="3"/>
      <c r="O1097" s="1" t="str">
        <f>IFERROR(__xludf.DUMMYFUNCTION("""COMPUTED_VALUE"""),"FIBER UNLI PLAN 1399")</f>
        <v>FIBER UNLI PLAN 1399</v>
      </c>
      <c r="P1097" s="1" t="str">
        <f>IFERROR(__xludf.DUMMYFUNCTION("""COMPUTED_VALUE"""),"LOWPLAN")</f>
        <v>LOWPLAN</v>
      </c>
      <c r="Q1097" s="1" t="str">
        <f>IFERROR(__xludf.DUMMYFUNCTION("""COMPUTED_VALUE"""),"P407517")</f>
        <v>P407517</v>
      </c>
      <c r="R1097" s="1" t="str">
        <f>IFERROR(__xludf.DUMMYFUNCTION("""COMPUTED_VALUE"""),"GABAY, MANUEL")</f>
        <v>GABAY, MANUEL</v>
      </c>
      <c r="S1097" s="1" t="str">
        <f>IFERROR(__xludf.DUMMYFUNCTION("""COMPUTED_VALUE"""),"FLA")</f>
        <v>FLA</v>
      </c>
      <c r="T1097" s="1" t="str">
        <f>IFERROR(__xludf.DUMMYFUNCTION("""COMPUTED_VALUE"""),"JERIC NAVARRO")</f>
        <v>JERIC NAVARRO</v>
      </c>
      <c r="U1097" s="1" t="str">
        <f>IFERROR(__xludf.DUMMYFUNCTION("""COMPUTED_VALUE"""),"JULIE ESPIRITU")</f>
        <v>JULIE ESPIRITU</v>
      </c>
      <c r="V1097" s="1" t="str">
        <f>IFERROR(__xludf.DUMMYFUNCTION("""COMPUTED_VALUE"""),"H2H")</f>
        <v>H2H</v>
      </c>
      <c r="W1097" s="1" t="str">
        <f>IFERROR(__xludf.DUMMYFUNCTION("""COMPUTED_VALUE"""),"STK REGULAR")</f>
        <v>STK REGULAR</v>
      </c>
      <c r="X1097" s="1" t="str">
        <f>IFERROR(__xludf.DUMMYFUNCTION("""COMPUTED_VALUE"""),"FIBER 1399 98TH YR")</f>
        <v>FIBER 1399 98TH YR</v>
      </c>
      <c r="Y1097" s="1" t="str">
        <f>IFERROR(__xludf.DUMMYFUNCTION("""COMPUTED_VALUE"""),"RS_SS_CVEU_2026")</f>
        <v>RS_SS_CVEU_2026</v>
      </c>
      <c r="Z1097" s="1" t="str">
        <f>IFERROR(__xludf.DUMMYFUNCTION("""COMPUTED_VALUE"""),"NEW CONNECT")</f>
        <v>NEW CONNECT</v>
      </c>
      <c r="AA1097" s="1">
        <f>IFERROR(__xludf.DUMMYFUNCTION("""COMPUTED_VALUE"""),639708371732)</f>
        <v>639708371732</v>
      </c>
      <c r="AB1097" s="1">
        <f>IFERROR(__xludf.DUMMYFUNCTION("""COMPUTED_VALUE"""),639757883545)</f>
        <v>639757883545</v>
      </c>
      <c r="AC1097" s="1"/>
      <c r="AD1097" s="1" t="str">
        <f>IFERROR(__xludf.DUMMYFUNCTION("""COMPUTED_VALUE"""),"SAN FRANCISCO VILLAGIO")</f>
        <v>SAN FRANCISCO VILLAGIO</v>
      </c>
      <c r="AE1097" s="1" t="str">
        <f>IFERROR(__xludf.DUMMYFUNCTION("""COMPUTED_VALUE"""),"SAN FRANCISCO VILLAGIO")</f>
        <v>SAN FRANCISCO VILLAGIO</v>
      </c>
      <c r="AF1097" s="1" t="str">
        <f>IFERROR(__xludf.DUMMYFUNCTION("""COMPUTED_VALUE"""),"BGY LALLANA")</f>
        <v>BGY LALLANA</v>
      </c>
      <c r="AG1097" s="1" t="str">
        <f>IFERROR(__xludf.DUMMYFUNCTION("""COMPUTED_VALUE"""),"TRECE MARTIREZ CITY")</f>
        <v>TRECE MARTIREZ CITY</v>
      </c>
      <c r="AH1097" s="1"/>
      <c r="AI1097" s="1" t="str">
        <f>IFERROR(__xludf.DUMMYFUNCTION("""COMPUTED_VALUE"""),"NOT AOR")</f>
        <v>NOT AOR</v>
      </c>
    </row>
    <row r="1098" customHeight="1" spans="1:35">
      <c r="A1098" s="3">
        <f>IFERROR(__xludf.DUMMYFUNCTION("""COMPUTED_VALUE"""),46312)</f>
        <v>46312</v>
      </c>
      <c r="B1098" s="1" t="str">
        <f>IFERROR(__xludf.DUMMYFUNCTION("""COMPUTED_VALUE"""),"ERECA DIG LOGRONIO")</f>
        <v>ERECA DIG LOGRONIO</v>
      </c>
      <c r="C1098" s="1">
        <f>IFERROR(__xludf.DUMMYFUNCTION("""COMPUTED_VALUE"""),2313213397)</f>
        <v>2313213397</v>
      </c>
      <c r="D1098" s="1">
        <f>IFERROR(__xludf.DUMMYFUNCTION("""COMPUTED_VALUE"""),409069088)</f>
        <v>409069088</v>
      </c>
      <c r="E1098" s="1">
        <f>IFERROR(__xludf.DUMMYFUNCTION("""COMPUTED_VALUE"""),475959785004)</f>
        <v>475959785004</v>
      </c>
      <c r="F1098" s="1" t="str">
        <f>IFERROR(__xludf.DUMMYFUNCTION("""COMPUTED_VALUE"""),"CANCELLED")</f>
        <v>CANCELLED</v>
      </c>
      <c r="G1098" s="1" t="str">
        <f>IFERROR(__xludf.DUMMYFUNCTION("""COMPUTED_VALUE"""),"CALLTHRU REMARKS   CANCEL SERVICE ORDER REQUEST   CUSTOMER NO LONGER INTERESTED IN CONTINUING HER PLDT APPLICATION    TALK ERECA DIG LOGRONIO 09702197706")</f>
        <v>CALLTHRU REMARKS   CANCEL SERVICE ORDER REQUEST   CUSTOMER NO LONGER INTERESTED IN CONTINUING HER PLDT APPLICATION    TALK ERECA DIG LOGRONIO 09702197706</v>
      </c>
      <c r="H1098" s="1"/>
      <c r="I1098" s="1" t="str">
        <f>IFERROR(__xludf.DUMMYFUNCTION("""COMPUTED_VALUE"""),"NO 1 AMSF")</f>
        <v>NO 1 AMSF</v>
      </c>
      <c r="J1098" s="1" t="str">
        <f>IFERROR(__xludf.DUMMYFUNCTION("""COMPUTED_VALUE"""),"NO PAYMENT")</f>
        <v>NO PAYMENT</v>
      </c>
      <c r="K1098" s="1" t="str">
        <f>IFERROR(__xludf.DUMMYFUNCTION("""COMPUTED_VALUE"""),"OPEN IN OFSC")</f>
        <v>OPEN IN OFSC</v>
      </c>
      <c r="L1098" s="1" t="str">
        <f>IFERROR(__xludf.DUMMYFUNCTION("""COMPUTED_VALUE"""),"RPR - SUBS CANCEL REQUEST")</f>
        <v>RPR - SUBS CANCEL REQUEST</v>
      </c>
      <c r="M1098" s="1" t="str">
        <f>IFERROR(__xludf.DUMMYFUNCTION("""COMPUTED_VALUE"""),"RPR- SUBS CANCEL REQUEST")</f>
        <v>RPR- SUBS CANCEL REQUEST</v>
      </c>
      <c r="N1098" s="3"/>
      <c r="O1098" s="1" t="str">
        <f>IFERROR(__xludf.DUMMYFUNCTION("""COMPUTED_VALUE"""),"FIBER UNLI PLAN 1399")</f>
        <v>FIBER UNLI PLAN 1399</v>
      </c>
      <c r="P1098" s="1" t="str">
        <f>IFERROR(__xludf.DUMMYFUNCTION("""COMPUTED_VALUE"""),"LOWPLAN")</f>
        <v>LOWPLAN</v>
      </c>
      <c r="Q1098" s="1" t="str">
        <f>IFERROR(__xludf.DUMMYFUNCTION("""COMPUTED_VALUE"""),"P407563")</f>
        <v>P407563</v>
      </c>
      <c r="R1098" s="1" t="str">
        <f>IFERROR(__xludf.DUMMYFUNCTION("""COMPUTED_VALUE"""),"BAQUIT, JAZMIN")</f>
        <v>BAQUIT, JAZMIN</v>
      </c>
      <c r="S1098" s="1" t="str">
        <f>IFERROR(__xludf.DUMMYFUNCTION("""COMPUTED_VALUE"""),"ORGANIC")</f>
        <v>ORGANIC</v>
      </c>
      <c r="T1098" s="1" t="str">
        <f>IFERROR(__xludf.DUMMYFUNCTION("""COMPUTED_VALUE"""),"LEA REMOLLO")</f>
        <v>LEA REMOLLO</v>
      </c>
      <c r="U1098" s="1" t="str">
        <f>IFERROR(__xludf.DUMMYFUNCTION("""COMPUTED_VALUE"""),"JULIE ESPIRITU")</f>
        <v>JULIE ESPIRITU</v>
      </c>
      <c r="V1098" s="1" t="str">
        <f>IFERROR(__xludf.DUMMYFUNCTION("""COMPUTED_VALUE"""),"BK HSTK")</f>
        <v>BK HSTK</v>
      </c>
      <c r="W1098" s="1" t="str">
        <f>IFERROR(__xludf.DUMMYFUNCTION("""COMPUTED_VALUE"""),"BK HSTK")</f>
        <v>BK HSTK</v>
      </c>
      <c r="X1098" s="1" t="str">
        <f>IFERROR(__xludf.DUMMYFUNCTION("""COMPUTED_VALUE"""),"FIBER 1399 98TH YR")</f>
        <v>FIBER 1399 98TH YR</v>
      </c>
      <c r="Y1098" s="1" t="str">
        <f>IFERROR(__xludf.DUMMYFUNCTION("""COMPUTED_VALUE"""),"BK_CVEU_261003")</f>
        <v>BK_CVEU_261003</v>
      </c>
      <c r="Z1098" s="1" t="str">
        <f>IFERROR(__xludf.DUMMYFUNCTION("""COMPUTED_VALUE"""),"NEW CONNECT")</f>
        <v>NEW CONNECT</v>
      </c>
      <c r="AA1098" s="1">
        <f>IFERROR(__xludf.DUMMYFUNCTION("""COMPUTED_VALUE"""),639702197706)</f>
        <v>639702197706</v>
      </c>
      <c r="AB1098" s="1"/>
      <c r="AC1098" s="1">
        <f>IFERROR(__xludf.DUMMYFUNCTION("""COMPUTED_VALUE"""),11628)</f>
        <v>11628</v>
      </c>
      <c r="AD1098" s="1" t="str">
        <f>IFERROR(__xludf.DUMMYFUNCTION("""COMPUTED_VALUE"""),"PURIFICACION")</f>
        <v>PURIFICACION</v>
      </c>
      <c r="AE1098" s="1"/>
      <c r="AF1098" s="1" t="str">
        <f>IFERROR(__xludf.DUMMYFUNCTION("""COMPUTED_VALUE"""),"BGY MABUHAY")</f>
        <v>BGY MABUHAY</v>
      </c>
      <c r="AG1098" s="1" t="str">
        <f>IFERROR(__xludf.DUMMYFUNCTION("""COMPUTED_VALUE"""),"CARMONA")</f>
        <v>CARMONA</v>
      </c>
      <c r="AH1098" s="1" t="str">
        <f>IFERROR(__xludf.DUMMYFUNCTION("""COMPUTED_VALUE"""),"MABUHAY ELEMENTARY SCHOOL")</f>
        <v>MABUHAY ELEMENTARY SCHOOL</v>
      </c>
      <c r="AI1098" s="1" t="str">
        <f>IFERROR(__xludf.DUMMYFUNCTION("""COMPUTED_VALUE"""),"CLUSTER 11")</f>
        <v>CLUSTER 11</v>
      </c>
    </row>
    <row r="1099" customHeight="1" spans="1:35">
      <c r="A1099" s="3">
        <f>IFERROR(__xludf.DUMMYFUNCTION("""COMPUTED_VALUE"""),46312)</f>
        <v>46312</v>
      </c>
      <c r="B1099" s="1" t="str">
        <f>IFERROR(__xludf.DUMMYFUNCTION("""COMPUTED_VALUE"""),"MA CRISTINA ALCAZAR CATIBOG")</f>
        <v>MA CRISTINA ALCAZAR CATIBOG</v>
      </c>
      <c r="C1099" s="1">
        <f>IFERROR(__xludf.DUMMYFUNCTION("""COMPUTED_VALUE"""),2313213672)</f>
        <v>2313213672</v>
      </c>
      <c r="D1099" s="1">
        <f>IFERROR(__xludf.DUMMYFUNCTION("""COMPUTED_VALUE"""),409070108)</f>
        <v>409070108</v>
      </c>
      <c r="E1099" s="1">
        <f>IFERROR(__xludf.DUMMYFUNCTION("""COMPUTED_VALUE"""),475960664004)</f>
        <v>475960664004</v>
      </c>
      <c r="F1099" s="1" t="str">
        <f>IFERROR(__xludf.DUMMYFUNCTION("""COMPUTED_VALUE"""),"CLOSED")</f>
        <v>CLOSED</v>
      </c>
      <c r="G1099" s="1" t="str">
        <f>IFERROR(__xludf.DUMMYFUNCTION("""COMPUTED_VALUE"""),"CLOSED")</f>
        <v>CLOSED</v>
      </c>
      <c r="H1099" s="1" t="str">
        <f>IFERROR(__xludf.DUMMYFUNCTION("""COMPUTED_VALUE"""),"PQGOR367717130	18-Oct-26	Regular Payment	CIS-GCASH 3.0	1,399.00	0	18-Oct-26")</f>
        <v>PQGOR367717130	18-Oct-26	Regular Payment	CIS-GCASH 3.0	1,399.00	0	18-Oct-26</v>
      </c>
      <c r="I1099" s="1" t="str">
        <f>IFERROR(__xludf.DUMMYFUNCTION("""COMPUTED_VALUE"""),"WITH 1 AMSF")</f>
        <v>WITH 1 AMSF</v>
      </c>
      <c r="J1099" s="1"/>
      <c r="K1099" s="1" t="str">
        <f>IFERROR(__xludf.DUMMYFUNCTION("""COMPUTED_VALUE"""),"COMPLETED")</f>
        <v>COMPLETED</v>
      </c>
      <c r="L1099" s="1" t="str">
        <f>IFERROR(__xludf.DUMMYFUNCTION("""COMPUTED_VALUE"""),"POSTED")</f>
        <v>POSTED</v>
      </c>
      <c r="M1099" s="1" t="str">
        <f>IFERROR(__xludf.DUMMYFUNCTION("""COMPUTED_VALUE"""),"POSTED")</f>
        <v>POSTED</v>
      </c>
      <c r="N1099" s="3">
        <f>IFERROR(__xludf.DUMMYFUNCTION("""COMPUTED_VALUE"""),46313)</f>
        <v>46313</v>
      </c>
      <c r="O1099" s="1" t="str">
        <f>IFERROR(__xludf.DUMMYFUNCTION("""COMPUTED_VALUE"""),"FIBER UNLI PLAN 1399")</f>
        <v>FIBER UNLI PLAN 1399</v>
      </c>
      <c r="P1099" s="1" t="str">
        <f>IFERROR(__xludf.DUMMYFUNCTION("""COMPUTED_VALUE"""),"LOWPLAN")</f>
        <v>LOWPLAN</v>
      </c>
      <c r="Q1099" s="1" t="str">
        <f>IFERROR(__xludf.DUMMYFUNCTION("""COMPUTED_VALUE"""),"P407047")</f>
        <v>P407047</v>
      </c>
      <c r="R1099" s="1" t="str">
        <f>IFERROR(__xludf.DUMMYFUNCTION("""COMPUTED_VALUE"""),"FRANCISCO, ROSELYN")</f>
        <v>FRANCISCO, ROSELYN</v>
      </c>
      <c r="S1099" s="1" t="str">
        <f>IFERROR(__xludf.DUMMYFUNCTION("""COMPUTED_VALUE"""),"ORGANIC")</f>
        <v>ORGANIC</v>
      </c>
      <c r="T1099" s="1" t="str">
        <f>IFERROR(__xludf.DUMMYFUNCTION("""COMPUTED_VALUE"""),"LEA REMOLLO")</f>
        <v>LEA REMOLLO</v>
      </c>
      <c r="U1099" s="1" t="str">
        <f>IFERROR(__xludf.DUMMYFUNCTION("""COMPUTED_VALUE"""),"JULIE ESPIRITU")</f>
        <v>JULIE ESPIRITU</v>
      </c>
      <c r="V1099" s="1" t="str">
        <f>IFERROR(__xludf.DUMMYFUNCTION("""COMPUTED_VALUE"""),"BK HSTK")</f>
        <v>BK HSTK</v>
      </c>
      <c r="W1099" s="1" t="str">
        <f>IFERROR(__xludf.DUMMYFUNCTION("""COMPUTED_VALUE"""),"BK HSTK")</f>
        <v>BK HSTK</v>
      </c>
      <c r="X1099" s="1" t="str">
        <f>IFERROR(__xludf.DUMMYFUNCTION("""COMPUTED_VALUE"""),"FIBER 1399 98TH YR")</f>
        <v>FIBER 1399 98TH YR</v>
      </c>
      <c r="Y1099" s="1" t="str">
        <f>IFERROR(__xludf.DUMMYFUNCTION("""COMPUTED_VALUE"""),"BK_CVEU_261003")</f>
        <v>BK_CVEU_261003</v>
      </c>
      <c r="Z1099" s="1" t="str">
        <f>IFERROR(__xludf.DUMMYFUNCTION("""COMPUTED_VALUE"""),"NEW CONNECT")</f>
        <v>NEW CONNECT</v>
      </c>
      <c r="AA1099" s="1">
        <f>IFERROR(__xludf.DUMMYFUNCTION("""COMPUTED_VALUE"""),639679559940)</f>
        <v>639679559940</v>
      </c>
      <c r="AB1099" s="1">
        <f>IFERROR(__xludf.DUMMYFUNCTION("""COMPUTED_VALUE"""),639954362685)</f>
        <v>639954362685</v>
      </c>
      <c r="AC1099" s="1">
        <f>IFERROR(__xludf.DUMMYFUNCTION("""COMPUTED_VALUE"""),11609)</f>
        <v>11609</v>
      </c>
      <c r="AD1099" s="1" t="str">
        <f>IFERROR(__xludf.DUMMYFUNCTION("""COMPUTED_VALUE"""),"PURIFICACION")</f>
        <v>PURIFICACION</v>
      </c>
      <c r="AE1099" s="1"/>
      <c r="AF1099" s="1" t="str">
        <f>IFERROR(__xludf.DUMMYFUNCTION("""COMPUTED_VALUE"""),"BGY MABUHAY")</f>
        <v>BGY MABUHAY</v>
      </c>
      <c r="AG1099" s="1" t="str">
        <f>IFERROR(__xludf.DUMMYFUNCTION("""COMPUTED_VALUE"""),"CARMONA")</f>
        <v>CARMONA</v>
      </c>
      <c r="AH1099" s="1" t="str">
        <f>IFERROR(__xludf.DUMMYFUNCTION("""COMPUTED_VALUE"""),"MABUHAY ELEMENTARY SCHOOL")</f>
        <v>MABUHAY ELEMENTARY SCHOOL</v>
      </c>
      <c r="AI1099" s="1" t="str">
        <f>IFERROR(__xludf.DUMMYFUNCTION("""COMPUTED_VALUE"""),"CLUSTER 11")</f>
        <v>CLUSTER 11</v>
      </c>
    </row>
    <row r="1100" customHeight="1" spans="1:35">
      <c r="A1100" s="3">
        <f>IFERROR(__xludf.DUMMYFUNCTION("""COMPUTED_VALUE"""),46312)</f>
        <v>46312</v>
      </c>
      <c r="B1100" s="1" t="str">
        <f>IFERROR(__xludf.DUMMYFUNCTION("""COMPUTED_VALUE"""),"LIZA ESTRADA TABORA")</f>
        <v>LIZA ESTRADA TABORA</v>
      </c>
      <c r="C1100" s="1">
        <f>IFERROR(__xludf.DUMMYFUNCTION("""COMPUTED_VALUE"""),2313213998)</f>
        <v>2313213998</v>
      </c>
      <c r="D1100" s="1"/>
      <c r="E1100" s="1"/>
      <c r="F1100" s="1" t="str">
        <f>IFERROR(__xludf.DUMMYFUNCTION("""COMPUTED_VALUE"""),"CANCELLED")</f>
        <v>CANCELLED</v>
      </c>
      <c r="G1100" s="1" t="str">
        <f>IFERROR(__xludf.DUMMYFUNCTION("""COMPUTED_VALUE"""),"(WITH BLACKLIST HIT FOR COMPLIANCE) RETURN TO SALES | DONE VALIDATION | CORRECT ENCODED INFO IN CSP | TU SCORING - FF - 1 (NTC) | WAIVED AMSF BASED ON PROMO | WITH BLACKLISTED NAME - SAME NAME DIFF ADDRESS- ACCOUNT#:0375812053 OUTSTANDING BALANCE:4,521.00"&amp;" - FOR SETTELEMENT |NO EXISTING/PENDING/CANCELLED/ACTIVE | SCANNABLE NATIONAL ID ")</f>
        <v>(WITH BLACKLIST HIT FOR COMPLIANCE) RETURN TO SALES | DONE VALIDATION | CORRECT ENCODED INFO IN CSP | TU SCORING - FF - 1 (NTC) | WAIVED AMSF BASED ON PROMO | WITH BLACKLISTED NAME - SAME NAME DIFF ADDRESS- ACCOUNT#:0375812053 OUTSTANDING BALANCE:4,521.00 - FOR SETTELEMENT |NO EXISTING/PENDING/CANCELLED/ACTIVE | SCANNABLE NATIONAL ID </v>
      </c>
      <c r="H1100" s="1"/>
      <c r="I1100" s="1"/>
      <c r="J1100" s="1"/>
      <c r="K1100" s="1"/>
      <c r="L1100" s="1" t="str">
        <f>IFERROR(__xludf.DUMMYFUNCTION("""COMPUTED_VALUE"""),"CANCELLED")</f>
        <v>CANCELLED</v>
      </c>
      <c r="M1100" s="1" t="str">
        <f>IFERROR(__xludf.DUMMYFUNCTION("""COMPUTED_VALUE"""),"CANCELLED - WITH OB")</f>
        <v>CANCELLED - WITH OB</v>
      </c>
      <c r="N1100" s="3"/>
      <c r="O1100" s="1" t="str">
        <f>IFERROR(__xludf.DUMMYFUNCTION("""COMPUTED_VALUE"""),"FIBER UNLI PLAN 1399")</f>
        <v>FIBER UNLI PLAN 1399</v>
      </c>
      <c r="P1100" s="1" t="str">
        <f>IFERROR(__xludf.DUMMYFUNCTION("""COMPUTED_VALUE"""),"LOWPLAN")</f>
        <v>LOWPLAN</v>
      </c>
      <c r="Q1100" s="1" t="str">
        <f>IFERROR(__xludf.DUMMYFUNCTION("""COMPUTED_VALUE"""),"P408054")</f>
        <v>P408054</v>
      </c>
      <c r="R1100" s="1" t="str">
        <f>IFERROR(__xludf.DUMMYFUNCTION("""COMPUTED_VALUE"""),"DACLAN, IVY")</f>
        <v>DACLAN, IVY</v>
      </c>
      <c r="S1100" s="1" t="str">
        <f>IFERROR(__xludf.DUMMYFUNCTION("""COMPUTED_VALUE"""),"ORGANIC")</f>
        <v>ORGANIC</v>
      </c>
      <c r="T1100" s="1" t="str">
        <f>IFERROR(__xludf.DUMMYFUNCTION("""COMPUTED_VALUE"""),"LEA REMOLLO")</f>
        <v>LEA REMOLLO</v>
      </c>
      <c r="U1100" s="1" t="str">
        <f>IFERROR(__xludf.DUMMYFUNCTION("""COMPUTED_VALUE"""),"JULIE ESPIRITU")</f>
        <v>JULIE ESPIRITU</v>
      </c>
      <c r="V1100" s="1" t="str">
        <f>IFERROR(__xludf.DUMMYFUNCTION("""COMPUTED_VALUE"""),"BK HSTK")</f>
        <v>BK HSTK</v>
      </c>
      <c r="W1100" s="1" t="str">
        <f>IFERROR(__xludf.DUMMYFUNCTION("""COMPUTED_VALUE"""),"BK HSTK")</f>
        <v>BK HSTK</v>
      </c>
      <c r="X1100" s="1" t="str">
        <f>IFERROR(__xludf.DUMMYFUNCTION("""COMPUTED_VALUE"""),"FIBER 1399 98TH YR")</f>
        <v>FIBER 1399 98TH YR</v>
      </c>
      <c r="Y1100" s="1" t="str">
        <f>IFERROR(__xludf.DUMMYFUNCTION("""COMPUTED_VALUE"""),"BK_CVEU_261003")</f>
        <v>BK_CVEU_261003</v>
      </c>
      <c r="Z1100" s="1" t="str">
        <f>IFERROR(__xludf.DUMMYFUNCTION("""COMPUTED_VALUE"""),"NEW CONNECT")</f>
        <v>NEW CONNECT</v>
      </c>
      <c r="AA1100" s="1">
        <f>IFERROR(__xludf.DUMMYFUNCTION("""COMPUTED_VALUE"""),639979542316)</f>
        <v>639979542316</v>
      </c>
      <c r="AB1100" s="1"/>
      <c r="AC1100" s="1"/>
      <c r="AD1100" s="1" t="str">
        <f>IFERROR(__xludf.DUMMYFUNCTION("""COMPUTED_VALUE"""),"TOWNHOMES SUBDIVISION")</f>
        <v>TOWNHOMES SUBDIVISION</v>
      </c>
      <c r="AE1100" s="1"/>
      <c r="AF1100" s="1" t="str">
        <f>IFERROR(__xludf.DUMMYFUNCTION("""COMPUTED_VALUE"""),"BGY MILAGROSA")</f>
        <v>BGY MILAGROSA</v>
      </c>
      <c r="AG1100" s="1" t="str">
        <f>IFERROR(__xludf.DUMMYFUNCTION("""COMPUTED_VALUE"""),"CARMONA")</f>
        <v>CARMONA</v>
      </c>
      <c r="AH1100" s="1" t="str">
        <f>IFERROR(__xludf.DUMMYFUNCTION("""COMPUTED_VALUE"""),"7/11")</f>
        <v>7/11</v>
      </c>
      <c r="AI1100" s="1" t="str">
        <f>IFERROR(__xludf.DUMMYFUNCTION("""COMPUTED_VALUE"""),"CLUSTER 11")</f>
        <v>CLUSTER 11</v>
      </c>
    </row>
    <row r="1101" customHeight="1" spans="1:35">
      <c r="A1101" s="3">
        <f>IFERROR(__xludf.DUMMYFUNCTION("""COMPUTED_VALUE"""),46312)</f>
        <v>46312</v>
      </c>
      <c r="B1101" s="1" t="str">
        <f>IFERROR(__xludf.DUMMYFUNCTION("""COMPUTED_VALUE"""),"OLIVER DE JESUS LEVARDO")</f>
        <v>OLIVER DE JESUS LEVARDO</v>
      </c>
      <c r="C1101" s="1">
        <f>IFERROR(__xludf.DUMMYFUNCTION("""COMPUTED_VALUE"""),2313214229)</f>
        <v>2313214229</v>
      </c>
      <c r="D1101" s="1">
        <f>IFERROR(__xludf.DUMMYFUNCTION("""COMPUTED_VALUE"""),409113605)</f>
        <v>409113605</v>
      </c>
      <c r="E1101" s="1">
        <f>IFERROR(__xludf.DUMMYFUNCTION("""COMPUTED_VALUE"""),476221065004)</f>
        <v>476221065004</v>
      </c>
      <c r="F1101" s="1" t="str">
        <f>IFERROR(__xludf.DUMMYFUNCTION("""COMPUTED_VALUE"""),"CANCELED")</f>
        <v>CANCELED</v>
      </c>
      <c r="G1101" s="1" t="str">
        <f>IFERROR(__xludf.DUMMYFUNCTION("""COMPUTED_VALUE"""),"VISITED   REMARKS   CANT PROCEED WALA PANG RTA PERMIT SI SUBS   AT NASA TRABAHO SYA HINDI DAW SYA MAKAKAKUHA NGAYON   TATAWAG NA LANG DAW SYA KAY PLDT PAG NAKOMPLETO NYA NA YUNG PERMIT   TALK OLIVER DE JESUS LEVARDO 09300635307")</f>
        <v>VISITED   REMARKS   CANT PROCEED WALA PANG RTA PERMIT SI SUBS   AT NASA TRABAHO SYA HINDI DAW SYA MAKAKAKUHA NGAYON   TATAWAG NA LANG DAW SYA KAY PLDT PAG NAKOMPLETO NYA NA YUNG PERMIT   TALK OLIVER DE JESUS LEVARDO 09300635307</v>
      </c>
      <c r="H1101" s="1"/>
      <c r="I1101" s="1"/>
      <c r="J1101" s="1"/>
      <c r="K1101" s="1" t="str">
        <f>IFERROR(__xludf.DUMMYFUNCTION("""COMPUTED_VALUE"""),"CANCELED")</f>
        <v>CANCELED</v>
      </c>
      <c r="L1101" s="1" t="str">
        <f>IFERROR(__xludf.DUMMYFUNCTION("""COMPUTED_VALUE"""),"AFD - RESCHEDULE")</f>
        <v>AFD - RESCHEDULE</v>
      </c>
      <c r="M1101" s="1" t="str">
        <f>IFERROR(__xludf.DUMMYFUNCTION("""COMPUTED_VALUE"""),"AFD - RESCHEDULED")</f>
        <v>AFD - RESCHEDULED</v>
      </c>
      <c r="N1101" s="3"/>
      <c r="O1101" s="1" t="str">
        <f>IFERROR(__xludf.DUMMYFUNCTION("""COMPUTED_VALUE"""),"FIBER UNLI PLAN 1399")</f>
        <v>FIBER UNLI PLAN 1399</v>
      </c>
      <c r="P1101" s="1" t="str">
        <f>IFERROR(__xludf.DUMMYFUNCTION("""COMPUTED_VALUE"""),"LOWPLAN")</f>
        <v>LOWPLAN</v>
      </c>
      <c r="Q1101" s="1" t="str">
        <f>IFERROR(__xludf.DUMMYFUNCTION("""COMPUTED_VALUE"""),"P407050")</f>
        <v>P407050</v>
      </c>
      <c r="R1101" s="1" t="str">
        <f>IFERROR(__xludf.DUMMYFUNCTION("""COMPUTED_VALUE"""),"ESCARCHA, ALMA")</f>
        <v>ESCARCHA, ALMA</v>
      </c>
      <c r="S1101" s="1" t="str">
        <f>IFERROR(__xludf.DUMMYFUNCTION("""COMPUTED_VALUE"""),"ORGANIC")</f>
        <v>ORGANIC</v>
      </c>
      <c r="T1101" s="1" t="str">
        <f>IFERROR(__xludf.DUMMYFUNCTION("""COMPUTED_VALUE"""),"LEA REMOLLO")</f>
        <v>LEA REMOLLO</v>
      </c>
      <c r="U1101" s="1" t="str">
        <f>IFERROR(__xludf.DUMMYFUNCTION("""COMPUTED_VALUE"""),"JULIE ESPIRITU")</f>
        <v>JULIE ESPIRITU</v>
      </c>
      <c r="V1101" s="1" t="str">
        <f>IFERROR(__xludf.DUMMYFUNCTION("""COMPUTED_VALUE"""),"BK HSTK")</f>
        <v>BK HSTK</v>
      </c>
      <c r="W1101" s="1" t="str">
        <f>IFERROR(__xludf.DUMMYFUNCTION("""COMPUTED_VALUE"""),"BK HSTK")</f>
        <v>BK HSTK</v>
      </c>
      <c r="X1101" s="1" t="str">
        <f>IFERROR(__xludf.DUMMYFUNCTION("""COMPUTED_VALUE"""),"FIBER 1399 98TH YR")</f>
        <v>FIBER 1399 98TH YR</v>
      </c>
      <c r="Y1101" s="1" t="str">
        <f>IFERROR(__xludf.DUMMYFUNCTION("""COMPUTED_VALUE"""),"BK_CVEU_261003")</f>
        <v>BK_CVEU_261003</v>
      </c>
      <c r="Z1101" s="1" t="str">
        <f>IFERROR(__xludf.DUMMYFUNCTION("""COMPUTED_VALUE"""),"NEW CONNECT")</f>
        <v>NEW CONNECT</v>
      </c>
      <c r="AA1101" s="1">
        <f>IFERROR(__xludf.DUMMYFUNCTION("""COMPUTED_VALUE"""),639300635307)</f>
        <v>639300635307</v>
      </c>
      <c r="AB1101" s="1"/>
      <c r="AC1101" s="1">
        <f>IFERROR(__xludf.DUMMYFUNCTION("""COMPUTED_VALUE"""),11415)</f>
        <v>11415</v>
      </c>
      <c r="AD1101" s="1" t="str">
        <f>IFERROR(__xludf.DUMMYFUNCTION("""COMPUTED_VALUE"""),"M REYES")</f>
        <v>M REYES</v>
      </c>
      <c r="AE1101" s="1"/>
      <c r="AF1101" s="1" t="str">
        <f>IFERROR(__xludf.DUMMYFUNCTION("""COMPUTED_VALUE"""),"BGY MABUHAY")</f>
        <v>BGY MABUHAY</v>
      </c>
      <c r="AG1101" s="1" t="str">
        <f>IFERROR(__xludf.DUMMYFUNCTION("""COMPUTED_VALUE"""),"CARMONA")</f>
        <v>CARMONA</v>
      </c>
      <c r="AH1101" s="1" t="str">
        <f>IFERROR(__xludf.DUMMYFUNCTION("""COMPUTED_VALUE"""),"MABUHAY ELEMENTARY SCHOOL")</f>
        <v>MABUHAY ELEMENTARY SCHOOL</v>
      </c>
      <c r="AI1101" s="1" t="str">
        <f>IFERROR(__xludf.DUMMYFUNCTION("""COMPUTED_VALUE"""),"CLUSTER 11")</f>
        <v>CLUSTER 11</v>
      </c>
    </row>
    <row r="1102" customHeight="1" spans="1:35">
      <c r="A1102" s="3">
        <f>IFERROR(__xludf.DUMMYFUNCTION("""COMPUTED_VALUE"""),46312)</f>
        <v>46312</v>
      </c>
      <c r="B1102" s="1" t="str">
        <f>IFERROR(__xludf.DUMMYFUNCTION("""COMPUTED_VALUE"""),"JOANA MARIE GUZMAN ELLO")</f>
        <v>JOANA MARIE GUZMAN ELLO</v>
      </c>
      <c r="C1102" s="1">
        <f>IFERROR(__xludf.DUMMYFUNCTION("""COMPUTED_VALUE"""),2313214634)</f>
        <v>2313214634</v>
      </c>
      <c r="D1102" s="1">
        <f>IFERROR(__xludf.DUMMYFUNCTION("""COMPUTED_VALUE"""),409105025)</f>
        <v>409105025</v>
      </c>
      <c r="E1102" s="1">
        <f>IFERROR(__xludf.DUMMYFUNCTION("""COMPUTED_VALUE"""),476120190004)</f>
        <v>476120190004</v>
      </c>
      <c r="F1102" s="1" t="str">
        <f>IFERROR(__xludf.DUMMYFUNCTION("""COMPUTED_VALUE"""),"CLOSED")</f>
        <v>CLOSED</v>
      </c>
      <c r="G1102" s="1" t="str">
        <f>IFERROR(__xludf.DUMMYFUNCTION("""COMPUTED_VALUE"""),"CLOSED")</f>
        <v>CLOSED</v>
      </c>
      <c r="H1102" s="1" t="str">
        <f>IFERROR(__xludf.DUMMYFUNCTION("""COMPUTED_VALUE"""),"PQGOR367812545	19-Oct-26	Regular Payment	PLDT Pay Express-Web-App credit	1,649.00	0	19-Oct-26")</f>
        <v>PQGOR367812545	19-Oct-26	Regular Payment	PLDT Pay Express-Web-App credit	1,649.00	0	19-Oct-26</v>
      </c>
      <c r="I1102" s="1" t="str">
        <f>IFERROR(__xludf.DUMMYFUNCTION("""COMPUTED_VALUE"""),"WITH 1 AMSF")</f>
        <v>WITH 1 AMSF</v>
      </c>
      <c r="J1102" s="1"/>
      <c r="K1102" s="1" t="str">
        <f>IFERROR(__xludf.DUMMYFUNCTION("""COMPUTED_VALUE"""),"OPEN IN OFSC")</f>
        <v>OPEN IN OFSC</v>
      </c>
      <c r="L1102" s="1" t="str">
        <f>IFERROR(__xludf.DUMMYFUNCTION("""COMPUTED_VALUE"""),"POSTED")</f>
        <v>POSTED</v>
      </c>
      <c r="M1102" s="1" t="str">
        <f>IFERROR(__xludf.DUMMYFUNCTION("""COMPUTED_VALUE"""),"POSTED")</f>
        <v>POSTED</v>
      </c>
      <c r="N1102" s="3">
        <f>IFERROR(__xludf.DUMMYFUNCTION("""COMPUTED_VALUE"""),46317)</f>
        <v>46317</v>
      </c>
      <c r="O1102" s="1" t="str">
        <f>IFERROR(__xludf.DUMMYFUNCTION("""COMPUTED_VALUE"""),"FIBER UNLI ALL PLAN 1499")</f>
        <v>FIBER UNLI ALL PLAN 1499</v>
      </c>
      <c r="P1102" s="1" t="str">
        <f>IFERROR(__xludf.DUMMYFUNCTION("""COMPUTED_VALUE"""),"LOWPLAN")</f>
        <v>LOWPLAN</v>
      </c>
      <c r="Q1102" s="1" t="str">
        <f>IFERROR(__xludf.DUMMYFUNCTION("""COMPUTED_VALUE"""),"P407516")</f>
        <v>P407516</v>
      </c>
      <c r="R1102" s="1" t="str">
        <f>IFERROR(__xludf.DUMMYFUNCTION("""COMPUTED_VALUE"""),"AYON, MANUEL")</f>
        <v>AYON, MANUEL</v>
      </c>
      <c r="S1102" s="1" t="str">
        <f>IFERROR(__xludf.DUMMYFUNCTION("""COMPUTED_VALUE"""),"FLA")</f>
        <v>FLA</v>
      </c>
      <c r="T1102" s="1" t="str">
        <f>IFERROR(__xludf.DUMMYFUNCTION("""COMPUTED_VALUE"""),"JERIC NAVARRO")</f>
        <v>JERIC NAVARRO</v>
      </c>
      <c r="U1102" s="1" t="str">
        <f>IFERROR(__xludf.DUMMYFUNCTION("""COMPUTED_VALUE"""),"JULIE ESPIRITU")</f>
        <v>JULIE ESPIRITU</v>
      </c>
      <c r="V1102" s="1" t="str">
        <f>IFERROR(__xludf.DUMMYFUNCTION("""COMPUTED_VALUE"""),"ONLINE/CRANFORD")</f>
        <v>ONLINE/CRANFORD</v>
      </c>
      <c r="W1102" s="1" t="str">
        <f>IFERROR(__xludf.DUMMYFUNCTION("""COMPUTED_VALUE"""),"STK REGULAR")</f>
        <v>STK REGULAR</v>
      </c>
      <c r="X1102" s="1" t="str">
        <f>IFERROR(__xludf.DUMMYFUNCTION("""COMPUTED_VALUE"""),"REGULAR")</f>
        <v>REGULAR</v>
      </c>
      <c r="Y1102" s="1" t="str">
        <f>IFERROR(__xludf.DUMMYFUNCTION("""COMPUTED_VALUE"""),"RS_ONL_CVEU_2026")</f>
        <v>RS_ONL_CVEU_2026</v>
      </c>
      <c r="Z1102" s="1" t="str">
        <f>IFERROR(__xludf.DUMMYFUNCTION("""COMPUTED_VALUE"""),"NEW CONNECT")</f>
        <v>NEW CONNECT</v>
      </c>
      <c r="AA1102" s="1">
        <f>IFERROR(__xludf.DUMMYFUNCTION("""COMPUTED_VALUE"""),639399824354)</f>
        <v>639399824354</v>
      </c>
      <c r="AB1102" s="1">
        <f>IFERROR(__xludf.DUMMYFUNCTION("""COMPUTED_VALUE"""),639499281880)</f>
        <v>639499281880</v>
      </c>
      <c r="AC1102" s="1"/>
      <c r="AD1102" s="1" t="str">
        <f>IFERROR(__xludf.DUMMYFUNCTION("""COMPUTED_VALUE"""),"CHATEAUX DE PARIS")</f>
        <v>CHATEAUX DE PARIS</v>
      </c>
      <c r="AE1102" s="1" t="str">
        <f>IFERROR(__xludf.DUMMYFUNCTION("""COMPUTED_VALUE"""),"CHATEAUX DE PARIS")</f>
        <v>CHATEAUX DE PARIS</v>
      </c>
      <c r="AF1102" s="1" t="str">
        <f>IFERROR(__xludf.DUMMYFUNCTION("""COMPUTED_VALUE"""),"BGY INCHICAN")</f>
        <v>BGY INCHICAN</v>
      </c>
      <c r="AG1102" s="1" t="str">
        <f>IFERROR(__xludf.DUMMYFUNCTION("""COMPUTED_VALUE"""),"SILANG")</f>
        <v>SILANG</v>
      </c>
      <c r="AH1102" s="1"/>
      <c r="AI1102" s="1" t="str">
        <f>IFERROR(__xludf.DUMMYFUNCTION("""COMPUTED_VALUE"""),"CLUSTER 11")</f>
        <v>CLUSTER 11</v>
      </c>
    </row>
    <row r="1103" customHeight="1" spans="1:35">
      <c r="A1103" s="3">
        <f>IFERROR(__xludf.DUMMYFUNCTION("""COMPUTED_VALUE"""),46312)</f>
        <v>46312</v>
      </c>
      <c r="B1103" s="1" t="str">
        <f>IFERROR(__xludf.DUMMYFUNCTION("""COMPUTED_VALUE"""),"JAZ IVAN VILLARUEL MULETA")</f>
        <v>JAZ IVAN VILLARUEL MULETA</v>
      </c>
      <c r="C1103" s="1">
        <f>IFERROR(__xludf.DUMMYFUNCTION("""COMPUTED_VALUE"""),2313214957)</f>
        <v>2313214957</v>
      </c>
      <c r="D1103" s="1">
        <f>IFERROR(__xludf.DUMMYFUNCTION("""COMPUTED_VALUE"""),409074669)</f>
        <v>409074669</v>
      </c>
      <c r="E1103" s="1">
        <f>IFERROR(__xludf.DUMMYFUNCTION("""COMPUTED_VALUE"""),475962541004)</f>
        <v>475962541004</v>
      </c>
      <c r="F1103" s="1" t="str">
        <f>IFERROR(__xludf.DUMMYFUNCTION("""COMPUTED_VALUE"""),"FOR PAYMENT")</f>
        <v>FOR PAYMENT</v>
      </c>
      <c r="G1103" s="1" t="str">
        <f>IFERROR(__xludf.DUMMYFUNCTION("""COMPUTED_VALUE"""),"FOR PAYMENT")</f>
        <v>FOR PAYMENT</v>
      </c>
      <c r="H1103" s="1" t="str">
        <f>IFERROR(__xludf.DUMMYFUNCTION("""COMPUTED_VALUE"""),"AUTO - BUSY LINE")</f>
        <v>AUTO - BUSY LINE</v>
      </c>
      <c r="I1103" s="1"/>
      <c r="J1103" s="1"/>
      <c r="K1103" s="1" t="str">
        <f>IFERROR(__xludf.DUMMYFUNCTION("""COMPUTED_VALUE"""),"NOT IN OFSC")</f>
        <v>NOT IN OFSC</v>
      </c>
      <c r="L1103" s="1" t="str">
        <f>IFERROR(__xludf.DUMMYFUNCTION("""COMPUTED_VALUE"""),"FOR PAYMENT")</f>
        <v>FOR PAYMENT</v>
      </c>
      <c r="M1103" s="1" t="str">
        <f>IFERROR(__xludf.DUMMYFUNCTION("""COMPUTED_VALUE"""),"FOR PAYMENT - FOR CALL OUT")</f>
        <v>FOR PAYMENT - FOR CALL OUT</v>
      </c>
      <c r="N1103" s="3"/>
      <c r="O1103" s="1" t="str">
        <f>IFERROR(__xludf.DUMMYFUNCTION("""COMPUTED_VALUE"""),"FIBR NETFLIX PLAN 1599")</f>
        <v>FIBR NETFLIX PLAN 1599</v>
      </c>
      <c r="P1103" s="1" t="str">
        <f>IFERROR(__xludf.DUMMYFUNCTION("""COMPUTED_VALUE"""),"LOWPLAN")</f>
        <v>LOWPLAN</v>
      </c>
      <c r="Q1103" s="1" t="str">
        <f>IFERROR(__xludf.DUMMYFUNCTION("""COMPUTED_VALUE"""),"P407517")</f>
        <v>P407517</v>
      </c>
      <c r="R1103" s="1" t="str">
        <f>IFERROR(__xludf.DUMMYFUNCTION("""COMPUTED_VALUE"""),"GABAY, MANUEL")</f>
        <v>GABAY, MANUEL</v>
      </c>
      <c r="S1103" s="1" t="str">
        <f>IFERROR(__xludf.DUMMYFUNCTION("""COMPUTED_VALUE"""),"FLA")</f>
        <v>FLA</v>
      </c>
      <c r="T1103" s="1" t="str">
        <f>IFERROR(__xludf.DUMMYFUNCTION("""COMPUTED_VALUE"""),"JERIC NAVARRO")</f>
        <v>JERIC NAVARRO</v>
      </c>
      <c r="U1103" s="1" t="str">
        <f>IFERROR(__xludf.DUMMYFUNCTION("""COMPUTED_VALUE"""),"JULIE ESPIRITU")</f>
        <v>JULIE ESPIRITU</v>
      </c>
      <c r="V1103" s="1" t="str">
        <f>IFERROR(__xludf.DUMMYFUNCTION("""COMPUTED_VALUE"""),"BK HSTK")</f>
        <v>BK HSTK</v>
      </c>
      <c r="W1103" s="1" t="str">
        <f>IFERROR(__xludf.DUMMYFUNCTION("""COMPUTED_VALUE"""),"BK HSTK")</f>
        <v>BK HSTK</v>
      </c>
      <c r="X1103" s="1" t="str">
        <f>IFERROR(__xludf.DUMMYFUNCTION("""COMPUTED_VALUE"""),"REGULAR")</f>
        <v>REGULAR</v>
      </c>
      <c r="Y1103" s="1" t="str">
        <f>IFERROR(__xludf.DUMMYFUNCTION("""COMPUTED_VALUE"""),"BK_CVEU_261006")</f>
        <v>BK_CVEU_261006</v>
      </c>
      <c r="Z1103" s="1" t="str">
        <f>IFERROR(__xludf.DUMMYFUNCTION("""COMPUTED_VALUE"""),"NEW CONNECT")</f>
        <v>NEW CONNECT</v>
      </c>
      <c r="AA1103" s="1">
        <f>IFERROR(__xludf.DUMMYFUNCTION("""COMPUTED_VALUE"""),639350398438)</f>
        <v>639350398438</v>
      </c>
      <c r="AB1103" s="1">
        <f>IFERROR(__xludf.DUMMYFUNCTION("""COMPUTED_VALUE"""),639750961173)</f>
        <v>639750961173</v>
      </c>
      <c r="AC1103" s="1"/>
      <c r="AD1103" s="1" t="str">
        <f>IFERROR(__xludf.DUMMYFUNCTION("""COMPUTED_VALUE"""),"AFP HOUSING")</f>
        <v>AFP HOUSING</v>
      </c>
      <c r="AE1103" s="1" t="str">
        <f>IFERROR(__xludf.DUMMYFUNCTION("""COMPUTED_VALUE"""),"AFP HOUSING ZONE 11")</f>
        <v>AFP HOUSING ZONE 11</v>
      </c>
      <c r="AF1103" s="1" t="str">
        <f>IFERROR(__xludf.DUMMYFUNCTION("""COMPUTED_VALUE"""),"BGY BULIHAN")</f>
        <v>BGY BULIHAN</v>
      </c>
      <c r="AG1103" s="1" t="str">
        <f>IFERROR(__xludf.DUMMYFUNCTION("""COMPUTED_VALUE"""),"SILANG")</f>
        <v>SILANG</v>
      </c>
      <c r="AH1103" s="1" t="str">
        <f>IFERROR(__xludf.DUMMYFUNCTION("""COMPUTED_VALUE"""),"ZION ACADEMY")</f>
        <v>ZION ACADEMY</v>
      </c>
      <c r="AI1103" s="1" t="str">
        <f>IFERROR(__xludf.DUMMYFUNCTION("""COMPUTED_VALUE"""),"CLUSTER 11")</f>
        <v>CLUSTER 11</v>
      </c>
    </row>
    <row r="1104" customHeight="1" spans="1:35">
      <c r="A1104" s="3">
        <f>IFERROR(__xludf.DUMMYFUNCTION("""COMPUTED_VALUE"""),46312)</f>
        <v>46312</v>
      </c>
      <c r="B1104" s="1" t="str">
        <f>IFERROR(__xludf.DUMMYFUNCTION("""COMPUTED_VALUE"""),"LORENZA ANCIANO MALIMBAN")</f>
        <v>LORENZA ANCIANO MALIMBAN</v>
      </c>
      <c r="C1104" s="1">
        <f>IFERROR(__xludf.DUMMYFUNCTION("""COMPUTED_VALUE"""),2313216880)</f>
        <v>2313216880</v>
      </c>
      <c r="D1104" s="1">
        <f>IFERROR(__xludf.DUMMYFUNCTION("""COMPUTED_VALUE"""),409075851)</f>
        <v>409075851</v>
      </c>
      <c r="E1104" s="1">
        <f>IFERROR(__xludf.DUMMYFUNCTION("""COMPUTED_VALUE"""),475963424004)</f>
        <v>475963424004</v>
      </c>
      <c r="F1104" s="1" t="str">
        <f>IFERROR(__xludf.DUMMYFUNCTION("""COMPUTED_VALUE"""),"CLOSED")</f>
        <v>CLOSED</v>
      </c>
      <c r="G1104" s="1" t="str">
        <f>IFERROR(__xludf.DUMMYFUNCTION("""COMPUTED_VALUE"""),"CLOSED")</f>
        <v>CLOSED</v>
      </c>
      <c r="H1104" s="1"/>
      <c r="I1104" s="1" t="str">
        <f>IFERROR(__xludf.DUMMYFUNCTION("""COMPUTED_VALUE"""),"NO 1 AMSF")</f>
        <v>NO 1 AMSF</v>
      </c>
      <c r="J1104" s="1" t="str">
        <f>IFERROR(__xludf.DUMMYFUNCTION("""COMPUTED_VALUE"""),"NO PAYMENT")</f>
        <v>NO PAYMENT</v>
      </c>
      <c r="K1104" s="1" t="str">
        <f>IFERROR(__xludf.DUMMYFUNCTION("""COMPUTED_VALUE"""),"COMPLETED")</f>
        <v>COMPLETED</v>
      </c>
      <c r="L1104" s="1" t="str">
        <f>IFERROR(__xludf.DUMMYFUNCTION("""COMPUTED_VALUE"""),"POSTED")</f>
        <v>POSTED</v>
      </c>
      <c r="M1104" s="1" t="str">
        <f>IFERROR(__xludf.DUMMYFUNCTION("""COMPUTED_VALUE"""),"POSTED")</f>
        <v>POSTED</v>
      </c>
      <c r="N1104" s="3">
        <f>IFERROR(__xludf.DUMMYFUNCTION("""COMPUTED_VALUE"""),46314)</f>
        <v>46314</v>
      </c>
      <c r="O1104" s="1" t="str">
        <f>IFERROR(__xludf.DUMMYFUNCTION("""COMPUTED_VALUE"""),"FIBER UNLI PLAN 1399")</f>
        <v>FIBER UNLI PLAN 1399</v>
      </c>
      <c r="P1104" s="1" t="str">
        <f>IFERROR(__xludf.DUMMYFUNCTION("""COMPUTED_VALUE"""),"LOWPLAN")</f>
        <v>LOWPLAN</v>
      </c>
      <c r="Q1104" s="1" t="str">
        <f>IFERROR(__xludf.DUMMYFUNCTION("""COMPUTED_VALUE"""),"P407049")</f>
        <v>P407049</v>
      </c>
      <c r="R1104" s="1" t="str">
        <f>IFERROR(__xludf.DUMMYFUNCTION("""COMPUTED_VALUE"""),"ALINGARO, CINDY")</f>
        <v>ALINGARO, CINDY</v>
      </c>
      <c r="S1104" s="1" t="str">
        <f>IFERROR(__xludf.DUMMYFUNCTION("""COMPUTED_VALUE"""),"ORGANIC")</f>
        <v>ORGANIC</v>
      </c>
      <c r="T1104" s="1" t="str">
        <f>IFERROR(__xludf.DUMMYFUNCTION("""COMPUTED_VALUE"""),"LEA REMOLLO")</f>
        <v>LEA REMOLLO</v>
      </c>
      <c r="U1104" s="1" t="str">
        <f>IFERROR(__xludf.DUMMYFUNCTION("""COMPUTED_VALUE"""),"JULIE ESPIRITU")</f>
        <v>JULIE ESPIRITU</v>
      </c>
      <c r="V1104" s="1" t="str">
        <f>IFERROR(__xludf.DUMMYFUNCTION("""COMPUTED_VALUE"""),"BK HSTK")</f>
        <v>BK HSTK</v>
      </c>
      <c r="W1104" s="1" t="str">
        <f>IFERROR(__xludf.DUMMYFUNCTION("""COMPUTED_VALUE"""),"BK HSTK")</f>
        <v>BK HSTK</v>
      </c>
      <c r="X1104" s="1" t="str">
        <f>IFERROR(__xludf.DUMMYFUNCTION("""COMPUTED_VALUE"""),"REGULAR")</f>
        <v>REGULAR</v>
      </c>
      <c r="Y1104" s="1" t="str">
        <f>IFERROR(__xludf.DUMMYFUNCTION("""COMPUTED_VALUE"""),"BK_CVEU_261007")</f>
        <v>BK_CVEU_261007</v>
      </c>
      <c r="Z1104" s="1" t="str">
        <f>IFERROR(__xludf.DUMMYFUNCTION("""COMPUTED_VALUE"""),"NEW CONNECT")</f>
        <v>NEW CONNECT</v>
      </c>
      <c r="AA1104" s="1">
        <f>IFERROR(__xludf.DUMMYFUNCTION("""COMPUTED_VALUE"""),639482119461)</f>
        <v>639482119461</v>
      </c>
      <c r="AB1104" s="1"/>
      <c r="AC1104" s="1">
        <f>IFERROR(__xludf.DUMMYFUNCTION("""COMPUTED_VALUE"""),652)</f>
        <v>652</v>
      </c>
      <c r="AD1104" s="1" t="str">
        <f>IFERROR(__xludf.DUMMYFUNCTION("""COMPUTED_VALUE"""),"PHASE 3")</f>
        <v>PHASE 3</v>
      </c>
      <c r="AE1104" s="1" t="str">
        <f>IFERROR(__xludf.DUMMYFUNCTION("""COMPUTED_VALUE"""),"ST MICHAEL VILLAGE")</f>
        <v>ST MICHAEL VILLAGE</v>
      </c>
      <c r="AF1104" s="1" t="str">
        <f>IFERROR(__xludf.DUMMYFUNCTION("""COMPUTED_VALUE"""),"BGY SUNGAY NORTH")</f>
        <v>BGY SUNGAY NORTH</v>
      </c>
      <c r="AG1104" s="1" t="str">
        <f>IFERROR(__xludf.DUMMYFUNCTION("""COMPUTED_VALUE"""),"TAGAYTAY")</f>
        <v>TAGAYTAY</v>
      </c>
      <c r="AH1104" s="1"/>
      <c r="AI1104" s="1" t="str">
        <f>IFERROR(__xludf.DUMMYFUNCTION("""COMPUTED_VALUE"""),"CLUSTER 12")</f>
        <v>CLUSTER 12</v>
      </c>
    </row>
    <row r="1105" customHeight="1" spans="1:35">
      <c r="A1105" s="3">
        <f>IFERROR(__xludf.DUMMYFUNCTION("""COMPUTED_VALUE"""),46312)</f>
        <v>46312</v>
      </c>
      <c r="B1105" s="1" t="str">
        <f>IFERROR(__xludf.DUMMYFUNCTION("""COMPUTED_VALUE"""),"ROMNIE ALLAN JR SATOC HERRERA")</f>
        <v>ROMNIE ALLAN JR SATOC HERRERA</v>
      </c>
      <c r="C1105" s="1">
        <f>IFERROR(__xludf.DUMMYFUNCTION("""COMPUTED_VALUE"""),2313217471)</f>
        <v>2313217471</v>
      </c>
      <c r="D1105" s="1">
        <f>IFERROR(__xludf.DUMMYFUNCTION("""COMPUTED_VALUE"""),409079202)</f>
        <v>409079202</v>
      </c>
      <c r="E1105" s="1">
        <f>IFERROR(__xludf.DUMMYFUNCTION("""COMPUTED_VALUE"""),475966248004)</f>
        <v>475966248004</v>
      </c>
      <c r="F1105" s="1" t="str">
        <f>IFERROR(__xludf.DUMMYFUNCTION("""COMPUTED_VALUE"""),"CLOSED")</f>
        <v>CLOSED</v>
      </c>
      <c r="G1105" s="1" t="str">
        <f>IFERROR(__xludf.DUMMYFUNCTION("""COMPUTED_VALUE"""),"CLOSED")</f>
        <v>CLOSED</v>
      </c>
      <c r="H1105" s="1" t="str">
        <f>IFERROR(__xludf.DUMMYFUNCTION("""COMPUTED_VALUE"""),"PAID VIA GCASH REF 791310305 OCT 18")</f>
        <v>PAID VIA GCASH REF 791310305 OCT 18</v>
      </c>
      <c r="I1105" s="1" t="str">
        <f>IFERROR(__xludf.DUMMYFUNCTION("""COMPUTED_VALUE"""),"WITH 1 AMSF")</f>
        <v>WITH 1 AMSF</v>
      </c>
      <c r="J1105" s="1"/>
      <c r="K1105" s="1" t="str">
        <f>IFERROR(__xludf.DUMMYFUNCTION("""COMPUTED_VALUE"""),"SUSPENDED")</f>
        <v>SUSPENDED</v>
      </c>
      <c r="L1105" s="1" t="str">
        <f>IFERROR(__xludf.DUMMYFUNCTION("""COMPUTED_VALUE"""),"POSTED")</f>
        <v>POSTED</v>
      </c>
      <c r="M1105" s="1" t="str">
        <f>IFERROR(__xludf.DUMMYFUNCTION("""COMPUTED_VALUE"""),"POSTED")</f>
        <v>POSTED</v>
      </c>
      <c r="N1105" s="3">
        <f>IFERROR(__xludf.DUMMYFUNCTION("""COMPUTED_VALUE"""),46315)</f>
        <v>46315</v>
      </c>
      <c r="O1105" s="1" t="str">
        <f>IFERROR(__xludf.DUMMYFUNCTION("""COMPUTED_VALUE"""),"FIBR UNLI ALL PLAN 999")</f>
        <v>FIBR UNLI ALL PLAN 999</v>
      </c>
      <c r="P1105" s="1" t="str">
        <f>IFERROR(__xludf.DUMMYFUNCTION("""COMPUTED_VALUE"""),"LOWPLAN")</f>
        <v>LOWPLAN</v>
      </c>
      <c r="Q1105" s="1" t="str">
        <f>IFERROR(__xludf.DUMMYFUNCTION("""COMPUTED_VALUE"""),"P407561")</f>
        <v>P407561</v>
      </c>
      <c r="R1105" s="1" t="str">
        <f>IFERROR(__xludf.DUMMYFUNCTION("""COMPUTED_VALUE"""),"TAMAYO, MARY ROSE ZAIRA")</f>
        <v>TAMAYO, MARY ROSE ZAIRA</v>
      </c>
      <c r="S1105" s="1" t="str">
        <f>IFERROR(__xludf.DUMMYFUNCTION("""COMPUTED_VALUE"""),"ORGANIC")</f>
        <v>ORGANIC</v>
      </c>
      <c r="T1105" s="1" t="str">
        <f>IFERROR(__xludf.DUMMYFUNCTION("""COMPUTED_VALUE"""),"LEA REMOLLO")</f>
        <v>LEA REMOLLO</v>
      </c>
      <c r="U1105" s="1" t="str">
        <f>IFERROR(__xludf.DUMMYFUNCTION("""COMPUTED_VALUE"""),"JULIE ESPIRITU")</f>
        <v>JULIE ESPIRITU</v>
      </c>
      <c r="V1105" s="1" t="str">
        <f>IFERROR(__xludf.DUMMYFUNCTION("""COMPUTED_VALUE"""),"BK HSTK")</f>
        <v>BK HSTK</v>
      </c>
      <c r="W1105" s="1" t="str">
        <f>IFERROR(__xludf.DUMMYFUNCTION("""COMPUTED_VALUE"""),"BK HSTK")</f>
        <v>BK HSTK</v>
      </c>
      <c r="X1105" s="1" t="str">
        <f>IFERROR(__xludf.DUMMYFUNCTION("""COMPUTED_VALUE"""),"REGULAR")</f>
        <v>REGULAR</v>
      </c>
      <c r="Y1105" s="1" t="str">
        <f>IFERROR(__xludf.DUMMYFUNCTION("""COMPUTED_VALUE"""),"BK_CVEU_261004")</f>
        <v>BK_CVEU_261004</v>
      </c>
      <c r="Z1105" s="1" t="str">
        <f>IFERROR(__xludf.DUMMYFUNCTION("""COMPUTED_VALUE"""),"NEW CONNECT")</f>
        <v>NEW CONNECT</v>
      </c>
      <c r="AA1105" s="1">
        <f>IFERROR(__xludf.DUMMYFUNCTION("""COMPUTED_VALUE"""),639368968299)</f>
        <v>639368968299</v>
      </c>
      <c r="AB1105" s="1">
        <f>IFERROR(__xludf.DUMMYFUNCTION("""COMPUTED_VALUE"""),639099179298)</f>
        <v>639099179298</v>
      </c>
      <c r="AC1105" s="1"/>
      <c r="AD1105" s="1" t="str">
        <f>IFERROR(__xludf.DUMMYFUNCTION("""COMPUTED_VALUE"""),"F REYES")</f>
        <v>F REYES</v>
      </c>
      <c r="AE1105" s="1"/>
      <c r="AF1105" s="1" t="str">
        <f>IFERROR(__xludf.DUMMYFUNCTION("""COMPUTED_VALUE"""),"BGY FRANCISCO REYES")</f>
        <v>BGY FRANCISCO REYES</v>
      </c>
      <c r="AG1105" s="1" t="str">
        <f>IFERROR(__xludf.DUMMYFUNCTION("""COMPUTED_VALUE"""),"GEN MARIANO ALVAREZ")</f>
        <v>GEN MARIANO ALVAREZ</v>
      </c>
      <c r="AH1105" s="1" t="str">
        <f>IFERROR(__xludf.DUMMYFUNCTION("""COMPUTED_VALUE"""),"ILONGOS LECHON")</f>
        <v>ILONGOS LECHON</v>
      </c>
      <c r="AI1105" s="1" t="str">
        <f>IFERROR(__xludf.DUMMYFUNCTION("""COMPUTED_VALUE"""),"CLUSTER 11")</f>
        <v>CLUSTER 11</v>
      </c>
    </row>
    <row r="1106" customHeight="1" spans="1:35">
      <c r="A1106" s="3">
        <f>IFERROR(__xludf.DUMMYFUNCTION("""COMPUTED_VALUE"""),46312)</f>
        <v>46312</v>
      </c>
      <c r="B1106" s="1" t="str">
        <f>IFERROR(__xludf.DUMMYFUNCTION("""COMPUTED_VALUE"""),"TEODORO TIBAYAN TISBE")</f>
        <v>TEODORO TIBAYAN TISBE</v>
      </c>
      <c r="C1106" s="1">
        <f>IFERROR(__xludf.DUMMYFUNCTION("""COMPUTED_VALUE"""),2313217716)</f>
        <v>2313217716</v>
      </c>
      <c r="D1106" s="1">
        <f>IFERROR(__xludf.DUMMYFUNCTION("""COMPUTED_VALUE"""),409080081)</f>
        <v>409080081</v>
      </c>
      <c r="E1106" s="1">
        <f>IFERROR(__xludf.DUMMYFUNCTION("""COMPUTED_VALUE"""),475966849004)</f>
        <v>475966849004</v>
      </c>
      <c r="F1106" s="1" t="str">
        <f>IFERROR(__xludf.DUMMYFUNCTION("""COMPUTED_VALUE"""),"CLOSED")</f>
        <v>CLOSED</v>
      </c>
      <c r="G1106" s="1" t="str">
        <f>IFERROR(__xludf.DUMMYFUNCTION("""COMPUTED_VALUE"""),"CLOSED")</f>
        <v>CLOSED</v>
      </c>
      <c r="H1106" s="1" t="str">
        <f>IFERROR(__xludf.DUMMYFUNCTION("""COMPUTED_VALUE"""),"PAID VIA GCASH - OCT 18 - REF - 192848154")</f>
        <v>PAID VIA GCASH - OCT 18 - REF - 192848154</v>
      </c>
      <c r="I1106" s="1" t="str">
        <f>IFERROR(__xludf.DUMMYFUNCTION("""COMPUTED_VALUE"""),"WITH 1 AMSF")</f>
        <v>WITH 1 AMSF</v>
      </c>
      <c r="J1106" s="1"/>
      <c r="K1106" s="1" t="str">
        <f>IFERROR(__xludf.DUMMYFUNCTION("""COMPUTED_VALUE"""),"NOT DONE")</f>
        <v>NOT DONE</v>
      </c>
      <c r="L1106" s="1" t="str">
        <f>IFERROR(__xludf.DUMMYFUNCTION("""COMPUTED_VALUE"""),"POSTED")</f>
        <v>POSTED</v>
      </c>
      <c r="M1106" s="1" t="str">
        <f>IFERROR(__xludf.DUMMYFUNCTION("""COMPUTED_VALUE"""),"POSTED")</f>
        <v>POSTED</v>
      </c>
      <c r="N1106" s="3">
        <f>IFERROR(__xludf.DUMMYFUNCTION("""COMPUTED_VALUE"""),2026)</f>
        <v>2026</v>
      </c>
      <c r="O1106" s="1" t="str">
        <f>IFERROR(__xludf.DUMMYFUNCTION("""COMPUTED_VALUE"""),"FIBER UNLI ALL PLAN 1499")</f>
        <v>FIBER UNLI ALL PLAN 1499</v>
      </c>
      <c r="P1106" s="1" t="str">
        <f>IFERROR(__xludf.DUMMYFUNCTION("""COMPUTED_VALUE"""),"LOWPLAN")</f>
        <v>LOWPLAN</v>
      </c>
      <c r="Q1106" s="1" t="str">
        <f>IFERROR(__xludf.DUMMYFUNCTION("""COMPUTED_VALUE"""),"P407562")</f>
        <v>P407562</v>
      </c>
      <c r="R1106" s="1" t="str">
        <f>IFERROR(__xludf.DUMMYFUNCTION("""COMPUTED_VALUE"""),"IVNO, RAZZEL")</f>
        <v>IVNO, RAZZEL</v>
      </c>
      <c r="S1106" s="1" t="str">
        <f>IFERROR(__xludf.DUMMYFUNCTION("""COMPUTED_VALUE"""),"FLA")</f>
        <v>FLA</v>
      </c>
      <c r="T1106" s="1" t="str">
        <f>IFERROR(__xludf.DUMMYFUNCTION("""COMPUTED_VALUE"""),"JERIC NAVARRO")</f>
        <v>JERIC NAVARRO</v>
      </c>
      <c r="U1106" s="1" t="str">
        <f>IFERROR(__xludf.DUMMYFUNCTION("""COMPUTED_VALUE"""),"JULIE ESPIRITU")</f>
        <v>JULIE ESPIRITU</v>
      </c>
      <c r="V1106" s="1" t="str">
        <f>IFERROR(__xludf.DUMMYFUNCTION("""COMPUTED_VALUE"""),"BK HSTK")</f>
        <v>BK HSTK</v>
      </c>
      <c r="W1106" s="1" t="str">
        <f>IFERROR(__xludf.DUMMYFUNCTION("""COMPUTED_VALUE"""),"BK HSTK")</f>
        <v>BK HSTK</v>
      </c>
      <c r="X1106" s="1" t="str">
        <f>IFERROR(__xludf.DUMMYFUNCTION("""COMPUTED_VALUE"""),"REGULAR")</f>
        <v>REGULAR</v>
      </c>
      <c r="Y1106" s="1" t="str">
        <f>IFERROR(__xludf.DUMMYFUNCTION("""COMPUTED_VALUE"""),"BK_CVEU_261004")</f>
        <v>BK_CVEU_261004</v>
      </c>
      <c r="Z1106" s="1" t="str">
        <f>IFERROR(__xludf.DUMMYFUNCTION("""COMPUTED_VALUE"""),"NEW CONNECT")</f>
        <v>NEW CONNECT</v>
      </c>
      <c r="AA1106" s="1">
        <f>IFERROR(__xludf.DUMMYFUNCTION("""COMPUTED_VALUE"""),639215704596)</f>
        <v>639215704596</v>
      </c>
      <c r="AB1106" s="1">
        <f>IFERROR(__xludf.DUMMYFUNCTION("""COMPUTED_VALUE"""),639090326993)</f>
        <v>639090326993</v>
      </c>
      <c r="AC1106" s="1"/>
      <c r="AD1106" s="1" t="str">
        <f>IFERROR(__xludf.DUMMYFUNCTION("""COMPUTED_VALUE"""),"GREENLAND")</f>
        <v>GREENLAND</v>
      </c>
      <c r="AE1106" s="1" t="str">
        <f>IFERROR(__xludf.DUMMYFUNCTION("""COMPUTED_VALUE"""),"CASA DE MONTEVERDE")</f>
        <v>CASA DE MONTEVERDE</v>
      </c>
      <c r="AF1106" s="1" t="str">
        <f>IFERROR(__xludf.DUMMYFUNCTION("""COMPUTED_VALUE"""),"BGY F DE CASTRO")</f>
        <v>BGY F DE CASTRO</v>
      </c>
      <c r="AG1106" s="1" t="str">
        <f>IFERROR(__xludf.DUMMYFUNCTION("""COMPUTED_VALUE"""),"GEN MARIANO ALVAREZ")</f>
        <v>GEN MARIANO ALVAREZ</v>
      </c>
      <c r="AH1106" s="1"/>
      <c r="AI1106" s="1" t="str">
        <f>IFERROR(__xludf.DUMMYFUNCTION("""COMPUTED_VALUE"""),"CLUSTER 11")</f>
        <v>CLUSTER 11</v>
      </c>
    </row>
    <row r="1107" customHeight="1" spans="1:35">
      <c r="A1107" s="3">
        <f>IFERROR(__xludf.DUMMYFUNCTION("""COMPUTED_VALUE"""),46312)</f>
        <v>46312</v>
      </c>
      <c r="B1107" s="1" t="str">
        <f>IFERROR(__xludf.DUMMYFUNCTION("""COMPUTED_VALUE"""),"CRESPIN AJOC ECO")</f>
        <v>CRESPIN AJOC ECO</v>
      </c>
      <c r="C1107" s="1">
        <f>IFERROR(__xludf.DUMMYFUNCTION("""COMPUTED_VALUE"""),2313217996)</f>
        <v>2313217996</v>
      </c>
      <c r="D1107" s="1">
        <f>IFERROR(__xludf.DUMMYFUNCTION("""COMPUTED_VALUE"""),409109489)</f>
        <v>409109489</v>
      </c>
      <c r="E1107" s="1">
        <f>IFERROR(__xludf.DUMMYFUNCTION("""COMPUTED_VALUE"""),476154840004)</f>
        <v>476154840004</v>
      </c>
      <c r="F1107" s="1" t="str">
        <f>IFERROR(__xludf.DUMMYFUNCTION("""COMPUTED_VALUE"""),"CLOSED")</f>
        <v>CLOSED</v>
      </c>
      <c r="G1107" s="1" t="str">
        <f>IFERROR(__xludf.DUMMYFUNCTION("""COMPUTED_VALUE"""),"CLOSED")</f>
        <v>CLOSED</v>
      </c>
      <c r="H1107" s="1" t="str">
        <f>IFERROR(__xludf.DUMMYFUNCTION("""COMPUTED_VALUE"""),"PAID VIA GCASH REF 392337493 OCT 19")</f>
        <v>PAID VIA GCASH REF 392337493 OCT 19</v>
      </c>
      <c r="I1107" s="1" t="str">
        <f>IFERROR(__xludf.DUMMYFUNCTION("""COMPUTED_VALUE"""),"WITH 1 AMSF")</f>
        <v>WITH 1 AMSF</v>
      </c>
      <c r="J1107" s="1"/>
      <c r="K1107" s="1" t="str">
        <f>IFERROR(__xludf.DUMMYFUNCTION("""COMPUTED_VALUE"""),"SUSPENDED")</f>
        <v>SUSPENDED</v>
      </c>
      <c r="L1107" s="1" t="str">
        <f>IFERROR(__xludf.DUMMYFUNCTION("""COMPUTED_VALUE"""),"POSTED")</f>
        <v>POSTED</v>
      </c>
      <c r="M1107" s="1" t="str">
        <f>IFERROR(__xludf.DUMMYFUNCTION("""COMPUTED_VALUE"""),"POSTED")</f>
        <v>POSTED</v>
      </c>
      <c r="N1107" s="3">
        <f>IFERROR(__xludf.DUMMYFUNCTION("""COMPUTED_VALUE"""),46315)</f>
        <v>46315</v>
      </c>
      <c r="O1107" s="1" t="str">
        <f>IFERROR(__xludf.DUMMYFUNCTION("""COMPUTED_VALUE"""),"FIBER UNLI PLAN 1399")</f>
        <v>FIBER UNLI PLAN 1399</v>
      </c>
      <c r="P1107" s="1" t="str">
        <f>IFERROR(__xludf.DUMMYFUNCTION("""COMPUTED_VALUE"""),"LOWPLAN")</f>
        <v>LOWPLAN</v>
      </c>
      <c r="Q1107" s="1" t="str">
        <f>IFERROR(__xludf.DUMMYFUNCTION("""COMPUTED_VALUE"""),"P407047")</f>
        <v>P407047</v>
      </c>
      <c r="R1107" s="1" t="str">
        <f>IFERROR(__xludf.DUMMYFUNCTION("""COMPUTED_VALUE"""),"FRANCISCO, ROSELYN")</f>
        <v>FRANCISCO, ROSELYN</v>
      </c>
      <c r="S1107" s="1" t="str">
        <f>IFERROR(__xludf.DUMMYFUNCTION("""COMPUTED_VALUE"""),"ORGANIC")</f>
        <v>ORGANIC</v>
      </c>
      <c r="T1107" s="1" t="str">
        <f>IFERROR(__xludf.DUMMYFUNCTION("""COMPUTED_VALUE"""),"LEA REMOLLO")</f>
        <v>LEA REMOLLO</v>
      </c>
      <c r="U1107" s="1" t="str">
        <f>IFERROR(__xludf.DUMMYFUNCTION("""COMPUTED_VALUE"""),"JULIE ESPIRITU")</f>
        <v>JULIE ESPIRITU</v>
      </c>
      <c r="V1107" s="1" t="str">
        <f>IFERROR(__xludf.DUMMYFUNCTION("""COMPUTED_VALUE"""),"BK REGULAR")</f>
        <v>BK REGULAR</v>
      </c>
      <c r="W1107" s="1" t="str">
        <f>IFERROR(__xludf.DUMMYFUNCTION("""COMPUTED_VALUE"""),"STK REGULAR")</f>
        <v>STK REGULAR</v>
      </c>
      <c r="X1107" s="1" t="str">
        <f>IFERROR(__xludf.DUMMYFUNCTION("""COMPUTED_VALUE"""),"FIBER 1399 98TH YR")</f>
        <v>FIBER 1399 98TH YR</v>
      </c>
      <c r="Y1107" s="1" t="str">
        <f>IFERROR(__xludf.DUMMYFUNCTION("""COMPUTED_VALUE"""),"BK_CVEU_261006")</f>
        <v>BK_CVEU_261006</v>
      </c>
      <c r="Z1107" s="1" t="str">
        <f>IFERROR(__xludf.DUMMYFUNCTION("""COMPUTED_VALUE"""),"NEW CONNECT")</f>
        <v>NEW CONNECT</v>
      </c>
      <c r="AA1107" s="1">
        <f>IFERROR(__xludf.DUMMYFUNCTION("""COMPUTED_VALUE"""),639451051070)</f>
        <v>639451051070</v>
      </c>
      <c r="AB1107" s="1">
        <f>IFERROR(__xludf.DUMMYFUNCTION("""COMPUTED_VALUE"""),639505688581)</f>
        <v>639505688581</v>
      </c>
      <c r="AC1107" s="1">
        <f>IFERROR(__xludf.DUMMYFUNCTION("""COMPUTED_VALUE"""),174)</f>
        <v>174</v>
      </c>
      <c r="AD1107" s="1" t="str">
        <f>IFERROR(__xludf.DUMMYFUNCTION("""COMPUTED_VALUE"""),"PUROK 2")</f>
        <v>PUROK 2</v>
      </c>
      <c r="AE1107" s="1"/>
      <c r="AF1107" s="1" t="str">
        <f>IFERROR(__xludf.DUMMYFUNCTION("""COMPUTED_VALUE"""),"BGY ADLAS")</f>
        <v>BGY ADLAS</v>
      </c>
      <c r="AG1107" s="1" t="str">
        <f>IFERROR(__xludf.DUMMYFUNCTION("""COMPUTED_VALUE"""),"SILANG")</f>
        <v>SILANG</v>
      </c>
      <c r="AH1107" s="1" t="str">
        <f>IFERROR(__xludf.DUMMYFUNCTION("""COMPUTED_VALUE"""),"TAPAT NG BILYARAN / OLD BRGY")</f>
        <v>TAPAT NG BILYARAN / OLD BRGY</v>
      </c>
      <c r="AI1107" s="1" t="str">
        <f>IFERROR(__xludf.DUMMYFUNCTION("""COMPUTED_VALUE"""),"CLUSTER 11")</f>
        <v>CLUSTER 11</v>
      </c>
    </row>
    <row r="1108" customHeight="1" spans="1:35">
      <c r="A1108" s="3">
        <f>IFERROR(__xludf.DUMMYFUNCTION("""COMPUTED_VALUE"""),46312)</f>
        <v>46312</v>
      </c>
      <c r="B1108" s="1" t="str">
        <f>IFERROR(__xludf.DUMMYFUNCTION("""COMPUTED_VALUE"""),"EDWIN DOMINAIS DOYOLA")</f>
        <v>EDWIN DOMINAIS DOYOLA</v>
      </c>
      <c r="C1108" s="1">
        <f>IFERROR(__xludf.DUMMYFUNCTION("""COMPUTED_VALUE"""),2313218177)</f>
        <v>2313218177</v>
      </c>
      <c r="D1108" s="1">
        <f>IFERROR(__xludf.DUMMYFUNCTION("""COMPUTED_VALUE"""),409078591)</f>
        <v>409078591</v>
      </c>
      <c r="E1108" s="1">
        <f>IFERROR(__xludf.DUMMYFUNCTION("""COMPUTED_VALUE"""),475966042004)</f>
        <v>475966042004</v>
      </c>
      <c r="F1108" s="1" t="str">
        <f>IFERROR(__xludf.DUMMYFUNCTION("""COMPUTED_VALUE"""),"FOR PAYMENT")</f>
        <v>FOR PAYMENT</v>
      </c>
      <c r="G1108" s="1" t="str">
        <f>IFERROR(__xludf.DUMMYFUNCTION("""COMPUTED_VALUE"""),"FOR PAYMENT")</f>
        <v>FOR PAYMENT</v>
      </c>
      <c r="H1108" s="1" t="str">
        <f>IFERROR(__xludf.DUMMYFUNCTION("""COMPUTED_VALUE"""),"FOR CALLBACK NG 1PM/ HINDI MUNA DAW SYA MAGBABAYAD HANGGANG WALANG NAKIKITANG NAGKAKABIT")</f>
        <v>FOR CALLBACK NG 1PM/ HINDI MUNA DAW SYA MAGBABAYAD HANGGANG WALANG NAKIKITANG NAGKAKABIT</v>
      </c>
      <c r="I1108" s="1"/>
      <c r="J1108" s="1"/>
      <c r="K1108" s="1" t="str">
        <f>IFERROR(__xludf.DUMMYFUNCTION("""COMPUTED_VALUE"""),"NOT IN OFSC")</f>
        <v>NOT IN OFSC</v>
      </c>
      <c r="L1108" s="1" t="str">
        <f>IFERROR(__xludf.DUMMYFUNCTION("""COMPUTED_VALUE"""),"FOR PAYMENT")</f>
        <v>FOR PAYMENT</v>
      </c>
      <c r="M1108" s="1" t="str">
        <f>IFERROR(__xludf.DUMMYFUNCTION("""COMPUTED_VALUE"""),"FOR PAYMENT - FOR CALL OUT")</f>
        <v>FOR PAYMENT - FOR CALL OUT</v>
      </c>
      <c r="N1108" s="3"/>
      <c r="O1108" s="1" t="str">
        <f>IFERROR(__xludf.DUMMYFUNCTION("""COMPUTED_VALUE"""),"FIBER UNLI PLAN 1399")</f>
        <v>FIBER UNLI PLAN 1399</v>
      </c>
      <c r="P1108" s="1" t="str">
        <f>IFERROR(__xludf.DUMMYFUNCTION("""COMPUTED_VALUE"""),"LOWPLAN")</f>
        <v>LOWPLAN</v>
      </c>
      <c r="Q1108" s="1" t="str">
        <f>IFERROR(__xludf.DUMMYFUNCTION("""COMPUTED_VALUE"""),"P407047")</f>
        <v>P407047</v>
      </c>
      <c r="R1108" s="1" t="str">
        <f>IFERROR(__xludf.DUMMYFUNCTION("""COMPUTED_VALUE"""),"FRANCISCO, ROSELYN")</f>
        <v>FRANCISCO, ROSELYN</v>
      </c>
      <c r="S1108" s="1" t="str">
        <f>IFERROR(__xludf.DUMMYFUNCTION("""COMPUTED_VALUE"""),"ORGANIC")</f>
        <v>ORGANIC</v>
      </c>
      <c r="T1108" s="1" t="str">
        <f>IFERROR(__xludf.DUMMYFUNCTION("""COMPUTED_VALUE"""),"LEA REMOLLO")</f>
        <v>LEA REMOLLO</v>
      </c>
      <c r="U1108" s="1" t="str">
        <f>IFERROR(__xludf.DUMMYFUNCTION("""COMPUTED_VALUE"""),"JULIE ESPIRITU")</f>
        <v>JULIE ESPIRITU</v>
      </c>
      <c r="V1108" s="1" t="str">
        <f>IFERROR(__xludf.DUMMYFUNCTION("""COMPUTED_VALUE"""),"BK REGULAR")</f>
        <v>BK REGULAR</v>
      </c>
      <c r="W1108" s="1" t="str">
        <f>IFERROR(__xludf.DUMMYFUNCTION("""COMPUTED_VALUE"""),"STK REGULAR")</f>
        <v>STK REGULAR</v>
      </c>
      <c r="X1108" s="1" t="str">
        <f>IFERROR(__xludf.DUMMYFUNCTION("""COMPUTED_VALUE"""),"FIBER 1399 98TH YR")</f>
        <v>FIBER 1399 98TH YR</v>
      </c>
      <c r="Y1108" s="1" t="str">
        <f>IFERROR(__xludf.DUMMYFUNCTION("""COMPUTED_VALUE"""),"BK_CVEU_261006")</f>
        <v>BK_CVEU_261006</v>
      </c>
      <c r="Z1108" s="1" t="str">
        <f>IFERROR(__xludf.DUMMYFUNCTION("""COMPUTED_VALUE"""),"NEW CONNECT")</f>
        <v>NEW CONNECT</v>
      </c>
      <c r="AA1108" s="1">
        <f>IFERROR(__xludf.DUMMYFUNCTION("""COMPUTED_VALUE"""),639308790172)</f>
        <v>639308790172</v>
      </c>
      <c r="AB1108" s="1"/>
      <c r="AC1108" s="1">
        <f>IFERROR(__xludf.DUMMYFUNCTION("""COMPUTED_VALUE"""),143)</f>
        <v>143</v>
      </c>
      <c r="AD1108" s="1" t="str">
        <f>IFERROR(__xludf.DUMMYFUNCTION("""COMPUTED_VALUE"""),"ADLAS")</f>
        <v>ADLAS</v>
      </c>
      <c r="AE1108" s="1"/>
      <c r="AF1108" s="1" t="str">
        <f>IFERROR(__xludf.DUMMYFUNCTION("""COMPUTED_VALUE"""),"BGY ADLAS")</f>
        <v>BGY ADLAS</v>
      </c>
      <c r="AG1108" s="1" t="str">
        <f>IFERROR(__xludf.DUMMYFUNCTION("""COMPUTED_VALUE"""),"SILANG")</f>
        <v>SILANG</v>
      </c>
      <c r="AH1108" s="1" t="str">
        <f>IFERROR(__xludf.DUMMYFUNCTION("""COMPUTED_VALUE"""),"MANGO HOUSE")</f>
        <v>MANGO HOUSE</v>
      </c>
      <c r="AI1108" s="1" t="str">
        <f>IFERROR(__xludf.DUMMYFUNCTION("""COMPUTED_VALUE"""),"CLUSTER 11")</f>
        <v>CLUSTER 11</v>
      </c>
    </row>
    <row r="1109" customHeight="1" spans="1:35">
      <c r="A1109" s="3">
        <f>IFERROR(__xludf.DUMMYFUNCTION("""COMPUTED_VALUE"""),46312)</f>
        <v>46312</v>
      </c>
      <c r="B1109" s="1" t="str">
        <f>IFERROR(__xludf.DUMMYFUNCTION("""COMPUTED_VALUE"""),"GABRIEL VARONA MOQUIA")</f>
        <v>GABRIEL VARONA MOQUIA</v>
      </c>
      <c r="C1109" s="1">
        <f>IFERROR(__xludf.DUMMYFUNCTION("""COMPUTED_VALUE"""),2313218628)</f>
        <v>2313218628</v>
      </c>
      <c r="D1109" s="1"/>
      <c r="E1109" s="1"/>
      <c r="F1109" s="1" t="str">
        <f>IFERROR(__xludf.DUMMYFUNCTION("""COMPUTED_VALUE"""),"CANCELLED")</f>
        <v>CANCELLED</v>
      </c>
      <c r="G1109" s="1" t="str">
        <f>IFERROR(__xludf.DUMMYFUNCTION("""COMPUTED_VALUE"""),"CANCELLED")</f>
        <v>CANCELLED</v>
      </c>
      <c r="H1109" s="1"/>
      <c r="I1109" s="1"/>
      <c r="J1109" s="1"/>
      <c r="K1109" s="1"/>
      <c r="L1109" s="1" t="str">
        <f>IFERROR(__xludf.DUMMYFUNCTION("""COMPUTED_VALUE"""),"CANCELLED")</f>
        <v>CANCELLED</v>
      </c>
      <c r="M1109" s="1" t="str">
        <f>IFERROR(__xludf.DUMMYFUNCTION("""COMPUTED_VALUE"""),"CANCELLED - WITH OB")</f>
        <v>CANCELLED - WITH OB</v>
      </c>
      <c r="N1109" s="3"/>
      <c r="O1109" s="1" t="str">
        <f>IFERROR(__xludf.DUMMYFUNCTION("""COMPUTED_VALUE"""),"FIBR PLAN 1299")</f>
        <v>FIBR PLAN 1299</v>
      </c>
      <c r="P1109" s="1" t="str">
        <f>IFERROR(__xludf.DUMMYFUNCTION("""COMPUTED_VALUE"""),"LOWPLAN")</f>
        <v>LOWPLAN</v>
      </c>
      <c r="Q1109" s="1" t="str">
        <f>IFERROR(__xludf.DUMMYFUNCTION("""COMPUTED_VALUE"""),"P408058 ")</f>
        <v>P408058 </v>
      </c>
      <c r="R1109" s="1" t="str">
        <f>IFERROR(__xludf.DUMMYFUNCTION("""COMPUTED_VALUE"""),"BONZA, LEE VINCENT")</f>
        <v>BONZA, LEE VINCENT</v>
      </c>
      <c r="S1109" s="1" t="str">
        <f>IFERROR(__xludf.DUMMYFUNCTION("""COMPUTED_VALUE"""),"ORGANIC")</f>
        <v>ORGANIC</v>
      </c>
      <c r="T1109" s="1" t="str">
        <f>IFERROR(__xludf.DUMMYFUNCTION("""COMPUTED_VALUE"""),"GARCIA MICHAEL JETTS")</f>
        <v>GARCIA MICHAEL JETTS</v>
      </c>
      <c r="U1109" s="1" t="str">
        <f>IFERROR(__xludf.DUMMYFUNCTION("""COMPUTED_VALUE"""),"MARK MALIWAT")</f>
        <v>MARK MALIWAT</v>
      </c>
      <c r="V1109" s="1" t="str">
        <f>IFERROR(__xludf.DUMMYFUNCTION("""COMPUTED_VALUE"""),"BK HSTK")</f>
        <v>BK HSTK</v>
      </c>
      <c r="W1109" s="1" t="str">
        <f>IFERROR(__xludf.DUMMYFUNCTION("""COMPUTED_VALUE"""),"STK REGULAR")</f>
        <v>STK REGULAR</v>
      </c>
      <c r="X1109" s="1" t="str">
        <f>IFERROR(__xludf.DUMMYFUNCTION("""COMPUTED_VALUE"""),"REGULAR")</f>
        <v>REGULAR</v>
      </c>
      <c r="Y1109" s="1" t="str">
        <f>IFERROR(__xludf.DUMMYFUNCTION("""COMPUTED_VALUE"""),"BK_CVEU_261005")</f>
        <v>BK_CVEU_261005</v>
      </c>
      <c r="Z1109" s="1" t="str">
        <f>IFERROR(__xludf.DUMMYFUNCTION("""COMPUTED_VALUE"""),"NEW CONNECT")</f>
        <v>NEW CONNECT</v>
      </c>
      <c r="AA1109" s="1">
        <f>IFERROR(__xludf.DUMMYFUNCTION("""COMPUTED_VALUE"""),639703930075)</f>
        <v>639703930075</v>
      </c>
      <c r="AB1109" s="1"/>
      <c r="AC1109" s="1"/>
      <c r="AD1109" s="1" t="str">
        <f>IFERROR(__xludf.DUMMYFUNCTION("""COMPUTED_VALUE"""),"DACON")</f>
        <v>DACON</v>
      </c>
      <c r="AE1109" s="1"/>
      <c r="AF1109" s="1" t="str">
        <f>IFERROR(__xludf.DUMMYFUNCTION("""COMPUTED_VALUE"""),"BGY MACARIO DACON")</f>
        <v>BGY MACARIO DACON</v>
      </c>
      <c r="AG1109" s="1" t="str">
        <f>IFERROR(__xludf.DUMMYFUNCTION("""COMPUTED_VALUE"""),"GEN MARIANO ALVAREZ")</f>
        <v>GEN MARIANO ALVAREZ</v>
      </c>
      <c r="AH1109" s="1"/>
      <c r="AI1109" s="1" t="str">
        <f>IFERROR(__xludf.DUMMYFUNCTION("""COMPUTED_VALUE"""),"CLUSTER 11")</f>
        <v>CLUSTER 11</v>
      </c>
    </row>
    <row r="1110" customHeight="1" spans="1:35">
      <c r="A1110" s="3">
        <f>IFERROR(__xludf.DUMMYFUNCTION("""COMPUTED_VALUE"""),46312)</f>
        <v>46312</v>
      </c>
      <c r="B1110" s="1" t="str">
        <f>IFERROR(__xludf.DUMMYFUNCTION("""COMPUTED_VALUE"""),"TERESA CELZO PELIAS")</f>
        <v>TERESA CELZO PELIAS</v>
      </c>
      <c r="C1110" s="1">
        <f>IFERROR(__xludf.DUMMYFUNCTION("""COMPUTED_VALUE"""),2313218633)</f>
        <v>2313218633</v>
      </c>
      <c r="D1110" s="1"/>
      <c r="E1110" s="1"/>
      <c r="F1110" s="1" t="str">
        <f>IFERROR(__xludf.DUMMYFUNCTION("""COMPUTED_VALUE"""),"CANCELLED")</f>
        <v>CANCELLED</v>
      </c>
      <c r="G1110" s="1" t="str">
        <f>IFERROR(__xludf.DUMMYFUNCTION("""COMPUTED_VALUE"""),"CANCELLED")</f>
        <v>CANCELLED</v>
      </c>
      <c r="H1110" s="1"/>
      <c r="I1110" s="1"/>
      <c r="J1110" s="1"/>
      <c r="K1110" s="1"/>
      <c r="L1110" s="1" t="str">
        <f>IFERROR(__xludf.DUMMYFUNCTION("""COMPUTED_VALUE"""),"CANCELLED")</f>
        <v>CANCELLED</v>
      </c>
      <c r="M1110" s="1" t="str">
        <f>IFERROR(__xludf.DUMMYFUNCTION("""COMPUTED_VALUE"""),"CANCELLED - WITH OB")</f>
        <v>CANCELLED - WITH OB</v>
      </c>
      <c r="N1110" s="3"/>
      <c r="O1110" s="1" t="str">
        <f>IFERROR(__xludf.DUMMYFUNCTION("""COMPUTED_VALUE"""),"FIBR PLAN 1299")</f>
        <v>FIBR PLAN 1299</v>
      </c>
      <c r="P1110" s="1" t="str">
        <f>IFERROR(__xludf.DUMMYFUNCTION("""COMPUTED_VALUE"""),"LOWPLAN")</f>
        <v>LOWPLAN</v>
      </c>
      <c r="Q1110" s="1" t="str">
        <f>IFERROR(__xludf.DUMMYFUNCTION("""COMPUTED_VALUE"""),"P407046 ")</f>
        <v>P407046 </v>
      </c>
      <c r="R1110" s="1" t="str">
        <f>IFERROR(__xludf.DUMMYFUNCTION("""COMPUTED_VALUE"""),"MATUDAN, LEBRON JAMES")</f>
        <v>MATUDAN, LEBRON JAMES</v>
      </c>
      <c r="S1110" s="1" t="str">
        <f>IFERROR(__xludf.DUMMYFUNCTION("""COMPUTED_VALUE"""),"ORGANIC")</f>
        <v>ORGANIC</v>
      </c>
      <c r="T1110" s="1" t="str">
        <f>IFERROR(__xludf.DUMMYFUNCTION("""COMPUTED_VALUE"""),"LEA REMOLLO")</f>
        <v>LEA REMOLLO</v>
      </c>
      <c r="U1110" s="1" t="str">
        <f>IFERROR(__xludf.DUMMYFUNCTION("""COMPUTED_VALUE"""),"JULIE ESPIRITU")</f>
        <v>JULIE ESPIRITU</v>
      </c>
      <c r="V1110" s="1" t="str">
        <f>IFERROR(__xludf.DUMMYFUNCTION("""COMPUTED_VALUE"""),"BK HSTK")</f>
        <v>BK HSTK</v>
      </c>
      <c r="W1110" s="1" t="str">
        <f>IFERROR(__xludf.DUMMYFUNCTION("""COMPUTED_VALUE"""),"BK HSTK")</f>
        <v>BK HSTK</v>
      </c>
      <c r="X1110" s="1" t="str">
        <f>IFERROR(__xludf.DUMMYFUNCTION("""COMPUTED_VALUE"""),"REGULAR")</f>
        <v>REGULAR</v>
      </c>
      <c r="Y1110" s="1" t="str">
        <f>IFERROR(__xludf.DUMMYFUNCTION("""COMPUTED_VALUE"""),"BK_CVEU_261006")</f>
        <v>BK_CVEU_261006</v>
      </c>
      <c r="Z1110" s="1" t="str">
        <f>IFERROR(__xludf.DUMMYFUNCTION("""COMPUTED_VALUE"""),"NEW CONNECT")</f>
        <v>NEW CONNECT</v>
      </c>
      <c r="AA1110" s="1">
        <f>IFERROR(__xludf.DUMMYFUNCTION("""COMPUTED_VALUE"""),639052452338)</f>
        <v>639052452338</v>
      </c>
      <c r="AB1110" s="1"/>
      <c r="AC1110" s="1"/>
      <c r="AD1110" s="1" t="str">
        <f>IFERROR(__xludf.DUMMYFUNCTION("""COMPUTED_VALUE"""),"ANAHAW 2")</f>
        <v>ANAHAW 2</v>
      </c>
      <c r="AE1110" s="1"/>
      <c r="AF1110" s="1" t="str">
        <f>IFERROR(__xludf.DUMMYFUNCTION("""COMPUTED_VALUE"""),"BGY ANAHAW 2")</f>
        <v>BGY ANAHAW 2</v>
      </c>
      <c r="AG1110" s="1" t="str">
        <f>IFERROR(__xludf.DUMMYFUNCTION("""COMPUTED_VALUE"""),"SILANG")</f>
        <v>SILANG</v>
      </c>
      <c r="AH1110" s="1" t="str">
        <f>IFERROR(__xludf.DUMMYFUNCTION("""COMPUTED_VALUE"""),"COVERED COURT")</f>
        <v>COVERED COURT</v>
      </c>
      <c r="AI1110" s="1" t="str">
        <f>IFERROR(__xludf.DUMMYFUNCTION("""COMPUTED_VALUE"""),"CLUSTER 11")</f>
        <v>CLUSTER 11</v>
      </c>
    </row>
    <row r="1111" customHeight="1" spans="1:35">
      <c r="A1111" s="3">
        <f>IFERROR(__xludf.DUMMYFUNCTION("""COMPUTED_VALUE"""),46312)</f>
        <v>46312</v>
      </c>
      <c r="B1111" s="1" t="str">
        <f>IFERROR(__xludf.DUMMYFUNCTION("""COMPUTED_VALUE"""),"MERLIN TIMAN GUGULIN")</f>
        <v>MERLIN TIMAN GUGULIN</v>
      </c>
      <c r="C1111" s="1">
        <f>IFERROR(__xludf.DUMMYFUNCTION("""COMPUTED_VALUE"""),2313218746)</f>
        <v>2313218746</v>
      </c>
      <c r="D1111" s="1"/>
      <c r="E1111" s="1"/>
      <c r="F1111" s="1" t="str">
        <f>IFERROR(__xludf.DUMMYFUNCTION("""COMPUTED_VALUE"""),"CANCELLED")</f>
        <v>CANCELLED</v>
      </c>
      <c r="G1111" s="1" t="str">
        <f>IFERROR(__xludf.DUMMYFUNCTION("""COMPUTED_VALUE"""),"CANCELLED")</f>
        <v>CANCELLED</v>
      </c>
      <c r="H1111" s="1"/>
      <c r="I1111" s="1"/>
      <c r="J1111" s="1"/>
      <c r="K1111" s="1"/>
      <c r="L1111" s="1" t="str">
        <f>IFERROR(__xludf.DUMMYFUNCTION("""COMPUTED_VALUE"""),"CANCELLED")</f>
        <v>CANCELLED</v>
      </c>
      <c r="M1111" s="1" t="str">
        <f>IFERROR(__xludf.DUMMYFUNCTION("""COMPUTED_VALUE"""),"CANCELLED - WITH OB")</f>
        <v>CANCELLED - WITH OB</v>
      </c>
      <c r="N1111" s="3"/>
      <c r="O1111" s="1" t="str">
        <f>IFERROR(__xludf.DUMMYFUNCTION("""COMPUTED_VALUE"""),"FIBR PLAN 1299")</f>
        <v>FIBR PLAN 1299</v>
      </c>
      <c r="P1111" s="1" t="str">
        <f>IFERROR(__xludf.DUMMYFUNCTION("""COMPUTED_VALUE"""),"LOWPLAN")</f>
        <v>LOWPLAN</v>
      </c>
      <c r="Q1111" s="1" t="str">
        <f>IFERROR(__xludf.DUMMYFUNCTION("""COMPUTED_VALUE"""),"P407046")</f>
        <v>P407046</v>
      </c>
      <c r="R1111" s="1" t="str">
        <f>IFERROR(__xludf.DUMMYFUNCTION("""COMPUTED_VALUE"""),"YOLANGCO, MARVIN")</f>
        <v>YOLANGCO, MARVIN</v>
      </c>
      <c r="S1111" s="1" t="str">
        <f>IFERROR(__xludf.DUMMYFUNCTION("""COMPUTED_VALUE"""),"ORGANIC")</f>
        <v>ORGANIC</v>
      </c>
      <c r="T1111" s="1" t="str">
        <f>IFERROR(__xludf.DUMMYFUNCTION("""COMPUTED_VALUE"""),"LEA REMOLLO")</f>
        <v>LEA REMOLLO</v>
      </c>
      <c r="U1111" s="1" t="str">
        <f>IFERROR(__xludf.DUMMYFUNCTION("""COMPUTED_VALUE"""),"JULIE ESPIRITU")</f>
        <v>JULIE ESPIRITU</v>
      </c>
      <c r="V1111" s="1" t="str">
        <f>IFERROR(__xludf.DUMMYFUNCTION("""COMPUTED_VALUE"""),"BK HSTK")</f>
        <v>BK HSTK</v>
      </c>
      <c r="W1111" s="1" t="str">
        <f>IFERROR(__xludf.DUMMYFUNCTION("""COMPUTED_VALUE"""),"BK HSTK")</f>
        <v>BK HSTK</v>
      </c>
      <c r="X1111" s="1" t="str">
        <f>IFERROR(__xludf.DUMMYFUNCTION("""COMPUTED_VALUE"""),"REGULAR")</f>
        <v>REGULAR</v>
      </c>
      <c r="Y1111" s="1" t="str">
        <f>IFERROR(__xludf.DUMMYFUNCTION("""COMPUTED_VALUE"""),"BK_CVEU_261006")</f>
        <v>BK_CVEU_261006</v>
      </c>
      <c r="Z1111" s="1" t="str">
        <f>IFERROR(__xludf.DUMMYFUNCTION("""COMPUTED_VALUE"""),"NEW CONNECT")</f>
        <v>NEW CONNECT</v>
      </c>
      <c r="AA1111" s="1">
        <f>IFERROR(__xludf.DUMMYFUNCTION("""COMPUTED_VALUE"""),639649933174)</f>
        <v>639649933174</v>
      </c>
      <c r="AB1111" s="1">
        <f>IFERROR(__xludf.DUMMYFUNCTION("""COMPUTED_VALUE"""),639205568615)</f>
        <v>639205568615</v>
      </c>
      <c r="AC1111" s="1"/>
      <c r="AD1111" s="1" t="str">
        <f>IFERROR(__xludf.DUMMYFUNCTION("""COMPUTED_VALUE"""),"ANAHAW 2")</f>
        <v>ANAHAW 2</v>
      </c>
      <c r="AE1111" s="1"/>
      <c r="AF1111" s="1" t="str">
        <f>IFERROR(__xludf.DUMMYFUNCTION("""COMPUTED_VALUE"""),"BGY ANAHAW 2")</f>
        <v>BGY ANAHAW 2</v>
      </c>
      <c r="AG1111" s="1" t="str">
        <f>IFERROR(__xludf.DUMMYFUNCTION("""COMPUTED_VALUE"""),"SILANG")</f>
        <v>SILANG</v>
      </c>
      <c r="AH1111" s="1" t="str">
        <f>IFERROR(__xludf.DUMMYFUNCTION("""COMPUTED_VALUE"""),"COVERED COURT")</f>
        <v>COVERED COURT</v>
      </c>
      <c r="AI1111" s="1" t="str">
        <f>IFERROR(__xludf.DUMMYFUNCTION("""COMPUTED_VALUE"""),"CLUSTER 11")</f>
        <v>CLUSTER 11</v>
      </c>
    </row>
    <row r="1112" customHeight="1" spans="1:35">
      <c r="A1112" s="3">
        <f>IFERROR(__xludf.DUMMYFUNCTION("""COMPUTED_VALUE"""),46312)</f>
        <v>46312</v>
      </c>
      <c r="B1112" s="1" t="str">
        <f>IFERROR(__xludf.DUMMYFUNCTION("""COMPUTED_VALUE"""),"DANIELLA HOLANDA BANARES")</f>
        <v>DANIELLA HOLANDA BANARES</v>
      </c>
      <c r="C1112" s="1">
        <f>IFERROR(__xludf.DUMMYFUNCTION("""COMPUTED_VALUE"""),2313218855)</f>
        <v>2313218855</v>
      </c>
      <c r="D1112" s="1"/>
      <c r="E1112" s="1"/>
      <c r="F1112" s="1" t="str">
        <f>IFERROR(__xludf.DUMMYFUNCTION("""COMPUTED_VALUE"""),"CANCELLED")</f>
        <v>CANCELLED</v>
      </c>
      <c r="G1112" s="1" t="str">
        <f>IFERROR(__xludf.DUMMYFUNCTION("""COMPUTED_VALUE"""),"CANCELLED")</f>
        <v>CANCELLED</v>
      </c>
      <c r="H1112" s="1"/>
      <c r="I1112" s="1"/>
      <c r="J1112" s="1"/>
      <c r="K1112" s="1"/>
      <c r="L1112" s="1" t="str">
        <f>IFERROR(__xludf.DUMMYFUNCTION("""COMPUTED_VALUE"""),"CANCELLED")</f>
        <v>CANCELLED</v>
      </c>
      <c r="M1112" s="1" t="str">
        <f>IFERROR(__xludf.DUMMYFUNCTION("""COMPUTED_VALUE"""),"CANCELLED - WITH OB")</f>
        <v>CANCELLED - WITH OB</v>
      </c>
      <c r="N1112" s="3"/>
      <c r="O1112" s="1" t="str">
        <f>IFERROR(__xludf.DUMMYFUNCTION("""COMPUTED_VALUE"""),"FIBR PLAN 1299")</f>
        <v>FIBR PLAN 1299</v>
      </c>
      <c r="P1112" s="1" t="str">
        <f>IFERROR(__xludf.DUMMYFUNCTION("""COMPUTED_VALUE"""),"LOWPLAN")</f>
        <v>LOWPLAN</v>
      </c>
      <c r="Q1112" s="1" t="str">
        <f>IFERROR(__xludf.DUMMYFUNCTION("""COMPUTED_VALUE"""),"P408058 ")</f>
        <v>P408058 </v>
      </c>
      <c r="R1112" s="1" t="str">
        <f>IFERROR(__xludf.DUMMYFUNCTION("""COMPUTED_VALUE"""),"BONZA, LEE VINCENT")</f>
        <v>BONZA, LEE VINCENT</v>
      </c>
      <c r="S1112" s="1" t="str">
        <f>IFERROR(__xludf.DUMMYFUNCTION("""COMPUTED_VALUE"""),"ORGANIC")</f>
        <v>ORGANIC</v>
      </c>
      <c r="T1112" s="1" t="str">
        <f>IFERROR(__xludf.DUMMYFUNCTION("""COMPUTED_VALUE"""),"JERIC NAVARRO")</f>
        <v>JERIC NAVARRO</v>
      </c>
      <c r="U1112" s="1" t="str">
        <f>IFERROR(__xludf.DUMMYFUNCTION("""COMPUTED_VALUE"""),"MARK MALIWAT")</f>
        <v>MARK MALIWAT</v>
      </c>
      <c r="V1112" s="1" t="str">
        <f>IFERROR(__xludf.DUMMYFUNCTION("""COMPUTED_VALUE"""),"BK HSTK")</f>
        <v>BK HSTK</v>
      </c>
      <c r="W1112" s="1" t="str">
        <f>IFERROR(__xludf.DUMMYFUNCTION("""COMPUTED_VALUE"""),"BK HSTK")</f>
        <v>BK HSTK</v>
      </c>
      <c r="X1112" s="1" t="str">
        <f>IFERROR(__xludf.DUMMYFUNCTION("""COMPUTED_VALUE"""),"REGULAR")</f>
        <v>REGULAR</v>
      </c>
      <c r="Y1112" s="1" t="str">
        <f>IFERROR(__xludf.DUMMYFUNCTION("""COMPUTED_VALUE"""),"BK_CVEU_261005")</f>
        <v>BK_CVEU_261005</v>
      </c>
      <c r="Z1112" s="1" t="str">
        <f>IFERROR(__xludf.DUMMYFUNCTION("""COMPUTED_VALUE"""),"NEW CONNECT")</f>
        <v>NEW CONNECT</v>
      </c>
      <c r="AA1112" s="1">
        <f>IFERROR(__xludf.DUMMYFUNCTION("""COMPUTED_VALUE"""),639603048896)</f>
        <v>639603048896</v>
      </c>
      <c r="AB1112" s="1">
        <f>IFERROR(__xludf.DUMMYFUNCTION("""COMPUTED_VALUE"""),639922617047)</f>
        <v>639922617047</v>
      </c>
      <c r="AC1112" s="1"/>
      <c r="AD1112" s="1" t="str">
        <f>IFERROR(__xludf.DUMMYFUNCTION("""COMPUTED_VALUE"""),"CITIHOMES")</f>
        <v>CITIHOMES</v>
      </c>
      <c r="AE1112" s="1" t="str">
        <f>IFERROR(__xludf.DUMMYFUNCTION("""COMPUTED_VALUE"""),"CITIHOMES RESORTVILLE 5")</f>
        <v>CITIHOMES RESORTVILLE 5</v>
      </c>
      <c r="AF1112" s="1" t="str">
        <f>IFERROR(__xludf.DUMMYFUNCTION("""COMPUTED_VALUE"""),"BGY LANGKAAN 2")</f>
        <v>BGY LANGKAAN 2</v>
      </c>
      <c r="AG1112" s="1" t="str">
        <f>IFERROR(__xludf.DUMMYFUNCTION("""COMPUTED_VALUE"""),"DASMARINAS")</f>
        <v>DASMARINAS</v>
      </c>
      <c r="AH1112" s="1"/>
      <c r="AI1112" s="1" t="str">
        <f>IFERROR(__xludf.DUMMYFUNCTION("""COMPUTED_VALUE"""),"NOT AOR")</f>
        <v>NOT AOR</v>
      </c>
    </row>
    <row r="1113" customHeight="1" spans="1:35">
      <c r="A1113" s="3">
        <f>IFERROR(__xludf.DUMMYFUNCTION("""COMPUTED_VALUE"""),46313)</f>
        <v>46313</v>
      </c>
      <c r="B1113" s="1" t="str">
        <f>IFERROR(__xludf.DUMMYFUNCTION("""COMPUTED_VALUE"""),"DAVE LESTER PATRICIO DINCO")</f>
        <v>DAVE LESTER PATRICIO DINCO</v>
      </c>
      <c r="C1113" s="1">
        <f>IFERROR(__xludf.DUMMYFUNCTION("""COMPUTED_VALUE"""),2313226924)</f>
        <v>2313226924</v>
      </c>
      <c r="D1113" s="1">
        <f>IFERROR(__xludf.DUMMYFUNCTION("""COMPUTED_VALUE"""),409089070)</f>
        <v>409089070</v>
      </c>
      <c r="E1113" s="1">
        <f>IFERROR(__xludf.DUMMYFUNCTION("""COMPUTED_VALUE"""),476092856004)</f>
        <v>476092856004</v>
      </c>
      <c r="F1113" s="1" t="str">
        <f>IFERROR(__xludf.DUMMYFUNCTION("""COMPUTED_VALUE"""),"CLOSED")</f>
        <v>CLOSED</v>
      </c>
      <c r="G1113" s="1" t="str">
        <f>IFERROR(__xludf.DUMMYFUNCTION("""COMPUTED_VALUE"""),"CLOSED")</f>
        <v>CLOSED</v>
      </c>
      <c r="H1113" s="1" t="str">
        <f>IFERROR(__xludf.DUMMYFUNCTION("""COMPUTED_VALUE"""),"PAID VIA GCASH OCT 18")</f>
        <v>PAID VIA GCASH OCT 18</v>
      </c>
      <c r="I1113" s="1" t="str">
        <f>IFERROR(__xludf.DUMMYFUNCTION("""COMPUTED_VALUE"""),"WITH 1 AMSF")</f>
        <v>WITH 1 AMSF</v>
      </c>
      <c r="J1113" s="1"/>
      <c r="K1113" s="1" t="str">
        <f>IFERROR(__xludf.DUMMYFUNCTION("""COMPUTED_VALUE"""),"NOT DONE")</f>
        <v>NOT DONE</v>
      </c>
      <c r="L1113" s="1" t="str">
        <f>IFERROR(__xludf.DUMMYFUNCTION("""COMPUTED_VALUE"""),"POSTED")</f>
        <v>POSTED</v>
      </c>
      <c r="M1113" s="1" t="str">
        <f>IFERROR(__xludf.DUMMYFUNCTION("""COMPUTED_VALUE"""),"POSTED")</f>
        <v>POSTED</v>
      </c>
      <c r="N1113" s="3">
        <f>IFERROR(__xludf.DUMMYFUNCTION("""COMPUTED_VALUE"""),46317)</f>
        <v>46317</v>
      </c>
      <c r="O1113" s="1" t="str">
        <f>IFERROR(__xludf.DUMMYFUNCTION("""COMPUTED_VALUE"""),"FIBER UNLI PLAN 1399")</f>
        <v>FIBER UNLI PLAN 1399</v>
      </c>
      <c r="P1113" s="1" t="str">
        <f>IFERROR(__xludf.DUMMYFUNCTION("""COMPUTED_VALUE"""),"LOWPLAN")</f>
        <v>LOWPLAN</v>
      </c>
      <c r="Q1113" s="1" t="str">
        <f>IFERROR(__xludf.DUMMYFUNCTION("""COMPUTED_VALUE"""),"P408049")</f>
        <v>P408049</v>
      </c>
      <c r="R1113" s="1" t="str">
        <f>IFERROR(__xludf.DUMMYFUNCTION("""COMPUTED_VALUE"""),"CORNELIO, CATHERINE")</f>
        <v>CORNELIO, CATHERINE</v>
      </c>
      <c r="S1113" s="1" t="str">
        <f>IFERROR(__xludf.DUMMYFUNCTION("""COMPUTED_VALUE"""),"ORGANIC")</f>
        <v>ORGANIC</v>
      </c>
      <c r="T1113" s="1" t="str">
        <f>IFERROR(__xludf.DUMMYFUNCTION("""COMPUTED_VALUE"""),"LEA REMOLLO")</f>
        <v>LEA REMOLLO</v>
      </c>
      <c r="U1113" s="1" t="str">
        <f>IFERROR(__xludf.DUMMYFUNCTION("""COMPUTED_VALUE"""),"JB SALIOA")</f>
        <v>JB SALIOA</v>
      </c>
      <c r="V1113" s="1" t="str">
        <f>IFERROR(__xludf.DUMMYFUNCTION("""COMPUTED_VALUE"""),"BK HSTK")</f>
        <v>BK HSTK</v>
      </c>
      <c r="W1113" s="1" t="str">
        <f>IFERROR(__xludf.DUMMYFUNCTION("""COMPUTED_VALUE"""),"BK HSTK")</f>
        <v>BK HSTK</v>
      </c>
      <c r="X1113" s="1" t="str">
        <f>IFERROR(__xludf.DUMMYFUNCTION("""COMPUTED_VALUE"""),"FIBER 1399 98TH YR")</f>
        <v>FIBER 1399 98TH YR</v>
      </c>
      <c r="Y1113" s="1" t="str">
        <f>IFERROR(__xludf.DUMMYFUNCTION("""COMPUTED_VALUE"""),"BK_CVEU_261006")</f>
        <v>BK_CVEU_261006</v>
      </c>
      <c r="Z1113" s="1" t="str">
        <f>IFERROR(__xludf.DUMMYFUNCTION("""COMPUTED_VALUE"""),"NEW CONNECT")</f>
        <v>NEW CONNECT</v>
      </c>
      <c r="AA1113" s="1">
        <f>IFERROR(__xludf.DUMMYFUNCTION("""COMPUTED_VALUE"""),639686814578)</f>
        <v>639686814578</v>
      </c>
      <c r="AB1113" s="1">
        <f>IFERROR(__xludf.DUMMYFUNCTION("""COMPUTED_VALUE"""),639685814578)</f>
        <v>639685814578</v>
      </c>
      <c r="AC1113" s="1"/>
      <c r="AD1113" s="1" t="str">
        <f>IFERROR(__xludf.DUMMYFUNCTION("""COMPUTED_VALUE"""),"AMBID")</f>
        <v>AMBID</v>
      </c>
      <c r="AE1113" s="1"/>
      <c r="AF1113" s="1" t="str">
        <f>IFERROR(__xludf.DUMMYFUNCTION("""COMPUTED_VALUE"""),"BGY BILUSO")</f>
        <v>BGY BILUSO</v>
      </c>
      <c r="AG1113" s="1" t="str">
        <f>IFERROR(__xludf.DUMMYFUNCTION("""COMPUTED_VALUE"""),"SILANG")</f>
        <v>SILANG</v>
      </c>
      <c r="AH1113" s="1" t="str">
        <f>IFERROR(__xludf.DUMMYFUNCTION("""COMPUTED_VALUE"""),"CROWN AESTHETIC DENTAL CLINIC")</f>
        <v>CROWN AESTHETIC DENTAL CLINIC</v>
      </c>
      <c r="AI1113" s="1" t="str">
        <f>IFERROR(__xludf.DUMMYFUNCTION("""COMPUTED_VALUE"""),"CLUSTER 11")</f>
        <v>CLUSTER 11</v>
      </c>
    </row>
    <row r="1114" customHeight="1" spans="1:35">
      <c r="A1114" s="3">
        <f>IFERROR(__xludf.DUMMYFUNCTION("""COMPUTED_VALUE"""),46313)</f>
        <v>46313</v>
      </c>
      <c r="B1114" s="1" t="str">
        <f>IFERROR(__xludf.DUMMYFUNCTION("""COMPUTED_VALUE"""),"JULLIAN DIESTA BLANCHA")</f>
        <v>JULLIAN DIESTA BLANCHA</v>
      </c>
      <c r="C1114" s="1">
        <f>IFERROR(__xludf.DUMMYFUNCTION("""COMPUTED_VALUE"""),2313228018)</f>
        <v>2313228018</v>
      </c>
      <c r="D1114" s="1">
        <f>IFERROR(__xludf.DUMMYFUNCTION("""COMPUTED_VALUE"""),409090680)</f>
        <v>409090680</v>
      </c>
      <c r="E1114" s="1">
        <f>IFERROR(__xludf.DUMMYFUNCTION("""COMPUTED_VALUE"""),476101390004)</f>
        <v>476101390004</v>
      </c>
      <c r="F1114" s="1" t="str">
        <f>IFERROR(__xludf.DUMMYFUNCTION("""COMPUTED_VALUE"""),"CANCELLED")</f>
        <v>CANCELLED</v>
      </c>
      <c r="G1114" s="1" t="str">
        <f>IFERROR(__xludf.DUMMYFUNCTION("""COMPUTED_VALUE"""),"VISITED   REMARKS   FULL NAP CMNLP179NP5 FULL CMNLP179NP6 FULL CMNLP179NP2 FULL CMNLP179NP3 FULL CMNLP179NP4 FULL CMNLP202NP2 FULL SUBS ALREADY ADVICE    TALK JULLIAN DIESTA BLANCHA 09150997057")</f>
        <v>VISITED   REMARKS   FULL NAP CMNLP179NP5 FULL CMNLP179NP6 FULL CMNLP179NP2 FULL CMNLP179NP3 FULL CMNLP179NP4 FULL CMNLP202NP2 FULL SUBS ALREADY ADVICE    TALK JULLIAN DIESTA BLANCHA 09150997057</v>
      </c>
      <c r="H1114" s="1" t="str">
        <f>IFERROR(__xludf.DUMMYFUNCTION("""COMPUTED_VALUE"""),"PAID VIA CASH REF 594764223 OCT 19")</f>
        <v>PAID VIA CASH REF 594764223 OCT 19</v>
      </c>
      <c r="I1114" s="1" t="str">
        <f>IFERROR(__xludf.DUMMYFUNCTION("""COMPUTED_VALUE"""),"WITH 1 AMSF")</f>
        <v>WITH 1 AMSF</v>
      </c>
      <c r="J1114" s="1"/>
      <c r="K1114" s="1" t="str">
        <f>IFERROR(__xludf.DUMMYFUNCTION("""COMPUTED_VALUE"""),"CANCELLED")</f>
        <v>CANCELLED</v>
      </c>
      <c r="L1114" s="1" t="str">
        <f>IFERROR(__xludf.DUMMYFUNCTION("""COMPUTED_VALUE"""),"RPR - NAP FULL")</f>
        <v>RPR - NAP FULL</v>
      </c>
      <c r="M1114" s="1" t="str">
        <f>IFERROR(__xludf.DUMMYFUNCTION("""COMPUTED_VALUE"""),"RPR- NAP FULL")</f>
        <v>RPR- NAP FULL</v>
      </c>
      <c r="N1114" s="3"/>
      <c r="O1114" s="1" t="str">
        <f>IFERROR(__xludf.DUMMYFUNCTION("""COMPUTED_VALUE"""),"FIBER UNLI PLAN 1399")</f>
        <v>FIBER UNLI PLAN 1399</v>
      </c>
      <c r="P1114" s="1" t="str">
        <f>IFERROR(__xludf.DUMMYFUNCTION("""COMPUTED_VALUE"""),"LOWPLAN")</f>
        <v>LOWPLAN</v>
      </c>
      <c r="Q1114" s="1" t="str">
        <f>IFERROR(__xludf.DUMMYFUNCTION("""COMPUTED_VALUE"""),"P408054")</f>
        <v>P408054</v>
      </c>
      <c r="R1114" s="1" t="str">
        <f>IFERROR(__xludf.DUMMYFUNCTION("""COMPUTED_VALUE"""),"DACLAN, IVY")</f>
        <v>DACLAN, IVY</v>
      </c>
      <c r="S1114" s="1" t="str">
        <f>IFERROR(__xludf.DUMMYFUNCTION("""COMPUTED_VALUE"""),"ORGANIC")</f>
        <v>ORGANIC</v>
      </c>
      <c r="T1114" s="1" t="str">
        <f>IFERROR(__xludf.DUMMYFUNCTION("""COMPUTED_VALUE"""),"LEA REMOLLO")</f>
        <v>LEA REMOLLO</v>
      </c>
      <c r="U1114" s="1" t="str">
        <f>IFERROR(__xludf.DUMMYFUNCTION("""COMPUTED_VALUE"""),"JB SALIOA")</f>
        <v>JB SALIOA</v>
      </c>
      <c r="V1114" s="1" t="str">
        <f>IFERROR(__xludf.DUMMYFUNCTION("""COMPUTED_VALUE"""),"BK HSTK")</f>
        <v>BK HSTK</v>
      </c>
      <c r="W1114" s="1" t="str">
        <f>IFERROR(__xludf.DUMMYFUNCTION("""COMPUTED_VALUE"""),"BK HSTK")</f>
        <v>BK HSTK</v>
      </c>
      <c r="X1114" s="1" t="str">
        <f>IFERROR(__xludf.DUMMYFUNCTION("""COMPUTED_VALUE"""),"FIBER 1399 98TH YR")</f>
        <v>FIBER 1399 98TH YR</v>
      </c>
      <c r="Y1114" s="1" t="str">
        <f>IFERROR(__xludf.DUMMYFUNCTION("""COMPUTED_VALUE"""),"BK_CVEU_261003")</f>
        <v>BK_CVEU_261003</v>
      </c>
      <c r="Z1114" s="1" t="str">
        <f>IFERROR(__xludf.DUMMYFUNCTION("""COMPUTED_VALUE"""),"NEW CONNECT")</f>
        <v>NEW CONNECT</v>
      </c>
      <c r="AA1114" s="1">
        <f>IFERROR(__xludf.DUMMYFUNCTION("""COMPUTED_VALUE"""),639150997057)</f>
        <v>639150997057</v>
      </c>
      <c r="AB1114" s="1"/>
      <c r="AC1114" s="1">
        <f>IFERROR(__xludf.DUMMYFUNCTION("""COMPUTED_VALUE"""),12133)</f>
        <v>12133</v>
      </c>
      <c r="AD1114" s="1" t="str">
        <f>IFERROR(__xludf.DUMMYFUNCTION("""COMPUTED_VALUE"""),"REAL")</f>
        <v>REAL</v>
      </c>
      <c r="AE1114" s="1" t="str">
        <f>IFERROR(__xludf.DUMMYFUNCTION("""COMPUTED_VALUE"""),"UNIT 8")</f>
        <v>UNIT 8</v>
      </c>
      <c r="AF1114" s="1" t="str">
        <f>IFERROR(__xludf.DUMMYFUNCTION("""COMPUTED_VALUE"""),"BGY MILAGROSA")</f>
        <v>BGY MILAGROSA</v>
      </c>
      <c r="AG1114" s="1" t="str">
        <f>IFERROR(__xludf.DUMMYFUNCTION("""COMPUTED_VALUE"""),"CARMONA")</f>
        <v>CARMONA</v>
      </c>
      <c r="AH1114" s="1" t="str">
        <f>IFERROR(__xludf.DUMMYFUNCTION("""COMPUTED_VALUE"""),"JEEP TERMINAL")</f>
        <v>JEEP TERMINAL</v>
      </c>
      <c r="AI1114" s="1" t="str">
        <f>IFERROR(__xludf.DUMMYFUNCTION("""COMPUTED_VALUE"""),"CLUSTER 11")</f>
        <v>CLUSTER 11</v>
      </c>
    </row>
    <row r="1115" customHeight="1" spans="1:35">
      <c r="A1115" s="3">
        <f>IFERROR(__xludf.DUMMYFUNCTION("""COMPUTED_VALUE"""),46313)</f>
        <v>46313</v>
      </c>
      <c r="B1115" s="1" t="str">
        <f>IFERROR(__xludf.DUMMYFUNCTION("""COMPUTED_VALUE"""),"CHARIE ANN ALBANO PAZ")</f>
        <v>CHARIE ANN ALBANO PAZ</v>
      </c>
      <c r="C1115" s="1">
        <f>IFERROR(__xludf.DUMMYFUNCTION("""COMPUTED_VALUE"""),2313228994)</f>
        <v>2313228994</v>
      </c>
      <c r="D1115" s="1"/>
      <c r="E1115" s="1"/>
      <c r="F1115" s="1" t="str">
        <f>IFERROR(__xludf.DUMMYFUNCTION("""COMPUTED_VALUE"""),"FOR COMPLIANCE VERIFICATION CVA A")</f>
        <v>FOR COMPLIANCE VERIFICATION CVA A</v>
      </c>
      <c r="G1115" s="1" t="str">
        <f>IFERROR(__xludf.DUMMYFUNCTION("""COMPUTED_VALUE"""),"CANNOT CHANGE PAYMENT REQUIRED IN CSP DUE TO SYSTEM ERROR. FOR-ENCODING BY SALES ONCE SR IS CANCELLED |RTS|UNCONTACTED SUBS | FOUND PENDING SAF (0408979021) SAME NAME DIFF ADDRESS | FOUND CANCELLED ACCT (0258103564/0408978920) SAME NAME DIFF ADDRESS |CALL"&amp;" THRU: 09985818572 /09088644426/09171781816 06:13 PM UNCONTACTED | VALIDATED COMPLETE DOCS | CORRECT ENCODED INFO IN CSP | CLEARED FROM BLACKLISTED HIT|NO EXISTING ACTIVE ACCT APPLICATION | TU SCORING - HH - 15 (HIGH RISK) | 1 AMSF REQUIRED | OTHER FINDIN"&amp;"GS – FOUND DUPLICATE CBR UNDER ACCT (0409018432)")</f>
        <v>CANNOT CHANGE PAYMENT REQUIRED IN CSP DUE TO SYSTEM ERROR. FOR-ENCODING BY SALES ONCE SR IS CANCELLED |RTS|UNCONTACTED SUBS | FOUND PENDING SAF (0408979021) SAME NAME DIFF ADDRESS | FOUND CANCELLED ACCT (0258103564/0408978920) SAME NAME DIFF ADDRESS |CALL THRU: 09985818572 /09088644426/09171781816 06:13 PM UNCONTACTED | VALIDATED COMPLETE DOCS | CORRECT ENCODED INFO IN CSP | CLEARED FROM BLACKLISTED HIT|NO EXISTING ACTIVE ACCT APPLICATION | TU SCORING - HH - 15 (HIGH RISK) | 1 AMSF REQUIRED | OTHER FINDINGS – FOUND DUPLICATE CBR UNDER ACCT (0409018432)</v>
      </c>
      <c r="H1115" s="1"/>
      <c r="I1115" s="1"/>
      <c r="J1115" s="1"/>
      <c r="K1115" s="1"/>
      <c r="L1115" s="1" t="str">
        <f>IFERROR(__xludf.DUMMYFUNCTION("""COMPUTED_VALUE"""),"RTS")</f>
        <v>RTS</v>
      </c>
      <c r="M1115" s="1" t="str">
        <f>IFERROR(__xludf.DUMMYFUNCTION("""COMPUTED_VALUE"""),"RTS - UNCONTACTABLE")</f>
        <v>RTS - UNCONTACTABLE</v>
      </c>
      <c r="N1115" s="3"/>
      <c r="O1115" s="1" t="str">
        <f>IFERROR(__xludf.DUMMYFUNCTION("""COMPUTED_VALUE"""),"FIBER UNLI ALL PLAN 1499")</f>
        <v>FIBER UNLI ALL PLAN 1499</v>
      </c>
      <c r="P1115" s="1" t="str">
        <f>IFERROR(__xludf.DUMMYFUNCTION("""COMPUTED_VALUE"""),"LOWPLAN")</f>
        <v>LOWPLAN</v>
      </c>
      <c r="Q1115" s="1" t="str">
        <f>IFERROR(__xludf.DUMMYFUNCTION("""COMPUTED_VALUE"""),"P407564")</f>
        <v>P407564</v>
      </c>
      <c r="R1115" s="1" t="str">
        <f>IFERROR(__xludf.DUMMYFUNCTION("""COMPUTED_VALUE"""),"ARENA, LYKA")</f>
        <v>ARENA, LYKA</v>
      </c>
      <c r="S1115" s="1" t="str">
        <f>IFERROR(__xludf.DUMMYFUNCTION("""COMPUTED_VALUE"""),"ORGANIC")</f>
        <v>ORGANIC</v>
      </c>
      <c r="T1115" s="1" t="str">
        <f>IFERROR(__xludf.DUMMYFUNCTION("""COMPUTED_VALUE"""),"LEA REMOLLO")</f>
        <v>LEA REMOLLO</v>
      </c>
      <c r="U1115" s="1" t="str">
        <f>IFERROR(__xludf.DUMMYFUNCTION("""COMPUTED_VALUE"""),"JB SALIOA")</f>
        <v>JB SALIOA</v>
      </c>
      <c r="V1115" s="1" t="str">
        <f>IFERROR(__xludf.DUMMYFUNCTION("""COMPUTED_VALUE"""),"BK REGULAR")</f>
        <v>BK REGULAR</v>
      </c>
      <c r="W1115" s="1" t="str">
        <f>IFERROR(__xludf.DUMMYFUNCTION("""COMPUTED_VALUE"""),"STK REGULAR")</f>
        <v>STK REGULAR</v>
      </c>
      <c r="X1115" s="1" t="str">
        <f>IFERROR(__xludf.DUMMYFUNCTION("""COMPUTED_VALUE"""),"REGULAR")</f>
        <v>REGULAR</v>
      </c>
      <c r="Y1115" s="1" t="str">
        <f>IFERROR(__xludf.DUMMYFUNCTION("""COMPUTED_VALUE"""),"BK_CVEU_261006")</f>
        <v>BK_CVEU_261006</v>
      </c>
      <c r="Z1115" s="1" t="str">
        <f>IFERROR(__xludf.DUMMYFUNCTION("""COMPUTED_VALUE"""),"NEW CONNECT")</f>
        <v>NEW CONNECT</v>
      </c>
      <c r="AA1115" s="1">
        <f>IFERROR(__xludf.DUMMYFUNCTION("""COMPUTED_VALUE"""),639171781816)</f>
        <v>639171781816</v>
      </c>
      <c r="AB1115" s="1"/>
      <c r="AC1115" s="1"/>
      <c r="AD1115" s="1" t="str">
        <f>IFERROR(__xludf.DUMMYFUNCTION("""COMPUTED_VALUE"""),"BAYLA")</f>
        <v>BAYLA</v>
      </c>
      <c r="AE1115" s="1" t="str">
        <f>IFERROR(__xludf.DUMMYFUNCTION("""COMPUTED_VALUE"""),"PUROK 5")</f>
        <v>PUROK 5</v>
      </c>
      <c r="AF1115" s="1" t="str">
        <f>IFERROR(__xludf.DUMMYFUNCTION("""COMPUTED_VALUE"""),"BGY LUMIL")</f>
        <v>BGY LUMIL</v>
      </c>
      <c r="AG1115" s="1" t="str">
        <f>IFERROR(__xludf.DUMMYFUNCTION("""COMPUTED_VALUE"""),"SILANG")</f>
        <v>SILANG</v>
      </c>
      <c r="AH1115" s="1" t="str">
        <f>IFERROR(__xludf.DUMMYFUNCTION("""COMPUTED_VALUE"""),"CALTEX LUMIL")</f>
        <v>CALTEX LUMIL</v>
      </c>
      <c r="AI1115" s="1" t="str">
        <f>IFERROR(__xludf.DUMMYFUNCTION("""COMPUTED_VALUE"""),"CLUSTER 11")</f>
        <v>CLUSTER 11</v>
      </c>
    </row>
    <row r="1116" customHeight="1" spans="1:35">
      <c r="A1116" s="3">
        <f>IFERROR(__xludf.DUMMYFUNCTION("""COMPUTED_VALUE"""),46313)</f>
        <v>46313</v>
      </c>
      <c r="B1116" s="1" t="str">
        <f>IFERROR(__xludf.DUMMYFUNCTION("""COMPUTED_VALUE"""),"MARLON MANGLICMOT RODOLFO")</f>
        <v>MARLON MANGLICMOT RODOLFO</v>
      </c>
      <c r="C1116" s="1">
        <f>IFERROR(__xludf.DUMMYFUNCTION("""COMPUTED_VALUE"""),2313229556)</f>
        <v>2313229556</v>
      </c>
      <c r="D1116" s="1">
        <f>IFERROR(__xludf.DUMMYFUNCTION("""COMPUTED_VALUE"""),409110800)</f>
        <v>409110800</v>
      </c>
      <c r="E1116" s="1">
        <f>IFERROR(__xludf.DUMMYFUNCTION("""COMPUTED_VALUE"""),476166835004)</f>
        <v>476166835004</v>
      </c>
      <c r="F1116" s="1" t="str">
        <f>IFERROR(__xludf.DUMMYFUNCTION("""COMPUTED_VALUE"""),"FOR PAYMENT")</f>
        <v>FOR PAYMENT</v>
      </c>
      <c r="G1116" s="1" t="str">
        <f>IFERROR(__xludf.DUMMYFUNCTION("""COMPUTED_VALUE"""),"FOR PAYMENT")</f>
        <v>FOR PAYMENT</v>
      </c>
      <c r="H1116" s="1" t="str">
        <f>IFERROR(__xludf.DUMMYFUNCTION("""COMPUTED_VALUE"""),"UNATTENDED CBR")</f>
        <v>UNATTENDED CBR</v>
      </c>
      <c r="I1116" s="1"/>
      <c r="J1116" s="1"/>
      <c r="K1116" s="1" t="str">
        <f>IFERROR(__xludf.DUMMYFUNCTION("""COMPUTED_VALUE"""),"NOT IN OFSC")</f>
        <v>NOT IN OFSC</v>
      </c>
      <c r="L1116" s="1" t="str">
        <f>IFERROR(__xludf.DUMMYFUNCTION("""COMPUTED_VALUE"""),"FOR PAYMENT")</f>
        <v>FOR PAYMENT</v>
      </c>
      <c r="M1116" s="1" t="str">
        <f>IFERROR(__xludf.DUMMYFUNCTION("""COMPUTED_VALUE"""),"FOR PAYMENT - FOR CALL OUT")</f>
        <v>FOR PAYMENT - FOR CALL OUT</v>
      </c>
      <c r="N1116" s="3"/>
      <c r="O1116" s="1" t="str">
        <f>IFERROR(__xludf.DUMMYFUNCTION("""COMPUTED_VALUE"""),"FIBER UNLI PLAN 1399")</f>
        <v>FIBER UNLI PLAN 1399</v>
      </c>
      <c r="P1116" s="1" t="str">
        <f>IFERROR(__xludf.DUMMYFUNCTION("""COMPUTED_VALUE"""),"LOWPLAN")</f>
        <v>LOWPLAN</v>
      </c>
      <c r="Q1116" s="1" t="str">
        <f>IFERROR(__xludf.DUMMYFUNCTION("""COMPUTED_VALUE"""),"P408052")</f>
        <v>P408052</v>
      </c>
      <c r="R1116" s="1" t="str">
        <f>IFERROR(__xludf.DUMMYFUNCTION("""COMPUTED_VALUE"""),"LOTOJA, LOVELY JOICE")</f>
        <v>LOTOJA, LOVELY JOICE</v>
      </c>
      <c r="S1116" s="1" t="str">
        <f>IFERROR(__xludf.DUMMYFUNCTION("""COMPUTED_VALUE"""),"ORGANIC")</f>
        <v>ORGANIC</v>
      </c>
      <c r="T1116" s="1" t="str">
        <f>IFERROR(__xludf.DUMMYFUNCTION("""COMPUTED_VALUE"""),"LEA REMOLLO")</f>
        <v>LEA REMOLLO</v>
      </c>
      <c r="U1116" s="1" t="str">
        <f>IFERROR(__xludf.DUMMYFUNCTION("""COMPUTED_VALUE"""),"JB SALIOA")</f>
        <v>JB SALIOA</v>
      </c>
      <c r="V1116" s="1" t="str">
        <f>IFERROR(__xludf.DUMMYFUNCTION("""COMPUTED_VALUE"""),"BK REGULAR")</f>
        <v>BK REGULAR</v>
      </c>
      <c r="W1116" s="1" t="str">
        <f>IFERROR(__xludf.DUMMYFUNCTION("""COMPUTED_VALUE"""),"STK REGULAR")</f>
        <v>STK REGULAR</v>
      </c>
      <c r="X1116" s="1" t="str">
        <f>IFERROR(__xludf.DUMMYFUNCTION("""COMPUTED_VALUE"""),"FIBER 1399 98TH YR")</f>
        <v>FIBER 1399 98TH YR</v>
      </c>
      <c r="Y1116" s="1" t="str">
        <f>IFERROR(__xludf.DUMMYFUNCTION("""COMPUTED_VALUE"""),"BK_CVEU_261003")</f>
        <v>BK_CVEU_261003</v>
      </c>
      <c r="Z1116" s="1" t="str">
        <f>IFERROR(__xludf.DUMMYFUNCTION("""COMPUTED_VALUE"""),"NEW CONNECT")</f>
        <v>NEW CONNECT</v>
      </c>
      <c r="AA1116" s="1">
        <f>IFERROR(__xludf.DUMMYFUNCTION("""COMPUTED_VALUE"""),639914189487)</f>
        <v>639914189487</v>
      </c>
      <c r="AB1116" s="1">
        <f>IFERROR(__xludf.DUMMYFUNCTION("""COMPUTED_VALUE"""),639948017095)</f>
        <v>639948017095</v>
      </c>
      <c r="AC1116" s="1">
        <f>IFERROR(__xludf.DUMMYFUNCTION("""COMPUTED_VALUE"""),1221)</f>
        <v>1221</v>
      </c>
      <c r="AD1116" s="1" t="str">
        <f>IFERROR(__xludf.DUMMYFUNCTION("""COMPUTED_VALUE"""),"SAN PABLO")</f>
        <v>SAN PABLO</v>
      </c>
      <c r="AE1116" s="1"/>
      <c r="AF1116" s="1" t="str">
        <f>IFERROR(__xludf.DUMMYFUNCTION("""COMPUTED_VALUE"""),"BGY 1")</f>
        <v>BGY 1</v>
      </c>
      <c r="AG1116" s="1" t="str">
        <f>IFERROR(__xludf.DUMMYFUNCTION("""COMPUTED_VALUE"""),"CARMONA")</f>
        <v>CARMONA</v>
      </c>
      <c r="AH1116" s="1" t="str">
        <f>IFERROR(__xludf.DUMMYFUNCTION("""COMPUTED_VALUE"""),"NEAR BRGY HALL")</f>
        <v>NEAR BRGY HALL</v>
      </c>
      <c r="AI1116" s="1" t="str">
        <f>IFERROR(__xludf.DUMMYFUNCTION("""COMPUTED_VALUE"""),"CLUSTER 11")</f>
        <v>CLUSTER 11</v>
      </c>
    </row>
    <row r="1117" customHeight="1" spans="1:35">
      <c r="A1117" s="3">
        <f>IFERROR(__xludf.DUMMYFUNCTION("""COMPUTED_VALUE"""),46313)</f>
        <v>46313</v>
      </c>
      <c r="B1117" s="1" t="str">
        <f>IFERROR(__xludf.DUMMYFUNCTION("""COMPUTED_VALUE"""),"TOM CAPOQUIAN CAMPO")</f>
        <v>TOM CAPOQUIAN CAMPO</v>
      </c>
      <c r="C1117" s="1">
        <f>IFERROR(__xludf.DUMMYFUNCTION("""COMPUTED_VALUE"""),2313229824)</f>
        <v>2313229824</v>
      </c>
      <c r="D1117" s="1">
        <f>IFERROR(__xludf.DUMMYFUNCTION("""COMPUTED_VALUE"""),409093515)</f>
        <v>409093515</v>
      </c>
      <c r="E1117" s="1">
        <f>IFERROR(__xludf.DUMMYFUNCTION("""COMPUTED_VALUE"""),476107167004)</f>
        <v>476107167004</v>
      </c>
      <c r="F1117" s="1" t="str">
        <f>IFERROR(__xludf.DUMMYFUNCTION("""COMPUTED_VALUE"""),"CANCELED")</f>
        <v>CANCELED</v>
      </c>
      <c r="G1117" s="1" t="str">
        <f>IFERROR(__xludf.DUMMYFUNCTION("""COMPUTED_VALUE"""),"AFD FOR REDISPATCH OCT 25")</f>
        <v>AFD FOR REDISPATCH OCT 25</v>
      </c>
      <c r="H1117" s="1"/>
      <c r="I1117" s="1"/>
      <c r="J1117" s="1"/>
      <c r="K1117" s="1" t="str">
        <f>IFERROR(__xludf.DUMMYFUNCTION("""COMPUTED_VALUE"""),"CANCELED")</f>
        <v>CANCELED</v>
      </c>
      <c r="L1117" s="1" t="str">
        <f>IFERROR(__xludf.DUMMYFUNCTION("""COMPUTED_VALUE"""),"AFD - RESCHEDULE")</f>
        <v>AFD - RESCHEDULE</v>
      </c>
      <c r="M1117" s="1" t="str">
        <f>IFERROR(__xludf.DUMMYFUNCTION("""COMPUTED_VALUE"""),"AFD - RESCHEDULED")</f>
        <v>AFD - RESCHEDULED</v>
      </c>
      <c r="N1117" s="3"/>
      <c r="O1117" s="1" t="str">
        <f>IFERROR(__xludf.DUMMYFUNCTION("""COMPUTED_VALUE"""),"FIBER UNLI PLAN 1399")</f>
        <v>FIBER UNLI PLAN 1399</v>
      </c>
      <c r="P1117" s="1" t="str">
        <f>IFERROR(__xludf.DUMMYFUNCTION("""COMPUTED_VALUE"""),"LOWPLAN")</f>
        <v>LOWPLAN</v>
      </c>
      <c r="Q1117" s="1" t="str">
        <f>IFERROR(__xludf.DUMMYFUNCTION("""COMPUTED_VALUE"""),"P407049")</f>
        <v>P407049</v>
      </c>
      <c r="R1117" s="1" t="str">
        <f>IFERROR(__xludf.DUMMYFUNCTION("""COMPUTED_VALUE"""),"CADERAO, RONALD")</f>
        <v>CADERAO, RONALD</v>
      </c>
      <c r="S1117" s="1" t="str">
        <f>IFERROR(__xludf.DUMMYFUNCTION("""COMPUTED_VALUE"""),"ORGANIC")</f>
        <v>ORGANIC</v>
      </c>
      <c r="T1117" s="1" t="str">
        <f>IFERROR(__xludf.DUMMYFUNCTION("""COMPUTED_VALUE"""),"LEA REMOLLO")</f>
        <v>LEA REMOLLO</v>
      </c>
      <c r="U1117" s="1" t="str">
        <f>IFERROR(__xludf.DUMMYFUNCTION("""COMPUTED_VALUE"""),"JB SALIOA")</f>
        <v>JB SALIOA</v>
      </c>
      <c r="V1117" s="1" t="str">
        <f>IFERROR(__xludf.DUMMYFUNCTION("""COMPUTED_VALUE"""),"BK HSTK")</f>
        <v>BK HSTK</v>
      </c>
      <c r="W1117" s="1" t="str">
        <f>IFERROR(__xludf.DUMMYFUNCTION("""COMPUTED_VALUE"""),"BK HSTK")</f>
        <v>BK HSTK</v>
      </c>
      <c r="X1117" s="1" t="str">
        <f>IFERROR(__xludf.DUMMYFUNCTION("""COMPUTED_VALUE"""),"FIBER 1399 98TH YR")</f>
        <v>FIBER 1399 98TH YR</v>
      </c>
      <c r="Y1117" s="1" t="str">
        <f>IFERROR(__xludf.DUMMYFUNCTION("""COMPUTED_VALUE"""),"BK_CVEU_261001")</f>
        <v>BK_CVEU_261001</v>
      </c>
      <c r="Z1117" s="1" t="str">
        <f>IFERROR(__xludf.DUMMYFUNCTION("""COMPUTED_VALUE"""),"NEW CONNECT")</f>
        <v>NEW CONNECT</v>
      </c>
      <c r="AA1117" s="1">
        <f>IFERROR(__xludf.DUMMYFUNCTION("""COMPUTED_VALUE"""),639557305266)</f>
        <v>639557305266</v>
      </c>
      <c r="AB1117" s="1">
        <f>IFERROR(__xludf.DUMMYFUNCTION("""COMPUTED_VALUE"""),639369489321)</f>
        <v>639369489321</v>
      </c>
      <c r="AC1117" s="1">
        <f>IFERROR(__xludf.DUMMYFUNCTION("""COMPUTED_VALUE"""),127)</f>
        <v>127</v>
      </c>
      <c r="AD1117" s="1" t="str">
        <f>IFERROR(__xludf.DUMMYFUNCTION("""COMPUTED_VALUE"""),"PUROK 1")</f>
        <v>PUROK 1</v>
      </c>
      <c r="AE1117" s="1"/>
      <c r="AF1117" s="1" t="str">
        <f>IFERROR(__xludf.DUMMYFUNCTION("""COMPUTED_VALUE"""),"BGY AMUYONG")</f>
        <v>BGY AMUYONG</v>
      </c>
      <c r="AG1117" s="1" t="str">
        <f>IFERROR(__xludf.DUMMYFUNCTION("""COMPUTED_VALUE"""),"ALFONSO")</f>
        <v>ALFONSO</v>
      </c>
      <c r="AH1117" s="1" t="str">
        <f>IFERROR(__xludf.DUMMYFUNCTION("""COMPUTED_VALUE"""),"-")</f>
        <v>-</v>
      </c>
      <c r="AI1117" s="1" t="str">
        <f>IFERROR(__xludf.DUMMYFUNCTION("""COMPUTED_VALUE"""),"CLUSTER 12")</f>
        <v>CLUSTER 12</v>
      </c>
    </row>
    <row r="1118" customHeight="1" spans="1:35">
      <c r="A1118" s="3">
        <f>IFERROR(__xludf.DUMMYFUNCTION("""COMPUTED_VALUE"""),46313)</f>
        <v>46313</v>
      </c>
      <c r="B1118" s="1" t="str">
        <f>IFERROR(__xludf.DUMMYFUNCTION("""COMPUTED_VALUE"""),"GERON CUEVAS ARENAS")</f>
        <v>GERON CUEVAS ARENAS</v>
      </c>
      <c r="C1118" s="1">
        <f>IFERROR(__xludf.DUMMYFUNCTION("""COMPUTED_VALUE"""),2313230030)</f>
        <v>2313230030</v>
      </c>
      <c r="D1118" s="1">
        <f>IFERROR(__xludf.DUMMYFUNCTION("""COMPUTED_VALUE"""),409093841)</f>
        <v>409093841</v>
      </c>
      <c r="E1118" s="1">
        <f>IFERROR(__xludf.DUMMYFUNCTION("""COMPUTED_VALUE"""),476107090004)</f>
        <v>476107090004</v>
      </c>
      <c r="F1118" s="1" t="str">
        <f>IFERROR(__xludf.DUMMYFUNCTION("""COMPUTED_VALUE"""),"CLOSED")</f>
        <v>CLOSED</v>
      </c>
      <c r="G1118" s="1" t="str">
        <f>IFERROR(__xludf.DUMMYFUNCTION("""COMPUTED_VALUE"""),"CLOSED")</f>
        <v>CLOSED</v>
      </c>
      <c r="H1118" s="1"/>
      <c r="I1118" s="1" t="str">
        <f>IFERROR(__xludf.DUMMYFUNCTION("""COMPUTED_VALUE"""),"NO 1 AMSF")</f>
        <v>NO 1 AMSF</v>
      </c>
      <c r="J1118" s="1" t="str">
        <f>IFERROR(__xludf.DUMMYFUNCTION("""COMPUTED_VALUE"""),"NO PAYMENT")</f>
        <v>NO PAYMENT</v>
      </c>
      <c r="K1118" s="1" t="str">
        <f>IFERROR(__xludf.DUMMYFUNCTION("""COMPUTED_VALUE"""),"OPEN IN OFSC")</f>
        <v>OPEN IN OFSC</v>
      </c>
      <c r="L1118" s="1" t="str">
        <f>IFERROR(__xludf.DUMMYFUNCTION("""COMPUTED_VALUE"""),"POSTED")</f>
        <v>POSTED</v>
      </c>
      <c r="M1118" s="1" t="str">
        <f>IFERROR(__xludf.DUMMYFUNCTION("""COMPUTED_VALUE"""),"POSTED")</f>
        <v>POSTED</v>
      </c>
      <c r="N1118" s="3">
        <f>IFERROR(__xludf.DUMMYFUNCTION("""COMPUTED_VALUE"""),46315)</f>
        <v>46315</v>
      </c>
      <c r="O1118" s="1" t="str">
        <f>IFERROR(__xludf.DUMMYFUNCTION("""COMPUTED_VALUE"""),"FIBER UNLI PLAN 1399")</f>
        <v>FIBER UNLI PLAN 1399</v>
      </c>
      <c r="P1118" s="1" t="str">
        <f>IFERROR(__xludf.DUMMYFUNCTION("""COMPUTED_VALUE"""),"LOWPLAN")</f>
        <v>LOWPLAN</v>
      </c>
      <c r="Q1118" s="1" t="str">
        <f>IFERROR(__xludf.DUMMYFUNCTION("""COMPUTED_VALUE"""),"P407047")</f>
        <v>P407047</v>
      </c>
      <c r="R1118" s="1" t="str">
        <f>IFERROR(__xludf.DUMMYFUNCTION("""COMPUTED_VALUE"""),"FRANCISCO, ROSELYN")</f>
        <v>FRANCISCO, ROSELYN</v>
      </c>
      <c r="S1118" s="1" t="str">
        <f>IFERROR(__xludf.DUMMYFUNCTION("""COMPUTED_VALUE"""),"ORGANIC")</f>
        <v>ORGANIC</v>
      </c>
      <c r="T1118" s="1" t="str">
        <f>IFERROR(__xludf.DUMMYFUNCTION("""COMPUTED_VALUE"""),"LEA REMOLLO")</f>
        <v>LEA REMOLLO</v>
      </c>
      <c r="U1118" s="1" t="str">
        <f>IFERROR(__xludf.DUMMYFUNCTION("""COMPUTED_VALUE"""),"JB SALIOA")</f>
        <v>JB SALIOA</v>
      </c>
      <c r="V1118" s="1" t="str">
        <f>IFERROR(__xludf.DUMMYFUNCTION("""COMPUTED_VALUE"""),"BK REGULAR")</f>
        <v>BK REGULAR</v>
      </c>
      <c r="W1118" s="1" t="str">
        <f>IFERROR(__xludf.DUMMYFUNCTION("""COMPUTED_VALUE"""),"STK REGULAR")</f>
        <v>STK REGULAR</v>
      </c>
      <c r="X1118" s="1" t="str">
        <f>IFERROR(__xludf.DUMMYFUNCTION("""COMPUTED_VALUE"""),"FIBER 1399 98TH YR")</f>
        <v>FIBER 1399 98TH YR</v>
      </c>
      <c r="Y1118" s="1" t="str">
        <f>IFERROR(__xludf.DUMMYFUNCTION("""COMPUTED_VALUE"""),"BK_CVEU_261006")</f>
        <v>BK_CVEU_261006</v>
      </c>
      <c r="Z1118" s="1" t="str">
        <f>IFERROR(__xludf.DUMMYFUNCTION("""COMPUTED_VALUE"""),"NEW CONNECT")</f>
        <v>NEW CONNECT</v>
      </c>
      <c r="AA1118" s="1">
        <f>IFERROR(__xludf.DUMMYFUNCTION("""COMPUTED_VALUE"""),639770736566)</f>
        <v>639770736566</v>
      </c>
      <c r="AB1118" s="1"/>
      <c r="AC1118" s="1">
        <f>IFERROR(__xludf.DUMMYFUNCTION("""COMPUTED_VALUE"""),52)</f>
        <v>52</v>
      </c>
      <c r="AD1118" s="1" t="str">
        <f>IFERROR(__xludf.DUMMYFUNCTION("""COMPUTED_VALUE"""),"PUROK 5")</f>
        <v>PUROK 5</v>
      </c>
      <c r="AE1118" s="1"/>
      <c r="AF1118" s="1" t="str">
        <f>IFERROR(__xludf.DUMMYFUNCTION("""COMPUTED_VALUE"""),"BGY ULAT")</f>
        <v>BGY ULAT</v>
      </c>
      <c r="AG1118" s="1" t="str">
        <f>IFERROR(__xludf.DUMMYFUNCTION("""COMPUTED_VALUE"""),"SILANG")</f>
        <v>SILANG</v>
      </c>
      <c r="AH1118" s="1" t="str">
        <f>IFERROR(__xludf.DUMMYFUNCTION("""COMPUTED_VALUE"""),"BAKERY")</f>
        <v>BAKERY</v>
      </c>
      <c r="AI1118" s="1" t="str">
        <f>IFERROR(__xludf.DUMMYFUNCTION("""COMPUTED_VALUE"""),"CLUSTER 11")</f>
        <v>CLUSTER 11</v>
      </c>
    </row>
    <row r="1119" customHeight="1" spans="1:35">
      <c r="A1119" s="3">
        <f>IFERROR(__xludf.DUMMYFUNCTION("""COMPUTED_VALUE"""),46313)</f>
        <v>46313</v>
      </c>
      <c r="B1119" s="1" t="str">
        <f>IFERROR(__xludf.DUMMYFUNCTION("""COMPUTED_VALUE"""),"CARYL LAURO PONOSO")</f>
        <v>CARYL LAURO PONOSO</v>
      </c>
      <c r="C1119" s="1">
        <f>IFERROR(__xludf.DUMMYFUNCTION("""COMPUTED_VALUE"""),2313231136)</f>
        <v>2313231136</v>
      </c>
      <c r="D1119" s="1">
        <f>IFERROR(__xludf.DUMMYFUNCTION("""COMPUTED_VALUE"""),409096840)</f>
        <v>409096840</v>
      </c>
      <c r="E1119" s="1">
        <f>IFERROR(__xludf.DUMMYFUNCTION("""COMPUTED_VALUE"""),476110760004)</f>
        <v>476110760004</v>
      </c>
      <c r="F1119" s="1" t="str">
        <f>IFERROR(__xludf.DUMMYFUNCTION("""COMPUTED_VALUE"""),"CLOSED")</f>
        <v>CLOSED</v>
      </c>
      <c r="G1119" s="1" t="str">
        <f>IFERROR(__xludf.DUMMYFUNCTION("""COMPUTED_VALUE"""),"CLOSED")</f>
        <v>CLOSED</v>
      </c>
      <c r="H1119" s="1"/>
      <c r="I1119" s="1" t="str">
        <f>IFERROR(__xludf.DUMMYFUNCTION("""COMPUTED_VALUE"""),"NO 1 AMSF")</f>
        <v>NO 1 AMSF</v>
      </c>
      <c r="J1119" s="1" t="str">
        <f>IFERROR(__xludf.DUMMYFUNCTION("""COMPUTED_VALUE"""),"NO PAYMENT")</f>
        <v>NO PAYMENT</v>
      </c>
      <c r="K1119" s="1" t="str">
        <f>IFERROR(__xludf.DUMMYFUNCTION("""COMPUTED_VALUE"""),"COMPLETED")</f>
        <v>COMPLETED</v>
      </c>
      <c r="L1119" s="1" t="str">
        <f>IFERROR(__xludf.DUMMYFUNCTION("""COMPUTED_VALUE"""),"POSTED")</f>
        <v>POSTED</v>
      </c>
      <c r="M1119" s="1" t="str">
        <f>IFERROR(__xludf.DUMMYFUNCTION("""COMPUTED_VALUE"""),"POSTED")</f>
        <v>POSTED</v>
      </c>
      <c r="N1119" s="3">
        <f>IFERROR(__xludf.DUMMYFUNCTION("""COMPUTED_VALUE"""),46314)</f>
        <v>46314</v>
      </c>
      <c r="O1119" s="1" t="str">
        <f>IFERROR(__xludf.DUMMYFUNCTION("""COMPUTED_VALUE"""),"FIBER UNLI PLAN 1399")</f>
        <v>FIBER UNLI PLAN 1399</v>
      </c>
      <c r="P1119" s="1" t="str">
        <f>IFERROR(__xludf.DUMMYFUNCTION("""COMPUTED_VALUE"""),"LOWPLAN")</f>
        <v>LOWPLAN</v>
      </c>
      <c r="Q1119" s="1" t="str">
        <f>IFERROR(__xludf.DUMMYFUNCTION("""COMPUTED_VALUE"""),"P407049")</f>
        <v>P407049</v>
      </c>
      <c r="R1119" s="1" t="str">
        <f>IFERROR(__xludf.DUMMYFUNCTION("""COMPUTED_VALUE"""),"ALINGARO, CINDY")</f>
        <v>ALINGARO, CINDY</v>
      </c>
      <c r="S1119" s="1" t="str">
        <f>IFERROR(__xludf.DUMMYFUNCTION("""COMPUTED_VALUE"""),"ORGANIC")</f>
        <v>ORGANIC</v>
      </c>
      <c r="T1119" s="1" t="str">
        <f>IFERROR(__xludf.DUMMYFUNCTION("""COMPUTED_VALUE"""),"LEA REMOLLO")</f>
        <v>LEA REMOLLO</v>
      </c>
      <c r="U1119" s="1" t="str">
        <f>IFERROR(__xludf.DUMMYFUNCTION("""COMPUTED_VALUE"""),"JB SALIOA")</f>
        <v>JB SALIOA</v>
      </c>
      <c r="V1119" s="1" t="str">
        <f>IFERROR(__xludf.DUMMYFUNCTION("""COMPUTED_VALUE"""),"BK HSTK")</f>
        <v>BK HSTK</v>
      </c>
      <c r="W1119" s="1" t="str">
        <f>IFERROR(__xludf.DUMMYFUNCTION("""COMPUTED_VALUE"""),"BK HSTK")</f>
        <v>BK HSTK</v>
      </c>
      <c r="X1119" s="1" t="str">
        <f>IFERROR(__xludf.DUMMYFUNCTION("""COMPUTED_VALUE"""),"FIBER 1399 98TH YR")</f>
        <v>FIBER 1399 98TH YR</v>
      </c>
      <c r="Y1119" s="1" t="str">
        <f>IFERROR(__xludf.DUMMYFUNCTION("""COMPUTED_VALUE"""),"BK_CVEU_261001")</f>
        <v>BK_CVEU_261001</v>
      </c>
      <c r="Z1119" s="1" t="str">
        <f>IFERROR(__xludf.DUMMYFUNCTION("""COMPUTED_VALUE"""),"NEW CONNECT")</f>
        <v>NEW CONNECT</v>
      </c>
      <c r="AA1119" s="1">
        <f>IFERROR(__xludf.DUMMYFUNCTION("""COMPUTED_VALUE"""),639629077160)</f>
        <v>639629077160</v>
      </c>
      <c r="AB1119" s="1"/>
      <c r="AC1119" s="1">
        <f>IFERROR(__xludf.DUMMYFUNCTION("""COMPUTED_VALUE"""),73)</f>
        <v>73</v>
      </c>
      <c r="AD1119" s="1" t="str">
        <f>IFERROR(__xludf.DUMMYFUNCTION("""COMPUTED_VALUE"""),"PUROK 4")</f>
        <v>PUROK 4</v>
      </c>
      <c r="AE1119" s="1"/>
      <c r="AF1119" s="1" t="str">
        <f>IFERROR(__xludf.DUMMYFUNCTION("""COMPUTED_VALUE"""),"BGY AMUYONG")</f>
        <v>BGY AMUYONG</v>
      </c>
      <c r="AG1119" s="1" t="str">
        <f>IFERROR(__xludf.DUMMYFUNCTION("""COMPUTED_VALUE"""),"ALFONSO")</f>
        <v>ALFONSO</v>
      </c>
      <c r="AH1119" s="1" t="str">
        <f>IFERROR(__xludf.DUMMYFUNCTION("""COMPUTED_VALUE"""),"SCHOOL")</f>
        <v>SCHOOL</v>
      </c>
      <c r="AI1119" s="1" t="str">
        <f>IFERROR(__xludf.DUMMYFUNCTION("""COMPUTED_VALUE"""),"CLUSTER 12")</f>
        <v>CLUSTER 12</v>
      </c>
    </row>
    <row r="1120" customHeight="1" spans="1:35">
      <c r="A1120" s="3">
        <f>IFERROR(__xludf.DUMMYFUNCTION("""COMPUTED_VALUE"""),46313)</f>
        <v>46313</v>
      </c>
      <c r="B1120" s="1" t="str">
        <f>IFERROR(__xludf.DUMMYFUNCTION("""COMPUTED_VALUE"""),"NORMAN ABILAR ANDINO")</f>
        <v>NORMAN ABILAR ANDINO</v>
      </c>
      <c r="C1120" s="1">
        <f>IFERROR(__xludf.DUMMYFUNCTION("""COMPUTED_VALUE"""),2313231381)</f>
        <v>2313231381</v>
      </c>
      <c r="D1120" s="1">
        <f>IFERROR(__xludf.DUMMYFUNCTION("""COMPUTED_VALUE"""),409095895)</f>
        <v>409095895</v>
      </c>
      <c r="E1120" s="1">
        <f>IFERROR(__xludf.DUMMYFUNCTION("""COMPUTED_VALUE"""),476109349004)</f>
        <v>476109349004</v>
      </c>
      <c r="F1120" s="1" t="str">
        <f>IFERROR(__xludf.DUMMYFUNCTION("""COMPUTED_VALUE"""),"CLOSED")</f>
        <v>CLOSED</v>
      </c>
      <c r="G1120" s="1" t="str">
        <f>IFERROR(__xludf.DUMMYFUNCTION("""COMPUTED_VALUE"""),"CLOSED")</f>
        <v>CLOSED</v>
      </c>
      <c r="H1120" s="1"/>
      <c r="I1120" s="1" t="str">
        <f>IFERROR(__xludf.DUMMYFUNCTION("""COMPUTED_VALUE"""),"NO 1 AMSF")</f>
        <v>NO 1 AMSF</v>
      </c>
      <c r="J1120" s="1" t="str">
        <f>IFERROR(__xludf.DUMMYFUNCTION("""COMPUTED_VALUE"""),"NO PAYMENT")</f>
        <v>NO PAYMENT</v>
      </c>
      <c r="K1120" s="1" t="str">
        <f>IFERROR(__xludf.DUMMYFUNCTION("""COMPUTED_VALUE"""),"OPEN IN OFSC")</f>
        <v>OPEN IN OFSC</v>
      </c>
      <c r="L1120" s="1" t="str">
        <f>IFERROR(__xludf.DUMMYFUNCTION("""COMPUTED_VALUE"""),"POSTED")</f>
        <v>POSTED</v>
      </c>
      <c r="M1120" s="1" t="str">
        <f>IFERROR(__xludf.DUMMYFUNCTION("""COMPUTED_VALUE"""),"POSTED")</f>
        <v>POSTED</v>
      </c>
      <c r="N1120" s="3">
        <f>IFERROR(__xludf.DUMMYFUNCTION("""COMPUTED_VALUE"""),46315)</f>
        <v>46315</v>
      </c>
      <c r="O1120" s="1" t="str">
        <f>IFERROR(__xludf.DUMMYFUNCTION("""COMPUTED_VALUE"""),"FIBER UNLI PLAN 1399")</f>
        <v>FIBER UNLI PLAN 1399</v>
      </c>
      <c r="P1120" s="1" t="str">
        <f>IFERROR(__xludf.DUMMYFUNCTION("""COMPUTED_VALUE"""),"LOWPLAN")</f>
        <v>LOWPLAN</v>
      </c>
      <c r="Q1120" s="1" t="str">
        <f>IFERROR(__xludf.DUMMYFUNCTION("""COMPUTED_VALUE"""),"P407517")</f>
        <v>P407517</v>
      </c>
      <c r="R1120" s="1" t="str">
        <f>IFERROR(__xludf.DUMMYFUNCTION("""COMPUTED_VALUE"""),"GABAY, MANUEL")</f>
        <v>GABAY, MANUEL</v>
      </c>
      <c r="S1120" s="1" t="str">
        <f>IFERROR(__xludf.DUMMYFUNCTION("""COMPUTED_VALUE"""),"FLA")</f>
        <v>FLA</v>
      </c>
      <c r="T1120" s="1" t="str">
        <f>IFERROR(__xludf.DUMMYFUNCTION("""COMPUTED_VALUE"""),"JERIC NAVARRO")</f>
        <v>JERIC NAVARRO</v>
      </c>
      <c r="U1120" s="1" t="str">
        <f>IFERROR(__xludf.DUMMYFUNCTION("""COMPUTED_VALUE"""),"JB SALIOA")</f>
        <v>JB SALIOA</v>
      </c>
      <c r="V1120" s="1" t="str">
        <f>IFERROR(__xludf.DUMMYFUNCTION("""COMPUTED_VALUE"""),"BK HSTK")</f>
        <v>BK HSTK</v>
      </c>
      <c r="W1120" s="1" t="str">
        <f>IFERROR(__xludf.DUMMYFUNCTION("""COMPUTED_VALUE"""),"BK HSTK")</f>
        <v>BK HSTK</v>
      </c>
      <c r="X1120" s="1" t="str">
        <f>IFERROR(__xludf.DUMMYFUNCTION("""COMPUTED_VALUE"""),"FIBER 1399 98TH YR")</f>
        <v>FIBER 1399 98TH YR</v>
      </c>
      <c r="Y1120" s="1" t="str">
        <f>IFERROR(__xludf.DUMMYFUNCTION("""COMPUTED_VALUE"""),"BK_CVEU_261001")</f>
        <v>BK_CVEU_261001</v>
      </c>
      <c r="Z1120" s="1" t="str">
        <f>IFERROR(__xludf.DUMMYFUNCTION("""COMPUTED_VALUE"""),"NEW CONNECT")</f>
        <v>NEW CONNECT</v>
      </c>
      <c r="AA1120" s="1">
        <f>IFERROR(__xludf.DUMMYFUNCTION("""COMPUTED_VALUE"""),639676372864)</f>
        <v>639676372864</v>
      </c>
      <c r="AB1120" s="1">
        <f>IFERROR(__xludf.DUMMYFUNCTION("""COMPUTED_VALUE"""),639631429326)</f>
        <v>639631429326</v>
      </c>
      <c r="AC1120" s="1">
        <f>IFERROR(__xludf.DUMMYFUNCTION("""COMPUTED_VALUE"""),78)</f>
        <v>78</v>
      </c>
      <c r="AD1120" s="1" t="str">
        <f>IFERROR(__xludf.DUMMYFUNCTION("""COMPUTED_VALUE"""),"AMUYONG")</f>
        <v>AMUYONG</v>
      </c>
      <c r="AE1120" s="1"/>
      <c r="AF1120" s="1" t="str">
        <f>IFERROR(__xludf.DUMMYFUNCTION("""COMPUTED_VALUE"""),"BGY AMUYONG")</f>
        <v>BGY AMUYONG</v>
      </c>
      <c r="AG1120" s="1" t="str">
        <f>IFERROR(__xludf.DUMMYFUNCTION("""COMPUTED_VALUE"""),"ALFONSO")</f>
        <v>ALFONSO</v>
      </c>
      <c r="AH1120" s="1" t="str">
        <f>IFERROR(__xludf.DUMMYFUNCTION("""COMPUTED_VALUE"""),"-")</f>
        <v>-</v>
      </c>
      <c r="AI1120" s="1" t="str">
        <f>IFERROR(__xludf.DUMMYFUNCTION("""COMPUTED_VALUE"""),"CLUSTER 12")</f>
        <v>CLUSTER 12</v>
      </c>
    </row>
    <row r="1121" customHeight="1" spans="1:35">
      <c r="A1121" s="3">
        <f>IFERROR(__xludf.DUMMYFUNCTION("""COMPUTED_VALUE"""),46313)</f>
        <v>46313</v>
      </c>
      <c r="B1121" s="1" t="str">
        <f>IFERROR(__xludf.DUMMYFUNCTION("""COMPUTED_VALUE"""),"DANILO JR PAUG NAJIAL")</f>
        <v>DANILO JR PAUG NAJIAL</v>
      </c>
      <c r="C1121" s="1">
        <f>IFERROR(__xludf.DUMMYFUNCTION("""COMPUTED_VALUE"""),2313231669)</f>
        <v>2313231669</v>
      </c>
      <c r="D1121" s="1">
        <f>IFERROR(__xludf.DUMMYFUNCTION("""COMPUTED_VALUE"""),409097723)</f>
        <v>409097723</v>
      </c>
      <c r="E1121" s="1">
        <f>IFERROR(__xludf.DUMMYFUNCTION("""COMPUTED_VALUE"""),476110925004)</f>
        <v>476110925004</v>
      </c>
      <c r="F1121" s="1" t="str">
        <f>IFERROR(__xludf.DUMMYFUNCTION("""COMPUTED_VALUE"""),"CLOSED")</f>
        <v>CLOSED</v>
      </c>
      <c r="G1121" s="1" t="str">
        <f>IFERROR(__xludf.DUMMYFUNCTION("""COMPUTED_VALUE"""),"CLOSED")</f>
        <v>CLOSED</v>
      </c>
      <c r="H1121" s="1" t="str">
        <f>IFERROR(__xludf.DUMMYFUNCTION("""COMPUTED_VALUE"""),"ECPAY 2621-2900-3D41 OCT 21")</f>
        <v>ECPAY 2621-2900-3D41 OCT 21</v>
      </c>
      <c r="I1121" s="1" t="str">
        <f>IFERROR(__xludf.DUMMYFUNCTION("""COMPUTED_VALUE"""),"WITH 1 AMSF")</f>
        <v>WITH 1 AMSF</v>
      </c>
      <c r="J1121" s="1"/>
      <c r="K1121" s="1" t="str">
        <f>IFERROR(__xludf.DUMMYFUNCTION("""COMPUTED_VALUE"""),"NOT IN OFSC")</f>
        <v>NOT IN OFSC</v>
      </c>
      <c r="L1121" s="1" t="str">
        <f>IFERROR(__xludf.DUMMYFUNCTION("""COMPUTED_VALUE"""),"POSTED")</f>
        <v>POSTED</v>
      </c>
      <c r="M1121" s="1" t="str">
        <f>IFERROR(__xludf.DUMMYFUNCTION("""COMPUTED_VALUE"""),"POSTED")</f>
        <v>POSTED</v>
      </c>
      <c r="N1121" s="3">
        <f>IFERROR(__xludf.DUMMYFUNCTION("""COMPUTED_VALUE"""),46317)</f>
        <v>46317</v>
      </c>
      <c r="O1121" s="1" t="str">
        <f>IFERROR(__xludf.DUMMYFUNCTION("""COMPUTED_VALUE"""),"FIBR UNLI ALL PLAN 999")</f>
        <v>FIBR UNLI ALL PLAN 999</v>
      </c>
      <c r="P1121" s="1" t="str">
        <f>IFERROR(__xludf.DUMMYFUNCTION("""COMPUTED_VALUE"""),"LOWPLAN")</f>
        <v>LOWPLAN</v>
      </c>
      <c r="Q1121" s="1" t="str">
        <f>IFERROR(__xludf.DUMMYFUNCTION("""COMPUTED_VALUE"""),"P407564")</f>
        <v>P407564</v>
      </c>
      <c r="R1121" s="1" t="str">
        <f>IFERROR(__xludf.DUMMYFUNCTION("""COMPUTED_VALUE"""),"ARENA, LYKA")</f>
        <v>ARENA, LYKA</v>
      </c>
      <c r="S1121" s="1" t="str">
        <f>IFERROR(__xludf.DUMMYFUNCTION("""COMPUTED_VALUE"""),"ORGANIC")</f>
        <v>ORGANIC</v>
      </c>
      <c r="T1121" s="1" t="str">
        <f>IFERROR(__xludf.DUMMYFUNCTION("""COMPUTED_VALUE"""),"LEA REMOLLO")</f>
        <v>LEA REMOLLO</v>
      </c>
      <c r="U1121" s="1" t="str">
        <f>IFERROR(__xludf.DUMMYFUNCTION("""COMPUTED_VALUE"""),"JB SALIOA")</f>
        <v>JB SALIOA</v>
      </c>
      <c r="V1121" s="1" t="str">
        <f>IFERROR(__xludf.DUMMYFUNCTION("""COMPUTED_VALUE"""),"BK HSTK")</f>
        <v>BK HSTK</v>
      </c>
      <c r="W1121" s="1" t="str">
        <f>IFERROR(__xludf.DUMMYFUNCTION("""COMPUTED_VALUE"""),"BK HSTK")</f>
        <v>BK HSTK</v>
      </c>
      <c r="X1121" s="1" t="str">
        <f>IFERROR(__xludf.DUMMYFUNCTION("""COMPUTED_VALUE"""),"REGULAR")</f>
        <v>REGULAR</v>
      </c>
      <c r="Y1121" s="1" t="str">
        <f>IFERROR(__xludf.DUMMYFUNCTION("""COMPUTED_VALUE"""),"BK_CVEU_261004")</f>
        <v>BK_CVEU_261004</v>
      </c>
      <c r="Z1121" s="1" t="str">
        <f>IFERROR(__xludf.DUMMYFUNCTION("""COMPUTED_VALUE"""),"NEW CONNECT")</f>
        <v>NEW CONNECT</v>
      </c>
      <c r="AA1121" s="1">
        <f>IFERROR(__xludf.DUMMYFUNCTION("""COMPUTED_VALUE"""),639508542363)</f>
        <v>639508542363</v>
      </c>
      <c r="AB1121" s="1"/>
      <c r="AC1121" s="1"/>
      <c r="AD1121" s="1" t="str">
        <f>IFERROR(__xludf.DUMMYFUNCTION("""COMPUTED_VALUE"""),"SAMBONG")</f>
        <v>SAMBONG</v>
      </c>
      <c r="AE1121" s="1"/>
      <c r="AF1121" s="1" t="str">
        <f>IFERROR(__xludf.DUMMYFUNCTION("""COMPUTED_VALUE"""),"BGY RAMON CRUZ")</f>
        <v>BGY RAMON CRUZ</v>
      </c>
      <c r="AG1121" s="1" t="str">
        <f>IFERROR(__xludf.DUMMYFUNCTION("""COMPUTED_VALUE"""),"GEN MARIANO ALVAREZ")</f>
        <v>GEN MARIANO ALVAREZ</v>
      </c>
      <c r="AH1121" s="1" t="str">
        <f>IFERROR(__xludf.DUMMYFUNCTION("""COMPUTED_VALUE"""),"HOA BUILDING")</f>
        <v>HOA BUILDING</v>
      </c>
      <c r="AI1121" s="1" t="str">
        <f>IFERROR(__xludf.DUMMYFUNCTION("""COMPUTED_VALUE"""),"CLUSTER 11")</f>
        <v>CLUSTER 11</v>
      </c>
    </row>
    <row r="1122" customHeight="1" spans="1:35">
      <c r="A1122" s="3">
        <f>IFERROR(__xludf.DUMMYFUNCTION("""COMPUTED_VALUE"""),46313)</f>
        <v>46313</v>
      </c>
      <c r="B1122" s="1" t="str">
        <f>IFERROR(__xludf.DUMMYFUNCTION("""COMPUTED_VALUE"""),"QUEENIE PACLEB GALBAROLI")</f>
        <v>QUEENIE PACLEB GALBAROLI</v>
      </c>
      <c r="C1122" s="1">
        <f>IFERROR(__xludf.DUMMYFUNCTION("""COMPUTED_VALUE"""),2313231865)</f>
        <v>2313231865</v>
      </c>
      <c r="D1122" s="1">
        <f>IFERROR(__xludf.DUMMYFUNCTION("""COMPUTED_VALUE"""),409148212)</f>
        <v>409148212</v>
      </c>
      <c r="E1122" s="1">
        <f>IFERROR(__xludf.DUMMYFUNCTION("""COMPUTED_VALUE"""),476369547004)</f>
        <v>476369547004</v>
      </c>
      <c r="F1122" s="1" t="str">
        <f>IFERROR(__xludf.DUMMYFUNCTION("""COMPUTED_VALUE"""),"CLOSED")</f>
        <v>CLOSED</v>
      </c>
      <c r="G1122" s="1" t="str">
        <f>IFERROR(__xludf.DUMMYFUNCTION("""COMPUTED_VALUE"""),"CLOSED")</f>
        <v>CLOSED</v>
      </c>
      <c r="H1122" s="1" t="str">
        <f>IFERROR(__xludf.DUMMYFUNCTION("""COMPUTED_VALUE"""),"PAID VIA MAYA 1385815366 OCT 21")</f>
        <v>PAID VIA MAYA 1385815366 OCT 21</v>
      </c>
      <c r="I1122" s="1" t="str">
        <f>IFERROR(__xludf.DUMMYFUNCTION("""COMPUTED_VALUE"""),"WITH 1 AMSF")</f>
        <v>WITH 1 AMSF</v>
      </c>
      <c r="J1122" s="1"/>
      <c r="K1122" s="1" t="str">
        <f>IFERROR(__xludf.DUMMYFUNCTION("""COMPUTED_VALUE"""),"NOT IN OFSC")</f>
        <v>NOT IN OFSC</v>
      </c>
      <c r="L1122" s="1" t="str">
        <f>IFERROR(__xludf.DUMMYFUNCTION("""COMPUTED_VALUE"""),"POSTED")</f>
        <v>POSTED</v>
      </c>
      <c r="M1122" s="1" t="str">
        <f>IFERROR(__xludf.DUMMYFUNCTION("""COMPUTED_VALUE"""),"POSTED")</f>
        <v>POSTED</v>
      </c>
      <c r="N1122" s="3">
        <f>IFERROR(__xludf.DUMMYFUNCTION("""COMPUTED_VALUE"""),46317)</f>
        <v>46317</v>
      </c>
      <c r="O1122" s="1" t="str">
        <f>IFERROR(__xludf.DUMMYFUNCTION("""COMPUTED_VALUE"""),"FIBR UNLI ALL PLAN 999")</f>
        <v>FIBR UNLI ALL PLAN 999</v>
      </c>
      <c r="P1122" s="1" t="str">
        <f>IFERROR(__xludf.DUMMYFUNCTION("""COMPUTED_VALUE"""),"LOWPLAN")</f>
        <v>LOWPLAN</v>
      </c>
      <c r="Q1122" s="1" t="str">
        <f>IFERROR(__xludf.DUMMYFUNCTION("""COMPUTED_VALUE"""),"P407561")</f>
        <v>P407561</v>
      </c>
      <c r="R1122" s="1" t="str">
        <f>IFERROR(__xludf.DUMMYFUNCTION("""COMPUTED_VALUE"""),"TAMAYO, MARY ROSE ZAIRA")</f>
        <v>TAMAYO, MARY ROSE ZAIRA</v>
      </c>
      <c r="S1122" s="1" t="str">
        <f>IFERROR(__xludf.DUMMYFUNCTION("""COMPUTED_VALUE"""),"ORGANIC")</f>
        <v>ORGANIC</v>
      </c>
      <c r="T1122" s="1" t="str">
        <f>IFERROR(__xludf.DUMMYFUNCTION("""COMPUTED_VALUE"""),"LEA REMOLLO")</f>
        <v>LEA REMOLLO</v>
      </c>
      <c r="U1122" s="1" t="str">
        <f>IFERROR(__xludf.DUMMYFUNCTION("""COMPUTED_VALUE"""),"JB SALIOA")</f>
        <v>JB SALIOA</v>
      </c>
      <c r="V1122" s="1" t="str">
        <f>IFERROR(__xludf.DUMMYFUNCTION("""COMPUTED_VALUE"""),"BK REGULAR")</f>
        <v>BK REGULAR</v>
      </c>
      <c r="W1122" s="1" t="str">
        <f>IFERROR(__xludf.DUMMYFUNCTION("""COMPUTED_VALUE"""),"STK REGULAR")</f>
        <v>STK REGULAR</v>
      </c>
      <c r="X1122" s="1" t="str">
        <f>IFERROR(__xludf.DUMMYFUNCTION("""COMPUTED_VALUE"""),"REGULAR")</f>
        <v>REGULAR</v>
      </c>
      <c r="Y1122" s="1" t="str">
        <f>IFERROR(__xludf.DUMMYFUNCTION("""COMPUTED_VALUE"""),"BK_CVEU_261006")</f>
        <v>BK_CVEU_261006</v>
      </c>
      <c r="Z1122" s="1" t="str">
        <f>IFERROR(__xludf.DUMMYFUNCTION("""COMPUTED_VALUE"""),"NEW CONNECT")</f>
        <v>NEW CONNECT</v>
      </c>
      <c r="AA1122" s="1">
        <f>IFERROR(__xludf.DUMMYFUNCTION("""COMPUTED_VALUE"""),639513428891)</f>
        <v>639513428891</v>
      </c>
      <c r="AB1122" s="1">
        <f>IFERROR(__xludf.DUMMYFUNCTION("""COMPUTED_VALUE"""),639513419373)</f>
        <v>639513419373</v>
      </c>
      <c r="AC1122" s="1">
        <f>IFERROR(__xludf.DUMMYFUNCTION("""COMPUTED_VALUE"""),777)</f>
        <v>777</v>
      </c>
      <c r="AD1122" s="1" t="str">
        <f>IFERROR(__xludf.DUMMYFUNCTION("""COMPUTED_VALUE"""),"SITIO MUZON")</f>
        <v>SITIO MUZON</v>
      </c>
      <c r="AE1122" s="1"/>
      <c r="AF1122" s="1" t="str">
        <f>IFERROR(__xludf.DUMMYFUNCTION("""COMPUTED_VALUE"""),"BGY PUTING KAHOY")</f>
        <v>BGY PUTING KAHOY</v>
      </c>
      <c r="AG1122" s="1" t="str">
        <f>IFERROR(__xludf.DUMMYFUNCTION("""COMPUTED_VALUE"""),"SILANG")</f>
        <v>SILANG</v>
      </c>
      <c r="AH1122" s="1" t="str">
        <f>IFERROR(__xludf.DUMMYFUNCTION("""COMPUTED_VALUE"""),"SITIO MUZON")</f>
        <v>SITIO MUZON</v>
      </c>
      <c r="AI1122" s="1" t="str">
        <f>IFERROR(__xludf.DUMMYFUNCTION("""COMPUTED_VALUE"""),"CLUSTER 11")</f>
        <v>CLUSTER 11</v>
      </c>
    </row>
    <row r="1123" customHeight="1" spans="1:35">
      <c r="A1123" s="3">
        <f>IFERROR(__xludf.DUMMYFUNCTION("""COMPUTED_VALUE"""),46313)</f>
        <v>46313</v>
      </c>
      <c r="B1123" s="1" t="str">
        <f>IFERROR(__xludf.DUMMYFUNCTION("""COMPUTED_VALUE"""),"NEIL JUSTINE PRINCIPE COSA")</f>
        <v>NEIL JUSTINE PRINCIPE COSA</v>
      </c>
      <c r="C1123" s="1">
        <f>IFERROR(__xludf.DUMMYFUNCTION("""COMPUTED_VALUE"""),2313232095)</f>
        <v>2313232095</v>
      </c>
      <c r="D1123" s="1">
        <f>IFERROR(__xludf.DUMMYFUNCTION("""COMPUTED_VALUE"""),409097324)</f>
        <v>409097324</v>
      </c>
      <c r="E1123" s="1">
        <f>IFERROR(__xludf.DUMMYFUNCTION("""COMPUTED_VALUE"""),476110806004)</f>
        <v>476110806004</v>
      </c>
      <c r="F1123" s="1" t="str">
        <f>IFERROR(__xludf.DUMMYFUNCTION("""COMPUTED_VALUE"""),"CLOSED")</f>
        <v>CLOSED</v>
      </c>
      <c r="G1123" s="1" t="str">
        <f>IFERROR(__xludf.DUMMYFUNCTION("""COMPUTED_VALUE"""),"CLOSED")</f>
        <v>CLOSED</v>
      </c>
      <c r="H1123" s="1" t="str">
        <f>IFERROR(__xludf.DUMMYFUNCTION("""COMPUTED_VALUE"""),"PAID VIA GCASH - OCT 19 - REF - 641397541")</f>
        <v>PAID VIA GCASH - OCT 19 - REF - 641397541</v>
      </c>
      <c r="I1123" s="1" t="str">
        <f>IFERROR(__xludf.DUMMYFUNCTION("""COMPUTED_VALUE"""),"WITH 1 AMSF")</f>
        <v>WITH 1 AMSF</v>
      </c>
      <c r="J1123" s="1"/>
      <c r="K1123" s="1" t="str">
        <f>IFERROR(__xludf.DUMMYFUNCTION("""COMPUTED_VALUE"""),"NOT DONE")</f>
        <v>NOT DONE</v>
      </c>
      <c r="L1123" s="1" t="str">
        <f>IFERROR(__xludf.DUMMYFUNCTION("""COMPUTED_VALUE"""),"POSTED")</f>
        <v>POSTED</v>
      </c>
      <c r="M1123" s="1" t="str">
        <f>IFERROR(__xludf.DUMMYFUNCTION("""COMPUTED_VALUE"""),"POSTED")</f>
        <v>POSTED</v>
      </c>
      <c r="N1123" s="3">
        <f>IFERROR(__xludf.DUMMYFUNCTION("""COMPUTED_VALUE"""),2026)</f>
        <v>2026</v>
      </c>
      <c r="O1123" s="1" t="str">
        <f>IFERROR(__xludf.DUMMYFUNCTION("""COMPUTED_VALUE"""),"FIBER UNLI PLAN 1399")</f>
        <v>FIBER UNLI PLAN 1399</v>
      </c>
      <c r="P1123" s="1" t="str">
        <f>IFERROR(__xludf.DUMMYFUNCTION("""COMPUTED_VALUE"""),"LOWPLAN")</f>
        <v>LOWPLAN</v>
      </c>
      <c r="Q1123" s="1" t="str">
        <f>IFERROR(__xludf.DUMMYFUNCTION("""COMPUTED_VALUE"""),"P407517")</f>
        <v>P407517</v>
      </c>
      <c r="R1123" s="1" t="str">
        <f>IFERROR(__xludf.DUMMYFUNCTION("""COMPUTED_VALUE"""),"GABAY, MANUEL")</f>
        <v>GABAY, MANUEL</v>
      </c>
      <c r="S1123" s="1" t="str">
        <f>IFERROR(__xludf.DUMMYFUNCTION("""COMPUTED_VALUE"""),"FLA")</f>
        <v>FLA</v>
      </c>
      <c r="T1123" s="1" t="str">
        <f>IFERROR(__xludf.DUMMYFUNCTION("""COMPUTED_VALUE"""),"JERIC NAVARRO")</f>
        <v>JERIC NAVARRO</v>
      </c>
      <c r="U1123" s="1" t="str">
        <f>IFERROR(__xludf.DUMMYFUNCTION("""COMPUTED_VALUE"""),"JB SALIOA")</f>
        <v>JB SALIOA</v>
      </c>
      <c r="V1123" s="1" t="str">
        <f>IFERROR(__xludf.DUMMYFUNCTION("""COMPUTED_VALUE"""),"BK HSTK")</f>
        <v>BK HSTK</v>
      </c>
      <c r="W1123" s="1" t="str">
        <f>IFERROR(__xludf.DUMMYFUNCTION("""COMPUTED_VALUE"""),"BK HSTK")</f>
        <v>BK HSTK</v>
      </c>
      <c r="X1123" s="1" t="str">
        <f>IFERROR(__xludf.DUMMYFUNCTION("""COMPUTED_VALUE"""),"FIBER 1399 98TH YR")</f>
        <v>FIBER 1399 98TH YR</v>
      </c>
      <c r="Y1123" s="1" t="str">
        <f>IFERROR(__xludf.DUMMYFUNCTION("""COMPUTED_VALUE"""),"BK_CVEU_261001")</f>
        <v>BK_CVEU_261001</v>
      </c>
      <c r="Z1123" s="1" t="str">
        <f>IFERROR(__xludf.DUMMYFUNCTION("""COMPUTED_VALUE"""),"NEW CONNECT")</f>
        <v>NEW CONNECT</v>
      </c>
      <c r="AA1123" s="1">
        <f>IFERROR(__xludf.DUMMYFUNCTION("""COMPUTED_VALUE"""),639516689552)</f>
        <v>639516689552</v>
      </c>
      <c r="AB1123" s="1">
        <f>IFERROR(__xludf.DUMMYFUNCTION("""COMPUTED_VALUE"""),639957530919)</f>
        <v>639957530919</v>
      </c>
      <c r="AC1123" s="1">
        <f>IFERROR(__xludf.DUMMYFUNCTION("""COMPUTED_VALUE"""),208)</f>
        <v>208</v>
      </c>
      <c r="AD1123" s="1" t="str">
        <f>IFERROR(__xludf.DUMMYFUNCTION("""COMPUTED_VALUE"""),"PUROK 6")</f>
        <v>PUROK 6</v>
      </c>
      <c r="AE1123" s="1"/>
      <c r="AF1123" s="1" t="str">
        <f>IFERROR(__xludf.DUMMYFUNCTION("""COMPUTED_VALUE"""),"BGY KAYSUYO")</f>
        <v>BGY KAYSUYO</v>
      </c>
      <c r="AG1123" s="1" t="str">
        <f>IFERROR(__xludf.DUMMYFUNCTION("""COMPUTED_VALUE"""),"ALFONSO")</f>
        <v>ALFONSO</v>
      </c>
      <c r="AH1123" s="1" t="str">
        <f>IFERROR(__xludf.DUMMYFUNCTION("""COMPUTED_VALUE"""),"-")</f>
        <v>-</v>
      </c>
      <c r="AI1123" s="1" t="str">
        <f>IFERROR(__xludf.DUMMYFUNCTION("""COMPUTED_VALUE"""),"CLUSTER 12")</f>
        <v>CLUSTER 12</v>
      </c>
    </row>
    <row r="1124" customHeight="1" spans="1:35">
      <c r="A1124" s="3">
        <f>IFERROR(__xludf.DUMMYFUNCTION("""COMPUTED_VALUE"""),46313)</f>
        <v>46313</v>
      </c>
      <c r="B1124" s="1" t="str">
        <f>IFERROR(__xludf.DUMMYFUNCTION("""COMPUTED_VALUE"""),"ALYXINE ZHINE SOLITARIO FIGURACION")</f>
        <v>ALYXINE ZHINE SOLITARIO FIGURACION</v>
      </c>
      <c r="C1124" s="1">
        <f>IFERROR(__xludf.DUMMYFUNCTION("""COMPUTED_VALUE"""),2313232297)</f>
        <v>2313232297</v>
      </c>
      <c r="D1124" s="1">
        <f>IFERROR(__xludf.DUMMYFUNCTION("""COMPUTED_VALUE"""),409121039)</f>
        <v>409121039</v>
      </c>
      <c r="E1124" s="1">
        <f>IFERROR(__xludf.DUMMYFUNCTION("""COMPUTED_VALUE"""),476240356004)</f>
        <v>476240356004</v>
      </c>
      <c r="F1124" s="1" t="str">
        <f>IFERROR(__xludf.DUMMYFUNCTION("""COMPUTED_VALUE"""),"FOR PAYMENT")</f>
        <v>FOR PAYMENT</v>
      </c>
      <c r="G1124" s="1" t="str">
        <f>IFERROR(__xludf.DUMMYFUNCTION("""COMPUTED_VALUE"""),"FOR PAYMENT")</f>
        <v>FOR PAYMENT</v>
      </c>
      <c r="H1124" s="1" t="str">
        <f>IFERROR(__xludf.DUMMYFUNCTION("""COMPUTED_VALUE"""),"RINGING ONLY ")</f>
        <v>RINGING ONLY </v>
      </c>
      <c r="I1124" s="1"/>
      <c r="J1124" s="1"/>
      <c r="K1124" s="1" t="str">
        <f>IFERROR(__xludf.DUMMYFUNCTION("""COMPUTED_VALUE"""),"NOT IN OFSC")</f>
        <v>NOT IN OFSC</v>
      </c>
      <c r="L1124" s="1" t="str">
        <f>IFERROR(__xludf.DUMMYFUNCTION("""COMPUTED_VALUE"""),"FOR PAYMENT")</f>
        <v>FOR PAYMENT</v>
      </c>
      <c r="M1124" s="1" t="str">
        <f>IFERROR(__xludf.DUMMYFUNCTION("""COMPUTED_VALUE"""),"FOR PAYMENT - FOR CALL OUT")</f>
        <v>FOR PAYMENT - FOR CALL OUT</v>
      </c>
      <c r="N1124" s="3"/>
      <c r="O1124" s="1" t="str">
        <f>IFERROR(__xludf.DUMMYFUNCTION("""COMPUTED_VALUE"""),"FIBR PLAN 1299")</f>
        <v>FIBR PLAN 1299</v>
      </c>
      <c r="P1124" s="1" t="str">
        <f>IFERROR(__xludf.DUMMYFUNCTION("""COMPUTED_VALUE"""),"LOWPLAN")</f>
        <v>LOWPLAN</v>
      </c>
      <c r="Q1124" s="1" t="str">
        <f>IFERROR(__xludf.DUMMYFUNCTION("""COMPUTED_VALUE"""),"P407048")</f>
        <v>P407048</v>
      </c>
      <c r="R1124" s="1" t="str">
        <f>IFERROR(__xludf.DUMMYFUNCTION("""COMPUTED_VALUE"""),"PEREZ, RONELL")</f>
        <v>PEREZ, RONELL</v>
      </c>
      <c r="S1124" s="1" t="str">
        <f>IFERROR(__xludf.DUMMYFUNCTION("""COMPUTED_VALUE"""),"ORGANIC")</f>
        <v>ORGANIC</v>
      </c>
      <c r="T1124" s="1" t="str">
        <f>IFERROR(__xludf.DUMMYFUNCTION("""COMPUTED_VALUE"""),"GARCIA MICHAEL JETTS")</f>
        <v>GARCIA MICHAEL JETTS</v>
      </c>
      <c r="U1124" s="1" t="str">
        <f>IFERROR(__xludf.DUMMYFUNCTION("""COMPUTED_VALUE"""),"JULIE ESPIRITU")</f>
        <v>JULIE ESPIRITU</v>
      </c>
      <c r="V1124" s="1" t="str">
        <f>IFERROR(__xludf.DUMMYFUNCTION("""COMPUTED_VALUE"""),"ONLINE/CRANFORD")</f>
        <v>ONLINE/CRANFORD</v>
      </c>
      <c r="W1124" s="1" t="str">
        <f>IFERROR(__xludf.DUMMYFUNCTION("""COMPUTED_VALUE"""),"STK REGULAR")</f>
        <v>STK REGULAR</v>
      </c>
      <c r="X1124" s="1" t="str">
        <f>IFERROR(__xludf.DUMMYFUNCTION("""COMPUTED_VALUE"""),"REGULAR")</f>
        <v>REGULAR</v>
      </c>
      <c r="Y1124" s="1" t="str">
        <f>IFERROR(__xludf.DUMMYFUNCTION("""COMPUTED_VALUE"""),"RS_ONL_CVEU_2026")</f>
        <v>RS_ONL_CVEU_2026</v>
      </c>
      <c r="Z1124" s="1" t="str">
        <f>IFERROR(__xludf.DUMMYFUNCTION("""COMPUTED_VALUE"""),"NEW CONNECT")</f>
        <v>NEW CONNECT</v>
      </c>
      <c r="AA1124" s="1">
        <f>IFERROR(__xludf.DUMMYFUNCTION("""COMPUTED_VALUE"""),639666520697)</f>
        <v>639666520697</v>
      </c>
      <c r="AB1124" s="1">
        <f>IFERROR(__xludf.DUMMYFUNCTION("""COMPUTED_VALUE"""),639536181964)</f>
        <v>639536181964</v>
      </c>
      <c r="AC1124" s="1"/>
      <c r="AD1124" s="1" t="str">
        <f>IFERROR(__xludf.DUMMYFUNCTION("""COMPUTED_VALUE"""),"XIAMEN")</f>
        <v>XIAMEN</v>
      </c>
      <c r="AE1124" s="1" t="str">
        <f>IFERROR(__xludf.DUMMYFUNCTION("""COMPUTED_VALUE"""),"KENSINGTON 15 LANCASTER")</f>
        <v>KENSINGTON 15 LANCASTER</v>
      </c>
      <c r="AF1124" s="1" t="str">
        <f>IFERROR(__xludf.DUMMYFUNCTION("""COMPUTED_VALUE"""),"BGY NAVARRO")</f>
        <v>BGY NAVARRO</v>
      </c>
      <c r="AG1124" s="1" t="str">
        <f>IFERROR(__xludf.DUMMYFUNCTION("""COMPUTED_VALUE"""),"GENERAL TRIAS")</f>
        <v>GENERAL TRIAS</v>
      </c>
      <c r="AH1124" s="1"/>
      <c r="AI1124" s="1" t="str">
        <f>IFERROR(__xludf.DUMMYFUNCTION("""COMPUTED_VALUE"""),"NOT AOR")</f>
        <v>NOT AOR</v>
      </c>
    </row>
    <row r="1125" customHeight="1" spans="1:35">
      <c r="A1125" s="3">
        <f>IFERROR(__xludf.DUMMYFUNCTION("""COMPUTED_VALUE"""),46313)</f>
        <v>46313</v>
      </c>
      <c r="B1125" s="1" t="str">
        <f>IFERROR(__xludf.DUMMYFUNCTION("""COMPUTED_VALUE"""),"LUISITO . SARIGUMBA")</f>
        <v>LUISITO . SARIGUMBA</v>
      </c>
      <c r="C1125" s="1">
        <f>IFERROR(__xludf.DUMMYFUNCTION("""COMPUTED_VALUE"""),2313232492)</f>
        <v>2313232492</v>
      </c>
      <c r="D1125" s="1">
        <f>IFERROR(__xludf.DUMMYFUNCTION("""COMPUTED_VALUE"""),409098150)</f>
        <v>409098150</v>
      </c>
      <c r="E1125" s="1">
        <f>IFERROR(__xludf.DUMMYFUNCTION("""COMPUTED_VALUE"""),476111178004)</f>
        <v>476111178004</v>
      </c>
      <c r="F1125" s="1" t="str">
        <f>IFERROR(__xludf.DUMMYFUNCTION("""COMPUTED_VALUE"""),"CANCELED")</f>
        <v>CANCELED</v>
      </c>
      <c r="G1125" s="1" t="str">
        <f>IFERROR(__xludf.DUMMYFUNCTION("""COMPUTED_VALUE"""),"VISITED     REMARKS   RESCHEDULE NOVEMBER 9 KASI UUWI DAW SILA MINDANAO NGAYONG WEEK     TALK LUISITO SARIGUMBA 09359818001")</f>
        <v>VISITED     REMARKS   RESCHEDULE NOVEMBER 9 KASI UUWI DAW SILA MINDANAO NGAYONG WEEK     TALK LUISITO SARIGUMBA 09359818001</v>
      </c>
      <c r="H1125" s="1"/>
      <c r="I1125" s="1"/>
      <c r="J1125" s="1"/>
      <c r="K1125" s="1" t="str">
        <f>IFERROR(__xludf.DUMMYFUNCTION("""COMPUTED_VALUE"""),"CANCELED")</f>
        <v>CANCELED</v>
      </c>
      <c r="L1125" s="1" t="str">
        <f>IFERROR(__xludf.DUMMYFUNCTION("""COMPUTED_VALUE"""),"AFD - RESCHEDULE")</f>
        <v>AFD - RESCHEDULE</v>
      </c>
      <c r="M1125" s="1" t="str">
        <f>IFERROR(__xludf.DUMMYFUNCTION("""COMPUTED_VALUE"""),"AFD - RESCHEDULED")</f>
        <v>AFD - RESCHEDULED</v>
      </c>
      <c r="N1125" s="3"/>
      <c r="O1125" s="1" t="str">
        <f>IFERROR(__xludf.DUMMYFUNCTION("""COMPUTED_VALUE"""),"FIBER UNLI PLAN 1399")</f>
        <v>FIBER UNLI PLAN 1399</v>
      </c>
      <c r="P1125" s="1" t="str">
        <f>IFERROR(__xludf.DUMMYFUNCTION("""COMPUTED_VALUE"""),"LOWPLAN")</f>
        <v>LOWPLAN</v>
      </c>
      <c r="Q1125" s="1" t="str">
        <f>IFERROR(__xludf.DUMMYFUNCTION("""COMPUTED_VALUE"""),"P407564")</f>
        <v>P407564</v>
      </c>
      <c r="R1125" s="1" t="str">
        <f>IFERROR(__xludf.DUMMYFUNCTION("""COMPUTED_VALUE"""),"ARENA, LYKA")</f>
        <v>ARENA, LYKA</v>
      </c>
      <c r="S1125" s="1" t="str">
        <f>IFERROR(__xludf.DUMMYFUNCTION("""COMPUTED_VALUE"""),"ORGANIC")</f>
        <v>ORGANIC</v>
      </c>
      <c r="T1125" s="1" t="str">
        <f>IFERROR(__xludf.DUMMYFUNCTION("""COMPUTED_VALUE"""),"LEA REMOLLO")</f>
        <v>LEA REMOLLO</v>
      </c>
      <c r="U1125" s="1" t="str">
        <f>IFERROR(__xludf.DUMMYFUNCTION("""COMPUTED_VALUE"""),"JB SALIOA")</f>
        <v>JB SALIOA</v>
      </c>
      <c r="V1125" s="1" t="str">
        <f>IFERROR(__xludf.DUMMYFUNCTION("""COMPUTED_VALUE"""),"BK REGULAR")</f>
        <v>BK REGULAR</v>
      </c>
      <c r="W1125" s="1" t="str">
        <f>IFERROR(__xludf.DUMMYFUNCTION("""COMPUTED_VALUE"""),"STK REGULAR")</f>
        <v>STK REGULAR</v>
      </c>
      <c r="X1125" s="1" t="str">
        <f>IFERROR(__xludf.DUMMYFUNCTION("""COMPUTED_VALUE"""),"FIBER 1399 98TH YR")</f>
        <v>FIBER 1399 98TH YR</v>
      </c>
      <c r="Y1125" s="1" t="str">
        <f>IFERROR(__xludf.DUMMYFUNCTION("""COMPUTED_VALUE"""),"BK_CVEU_261006")</f>
        <v>BK_CVEU_261006</v>
      </c>
      <c r="Z1125" s="1" t="str">
        <f>IFERROR(__xludf.DUMMYFUNCTION("""COMPUTED_VALUE"""),"NEW CONNECT")</f>
        <v>NEW CONNECT</v>
      </c>
      <c r="AA1125" s="1">
        <f>IFERROR(__xludf.DUMMYFUNCTION("""COMPUTED_VALUE"""),639359818001)</f>
        <v>639359818001</v>
      </c>
      <c r="AB1125" s="1"/>
      <c r="AC1125" s="1">
        <f>IFERROR(__xludf.DUMMYFUNCTION("""COMPUTED_VALUE"""),198)</f>
        <v>198</v>
      </c>
      <c r="AD1125" s="1" t="str">
        <f>IFERROR(__xludf.DUMMYFUNCTION("""COMPUTED_VALUE"""),"LAYSA")</f>
        <v>LAYSA</v>
      </c>
      <c r="AE1125" s="1"/>
      <c r="AF1125" s="1" t="str">
        <f>IFERROR(__xludf.DUMMYFUNCTION("""COMPUTED_VALUE"""),"BGY BATAS")</f>
        <v>BGY BATAS</v>
      </c>
      <c r="AG1125" s="1" t="str">
        <f>IFERROR(__xludf.DUMMYFUNCTION("""COMPUTED_VALUE"""),"SILANG")</f>
        <v>SILANG</v>
      </c>
      <c r="AH1125" s="1" t="str">
        <f>IFERROR(__xludf.DUMMYFUNCTION("""COMPUTED_VALUE"""),"WILLY BOARDING HOUSE")</f>
        <v>WILLY BOARDING HOUSE</v>
      </c>
      <c r="AI1125" s="1" t="str">
        <f>IFERROR(__xludf.DUMMYFUNCTION("""COMPUTED_VALUE"""),"CLUSTER 11")</f>
        <v>CLUSTER 11</v>
      </c>
    </row>
    <row r="1126" customHeight="1" spans="1:35">
      <c r="A1126" s="3">
        <f>IFERROR(__xludf.DUMMYFUNCTION("""COMPUTED_VALUE"""),46313)</f>
        <v>46313</v>
      </c>
      <c r="B1126" s="1" t="str">
        <f>IFERROR(__xludf.DUMMYFUNCTION("""COMPUTED_VALUE"""),"FREDELITO LABUGEN SUPENA")</f>
        <v>FREDELITO LABUGEN SUPENA</v>
      </c>
      <c r="C1126" s="1">
        <f>IFERROR(__xludf.DUMMYFUNCTION("""COMPUTED_VALUE"""),2313233121)</f>
        <v>2313233121</v>
      </c>
      <c r="D1126" s="1">
        <f>IFERROR(__xludf.DUMMYFUNCTION("""COMPUTED_VALUE"""),409099327)</f>
        <v>409099327</v>
      </c>
      <c r="E1126" s="1">
        <f>IFERROR(__xludf.DUMMYFUNCTION("""COMPUTED_VALUE"""),476111873004)</f>
        <v>476111873004</v>
      </c>
      <c r="F1126" s="1" t="str">
        <f>IFERROR(__xludf.DUMMYFUNCTION("""COMPUTED_VALUE"""),"CLOSED")</f>
        <v>CLOSED</v>
      </c>
      <c r="G1126" s="1" t="str">
        <f>IFERROR(__xludf.DUMMYFUNCTION("""COMPUTED_VALUE"""),"CLOSED")</f>
        <v>CLOSED</v>
      </c>
      <c r="H1126" s="1"/>
      <c r="I1126" s="1" t="str">
        <f>IFERROR(__xludf.DUMMYFUNCTION("""COMPUTED_VALUE"""),"NO 1 AMSF")</f>
        <v>NO 1 AMSF</v>
      </c>
      <c r="J1126" s="1" t="str">
        <f>IFERROR(__xludf.DUMMYFUNCTION("""COMPUTED_VALUE"""),"NO PAYMENT")</f>
        <v>NO PAYMENT</v>
      </c>
      <c r="K1126" s="1" t="str">
        <f>IFERROR(__xludf.DUMMYFUNCTION("""COMPUTED_VALUE"""),"OPEN IN OFSC")</f>
        <v>OPEN IN OFSC</v>
      </c>
      <c r="L1126" s="1" t="str">
        <f>IFERROR(__xludf.DUMMYFUNCTION("""COMPUTED_VALUE"""),"POSTED")</f>
        <v>POSTED</v>
      </c>
      <c r="M1126" s="1" t="str">
        <f>IFERROR(__xludf.DUMMYFUNCTION("""COMPUTED_VALUE"""),"POSTED")</f>
        <v>POSTED</v>
      </c>
      <c r="N1126" s="3">
        <f>IFERROR(__xludf.DUMMYFUNCTION("""COMPUTED_VALUE"""),46315)</f>
        <v>46315</v>
      </c>
      <c r="O1126" s="1" t="str">
        <f>IFERROR(__xludf.DUMMYFUNCTION("""COMPUTED_VALUE"""),"FIBER UNLI PLAN 1399")</f>
        <v>FIBER UNLI PLAN 1399</v>
      </c>
      <c r="P1126" s="1" t="str">
        <f>IFERROR(__xludf.DUMMYFUNCTION("""COMPUTED_VALUE"""),"LOWPLAN")</f>
        <v>LOWPLAN</v>
      </c>
      <c r="Q1126" s="1" t="str">
        <f>IFERROR(__xludf.DUMMYFUNCTION("""COMPUTED_VALUE"""),"P407049")</f>
        <v>P407049</v>
      </c>
      <c r="R1126" s="1" t="str">
        <f>IFERROR(__xludf.DUMMYFUNCTION("""COMPUTED_VALUE"""),"MERCADO, MARK ANTHONY")</f>
        <v>MERCADO, MARK ANTHONY</v>
      </c>
      <c r="S1126" s="1" t="str">
        <f>IFERROR(__xludf.DUMMYFUNCTION("""COMPUTED_VALUE"""),"ORGANIC")</f>
        <v>ORGANIC</v>
      </c>
      <c r="T1126" s="1" t="str">
        <f>IFERROR(__xludf.DUMMYFUNCTION("""COMPUTED_VALUE"""),"LEA REMOLLO")</f>
        <v>LEA REMOLLO</v>
      </c>
      <c r="U1126" s="1" t="str">
        <f>IFERROR(__xludf.DUMMYFUNCTION("""COMPUTED_VALUE"""),"JB SALIOA")</f>
        <v>JB SALIOA</v>
      </c>
      <c r="V1126" s="1" t="str">
        <f>IFERROR(__xludf.DUMMYFUNCTION("""COMPUTED_VALUE"""),"BK REGULAR")</f>
        <v>BK REGULAR</v>
      </c>
      <c r="W1126" s="1" t="str">
        <f>IFERROR(__xludf.DUMMYFUNCTION("""COMPUTED_VALUE"""),"STK REGULAR")</f>
        <v>STK REGULAR</v>
      </c>
      <c r="X1126" s="1" t="str">
        <f>IFERROR(__xludf.DUMMYFUNCTION("""COMPUTED_VALUE"""),"FIBER 1399 98TH YR")</f>
        <v>FIBER 1399 98TH YR</v>
      </c>
      <c r="Y1126" s="1" t="str">
        <f>IFERROR(__xludf.DUMMYFUNCTION("""COMPUTED_VALUE"""),"BK_CVEU_261001")</f>
        <v>BK_CVEU_261001</v>
      </c>
      <c r="Z1126" s="1" t="str">
        <f>IFERROR(__xludf.DUMMYFUNCTION("""COMPUTED_VALUE"""),"NEW CONNECT")</f>
        <v>NEW CONNECT</v>
      </c>
      <c r="AA1126" s="1">
        <f>IFERROR(__xludf.DUMMYFUNCTION("""COMPUTED_VALUE"""),639272870989)</f>
        <v>639272870989</v>
      </c>
      <c r="AB1126" s="1"/>
      <c r="AC1126" s="1">
        <f>IFERROR(__xludf.DUMMYFUNCTION("""COMPUTED_VALUE"""),6777)</f>
        <v>6777</v>
      </c>
      <c r="AD1126" s="1" t="str">
        <f>IFERROR(__xludf.DUMMYFUNCTION("""COMPUTED_VALUE"""),"BURGOS")</f>
        <v>BURGOS</v>
      </c>
      <c r="AE1126" s="1"/>
      <c r="AF1126" s="1" t="str">
        <f>IFERROR(__xludf.DUMMYFUNCTION("""COMPUTED_VALUE"""),"BGY 3")</f>
        <v>BGY 3</v>
      </c>
      <c r="AG1126" s="1" t="str">
        <f>IFERROR(__xludf.DUMMYFUNCTION("""COMPUTED_VALUE"""),"ALFONSO")</f>
        <v>ALFONSO</v>
      </c>
      <c r="AH1126" s="1" t="str">
        <f>IFERROR(__xludf.DUMMYFUNCTION("""COMPUTED_VALUE"""),"DALI ")</f>
        <v>DALI </v>
      </c>
      <c r="AI1126" s="1" t="str">
        <f>IFERROR(__xludf.DUMMYFUNCTION("""COMPUTED_VALUE"""),"CLUSTER 12")</f>
        <v>CLUSTER 12</v>
      </c>
    </row>
    <row r="1127" customHeight="1" spans="1:35">
      <c r="A1127" s="3">
        <f>IFERROR(__xludf.DUMMYFUNCTION("""COMPUTED_VALUE"""),46313)</f>
        <v>46313</v>
      </c>
      <c r="B1127" s="1" t="str">
        <f>IFERROR(__xludf.DUMMYFUNCTION("""COMPUTED_VALUE"""),"LEO CAINGCOY CONSTANTINO")</f>
        <v>LEO CAINGCOY CONSTANTINO</v>
      </c>
      <c r="C1127" s="1">
        <f>IFERROR(__xludf.DUMMYFUNCTION("""COMPUTED_VALUE"""),2313234164)</f>
        <v>2313234164</v>
      </c>
      <c r="D1127" s="1">
        <f>IFERROR(__xludf.DUMMYFUNCTION("""COMPUTED_VALUE"""),409110908)</f>
        <v>409110908</v>
      </c>
      <c r="E1127" s="1">
        <f>IFERROR(__xludf.DUMMYFUNCTION("""COMPUTED_VALUE"""),476167380004)</f>
        <v>476167380004</v>
      </c>
      <c r="F1127" s="1" t="str">
        <f>IFERROR(__xludf.DUMMYFUNCTION("""COMPUTED_VALUE"""),"AFD")</f>
        <v>AFD</v>
      </c>
      <c r="G1127" s="1" t="str">
        <f>IFERROR(__xludf.DUMMYFUNCTION("""COMPUTED_VALUE"""),"REFUSE TO ENTRY NEED MATAWAGAN MUNA SI SUBS BAGO MAKAPASOK SA SUBD ALREADY CALL AND TXT BUT NO RESPONSE  PABALIK NALANG PAG NAG REPLY")</f>
        <v>REFUSE TO ENTRY NEED MATAWAGAN MUNA SI SUBS BAGO MAKAPASOK SA SUBD ALREADY CALL AND TXT BUT NO RESPONSE  PABALIK NALANG PAG NAG REPLY</v>
      </c>
      <c r="H1127" s="1"/>
      <c r="I1127" s="1" t="str">
        <f>IFERROR(__xludf.DUMMYFUNCTION("""COMPUTED_VALUE"""),"NO 1 AMSF")</f>
        <v>NO 1 AMSF</v>
      </c>
      <c r="J1127" s="1" t="str">
        <f>IFERROR(__xludf.DUMMYFUNCTION("""COMPUTED_VALUE"""),"NO PAYMENT")</f>
        <v>NO PAYMENT</v>
      </c>
      <c r="K1127" s="1" t="str">
        <f>IFERROR(__xludf.DUMMYFUNCTION("""COMPUTED_VALUE"""),"OPEN IN OFSC")</f>
        <v>OPEN IN OFSC</v>
      </c>
      <c r="L1127" s="1" t="str">
        <f>IFERROR(__xludf.DUMMYFUNCTION("""COMPUTED_VALUE"""),"AFD - RESCHEDULE")</f>
        <v>AFD - RESCHEDULE</v>
      </c>
      <c r="M1127" s="1" t="str">
        <f>IFERROR(__xludf.DUMMYFUNCTION("""COMPUTED_VALUE"""),"AFD - RESCHEDULED")</f>
        <v>AFD - RESCHEDULED</v>
      </c>
      <c r="N1127" s="3"/>
      <c r="O1127" s="1" t="str">
        <f>IFERROR(__xludf.DUMMYFUNCTION("""COMPUTED_VALUE"""),"FIBER UNLI PLAN 1399")</f>
        <v>FIBER UNLI PLAN 1399</v>
      </c>
      <c r="P1127" s="1" t="str">
        <f>IFERROR(__xludf.DUMMYFUNCTION("""COMPUTED_VALUE"""),"LOWPLAN")</f>
        <v>LOWPLAN</v>
      </c>
      <c r="Q1127" s="1" t="str">
        <f>IFERROR(__xludf.DUMMYFUNCTION("""COMPUTED_VALUE"""),"P407049")</f>
        <v>P407049</v>
      </c>
      <c r="R1127" s="1" t="str">
        <f>IFERROR(__xludf.DUMMYFUNCTION("""COMPUTED_VALUE"""),"MERCADO, MARK ANTHONY")</f>
        <v>MERCADO, MARK ANTHONY</v>
      </c>
      <c r="S1127" s="1" t="str">
        <f>IFERROR(__xludf.DUMMYFUNCTION("""COMPUTED_VALUE"""),"ORGANIC")</f>
        <v>ORGANIC</v>
      </c>
      <c r="T1127" s="1" t="str">
        <f>IFERROR(__xludf.DUMMYFUNCTION("""COMPUTED_VALUE"""),"LEA REMOLLO")</f>
        <v>LEA REMOLLO</v>
      </c>
      <c r="U1127" s="1" t="str">
        <f>IFERROR(__xludf.DUMMYFUNCTION("""COMPUTED_VALUE"""),"JB SALIOA")</f>
        <v>JB SALIOA</v>
      </c>
      <c r="V1127" s="1" t="str">
        <f>IFERROR(__xludf.DUMMYFUNCTION("""COMPUTED_VALUE"""),"ONLINE/CRANFORD")</f>
        <v>ONLINE/CRANFORD</v>
      </c>
      <c r="W1127" s="1" t="str">
        <f>IFERROR(__xludf.DUMMYFUNCTION("""COMPUTED_VALUE"""),"STK REGULAR")</f>
        <v>STK REGULAR</v>
      </c>
      <c r="X1127" s="1" t="str">
        <f>IFERROR(__xludf.DUMMYFUNCTION("""COMPUTED_VALUE"""),"FIBER 1399 98TH YR")</f>
        <v>FIBER 1399 98TH YR</v>
      </c>
      <c r="Y1127" s="1" t="str">
        <f>IFERROR(__xludf.DUMMYFUNCTION("""COMPUTED_VALUE"""),"RS_SS_CVEU_2026")</f>
        <v>RS_SS_CVEU_2026</v>
      </c>
      <c r="Z1127" s="1" t="str">
        <f>IFERROR(__xludf.DUMMYFUNCTION("""COMPUTED_VALUE"""),"NEW CONNECT")</f>
        <v>NEW CONNECT</v>
      </c>
      <c r="AA1127" s="1">
        <f>IFERROR(__xludf.DUMMYFUNCTION("""COMPUTED_VALUE"""),639692056942)</f>
        <v>639692056942</v>
      </c>
      <c r="AB1127" s="1">
        <f>IFERROR(__xludf.DUMMYFUNCTION("""COMPUTED_VALUE"""),639451166046)</f>
        <v>639451166046</v>
      </c>
      <c r="AC1127" s="1">
        <f>IFERROR(__xludf.DUMMYFUNCTION("""COMPUTED_VALUE"""),15)</f>
        <v>15</v>
      </c>
      <c r="AD1127" s="1" t="str">
        <f>IFERROR(__xludf.DUMMYFUNCTION("""COMPUTED_VALUE"""),"SOUTHPLAIN VILLAGE")</f>
        <v>SOUTHPLAIN VILLAGE</v>
      </c>
      <c r="AE1127" s="1" t="str">
        <f>IFERROR(__xludf.DUMMYFUNCTION("""COMPUTED_VALUE"""),"SOUTHPLAIN VILLAGE")</f>
        <v>SOUTHPLAIN VILLAGE</v>
      </c>
      <c r="AF1127" s="1" t="str">
        <f>IFERROR(__xludf.DUMMYFUNCTION("""COMPUTED_VALUE"""),"BGY SALITRAN 2")</f>
        <v>BGY SALITRAN 2</v>
      </c>
      <c r="AG1127" s="1" t="str">
        <f>IFERROR(__xludf.DUMMYFUNCTION("""COMPUTED_VALUE"""),"DASMARINAS")</f>
        <v>DASMARINAS</v>
      </c>
      <c r="AH1127" s="1" t="str">
        <f>IFERROR(__xludf.DUMMYFUNCTION("""COMPUTED_VALUE"""),"SOUTHPLAIN")</f>
        <v>SOUTHPLAIN</v>
      </c>
      <c r="AI1127" s="1" t="str">
        <f>IFERROR(__xludf.DUMMYFUNCTION("""COMPUTED_VALUE"""),"NOT AOR")</f>
        <v>NOT AOR</v>
      </c>
    </row>
    <row r="1128" customHeight="1" spans="1:35">
      <c r="A1128" s="3">
        <f>IFERROR(__xludf.DUMMYFUNCTION("""COMPUTED_VALUE"""),46313)</f>
        <v>46313</v>
      </c>
      <c r="B1128" s="1" t="str">
        <f>IFERROR(__xludf.DUMMYFUNCTION("""COMPUTED_VALUE"""),"VERONICA MAGAYANES HOLANDA")</f>
        <v>VERONICA MAGAYANES HOLANDA</v>
      </c>
      <c r="C1128" s="1">
        <f>IFERROR(__xludf.DUMMYFUNCTION("""COMPUTED_VALUE"""),2313233415)</f>
        <v>2313233415</v>
      </c>
      <c r="D1128" s="1"/>
      <c r="E1128" s="1"/>
      <c r="F1128" s="1" t="str">
        <f>IFERROR(__xludf.DUMMYFUNCTION("""COMPUTED_VALUE"""),"CANCELLED")</f>
        <v>CANCELLED</v>
      </c>
      <c r="G1128" s="1" t="str">
        <f>IFERROR(__xludf.DUMMYFUNCTION("""COMPUTED_VALUE"""),"CANCELLED")</f>
        <v>CANCELLED</v>
      </c>
      <c r="H1128" s="1"/>
      <c r="I1128" s="1"/>
      <c r="J1128" s="1"/>
      <c r="K1128" s="1"/>
      <c r="L1128" s="1" t="str">
        <f>IFERROR(__xludf.DUMMYFUNCTION("""COMPUTED_VALUE"""),"CANCELLED - WITH OB")</f>
        <v>CANCELLED - WITH OB</v>
      </c>
      <c r="M1128" s="1" t="str">
        <f>IFERROR(__xludf.DUMMYFUNCTION("""COMPUTED_VALUE"""),"CANCELLED - WITH OB")</f>
        <v>CANCELLED - WITH OB</v>
      </c>
      <c r="N1128" s="3"/>
      <c r="O1128" s="1" t="str">
        <f>IFERROR(__xludf.DUMMYFUNCTION("""COMPUTED_VALUE"""),"FIBR PLAN 2099")</f>
        <v>FIBR PLAN 2099</v>
      </c>
      <c r="P1128" s="1" t="str">
        <f>IFERROR(__xludf.DUMMYFUNCTION("""COMPUTED_VALUE"""),"HIGHPLAN")</f>
        <v>HIGHPLAN</v>
      </c>
      <c r="Q1128" s="1" t="str">
        <f>IFERROR(__xludf.DUMMYFUNCTION("""COMPUTED_VALUE"""),"P407566")</f>
        <v>P407566</v>
      </c>
      <c r="R1128" s="1" t="str">
        <f>IFERROR(__xludf.DUMMYFUNCTION("""COMPUTED_VALUE"""),"DENACO, RODNEY")</f>
        <v>DENACO, RODNEY</v>
      </c>
      <c r="S1128" s="1" t="str">
        <f>IFERROR(__xludf.DUMMYFUNCTION("""COMPUTED_VALUE"""),"ORGANIC")</f>
        <v>ORGANIC</v>
      </c>
      <c r="T1128" s="1" t="str">
        <f>IFERROR(__xludf.DUMMYFUNCTION("""COMPUTED_VALUE"""),"LEA REMOLLO")</f>
        <v>LEA REMOLLO</v>
      </c>
      <c r="U1128" s="1" t="str">
        <f>IFERROR(__xludf.DUMMYFUNCTION("""COMPUTED_VALUE"""),"JB SALIOA")</f>
        <v>JB SALIOA</v>
      </c>
      <c r="V1128" s="1" t="str">
        <f>IFERROR(__xludf.DUMMYFUNCTION("""COMPUTED_VALUE"""),"ONLINE/CRANFORD")</f>
        <v>ONLINE/CRANFORD</v>
      </c>
      <c r="W1128" s="1" t="str">
        <f>IFERROR(__xludf.DUMMYFUNCTION("""COMPUTED_VALUE"""),"STK REGULAR")</f>
        <v>STK REGULAR</v>
      </c>
      <c r="X1128" s="1" t="str">
        <f>IFERROR(__xludf.DUMMYFUNCTION("""COMPUTED_VALUE"""),"REGULAR")</f>
        <v>REGULAR</v>
      </c>
      <c r="Y1128" s="1" t="str">
        <f>IFERROR(__xludf.DUMMYFUNCTION("""COMPUTED_VALUE"""),"RS_SS_CVEU_2026")</f>
        <v>RS_SS_CVEU_2026</v>
      </c>
      <c r="Z1128" s="1" t="str">
        <f>IFERROR(__xludf.DUMMYFUNCTION("""COMPUTED_VALUE"""),"NEW CONNECT")</f>
        <v>NEW CONNECT</v>
      </c>
      <c r="AA1128" s="1">
        <f>IFERROR(__xludf.DUMMYFUNCTION("""COMPUTED_VALUE"""),639705051137)</f>
        <v>639705051137</v>
      </c>
      <c r="AB1128" s="1">
        <f>IFERROR(__xludf.DUMMYFUNCTION("""COMPUTED_VALUE"""),639631681049)</f>
        <v>639631681049</v>
      </c>
      <c r="AC1128" s="1"/>
      <c r="AD1128" s="1" t="str">
        <f>IFERROR(__xludf.DUMMYFUNCTION("""COMPUTED_VALUE"""),"CITY HOMES RESORTVILLE")</f>
        <v>CITY HOMES RESORTVILLE</v>
      </c>
      <c r="AE1128" s="1" t="str">
        <f>IFERROR(__xludf.DUMMYFUNCTION("""COMPUTED_VALUE"""),"CITY HOMES RESORTVILLE PH5")</f>
        <v>CITY HOMES RESORTVILLE PH5</v>
      </c>
      <c r="AF1128" s="1" t="str">
        <f>IFERROR(__xludf.DUMMYFUNCTION("""COMPUTED_VALUE"""),"BGY LANGKAAN 2")</f>
        <v>BGY LANGKAAN 2</v>
      </c>
      <c r="AG1128" s="1" t="str">
        <f>IFERROR(__xludf.DUMMYFUNCTION("""COMPUTED_VALUE"""),"DASMARINAS")</f>
        <v>DASMARINAS</v>
      </c>
      <c r="AH1128" s="1" t="str">
        <f>IFERROR(__xludf.DUMMYFUNCTION("""COMPUTED_VALUE"""),"BRGY HALL")</f>
        <v>BRGY HALL</v>
      </c>
      <c r="AI1128" s="1" t="str">
        <f>IFERROR(__xludf.DUMMYFUNCTION("""COMPUTED_VALUE"""),"NOT AOR")</f>
        <v>NOT AOR</v>
      </c>
    </row>
    <row r="1129" customHeight="1" spans="1:35">
      <c r="A1129" s="3">
        <f>IFERROR(__xludf.DUMMYFUNCTION("""COMPUTED_VALUE"""),46313)</f>
        <v>46313</v>
      </c>
      <c r="B1129" s="1" t="str">
        <f>IFERROR(__xludf.DUMMYFUNCTION("""COMPUTED_VALUE"""),"ROMEO ERMITA CORPUZ")</f>
        <v>ROMEO ERMITA CORPUZ</v>
      </c>
      <c r="C1129" s="1">
        <f>IFERROR(__xludf.DUMMYFUNCTION("""COMPUTED_VALUE"""),2313233564)</f>
        <v>2313233564</v>
      </c>
      <c r="D1129" s="1"/>
      <c r="E1129" s="1"/>
      <c r="F1129" s="1" t="str">
        <f>IFERROR(__xludf.DUMMYFUNCTION("""COMPUTED_VALUE"""),"CANCELLED")</f>
        <v>CANCELLED</v>
      </c>
      <c r="G1129" s="1" t="str">
        <f>IFERROR(__xludf.DUMMYFUNCTION("""COMPUTED_VALUE"""),"CANCELLED")</f>
        <v>CANCELLED</v>
      </c>
      <c r="H1129" s="1"/>
      <c r="I1129" s="1"/>
      <c r="J1129" s="1"/>
      <c r="K1129" s="1"/>
      <c r="L1129" s="1" t="str">
        <f>IFERROR(__xludf.DUMMYFUNCTION("""COMPUTED_VALUE"""),"CANCELLED - WITH OB")</f>
        <v>CANCELLED - WITH OB</v>
      </c>
      <c r="M1129" s="1" t="str">
        <f>IFERROR(__xludf.DUMMYFUNCTION("""COMPUTED_VALUE"""),"CANCELLED - WITH OB")</f>
        <v>CANCELLED - WITH OB</v>
      </c>
      <c r="N1129" s="3"/>
      <c r="O1129" s="1" t="str">
        <f>IFERROR(__xludf.DUMMYFUNCTION("""COMPUTED_VALUE"""),"FIBR NETFLIX PLAN 1599")</f>
        <v>FIBR NETFLIX PLAN 1599</v>
      </c>
      <c r="P1129" s="1" t="str">
        <f>IFERROR(__xludf.DUMMYFUNCTION("""COMPUTED_VALUE"""),"LOWPLAN")</f>
        <v>LOWPLAN</v>
      </c>
      <c r="Q1129" s="1" t="str">
        <f>IFERROR(__xludf.DUMMYFUNCTION("""COMPUTED_VALUE"""),"P407566")</f>
        <v>P407566</v>
      </c>
      <c r="R1129" s="1" t="str">
        <f>IFERROR(__xludf.DUMMYFUNCTION("""COMPUTED_VALUE"""),"DENACO, RODNEY")</f>
        <v>DENACO, RODNEY</v>
      </c>
      <c r="S1129" s="1" t="str">
        <f>IFERROR(__xludf.DUMMYFUNCTION("""COMPUTED_VALUE"""),"ORGANIC")</f>
        <v>ORGANIC</v>
      </c>
      <c r="T1129" s="1" t="str">
        <f>IFERROR(__xludf.DUMMYFUNCTION("""COMPUTED_VALUE"""),"LEA REMOLLO")</f>
        <v>LEA REMOLLO</v>
      </c>
      <c r="U1129" s="1" t="str">
        <f>IFERROR(__xludf.DUMMYFUNCTION("""COMPUTED_VALUE"""),"JB SALIOA")</f>
        <v>JB SALIOA</v>
      </c>
      <c r="V1129" s="1" t="str">
        <f>IFERROR(__xludf.DUMMYFUNCTION("""COMPUTED_VALUE"""),"ONLINE/CRANFORD")</f>
        <v>ONLINE/CRANFORD</v>
      </c>
      <c r="W1129" s="1" t="str">
        <f>IFERROR(__xludf.DUMMYFUNCTION("""COMPUTED_VALUE"""),"STK REGULAR")</f>
        <v>STK REGULAR</v>
      </c>
      <c r="X1129" s="1" t="str">
        <f>IFERROR(__xludf.DUMMYFUNCTION("""COMPUTED_VALUE"""),"REGULAR")</f>
        <v>REGULAR</v>
      </c>
      <c r="Y1129" s="1" t="str">
        <f>IFERROR(__xludf.DUMMYFUNCTION("""COMPUTED_VALUE"""),"RS_SS_CVEU_2026")</f>
        <v>RS_SS_CVEU_2026</v>
      </c>
      <c r="Z1129" s="1" t="str">
        <f>IFERROR(__xludf.DUMMYFUNCTION("""COMPUTED_VALUE"""),"NEW CONNECT")</f>
        <v>NEW CONNECT</v>
      </c>
      <c r="AA1129" s="1">
        <f>IFERROR(__xludf.DUMMYFUNCTION("""COMPUTED_VALUE"""),639931447282)</f>
        <v>639931447282</v>
      </c>
      <c r="AB1129" s="1">
        <f>IFERROR(__xludf.DUMMYFUNCTION("""COMPUTED_VALUE"""),639926410413)</f>
        <v>639926410413</v>
      </c>
      <c r="AC1129" s="1">
        <f>IFERROR(__xludf.DUMMYFUNCTION("""COMPUTED_VALUE"""),9008)</f>
        <v>9008</v>
      </c>
      <c r="AD1129" s="1" t="str">
        <f>IFERROR(__xludf.DUMMYFUNCTION("""COMPUTED_VALUE"""),"PANTIHAN 2")</f>
        <v>PANTIHAN 2</v>
      </c>
      <c r="AE1129" s="1"/>
      <c r="AF1129" s="1" t="str">
        <f>IFERROR(__xludf.DUMMYFUNCTION("""COMPUTED_VALUE"""),"BGY PANTIHAN 2")</f>
        <v>BGY PANTIHAN 2</v>
      </c>
      <c r="AG1129" s="1" t="str">
        <f>IFERROR(__xludf.DUMMYFUNCTION("""COMPUTED_VALUE"""),"MARAGONDON")</f>
        <v>MARAGONDON</v>
      </c>
      <c r="AH1129" s="1" t="str">
        <f>IFERROR(__xludf.DUMMYFUNCTION("""COMPUTED_VALUE"""),"BRGY HALL")</f>
        <v>BRGY HALL</v>
      </c>
      <c r="AI1129" s="1" t="str">
        <f>IFERROR(__xludf.DUMMYFUNCTION("""COMPUTED_VALUE"""),"NOT AOR")</f>
        <v>NOT AOR</v>
      </c>
    </row>
    <row r="1130" customHeight="1" spans="1:35">
      <c r="A1130" s="3">
        <f>IFERROR(__xludf.DUMMYFUNCTION("""COMPUTED_VALUE"""),46313)</f>
        <v>46313</v>
      </c>
      <c r="B1130" s="1" t="str">
        <f>IFERROR(__xludf.DUMMYFUNCTION("""COMPUTED_VALUE"""),"MARIEL GUSTILO ROQUE")</f>
        <v>MARIEL GUSTILO ROQUE</v>
      </c>
      <c r="C1130" s="1">
        <f>IFERROR(__xludf.DUMMYFUNCTION("""COMPUTED_VALUE"""),2313233784)</f>
        <v>2313233784</v>
      </c>
      <c r="D1130" s="1"/>
      <c r="E1130" s="1"/>
      <c r="F1130" s="1" t="str">
        <f>IFERROR(__xludf.DUMMYFUNCTION("""COMPUTED_VALUE"""),"CANCELLED")</f>
        <v>CANCELLED</v>
      </c>
      <c r="G1130" s="1" t="str">
        <f>IFERROR(__xludf.DUMMYFUNCTION("""COMPUTED_VALUE"""),"CANCELLED")</f>
        <v>CANCELLED</v>
      </c>
      <c r="H1130" s="1"/>
      <c r="I1130" s="1"/>
      <c r="J1130" s="1"/>
      <c r="K1130" s="1"/>
      <c r="L1130" s="1" t="str">
        <f>IFERROR(__xludf.DUMMYFUNCTION("""COMPUTED_VALUE"""),"CANCELLED - WITH OB")</f>
        <v>CANCELLED - WITH OB</v>
      </c>
      <c r="M1130" s="1" t="str">
        <f>IFERROR(__xludf.DUMMYFUNCTION("""COMPUTED_VALUE"""),"CANCELLED - WITH OB")</f>
        <v>CANCELLED - WITH OB</v>
      </c>
      <c r="N1130" s="3"/>
      <c r="O1130" s="1" t="str">
        <f>IFERROR(__xludf.DUMMYFUNCTION("""COMPUTED_VALUE"""),"FIBR PLAN 1299")</f>
        <v>FIBR PLAN 1299</v>
      </c>
      <c r="P1130" s="1" t="str">
        <f>IFERROR(__xludf.DUMMYFUNCTION("""COMPUTED_VALUE"""),"LOWPLAN")</f>
        <v>LOWPLAN</v>
      </c>
      <c r="Q1130" s="1" t="str">
        <f>IFERROR(__xludf.DUMMYFUNCTION("""COMPUTED_VALUE"""),"P407566")</f>
        <v>P407566</v>
      </c>
      <c r="R1130" s="1" t="str">
        <f>IFERROR(__xludf.DUMMYFUNCTION("""COMPUTED_VALUE"""),"DENACO, RODNEY")</f>
        <v>DENACO, RODNEY</v>
      </c>
      <c r="S1130" s="1" t="str">
        <f>IFERROR(__xludf.DUMMYFUNCTION("""COMPUTED_VALUE"""),"ORGANIC")</f>
        <v>ORGANIC</v>
      </c>
      <c r="T1130" s="1" t="str">
        <f>IFERROR(__xludf.DUMMYFUNCTION("""COMPUTED_VALUE"""),"LEA REMOLLO")</f>
        <v>LEA REMOLLO</v>
      </c>
      <c r="U1130" s="1" t="str">
        <f>IFERROR(__xludf.DUMMYFUNCTION("""COMPUTED_VALUE"""),"JB SALIOA")</f>
        <v>JB SALIOA</v>
      </c>
      <c r="V1130" s="1" t="str">
        <f>IFERROR(__xludf.DUMMYFUNCTION("""COMPUTED_VALUE"""),"ONLINE/CRANFORD")</f>
        <v>ONLINE/CRANFORD</v>
      </c>
      <c r="W1130" s="1" t="str">
        <f>IFERROR(__xludf.DUMMYFUNCTION("""COMPUTED_VALUE"""),"STK REGULAR")</f>
        <v>STK REGULAR</v>
      </c>
      <c r="X1130" s="1" t="str">
        <f>IFERROR(__xludf.DUMMYFUNCTION("""COMPUTED_VALUE"""),"REGULAR")</f>
        <v>REGULAR</v>
      </c>
      <c r="Y1130" s="1" t="str">
        <f>IFERROR(__xludf.DUMMYFUNCTION("""COMPUTED_VALUE"""),"RS_SS_CVEU_2026")</f>
        <v>RS_SS_CVEU_2026</v>
      </c>
      <c r="Z1130" s="1" t="str">
        <f>IFERROR(__xludf.DUMMYFUNCTION("""COMPUTED_VALUE"""),"NEW CONNECT")</f>
        <v>NEW CONNECT</v>
      </c>
      <c r="AA1130" s="1">
        <f>IFERROR(__xludf.DUMMYFUNCTION("""COMPUTED_VALUE"""),639958158645)</f>
        <v>639958158645</v>
      </c>
      <c r="AB1130" s="1"/>
      <c r="AC1130" s="1"/>
      <c r="AD1130" s="1" t="str">
        <f>IFERROR(__xludf.DUMMYFUNCTION("""COMPUTED_VALUE"""),"PHILHOMES VILLE")</f>
        <v>PHILHOMES VILLE</v>
      </c>
      <c r="AE1130" s="1" t="str">
        <f>IFERROR(__xludf.DUMMYFUNCTION("""COMPUTED_VALUE"""),"PHILHOMES VILLE SUBDIVISION")</f>
        <v>PHILHOMES VILLE SUBDIVISION</v>
      </c>
      <c r="AF1130" s="1" t="str">
        <f>IFERROR(__xludf.DUMMYFUNCTION("""COMPUTED_VALUE"""),"BGY TOCLONG")</f>
        <v>BGY TOCLONG</v>
      </c>
      <c r="AG1130" s="1" t="str">
        <f>IFERROR(__xludf.DUMMYFUNCTION("""COMPUTED_VALUE"""),"KAWIT")</f>
        <v>KAWIT</v>
      </c>
      <c r="AH1130" s="1" t="str">
        <f>IFERROR(__xludf.DUMMYFUNCTION("""COMPUTED_VALUE"""),"BRGY HALL")</f>
        <v>BRGY HALL</v>
      </c>
      <c r="AI1130" s="1" t="str">
        <f>IFERROR(__xludf.DUMMYFUNCTION("""COMPUTED_VALUE"""),"NOT AOR")</f>
        <v>NOT AOR</v>
      </c>
    </row>
    <row r="1131" customHeight="1" spans="1:35">
      <c r="A1131" s="3">
        <f>IFERROR(__xludf.DUMMYFUNCTION("""COMPUTED_VALUE"""),46313)</f>
        <v>46313</v>
      </c>
      <c r="B1131" s="1" t="str">
        <f>IFERROR(__xludf.DUMMYFUNCTION("""COMPUTED_VALUE"""),"FLORINA ARIOLA AYCRDO")</f>
        <v>FLORINA ARIOLA AYCRDO</v>
      </c>
      <c r="C1131" s="1">
        <f>IFERROR(__xludf.DUMMYFUNCTION("""COMPUTED_VALUE"""),2313233984)</f>
        <v>2313233984</v>
      </c>
      <c r="D1131" s="1"/>
      <c r="E1131" s="1"/>
      <c r="F1131" s="1" t="str">
        <f>IFERROR(__xludf.DUMMYFUNCTION("""COMPUTED_VALUE"""),"CANCELLED")</f>
        <v>CANCELLED</v>
      </c>
      <c r="G1131" s="1" t="str">
        <f>IFERROR(__xludf.DUMMYFUNCTION("""COMPUTED_VALUE"""),"CANCELLED")</f>
        <v>CANCELLED</v>
      </c>
      <c r="H1131" s="1"/>
      <c r="I1131" s="1"/>
      <c r="J1131" s="1"/>
      <c r="K1131" s="1"/>
      <c r="L1131" s="1" t="str">
        <f>IFERROR(__xludf.DUMMYFUNCTION("""COMPUTED_VALUE"""),"CANCELLED - WITH OB")</f>
        <v>CANCELLED - WITH OB</v>
      </c>
      <c r="M1131" s="1" t="str">
        <f>IFERROR(__xludf.DUMMYFUNCTION("""COMPUTED_VALUE"""),"CANCELLED - WITH OB")</f>
        <v>CANCELLED - WITH OB</v>
      </c>
      <c r="N1131" s="3"/>
      <c r="O1131" s="1" t="str">
        <f>IFERROR(__xludf.DUMMYFUNCTION("""COMPUTED_VALUE"""),"FIBR PLAN 1299")</f>
        <v>FIBR PLAN 1299</v>
      </c>
      <c r="P1131" s="1" t="str">
        <f>IFERROR(__xludf.DUMMYFUNCTION("""COMPUTED_VALUE"""),"LOWPLAN")</f>
        <v>LOWPLAN</v>
      </c>
      <c r="Q1131" s="1" t="str">
        <f>IFERROR(__xludf.DUMMYFUNCTION("""COMPUTED_VALUE"""),"P407566")</f>
        <v>P407566</v>
      </c>
      <c r="R1131" s="1" t="str">
        <f>IFERROR(__xludf.DUMMYFUNCTION("""COMPUTED_VALUE"""),"DENACO, RODNEY")</f>
        <v>DENACO, RODNEY</v>
      </c>
      <c r="S1131" s="1" t="str">
        <f>IFERROR(__xludf.DUMMYFUNCTION("""COMPUTED_VALUE"""),"ORGANIC")</f>
        <v>ORGANIC</v>
      </c>
      <c r="T1131" s="1" t="str">
        <f>IFERROR(__xludf.DUMMYFUNCTION("""COMPUTED_VALUE"""),"LEA REMOLLO")</f>
        <v>LEA REMOLLO</v>
      </c>
      <c r="U1131" s="1" t="str">
        <f>IFERROR(__xludf.DUMMYFUNCTION("""COMPUTED_VALUE"""),"JB SALIOA")</f>
        <v>JB SALIOA</v>
      </c>
      <c r="V1131" s="1" t="str">
        <f>IFERROR(__xludf.DUMMYFUNCTION("""COMPUTED_VALUE"""),"ONLINE/CRANFORD")</f>
        <v>ONLINE/CRANFORD</v>
      </c>
      <c r="W1131" s="1" t="str">
        <f>IFERROR(__xludf.DUMMYFUNCTION("""COMPUTED_VALUE"""),"STK REGULAR")</f>
        <v>STK REGULAR</v>
      </c>
      <c r="X1131" s="1" t="str">
        <f>IFERROR(__xludf.DUMMYFUNCTION("""COMPUTED_VALUE"""),"REGULAR")</f>
        <v>REGULAR</v>
      </c>
      <c r="Y1131" s="1" t="str">
        <f>IFERROR(__xludf.DUMMYFUNCTION("""COMPUTED_VALUE"""),"RS_SS_CVEU_2026")</f>
        <v>RS_SS_CVEU_2026</v>
      </c>
      <c r="Z1131" s="1" t="str">
        <f>IFERROR(__xludf.DUMMYFUNCTION("""COMPUTED_VALUE"""),"NEW CONNECT")</f>
        <v>NEW CONNECT</v>
      </c>
      <c r="AA1131" s="1">
        <f>IFERROR(__xludf.DUMMYFUNCTION("""COMPUTED_VALUE"""),639957202756)</f>
        <v>639957202756</v>
      </c>
      <c r="AB1131" s="1">
        <f>IFERROR(__xludf.DUMMYFUNCTION("""COMPUTED_VALUE"""),639669350037)</f>
        <v>639669350037</v>
      </c>
      <c r="AC1131" s="1"/>
      <c r="AD1131" s="1" t="str">
        <f>IFERROR(__xludf.DUMMYFUNCTION("""COMPUTED_VALUE"""),"WINWARD HILLS")</f>
        <v>WINWARD HILLS</v>
      </c>
      <c r="AE1131" s="1" t="str">
        <f>IFERROR(__xludf.DUMMYFUNCTION("""COMPUTED_VALUE"""),"WINDWARD HILLS SUBDIVISION")</f>
        <v>WINDWARD HILLS SUBDIVISION</v>
      </c>
      <c r="AF1131" s="1" t="str">
        <f>IFERROR(__xludf.DUMMYFUNCTION("""COMPUTED_VALUE"""),"BGY BUROL 1")</f>
        <v>BGY BUROL 1</v>
      </c>
      <c r="AG1131" s="1" t="str">
        <f>IFERROR(__xludf.DUMMYFUNCTION("""COMPUTED_VALUE"""),"DASMARINAS")</f>
        <v>DASMARINAS</v>
      </c>
      <c r="AH1131" s="1" t="str">
        <f>IFERROR(__xludf.DUMMYFUNCTION("""COMPUTED_VALUE"""),"-")</f>
        <v>-</v>
      </c>
      <c r="AI1131" s="1" t="str">
        <f>IFERROR(__xludf.DUMMYFUNCTION("""COMPUTED_VALUE"""),"NOT AOR")</f>
        <v>NOT AOR</v>
      </c>
    </row>
    <row r="1132" customHeight="1" spans="1:35">
      <c r="A1132" s="3">
        <f>IFERROR(__xludf.DUMMYFUNCTION("""COMPUTED_VALUE"""),46313)</f>
        <v>46313</v>
      </c>
      <c r="B1132" s="1" t="str">
        <f>IFERROR(__xludf.DUMMYFUNCTION("""COMPUTED_VALUE"""),"JONADEL NUNAG MEDRANO")</f>
        <v>JONADEL NUNAG MEDRANO</v>
      </c>
      <c r="C1132" s="1">
        <f>IFERROR(__xludf.DUMMYFUNCTION("""COMPUTED_VALUE"""),2313234373)</f>
        <v>2313234373</v>
      </c>
      <c r="D1132" s="1"/>
      <c r="E1132" s="1"/>
      <c r="F1132" s="1" t="str">
        <f>IFERROR(__xludf.DUMMYFUNCTION("""COMPUTED_VALUE"""),"CANCELLED")</f>
        <v>CANCELLED</v>
      </c>
      <c r="G1132" s="1" t="str">
        <f>IFERROR(__xludf.DUMMYFUNCTION("""COMPUTED_VALUE"""),"CANCELLED")</f>
        <v>CANCELLED</v>
      </c>
      <c r="H1132" s="1"/>
      <c r="I1132" s="1"/>
      <c r="J1132" s="1"/>
      <c r="K1132" s="1"/>
      <c r="L1132" s="1" t="str">
        <f>IFERROR(__xludf.DUMMYFUNCTION("""COMPUTED_VALUE"""),"CANCELLED - WITH OB")</f>
        <v>CANCELLED - WITH OB</v>
      </c>
      <c r="M1132" s="1" t="str">
        <f>IFERROR(__xludf.DUMMYFUNCTION("""COMPUTED_VALUE"""),"CANCELLED - WITH OB")</f>
        <v>CANCELLED - WITH OB</v>
      </c>
      <c r="N1132" s="3"/>
      <c r="O1132" s="1" t="str">
        <f>IFERROR(__xludf.DUMMYFUNCTION("""COMPUTED_VALUE"""),"FIBR PLAN 1299")</f>
        <v>FIBR PLAN 1299</v>
      </c>
      <c r="P1132" s="1" t="str">
        <f>IFERROR(__xludf.DUMMYFUNCTION("""COMPUTED_VALUE"""),"LOWPLAN")</f>
        <v>LOWPLAN</v>
      </c>
      <c r="Q1132" s="1" t="str">
        <f>IFERROR(__xludf.DUMMYFUNCTION("""COMPUTED_VALUE"""),"P407566")</f>
        <v>P407566</v>
      </c>
      <c r="R1132" s="1" t="str">
        <f>IFERROR(__xludf.DUMMYFUNCTION("""COMPUTED_VALUE"""),"DENACO, RODNEY")</f>
        <v>DENACO, RODNEY</v>
      </c>
      <c r="S1132" s="1" t="str">
        <f>IFERROR(__xludf.DUMMYFUNCTION("""COMPUTED_VALUE"""),"ORGANIC")</f>
        <v>ORGANIC</v>
      </c>
      <c r="T1132" s="1" t="str">
        <f>IFERROR(__xludf.DUMMYFUNCTION("""COMPUTED_VALUE"""),"LEA REMOLLO")</f>
        <v>LEA REMOLLO</v>
      </c>
      <c r="U1132" s="1" t="str">
        <f>IFERROR(__xludf.DUMMYFUNCTION("""COMPUTED_VALUE"""),"JB SALIOA")</f>
        <v>JB SALIOA</v>
      </c>
      <c r="V1132" s="1" t="str">
        <f>IFERROR(__xludf.DUMMYFUNCTION("""COMPUTED_VALUE"""),"BK REGULAR")</f>
        <v>BK REGULAR</v>
      </c>
      <c r="W1132" s="1" t="str">
        <f>IFERROR(__xludf.DUMMYFUNCTION("""COMPUTED_VALUE"""),"STK REGULAR")</f>
        <v>STK REGULAR</v>
      </c>
      <c r="X1132" s="1" t="str">
        <f>IFERROR(__xludf.DUMMYFUNCTION("""COMPUTED_VALUE"""),"REGULAR")</f>
        <v>REGULAR</v>
      </c>
      <c r="Y1132" s="1" t="str">
        <f>IFERROR(__xludf.DUMMYFUNCTION("""COMPUTED_VALUE"""),"BK_CVEU_261007")</f>
        <v>BK_CVEU_261007</v>
      </c>
      <c r="Z1132" s="1" t="str">
        <f>IFERROR(__xludf.DUMMYFUNCTION("""COMPUTED_VALUE"""),"NEW CONNECT")</f>
        <v>NEW CONNECT</v>
      </c>
      <c r="AA1132" s="1">
        <f>IFERROR(__xludf.DUMMYFUNCTION("""COMPUTED_VALUE"""),639661609236)</f>
        <v>639661609236</v>
      </c>
      <c r="AB1132" s="1">
        <f>IFERROR(__xludf.DUMMYFUNCTION("""COMPUTED_VALUE"""),639927246063)</f>
        <v>639927246063</v>
      </c>
      <c r="AC1132" s="1"/>
      <c r="AD1132" s="1" t="str">
        <f>IFERROR(__xludf.DUMMYFUNCTION("""COMPUTED_VALUE"""),"E AGUINALDO")</f>
        <v>E AGUINALDO</v>
      </c>
      <c r="AE1132" s="1" t="str">
        <f>IFERROR(__xludf.DUMMYFUNCTION("""COMPUTED_VALUE"""),"SMDC WIND RESIDENCES TOWER 4")</f>
        <v>SMDC WIND RESIDENCES TOWER 4</v>
      </c>
      <c r="AF1132" s="1" t="str">
        <f>IFERROR(__xludf.DUMMYFUNCTION("""COMPUTED_VALUE"""),"BGY MAHARLIKA WEST")</f>
        <v>BGY MAHARLIKA WEST</v>
      </c>
      <c r="AG1132" s="1" t="str">
        <f>IFERROR(__xludf.DUMMYFUNCTION("""COMPUTED_VALUE"""),"TAGAYTAY")</f>
        <v>TAGAYTAY</v>
      </c>
      <c r="AH1132" s="1" t="str">
        <f>IFERROR(__xludf.DUMMYFUNCTION("""COMPUTED_VALUE"""),"SMDC")</f>
        <v>SMDC</v>
      </c>
      <c r="AI1132" s="1" t="str">
        <f>IFERROR(__xludf.DUMMYFUNCTION("""COMPUTED_VALUE"""),"CLUSTER 12")</f>
        <v>CLUSTER 12</v>
      </c>
    </row>
    <row r="1133" customHeight="1" spans="1:35">
      <c r="A1133" s="3">
        <f>IFERROR(__xludf.DUMMYFUNCTION("""COMPUTED_VALUE"""),46313)</f>
        <v>46313</v>
      </c>
      <c r="B1133" s="1" t="str">
        <f>IFERROR(__xludf.DUMMYFUNCTION("""COMPUTED_VALUE"""),"VINCENT ZABALA VALLE")</f>
        <v>VINCENT ZABALA VALLE</v>
      </c>
      <c r="C1133" s="1">
        <f>IFERROR(__xludf.DUMMYFUNCTION("""COMPUTED_VALUE"""),2313234523)</f>
        <v>2313234523</v>
      </c>
      <c r="D1133" s="1"/>
      <c r="E1133" s="1"/>
      <c r="F1133" s="1" t="str">
        <f>IFERROR(__xludf.DUMMYFUNCTION("""COMPUTED_VALUE"""),"CANCELLED")</f>
        <v>CANCELLED</v>
      </c>
      <c r="G1133" s="1" t="str">
        <f>IFERROR(__xludf.DUMMYFUNCTION("""COMPUTED_VALUE"""),"CANCELLED")</f>
        <v>CANCELLED</v>
      </c>
      <c r="H1133" s="1"/>
      <c r="I1133" s="1"/>
      <c r="J1133" s="1"/>
      <c r="K1133" s="1"/>
      <c r="L1133" s="1" t="str">
        <f>IFERROR(__xludf.DUMMYFUNCTION("""COMPUTED_VALUE"""),"CANCELLED - WITH OB")</f>
        <v>CANCELLED - WITH OB</v>
      </c>
      <c r="M1133" s="1" t="str">
        <f>IFERROR(__xludf.DUMMYFUNCTION("""COMPUTED_VALUE"""),"CANCELLED - WITH OB")</f>
        <v>CANCELLED - WITH OB</v>
      </c>
      <c r="N1133" s="3"/>
      <c r="O1133" s="1" t="str">
        <f>IFERROR(__xludf.DUMMYFUNCTION("""COMPUTED_VALUE"""),"FIBR PLAN 1299")</f>
        <v>FIBR PLAN 1299</v>
      </c>
      <c r="P1133" s="1" t="str">
        <f>IFERROR(__xludf.DUMMYFUNCTION("""COMPUTED_VALUE"""),"LOWPLAN")</f>
        <v>LOWPLAN</v>
      </c>
      <c r="Q1133" s="1" t="str">
        <f>IFERROR(__xludf.DUMMYFUNCTION("""COMPUTED_VALUE"""),"P407566")</f>
        <v>P407566</v>
      </c>
      <c r="R1133" s="1" t="str">
        <f>IFERROR(__xludf.DUMMYFUNCTION("""COMPUTED_VALUE"""),"DENACO, RODNEY")</f>
        <v>DENACO, RODNEY</v>
      </c>
      <c r="S1133" s="1" t="str">
        <f>IFERROR(__xludf.DUMMYFUNCTION("""COMPUTED_VALUE"""),"ORGANIC")</f>
        <v>ORGANIC</v>
      </c>
      <c r="T1133" s="1" t="str">
        <f>IFERROR(__xludf.DUMMYFUNCTION("""COMPUTED_VALUE"""),"LEA REMOLLO")</f>
        <v>LEA REMOLLO</v>
      </c>
      <c r="U1133" s="1" t="str">
        <f>IFERROR(__xludf.DUMMYFUNCTION("""COMPUTED_VALUE"""),"JB SALIOA")</f>
        <v>JB SALIOA</v>
      </c>
      <c r="V1133" s="1" t="str">
        <f>IFERROR(__xludf.DUMMYFUNCTION("""COMPUTED_VALUE"""),"BK HSTK")</f>
        <v>BK HSTK</v>
      </c>
      <c r="W1133" s="1" t="str">
        <f>IFERROR(__xludf.DUMMYFUNCTION("""COMPUTED_VALUE"""),"BK HSTK")</f>
        <v>BK HSTK</v>
      </c>
      <c r="X1133" s="1" t="str">
        <f>IFERROR(__xludf.DUMMYFUNCTION("""COMPUTED_VALUE"""),"REGULAR")</f>
        <v>REGULAR</v>
      </c>
      <c r="Y1133" s="1" t="str">
        <f>IFERROR(__xludf.DUMMYFUNCTION("""COMPUTED_VALUE"""),"BK_CVEU_261006")</f>
        <v>BK_CVEU_261006</v>
      </c>
      <c r="Z1133" s="1" t="str">
        <f>IFERROR(__xludf.DUMMYFUNCTION("""COMPUTED_VALUE"""),"NEW CONNECT")</f>
        <v>NEW CONNECT</v>
      </c>
      <c r="AA1133" s="1">
        <f>IFERROR(__xludf.DUMMYFUNCTION("""COMPUTED_VALUE"""),639459614924)</f>
        <v>639459614924</v>
      </c>
      <c r="AB1133" s="1">
        <f>IFERROR(__xludf.DUMMYFUNCTION("""COMPUTED_VALUE"""),639936249448)</f>
        <v>639936249448</v>
      </c>
      <c r="AC1133" s="1"/>
      <c r="AD1133" s="1" t="str">
        <f>IFERROR(__xludf.DUMMYFUNCTION("""COMPUTED_VALUE"""),"BUKLURAN 1")</f>
        <v>BUKLURAN 1</v>
      </c>
      <c r="AE1133" s="1" t="str">
        <f>IFERROR(__xludf.DUMMYFUNCTION("""COMPUTED_VALUE"""),"BUKLURAN 1")</f>
        <v>BUKLURAN 1</v>
      </c>
      <c r="AF1133" s="1" t="str">
        <f>IFERROR(__xludf.DUMMYFUNCTION("""COMPUTED_VALUE"""),"BGY BULIHAN")</f>
        <v>BGY BULIHAN</v>
      </c>
      <c r="AG1133" s="1" t="str">
        <f>IFERROR(__xludf.DUMMYFUNCTION("""COMPUTED_VALUE"""),"SILANG")</f>
        <v>SILANG</v>
      </c>
      <c r="AH1133" s="1" t="str">
        <f>IFERROR(__xludf.DUMMYFUNCTION("""COMPUTED_VALUE"""),"MCDO BULIHAN")</f>
        <v>MCDO BULIHAN</v>
      </c>
      <c r="AI1133" s="1" t="str">
        <f>IFERROR(__xludf.DUMMYFUNCTION("""COMPUTED_VALUE"""),"CLUSTER 11")</f>
        <v>CLUSTER 11</v>
      </c>
    </row>
    <row r="1134" customHeight="1" spans="1:35">
      <c r="A1134" s="3">
        <f>IFERROR(__xludf.DUMMYFUNCTION("""COMPUTED_VALUE"""),46313)</f>
        <v>46313</v>
      </c>
      <c r="B1134" s="1" t="str">
        <f>IFERROR(__xludf.DUMMYFUNCTION("""COMPUTED_VALUE"""),"JUDY ANN NAYSAYO DELOS SANTOS")</f>
        <v>JUDY ANN NAYSAYO DELOS SANTOS</v>
      </c>
      <c r="C1134" s="1">
        <f>IFERROR(__xludf.DUMMYFUNCTION("""COMPUTED_VALUE"""),2313234713)</f>
        <v>2313234713</v>
      </c>
      <c r="D1134" s="1"/>
      <c r="E1134" s="1"/>
      <c r="F1134" s="1" t="str">
        <f>IFERROR(__xludf.DUMMYFUNCTION("""COMPUTED_VALUE"""),"CANCELLED")</f>
        <v>CANCELLED</v>
      </c>
      <c r="G1134" s="1" t="str">
        <f>IFERROR(__xludf.DUMMYFUNCTION("""COMPUTED_VALUE"""),"CANCELLED")</f>
        <v>CANCELLED</v>
      </c>
      <c r="H1134" s="1"/>
      <c r="I1134" s="1"/>
      <c r="J1134" s="1"/>
      <c r="K1134" s="1"/>
      <c r="L1134" s="1" t="str">
        <f>IFERROR(__xludf.DUMMYFUNCTION("""COMPUTED_VALUE"""),"CANCELLED - WITH OB")</f>
        <v>CANCELLED - WITH OB</v>
      </c>
      <c r="M1134" s="1" t="str">
        <f>IFERROR(__xludf.DUMMYFUNCTION("""COMPUTED_VALUE"""),"CANCELLED - WITH OB")</f>
        <v>CANCELLED - WITH OB</v>
      </c>
      <c r="N1134" s="3"/>
      <c r="O1134" s="1" t="str">
        <f>IFERROR(__xludf.DUMMYFUNCTION("""COMPUTED_VALUE"""),"FIBR PLAN 1299")</f>
        <v>FIBR PLAN 1299</v>
      </c>
      <c r="P1134" s="1" t="str">
        <f>IFERROR(__xludf.DUMMYFUNCTION("""COMPUTED_VALUE"""),"LOWPLAN")</f>
        <v>LOWPLAN</v>
      </c>
      <c r="Q1134" s="1" t="str">
        <f>IFERROR(__xludf.DUMMYFUNCTION("""COMPUTED_VALUE"""),"P407566")</f>
        <v>P407566</v>
      </c>
      <c r="R1134" s="1" t="str">
        <f>IFERROR(__xludf.DUMMYFUNCTION("""COMPUTED_VALUE"""),"DENACO, RODNEY")</f>
        <v>DENACO, RODNEY</v>
      </c>
      <c r="S1134" s="1" t="str">
        <f>IFERROR(__xludf.DUMMYFUNCTION("""COMPUTED_VALUE"""),"ORGANIC")</f>
        <v>ORGANIC</v>
      </c>
      <c r="T1134" s="1" t="str">
        <f>IFERROR(__xludf.DUMMYFUNCTION("""COMPUTED_VALUE"""),"LEA REMOLLO")</f>
        <v>LEA REMOLLO</v>
      </c>
      <c r="U1134" s="1" t="str">
        <f>IFERROR(__xludf.DUMMYFUNCTION("""COMPUTED_VALUE"""),"JB SALIOA")</f>
        <v>JB SALIOA</v>
      </c>
      <c r="V1134" s="1" t="str">
        <f>IFERROR(__xludf.DUMMYFUNCTION("""COMPUTED_VALUE"""),"BK HSTK")</f>
        <v>BK HSTK</v>
      </c>
      <c r="W1134" s="1" t="str">
        <f>IFERROR(__xludf.DUMMYFUNCTION("""COMPUTED_VALUE"""),"BK HSTK")</f>
        <v>BK HSTK</v>
      </c>
      <c r="X1134" s="1" t="str">
        <f>IFERROR(__xludf.DUMMYFUNCTION("""COMPUTED_VALUE"""),"REGULAR")</f>
        <v>REGULAR</v>
      </c>
      <c r="Y1134" s="1" t="str">
        <f>IFERROR(__xludf.DUMMYFUNCTION("""COMPUTED_VALUE"""),"BK_CVEU_261006")</f>
        <v>BK_CVEU_261006</v>
      </c>
      <c r="Z1134" s="1" t="str">
        <f>IFERROR(__xludf.DUMMYFUNCTION("""COMPUTED_VALUE"""),"NEW CONNECT")</f>
        <v>NEW CONNECT</v>
      </c>
      <c r="AA1134" s="1">
        <f>IFERROR(__xludf.DUMMYFUNCTION("""COMPUTED_VALUE"""),639975313910)</f>
        <v>639975313910</v>
      </c>
      <c r="AB1134" s="1">
        <f>IFERROR(__xludf.DUMMYFUNCTION("""COMPUTED_VALUE"""),639525935893)</f>
        <v>639525935893</v>
      </c>
      <c r="AC1134" s="1"/>
      <c r="AD1134" s="1" t="str">
        <f>IFERROR(__xludf.DUMMYFUNCTION("""COMPUTED_VALUE"""),"ANAHAW 1")</f>
        <v>ANAHAW 1</v>
      </c>
      <c r="AE1134" s="1"/>
      <c r="AF1134" s="1" t="str">
        <f>IFERROR(__xludf.DUMMYFUNCTION("""COMPUTED_VALUE"""),"BGY ANAHAW 1")</f>
        <v>BGY ANAHAW 1</v>
      </c>
      <c r="AG1134" s="1" t="str">
        <f>IFERROR(__xludf.DUMMYFUNCTION("""COMPUTED_VALUE"""),"SILANG")</f>
        <v>SILANG</v>
      </c>
      <c r="AH1134" s="1" t="str">
        <f>IFERROR(__xludf.DUMMYFUNCTION("""COMPUTED_VALUE"""),"INFRONT OF LARRY BAKERY")</f>
        <v>INFRONT OF LARRY BAKERY</v>
      </c>
      <c r="AI1134" s="1" t="str">
        <f>IFERROR(__xludf.DUMMYFUNCTION("""COMPUTED_VALUE"""),"CLUSTER 11")</f>
        <v>CLUSTER 11</v>
      </c>
    </row>
    <row r="1135" customHeight="1" spans="1:35">
      <c r="A1135" s="3">
        <f>IFERROR(__xludf.DUMMYFUNCTION("""COMPUTED_VALUE"""),46313)</f>
        <v>46313</v>
      </c>
      <c r="B1135" s="1" t="str">
        <f>IFERROR(__xludf.DUMMYFUNCTION("""COMPUTED_VALUE"""),"ROSALIN DASIGAN MURCIA")</f>
        <v>ROSALIN DASIGAN MURCIA</v>
      </c>
      <c r="C1135" s="1">
        <f>IFERROR(__xludf.DUMMYFUNCTION("""COMPUTED_VALUE"""),2313234932)</f>
        <v>2313234932</v>
      </c>
      <c r="D1135" s="1">
        <f>IFERROR(__xludf.DUMMYFUNCTION("""COMPUTED_VALUE"""),409103073)</f>
        <v>409103073</v>
      </c>
      <c r="E1135" s="1">
        <f>IFERROR(__xludf.DUMMYFUNCTION("""COMPUTED_VALUE"""),476116812004)</f>
        <v>476116812004</v>
      </c>
      <c r="F1135" s="1" t="str">
        <f>IFERROR(__xludf.DUMMYFUNCTION("""COMPUTED_VALUE"""),"CANCELED")</f>
        <v>CANCELED</v>
      </c>
      <c r="G1135" s="1" t="str">
        <f>IFERROR(__xludf.DUMMYFUNCTION("""COMPUTED_VALUE"""),"CALL THRU CANCEL REQUEST MAG UUSAP DAW PO MUNA SILA NG ASAWA NYA AT BIYENAN NYA REGARDING SA MONTHLY PAYMENT TALK ROSALIN DASIGAN MURCIA 09994900336")</f>
        <v>CALL THRU CANCEL REQUEST MAG UUSAP DAW PO MUNA SILA NG ASAWA NYA AT BIYENAN NYA REGARDING SA MONTHLY PAYMENT TALK ROSALIN DASIGAN MURCIA 09994900336</v>
      </c>
      <c r="H1135" s="1"/>
      <c r="I1135" s="1"/>
      <c r="J1135" s="1"/>
      <c r="K1135" s="1" t="str">
        <f>IFERROR(__xludf.DUMMYFUNCTION("""COMPUTED_VALUE"""),"CANCELED")</f>
        <v>CANCELED</v>
      </c>
      <c r="L1135" s="1" t="str">
        <f>IFERROR(__xludf.DUMMYFUNCTION("""COMPUTED_VALUE"""),"RPR - SUBS CANCEL REQUEST")</f>
        <v>RPR - SUBS CANCEL REQUEST</v>
      </c>
      <c r="M1135" s="1" t="str">
        <f>IFERROR(__xludf.DUMMYFUNCTION("""COMPUTED_VALUE"""),"RPR- SUBS CANCEL REQUEST")</f>
        <v>RPR- SUBS CANCEL REQUEST</v>
      </c>
      <c r="N1135" s="3"/>
      <c r="O1135" s="1" t="str">
        <f>IFERROR(__xludf.DUMMYFUNCTION("""COMPUTED_VALUE"""),"FIBER UNLI PLAN 1399")</f>
        <v>FIBER UNLI PLAN 1399</v>
      </c>
      <c r="P1135" s="1" t="str">
        <f>IFERROR(__xludf.DUMMYFUNCTION("""COMPUTED_VALUE"""),"LOWPLAN")</f>
        <v>LOWPLAN</v>
      </c>
      <c r="Q1135" s="1" t="str">
        <f>IFERROR(__xludf.DUMMYFUNCTION("""COMPUTED_VALUE"""),"P408049")</f>
        <v>P408049</v>
      </c>
      <c r="R1135" s="1" t="str">
        <f>IFERROR(__xludf.DUMMYFUNCTION("""COMPUTED_VALUE"""),"CORNELIO, CATHERINE")</f>
        <v>CORNELIO, CATHERINE</v>
      </c>
      <c r="S1135" s="1" t="str">
        <f>IFERROR(__xludf.DUMMYFUNCTION("""COMPUTED_VALUE"""),"ORGANIC")</f>
        <v>ORGANIC</v>
      </c>
      <c r="T1135" s="1" t="str">
        <f>IFERROR(__xludf.DUMMYFUNCTION("""COMPUTED_VALUE"""),"LEA REMOLLO")</f>
        <v>LEA REMOLLO</v>
      </c>
      <c r="U1135" s="1" t="str">
        <f>IFERROR(__xludf.DUMMYFUNCTION("""COMPUTED_VALUE"""),"JB SALIOA")</f>
        <v>JB SALIOA</v>
      </c>
      <c r="V1135" s="1" t="str">
        <f>IFERROR(__xludf.DUMMYFUNCTION("""COMPUTED_VALUE"""),"BK HSTK")</f>
        <v>BK HSTK</v>
      </c>
      <c r="W1135" s="1" t="str">
        <f>IFERROR(__xludf.DUMMYFUNCTION("""COMPUTED_VALUE"""),"BK HSTK")</f>
        <v>BK HSTK</v>
      </c>
      <c r="X1135" s="1" t="str">
        <f>IFERROR(__xludf.DUMMYFUNCTION("""COMPUTED_VALUE"""),"FIBER 1399 98TH YR")</f>
        <v>FIBER 1399 98TH YR</v>
      </c>
      <c r="Y1135" s="1" t="str">
        <f>IFERROR(__xludf.DUMMYFUNCTION("""COMPUTED_VALUE"""),"BK_CVEU_261002")</f>
        <v>BK_CVEU_261002</v>
      </c>
      <c r="Z1135" s="1" t="str">
        <f>IFERROR(__xludf.DUMMYFUNCTION("""COMPUTED_VALUE"""),"NEW CONNECT")</f>
        <v>NEW CONNECT</v>
      </c>
      <c r="AA1135" s="1">
        <f>IFERROR(__xludf.DUMMYFUNCTION("""COMPUTED_VALUE"""),639638863260)</f>
        <v>639638863260</v>
      </c>
      <c r="AB1135" s="1">
        <f>IFERROR(__xludf.DUMMYFUNCTION("""COMPUTED_VALUE"""),639994900336)</f>
        <v>639994900336</v>
      </c>
      <c r="AC1135" s="1">
        <f>IFERROR(__xludf.DUMMYFUNCTION("""COMPUTED_VALUE"""),49)</f>
        <v>49</v>
      </c>
      <c r="AD1135" s="1" t="str">
        <f>IFERROR(__xludf.DUMMYFUNCTION("""COMPUTED_VALUE"""),"PUROK 7")</f>
        <v>PUROK 7</v>
      </c>
      <c r="AE1135" s="1"/>
      <c r="AF1135" s="1" t="str">
        <f>IFERROR(__xludf.DUMMYFUNCTION("""COMPUTED_VALUE"""),"BGY BUCAL")</f>
        <v>BGY BUCAL</v>
      </c>
      <c r="AG1135" s="1" t="str">
        <f>IFERROR(__xludf.DUMMYFUNCTION("""COMPUTED_VALUE"""),"AMADEO")</f>
        <v>AMADEO</v>
      </c>
      <c r="AH1135" s="1" t="str">
        <f>IFERROR(__xludf.DUMMYFUNCTION("""COMPUTED_VALUE"""),"-")</f>
        <v>-</v>
      </c>
      <c r="AI1135" s="1" t="str">
        <f>IFERROR(__xludf.DUMMYFUNCTION("""COMPUTED_VALUE"""),"CLUSTER 12")</f>
        <v>CLUSTER 12</v>
      </c>
    </row>
    <row r="1136" customHeight="1" spans="1:35">
      <c r="A1136" s="3">
        <f>IFERROR(__xludf.DUMMYFUNCTION("""COMPUTED_VALUE"""),46314)</f>
        <v>46314</v>
      </c>
      <c r="B1136" s="1" t="str">
        <f>IFERROR(__xludf.DUMMYFUNCTION("""COMPUTED_VALUE"""),"MA. ALYSSA SALVIO ARCEO")</f>
        <v>MA. ALYSSA SALVIO ARCEO</v>
      </c>
      <c r="C1136" s="1">
        <f>IFERROR(__xludf.DUMMYFUNCTION("""COMPUTED_VALUE"""),2313243080)</f>
        <v>2313243080</v>
      </c>
      <c r="D1136" s="1">
        <f>IFERROR(__xludf.DUMMYFUNCTION("""COMPUTED_VALUE"""),409142745)</f>
        <v>409142745</v>
      </c>
      <c r="E1136" s="1">
        <f>IFERROR(__xludf.DUMMYFUNCTION("""COMPUTED_VALUE"""),476293449004)</f>
        <v>476293449004</v>
      </c>
      <c r="F1136" s="1" t="str">
        <f>IFERROR(__xludf.DUMMYFUNCTION("""COMPUTED_VALUE"""),"AFD")</f>
        <v>AFD</v>
      </c>
      <c r="G1136" s="1" t="str">
        <f>IFERROR(__xludf.DUMMYFUNCTION("""COMPUTED_VALUE"""),"FOR RESCHEDULE ALL LCP LOST IN LALANA HUGO PEREZ ANG RAMI NA DIN PO NAG LAPITAN SAMIN DITO MONDAY PADAW SILA WALANG INTERNET   VISITED")</f>
        <v>FOR RESCHEDULE ALL LCP LOST IN LALANA HUGO PEREZ ANG RAMI NA DIN PO NAG LAPITAN SAMIN DITO MONDAY PADAW SILA WALANG INTERNET   VISITED</v>
      </c>
      <c r="H1136" s="1" t="str">
        <f>IFERROR(__xludf.DUMMYFUNCTION("""COMPUTED_VALUE"""),"PAID VIA GCASH 398106137 OCT 21")</f>
        <v>PAID VIA GCASH 398106137 OCT 21</v>
      </c>
      <c r="I1136" s="1" t="str">
        <f>IFERROR(__xludf.DUMMYFUNCTION("""COMPUTED_VALUE"""),"WITH 1 AMSF")</f>
        <v>WITH 1 AMSF</v>
      </c>
      <c r="J1136" s="1"/>
      <c r="K1136" s="1" t="str">
        <f>IFERROR(__xludf.DUMMYFUNCTION("""COMPUTED_VALUE"""),"NOT IN OFSC")</f>
        <v>NOT IN OFSC</v>
      </c>
      <c r="L1136" s="1" t="str">
        <f>IFERROR(__xludf.DUMMYFUNCTION("""COMPUTED_VALUE"""),"AFD - RESCHEDULE")</f>
        <v>AFD - RESCHEDULE</v>
      </c>
      <c r="M1136" s="1" t="str">
        <f>IFERROR(__xludf.DUMMYFUNCTION("""COMPUTED_VALUE"""),"AFD - RESCHEDULED")</f>
        <v>AFD - RESCHEDULED</v>
      </c>
      <c r="N1136" s="3"/>
      <c r="O1136" s="1" t="str">
        <f>IFERROR(__xludf.DUMMYFUNCTION("""COMPUTED_VALUE"""),"FIBER UNLI PLAN 1399")</f>
        <v>FIBER UNLI PLAN 1399</v>
      </c>
      <c r="P1136" s="1" t="str">
        <f>IFERROR(__xludf.DUMMYFUNCTION("""COMPUTED_VALUE"""),"LOWPLAN")</f>
        <v>LOWPLAN</v>
      </c>
      <c r="Q1136" s="1" t="str">
        <f>IFERROR(__xludf.DUMMYFUNCTION("""COMPUTED_VALUE"""),"P407517")</f>
        <v>P407517</v>
      </c>
      <c r="R1136" s="1" t="str">
        <f>IFERROR(__xludf.DUMMYFUNCTION("""COMPUTED_VALUE"""),"GABAY, MANUEL")</f>
        <v>GABAY, MANUEL</v>
      </c>
      <c r="S1136" s="1" t="str">
        <f>IFERROR(__xludf.DUMMYFUNCTION("""COMPUTED_VALUE"""),"FLA")</f>
        <v>FLA</v>
      </c>
      <c r="T1136" s="1" t="str">
        <f>IFERROR(__xludf.DUMMYFUNCTION("""COMPUTED_VALUE"""),"JERIC NAVARRO")</f>
        <v>JERIC NAVARRO</v>
      </c>
      <c r="U1136" s="1" t="str">
        <f>IFERROR(__xludf.DUMMYFUNCTION("""COMPUTED_VALUE"""),"JB SALIOA")</f>
        <v>JB SALIOA</v>
      </c>
      <c r="V1136" s="1" t="str">
        <f>IFERROR(__xludf.DUMMYFUNCTION("""COMPUTED_VALUE"""),"ONLINE/CRANFORD")</f>
        <v>ONLINE/CRANFORD</v>
      </c>
      <c r="W1136" s="1" t="str">
        <f>IFERROR(__xludf.DUMMYFUNCTION("""COMPUTED_VALUE"""),"STK REGULAR")</f>
        <v>STK REGULAR</v>
      </c>
      <c r="X1136" s="1" t="str">
        <f>IFERROR(__xludf.DUMMYFUNCTION("""COMPUTED_VALUE"""),"FIBER 1399 98TH YR")</f>
        <v>FIBER 1399 98TH YR</v>
      </c>
      <c r="Y1136" s="1" t="str">
        <f>IFERROR(__xludf.DUMMYFUNCTION("""COMPUTED_VALUE"""),"RS_SS_CVEU_2026")</f>
        <v>RS_SS_CVEU_2026</v>
      </c>
      <c r="Z1136" s="1" t="str">
        <f>IFERROR(__xludf.DUMMYFUNCTION("""COMPUTED_VALUE"""),"NEW CONNECT")</f>
        <v>NEW CONNECT</v>
      </c>
      <c r="AA1136" s="1">
        <f>IFERROR(__xludf.DUMMYFUNCTION("""COMPUTED_VALUE"""),639708371732)</f>
        <v>639708371732</v>
      </c>
      <c r="AB1136" s="1">
        <f>IFERROR(__xludf.DUMMYFUNCTION("""COMPUTED_VALUE"""),639757883545)</f>
        <v>639757883545</v>
      </c>
      <c r="AC1136" s="1"/>
      <c r="AD1136" s="1" t="str">
        <f>IFERROR(__xludf.DUMMYFUNCTION("""COMPUTED_VALUE"""),"SAN FRANCESCO VILLAGGIO")</f>
        <v>SAN FRANCESCO VILLAGGIO</v>
      </c>
      <c r="AE1136" s="1" t="str">
        <f>IFERROR(__xludf.DUMMYFUNCTION("""COMPUTED_VALUE"""),"SAN FRANCESCO VILLAGGIO")</f>
        <v>SAN FRANCESCO VILLAGGIO</v>
      </c>
      <c r="AF1136" s="1" t="str">
        <f>IFERROR(__xludf.DUMMYFUNCTION("""COMPUTED_VALUE"""),"BGY LALLANA")</f>
        <v>BGY LALLANA</v>
      </c>
      <c r="AG1136" s="1" t="str">
        <f>IFERROR(__xludf.DUMMYFUNCTION("""COMPUTED_VALUE"""),"TRECE MARTIREZ CITY")</f>
        <v>TRECE MARTIREZ CITY</v>
      </c>
      <c r="AH1136" s="1" t="str">
        <f>IFERROR(__xludf.DUMMYFUNCTION("""COMPUTED_VALUE"""),"SAN FRANCESCO VILLAGIO")</f>
        <v>SAN FRANCESCO VILLAGIO</v>
      </c>
      <c r="AI1136" s="1" t="str">
        <f>IFERROR(__xludf.DUMMYFUNCTION("""COMPUTED_VALUE"""),"NOT AOR")</f>
        <v>NOT AOR</v>
      </c>
    </row>
    <row r="1137" customHeight="1" spans="1:35">
      <c r="A1137" s="3">
        <f>IFERROR(__xludf.DUMMYFUNCTION("""COMPUTED_VALUE"""),46314)</f>
        <v>46314</v>
      </c>
      <c r="B1137" s="1" t="str">
        <f>IFERROR(__xludf.DUMMYFUNCTION("""COMPUTED_VALUE"""),"POLLIE MHERE FRANCISCO CASTILLO")</f>
        <v>POLLIE MHERE FRANCISCO CASTILLO</v>
      </c>
      <c r="C1137" s="1">
        <f>IFERROR(__xludf.DUMMYFUNCTION("""COMPUTED_VALUE"""),2313243351)</f>
        <v>2313243351</v>
      </c>
      <c r="D1137" s="1"/>
      <c r="E1137" s="1"/>
      <c r="F1137" s="1" t="str">
        <f>IFERROR(__xludf.DUMMYFUNCTION("""COMPUTED_VALUE"""),"CANCELLED")</f>
        <v>CANCELLED</v>
      </c>
      <c r="G1137" s="1" t="str">
        <f>IFERROR(__xludf.DUMMYFUNCTION("""COMPUTED_VALUE"""),"CANCELLED")</f>
        <v>CANCELLED</v>
      </c>
      <c r="H1137" s="1"/>
      <c r="I1137" s="1"/>
      <c r="J1137" s="1"/>
      <c r="K1137" s="1"/>
      <c r="L1137" s="1" t="str">
        <f>IFERROR(__xludf.DUMMYFUNCTION("""COMPUTED_VALUE"""),"CANCELLED")</f>
        <v>CANCELLED</v>
      </c>
      <c r="M1137" s="1" t="str">
        <f>IFERROR(__xludf.DUMMYFUNCTION("""COMPUTED_VALUE"""),"CANCELLED")</f>
        <v>CANCELLED</v>
      </c>
      <c r="N1137" s="3"/>
      <c r="O1137" s="1" t="str">
        <f>IFERROR(__xludf.DUMMYFUNCTION("""COMPUTED_VALUE"""),"FIBR NETFLIX PLAN 1599")</f>
        <v>FIBR NETFLIX PLAN 1599</v>
      </c>
      <c r="P1137" s="1" t="str">
        <f>IFERROR(__xludf.DUMMYFUNCTION("""COMPUTED_VALUE"""),"LOWPLAN")</f>
        <v>LOWPLAN</v>
      </c>
      <c r="Q1137" s="1" t="str">
        <f>IFERROR(__xludf.DUMMYFUNCTION("""COMPUTED_VALUE"""),"P407518")</f>
        <v>P407518</v>
      </c>
      <c r="R1137" s="1" t="str">
        <f>IFERROR(__xludf.DUMMYFUNCTION("""COMPUTED_VALUE"""),"CARPIO, STEPHANIE")</f>
        <v>CARPIO, STEPHANIE</v>
      </c>
      <c r="S1137" s="1" t="str">
        <f>IFERROR(__xludf.DUMMYFUNCTION("""COMPUTED_VALUE"""),"FLA")</f>
        <v>FLA</v>
      </c>
      <c r="T1137" s="1" t="str">
        <f>IFERROR(__xludf.DUMMYFUNCTION("""COMPUTED_VALUE"""),"JERIC NAVARRO")</f>
        <v>JERIC NAVARRO</v>
      </c>
      <c r="U1137" s="1" t="str">
        <f>IFERROR(__xludf.DUMMYFUNCTION("""COMPUTED_VALUE"""),"JB SALIOA")</f>
        <v>JB SALIOA</v>
      </c>
      <c r="V1137" s="1" t="str">
        <f>IFERROR(__xludf.DUMMYFUNCTION("""COMPUTED_VALUE"""),"ONLINE/CRANFORD")</f>
        <v>ONLINE/CRANFORD</v>
      </c>
      <c r="W1137" s="1" t="str">
        <f>IFERROR(__xludf.DUMMYFUNCTION("""COMPUTED_VALUE"""),"STK REGULAR")</f>
        <v>STK REGULAR</v>
      </c>
      <c r="X1137" s="1" t="str">
        <f>IFERROR(__xludf.DUMMYFUNCTION("""COMPUTED_VALUE"""),"REGULAR")</f>
        <v>REGULAR</v>
      </c>
      <c r="Y1137" s="1" t="str">
        <f>IFERROR(__xludf.DUMMYFUNCTION("""COMPUTED_VALUE"""),"RS_SS_CVEU_2026")</f>
        <v>RS_SS_CVEU_2026</v>
      </c>
      <c r="Z1137" s="1" t="str">
        <f>IFERROR(__xludf.DUMMYFUNCTION("""COMPUTED_VALUE"""),"NEW CONNECT")</f>
        <v>NEW CONNECT</v>
      </c>
      <c r="AA1137" s="1">
        <f>IFERROR(__xludf.DUMMYFUNCTION("""COMPUTED_VALUE"""),639650472719)</f>
        <v>639650472719</v>
      </c>
      <c r="AB1137" s="1"/>
      <c r="AC1137" s="1">
        <f>IFERROR(__xludf.DUMMYFUNCTION("""COMPUTED_VALUE"""),237)</f>
        <v>237</v>
      </c>
      <c r="AD1137" s="1" t="str">
        <f>IFERROR(__xludf.DUMMYFUNCTION("""COMPUTED_VALUE"""),"ALVAREZ")</f>
        <v>ALVAREZ</v>
      </c>
      <c r="AE1137" s="1"/>
      <c r="AF1137" s="1" t="str">
        <f>IFERROR(__xludf.DUMMYFUNCTION("""COMPUTED_VALUE"""),"BGY 42C")</f>
        <v>BGY 42C</v>
      </c>
      <c r="AG1137" s="1" t="str">
        <f>IFERROR(__xludf.DUMMYFUNCTION("""COMPUTED_VALUE"""),"CAVITE CITY")</f>
        <v>CAVITE CITY</v>
      </c>
      <c r="AH1137" s="1" t="str">
        <f>IFERROR(__xludf.DUMMYFUNCTION("""COMPUTED_VALUE"""),"NEAR OLD COCKPIT")</f>
        <v>NEAR OLD COCKPIT</v>
      </c>
      <c r="AI1137" s="1" t="str">
        <f>IFERROR(__xludf.DUMMYFUNCTION("""COMPUTED_VALUE"""),"NOT AOR")</f>
        <v>NOT AOR</v>
      </c>
    </row>
    <row r="1138" customHeight="1" spans="1:35">
      <c r="A1138" s="3">
        <f>IFERROR(__xludf.DUMMYFUNCTION("""COMPUTED_VALUE"""),46314)</f>
        <v>46314</v>
      </c>
      <c r="B1138" s="1" t="str">
        <f>IFERROR(__xludf.DUMMYFUNCTION("""COMPUTED_VALUE"""),"JUSTINE MAGNO ALTILLERO")</f>
        <v>JUSTINE MAGNO ALTILLERO</v>
      </c>
      <c r="C1138" s="1">
        <f>IFERROR(__xludf.DUMMYFUNCTION("""COMPUTED_VALUE"""),2313244716)</f>
        <v>2313244716</v>
      </c>
      <c r="D1138" s="1">
        <f>IFERROR(__xludf.DUMMYFUNCTION("""COMPUTED_VALUE"""),409209629)</f>
        <v>409209629</v>
      </c>
      <c r="E1138" s="1">
        <f>IFERROR(__xludf.DUMMYFUNCTION("""COMPUTED_VALUE"""),476572033004)</f>
        <v>476572033004</v>
      </c>
      <c r="F1138" s="1" t="str">
        <f>IFERROR(__xludf.DUMMYFUNCTION("""COMPUTED_VALUE"""),"CLOSED")</f>
        <v>CLOSED</v>
      </c>
      <c r="G1138" s="1" t="str">
        <f>IFERROR(__xludf.DUMMYFUNCTION("""COMPUTED_VALUE"""),"CLOSED")</f>
        <v>CLOSED</v>
      </c>
      <c r="H1138" s="1"/>
      <c r="I1138" s="1" t="str">
        <f>IFERROR(__xludf.DUMMYFUNCTION("""COMPUTED_VALUE"""),"NO 1 AMSF")</f>
        <v>NO 1 AMSF</v>
      </c>
      <c r="J1138" s="1"/>
      <c r="K1138" s="1"/>
      <c r="L1138" s="1" t="str">
        <f>IFERROR(__xludf.DUMMYFUNCTION("""COMPUTED_VALUE"""),"POSTED")</f>
        <v>POSTED</v>
      </c>
      <c r="M1138" s="1" t="str">
        <f>IFERROR(__xludf.DUMMYFUNCTION("""COMPUTED_VALUE"""),"POSTED")</f>
        <v>POSTED</v>
      </c>
      <c r="N1138" s="3">
        <f>IFERROR(__xludf.DUMMYFUNCTION("""COMPUTED_VALUE"""),46318)</f>
        <v>46318</v>
      </c>
      <c r="O1138" s="1" t="str">
        <f>IFERROR(__xludf.DUMMYFUNCTION("""COMPUTED_VALUE"""),"FIBR PLAN 2099")</f>
        <v>FIBR PLAN 2099</v>
      </c>
      <c r="P1138" s="1" t="str">
        <f>IFERROR(__xludf.DUMMYFUNCTION("""COMPUTED_VALUE"""),"HIGHPLAN")</f>
        <v>HIGHPLAN</v>
      </c>
      <c r="Q1138" s="1" t="str">
        <f>IFERROR(__xludf.DUMMYFUNCTION("""COMPUTED_VALUE"""),"P407567")</f>
        <v>P407567</v>
      </c>
      <c r="R1138" s="1" t="str">
        <f>IFERROR(__xludf.DUMMYFUNCTION("""COMPUTED_VALUE"""),"ILANO, LIANDRO TEJAS")</f>
        <v>ILANO, LIANDRO TEJAS</v>
      </c>
      <c r="S1138" s="1" t="str">
        <f>IFERROR(__xludf.DUMMYFUNCTION("""COMPUTED_VALUE"""),"LEADSTORE")</f>
        <v>LEADSTORE</v>
      </c>
      <c r="T1138" s="1" t="str">
        <f>IFERROR(__xludf.DUMMYFUNCTION("""COMPUTED_VALUE"""),"JERIC NAVARRO")</f>
        <v>JERIC NAVARRO</v>
      </c>
      <c r="U1138" s="1" t="str">
        <f>IFERROR(__xludf.DUMMYFUNCTION("""COMPUTED_VALUE"""),"JB SALIOA")</f>
        <v>JB SALIOA</v>
      </c>
      <c r="V1138" s="1" t="str">
        <f>IFERROR(__xludf.DUMMYFUNCTION("""COMPUTED_VALUE"""),"ONLINE/CRANFORD")</f>
        <v>ONLINE/CRANFORD</v>
      </c>
      <c r="W1138" s="1" t="str">
        <f>IFERROR(__xludf.DUMMYFUNCTION("""COMPUTED_VALUE"""),"STK REGULAR")</f>
        <v>STK REGULAR</v>
      </c>
      <c r="X1138" s="1" t="str">
        <f>IFERROR(__xludf.DUMMYFUNCTION("""COMPUTED_VALUE"""),"REGULAR")</f>
        <v>REGULAR</v>
      </c>
      <c r="Y1138" s="1" t="str">
        <f>IFERROR(__xludf.DUMMYFUNCTION("""COMPUTED_VALUE"""),"RS_ONL_CVEU_2026")</f>
        <v>RS_ONL_CVEU_2026</v>
      </c>
      <c r="Z1138" s="1" t="str">
        <f>IFERROR(__xludf.DUMMYFUNCTION("""COMPUTED_VALUE"""),"NEW CONNECT")</f>
        <v>NEW CONNECT</v>
      </c>
      <c r="AA1138" s="1">
        <f>IFERROR(__xludf.DUMMYFUNCTION("""COMPUTED_VALUE"""),639066840902)</f>
        <v>639066840902</v>
      </c>
      <c r="AB1138" s="1">
        <f>IFERROR(__xludf.DUMMYFUNCTION("""COMPUTED_VALUE"""),639161856197)</f>
        <v>639161856197</v>
      </c>
      <c r="AC1138" s="1">
        <f>IFERROR(__xludf.DUMMYFUNCTION("""COMPUTED_VALUE"""),33)</f>
        <v>33</v>
      </c>
      <c r="AD1138" s="1" t="str">
        <f>IFERROR(__xludf.DUMMYFUNCTION("""COMPUTED_VALUE"""),"LITLIT")</f>
        <v>LITLIT</v>
      </c>
      <c r="AE1138" s="1"/>
      <c r="AF1138" s="1" t="str">
        <f>IFERROR(__xludf.DUMMYFUNCTION("""COMPUTED_VALUE"""),"BGY LITLIT")</f>
        <v>BGY LITLIT</v>
      </c>
      <c r="AG1138" s="1" t="str">
        <f>IFERROR(__xludf.DUMMYFUNCTION("""COMPUTED_VALUE"""),"SILANG")</f>
        <v>SILANG</v>
      </c>
      <c r="AH1138" s="1" t="str">
        <f>IFERROR(__xludf.DUMMYFUNCTION("""COMPUTED_VALUE"""),"ACES PASALUBONG")</f>
        <v>ACES PASALUBONG</v>
      </c>
      <c r="AI1138" s="1" t="str">
        <f>IFERROR(__xludf.DUMMYFUNCTION("""COMPUTED_VALUE"""),"CLUSTER 11")</f>
        <v>CLUSTER 11</v>
      </c>
    </row>
    <row r="1139" customHeight="1" spans="1:35">
      <c r="A1139" s="3">
        <f>IFERROR(__xludf.DUMMYFUNCTION("""COMPUTED_VALUE"""),46314)</f>
        <v>46314</v>
      </c>
      <c r="B1139" s="1" t="str">
        <f>IFERROR(__xludf.DUMMYFUNCTION("""COMPUTED_VALUE"""),"CARLOS JR SABEJON SUMALINOG")</f>
        <v>CARLOS JR SABEJON SUMALINOG</v>
      </c>
      <c r="C1139" s="1">
        <f>IFERROR(__xludf.DUMMYFUNCTION("""COMPUTED_VALUE"""),2313245315)</f>
        <v>2313245315</v>
      </c>
      <c r="D1139" s="1">
        <f>IFERROR(__xludf.DUMMYFUNCTION("""COMPUTED_VALUE"""),409119018)</f>
        <v>409119018</v>
      </c>
      <c r="E1139" s="1">
        <f>IFERROR(__xludf.DUMMYFUNCTION("""COMPUTED_VALUE"""),476237762004)</f>
        <v>476237762004</v>
      </c>
      <c r="F1139" s="1" t="str">
        <f>IFERROR(__xludf.DUMMYFUNCTION("""COMPUTED_VALUE"""),"RPR")</f>
        <v>RPR</v>
      </c>
      <c r="G1139" s="1" t="str">
        <f>IFERROR(__xludf.DUMMYFUNCTION("""COMPUTED_VALUE"""),"""VISITED 
REMARKS: CANCEL SERVICE ORDER REQUEST. CUSTOMER NO LONGER INTERESTED IN CONTINUING HIS PLDT APPLICATION. 
TALK CARLOS JR SABEJON SUMALINOG 
09629516749 
""")</f>
        <v>"VISITED 
REMARKS: CANCEL SERVICE ORDER REQUEST. CUSTOMER NO LONGER INTERESTED IN CONTINUING HIS PLDT APPLICATION. 
TALK CARLOS JR SABEJON SUMALINOG 
09629516749 
"</v>
      </c>
      <c r="H1139" s="1"/>
      <c r="I1139" s="1"/>
      <c r="J1139" s="1"/>
      <c r="K1139" s="1" t="str">
        <f>IFERROR(__xludf.DUMMYFUNCTION("""COMPUTED_VALUE"""),"NOT DONE")</f>
        <v>NOT DONE</v>
      </c>
      <c r="L1139" s="1" t="str">
        <f>IFERROR(__xludf.DUMMYFUNCTION("""COMPUTED_VALUE"""),"RPR - SUBS CANCEL REQUEST")</f>
        <v>RPR - SUBS CANCEL REQUEST</v>
      </c>
      <c r="M1139" s="1" t="str">
        <f>IFERROR(__xludf.DUMMYFUNCTION("""COMPUTED_VALUE"""),"RPR- SUBS CANCEL REQUEST")</f>
        <v>RPR- SUBS CANCEL REQUEST</v>
      </c>
      <c r="N1139" s="3"/>
      <c r="O1139" s="1" t="str">
        <f>IFERROR(__xludf.DUMMYFUNCTION("""COMPUTED_VALUE"""),"FIBER UNLI PLAN 1399")</f>
        <v>FIBER UNLI PLAN 1399</v>
      </c>
      <c r="P1139" s="1" t="str">
        <f>IFERROR(__xludf.DUMMYFUNCTION("""COMPUTED_VALUE"""),"LOWPLAN")</f>
        <v>LOWPLAN</v>
      </c>
      <c r="Q1139" s="1" t="str">
        <f>IFERROR(__xludf.DUMMYFUNCTION("""COMPUTED_VALUE"""),"P408052")</f>
        <v>P408052</v>
      </c>
      <c r="R1139" s="1" t="str">
        <f>IFERROR(__xludf.DUMMYFUNCTION("""COMPUTED_VALUE"""),"LOTOJA, LOVELY JOICE")</f>
        <v>LOTOJA, LOVELY JOICE</v>
      </c>
      <c r="S1139" s="1" t="str">
        <f>IFERROR(__xludf.DUMMYFUNCTION("""COMPUTED_VALUE"""),"ORGANIC")</f>
        <v>ORGANIC</v>
      </c>
      <c r="T1139" s="1" t="str">
        <f>IFERROR(__xludf.DUMMYFUNCTION("""COMPUTED_VALUE"""),"LEA REMOLLO")</f>
        <v>LEA REMOLLO</v>
      </c>
      <c r="U1139" s="1" t="str">
        <f>IFERROR(__xludf.DUMMYFUNCTION("""COMPUTED_VALUE"""),"JB SALIOA")</f>
        <v>JB SALIOA</v>
      </c>
      <c r="V1139" s="1" t="str">
        <f>IFERROR(__xludf.DUMMYFUNCTION("""COMPUTED_VALUE"""),"BK HSTK")</f>
        <v>BK HSTK</v>
      </c>
      <c r="W1139" s="1" t="str">
        <f>IFERROR(__xludf.DUMMYFUNCTION("""COMPUTED_VALUE"""),"BK HSTK")</f>
        <v>BK HSTK</v>
      </c>
      <c r="X1139" s="1" t="str">
        <f>IFERROR(__xludf.DUMMYFUNCTION("""COMPUTED_VALUE"""),"FIBER 1399 98TH YR")</f>
        <v>FIBER 1399 98TH YR</v>
      </c>
      <c r="Y1139" s="1" t="str">
        <f>IFERROR(__xludf.DUMMYFUNCTION("""COMPUTED_VALUE"""),"BK_CVEU_261003")</f>
        <v>BK_CVEU_261003</v>
      </c>
      <c r="Z1139" s="1" t="str">
        <f>IFERROR(__xludf.DUMMYFUNCTION("""COMPUTED_VALUE"""),"NEW CONNECT")</f>
        <v>NEW CONNECT</v>
      </c>
      <c r="AA1139" s="1">
        <f>IFERROR(__xludf.DUMMYFUNCTION("""COMPUTED_VALUE"""),639629516749)</f>
        <v>639629516749</v>
      </c>
      <c r="AB1139" s="1"/>
      <c r="AC1139" s="1"/>
      <c r="AD1139" s="1" t="str">
        <f>IFERROR(__xludf.DUMMYFUNCTION("""COMPUTED_VALUE"""),"PHASE 6")</f>
        <v>PHASE 6</v>
      </c>
      <c r="AE1139" s="1" t="str">
        <f>IFERROR(__xludf.DUMMYFUNCTION("""COMPUTED_VALUE"""),"CARMONA STATES")</f>
        <v>CARMONA STATES</v>
      </c>
      <c r="AF1139" s="1" t="str">
        <f>IFERROR(__xludf.DUMMYFUNCTION("""COMPUTED_VALUE"""),"BGY LANTIC")</f>
        <v>BGY LANTIC</v>
      </c>
      <c r="AG1139" s="1" t="str">
        <f>IFERROR(__xludf.DUMMYFUNCTION("""COMPUTED_VALUE"""),"CARMONA")</f>
        <v>CARMONA</v>
      </c>
      <c r="AH1139" s="1" t="str">
        <f>IFERROR(__xludf.DUMMYFUNCTION("""COMPUTED_VALUE"""),"COVERED COURT")</f>
        <v>COVERED COURT</v>
      </c>
      <c r="AI1139" s="1" t="str">
        <f>IFERROR(__xludf.DUMMYFUNCTION("""COMPUTED_VALUE"""),"CLUSTER 11")</f>
        <v>CLUSTER 11</v>
      </c>
    </row>
    <row r="1140" customHeight="1" spans="1:35">
      <c r="A1140" s="3">
        <f>IFERROR(__xludf.DUMMYFUNCTION("""COMPUTED_VALUE"""),46314)</f>
        <v>46314</v>
      </c>
      <c r="B1140" s="1" t="str">
        <f>IFERROR(__xludf.DUMMYFUNCTION("""COMPUTED_VALUE"""),"CLAUDIO BOA TENORIO")</f>
        <v>CLAUDIO BOA TENORIO</v>
      </c>
      <c r="C1140" s="1">
        <f>IFERROR(__xludf.DUMMYFUNCTION("""COMPUTED_VALUE"""),2313245754)</f>
        <v>2313245754</v>
      </c>
      <c r="D1140" s="1">
        <f>IFERROR(__xludf.DUMMYFUNCTION("""COMPUTED_VALUE"""),409134769)</f>
        <v>409134769</v>
      </c>
      <c r="E1140" s="1">
        <f>IFERROR(__xludf.DUMMYFUNCTION("""COMPUTED_VALUE"""),476249658004)</f>
        <v>476249658004</v>
      </c>
      <c r="F1140" s="1" t="str">
        <f>IFERROR(__xludf.DUMMYFUNCTION("""COMPUTED_VALUE"""),"FOR PAYMENT")</f>
        <v>FOR PAYMENT</v>
      </c>
      <c r="G1140" s="1" t="str">
        <f>IFERROR(__xludf.DUMMYFUNCTION("""COMPUTED_VALUE"""),"FOR PAYMENT")</f>
        <v>FOR PAYMENT</v>
      </c>
      <c r="H1140" s="1" t="str">
        <f>IFERROR(__xludf.DUMMYFUNCTION("""COMPUTED_VALUE"""),"NEXT WEEK DAW MAGBABAYAD PAG SAHOD")</f>
        <v>NEXT WEEK DAW MAGBABAYAD PAG SAHOD</v>
      </c>
      <c r="I1140" s="1"/>
      <c r="J1140" s="1"/>
      <c r="K1140" s="1" t="str">
        <f>IFERROR(__xludf.DUMMYFUNCTION("""COMPUTED_VALUE"""),"NOT IN OFSC")</f>
        <v>NOT IN OFSC</v>
      </c>
      <c r="L1140" s="1" t="str">
        <f>IFERROR(__xludf.DUMMYFUNCTION("""COMPUTED_VALUE"""),"FOR PAYMENT")</f>
        <v>FOR PAYMENT</v>
      </c>
      <c r="M1140" s="1" t="str">
        <f>IFERROR(__xludf.DUMMYFUNCTION("""COMPUTED_VALUE"""),"FOR PAYMENT - FOR CALL OUT")</f>
        <v>FOR PAYMENT - FOR CALL OUT</v>
      </c>
      <c r="N1140" s="3"/>
      <c r="O1140" s="1" t="str">
        <f>IFERROR(__xludf.DUMMYFUNCTION("""COMPUTED_VALUE"""),"FIBER UNLI PLAN 1399")</f>
        <v>FIBER UNLI PLAN 1399</v>
      </c>
      <c r="P1140" s="1" t="str">
        <f>IFERROR(__xludf.DUMMYFUNCTION("""COMPUTED_VALUE"""),"LOWPLAN")</f>
        <v>LOWPLAN</v>
      </c>
      <c r="Q1140" s="1" t="str">
        <f>IFERROR(__xludf.DUMMYFUNCTION("""COMPUTED_VALUE"""),"P407049")</f>
        <v>P407049</v>
      </c>
      <c r="R1140" s="1" t="str">
        <f>IFERROR(__xludf.DUMMYFUNCTION("""COMPUTED_VALUE"""),"CADERAO, RONALD")</f>
        <v>CADERAO, RONALD</v>
      </c>
      <c r="S1140" s="1" t="str">
        <f>IFERROR(__xludf.DUMMYFUNCTION("""COMPUTED_VALUE"""),"ORGANIC")</f>
        <v>ORGANIC</v>
      </c>
      <c r="T1140" s="1" t="str">
        <f>IFERROR(__xludf.DUMMYFUNCTION("""COMPUTED_VALUE"""),"LEA REMOLLO")</f>
        <v>LEA REMOLLO</v>
      </c>
      <c r="U1140" s="1" t="str">
        <f>IFERROR(__xludf.DUMMYFUNCTION("""COMPUTED_VALUE"""),"JB SALIOA")</f>
        <v>JB SALIOA</v>
      </c>
      <c r="V1140" s="1" t="str">
        <f>IFERROR(__xludf.DUMMYFUNCTION("""COMPUTED_VALUE"""),"BK HSTK")</f>
        <v>BK HSTK</v>
      </c>
      <c r="W1140" s="1" t="str">
        <f>IFERROR(__xludf.DUMMYFUNCTION("""COMPUTED_VALUE"""),"BK HSTK")</f>
        <v>BK HSTK</v>
      </c>
      <c r="X1140" s="1" t="str">
        <f>IFERROR(__xludf.DUMMYFUNCTION("""COMPUTED_VALUE"""),"REGULAR")</f>
        <v>REGULAR</v>
      </c>
      <c r="Y1140" s="1" t="str">
        <f>IFERROR(__xludf.DUMMYFUNCTION("""COMPUTED_VALUE"""),"BK_CVEU_261001")</f>
        <v>BK_CVEU_261001</v>
      </c>
      <c r="Z1140" s="1" t="str">
        <f>IFERROR(__xludf.DUMMYFUNCTION("""COMPUTED_VALUE"""),"NEW CONNECT")</f>
        <v>NEW CONNECT</v>
      </c>
      <c r="AA1140" s="1">
        <f>IFERROR(__xludf.DUMMYFUNCTION("""COMPUTED_VALUE"""),639974177264)</f>
        <v>639974177264</v>
      </c>
      <c r="AB1140" s="1"/>
      <c r="AC1140" s="1">
        <f>IFERROR(__xludf.DUMMYFUNCTION("""COMPUTED_VALUE"""),47)</f>
        <v>47</v>
      </c>
      <c r="AD1140" s="1" t="str">
        <f>IFERROR(__xludf.DUMMYFUNCTION("""COMPUTED_VALUE"""),"PHASE 1")</f>
        <v>PHASE 1</v>
      </c>
      <c r="AE1140" s="1" t="str">
        <f>IFERROR(__xludf.DUMMYFUNCTION("""COMPUTED_VALUE"""),"PUROK 4")</f>
        <v>PUROK 4</v>
      </c>
      <c r="AF1140" s="1" t="str">
        <f>IFERROR(__xludf.DUMMYFUNCTION("""COMPUTED_VALUE"""),"BGY AMUYONG")</f>
        <v>BGY AMUYONG</v>
      </c>
      <c r="AG1140" s="1" t="str">
        <f>IFERROR(__xludf.DUMMYFUNCTION("""COMPUTED_VALUE"""),"ALFONSO")</f>
        <v>ALFONSO</v>
      </c>
      <c r="AH1140" s="1" t="str">
        <f>IFERROR(__xludf.DUMMYFUNCTION("""COMPUTED_VALUE"""),"-")</f>
        <v>-</v>
      </c>
      <c r="AI1140" s="1" t="str">
        <f>IFERROR(__xludf.DUMMYFUNCTION("""COMPUTED_VALUE"""),"CLUSTER 12")</f>
        <v>CLUSTER 12</v>
      </c>
    </row>
    <row r="1141" customHeight="1" spans="1:35">
      <c r="A1141" s="3">
        <f>IFERROR(__xludf.DUMMYFUNCTION("""COMPUTED_VALUE"""),46314)</f>
        <v>46314</v>
      </c>
      <c r="B1141" s="1" t="str">
        <f>IFERROR(__xludf.DUMMYFUNCTION("""COMPUTED_VALUE"""),"MARILOU CASAOL CATALAN")</f>
        <v>MARILOU CASAOL CATALAN</v>
      </c>
      <c r="C1141" s="1">
        <f>IFERROR(__xludf.DUMMYFUNCTION("""COMPUTED_VALUE"""),2313246172)</f>
        <v>2313246172</v>
      </c>
      <c r="D1141" s="1">
        <f>IFERROR(__xludf.DUMMYFUNCTION("""COMPUTED_VALUE"""),409120326)</f>
        <v>409120326</v>
      </c>
      <c r="E1141" s="1">
        <f>IFERROR(__xludf.DUMMYFUNCTION("""COMPUTED_VALUE"""),476239731004)</f>
        <v>476239731004</v>
      </c>
      <c r="F1141" s="1" t="str">
        <f>IFERROR(__xludf.DUMMYFUNCTION("""COMPUTED_VALUE"""),"CLOSED")</f>
        <v>CLOSED</v>
      </c>
      <c r="G1141" s="1" t="str">
        <f>IFERROR(__xludf.DUMMYFUNCTION("""COMPUTED_VALUE"""),"CLOSED")</f>
        <v>CLOSED</v>
      </c>
      <c r="H1141" s="1" t="str">
        <f>IFERROR(__xludf.DUMMYFUNCTION("""COMPUTED_VALUE"""),"PAID VIA GCASH REF 400460427 OCT 20")</f>
        <v>PAID VIA GCASH REF 400460427 OCT 20</v>
      </c>
      <c r="I1141" s="1" t="str">
        <f>IFERROR(__xludf.DUMMYFUNCTION("""COMPUTED_VALUE"""),"WITH 1 AMSF")</f>
        <v>WITH 1 AMSF</v>
      </c>
      <c r="J1141" s="1"/>
      <c r="K1141" s="1" t="str">
        <f>IFERROR(__xludf.DUMMYFUNCTION("""COMPUTED_VALUE"""),"COMPLETED")</f>
        <v>COMPLETED</v>
      </c>
      <c r="L1141" s="1" t="str">
        <f>IFERROR(__xludf.DUMMYFUNCTION("""COMPUTED_VALUE"""),"POSTED")</f>
        <v>POSTED</v>
      </c>
      <c r="M1141" s="1" t="str">
        <f>IFERROR(__xludf.DUMMYFUNCTION("""COMPUTED_VALUE"""),"POSTED")</f>
        <v>POSTED</v>
      </c>
      <c r="N1141" s="3">
        <f>IFERROR(__xludf.DUMMYFUNCTION("""COMPUTED_VALUE"""),46314)</f>
        <v>46314</v>
      </c>
      <c r="O1141" s="1" t="str">
        <f>IFERROR(__xludf.DUMMYFUNCTION("""COMPUTED_VALUE"""),"FIBER UNLI PLAN 1399")</f>
        <v>FIBER UNLI PLAN 1399</v>
      </c>
      <c r="P1141" s="1" t="str">
        <f>IFERROR(__xludf.DUMMYFUNCTION("""COMPUTED_VALUE"""),"LOWPLAN")</f>
        <v>LOWPLAN</v>
      </c>
      <c r="Q1141" s="1" t="str">
        <f>IFERROR(__xludf.DUMMYFUNCTION("""COMPUTED_VALUE"""),"P407049")</f>
        <v>P407049</v>
      </c>
      <c r="R1141" s="1" t="str">
        <f>IFERROR(__xludf.DUMMYFUNCTION("""COMPUTED_VALUE"""),"MERCADO, MARK ANTHONY")</f>
        <v>MERCADO, MARK ANTHONY</v>
      </c>
      <c r="S1141" s="1" t="str">
        <f>IFERROR(__xludf.DUMMYFUNCTION("""COMPUTED_VALUE"""),"ORGANIC")</f>
        <v>ORGANIC</v>
      </c>
      <c r="T1141" s="1" t="str">
        <f>IFERROR(__xludf.DUMMYFUNCTION("""COMPUTED_VALUE"""),"LEA REMOLLO")</f>
        <v>LEA REMOLLO</v>
      </c>
      <c r="U1141" s="1" t="str">
        <f>IFERROR(__xludf.DUMMYFUNCTION("""COMPUTED_VALUE"""),"JB SALIOA")</f>
        <v>JB SALIOA</v>
      </c>
      <c r="V1141" s="1" t="str">
        <f>IFERROR(__xludf.DUMMYFUNCTION("""COMPUTED_VALUE"""),"BK EXPRESS")</f>
        <v>BK EXPRESS</v>
      </c>
      <c r="W1141" s="1" t="str">
        <f>IFERROR(__xludf.DUMMYFUNCTION("""COMPUTED_VALUE"""),"BK HSTK")</f>
        <v>BK HSTK</v>
      </c>
      <c r="X1141" s="1" t="str">
        <f>IFERROR(__xludf.DUMMYFUNCTION("""COMPUTED_VALUE"""),"FIBER 1399 98TH YR")</f>
        <v>FIBER 1399 98TH YR</v>
      </c>
      <c r="Y1141" s="1" t="str">
        <f>IFERROR(__xludf.DUMMYFUNCTION("""COMPUTED_VALUE"""),"BK_CVEU_261001")</f>
        <v>BK_CVEU_261001</v>
      </c>
      <c r="Z1141" s="1" t="str">
        <f>IFERROR(__xludf.DUMMYFUNCTION("""COMPUTED_VALUE"""),"NEW CONNECT")</f>
        <v>NEW CONNECT</v>
      </c>
      <c r="AA1141" s="1">
        <f>IFERROR(__xludf.DUMMYFUNCTION("""COMPUTED_VALUE"""),639541843760)</f>
        <v>639541843760</v>
      </c>
      <c r="AB1141" s="1"/>
      <c r="AC1141" s="1">
        <f>IFERROR(__xludf.DUMMYFUNCTION("""COMPUTED_VALUE"""),775)</f>
        <v>775</v>
      </c>
      <c r="AD1141" s="1" t="str">
        <f>IFERROR(__xludf.DUMMYFUNCTION("""COMPUTED_VALUE"""),"PUROK 4")</f>
        <v>PUROK 4</v>
      </c>
      <c r="AE1141" s="1"/>
      <c r="AF1141" s="1" t="str">
        <f>IFERROR(__xludf.DUMMYFUNCTION("""COMPUTED_VALUE"""),"BGY AMUYONG")</f>
        <v>BGY AMUYONG</v>
      </c>
      <c r="AG1141" s="1" t="str">
        <f>IFERROR(__xludf.DUMMYFUNCTION("""COMPUTED_VALUE"""),"ALFONSO")</f>
        <v>ALFONSO</v>
      </c>
      <c r="AH1141" s="1" t="str">
        <f>IFERROR(__xludf.DUMMYFUNCTION("""COMPUTED_VALUE"""),"BKEXPRESS_NEAR SCHOOL")</f>
        <v>BKEXPRESS_NEAR SCHOOL</v>
      </c>
      <c r="AI1141" s="1" t="str">
        <f>IFERROR(__xludf.DUMMYFUNCTION("""COMPUTED_VALUE"""),"CLUSTER 12")</f>
        <v>CLUSTER 12</v>
      </c>
    </row>
    <row r="1142" customHeight="1" spans="1:35">
      <c r="A1142" s="3">
        <f>IFERROR(__xludf.DUMMYFUNCTION("""COMPUTED_VALUE"""),46314)</f>
        <v>46314</v>
      </c>
      <c r="B1142" s="1" t="str">
        <f>IFERROR(__xludf.DUMMYFUNCTION("""COMPUTED_VALUE"""),"GLORIA RECTO ALCANTARA")</f>
        <v>GLORIA RECTO ALCANTARA</v>
      </c>
      <c r="C1142" s="1">
        <f>IFERROR(__xludf.DUMMYFUNCTION("""COMPUTED_VALUE"""),2313246587)</f>
        <v>2313246587</v>
      </c>
      <c r="D1142" s="1">
        <f>IFERROR(__xludf.DUMMYFUNCTION("""COMPUTED_VALUE"""),409119808)</f>
        <v>409119808</v>
      </c>
      <c r="E1142" s="1">
        <f>IFERROR(__xludf.DUMMYFUNCTION("""COMPUTED_VALUE"""),476238626004)</f>
        <v>476238626004</v>
      </c>
      <c r="F1142" s="1" t="str">
        <f>IFERROR(__xludf.DUMMYFUNCTION("""COMPUTED_VALUE"""),"CANCELED")</f>
        <v>CANCELED</v>
      </c>
      <c r="G1142" s="1" t="str">
        <f>IFERROR(__xludf.DUMMYFUNCTION("""COMPUTED_VALUE"""),"FULL NAP  ALFLP184NP6 NO REC  9 SPAN  ALFLP184NP3 F 12 SPAN")</f>
        <v>FULL NAP  ALFLP184NP6 NO REC  9 SPAN  ALFLP184NP3 F 12 SPAN</v>
      </c>
      <c r="H1142" s="1"/>
      <c r="I1142" s="1"/>
      <c r="J1142" s="1"/>
      <c r="K1142" s="1" t="str">
        <f>IFERROR(__xludf.DUMMYFUNCTION("""COMPUTED_VALUE"""),"CANCELED")</f>
        <v>CANCELED</v>
      </c>
      <c r="L1142" s="1" t="str">
        <f>IFERROR(__xludf.DUMMYFUNCTION("""COMPUTED_VALUE"""),"RPR - NAP FULL")</f>
        <v>RPR - NAP FULL</v>
      </c>
      <c r="M1142" s="1" t="str">
        <f>IFERROR(__xludf.DUMMYFUNCTION("""COMPUTED_VALUE"""),"RPR- NAP FULL")</f>
        <v>RPR- NAP FULL</v>
      </c>
      <c r="N1142" s="3"/>
      <c r="O1142" s="1" t="str">
        <f>IFERROR(__xludf.DUMMYFUNCTION("""COMPUTED_VALUE"""),"FIBER UNLI ALL PLAN 1499")</f>
        <v>FIBER UNLI ALL PLAN 1499</v>
      </c>
      <c r="P1142" s="1" t="str">
        <f>IFERROR(__xludf.DUMMYFUNCTION("""COMPUTED_VALUE"""),"LOWPLAN")</f>
        <v>LOWPLAN</v>
      </c>
      <c r="Q1142" s="1" t="str">
        <f>IFERROR(__xludf.DUMMYFUNCTION("""COMPUTED_VALUE"""),"P408052")</f>
        <v>P408052</v>
      </c>
      <c r="R1142" s="1" t="str">
        <f>IFERROR(__xludf.DUMMYFUNCTION("""COMPUTED_VALUE"""),"CORNELIO, CATHERINE")</f>
        <v>CORNELIO, CATHERINE</v>
      </c>
      <c r="S1142" s="1" t="str">
        <f>IFERROR(__xludf.DUMMYFUNCTION("""COMPUTED_VALUE"""),"ORGANIC")</f>
        <v>ORGANIC</v>
      </c>
      <c r="T1142" s="1" t="str">
        <f>IFERROR(__xludf.DUMMYFUNCTION("""COMPUTED_VALUE"""),"LEA REMOLLO")</f>
        <v>LEA REMOLLO</v>
      </c>
      <c r="U1142" s="1" t="str">
        <f>IFERROR(__xludf.DUMMYFUNCTION("""COMPUTED_VALUE"""),"JB SALIOA")</f>
        <v>JB SALIOA</v>
      </c>
      <c r="V1142" s="1" t="str">
        <f>IFERROR(__xludf.DUMMYFUNCTION("""COMPUTED_VALUE"""),"BK HSTK")</f>
        <v>BK HSTK</v>
      </c>
      <c r="W1142" s="1" t="str">
        <f>IFERROR(__xludf.DUMMYFUNCTION("""COMPUTED_VALUE"""),"BK HSTK")</f>
        <v>BK HSTK</v>
      </c>
      <c r="X1142" s="1" t="str">
        <f>IFERROR(__xludf.DUMMYFUNCTION("""COMPUTED_VALUE"""),"FIBER 1399 98TH YR")</f>
        <v>FIBER 1399 98TH YR</v>
      </c>
      <c r="Y1142" s="1" t="str">
        <f>IFERROR(__xludf.DUMMYFUNCTION("""COMPUTED_VALUE"""),"BK_CVEU_261001")</f>
        <v>BK_CVEU_261001</v>
      </c>
      <c r="Z1142" s="1" t="str">
        <f>IFERROR(__xludf.DUMMYFUNCTION("""COMPUTED_VALUE"""),"NEW CONNECT")</f>
        <v>NEW CONNECT</v>
      </c>
      <c r="AA1142" s="1">
        <f>IFERROR(__xludf.DUMMYFUNCTION("""COMPUTED_VALUE"""),639634182450)</f>
        <v>639634182450</v>
      </c>
      <c r="AB1142" s="1"/>
      <c r="AC1142" s="1">
        <f>IFERROR(__xludf.DUMMYFUNCTION("""COMPUTED_VALUE"""),248)</f>
        <v>248</v>
      </c>
      <c r="AD1142" s="1" t="str">
        <f>IFERROR(__xludf.DUMMYFUNCTION("""COMPUTED_VALUE"""),"PUROK 4")</f>
        <v>PUROK 4</v>
      </c>
      <c r="AE1142" s="1"/>
      <c r="AF1142" s="1" t="str">
        <f>IFERROR(__xludf.DUMMYFUNCTION("""COMPUTED_VALUE"""),"BGY AMUYONG")</f>
        <v>BGY AMUYONG</v>
      </c>
      <c r="AG1142" s="1" t="str">
        <f>IFERROR(__xludf.DUMMYFUNCTION("""COMPUTED_VALUE"""),"ALFONSO")</f>
        <v>ALFONSO</v>
      </c>
      <c r="AH1142" s="1" t="str">
        <f>IFERROR(__xludf.DUMMYFUNCTION("""COMPUTED_VALUE"""),"ELEM SCHOOL")</f>
        <v>ELEM SCHOOL</v>
      </c>
      <c r="AI1142" s="1" t="str">
        <f>IFERROR(__xludf.DUMMYFUNCTION("""COMPUTED_VALUE"""),"CLUSTER 12")</f>
        <v>CLUSTER 12</v>
      </c>
    </row>
    <row r="1143" customHeight="1" spans="1:35">
      <c r="A1143" s="3">
        <f>IFERROR(__xludf.DUMMYFUNCTION("""COMPUTED_VALUE"""),46314)</f>
        <v>46314</v>
      </c>
      <c r="B1143" s="1" t="str">
        <f>IFERROR(__xludf.DUMMYFUNCTION("""COMPUTED_VALUE"""),"ALEXANDER VIZCARRA MUNOZ")</f>
        <v>ALEXANDER VIZCARRA MUNOZ</v>
      </c>
      <c r="C1143" s="1">
        <f>IFERROR(__xludf.DUMMYFUNCTION("""COMPUTED_VALUE"""),2313248637)</f>
        <v>2313248637</v>
      </c>
      <c r="D1143" s="1"/>
      <c r="E1143" s="1"/>
      <c r="F1143" s="1" t="str">
        <f>IFERROR(__xludf.DUMMYFUNCTION("""COMPUTED_VALUE"""),"DISAPPROVED")</f>
        <v>DISAPPROVED</v>
      </c>
      <c r="G1143" s="1" t="str">
        <f>IFERROR(__xludf.DUMMYFUNCTION("""COMPUTED_VALUE"""),"(OTHERS) &amp;#8203;DISAPPROVED | WITH DISCREPANCY IN POID SUBMITTED | TAMPERED POID (VERIFIED TIN ID THRU WEBSITE BUT INFORMATION DOE NOT MATCH THE RECORD ON DATA BASE) | DONE VALIDATION | CORRECT ENCODED INFO IN CSP | TU SCORING FF - 1 (NTC) | 1 AMSF REQUIR"&amp;"ED | CLEARED FROM BLACKLISTED HIT | NO EXISTING ACTIVE ACCT AND/OR PENDING/CANCELLED APPLICATION")</f>
        <v>(OTHERS) &amp;#8203;DISAPPROVED | WITH DISCREPANCY IN POID SUBMITTED | TAMPERED POID (VERIFIED TIN ID THRU WEBSITE BUT INFORMATION DOE NOT MATCH THE RECORD ON DATA BASE) | DONE VALIDATION | CORRECT ENCODED INFO IN CSP | TU SCORING FF - 1 (NTC) | 1 AMSF REQUIRED | CLEARED FROM BLACKLISTED HIT | NO EXISTING ACTIVE ACCT AND/OR PENDING/CANCELLED APPLICATION</v>
      </c>
      <c r="H1143" s="1"/>
      <c r="I1143" s="1"/>
      <c r="J1143" s="1"/>
      <c r="K1143" s="1"/>
      <c r="L1143" s="1" t="str">
        <f>IFERROR(__xludf.DUMMYFUNCTION("""COMPUTED_VALUE"""),"DISAPPROVED")</f>
        <v>DISAPPROVED</v>
      </c>
      <c r="M1143" s="1" t="str">
        <f>IFERROR(__xludf.DUMMYFUNCTION("""COMPUTED_VALUE"""),"DISAPPROVED")</f>
        <v>DISAPPROVED</v>
      </c>
      <c r="N1143" s="3"/>
      <c r="O1143" s="1" t="str">
        <f>IFERROR(__xludf.DUMMYFUNCTION("""COMPUTED_VALUE"""),"FIBR PLAN 1299")</f>
        <v>FIBR PLAN 1299</v>
      </c>
      <c r="P1143" s="1" t="str">
        <f>IFERROR(__xludf.DUMMYFUNCTION("""COMPUTED_VALUE"""),"LOWPLAN")</f>
        <v>LOWPLAN</v>
      </c>
      <c r="Q1143" s="1" t="str">
        <f>IFERROR(__xludf.DUMMYFUNCTION("""COMPUTED_VALUE"""),"P407050")</f>
        <v>P407050</v>
      </c>
      <c r="R1143" s="1" t="str">
        <f>IFERROR(__xludf.DUMMYFUNCTION("""COMPUTED_VALUE"""),"ESCARCHA, ALMA")</f>
        <v>ESCARCHA, ALMA</v>
      </c>
      <c r="S1143" s="1" t="str">
        <f>IFERROR(__xludf.DUMMYFUNCTION("""COMPUTED_VALUE"""),"ORGANIC")</f>
        <v>ORGANIC</v>
      </c>
      <c r="T1143" s="1" t="str">
        <f>IFERROR(__xludf.DUMMYFUNCTION("""COMPUTED_VALUE"""),"LEA REMOLLO")</f>
        <v>LEA REMOLLO</v>
      </c>
      <c r="U1143" s="1" t="str">
        <f>IFERROR(__xludf.DUMMYFUNCTION("""COMPUTED_VALUE"""),"JB SALIOA")</f>
        <v>JB SALIOA</v>
      </c>
      <c r="V1143" s="1" t="str">
        <f>IFERROR(__xludf.DUMMYFUNCTION("""COMPUTED_VALUE"""),"BK REGULAR")</f>
        <v>BK REGULAR</v>
      </c>
      <c r="W1143" s="1" t="str">
        <f>IFERROR(__xludf.DUMMYFUNCTION("""COMPUTED_VALUE"""),"STK REGULAR")</f>
        <v>STK REGULAR</v>
      </c>
      <c r="X1143" s="1" t="str">
        <f>IFERROR(__xludf.DUMMYFUNCTION("""COMPUTED_VALUE"""),"REGULAR")</f>
        <v>REGULAR</v>
      </c>
      <c r="Y1143" s="1" t="str">
        <f>IFERROR(__xludf.DUMMYFUNCTION("""COMPUTED_VALUE"""),"BK_CVEU_261005")</f>
        <v>BK_CVEU_261005</v>
      </c>
      <c r="Z1143" s="1" t="str">
        <f>IFERROR(__xludf.DUMMYFUNCTION("""COMPUTED_VALUE"""),"NEW CONNECT")</f>
        <v>NEW CONNECT</v>
      </c>
      <c r="AA1143" s="1">
        <f>IFERROR(__xludf.DUMMYFUNCTION("""COMPUTED_VALUE"""),639268879525)</f>
        <v>639268879525</v>
      </c>
      <c r="AB1143" s="1"/>
      <c r="AC1143" s="1"/>
      <c r="AD1143" s="1" t="str">
        <f>IFERROR(__xludf.DUMMYFUNCTION("""COMPUTED_VALUE"""),"MAGLABE DRIVE")</f>
        <v>MAGLABE DRIVE</v>
      </c>
      <c r="AE1143" s="1" t="str">
        <f>IFERROR(__xludf.DUMMYFUNCTION("""COMPUTED_VALUE"""),"CUADRA APARTMENT UNIT A")</f>
        <v>CUADRA APARTMENT UNIT A</v>
      </c>
      <c r="AF1143" s="1" t="str">
        <f>IFERROR(__xludf.DUMMYFUNCTION("""COMPUTED_VALUE"""),"BGY ANULING LEJOS 1")</f>
        <v>BGY ANULING LEJOS 1</v>
      </c>
      <c r="AG1143" s="1" t="str">
        <f>IFERROR(__xludf.DUMMYFUNCTION("""COMPUTED_VALUE"""),"MENDEZ")</f>
        <v>MENDEZ</v>
      </c>
      <c r="AH1143" s="1" t="str">
        <f>IFERROR(__xludf.DUMMYFUNCTION("""COMPUTED_VALUE"""),"TRICYCLE TERMINAL")</f>
        <v>TRICYCLE TERMINAL</v>
      </c>
      <c r="AI1143" s="1" t="str">
        <f>IFERROR(__xludf.DUMMYFUNCTION("""COMPUTED_VALUE"""),"CLUSTER 12")</f>
        <v>CLUSTER 12</v>
      </c>
    </row>
    <row r="1144" customHeight="1" spans="1:35">
      <c r="A1144" s="3">
        <f>IFERROR(__xludf.DUMMYFUNCTION("""COMPUTED_VALUE"""),46314)</f>
        <v>46314</v>
      </c>
      <c r="B1144" s="1" t="str">
        <f>IFERROR(__xludf.DUMMYFUNCTION("""COMPUTED_VALUE"""),"ALEJANDRA LIZZA LONTOK PAESTE")</f>
        <v>ALEJANDRA LIZZA LONTOK PAESTE</v>
      </c>
      <c r="C1144" s="1">
        <f>IFERROR(__xludf.DUMMYFUNCTION("""COMPUTED_VALUE"""),2313249508)</f>
        <v>2313249508</v>
      </c>
      <c r="D1144" s="1">
        <f>IFERROR(__xludf.DUMMYFUNCTION("""COMPUTED_VALUE"""),409127282)</f>
        <v>409127282</v>
      </c>
      <c r="E1144" s="1">
        <f>IFERROR(__xludf.DUMMYFUNCTION("""COMPUTED_VALUE"""),476244538004)</f>
        <v>476244538004</v>
      </c>
      <c r="F1144" s="1" t="str">
        <f>IFERROR(__xludf.DUMMYFUNCTION("""COMPUTED_VALUE"""),"AFD")</f>
        <v>AFD</v>
      </c>
      <c r="G1144" s="1" t="str">
        <f>IFERROR(__xludf.DUMMYFUNCTION("""COMPUTED_VALUE"""),"""CALLTHRU 
窶山EMARKS: SUBS REQUEST RESCHEDULE ON OCTOBER 27 2026 
TALK ALEJANDRA LIZZA LONTOK PAESTE 
09560074280""")</f>
        <v>"CALLTHRU 
窶山EMARKS: SUBS REQUEST RESCHEDULE ON OCTOBER 27 2026 
TALK ALEJANDRA LIZZA LONTOK PAESTE 
09560074280"</v>
      </c>
      <c r="H1144" s="1"/>
      <c r="I1144" s="1"/>
      <c r="J1144" s="1"/>
      <c r="K1144" s="1" t="str">
        <f>IFERROR(__xludf.DUMMYFUNCTION("""COMPUTED_VALUE"""),"OPEN IN OFSC")</f>
        <v>OPEN IN OFSC</v>
      </c>
      <c r="L1144" s="1" t="str">
        <f>IFERROR(__xludf.DUMMYFUNCTION("""COMPUTED_VALUE"""),"AFD - RESCHEDULE")</f>
        <v>AFD - RESCHEDULE</v>
      </c>
      <c r="M1144" s="1" t="str">
        <f>IFERROR(__xludf.DUMMYFUNCTION("""COMPUTED_VALUE"""),"AFD - RESCHEDULED")</f>
        <v>AFD - RESCHEDULED</v>
      </c>
      <c r="N1144" s="3"/>
      <c r="O1144" s="1" t="str">
        <f>IFERROR(__xludf.DUMMYFUNCTION("""COMPUTED_VALUE"""),"FIBER UNLI PLAN 1399")</f>
        <v>FIBER UNLI PLAN 1399</v>
      </c>
      <c r="P1144" s="1" t="str">
        <f>IFERROR(__xludf.DUMMYFUNCTION("""COMPUTED_VALUE"""),"LOWPLAN")</f>
        <v>LOWPLAN</v>
      </c>
      <c r="Q1144" s="1" t="str">
        <f>IFERROR(__xludf.DUMMYFUNCTION("""COMPUTED_VALUE"""),"P407047")</f>
        <v>P407047</v>
      </c>
      <c r="R1144" s="1" t="str">
        <f>IFERROR(__xludf.DUMMYFUNCTION("""COMPUTED_VALUE"""),"FRANCISCO, ROSELYN")</f>
        <v>FRANCISCO, ROSELYN</v>
      </c>
      <c r="S1144" s="1" t="str">
        <f>IFERROR(__xludf.DUMMYFUNCTION("""COMPUTED_VALUE"""),"ORGANIC")</f>
        <v>ORGANIC</v>
      </c>
      <c r="T1144" s="1" t="str">
        <f>IFERROR(__xludf.DUMMYFUNCTION("""COMPUTED_VALUE"""),"LEA REMOLLO")</f>
        <v>LEA REMOLLO</v>
      </c>
      <c r="U1144" s="1" t="str">
        <f>IFERROR(__xludf.DUMMYFUNCTION("""COMPUTED_VALUE"""),"JB SALIOA")</f>
        <v>JB SALIOA</v>
      </c>
      <c r="V1144" s="1" t="str">
        <f>IFERROR(__xludf.DUMMYFUNCTION("""COMPUTED_VALUE"""),"BK EXPRESS")</f>
        <v>BK EXPRESS</v>
      </c>
      <c r="W1144" s="1" t="str">
        <f>IFERROR(__xludf.DUMMYFUNCTION("""COMPUTED_VALUE"""),"BK HSTK")</f>
        <v>BK HSTK</v>
      </c>
      <c r="X1144" s="1" t="str">
        <f>IFERROR(__xludf.DUMMYFUNCTION("""COMPUTED_VALUE"""),"FIBER 1399 98TH YR")</f>
        <v>FIBER 1399 98TH YR</v>
      </c>
      <c r="Y1144" s="1" t="str">
        <f>IFERROR(__xludf.DUMMYFUNCTION("""COMPUTED_VALUE"""),"BK_CVEU_261003")</f>
        <v>BK_CVEU_261003</v>
      </c>
      <c r="Z1144" s="1" t="str">
        <f>IFERROR(__xludf.DUMMYFUNCTION("""COMPUTED_VALUE"""),"NEW CONNECT")</f>
        <v>NEW CONNECT</v>
      </c>
      <c r="AA1144" s="1">
        <f>IFERROR(__xludf.DUMMYFUNCTION("""COMPUTED_VALUE"""),639560074280)</f>
        <v>639560074280</v>
      </c>
      <c r="AB1144" s="1"/>
      <c r="AC1144" s="1">
        <f>IFERROR(__xludf.DUMMYFUNCTION("""COMPUTED_VALUE"""),1193)</f>
        <v>1193</v>
      </c>
      <c r="AD1144" s="1" t="str">
        <f>IFERROR(__xludf.DUMMYFUNCTION("""COMPUTED_VALUE"""),"HEBRON")</f>
        <v>HEBRON</v>
      </c>
      <c r="AE1144" s="1"/>
      <c r="AF1144" s="1" t="str">
        <f>IFERROR(__xludf.DUMMYFUNCTION("""COMPUTED_VALUE"""),"BGY MABUHAY")</f>
        <v>BGY MABUHAY</v>
      </c>
      <c r="AG1144" s="1" t="str">
        <f>IFERROR(__xludf.DUMMYFUNCTION("""COMPUTED_VALUE"""),"CARMONA")</f>
        <v>CARMONA</v>
      </c>
      <c r="AH1144" s="1" t="str">
        <f>IFERROR(__xludf.DUMMYFUNCTION("""COMPUTED_VALUE"""),"BKEXPRESS_NEAR POTATO CORNER")</f>
        <v>BKEXPRESS_NEAR POTATO CORNER</v>
      </c>
      <c r="AI1144" s="1" t="str">
        <f>IFERROR(__xludf.DUMMYFUNCTION("""COMPUTED_VALUE"""),"CLUSTER 11")</f>
        <v>CLUSTER 11</v>
      </c>
    </row>
    <row r="1145" customHeight="1" spans="1:35">
      <c r="A1145" s="3">
        <f>IFERROR(__xludf.DUMMYFUNCTION("""COMPUTED_VALUE"""),46314)</f>
        <v>46314</v>
      </c>
      <c r="B1145" s="1" t="str">
        <f>IFERROR(__xludf.DUMMYFUNCTION("""COMPUTED_VALUE"""),"JOHN JOHN BERYLL DE LOS REYES EBONA")</f>
        <v>JOHN JOHN BERYLL DE LOS REYES EBONA</v>
      </c>
      <c r="C1145" s="1">
        <f>IFERROR(__xludf.DUMMYFUNCTION("""COMPUTED_VALUE"""),2313249447)</f>
        <v>2313249447</v>
      </c>
      <c r="D1145" s="1">
        <f>IFERROR(__xludf.DUMMYFUNCTION("""COMPUTED_VALUE"""),409125859)</f>
        <v>409125859</v>
      </c>
      <c r="E1145" s="1">
        <f>IFERROR(__xludf.DUMMYFUNCTION("""COMPUTED_VALUE"""),476243051004)</f>
        <v>476243051004</v>
      </c>
      <c r="F1145" s="1" t="str">
        <f>IFERROR(__xludf.DUMMYFUNCTION("""COMPUTED_VALUE"""),"CLOSED")</f>
        <v>CLOSED</v>
      </c>
      <c r="G1145" s="1" t="str">
        <f>IFERROR(__xludf.DUMMYFUNCTION("""COMPUTED_VALUE"""),"CLOSED")</f>
        <v>CLOSED</v>
      </c>
      <c r="H1145" s="1"/>
      <c r="I1145" s="1" t="str">
        <f>IFERROR(__xludf.DUMMYFUNCTION("""COMPUTED_VALUE"""),"NO 1 AMSF")</f>
        <v>NO 1 AMSF</v>
      </c>
      <c r="J1145" s="1" t="str">
        <f>IFERROR(__xludf.DUMMYFUNCTION("""COMPUTED_VALUE"""),"NO PAYMENT")</f>
        <v>NO PAYMENT</v>
      </c>
      <c r="K1145" s="1" t="str">
        <f>IFERROR(__xludf.DUMMYFUNCTION("""COMPUTED_VALUE"""),"OPEN IN OFSC")</f>
        <v>OPEN IN OFSC</v>
      </c>
      <c r="L1145" s="1" t="str">
        <f>IFERROR(__xludf.DUMMYFUNCTION("""COMPUTED_VALUE"""),"POSTED")</f>
        <v>POSTED</v>
      </c>
      <c r="M1145" s="1" t="str">
        <f>IFERROR(__xludf.DUMMYFUNCTION("""COMPUTED_VALUE"""),"POSTED")</f>
        <v>POSTED</v>
      </c>
      <c r="N1145" s="3">
        <f>IFERROR(__xludf.DUMMYFUNCTION("""COMPUTED_VALUE"""),46315)</f>
        <v>46315</v>
      </c>
      <c r="O1145" s="1" t="str">
        <f>IFERROR(__xludf.DUMMYFUNCTION("""COMPUTED_VALUE"""),"FIBER UNLI PLAN 1399")</f>
        <v>FIBER UNLI PLAN 1399</v>
      </c>
      <c r="P1145" s="1" t="str">
        <f>IFERROR(__xludf.DUMMYFUNCTION("""COMPUTED_VALUE"""),"LOWPLAN")</f>
        <v>LOWPLAN</v>
      </c>
      <c r="Q1145" s="1" t="str">
        <f>IFERROR(__xludf.DUMMYFUNCTION("""COMPUTED_VALUE"""),"P407049")</f>
        <v>P407049</v>
      </c>
      <c r="R1145" s="1" t="str">
        <f>IFERROR(__xludf.DUMMYFUNCTION("""COMPUTED_VALUE"""),"MERCADO, MARK ANTHONY")</f>
        <v>MERCADO, MARK ANTHONY</v>
      </c>
      <c r="S1145" s="1" t="str">
        <f>IFERROR(__xludf.DUMMYFUNCTION("""COMPUTED_VALUE"""),"ORGANIC")</f>
        <v>ORGANIC</v>
      </c>
      <c r="T1145" s="1" t="str">
        <f>IFERROR(__xludf.DUMMYFUNCTION("""COMPUTED_VALUE"""),"LEA REMOLLO")</f>
        <v>LEA REMOLLO</v>
      </c>
      <c r="U1145" s="1" t="str">
        <f>IFERROR(__xludf.DUMMYFUNCTION("""COMPUTED_VALUE"""),"JULIE ESPIRITU")</f>
        <v>JULIE ESPIRITU</v>
      </c>
      <c r="V1145" s="1" t="str">
        <f>IFERROR(__xludf.DUMMYFUNCTION("""COMPUTED_VALUE"""),"BK HSTK")</f>
        <v>BK HSTK</v>
      </c>
      <c r="W1145" s="1" t="str">
        <f>IFERROR(__xludf.DUMMYFUNCTION("""COMPUTED_VALUE"""),"BK HSTK")</f>
        <v>BK HSTK</v>
      </c>
      <c r="X1145" s="1" t="str">
        <f>IFERROR(__xludf.DUMMYFUNCTION("""COMPUTED_VALUE"""),"FIBER 1399 98TH YR")</f>
        <v>FIBER 1399 98TH YR</v>
      </c>
      <c r="Y1145" s="1" t="str">
        <f>IFERROR(__xludf.DUMMYFUNCTION("""COMPUTED_VALUE"""),"BK_CVEU_261007")</f>
        <v>BK_CVEU_261007</v>
      </c>
      <c r="Z1145" s="1" t="str">
        <f>IFERROR(__xludf.DUMMYFUNCTION("""COMPUTED_VALUE"""),"NEW CONNECT")</f>
        <v>NEW CONNECT</v>
      </c>
      <c r="AA1145" s="1">
        <f>IFERROR(__xludf.DUMMYFUNCTION("""COMPUTED_VALUE"""),639565413392)</f>
        <v>639565413392</v>
      </c>
      <c r="AB1145" s="1"/>
      <c r="AC1145" s="1"/>
      <c r="AD1145" s="1" t="str">
        <f>IFERROR(__xludf.DUMMYFUNCTION("""COMPUTED_VALUE"""),"WOODSBOROUGH")</f>
        <v>WOODSBOROUGH</v>
      </c>
      <c r="AE1145" s="1" t="str">
        <f>IFERROR(__xludf.DUMMYFUNCTION("""COMPUTED_VALUE"""),"WOODSBOROUGH VILLAGE")</f>
        <v>WOODSBOROUGH VILLAGE</v>
      </c>
      <c r="AF1145" s="1" t="str">
        <f>IFERROR(__xludf.DUMMYFUNCTION("""COMPUTED_VALUE"""),"BGY ASISAN")</f>
        <v>BGY ASISAN</v>
      </c>
      <c r="AG1145" s="1" t="str">
        <f>IFERROR(__xludf.DUMMYFUNCTION("""COMPUTED_VALUE"""),"TAGAYTAY")</f>
        <v>TAGAYTAY</v>
      </c>
      <c r="AH1145" s="1" t="str">
        <f>IFERROR(__xludf.DUMMYFUNCTION("""COMPUTED_VALUE"""),"PUZZLE MANSION")</f>
        <v>PUZZLE MANSION</v>
      </c>
      <c r="AI1145" s="1" t="str">
        <f>IFERROR(__xludf.DUMMYFUNCTION("""COMPUTED_VALUE"""),"CLUSTER 12")</f>
        <v>CLUSTER 12</v>
      </c>
    </row>
    <row r="1146" customHeight="1" spans="1:35">
      <c r="A1146" s="3">
        <f>IFERROR(__xludf.DUMMYFUNCTION("""COMPUTED_VALUE"""),46314)</f>
        <v>46314</v>
      </c>
      <c r="B1146" s="1" t="str">
        <f>IFERROR(__xludf.DUMMYFUNCTION("""COMPUTED_VALUE"""),"WINSTON VACAL ARCA")</f>
        <v>WINSTON VACAL ARCA</v>
      </c>
      <c r="C1146" s="1">
        <f>IFERROR(__xludf.DUMMYFUNCTION("""COMPUTED_VALUE"""),2313250362)</f>
        <v>2313250362</v>
      </c>
      <c r="D1146" s="1">
        <f>IFERROR(__xludf.DUMMYFUNCTION("""COMPUTED_VALUE"""),409125530)</f>
        <v>409125530</v>
      </c>
      <c r="E1146" s="1">
        <f>IFERROR(__xludf.DUMMYFUNCTION("""COMPUTED_VALUE"""),476243031004)</f>
        <v>476243031004</v>
      </c>
      <c r="F1146" s="1" t="str">
        <f>IFERROR(__xludf.DUMMYFUNCTION("""COMPUTED_VALUE"""),"RPR")</f>
        <v>RPR</v>
      </c>
      <c r="G1146" s="1" t="str">
        <f>IFERROR(__xludf.DUMMYFUNCTION("""COMPUTED_VALUE"""),"RPR  CANCEL APPLICATION, MAY EXCITING LINE PA NG PLDT SI SUBS , HIHINTAYIN NYA DAW MUNA MA TERMINATE ANG DATI NYANG PLDT ")</f>
        <v>RPR  CANCEL APPLICATION, MAY EXCITING LINE PA NG PLDT SI SUBS , HIHINTAYIN NYA DAW MUNA MA TERMINATE ANG DATI NYANG PLDT </v>
      </c>
      <c r="H1146" s="1" t="str">
        <f>IFERROR(__xludf.DUMMYFUNCTION("""COMPUTED_VALUE"""),"PAID VIA CSP")</f>
        <v>PAID VIA CSP</v>
      </c>
      <c r="I1146" s="1"/>
      <c r="J1146" s="1"/>
      <c r="K1146" s="1" t="str">
        <f>IFERROR(__xludf.DUMMYFUNCTION("""COMPUTED_VALUE"""),"NOT IN OFSC")</f>
        <v>NOT IN OFSC</v>
      </c>
      <c r="L1146" s="1" t="str">
        <f>IFERROR(__xludf.DUMMYFUNCTION("""COMPUTED_VALUE"""),"RPR - SUBS CANCEL REQUEST")</f>
        <v>RPR - SUBS CANCEL REQUEST</v>
      </c>
      <c r="M1146" s="1" t="str">
        <f>IFERROR(__xludf.DUMMYFUNCTION("""COMPUTED_VALUE"""),"RPR- SUBS CANCEL REQUEST")</f>
        <v>RPR- SUBS CANCEL REQUEST</v>
      </c>
      <c r="N1146" s="3"/>
      <c r="O1146" s="1" t="str">
        <f>IFERROR(__xludf.DUMMYFUNCTION("""COMPUTED_VALUE"""),"FIBER UNLI PLAN 1399")</f>
        <v>FIBER UNLI PLAN 1399</v>
      </c>
      <c r="P1146" s="1" t="str">
        <f>IFERROR(__xludf.DUMMYFUNCTION("""COMPUTED_VALUE"""),"LOWPLAN")</f>
        <v>LOWPLAN</v>
      </c>
      <c r="Q1146" s="1" t="str">
        <f>IFERROR(__xludf.DUMMYFUNCTION("""COMPUTED_VALUE"""),"P407049")</f>
        <v>P407049</v>
      </c>
      <c r="R1146" s="1" t="str">
        <f>IFERROR(__xludf.DUMMYFUNCTION("""COMPUTED_VALUE"""),"MERCADO, MARK ANTHONY")</f>
        <v>MERCADO, MARK ANTHONY</v>
      </c>
      <c r="S1146" s="1" t="str">
        <f>IFERROR(__xludf.DUMMYFUNCTION("""COMPUTED_VALUE"""),"ORGANIC")</f>
        <v>ORGANIC</v>
      </c>
      <c r="T1146" s="1" t="str">
        <f>IFERROR(__xludf.DUMMYFUNCTION("""COMPUTED_VALUE"""),"LEA REMOLLO")</f>
        <v>LEA REMOLLO</v>
      </c>
      <c r="U1146" s="1" t="str">
        <f>IFERROR(__xludf.DUMMYFUNCTION("""COMPUTED_VALUE"""),"JULIE ESPIRITU")</f>
        <v>JULIE ESPIRITU</v>
      </c>
      <c r="V1146" s="1" t="str">
        <f>IFERROR(__xludf.DUMMYFUNCTION("""COMPUTED_VALUE"""),"BK HSTK")</f>
        <v>BK HSTK</v>
      </c>
      <c r="W1146" s="1" t="str">
        <f>IFERROR(__xludf.DUMMYFUNCTION("""COMPUTED_VALUE"""),"BK HSTK")</f>
        <v>BK HSTK</v>
      </c>
      <c r="X1146" s="1" t="str">
        <f>IFERROR(__xludf.DUMMYFUNCTION("""COMPUTED_VALUE"""),"FIBER 1399 98TH YR")</f>
        <v>FIBER 1399 98TH YR</v>
      </c>
      <c r="Y1146" s="1" t="str">
        <f>IFERROR(__xludf.DUMMYFUNCTION("""COMPUTED_VALUE"""),"BK_CVEU_261007")</f>
        <v>BK_CVEU_261007</v>
      </c>
      <c r="Z1146" s="1" t="str">
        <f>IFERROR(__xludf.DUMMYFUNCTION("""COMPUTED_VALUE"""),"NEW CONNECT")</f>
        <v>NEW CONNECT</v>
      </c>
      <c r="AA1146" s="1">
        <f>IFERROR(__xludf.DUMMYFUNCTION("""COMPUTED_VALUE"""),639517390191)</f>
        <v>639517390191</v>
      </c>
      <c r="AB1146" s="1"/>
      <c r="AC1146" s="1">
        <f>IFERROR(__xludf.DUMMYFUNCTION("""COMPUTED_VALUE"""),745)</f>
        <v>745</v>
      </c>
      <c r="AD1146" s="1" t="str">
        <f>IFERROR(__xludf.DUMMYFUNCTION("""COMPUTED_VALUE"""),"PUROK 6")</f>
        <v>PUROK 6</v>
      </c>
      <c r="AE1146" s="1"/>
      <c r="AF1146" s="1" t="str">
        <f>IFERROR(__xludf.DUMMYFUNCTION("""COMPUTED_VALUE"""),"BGY NEOGAN")</f>
        <v>BGY NEOGAN</v>
      </c>
      <c r="AG1146" s="1" t="str">
        <f>IFERROR(__xludf.DUMMYFUNCTION("""COMPUTED_VALUE"""),"TAGAYTAY")</f>
        <v>TAGAYTAY</v>
      </c>
      <c r="AH1146" s="1" t="str">
        <f>IFERROR(__xludf.DUMMYFUNCTION("""COMPUTED_VALUE"""),"WATER TANK")</f>
        <v>WATER TANK</v>
      </c>
      <c r="AI1146" s="1" t="str">
        <f>IFERROR(__xludf.DUMMYFUNCTION("""COMPUTED_VALUE"""),"CLUSTER 12")</f>
        <v>CLUSTER 12</v>
      </c>
    </row>
    <row r="1147" customHeight="1" spans="1:35">
      <c r="A1147" s="3">
        <f>IFERROR(__xludf.DUMMYFUNCTION("""COMPUTED_VALUE"""),46314)</f>
        <v>46314</v>
      </c>
      <c r="B1147" s="1" t="str">
        <f>IFERROR(__xludf.DUMMYFUNCTION("""COMPUTED_VALUE"""),"ALVIN MARTINEZ DE JESUS")</f>
        <v>ALVIN MARTINEZ DE JESUS</v>
      </c>
      <c r="C1147" s="1">
        <f>IFERROR(__xludf.DUMMYFUNCTION("""COMPUTED_VALUE"""),2313250394)</f>
        <v>2313250394</v>
      </c>
      <c r="D1147" s="1">
        <f>IFERROR(__xludf.DUMMYFUNCTION("""COMPUTED_VALUE"""),409128459)</f>
        <v>409128459</v>
      </c>
      <c r="E1147" s="1">
        <f>IFERROR(__xludf.DUMMYFUNCTION("""COMPUTED_VALUE"""),476244502004)</f>
        <v>476244502004</v>
      </c>
      <c r="F1147" s="1" t="str">
        <f>IFERROR(__xludf.DUMMYFUNCTION("""COMPUTED_VALUE"""),"AFD")</f>
        <v>AFD</v>
      </c>
      <c r="G1147" s="1" t="str">
        <f>IFERROR(__xludf.DUMMYFUNCTION("""COMPUTED_VALUE"""),"VISITED REMARKS   CANT LOCATE   CBR 09271747054 UNATTENDED   ALREADY SENT A MESSAGE STILL NO RESPONSE   HINDI RIN KILALA SA LUGAR   ")</f>
        <v>VISITED REMARKS   CANT LOCATE   CBR 09271747054 UNATTENDED   ALREADY SENT A MESSAGE STILL NO RESPONSE   HINDI RIN KILALA SA LUGAR   </v>
      </c>
      <c r="H1147" s="1"/>
      <c r="I1147" s="1"/>
      <c r="J1147" s="1"/>
      <c r="K1147" s="1" t="str">
        <f>IFERROR(__xludf.DUMMYFUNCTION("""COMPUTED_VALUE"""),"OPEN IN OFSC")</f>
        <v>OPEN IN OFSC</v>
      </c>
      <c r="L1147" s="1" t="str">
        <f>IFERROR(__xludf.DUMMYFUNCTION("""COMPUTED_VALUE"""),"AFD - RESCHEDULE")</f>
        <v>AFD - RESCHEDULE</v>
      </c>
      <c r="M1147" s="1" t="str">
        <f>IFERROR(__xludf.DUMMYFUNCTION("""COMPUTED_VALUE"""),"AFD - RESCHEDULED")</f>
        <v>AFD - RESCHEDULED</v>
      </c>
      <c r="N1147" s="3"/>
      <c r="O1147" s="1" t="str">
        <f>IFERROR(__xludf.DUMMYFUNCTION("""COMPUTED_VALUE"""),"FIBER UNLI PLAN 1399")</f>
        <v>FIBER UNLI PLAN 1399</v>
      </c>
      <c r="P1147" s="1" t="str">
        <f>IFERROR(__xludf.DUMMYFUNCTION("""COMPUTED_VALUE"""),"LOWPLAN")</f>
        <v>LOWPLAN</v>
      </c>
      <c r="Q1147" s="1" t="str">
        <f>IFERROR(__xludf.DUMMYFUNCTION("""COMPUTED_VALUE"""),"P407050")</f>
        <v>P407050</v>
      </c>
      <c r="R1147" s="1" t="str">
        <f>IFERROR(__xludf.DUMMYFUNCTION("""COMPUTED_VALUE"""),"ESCARCHA, ALMA")</f>
        <v>ESCARCHA, ALMA</v>
      </c>
      <c r="S1147" s="1" t="str">
        <f>IFERROR(__xludf.DUMMYFUNCTION("""COMPUTED_VALUE"""),"ORGANIC")</f>
        <v>ORGANIC</v>
      </c>
      <c r="T1147" s="1" t="str">
        <f>IFERROR(__xludf.DUMMYFUNCTION("""COMPUTED_VALUE"""),"LEA REMOLLO")</f>
        <v>LEA REMOLLO</v>
      </c>
      <c r="U1147" s="1" t="str">
        <f>IFERROR(__xludf.DUMMYFUNCTION("""COMPUTED_VALUE"""),"JB SALIOA")</f>
        <v>JB SALIOA</v>
      </c>
      <c r="V1147" s="1" t="str">
        <f>IFERROR(__xludf.DUMMYFUNCTION("""COMPUTED_VALUE"""),"BK HSTK")</f>
        <v>BK HSTK</v>
      </c>
      <c r="W1147" s="1" t="str">
        <f>IFERROR(__xludf.DUMMYFUNCTION("""COMPUTED_VALUE"""),"BK HSTK")</f>
        <v>BK HSTK</v>
      </c>
      <c r="X1147" s="1" t="str">
        <f>IFERROR(__xludf.DUMMYFUNCTION("""COMPUTED_VALUE"""),"FIBER 1399 98TH YR")</f>
        <v>FIBER 1399 98TH YR</v>
      </c>
      <c r="Y1147" s="1" t="str">
        <f>IFERROR(__xludf.DUMMYFUNCTION("""COMPUTED_VALUE"""),"BK_CVEU_261003")</f>
        <v>BK_CVEU_261003</v>
      </c>
      <c r="Z1147" s="1" t="str">
        <f>IFERROR(__xludf.DUMMYFUNCTION("""COMPUTED_VALUE"""),"NEW CONNECT")</f>
        <v>NEW CONNECT</v>
      </c>
      <c r="AA1147" s="1">
        <f>IFERROR(__xludf.DUMMYFUNCTION("""COMPUTED_VALUE"""),639271747054)</f>
        <v>639271747054</v>
      </c>
      <c r="AB1147" s="1"/>
      <c r="AC1147" s="1">
        <f>IFERROR(__xludf.DUMMYFUNCTION("""COMPUTED_VALUE"""),11415)</f>
        <v>11415</v>
      </c>
      <c r="AD1147" s="1" t="str">
        <f>IFERROR(__xludf.DUMMYFUNCTION("""COMPUTED_VALUE"""),"M REYES")</f>
        <v>M REYES</v>
      </c>
      <c r="AE1147" s="1"/>
      <c r="AF1147" s="1" t="str">
        <f>IFERROR(__xludf.DUMMYFUNCTION("""COMPUTED_VALUE"""),"BGY MABUHAY")</f>
        <v>BGY MABUHAY</v>
      </c>
      <c r="AG1147" s="1" t="str">
        <f>IFERROR(__xludf.DUMMYFUNCTION("""COMPUTED_VALUE"""),"CARMONA")</f>
        <v>CARMONA</v>
      </c>
      <c r="AH1147" s="1" t="str">
        <f>IFERROR(__xludf.DUMMYFUNCTION("""COMPUTED_VALUE"""),"MABUHAY ELEM SCHOOL")</f>
        <v>MABUHAY ELEM SCHOOL</v>
      </c>
      <c r="AI1147" s="1" t="str">
        <f>IFERROR(__xludf.DUMMYFUNCTION("""COMPUTED_VALUE"""),"CLUSTER 11")</f>
        <v>CLUSTER 11</v>
      </c>
    </row>
    <row r="1148" customHeight="1" spans="1:35">
      <c r="A1148" s="3">
        <f>IFERROR(__xludf.DUMMYFUNCTION("""COMPUTED_VALUE"""),46314)</f>
        <v>46314</v>
      </c>
      <c r="B1148" s="1" t="str">
        <f>IFERROR(__xludf.DUMMYFUNCTION("""COMPUTED_VALUE"""),"BERNIE GRACE AFROILAN CALISAAN")</f>
        <v>BERNIE GRACE AFROILAN CALISAAN</v>
      </c>
      <c r="C1148" s="1">
        <f>IFERROR(__xludf.DUMMYFUNCTION("""COMPUTED_VALUE"""),2313250949)</f>
        <v>2313250949</v>
      </c>
      <c r="D1148" s="1">
        <f>IFERROR(__xludf.DUMMYFUNCTION("""COMPUTED_VALUE"""),409129463)</f>
        <v>409129463</v>
      </c>
      <c r="E1148" s="1">
        <f>IFERROR(__xludf.DUMMYFUNCTION("""COMPUTED_VALUE"""),476244993004)</f>
        <v>476244993004</v>
      </c>
      <c r="F1148" s="1" t="str">
        <f>IFERROR(__xludf.DUMMYFUNCTION("""COMPUTED_VALUE"""),"CLOSED")</f>
        <v>CLOSED</v>
      </c>
      <c r="G1148" s="1" t="str">
        <f>IFERROR(__xludf.DUMMYFUNCTION("""COMPUTED_VALUE"""),"CLOSED")</f>
        <v>CLOSED</v>
      </c>
      <c r="H1148" s="1" t="str">
        <f>IFERROR(__xludf.DUMMYFUNCTION("""COMPUTED_VALUE"""),"PAID VIA GCASH REF 56188516 OCT 21")</f>
        <v>PAID VIA GCASH REF 56188516 OCT 21</v>
      </c>
      <c r="I1148" s="1" t="str">
        <f>IFERROR(__xludf.DUMMYFUNCTION("""COMPUTED_VALUE"""),"WITH 1 AMSF")</f>
        <v>WITH 1 AMSF</v>
      </c>
      <c r="J1148" s="1" t="str">
        <f>IFERROR(__xludf.DUMMYFUNCTION("""COMPUTED_VALUE"""),"NO PAYMENT")</f>
        <v>NO PAYMENT</v>
      </c>
      <c r="K1148" s="1" t="str">
        <f>IFERROR(__xludf.DUMMYFUNCTION("""COMPUTED_VALUE"""),"OPEN IN OFSC")</f>
        <v>OPEN IN OFSC</v>
      </c>
      <c r="L1148" s="1" t="str">
        <f>IFERROR(__xludf.DUMMYFUNCTION("""COMPUTED_VALUE"""),"POSTED")</f>
        <v>POSTED</v>
      </c>
      <c r="M1148" s="1" t="str">
        <f>IFERROR(__xludf.DUMMYFUNCTION("""COMPUTED_VALUE"""),"POSTED")</f>
        <v>POSTED</v>
      </c>
      <c r="N1148" s="3">
        <f>IFERROR(__xludf.DUMMYFUNCTION("""COMPUTED_VALUE"""),46315)</f>
        <v>46315</v>
      </c>
      <c r="O1148" s="1" t="str">
        <f>IFERROR(__xludf.DUMMYFUNCTION("""COMPUTED_VALUE"""),"FIBER UNLI PLAN 1399")</f>
        <v>FIBER UNLI PLAN 1399</v>
      </c>
      <c r="P1148" s="1" t="str">
        <f>IFERROR(__xludf.DUMMYFUNCTION("""COMPUTED_VALUE"""),"LOWPLAN")</f>
        <v>LOWPLAN</v>
      </c>
      <c r="Q1148" s="1" t="str">
        <f>IFERROR(__xludf.DUMMYFUNCTION("""COMPUTED_VALUE"""),"P407561")</f>
        <v>P407561</v>
      </c>
      <c r="R1148" s="1" t="str">
        <f>IFERROR(__xludf.DUMMYFUNCTION("""COMPUTED_VALUE"""),"TAMAYO, MARY ROSE ZAIRA")</f>
        <v>TAMAYO, MARY ROSE ZAIRA</v>
      </c>
      <c r="S1148" s="1" t="str">
        <f>IFERROR(__xludf.DUMMYFUNCTION("""COMPUTED_VALUE"""),"ORGANIC")</f>
        <v>ORGANIC</v>
      </c>
      <c r="T1148" s="1" t="str">
        <f>IFERROR(__xludf.DUMMYFUNCTION("""COMPUTED_VALUE"""),"LEA REMOLLO")</f>
        <v>LEA REMOLLO</v>
      </c>
      <c r="U1148" s="1" t="str">
        <f>IFERROR(__xludf.DUMMYFUNCTION("""COMPUTED_VALUE"""),"JB SALIOA")</f>
        <v>JB SALIOA</v>
      </c>
      <c r="V1148" s="1" t="str">
        <f>IFERROR(__xludf.DUMMYFUNCTION("""COMPUTED_VALUE"""),"BK HSTK")</f>
        <v>BK HSTK</v>
      </c>
      <c r="W1148" s="1" t="str">
        <f>IFERROR(__xludf.DUMMYFUNCTION("""COMPUTED_VALUE"""),"BK HSTK")</f>
        <v>BK HSTK</v>
      </c>
      <c r="X1148" s="1" t="str">
        <f>IFERROR(__xludf.DUMMYFUNCTION("""COMPUTED_VALUE"""),"FIBER 1399 98TH YR")</f>
        <v>FIBER 1399 98TH YR</v>
      </c>
      <c r="Y1148" s="1" t="str">
        <f>IFERROR(__xludf.DUMMYFUNCTION("""COMPUTED_VALUE"""),"BK_CVEU_261002")</f>
        <v>BK_CVEU_261002</v>
      </c>
      <c r="Z1148" s="1" t="str">
        <f>IFERROR(__xludf.DUMMYFUNCTION("""COMPUTED_VALUE"""),"NEW CONNECT")</f>
        <v>NEW CONNECT</v>
      </c>
      <c r="AA1148" s="1">
        <f>IFERROR(__xludf.DUMMYFUNCTION("""COMPUTED_VALUE"""),639279515734)</f>
        <v>639279515734</v>
      </c>
      <c r="AB1148" s="1"/>
      <c r="AC1148" s="1">
        <f>IFERROR(__xludf.DUMMYFUNCTION("""COMPUTED_VALUE"""),121)</f>
        <v>121</v>
      </c>
      <c r="AD1148" s="1" t="str">
        <f>IFERROR(__xludf.DUMMYFUNCTION("""COMPUTED_VALUE"""),"CRISANTO DELOS REYES")</f>
        <v>CRISANTO DELOS REYES</v>
      </c>
      <c r="AE1148" s="1"/>
      <c r="AF1148" s="1" t="str">
        <f>IFERROR(__xludf.DUMMYFUNCTION("""COMPUTED_VALUE"""),"BGY SALABAN")</f>
        <v>BGY SALABAN</v>
      </c>
      <c r="AG1148" s="1" t="str">
        <f>IFERROR(__xludf.DUMMYFUNCTION("""COMPUTED_VALUE"""),"AMADEO")</f>
        <v>AMADEO</v>
      </c>
      <c r="AH1148" s="1" t="str">
        <f>IFERROR(__xludf.DUMMYFUNCTION("""COMPUTED_VALUE"""),"ZECH II WATER STATION")</f>
        <v>ZECH II WATER STATION</v>
      </c>
      <c r="AI1148" s="1" t="str">
        <f>IFERROR(__xludf.DUMMYFUNCTION("""COMPUTED_VALUE"""),"CLUSTER 12")</f>
        <v>CLUSTER 12</v>
      </c>
    </row>
    <row r="1149" customHeight="1" spans="1:35">
      <c r="A1149" s="3">
        <f>IFERROR(__xludf.DUMMYFUNCTION("""COMPUTED_VALUE"""),46314)</f>
        <v>46314</v>
      </c>
      <c r="B1149" s="1" t="str">
        <f>IFERROR(__xludf.DUMMYFUNCTION("""COMPUTED_VALUE"""),"ESTELA CATINDIG MORALES")</f>
        <v>ESTELA CATINDIG MORALES</v>
      </c>
      <c r="C1149" s="1">
        <f>IFERROR(__xludf.DUMMYFUNCTION("""COMPUTED_VALUE"""),2313251241)</f>
        <v>2313251241</v>
      </c>
      <c r="D1149" s="1">
        <f>IFERROR(__xludf.DUMMYFUNCTION("""COMPUTED_VALUE"""),409128211)</f>
        <v>409128211</v>
      </c>
      <c r="E1149" s="1">
        <f>IFERROR(__xludf.DUMMYFUNCTION("""COMPUTED_VALUE"""),476244430004)</f>
        <v>476244430004</v>
      </c>
      <c r="F1149" s="1" t="str">
        <f>IFERROR(__xludf.DUMMYFUNCTION("""COMPUTED_VALUE"""),"CLOSED")</f>
        <v>CLOSED</v>
      </c>
      <c r="G1149" s="1" t="str">
        <f>IFERROR(__xludf.DUMMYFUNCTION("""COMPUTED_VALUE"""),"CLOSED")</f>
        <v>CLOSED</v>
      </c>
      <c r="H1149" s="1" t="str">
        <f>IFERROR(__xludf.DUMMYFUNCTION("""COMPUTED_VALUE"""),"PAID VIA GASH - ")</f>
        <v>PAID VIA GASH - </v>
      </c>
      <c r="I1149" s="1" t="str">
        <f>IFERROR(__xludf.DUMMYFUNCTION("""COMPUTED_VALUE"""),"WITH 1 AMSF")</f>
        <v>WITH 1 AMSF</v>
      </c>
      <c r="J1149" s="1"/>
      <c r="K1149" s="1" t="str">
        <f>IFERROR(__xludf.DUMMYFUNCTION("""COMPUTED_VALUE"""),"OPEN IN OFSC")</f>
        <v>OPEN IN OFSC</v>
      </c>
      <c r="L1149" s="1" t="str">
        <f>IFERROR(__xludf.DUMMYFUNCTION("""COMPUTED_VALUE"""),"POSTED")</f>
        <v>POSTED</v>
      </c>
      <c r="M1149" s="1" t="str">
        <f>IFERROR(__xludf.DUMMYFUNCTION("""COMPUTED_VALUE"""),"POSTED")</f>
        <v>POSTED</v>
      </c>
      <c r="N1149" s="3">
        <f>IFERROR(__xludf.DUMMYFUNCTION("""COMPUTED_VALUE"""),46317)</f>
        <v>46317</v>
      </c>
      <c r="O1149" s="1" t="str">
        <f>IFERROR(__xludf.DUMMYFUNCTION("""COMPUTED_VALUE"""),"FIBER UNLI PLAN 1399")</f>
        <v>FIBER UNLI PLAN 1399</v>
      </c>
      <c r="P1149" s="1" t="str">
        <f>IFERROR(__xludf.DUMMYFUNCTION("""COMPUTED_VALUE"""),"LOWPLAN")</f>
        <v>LOWPLAN</v>
      </c>
      <c r="Q1149" s="1" t="str">
        <f>IFERROR(__xludf.DUMMYFUNCTION("""COMPUTED_VALUE"""),"P407517")</f>
        <v>P407517</v>
      </c>
      <c r="R1149" s="1" t="str">
        <f>IFERROR(__xludf.DUMMYFUNCTION("""COMPUTED_VALUE"""),"GABAY, MANUEL")</f>
        <v>GABAY, MANUEL</v>
      </c>
      <c r="S1149" s="1" t="str">
        <f>IFERROR(__xludf.DUMMYFUNCTION("""COMPUTED_VALUE"""),"FLA")</f>
        <v>FLA</v>
      </c>
      <c r="T1149" s="1" t="str">
        <f>IFERROR(__xludf.DUMMYFUNCTION("""COMPUTED_VALUE"""),"JERIC NAVARRO")</f>
        <v>JERIC NAVARRO</v>
      </c>
      <c r="U1149" s="1" t="str">
        <f>IFERROR(__xludf.DUMMYFUNCTION("""COMPUTED_VALUE"""),"JB SALIOA")</f>
        <v>JB SALIOA</v>
      </c>
      <c r="V1149" s="1" t="str">
        <f>IFERROR(__xludf.DUMMYFUNCTION("""COMPUTED_VALUE"""),"BK HSTK")</f>
        <v>BK HSTK</v>
      </c>
      <c r="W1149" s="1" t="str">
        <f>IFERROR(__xludf.DUMMYFUNCTION("""COMPUTED_VALUE"""),"BK HSTK")</f>
        <v>BK HSTK</v>
      </c>
      <c r="X1149" s="1" t="str">
        <f>IFERROR(__xludf.DUMMYFUNCTION("""COMPUTED_VALUE"""),"FIBER 1399 98TH YR")</f>
        <v>FIBER 1399 98TH YR</v>
      </c>
      <c r="Y1149" s="1" t="str">
        <f>IFERROR(__xludf.DUMMYFUNCTION("""COMPUTED_VALUE"""),"BK_CVEU_261007")</f>
        <v>BK_CVEU_261007</v>
      </c>
      <c r="Z1149" s="1" t="str">
        <f>IFERROR(__xludf.DUMMYFUNCTION("""COMPUTED_VALUE"""),"NEW CONNECT")</f>
        <v>NEW CONNECT</v>
      </c>
      <c r="AA1149" s="1">
        <f>IFERROR(__xludf.DUMMYFUNCTION("""COMPUTED_VALUE"""),639344135248)</f>
        <v>639344135248</v>
      </c>
      <c r="AB1149" s="1">
        <f>IFERROR(__xludf.DUMMYFUNCTION("""COMPUTED_VALUE"""),639177761990)</f>
        <v>639177761990</v>
      </c>
      <c r="AC1149" s="1">
        <f>IFERROR(__xludf.DUMMYFUNCTION("""COMPUTED_VALUE"""),88)</f>
        <v>88</v>
      </c>
      <c r="AD1149" s="1" t="str">
        <f>IFERROR(__xludf.DUMMYFUNCTION("""COMPUTED_VALUE"""),"ASISAN")</f>
        <v>ASISAN</v>
      </c>
      <c r="AE1149" s="1"/>
      <c r="AF1149" s="1" t="str">
        <f>IFERROR(__xludf.DUMMYFUNCTION("""COMPUTED_VALUE"""),"BGY ASISAN")</f>
        <v>BGY ASISAN</v>
      </c>
      <c r="AG1149" s="1" t="str">
        <f>IFERROR(__xludf.DUMMYFUNCTION("""COMPUTED_VALUE"""),"TAGAYTAY")</f>
        <v>TAGAYTAY</v>
      </c>
      <c r="AH1149" s="1" t="str">
        <f>IFERROR(__xludf.DUMMYFUNCTION("""COMPUTED_VALUE"""),"PURPLE ORCHID")</f>
        <v>PURPLE ORCHID</v>
      </c>
      <c r="AI1149" s="1" t="str">
        <f>IFERROR(__xludf.DUMMYFUNCTION("""COMPUTED_VALUE"""),"CLUSTER 12")</f>
        <v>CLUSTER 12</v>
      </c>
    </row>
    <row r="1150" customHeight="1" spans="1:35">
      <c r="A1150" s="3">
        <f>IFERROR(__xludf.DUMMYFUNCTION("""COMPUTED_VALUE"""),46314)</f>
        <v>46314</v>
      </c>
      <c r="B1150" s="1" t="str">
        <f>IFERROR(__xludf.DUMMYFUNCTION("""COMPUTED_VALUE"""),"LUALHATI ZARAGOZA EVANGELISTA")</f>
        <v>LUALHATI ZARAGOZA EVANGELISTA</v>
      </c>
      <c r="C1150" s="1">
        <f>IFERROR(__xludf.DUMMYFUNCTION("""COMPUTED_VALUE"""),2313251787)</f>
        <v>2313251787</v>
      </c>
      <c r="D1150" s="1">
        <f>IFERROR(__xludf.DUMMYFUNCTION("""COMPUTED_VALUE"""),409171435)</f>
        <v>409171435</v>
      </c>
      <c r="E1150" s="1">
        <f>IFERROR(__xludf.DUMMYFUNCTION("""COMPUTED_VALUE"""),476387726004)</f>
        <v>476387726004</v>
      </c>
      <c r="F1150" s="1" t="str">
        <f>IFERROR(__xludf.DUMMYFUNCTION("""COMPUTED_VALUE"""),"CLOSED")</f>
        <v>CLOSED</v>
      </c>
      <c r="G1150" s="1" t="str">
        <f>IFERROR(__xludf.DUMMYFUNCTION("""COMPUTED_VALUE"""),"CLOSED")</f>
        <v>CLOSED</v>
      </c>
      <c r="H1150" s="1"/>
      <c r="I1150" s="1" t="str">
        <f>IFERROR(__xludf.DUMMYFUNCTION("""COMPUTED_VALUE"""),"NO 1 AMSF")</f>
        <v>NO 1 AMSF</v>
      </c>
      <c r="J1150" s="1"/>
      <c r="K1150" s="1" t="str">
        <f>IFERROR(__xludf.DUMMYFUNCTION("""COMPUTED_VALUE"""),"NOT IN OFSC")</f>
        <v>NOT IN OFSC</v>
      </c>
      <c r="L1150" s="1" t="str">
        <f>IFERROR(__xludf.DUMMYFUNCTION("""COMPUTED_VALUE"""),"POSTED")</f>
        <v>POSTED</v>
      </c>
      <c r="M1150" s="1" t="str">
        <f>IFERROR(__xludf.DUMMYFUNCTION("""COMPUTED_VALUE"""),"POSTED")</f>
        <v>POSTED</v>
      </c>
      <c r="N1150" s="3">
        <f>IFERROR(__xludf.DUMMYFUNCTION("""COMPUTED_VALUE"""),46316)</f>
        <v>46316</v>
      </c>
      <c r="O1150" s="1" t="str">
        <f>IFERROR(__xludf.DUMMYFUNCTION("""COMPUTED_VALUE"""),"FIBER UNLI PLAN 1399")</f>
        <v>FIBER UNLI PLAN 1399</v>
      </c>
      <c r="P1150" s="1" t="str">
        <f>IFERROR(__xludf.DUMMYFUNCTION("""COMPUTED_VALUE"""),"LOWPLAN")</f>
        <v>LOWPLAN</v>
      </c>
      <c r="Q1150" s="1" t="str">
        <f>IFERROR(__xludf.DUMMYFUNCTION("""COMPUTED_VALUE"""),"P408049")</f>
        <v>P408049</v>
      </c>
      <c r="R1150" s="1" t="str">
        <f>IFERROR(__xludf.DUMMYFUNCTION("""COMPUTED_VALUE"""),"CORNELIO, CATHERINE")</f>
        <v>CORNELIO, CATHERINE</v>
      </c>
      <c r="S1150" s="1" t="str">
        <f>IFERROR(__xludf.DUMMYFUNCTION("""COMPUTED_VALUE"""),"ORGANIC")</f>
        <v>ORGANIC</v>
      </c>
      <c r="T1150" s="1" t="str">
        <f>IFERROR(__xludf.DUMMYFUNCTION("""COMPUTED_VALUE"""),"LEA REMOLLO")</f>
        <v>LEA REMOLLO</v>
      </c>
      <c r="U1150" s="1" t="str">
        <f>IFERROR(__xludf.DUMMYFUNCTION("""COMPUTED_VALUE"""),"JB SALIOA")</f>
        <v>JB SALIOA</v>
      </c>
      <c r="V1150" s="1" t="str">
        <f>IFERROR(__xludf.DUMMYFUNCTION("""COMPUTED_VALUE"""),"BK REGULAR")</f>
        <v>BK REGULAR</v>
      </c>
      <c r="W1150" s="1" t="str">
        <f>IFERROR(__xludf.DUMMYFUNCTION("""COMPUTED_VALUE"""),"STK REGULAR")</f>
        <v>STK REGULAR</v>
      </c>
      <c r="X1150" s="1" t="str">
        <f>IFERROR(__xludf.DUMMYFUNCTION("""COMPUTED_VALUE"""),"FIBER 1399 98TH YR")</f>
        <v>FIBER 1399 98TH YR</v>
      </c>
      <c r="Y1150" s="1" t="str">
        <f>IFERROR(__xludf.DUMMYFUNCTION("""COMPUTED_VALUE"""),"BK_CVEU_261006")</f>
        <v>BK_CVEU_261006</v>
      </c>
      <c r="Z1150" s="1" t="str">
        <f>IFERROR(__xludf.DUMMYFUNCTION("""COMPUTED_VALUE"""),"NEW CONNECT")</f>
        <v>NEW CONNECT</v>
      </c>
      <c r="AA1150" s="1">
        <f>IFERROR(__xludf.DUMMYFUNCTION("""COMPUTED_VALUE"""),639458350120)</f>
        <v>639458350120</v>
      </c>
      <c r="AB1150" s="1">
        <f>IFERROR(__xludf.DUMMYFUNCTION("""COMPUTED_VALUE"""),639301752260)</f>
        <v>639301752260</v>
      </c>
      <c r="AC1150" s="1">
        <f>IFERROR(__xludf.DUMMYFUNCTION("""COMPUTED_VALUE"""),24)</f>
        <v>24</v>
      </c>
      <c r="AD1150" s="1" t="str">
        <f>IFERROR(__xludf.DUMMYFUNCTION("""COMPUTED_VALUE"""),"PUROK 1")</f>
        <v>PUROK 1</v>
      </c>
      <c r="AE1150" s="1"/>
      <c r="AF1150" s="1" t="str">
        <f>IFERROR(__xludf.DUMMYFUNCTION("""COMPUTED_VALUE"""),"BGY BIGA 1")</f>
        <v>BGY BIGA 1</v>
      </c>
      <c r="AG1150" s="1" t="str">
        <f>IFERROR(__xludf.DUMMYFUNCTION("""COMPUTED_VALUE"""),"SILANG")</f>
        <v>SILANG</v>
      </c>
      <c r="AH1150" s="1" t="str">
        <f>IFERROR(__xludf.DUMMYFUNCTION("""COMPUTED_VALUE"""),"INFRONT OF 99SILOG")</f>
        <v>INFRONT OF 99SILOG</v>
      </c>
      <c r="AI1150" s="1" t="str">
        <f>IFERROR(__xludf.DUMMYFUNCTION("""COMPUTED_VALUE"""),"CLUSTER 11")</f>
        <v>CLUSTER 11</v>
      </c>
    </row>
    <row r="1151" customHeight="1" spans="1:35">
      <c r="A1151" s="3">
        <f>IFERROR(__xludf.DUMMYFUNCTION("""COMPUTED_VALUE"""),46315)</f>
        <v>46315</v>
      </c>
      <c r="B1151" s="1" t="str">
        <f>IFERROR(__xludf.DUMMYFUNCTION("""COMPUTED_VALUE"""),"HENSON COLILI CONVOCAR")</f>
        <v>HENSON COLILI CONVOCAR</v>
      </c>
      <c r="C1151" s="1">
        <f>IFERROR(__xludf.DUMMYFUNCTION("""COMPUTED_VALUE"""),2313262970)</f>
        <v>2313262970</v>
      </c>
      <c r="D1151" s="1">
        <f>IFERROR(__xludf.DUMMYFUNCTION("""COMPUTED_VALUE"""),409146058)</f>
        <v>409146058</v>
      </c>
      <c r="E1151" s="1">
        <f>IFERROR(__xludf.DUMMYFUNCTION("""COMPUTED_VALUE"""),476360472004)</f>
        <v>476360472004</v>
      </c>
      <c r="F1151" s="1" t="str">
        <f>IFERROR(__xludf.DUMMYFUNCTION("""COMPUTED_VALUE"""),"CLOSED")</f>
        <v>CLOSED</v>
      </c>
      <c r="G1151" s="1" t="str">
        <f>IFERROR(__xludf.DUMMYFUNCTION("""COMPUTED_VALUE"""),"CLOSED")</f>
        <v>CLOSED</v>
      </c>
      <c r="H1151" s="1" t="str">
        <f>IFERROR(__xludf.DUMMYFUNCTION("""COMPUTED_VALUE"""),"PAID VIA GCASH REF 299353899 OCT 21")</f>
        <v>PAID VIA GCASH REF 299353899 OCT 21</v>
      </c>
      <c r="I1151" s="1" t="str">
        <f>IFERROR(__xludf.DUMMYFUNCTION("""COMPUTED_VALUE"""),"WITH 1 AMSF")</f>
        <v>WITH 1 AMSF</v>
      </c>
      <c r="J1151" s="1"/>
      <c r="K1151" s="1" t="str">
        <f>IFERROR(__xludf.DUMMYFUNCTION("""COMPUTED_VALUE"""),"NOT IN OFSC")</f>
        <v>NOT IN OFSC</v>
      </c>
      <c r="L1151" s="1" t="str">
        <f>IFERROR(__xludf.DUMMYFUNCTION("""COMPUTED_VALUE"""),"POSTED")</f>
        <v>POSTED</v>
      </c>
      <c r="M1151" s="1" t="str">
        <f>IFERROR(__xludf.DUMMYFUNCTION("""COMPUTED_VALUE"""),"POSTED")</f>
        <v>POSTED</v>
      </c>
      <c r="N1151" s="3">
        <f>IFERROR(__xludf.DUMMYFUNCTION("""COMPUTED_VALUE"""),46318)</f>
        <v>46318</v>
      </c>
      <c r="O1151" s="1" t="str">
        <f>IFERROR(__xludf.DUMMYFUNCTION("""COMPUTED_VALUE"""),"FIBER UNLI PLAN 1399")</f>
        <v>FIBER UNLI PLAN 1399</v>
      </c>
      <c r="P1151" s="1" t="str">
        <f>IFERROR(__xludf.DUMMYFUNCTION("""COMPUTED_VALUE"""),"LOWPLAN")</f>
        <v>LOWPLAN</v>
      </c>
      <c r="Q1151" s="1" t="str">
        <f>IFERROR(__xludf.DUMMYFUNCTION("""COMPUTED_VALUE"""),"P408049")</f>
        <v>P408049</v>
      </c>
      <c r="R1151" s="1" t="str">
        <f>IFERROR(__xludf.DUMMYFUNCTION("""COMPUTED_VALUE"""),"CORNELIO, CATHERINE")</f>
        <v>CORNELIO, CATHERINE</v>
      </c>
      <c r="S1151" s="1" t="str">
        <f>IFERROR(__xludf.DUMMYFUNCTION("""COMPUTED_VALUE"""),"ORGANIC")</f>
        <v>ORGANIC</v>
      </c>
      <c r="T1151" s="1" t="str">
        <f>IFERROR(__xludf.DUMMYFUNCTION("""COMPUTED_VALUE"""),"LEA REMOLLO")</f>
        <v>LEA REMOLLO</v>
      </c>
      <c r="U1151" s="1" t="str">
        <f>IFERROR(__xludf.DUMMYFUNCTION("""COMPUTED_VALUE"""),"JB SALIOA")</f>
        <v>JB SALIOA</v>
      </c>
      <c r="V1151" s="1" t="str">
        <f>IFERROR(__xludf.DUMMYFUNCTION("""COMPUTED_VALUE"""),"BK REGULAR")</f>
        <v>BK REGULAR</v>
      </c>
      <c r="W1151" s="1" t="str">
        <f>IFERROR(__xludf.DUMMYFUNCTION("""COMPUTED_VALUE"""),"STK REGULAR")</f>
        <v>STK REGULAR</v>
      </c>
      <c r="X1151" s="1" t="str">
        <f>IFERROR(__xludf.DUMMYFUNCTION("""COMPUTED_VALUE"""),"FIBER 1399 98TH YR")</f>
        <v>FIBER 1399 98TH YR</v>
      </c>
      <c r="Y1151" s="1" t="str">
        <f>IFERROR(__xludf.DUMMYFUNCTION("""COMPUTED_VALUE"""),"BK_CVEU_261002")</f>
        <v>BK_CVEU_261002</v>
      </c>
      <c r="Z1151" s="1" t="str">
        <f>IFERROR(__xludf.DUMMYFUNCTION("""COMPUTED_VALUE"""),"NEW CONNECT")</f>
        <v>NEW CONNECT</v>
      </c>
      <c r="AA1151" s="1">
        <f>IFERROR(__xludf.DUMMYFUNCTION("""COMPUTED_VALUE"""),639305797827)</f>
        <v>639305797827</v>
      </c>
      <c r="AB1151" s="1">
        <f>IFERROR(__xludf.DUMMYFUNCTION("""COMPUTED_VALUE"""),639641499067)</f>
        <v>639641499067</v>
      </c>
      <c r="AC1151" s="1">
        <f>IFERROR(__xludf.DUMMYFUNCTION("""COMPUTED_VALUE"""),29)</f>
        <v>29</v>
      </c>
      <c r="AD1151" s="1" t="str">
        <f>IFERROR(__xludf.DUMMYFUNCTION("""COMPUTED_VALUE"""),"MAITIM 1")</f>
        <v>MAITIM 1</v>
      </c>
      <c r="AE1151" s="1" t="str">
        <f>IFERROR(__xludf.DUMMYFUNCTION("""COMPUTED_VALUE"""),"NANAY PAYANGS APARTMENT")</f>
        <v>NANAY PAYANGS APARTMENT</v>
      </c>
      <c r="AF1151" s="1" t="str">
        <f>IFERROR(__xludf.DUMMYFUNCTION("""COMPUTED_VALUE"""),"BGY MAITIM 1")</f>
        <v>BGY MAITIM 1</v>
      </c>
      <c r="AG1151" s="1" t="str">
        <f>IFERROR(__xludf.DUMMYFUNCTION("""COMPUTED_VALUE"""),"AMADEO")</f>
        <v>AMADEO</v>
      </c>
      <c r="AH1151" s="1" t="str">
        <f>IFERROR(__xludf.DUMMYFUNCTION("""COMPUTED_VALUE"""),"NANAY PAYANGS APARTMENT")</f>
        <v>NANAY PAYANGS APARTMENT</v>
      </c>
      <c r="AI1151" s="1" t="str">
        <f>IFERROR(__xludf.DUMMYFUNCTION("""COMPUTED_VALUE"""),"CLUSTER 12")</f>
        <v>CLUSTER 12</v>
      </c>
    </row>
    <row r="1152" customHeight="1" spans="1:35">
      <c r="A1152" s="3">
        <f>IFERROR(__xludf.DUMMYFUNCTION("""COMPUTED_VALUE"""),46315)</f>
        <v>46315</v>
      </c>
      <c r="B1152" s="1" t="str">
        <f>IFERROR(__xludf.DUMMYFUNCTION("""COMPUTED_VALUE"""),"RAYMAN AZARES LIM")</f>
        <v>RAYMAN AZARES LIM</v>
      </c>
      <c r="C1152" s="1">
        <f>IFERROR(__xludf.DUMMYFUNCTION("""COMPUTED_VALUE"""),2313267052)</f>
        <v>2313267052</v>
      </c>
      <c r="D1152" s="1">
        <f>IFERROR(__xludf.DUMMYFUNCTION("""COMPUTED_VALUE"""),409195431)</f>
        <v>409195431</v>
      </c>
      <c r="E1152" s="1">
        <f>IFERROR(__xludf.DUMMYFUNCTION("""COMPUTED_VALUE"""),476538809004)</f>
        <v>476538809004</v>
      </c>
      <c r="F1152" s="1" t="str">
        <f>IFERROR(__xludf.DUMMYFUNCTION("""COMPUTED_VALUE"""),"FOR PAYMENT")</f>
        <v>FOR PAYMENT</v>
      </c>
      <c r="G1152" s="1" t="str">
        <f>IFERROR(__xludf.DUMMYFUNCTION("""COMPUTED_VALUE"""),"FOR PAYMENT")</f>
        <v>FOR PAYMENT</v>
      </c>
      <c r="H1152" s="1" t="str">
        <f>IFERROR(__xludf.DUMMYFUNCTION("""COMPUTED_VALUE"""),"MAGBABAYAD DAW TODAY AS PER SUBS")</f>
        <v>MAGBABAYAD DAW TODAY AS PER SUBS</v>
      </c>
      <c r="I1152" s="1"/>
      <c r="J1152" s="1"/>
      <c r="K1152" s="1"/>
      <c r="L1152" s="1" t="str">
        <f>IFERROR(__xludf.DUMMYFUNCTION("""COMPUTED_VALUE"""),"FOR PAYMENT")</f>
        <v>FOR PAYMENT</v>
      </c>
      <c r="M1152" s="1" t="str">
        <f>IFERROR(__xludf.DUMMYFUNCTION("""COMPUTED_VALUE"""),"FOR PAYMENT - FOR CALL OUT")</f>
        <v>FOR PAYMENT - FOR CALL OUT</v>
      </c>
      <c r="N1152" s="3"/>
      <c r="O1152" s="1" t="str">
        <f>IFERROR(__xludf.DUMMYFUNCTION("""COMPUTED_VALUE"""),"FIBER UNLI PLAN 1399")</f>
        <v>FIBER UNLI PLAN 1399</v>
      </c>
      <c r="P1152" s="1" t="str">
        <f>IFERROR(__xludf.DUMMYFUNCTION("""COMPUTED_VALUE"""),"LOWPLAN")</f>
        <v>LOWPLAN</v>
      </c>
      <c r="Q1152" s="1" t="str">
        <f>IFERROR(__xludf.DUMMYFUNCTION("""COMPUTED_VALUE"""),"P407518")</f>
        <v>P407518</v>
      </c>
      <c r="R1152" s="1" t="str">
        <f>IFERROR(__xludf.DUMMYFUNCTION("""COMPUTED_VALUE"""),"NAVARRO, JERIC")</f>
        <v>NAVARRO, JERIC</v>
      </c>
      <c r="S1152" s="1" t="str">
        <f>IFERROR(__xludf.DUMMYFUNCTION("""COMPUTED_VALUE"""),"FLA")</f>
        <v>FLA</v>
      </c>
      <c r="T1152" s="1" t="str">
        <f>IFERROR(__xludf.DUMMYFUNCTION("""COMPUTED_VALUE"""),"JERIC NAVARRO")</f>
        <v>JERIC NAVARRO</v>
      </c>
      <c r="U1152" s="1" t="str">
        <f>IFERROR(__xludf.DUMMYFUNCTION("""COMPUTED_VALUE"""),"JB SALIOA")</f>
        <v>JB SALIOA</v>
      </c>
      <c r="V1152" s="1" t="str">
        <f>IFERROR(__xludf.DUMMYFUNCTION("""COMPUTED_VALUE"""),"ONLINE/CRANFORD")</f>
        <v>ONLINE/CRANFORD</v>
      </c>
      <c r="W1152" s="1" t="str">
        <f>IFERROR(__xludf.DUMMYFUNCTION("""COMPUTED_VALUE"""),"STK REGULAR")</f>
        <v>STK REGULAR</v>
      </c>
      <c r="X1152" s="1" t="str">
        <f>IFERROR(__xludf.DUMMYFUNCTION("""COMPUTED_VALUE"""),"FIBER 1399 98TH YR")</f>
        <v>FIBER 1399 98TH YR</v>
      </c>
      <c r="Y1152" s="1" t="str">
        <f>IFERROR(__xludf.DUMMYFUNCTION("""COMPUTED_VALUE"""),"RS_SS_CVEU_2026")</f>
        <v>RS_SS_CVEU_2026</v>
      </c>
      <c r="Z1152" s="1" t="str">
        <f>IFERROR(__xludf.DUMMYFUNCTION("""COMPUTED_VALUE"""),"NEW CONNECT")</f>
        <v>NEW CONNECT</v>
      </c>
      <c r="AA1152" s="1">
        <f>IFERROR(__xludf.DUMMYFUNCTION("""COMPUTED_VALUE"""),639676026145)</f>
        <v>639676026145</v>
      </c>
      <c r="AB1152" s="1"/>
      <c r="AC1152" s="1"/>
      <c r="AD1152" s="1" t="str">
        <f>IFERROR(__xludf.DUMMYFUNCTION("""COMPUTED_VALUE"""),"MAGILIW")</f>
        <v>MAGILIW</v>
      </c>
      <c r="AE1152" s="1" t="str">
        <f>IFERROR(__xludf.DUMMYFUNCTION("""COMPUTED_VALUE"""),"PASINAYA PRIME CENTRAL")</f>
        <v>PASINAYA PRIME CENTRAL</v>
      </c>
      <c r="AF1152" s="1" t="str">
        <f>IFERROR(__xludf.DUMMYFUNCTION("""COMPUTED_VALUE"""),"BGY TIMALAN BALSAHAN")</f>
        <v>BGY TIMALAN BALSAHAN</v>
      </c>
      <c r="AG1152" s="1" t="str">
        <f>IFERROR(__xludf.DUMMYFUNCTION("""COMPUTED_VALUE"""),"NAIC")</f>
        <v>NAIC</v>
      </c>
      <c r="AH1152" s="1" t="str">
        <f>IFERROR(__xludf.DUMMYFUNCTION("""COMPUTED_VALUE"""),"MAGILIW ST")</f>
        <v>MAGILIW ST</v>
      </c>
      <c r="AI1152" s="1" t="str">
        <f>IFERROR(__xludf.DUMMYFUNCTION("""COMPUTED_VALUE"""),"NOT AOR")</f>
        <v>NOT AOR</v>
      </c>
    </row>
    <row r="1153" customHeight="1" spans="1:35">
      <c r="A1153" s="3">
        <f>IFERROR(__xludf.DUMMYFUNCTION("""COMPUTED_VALUE"""),46315)</f>
        <v>46315</v>
      </c>
      <c r="B1153" s="1" t="str">
        <f>IFERROR(__xludf.DUMMYFUNCTION("""COMPUTED_VALUE"""),"FERDINAND RODRIGUEZ NIONES")</f>
        <v>FERDINAND RODRIGUEZ NIONES</v>
      </c>
      <c r="C1153" s="1">
        <f>IFERROR(__xludf.DUMMYFUNCTION("""COMPUTED_VALUE"""),2313269430)</f>
        <v>2313269430</v>
      </c>
      <c r="D1153" s="1">
        <f>IFERROR(__xludf.DUMMYFUNCTION("""COMPUTED_VALUE"""),409158501)</f>
        <v>409158501</v>
      </c>
      <c r="E1153" s="1">
        <f>IFERROR(__xludf.DUMMYFUNCTION("""COMPUTED_VALUE"""),476376209004)</f>
        <v>476376209004</v>
      </c>
      <c r="F1153" s="1" t="str">
        <f>IFERROR(__xludf.DUMMYFUNCTION("""COMPUTED_VALUE"""),"CLOSED")</f>
        <v>CLOSED</v>
      </c>
      <c r="G1153" s="1" t="str">
        <f>IFERROR(__xludf.DUMMYFUNCTION("""COMPUTED_VALUE"""),"CLOSED")</f>
        <v>CLOSED</v>
      </c>
      <c r="H1153" s="1" t="str">
        <f>IFERROR(__xludf.DUMMYFUNCTION("""COMPUTED_VALUE"""),"PQGOR367959608	20-Oct-26	Regular Payment	PLDT Pay Express-Web-App credit	1,399.00	0	20-Oct-26")</f>
        <v>PQGOR367959608	20-Oct-26	Regular Payment	PLDT Pay Express-Web-App credit	1,399.00	0	20-Oct-26</v>
      </c>
      <c r="I1153" s="1" t="str">
        <f>IFERROR(__xludf.DUMMYFUNCTION("""COMPUTED_VALUE"""),"WITH 1 AMSF")</f>
        <v>WITH 1 AMSF</v>
      </c>
      <c r="J1153" s="1"/>
      <c r="K1153" s="1" t="str">
        <f>IFERROR(__xludf.DUMMYFUNCTION("""COMPUTED_VALUE"""),"NOT IN OFSC")</f>
        <v>NOT IN OFSC</v>
      </c>
      <c r="L1153" s="1" t="str">
        <f>IFERROR(__xludf.DUMMYFUNCTION("""COMPUTED_VALUE"""),"POSTED")</f>
        <v>POSTED</v>
      </c>
      <c r="M1153" s="1" t="str">
        <f>IFERROR(__xludf.DUMMYFUNCTION("""COMPUTED_VALUE"""),"POSTED")</f>
        <v>POSTED</v>
      </c>
      <c r="N1153" s="3">
        <f>IFERROR(__xludf.DUMMYFUNCTION("""COMPUTED_VALUE"""),46318)</f>
        <v>46318</v>
      </c>
      <c r="O1153" s="1" t="str">
        <f>IFERROR(__xludf.DUMMYFUNCTION("""COMPUTED_VALUE"""),"FIBER UNLI PLAN 1399")</f>
        <v>FIBER UNLI PLAN 1399</v>
      </c>
      <c r="P1153" s="1" t="str">
        <f>IFERROR(__xludf.DUMMYFUNCTION("""COMPUTED_VALUE"""),"LOWPLAN")</f>
        <v>LOWPLAN</v>
      </c>
      <c r="Q1153" s="1" t="str">
        <f>IFERROR(__xludf.DUMMYFUNCTION("""COMPUTED_VALUE"""),"P407518")</f>
        <v>P407518</v>
      </c>
      <c r="R1153" s="1" t="str">
        <f>IFERROR(__xludf.DUMMYFUNCTION("""COMPUTED_VALUE"""),"NAVARRO, JERIC")</f>
        <v>NAVARRO, JERIC</v>
      </c>
      <c r="S1153" s="1" t="str">
        <f>IFERROR(__xludf.DUMMYFUNCTION("""COMPUTED_VALUE"""),"FLA")</f>
        <v>FLA</v>
      </c>
      <c r="T1153" s="1" t="str">
        <f>IFERROR(__xludf.DUMMYFUNCTION("""COMPUTED_VALUE"""),"JERIC NAVARRO")</f>
        <v>JERIC NAVARRO</v>
      </c>
      <c r="U1153" s="1" t="str">
        <f>IFERROR(__xludf.DUMMYFUNCTION("""COMPUTED_VALUE"""),"JB SALIOA")</f>
        <v>JB SALIOA</v>
      </c>
      <c r="V1153" s="1" t="str">
        <f>IFERROR(__xludf.DUMMYFUNCTION("""COMPUTED_VALUE"""),"ONLINE/CRANFORD")</f>
        <v>ONLINE/CRANFORD</v>
      </c>
      <c r="W1153" s="1" t="str">
        <f>IFERROR(__xludf.DUMMYFUNCTION("""COMPUTED_VALUE"""),"STK REGULAR")</f>
        <v>STK REGULAR</v>
      </c>
      <c r="X1153" s="1" t="str">
        <f>IFERROR(__xludf.DUMMYFUNCTION("""COMPUTED_VALUE"""),"FIBER 1399 98TH YR")</f>
        <v>FIBER 1399 98TH YR</v>
      </c>
      <c r="Y1153" s="1" t="str">
        <f>IFERROR(__xludf.DUMMYFUNCTION("""COMPUTED_VALUE"""),"RS_SS_CVEU_2026")</f>
        <v>RS_SS_CVEU_2026</v>
      </c>
      <c r="Z1153" s="1" t="str">
        <f>IFERROR(__xludf.DUMMYFUNCTION("""COMPUTED_VALUE"""),"NEW CONNECT")</f>
        <v>NEW CONNECT</v>
      </c>
      <c r="AA1153" s="1">
        <f>IFERROR(__xludf.DUMMYFUNCTION("""COMPUTED_VALUE"""),639277020727)</f>
        <v>639277020727</v>
      </c>
      <c r="AB1153" s="1"/>
      <c r="AC1153" s="1"/>
      <c r="AD1153" s="1" t="str">
        <f>IFERROR(__xludf.DUMMYFUNCTION("""COMPUTED_VALUE"""),"NAGNININGNING")</f>
        <v>NAGNININGNING</v>
      </c>
      <c r="AE1153" s="1" t="str">
        <f>IFERROR(__xludf.DUMMYFUNCTION("""COMPUTED_VALUE"""),"PASINARAW VILLAGE")</f>
        <v>PASINARAW VILLAGE</v>
      </c>
      <c r="AF1153" s="1" t="str">
        <f>IFERROR(__xludf.DUMMYFUNCTION("""COMPUTED_VALUE"""),"BGY TIMALAN BALSAHAN")</f>
        <v>BGY TIMALAN BALSAHAN</v>
      </c>
      <c r="AG1153" s="1" t="str">
        <f>IFERROR(__xludf.DUMMYFUNCTION("""COMPUTED_VALUE"""),"NAIC")</f>
        <v>NAIC</v>
      </c>
      <c r="AH1153" s="1" t="str">
        <f>IFERROR(__xludf.DUMMYFUNCTION("""COMPUTED_VALUE"""),"SAN JUAN STORE")</f>
        <v>SAN JUAN STORE</v>
      </c>
      <c r="AI1153" s="1" t="str">
        <f>IFERROR(__xludf.DUMMYFUNCTION("""COMPUTED_VALUE"""),"NOT AOR")</f>
        <v>NOT AOR</v>
      </c>
    </row>
    <row r="1154" customHeight="1" spans="1:35">
      <c r="A1154" s="3">
        <f>IFERROR(__xludf.DUMMYFUNCTION("""COMPUTED_VALUE"""),46315)</f>
        <v>46315</v>
      </c>
      <c r="B1154" s="1" t="str">
        <f>IFERROR(__xludf.DUMMYFUNCTION("""COMPUTED_VALUE"""),"MISHELLE REYES BAUTISTA")</f>
        <v>MISHELLE REYES BAUTISTA</v>
      </c>
      <c r="C1154" s="1">
        <f>IFERROR(__xludf.DUMMYFUNCTION("""COMPUTED_VALUE"""),2313269834)</f>
        <v>2313269834</v>
      </c>
      <c r="D1154" s="1">
        <f>IFERROR(__xludf.DUMMYFUNCTION("""COMPUTED_VALUE"""),409190081)</f>
        <v>409190081</v>
      </c>
      <c r="E1154" s="1">
        <f>IFERROR(__xludf.DUMMYFUNCTION("""COMPUTED_VALUE"""),476534294004)</f>
        <v>476534294004</v>
      </c>
      <c r="F1154" s="1" t="str">
        <f>IFERROR(__xludf.DUMMYFUNCTION("""COMPUTED_VALUE"""),"FOR PAYMENT")</f>
        <v>FOR PAYMENT</v>
      </c>
      <c r="G1154" s="1" t="str">
        <f>IFERROR(__xludf.DUMMYFUNCTION("""COMPUTED_VALUE"""),"FOR PAYMENT")</f>
        <v>FOR PAYMENT</v>
      </c>
      <c r="H1154" s="1" t="str">
        <f>IFERROR(__xludf.DUMMYFUNCTION("""COMPUTED_VALUE"""),"CBR RINGING ONLY")</f>
        <v>CBR RINGING ONLY</v>
      </c>
      <c r="I1154" s="1"/>
      <c r="J1154" s="1"/>
      <c r="K1154" s="1"/>
      <c r="L1154" s="1" t="str">
        <f>IFERROR(__xludf.DUMMYFUNCTION("""COMPUTED_VALUE"""),"FOR PAYMENT")</f>
        <v>FOR PAYMENT</v>
      </c>
      <c r="M1154" s="1" t="str">
        <f>IFERROR(__xludf.DUMMYFUNCTION("""COMPUTED_VALUE"""),"FOR PAYMENT - FOR CALL OUT")</f>
        <v>FOR PAYMENT - FOR CALL OUT</v>
      </c>
      <c r="N1154" s="3"/>
      <c r="O1154" s="1" t="str">
        <f>IFERROR(__xludf.DUMMYFUNCTION("""COMPUTED_VALUE"""),"SWITCH FIBER UNLI ALL PLAN 1499")</f>
        <v>SWITCH FIBER UNLI ALL PLAN 1499</v>
      </c>
      <c r="P1154" s="1" t="str">
        <f>IFERROR(__xludf.DUMMYFUNCTION("""COMPUTED_VALUE"""),"SWITCH")</f>
        <v>SWITCH</v>
      </c>
      <c r="Q1154" s="1" t="str">
        <f>IFERROR(__xludf.DUMMYFUNCTION("""COMPUTED_VALUE"""),"P408049")</f>
        <v>P408049</v>
      </c>
      <c r="R1154" s="1" t="str">
        <f>IFERROR(__xludf.DUMMYFUNCTION("""COMPUTED_VALUE"""),"CORNELIO, CATHERINE")</f>
        <v>CORNELIO, CATHERINE</v>
      </c>
      <c r="S1154" s="1" t="str">
        <f>IFERROR(__xludf.DUMMYFUNCTION("""COMPUTED_VALUE"""),"ORGANIC")</f>
        <v>ORGANIC</v>
      </c>
      <c r="T1154" s="1" t="str">
        <f>IFERROR(__xludf.DUMMYFUNCTION("""COMPUTED_VALUE"""),"LEA REMOLLO")</f>
        <v>LEA REMOLLO</v>
      </c>
      <c r="U1154" s="1" t="str">
        <f>IFERROR(__xludf.DUMMYFUNCTION("""COMPUTED_VALUE"""),"JB SALIOA")</f>
        <v>JB SALIOA</v>
      </c>
      <c r="V1154" s="1" t="str">
        <f>IFERROR(__xludf.DUMMYFUNCTION("""COMPUTED_VALUE"""),"BK REGULAR")</f>
        <v>BK REGULAR</v>
      </c>
      <c r="W1154" s="1" t="str">
        <f>IFERROR(__xludf.DUMMYFUNCTION("""COMPUTED_VALUE"""),"STK REGULAR")</f>
        <v>STK REGULAR</v>
      </c>
      <c r="X1154" s="1" t="str">
        <f>IFERROR(__xludf.DUMMYFUNCTION("""COMPUTED_VALUE"""),"ANTI COMPETITOR")</f>
        <v>ANTI COMPETITOR</v>
      </c>
      <c r="Y1154" s="1" t="str">
        <f>IFERROR(__xludf.DUMMYFUNCTION("""COMPUTED_VALUE"""),"BK_CVEU_261001")</f>
        <v>BK_CVEU_261001</v>
      </c>
      <c r="Z1154" s="1" t="str">
        <f>IFERROR(__xludf.DUMMYFUNCTION("""COMPUTED_VALUE"""),"NEW CONNECT")</f>
        <v>NEW CONNECT</v>
      </c>
      <c r="AA1154" s="1">
        <f>IFERROR(__xludf.DUMMYFUNCTION("""COMPUTED_VALUE"""),639102492201)</f>
        <v>639102492201</v>
      </c>
      <c r="AB1154" s="1">
        <f>IFERROR(__xludf.DUMMYFUNCTION("""COMPUTED_VALUE"""),639380429338)</f>
        <v>639380429338</v>
      </c>
      <c r="AC1154" s="1">
        <f>IFERROR(__xludf.DUMMYFUNCTION("""COMPUTED_VALUE"""),92)</f>
        <v>92</v>
      </c>
      <c r="AD1154" s="1" t="str">
        <f>IFERROR(__xludf.DUMMYFUNCTION("""COMPUTED_VALUE"""),"AMUYONG")</f>
        <v>AMUYONG</v>
      </c>
      <c r="AE1154" s="1"/>
      <c r="AF1154" s="1" t="str">
        <f>IFERROR(__xludf.DUMMYFUNCTION("""COMPUTED_VALUE"""),"BGY AMUYONG")</f>
        <v>BGY AMUYONG</v>
      </c>
      <c r="AG1154" s="1" t="str">
        <f>IFERROR(__xludf.DUMMYFUNCTION("""COMPUTED_VALUE"""),"ALFONSO")</f>
        <v>ALFONSO</v>
      </c>
      <c r="AH1154" s="1" t="str">
        <f>IFERROR(__xludf.DUMMYFUNCTION("""COMPUTED_VALUE"""),"-")</f>
        <v>-</v>
      </c>
      <c r="AI1154" s="1" t="str">
        <f>IFERROR(__xludf.DUMMYFUNCTION("""COMPUTED_VALUE"""),"CLUSTER 12")</f>
        <v>CLUSTER 12</v>
      </c>
    </row>
    <row r="1155" customHeight="1" spans="1:35">
      <c r="A1155" s="3">
        <f>IFERROR(__xludf.DUMMYFUNCTION("""COMPUTED_VALUE"""),46315)</f>
        <v>46315</v>
      </c>
      <c r="B1155" s="1" t="str">
        <f>IFERROR(__xludf.DUMMYFUNCTION("""COMPUTED_VALUE"""),"JAE HYUN . LEE")</f>
        <v>JAE HYUN . LEE</v>
      </c>
      <c r="C1155" s="1">
        <f>IFERROR(__xludf.DUMMYFUNCTION("""COMPUTED_VALUE"""),2313270416)</f>
        <v>2313270416</v>
      </c>
      <c r="D1155" s="1">
        <f>IFERROR(__xludf.DUMMYFUNCTION("""COMPUTED_VALUE"""),409250920)</f>
        <v>409250920</v>
      </c>
      <c r="E1155" s="1">
        <f>IFERROR(__xludf.DUMMYFUNCTION("""COMPUTED_VALUE"""),476777471004)</f>
        <v>476777471004</v>
      </c>
      <c r="F1155" s="1" t="str">
        <f>IFERROR(__xludf.DUMMYFUNCTION("""COMPUTED_VALUE"""),"PAID")</f>
        <v>PAID</v>
      </c>
      <c r="G1155" s="1" t="str">
        <f>IFERROR(__xludf.DUMMYFUNCTION("""COMPUTED_VALUE"""),"PAID")</f>
        <v>PAID</v>
      </c>
      <c r="H1155" s="1" t="str">
        <f>IFERROR(__xludf.DUMMYFUNCTION("""COMPUTED_VALUE"""),"PAID VIA GCASH REF 802298198 OCT 23")</f>
        <v>PAID VIA GCASH REF 802298198 OCT 23</v>
      </c>
      <c r="I1155" s="1" t="str">
        <f>IFERROR(__xludf.DUMMYFUNCTION("""COMPUTED_VALUE"""),"WITH 1 AMSF")</f>
        <v>WITH 1 AMSF</v>
      </c>
      <c r="J1155" s="1"/>
      <c r="K1155" s="1"/>
      <c r="L1155" s="1" t="str">
        <f>IFERROR(__xludf.DUMMYFUNCTION("""COMPUTED_VALUE"""),"PAID")</f>
        <v>PAID</v>
      </c>
      <c r="M1155" s="1" t="str">
        <f>IFERROR(__xludf.DUMMYFUNCTION("""COMPUTED_VALUE"""),"PAID - FOR INSTALLATION")</f>
        <v>PAID - FOR INSTALLATION</v>
      </c>
      <c r="N1155" s="3"/>
      <c r="O1155" s="1" t="str">
        <f>IFERROR(__xludf.DUMMYFUNCTION("""COMPUTED_VALUE"""),"FIBR PLAN 1699")</f>
        <v>FIBR PLAN 1699</v>
      </c>
      <c r="P1155" s="1" t="str">
        <f>IFERROR(__xludf.DUMMYFUNCTION("""COMPUTED_VALUE"""),"HIGHPLAN")</f>
        <v>HIGHPLAN</v>
      </c>
      <c r="Q1155" s="1" t="str">
        <f>IFERROR(__xludf.DUMMYFUNCTION("""COMPUTED_VALUE"""),"P407516")</f>
        <v>P407516</v>
      </c>
      <c r="R1155" s="1" t="str">
        <f>IFERROR(__xludf.DUMMYFUNCTION("""COMPUTED_VALUE"""),"AYON, MANUEL")</f>
        <v>AYON, MANUEL</v>
      </c>
      <c r="S1155" s="1" t="str">
        <f>IFERROR(__xludf.DUMMYFUNCTION("""COMPUTED_VALUE"""),"FLA")</f>
        <v>FLA</v>
      </c>
      <c r="T1155" s="1" t="str">
        <f>IFERROR(__xludf.DUMMYFUNCTION("""COMPUTED_VALUE"""),"JERIC NAVARRO")</f>
        <v>JERIC NAVARRO</v>
      </c>
      <c r="U1155" s="1" t="str">
        <f>IFERROR(__xludf.DUMMYFUNCTION("""COMPUTED_VALUE"""),"JB SALIOA")</f>
        <v>JB SALIOA</v>
      </c>
      <c r="V1155" s="1" t="str">
        <f>IFERROR(__xludf.DUMMYFUNCTION("""COMPUTED_VALUE"""),"BK REGULAR")</f>
        <v>BK REGULAR</v>
      </c>
      <c r="W1155" s="1" t="str">
        <f>IFERROR(__xludf.DUMMYFUNCTION("""COMPUTED_VALUE"""),"STK REGULAR")</f>
        <v>STK REGULAR</v>
      </c>
      <c r="X1155" s="1" t="str">
        <f>IFERROR(__xludf.DUMMYFUNCTION("""COMPUTED_VALUE"""),"REGULAR")</f>
        <v>REGULAR</v>
      </c>
      <c r="Y1155" s="1" t="str">
        <f>IFERROR(__xludf.DUMMYFUNCTION("""COMPUTED_VALUE"""),"BK_CVEU_261006")</f>
        <v>BK_CVEU_261006</v>
      </c>
      <c r="Z1155" s="1" t="str">
        <f>IFERROR(__xludf.DUMMYFUNCTION("""COMPUTED_VALUE"""),"NEW CONNECT")</f>
        <v>NEW CONNECT</v>
      </c>
      <c r="AA1155" s="1">
        <f>IFERROR(__xludf.DUMMYFUNCTION("""COMPUTED_VALUE"""),639454685180)</f>
        <v>639454685180</v>
      </c>
      <c r="AB1155" s="1">
        <f>IFERROR(__xludf.DUMMYFUNCTION("""COMPUTED_VALUE"""),639150415725)</f>
        <v>639150415725</v>
      </c>
      <c r="AC1155" s="1">
        <f>IFERROR(__xludf.DUMMYFUNCTION("""COMPUTED_VALUE"""),13)</f>
        <v>13</v>
      </c>
      <c r="AD1155" s="1" t="str">
        <f>IFERROR(__xludf.DUMMYFUNCTION("""COMPUTED_VALUE"""),"29TH")</f>
        <v>29TH</v>
      </c>
      <c r="AE1155" s="1" t="str">
        <f>IFERROR(__xludf.DUMMYFUNCTION("""COMPUTED_VALUE"""),"METROGATE SILANG ESTATE PH 1")</f>
        <v>METROGATE SILANG ESTATE PH 1</v>
      </c>
      <c r="AF1155" s="1" t="str">
        <f>IFERROR(__xludf.DUMMYFUNCTION("""COMPUTED_VALUE"""),"BGY BILUSO")</f>
        <v>BGY BILUSO</v>
      </c>
      <c r="AG1155" s="1" t="str">
        <f>IFERROR(__xludf.DUMMYFUNCTION("""COMPUTED_VALUE"""),"SILANG")</f>
        <v>SILANG</v>
      </c>
      <c r="AH1155" s="1" t="str">
        <f>IFERROR(__xludf.DUMMYFUNCTION("""COMPUTED_VALUE"""),"-")</f>
        <v>-</v>
      </c>
      <c r="AI1155" s="1" t="str">
        <f>IFERROR(__xludf.DUMMYFUNCTION("""COMPUTED_VALUE"""),"CLUSTER 11")</f>
        <v>CLUSTER 11</v>
      </c>
    </row>
    <row r="1156" customHeight="1" spans="1:35">
      <c r="A1156" s="3">
        <f>IFERROR(__xludf.DUMMYFUNCTION("""COMPUTED_VALUE"""),46315)</f>
        <v>46315</v>
      </c>
      <c r="B1156" s="1" t="str">
        <f>IFERROR(__xludf.DUMMYFUNCTION("""COMPUTED_VALUE"""),"MARIFE ANGSUCO MAGPANTAY")</f>
        <v>MARIFE ANGSUCO MAGPANTAY</v>
      </c>
      <c r="C1156" s="1">
        <f>IFERROR(__xludf.DUMMYFUNCTION("""COMPUTED_VALUE"""),2313271071)</f>
        <v>2313271071</v>
      </c>
      <c r="D1156" s="1">
        <f>IFERROR(__xludf.DUMMYFUNCTION("""COMPUTED_VALUE"""),409195547)</f>
        <v>409195547</v>
      </c>
      <c r="E1156" s="1">
        <f>IFERROR(__xludf.DUMMYFUNCTION("""COMPUTED_VALUE"""),476538053004)</f>
        <v>476538053004</v>
      </c>
      <c r="F1156" s="1" t="str">
        <f>IFERROR(__xludf.DUMMYFUNCTION("""COMPUTED_VALUE"""),"FOR PAYMENT")</f>
        <v>FOR PAYMENT</v>
      </c>
      <c r="G1156" s="1" t="str">
        <f>IFERROR(__xludf.DUMMYFUNCTION("""COMPUTED_VALUE"""),"FOR PAYMENT")</f>
        <v>FOR PAYMENT</v>
      </c>
      <c r="H1156" s="1"/>
      <c r="I1156" s="1"/>
      <c r="J1156" s="1"/>
      <c r="K1156" s="1"/>
      <c r="L1156" s="1" t="str">
        <f>IFERROR(__xludf.DUMMYFUNCTION("""COMPUTED_VALUE"""),"FOR PAYMENT")</f>
        <v>FOR PAYMENT</v>
      </c>
      <c r="M1156" s="1" t="str">
        <f>IFERROR(__xludf.DUMMYFUNCTION("""COMPUTED_VALUE"""),"FOR PAYMENT - FOR CALL OUT")</f>
        <v>FOR PAYMENT - FOR CALL OUT</v>
      </c>
      <c r="N1156" s="3"/>
      <c r="O1156" s="1" t="str">
        <f>IFERROR(__xludf.DUMMYFUNCTION("""COMPUTED_VALUE"""),"FIBR PLAN 1299")</f>
        <v>FIBR PLAN 1299</v>
      </c>
      <c r="P1156" s="1" t="str">
        <f>IFERROR(__xludf.DUMMYFUNCTION("""COMPUTED_VALUE"""),"LOWPLAN")</f>
        <v>LOWPLAN</v>
      </c>
      <c r="Q1156" s="1" t="str">
        <f>IFERROR(__xludf.DUMMYFUNCTION("""COMPUTED_VALUE"""),"P408049")</f>
        <v>P408049</v>
      </c>
      <c r="R1156" s="1" t="str">
        <f>IFERROR(__xludf.DUMMYFUNCTION("""COMPUTED_VALUE"""),"CORNELIO, CATHERINE")</f>
        <v>CORNELIO, CATHERINE</v>
      </c>
      <c r="S1156" s="1" t="str">
        <f>IFERROR(__xludf.DUMMYFUNCTION("""COMPUTED_VALUE"""),"ORGANIC")</f>
        <v>ORGANIC</v>
      </c>
      <c r="T1156" s="1" t="str">
        <f>IFERROR(__xludf.DUMMYFUNCTION("""COMPUTED_VALUE"""),"LEA REMOLLO")</f>
        <v>LEA REMOLLO</v>
      </c>
      <c r="U1156" s="1" t="str">
        <f>IFERROR(__xludf.DUMMYFUNCTION("""COMPUTED_VALUE"""),"JB SALIOA")</f>
        <v>JB SALIOA</v>
      </c>
      <c r="V1156" s="1" t="str">
        <f>IFERROR(__xludf.DUMMYFUNCTION("""COMPUTED_VALUE"""),"BK REGULAR")</f>
        <v>BK REGULAR</v>
      </c>
      <c r="W1156" s="1" t="str">
        <f>IFERROR(__xludf.DUMMYFUNCTION("""COMPUTED_VALUE"""),"STK REGULAR")</f>
        <v>STK REGULAR</v>
      </c>
      <c r="X1156" s="1" t="str">
        <f>IFERROR(__xludf.DUMMYFUNCTION("""COMPUTED_VALUE"""),"REGULAR")</f>
        <v>REGULAR</v>
      </c>
      <c r="Y1156" s="1" t="str">
        <f>IFERROR(__xludf.DUMMYFUNCTION("""COMPUTED_VALUE"""),"BK_CVEU_261006")</f>
        <v>BK_CVEU_261006</v>
      </c>
      <c r="Z1156" s="1" t="str">
        <f>IFERROR(__xludf.DUMMYFUNCTION("""COMPUTED_VALUE"""),"NEW CONNECT")</f>
        <v>NEW CONNECT</v>
      </c>
      <c r="AA1156" s="1">
        <f>IFERROR(__xludf.DUMMYFUNCTION("""COMPUTED_VALUE"""),639171378730)</f>
        <v>639171378730</v>
      </c>
      <c r="AB1156" s="1">
        <f>IFERROR(__xludf.DUMMYFUNCTION("""COMPUTED_VALUE"""),639062034388)</f>
        <v>639062034388</v>
      </c>
      <c r="AC1156" s="1">
        <f>IFERROR(__xludf.DUMMYFUNCTION("""COMPUTED_VALUE"""),88)</f>
        <v>88</v>
      </c>
      <c r="AD1156" s="1" t="str">
        <f>IFERROR(__xludf.DUMMYFUNCTION("""COMPUTED_VALUE"""),"TUBUAN 2")</f>
        <v>TUBUAN 2</v>
      </c>
      <c r="AE1156" s="1"/>
      <c r="AF1156" s="1" t="str">
        <f>IFERROR(__xludf.DUMMYFUNCTION("""COMPUTED_VALUE"""),"BGY TUBUAN 2")</f>
        <v>BGY TUBUAN 2</v>
      </c>
      <c r="AG1156" s="1" t="str">
        <f>IFERROR(__xludf.DUMMYFUNCTION("""COMPUTED_VALUE"""),"SILANG")</f>
        <v>SILANG</v>
      </c>
      <c r="AH1156" s="1" t="str">
        <f>IFERROR(__xludf.DUMMYFUNCTION("""COMPUTED_VALUE"""),"INFRONT OF ASUNCION APARTMENT")</f>
        <v>INFRONT OF ASUNCION APARTMENT</v>
      </c>
      <c r="AI1156" s="1" t="str">
        <f>IFERROR(__xludf.DUMMYFUNCTION("""COMPUTED_VALUE"""),"CLUSTER 11")</f>
        <v>CLUSTER 11</v>
      </c>
    </row>
    <row r="1157" customHeight="1" spans="1:35">
      <c r="A1157" s="3">
        <f>IFERROR(__xludf.DUMMYFUNCTION("""COMPUTED_VALUE"""),46315)</f>
        <v>46315</v>
      </c>
      <c r="B1157" s="1" t="str">
        <f>IFERROR(__xludf.DUMMYFUNCTION("""COMPUTED_VALUE"""),"MARIANNE ERICKA LEGASPI CARDINES")</f>
        <v>MARIANNE ERICKA LEGASPI CARDINES</v>
      </c>
      <c r="C1157" s="1">
        <f>IFERROR(__xludf.DUMMYFUNCTION("""COMPUTED_VALUE"""),2313271544)</f>
        <v>2313271544</v>
      </c>
      <c r="D1157" s="1">
        <f>IFERROR(__xludf.DUMMYFUNCTION("""COMPUTED_VALUE"""),409164889)</f>
        <v>409164889</v>
      </c>
      <c r="E1157" s="1">
        <f>IFERROR(__xludf.DUMMYFUNCTION("""COMPUTED_VALUE"""),476379250004)</f>
        <v>476379250004</v>
      </c>
      <c r="F1157" s="1" t="str">
        <f>IFERROR(__xludf.DUMMYFUNCTION("""COMPUTED_VALUE"""),"CLOSED")</f>
        <v>CLOSED</v>
      </c>
      <c r="G1157" s="1" t="str">
        <f>IFERROR(__xludf.DUMMYFUNCTION("""COMPUTED_VALUE"""),"CLOSED")</f>
        <v>CLOSED</v>
      </c>
      <c r="H1157" s="1" t="str">
        <f>IFERROR(__xludf.DUMMYFUNCTION("""COMPUTED_VALUE"""),"PAID VIA GACSH REF 056392607 OCT 21")</f>
        <v>PAID VIA GACSH REF 056392607 OCT 21</v>
      </c>
      <c r="I1157" s="1" t="str">
        <f>IFERROR(__xludf.DUMMYFUNCTION("""COMPUTED_VALUE"""),"WITH 1 AMSF")</f>
        <v>WITH 1 AMSF</v>
      </c>
      <c r="J1157" s="1"/>
      <c r="K1157" s="1" t="str">
        <f>IFERROR(__xludf.DUMMYFUNCTION("""COMPUTED_VALUE"""),"NOT IN OFSC")</f>
        <v>NOT IN OFSC</v>
      </c>
      <c r="L1157" s="1" t="str">
        <f>IFERROR(__xludf.DUMMYFUNCTION("""COMPUTED_VALUE"""),"POSTED")</f>
        <v>POSTED</v>
      </c>
      <c r="M1157" s="1" t="str">
        <f>IFERROR(__xludf.DUMMYFUNCTION("""COMPUTED_VALUE"""),"POSTED")</f>
        <v>POSTED</v>
      </c>
      <c r="N1157" s="3">
        <f>IFERROR(__xludf.DUMMYFUNCTION("""COMPUTED_VALUE"""),46317)</f>
        <v>46317</v>
      </c>
      <c r="O1157" s="1" t="str">
        <f>IFERROR(__xludf.DUMMYFUNCTION("""COMPUTED_VALUE"""),"FIBR PLAN 1699")</f>
        <v>FIBR PLAN 1699</v>
      </c>
      <c r="P1157" s="1" t="str">
        <f>IFERROR(__xludf.DUMMYFUNCTION("""COMPUTED_VALUE"""),"HIGHPLAN")</f>
        <v>HIGHPLAN</v>
      </c>
      <c r="Q1157" s="1" t="str">
        <f>IFERROR(__xludf.DUMMYFUNCTION("""COMPUTED_VALUE"""),"P407047")</f>
        <v>P407047</v>
      </c>
      <c r="R1157" s="1" t="str">
        <f>IFERROR(__xludf.DUMMYFUNCTION("""COMPUTED_VALUE"""),"FRANCISCO, ROSELYN")</f>
        <v>FRANCISCO, ROSELYN</v>
      </c>
      <c r="S1157" s="1" t="str">
        <f>IFERROR(__xludf.DUMMYFUNCTION("""COMPUTED_VALUE"""),"ORGANIC")</f>
        <v>ORGANIC</v>
      </c>
      <c r="T1157" s="1" t="str">
        <f>IFERROR(__xludf.DUMMYFUNCTION("""COMPUTED_VALUE"""),"LEA REMOLLO")</f>
        <v>LEA REMOLLO</v>
      </c>
      <c r="U1157" s="1" t="str">
        <f>IFERROR(__xludf.DUMMYFUNCTION("""COMPUTED_VALUE"""),"JB SALIOA")</f>
        <v>JB SALIOA</v>
      </c>
      <c r="V1157" s="1" t="str">
        <f>IFERROR(__xludf.DUMMYFUNCTION("""COMPUTED_VALUE"""),"BK EXPRESS")</f>
        <v>BK EXPRESS</v>
      </c>
      <c r="W1157" s="1" t="str">
        <f>IFERROR(__xludf.DUMMYFUNCTION("""COMPUTED_VALUE"""),"BK HSTK")</f>
        <v>BK HSTK</v>
      </c>
      <c r="X1157" s="1" t="str">
        <f>IFERROR(__xludf.DUMMYFUNCTION("""COMPUTED_VALUE"""),"REGULAR")</f>
        <v>REGULAR</v>
      </c>
      <c r="Y1157" s="1" t="str">
        <f>IFERROR(__xludf.DUMMYFUNCTION("""COMPUTED_VALUE"""),"BK_CVEU_261005")</f>
        <v>BK_CVEU_261005</v>
      </c>
      <c r="Z1157" s="1" t="str">
        <f>IFERROR(__xludf.DUMMYFUNCTION("""COMPUTED_VALUE"""),"NEW CONNECT")</f>
        <v>NEW CONNECT</v>
      </c>
      <c r="AA1157" s="1">
        <f>IFERROR(__xludf.DUMMYFUNCTION("""COMPUTED_VALUE"""),639937239281)</f>
        <v>639937239281</v>
      </c>
      <c r="AB1157" s="1"/>
      <c r="AC1157" s="1"/>
      <c r="AD1157" s="1" t="str">
        <f>IFERROR(__xludf.DUMMYFUNCTION("""COMPUTED_VALUE"""),"VILLA PATRICIA")</f>
        <v>VILLA PATRICIA</v>
      </c>
      <c r="AE1157" s="1" t="str">
        <f>IFERROR(__xludf.DUMMYFUNCTION("""COMPUTED_VALUE"""),"VILLA PATRICIA")</f>
        <v>VILLA PATRICIA</v>
      </c>
      <c r="AF1157" s="1" t="str">
        <f>IFERROR(__xludf.DUMMYFUNCTION("""COMPUTED_VALUE"""),"BGY ASIS 1")</f>
        <v>BGY ASIS 1</v>
      </c>
      <c r="AG1157" s="1" t="str">
        <f>IFERROR(__xludf.DUMMYFUNCTION("""COMPUTED_VALUE"""),"MENDEZ")</f>
        <v>MENDEZ</v>
      </c>
      <c r="AH1157" s="1" t="str">
        <f>IFERROR(__xludf.DUMMYFUNCTION("""COMPUTED_VALUE"""),"BKEXPRESS_NEAR OILAND AND VILLA PATRICIA")</f>
        <v>BKEXPRESS_NEAR OILAND AND VILLA PATRICIA</v>
      </c>
      <c r="AI1157" s="1" t="str">
        <f>IFERROR(__xludf.DUMMYFUNCTION("""COMPUTED_VALUE"""),"CLUSTER 12")</f>
        <v>CLUSTER 12</v>
      </c>
    </row>
    <row r="1158" customHeight="1" spans="1:35">
      <c r="A1158" s="3">
        <f>IFERROR(__xludf.DUMMYFUNCTION("""COMPUTED_VALUE"""),46315)</f>
        <v>46315</v>
      </c>
      <c r="B1158" s="1" t="str">
        <f>IFERROR(__xludf.DUMMYFUNCTION("""COMPUTED_VALUE"""),"MILLET DELA REA AGDEPPA")</f>
        <v>MILLET DELA REA AGDEPPA</v>
      </c>
      <c r="C1158" s="1">
        <f>IFERROR(__xludf.DUMMYFUNCTION("""COMPUTED_VALUE"""),2313272054)</f>
        <v>2313272054</v>
      </c>
      <c r="D1158" s="1"/>
      <c r="E1158" s="1"/>
      <c r="F1158" s="1" t="str">
        <f>IFERROR(__xludf.DUMMYFUNCTION("""COMPUTED_VALUE"""),"CANCELLED")</f>
        <v>CANCELLED</v>
      </c>
      <c r="G1158" s="1" t="str">
        <f>IFERROR(__xludf.DUMMYFUNCTION("""COMPUTED_VALUE"""),"(WITH BLACKLISTED ACCOUNT FOR SETTLEMENT) Return to Sales | Found blacklisted acct no (0322054092) – SAME NAME, SAME DOB, DIFF ADDRESS with OB amounting to (Php5,207.75) for settlement |no existing active acct and/ or pending application | Done Validation"&amp;" with submitted complete docs| correct encoded info in CSP | with 1 AMSF requirements (GG - 2 (NTC) | SCANNABLE SUBMITTED NATIONAL ID")</f>
        <v>(WITH BLACKLISTED ACCOUNT FOR SETTLEMENT) Return to Sales | Found blacklisted acct no (0322054092) – SAME NAME, SAME DOB, DIFF ADDRESS with OB amounting to (Php5,207.75) for settlement |no existing active acct and/ or pending application | Done Validation with submitted complete docs| correct encoded info in CSP | with 1 AMSF requirements (GG - 2 (NTC) | SCANNABLE SUBMITTED NATIONAL ID</v>
      </c>
      <c r="H1158" s="1"/>
      <c r="I1158" s="1"/>
      <c r="J1158" s="1"/>
      <c r="K1158" s="1"/>
      <c r="L1158" s="1" t="str">
        <f>IFERROR(__xludf.DUMMYFUNCTION("""COMPUTED_VALUE"""),"CANCELLED - WITH OB")</f>
        <v>CANCELLED - WITH OB</v>
      </c>
      <c r="M1158" s="1" t="str">
        <f>IFERROR(__xludf.DUMMYFUNCTION("""COMPUTED_VALUE"""),"CANCELLED - WITH OB")</f>
        <v>CANCELLED - WITH OB</v>
      </c>
      <c r="N1158" s="3"/>
      <c r="O1158" s="1" t="str">
        <f>IFERROR(__xludf.DUMMYFUNCTION("""COMPUTED_VALUE"""),"FIBR NETFLIX PLAN 1599")</f>
        <v>FIBR NETFLIX PLAN 1599</v>
      </c>
      <c r="P1158" s="1" t="str">
        <f>IFERROR(__xludf.DUMMYFUNCTION("""COMPUTED_VALUE"""),"LOWPLAN")</f>
        <v>LOWPLAN</v>
      </c>
      <c r="Q1158" s="1" t="str">
        <f>IFERROR(__xludf.DUMMYFUNCTION("""COMPUTED_VALUE"""),"P407045")</f>
        <v>P407045</v>
      </c>
      <c r="R1158" s="1" t="str">
        <f>IFERROR(__xludf.DUMMYFUNCTION("""COMPUTED_VALUE"""),"REMOLLO, LEA")</f>
        <v>REMOLLO, LEA</v>
      </c>
      <c r="S1158" s="1" t="str">
        <f>IFERROR(__xludf.DUMMYFUNCTION("""COMPUTED_VALUE"""),"FLA")</f>
        <v>FLA</v>
      </c>
      <c r="T1158" s="1" t="str">
        <f>IFERROR(__xludf.DUMMYFUNCTION("""COMPUTED_VALUE"""),"JERIC NAVARRO")</f>
        <v>JERIC NAVARRO</v>
      </c>
      <c r="U1158" s="1" t="str">
        <f>IFERROR(__xludf.DUMMYFUNCTION("""COMPUTED_VALUE"""),"JB SALIOA")</f>
        <v>JB SALIOA</v>
      </c>
      <c r="V1158" s="1" t="str">
        <f>IFERROR(__xludf.DUMMYFUNCTION("""COMPUTED_VALUE"""),"BK REGULAR")</f>
        <v>BK REGULAR</v>
      </c>
      <c r="W1158" s="1" t="str">
        <f>IFERROR(__xludf.DUMMYFUNCTION("""COMPUTED_VALUE"""),"STK REGULAR")</f>
        <v>STK REGULAR</v>
      </c>
      <c r="X1158" s="1" t="str">
        <f>IFERROR(__xludf.DUMMYFUNCTION("""COMPUTED_VALUE"""),"REGULAR")</f>
        <v>REGULAR</v>
      </c>
      <c r="Y1158" s="1" t="str">
        <f>IFERROR(__xludf.DUMMYFUNCTION("""COMPUTED_VALUE"""),"BK_CVEU_261007")</f>
        <v>BK_CVEU_261007</v>
      </c>
      <c r="Z1158" s="1" t="str">
        <f>IFERROR(__xludf.DUMMYFUNCTION("""COMPUTED_VALUE"""),"NEW CONNECT")</f>
        <v>NEW CONNECT</v>
      </c>
      <c r="AA1158" s="1">
        <f>IFERROR(__xludf.DUMMYFUNCTION("""COMPUTED_VALUE"""),639663007739)</f>
        <v>639663007739</v>
      </c>
      <c r="AB1158" s="1"/>
      <c r="AC1158" s="1"/>
      <c r="AD1158" s="1" t="str">
        <f>IFERROR(__xludf.DUMMYFUNCTION("""COMPUTED_VALUE"""),"PUROK 98")</f>
        <v>PUROK 98</v>
      </c>
      <c r="AE1158" s="1" t="str">
        <f>IFERROR(__xludf.DUMMYFUNCTION("""COMPUTED_VALUE"""),"ELEVE HOMES")</f>
        <v>ELEVE HOMES</v>
      </c>
      <c r="AF1158" s="1" t="str">
        <f>IFERROR(__xludf.DUMMYFUNCTION("""COMPUTED_VALUE"""),"BGY MAHARLIKA WEST")</f>
        <v>BGY MAHARLIKA WEST</v>
      </c>
      <c r="AG1158" s="1" t="str">
        <f>IFERROR(__xludf.DUMMYFUNCTION("""COMPUTED_VALUE"""),"TAGAYTAY")</f>
        <v>TAGAYTAY</v>
      </c>
      <c r="AH1158" s="1" t="str">
        <f>IFERROR(__xludf.DUMMYFUNCTION("""COMPUTED_VALUE"""),"ELEVE HOMES")</f>
        <v>ELEVE HOMES</v>
      </c>
      <c r="AI1158" s="1" t="str">
        <f>IFERROR(__xludf.DUMMYFUNCTION("""COMPUTED_VALUE"""),"CLUSTER 12")</f>
        <v>CLUSTER 12</v>
      </c>
    </row>
    <row r="1159" customHeight="1" spans="1:35">
      <c r="A1159" s="3">
        <f>IFERROR(__xludf.DUMMYFUNCTION("""COMPUTED_VALUE"""),46315)</f>
        <v>46315</v>
      </c>
      <c r="B1159" s="1" t="str">
        <f>IFERROR(__xludf.DUMMYFUNCTION("""COMPUTED_VALUE"""),"KAREN CINDY MALONZO LANDRITO")</f>
        <v>KAREN CINDY MALONZO LANDRITO</v>
      </c>
      <c r="C1159" s="1">
        <f>IFERROR(__xludf.DUMMYFUNCTION("""COMPUTED_VALUE"""),2313274478)</f>
        <v>2313274478</v>
      </c>
      <c r="D1159" s="1"/>
      <c r="E1159" s="1"/>
      <c r="F1159" s="1" t="str">
        <f>IFERROR(__xludf.DUMMYFUNCTION("""COMPUTED_VALUE"""),"CANCELLED")</f>
        <v>CANCELLED</v>
      </c>
      <c r="G1159" s="1" t="str">
        <f>IFERROR(__xludf.DUMMYFUNCTION("""COMPUTED_VALUE"""),"FOUND WITH ACTIVE TEL#0468406012  DIFFERENT ADDRESS // FOR MULTIPLE LINE APPLICATION NEED TO SUBMIT POA OF THE NEW APPLIED ADDRESS UNDER SOR NAME")</f>
        <v>FOUND WITH ACTIVE TEL#0468406012  DIFFERENT ADDRESS // FOR MULTIPLE LINE APPLICATION NEED TO SUBMIT POA OF THE NEW APPLIED ADDRESS UNDER SOR NAME</v>
      </c>
      <c r="H1159" s="1"/>
      <c r="I1159" s="1"/>
      <c r="J1159" s="1"/>
      <c r="K1159" s="1"/>
      <c r="L1159" s="1" t="str">
        <f>IFERROR(__xludf.DUMMYFUNCTION("""COMPUTED_VALUE"""),"CANCELLED")</f>
        <v>CANCELLED</v>
      </c>
      <c r="M1159" s="1" t="str">
        <f>IFERROR(__xludf.DUMMYFUNCTION("""COMPUTED_VALUE"""),"CANCELLED - WITH ACTIVE LINE")</f>
        <v>CANCELLED - WITH ACTIVE LINE</v>
      </c>
      <c r="N1159" s="3"/>
      <c r="O1159" s="1" t="str">
        <f>IFERROR(__xludf.DUMMYFUNCTION("""COMPUTED_VALUE"""),"FIBER UNLI PLAN 1399")</f>
        <v>FIBER UNLI PLAN 1399</v>
      </c>
      <c r="P1159" s="1" t="str">
        <f>IFERROR(__xludf.DUMMYFUNCTION("""COMPUTED_VALUE"""),"LOWPLAN")</f>
        <v>LOWPLAN</v>
      </c>
      <c r="Q1159" s="1" t="str">
        <f>IFERROR(__xludf.DUMMYFUNCTION("""COMPUTED_VALUE"""),"P407049")</f>
        <v>P407049</v>
      </c>
      <c r="R1159" s="1" t="str">
        <f>IFERROR(__xludf.DUMMYFUNCTION("""COMPUTED_VALUE"""),"CADERAO, RONALD")</f>
        <v>CADERAO, RONALD</v>
      </c>
      <c r="S1159" s="1" t="str">
        <f>IFERROR(__xludf.DUMMYFUNCTION("""COMPUTED_VALUE"""),"ORGANIC")</f>
        <v>ORGANIC</v>
      </c>
      <c r="T1159" s="1" t="str">
        <f>IFERROR(__xludf.DUMMYFUNCTION("""COMPUTED_VALUE"""),"LEA REMOLLO")</f>
        <v>LEA REMOLLO</v>
      </c>
      <c r="U1159" s="1" t="str">
        <f>IFERROR(__xludf.DUMMYFUNCTION("""COMPUTED_VALUE"""),"JB SALIOA")</f>
        <v>JB SALIOA</v>
      </c>
      <c r="V1159" s="1" t="str">
        <f>IFERROR(__xludf.DUMMYFUNCTION("""COMPUTED_VALUE"""),"BK HSTK")</f>
        <v>BK HSTK</v>
      </c>
      <c r="W1159" s="1" t="str">
        <f>IFERROR(__xludf.DUMMYFUNCTION("""COMPUTED_VALUE"""),"BK HSTK")</f>
        <v>BK HSTK</v>
      </c>
      <c r="X1159" s="1" t="str">
        <f>IFERROR(__xludf.DUMMYFUNCTION("""COMPUTED_VALUE"""),"FIBER 1399 98TH YR")</f>
        <v>FIBER 1399 98TH YR</v>
      </c>
      <c r="Y1159" s="1" t="str">
        <f>IFERROR(__xludf.DUMMYFUNCTION("""COMPUTED_VALUE"""),"BK_CVEU_261007")</f>
        <v>BK_CVEU_261007</v>
      </c>
      <c r="Z1159" s="1" t="str">
        <f>IFERROR(__xludf.DUMMYFUNCTION("""COMPUTED_VALUE"""),"NEW CONNECT")</f>
        <v>NEW CONNECT</v>
      </c>
      <c r="AA1159" s="1">
        <f>IFERROR(__xludf.DUMMYFUNCTION("""COMPUTED_VALUE"""),639958979962)</f>
        <v>639958979962</v>
      </c>
      <c r="AB1159" s="1">
        <f>IFERROR(__xludf.DUMMYFUNCTION("""COMPUTED_VALUE"""),639568432999)</f>
        <v>639568432999</v>
      </c>
      <c r="AC1159" s="1"/>
      <c r="AD1159" s="1" t="str">
        <f>IFERROR(__xludf.DUMMYFUNCTION("""COMPUTED_VALUE"""),"SANTOL")</f>
        <v>SANTOL</v>
      </c>
      <c r="AE1159" s="1"/>
      <c r="AF1159" s="1" t="str">
        <f>IFERROR(__xludf.DUMMYFUNCTION("""COMPUTED_VALUE"""),"BGY SANTOL")</f>
        <v>BGY SANTOL</v>
      </c>
      <c r="AG1159" s="1" t="str">
        <f>IFERROR(__xludf.DUMMYFUNCTION("""COMPUTED_VALUE"""),"SILANG")</f>
        <v>SILANG</v>
      </c>
      <c r="AH1159" s="1" t="str">
        <f>IFERROR(__xludf.DUMMYFUNCTION("""COMPUTED_VALUE"""),"TATI BIGASAN")</f>
        <v>TATI BIGASAN</v>
      </c>
      <c r="AI1159" s="1" t="str">
        <f>IFERROR(__xludf.DUMMYFUNCTION("""COMPUTED_VALUE"""),"CLUSTER 11")</f>
        <v>CLUSTER 11</v>
      </c>
    </row>
    <row r="1160" customHeight="1" spans="1:35">
      <c r="A1160" s="3">
        <f>IFERROR(__xludf.DUMMYFUNCTION("""COMPUTED_VALUE"""),46315)</f>
        <v>46315</v>
      </c>
      <c r="B1160" s="1" t="str">
        <f>IFERROR(__xludf.DUMMYFUNCTION("""COMPUTED_VALUE"""),"ELMOR IMPERIAL MOSUELA")</f>
        <v>ELMOR IMPERIAL MOSUELA</v>
      </c>
      <c r="C1160" s="1">
        <f>IFERROR(__xludf.DUMMYFUNCTION("""COMPUTED_VALUE"""),2313273310)</f>
        <v>2313273310</v>
      </c>
      <c r="D1160" s="1"/>
      <c r="E1160" s="1"/>
      <c r="F1160" s="1" t="str">
        <f>IFERROR(__xludf.DUMMYFUNCTION("""COMPUTED_VALUE"""),"CANCELLED")</f>
        <v>CANCELLED</v>
      </c>
      <c r="G1160" s="1" t="str">
        <f>IFERROR(__xludf.DUMMYFUNCTION("""COMPUTED_VALUE"""),"CANCELLED")</f>
        <v>CANCELLED</v>
      </c>
      <c r="H1160" s="1"/>
      <c r="I1160" s="1"/>
      <c r="J1160" s="1"/>
      <c r="K1160" s="1"/>
      <c r="L1160" s="1" t="str">
        <f>IFERROR(__xludf.DUMMYFUNCTION("""COMPUTED_VALUE"""),"CANCELLED - WITH OB")</f>
        <v>CANCELLED - WITH OB</v>
      </c>
      <c r="M1160" s="1" t="str">
        <f>IFERROR(__xludf.DUMMYFUNCTION("""COMPUTED_VALUE"""),"CANCELLED - WITH OB")</f>
        <v>CANCELLED - WITH OB</v>
      </c>
      <c r="N1160" s="3"/>
      <c r="O1160" s="1" t="str">
        <f>IFERROR(__xludf.DUMMYFUNCTION("""COMPUTED_VALUE"""),"FIBR PLAN 1299")</f>
        <v>FIBR PLAN 1299</v>
      </c>
      <c r="P1160" s="1" t="str">
        <f>IFERROR(__xludf.DUMMYFUNCTION("""COMPUTED_VALUE"""),"LOWPLAN")</f>
        <v>LOWPLAN</v>
      </c>
      <c r="Q1160" s="1" t="str">
        <f>IFERROR(__xludf.DUMMYFUNCTION("""COMPUTED_VALUE"""),"P407566")</f>
        <v>P407566</v>
      </c>
      <c r="R1160" s="1" t="str">
        <f>IFERROR(__xludf.DUMMYFUNCTION("""COMPUTED_VALUE"""),"DENACO, RODNEY")</f>
        <v>DENACO, RODNEY</v>
      </c>
      <c r="S1160" s="1" t="str">
        <f>IFERROR(__xludf.DUMMYFUNCTION("""COMPUTED_VALUE"""),"ORGANIC")</f>
        <v>ORGANIC</v>
      </c>
      <c r="T1160" s="1" t="str">
        <f>IFERROR(__xludf.DUMMYFUNCTION("""COMPUTED_VALUE"""),"LEA REMOLLO")</f>
        <v>LEA REMOLLO</v>
      </c>
      <c r="U1160" s="1" t="str">
        <f>IFERROR(__xludf.DUMMYFUNCTION("""COMPUTED_VALUE"""),"JB SALIOA")</f>
        <v>JB SALIOA</v>
      </c>
      <c r="V1160" s="1" t="str">
        <f>IFERROR(__xludf.DUMMYFUNCTION("""COMPUTED_VALUE"""),"BK HSTK")</f>
        <v>BK HSTK</v>
      </c>
      <c r="W1160" s="1" t="str">
        <f>IFERROR(__xludf.DUMMYFUNCTION("""COMPUTED_VALUE"""),"BK HSTK")</f>
        <v>BK HSTK</v>
      </c>
      <c r="X1160" s="1" t="str">
        <f>IFERROR(__xludf.DUMMYFUNCTION("""COMPUTED_VALUE"""),"REGULAR")</f>
        <v>REGULAR</v>
      </c>
      <c r="Y1160" s="1" t="str">
        <f>IFERROR(__xludf.DUMMYFUNCTION("""COMPUTED_VALUE"""),"BK_CVEU_261004")</f>
        <v>BK_CVEU_261004</v>
      </c>
      <c r="Z1160" s="1" t="str">
        <f>IFERROR(__xludf.DUMMYFUNCTION("""COMPUTED_VALUE"""),"NEW CONNECT")</f>
        <v>NEW CONNECT</v>
      </c>
      <c r="AA1160" s="1">
        <f>IFERROR(__xludf.DUMMYFUNCTION("""COMPUTED_VALUE"""),639858119369)</f>
        <v>639858119369</v>
      </c>
      <c r="AB1160" s="1"/>
      <c r="AC1160" s="1"/>
      <c r="AD1160" s="1" t="str">
        <f>IFERROR(__xludf.DUMMYFUNCTION("""COMPUTED_VALUE"""),"CREAM")</f>
        <v>CREAM</v>
      </c>
      <c r="AE1160" s="1"/>
      <c r="AF1160" s="1" t="str">
        <f>IFERROR(__xludf.DUMMYFUNCTION("""COMPUTED_VALUE"""),"BGY TINIENTE TIAGO")</f>
        <v>BGY TINIENTE TIAGO</v>
      </c>
      <c r="AG1160" s="1" t="str">
        <f>IFERROR(__xludf.DUMMYFUNCTION("""COMPUTED_VALUE"""),"GEN MARIANO ALVAREZ")</f>
        <v>GEN MARIANO ALVAREZ</v>
      </c>
      <c r="AH1160" s="1" t="str">
        <f>IFERROR(__xludf.DUMMYFUNCTION("""COMPUTED_VALUE"""),"-")</f>
        <v>-</v>
      </c>
      <c r="AI1160" s="1" t="str">
        <f>IFERROR(__xludf.DUMMYFUNCTION("""COMPUTED_VALUE"""),"CLUSTER 11")</f>
        <v>CLUSTER 11</v>
      </c>
    </row>
    <row r="1161" customHeight="1" spans="1:35">
      <c r="A1161" s="3">
        <f>IFERROR(__xludf.DUMMYFUNCTION("""COMPUTED_VALUE"""),46315)</f>
        <v>46315</v>
      </c>
      <c r="B1161" s="1" t="str">
        <f>IFERROR(__xludf.DUMMYFUNCTION("""COMPUTED_VALUE"""),"REGINA LIM CORILLO")</f>
        <v>REGINA LIM CORILLO</v>
      </c>
      <c r="C1161" s="1">
        <f>IFERROR(__xludf.DUMMYFUNCTION("""COMPUTED_VALUE"""),2313273514)</f>
        <v>2313273514</v>
      </c>
      <c r="D1161" s="1"/>
      <c r="E1161" s="1"/>
      <c r="F1161" s="1" t="str">
        <f>IFERROR(__xludf.DUMMYFUNCTION("""COMPUTED_VALUE"""),"CANCELLED")</f>
        <v>CANCELLED</v>
      </c>
      <c r="G1161" s="1" t="str">
        <f>IFERROR(__xludf.DUMMYFUNCTION("""COMPUTED_VALUE"""),"CANCELLED")</f>
        <v>CANCELLED</v>
      </c>
      <c r="H1161" s="1"/>
      <c r="I1161" s="1"/>
      <c r="J1161" s="1"/>
      <c r="K1161" s="1"/>
      <c r="L1161" s="1" t="str">
        <f>IFERROR(__xludf.DUMMYFUNCTION("""COMPUTED_VALUE"""),"CANCELLED - WITH OB")</f>
        <v>CANCELLED - WITH OB</v>
      </c>
      <c r="M1161" s="1" t="str">
        <f>IFERROR(__xludf.DUMMYFUNCTION("""COMPUTED_VALUE"""),"CANCELLED - WITH OB")</f>
        <v>CANCELLED - WITH OB</v>
      </c>
      <c r="N1161" s="3"/>
      <c r="O1161" s="1" t="str">
        <f>IFERROR(__xludf.DUMMYFUNCTION("""COMPUTED_VALUE"""),"FIBR PLAN 1299")</f>
        <v>FIBR PLAN 1299</v>
      </c>
      <c r="P1161" s="1" t="str">
        <f>IFERROR(__xludf.DUMMYFUNCTION("""COMPUTED_VALUE"""),"LOWPLAN")</f>
        <v>LOWPLAN</v>
      </c>
      <c r="Q1161" s="1" t="str">
        <f>IFERROR(__xludf.DUMMYFUNCTION("""COMPUTED_VALUE"""),"P407566")</f>
        <v>P407566</v>
      </c>
      <c r="R1161" s="1" t="str">
        <f>IFERROR(__xludf.DUMMYFUNCTION("""COMPUTED_VALUE"""),"DENACO, RODNEY")</f>
        <v>DENACO, RODNEY</v>
      </c>
      <c r="S1161" s="1" t="str">
        <f>IFERROR(__xludf.DUMMYFUNCTION("""COMPUTED_VALUE"""),"ORGANIC")</f>
        <v>ORGANIC</v>
      </c>
      <c r="T1161" s="1" t="str">
        <f>IFERROR(__xludf.DUMMYFUNCTION("""COMPUTED_VALUE"""),"LEA REMOLLO")</f>
        <v>LEA REMOLLO</v>
      </c>
      <c r="U1161" s="1" t="str">
        <f>IFERROR(__xludf.DUMMYFUNCTION("""COMPUTED_VALUE"""),"JB SALIOA")</f>
        <v>JB SALIOA</v>
      </c>
      <c r="V1161" s="1" t="str">
        <f>IFERROR(__xludf.DUMMYFUNCTION("""COMPUTED_VALUE"""),"BK HSTK")</f>
        <v>BK HSTK</v>
      </c>
      <c r="W1161" s="1" t="str">
        <f>IFERROR(__xludf.DUMMYFUNCTION("""COMPUTED_VALUE"""),"BK HSTK")</f>
        <v>BK HSTK</v>
      </c>
      <c r="X1161" s="1" t="str">
        <f>IFERROR(__xludf.DUMMYFUNCTION("""COMPUTED_VALUE"""),"REGULAR")</f>
        <v>REGULAR</v>
      </c>
      <c r="Y1161" s="1" t="str">
        <f>IFERROR(__xludf.DUMMYFUNCTION("""COMPUTED_VALUE"""),"BK_CVEU_261004")</f>
        <v>BK_CVEU_261004</v>
      </c>
      <c r="Z1161" s="1" t="str">
        <f>IFERROR(__xludf.DUMMYFUNCTION("""COMPUTED_VALUE"""),"NEW CONNECT")</f>
        <v>NEW CONNECT</v>
      </c>
      <c r="AA1161" s="1">
        <f>IFERROR(__xludf.DUMMYFUNCTION("""COMPUTED_VALUE"""),639294816257)</f>
        <v>639294816257</v>
      </c>
      <c r="AB1161" s="1"/>
      <c r="AC1161" s="1"/>
      <c r="AD1161" s="1" t="str">
        <f>IFERROR(__xludf.DUMMYFUNCTION("""COMPUTED_VALUE"""),"NICOLASA VIRATA")</f>
        <v>NICOLASA VIRATA</v>
      </c>
      <c r="AE1161" s="1"/>
      <c r="AF1161" s="1" t="str">
        <f>IFERROR(__xludf.DUMMYFUNCTION("""COMPUTED_VALUE"""),"BGY NICOLASA VIRATA")</f>
        <v>BGY NICOLASA VIRATA</v>
      </c>
      <c r="AG1161" s="1" t="str">
        <f>IFERROR(__xludf.DUMMYFUNCTION("""COMPUTED_VALUE"""),"GEN MARIANO ALVAREZ")</f>
        <v>GEN MARIANO ALVAREZ</v>
      </c>
      <c r="AH1161" s="1" t="str">
        <f>IFERROR(__xludf.DUMMYFUNCTION("""COMPUTED_VALUE"""),"BRGY HALL")</f>
        <v>BRGY HALL</v>
      </c>
      <c r="AI1161" s="1" t="str">
        <f>IFERROR(__xludf.DUMMYFUNCTION("""COMPUTED_VALUE"""),"CLUSTER 11")</f>
        <v>CLUSTER 11</v>
      </c>
    </row>
    <row r="1162" customHeight="1" spans="1:35">
      <c r="A1162" s="3">
        <f>IFERROR(__xludf.DUMMYFUNCTION("""COMPUTED_VALUE"""),46315)</f>
        <v>46315</v>
      </c>
      <c r="B1162" s="1" t="str">
        <f>IFERROR(__xludf.DUMMYFUNCTION("""COMPUTED_VALUE"""),"PRECY ABERJEDO APINAR")</f>
        <v>PRECY ABERJEDO APINAR</v>
      </c>
      <c r="C1162" s="1">
        <f>IFERROR(__xludf.DUMMYFUNCTION("""COMPUTED_VALUE"""),2313273769)</f>
        <v>2313273769</v>
      </c>
      <c r="D1162" s="1"/>
      <c r="E1162" s="1"/>
      <c r="F1162" s="1" t="str">
        <f>IFERROR(__xludf.DUMMYFUNCTION("""COMPUTED_VALUE"""),"CANCELLED")</f>
        <v>CANCELLED</v>
      </c>
      <c r="G1162" s="1" t="str">
        <f>IFERROR(__xludf.DUMMYFUNCTION("""COMPUTED_VALUE"""),"CANCELLED")</f>
        <v>CANCELLED</v>
      </c>
      <c r="H1162" s="1"/>
      <c r="I1162" s="1"/>
      <c r="J1162" s="1"/>
      <c r="K1162" s="1"/>
      <c r="L1162" s="1" t="str">
        <f>IFERROR(__xludf.DUMMYFUNCTION("""COMPUTED_VALUE"""),"CANCELLED - WITH OB")</f>
        <v>CANCELLED - WITH OB</v>
      </c>
      <c r="M1162" s="1" t="str">
        <f>IFERROR(__xludf.DUMMYFUNCTION("""COMPUTED_VALUE"""),"CANCELLED - WITH OB")</f>
        <v>CANCELLED - WITH OB</v>
      </c>
      <c r="N1162" s="3"/>
      <c r="O1162" s="1" t="str">
        <f>IFERROR(__xludf.DUMMYFUNCTION("""COMPUTED_VALUE"""),"FIBR PLAN 1299")</f>
        <v>FIBR PLAN 1299</v>
      </c>
      <c r="P1162" s="1" t="str">
        <f>IFERROR(__xludf.DUMMYFUNCTION("""COMPUTED_VALUE"""),"LOWPLAN")</f>
        <v>LOWPLAN</v>
      </c>
      <c r="Q1162" s="1" t="str">
        <f>IFERROR(__xludf.DUMMYFUNCTION("""COMPUTED_VALUE"""),"P407566")</f>
        <v>P407566</v>
      </c>
      <c r="R1162" s="1" t="str">
        <f>IFERROR(__xludf.DUMMYFUNCTION("""COMPUTED_VALUE"""),"DENACO, RODNEY")</f>
        <v>DENACO, RODNEY</v>
      </c>
      <c r="S1162" s="1" t="str">
        <f>IFERROR(__xludf.DUMMYFUNCTION("""COMPUTED_VALUE"""),"ORGANIC")</f>
        <v>ORGANIC</v>
      </c>
      <c r="T1162" s="1" t="str">
        <f>IFERROR(__xludf.DUMMYFUNCTION("""COMPUTED_VALUE"""),"LEA REMOLLO")</f>
        <v>LEA REMOLLO</v>
      </c>
      <c r="U1162" s="1" t="str">
        <f>IFERROR(__xludf.DUMMYFUNCTION("""COMPUTED_VALUE"""),"JB SALIOA")</f>
        <v>JB SALIOA</v>
      </c>
      <c r="V1162" s="1" t="str">
        <f>IFERROR(__xludf.DUMMYFUNCTION("""COMPUTED_VALUE"""),"BK REGULAR")</f>
        <v>BK REGULAR</v>
      </c>
      <c r="W1162" s="1" t="str">
        <f>IFERROR(__xludf.DUMMYFUNCTION("""COMPUTED_VALUE"""),"STK REGULAR")</f>
        <v>STK REGULAR</v>
      </c>
      <c r="X1162" s="1" t="str">
        <f>IFERROR(__xludf.DUMMYFUNCTION("""COMPUTED_VALUE"""),"REGULAR")</f>
        <v>REGULAR</v>
      </c>
      <c r="Y1162" s="1" t="str">
        <f>IFERROR(__xludf.DUMMYFUNCTION("""COMPUTED_VALUE"""),"BK_CVEU_261007")</f>
        <v>BK_CVEU_261007</v>
      </c>
      <c r="Z1162" s="1" t="str">
        <f>IFERROR(__xludf.DUMMYFUNCTION("""COMPUTED_VALUE"""),"NEW CONNECT")</f>
        <v>NEW CONNECT</v>
      </c>
      <c r="AA1162" s="1">
        <f>IFERROR(__xludf.DUMMYFUNCTION("""COMPUTED_VALUE"""),639060835300)</f>
        <v>639060835300</v>
      </c>
      <c r="AB1162" s="1">
        <f>IFERROR(__xludf.DUMMYFUNCTION("""COMPUTED_VALUE"""),639388967578)</f>
        <v>639388967578</v>
      </c>
      <c r="AC1162" s="1">
        <f>IFERROR(__xludf.DUMMYFUNCTION("""COMPUTED_VALUE"""),136)</f>
        <v>136</v>
      </c>
      <c r="AD1162" s="1" t="str">
        <f>IFERROR(__xludf.DUMMYFUNCTION("""COMPUTED_VALUE"""),"DAANG LUMA")</f>
        <v>DAANG LUMA</v>
      </c>
      <c r="AE1162" s="1"/>
      <c r="AF1162" s="1" t="str">
        <f>IFERROR(__xludf.DUMMYFUNCTION("""COMPUTED_VALUE"""),"BGY KAYBAGAL CENTRAL")</f>
        <v>BGY KAYBAGAL CENTRAL</v>
      </c>
      <c r="AG1162" s="1" t="str">
        <f>IFERROR(__xludf.DUMMYFUNCTION("""COMPUTED_VALUE"""),"TAGAYTAY")</f>
        <v>TAGAYTAY</v>
      </c>
      <c r="AH1162" s="1" t="str">
        <f>IFERROR(__xludf.DUMMYFUNCTION("""COMPUTED_VALUE"""),"METROGATE")</f>
        <v>METROGATE</v>
      </c>
      <c r="AI1162" s="1" t="str">
        <f>IFERROR(__xludf.DUMMYFUNCTION("""COMPUTED_VALUE"""),"CLUSTER 12")</f>
        <v>CLUSTER 12</v>
      </c>
    </row>
    <row r="1163" customHeight="1" spans="1:35">
      <c r="A1163" s="3">
        <f>IFERROR(__xludf.DUMMYFUNCTION("""COMPUTED_VALUE"""),46315)</f>
        <v>46315</v>
      </c>
      <c r="B1163" s="1" t="str">
        <f>IFERROR(__xludf.DUMMYFUNCTION("""COMPUTED_VALUE"""),"AIKON MICHAEL DIZON YU")</f>
        <v>AIKON MICHAEL DIZON YU</v>
      </c>
      <c r="C1163" s="1">
        <f>IFERROR(__xludf.DUMMYFUNCTION("""COMPUTED_VALUE"""),2313273954)</f>
        <v>2313273954</v>
      </c>
      <c r="D1163" s="1"/>
      <c r="E1163" s="1"/>
      <c r="F1163" s="1" t="str">
        <f>IFERROR(__xludf.DUMMYFUNCTION("""COMPUTED_VALUE"""),"CANCELLED")</f>
        <v>CANCELLED</v>
      </c>
      <c r="G1163" s="1" t="str">
        <f>IFERROR(__xludf.DUMMYFUNCTION("""COMPUTED_VALUE"""),"CANCELLED")</f>
        <v>CANCELLED</v>
      </c>
      <c r="H1163" s="1"/>
      <c r="I1163" s="1"/>
      <c r="J1163" s="1"/>
      <c r="K1163" s="1"/>
      <c r="L1163" s="1" t="str">
        <f>IFERROR(__xludf.DUMMYFUNCTION("""COMPUTED_VALUE"""),"CANCELLED - WITH OB")</f>
        <v>CANCELLED - WITH OB</v>
      </c>
      <c r="M1163" s="1" t="str">
        <f>IFERROR(__xludf.DUMMYFUNCTION("""COMPUTED_VALUE"""),"CANCELLED - WITH OB")</f>
        <v>CANCELLED - WITH OB</v>
      </c>
      <c r="N1163" s="3"/>
      <c r="O1163" s="1" t="str">
        <f>IFERROR(__xludf.DUMMYFUNCTION("""COMPUTED_VALUE"""),"FIBR NETFLIX PLAN 1599")</f>
        <v>FIBR NETFLIX PLAN 1599</v>
      </c>
      <c r="P1163" s="1" t="str">
        <f>IFERROR(__xludf.DUMMYFUNCTION("""COMPUTED_VALUE"""),"LOWPLAN")</f>
        <v>LOWPLAN</v>
      </c>
      <c r="Q1163" s="1" t="str">
        <f>IFERROR(__xludf.DUMMYFUNCTION("""COMPUTED_VALUE"""),"P407566")</f>
        <v>P407566</v>
      </c>
      <c r="R1163" s="1" t="str">
        <f>IFERROR(__xludf.DUMMYFUNCTION("""COMPUTED_VALUE"""),"DENACO, RODNEY")</f>
        <v>DENACO, RODNEY</v>
      </c>
      <c r="S1163" s="1" t="str">
        <f>IFERROR(__xludf.DUMMYFUNCTION("""COMPUTED_VALUE"""),"ORGANIC")</f>
        <v>ORGANIC</v>
      </c>
      <c r="T1163" s="1" t="str">
        <f>IFERROR(__xludf.DUMMYFUNCTION("""COMPUTED_VALUE"""),"LEA REMOLLO")</f>
        <v>LEA REMOLLO</v>
      </c>
      <c r="U1163" s="1" t="str">
        <f>IFERROR(__xludf.DUMMYFUNCTION("""COMPUTED_VALUE"""),"JB SALIOA")</f>
        <v>JB SALIOA</v>
      </c>
      <c r="V1163" s="1" t="str">
        <f>IFERROR(__xludf.DUMMYFUNCTION("""COMPUTED_VALUE"""),"BK HSTK")</f>
        <v>BK HSTK</v>
      </c>
      <c r="W1163" s="1" t="str">
        <f>IFERROR(__xludf.DUMMYFUNCTION("""COMPUTED_VALUE"""),"BK HSTK")</f>
        <v>BK HSTK</v>
      </c>
      <c r="X1163" s="1" t="str">
        <f>IFERROR(__xludf.DUMMYFUNCTION("""COMPUTED_VALUE"""),"REGULAR")</f>
        <v>REGULAR</v>
      </c>
      <c r="Y1163" s="1" t="str">
        <f>IFERROR(__xludf.DUMMYFUNCTION("""COMPUTED_VALUE"""),"BK_CVEU_261004")</f>
        <v>BK_CVEU_261004</v>
      </c>
      <c r="Z1163" s="1" t="str">
        <f>IFERROR(__xludf.DUMMYFUNCTION("""COMPUTED_VALUE"""),"NEW CONNECT")</f>
        <v>NEW CONNECT</v>
      </c>
      <c r="AA1163" s="1">
        <f>IFERROR(__xludf.DUMMYFUNCTION("""COMPUTED_VALUE"""),639672215372)</f>
        <v>639672215372</v>
      </c>
      <c r="AB1163" s="1"/>
      <c r="AC1163" s="1">
        <f>IFERROR(__xludf.DUMMYFUNCTION("""COMPUTED_VALUE"""),1043)</f>
        <v>1043</v>
      </c>
      <c r="AD1163" s="1" t="str">
        <f>IFERROR(__xludf.DUMMYFUNCTION("""COMPUTED_VALUE"""),"PUROK 1")</f>
        <v>PUROK 1</v>
      </c>
      <c r="AE1163" s="1"/>
      <c r="AF1163" s="1" t="str">
        <f>IFERROR(__xludf.DUMMYFUNCTION("""COMPUTED_VALUE"""),"BGY PANGIL")</f>
        <v>BGY PANGIL</v>
      </c>
      <c r="AG1163" s="1" t="str">
        <f>IFERROR(__xludf.DUMMYFUNCTION("""COMPUTED_VALUE"""),"AMADEO")</f>
        <v>AMADEO</v>
      </c>
      <c r="AH1163" s="1" t="str">
        <f>IFERROR(__xludf.DUMMYFUNCTION("""COMPUTED_VALUE"""),"-")</f>
        <v>-</v>
      </c>
      <c r="AI1163" s="1" t="str">
        <f>IFERROR(__xludf.DUMMYFUNCTION("""COMPUTED_VALUE"""),"CLUSTER 12")</f>
        <v>CLUSTER 12</v>
      </c>
    </row>
    <row r="1164" customHeight="1" spans="1:35">
      <c r="A1164" s="3">
        <f>IFERROR(__xludf.DUMMYFUNCTION("""COMPUTED_VALUE"""),46315)</f>
        <v>46315</v>
      </c>
      <c r="B1164" s="1" t="str">
        <f>IFERROR(__xludf.DUMMYFUNCTION("""COMPUTED_VALUE"""),"MONALISA PACANAN OCENADA")</f>
        <v>MONALISA PACANAN OCENADA</v>
      </c>
      <c r="C1164" s="1">
        <f>IFERROR(__xludf.DUMMYFUNCTION("""COMPUTED_VALUE"""),2313274176)</f>
        <v>2313274176</v>
      </c>
      <c r="D1164" s="1"/>
      <c r="E1164" s="1"/>
      <c r="F1164" s="1" t="str">
        <f>IFERROR(__xludf.DUMMYFUNCTION("""COMPUTED_VALUE"""),"CANCELLED")</f>
        <v>CANCELLED</v>
      </c>
      <c r="G1164" s="1" t="str">
        <f>IFERROR(__xludf.DUMMYFUNCTION("""COMPUTED_VALUE"""),"CANCELLED")</f>
        <v>CANCELLED</v>
      </c>
      <c r="H1164" s="1"/>
      <c r="I1164" s="1"/>
      <c r="J1164" s="1"/>
      <c r="K1164" s="1"/>
      <c r="L1164" s="1" t="str">
        <f>IFERROR(__xludf.DUMMYFUNCTION("""COMPUTED_VALUE"""),"CANCELLED - WITH OB")</f>
        <v>CANCELLED - WITH OB</v>
      </c>
      <c r="M1164" s="1" t="str">
        <f>IFERROR(__xludf.DUMMYFUNCTION("""COMPUTED_VALUE"""),"CANCELLED - WITH OB")</f>
        <v>CANCELLED - WITH OB</v>
      </c>
      <c r="N1164" s="3"/>
      <c r="O1164" s="1" t="str">
        <f>IFERROR(__xludf.DUMMYFUNCTION("""COMPUTED_VALUE"""),"FIBR PLAN 1299")</f>
        <v>FIBR PLAN 1299</v>
      </c>
      <c r="P1164" s="1" t="str">
        <f>IFERROR(__xludf.DUMMYFUNCTION("""COMPUTED_VALUE"""),"LOWPLAN")</f>
        <v>LOWPLAN</v>
      </c>
      <c r="Q1164" s="1" t="str">
        <f>IFERROR(__xludf.DUMMYFUNCTION("""COMPUTED_VALUE"""),"P407566")</f>
        <v>P407566</v>
      </c>
      <c r="R1164" s="1" t="str">
        <f>IFERROR(__xludf.DUMMYFUNCTION("""COMPUTED_VALUE"""),"DENACO, RODNEY")</f>
        <v>DENACO, RODNEY</v>
      </c>
      <c r="S1164" s="1" t="str">
        <f>IFERROR(__xludf.DUMMYFUNCTION("""COMPUTED_VALUE"""),"ORGANIC")</f>
        <v>ORGANIC</v>
      </c>
      <c r="T1164" s="1" t="str">
        <f>IFERROR(__xludf.DUMMYFUNCTION("""COMPUTED_VALUE"""),"LEA REMOLLO")</f>
        <v>LEA REMOLLO</v>
      </c>
      <c r="U1164" s="1" t="str">
        <f>IFERROR(__xludf.DUMMYFUNCTION("""COMPUTED_VALUE"""),"JB SALIOA")</f>
        <v>JB SALIOA</v>
      </c>
      <c r="V1164" s="1" t="str">
        <f>IFERROR(__xludf.DUMMYFUNCTION("""COMPUTED_VALUE"""),"BK REGULAR")</f>
        <v>BK REGULAR</v>
      </c>
      <c r="W1164" s="1" t="str">
        <f>IFERROR(__xludf.DUMMYFUNCTION("""COMPUTED_VALUE"""),"STK REGULAR")</f>
        <v>STK REGULAR</v>
      </c>
      <c r="X1164" s="1" t="str">
        <f>IFERROR(__xludf.DUMMYFUNCTION("""COMPUTED_VALUE"""),"REGULAR")</f>
        <v>REGULAR</v>
      </c>
      <c r="Y1164" s="1" t="str">
        <f>IFERROR(__xludf.DUMMYFUNCTION("""COMPUTED_VALUE"""),"BK_CVEU_261006")</f>
        <v>BK_CVEU_261006</v>
      </c>
      <c r="Z1164" s="1" t="str">
        <f>IFERROR(__xludf.DUMMYFUNCTION("""COMPUTED_VALUE"""),"NEW CONNECT")</f>
        <v>NEW CONNECT</v>
      </c>
      <c r="AA1164" s="1">
        <f>IFERROR(__xludf.DUMMYFUNCTION("""COMPUTED_VALUE"""),639932076576)</f>
        <v>639932076576</v>
      </c>
      <c r="AB1164" s="1"/>
      <c r="AC1164" s="1">
        <f>IFERROR(__xludf.DUMMYFUNCTION("""COMPUTED_VALUE"""),159)</f>
        <v>159</v>
      </c>
      <c r="AD1164" s="1" t="str">
        <f>IFERROR(__xludf.DUMMYFUNCTION("""COMPUTED_VALUE"""),"SITIO POOK NA MUNTI")</f>
        <v>SITIO POOK NA MUNTI</v>
      </c>
      <c r="AE1164" s="1"/>
      <c r="AF1164" s="1" t="str">
        <f>IFERROR(__xludf.DUMMYFUNCTION("""COMPUTED_VALUE"""),"BGY KAONG")</f>
        <v>BGY KAONG</v>
      </c>
      <c r="AG1164" s="1" t="str">
        <f>IFERROR(__xludf.DUMMYFUNCTION("""COMPUTED_VALUE"""),"SILANG")</f>
        <v>SILANG</v>
      </c>
      <c r="AH1164" s="1" t="str">
        <f>IFERROR(__xludf.DUMMYFUNCTION("""COMPUTED_VALUE"""),"DALI")</f>
        <v>DALI</v>
      </c>
      <c r="AI1164" s="1" t="str">
        <f>IFERROR(__xludf.DUMMYFUNCTION("""COMPUTED_VALUE"""),"CLUSTER 11")</f>
        <v>CLUSTER 11</v>
      </c>
    </row>
    <row r="1165" customHeight="1" spans="1:35">
      <c r="A1165" s="3">
        <f>IFERROR(__xludf.DUMMYFUNCTION("""COMPUTED_VALUE"""),46315)</f>
        <v>46315</v>
      </c>
      <c r="B1165" s="1" t="str">
        <f>IFERROR(__xludf.DUMMYFUNCTION("""COMPUTED_VALUE"""),"SERVANDO JR DIPASUPIL GELMO")</f>
        <v>SERVANDO JR DIPASUPIL GELMO</v>
      </c>
      <c r="C1165" s="1">
        <f>IFERROR(__xludf.DUMMYFUNCTION("""COMPUTED_VALUE"""),2313274330)</f>
        <v>2313274330</v>
      </c>
      <c r="D1165" s="1"/>
      <c r="E1165" s="1"/>
      <c r="F1165" s="1" t="str">
        <f>IFERROR(__xludf.DUMMYFUNCTION("""COMPUTED_VALUE"""),"CANCELLED")</f>
        <v>CANCELLED</v>
      </c>
      <c r="G1165" s="1" t="str">
        <f>IFERROR(__xludf.DUMMYFUNCTION("""COMPUTED_VALUE"""),"CANCELLED")</f>
        <v>CANCELLED</v>
      </c>
      <c r="H1165" s="1"/>
      <c r="I1165" s="1"/>
      <c r="J1165" s="1"/>
      <c r="K1165" s="1"/>
      <c r="L1165" s="1" t="str">
        <f>IFERROR(__xludf.DUMMYFUNCTION("""COMPUTED_VALUE"""),"CANCELLED - WITH OB")</f>
        <v>CANCELLED - WITH OB</v>
      </c>
      <c r="M1165" s="1" t="str">
        <f>IFERROR(__xludf.DUMMYFUNCTION("""COMPUTED_VALUE"""),"CANCELLED - WITH OB")</f>
        <v>CANCELLED - WITH OB</v>
      </c>
      <c r="N1165" s="3"/>
      <c r="O1165" s="1" t="str">
        <f>IFERROR(__xludf.DUMMYFUNCTION("""COMPUTED_VALUE"""),"FIBR PLAN 1299")</f>
        <v>FIBR PLAN 1299</v>
      </c>
      <c r="P1165" s="1" t="str">
        <f>IFERROR(__xludf.DUMMYFUNCTION("""COMPUTED_VALUE"""),"LOWPLAN")</f>
        <v>LOWPLAN</v>
      </c>
      <c r="Q1165" s="1" t="str">
        <f>IFERROR(__xludf.DUMMYFUNCTION("""COMPUTED_VALUE"""),"P407566")</f>
        <v>P407566</v>
      </c>
      <c r="R1165" s="1" t="str">
        <f>IFERROR(__xludf.DUMMYFUNCTION("""COMPUTED_VALUE"""),"DENACO, RODNEY")</f>
        <v>DENACO, RODNEY</v>
      </c>
      <c r="S1165" s="1" t="str">
        <f>IFERROR(__xludf.DUMMYFUNCTION("""COMPUTED_VALUE"""),"ORGANIC")</f>
        <v>ORGANIC</v>
      </c>
      <c r="T1165" s="1" t="str">
        <f>IFERROR(__xludf.DUMMYFUNCTION("""COMPUTED_VALUE"""),"LEA REMOLLO")</f>
        <v>LEA REMOLLO</v>
      </c>
      <c r="U1165" s="1" t="str">
        <f>IFERROR(__xludf.DUMMYFUNCTION("""COMPUTED_VALUE"""),"JB SALIOA")</f>
        <v>JB SALIOA</v>
      </c>
      <c r="V1165" s="1" t="str">
        <f>IFERROR(__xludf.DUMMYFUNCTION("""COMPUTED_VALUE"""),"BK HSTK")</f>
        <v>BK HSTK</v>
      </c>
      <c r="W1165" s="1" t="str">
        <f>IFERROR(__xludf.DUMMYFUNCTION("""COMPUTED_VALUE"""),"BK HSTK")</f>
        <v>BK HSTK</v>
      </c>
      <c r="X1165" s="1" t="str">
        <f>IFERROR(__xludf.DUMMYFUNCTION("""COMPUTED_VALUE"""),"REGULAR")</f>
        <v>REGULAR</v>
      </c>
      <c r="Y1165" s="1" t="str">
        <f>IFERROR(__xludf.DUMMYFUNCTION("""COMPUTED_VALUE"""),"BK_CVEU_261006")</f>
        <v>BK_CVEU_261006</v>
      </c>
      <c r="Z1165" s="1" t="str">
        <f>IFERROR(__xludf.DUMMYFUNCTION("""COMPUTED_VALUE"""),"NEW CONNECT")</f>
        <v>NEW CONNECT</v>
      </c>
      <c r="AA1165" s="1">
        <f>IFERROR(__xludf.DUMMYFUNCTION("""COMPUTED_VALUE"""),639178931307)</f>
        <v>639178931307</v>
      </c>
      <c r="AB1165" s="1"/>
      <c r="AC1165" s="1">
        <f>IFERROR(__xludf.DUMMYFUNCTION("""COMPUTED_VALUE"""),9867)</f>
        <v>9867</v>
      </c>
      <c r="AD1165" s="1" t="str">
        <f>IFERROR(__xludf.DUMMYFUNCTION("""COMPUTED_VALUE"""),"LUNGON")</f>
        <v>LUNGON</v>
      </c>
      <c r="AE1165" s="1" t="str">
        <f>IFERROR(__xludf.DUMMYFUNCTION("""COMPUTED_VALUE"""),"DON JUAN HEIGHTS")</f>
        <v>DON JUAN HEIGHTS</v>
      </c>
      <c r="AF1165" s="1" t="str">
        <f>IFERROR(__xludf.DUMMYFUNCTION("""COMPUTED_VALUE"""),"BGY SAN MIGUEL 2")</f>
        <v>BGY SAN MIGUEL 2</v>
      </c>
      <c r="AG1165" s="1" t="str">
        <f>IFERROR(__xludf.DUMMYFUNCTION("""COMPUTED_VALUE"""),"SILANG")</f>
        <v>SILANG</v>
      </c>
      <c r="AH1165" s="1" t="str">
        <f>IFERROR(__xludf.DUMMYFUNCTION("""COMPUTED_VALUE"""),"-")</f>
        <v>-</v>
      </c>
      <c r="AI1165" s="1" t="str">
        <f>IFERROR(__xludf.DUMMYFUNCTION("""COMPUTED_VALUE"""),"CLUSTER 11")</f>
        <v>CLUSTER 11</v>
      </c>
    </row>
    <row r="1166" customHeight="1" spans="1:35">
      <c r="A1166" s="3">
        <f>IFERROR(__xludf.DUMMYFUNCTION("""COMPUTED_VALUE"""),46316)</f>
        <v>46316</v>
      </c>
      <c r="B1166" s="1" t="str">
        <f>IFERROR(__xludf.DUMMYFUNCTION("""COMPUTED_VALUE"""),"MELNARD AGAMANOS CORTEZ")</f>
        <v>MELNARD AGAMANOS CORTEZ</v>
      </c>
      <c r="C1166" s="1">
        <f>IFERROR(__xludf.DUMMYFUNCTION("""COMPUTED_VALUE"""),2313286634)</f>
        <v>2313286634</v>
      </c>
      <c r="D1166" s="1">
        <f>IFERROR(__xludf.DUMMYFUNCTION("""COMPUTED_VALUE"""),409189571)</f>
        <v>409189571</v>
      </c>
      <c r="E1166" s="1">
        <f>IFERROR(__xludf.DUMMYFUNCTION("""COMPUTED_VALUE"""),476532959004)</f>
        <v>476532959004</v>
      </c>
      <c r="F1166" s="1" t="str">
        <f>IFERROR(__xludf.DUMMYFUNCTION("""COMPUTED_VALUE"""),"CLOSED")</f>
        <v>CLOSED</v>
      </c>
      <c r="G1166" s="1" t="str">
        <f>IFERROR(__xludf.DUMMYFUNCTION("""COMPUTED_VALUE"""),"CLOSED")</f>
        <v>CLOSED</v>
      </c>
      <c r="H1166" s="1" t="str">
        <f>IFERROR(__xludf.DUMMYFUNCTION("""COMPUTED_VALUE"""),"PAID THRU GCASH 652033904 10/23")</f>
        <v>PAID THRU GCASH 652033904 10/23</v>
      </c>
      <c r="I1166" s="1" t="str">
        <f>IFERROR(__xludf.DUMMYFUNCTION("""COMPUTED_VALUE"""),"WITH 1 AMSF")</f>
        <v>WITH 1 AMSF</v>
      </c>
      <c r="J1166" s="1"/>
      <c r="K1166" s="1"/>
      <c r="L1166" s="1" t="str">
        <f>IFERROR(__xludf.DUMMYFUNCTION("""COMPUTED_VALUE"""),"POSTED")</f>
        <v>POSTED</v>
      </c>
      <c r="M1166" s="1" t="str">
        <f>IFERROR(__xludf.DUMMYFUNCTION("""COMPUTED_VALUE"""),"POSTED")</f>
        <v>POSTED</v>
      </c>
      <c r="N1166" s="3">
        <f>IFERROR(__xludf.DUMMYFUNCTION("""COMPUTED_VALUE"""),46316)</f>
        <v>46316</v>
      </c>
      <c r="O1166" s="1" t="str">
        <f>IFERROR(__xludf.DUMMYFUNCTION("""COMPUTED_VALUE"""),"FIBER UNLI PLAN 1399")</f>
        <v>FIBER UNLI PLAN 1399</v>
      </c>
      <c r="P1166" s="1" t="str">
        <f>IFERROR(__xludf.DUMMYFUNCTION("""COMPUTED_VALUE"""),"LOWPLAN")</f>
        <v>LOWPLAN</v>
      </c>
      <c r="Q1166" s="1" t="str">
        <f>IFERROR(__xludf.DUMMYFUNCTION("""COMPUTED_VALUE"""),"P407520")</f>
        <v>P407520</v>
      </c>
      <c r="R1166" s="1" t="str">
        <f>IFERROR(__xludf.DUMMYFUNCTION("""COMPUTED_VALUE"""),"MALIWAT, MARK")</f>
        <v>MALIWAT, MARK</v>
      </c>
      <c r="S1166" s="1" t="str">
        <f>IFERROR(__xludf.DUMMYFUNCTION("""COMPUTED_VALUE"""),"FLA")</f>
        <v>FLA</v>
      </c>
      <c r="T1166" s="1" t="str">
        <f>IFERROR(__xludf.DUMMYFUNCTION("""COMPUTED_VALUE"""),"JERIC NAVARRO")</f>
        <v>JERIC NAVARRO</v>
      </c>
      <c r="U1166" s="1" t="str">
        <f>IFERROR(__xludf.DUMMYFUNCTION("""COMPUTED_VALUE"""),"JB SALIOA")</f>
        <v>JB SALIOA</v>
      </c>
      <c r="V1166" s="1" t="str">
        <f>IFERROR(__xludf.DUMMYFUNCTION("""COMPUTED_VALUE"""),"BK REGULAR")</f>
        <v>BK REGULAR</v>
      </c>
      <c r="W1166" s="1" t="str">
        <f>IFERROR(__xludf.DUMMYFUNCTION("""COMPUTED_VALUE"""),"STK REGULAR")</f>
        <v>STK REGULAR</v>
      </c>
      <c r="X1166" s="1" t="str">
        <f>IFERROR(__xludf.DUMMYFUNCTION("""COMPUTED_VALUE"""),"FIBER 1399 98TH YR")</f>
        <v>FIBER 1399 98TH YR</v>
      </c>
      <c r="Y1166" s="1" t="str">
        <f>IFERROR(__xludf.DUMMYFUNCTION("""COMPUTED_VALUE"""),"BK_CVEU_261001")</f>
        <v>BK_CVEU_261001</v>
      </c>
      <c r="Z1166" s="1" t="str">
        <f>IFERROR(__xludf.DUMMYFUNCTION("""COMPUTED_VALUE"""),"NEW CONNECT")</f>
        <v>NEW CONNECT</v>
      </c>
      <c r="AA1166" s="1">
        <f>IFERROR(__xludf.DUMMYFUNCTION("""COMPUTED_VALUE"""),639614096528)</f>
        <v>639614096528</v>
      </c>
      <c r="AB1166" s="1">
        <f>IFERROR(__xludf.DUMMYFUNCTION("""COMPUTED_VALUE"""),639634861499)</f>
        <v>639634861499</v>
      </c>
      <c r="AC1166" s="1">
        <f>IFERROR(__xludf.DUMMYFUNCTION("""COMPUTED_VALUE"""),71)</f>
        <v>71</v>
      </c>
      <c r="AD1166" s="1" t="str">
        <f>IFERROR(__xludf.DUMMYFUNCTION("""COMPUTED_VALUE"""),"DAMAYAN")</f>
        <v>DAMAYAN</v>
      </c>
      <c r="AE1166" s="1"/>
      <c r="AF1166" s="1" t="str">
        <f>IFERROR(__xludf.DUMMYFUNCTION("""COMPUTED_VALUE"""),"BGY MATAGBAK 2")</f>
        <v>BGY MATAGBAK 2</v>
      </c>
      <c r="AG1166" s="1" t="str">
        <f>IFERROR(__xludf.DUMMYFUNCTION("""COMPUTED_VALUE"""),"ALFONSO")</f>
        <v>ALFONSO</v>
      </c>
      <c r="AH1166" s="1" t="str">
        <f>IFERROR(__xludf.DUMMYFUNCTION("""COMPUTED_VALUE"""),"DAMAYAN RD")</f>
        <v>DAMAYAN RD</v>
      </c>
      <c r="AI1166" s="1" t="str">
        <f>IFERROR(__xludf.DUMMYFUNCTION("""COMPUTED_VALUE"""),"CLUSTER 12")</f>
        <v>CLUSTER 12</v>
      </c>
    </row>
    <row r="1167" customHeight="1" spans="1:35">
      <c r="A1167" s="3">
        <f>IFERROR(__xludf.DUMMYFUNCTION("""COMPUTED_VALUE"""),46316)</f>
        <v>46316</v>
      </c>
      <c r="B1167" s="1" t="str">
        <f>IFERROR(__xludf.DUMMYFUNCTION("""COMPUTED_VALUE"""),"CEIDRICK PAREJAS BIOJON")</f>
        <v>CEIDRICK PAREJAS BIOJON</v>
      </c>
      <c r="C1167" s="1">
        <f>IFERROR(__xludf.DUMMYFUNCTION("""COMPUTED_VALUE"""),2313288003)</f>
        <v>2313288003</v>
      </c>
      <c r="D1167" s="1">
        <f>IFERROR(__xludf.DUMMYFUNCTION("""COMPUTED_VALUE"""),409190960)</f>
        <v>409190960</v>
      </c>
      <c r="E1167" s="1">
        <f>IFERROR(__xludf.DUMMYFUNCTION("""COMPUTED_VALUE"""),476535541004)</f>
        <v>476535541004</v>
      </c>
      <c r="F1167" s="1" t="str">
        <f>IFERROR(__xludf.DUMMYFUNCTION("""COMPUTED_VALUE"""),"RPR")</f>
        <v>RPR</v>
      </c>
      <c r="G1167" s="1" t="str">
        <f>IFERROR(__xludf.DUMMYFUNCTION("""COMPUTED_VALUE"""),"VISITED REMARKS   UNDECIDED PA HINDI DAW NAKAKAUSAP NG MAAYOS SI CEIDRICK KUNG ITUTULOY YUNG INSTALLATION NASA WORK PA DAW 5PM PA ANG UWI TALK TAO SA BAHAY NILA 09648637034")</f>
        <v>VISITED REMARKS   UNDECIDED PA HINDI DAW NAKAKAUSAP NG MAAYOS SI CEIDRICK KUNG ITUTULOY YUNG INSTALLATION NASA WORK PA DAW 5PM PA ANG UWI TALK TAO SA BAHAY NILA 09648637034</v>
      </c>
      <c r="H1167" s="1"/>
      <c r="I1167" s="1"/>
      <c r="J1167" s="1"/>
      <c r="K1167" s="1"/>
      <c r="L1167" s="1" t="str">
        <f>IFERROR(__xludf.DUMMYFUNCTION("""COMPUTED_VALUE"""),"RPR - UNDECIDED")</f>
        <v>RPR - UNDECIDED</v>
      </c>
      <c r="M1167" s="1" t="str">
        <f>IFERROR(__xludf.DUMMYFUNCTION("""COMPUTED_VALUE"""),"RPR- SUBS CANCEL REQUEST")</f>
        <v>RPR- SUBS CANCEL REQUEST</v>
      </c>
      <c r="N1167" s="3"/>
      <c r="O1167" s="1" t="str">
        <f>IFERROR(__xludf.DUMMYFUNCTION("""COMPUTED_VALUE"""),"FIBER UNLI PLAN 1399")</f>
        <v>FIBER UNLI PLAN 1399</v>
      </c>
      <c r="P1167" s="1" t="str">
        <f>IFERROR(__xludf.DUMMYFUNCTION("""COMPUTED_VALUE"""),"LOWPLAN")</f>
        <v>LOWPLAN</v>
      </c>
      <c r="Q1167" s="1" t="str">
        <f>IFERROR(__xludf.DUMMYFUNCTION("""COMPUTED_VALUE"""),"P407520")</f>
        <v>P407520</v>
      </c>
      <c r="R1167" s="1" t="str">
        <f>IFERROR(__xludf.DUMMYFUNCTION("""COMPUTED_VALUE"""),"ALTO, JUNBIRTH")</f>
        <v>ALTO, JUNBIRTH</v>
      </c>
      <c r="S1167" s="1" t="str">
        <f>IFERROR(__xludf.DUMMYFUNCTION("""COMPUTED_VALUE"""),"ORGANIC")</f>
        <v>ORGANIC</v>
      </c>
      <c r="T1167" s="1" t="str">
        <f>IFERROR(__xludf.DUMMYFUNCTION("""COMPUTED_VALUE"""),"LEA REMOLLO")</f>
        <v>LEA REMOLLO</v>
      </c>
      <c r="U1167" s="1" t="str">
        <f>IFERROR(__xludf.DUMMYFUNCTION("""COMPUTED_VALUE"""),"JB SALIOA")</f>
        <v>JB SALIOA</v>
      </c>
      <c r="V1167" s="1" t="str">
        <f>IFERROR(__xludf.DUMMYFUNCTION("""COMPUTED_VALUE"""),"BK HSTK")</f>
        <v>BK HSTK</v>
      </c>
      <c r="W1167" s="1" t="str">
        <f>IFERROR(__xludf.DUMMYFUNCTION("""COMPUTED_VALUE"""),"BK HSTK")</f>
        <v>BK HSTK</v>
      </c>
      <c r="X1167" s="1" t="str">
        <f>IFERROR(__xludf.DUMMYFUNCTION("""COMPUTED_VALUE"""),"FIBER 1399 98TH YR")</f>
        <v>FIBER 1399 98TH YR</v>
      </c>
      <c r="Y1167" s="1" t="str">
        <f>IFERROR(__xludf.DUMMYFUNCTION("""COMPUTED_VALUE"""),"BK_CVEU_261006")</f>
        <v>BK_CVEU_261006</v>
      </c>
      <c r="Z1167" s="1" t="str">
        <f>IFERROR(__xludf.DUMMYFUNCTION("""COMPUTED_VALUE"""),"NEW CONNECT")</f>
        <v>NEW CONNECT</v>
      </c>
      <c r="AA1167" s="1">
        <f>IFERROR(__xludf.DUMMYFUNCTION("""COMPUTED_VALUE"""),639648637034)</f>
        <v>639648637034</v>
      </c>
      <c r="AB1167" s="1"/>
      <c r="AC1167" s="1">
        <f>IFERROR(__xludf.DUMMYFUNCTION("""COMPUTED_VALUE"""),160)</f>
        <v>160</v>
      </c>
      <c r="AD1167" s="1" t="str">
        <f>IFERROR(__xludf.DUMMYFUNCTION("""COMPUTED_VALUE"""),"DAHLIA")</f>
        <v>DAHLIA</v>
      </c>
      <c r="AE1167" s="1"/>
      <c r="AF1167" s="1" t="str">
        <f>IFERROR(__xludf.DUMMYFUNCTION("""COMPUTED_VALUE"""),"BGY SAN MIGUEL 2")</f>
        <v>BGY SAN MIGUEL 2</v>
      </c>
      <c r="AG1167" s="1" t="str">
        <f>IFERROR(__xludf.DUMMYFUNCTION("""COMPUTED_VALUE"""),"SILANG")</f>
        <v>SILANG</v>
      </c>
      <c r="AH1167" s="1" t="str">
        <f>IFERROR(__xludf.DUMMYFUNCTION("""COMPUTED_VALUE"""),"-")</f>
        <v>-</v>
      </c>
      <c r="AI1167" s="1" t="str">
        <f>IFERROR(__xludf.DUMMYFUNCTION("""COMPUTED_VALUE"""),"CLUSTER 11")</f>
        <v>CLUSTER 11</v>
      </c>
    </row>
    <row r="1168" customHeight="1" spans="1:35">
      <c r="A1168" s="3">
        <f>IFERROR(__xludf.DUMMYFUNCTION("""COMPUTED_VALUE"""),46316)</f>
        <v>46316</v>
      </c>
      <c r="B1168" s="1" t="str">
        <f>IFERROR(__xludf.DUMMYFUNCTION("""COMPUTED_VALUE"""),"KRISTINE FLORES MAYANG")</f>
        <v>KRISTINE FLORES MAYANG</v>
      </c>
      <c r="C1168" s="1">
        <f>IFERROR(__xludf.DUMMYFUNCTION("""COMPUTED_VALUE"""),2313288272)</f>
        <v>2313288272</v>
      </c>
      <c r="D1168" s="1">
        <f>IFERROR(__xludf.DUMMYFUNCTION("""COMPUTED_VALUE"""),409193420)</f>
        <v>409193420</v>
      </c>
      <c r="E1168" s="1">
        <f>IFERROR(__xludf.DUMMYFUNCTION("""COMPUTED_VALUE"""),476537619004)</f>
        <v>476537619004</v>
      </c>
      <c r="F1168" s="1" t="str">
        <f>IFERROR(__xludf.DUMMYFUNCTION("""COMPUTED_VALUE"""),"CLOSED")</f>
        <v>CLOSED</v>
      </c>
      <c r="G1168" s="1" t="str">
        <f>IFERROR(__xludf.DUMMYFUNCTION("""COMPUTED_VALUE"""),"CLOSED")</f>
        <v>CLOSED</v>
      </c>
      <c r="H1168" s="1"/>
      <c r="I1168" s="1" t="str">
        <f>IFERROR(__xludf.DUMMYFUNCTION("""COMPUTED_VALUE"""),"NO 1 AMSF")</f>
        <v>NO 1 AMSF</v>
      </c>
      <c r="J1168" s="1"/>
      <c r="K1168" s="1"/>
      <c r="L1168" s="1" t="str">
        <f>IFERROR(__xludf.DUMMYFUNCTION("""COMPUTED_VALUE"""),"POSTED")</f>
        <v>POSTED</v>
      </c>
      <c r="M1168" s="1" t="str">
        <f>IFERROR(__xludf.DUMMYFUNCTION("""COMPUTED_VALUE"""),"POSTED")</f>
        <v>POSTED</v>
      </c>
      <c r="N1168" s="3">
        <f>IFERROR(__xludf.DUMMYFUNCTION("""COMPUTED_VALUE"""),46318)</f>
        <v>46318</v>
      </c>
      <c r="O1168" s="1" t="str">
        <f>IFERROR(__xludf.DUMMYFUNCTION("""COMPUTED_VALUE"""),"FIBER UNLI PLAN 1399")</f>
        <v>FIBER UNLI PLAN 1399</v>
      </c>
      <c r="P1168" s="1" t="str">
        <f>IFERROR(__xludf.DUMMYFUNCTION("""COMPUTED_VALUE"""),"LOWPLAN")</f>
        <v>LOWPLAN</v>
      </c>
      <c r="Q1168" s="1" t="str">
        <f>IFERROR(__xludf.DUMMYFUNCTION("""COMPUTED_VALUE"""),"P407050")</f>
        <v>P407050</v>
      </c>
      <c r="R1168" s="1" t="str">
        <f>IFERROR(__xludf.DUMMYFUNCTION("""COMPUTED_VALUE"""),"ESCARCHA, ALMA")</f>
        <v>ESCARCHA, ALMA</v>
      </c>
      <c r="S1168" s="1" t="str">
        <f>IFERROR(__xludf.DUMMYFUNCTION("""COMPUTED_VALUE"""),"ORGANIC")</f>
        <v>ORGANIC</v>
      </c>
      <c r="T1168" s="1" t="str">
        <f>IFERROR(__xludf.DUMMYFUNCTION("""COMPUTED_VALUE"""),"LEA REMOLLO")</f>
        <v>LEA REMOLLO</v>
      </c>
      <c r="U1168" s="1" t="str">
        <f>IFERROR(__xludf.DUMMYFUNCTION("""COMPUTED_VALUE"""),"JB SALIOA")</f>
        <v>JB SALIOA</v>
      </c>
      <c r="V1168" s="1" t="str">
        <f>IFERROR(__xludf.DUMMYFUNCTION("""COMPUTED_VALUE"""),"BK HSTK")</f>
        <v>BK HSTK</v>
      </c>
      <c r="W1168" s="1" t="str">
        <f>IFERROR(__xludf.DUMMYFUNCTION("""COMPUTED_VALUE"""),"BK HSTK")</f>
        <v>BK HSTK</v>
      </c>
      <c r="X1168" s="1" t="str">
        <f>IFERROR(__xludf.DUMMYFUNCTION("""COMPUTED_VALUE"""),"FIBER 1399 98TH YR")</f>
        <v>FIBER 1399 98TH YR</v>
      </c>
      <c r="Y1168" s="1" t="str">
        <f>IFERROR(__xludf.DUMMYFUNCTION("""COMPUTED_VALUE"""),"BK_CVEU_261006")</f>
        <v>BK_CVEU_261006</v>
      </c>
      <c r="Z1168" s="1" t="str">
        <f>IFERROR(__xludf.DUMMYFUNCTION("""COMPUTED_VALUE"""),"NEW CONNECT")</f>
        <v>NEW CONNECT</v>
      </c>
      <c r="AA1168" s="1">
        <f>IFERROR(__xludf.DUMMYFUNCTION("""COMPUTED_VALUE"""),639095859286)</f>
        <v>639095859286</v>
      </c>
      <c r="AB1168" s="1">
        <f>IFERROR(__xludf.DUMMYFUNCTION("""COMPUTED_VALUE"""),639504899022)</f>
        <v>639504899022</v>
      </c>
      <c r="AC1168" s="1"/>
      <c r="AD1168" s="1" t="str">
        <f>IFERROR(__xludf.DUMMYFUNCTION("""COMPUTED_VALUE"""),"DON JUAN")</f>
        <v>DON JUAN</v>
      </c>
      <c r="AE1168" s="1" t="str">
        <f>IFERROR(__xludf.DUMMYFUNCTION("""COMPUTED_VALUE"""),"DON JUAN SUBD")</f>
        <v>DON JUAN SUBD</v>
      </c>
      <c r="AF1168" s="1" t="str">
        <f>IFERROR(__xludf.DUMMYFUNCTION("""COMPUTED_VALUE"""),"BGY SAN MIGUEL 2")</f>
        <v>BGY SAN MIGUEL 2</v>
      </c>
      <c r="AG1168" s="1" t="str">
        <f>IFERROR(__xludf.DUMMYFUNCTION("""COMPUTED_VALUE"""),"SILANG")</f>
        <v>SILANG</v>
      </c>
      <c r="AH1168" s="1" t="str">
        <f>IFERROR(__xludf.DUMMYFUNCTION("""COMPUTED_VALUE"""),"SAN MIGUEL ELEM")</f>
        <v>SAN MIGUEL ELEM</v>
      </c>
      <c r="AI1168" s="1" t="str">
        <f>IFERROR(__xludf.DUMMYFUNCTION("""COMPUTED_VALUE"""),"CLUSTER 11")</f>
        <v>CLUSTER 11</v>
      </c>
    </row>
    <row r="1169" customHeight="1" spans="1:35">
      <c r="A1169" s="3">
        <f>IFERROR(__xludf.DUMMYFUNCTION("""COMPUTED_VALUE"""),46316)</f>
        <v>46316</v>
      </c>
      <c r="B1169" s="1" t="str">
        <f>IFERROR(__xludf.DUMMYFUNCTION("""COMPUTED_VALUE"""),"JUDE MORIBUS GONZALES")</f>
        <v>JUDE MORIBUS GONZALES</v>
      </c>
      <c r="C1169" s="1">
        <f>IFERROR(__xludf.DUMMYFUNCTION("""COMPUTED_VALUE"""),2313292345)</f>
        <v>2313292345</v>
      </c>
      <c r="D1169" s="1"/>
      <c r="E1169" s="1"/>
      <c r="F1169" s="1" t="str">
        <f>IFERROR(__xludf.DUMMYFUNCTION("""COMPUTED_VALUE"""),"CANCELLED")</f>
        <v>CANCELLED</v>
      </c>
      <c r="G1169" s="1" t="str">
        <f>IFERROR(__xludf.DUMMYFUNCTION("""COMPUTED_VALUE"""),"(WITH BLACKLIST HIT FOR COMPLIANCE) &amp;#8203;rts | COMPLETE DOCS| DONE VALIDATION | CORRECT ENCODED INFO IN CSP | TU SCORING - JJ - 15 (HIGH RISK) | WITH 1 AMSF REQUIREMENT | WITH BL ACC FOR SETTLEMENT - 0309202376 WITH OB : 5,025.13 | with cancelled app in"&amp;" diff add -0283336085 0388018941 | with same cbr - 0395825526 |")</f>
        <v>(WITH BLACKLIST HIT FOR COMPLIANCE) &amp;#8203;rts | COMPLETE DOCS| DONE VALIDATION | CORRECT ENCODED INFO IN CSP | TU SCORING - JJ - 15 (HIGH RISK) | WITH 1 AMSF REQUIREMENT | WITH BL ACC FOR SETTLEMENT - 0309202376 WITH OB : 5,025.13 | with cancelled app in diff add -0283336085 0388018941 | with same cbr - 0395825526 |</v>
      </c>
      <c r="H1169" s="1"/>
      <c r="I1169" s="1"/>
      <c r="J1169" s="1"/>
      <c r="K1169" s="1"/>
      <c r="L1169" s="1" t="str">
        <f>IFERROR(__xludf.DUMMYFUNCTION("""COMPUTED_VALUE"""),"CANCELLED")</f>
        <v>CANCELLED</v>
      </c>
      <c r="M1169" s="1" t="str">
        <f>IFERROR(__xludf.DUMMYFUNCTION("""COMPUTED_VALUE"""),"CANCELLED - WITH OB")</f>
        <v>CANCELLED - WITH OB</v>
      </c>
      <c r="N1169" s="3"/>
      <c r="O1169" s="1" t="str">
        <f>IFERROR(__xludf.DUMMYFUNCTION("""COMPUTED_VALUE"""),"FIBER UNLI PLAN 1399")</f>
        <v>FIBER UNLI PLAN 1399</v>
      </c>
      <c r="P1169" s="1" t="str">
        <f>IFERROR(__xludf.DUMMYFUNCTION("""COMPUTED_VALUE"""),"LOWPLAN")</f>
        <v>LOWPLAN</v>
      </c>
      <c r="Q1169" s="1" t="str">
        <f>IFERROR(__xludf.DUMMYFUNCTION("""COMPUTED_VALUE"""),"P407564")</f>
        <v>P407564</v>
      </c>
      <c r="R1169" s="1" t="str">
        <f>IFERROR(__xludf.DUMMYFUNCTION("""COMPUTED_VALUE"""),"ARENA, LYKA")</f>
        <v>ARENA, LYKA</v>
      </c>
      <c r="S1169" s="1" t="str">
        <f>IFERROR(__xludf.DUMMYFUNCTION("""COMPUTED_VALUE"""),"ORGANIC")</f>
        <v>ORGANIC</v>
      </c>
      <c r="T1169" s="1" t="str">
        <f>IFERROR(__xludf.DUMMYFUNCTION("""COMPUTED_VALUE"""),"LEA REMOLLO")</f>
        <v>LEA REMOLLO</v>
      </c>
      <c r="U1169" s="1" t="str">
        <f>IFERROR(__xludf.DUMMYFUNCTION("""COMPUTED_VALUE"""),"JB SALIOA")</f>
        <v>JB SALIOA</v>
      </c>
      <c r="V1169" s="1" t="str">
        <f>IFERROR(__xludf.DUMMYFUNCTION("""COMPUTED_VALUE"""),"BK HSTK")</f>
        <v>BK HSTK</v>
      </c>
      <c r="W1169" s="1" t="str">
        <f>IFERROR(__xludf.DUMMYFUNCTION("""COMPUTED_VALUE"""),"BK HSTK")</f>
        <v>BK HSTK</v>
      </c>
      <c r="X1169" s="1" t="str">
        <f>IFERROR(__xludf.DUMMYFUNCTION("""COMPUTED_VALUE"""),"FIBER 1399 98TH YR")</f>
        <v>FIBER 1399 98TH YR</v>
      </c>
      <c r="Y1169" s="1" t="str">
        <f>IFERROR(__xludf.DUMMYFUNCTION("""COMPUTED_VALUE"""),"BK_CVEU_261006")</f>
        <v>BK_CVEU_261006</v>
      </c>
      <c r="Z1169" s="1" t="str">
        <f>IFERROR(__xludf.DUMMYFUNCTION("""COMPUTED_VALUE"""),"NEW CONNECT")</f>
        <v>NEW CONNECT</v>
      </c>
      <c r="AA1169" s="1">
        <f>IFERROR(__xludf.DUMMYFUNCTION("""COMPUTED_VALUE"""),639994107654)</f>
        <v>639994107654</v>
      </c>
      <c r="AB1169" s="1"/>
      <c r="AC1169" s="1"/>
      <c r="AD1169" s="1" t="str">
        <f>IFERROR(__xludf.DUMMYFUNCTION("""COMPUTED_VALUE"""),"SIKAP VILLE")</f>
        <v>SIKAP VILLE</v>
      </c>
      <c r="AE1169" s="1" t="str">
        <f>IFERROR(__xludf.DUMMYFUNCTION("""COMPUTED_VALUE"""),"SIKAP VILLE")</f>
        <v>SIKAP VILLE</v>
      </c>
      <c r="AF1169" s="1" t="str">
        <f>IFERROR(__xludf.DUMMYFUNCTION("""COMPUTED_VALUE"""),"BGY SABUTAN")</f>
        <v>BGY SABUTAN</v>
      </c>
      <c r="AG1169" s="1" t="str">
        <f>IFERROR(__xludf.DUMMYFUNCTION("""COMPUTED_VALUE"""),"SILANG")</f>
        <v>SILANG</v>
      </c>
      <c r="AH1169" s="1" t="str">
        <f>IFERROR(__xludf.DUMMYFUNCTION("""COMPUTED_VALUE"""),"-")</f>
        <v>-</v>
      </c>
      <c r="AI1169" s="1" t="str">
        <f>IFERROR(__xludf.DUMMYFUNCTION("""COMPUTED_VALUE"""),"CLUSTER 11")</f>
        <v>CLUSTER 11</v>
      </c>
    </row>
    <row r="1170" customHeight="1" spans="1:35">
      <c r="A1170" s="3">
        <f>IFERROR(__xludf.DUMMYFUNCTION("""COMPUTED_VALUE"""),46316)</f>
        <v>46316</v>
      </c>
      <c r="B1170" s="1" t="str">
        <f>IFERROR(__xludf.DUMMYFUNCTION("""COMPUTED_VALUE"""),"EDUARDO CORDERO REVANO")</f>
        <v>EDUARDO CORDERO REVANO</v>
      </c>
      <c r="C1170" s="1">
        <f>IFERROR(__xludf.DUMMYFUNCTION("""COMPUTED_VALUE"""),2313293620)</f>
        <v>2313293620</v>
      </c>
      <c r="D1170" s="1"/>
      <c r="E1170" s="1"/>
      <c r="F1170" s="1" t="str">
        <f>IFERROR(__xludf.DUMMYFUNCTION("""COMPUTED_VALUE"""),"CANCELLED")</f>
        <v>CANCELLED</v>
      </c>
      <c r="G1170" s="1" t="str">
        <f>IFERROR(__xludf.DUMMYFUNCTION("""COMPUTED_VALUE"""),"(WITH BLACKLISTED ACCOUNT FOR SETTLEMENT) RETURN TO SALES | FOUND WITH BLACKLISTED ACC# (0386961948) WITH OB (Php4, 948.40) UNDER SAME NAME DIFF ADD | NEED TO SETTLE OB FIRST | FOUND WITH CANCELLED APPLICATION (0386959447) UNDER SAME NAME DIFF ADD | COMPL"&amp;"ETE DOCS | CORRECT ENCODED INFO IN CSP | TU SCORING: FF - 2 (NTC) | WAIVED 1AMSF | PART OF 98TH YR PROMO | SCANNABLE NATIONAL ID")</f>
        <v>(WITH BLACKLISTED ACCOUNT FOR SETTLEMENT) RETURN TO SALES | FOUND WITH BLACKLISTED ACC# (0386961948) WITH OB (Php4, 948.40) UNDER SAME NAME DIFF ADD | NEED TO SETTLE OB FIRST | FOUND WITH CANCELLED APPLICATION (0386959447) UNDER SAME NAME DIFF ADD | COMPLETE DOCS | CORRECT ENCODED INFO IN CSP | TU SCORING: FF - 2 (NTC) | WAIVED 1AMSF | PART OF 98TH YR PROMO | SCANNABLE NATIONAL ID</v>
      </c>
      <c r="H1170" s="1"/>
      <c r="I1170" s="1"/>
      <c r="J1170" s="1"/>
      <c r="K1170" s="1"/>
      <c r="L1170" s="1" t="str">
        <f>IFERROR(__xludf.DUMMYFUNCTION("""COMPUTED_VALUE"""),"CANCELLED - WITH OB")</f>
        <v>CANCELLED - WITH OB</v>
      </c>
      <c r="M1170" s="1" t="str">
        <f>IFERROR(__xludf.DUMMYFUNCTION("""COMPUTED_VALUE"""),"CANCELLED - WITH OB")</f>
        <v>CANCELLED - WITH OB</v>
      </c>
      <c r="N1170" s="3"/>
      <c r="O1170" s="1" t="str">
        <f>IFERROR(__xludf.DUMMYFUNCTION("""COMPUTED_VALUE"""),"FIBER UNLI PLAN 1399")</f>
        <v>FIBER UNLI PLAN 1399</v>
      </c>
      <c r="P1170" s="1" t="str">
        <f>IFERROR(__xludf.DUMMYFUNCTION("""COMPUTED_VALUE"""),"LOWPLAN")</f>
        <v>LOWPLAN</v>
      </c>
      <c r="Q1170" s="1" t="str">
        <f>IFERROR(__xludf.DUMMYFUNCTION("""COMPUTED_VALUE"""),"P408052")</f>
        <v>P408052</v>
      </c>
      <c r="R1170" s="1" t="str">
        <f>IFERROR(__xludf.DUMMYFUNCTION("""COMPUTED_VALUE"""),"LOTOJA, LOVELY JOICE")</f>
        <v>LOTOJA, LOVELY JOICE</v>
      </c>
      <c r="S1170" s="1" t="str">
        <f>IFERROR(__xludf.DUMMYFUNCTION("""COMPUTED_VALUE"""),"ORGANIC")</f>
        <v>ORGANIC</v>
      </c>
      <c r="T1170" s="1" t="str">
        <f>IFERROR(__xludf.DUMMYFUNCTION("""COMPUTED_VALUE"""),"LEA REMOLLO")</f>
        <v>LEA REMOLLO</v>
      </c>
      <c r="U1170" s="1" t="str">
        <f>IFERROR(__xludf.DUMMYFUNCTION("""COMPUTED_VALUE"""),"JB SALIOA")</f>
        <v>JB SALIOA</v>
      </c>
      <c r="V1170" s="1" t="str">
        <f>IFERROR(__xludf.DUMMYFUNCTION("""COMPUTED_VALUE"""),"BK REGULAR")</f>
        <v>BK REGULAR</v>
      </c>
      <c r="W1170" s="1" t="str">
        <f>IFERROR(__xludf.DUMMYFUNCTION("""COMPUTED_VALUE"""),"STK REGULAR")</f>
        <v>STK REGULAR</v>
      </c>
      <c r="X1170" s="1" t="str">
        <f>IFERROR(__xludf.DUMMYFUNCTION("""COMPUTED_VALUE"""),"FIBER 1399 98TH YR")</f>
        <v>FIBER 1399 98TH YR</v>
      </c>
      <c r="Y1170" s="1" t="str">
        <f>IFERROR(__xludf.DUMMYFUNCTION("""COMPUTED_VALUE"""),"BK_CVEU_261004")</f>
        <v>BK_CVEU_261004</v>
      </c>
      <c r="Z1170" s="1" t="str">
        <f>IFERROR(__xludf.DUMMYFUNCTION("""COMPUTED_VALUE"""),"NEW CONNECT")</f>
        <v>NEW CONNECT</v>
      </c>
      <c r="AA1170" s="1">
        <f>IFERROR(__xludf.DUMMYFUNCTION("""COMPUTED_VALUE"""),639508840689)</f>
        <v>639508840689</v>
      </c>
      <c r="AB1170" s="1"/>
      <c r="AC1170" s="1"/>
      <c r="AD1170" s="1" t="str">
        <f>IFERROR(__xludf.DUMMYFUNCTION("""COMPUTED_VALUE"""),"OMEGA")</f>
        <v>OMEGA</v>
      </c>
      <c r="AE1170" s="1"/>
      <c r="AF1170" s="1" t="str">
        <f>IFERROR(__xludf.DUMMYFUNCTION("""COMPUTED_VALUE"""),"BGY POBLACION 3")</f>
        <v>BGY POBLACION 3</v>
      </c>
      <c r="AG1170" s="1" t="str">
        <f>IFERROR(__xludf.DUMMYFUNCTION("""COMPUTED_VALUE"""),"GEN MARIANO ALVAREZ")</f>
        <v>GEN MARIANO ALVAREZ</v>
      </c>
      <c r="AH1170" s="1" t="str">
        <f>IFERROR(__xludf.DUMMYFUNCTION("""COMPUTED_VALUE"""),"PORTAL MALL")</f>
        <v>PORTAL MALL</v>
      </c>
      <c r="AI1170" s="1" t="str">
        <f>IFERROR(__xludf.DUMMYFUNCTION("""COMPUTED_VALUE"""),"CLUSTER 11")</f>
        <v>CLUSTER 11</v>
      </c>
    </row>
    <row r="1171" customHeight="1" spans="1:35">
      <c r="A1171" s="3">
        <f>IFERROR(__xludf.DUMMYFUNCTION("""COMPUTED_VALUE"""),46316)</f>
        <v>46316</v>
      </c>
      <c r="B1171" s="1" t="str">
        <f>IFERROR(__xludf.DUMMYFUNCTION("""COMPUTED_VALUE"""),"CYRON BACULI CABUTIN")</f>
        <v>CYRON BACULI CABUTIN</v>
      </c>
      <c r="C1171" s="1">
        <f>IFERROR(__xludf.DUMMYFUNCTION("""COMPUTED_VALUE"""),2313291589)</f>
        <v>2313291589</v>
      </c>
      <c r="D1171" s="1"/>
      <c r="E1171" s="1"/>
      <c r="F1171" s="1" t="str">
        <f>IFERROR(__xludf.DUMMYFUNCTION("""COMPUTED_VALUE"""),"CANCELLED")</f>
        <v>CANCELLED</v>
      </c>
      <c r="G1171" s="1" t="str">
        <f>IFERROR(__xludf.DUMMYFUNCTION("""COMPUTED_VALUE"""),"CANCELLED")</f>
        <v>CANCELLED</v>
      </c>
      <c r="H1171" s="1"/>
      <c r="I1171" s="1"/>
      <c r="J1171" s="1"/>
      <c r="K1171" s="1"/>
      <c r="L1171" s="1" t="str">
        <f>IFERROR(__xludf.DUMMYFUNCTION("""COMPUTED_VALUE"""),"CANCELLED - WITH OB")</f>
        <v>CANCELLED - WITH OB</v>
      </c>
      <c r="M1171" s="1" t="str">
        <f>IFERROR(__xludf.DUMMYFUNCTION("""COMPUTED_VALUE"""),"CANCELLED - WITH OB")</f>
        <v>CANCELLED - WITH OB</v>
      </c>
      <c r="N1171" s="3"/>
      <c r="O1171" s="1" t="str">
        <f>IFERROR(__xludf.DUMMYFUNCTION("""COMPUTED_VALUE"""),"FIBR UNLI ALL PLAN 999")</f>
        <v>FIBR UNLI ALL PLAN 999</v>
      </c>
      <c r="P1171" s="1" t="str">
        <f>IFERROR(__xludf.DUMMYFUNCTION("""COMPUTED_VALUE"""),"LOWPLAN")</f>
        <v>LOWPLAN</v>
      </c>
      <c r="Q1171" s="1" t="str">
        <f>IFERROR(__xludf.DUMMYFUNCTION("""COMPUTED_VALUE"""),"P407566")</f>
        <v>P407566</v>
      </c>
      <c r="R1171" s="1" t="str">
        <f>IFERROR(__xludf.DUMMYFUNCTION("""COMPUTED_VALUE"""),"DENACO, RODNEY")</f>
        <v>DENACO, RODNEY</v>
      </c>
      <c r="S1171" s="1" t="str">
        <f>IFERROR(__xludf.DUMMYFUNCTION("""COMPUTED_VALUE"""),"ORGANIC")</f>
        <v>ORGANIC</v>
      </c>
      <c r="T1171" s="1" t="str">
        <f>IFERROR(__xludf.DUMMYFUNCTION("""COMPUTED_VALUE"""),"LEA REMOLLO")</f>
        <v>LEA REMOLLO</v>
      </c>
      <c r="U1171" s="1" t="str">
        <f>IFERROR(__xludf.DUMMYFUNCTION("""COMPUTED_VALUE"""),"JB SALIOA")</f>
        <v>JB SALIOA</v>
      </c>
      <c r="V1171" s="1" t="str">
        <f>IFERROR(__xludf.DUMMYFUNCTION("""COMPUTED_VALUE"""),"BK HSTK")</f>
        <v>BK HSTK</v>
      </c>
      <c r="W1171" s="1" t="str">
        <f>IFERROR(__xludf.DUMMYFUNCTION("""COMPUTED_VALUE"""),"BK HSTK")</f>
        <v>BK HSTK</v>
      </c>
      <c r="X1171" s="1" t="str">
        <f>IFERROR(__xludf.DUMMYFUNCTION("""COMPUTED_VALUE"""),"REGULAR")</f>
        <v>REGULAR</v>
      </c>
      <c r="Y1171" s="1" t="str">
        <f>IFERROR(__xludf.DUMMYFUNCTION("""COMPUTED_VALUE"""),"BK_CVEU_261006")</f>
        <v>BK_CVEU_261006</v>
      </c>
      <c r="Z1171" s="1" t="str">
        <f>IFERROR(__xludf.DUMMYFUNCTION("""COMPUTED_VALUE"""),"NEW CONNECT")</f>
        <v>NEW CONNECT</v>
      </c>
      <c r="AA1171" s="1">
        <f>IFERROR(__xludf.DUMMYFUNCTION("""COMPUTED_VALUE"""),639094783291)</f>
        <v>639094783291</v>
      </c>
      <c r="AB1171" s="1"/>
      <c r="AC1171" s="1">
        <f>IFERROR(__xludf.DUMMYFUNCTION("""COMPUTED_VALUE"""),186)</f>
        <v>186</v>
      </c>
      <c r="AD1171" s="1" t="str">
        <f>IFERROR(__xludf.DUMMYFUNCTION("""COMPUTED_VALUE"""),"PALIGAWAN MATANDA")</f>
        <v>PALIGAWAN MATANDA</v>
      </c>
      <c r="AE1171" s="1"/>
      <c r="AF1171" s="1" t="str">
        <f>IFERROR(__xludf.DUMMYFUNCTION("""COMPUTED_VALUE"""),"BGY LANTIC")</f>
        <v>BGY LANTIC</v>
      </c>
      <c r="AG1171" s="1" t="str">
        <f>IFERROR(__xludf.DUMMYFUNCTION("""COMPUTED_VALUE"""),"CARMONA")</f>
        <v>CARMONA</v>
      </c>
      <c r="AH1171" s="1" t="str">
        <f>IFERROR(__xludf.DUMMYFUNCTION("""COMPUTED_VALUE"""),"-")</f>
        <v>-</v>
      </c>
      <c r="AI1171" s="1" t="str">
        <f>IFERROR(__xludf.DUMMYFUNCTION("""COMPUTED_VALUE"""),"CLUSTER 11")</f>
        <v>CLUSTER 11</v>
      </c>
    </row>
    <row r="1172" customHeight="1" spans="1:35">
      <c r="A1172" s="3">
        <f>IFERROR(__xludf.DUMMYFUNCTION("""COMPUTED_VALUE"""),46316)</f>
        <v>46316</v>
      </c>
      <c r="B1172" s="1" t="str">
        <f>IFERROR(__xludf.DUMMYFUNCTION("""COMPUTED_VALUE"""),"ERIC BRAZAS JABOLI")</f>
        <v>ERIC BRAZAS JABOLI</v>
      </c>
      <c r="C1172" s="1">
        <f>IFERROR(__xludf.DUMMYFUNCTION("""COMPUTED_VALUE"""),2313291844)</f>
        <v>2313291844</v>
      </c>
      <c r="D1172" s="1"/>
      <c r="E1172" s="1"/>
      <c r="F1172" s="1" t="str">
        <f>IFERROR(__xludf.DUMMYFUNCTION("""COMPUTED_VALUE"""),"CANCELLED")</f>
        <v>CANCELLED</v>
      </c>
      <c r="G1172" s="1" t="str">
        <f>IFERROR(__xludf.DUMMYFUNCTION("""COMPUTED_VALUE"""),"CANCELLED")</f>
        <v>CANCELLED</v>
      </c>
      <c r="H1172" s="1"/>
      <c r="I1172" s="1"/>
      <c r="J1172" s="1"/>
      <c r="K1172" s="1"/>
      <c r="L1172" s="1" t="str">
        <f>IFERROR(__xludf.DUMMYFUNCTION("""COMPUTED_VALUE"""),"CANCELLED - WITH OB")</f>
        <v>CANCELLED - WITH OB</v>
      </c>
      <c r="M1172" s="1" t="str">
        <f>IFERROR(__xludf.DUMMYFUNCTION("""COMPUTED_VALUE"""),"CANCELLED - WITH OB")</f>
        <v>CANCELLED - WITH OB</v>
      </c>
      <c r="N1172" s="3"/>
      <c r="O1172" s="1" t="str">
        <f>IFERROR(__xludf.DUMMYFUNCTION("""COMPUTED_VALUE"""),"FIBR PLAN 1299")</f>
        <v>FIBR PLAN 1299</v>
      </c>
      <c r="P1172" s="1" t="str">
        <f>IFERROR(__xludf.DUMMYFUNCTION("""COMPUTED_VALUE"""),"LOWPLAN")</f>
        <v>LOWPLAN</v>
      </c>
      <c r="Q1172" s="1" t="str">
        <f>IFERROR(__xludf.DUMMYFUNCTION("""COMPUTED_VALUE"""),"P407566")</f>
        <v>P407566</v>
      </c>
      <c r="R1172" s="1" t="str">
        <f>IFERROR(__xludf.DUMMYFUNCTION("""COMPUTED_VALUE"""),"DENACO, RODNEY")</f>
        <v>DENACO, RODNEY</v>
      </c>
      <c r="S1172" s="1" t="str">
        <f>IFERROR(__xludf.DUMMYFUNCTION("""COMPUTED_VALUE"""),"ORGANIC")</f>
        <v>ORGANIC</v>
      </c>
      <c r="T1172" s="1" t="str">
        <f>IFERROR(__xludf.DUMMYFUNCTION("""COMPUTED_VALUE"""),"LEA REMOLLO")</f>
        <v>LEA REMOLLO</v>
      </c>
      <c r="U1172" s="1" t="str">
        <f>IFERROR(__xludf.DUMMYFUNCTION("""COMPUTED_VALUE"""),"JB SALIOA")</f>
        <v>JB SALIOA</v>
      </c>
      <c r="V1172" s="1" t="str">
        <f>IFERROR(__xludf.DUMMYFUNCTION("""COMPUTED_VALUE"""),"BK REGULAR")</f>
        <v>BK REGULAR</v>
      </c>
      <c r="W1172" s="1" t="str">
        <f>IFERROR(__xludf.DUMMYFUNCTION("""COMPUTED_VALUE"""),"STK REGULAR")</f>
        <v>STK REGULAR</v>
      </c>
      <c r="X1172" s="1" t="str">
        <f>IFERROR(__xludf.DUMMYFUNCTION("""COMPUTED_VALUE"""),"REGULAR")</f>
        <v>REGULAR</v>
      </c>
      <c r="Y1172" s="1" t="str">
        <f>IFERROR(__xludf.DUMMYFUNCTION("""COMPUTED_VALUE"""),"BK_CVEU_261005")</f>
        <v>BK_CVEU_261005</v>
      </c>
      <c r="Z1172" s="1" t="str">
        <f>IFERROR(__xludf.DUMMYFUNCTION("""COMPUTED_VALUE"""),"NEW CONNECT")</f>
        <v>NEW CONNECT</v>
      </c>
      <c r="AA1172" s="1">
        <f>IFERROR(__xludf.DUMMYFUNCTION("""COMPUTED_VALUE"""),639182466626)</f>
        <v>639182466626</v>
      </c>
      <c r="AB1172" s="1">
        <f>IFERROR(__xludf.DUMMYFUNCTION("""COMPUTED_VALUE"""),639956774967)</f>
        <v>639956774967</v>
      </c>
      <c r="AC1172" s="1">
        <f>IFERROR(__xludf.DUMMYFUNCTION("""COMPUTED_VALUE"""),34)</f>
        <v>34</v>
      </c>
      <c r="AD1172" s="1" t="str">
        <f>IFERROR(__xludf.DUMMYFUNCTION("""COMPUTED_VALUE"""),"SAINT JOSEPH")</f>
        <v>SAINT JOSEPH</v>
      </c>
      <c r="AE1172" s="1" t="str">
        <f>IFERROR(__xludf.DUMMYFUNCTION("""COMPUTED_VALUE"""),"BGY PANUNGYAN 2")</f>
        <v>BGY PANUNGYAN 2</v>
      </c>
      <c r="AF1172" s="1" t="str">
        <f>IFERROR(__xludf.DUMMYFUNCTION("""COMPUTED_VALUE"""),"BGY PANUNGYAN 2")</f>
        <v>BGY PANUNGYAN 2</v>
      </c>
      <c r="AG1172" s="1" t="str">
        <f>IFERROR(__xludf.DUMMYFUNCTION("""COMPUTED_VALUE"""),"MENDEZ")</f>
        <v>MENDEZ</v>
      </c>
      <c r="AH1172" s="1" t="str">
        <f>IFERROR(__xludf.DUMMYFUNCTION("""COMPUTED_VALUE"""),"NEAR BARANGGAY HALL")</f>
        <v>NEAR BARANGGAY HALL</v>
      </c>
      <c r="AI1172" s="1" t="str">
        <f>IFERROR(__xludf.DUMMYFUNCTION("""COMPUTED_VALUE"""),"CLUSTER 12")</f>
        <v>CLUSTER 12</v>
      </c>
    </row>
    <row r="1173" customHeight="1" spans="1:35">
      <c r="A1173" s="3">
        <f>IFERROR(__xludf.DUMMYFUNCTION("""COMPUTED_VALUE"""),46316)</f>
        <v>46316</v>
      </c>
      <c r="B1173" s="1" t="str">
        <f>IFERROR(__xludf.DUMMYFUNCTION("""COMPUTED_VALUE"""),"RHADRIC SANGCO ORFILA")</f>
        <v>RHADRIC SANGCO ORFILA</v>
      </c>
      <c r="C1173" s="1">
        <f>IFERROR(__xludf.DUMMYFUNCTION("""COMPUTED_VALUE"""),2313292733)</f>
        <v>2313292733</v>
      </c>
      <c r="D1173" s="1"/>
      <c r="E1173" s="1"/>
      <c r="F1173" s="1" t="str">
        <f>IFERROR(__xludf.DUMMYFUNCTION("""COMPUTED_VALUE"""),"CANCELLED")</f>
        <v>CANCELLED</v>
      </c>
      <c r="G1173" s="1" t="str">
        <f>IFERROR(__xludf.DUMMYFUNCTION("""COMPUTED_VALUE"""),"CANCELLED")</f>
        <v>CANCELLED</v>
      </c>
      <c r="H1173" s="1"/>
      <c r="I1173" s="1"/>
      <c r="J1173" s="1"/>
      <c r="K1173" s="1"/>
      <c r="L1173" s="1" t="str">
        <f>IFERROR(__xludf.DUMMYFUNCTION("""COMPUTED_VALUE"""),"CANCELLED - WITH OB")</f>
        <v>CANCELLED - WITH OB</v>
      </c>
      <c r="M1173" s="1" t="str">
        <f>IFERROR(__xludf.DUMMYFUNCTION("""COMPUTED_VALUE"""),"CANCELLED - WITH OB")</f>
        <v>CANCELLED - WITH OB</v>
      </c>
      <c r="N1173" s="3"/>
      <c r="O1173" s="1" t="str">
        <f>IFERROR(__xludf.DUMMYFUNCTION("""COMPUTED_VALUE"""),"FIBR NETFLIX PLAN 1599")</f>
        <v>FIBR NETFLIX PLAN 1599</v>
      </c>
      <c r="P1173" s="1" t="str">
        <f>IFERROR(__xludf.DUMMYFUNCTION("""COMPUTED_VALUE"""),"LOWPLAN")</f>
        <v>LOWPLAN</v>
      </c>
      <c r="Q1173" s="1" t="str">
        <f>IFERROR(__xludf.DUMMYFUNCTION("""COMPUTED_VALUE"""),"P407566")</f>
        <v>P407566</v>
      </c>
      <c r="R1173" s="1" t="str">
        <f>IFERROR(__xludf.DUMMYFUNCTION("""COMPUTED_VALUE"""),"DENACO, RODNEY")</f>
        <v>DENACO, RODNEY</v>
      </c>
      <c r="S1173" s="1" t="str">
        <f>IFERROR(__xludf.DUMMYFUNCTION("""COMPUTED_VALUE"""),"ORGANIC")</f>
        <v>ORGANIC</v>
      </c>
      <c r="T1173" s="1" t="str">
        <f>IFERROR(__xludf.DUMMYFUNCTION("""COMPUTED_VALUE"""),"LEA REMOLLO")</f>
        <v>LEA REMOLLO</v>
      </c>
      <c r="U1173" s="1" t="str">
        <f>IFERROR(__xludf.DUMMYFUNCTION("""COMPUTED_VALUE"""),"JB SALIOA")</f>
        <v>JB SALIOA</v>
      </c>
      <c r="V1173" s="1" t="str">
        <f>IFERROR(__xludf.DUMMYFUNCTION("""COMPUTED_VALUE"""),"BK HSTK")</f>
        <v>BK HSTK</v>
      </c>
      <c r="W1173" s="1" t="str">
        <f>IFERROR(__xludf.DUMMYFUNCTION("""COMPUTED_VALUE"""),"BK HSTK")</f>
        <v>BK HSTK</v>
      </c>
      <c r="X1173" s="1" t="str">
        <f>IFERROR(__xludf.DUMMYFUNCTION("""COMPUTED_VALUE"""),"REGULAR")</f>
        <v>REGULAR</v>
      </c>
      <c r="Y1173" s="1" t="str">
        <f>IFERROR(__xludf.DUMMYFUNCTION("""COMPUTED_VALUE"""),"BK_CVEU_261005")</f>
        <v>BK_CVEU_261005</v>
      </c>
      <c r="Z1173" s="1" t="str">
        <f>IFERROR(__xludf.DUMMYFUNCTION("""COMPUTED_VALUE"""),"NEW CONNECT")</f>
        <v>NEW CONNECT</v>
      </c>
      <c r="AA1173" s="1">
        <f>IFERROR(__xludf.DUMMYFUNCTION("""COMPUTED_VALUE"""),639614488071)</f>
        <v>639614488071</v>
      </c>
      <c r="AB1173" s="1"/>
      <c r="AC1173" s="1"/>
      <c r="AD1173" s="1" t="str">
        <f>IFERROR(__xludf.DUMMYFUNCTION("""COMPUTED_VALUE"""),"ASIS 3")</f>
        <v>ASIS 3</v>
      </c>
      <c r="AE1173" s="1" t="str">
        <f>IFERROR(__xludf.DUMMYFUNCTION("""COMPUTED_VALUE"""),"VILLA PATRICIA SUBD")</f>
        <v>VILLA PATRICIA SUBD</v>
      </c>
      <c r="AF1173" s="1" t="str">
        <f>IFERROR(__xludf.DUMMYFUNCTION("""COMPUTED_VALUE"""),"BGY ASIS 3")</f>
        <v>BGY ASIS 3</v>
      </c>
      <c r="AG1173" s="1" t="str">
        <f>IFERROR(__xludf.DUMMYFUNCTION("""COMPUTED_VALUE"""),"MENDEZ")</f>
        <v>MENDEZ</v>
      </c>
      <c r="AH1173" s="1" t="str">
        <f>IFERROR(__xludf.DUMMYFUNCTION("""COMPUTED_VALUE"""),"CHRISTIAN CHURCH")</f>
        <v>CHRISTIAN CHURCH</v>
      </c>
      <c r="AI1173" s="1" t="str">
        <f>IFERROR(__xludf.DUMMYFUNCTION("""COMPUTED_VALUE"""),"CLUSTER 12")</f>
        <v>CLUSTER 12</v>
      </c>
    </row>
    <row r="1174" customHeight="1" spans="1:35">
      <c r="A1174" s="3">
        <f>IFERROR(__xludf.DUMMYFUNCTION("""COMPUTED_VALUE"""),46316)</f>
        <v>46316</v>
      </c>
      <c r="B1174" s="1" t="str">
        <f>IFERROR(__xludf.DUMMYFUNCTION("""COMPUTED_VALUE"""),"ROBERTO CORNEJO RUBIO")</f>
        <v>ROBERTO CORNEJO RUBIO</v>
      </c>
      <c r="C1174" s="1">
        <f>IFERROR(__xludf.DUMMYFUNCTION("""COMPUTED_VALUE"""),2313293030)</f>
        <v>2313293030</v>
      </c>
      <c r="D1174" s="1"/>
      <c r="E1174" s="1"/>
      <c r="F1174" s="1" t="str">
        <f>IFERROR(__xludf.DUMMYFUNCTION("""COMPUTED_VALUE"""),"CANCELLED")</f>
        <v>CANCELLED</v>
      </c>
      <c r="G1174" s="1" t="str">
        <f>IFERROR(__xludf.DUMMYFUNCTION("""COMPUTED_VALUE"""),"CANCELLED")</f>
        <v>CANCELLED</v>
      </c>
      <c r="H1174" s="1"/>
      <c r="I1174" s="1"/>
      <c r="J1174" s="1"/>
      <c r="K1174" s="1"/>
      <c r="L1174" s="1" t="str">
        <f>IFERROR(__xludf.DUMMYFUNCTION("""COMPUTED_VALUE"""),"CANCELLED - WITH OB")</f>
        <v>CANCELLED - WITH OB</v>
      </c>
      <c r="M1174" s="1" t="str">
        <f>IFERROR(__xludf.DUMMYFUNCTION("""COMPUTED_VALUE"""),"CANCELLED - WITH OB")</f>
        <v>CANCELLED - WITH OB</v>
      </c>
      <c r="N1174" s="3"/>
      <c r="O1174" s="1" t="str">
        <f>IFERROR(__xludf.DUMMYFUNCTION("""COMPUTED_VALUE"""),"FIBR PLAN 1299")</f>
        <v>FIBR PLAN 1299</v>
      </c>
      <c r="P1174" s="1" t="str">
        <f>IFERROR(__xludf.DUMMYFUNCTION("""COMPUTED_VALUE"""),"LOWPLAN")</f>
        <v>LOWPLAN</v>
      </c>
      <c r="Q1174" s="1" t="str">
        <f>IFERROR(__xludf.DUMMYFUNCTION("""COMPUTED_VALUE"""),"P407566")</f>
        <v>P407566</v>
      </c>
      <c r="R1174" s="1" t="str">
        <f>IFERROR(__xludf.DUMMYFUNCTION("""COMPUTED_VALUE"""),"DENACO, RODNEY")</f>
        <v>DENACO, RODNEY</v>
      </c>
      <c r="S1174" s="1" t="str">
        <f>IFERROR(__xludf.DUMMYFUNCTION("""COMPUTED_VALUE"""),"ORGANIC")</f>
        <v>ORGANIC</v>
      </c>
      <c r="T1174" s="1" t="str">
        <f>IFERROR(__xludf.DUMMYFUNCTION("""COMPUTED_VALUE"""),"LEA REMOLLO")</f>
        <v>LEA REMOLLO</v>
      </c>
      <c r="U1174" s="1" t="str">
        <f>IFERROR(__xludf.DUMMYFUNCTION("""COMPUTED_VALUE"""),"JB SALIOA")</f>
        <v>JB SALIOA</v>
      </c>
      <c r="V1174" s="1" t="str">
        <f>IFERROR(__xludf.DUMMYFUNCTION("""COMPUTED_VALUE"""),"ONLINE/CRANFORD")</f>
        <v>ONLINE/CRANFORD</v>
      </c>
      <c r="W1174" s="1" t="str">
        <f>IFERROR(__xludf.DUMMYFUNCTION("""COMPUTED_VALUE"""),"STK REGULAR")</f>
        <v>STK REGULAR</v>
      </c>
      <c r="X1174" s="1" t="str">
        <f>IFERROR(__xludf.DUMMYFUNCTION("""COMPUTED_VALUE"""),"REGULAR")</f>
        <v>REGULAR</v>
      </c>
      <c r="Y1174" s="1" t="str">
        <f>IFERROR(__xludf.DUMMYFUNCTION("""COMPUTED_VALUE"""),"RS_SS_CVEU_2026")</f>
        <v>RS_SS_CVEU_2026</v>
      </c>
      <c r="Z1174" s="1" t="str">
        <f>IFERROR(__xludf.DUMMYFUNCTION("""COMPUTED_VALUE"""),"NEW CONNECT")</f>
        <v>NEW CONNECT</v>
      </c>
      <c r="AA1174" s="1">
        <f>IFERROR(__xludf.DUMMYFUNCTION("""COMPUTED_VALUE"""),639082291484)</f>
        <v>639082291484</v>
      </c>
      <c r="AB1174" s="1"/>
      <c r="AC1174" s="1"/>
      <c r="AD1174" s="1" t="str">
        <f>IFERROR(__xludf.DUMMYFUNCTION("""COMPUTED_VALUE"""),"CAMILLA")</f>
        <v>CAMILLA</v>
      </c>
      <c r="AE1174" s="1" t="str">
        <f>IFERROR(__xludf.DUMMYFUNCTION("""COMPUTED_VALUE"""),"SABELLA VILLAGE PH 3")</f>
        <v>SABELLA VILLAGE PH 3</v>
      </c>
      <c r="AF1174" s="1" t="str">
        <f>IFERROR(__xludf.DUMMYFUNCTION("""COMPUTED_VALUE"""),"BGY PANUNGYANAN")</f>
        <v>BGY PANUNGYANAN</v>
      </c>
      <c r="AG1174" s="1" t="str">
        <f>IFERROR(__xludf.DUMMYFUNCTION("""COMPUTED_VALUE"""),"GENERAL TRIAS")</f>
        <v>GENERAL TRIAS</v>
      </c>
      <c r="AH1174" s="1" t="str">
        <f>IFERROR(__xludf.DUMMYFUNCTION("""COMPUTED_VALUE"""),"KAWAYAN ECO FARM")</f>
        <v>KAWAYAN ECO FARM</v>
      </c>
      <c r="AI1174" s="1" t="str">
        <f>IFERROR(__xludf.DUMMYFUNCTION("""COMPUTED_VALUE"""),"NOT AOR")</f>
        <v>NOT AOR</v>
      </c>
    </row>
    <row r="1175" customHeight="1" spans="1:35">
      <c r="A1175" s="3">
        <f>IFERROR(__xludf.DUMMYFUNCTION("""COMPUTED_VALUE"""),46316)</f>
        <v>46316</v>
      </c>
      <c r="B1175" s="1" t="str">
        <f>IFERROR(__xludf.DUMMYFUNCTION("""COMPUTED_VALUE"""),"CHRISTIAN PLAZA ALBEUS")</f>
        <v>CHRISTIAN PLAZA ALBEUS</v>
      </c>
      <c r="C1175" s="1">
        <f>IFERROR(__xludf.DUMMYFUNCTION("""COMPUTED_VALUE"""),2313293297)</f>
        <v>2313293297</v>
      </c>
      <c r="D1175" s="1"/>
      <c r="E1175" s="1"/>
      <c r="F1175" s="1" t="str">
        <f>IFERROR(__xludf.DUMMYFUNCTION("""COMPUTED_VALUE"""),"CANCELLED")</f>
        <v>CANCELLED</v>
      </c>
      <c r="G1175" s="1" t="str">
        <f>IFERROR(__xludf.DUMMYFUNCTION("""COMPUTED_VALUE"""),"CANCELLED")</f>
        <v>CANCELLED</v>
      </c>
      <c r="H1175" s="1"/>
      <c r="I1175" s="1"/>
      <c r="J1175" s="1"/>
      <c r="K1175" s="1"/>
      <c r="L1175" s="1" t="str">
        <f>IFERROR(__xludf.DUMMYFUNCTION("""COMPUTED_VALUE"""),"CANCELLED - WITH OB")</f>
        <v>CANCELLED - WITH OB</v>
      </c>
      <c r="M1175" s="1" t="str">
        <f>IFERROR(__xludf.DUMMYFUNCTION("""COMPUTED_VALUE"""),"CANCELLED - WITH OB")</f>
        <v>CANCELLED - WITH OB</v>
      </c>
      <c r="N1175" s="3"/>
      <c r="O1175" s="1" t="str">
        <f>IFERROR(__xludf.DUMMYFUNCTION("""COMPUTED_VALUE"""),"FIBR PLAN 1299")</f>
        <v>FIBR PLAN 1299</v>
      </c>
      <c r="P1175" s="1" t="str">
        <f>IFERROR(__xludf.DUMMYFUNCTION("""COMPUTED_VALUE"""),"LOWPLAN")</f>
        <v>LOWPLAN</v>
      </c>
      <c r="Q1175" s="1" t="str">
        <f>IFERROR(__xludf.DUMMYFUNCTION("""COMPUTED_VALUE"""),"P407566")</f>
        <v>P407566</v>
      </c>
      <c r="R1175" s="1" t="str">
        <f>IFERROR(__xludf.DUMMYFUNCTION("""COMPUTED_VALUE"""),"DENACO, RODNEY")</f>
        <v>DENACO, RODNEY</v>
      </c>
      <c r="S1175" s="1" t="str">
        <f>IFERROR(__xludf.DUMMYFUNCTION("""COMPUTED_VALUE"""),"ORGANIC")</f>
        <v>ORGANIC</v>
      </c>
      <c r="T1175" s="1" t="str">
        <f>IFERROR(__xludf.DUMMYFUNCTION("""COMPUTED_VALUE"""),"LEA REMOLLO")</f>
        <v>LEA REMOLLO</v>
      </c>
      <c r="U1175" s="1" t="str">
        <f>IFERROR(__xludf.DUMMYFUNCTION("""COMPUTED_VALUE"""),"JB SALIOA")</f>
        <v>JB SALIOA</v>
      </c>
      <c r="V1175" s="1" t="str">
        <f>IFERROR(__xludf.DUMMYFUNCTION("""COMPUTED_VALUE"""),"BK REGULAR")</f>
        <v>BK REGULAR</v>
      </c>
      <c r="W1175" s="1" t="str">
        <f>IFERROR(__xludf.DUMMYFUNCTION("""COMPUTED_VALUE"""),"STK REGULAR")</f>
        <v>STK REGULAR</v>
      </c>
      <c r="X1175" s="1" t="str">
        <f>IFERROR(__xludf.DUMMYFUNCTION("""COMPUTED_VALUE"""),"REGULAR")</f>
        <v>REGULAR</v>
      </c>
      <c r="Y1175" s="1" t="str">
        <f>IFERROR(__xludf.DUMMYFUNCTION("""COMPUTED_VALUE"""),"BK_CVEU_261006")</f>
        <v>BK_CVEU_261006</v>
      </c>
      <c r="Z1175" s="1" t="str">
        <f>IFERROR(__xludf.DUMMYFUNCTION("""COMPUTED_VALUE"""),"NEW CONNECT")</f>
        <v>NEW CONNECT</v>
      </c>
      <c r="AA1175" s="1">
        <f>IFERROR(__xludf.DUMMYFUNCTION("""COMPUTED_VALUE"""),639107782981)</f>
        <v>639107782981</v>
      </c>
      <c r="AB1175" s="1"/>
      <c r="AC1175" s="1"/>
      <c r="AD1175" s="1" t="str">
        <f>IFERROR(__xludf.DUMMYFUNCTION("""COMPUTED_VALUE"""),"AMBID")</f>
        <v>AMBID</v>
      </c>
      <c r="AE1175" s="1" t="str">
        <f>IFERROR(__xludf.DUMMYFUNCTION("""COMPUTED_VALUE"""),"PUROK 5")</f>
        <v>PUROK 5</v>
      </c>
      <c r="AF1175" s="1" t="str">
        <f>IFERROR(__xludf.DUMMYFUNCTION("""COMPUTED_VALUE"""),"BGY BILUSO")</f>
        <v>BGY BILUSO</v>
      </c>
      <c r="AG1175" s="1" t="str">
        <f>IFERROR(__xludf.DUMMYFUNCTION("""COMPUTED_VALUE"""),"SILANG")</f>
        <v>SILANG</v>
      </c>
      <c r="AH1175" s="1" t="str">
        <f>IFERROR(__xludf.DUMMYFUNCTION("""COMPUTED_VALUE"""),"BRGY HALL")</f>
        <v>BRGY HALL</v>
      </c>
      <c r="AI1175" s="1" t="str">
        <f>IFERROR(__xludf.DUMMYFUNCTION("""COMPUTED_VALUE"""),"CLUSTER 11")</f>
        <v>CLUSTER 11</v>
      </c>
    </row>
    <row r="1176" customHeight="1" spans="1:35">
      <c r="A1176" s="3">
        <f>IFERROR(__xludf.DUMMYFUNCTION("""COMPUTED_VALUE"""),46317)</f>
        <v>46317</v>
      </c>
      <c r="B1176" s="1" t="str">
        <f>IFERROR(__xludf.DUMMYFUNCTION("""COMPUTED_VALUE"""),"ANDREA AMOR AQUINO VILLANUEVA")</f>
        <v>ANDREA AMOR AQUINO VILLANUEVA</v>
      </c>
      <c r="C1176" s="1">
        <f>IFERROR(__xludf.DUMMYFUNCTION("""COMPUTED_VALUE"""),2313311714)</f>
        <v>2313311714</v>
      </c>
      <c r="D1176" s="1">
        <f>IFERROR(__xludf.DUMMYFUNCTION("""COMPUTED_VALUE"""),409244912)</f>
        <v>409244912</v>
      </c>
      <c r="E1176" s="1">
        <f>IFERROR(__xludf.DUMMYFUNCTION("""COMPUTED_VALUE"""),476703525004)</f>
        <v>476703525004</v>
      </c>
      <c r="F1176" s="1" t="str">
        <f>IFERROR(__xludf.DUMMYFUNCTION("""COMPUTED_VALUE"""),"CLOSED")</f>
        <v>CLOSED</v>
      </c>
      <c r="G1176" s="1" t="str">
        <f>IFERROR(__xludf.DUMMYFUNCTION("""COMPUTED_VALUE"""),"CLOSED")</f>
        <v>CLOSED</v>
      </c>
      <c r="H1176" s="1"/>
      <c r="I1176" s="1" t="str">
        <f>IFERROR(__xludf.DUMMYFUNCTION("""COMPUTED_VALUE"""),"NO 1 AMSF")</f>
        <v>NO 1 AMSF</v>
      </c>
      <c r="J1176" s="1"/>
      <c r="K1176" s="1"/>
      <c r="L1176" s="1" t="str">
        <f>IFERROR(__xludf.DUMMYFUNCTION("""COMPUTED_VALUE"""),"POSTED")</f>
        <v>POSTED</v>
      </c>
      <c r="M1176" s="1" t="str">
        <f>IFERROR(__xludf.DUMMYFUNCTION("""COMPUTED_VALUE"""),"POSTED")</f>
        <v>POSTED</v>
      </c>
      <c r="N1176" s="3">
        <f>IFERROR(__xludf.DUMMYFUNCTION("""COMPUTED_VALUE"""),46319)</f>
        <v>46319</v>
      </c>
      <c r="O1176" s="1" t="str">
        <f>IFERROR(__xludf.DUMMYFUNCTION("""COMPUTED_VALUE"""),"FIBR PLAN 1699")</f>
        <v>FIBR PLAN 1699</v>
      </c>
      <c r="P1176" s="1" t="str">
        <f>IFERROR(__xludf.DUMMYFUNCTION("""COMPUTED_VALUE"""),"LOWPLAN")</f>
        <v>LOWPLAN</v>
      </c>
      <c r="Q1176" s="1" t="str">
        <f>IFERROR(__xludf.DUMMYFUNCTION("""COMPUTED_VALUE"""),"P407518")</f>
        <v>P407518</v>
      </c>
      <c r="R1176" s="1" t="str">
        <f>IFERROR(__xludf.DUMMYFUNCTION("""COMPUTED_VALUE"""),"CARPIO, STEPHANIE")</f>
        <v>CARPIO, STEPHANIE</v>
      </c>
      <c r="S1176" s="1" t="str">
        <f>IFERROR(__xludf.DUMMYFUNCTION("""COMPUTED_VALUE"""),"FLA")</f>
        <v>FLA</v>
      </c>
      <c r="T1176" s="1" t="str">
        <f>IFERROR(__xludf.DUMMYFUNCTION("""COMPUTED_VALUE"""),"JERIC NAVARRO")</f>
        <v>JERIC NAVARRO</v>
      </c>
      <c r="U1176" s="1" t="str">
        <f>IFERROR(__xludf.DUMMYFUNCTION("""COMPUTED_VALUE"""),"JULIE ESPIRITU")</f>
        <v>JULIE ESPIRITU</v>
      </c>
      <c r="V1176" s="1" t="str">
        <f>IFERROR(__xludf.DUMMYFUNCTION("""COMPUTED_VALUE"""),"H2H")</f>
        <v>H2H</v>
      </c>
      <c r="W1176" s="1" t="str">
        <f>IFERROR(__xludf.DUMMYFUNCTION("""COMPUTED_VALUE"""),"STK REGULAR")</f>
        <v>STK REGULAR</v>
      </c>
      <c r="X1176" s="1" t="str">
        <f>IFERROR(__xludf.DUMMYFUNCTION("""COMPUTED_VALUE"""),"REGULAR")</f>
        <v>REGULAR</v>
      </c>
      <c r="Y1176" s="1" t="str">
        <f>IFERROR(__xludf.DUMMYFUNCTION("""COMPUTED_VALUE"""),"RS_SS_CVEU_2026")</f>
        <v>RS_SS_CVEU_2026</v>
      </c>
      <c r="Z1176" s="1" t="str">
        <f>IFERROR(__xludf.DUMMYFUNCTION("""COMPUTED_VALUE"""),"NEW CONNECT")</f>
        <v>NEW CONNECT</v>
      </c>
      <c r="AA1176" s="1">
        <f>IFERROR(__xludf.DUMMYFUNCTION("""COMPUTED_VALUE"""),639659887458)</f>
        <v>639659887458</v>
      </c>
      <c r="AB1176" s="1"/>
      <c r="AC1176" s="1">
        <f>IFERROR(__xludf.DUMMYFUNCTION("""COMPUTED_VALUE"""),586)</f>
        <v>586</v>
      </c>
      <c r="AD1176" s="1" t="str">
        <f>IFERROR(__xludf.DUMMYFUNCTION("""COMPUTED_VALUE"""),"ILANO")</f>
        <v>ILANO</v>
      </c>
      <c r="AE1176" s="1"/>
      <c r="AF1176" s="1" t="str">
        <f>IFERROR(__xludf.DUMMYFUNCTION("""COMPUTED_VALUE"""),"BGY MANGGAHAN")</f>
        <v>BGY MANGGAHAN</v>
      </c>
      <c r="AG1176" s="1" t="str">
        <f>IFERROR(__xludf.DUMMYFUNCTION("""COMPUTED_VALUE"""),"KAWIT")</f>
        <v>KAWIT</v>
      </c>
      <c r="AH1176" s="1"/>
      <c r="AI1176" s="1" t="str">
        <f>IFERROR(__xludf.DUMMYFUNCTION("""COMPUTED_VALUE"""),"NOT AOR")</f>
        <v>NOT AOR</v>
      </c>
    </row>
    <row r="1177" customHeight="1" spans="1:35">
      <c r="A1177" s="3">
        <f>IFERROR(__xludf.DUMMYFUNCTION("""COMPUTED_VALUE"""),46317)</f>
        <v>46317</v>
      </c>
      <c r="B1177" s="1" t="str">
        <f>IFERROR(__xludf.DUMMYFUNCTION("""COMPUTED_VALUE"""),"RIVA DESEO PASTRANA")</f>
        <v>RIVA DESEO PASTRANA</v>
      </c>
      <c r="C1177" s="1">
        <f>IFERROR(__xludf.DUMMYFUNCTION("""COMPUTED_VALUE"""),2313312227)</f>
        <v>2313312227</v>
      </c>
      <c r="D1177" s="1"/>
      <c r="E1177" s="1"/>
      <c r="F1177" s="1" t="str">
        <f>IFERROR(__xludf.DUMMYFUNCTION("""COMPUTED_VALUE"""),"CANCELLED")</f>
        <v>CANCELLED</v>
      </c>
      <c r="G1177" s="1" t="str">
        <f>IFERROR(__xludf.DUMMYFUNCTION("""COMPUTED_VALUE"""),"(WITH BLACKLIST HIT FOR COMPLIANCE) RTS | CANCELLED APP# 0333504197 0275845957 DIFF ADD | FOUND MULTIPLE ACTIVE ACC# 0406789640 0396155303 0356747089 0277801582 0275414247 CLV_07 SAME NAME | DIFF ADD | ALSO Found blacklisted acct no (0370331707) – SAME NA"&amp;"ME, SAME DOB, DIFF ADDRESS with OB amounting to (Php5,201.57) for settlement | Done Validation with submitted complete docs| correct encoded info in CSP | waived 1 AMSF requirements (DD - 12 (LOW RISK)")</f>
        <v>(WITH BLACKLIST HIT FOR COMPLIANCE) RTS | CANCELLED APP# 0333504197 0275845957 DIFF ADD | FOUND MULTIPLE ACTIVE ACC# 0406789640 0396155303 0356747089 0277801582 0275414247 CLV_07 SAME NAME | DIFF ADD | ALSO Found blacklisted acct no (0370331707) – SAME NAME, SAME DOB, DIFF ADDRESS with OB amounting to (Php5,201.57) for settlement | Done Validation with submitted complete docs| correct encoded info in CSP | waived 1 AMSF requirements (DD - 12 (LOW RISK)</v>
      </c>
      <c r="H1177" s="1"/>
      <c r="I1177" s="1"/>
      <c r="J1177" s="1"/>
      <c r="K1177" s="1"/>
      <c r="L1177" s="1" t="str">
        <f>IFERROR(__xludf.DUMMYFUNCTION("""COMPUTED_VALUE"""),"CANCELLED - WITH OB")</f>
        <v>CANCELLED - WITH OB</v>
      </c>
      <c r="M1177" s="1" t="str">
        <f>IFERROR(__xludf.DUMMYFUNCTION("""COMPUTED_VALUE"""),"CANCELLED - WITH OB")</f>
        <v>CANCELLED - WITH OB</v>
      </c>
      <c r="N1177" s="3"/>
      <c r="O1177" s="1" t="str">
        <f>IFERROR(__xludf.DUMMYFUNCTION("""COMPUTED_VALUE"""),"FIBR NETFLIX PLAN 1599")</f>
        <v>FIBR NETFLIX PLAN 1599</v>
      </c>
      <c r="P1177" s="1" t="str">
        <f>IFERROR(__xludf.DUMMYFUNCTION("""COMPUTED_VALUE"""),"LOWPLAN")</f>
        <v>LOWPLAN</v>
      </c>
      <c r="Q1177" s="1" t="str">
        <f>IFERROR(__xludf.DUMMYFUNCTION("""COMPUTED_VALUE"""),"P407045")</f>
        <v>P407045</v>
      </c>
      <c r="R1177" s="1" t="str">
        <f>IFERROR(__xludf.DUMMYFUNCTION("""COMPUTED_VALUE"""),"REMOLLO, LEA")</f>
        <v>REMOLLO, LEA</v>
      </c>
      <c r="S1177" s="1" t="str">
        <f>IFERROR(__xludf.DUMMYFUNCTION("""COMPUTED_VALUE"""),"FLA")</f>
        <v>FLA</v>
      </c>
      <c r="T1177" s="1" t="str">
        <f>IFERROR(__xludf.DUMMYFUNCTION("""COMPUTED_VALUE"""),"JERIC NAVARRO")</f>
        <v>JERIC NAVARRO</v>
      </c>
      <c r="U1177" s="1" t="str">
        <f>IFERROR(__xludf.DUMMYFUNCTION("""COMPUTED_VALUE"""),"JULIE ESPIRITU")</f>
        <v>JULIE ESPIRITU</v>
      </c>
      <c r="V1177" s="1" t="str">
        <f>IFERROR(__xludf.DUMMYFUNCTION("""COMPUTED_VALUE"""),"BK HSTK")</f>
        <v>BK HSTK</v>
      </c>
      <c r="W1177" s="1" t="str">
        <f>IFERROR(__xludf.DUMMYFUNCTION("""COMPUTED_VALUE"""),"BK HSTK")</f>
        <v>BK HSTK</v>
      </c>
      <c r="X1177" s="1" t="str">
        <f>IFERROR(__xludf.DUMMYFUNCTION("""COMPUTED_VALUE"""),"REGULAR")</f>
        <v>REGULAR</v>
      </c>
      <c r="Y1177" s="1" t="str">
        <f>IFERROR(__xludf.DUMMYFUNCTION("""COMPUTED_VALUE"""),"BK_CVEU_261007")</f>
        <v>BK_CVEU_261007</v>
      </c>
      <c r="Z1177" s="1" t="str">
        <f>IFERROR(__xludf.DUMMYFUNCTION("""COMPUTED_VALUE"""),"NEW CONNECT")</f>
        <v>NEW CONNECT</v>
      </c>
      <c r="AA1177" s="1">
        <f>IFERROR(__xludf.DUMMYFUNCTION("""COMPUTED_VALUE"""),639101054485)</f>
        <v>639101054485</v>
      </c>
      <c r="AB1177" s="1"/>
      <c r="AC1177" s="1">
        <f>IFERROR(__xludf.DUMMYFUNCTION("""COMPUTED_VALUE"""),2077)</f>
        <v>2077</v>
      </c>
      <c r="AD1177" s="1" t="str">
        <f>IFERROR(__xludf.DUMMYFUNCTION("""COMPUTED_VALUE"""),"PUROK 98")</f>
        <v>PUROK 98</v>
      </c>
      <c r="AE1177" s="1" t="str">
        <f>IFERROR(__xludf.DUMMYFUNCTION("""COMPUTED_VALUE"""),"ELEVE HOMES")</f>
        <v>ELEVE HOMES</v>
      </c>
      <c r="AF1177" s="1" t="str">
        <f>IFERROR(__xludf.DUMMYFUNCTION("""COMPUTED_VALUE"""),"BGY MAHARLIKA WEST")</f>
        <v>BGY MAHARLIKA WEST</v>
      </c>
      <c r="AG1177" s="1" t="str">
        <f>IFERROR(__xludf.DUMMYFUNCTION("""COMPUTED_VALUE"""),"TAGAYTAY")</f>
        <v>TAGAYTAY</v>
      </c>
      <c r="AH1177" s="1"/>
      <c r="AI1177" s="1" t="str">
        <f>IFERROR(__xludf.DUMMYFUNCTION("""COMPUTED_VALUE"""),"CLUSTER 12")</f>
        <v>CLUSTER 12</v>
      </c>
    </row>
    <row r="1178" customHeight="1" spans="1:35">
      <c r="A1178" s="3">
        <f>IFERROR(__xludf.DUMMYFUNCTION("""COMPUTED_VALUE"""),46317)</f>
        <v>46317</v>
      </c>
      <c r="B1178" s="1" t="str">
        <f>IFERROR(__xludf.DUMMYFUNCTION("""COMPUTED_VALUE"""),"JOEMARE ABANTE DERAY")</f>
        <v>JOEMARE ABANTE DERAY</v>
      </c>
      <c r="C1178" s="1">
        <f>IFERROR(__xludf.DUMMYFUNCTION("""COMPUTED_VALUE"""),2313312656)</f>
        <v>2313312656</v>
      </c>
      <c r="D1178" s="1">
        <f>IFERROR(__xludf.DUMMYFUNCTION("""COMPUTED_VALUE"""),409230881)</f>
        <v>409230881</v>
      </c>
      <c r="E1178" s="1">
        <f>IFERROR(__xludf.DUMMYFUNCTION("""COMPUTED_VALUE"""),476661749004)</f>
        <v>476661749004</v>
      </c>
      <c r="F1178" s="1" t="str">
        <f>IFERROR(__xludf.DUMMYFUNCTION("""COMPUTED_VALUE"""),"CLOSED")</f>
        <v>CLOSED</v>
      </c>
      <c r="G1178" s="1" t="str">
        <f>IFERROR(__xludf.DUMMYFUNCTION("""COMPUTED_VALUE"""),"CLOSED")</f>
        <v>CLOSED</v>
      </c>
      <c r="H1178" s="1" t="str">
        <f>IFERROR(__xludf.DUMMYFUNCTION("""COMPUTED_VALUE"""),"PAID THRU BPI R1792843883125343596 OCT 24")</f>
        <v>PAID THRU BPI R1792843883125343596 OCT 24</v>
      </c>
      <c r="I1178" s="1" t="str">
        <f>IFERROR(__xludf.DUMMYFUNCTION("""COMPUTED_VALUE"""),"WITH 1 AMSF")</f>
        <v>WITH 1 AMSF</v>
      </c>
      <c r="J1178" s="1"/>
      <c r="K1178" s="1"/>
      <c r="L1178" s="1" t="str">
        <f>IFERROR(__xludf.DUMMYFUNCTION("""COMPUTED_VALUE"""),"POSTED")</f>
        <v>POSTED</v>
      </c>
      <c r="M1178" s="1" t="str">
        <f>IFERROR(__xludf.DUMMYFUNCTION("""COMPUTED_VALUE"""),"POSTED")</f>
        <v>POSTED</v>
      </c>
      <c r="N1178" s="3">
        <f>IFERROR(__xludf.DUMMYFUNCTION("""COMPUTED_VALUE"""),46318)</f>
        <v>46318</v>
      </c>
      <c r="O1178" s="1" t="str">
        <f>IFERROR(__xludf.DUMMYFUNCTION("""COMPUTED_VALUE"""),"FIBER UNLI PLAN 1399")</f>
        <v>FIBER UNLI PLAN 1399</v>
      </c>
      <c r="P1178" s="1" t="str">
        <f>IFERROR(__xludf.DUMMYFUNCTION("""COMPUTED_VALUE"""),"LOWPLAN")</f>
        <v>LOWPLAN</v>
      </c>
      <c r="Q1178" s="1" t="str">
        <f>IFERROR(__xludf.DUMMYFUNCTION("""COMPUTED_VALUE"""),"P407520")</f>
        <v>P407520</v>
      </c>
      <c r="R1178" s="1" t="str">
        <f>IFERROR(__xludf.DUMMYFUNCTION("""COMPUTED_VALUE"""),"MALIWAT, MARK")</f>
        <v>MALIWAT, MARK</v>
      </c>
      <c r="S1178" s="1" t="str">
        <f>IFERROR(__xludf.DUMMYFUNCTION("""COMPUTED_VALUE"""),"FLA")</f>
        <v>FLA</v>
      </c>
      <c r="T1178" s="1" t="str">
        <f>IFERROR(__xludf.DUMMYFUNCTION("""COMPUTED_VALUE"""),"JERIC NAVARRO")</f>
        <v>JERIC NAVARRO</v>
      </c>
      <c r="U1178" s="1" t="str">
        <f>IFERROR(__xludf.DUMMYFUNCTION("""COMPUTED_VALUE"""),"JULIE ESPIRITU")</f>
        <v>JULIE ESPIRITU</v>
      </c>
      <c r="V1178" s="1" t="str">
        <f>IFERROR(__xludf.DUMMYFUNCTION("""COMPUTED_VALUE"""),"BK HSTK")</f>
        <v>BK HSTK</v>
      </c>
      <c r="W1178" s="1" t="str">
        <f>IFERROR(__xludf.DUMMYFUNCTION("""COMPUTED_VALUE"""),"BK HSTK")</f>
        <v>BK HSTK</v>
      </c>
      <c r="X1178" s="1" t="str">
        <f>IFERROR(__xludf.DUMMYFUNCTION("""COMPUTED_VALUE"""),"FIBER 1399 98TH YR")</f>
        <v>FIBER 1399 98TH YR</v>
      </c>
      <c r="Y1178" s="1" t="str">
        <f>IFERROR(__xludf.DUMMYFUNCTION("""COMPUTED_VALUE"""),"BK_CVEU_261005")</f>
        <v>BK_CVEU_261005</v>
      </c>
      <c r="Z1178" s="1" t="str">
        <f>IFERROR(__xludf.DUMMYFUNCTION("""COMPUTED_VALUE"""),"NEW CONNECT")</f>
        <v>NEW CONNECT</v>
      </c>
      <c r="AA1178" s="1">
        <f>IFERROR(__xludf.DUMMYFUNCTION("""COMPUTED_VALUE"""),639971081901)</f>
        <v>639971081901</v>
      </c>
      <c r="AB1178" s="1">
        <f>IFERROR(__xludf.DUMMYFUNCTION("""COMPUTED_VALUE"""),639516099333)</f>
        <v>639516099333</v>
      </c>
      <c r="AC1178" s="1">
        <f>IFERROR(__xludf.DUMMYFUNCTION("""COMPUTED_VALUE"""),1)</f>
        <v>1</v>
      </c>
      <c r="AD1178" s="1" t="str">
        <f>IFERROR(__xludf.DUMMYFUNCTION("""COMPUTED_VALUE"""),"BAGONG TUBIG")</f>
        <v>BAGONG TUBIG</v>
      </c>
      <c r="AE1178" s="1"/>
      <c r="AF1178" s="1" t="str">
        <f>IFERROR(__xludf.DUMMYFUNCTION("""COMPUTED_VALUE"""),"BGY GALICIA 1")</f>
        <v>BGY GALICIA 1</v>
      </c>
      <c r="AG1178" s="1" t="str">
        <f>IFERROR(__xludf.DUMMYFUNCTION("""COMPUTED_VALUE"""),"MENDEZ")</f>
        <v>MENDEZ</v>
      </c>
      <c r="AH1178" s="1"/>
      <c r="AI1178" s="1" t="str">
        <f>IFERROR(__xludf.DUMMYFUNCTION("""COMPUTED_VALUE"""),"CLUSTER 12")</f>
        <v>CLUSTER 12</v>
      </c>
    </row>
    <row r="1179" customHeight="1" spans="1:35">
      <c r="A1179" s="3">
        <f>IFERROR(__xludf.DUMMYFUNCTION("""COMPUTED_VALUE"""),46317)</f>
        <v>46317</v>
      </c>
      <c r="B1179" s="1" t="str">
        <f>IFERROR(__xludf.DUMMYFUNCTION("""COMPUTED_VALUE"""),"MYLENE QUINDARA QUINES")</f>
        <v>MYLENE QUINDARA QUINES</v>
      </c>
      <c r="C1179" s="1">
        <f>IFERROR(__xludf.DUMMYFUNCTION("""COMPUTED_VALUE"""),2313313024)</f>
        <v>2313313024</v>
      </c>
      <c r="D1179" s="1">
        <f>IFERROR(__xludf.DUMMYFUNCTION("""COMPUTED_VALUE"""),409231063)</f>
        <v>409231063</v>
      </c>
      <c r="E1179" s="1">
        <f>IFERROR(__xludf.DUMMYFUNCTION("""COMPUTED_VALUE"""),476661807004)</f>
        <v>476661807004</v>
      </c>
      <c r="F1179" s="1" t="str">
        <f>IFERROR(__xludf.DUMMYFUNCTION("""COMPUTED_VALUE"""),"CLOSED")</f>
        <v>CLOSED</v>
      </c>
      <c r="G1179" s="1" t="str">
        <f>IFERROR(__xludf.DUMMYFUNCTION("""COMPUTED_VALUE"""),"CLOSED")</f>
        <v>CLOSED</v>
      </c>
      <c r="H1179" s="1" t="str">
        <f>IFERROR(__xludf.DUMMYFUNCTION("""COMPUTED_VALUE"""),"PAID VIA GCASH - OCT 24 - REF - 412055419")</f>
        <v>PAID VIA GCASH - OCT 24 - REF - 412055419</v>
      </c>
      <c r="I1179" s="1" t="str">
        <f>IFERROR(__xludf.DUMMYFUNCTION("""COMPUTED_VALUE"""),"WITH 1 AMSF")</f>
        <v>WITH 1 AMSF</v>
      </c>
      <c r="J1179" s="1"/>
      <c r="K1179" s="1"/>
      <c r="L1179" s="1" t="str">
        <f>IFERROR(__xludf.DUMMYFUNCTION("""COMPUTED_VALUE"""),"POSTED")</f>
        <v>POSTED</v>
      </c>
      <c r="M1179" s="1" t="str">
        <f>IFERROR(__xludf.DUMMYFUNCTION("""COMPUTED_VALUE"""),"POSTED")</f>
        <v>POSTED</v>
      </c>
      <c r="N1179" s="3">
        <f>IFERROR(__xludf.DUMMYFUNCTION("""COMPUTED_VALUE"""),46319)</f>
        <v>46319</v>
      </c>
      <c r="O1179" s="1" t="str">
        <f>IFERROR(__xludf.DUMMYFUNCTION("""COMPUTED_VALUE"""),"FIBER UNLI PLAN 1399")</f>
        <v>FIBER UNLI PLAN 1399</v>
      </c>
      <c r="P1179" s="1" t="str">
        <f>IFERROR(__xludf.DUMMYFUNCTION("""COMPUTED_VALUE"""),"LOWPLAN")</f>
        <v>LOWPLAN</v>
      </c>
      <c r="Q1179" s="1" t="str">
        <f>IFERROR(__xludf.DUMMYFUNCTION("""COMPUTED_VALUE"""),"P407517")</f>
        <v>P407517</v>
      </c>
      <c r="R1179" s="1" t="str">
        <f>IFERROR(__xludf.DUMMYFUNCTION("""COMPUTED_VALUE"""),"GABAY, MANUEL")</f>
        <v>GABAY, MANUEL</v>
      </c>
      <c r="S1179" s="1" t="str">
        <f>IFERROR(__xludf.DUMMYFUNCTION("""COMPUTED_VALUE"""),"FLA")</f>
        <v>FLA</v>
      </c>
      <c r="T1179" s="1" t="str">
        <f>IFERROR(__xludf.DUMMYFUNCTION("""COMPUTED_VALUE"""),"JERIC NAVARRO")</f>
        <v>JERIC NAVARRO</v>
      </c>
      <c r="U1179" s="1" t="str">
        <f>IFERROR(__xludf.DUMMYFUNCTION("""COMPUTED_VALUE"""),"JULIE ESPIRITU")</f>
        <v>JULIE ESPIRITU</v>
      </c>
      <c r="V1179" s="1" t="str">
        <f>IFERROR(__xludf.DUMMYFUNCTION("""COMPUTED_VALUE"""),"BK HSTK")</f>
        <v>BK HSTK</v>
      </c>
      <c r="W1179" s="1" t="str">
        <f>IFERROR(__xludf.DUMMYFUNCTION("""COMPUTED_VALUE"""),"BK HSTK")</f>
        <v>BK HSTK</v>
      </c>
      <c r="X1179" s="1" t="str">
        <f>IFERROR(__xludf.DUMMYFUNCTION("""COMPUTED_VALUE"""),"FIBER 1399 98TH YR")</f>
        <v>FIBER 1399 98TH YR</v>
      </c>
      <c r="Y1179" s="1" t="str">
        <f>IFERROR(__xludf.DUMMYFUNCTION("""COMPUTED_VALUE"""),"BK_CVEU_261001")</f>
        <v>BK_CVEU_261001</v>
      </c>
      <c r="Z1179" s="1" t="str">
        <f>IFERROR(__xludf.DUMMYFUNCTION("""COMPUTED_VALUE"""),"NEW CONNECT")</f>
        <v>NEW CONNECT</v>
      </c>
      <c r="AA1179" s="1">
        <f>IFERROR(__xludf.DUMMYFUNCTION("""COMPUTED_VALUE"""),639530566428)</f>
        <v>639530566428</v>
      </c>
      <c r="AB1179" s="1">
        <f>IFERROR(__xludf.DUMMYFUNCTION("""COMPUTED_VALUE"""),639752788089)</f>
        <v>639752788089</v>
      </c>
      <c r="AC1179" s="1">
        <f>IFERROR(__xludf.DUMMYFUNCTION("""COMPUTED_VALUE"""),346)</f>
        <v>346</v>
      </c>
      <c r="AD1179" s="1" t="str">
        <f>IFERROR(__xludf.DUMMYFUNCTION("""COMPUTED_VALUE"""),"PIER")</f>
        <v>PIER</v>
      </c>
      <c r="AE1179" s="1"/>
      <c r="AF1179" s="1" t="str">
        <f>IFERROR(__xludf.DUMMYFUNCTION("""COMPUTED_VALUE"""),"BGY MARAHAN 1")</f>
        <v>BGY MARAHAN 1</v>
      </c>
      <c r="AG1179" s="1" t="str">
        <f>IFERROR(__xludf.DUMMYFUNCTION("""COMPUTED_VALUE"""),"ALFONSO")</f>
        <v>ALFONSO</v>
      </c>
      <c r="AH1179" s="1"/>
      <c r="AI1179" s="1" t="str">
        <f>IFERROR(__xludf.DUMMYFUNCTION("""COMPUTED_VALUE"""),"CLUSTER 12")</f>
        <v>CLUSTER 12</v>
      </c>
    </row>
    <row r="1180" customHeight="1" spans="1:35">
      <c r="A1180" s="3">
        <f>IFERROR(__xludf.DUMMYFUNCTION("""COMPUTED_VALUE"""),46317)</f>
        <v>46317</v>
      </c>
      <c r="B1180" s="1" t="str">
        <f>IFERROR(__xludf.DUMMYFUNCTION("""COMPUTED_VALUE"""),"JAIME DOLOR POBLETE")</f>
        <v>JAIME DOLOR POBLETE</v>
      </c>
      <c r="C1180" s="1">
        <f>IFERROR(__xludf.DUMMYFUNCTION("""COMPUTED_VALUE"""),2313158356)</f>
        <v>2313158356</v>
      </c>
      <c r="D1180" s="1"/>
      <c r="E1180" s="1"/>
      <c r="F1180" s="1" t="str">
        <f>IFERROR(__xludf.DUMMYFUNCTION("""COMPUTED_VALUE"""),"CANCELLED")</f>
        <v>CANCELLED</v>
      </c>
      <c r="G1180" s="1" t="str">
        <f>IFERROR(__xludf.DUMMYFUNCTION("""COMPUTED_VALUE"""),"CANCELLED")</f>
        <v>CANCELLED</v>
      </c>
      <c r="H1180" s="1"/>
      <c r="I1180" s="1"/>
      <c r="J1180" s="1"/>
      <c r="K1180" s="1"/>
      <c r="L1180" s="1" t="str">
        <f>IFERROR(__xludf.DUMMYFUNCTION("""COMPUTED_VALUE"""),"CANCELLED")</f>
        <v>CANCELLED</v>
      </c>
      <c r="M1180" s="1" t="str">
        <f>IFERROR(__xludf.DUMMYFUNCTION("""COMPUTED_VALUE"""),"CANCELLED - WITH OB")</f>
        <v>CANCELLED - WITH OB</v>
      </c>
      <c r="N1180" s="3"/>
      <c r="O1180" s="1" t="str">
        <f>IFERROR(__xludf.DUMMYFUNCTION("""COMPUTED_VALUE"""),"FIBR PLAN 1299")</f>
        <v>FIBR PLAN 1299</v>
      </c>
      <c r="P1180" s="1" t="str">
        <f>IFERROR(__xludf.DUMMYFUNCTION("""COMPUTED_VALUE"""),"LOWPLAN")</f>
        <v>LOWPLAN</v>
      </c>
      <c r="Q1180" s="1" t="str">
        <f>IFERROR(__xludf.DUMMYFUNCTION("""COMPUTED_VALUE"""),"P407569 ")</f>
        <v>P407569 </v>
      </c>
      <c r="R1180" s="1" t="str">
        <f>IFERROR(__xludf.DUMMYFUNCTION("""COMPUTED_VALUE"""),"ESPINOS, GEMMA LS")</f>
        <v>ESPINOS, GEMMA LS</v>
      </c>
      <c r="S1180" s="1" t="str">
        <f>IFERROR(__xludf.DUMMYFUNCTION("""COMPUTED_VALUE"""),"ORGANIC")</f>
        <v>ORGANIC</v>
      </c>
      <c r="T1180" s="1" t="str">
        <f>IFERROR(__xludf.DUMMYFUNCTION("""COMPUTED_VALUE"""),"JERIC NAVARRO")</f>
        <v>JERIC NAVARRO</v>
      </c>
      <c r="U1180" s="1" t="str">
        <f>IFERROR(__xludf.DUMMYFUNCTION("""COMPUTED_VALUE"""),"MARK MALIWAT")</f>
        <v>MARK MALIWAT</v>
      </c>
      <c r="V1180" s="1" t="str">
        <f>IFERROR(__xludf.DUMMYFUNCTION("""COMPUTED_VALUE"""),"BK REGULAR")</f>
        <v>BK REGULAR</v>
      </c>
      <c r="W1180" s="1" t="str">
        <f>IFERROR(__xludf.DUMMYFUNCTION("""COMPUTED_VALUE"""),"STK REGULAR")</f>
        <v>STK REGULAR</v>
      </c>
      <c r="X1180" s="1" t="str">
        <f>IFERROR(__xludf.DUMMYFUNCTION("""COMPUTED_VALUE"""),"REGULAR")</f>
        <v>REGULAR</v>
      </c>
      <c r="Y1180" s="1" t="str">
        <f>IFERROR(__xludf.DUMMYFUNCTION("""COMPUTED_VALUE"""),"BK_CVEU_261006")</f>
        <v>BK_CVEU_261006</v>
      </c>
      <c r="Z1180" s="1" t="str">
        <f>IFERROR(__xludf.DUMMYFUNCTION("""COMPUTED_VALUE"""),"NEW CONNECT")</f>
        <v>NEW CONNECT</v>
      </c>
      <c r="AA1180" s="1">
        <f>IFERROR(__xludf.DUMMYFUNCTION("""COMPUTED_VALUE"""),639217832096)</f>
        <v>639217832096</v>
      </c>
      <c r="AB1180" s="1"/>
      <c r="AC1180" s="1">
        <f>IFERROR(__xludf.DUMMYFUNCTION("""COMPUTED_VALUE"""),3)</f>
        <v>3</v>
      </c>
      <c r="AD1180" s="1" t="str">
        <f>IFERROR(__xludf.DUMMYFUNCTION("""COMPUTED_VALUE"""),"KARSADAHAN SILANGAN")</f>
        <v>KARSADAHAN SILANGAN</v>
      </c>
      <c r="AE1180" s="1"/>
      <c r="AF1180" s="1" t="str">
        <f>IFERROR(__xludf.DUMMYFUNCTION("""COMPUTED_VALUE"""),"BGY KAONG")</f>
        <v>BGY KAONG</v>
      </c>
      <c r="AG1180" s="1" t="str">
        <f>IFERROR(__xludf.DUMMYFUNCTION("""COMPUTED_VALUE"""),"SILANG")</f>
        <v>SILANG</v>
      </c>
      <c r="AH1180" s="1" t="str">
        <f>IFERROR(__xludf.DUMMYFUNCTION("""COMPUTED_VALUE"""),"INFRONT OF BRGY HALL // SILLP569NP4 // 14.244738 120.998319")</f>
        <v>INFRONT OF BRGY HALL // SILLP569NP4 // 14.244738 120.998319</v>
      </c>
      <c r="AI1180" s="1" t="str">
        <f>IFERROR(__xludf.DUMMYFUNCTION("""COMPUTED_VALUE"""),"CLUSTER 11")</f>
        <v>CLUSTER 11</v>
      </c>
    </row>
    <row r="1181" customHeight="1" spans="1:35">
      <c r="A1181" s="3">
        <f>IFERROR(__xludf.DUMMYFUNCTION("""COMPUTED_VALUE"""),46317)</f>
        <v>46317</v>
      </c>
      <c r="B1181" s="1" t="str">
        <f>IFERROR(__xludf.DUMMYFUNCTION("""COMPUTED_VALUE"""),"ELIZABETH ZURITA CANADA")</f>
        <v>ELIZABETH ZURITA CANADA</v>
      </c>
      <c r="C1181" s="1">
        <f>IFERROR(__xludf.DUMMYFUNCTION("""COMPUTED_VALUE"""),2313313429)</f>
        <v>2313313429</v>
      </c>
      <c r="D1181" s="1"/>
      <c r="E1181" s="1"/>
      <c r="F1181" s="1" t="str">
        <f>IFERROR(__xludf.DUMMYFUNCTION("""COMPUTED_VALUE"""),"CANCELLED")</f>
        <v>CANCELLED</v>
      </c>
      <c r="G1181" s="1" t="str">
        <f>IFERROR(__xludf.DUMMYFUNCTION("""COMPUTED_VALUE"""),"CANCELLED")</f>
        <v>CANCELLED</v>
      </c>
      <c r="H1181" s="1"/>
      <c r="I1181" s="1"/>
      <c r="J1181" s="1"/>
      <c r="K1181" s="1"/>
      <c r="L1181" s="1" t="str">
        <f>IFERROR(__xludf.DUMMYFUNCTION("""COMPUTED_VALUE"""),"CANCELLED")</f>
        <v>CANCELLED</v>
      </c>
      <c r="M1181" s="1" t="str">
        <f>IFERROR(__xludf.DUMMYFUNCTION("""COMPUTED_VALUE"""),"CANCELLED - WITH OB")</f>
        <v>CANCELLED - WITH OB</v>
      </c>
      <c r="N1181" s="3"/>
      <c r="O1181" s="1" t="str">
        <f>IFERROR(__xludf.DUMMYFUNCTION("""COMPUTED_VALUE"""),"FIBR PLAN 1299")</f>
        <v>FIBR PLAN 1299</v>
      </c>
      <c r="P1181" s="1" t="str">
        <f>IFERROR(__xludf.DUMMYFUNCTION("""COMPUTED_VALUE"""),"LOWPLAN")</f>
        <v>LOWPLAN</v>
      </c>
      <c r="Q1181" s="1" t="str">
        <f>IFERROR(__xludf.DUMMYFUNCTION("""COMPUTED_VALUE"""),"P408053 ")</f>
        <v>P408053 </v>
      </c>
      <c r="R1181" s="1" t="str">
        <f>IFERROR(__xludf.DUMMYFUNCTION("""COMPUTED_VALUE"""),"LABONG, AJAY")</f>
        <v>LABONG, AJAY</v>
      </c>
      <c r="S1181" s="1" t="str">
        <f>IFERROR(__xludf.DUMMYFUNCTION("""COMPUTED_VALUE"""),"ORGANIC")</f>
        <v>ORGANIC</v>
      </c>
      <c r="T1181" s="1" t="str">
        <f>IFERROR(__xludf.DUMMYFUNCTION("""COMPUTED_VALUE"""),"LEA REMOLLO")</f>
        <v>LEA REMOLLO</v>
      </c>
      <c r="U1181" s="1" t="str">
        <f>IFERROR(__xludf.DUMMYFUNCTION("""COMPUTED_VALUE"""),"MARK MALIWAT")</f>
        <v>MARK MALIWAT</v>
      </c>
      <c r="V1181" s="1" t="str">
        <f>IFERROR(__xludf.DUMMYFUNCTION("""COMPUTED_VALUE"""),"BK REGULAR")</f>
        <v>BK REGULAR</v>
      </c>
      <c r="W1181" s="1" t="str">
        <f>IFERROR(__xludf.DUMMYFUNCTION("""COMPUTED_VALUE"""),"STK REGULAR")</f>
        <v>STK REGULAR</v>
      </c>
      <c r="X1181" s="1" t="str">
        <f>IFERROR(__xludf.DUMMYFUNCTION("""COMPUTED_VALUE"""),"REGULAR")</f>
        <v>REGULAR</v>
      </c>
      <c r="Y1181" s="1" t="str">
        <f>IFERROR(__xludf.DUMMYFUNCTION("""COMPUTED_VALUE"""),"BK_CVEU_261006")</f>
        <v>BK_CVEU_261006</v>
      </c>
      <c r="Z1181" s="1" t="str">
        <f>IFERROR(__xludf.DUMMYFUNCTION("""COMPUTED_VALUE"""),"NEW CONNECT")</f>
        <v>NEW CONNECT</v>
      </c>
      <c r="AA1181" s="1">
        <f>IFERROR(__xludf.DUMMYFUNCTION("""COMPUTED_VALUE"""),639957380868)</f>
        <v>639957380868</v>
      </c>
      <c r="AB1181" s="1">
        <f>IFERROR(__xludf.DUMMYFUNCTION("""COMPUTED_VALUE"""),639173205268)</f>
        <v>639173205268</v>
      </c>
      <c r="AC1181" s="1">
        <f>IFERROR(__xludf.DUMMYFUNCTION("""COMPUTED_VALUE"""),10149)</f>
        <v>10149</v>
      </c>
      <c r="AD1181" s="1" t="str">
        <f>IFERROR(__xludf.DUMMYFUNCTION("""COMPUTED_VALUE"""),"SITIO IBAYONG ILOG")</f>
        <v>SITIO IBAYONG ILOG</v>
      </c>
      <c r="AE1181" s="1"/>
      <c r="AF1181" s="1" t="str">
        <f>IFERROR(__xludf.DUMMYFUNCTION("""COMPUTED_VALUE"""),"BGY KAONG")</f>
        <v>BGY KAONG</v>
      </c>
      <c r="AG1181" s="1" t="str">
        <f>IFERROR(__xludf.DUMMYFUNCTION("""COMPUTED_VALUE"""),"SILANG")</f>
        <v>SILANG</v>
      </c>
      <c r="AH1181" s="1" t="str">
        <f>IFERROR(__xludf.DUMMYFUNCTION("""COMPUTED_VALUE"""),"LONG COURSE FIRING RANGE")</f>
        <v>LONG COURSE FIRING RANGE</v>
      </c>
      <c r="AI1181" s="1" t="str">
        <f>IFERROR(__xludf.DUMMYFUNCTION("""COMPUTED_VALUE"""),"CLUSTER 11")</f>
        <v>CLUSTER 11</v>
      </c>
    </row>
    <row r="1182" customHeight="1" spans="1:35">
      <c r="A1182" s="3">
        <f>IFERROR(__xludf.DUMMYFUNCTION("""COMPUTED_VALUE"""),46317)</f>
        <v>46317</v>
      </c>
      <c r="B1182" s="1" t="str">
        <f>IFERROR(__xludf.DUMMYFUNCTION("""COMPUTED_VALUE"""),"JAY BUNI UMALI")</f>
        <v>JAY BUNI UMALI</v>
      </c>
      <c r="C1182" s="1">
        <f>IFERROR(__xludf.DUMMYFUNCTION("""COMPUTED_VALUE"""),2313313437)</f>
        <v>2313313437</v>
      </c>
      <c r="D1182" s="1"/>
      <c r="E1182" s="1"/>
      <c r="F1182" s="1" t="str">
        <f>IFERROR(__xludf.DUMMYFUNCTION("""COMPUTED_VALUE"""),"CANCELLED")</f>
        <v>CANCELLED</v>
      </c>
      <c r="G1182" s="1" t="str">
        <f>IFERROR(__xludf.DUMMYFUNCTION("""COMPUTED_VALUE"""),"CANCELLED")</f>
        <v>CANCELLED</v>
      </c>
      <c r="H1182" s="1"/>
      <c r="I1182" s="1"/>
      <c r="J1182" s="1"/>
      <c r="K1182" s="1"/>
      <c r="L1182" s="1" t="str">
        <f>IFERROR(__xludf.DUMMYFUNCTION("""COMPUTED_VALUE"""),"CANCELLED")</f>
        <v>CANCELLED</v>
      </c>
      <c r="M1182" s="1" t="str">
        <f>IFERROR(__xludf.DUMMYFUNCTION("""COMPUTED_VALUE"""),"CANCELLED - WITH OB")</f>
        <v>CANCELLED - WITH OB</v>
      </c>
      <c r="N1182" s="3"/>
      <c r="O1182" s="1" t="str">
        <f>IFERROR(__xludf.DUMMYFUNCTION("""COMPUTED_VALUE"""),"FIBR PLAN 1699")</f>
        <v>FIBR PLAN 1699</v>
      </c>
      <c r="P1182" s="1" t="str">
        <f>IFERROR(__xludf.DUMMYFUNCTION("""COMPUTED_VALUE"""),"LOWPLAN")</f>
        <v>LOWPLAN</v>
      </c>
      <c r="Q1182" s="1" t="str">
        <f>IFERROR(__xludf.DUMMYFUNCTION("""COMPUTED_VALUE"""),"P407518")</f>
        <v>P407518</v>
      </c>
      <c r="R1182" s="1" t="str">
        <f>IFERROR(__xludf.DUMMYFUNCTION("""COMPUTED_VALUE"""),"MATUDAN, LEBRON JAMES")</f>
        <v>MATUDAN, LEBRON JAMES</v>
      </c>
      <c r="S1182" s="1" t="str">
        <f>IFERROR(__xludf.DUMMYFUNCTION("""COMPUTED_VALUE"""),"FLA")</f>
        <v>FLA</v>
      </c>
      <c r="T1182" s="1" t="str">
        <f>IFERROR(__xludf.DUMMYFUNCTION("""COMPUTED_VALUE"""),"JERIC NAVARRO")</f>
        <v>JERIC NAVARRO</v>
      </c>
      <c r="U1182" s="1" t="str">
        <f>IFERROR(__xludf.DUMMYFUNCTION("""COMPUTED_VALUE"""),"JULIE ESPIRITU")</f>
        <v>JULIE ESPIRITU</v>
      </c>
      <c r="V1182" s="1" t="str">
        <f>IFERROR(__xludf.DUMMYFUNCTION("""COMPUTED_VALUE"""),"BK HSTK")</f>
        <v>BK HSTK</v>
      </c>
      <c r="W1182" s="1" t="str">
        <f>IFERROR(__xludf.DUMMYFUNCTION("""COMPUTED_VALUE"""),"BK HSTK")</f>
        <v>BK HSTK</v>
      </c>
      <c r="X1182" s="1" t="str">
        <f>IFERROR(__xludf.DUMMYFUNCTION("""COMPUTED_VALUE"""),"REGULAR")</f>
        <v>REGULAR</v>
      </c>
      <c r="Y1182" s="1" t="str">
        <f>IFERROR(__xludf.DUMMYFUNCTION("""COMPUTED_VALUE"""),"BK_CVEU_261006")</f>
        <v>BK_CVEU_261006</v>
      </c>
      <c r="Z1182" s="1" t="str">
        <f>IFERROR(__xludf.DUMMYFUNCTION("""COMPUTED_VALUE"""),"NEW CONNECT")</f>
        <v>NEW CONNECT</v>
      </c>
      <c r="AA1182" s="1">
        <f>IFERROR(__xludf.DUMMYFUNCTION("""COMPUTED_VALUE"""),639777751037)</f>
        <v>639777751037</v>
      </c>
      <c r="AB1182" s="1">
        <f>IFERROR(__xludf.DUMMYFUNCTION("""COMPUTED_VALUE"""),639195857111)</f>
        <v>639195857111</v>
      </c>
      <c r="AC1182" s="1"/>
      <c r="AD1182" s="1" t="str">
        <f>IFERROR(__xludf.DUMMYFUNCTION("""COMPUTED_VALUE"""),"ACACIA")</f>
        <v>ACACIA</v>
      </c>
      <c r="AE1182" s="1"/>
      <c r="AF1182" s="1" t="str">
        <f>IFERROR(__xludf.DUMMYFUNCTION("""COMPUTED_VALUE"""),"BGY ACACIA")</f>
        <v>BGY ACACIA</v>
      </c>
      <c r="AG1182" s="1" t="str">
        <f>IFERROR(__xludf.DUMMYFUNCTION("""COMPUTED_VALUE"""),"SILANG")</f>
        <v>SILANG</v>
      </c>
      <c r="AH1182" s="1"/>
      <c r="AI1182" s="1" t="str">
        <f>IFERROR(__xludf.DUMMYFUNCTION("""COMPUTED_VALUE"""),"CLUSTER 11")</f>
        <v>CLUSTER 11</v>
      </c>
    </row>
    <row r="1183" customHeight="1" spans="1:35">
      <c r="A1183" s="3">
        <f>IFERROR(__xludf.DUMMYFUNCTION("""COMPUTED_VALUE"""),46317)</f>
        <v>46317</v>
      </c>
      <c r="B1183" s="1" t="str">
        <f>IFERROR(__xludf.DUMMYFUNCTION("""COMPUTED_VALUE"""),"MIGUELITO SUMADSAD AMON")</f>
        <v>MIGUELITO SUMADSAD AMON</v>
      </c>
      <c r="C1183" s="1">
        <f>IFERROR(__xludf.DUMMYFUNCTION("""COMPUTED_VALUE"""),2313313627)</f>
        <v>2313313627</v>
      </c>
      <c r="D1183" s="1"/>
      <c r="E1183" s="1"/>
      <c r="F1183" s="1" t="str">
        <f>IFERROR(__xludf.DUMMYFUNCTION("""COMPUTED_VALUE"""),"CANCELLED")</f>
        <v>CANCELLED</v>
      </c>
      <c r="G1183" s="1" t="str">
        <f>IFERROR(__xludf.DUMMYFUNCTION("""COMPUTED_VALUE"""),"CANCELLED")</f>
        <v>CANCELLED</v>
      </c>
      <c r="H1183" s="1"/>
      <c r="I1183" s="1"/>
      <c r="J1183" s="1"/>
      <c r="K1183" s="1"/>
      <c r="L1183" s="1" t="str">
        <f>IFERROR(__xludf.DUMMYFUNCTION("""COMPUTED_VALUE"""),"CANCELLED")</f>
        <v>CANCELLED</v>
      </c>
      <c r="M1183" s="1" t="str">
        <f>IFERROR(__xludf.DUMMYFUNCTION("""COMPUTED_VALUE"""),"CANCELLED - WITH OB")</f>
        <v>CANCELLED - WITH OB</v>
      </c>
      <c r="N1183" s="3"/>
      <c r="O1183" s="1" t="str">
        <f>IFERROR(__xludf.DUMMYFUNCTION("""COMPUTED_VALUE"""),"FIBR PLAN 1299")</f>
        <v>FIBR PLAN 1299</v>
      </c>
      <c r="P1183" s="1" t="str">
        <f>IFERROR(__xludf.DUMMYFUNCTION("""COMPUTED_VALUE"""),"LOWPLAN")</f>
        <v>LOWPLAN</v>
      </c>
      <c r="Q1183" s="1" t="str">
        <f>IFERROR(__xludf.DUMMYFUNCTION("""COMPUTED_VALUE"""),"P408053 ")</f>
        <v>P408053 </v>
      </c>
      <c r="R1183" s="1" t="str">
        <f>IFERROR(__xludf.DUMMYFUNCTION("""COMPUTED_VALUE"""),"LABONG, AJAY")</f>
        <v>LABONG, AJAY</v>
      </c>
      <c r="S1183" s="1" t="str">
        <f>IFERROR(__xludf.DUMMYFUNCTION("""COMPUTED_VALUE"""),"ORGANIC")</f>
        <v>ORGANIC</v>
      </c>
      <c r="T1183" s="1" t="str">
        <f>IFERROR(__xludf.DUMMYFUNCTION("""COMPUTED_VALUE"""),"LEA REMOLLO")</f>
        <v>LEA REMOLLO</v>
      </c>
      <c r="U1183" s="1" t="str">
        <f>IFERROR(__xludf.DUMMYFUNCTION("""COMPUTED_VALUE"""),"MARK MALIWAT")</f>
        <v>MARK MALIWAT</v>
      </c>
      <c r="V1183" s="1" t="str">
        <f>IFERROR(__xludf.DUMMYFUNCTION("""COMPUTED_VALUE"""),"BK REGULAR")</f>
        <v>BK REGULAR</v>
      </c>
      <c r="W1183" s="1" t="str">
        <f>IFERROR(__xludf.DUMMYFUNCTION("""COMPUTED_VALUE"""),"STK REGULAR")</f>
        <v>STK REGULAR</v>
      </c>
      <c r="X1183" s="1" t="str">
        <f>IFERROR(__xludf.DUMMYFUNCTION("""COMPUTED_VALUE"""),"REGULAR")</f>
        <v>REGULAR</v>
      </c>
      <c r="Y1183" s="1" t="str">
        <f>IFERROR(__xludf.DUMMYFUNCTION("""COMPUTED_VALUE"""),"BK_CVEU_261006")</f>
        <v>BK_CVEU_261006</v>
      </c>
      <c r="Z1183" s="1" t="str">
        <f>IFERROR(__xludf.DUMMYFUNCTION("""COMPUTED_VALUE"""),"NEW CONNECT")</f>
        <v>NEW CONNECT</v>
      </c>
      <c r="AA1183" s="1">
        <f>IFERROR(__xludf.DUMMYFUNCTION("""COMPUTED_VALUE"""),639367722900)</f>
        <v>639367722900</v>
      </c>
      <c r="AB1183" s="1">
        <f>IFERROR(__xludf.DUMMYFUNCTION("""COMPUTED_VALUE"""),639943375442)</f>
        <v>639943375442</v>
      </c>
      <c r="AC1183" s="1">
        <f>IFERROR(__xludf.DUMMYFUNCTION("""COMPUTED_VALUE"""),213)</f>
        <v>213</v>
      </c>
      <c r="AD1183" s="1" t="str">
        <f>IFERROR(__xludf.DUMMYFUNCTION("""COMPUTED_VALUE"""),"KARSADAHAN KANLURAN")</f>
        <v>KARSADAHAN KANLURAN</v>
      </c>
      <c r="AE1183" s="1"/>
      <c r="AF1183" s="1" t="str">
        <f>IFERROR(__xludf.DUMMYFUNCTION("""COMPUTED_VALUE"""),"BGY KAONG")</f>
        <v>BGY KAONG</v>
      </c>
      <c r="AG1183" s="1" t="str">
        <f>IFERROR(__xludf.DUMMYFUNCTION("""COMPUTED_VALUE"""),"SILANG")</f>
        <v>SILANG</v>
      </c>
      <c r="AH1183" s="1" t="str">
        <f>IFERROR(__xludf.DUMMYFUNCTION("""COMPUTED_VALUE"""),"7/11 / SAN ANTONIO ABAD CHURCH")</f>
        <v>7/11 / SAN ANTONIO ABAD CHURCH</v>
      </c>
      <c r="AI1183" s="1" t="str">
        <f>IFERROR(__xludf.DUMMYFUNCTION("""COMPUTED_VALUE"""),"CLUSTER 11")</f>
        <v>CLUSTER 11</v>
      </c>
    </row>
    <row r="1184" customHeight="1" spans="1:35">
      <c r="A1184" s="3">
        <f>IFERROR(__xludf.DUMMYFUNCTION("""COMPUTED_VALUE"""),46317)</f>
        <v>46317</v>
      </c>
      <c r="B1184" s="1" t="str">
        <f>IFERROR(__xludf.DUMMYFUNCTION("""COMPUTED_VALUE"""),"JAIME DOLOR POBLETE")</f>
        <v>JAIME DOLOR POBLETE</v>
      </c>
      <c r="C1184" s="1">
        <f>IFERROR(__xludf.DUMMYFUNCTION("""COMPUTED_VALUE"""),2313313899)</f>
        <v>2313313899</v>
      </c>
      <c r="D1184" s="1"/>
      <c r="E1184" s="1"/>
      <c r="F1184" s="1" t="str">
        <f>IFERROR(__xludf.DUMMYFUNCTION("""COMPUTED_VALUE"""),"CANCELLED")</f>
        <v>CANCELLED</v>
      </c>
      <c r="G1184" s="1" t="str">
        <f>IFERROR(__xludf.DUMMYFUNCTION("""COMPUTED_VALUE"""),"CANCELLED")</f>
        <v>CANCELLED</v>
      </c>
      <c r="H1184" s="1"/>
      <c r="I1184" s="1"/>
      <c r="J1184" s="1"/>
      <c r="K1184" s="1"/>
      <c r="L1184" s="1" t="str">
        <f>IFERROR(__xludf.DUMMYFUNCTION("""COMPUTED_VALUE"""),"CANCELLED")</f>
        <v>CANCELLED</v>
      </c>
      <c r="M1184" s="1" t="str">
        <f>IFERROR(__xludf.DUMMYFUNCTION("""COMPUTED_VALUE"""),"CANCELLED - WITH OB")</f>
        <v>CANCELLED - WITH OB</v>
      </c>
      <c r="N1184" s="3"/>
      <c r="O1184" s="1" t="str">
        <f>IFERROR(__xludf.DUMMYFUNCTION("""COMPUTED_VALUE"""),"FIBR PLAN 1299")</f>
        <v>FIBR PLAN 1299</v>
      </c>
      <c r="P1184" s="1" t="str">
        <f>IFERROR(__xludf.DUMMYFUNCTION("""COMPUTED_VALUE"""),"LOWPLAN")</f>
        <v>LOWPLAN</v>
      </c>
      <c r="Q1184" s="1" t="str">
        <f>IFERROR(__xludf.DUMMYFUNCTION("""COMPUTED_VALUE"""),"P408053 ")</f>
        <v>P408053 </v>
      </c>
      <c r="R1184" s="1" t="str">
        <f>IFERROR(__xludf.DUMMYFUNCTION("""COMPUTED_VALUE"""),"LABONG, AJAY")</f>
        <v>LABONG, AJAY</v>
      </c>
      <c r="S1184" s="1" t="str">
        <f>IFERROR(__xludf.DUMMYFUNCTION("""COMPUTED_VALUE"""),"ORGANIC")</f>
        <v>ORGANIC</v>
      </c>
      <c r="T1184" s="1" t="str">
        <f>IFERROR(__xludf.DUMMYFUNCTION("""COMPUTED_VALUE"""),"JERIC NAVARRO")</f>
        <v>JERIC NAVARRO</v>
      </c>
      <c r="U1184" s="1" t="str">
        <f>IFERROR(__xludf.DUMMYFUNCTION("""COMPUTED_VALUE"""),"MARK MALIWAT")</f>
        <v>MARK MALIWAT</v>
      </c>
      <c r="V1184" s="1" t="str">
        <f>IFERROR(__xludf.DUMMYFUNCTION("""COMPUTED_VALUE"""),"BK REGULAR")</f>
        <v>BK REGULAR</v>
      </c>
      <c r="W1184" s="1" t="str">
        <f>IFERROR(__xludf.DUMMYFUNCTION("""COMPUTED_VALUE"""),"STK REGULAR")</f>
        <v>STK REGULAR</v>
      </c>
      <c r="X1184" s="1" t="str">
        <f>IFERROR(__xludf.DUMMYFUNCTION("""COMPUTED_VALUE"""),"REGULAR")</f>
        <v>REGULAR</v>
      </c>
      <c r="Y1184" s="1" t="str">
        <f>IFERROR(__xludf.DUMMYFUNCTION("""COMPUTED_VALUE"""),"BK_CVEU_261006")</f>
        <v>BK_CVEU_261006</v>
      </c>
      <c r="Z1184" s="1" t="str">
        <f>IFERROR(__xludf.DUMMYFUNCTION("""COMPUTED_VALUE"""),"NEW CONNECT")</f>
        <v>NEW CONNECT</v>
      </c>
      <c r="AA1184" s="1">
        <f>IFERROR(__xludf.DUMMYFUNCTION("""COMPUTED_VALUE"""),639217832096)</f>
        <v>639217832096</v>
      </c>
      <c r="AB1184" s="1"/>
      <c r="AC1184" s="1">
        <f>IFERROR(__xludf.DUMMYFUNCTION("""COMPUTED_VALUE"""),3)</f>
        <v>3</v>
      </c>
      <c r="AD1184" s="1" t="str">
        <f>IFERROR(__xludf.DUMMYFUNCTION("""COMPUTED_VALUE"""),"KARSADAHAN SILANGAN")</f>
        <v>KARSADAHAN SILANGAN</v>
      </c>
      <c r="AE1184" s="1"/>
      <c r="AF1184" s="1" t="str">
        <f>IFERROR(__xludf.DUMMYFUNCTION("""COMPUTED_VALUE"""),"BGY KAONG")</f>
        <v>BGY KAONG</v>
      </c>
      <c r="AG1184" s="1" t="str">
        <f>IFERROR(__xludf.DUMMYFUNCTION("""COMPUTED_VALUE"""),"SILANG")</f>
        <v>SILANG</v>
      </c>
      <c r="AH1184" s="1" t="str">
        <f>IFERROR(__xludf.DUMMYFUNCTION("""COMPUTED_VALUE"""),"INFRONT OF BRGY HALL // SILLP569NP4 // 14.244738 120.998319")</f>
        <v>INFRONT OF BRGY HALL // SILLP569NP4 // 14.244738 120.998319</v>
      </c>
      <c r="AI1184" s="1" t="str">
        <f>IFERROR(__xludf.DUMMYFUNCTION("""COMPUTED_VALUE"""),"CLUSTER 11")</f>
        <v>CLUSTER 11</v>
      </c>
    </row>
    <row r="1185" customHeight="1" spans="1:35">
      <c r="A1185" s="3">
        <f>IFERROR(__xludf.DUMMYFUNCTION("""COMPUTED_VALUE"""),46317)</f>
        <v>46317</v>
      </c>
      <c r="B1185" s="1" t="str">
        <f>IFERROR(__xludf.DUMMYFUNCTION("""COMPUTED_VALUE"""),"AMIHAN RELI PEREA")</f>
        <v>AMIHAN RELI PEREA</v>
      </c>
      <c r="C1185" s="1">
        <f>IFERROR(__xludf.DUMMYFUNCTION("""COMPUTED_VALUE"""),2313313768)</f>
        <v>2313313768</v>
      </c>
      <c r="D1185" s="1">
        <f>IFERROR(__xludf.DUMMYFUNCTION("""COMPUTED_VALUE"""),409232582)</f>
        <v>409232582</v>
      </c>
      <c r="E1185" s="1">
        <f>IFERROR(__xludf.DUMMYFUNCTION("""COMPUTED_VALUE"""),476664791004)</f>
        <v>476664791004</v>
      </c>
      <c r="F1185" s="1" t="str">
        <f>IFERROR(__xludf.DUMMYFUNCTION("""COMPUTED_VALUE"""),"FOR PAYMENT")</f>
        <v>FOR PAYMENT</v>
      </c>
      <c r="G1185" s="1" t="str">
        <f>IFERROR(__xludf.DUMMYFUNCTION("""COMPUTED_VALUE"""),"FOR PAYMENT")</f>
        <v>FOR PAYMENT</v>
      </c>
      <c r="H1185" s="1"/>
      <c r="I1185" s="1"/>
      <c r="J1185" s="1"/>
      <c r="K1185" s="1"/>
      <c r="L1185" s="1" t="str">
        <f>IFERROR(__xludf.DUMMYFUNCTION("""COMPUTED_VALUE"""),"FOR PAYMENT")</f>
        <v>FOR PAYMENT</v>
      </c>
      <c r="M1185" s="1" t="str">
        <f>IFERROR(__xludf.DUMMYFUNCTION("""COMPUTED_VALUE"""),"FOR PAYMENT - FOR CALL OUT")</f>
        <v>FOR PAYMENT - FOR CALL OUT</v>
      </c>
      <c r="N1185" s="3"/>
      <c r="O1185" s="1" t="str">
        <f>IFERROR(__xludf.DUMMYFUNCTION("""COMPUTED_VALUE"""),"FIBR UNLI ALL PLAN 999")</f>
        <v>FIBR UNLI ALL PLAN 999</v>
      </c>
      <c r="P1185" s="1" t="str">
        <f>IFERROR(__xludf.DUMMYFUNCTION("""COMPUTED_VALUE"""),"LOWPLAN")</f>
        <v>LOWPLAN</v>
      </c>
      <c r="Q1185" s="1" t="str">
        <f>IFERROR(__xludf.DUMMYFUNCTION("""COMPUTED_VALUE"""),"P407049")</f>
        <v>P407049</v>
      </c>
      <c r="R1185" s="1" t="str">
        <f>IFERROR(__xludf.DUMMYFUNCTION("""COMPUTED_VALUE"""),"MERCADO, MARK ANTHONY")</f>
        <v>MERCADO, MARK ANTHONY</v>
      </c>
      <c r="S1185" s="1" t="str">
        <f>IFERROR(__xludf.DUMMYFUNCTION("""COMPUTED_VALUE"""),"ORGANIC")</f>
        <v>ORGANIC</v>
      </c>
      <c r="T1185" s="1" t="str">
        <f>IFERROR(__xludf.DUMMYFUNCTION("""COMPUTED_VALUE"""),"LEA REMOLLO")</f>
        <v>LEA REMOLLO</v>
      </c>
      <c r="U1185" s="1" t="str">
        <f>IFERROR(__xludf.DUMMYFUNCTION("""COMPUTED_VALUE"""),"JULIE ESPIRITU")</f>
        <v>JULIE ESPIRITU</v>
      </c>
      <c r="V1185" s="1" t="str">
        <f>IFERROR(__xludf.DUMMYFUNCTION("""COMPUTED_VALUE"""),"BK HSTK")</f>
        <v>BK HSTK</v>
      </c>
      <c r="W1185" s="1" t="str">
        <f>IFERROR(__xludf.DUMMYFUNCTION("""COMPUTED_VALUE"""),"BK HSTK")</f>
        <v>BK HSTK</v>
      </c>
      <c r="X1185" s="1" t="str">
        <f>IFERROR(__xludf.DUMMYFUNCTION("""COMPUTED_VALUE"""),"REGULAR")</f>
        <v>REGULAR</v>
      </c>
      <c r="Y1185" s="1" t="str">
        <f>IFERROR(__xludf.DUMMYFUNCTION("""COMPUTED_VALUE"""),"BK_CVEU_261001")</f>
        <v>BK_CVEU_261001</v>
      </c>
      <c r="Z1185" s="1" t="str">
        <f>IFERROR(__xludf.DUMMYFUNCTION("""COMPUTED_VALUE"""),"NEW CONNECT")</f>
        <v>NEW CONNECT</v>
      </c>
      <c r="AA1185" s="1">
        <f>IFERROR(__xludf.DUMMYFUNCTION("""COMPUTED_VALUE"""),639763714791)</f>
        <v>639763714791</v>
      </c>
      <c r="AB1185" s="1">
        <f>IFERROR(__xludf.DUMMYFUNCTION("""COMPUTED_VALUE"""),639972156298)</f>
        <v>639972156298</v>
      </c>
      <c r="AC1185" s="1">
        <f>IFERROR(__xludf.DUMMYFUNCTION("""COMPUTED_VALUE"""),183)</f>
        <v>183</v>
      </c>
      <c r="AD1185" s="1" t="str">
        <f>IFERROR(__xludf.DUMMYFUNCTION("""COMPUTED_VALUE"""),"BALUBAD")</f>
        <v>BALUBAD</v>
      </c>
      <c r="AE1185" s="1"/>
      <c r="AF1185" s="1" t="str">
        <f>IFERROR(__xludf.DUMMYFUNCTION("""COMPUTED_VALUE"""),"BGY MARAHAN 2")</f>
        <v>BGY MARAHAN 2</v>
      </c>
      <c r="AG1185" s="1" t="str">
        <f>IFERROR(__xludf.DUMMYFUNCTION("""COMPUTED_VALUE"""),"ALFONSO")</f>
        <v>ALFONSO</v>
      </c>
      <c r="AH1185" s="1"/>
      <c r="AI1185" s="1" t="str">
        <f>IFERROR(__xludf.DUMMYFUNCTION("""COMPUTED_VALUE"""),"CLUSTER 12")</f>
        <v>CLUSTER 12</v>
      </c>
    </row>
    <row r="1186" customHeight="1" spans="1:35">
      <c r="A1186" s="3">
        <f>IFERROR(__xludf.DUMMYFUNCTION("""COMPUTED_VALUE"""),46317)</f>
        <v>46317</v>
      </c>
      <c r="B1186" s="1" t="str">
        <f>IFERROR(__xludf.DUMMYFUNCTION("""COMPUTED_VALUE"""),"SWEETILY LINDE DALIGDIG")</f>
        <v>SWEETILY LINDE DALIGDIG</v>
      </c>
      <c r="C1186" s="1">
        <f>IFERROR(__xludf.DUMMYFUNCTION("""COMPUTED_VALUE"""),2313314042)</f>
        <v>2313314042</v>
      </c>
      <c r="D1186" s="1"/>
      <c r="E1186" s="1"/>
      <c r="F1186" s="1" t="str">
        <f>IFERROR(__xludf.DUMMYFUNCTION("""COMPUTED_VALUE"""),"CANCELLED")</f>
        <v>CANCELLED</v>
      </c>
      <c r="G1186" s="1" t="str">
        <f>IFERROR(__xludf.DUMMYFUNCTION("""COMPUTED_VALUE"""),"CANCELLED")</f>
        <v>CANCELLED</v>
      </c>
      <c r="H1186" s="1"/>
      <c r="I1186" s="1"/>
      <c r="J1186" s="1"/>
      <c r="K1186" s="1"/>
      <c r="L1186" s="1" t="str">
        <f>IFERROR(__xludf.DUMMYFUNCTION("""COMPUTED_VALUE"""),"CANCELLED")</f>
        <v>CANCELLED</v>
      </c>
      <c r="M1186" s="1" t="str">
        <f>IFERROR(__xludf.DUMMYFUNCTION("""COMPUTED_VALUE"""),"CANCELLED - WITH OB")</f>
        <v>CANCELLED - WITH OB</v>
      </c>
      <c r="N1186" s="3"/>
      <c r="O1186" s="1" t="str">
        <f>IFERROR(__xludf.DUMMYFUNCTION("""COMPUTED_VALUE"""),"FIBR UNLI ALL PLAN 999")</f>
        <v>FIBR UNLI ALL PLAN 999</v>
      </c>
      <c r="P1186" s="1" t="str">
        <f>IFERROR(__xludf.DUMMYFUNCTION("""COMPUTED_VALUE"""),"LOWPLAN")</f>
        <v>LOWPLAN</v>
      </c>
      <c r="Q1186" s="1" t="str">
        <f>IFERROR(__xludf.DUMMYFUNCTION("""COMPUTED_VALUE"""),"P407050")</f>
        <v>P407050</v>
      </c>
      <c r="R1186" s="1" t="str">
        <f>IFERROR(__xludf.DUMMYFUNCTION("""COMPUTED_VALUE"""),"ESCARCHA, ALMA")</f>
        <v>ESCARCHA, ALMA</v>
      </c>
      <c r="S1186" s="1" t="str">
        <f>IFERROR(__xludf.DUMMYFUNCTION("""COMPUTED_VALUE"""),"ORGANIC")</f>
        <v>ORGANIC</v>
      </c>
      <c r="T1186" s="1" t="str">
        <f>IFERROR(__xludf.DUMMYFUNCTION("""COMPUTED_VALUE"""),"LEA REMOLLO")</f>
        <v>LEA REMOLLO</v>
      </c>
      <c r="U1186" s="1" t="str">
        <f>IFERROR(__xludf.DUMMYFUNCTION("""COMPUTED_VALUE"""),"JULIE ESPIRITU")</f>
        <v>JULIE ESPIRITU</v>
      </c>
      <c r="V1186" s="1" t="str">
        <f>IFERROR(__xludf.DUMMYFUNCTION("""COMPUTED_VALUE"""),"BK REGULAR")</f>
        <v>BK REGULAR</v>
      </c>
      <c r="W1186" s="1" t="str">
        <f>IFERROR(__xludf.DUMMYFUNCTION("""COMPUTED_VALUE"""),"STK REGULAR")</f>
        <v>STK REGULAR</v>
      </c>
      <c r="X1186" s="1" t="str">
        <f>IFERROR(__xludf.DUMMYFUNCTION("""COMPUTED_VALUE"""),"REGULAR")</f>
        <v>REGULAR</v>
      </c>
      <c r="Y1186" s="1" t="str">
        <f>IFERROR(__xludf.DUMMYFUNCTION("""COMPUTED_VALUE"""),"BK_CVEU_261004")</f>
        <v>BK_CVEU_261004</v>
      </c>
      <c r="Z1186" s="1" t="str">
        <f>IFERROR(__xludf.DUMMYFUNCTION("""COMPUTED_VALUE"""),"NEW CONNECT")</f>
        <v>NEW CONNECT</v>
      </c>
      <c r="AA1186" s="1">
        <f>IFERROR(__xludf.DUMMYFUNCTION("""COMPUTED_VALUE"""),639931996938)</f>
        <v>639931996938</v>
      </c>
      <c r="AB1186" s="1"/>
      <c r="AC1186" s="1">
        <f>IFERROR(__xludf.DUMMYFUNCTION("""COMPUTED_VALUE"""),51)</f>
        <v>51</v>
      </c>
      <c r="AD1186" s="1" t="str">
        <f>IFERROR(__xludf.DUMMYFUNCTION("""COMPUTED_VALUE"""),"NICOLASA VIRATA")</f>
        <v>NICOLASA VIRATA</v>
      </c>
      <c r="AE1186" s="1"/>
      <c r="AF1186" s="1" t="str">
        <f>IFERROR(__xludf.DUMMYFUNCTION("""COMPUTED_VALUE"""),"BGY NICOLASA VIRATA")</f>
        <v>BGY NICOLASA VIRATA</v>
      </c>
      <c r="AG1186" s="1" t="str">
        <f>IFERROR(__xludf.DUMMYFUNCTION("""COMPUTED_VALUE"""),"GEN MARIANO ALVAREZ")</f>
        <v>GEN MARIANO ALVAREZ</v>
      </c>
      <c r="AH1186" s="1" t="str">
        <f>IFERROR(__xludf.DUMMYFUNCTION("""COMPUTED_VALUE"""),"TGP PHARMACY")</f>
        <v>TGP PHARMACY</v>
      </c>
      <c r="AI1186" s="1" t="str">
        <f>IFERROR(__xludf.DUMMYFUNCTION("""COMPUTED_VALUE"""),"CLUSTER 11")</f>
        <v>CLUSTER 11</v>
      </c>
    </row>
    <row r="1187" customHeight="1" spans="1:35">
      <c r="A1187" s="3">
        <f>IFERROR(__xludf.DUMMYFUNCTION("""COMPUTED_VALUE"""),46317)</f>
        <v>46317</v>
      </c>
      <c r="B1187" s="1" t="str">
        <f>IFERROR(__xludf.DUMMYFUNCTION("""COMPUTED_VALUE"""),"MA MAGDALENA SURLA PEGA")</f>
        <v>MA MAGDALENA SURLA PEGA</v>
      </c>
      <c r="C1187" s="1">
        <f>IFERROR(__xludf.DUMMYFUNCTION("""COMPUTED_VALUE"""),2313314285)</f>
        <v>2313314285</v>
      </c>
      <c r="D1187" s="1"/>
      <c r="E1187" s="1"/>
      <c r="F1187" s="1" t="str">
        <f>IFERROR(__xludf.DUMMYFUNCTION("""COMPUTED_VALUE"""),"CANCELLED")</f>
        <v>CANCELLED</v>
      </c>
      <c r="G1187" s="1" t="str">
        <f>IFERROR(__xludf.DUMMYFUNCTION("""COMPUTED_VALUE"""),"CANCELLED")</f>
        <v>CANCELLED</v>
      </c>
      <c r="H1187" s="1"/>
      <c r="I1187" s="1"/>
      <c r="J1187" s="1"/>
      <c r="K1187" s="1"/>
      <c r="L1187" s="1" t="str">
        <f>IFERROR(__xludf.DUMMYFUNCTION("""COMPUTED_VALUE"""),"CANCELLED")</f>
        <v>CANCELLED</v>
      </c>
      <c r="M1187" s="1" t="str">
        <f>IFERROR(__xludf.DUMMYFUNCTION("""COMPUTED_VALUE"""),"CANCELLED - WITH OB")</f>
        <v>CANCELLED - WITH OB</v>
      </c>
      <c r="N1187" s="3"/>
      <c r="O1187" s="1" t="str">
        <f>IFERROR(__xludf.DUMMYFUNCTION("""COMPUTED_VALUE"""),"FIBR UNLI ALL PLAN 999")</f>
        <v>FIBR UNLI ALL PLAN 999</v>
      </c>
      <c r="P1187" s="1" t="str">
        <f>IFERROR(__xludf.DUMMYFUNCTION("""COMPUTED_VALUE"""),"LOWPLAN")</f>
        <v>LOWPLAN</v>
      </c>
      <c r="Q1187" s="1" t="str">
        <f>IFERROR(__xludf.DUMMYFUNCTION("""COMPUTED_VALUE"""),"P407046")</f>
        <v>P407046</v>
      </c>
      <c r="R1187" s="1" t="str">
        <f>IFERROR(__xludf.DUMMYFUNCTION("""COMPUTED_VALUE"""),"MATUDAN, LEBRON JAMES")</f>
        <v>MATUDAN, LEBRON JAMES</v>
      </c>
      <c r="S1187" s="1" t="str">
        <f>IFERROR(__xludf.DUMMYFUNCTION("""COMPUTED_VALUE"""),"FLA")</f>
        <v>FLA</v>
      </c>
      <c r="T1187" s="1" t="str">
        <f>IFERROR(__xludf.DUMMYFUNCTION("""COMPUTED_VALUE"""),"JERIC NAVARRO")</f>
        <v>JERIC NAVARRO</v>
      </c>
      <c r="U1187" s="1" t="str">
        <f>IFERROR(__xludf.DUMMYFUNCTION("""COMPUTED_VALUE"""),"JB SALIOA")</f>
        <v>JB SALIOA</v>
      </c>
      <c r="V1187" s="1" t="str">
        <f>IFERROR(__xludf.DUMMYFUNCTION("""COMPUTED_VALUE"""),"BK REGULAR")</f>
        <v>BK REGULAR</v>
      </c>
      <c r="W1187" s="1" t="str">
        <f>IFERROR(__xludf.DUMMYFUNCTION("""COMPUTED_VALUE"""),"STK REGULAR")</f>
        <v>STK REGULAR</v>
      </c>
      <c r="X1187" s="1" t="str">
        <f>IFERROR(__xludf.DUMMYFUNCTION("""COMPUTED_VALUE"""),"REGULAR")</f>
        <v>REGULAR</v>
      </c>
      <c r="Y1187" s="1" t="str">
        <f>IFERROR(__xludf.DUMMYFUNCTION("""COMPUTED_VALUE"""),"BK_CVEU_261001")</f>
        <v>BK_CVEU_261001</v>
      </c>
      <c r="Z1187" s="1" t="str">
        <f>IFERROR(__xludf.DUMMYFUNCTION("""COMPUTED_VALUE"""),"NEW CONNECT")</f>
        <v>NEW CONNECT</v>
      </c>
      <c r="AA1187" s="1">
        <f>IFERROR(__xludf.DUMMYFUNCTION("""COMPUTED_VALUE"""),639283976279)</f>
        <v>639283976279</v>
      </c>
      <c r="AB1187" s="1"/>
      <c r="AC1187" s="1"/>
      <c r="AD1187" s="1" t="str">
        <f>IFERROR(__xludf.DUMMYFUNCTION("""COMPUTED_VALUE"""),"SITIO KAYTAYO")</f>
        <v>SITIO KAYTAYO</v>
      </c>
      <c r="AE1187" s="1" t="str">
        <f>IFERROR(__xludf.DUMMYFUNCTION("""COMPUTED_VALUE"""),"PUROK 5")</f>
        <v>PUROK 5</v>
      </c>
      <c r="AF1187" s="1" t="str">
        <f>IFERROR(__xludf.DUMMYFUNCTION("""COMPUTED_VALUE"""),"BGY STA TERESA")</f>
        <v>BGY STA TERESA</v>
      </c>
      <c r="AG1187" s="1" t="str">
        <f>IFERROR(__xludf.DUMMYFUNCTION("""COMPUTED_VALUE"""),"ALFONSO")</f>
        <v>ALFONSO</v>
      </c>
      <c r="AH1187" s="1" t="str">
        <f>IFERROR(__xludf.DUMMYFUNCTION("""COMPUTED_VALUE"""),"BGY HALL")</f>
        <v>BGY HALL</v>
      </c>
      <c r="AI1187" s="1" t="str">
        <f>IFERROR(__xludf.DUMMYFUNCTION("""COMPUTED_VALUE"""),"CLUSTER 12")</f>
        <v>CLUSTER 12</v>
      </c>
    </row>
    <row r="1188" customHeight="1" spans="1:35">
      <c r="A1188" s="3">
        <f>IFERROR(__xludf.DUMMYFUNCTION("""COMPUTED_VALUE"""),46317)</f>
        <v>46317</v>
      </c>
      <c r="B1188" s="1" t="str">
        <f>IFERROR(__xludf.DUMMYFUNCTION("""COMPUTED_VALUE"""),"VINCENT ZABALA VALLE")</f>
        <v>VINCENT ZABALA VALLE</v>
      </c>
      <c r="C1188" s="1">
        <f>IFERROR(__xludf.DUMMYFUNCTION("""COMPUTED_VALUE"""),2313314452)</f>
        <v>2313314452</v>
      </c>
      <c r="D1188" s="1"/>
      <c r="E1188" s="1"/>
      <c r="F1188" s="1" t="str">
        <f>IFERROR(__xludf.DUMMYFUNCTION("""COMPUTED_VALUE"""),"CANCELLED")</f>
        <v>CANCELLED</v>
      </c>
      <c r="G1188" s="1" t="str">
        <f>IFERROR(__xludf.DUMMYFUNCTION("""COMPUTED_VALUE"""),"CANCELLED")</f>
        <v>CANCELLED</v>
      </c>
      <c r="H1188" s="1"/>
      <c r="I1188" s="1"/>
      <c r="J1188" s="1"/>
      <c r="K1188" s="1"/>
      <c r="L1188" s="1" t="str">
        <f>IFERROR(__xludf.DUMMYFUNCTION("""COMPUTED_VALUE"""),"CANCELLED")</f>
        <v>CANCELLED</v>
      </c>
      <c r="M1188" s="1" t="str">
        <f>IFERROR(__xludf.DUMMYFUNCTION("""COMPUTED_VALUE"""),"CANCELLED - WITH OB")</f>
        <v>CANCELLED - WITH OB</v>
      </c>
      <c r="N1188" s="3"/>
      <c r="O1188" s="1" t="str">
        <f>IFERROR(__xludf.DUMMYFUNCTION("""COMPUTED_VALUE"""),"FIBR PLAN 1299")</f>
        <v>FIBR PLAN 1299</v>
      </c>
      <c r="P1188" s="1" t="str">
        <f>IFERROR(__xludf.DUMMYFUNCTION("""COMPUTED_VALUE"""),"LOWPLAN")</f>
        <v>LOWPLAN</v>
      </c>
      <c r="Q1188" s="1" t="str">
        <f>IFERROR(__xludf.DUMMYFUNCTION("""COMPUTED_VALUE"""),"P407046")</f>
        <v>P407046</v>
      </c>
      <c r="R1188" s="1" t="str">
        <f>IFERROR(__xludf.DUMMYFUNCTION("""COMPUTED_VALUE"""),"MATUDAN, LEBRON JAMES")</f>
        <v>MATUDAN, LEBRON JAMES</v>
      </c>
      <c r="S1188" s="1" t="str">
        <f>IFERROR(__xludf.DUMMYFUNCTION("""COMPUTED_VALUE"""),"FLA")</f>
        <v>FLA</v>
      </c>
      <c r="T1188" s="1" t="str">
        <f>IFERROR(__xludf.DUMMYFUNCTION("""COMPUTED_VALUE"""),"JERIC NAVARRO")</f>
        <v>JERIC NAVARRO</v>
      </c>
      <c r="U1188" s="1" t="str">
        <f>IFERROR(__xludf.DUMMYFUNCTION("""COMPUTED_VALUE"""),"JULIE ESPIRITU")</f>
        <v>JULIE ESPIRITU</v>
      </c>
      <c r="V1188" s="1" t="str">
        <f>IFERROR(__xludf.DUMMYFUNCTION("""COMPUTED_VALUE"""),"BK REGULAR")</f>
        <v>BK REGULAR</v>
      </c>
      <c r="W1188" s="1" t="str">
        <f>IFERROR(__xludf.DUMMYFUNCTION("""COMPUTED_VALUE"""),"STK REGULAR")</f>
        <v>STK REGULAR</v>
      </c>
      <c r="X1188" s="1" t="str">
        <f>IFERROR(__xludf.DUMMYFUNCTION("""COMPUTED_VALUE"""),"REGULAR")</f>
        <v>REGULAR</v>
      </c>
      <c r="Y1188" s="1" t="str">
        <f>IFERROR(__xludf.DUMMYFUNCTION("""COMPUTED_VALUE"""),"BK_CVEU_261001")</f>
        <v>BK_CVEU_261001</v>
      </c>
      <c r="Z1188" s="1" t="str">
        <f>IFERROR(__xludf.DUMMYFUNCTION("""COMPUTED_VALUE"""),"NEW CONNECT")</f>
        <v>NEW CONNECT</v>
      </c>
      <c r="AA1188" s="1">
        <f>IFERROR(__xludf.DUMMYFUNCTION("""COMPUTED_VALUE"""),639459614924)</f>
        <v>639459614924</v>
      </c>
      <c r="AB1188" s="1">
        <f>IFERROR(__xludf.DUMMYFUNCTION("""COMPUTED_VALUE"""),639936249448)</f>
        <v>639936249448</v>
      </c>
      <c r="AC1188" s="1"/>
      <c r="AD1188" s="1" t="str">
        <f>IFERROR(__xludf.DUMMYFUNCTION("""COMPUTED_VALUE"""),"BUKLURAN 1")</f>
        <v>BUKLURAN 1</v>
      </c>
      <c r="AE1188" s="1" t="str">
        <f>IFERROR(__xludf.DUMMYFUNCTION("""COMPUTED_VALUE"""),"BUKLURAN 1")</f>
        <v>BUKLURAN 1</v>
      </c>
      <c r="AF1188" s="1" t="str">
        <f>IFERROR(__xludf.DUMMYFUNCTION("""COMPUTED_VALUE"""),"BGY BULIHAN")</f>
        <v>BGY BULIHAN</v>
      </c>
      <c r="AG1188" s="1" t="str">
        <f>IFERROR(__xludf.DUMMYFUNCTION("""COMPUTED_VALUE"""),"SILANG")</f>
        <v>SILANG</v>
      </c>
      <c r="AH1188" s="1" t="str">
        <f>IFERROR(__xludf.DUMMYFUNCTION("""COMPUTED_VALUE"""),"MCDO BULIHAN")</f>
        <v>MCDO BULIHAN</v>
      </c>
      <c r="AI1188" s="1" t="str">
        <f>IFERROR(__xludf.DUMMYFUNCTION("""COMPUTED_VALUE"""),"CLUSTER 11")</f>
        <v>CLUSTER 11</v>
      </c>
    </row>
    <row r="1189" customHeight="1" spans="1:35">
      <c r="A1189" s="3">
        <f>IFERROR(__xludf.DUMMYFUNCTION("""COMPUTED_VALUE"""),46317)</f>
        <v>46317</v>
      </c>
      <c r="B1189" s="1" t="str">
        <f>IFERROR(__xludf.DUMMYFUNCTION("""COMPUTED_VALUE"""),"JOY DELA CRUZ DELA CRUZ")</f>
        <v>JOY DELA CRUZ DELA CRUZ</v>
      </c>
      <c r="C1189" s="1">
        <f>IFERROR(__xludf.DUMMYFUNCTION("""COMPUTED_VALUE"""),2313314586)</f>
        <v>2313314586</v>
      </c>
      <c r="D1189" s="1"/>
      <c r="E1189" s="1"/>
      <c r="F1189" s="1" t="str">
        <f>IFERROR(__xludf.DUMMYFUNCTION("""COMPUTED_VALUE"""),"CANCELLED")</f>
        <v>CANCELLED</v>
      </c>
      <c r="G1189" s="1" t="str">
        <f>IFERROR(__xludf.DUMMYFUNCTION("""COMPUTED_VALUE"""),"CANCELLED")</f>
        <v>CANCELLED</v>
      </c>
      <c r="H1189" s="1"/>
      <c r="I1189" s="1"/>
      <c r="J1189" s="1"/>
      <c r="K1189" s="1"/>
      <c r="L1189" s="1" t="str">
        <f>IFERROR(__xludf.DUMMYFUNCTION("""COMPUTED_VALUE"""),"CANCELLED")</f>
        <v>CANCELLED</v>
      </c>
      <c r="M1189" s="1" t="str">
        <f>IFERROR(__xludf.DUMMYFUNCTION("""COMPUTED_VALUE"""),"CANCELLED - WITH OB")</f>
        <v>CANCELLED - WITH OB</v>
      </c>
      <c r="N1189" s="3"/>
      <c r="O1189" s="1" t="str">
        <f>IFERROR(__xludf.DUMMYFUNCTION("""COMPUTED_VALUE"""),"FIBR PLAN 1299")</f>
        <v>FIBR PLAN 1299</v>
      </c>
      <c r="P1189" s="1" t="str">
        <f>IFERROR(__xludf.DUMMYFUNCTION("""COMPUTED_VALUE"""),"LOWPLAN")</f>
        <v>LOWPLAN</v>
      </c>
      <c r="Q1189" s="1" t="str">
        <f>IFERROR(__xludf.DUMMYFUNCTION("""COMPUTED_VALUE"""),"P407046")</f>
        <v>P407046</v>
      </c>
      <c r="R1189" s="1" t="str">
        <f>IFERROR(__xludf.DUMMYFUNCTION("""COMPUTED_VALUE"""),"MATUDAN, LEBRON JAMES")</f>
        <v>MATUDAN, LEBRON JAMES</v>
      </c>
      <c r="S1189" s="1" t="str">
        <f>IFERROR(__xludf.DUMMYFUNCTION("""COMPUTED_VALUE"""),"FLA")</f>
        <v>FLA</v>
      </c>
      <c r="T1189" s="1" t="str">
        <f>IFERROR(__xludf.DUMMYFUNCTION("""COMPUTED_VALUE"""),"LEA REMOLLO")</f>
        <v>LEA REMOLLO</v>
      </c>
      <c r="U1189" s="1" t="str">
        <f>IFERROR(__xludf.DUMMYFUNCTION("""COMPUTED_VALUE"""),"JULIE ESPIRITU")</f>
        <v>JULIE ESPIRITU</v>
      </c>
      <c r="V1189" s="1" t="str">
        <f>IFERROR(__xludf.DUMMYFUNCTION("""COMPUTED_VALUE"""),"BK REGULAR")</f>
        <v>BK REGULAR</v>
      </c>
      <c r="W1189" s="1" t="str">
        <f>IFERROR(__xludf.DUMMYFUNCTION("""COMPUTED_VALUE"""),"STK REGULAR")</f>
        <v>STK REGULAR</v>
      </c>
      <c r="X1189" s="1" t="str">
        <f>IFERROR(__xludf.DUMMYFUNCTION("""COMPUTED_VALUE"""),"REGULAR")</f>
        <v>REGULAR</v>
      </c>
      <c r="Y1189" s="1" t="str">
        <f>IFERROR(__xludf.DUMMYFUNCTION("""COMPUTED_VALUE"""),"BK_CVEU_261006")</f>
        <v>BK_CVEU_261006</v>
      </c>
      <c r="Z1189" s="1" t="str">
        <f>IFERROR(__xludf.DUMMYFUNCTION("""COMPUTED_VALUE"""),"NEW CONNECT")</f>
        <v>NEW CONNECT</v>
      </c>
      <c r="AA1189" s="1">
        <f>IFERROR(__xludf.DUMMYFUNCTION("""COMPUTED_VALUE"""),639516653276)</f>
        <v>639516653276</v>
      </c>
      <c r="AB1189" s="1">
        <f>IFERROR(__xludf.DUMMYFUNCTION("""COMPUTED_VALUE"""),639560985705)</f>
        <v>639560985705</v>
      </c>
      <c r="AC1189" s="1">
        <f>IFERROR(__xludf.DUMMYFUNCTION("""COMPUTED_VALUE"""),18)</f>
        <v>18</v>
      </c>
      <c r="AD1189" s="1" t="str">
        <f>IFERROR(__xludf.DUMMYFUNCTION("""COMPUTED_VALUE"""),"BUHO")</f>
        <v>BUHO</v>
      </c>
      <c r="AE1189" s="1"/>
      <c r="AF1189" s="1" t="str">
        <f>IFERROR(__xludf.DUMMYFUNCTION("""COMPUTED_VALUE"""),"BGY BUHO")</f>
        <v>BGY BUHO</v>
      </c>
      <c r="AG1189" s="1" t="str">
        <f>IFERROR(__xludf.DUMMYFUNCTION("""COMPUTED_VALUE"""),"SILANG")</f>
        <v>SILANG</v>
      </c>
      <c r="AH1189" s="1" t="str">
        <f>IFERROR(__xludf.DUMMYFUNCTION("""COMPUTED_VALUE"""),"TOP TRADE HARDWARE")</f>
        <v>TOP TRADE HARDWARE</v>
      </c>
      <c r="AI1189" s="1" t="str">
        <f>IFERROR(__xludf.DUMMYFUNCTION("""COMPUTED_VALUE"""),"CLUSTER 11")</f>
        <v>CLUSTER 11</v>
      </c>
    </row>
    <row r="1190" customHeight="1" spans="1:35">
      <c r="A1190" s="3">
        <f>IFERROR(__xludf.DUMMYFUNCTION("""COMPUTED_VALUE"""),46317)</f>
        <v>46317</v>
      </c>
      <c r="B1190" s="1" t="str">
        <f>IFERROR(__xludf.DUMMYFUNCTION("""COMPUTED_VALUE"""),"TESSIE LOPEZ ROXAS")</f>
        <v>TESSIE LOPEZ ROXAS</v>
      </c>
      <c r="C1190" s="1">
        <f>IFERROR(__xludf.DUMMYFUNCTION("""COMPUTED_VALUE"""),2313314737)</f>
        <v>2313314737</v>
      </c>
      <c r="D1190" s="1"/>
      <c r="E1190" s="1"/>
      <c r="F1190" s="1" t="str">
        <f>IFERROR(__xludf.DUMMYFUNCTION("""COMPUTED_VALUE"""),"CANCELLED")</f>
        <v>CANCELLED</v>
      </c>
      <c r="G1190" s="1" t="str">
        <f>IFERROR(__xludf.DUMMYFUNCTION("""COMPUTED_VALUE"""),"CANCELLED")</f>
        <v>CANCELLED</v>
      </c>
      <c r="H1190" s="1"/>
      <c r="I1190" s="1"/>
      <c r="J1190" s="1"/>
      <c r="K1190" s="1"/>
      <c r="L1190" s="1" t="str">
        <f>IFERROR(__xludf.DUMMYFUNCTION("""COMPUTED_VALUE"""),"CANCELLED")</f>
        <v>CANCELLED</v>
      </c>
      <c r="M1190" s="1" t="str">
        <f>IFERROR(__xludf.DUMMYFUNCTION("""COMPUTED_VALUE"""),"CANCELLED - WITH OB")</f>
        <v>CANCELLED - WITH OB</v>
      </c>
      <c r="N1190" s="3"/>
      <c r="O1190" s="1" t="str">
        <f>IFERROR(__xludf.DUMMYFUNCTION("""COMPUTED_VALUE"""),"FIBR PLAN 1299")</f>
        <v>FIBR PLAN 1299</v>
      </c>
      <c r="P1190" s="1" t="str">
        <f>IFERROR(__xludf.DUMMYFUNCTION("""COMPUTED_VALUE"""),"LOWPLAN")</f>
        <v>LOWPLAN</v>
      </c>
      <c r="Q1190" s="1" t="str">
        <f>IFERROR(__xludf.DUMMYFUNCTION("""COMPUTED_VALUE"""),"P407046")</f>
        <v>P407046</v>
      </c>
      <c r="R1190" s="1" t="str">
        <f>IFERROR(__xludf.DUMMYFUNCTION("""COMPUTED_VALUE"""),"MATUDAN, LEBRON JAMES")</f>
        <v>MATUDAN, LEBRON JAMES</v>
      </c>
      <c r="S1190" s="1" t="str">
        <f>IFERROR(__xludf.DUMMYFUNCTION("""COMPUTED_VALUE"""),"FLA")</f>
        <v>FLA</v>
      </c>
      <c r="T1190" s="1" t="str">
        <f>IFERROR(__xludf.DUMMYFUNCTION("""COMPUTED_VALUE"""),"LEA REMOLLO")</f>
        <v>LEA REMOLLO</v>
      </c>
      <c r="U1190" s="1" t="str">
        <f>IFERROR(__xludf.DUMMYFUNCTION("""COMPUTED_VALUE"""),"JULIE ESPIRITU")</f>
        <v>JULIE ESPIRITU</v>
      </c>
      <c r="V1190" s="1" t="str">
        <f>IFERROR(__xludf.DUMMYFUNCTION("""COMPUTED_VALUE"""),"BK REGULAR")</f>
        <v>BK REGULAR</v>
      </c>
      <c r="W1190" s="1" t="str">
        <f>IFERROR(__xludf.DUMMYFUNCTION("""COMPUTED_VALUE"""),"STK REGULAR")</f>
        <v>STK REGULAR</v>
      </c>
      <c r="X1190" s="1" t="str">
        <f>IFERROR(__xludf.DUMMYFUNCTION("""COMPUTED_VALUE"""),"REGULAR")</f>
        <v>REGULAR</v>
      </c>
      <c r="Y1190" s="1" t="str">
        <f>IFERROR(__xludf.DUMMYFUNCTION("""COMPUTED_VALUE"""),"BK_CVEU_261007")</f>
        <v>BK_CVEU_261007</v>
      </c>
      <c r="Z1190" s="1" t="str">
        <f>IFERROR(__xludf.DUMMYFUNCTION("""COMPUTED_VALUE"""),"NEW CONNECT")</f>
        <v>NEW CONNECT</v>
      </c>
      <c r="AA1190" s="1">
        <f>IFERROR(__xludf.DUMMYFUNCTION("""COMPUTED_VALUE"""),639552649893)</f>
        <v>639552649893</v>
      </c>
      <c r="AB1190" s="1"/>
      <c r="AC1190" s="1">
        <f>IFERROR(__xludf.DUMMYFUNCTION("""COMPUTED_VALUE"""),9563)</f>
        <v>9563</v>
      </c>
      <c r="AD1190" s="1" t="str">
        <f>IFERROR(__xludf.DUMMYFUNCTION("""COMPUTED_VALUE"""),"GUINHAWA NORTH")</f>
        <v>GUINHAWA NORTH</v>
      </c>
      <c r="AE1190" s="1"/>
      <c r="AF1190" s="1" t="str">
        <f>IFERROR(__xludf.DUMMYFUNCTION("""COMPUTED_VALUE"""),"BGY GUINHAWA NORTH")</f>
        <v>BGY GUINHAWA NORTH</v>
      </c>
      <c r="AG1190" s="1" t="str">
        <f>IFERROR(__xludf.DUMMYFUNCTION("""COMPUTED_VALUE"""),"TAGAYTAY")</f>
        <v>TAGAYTAY</v>
      </c>
      <c r="AH1190" s="1" t="str">
        <f>IFERROR(__xludf.DUMMYFUNCTION("""COMPUTED_VALUE"""),"CHAI CAFE")</f>
        <v>CHAI CAFE</v>
      </c>
      <c r="AI1190" s="1" t="str">
        <f>IFERROR(__xludf.DUMMYFUNCTION("""COMPUTED_VALUE"""),"CLUSTER 12")</f>
        <v>CLUSTER 12</v>
      </c>
    </row>
    <row r="1191" customHeight="1" spans="1:35">
      <c r="A1191" s="3">
        <f>IFERROR(__xludf.DUMMYFUNCTION("""COMPUTED_VALUE"""),46317)</f>
        <v>46317</v>
      </c>
      <c r="B1191" s="1" t="str">
        <f>IFERROR(__xludf.DUMMYFUNCTION("""COMPUTED_VALUE"""),"ERNESTO ACEVEDA FLORES")</f>
        <v>ERNESTO ACEVEDA FLORES</v>
      </c>
      <c r="C1191" s="1">
        <f>IFERROR(__xludf.DUMMYFUNCTION("""COMPUTED_VALUE"""),2313314997)</f>
        <v>2313314997</v>
      </c>
      <c r="D1191" s="1"/>
      <c r="E1191" s="1"/>
      <c r="F1191" s="1" t="str">
        <f>IFERROR(__xludf.DUMMYFUNCTION("""COMPUTED_VALUE"""),"CANCELLED")</f>
        <v>CANCELLED</v>
      </c>
      <c r="G1191" s="1" t="str">
        <f>IFERROR(__xludf.DUMMYFUNCTION("""COMPUTED_VALUE"""),"CANCELLED")</f>
        <v>CANCELLED</v>
      </c>
      <c r="H1191" s="1"/>
      <c r="I1191" s="1"/>
      <c r="J1191" s="1"/>
      <c r="K1191" s="1"/>
      <c r="L1191" s="1" t="str">
        <f>IFERROR(__xludf.DUMMYFUNCTION("""COMPUTED_VALUE"""),"CANCELLED")</f>
        <v>CANCELLED</v>
      </c>
      <c r="M1191" s="1" t="str">
        <f>IFERROR(__xludf.DUMMYFUNCTION("""COMPUTED_VALUE"""),"CANCELLED - WITH OB")</f>
        <v>CANCELLED - WITH OB</v>
      </c>
      <c r="N1191" s="3"/>
      <c r="O1191" s="1" t="str">
        <f>IFERROR(__xludf.DUMMYFUNCTION("""COMPUTED_VALUE"""),"FIBR PLAN 1299")</f>
        <v>FIBR PLAN 1299</v>
      </c>
      <c r="P1191" s="1" t="str">
        <f>IFERROR(__xludf.DUMMYFUNCTION("""COMPUTED_VALUE"""),"LOWPLAN")</f>
        <v>LOWPLAN</v>
      </c>
      <c r="Q1191" s="1" t="str">
        <f>IFERROR(__xludf.DUMMYFUNCTION("""COMPUTED_VALUE"""),"P407046")</f>
        <v>P407046</v>
      </c>
      <c r="R1191" s="1" t="str">
        <f>IFERROR(__xludf.DUMMYFUNCTION("""COMPUTED_VALUE"""),"MATUDAN, LEBRON JAMES")</f>
        <v>MATUDAN, LEBRON JAMES</v>
      </c>
      <c r="S1191" s="1" t="str">
        <f>IFERROR(__xludf.DUMMYFUNCTION("""COMPUTED_VALUE"""),"FLA")</f>
        <v>FLA</v>
      </c>
      <c r="T1191" s="1" t="str">
        <f>IFERROR(__xludf.DUMMYFUNCTION("""COMPUTED_VALUE"""),"LEA REMOLLO")</f>
        <v>LEA REMOLLO</v>
      </c>
      <c r="U1191" s="1" t="str">
        <f>IFERROR(__xludf.DUMMYFUNCTION("""COMPUTED_VALUE"""),"JULIE ESPIRITU")</f>
        <v>JULIE ESPIRITU</v>
      </c>
      <c r="V1191" s="1" t="str">
        <f>IFERROR(__xludf.DUMMYFUNCTION("""COMPUTED_VALUE"""),"BK REGULAR")</f>
        <v>BK REGULAR</v>
      </c>
      <c r="W1191" s="1" t="str">
        <f>IFERROR(__xludf.DUMMYFUNCTION("""COMPUTED_VALUE"""),"STK REGULAR")</f>
        <v>STK REGULAR</v>
      </c>
      <c r="X1191" s="1" t="str">
        <f>IFERROR(__xludf.DUMMYFUNCTION("""COMPUTED_VALUE"""),"REGULAR")</f>
        <v>REGULAR</v>
      </c>
      <c r="Y1191" s="1" t="str">
        <f>IFERROR(__xludf.DUMMYFUNCTION("""COMPUTED_VALUE"""),"BK_CVEU_261005")</f>
        <v>BK_CVEU_261005</v>
      </c>
      <c r="Z1191" s="1" t="str">
        <f>IFERROR(__xludf.DUMMYFUNCTION("""COMPUTED_VALUE"""),"NEW CONNECT")</f>
        <v>NEW CONNECT</v>
      </c>
      <c r="AA1191" s="1">
        <f>IFERROR(__xludf.DUMMYFUNCTION("""COMPUTED_VALUE"""),639175008849)</f>
        <v>639175008849</v>
      </c>
      <c r="AB1191" s="1">
        <f>IFERROR(__xludf.DUMMYFUNCTION("""COMPUTED_VALUE"""),639176577820)</f>
        <v>639176577820</v>
      </c>
      <c r="AC1191" s="1">
        <f>IFERROR(__xludf.DUMMYFUNCTION("""COMPUTED_VALUE"""),67)</f>
        <v>67</v>
      </c>
      <c r="AD1191" s="1" t="str">
        <f>IFERROR(__xludf.DUMMYFUNCTION("""COMPUTED_VALUE"""),"JP RIZAL")</f>
        <v>JP RIZAL</v>
      </c>
      <c r="AE1191" s="1"/>
      <c r="AF1191" s="1" t="str">
        <f>IFERROR(__xludf.DUMMYFUNCTION("""COMPUTED_VALUE"""),"BGY GALICIA 2")</f>
        <v>BGY GALICIA 2</v>
      </c>
      <c r="AG1191" s="1" t="str">
        <f>IFERROR(__xludf.DUMMYFUNCTION("""COMPUTED_VALUE"""),"MENDEZ")</f>
        <v>MENDEZ</v>
      </c>
      <c r="AH1191" s="1" t="str">
        <f>IFERROR(__xludf.DUMMYFUNCTION("""COMPUTED_VALUE"""),"-")</f>
        <v>-</v>
      </c>
      <c r="AI1191" s="1" t="str">
        <f>IFERROR(__xludf.DUMMYFUNCTION("""COMPUTED_VALUE"""),"CLUSTER 12")</f>
        <v>CLUSTER 12</v>
      </c>
    </row>
    <row r="1192" customHeight="1" spans="1:35">
      <c r="A1192" s="3">
        <f>IFERROR(__xludf.DUMMYFUNCTION("""COMPUTED_VALUE"""),46317)</f>
        <v>46317</v>
      </c>
      <c r="B1192" s="1" t="str">
        <f>IFERROR(__xludf.DUMMYFUNCTION("""COMPUTED_VALUE"""),"RECUERDOS FURNITURE TRADING")</f>
        <v>RECUERDOS FURNITURE TRADING</v>
      </c>
      <c r="C1192" s="1">
        <f>IFERROR(__xludf.DUMMYFUNCTION("""COMPUTED_VALUE"""),2313317643)</f>
        <v>2313317643</v>
      </c>
      <c r="D1192" s="1">
        <f>IFERROR(__xludf.DUMMYFUNCTION("""COMPUTED_VALUE"""),409238998)</f>
        <v>409238998</v>
      </c>
      <c r="E1192" s="1">
        <f>IFERROR(__xludf.DUMMYFUNCTION("""COMPUTED_VALUE"""),476670719004)</f>
        <v>476670719004</v>
      </c>
      <c r="F1192" s="1" t="str">
        <f>IFERROR(__xludf.DUMMYFUNCTION("""COMPUTED_VALUE"""),"CLOSED")</f>
        <v>CLOSED</v>
      </c>
      <c r="G1192" s="1" t="str">
        <f>IFERROR(__xludf.DUMMYFUNCTION("""COMPUTED_VALUE"""),"CLOSED")</f>
        <v>CLOSED</v>
      </c>
      <c r="H1192" s="1"/>
      <c r="I1192" s="1" t="str">
        <f>IFERROR(__xludf.DUMMYFUNCTION("""COMPUTED_VALUE"""),"NO 1 AMSF")</f>
        <v>NO 1 AMSF</v>
      </c>
      <c r="J1192" s="1"/>
      <c r="K1192" s="1"/>
      <c r="L1192" s="1" t="str">
        <f>IFERROR(__xludf.DUMMYFUNCTION("""COMPUTED_VALUE"""),"POSTED")</f>
        <v>POSTED</v>
      </c>
      <c r="M1192" s="1" t="str">
        <f>IFERROR(__xludf.DUMMYFUNCTION("""COMPUTED_VALUE"""),"POSTED")</f>
        <v>POSTED</v>
      </c>
      <c r="N1192" s="3">
        <f>IFERROR(__xludf.DUMMYFUNCTION("""COMPUTED_VALUE"""),46318)</f>
        <v>46318</v>
      </c>
      <c r="O1192" s="1" t="str">
        <f>IFERROR(__xludf.DUMMYFUNCTION("""COMPUTED_VALUE"""),"HOME BIZ PLAN 1299")</f>
        <v>HOME BIZ PLAN 1299</v>
      </c>
      <c r="P1192" s="1" t="str">
        <f>IFERROR(__xludf.DUMMYFUNCTION("""COMPUTED_VALUE"""),"BIZ PLAN")</f>
        <v>BIZ PLAN</v>
      </c>
      <c r="Q1192" s="1" t="str">
        <f>IFERROR(__xludf.DUMMYFUNCTION("""COMPUTED_VALUE"""),"P408049")</f>
        <v>P408049</v>
      </c>
      <c r="R1192" s="1" t="str">
        <f>IFERROR(__xludf.DUMMYFUNCTION("""COMPUTED_VALUE"""),"CORNELIO, CATHERINE")</f>
        <v>CORNELIO, CATHERINE</v>
      </c>
      <c r="S1192" s="1" t="str">
        <f>IFERROR(__xludf.DUMMYFUNCTION("""COMPUTED_VALUE"""),"ORGANIC")</f>
        <v>ORGANIC</v>
      </c>
      <c r="T1192" s="1" t="str">
        <f>IFERROR(__xludf.DUMMYFUNCTION("""COMPUTED_VALUE"""),"LEA REMOLLO")</f>
        <v>LEA REMOLLO</v>
      </c>
      <c r="U1192" s="1" t="str">
        <f>IFERROR(__xludf.DUMMYFUNCTION("""COMPUTED_VALUE"""),"JULIE ESPIRITU")</f>
        <v>JULIE ESPIRITU</v>
      </c>
      <c r="V1192" s="1" t="str">
        <f>IFERROR(__xludf.DUMMYFUNCTION("""COMPUTED_VALUE"""),"H2H")</f>
        <v>H2H</v>
      </c>
      <c r="W1192" s="1" t="str">
        <f>IFERROR(__xludf.DUMMYFUNCTION("""COMPUTED_VALUE"""),"CSP")</f>
        <v>CSP</v>
      </c>
      <c r="X1192" s="1" t="str">
        <f>IFERROR(__xludf.DUMMYFUNCTION("""COMPUTED_VALUE"""),"REGULAR")</f>
        <v>REGULAR</v>
      </c>
      <c r="Y1192" s="1" t="str">
        <f>IFERROR(__xludf.DUMMYFUNCTION("""COMPUTED_VALUE"""),"BK_CVEU_261006")</f>
        <v>BK_CVEU_261006</v>
      </c>
      <c r="Z1192" s="1" t="str">
        <f>IFERROR(__xludf.DUMMYFUNCTION("""COMPUTED_VALUE"""),"NEW CONNECT")</f>
        <v>NEW CONNECT</v>
      </c>
      <c r="AA1192" s="1">
        <f>IFERROR(__xludf.DUMMYFUNCTION("""COMPUTED_VALUE"""),639429797758)</f>
        <v>639429797758</v>
      </c>
      <c r="AB1192" s="1"/>
      <c r="AC1192" s="1"/>
      <c r="AD1192" s="1" t="str">
        <f>IFERROR(__xludf.DUMMYFUNCTION("""COMPUTED_VALUE"""),"GEN EMILIO AGUINALDO HWAY")</f>
        <v>GEN EMILIO AGUINALDO HWAY</v>
      </c>
      <c r="AE1192" s="1" t="str">
        <f>IFERROR(__xludf.DUMMYFUNCTION("""COMPUTED_VALUE"""),"PUROK 5")</f>
        <v>PUROK 5</v>
      </c>
      <c r="AF1192" s="1" t="str">
        <f>IFERROR(__xludf.DUMMYFUNCTION("""COMPUTED_VALUE"""),"BGY LALAAN 2")</f>
        <v>BGY LALAAN 2</v>
      </c>
      <c r="AG1192" s="1" t="str">
        <f>IFERROR(__xludf.DUMMYFUNCTION("""COMPUTED_VALUE"""),"SILANG")</f>
        <v>SILANG</v>
      </c>
      <c r="AH1192" s="1"/>
      <c r="AI1192" s="1" t="str">
        <f>IFERROR(__xludf.DUMMYFUNCTION("""COMPUTED_VALUE"""),"CLUSTER 11")</f>
        <v>CLUSTER 11</v>
      </c>
    </row>
    <row r="1193" customHeight="1" spans="1:35">
      <c r="A1193" s="3">
        <f>IFERROR(__xludf.DUMMYFUNCTION("""COMPUTED_VALUE"""),46318)</f>
        <v>46318</v>
      </c>
      <c r="B1193" s="1" t="str">
        <f>IFERROR(__xludf.DUMMYFUNCTION("""COMPUTED_VALUE"""),"MAGILYN MACATANGAY ASCAN")</f>
        <v>MAGILYN MACATANGAY ASCAN</v>
      </c>
      <c r="C1193" s="1">
        <f>IFERROR(__xludf.DUMMYFUNCTION("""COMPUTED_VALUE"""),2313325570)</f>
        <v>2313325570</v>
      </c>
      <c r="D1193" s="1"/>
      <c r="E1193" s="1"/>
      <c r="F1193" s="1" t="str">
        <f>IFERROR(__xludf.DUMMYFUNCTION("""COMPUTED_VALUE"""),"REENCODED")</f>
        <v>REENCODED</v>
      </c>
      <c r="G1193" s="1" t="str">
        <f>IFERROR(__xludf.DUMMYFUNCTION("""COMPUTED_VALUE"""),"WITH ACTIVE SERVICE | ACCT # 0274758058 | SAME NAME | SAME DOB | DIFF ADDRESS | PLS PROVIDE POA WITH INSTALLATION ADDRESS UNDER SOR NAME ")</f>
        <v>WITH ACTIVE SERVICE | ACCT # 0274758058 | SAME NAME | SAME DOB | DIFF ADDRESS | PLS PROVIDE POA WITH INSTALLATION ADDRESS UNDER SOR NAME </v>
      </c>
      <c r="H1193" s="1"/>
      <c r="I1193" s="1"/>
      <c r="J1193" s="1"/>
      <c r="K1193" s="1" t="str">
        <f>IFERROR(__xludf.DUMMYFUNCTION("""COMPUTED_VALUE"""),"DONE EMAIL")</f>
        <v>DONE EMAIL</v>
      </c>
      <c r="L1193" s="1" t="str">
        <f>IFERROR(__xludf.DUMMYFUNCTION("""COMPUTED_VALUE"""),"REENCODED")</f>
        <v>REENCODED</v>
      </c>
      <c r="M1193" s="1" t="str">
        <f>IFERROR(__xludf.DUMMYFUNCTION("""COMPUTED_VALUE"""),"REENCODED")</f>
        <v>REENCODED</v>
      </c>
      <c r="N1193" s="3"/>
      <c r="O1193" s="1" t="str">
        <f>IFERROR(__xludf.DUMMYFUNCTION("""COMPUTED_VALUE"""),"FIBR NETFLIX PLAN 1599")</f>
        <v>FIBR NETFLIX PLAN 1599</v>
      </c>
      <c r="P1193" s="1" t="str">
        <f>IFERROR(__xludf.DUMMYFUNCTION("""COMPUTED_VALUE"""),"LOWPLAN")</f>
        <v>LOWPLAN</v>
      </c>
      <c r="Q1193" s="1" t="str">
        <f>IFERROR(__xludf.DUMMYFUNCTION("""COMPUTED_VALUE"""),"P407045")</f>
        <v>P407045</v>
      </c>
      <c r="R1193" s="1" t="str">
        <f>IFERROR(__xludf.DUMMYFUNCTION("""COMPUTED_VALUE"""),"REMOLLO, LEA")</f>
        <v>REMOLLO, LEA</v>
      </c>
      <c r="S1193" s="1" t="str">
        <f>IFERROR(__xludf.DUMMYFUNCTION("""COMPUTED_VALUE"""),"FLA")</f>
        <v>FLA</v>
      </c>
      <c r="T1193" s="1" t="str">
        <f>IFERROR(__xludf.DUMMYFUNCTION("""COMPUTED_VALUE"""),"JERIC NAVARRO")</f>
        <v>JERIC NAVARRO</v>
      </c>
      <c r="U1193" s="1" t="str">
        <f>IFERROR(__xludf.DUMMYFUNCTION("""COMPUTED_VALUE"""),"JB SALIOA")</f>
        <v>JB SALIOA</v>
      </c>
      <c r="V1193" s="1" t="str">
        <f>IFERROR(__xludf.DUMMYFUNCTION("""COMPUTED_VALUE"""),"BK REGULAR")</f>
        <v>BK REGULAR</v>
      </c>
      <c r="W1193" s="1" t="str">
        <f>IFERROR(__xludf.DUMMYFUNCTION("""COMPUTED_VALUE"""),"STK REGULAR")</f>
        <v>STK REGULAR</v>
      </c>
      <c r="X1193" s="1" t="str">
        <f>IFERROR(__xludf.DUMMYFUNCTION("""COMPUTED_VALUE"""),"REGULAR")</f>
        <v>REGULAR</v>
      </c>
      <c r="Y1193" s="1" t="str">
        <f>IFERROR(__xludf.DUMMYFUNCTION("""COMPUTED_VALUE"""),"BK_CVEU_261007")</f>
        <v>BK_CVEU_261007</v>
      </c>
      <c r="Z1193" s="1" t="str">
        <f>IFERROR(__xludf.DUMMYFUNCTION("""COMPUTED_VALUE"""),"NEW CONNECT")</f>
        <v>NEW CONNECT</v>
      </c>
      <c r="AA1193" s="1">
        <f>IFERROR(__xludf.DUMMYFUNCTION("""COMPUTED_VALUE"""),639663007739)</f>
        <v>639663007739</v>
      </c>
      <c r="AB1193" s="1"/>
      <c r="AC1193" s="1"/>
      <c r="AD1193" s="1" t="str">
        <f>IFERROR(__xludf.DUMMYFUNCTION("""COMPUTED_VALUE"""),"PUROK 98")</f>
        <v>PUROK 98</v>
      </c>
      <c r="AE1193" s="1" t="str">
        <f>IFERROR(__xludf.DUMMYFUNCTION("""COMPUTED_VALUE"""),"ELEVE HOMES")</f>
        <v>ELEVE HOMES</v>
      </c>
      <c r="AF1193" s="1" t="str">
        <f>IFERROR(__xludf.DUMMYFUNCTION("""COMPUTED_VALUE"""),"BGY MAHARLIKA WEST")</f>
        <v>BGY MAHARLIKA WEST</v>
      </c>
      <c r="AG1193" s="1" t="str">
        <f>IFERROR(__xludf.DUMMYFUNCTION("""COMPUTED_VALUE"""),"TAGAYTAY")</f>
        <v>TAGAYTAY</v>
      </c>
      <c r="AH1193" s="1" t="str">
        <f>IFERROR(__xludf.DUMMYFUNCTION("""COMPUTED_VALUE"""),"ELEVE HOMES")</f>
        <v>ELEVE HOMES</v>
      </c>
      <c r="AI1193" s="1" t="str">
        <f>IFERROR(__xludf.DUMMYFUNCTION("""COMPUTED_VALUE"""),"CLUSTER 12")</f>
        <v>CLUSTER 12</v>
      </c>
    </row>
    <row r="1194" customHeight="1" spans="1:35">
      <c r="A1194" s="3">
        <f>IFERROR(__xludf.DUMMYFUNCTION("""COMPUTED_VALUE"""),46318)</f>
        <v>46318</v>
      </c>
      <c r="B1194" s="1" t="str">
        <f>IFERROR(__xludf.DUMMYFUNCTION("""COMPUTED_VALUE"""),"LORAINE MALBAS BELLON")</f>
        <v>LORAINE MALBAS BELLON</v>
      </c>
      <c r="C1194" s="1">
        <f>IFERROR(__xludf.DUMMYFUNCTION("""COMPUTED_VALUE"""),2313327073)</f>
        <v>2313327073</v>
      </c>
      <c r="D1194" s="1"/>
      <c r="E1194" s="1"/>
      <c r="F1194" s="1" t="str">
        <f>IFERROR(__xludf.DUMMYFUNCTION("""COMPUTED_VALUE"""),"CANCELLED")</f>
        <v>CANCELLED</v>
      </c>
      <c r="G1194" s="1" t="str">
        <f>IFERROR(__xludf.DUMMYFUNCTION("""COMPUTED_VALUE"""),"(WITH PENDING APPLICATION ALREADY; CANCELLED THE NEW APPLICATION) GG - SEGMENT 1 - NEW TO CREDIT - HIGH RISK || DUPLICATE APPLICATION - WITH OPEN KO # 476790152004 | SAME NAME | SAME DOB ")</f>
        <v>(WITH PENDING APPLICATION ALREADY; CANCELLED THE NEW APPLICATION) GG - SEGMENT 1 - NEW TO CREDIT - HIGH RISK || DUPLICATE APPLICATION - WITH OPEN KO # 476790152004 | SAME NAME | SAME DOB </v>
      </c>
      <c r="H1194" s="1"/>
      <c r="I1194" s="1"/>
      <c r="J1194" s="1"/>
      <c r="K1194" s="1"/>
      <c r="L1194" s="1" t="str">
        <f>IFERROR(__xludf.DUMMYFUNCTION("""COMPUTED_VALUE"""),"CANCELLED - WITH EXISTING SR")</f>
        <v>CANCELLED - WITH EXISTING SR</v>
      </c>
      <c r="M1194" s="1" t="str">
        <f>IFERROR(__xludf.DUMMYFUNCTION("""COMPUTED_VALUE"""),"CANCELLED - WITH EXISTING SR")</f>
        <v>CANCELLED - WITH EXISTING SR</v>
      </c>
      <c r="N1194" s="3"/>
      <c r="O1194" s="1" t="str">
        <f>IFERROR(__xludf.DUMMYFUNCTION("""COMPUTED_VALUE"""),"FIBER UNLI ALL PLAN 1499")</f>
        <v>FIBER UNLI ALL PLAN 1499</v>
      </c>
      <c r="P1194" s="1" t="str">
        <f>IFERROR(__xludf.DUMMYFUNCTION("""COMPUTED_VALUE"""),"LOWPLAN")</f>
        <v>LOWPLAN</v>
      </c>
      <c r="Q1194" s="1" t="str">
        <f>IFERROR(__xludf.DUMMYFUNCTION("""COMPUTED_VALUE"""),"P407049")</f>
        <v>P407049</v>
      </c>
      <c r="R1194" s="1" t="str">
        <f>IFERROR(__xludf.DUMMYFUNCTION("""COMPUTED_VALUE"""),"ALINGARO, CINDY")</f>
        <v>ALINGARO, CINDY</v>
      </c>
      <c r="S1194" s="1" t="str">
        <f>IFERROR(__xludf.DUMMYFUNCTION("""COMPUTED_VALUE"""),"ORGANIC")</f>
        <v>ORGANIC</v>
      </c>
      <c r="T1194" s="1" t="str">
        <f>IFERROR(__xludf.DUMMYFUNCTION("""COMPUTED_VALUE"""),"LEA REMOLLO")</f>
        <v>LEA REMOLLO</v>
      </c>
      <c r="U1194" s="1" t="str">
        <f>IFERROR(__xludf.DUMMYFUNCTION("""COMPUTED_VALUE"""),"JB SALIOA")</f>
        <v>JB SALIOA</v>
      </c>
      <c r="V1194" s="1" t="str">
        <f>IFERROR(__xludf.DUMMYFUNCTION("""COMPUTED_VALUE"""),"ONLINE/CRANFORD")</f>
        <v>ONLINE/CRANFORD</v>
      </c>
      <c r="W1194" s="1" t="str">
        <f>IFERROR(__xludf.DUMMYFUNCTION("""COMPUTED_VALUE"""),"STK REGULAR")</f>
        <v>STK REGULAR</v>
      </c>
      <c r="X1194" s="1" t="str">
        <f>IFERROR(__xludf.DUMMYFUNCTION("""COMPUTED_VALUE"""),"REGULAR")</f>
        <v>REGULAR</v>
      </c>
      <c r="Y1194" s="1" t="str">
        <f>IFERROR(__xludf.DUMMYFUNCTION("""COMPUTED_VALUE"""),"RS_SS_CVEU_2026")</f>
        <v>RS_SS_CVEU_2026</v>
      </c>
      <c r="Z1194" s="1" t="str">
        <f>IFERROR(__xludf.DUMMYFUNCTION("""COMPUTED_VALUE"""),"NEW CONNECT")</f>
        <v>NEW CONNECT</v>
      </c>
      <c r="AA1194" s="1">
        <f>IFERROR(__xludf.DUMMYFUNCTION("""COMPUTED_VALUE"""),639672802041)</f>
        <v>639672802041</v>
      </c>
      <c r="AB1194" s="1">
        <f>IFERROR(__xludf.DUMMYFUNCTION("""COMPUTED_VALUE"""),639269680956)</f>
        <v>639269680956</v>
      </c>
      <c r="AC1194" s="1">
        <f>IFERROR(__xludf.DUMMYFUNCTION("""COMPUTED_VALUE"""),277)</f>
        <v>277</v>
      </c>
      <c r="AD1194" s="1" t="str">
        <f>IFERROR(__xludf.DUMMYFUNCTION("""COMPUTED_VALUE"""),"2ND")</f>
        <v>2ND</v>
      </c>
      <c r="AE1194" s="1" t="str">
        <f>IFERROR(__xludf.DUMMYFUNCTION("""COMPUTED_VALUE"""),"UNIT C")</f>
        <v>UNIT C</v>
      </c>
      <c r="AF1194" s="1" t="str">
        <f>IFERROR(__xludf.DUMMYFUNCTION("""COMPUTED_VALUE"""),"BGY SALINAS 1")</f>
        <v>BGY SALINAS 1</v>
      </c>
      <c r="AG1194" s="1" t="str">
        <f>IFERROR(__xludf.DUMMYFUNCTION("""COMPUTED_VALUE"""),"BACOOR")</f>
        <v>BACOOR</v>
      </c>
      <c r="AH1194" s="1" t="str">
        <f>IFERROR(__xludf.DUMMYFUNCTION("""COMPUTED_VALUE"""),"2ND ST")</f>
        <v>2ND ST</v>
      </c>
      <c r="AI1194" s="1" t="str">
        <f>IFERROR(__xludf.DUMMYFUNCTION("""COMPUTED_VALUE"""),"NOT AOR")</f>
        <v>NOT AOR</v>
      </c>
    </row>
    <row r="1195" customHeight="1" spans="1:35">
      <c r="A1195" s="3">
        <f>IFERROR(__xludf.DUMMYFUNCTION("""COMPUTED_VALUE"""),46318)</f>
        <v>46318</v>
      </c>
      <c r="B1195" s="1" t="str">
        <f>IFERROR(__xludf.DUMMYFUNCTION("""COMPUTED_VALUE"""),"CHRISTOPHER BIANZON BUISAN")</f>
        <v>CHRISTOPHER BIANZON BUISAN</v>
      </c>
      <c r="C1195" s="1">
        <f>IFERROR(__xludf.DUMMYFUNCTION("""COMPUTED_VALUE"""),2313327990)</f>
        <v>2313327990</v>
      </c>
      <c r="D1195" s="1"/>
      <c r="E1195" s="1"/>
      <c r="F1195" s="1" t="str">
        <f>IFERROR(__xludf.DUMMYFUNCTION("""COMPUTED_VALUE"""),"CANCELLED")</f>
        <v>CANCELLED</v>
      </c>
      <c r="G1195" s="1" t="str">
        <f>IFERROR(__xludf.DUMMYFUNCTION("""COMPUTED_VALUE"""),"(WITH BLACKLISTED ACCOUNT FOR SETTLEMENT) Return to Sales | Found blacklisted acct no (0370491313) – SAME NAME, SAME DOB, DIFF ADDRESS with OB amounting to (Php8,383.08) for settlement |no existing active acct and/ or pending application | Done Validation"&amp;" with submitted complete docs| correct encoded info in CSP | waived 1 AMSF requirements (GG - 1 (NTC) | FIBER 1399 98TH YR")</f>
        <v>(WITH BLACKLISTED ACCOUNT FOR SETTLEMENT) Return to Sales | Found blacklisted acct no (0370491313) – SAME NAME, SAME DOB, DIFF ADDRESS with OB amounting to (Php8,383.08) for settlement |no existing active acct and/ or pending application | Done Validation with submitted complete docs| correct encoded info in CSP | waived 1 AMSF requirements (GG - 1 (NTC) | FIBER 1399 98TH YR</v>
      </c>
      <c r="H1195" s="1"/>
      <c r="I1195" s="1"/>
      <c r="J1195" s="1"/>
      <c r="K1195" s="1" t="str">
        <f>IFERROR(__xludf.DUMMYFUNCTION("""COMPUTED_VALUE"""),"DONE EMAIL")</f>
        <v>DONE EMAIL</v>
      </c>
      <c r="L1195" s="1" t="str">
        <f>IFERROR(__xludf.DUMMYFUNCTION("""COMPUTED_VALUE"""),"CANCELLED")</f>
        <v>CANCELLED</v>
      </c>
      <c r="M1195" s="1" t="str">
        <f>IFERROR(__xludf.DUMMYFUNCTION("""COMPUTED_VALUE"""),"CANCELLED - WITH OB")</f>
        <v>CANCELLED - WITH OB</v>
      </c>
      <c r="N1195" s="3"/>
      <c r="O1195" s="1" t="str">
        <f>IFERROR(__xludf.DUMMYFUNCTION("""COMPUTED_VALUE"""),"FIBER UNLI PLAN 1399")</f>
        <v>FIBER UNLI PLAN 1399</v>
      </c>
      <c r="P1195" s="1" t="str">
        <f>IFERROR(__xludf.DUMMYFUNCTION("""COMPUTED_VALUE"""),"LOWPLAN")</f>
        <v>LOWPLAN</v>
      </c>
      <c r="Q1195" s="1" t="str">
        <f>IFERROR(__xludf.DUMMYFUNCTION("""COMPUTED_VALUE"""),"P408049")</f>
        <v>P408049</v>
      </c>
      <c r="R1195" s="1" t="str">
        <f>IFERROR(__xludf.DUMMYFUNCTION("""COMPUTED_VALUE"""),"CORNELIO, CATHERINE")</f>
        <v>CORNELIO, CATHERINE</v>
      </c>
      <c r="S1195" s="1" t="str">
        <f>IFERROR(__xludf.DUMMYFUNCTION("""COMPUTED_VALUE"""),"ORGANIC")</f>
        <v>ORGANIC</v>
      </c>
      <c r="T1195" s="1" t="str">
        <f>IFERROR(__xludf.DUMMYFUNCTION("""COMPUTED_VALUE"""),"LEA REMOLLO")</f>
        <v>LEA REMOLLO</v>
      </c>
      <c r="U1195" s="1" t="str">
        <f>IFERROR(__xludf.DUMMYFUNCTION("""COMPUTED_VALUE"""),"JB SALIOA")</f>
        <v>JB SALIOA</v>
      </c>
      <c r="V1195" s="1" t="str">
        <f>IFERROR(__xludf.DUMMYFUNCTION("""COMPUTED_VALUE"""),"BK REGULAR")</f>
        <v>BK REGULAR</v>
      </c>
      <c r="W1195" s="1" t="str">
        <f>IFERROR(__xludf.DUMMYFUNCTION("""COMPUTED_VALUE"""),"STK REGULAR")</f>
        <v>STK REGULAR</v>
      </c>
      <c r="X1195" s="1" t="str">
        <f>IFERROR(__xludf.DUMMYFUNCTION("""COMPUTED_VALUE"""),"FIBER 1399 98TH YR")</f>
        <v>FIBER 1399 98TH YR</v>
      </c>
      <c r="Y1195" s="1" t="str">
        <f>IFERROR(__xludf.DUMMYFUNCTION("""COMPUTED_VALUE"""),"BK_CVEU_261001")</f>
        <v>BK_CVEU_261001</v>
      </c>
      <c r="Z1195" s="1" t="str">
        <f>IFERROR(__xludf.DUMMYFUNCTION("""COMPUTED_VALUE"""),"NEW CONNECT")</f>
        <v>NEW CONNECT</v>
      </c>
      <c r="AA1195" s="1">
        <f>IFERROR(__xludf.DUMMYFUNCTION("""COMPUTED_VALUE"""),639277949211)</f>
        <v>639277949211</v>
      </c>
      <c r="AB1195" s="1"/>
      <c r="AC1195" s="1">
        <f>IFERROR(__xludf.DUMMYFUNCTION("""COMPUTED_VALUE"""),214)</f>
        <v>214</v>
      </c>
      <c r="AD1195" s="1" t="str">
        <f>IFERROR(__xludf.DUMMYFUNCTION("""COMPUTED_VALUE"""),"BALUBAD")</f>
        <v>BALUBAD</v>
      </c>
      <c r="AE1195" s="1"/>
      <c r="AF1195" s="1" t="str">
        <f>IFERROR(__xludf.DUMMYFUNCTION("""COMPUTED_VALUE"""),"BGY MARAHAN 2")</f>
        <v>BGY MARAHAN 2</v>
      </c>
      <c r="AG1195" s="1" t="str">
        <f>IFERROR(__xludf.DUMMYFUNCTION("""COMPUTED_VALUE"""),"ALFONSO")</f>
        <v>ALFONSO</v>
      </c>
      <c r="AH1195" s="1" t="str">
        <f>IFERROR(__xludf.DUMMYFUNCTION("""COMPUTED_VALUE"""),"BALAI ALFONSO")</f>
        <v>BALAI ALFONSO</v>
      </c>
      <c r="AI1195" s="1" t="str">
        <f>IFERROR(__xludf.DUMMYFUNCTION("""COMPUTED_VALUE"""),"CLUSTER 12")</f>
        <v>CLUSTER 12</v>
      </c>
    </row>
    <row r="1196" customHeight="1" spans="1:35">
      <c r="A1196" s="3">
        <f>IFERROR(__xludf.DUMMYFUNCTION("""COMPUTED_VALUE"""),46318)</f>
        <v>46318</v>
      </c>
      <c r="B1196" s="1" t="str">
        <f>IFERROR(__xludf.DUMMYFUNCTION("""COMPUTED_VALUE"""),"FELIPE JR EVANGELISTA FRANCISCO")</f>
        <v>FELIPE JR EVANGELISTA FRANCISCO</v>
      </c>
      <c r="C1196" s="1">
        <f>IFERROR(__xludf.DUMMYFUNCTION("""COMPUTED_VALUE"""),2313328446)</f>
        <v>2313328446</v>
      </c>
      <c r="D1196" s="1">
        <f>IFERROR(__xludf.DUMMYFUNCTION("""COMPUTED_VALUE"""),409255701)</f>
        <v>409255701</v>
      </c>
      <c r="E1196" s="1">
        <f>IFERROR(__xludf.DUMMYFUNCTION("""COMPUTED_VALUE"""),476786677004)</f>
        <v>476786677004</v>
      </c>
      <c r="F1196" s="1" t="str">
        <f>IFERROR(__xludf.DUMMYFUNCTION("""COMPUTED_VALUE"""),"AFD")</f>
        <v>AFD</v>
      </c>
      <c r="G1196" s="1" t="str">
        <f>IFERROR(__xludf.DUMMYFUNCTION("""COMPUTED_VALUE"""),"""CALLTHRU 
REMARKS: RESCHEDULE NO SPECIFIC DATE, NASA MANILA PA DAW SI SUBS, MAG FOFOLLOW UP NA LANG SIYA 
TALK FELIPE JR EVANGELISTA FRANCISCO 
09928693662""")</f>
        <v>"CALLTHRU 
REMARKS: RESCHEDULE NO SPECIFIC DATE, NASA MANILA PA DAW SI SUBS, MAG FOFOLLOW UP NA LANG SIYA 
TALK FELIPE JR EVANGELISTA FRANCISCO 
09928693662"</v>
      </c>
      <c r="H1196" s="1"/>
      <c r="I1196" s="1"/>
      <c r="J1196" s="1"/>
      <c r="K1196" s="1"/>
      <c r="L1196" s="1" t="str">
        <f>IFERROR(__xludf.DUMMYFUNCTION("""COMPUTED_VALUE"""),"AFD - RESCHEDULE")</f>
        <v>AFD - RESCHEDULE</v>
      </c>
      <c r="M1196" s="1" t="str">
        <f>IFERROR(__xludf.DUMMYFUNCTION("""COMPUTED_VALUE"""),"AFD - RESCHEDULED")</f>
        <v>AFD - RESCHEDULED</v>
      </c>
      <c r="N1196" s="3"/>
      <c r="O1196" s="1" t="str">
        <f>IFERROR(__xludf.DUMMYFUNCTION("""COMPUTED_VALUE"""),"FIBER UNLI PLAN 1399")</f>
        <v>FIBER UNLI PLAN 1399</v>
      </c>
      <c r="P1196" s="1" t="str">
        <f>IFERROR(__xludf.DUMMYFUNCTION("""COMPUTED_VALUE"""),"LOWPLAN")</f>
        <v>LOWPLAN</v>
      </c>
      <c r="Q1196" s="1" t="str">
        <f>IFERROR(__xludf.DUMMYFUNCTION("""COMPUTED_VALUE"""),"P407564")</f>
        <v>P407564</v>
      </c>
      <c r="R1196" s="1" t="str">
        <f>IFERROR(__xludf.DUMMYFUNCTION("""COMPUTED_VALUE"""),"ARENA, LYKA")</f>
        <v>ARENA, LYKA</v>
      </c>
      <c r="S1196" s="1" t="str">
        <f>IFERROR(__xludf.DUMMYFUNCTION("""COMPUTED_VALUE"""),"ORGANIC")</f>
        <v>ORGANIC</v>
      </c>
      <c r="T1196" s="1" t="str">
        <f>IFERROR(__xludf.DUMMYFUNCTION("""COMPUTED_VALUE"""),"LEA REMOLLO")</f>
        <v>LEA REMOLLO</v>
      </c>
      <c r="U1196" s="1" t="str">
        <f>IFERROR(__xludf.DUMMYFUNCTION("""COMPUTED_VALUE"""),"JB SALIOA")</f>
        <v>JB SALIOA</v>
      </c>
      <c r="V1196" s="1" t="str">
        <f>IFERROR(__xludf.DUMMYFUNCTION("""COMPUTED_VALUE"""),"BK HSTK")</f>
        <v>BK HSTK</v>
      </c>
      <c r="W1196" s="1" t="str">
        <f>IFERROR(__xludf.DUMMYFUNCTION("""COMPUTED_VALUE"""),"BK HSTK")</f>
        <v>BK HSTK</v>
      </c>
      <c r="X1196" s="1" t="str">
        <f>IFERROR(__xludf.DUMMYFUNCTION("""COMPUTED_VALUE"""),"FIBER 1399 98TH YR")</f>
        <v>FIBER 1399 98TH YR</v>
      </c>
      <c r="Y1196" s="1" t="str">
        <f>IFERROR(__xludf.DUMMYFUNCTION("""COMPUTED_VALUE"""),"BK_CVEU_261006")</f>
        <v>BK_CVEU_261006</v>
      </c>
      <c r="Z1196" s="1" t="str">
        <f>IFERROR(__xludf.DUMMYFUNCTION("""COMPUTED_VALUE"""),"NEW CONNECT")</f>
        <v>NEW CONNECT</v>
      </c>
      <c r="AA1196" s="1">
        <f>IFERROR(__xludf.DUMMYFUNCTION("""COMPUTED_VALUE"""),639928693662)</f>
        <v>639928693662</v>
      </c>
      <c r="AB1196" s="1"/>
      <c r="AC1196" s="1">
        <f>IFERROR(__xludf.DUMMYFUNCTION("""COMPUTED_VALUE"""),11)</f>
        <v>11</v>
      </c>
      <c r="AD1196" s="1" t="str">
        <f>IFERROR(__xludf.DUMMYFUNCTION("""COMPUTED_VALUE"""),"PUROK 6")</f>
        <v>PUROK 6</v>
      </c>
      <c r="AE1196" s="1"/>
      <c r="AF1196" s="1" t="str">
        <f>IFERROR(__xludf.DUMMYFUNCTION("""COMPUTED_VALUE"""),"BGY BIGA 2")</f>
        <v>BGY BIGA 2</v>
      </c>
      <c r="AG1196" s="1" t="str">
        <f>IFERROR(__xludf.DUMMYFUNCTION("""COMPUTED_VALUE"""),"SILANG")</f>
        <v>SILANG</v>
      </c>
      <c r="AH1196" s="1" t="str">
        <f>IFERROR(__xludf.DUMMYFUNCTION("""COMPUTED_VALUE"""),"BRGY HALL")</f>
        <v>BRGY HALL</v>
      </c>
      <c r="AI1196" s="1" t="str">
        <f>IFERROR(__xludf.DUMMYFUNCTION("""COMPUTED_VALUE"""),"CLUSTER 11")</f>
        <v>CLUSTER 11</v>
      </c>
    </row>
    <row r="1197" customHeight="1" spans="1:35">
      <c r="A1197" s="3">
        <f>IFERROR(__xludf.DUMMYFUNCTION("""COMPUTED_VALUE"""),46318)</f>
        <v>46318</v>
      </c>
      <c r="B1197" s="1" t="str">
        <f>IFERROR(__xludf.DUMMYFUNCTION("""COMPUTED_VALUE"""),"LEI ANTONETTE PALO BIRCO")</f>
        <v>LEI ANTONETTE PALO BIRCO</v>
      </c>
      <c r="C1197" s="1">
        <f>IFERROR(__xludf.DUMMYFUNCTION("""COMPUTED_VALUE"""),2313328975)</f>
        <v>2313328975</v>
      </c>
      <c r="D1197" s="1">
        <f>IFERROR(__xludf.DUMMYFUNCTION("""COMPUTED_VALUE"""),409258174)</f>
        <v>409258174</v>
      </c>
      <c r="E1197" s="1">
        <f>IFERROR(__xludf.DUMMYFUNCTION("""COMPUTED_VALUE"""),476788429004)</f>
        <v>476788429004</v>
      </c>
      <c r="F1197" s="1" t="str">
        <f>IFERROR(__xludf.DUMMYFUNCTION("""COMPUTED_VALUE"""),"CLOSED")</f>
        <v>CLOSED</v>
      </c>
      <c r="G1197" s="1" t="str">
        <f>IFERROR(__xludf.DUMMYFUNCTION("""COMPUTED_VALUE"""),"CLOSED")</f>
        <v>CLOSED</v>
      </c>
      <c r="H1197" s="1"/>
      <c r="I1197" s="1" t="str">
        <f>IFERROR(__xludf.DUMMYFUNCTION("""COMPUTED_VALUE"""),"NO 1 AMSF")</f>
        <v>NO 1 AMSF</v>
      </c>
      <c r="J1197" s="1"/>
      <c r="K1197" s="1"/>
      <c r="L1197" s="1" t="str">
        <f>IFERROR(__xludf.DUMMYFUNCTION("""COMPUTED_VALUE"""),"POSTED")</f>
        <v>POSTED</v>
      </c>
      <c r="M1197" s="1" t="str">
        <f>IFERROR(__xludf.DUMMYFUNCTION("""COMPUTED_VALUE"""),"POSTED")</f>
        <v>POSTED</v>
      </c>
      <c r="N1197" s="3">
        <f>IFERROR(__xludf.DUMMYFUNCTION("""COMPUTED_VALUE"""),46318)</f>
        <v>46318</v>
      </c>
      <c r="O1197" s="1" t="str">
        <f>IFERROR(__xludf.DUMMYFUNCTION("""COMPUTED_VALUE"""),"FIBER UNLI PLAN 1399")</f>
        <v>FIBER UNLI PLAN 1399</v>
      </c>
      <c r="P1197" s="1" t="str">
        <f>IFERROR(__xludf.DUMMYFUNCTION("""COMPUTED_VALUE"""),"LOWPLAN")</f>
        <v>LOWPLAN</v>
      </c>
      <c r="Q1197" s="1" t="str">
        <f>IFERROR(__xludf.DUMMYFUNCTION("""COMPUTED_VALUE"""),"P408052")</f>
        <v>P408052</v>
      </c>
      <c r="R1197" s="1" t="str">
        <f>IFERROR(__xludf.DUMMYFUNCTION("""COMPUTED_VALUE"""),"LOTOJA, LOVELY JOICE")</f>
        <v>LOTOJA, LOVELY JOICE</v>
      </c>
      <c r="S1197" s="1" t="str">
        <f>IFERROR(__xludf.DUMMYFUNCTION("""COMPUTED_VALUE"""),"ORGANIC")</f>
        <v>ORGANIC</v>
      </c>
      <c r="T1197" s="1" t="str">
        <f>IFERROR(__xludf.DUMMYFUNCTION("""COMPUTED_VALUE"""),"LEA REMOLLO")</f>
        <v>LEA REMOLLO</v>
      </c>
      <c r="U1197" s="1" t="str">
        <f>IFERROR(__xludf.DUMMYFUNCTION("""COMPUTED_VALUE"""),"JB SALIOA")</f>
        <v>JB SALIOA</v>
      </c>
      <c r="V1197" s="1" t="str">
        <f>IFERROR(__xludf.DUMMYFUNCTION("""COMPUTED_VALUE"""),"BK EXPRESS")</f>
        <v>BK EXPRESS</v>
      </c>
      <c r="W1197" s="1" t="str">
        <f>IFERROR(__xludf.DUMMYFUNCTION("""COMPUTED_VALUE"""),"BK HSTK")</f>
        <v>BK HSTK</v>
      </c>
      <c r="X1197" s="1" t="str">
        <f>IFERROR(__xludf.DUMMYFUNCTION("""COMPUTED_VALUE"""),"FIBER 1399 98TH YR")</f>
        <v>FIBER 1399 98TH YR</v>
      </c>
      <c r="Y1197" s="1" t="str">
        <f>IFERROR(__xludf.DUMMYFUNCTION("""COMPUTED_VALUE"""),"BK_CVEU_261006")</f>
        <v>BK_CVEU_261006</v>
      </c>
      <c r="Z1197" s="1" t="str">
        <f>IFERROR(__xludf.DUMMYFUNCTION("""COMPUTED_VALUE"""),"NEW CONNECT")</f>
        <v>NEW CONNECT</v>
      </c>
      <c r="AA1197" s="1">
        <f>IFERROR(__xludf.DUMMYFUNCTION("""COMPUTED_VALUE"""),639242745781)</f>
        <v>639242745781</v>
      </c>
      <c r="AB1197" s="1"/>
      <c r="AC1197" s="1"/>
      <c r="AD1197" s="1" t="str">
        <f>IFERROR(__xludf.DUMMYFUNCTION("""COMPUTED_VALUE"""),"PUROK 6")</f>
        <v>PUROK 6</v>
      </c>
      <c r="AE1197" s="1"/>
      <c r="AF1197" s="1" t="str">
        <f>IFERROR(__xludf.DUMMYFUNCTION("""COMPUTED_VALUE"""),"BGY BIGA 2")</f>
        <v>BGY BIGA 2</v>
      </c>
      <c r="AG1197" s="1" t="str">
        <f>IFERROR(__xludf.DUMMYFUNCTION("""COMPUTED_VALUE"""),"SILANG")</f>
        <v>SILANG</v>
      </c>
      <c r="AH1197" s="1" t="str">
        <f>IFERROR(__xludf.DUMMYFUNCTION("""COMPUTED_VALUE"""),"BKEXPRESS_NEAR BRGY HALL")</f>
        <v>BKEXPRESS_NEAR BRGY HALL</v>
      </c>
      <c r="AI1197" s="1" t="str">
        <f>IFERROR(__xludf.DUMMYFUNCTION("""COMPUTED_VALUE"""),"CLUSTER 11")</f>
        <v>CLUSTER 11</v>
      </c>
    </row>
    <row r="1198" customHeight="1" spans="1:35">
      <c r="A1198" s="3">
        <f>IFERROR(__xludf.DUMMYFUNCTION("""COMPUTED_VALUE"""),46318)</f>
        <v>46318</v>
      </c>
      <c r="B1198" s="1" t="str">
        <f>IFERROR(__xludf.DUMMYFUNCTION("""COMPUTED_VALUE"""),"RUBIE HABANA FERNANDEZ")</f>
        <v>RUBIE HABANA FERNANDEZ</v>
      </c>
      <c r="C1198" s="1">
        <f>IFERROR(__xludf.DUMMYFUNCTION("""COMPUTED_VALUE"""),2313329711)</f>
        <v>2313329711</v>
      </c>
      <c r="D1198" s="1">
        <f>IFERROR(__xludf.DUMMYFUNCTION("""COMPUTED_VALUE"""),409257704)</f>
        <v>409257704</v>
      </c>
      <c r="E1198" s="1">
        <f>IFERROR(__xludf.DUMMYFUNCTION("""COMPUTED_VALUE"""),476787862004)</f>
        <v>476787862004</v>
      </c>
      <c r="F1198" s="1" t="str">
        <f>IFERROR(__xludf.DUMMYFUNCTION("""COMPUTED_VALUE"""),"CLOSED")</f>
        <v>CLOSED</v>
      </c>
      <c r="G1198" s="1" t="str">
        <f>IFERROR(__xludf.DUMMYFUNCTION("""COMPUTED_VALUE"""),"CLOSED")</f>
        <v>CLOSED</v>
      </c>
      <c r="H1198" s="1" t="str">
        <f>IFERROR(__xludf.DUMMYFUNCTION("""COMPUTED_VALUE"""),"PAID VIA GCASH REF 69473999 OCT 24")</f>
        <v>PAID VIA GCASH REF 69473999 OCT 24</v>
      </c>
      <c r="I1198" s="1" t="str">
        <f>IFERROR(__xludf.DUMMYFUNCTION("""COMPUTED_VALUE"""),"WITH 1 AMSF")</f>
        <v>WITH 1 AMSF</v>
      </c>
      <c r="J1198" s="1"/>
      <c r="K1198" s="1"/>
      <c r="L1198" s="1" t="str">
        <f>IFERROR(__xludf.DUMMYFUNCTION("""COMPUTED_VALUE"""),"POSTED")</f>
        <v>POSTED</v>
      </c>
      <c r="M1198" s="1" t="str">
        <f>IFERROR(__xludf.DUMMYFUNCTION("""COMPUTED_VALUE"""),"POSTED")</f>
        <v>POSTED</v>
      </c>
      <c r="N1198" s="3">
        <f>IFERROR(__xludf.DUMMYFUNCTION("""COMPUTED_VALUE"""),46319)</f>
        <v>46319</v>
      </c>
      <c r="O1198" s="1" t="str">
        <f>IFERROR(__xludf.DUMMYFUNCTION("""COMPUTED_VALUE"""),"FIBER UNLI ALL PLAN 1499")</f>
        <v>FIBER UNLI ALL PLAN 1499</v>
      </c>
      <c r="P1198" s="1" t="str">
        <f>IFERROR(__xludf.DUMMYFUNCTION("""COMPUTED_VALUE"""),"LOWPLAN")</f>
        <v>LOWPLAN</v>
      </c>
      <c r="Q1198" s="1" t="str">
        <f>IFERROR(__xludf.DUMMYFUNCTION("""COMPUTED_VALUE"""),"P407564")</f>
        <v>P407564</v>
      </c>
      <c r="R1198" s="1" t="str">
        <f>IFERROR(__xludf.DUMMYFUNCTION("""COMPUTED_VALUE"""),"ARENA, LYKA")</f>
        <v>ARENA, LYKA</v>
      </c>
      <c r="S1198" s="1" t="str">
        <f>IFERROR(__xludf.DUMMYFUNCTION("""COMPUTED_VALUE"""),"ORGANIC")</f>
        <v>ORGANIC</v>
      </c>
      <c r="T1198" s="1" t="str">
        <f>IFERROR(__xludf.DUMMYFUNCTION("""COMPUTED_VALUE"""),"LEA REMOLLO")</f>
        <v>LEA REMOLLO</v>
      </c>
      <c r="U1198" s="1" t="str">
        <f>IFERROR(__xludf.DUMMYFUNCTION("""COMPUTED_VALUE"""),"JB SALIOA")</f>
        <v>JB SALIOA</v>
      </c>
      <c r="V1198" s="1" t="str">
        <f>IFERROR(__xludf.DUMMYFUNCTION("""COMPUTED_VALUE"""),"BK EXPRESS")</f>
        <v>BK EXPRESS</v>
      </c>
      <c r="W1198" s="1" t="str">
        <f>IFERROR(__xludf.DUMMYFUNCTION("""COMPUTED_VALUE"""),"BK HSTK")</f>
        <v>BK HSTK</v>
      </c>
      <c r="X1198" s="1" t="str">
        <f>IFERROR(__xludf.DUMMYFUNCTION("""COMPUTED_VALUE"""),"FIBER 1399 98TH YR")</f>
        <v>FIBER 1399 98TH YR</v>
      </c>
      <c r="Y1198" s="1" t="str">
        <f>IFERROR(__xludf.DUMMYFUNCTION("""COMPUTED_VALUE"""),"BK_CVEU_261006")</f>
        <v>BK_CVEU_261006</v>
      </c>
      <c r="Z1198" s="1" t="str">
        <f>IFERROR(__xludf.DUMMYFUNCTION("""COMPUTED_VALUE"""),"NEW CONNECT")</f>
        <v>NEW CONNECT</v>
      </c>
      <c r="AA1198" s="1">
        <f>IFERROR(__xludf.DUMMYFUNCTION("""COMPUTED_VALUE"""),639669373981)</f>
        <v>639669373981</v>
      </c>
      <c r="AB1198" s="1"/>
      <c r="AC1198" s="1">
        <f>IFERROR(__xludf.DUMMYFUNCTION("""COMPUTED_VALUE"""),5)</f>
        <v>5</v>
      </c>
      <c r="AD1198" s="1" t="str">
        <f>IFERROR(__xludf.DUMMYFUNCTION("""COMPUTED_VALUE"""),"PUROK 6")</f>
        <v>PUROK 6</v>
      </c>
      <c r="AE1198" s="1"/>
      <c r="AF1198" s="1" t="str">
        <f>IFERROR(__xludf.DUMMYFUNCTION("""COMPUTED_VALUE"""),"BGY BIGA 2")</f>
        <v>BGY BIGA 2</v>
      </c>
      <c r="AG1198" s="1" t="str">
        <f>IFERROR(__xludf.DUMMYFUNCTION("""COMPUTED_VALUE"""),"SILANG")</f>
        <v>SILANG</v>
      </c>
      <c r="AH1198" s="1" t="str">
        <f>IFERROR(__xludf.DUMMYFUNCTION("""COMPUTED_VALUE"""),"INFRONT OF BRGY HALL")</f>
        <v>INFRONT OF BRGY HALL</v>
      </c>
      <c r="AI1198" s="1" t="str">
        <f>IFERROR(__xludf.DUMMYFUNCTION("""COMPUTED_VALUE"""),"CLUSTER 11")</f>
        <v>CLUSTER 11</v>
      </c>
    </row>
    <row r="1199" customHeight="1" spans="1:35">
      <c r="A1199" s="3">
        <f>IFERROR(__xludf.DUMMYFUNCTION("""COMPUTED_VALUE"""),46318)</f>
        <v>46318</v>
      </c>
      <c r="B1199" s="1" t="str">
        <f>IFERROR(__xludf.DUMMYFUNCTION("""COMPUTED_VALUE"""),"ARJAY TOLENTINO ESPANOLA")</f>
        <v>ARJAY TOLENTINO ESPANOLA</v>
      </c>
      <c r="C1199" s="1">
        <f>IFERROR(__xludf.DUMMYFUNCTION("""COMPUTED_VALUE"""),2313331465)</f>
        <v>2313331465</v>
      </c>
      <c r="D1199" s="1">
        <f>IFERROR(__xludf.DUMMYFUNCTION("""COMPUTED_VALUE"""),409260276)</f>
        <v>409260276</v>
      </c>
      <c r="E1199" s="1">
        <f>IFERROR(__xludf.DUMMYFUNCTION("""COMPUTED_VALUE"""),476790707004)</f>
        <v>476790707004</v>
      </c>
      <c r="F1199" s="1" t="str">
        <f>IFERROR(__xludf.DUMMYFUNCTION("""COMPUTED_VALUE"""),"CLOSED")</f>
        <v>CLOSED</v>
      </c>
      <c r="G1199" s="1" t="str">
        <f>IFERROR(__xludf.DUMMYFUNCTION("""COMPUTED_VALUE"""),"CLOSED")</f>
        <v>CLOSED</v>
      </c>
      <c r="H1199" s="1" t="str">
        <f>IFERROR(__xludf.DUMMYFUNCTION("""COMPUTED_VALUE"""),"PAID VIA GCASH REF 412277374 OCT 24")</f>
        <v>PAID VIA GCASH REF 412277374 OCT 24</v>
      </c>
      <c r="I1199" s="1" t="str">
        <f>IFERROR(__xludf.DUMMYFUNCTION("""COMPUTED_VALUE"""),"WITH 1 AMSF")</f>
        <v>WITH 1 AMSF</v>
      </c>
      <c r="J1199" s="1"/>
      <c r="K1199" s="1"/>
      <c r="L1199" s="1" t="str">
        <f>IFERROR(__xludf.DUMMYFUNCTION("""COMPUTED_VALUE"""),"POSTED")</f>
        <v>POSTED</v>
      </c>
      <c r="M1199" s="1" t="str">
        <f>IFERROR(__xludf.DUMMYFUNCTION("""COMPUTED_VALUE"""),"POSTED")</f>
        <v>POSTED</v>
      </c>
      <c r="N1199" s="3">
        <f>IFERROR(__xludf.DUMMYFUNCTION("""COMPUTED_VALUE"""),2026)</f>
        <v>2026</v>
      </c>
      <c r="O1199" s="1" t="str">
        <f>IFERROR(__xludf.DUMMYFUNCTION("""COMPUTED_VALUE"""),"FIBR PLAN 1299")</f>
        <v>FIBR PLAN 1299</v>
      </c>
      <c r="P1199" s="1" t="str">
        <f>IFERROR(__xludf.DUMMYFUNCTION("""COMPUTED_VALUE"""),"LOWPLAN")</f>
        <v>LOWPLAN</v>
      </c>
      <c r="Q1199" s="1" t="str">
        <f>IFERROR(__xludf.DUMMYFUNCTION("""COMPUTED_VALUE"""),"P407559")</f>
        <v>P407559</v>
      </c>
      <c r="R1199" s="1" t="str">
        <f>IFERROR(__xludf.DUMMYFUNCTION("""COMPUTED_VALUE"""),"MAGDARAOG, KENNETH")</f>
        <v>MAGDARAOG, KENNETH</v>
      </c>
      <c r="S1199" s="1" t="str">
        <f>IFERROR(__xludf.DUMMYFUNCTION("""COMPUTED_VALUE"""),"ORGANIC")</f>
        <v>ORGANIC</v>
      </c>
      <c r="T1199" s="1" t="str">
        <f>IFERROR(__xludf.DUMMYFUNCTION("""COMPUTED_VALUE"""),"LEA REMOLLO")</f>
        <v>LEA REMOLLO</v>
      </c>
      <c r="U1199" s="1" t="str">
        <f>IFERROR(__xludf.DUMMYFUNCTION("""COMPUTED_VALUE"""),"JB SALIOA")</f>
        <v>JB SALIOA</v>
      </c>
      <c r="V1199" s="1" t="str">
        <f>IFERROR(__xludf.DUMMYFUNCTION("""COMPUTED_VALUE"""),"BK HSTK")</f>
        <v>BK HSTK</v>
      </c>
      <c r="W1199" s="1" t="str">
        <f>IFERROR(__xludf.DUMMYFUNCTION("""COMPUTED_VALUE"""),"BK HSTK")</f>
        <v>BK HSTK</v>
      </c>
      <c r="X1199" s="1" t="str">
        <f>IFERROR(__xludf.DUMMYFUNCTION("""COMPUTED_VALUE"""),"REGULAR")</f>
        <v>REGULAR</v>
      </c>
      <c r="Y1199" s="1" t="str">
        <f>IFERROR(__xludf.DUMMYFUNCTION("""COMPUTED_VALUE"""),"BK_CVEU_261006")</f>
        <v>BK_CVEU_261006</v>
      </c>
      <c r="Z1199" s="1" t="str">
        <f>IFERROR(__xludf.DUMMYFUNCTION("""COMPUTED_VALUE"""),"NEW CONNECT")</f>
        <v>NEW CONNECT</v>
      </c>
      <c r="AA1199" s="1">
        <f>IFERROR(__xludf.DUMMYFUNCTION("""COMPUTED_VALUE"""),639940098397)</f>
        <v>639940098397</v>
      </c>
      <c r="AB1199" s="1"/>
      <c r="AC1199" s="1">
        <f>IFERROR(__xludf.DUMMYFUNCTION("""COMPUTED_VALUE"""),187)</f>
        <v>187</v>
      </c>
      <c r="AD1199" s="1" t="str">
        <f>IFERROR(__xludf.DUMMYFUNCTION("""COMPUTED_VALUE"""),"PUROK 4")</f>
        <v>PUROK 4</v>
      </c>
      <c r="AE1199" s="1"/>
      <c r="AF1199" s="1" t="str">
        <f>IFERROR(__xludf.DUMMYFUNCTION("""COMPUTED_VALUE"""),"BGY BIGA 1")</f>
        <v>BGY BIGA 1</v>
      </c>
      <c r="AG1199" s="1" t="str">
        <f>IFERROR(__xludf.DUMMYFUNCTION("""COMPUTED_VALUE"""),"SILANG")</f>
        <v>SILANG</v>
      </c>
      <c r="AH1199" s="1" t="str">
        <f>IFERROR(__xludf.DUMMYFUNCTION("""COMPUTED_VALUE"""),"BKEXPRESS_NEAR BRGY HALL")</f>
        <v>BKEXPRESS_NEAR BRGY HALL</v>
      </c>
      <c r="AI1199" s="1" t="str">
        <f>IFERROR(__xludf.DUMMYFUNCTION("""COMPUTED_VALUE"""),"CLUSTER 11")</f>
        <v>CLUSTER 11</v>
      </c>
    </row>
    <row r="1200" customHeight="1" spans="1:35">
      <c r="A1200" s="3">
        <f>IFERROR(__xludf.DUMMYFUNCTION("""COMPUTED_VALUE"""),46318)</f>
        <v>46318</v>
      </c>
      <c r="B1200" s="1" t="str">
        <f>IFERROR(__xludf.DUMMYFUNCTION("""COMPUTED_VALUE"""),"DIANNE KAROL LORENZO SABRINE")</f>
        <v>DIANNE KAROL LORENZO SABRINE</v>
      </c>
      <c r="C1200" s="1">
        <f>IFERROR(__xludf.DUMMYFUNCTION("""COMPUTED_VALUE"""),2313331732)</f>
        <v>2313331732</v>
      </c>
      <c r="D1200" s="1">
        <f>IFERROR(__xludf.DUMMYFUNCTION("""COMPUTED_VALUE"""),409260810)</f>
        <v>409260810</v>
      </c>
      <c r="E1200" s="1">
        <f>IFERROR(__xludf.DUMMYFUNCTION("""COMPUTED_VALUE"""),476791491004)</f>
        <v>476791491004</v>
      </c>
      <c r="F1200" s="1" t="str">
        <f>IFERROR(__xludf.DUMMYFUNCTION("""COMPUTED_VALUE"""),"CLOSED")</f>
        <v>CLOSED</v>
      </c>
      <c r="G1200" s="1" t="str">
        <f>IFERROR(__xludf.DUMMYFUNCTION("""COMPUTED_VALUE"""),"CLOSED")</f>
        <v>CLOSED</v>
      </c>
      <c r="H1200" s="1"/>
      <c r="I1200" s="1" t="str">
        <f>IFERROR(__xludf.DUMMYFUNCTION("""COMPUTED_VALUE"""),"NO 1 AMSF")</f>
        <v>NO 1 AMSF</v>
      </c>
      <c r="J1200" s="1"/>
      <c r="K1200" s="1"/>
      <c r="L1200" s="1" t="str">
        <f>IFERROR(__xludf.DUMMYFUNCTION("""COMPUTED_VALUE"""),"POSTED")</f>
        <v>POSTED</v>
      </c>
      <c r="M1200" s="1" t="str">
        <f>IFERROR(__xludf.DUMMYFUNCTION("""COMPUTED_VALUE"""),"POSTED")</f>
        <v>POSTED</v>
      </c>
      <c r="N1200" s="3">
        <f>IFERROR(__xludf.DUMMYFUNCTION("""COMPUTED_VALUE"""),46318)</f>
        <v>46318</v>
      </c>
      <c r="O1200" s="1" t="str">
        <f>IFERROR(__xludf.DUMMYFUNCTION("""COMPUTED_VALUE"""),"FIBER UNLI PLAN 1399")</f>
        <v>FIBER UNLI PLAN 1399</v>
      </c>
      <c r="P1200" s="1" t="str">
        <f>IFERROR(__xludf.DUMMYFUNCTION("""COMPUTED_VALUE"""),"LOWPLAN")</f>
        <v>LOWPLAN</v>
      </c>
      <c r="Q1200" s="1" t="str">
        <f>IFERROR(__xludf.DUMMYFUNCTION("""COMPUTED_VALUE"""),"P407047")</f>
        <v>P407047</v>
      </c>
      <c r="R1200" s="1" t="str">
        <f>IFERROR(__xludf.DUMMYFUNCTION("""COMPUTED_VALUE"""),"FRANCISCO, ROSELYN")</f>
        <v>FRANCISCO, ROSELYN</v>
      </c>
      <c r="S1200" s="1" t="str">
        <f>IFERROR(__xludf.DUMMYFUNCTION("""COMPUTED_VALUE"""),"ORGANIC")</f>
        <v>ORGANIC</v>
      </c>
      <c r="T1200" s="1" t="str">
        <f>IFERROR(__xludf.DUMMYFUNCTION("""COMPUTED_VALUE"""),"LEA REMOLLO")</f>
        <v>LEA REMOLLO</v>
      </c>
      <c r="U1200" s="1" t="str">
        <f>IFERROR(__xludf.DUMMYFUNCTION("""COMPUTED_VALUE"""),"JB SALIOA")</f>
        <v>JB SALIOA</v>
      </c>
      <c r="V1200" s="1" t="str">
        <f>IFERROR(__xludf.DUMMYFUNCTION("""COMPUTED_VALUE"""),"BK HSTK")</f>
        <v>BK HSTK</v>
      </c>
      <c r="W1200" s="1" t="str">
        <f>IFERROR(__xludf.DUMMYFUNCTION("""COMPUTED_VALUE"""),"BK HSTK")</f>
        <v>BK HSTK</v>
      </c>
      <c r="X1200" s="1" t="str">
        <f>IFERROR(__xludf.DUMMYFUNCTION("""COMPUTED_VALUE"""),"FIBER 1399 98TH YR")</f>
        <v>FIBER 1399 98TH YR</v>
      </c>
      <c r="Y1200" s="1" t="str">
        <f>IFERROR(__xludf.DUMMYFUNCTION("""COMPUTED_VALUE"""),"BK_CVEU_261006")</f>
        <v>BK_CVEU_261006</v>
      </c>
      <c r="Z1200" s="1" t="str">
        <f>IFERROR(__xludf.DUMMYFUNCTION("""COMPUTED_VALUE"""),"NEW CONNECT")</f>
        <v>NEW CONNECT</v>
      </c>
      <c r="AA1200" s="1">
        <f>IFERROR(__xludf.DUMMYFUNCTION("""COMPUTED_VALUE"""),639701859583)</f>
        <v>639701859583</v>
      </c>
      <c r="AB1200" s="1">
        <f>IFERROR(__xludf.DUMMYFUNCTION("""COMPUTED_VALUE"""),639054435026)</f>
        <v>639054435026</v>
      </c>
      <c r="AC1200" s="1">
        <f>IFERROR(__xludf.DUMMYFUNCTION("""COMPUTED_VALUE"""),199)</f>
        <v>199</v>
      </c>
      <c r="AD1200" s="1" t="str">
        <f>IFERROR(__xludf.DUMMYFUNCTION("""COMPUTED_VALUE"""),"P MONTOYA")</f>
        <v>P MONTOYA</v>
      </c>
      <c r="AE1200" s="1"/>
      <c r="AF1200" s="1" t="str">
        <f>IFERROR(__xludf.DUMMYFUNCTION("""COMPUTED_VALUE"""),"BGY SAN VICENTE 2")</f>
        <v>BGY SAN VICENTE 2</v>
      </c>
      <c r="AG1200" s="1" t="str">
        <f>IFERROR(__xludf.DUMMYFUNCTION("""COMPUTED_VALUE"""),"SILANG")</f>
        <v>SILANG</v>
      </c>
      <c r="AH1200" s="1" t="str">
        <f>IFERROR(__xludf.DUMMYFUNCTION("""COMPUTED_VALUE"""),"D AND B CARWASH")</f>
        <v>D AND B CARWASH</v>
      </c>
      <c r="AI1200" s="1" t="str">
        <f>IFERROR(__xludf.DUMMYFUNCTION("""COMPUTED_VALUE"""),"CLUSTER 11")</f>
        <v>CLUSTER 11</v>
      </c>
    </row>
    <row r="1201" customHeight="1" spans="1:35">
      <c r="A1201" s="3">
        <f>IFERROR(__xludf.DUMMYFUNCTION("""COMPUTED_VALUE"""),46318)</f>
        <v>46318</v>
      </c>
      <c r="B1201" s="1" t="str">
        <f>IFERROR(__xludf.DUMMYFUNCTION("""COMPUTED_VALUE"""),"CRISANTO ORIT ALCANTARA")</f>
        <v>CRISANTO ORIT ALCANTARA</v>
      </c>
      <c r="C1201" s="1">
        <f>IFERROR(__xludf.DUMMYFUNCTION("""COMPUTED_VALUE"""),2313332455)</f>
        <v>2313332455</v>
      </c>
      <c r="D1201" s="1">
        <f>IFERROR(__xludf.DUMMYFUNCTION("""COMPUTED_VALUE"""),409262538)</f>
        <v>409262538</v>
      </c>
      <c r="E1201" s="1">
        <f>IFERROR(__xludf.DUMMYFUNCTION("""COMPUTED_VALUE"""),476792105004)</f>
        <v>476792105004</v>
      </c>
      <c r="F1201" s="1" t="str">
        <f>IFERROR(__xludf.DUMMYFUNCTION("""COMPUTED_VALUE"""),"FOR PAYMENT")</f>
        <v>FOR PAYMENT</v>
      </c>
      <c r="G1201" s="1" t="str">
        <f>IFERROR(__xludf.DUMMYFUNCTION("""COMPUTED_VALUE"""),"FOR PAYMENT")</f>
        <v>FOR PAYMENT</v>
      </c>
      <c r="H1201" s="1"/>
      <c r="I1201" s="1"/>
      <c r="J1201" s="1"/>
      <c r="K1201" s="1"/>
      <c r="L1201" s="1" t="str">
        <f>IFERROR(__xludf.DUMMYFUNCTION("""COMPUTED_VALUE"""),"FOR PAYMENT")</f>
        <v>FOR PAYMENT</v>
      </c>
      <c r="M1201" s="1" t="str">
        <f>IFERROR(__xludf.DUMMYFUNCTION("""COMPUTED_VALUE"""),"FOR PAYMENT - FOR CALL OUT")</f>
        <v>FOR PAYMENT - FOR CALL OUT</v>
      </c>
      <c r="N1201" s="3"/>
      <c r="O1201" s="1" t="str">
        <f>IFERROR(__xludf.DUMMYFUNCTION("""COMPUTED_VALUE"""),"FIBER UNLI ALL PLAN 1499")</f>
        <v>FIBER UNLI ALL PLAN 1499</v>
      </c>
      <c r="P1201" s="1" t="str">
        <f>IFERROR(__xludf.DUMMYFUNCTION("""COMPUTED_VALUE"""),"LOWPLAN")</f>
        <v>LOWPLAN</v>
      </c>
      <c r="Q1201" s="1" t="str">
        <f>IFERROR(__xludf.DUMMYFUNCTION("""COMPUTED_VALUE"""),"P408049")</f>
        <v>P408049</v>
      </c>
      <c r="R1201" s="1" t="str">
        <f>IFERROR(__xludf.DUMMYFUNCTION("""COMPUTED_VALUE"""),"CORNELIO, CATHERINE")</f>
        <v>CORNELIO, CATHERINE</v>
      </c>
      <c r="S1201" s="1" t="str">
        <f>IFERROR(__xludf.DUMMYFUNCTION("""COMPUTED_VALUE"""),"ORGANIC")</f>
        <v>ORGANIC</v>
      </c>
      <c r="T1201" s="1" t="str">
        <f>IFERROR(__xludf.DUMMYFUNCTION("""COMPUTED_VALUE"""),"LEA REMOLLO")</f>
        <v>LEA REMOLLO</v>
      </c>
      <c r="U1201" s="1" t="str">
        <f>IFERROR(__xludf.DUMMYFUNCTION("""COMPUTED_VALUE"""),"JB SALIOA")</f>
        <v>JB SALIOA</v>
      </c>
      <c r="V1201" s="1" t="str">
        <f>IFERROR(__xludf.DUMMYFUNCTION("""COMPUTED_VALUE"""),"BK HSTK")</f>
        <v>BK HSTK</v>
      </c>
      <c r="W1201" s="1" t="str">
        <f>IFERROR(__xludf.DUMMYFUNCTION("""COMPUTED_VALUE"""),"BK HSTK")</f>
        <v>BK HSTK</v>
      </c>
      <c r="X1201" s="1" t="str">
        <f>IFERROR(__xludf.DUMMYFUNCTION("""COMPUTED_VALUE"""),"REGULAR")</f>
        <v>REGULAR</v>
      </c>
      <c r="Y1201" s="1" t="str">
        <f>IFERROR(__xludf.DUMMYFUNCTION("""COMPUTED_VALUE"""),"BK_CVEU_261001")</f>
        <v>BK_CVEU_261001</v>
      </c>
      <c r="Z1201" s="1" t="str">
        <f>IFERROR(__xludf.DUMMYFUNCTION("""COMPUTED_VALUE"""),"NEW CONNECT")</f>
        <v>NEW CONNECT</v>
      </c>
      <c r="AA1201" s="1">
        <f>IFERROR(__xludf.DUMMYFUNCTION("""COMPUTED_VALUE"""),639627969130)</f>
        <v>639627969130</v>
      </c>
      <c r="AB1201" s="1"/>
      <c r="AC1201" s="1">
        <f>IFERROR(__xludf.DUMMYFUNCTION("""COMPUTED_VALUE"""),243)</f>
        <v>243</v>
      </c>
      <c r="AD1201" s="1" t="str">
        <f>IFERROR(__xludf.DUMMYFUNCTION("""COMPUTED_VALUE"""),"PUROK 4")</f>
        <v>PUROK 4</v>
      </c>
      <c r="AE1201" s="1"/>
      <c r="AF1201" s="1" t="str">
        <f>IFERROR(__xludf.DUMMYFUNCTION("""COMPUTED_VALUE"""),"BGY AMUYONG")</f>
        <v>BGY AMUYONG</v>
      </c>
      <c r="AG1201" s="1" t="str">
        <f>IFERROR(__xludf.DUMMYFUNCTION("""COMPUTED_VALUE"""),"ALFONSO")</f>
        <v>ALFONSO</v>
      </c>
      <c r="AH1201" s="1" t="str">
        <f>IFERROR(__xludf.DUMMYFUNCTION("""COMPUTED_VALUE"""),"ELEMENTARY SCHOOL")</f>
        <v>ELEMENTARY SCHOOL</v>
      </c>
      <c r="AI1201" s="1" t="str">
        <f>IFERROR(__xludf.DUMMYFUNCTION("""COMPUTED_VALUE"""),"CLUSTER 12")</f>
        <v>CLUSTER 12</v>
      </c>
    </row>
    <row r="1202" customHeight="1" spans="1:35">
      <c r="A1202" s="3">
        <f>IFERROR(__xludf.DUMMYFUNCTION("""COMPUTED_VALUE"""),46318)</f>
        <v>46318</v>
      </c>
      <c r="B1202" s="1" t="str">
        <f>IFERROR(__xludf.DUMMYFUNCTION("""COMPUTED_VALUE"""),"JENNYLYN JOY VERGARA OLFATO")</f>
        <v>JENNYLYN JOY VERGARA OLFATO</v>
      </c>
      <c r="C1202" s="1">
        <f>IFERROR(__xludf.DUMMYFUNCTION("""COMPUTED_VALUE"""),2313334598)</f>
        <v>2313334598</v>
      </c>
      <c r="D1202" s="1"/>
      <c r="E1202" s="1"/>
      <c r="F1202" s="1" t="str">
        <f>IFERROR(__xludf.DUMMYFUNCTION("""COMPUTED_VALUE"""),"CANCELLED")</f>
        <v>CANCELLED</v>
      </c>
      <c r="G1202" s="1" t="str">
        <f>IFERROR(__xludf.DUMMYFUNCTION("""COMPUTED_VALUE"""),"(WITH PENDING APPLICATION ALREADY; CANCELLED THE NEW APPLICATION) FF - SEGMENT 2 - NEW TO CREDIT - MID RISK")</f>
        <v>(WITH PENDING APPLICATION ALREADY; CANCELLED THE NEW APPLICATION) FF - SEGMENT 2 - NEW TO CREDIT - MID RISK</v>
      </c>
      <c r="H1202" s="1"/>
      <c r="I1202" s="1"/>
      <c r="J1202" s="1"/>
      <c r="K1202" s="1"/>
      <c r="L1202" s="1" t="str">
        <f>IFERROR(__xludf.DUMMYFUNCTION("""COMPUTED_VALUE"""),"CANCELLED")</f>
        <v>CANCELLED</v>
      </c>
      <c r="M1202" s="1" t="str">
        <f>IFERROR(__xludf.DUMMYFUNCTION("""COMPUTED_VALUE"""),"CANCELLED - WITH PENDING PID")</f>
        <v>CANCELLED - WITH PENDING PID</v>
      </c>
      <c r="N1202" s="3"/>
      <c r="O1202" s="1" t="str">
        <f>IFERROR(__xludf.DUMMYFUNCTION("""COMPUTED_VALUE"""),"FIBER UNLI PLAN 1399")</f>
        <v>FIBER UNLI PLAN 1399</v>
      </c>
      <c r="P1202" s="1" t="str">
        <f>IFERROR(__xludf.DUMMYFUNCTION("""COMPUTED_VALUE"""),"LOWPLAN")</f>
        <v>LOWPLAN</v>
      </c>
      <c r="Q1202" s="1" t="str">
        <f>IFERROR(__xludf.DUMMYFUNCTION("""COMPUTED_VALUE"""),"P407520")</f>
        <v>P407520</v>
      </c>
      <c r="R1202" s="1" t="str">
        <f>IFERROR(__xludf.DUMMYFUNCTION("""COMPUTED_VALUE"""),"MALIWAT, MARK")</f>
        <v>MALIWAT, MARK</v>
      </c>
      <c r="S1202" s="1" t="str">
        <f>IFERROR(__xludf.DUMMYFUNCTION("""COMPUTED_VALUE"""),"FLA")</f>
        <v>FLA</v>
      </c>
      <c r="T1202" s="1" t="str">
        <f>IFERROR(__xludf.DUMMYFUNCTION("""COMPUTED_VALUE"""),"JERIC NAVARRO")</f>
        <v>JERIC NAVARRO</v>
      </c>
      <c r="U1202" s="1" t="str">
        <f>IFERROR(__xludf.DUMMYFUNCTION("""COMPUTED_VALUE"""),"JULIE ESPIRITU")</f>
        <v>JULIE ESPIRITU</v>
      </c>
      <c r="V1202" s="1" t="str">
        <f>IFERROR(__xludf.DUMMYFUNCTION("""COMPUTED_VALUE"""),"BK HSTK")</f>
        <v>BK HSTK</v>
      </c>
      <c r="W1202" s="1" t="str">
        <f>IFERROR(__xludf.DUMMYFUNCTION("""COMPUTED_VALUE"""),"BK HSTK")</f>
        <v>BK HSTK</v>
      </c>
      <c r="X1202" s="1" t="str">
        <f>IFERROR(__xludf.DUMMYFUNCTION("""COMPUTED_VALUE"""),"FIBER 1399 98TH YR")</f>
        <v>FIBER 1399 98TH YR</v>
      </c>
      <c r="Y1202" s="1" t="str">
        <f>IFERROR(__xludf.DUMMYFUNCTION("""COMPUTED_VALUE"""),"BK_CVEU_261004")</f>
        <v>BK_CVEU_261004</v>
      </c>
      <c r="Z1202" s="1" t="str">
        <f>IFERROR(__xludf.DUMMYFUNCTION("""COMPUTED_VALUE"""),"NEW CONNECT")</f>
        <v>NEW CONNECT</v>
      </c>
      <c r="AA1202" s="1">
        <f>IFERROR(__xludf.DUMMYFUNCTION("""COMPUTED_VALUE"""),639853693875)</f>
        <v>639853693875</v>
      </c>
      <c r="AB1202" s="1"/>
      <c r="AC1202" s="1"/>
      <c r="AD1202" s="1" t="str">
        <f>IFERROR(__xludf.DUMMYFUNCTION("""COMPUTED_VALUE"""),"SAN ISIDRO")</f>
        <v>SAN ISIDRO</v>
      </c>
      <c r="AE1202" s="1"/>
      <c r="AF1202" s="1" t="str">
        <f>IFERROR(__xludf.DUMMYFUNCTION("""COMPUTED_VALUE"""),"BGY SAN GABRIEL")</f>
        <v>BGY SAN GABRIEL</v>
      </c>
      <c r="AG1202" s="1" t="str">
        <f>IFERROR(__xludf.DUMMYFUNCTION("""COMPUTED_VALUE"""),"GEN MARIANO ALVAREZ")</f>
        <v>GEN MARIANO ALVAREZ</v>
      </c>
      <c r="AH1202" s="1" t="str">
        <f>IFERROR(__xludf.DUMMYFUNCTION("""COMPUTED_VALUE"""),"PUREGOLD")</f>
        <v>PUREGOLD</v>
      </c>
      <c r="AI1202" s="1" t="str">
        <f>IFERROR(__xludf.DUMMYFUNCTION("""COMPUTED_VALUE"""),"CLUSTER 11")</f>
        <v>CLUSTER 11</v>
      </c>
    </row>
    <row r="1203" customHeight="1" spans="1:35">
      <c r="A1203" s="3">
        <f>IFERROR(__xludf.DUMMYFUNCTION("""COMPUTED_VALUE"""),46318)</f>
        <v>46318</v>
      </c>
      <c r="B1203" s="1" t="str">
        <f>IFERROR(__xludf.DUMMYFUNCTION("""COMPUTED_VALUE"""),"JEANICA MORIBUS GONZALES")</f>
        <v>JEANICA MORIBUS GONZALES</v>
      </c>
      <c r="C1203" s="1">
        <f>IFERROR(__xludf.DUMMYFUNCTION("""COMPUTED_VALUE"""),2313334834)</f>
        <v>2313334834</v>
      </c>
      <c r="D1203" s="1">
        <f>IFERROR(__xludf.DUMMYFUNCTION("""COMPUTED_VALUE"""),409272967)</f>
        <v>409272967</v>
      </c>
      <c r="E1203" s="1">
        <f>IFERROR(__xludf.DUMMYFUNCTION("""COMPUTED_VALUE"""),476800998004)</f>
        <v>476800998004</v>
      </c>
      <c r="F1203" s="1" t="str">
        <f>IFERROR(__xludf.DUMMYFUNCTION("""COMPUTED_VALUE"""),"AFD")</f>
        <v>AFD</v>
      </c>
      <c r="G1203" s="1" t="str">
        <f>IFERROR(__xludf.DUMMYFUNCTION("""COMPUTED_VALUE"""),"""VISITED 
REMARKS: HOUSE CLOSED, CBR UNATTENDED NO REPLY ON TEXT MESSAGE 09994107654 
""")</f>
        <v>"VISITED 
REMARKS: HOUSE CLOSED, CBR UNATTENDED NO REPLY ON TEXT MESSAGE 09994107654 
"</v>
      </c>
      <c r="H1203" s="1"/>
      <c r="I1203" s="1"/>
      <c r="J1203" s="1"/>
      <c r="K1203" s="1"/>
      <c r="L1203" s="1" t="str">
        <f>IFERROR(__xludf.DUMMYFUNCTION("""COMPUTED_VALUE"""),"AFD - RESCHEDULE")</f>
        <v>AFD - RESCHEDULE</v>
      </c>
      <c r="M1203" s="1" t="str">
        <f>IFERROR(__xludf.DUMMYFUNCTION("""COMPUTED_VALUE"""),"AFD - RESCHEDULED")</f>
        <v>AFD - RESCHEDULED</v>
      </c>
      <c r="N1203" s="3"/>
      <c r="O1203" s="1" t="str">
        <f>IFERROR(__xludf.DUMMYFUNCTION("""COMPUTED_VALUE"""),"FIBER UNLI PLAN 1399")</f>
        <v>FIBER UNLI PLAN 1399</v>
      </c>
      <c r="P1203" s="1" t="str">
        <f>IFERROR(__xludf.DUMMYFUNCTION("""COMPUTED_VALUE"""),"LOWPLAN")</f>
        <v>LOWPLAN</v>
      </c>
      <c r="Q1203" s="1" t="str">
        <f>IFERROR(__xludf.DUMMYFUNCTION("""COMPUTED_VALUE"""),"P407564")</f>
        <v>P407564</v>
      </c>
      <c r="R1203" s="1" t="str">
        <f>IFERROR(__xludf.DUMMYFUNCTION("""COMPUTED_VALUE"""),"ARENA, LYKA")</f>
        <v>ARENA, LYKA</v>
      </c>
      <c r="S1203" s="1" t="str">
        <f>IFERROR(__xludf.DUMMYFUNCTION("""COMPUTED_VALUE"""),"ORGANIC")</f>
        <v>ORGANIC</v>
      </c>
      <c r="T1203" s="1" t="str">
        <f>IFERROR(__xludf.DUMMYFUNCTION("""COMPUTED_VALUE"""),"JERIC NAVARRO")</f>
        <v>JERIC NAVARRO</v>
      </c>
      <c r="U1203" s="1" t="str">
        <f>IFERROR(__xludf.DUMMYFUNCTION("""COMPUTED_VALUE"""),"JB SALIOA")</f>
        <v>JB SALIOA</v>
      </c>
      <c r="V1203" s="1" t="str">
        <f>IFERROR(__xludf.DUMMYFUNCTION("""COMPUTED_VALUE"""),"BK HSTK")</f>
        <v>BK HSTK</v>
      </c>
      <c r="W1203" s="1" t="str">
        <f>IFERROR(__xludf.DUMMYFUNCTION("""COMPUTED_VALUE"""),"BK HSTK")</f>
        <v>BK HSTK</v>
      </c>
      <c r="X1203" s="1" t="str">
        <f>IFERROR(__xludf.DUMMYFUNCTION("""COMPUTED_VALUE"""),"FIBER 1399 98TH YR")</f>
        <v>FIBER 1399 98TH YR</v>
      </c>
      <c r="Y1203" s="1" t="str">
        <f>IFERROR(__xludf.DUMMYFUNCTION("""COMPUTED_VALUE"""),"BK_CVEU_261006")</f>
        <v>BK_CVEU_261006</v>
      </c>
      <c r="Z1203" s="1" t="str">
        <f>IFERROR(__xludf.DUMMYFUNCTION("""COMPUTED_VALUE"""),"NEW CONNECT")</f>
        <v>NEW CONNECT</v>
      </c>
      <c r="AA1203" s="1">
        <f>IFERROR(__xludf.DUMMYFUNCTION("""COMPUTED_VALUE"""),639994107654)</f>
        <v>639994107654</v>
      </c>
      <c r="AB1203" s="1"/>
      <c r="AC1203" s="1"/>
      <c r="AD1203" s="1" t="str">
        <f>IFERROR(__xludf.DUMMYFUNCTION("""COMPUTED_VALUE"""),"SIKAP VILLE")</f>
        <v>SIKAP VILLE</v>
      </c>
      <c r="AE1203" s="1" t="str">
        <f>IFERROR(__xludf.DUMMYFUNCTION("""COMPUTED_VALUE"""),"SIKAP VILLE")</f>
        <v>SIKAP VILLE</v>
      </c>
      <c r="AF1203" s="1" t="str">
        <f>IFERROR(__xludf.DUMMYFUNCTION("""COMPUTED_VALUE"""),"BGY SABUTAN")</f>
        <v>BGY SABUTAN</v>
      </c>
      <c r="AG1203" s="1" t="str">
        <f>IFERROR(__xludf.DUMMYFUNCTION("""COMPUTED_VALUE"""),"SILANG")</f>
        <v>SILANG</v>
      </c>
      <c r="AH1203" s="1" t="str">
        <f>IFERROR(__xludf.DUMMYFUNCTION("""COMPUTED_VALUE"""),"-")</f>
        <v>-</v>
      </c>
      <c r="AI1203" s="1" t="str">
        <f>IFERROR(__xludf.DUMMYFUNCTION("""COMPUTED_VALUE"""),"CLUSTER 11")</f>
        <v>CLUSTER 11</v>
      </c>
    </row>
    <row r="1204" customHeight="1" spans="1:35">
      <c r="A1204" s="3">
        <f>IFERROR(__xludf.DUMMYFUNCTION("""COMPUTED_VALUE"""),46318)</f>
        <v>46318</v>
      </c>
      <c r="B1204" s="1" t="str">
        <f>IFERROR(__xludf.DUMMYFUNCTION("""COMPUTED_VALUE"""),"PJ BUENABENTE EUPALAO")</f>
        <v>PJ BUENABENTE EUPALAO</v>
      </c>
      <c r="C1204" s="1">
        <f>IFERROR(__xludf.DUMMYFUNCTION("""COMPUTED_VALUE"""),2313335280)</f>
        <v>2313335280</v>
      </c>
      <c r="D1204" s="1">
        <f>IFERROR(__xludf.DUMMYFUNCTION("""COMPUTED_VALUE"""),409269605)</f>
        <v>409269605</v>
      </c>
      <c r="E1204" s="1">
        <f>IFERROR(__xludf.DUMMYFUNCTION("""COMPUTED_VALUE"""),476798469004)</f>
        <v>476798469004</v>
      </c>
      <c r="F1204" s="1" t="str">
        <f>IFERROR(__xludf.DUMMYFUNCTION("""COMPUTED_VALUE"""),"CLOSED")</f>
        <v>CLOSED</v>
      </c>
      <c r="G1204" s="1" t="str">
        <f>IFERROR(__xludf.DUMMYFUNCTION("""COMPUTED_VALUE"""),"CLOSED")</f>
        <v>CLOSED</v>
      </c>
      <c r="H1204" s="1"/>
      <c r="I1204" s="1" t="str">
        <f>IFERROR(__xludf.DUMMYFUNCTION("""COMPUTED_VALUE"""),"NO 1 AMSF")</f>
        <v>NO 1 AMSF</v>
      </c>
      <c r="J1204" s="1"/>
      <c r="K1204" s="1"/>
      <c r="L1204" s="1" t="str">
        <f>IFERROR(__xludf.DUMMYFUNCTION("""COMPUTED_VALUE"""),"POSTED")</f>
        <v>POSTED</v>
      </c>
      <c r="M1204" s="1" t="str">
        <f>IFERROR(__xludf.DUMMYFUNCTION("""COMPUTED_VALUE"""),"POSTED")</f>
        <v>POSTED</v>
      </c>
      <c r="N1204" s="3">
        <f>IFERROR(__xludf.DUMMYFUNCTION("""COMPUTED_VALUE"""),46319)</f>
        <v>46319</v>
      </c>
      <c r="O1204" s="1" t="str">
        <f>IFERROR(__xludf.DUMMYFUNCTION("""COMPUTED_VALUE"""),"FIBER UNLI PLAN 1399")</f>
        <v>FIBER UNLI PLAN 1399</v>
      </c>
      <c r="P1204" s="1" t="str">
        <f>IFERROR(__xludf.DUMMYFUNCTION("""COMPUTED_VALUE"""),"LOWPLAN")</f>
        <v>LOWPLAN</v>
      </c>
      <c r="Q1204" s="1" t="str">
        <f>IFERROR(__xludf.DUMMYFUNCTION("""COMPUTED_VALUE"""),"P407047")</f>
        <v>P407047</v>
      </c>
      <c r="R1204" s="1" t="str">
        <f>IFERROR(__xludf.DUMMYFUNCTION("""COMPUTED_VALUE"""),"FRANCISCO, ROSELYN")</f>
        <v>FRANCISCO, ROSELYN</v>
      </c>
      <c r="S1204" s="1" t="str">
        <f>IFERROR(__xludf.DUMMYFUNCTION("""COMPUTED_VALUE"""),"ORGANIC")</f>
        <v>ORGANIC</v>
      </c>
      <c r="T1204" s="1" t="str">
        <f>IFERROR(__xludf.DUMMYFUNCTION("""COMPUTED_VALUE"""),"LEA REMOLLO")</f>
        <v>LEA REMOLLO</v>
      </c>
      <c r="U1204" s="1" t="str">
        <f>IFERROR(__xludf.DUMMYFUNCTION("""COMPUTED_VALUE"""),"JULIE ESPIRITU")</f>
        <v>JULIE ESPIRITU</v>
      </c>
      <c r="V1204" s="1" t="str">
        <f>IFERROR(__xludf.DUMMYFUNCTION("""COMPUTED_VALUE"""),"BK REGULAR")</f>
        <v>BK REGULAR</v>
      </c>
      <c r="W1204" s="1" t="str">
        <f>IFERROR(__xludf.DUMMYFUNCTION("""COMPUTED_VALUE"""),"STK REGULAR")</f>
        <v>STK REGULAR</v>
      </c>
      <c r="X1204" s="1" t="str">
        <f>IFERROR(__xludf.DUMMYFUNCTION("""COMPUTED_VALUE"""),"FIBER 1399 98TH YR")</f>
        <v>FIBER 1399 98TH YR</v>
      </c>
      <c r="Y1204" s="1" t="str">
        <f>IFERROR(__xludf.DUMMYFUNCTION("""COMPUTED_VALUE"""),"BK_CVEU_261006")</f>
        <v>BK_CVEU_261006</v>
      </c>
      <c r="Z1204" s="1" t="str">
        <f>IFERROR(__xludf.DUMMYFUNCTION("""COMPUTED_VALUE"""),"NEW CONNECT")</f>
        <v>NEW CONNECT</v>
      </c>
      <c r="AA1204" s="1">
        <f>IFERROR(__xludf.DUMMYFUNCTION("""COMPUTED_VALUE"""),639485335184)</f>
        <v>639485335184</v>
      </c>
      <c r="AB1204" s="1">
        <f>IFERROR(__xludf.DUMMYFUNCTION("""COMPUTED_VALUE"""),639505688581)</f>
        <v>639505688581</v>
      </c>
      <c r="AC1204" s="1">
        <f>IFERROR(__xludf.DUMMYFUNCTION("""COMPUTED_VALUE"""),173)</f>
        <v>173</v>
      </c>
      <c r="AD1204" s="1" t="str">
        <f>IFERROR(__xludf.DUMMYFUNCTION("""COMPUTED_VALUE"""),"ILAYA")</f>
        <v>ILAYA</v>
      </c>
      <c r="AE1204" s="1" t="str">
        <f>IFERROR(__xludf.DUMMYFUNCTION("""COMPUTED_VALUE"""),"PUROK 2")</f>
        <v>PUROK 2</v>
      </c>
      <c r="AF1204" s="1" t="str">
        <f>IFERROR(__xludf.DUMMYFUNCTION("""COMPUTED_VALUE"""),"BGY ADLAS")</f>
        <v>BGY ADLAS</v>
      </c>
      <c r="AG1204" s="1" t="str">
        <f>IFERROR(__xludf.DUMMYFUNCTION("""COMPUTED_VALUE"""),"SILANG")</f>
        <v>SILANG</v>
      </c>
      <c r="AH1204" s="1" t="str">
        <f>IFERROR(__xludf.DUMMYFUNCTION("""COMPUTED_VALUE"""),"BILYARAN PUROK 2")</f>
        <v>BILYARAN PUROK 2</v>
      </c>
      <c r="AI1204" s="1" t="str">
        <f>IFERROR(__xludf.DUMMYFUNCTION("""COMPUTED_VALUE"""),"CLUSTER 11")</f>
        <v>CLUSTER 11</v>
      </c>
    </row>
    <row r="1205" customHeight="1" spans="1:35">
      <c r="A1205" s="3">
        <f>IFERROR(__xludf.DUMMYFUNCTION("""COMPUTED_VALUE"""),46318)</f>
        <v>46318</v>
      </c>
      <c r="B1205" s="1" t="str">
        <f>IFERROR(__xludf.DUMMYFUNCTION("""COMPUTED_VALUE"""),"CIELITO FORTIZ AURELIO")</f>
        <v>CIELITO FORTIZ AURELIO</v>
      </c>
      <c r="C1205" s="1">
        <f>IFERROR(__xludf.DUMMYFUNCTION("""COMPUTED_VALUE"""),2313335956)</f>
        <v>2313335956</v>
      </c>
      <c r="D1205" s="1"/>
      <c r="E1205" s="1"/>
      <c r="F1205" s="1" t="str">
        <f>IFERROR(__xludf.DUMMYFUNCTION("""COMPUTED_VALUE"""),"DUPLICATE NAME")</f>
        <v>DUPLICATE NAME</v>
      </c>
      <c r="G1205" s="1" t="str">
        <f>IFERROR(__xludf.DUMMYFUNCTION("""COMPUTED_VALUE"""),"WITH EXISTING SERVICE | ACCT # 0404486691 - UNDER COLLECTION TEAM | SAME NAME | SAME DOB | DIFF ADDRESS | PLS PROVIDE POA WITH INSTALLATION ADDRESS UNDER SOR NAME | SETTLE OB OF PHP2,154.64 TO PROCEED WITH THE APPLICATION ")</f>
        <v>WITH EXISTING SERVICE | ACCT # 0404486691 - UNDER COLLECTION TEAM | SAME NAME | SAME DOB | DIFF ADDRESS | PLS PROVIDE POA WITH INSTALLATION ADDRESS UNDER SOR NAME | SETTLE OB OF PHP2,154.64 TO PROCEED WITH THE APPLICATION </v>
      </c>
      <c r="H1205" s="1"/>
      <c r="I1205" s="1"/>
      <c r="J1205" s="1"/>
      <c r="K1205" s="1" t="str">
        <f>IFERROR(__xludf.DUMMYFUNCTION("""COMPUTED_VALUE"""),"NO POA PROVIDED")</f>
        <v>NO POA PROVIDED</v>
      </c>
      <c r="L1205" s="1" t="str">
        <f>IFERROR(__xludf.DUMMYFUNCTION("""COMPUTED_VALUE"""),"CUSTOMERS COMPLIANCE - RTS")</f>
        <v>CUSTOMERS COMPLIANCE - RTS</v>
      </c>
      <c r="M1205" s="1" t="str">
        <f>IFERROR(__xludf.DUMMYFUNCTION("""COMPUTED_VALUE"""),"CUSTOMERS COMPLIANCE - REQS")</f>
        <v>CUSTOMERS COMPLIANCE - REQS</v>
      </c>
      <c r="N1205" s="3"/>
      <c r="O1205" s="1" t="str">
        <f>IFERROR(__xludf.DUMMYFUNCTION("""COMPUTED_VALUE"""),"FIBER UNLI PLAN 1399")</f>
        <v>FIBER UNLI PLAN 1399</v>
      </c>
      <c r="P1205" s="1" t="str">
        <f>IFERROR(__xludf.DUMMYFUNCTION("""COMPUTED_VALUE"""),"LOWPLAN")</f>
        <v>LOWPLAN</v>
      </c>
      <c r="Q1205" s="1" t="str">
        <f>IFERROR(__xludf.DUMMYFUNCTION("""COMPUTED_VALUE"""),"P407050")</f>
        <v>P407050</v>
      </c>
      <c r="R1205" s="1" t="str">
        <f>IFERROR(__xludf.DUMMYFUNCTION("""COMPUTED_VALUE"""),"ESCARCHA, ALMA")</f>
        <v>ESCARCHA, ALMA</v>
      </c>
      <c r="S1205" s="1" t="str">
        <f>IFERROR(__xludf.DUMMYFUNCTION("""COMPUTED_VALUE"""),"ORGANIC")</f>
        <v>ORGANIC</v>
      </c>
      <c r="T1205" s="1" t="str">
        <f>IFERROR(__xludf.DUMMYFUNCTION("""COMPUTED_VALUE"""),"LEA REMOLLO")</f>
        <v>LEA REMOLLO</v>
      </c>
      <c r="U1205" s="1" t="str">
        <f>IFERROR(__xludf.DUMMYFUNCTION("""COMPUTED_VALUE"""),"JB SALIOA")</f>
        <v>JB SALIOA</v>
      </c>
      <c r="V1205" s="1" t="str">
        <f>IFERROR(__xludf.DUMMYFUNCTION("""COMPUTED_VALUE"""),"BK REGULAR")</f>
        <v>BK REGULAR</v>
      </c>
      <c r="W1205" s="1" t="str">
        <f>IFERROR(__xludf.DUMMYFUNCTION("""COMPUTED_VALUE"""),"STK REGULAR")</f>
        <v>STK REGULAR</v>
      </c>
      <c r="X1205" s="1" t="str">
        <f>IFERROR(__xludf.DUMMYFUNCTION("""COMPUTED_VALUE"""),"FIBER 1399 98TH YR")</f>
        <v>FIBER 1399 98TH YR</v>
      </c>
      <c r="Y1205" s="1" t="str">
        <f>IFERROR(__xludf.DUMMYFUNCTION("""COMPUTED_VALUE"""),"BK_CVEU_261006")</f>
        <v>BK_CVEU_261006</v>
      </c>
      <c r="Z1205" s="1" t="str">
        <f>IFERROR(__xludf.DUMMYFUNCTION("""COMPUTED_VALUE"""),"NEW CONNECT")</f>
        <v>NEW CONNECT</v>
      </c>
      <c r="AA1205" s="1">
        <f>IFERROR(__xludf.DUMMYFUNCTION("""COMPUTED_VALUE"""),639626870623)</f>
        <v>639626870623</v>
      </c>
      <c r="AB1205" s="1">
        <f>IFERROR(__xludf.DUMMYFUNCTION("""COMPUTED_VALUE"""),639943450987)</f>
        <v>639943450987</v>
      </c>
      <c r="AC1205" s="1"/>
      <c r="AD1205" s="1" t="str">
        <f>IFERROR(__xludf.DUMMYFUNCTION("""COMPUTED_VALUE"""),"ANAHAW 1")</f>
        <v>ANAHAW 1</v>
      </c>
      <c r="AE1205" s="1"/>
      <c r="AF1205" s="1" t="str">
        <f>IFERROR(__xludf.DUMMYFUNCTION("""COMPUTED_VALUE"""),"BGY ANAHAW 1")</f>
        <v>BGY ANAHAW 1</v>
      </c>
      <c r="AG1205" s="1" t="str">
        <f>IFERROR(__xludf.DUMMYFUNCTION("""COMPUTED_VALUE"""),"SILANG")</f>
        <v>SILANG</v>
      </c>
      <c r="AH1205" s="1" t="str">
        <f>IFERROR(__xludf.DUMMYFUNCTION("""COMPUTED_VALUE"""),"-")</f>
        <v>-</v>
      </c>
      <c r="AI1205" s="1" t="str">
        <f>IFERROR(__xludf.DUMMYFUNCTION("""COMPUTED_VALUE"""),"CLUSTER 11")</f>
        <v>CLUSTER 11</v>
      </c>
    </row>
    <row r="1206" customHeight="1" spans="1:35">
      <c r="A1206" s="3">
        <f>IFERROR(__xludf.DUMMYFUNCTION("""COMPUTED_VALUE"""),46318)</f>
        <v>46318</v>
      </c>
      <c r="B1206" s="1" t="str">
        <f>IFERROR(__xludf.DUMMYFUNCTION("""COMPUTED_VALUE"""),"ROMAR DUA OMBAUGAN")</f>
        <v>ROMAR DUA OMBAUGAN</v>
      </c>
      <c r="C1206" s="1">
        <f>IFERROR(__xludf.DUMMYFUNCTION("""COMPUTED_VALUE"""),2313336094)</f>
        <v>2313336094</v>
      </c>
      <c r="D1206" s="1">
        <f>IFERROR(__xludf.DUMMYFUNCTION("""COMPUTED_VALUE"""),409272126)</f>
        <v>409272126</v>
      </c>
      <c r="E1206" s="1">
        <f>IFERROR(__xludf.DUMMYFUNCTION("""COMPUTED_VALUE"""),476800700004)</f>
        <v>476800700004</v>
      </c>
      <c r="F1206" s="1" t="str">
        <f>IFERROR(__xludf.DUMMYFUNCTION("""COMPUTED_VALUE"""),"PAID")</f>
        <v>PAID</v>
      </c>
      <c r="G1206" s="1" t="str">
        <f>IFERROR(__xludf.DUMMYFUNCTION("""COMPUTED_VALUE"""),"PAID")</f>
        <v>PAID</v>
      </c>
      <c r="H1206" s="1"/>
      <c r="I1206" s="1" t="str">
        <f>IFERROR(__xludf.DUMMYFUNCTION("""COMPUTED_VALUE"""),"NO 1 AMSF")</f>
        <v>NO 1 AMSF</v>
      </c>
      <c r="J1206" s="1"/>
      <c r="K1206" s="1"/>
      <c r="L1206" s="1" t="str">
        <f>IFERROR(__xludf.DUMMYFUNCTION("""COMPUTED_VALUE"""),"PAID")</f>
        <v>PAID</v>
      </c>
      <c r="M1206" s="1" t="str">
        <f>IFERROR(__xludf.DUMMYFUNCTION("""COMPUTED_VALUE"""),"PAID - FOR INSTALLATION")</f>
        <v>PAID - FOR INSTALLATION</v>
      </c>
      <c r="N1206" s="3"/>
      <c r="O1206" s="1" t="str">
        <f>IFERROR(__xludf.DUMMYFUNCTION("""COMPUTED_VALUE"""),"FIBER UNLI PLAN 1399")</f>
        <v>FIBER UNLI PLAN 1399</v>
      </c>
      <c r="P1206" s="1" t="str">
        <f>IFERROR(__xludf.DUMMYFUNCTION("""COMPUTED_VALUE"""),"LOWPLAN")</f>
        <v>LOWPLAN</v>
      </c>
      <c r="Q1206" s="1" t="str">
        <f>IFERROR(__xludf.DUMMYFUNCTION("""COMPUTED_VALUE"""),"P407049")</f>
        <v>P407049</v>
      </c>
      <c r="R1206" s="1" t="str">
        <f>IFERROR(__xludf.DUMMYFUNCTION("""COMPUTED_VALUE"""),"CADERAO, RONALD")</f>
        <v>CADERAO, RONALD</v>
      </c>
      <c r="S1206" s="1" t="str">
        <f>IFERROR(__xludf.DUMMYFUNCTION("""COMPUTED_VALUE"""),"ORGANIC")</f>
        <v>ORGANIC</v>
      </c>
      <c r="T1206" s="1" t="str">
        <f>IFERROR(__xludf.DUMMYFUNCTION("""COMPUTED_VALUE"""),"LEA REMOLLO")</f>
        <v>LEA REMOLLO</v>
      </c>
      <c r="U1206" s="1" t="str">
        <f>IFERROR(__xludf.DUMMYFUNCTION("""COMPUTED_VALUE"""),"JULIE ESPIRITU")</f>
        <v>JULIE ESPIRITU</v>
      </c>
      <c r="V1206" s="1" t="str">
        <f>IFERROR(__xludf.DUMMYFUNCTION("""COMPUTED_VALUE"""),"BK REGULAR")</f>
        <v>BK REGULAR</v>
      </c>
      <c r="W1206" s="1" t="str">
        <f>IFERROR(__xludf.DUMMYFUNCTION("""COMPUTED_VALUE"""),"STK REGULAR")</f>
        <v>STK REGULAR</v>
      </c>
      <c r="X1206" s="1" t="str">
        <f>IFERROR(__xludf.DUMMYFUNCTION("""COMPUTED_VALUE"""),"FIBER 1399 98TH YR")</f>
        <v>FIBER 1399 98TH YR</v>
      </c>
      <c r="Y1206" s="1" t="str">
        <f>IFERROR(__xludf.DUMMYFUNCTION("""COMPUTED_VALUE"""),"BK_CVEU_261006")</f>
        <v>BK_CVEU_261006</v>
      </c>
      <c r="Z1206" s="1" t="str">
        <f>IFERROR(__xludf.DUMMYFUNCTION("""COMPUTED_VALUE"""),"NEW CONNECT")</f>
        <v>NEW CONNECT</v>
      </c>
      <c r="AA1206" s="1">
        <f>IFERROR(__xludf.DUMMYFUNCTION("""COMPUTED_VALUE"""),639550336409)</f>
        <v>639550336409</v>
      </c>
      <c r="AB1206" s="1">
        <f>IFERROR(__xludf.DUMMYFUNCTION("""COMPUTED_VALUE"""),639309434066)</f>
        <v>639309434066</v>
      </c>
      <c r="AC1206" s="1">
        <f>IFERROR(__xludf.DUMMYFUNCTION("""COMPUTED_VALUE"""),151)</f>
        <v>151</v>
      </c>
      <c r="AD1206" s="1" t="str">
        <f>IFERROR(__xludf.DUMMYFUNCTION("""COMPUTED_VALUE"""),"PUROK 3")</f>
        <v>PUROK 3</v>
      </c>
      <c r="AE1206" s="1"/>
      <c r="AF1206" s="1" t="str">
        <f>IFERROR(__xludf.DUMMYFUNCTION("""COMPUTED_VALUE"""),"BGY LALAAN 2")</f>
        <v>BGY LALAAN 2</v>
      </c>
      <c r="AG1206" s="1" t="str">
        <f>IFERROR(__xludf.DUMMYFUNCTION("""COMPUTED_VALUE"""),"SILANG")</f>
        <v>SILANG</v>
      </c>
      <c r="AH1206" s="1" t="str">
        <f>IFERROR(__xludf.DUMMYFUNCTION("""COMPUTED_VALUE"""),"IGLESIA NI CRISTO")</f>
        <v>IGLESIA NI CRISTO</v>
      </c>
      <c r="AI1206" s="1" t="str">
        <f>IFERROR(__xludf.DUMMYFUNCTION("""COMPUTED_VALUE"""),"CLUSTER 11")</f>
        <v>CLUSTER 11</v>
      </c>
    </row>
    <row r="1207" customHeight="1" spans="1:35">
      <c r="A1207" s="3">
        <f>IFERROR(__xludf.DUMMYFUNCTION("""COMPUTED_VALUE"""),46318)</f>
        <v>46318</v>
      </c>
      <c r="B1207" s="1" t="str">
        <f>IFERROR(__xludf.DUMMYFUNCTION("""COMPUTED_VALUE"""),"MARJON RETUERTO DUGANG")</f>
        <v>MARJON RETUERTO DUGANG</v>
      </c>
      <c r="C1207" s="1">
        <f>IFERROR(__xludf.DUMMYFUNCTION("""COMPUTED_VALUE"""),2313335574)</f>
        <v>2313335574</v>
      </c>
      <c r="D1207" s="1"/>
      <c r="E1207" s="1"/>
      <c r="F1207" s="1" t="str">
        <f>IFERROR(__xludf.DUMMYFUNCTION("""COMPUTED_VALUE"""),"CANCELLED")</f>
        <v>CANCELLED</v>
      </c>
      <c r="G1207" s="1" t="str">
        <f>IFERROR(__xludf.DUMMYFUNCTION("""COMPUTED_VALUE"""),"(WITH PENDING APPLICATION ALREADY; CANCELLED THE NEW APPLICATION) GG - SEGMENT 1 - NEW TO CREDIT - HIGH RISK")</f>
        <v>(WITH PENDING APPLICATION ALREADY; CANCELLED THE NEW APPLICATION) GG - SEGMENT 1 - NEW TO CREDIT - HIGH RISK</v>
      </c>
      <c r="H1207" s="1"/>
      <c r="I1207" s="1"/>
      <c r="J1207" s="1"/>
      <c r="K1207" s="1"/>
      <c r="L1207" s="1" t="str">
        <f>IFERROR(__xludf.DUMMYFUNCTION("""COMPUTED_VALUE"""),"CANCELLED")</f>
        <v>CANCELLED</v>
      </c>
      <c r="M1207" s="1" t="str">
        <f>IFERROR(__xludf.DUMMYFUNCTION("""COMPUTED_VALUE"""),"CANCELLED - WITH PENDING PID")</f>
        <v>CANCELLED - WITH PENDING PID</v>
      </c>
      <c r="N1207" s="3"/>
      <c r="O1207" s="1" t="str">
        <f>IFERROR(__xludf.DUMMYFUNCTION("""COMPUTED_VALUE"""),"FIBER UNLI PLAN 1399")</f>
        <v>FIBER UNLI PLAN 1399</v>
      </c>
      <c r="P1207" s="1" t="str">
        <f>IFERROR(__xludf.DUMMYFUNCTION("""COMPUTED_VALUE"""),"LOWPLAN")</f>
        <v>LOWPLAN</v>
      </c>
      <c r="Q1207" s="1" t="str">
        <f>IFERROR(__xludf.DUMMYFUNCTION("""COMPUTED_VALUE"""),"P407520")</f>
        <v>P407520</v>
      </c>
      <c r="R1207" s="1" t="str">
        <f>IFERROR(__xludf.DUMMYFUNCTION("""COMPUTED_VALUE"""),"MALIWAT, MARK")</f>
        <v>MALIWAT, MARK</v>
      </c>
      <c r="S1207" s="1" t="str">
        <f>IFERROR(__xludf.DUMMYFUNCTION("""COMPUTED_VALUE"""),"FLA")</f>
        <v>FLA</v>
      </c>
      <c r="T1207" s="1" t="str">
        <f>IFERROR(__xludf.DUMMYFUNCTION("""COMPUTED_VALUE"""),"JERIC NAVARRO")</f>
        <v>JERIC NAVARRO</v>
      </c>
      <c r="U1207" s="1" t="str">
        <f>IFERROR(__xludf.DUMMYFUNCTION("""COMPUTED_VALUE"""),"JULIE ESPIRITU")</f>
        <v>JULIE ESPIRITU</v>
      </c>
      <c r="V1207" s="1" t="str">
        <f>IFERROR(__xludf.DUMMYFUNCTION("""COMPUTED_VALUE"""),"BK HSTK")</f>
        <v>BK HSTK</v>
      </c>
      <c r="W1207" s="1" t="str">
        <f>IFERROR(__xludf.DUMMYFUNCTION("""COMPUTED_VALUE"""),"BK HSTK")</f>
        <v>BK HSTK</v>
      </c>
      <c r="X1207" s="1" t="str">
        <f>IFERROR(__xludf.DUMMYFUNCTION("""COMPUTED_VALUE"""),"FIBER 1399 98TH YR")</f>
        <v>FIBER 1399 98TH YR</v>
      </c>
      <c r="Y1207" s="1" t="str">
        <f>IFERROR(__xludf.DUMMYFUNCTION("""COMPUTED_VALUE"""),"BK_CVEU_261006")</f>
        <v>BK_CVEU_261006</v>
      </c>
      <c r="Z1207" s="1" t="str">
        <f>IFERROR(__xludf.DUMMYFUNCTION("""COMPUTED_VALUE"""),"NEW CONNECT")</f>
        <v>NEW CONNECT</v>
      </c>
      <c r="AA1207" s="1">
        <f>IFERROR(__xludf.DUMMYFUNCTION("""COMPUTED_VALUE"""),639954322385)</f>
        <v>639954322385</v>
      </c>
      <c r="AB1207" s="1"/>
      <c r="AC1207" s="1"/>
      <c r="AD1207" s="1" t="str">
        <f>IFERROR(__xludf.DUMMYFUNCTION("""COMPUTED_VALUE"""),"BUKLURAN 2")</f>
        <v>BUKLURAN 2</v>
      </c>
      <c r="AE1207" s="1"/>
      <c r="AF1207" s="1" t="str">
        <f>IFERROR(__xludf.DUMMYFUNCTION("""COMPUTED_VALUE"""),"BGY BULIHAN")</f>
        <v>BGY BULIHAN</v>
      </c>
      <c r="AG1207" s="1" t="str">
        <f>IFERROR(__xludf.DUMMYFUNCTION("""COMPUTED_VALUE"""),"SILANG")</f>
        <v>SILANG</v>
      </c>
      <c r="AH1207" s="1" t="str">
        <f>IFERROR(__xludf.DUMMYFUNCTION("""COMPUTED_VALUE"""),"BKEXPRESS_NEAR UNCLE JOHNS BRGY HALL")</f>
        <v>BKEXPRESS_NEAR UNCLE JOHNS BRGY HALL</v>
      </c>
      <c r="AI1207" s="1" t="str">
        <f>IFERROR(__xludf.DUMMYFUNCTION("""COMPUTED_VALUE"""),"CLUSTER 11")</f>
        <v>CLUSTER 11</v>
      </c>
    </row>
    <row r="1208" customHeight="1" spans="1:35">
      <c r="A1208" s="3">
        <f>IFERROR(__xludf.DUMMYFUNCTION("""COMPUTED_VALUE"""),46318)</f>
        <v>46318</v>
      </c>
      <c r="B1208" s="1" t="str">
        <f>IFERROR(__xludf.DUMMYFUNCTION("""COMPUTED_VALUE"""),"KEILA SUZAINE VICENTE SAMSON")</f>
        <v>KEILA SUZAINE VICENTE SAMSON</v>
      </c>
      <c r="C1208" s="1">
        <f>IFERROR(__xludf.DUMMYFUNCTION("""COMPUTED_VALUE"""),2313337328)</f>
        <v>2313337328</v>
      </c>
      <c r="D1208" s="1"/>
      <c r="E1208" s="1"/>
      <c r="F1208" s="1" t="str">
        <f>IFERROR(__xludf.DUMMYFUNCTION("""COMPUTED_VALUE"""),"ESCALATED TO CVA A")</f>
        <v>ESCALATED TO CVA A</v>
      </c>
      <c r="G1208" s="1" t="str">
        <f>IFERROR(__xludf.DUMMYFUNCTION("""COMPUTED_VALUE"""),"ESCALATED TO CVA A")</f>
        <v>ESCALATED TO CVA A</v>
      </c>
      <c r="H1208" s="1"/>
      <c r="I1208" s="1"/>
      <c r="J1208" s="1"/>
      <c r="K1208" s="1" t="str">
        <f>IFERROR(__xludf.DUMMYFUNCTION("""COMPUTED_VALUE"""),"DONE EMAIL")</f>
        <v>DONE EMAIL</v>
      </c>
      <c r="L1208" s="1" t="str">
        <f>IFERROR(__xludf.DUMMYFUNCTION("""COMPUTED_VALUE"""),"CREDIT VALIDATION")</f>
        <v>CREDIT VALIDATION</v>
      </c>
      <c r="M1208" s="1" t="str">
        <f>IFERROR(__xludf.DUMMYFUNCTION("""COMPUTED_VALUE"""),"CREDIT VALIDATION")</f>
        <v>CREDIT VALIDATION</v>
      </c>
      <c r="N1208" s="3"/>
      <c r="O1208" s="1" t="str">
        <f>IFERROR(__xludf.DUMMYFUNCTION("""COMPUTED_VALUE"""),"FIBER UNLI ALL PLAN 1899")</f>
        <v>FIBER UNLI ALL PLAN 1899</v>
      </c>
      <c r="P1208" s="1" t="str">
        <f>IFERROR(__xludf.DUMMYFUNCTION("""COMPUTED_VALUE"""),"HIGHPLAN")</f>
        <v>HIGHPLAN</v>
      </c>
      <c r="Q1208" s="1" t="str">
        <f>IFERROR(__xludf.DUMMYFUNCTION("""COMPUTED_VALUE"""),"P407516")</f>
        <v>P407516</v>
      </c>
      <c r="R1208" s="1" t="str">
        <f>IFERROR(__xludf.DUMMYFUNCTION("""COMPUTED_VALUE"""),"AYON, MANUEL")</f>
        <v>AYON, MANUEL</v>
      </c>
      <c r="S1208" s="1" t="str">
        <f>IFERROR(__xludf.DUMMYFUNCTION("""COMPUTED_VALUE"""),"FLA")</f>
        <v>FLA</v>
      </c>
      <c r="T1208" s="1" t="str">
        <f>IFERROR(__xludf.DUMMYFUNCTION("""COMPUTED_VALUE"""),"JERIC NAVARRO")</f>
        <v>JERIC NAVARRO</v>
      </c>
      <c r="U1208" s="1" t="str">
        <f>IFERROR(__xludf.DUMMYFUNCTION("""COMPUTED_VALUE"""),"JB SALIOA")</f>
        <v>JB SALIOA</v>
      </c>
      <c r="V1208" s="1" t="str">
        <f>IFERROR(__xludf.DUMMYFUNCTION("""COMPUTED_VALUE"""),"ONLINE/CRANFORD")</f>
        <v>ONLINE/CRANFORD</v>
      </c>
      <c r="W1208" s="1" t="str">
        <f>IFERROR(__xludf.DUMMYFUNCTION("""COMPUTED_VALUE"""),"STK REGULAR")</f>
        <v>STK REGULAR</v>
      </c>
      <c r="X1208" s="1" t="str">
        <f>IFERROR(__xludf.DUMMYFUNCTION("""COMPUTED_VALUE"""),"REGULAR")</f>
        <v>REGULAR</v>
      </c>
      <c r="Y1208" s="1" t="str">
        <f>IFERROR(__xludf.DUMMYFUNCTION("""COMPUTED_VALUE"""),"RS_ONL_CVEU_2026")</f>
        <v>RS_ONL_CVEU_2026</v>
      </c>
      <c r="Z1208" s="1" t="str">
        <f>IFERROR(__xludf.DUMMYFUNCTION("""COMPUTED_VALUE"""),"NEW CONNECT")</f>
        <v>NEW CONNECT</v>
      </c>
      <c r="AA1208" s="1">
        <f>IFERROR(__xludf.DUMMYFUNCTION("""COMPUTED_VALUE"""),639457216659)</f>
        <v>639457216659</v>
      </c>
      <c r="AB1208" s="1">
        <f>IFERROR(__xludf.DUMMYFUNCTION("""COMPUTED_VALUE"""),639954360746)</f>
        <v>639954360746</v>
      </c>
      <c r="AC1208" s="1"/>
      <c r="AD1208" s="1" t="str">
        <f>IFERROR(__xludf.DUMMYFUNCTION("""COMPUTED_VALUE"""),"VALENCIA")</f>
        <v>VALENCIA</v>
      </c>
      <c r="AE1208" s="1" t="str">
        <f>IFERROR(__xludf.DUMMYFUNCTION("""COMPUTED_VALUE"""),"SANTA ROSA HEIGHTS PHASE 6")</f>
        <v>SANTA ROSA HEIGHTS PHASE 6</v>
      </c>
      <c r="AF1208" s="1" t="str">
        <f>IFERROR(__xludf.DUMMYFUNCTION("""COMPUTED_VALUE"""),"BGY PUTING KAHOY")</f>
        <v>BGY PUTING KAHOY</v>
      </c>
      <c r="AG1208" s="1" t="str">
        <f>IFERROR(__xludf.DUMMYFUNCTION("""COMPUTED_VALUE"""),"SILANG")</f>
        <v>SILANG</v>
      </c>
      <c r="AH1208" s="1" t="str">
        <f>IFERROR(__xludf.DUMMYFUNCTION("""COMPUTED_VALUE"""),"BLACK NA GATE")</f>
        <v>BLACK NA GATE</v>
      </c>
      <c r="AI1208" s="1" t="str">
        <f>IFERROR(__xludf.DUMMYFUNCTION("""COMPUTED_VALUE"""),"CLUSTER 11")</f>
        <v>CLUSTER 11</v>
      </c>
    </row>
    <row r="1209" customHeight="1" spans="1:35">
      <c r="A1209" s="3">
        <f>IFERROR(__xludf.DUMMYFUNCTION("""COMPUTED_VALUE"""),46319)</f>
        <v>46319</v>
      </c>
      <c r="B1209" s="1" t="str">
        <f>IFERROR(__xludf.DUMMYFUNCTION("""COMPUTED_VALUE"""),"DARIUS TABERNA CASTRO")</f>
        <v>DARIUS TABERNA CASTRO</v>
      </c>
      <c r="C1209" s="1">
        <f>IFERROR(__xludf.DUMMYFUNCTION("""COMPUTED_VALUE"""),2313347264)</f>
        <v>2313347264</v>
      </c>
      <c r="D1209" s="1">
        <f>IFERROR(__xludf.DUMMYFUNCTION("""COMPUTED_VALUE"""),409289045)</f>
        <v>409289045</v>
      </c>
      <c r="E1209" s="1">
        <f>IFERROR(__xludf.DUMMYFUNCTION("""COMPUTED_VALUE"""),476922757004)</f>
        <v>476922757004</v>
      </c>
      <c r="F1209" s="1" t="str">
        <f>IFERROR(__xludf.DUMMYFUNCTION("""COMPUTED_VALUE"""),"CLOSED")</f>
        <v>CLOSED</v>
      </c>
      <c r="G1209" s="1" t="str">
        <f>IFERROR(__xludf.DUMMYFUNCTION("""COMPUTED_VALUE"""),"CLOSED")</f>
        <v>CLOSED</v>
      </c>
      <c r="H1209" s="1"/>
      <c r="I1209" s="1" t="str">
        <f>IFERROR(__xludf.DUMMYFUNCTION("""COMPUTED_VALUE"""),"NO 1 AMSF")</f>
        <v>NO 1 AMSF</v>
      </c>
      <c r="J1209" s="1"/>
      <c r="K1209" s="1"/>
      <c r="L1209" s="1" t="str">
        <f>IFERROR(__xludf.DUMMYFUNCTION("""COMPUTED_VALUE"""),"POSTED")</f>
        <v>POSTED</v>
      </c>
      <c r="M1209" s="1" t="str">
        <f>IFERROR(__xludf.DUMMYFUNCTION("""COMPUTED_VALUE"""),"POSTED")</f>
        <v>POSTED</v>
      </c>
      <c r="N1209" s="3">
        <f>IFERROR(__xludf.DUMMYFUNCTION("""COMPUTED_VALUE"""),46319)</f>
        <v>46319</v>
      </c>
      <c r="O1209" s="1" t="str">
        <f>IFERROR(__xludf.DUMMYFUNCTION("""COMPUTED_VALUE"""),"FIBR UNLI ALL PLAN 999")</f>
        <v>FIBR UNLI ALL PLAN 999</v>
      </c>
      <c r="P1209" s="1" t="str">
        <f>IFERROR(__xludf.DUMMYFUNCTION("""COMPUTED_VALUE"""),"LOWPLAN")</f>
        <v>LOWPLAN</v>
      </c>
      <c r="Q1209" s="1" t="str">
        <f>IFERROR(__xludf.DUMMYFUNCTION("""COMPUTED_VALUE"""),"P407559")</f>
        <v>P407559</v>
      </c>
      <c r="R1209" s="1" t="str">
        <f>IFERROR(__xludf.DUMMYFUNCTION("""COMPUTED_VALUE"""),"MAGDARAOG, KENNETH")</f>
        <v>MAGDARAOG, KENNETH</v>
      </c>
      <c r="S1209" s="1" t="str">
        <f>IFERROR(__xludf.DUMMYFUNCTION("""COMPUTED_VALUE"""),"ORGANIC")</f>
        <v>ORGANIC</v>
      </c>
      <c r="T1209" s="1" t="str">
        <f>IFERROR(__xludf.DUMMYFUNCTION("""COMPUTED_VALUE"""),"LEA REMOLLO")</f>
        <v>LEA REMOLLO</v>
      </c>
      <c r="U1209" s="1" t="str">
        <f>IFERROR(__xludf.DUMMYFUNCTION("""COMPUTED_VALUE"""),"JB SALIOA")</f>
        <v>JB SALIOA</v>
      </c>
      <c r="V1209" s="1" t="str">
        <f>IFERROR(__xludf.DUMMYFUNCTION("""COMPUTED_VALUE"""),"BK HSTK")</f>
        <v>BK HSTK</v>
      </c>
      <c r="W1209" s="1" t="str">
        <f>IFERROR(__xludf.DUMMYFUNCTION("""COMPUTED_VALUE"""),"BK HSTK")</f>
        <v>BK HSTK</v>
      </c>
      <c r="X1209" s="1" t="str">
        <f>IFERROR(__xludf.DUMMYFUNCTION("""COMPUTED_VALUE"""),"REGULAR")</f>
        <v>REGULAR</v>
      </c>
      <c r="Y1209" s="1" t="str">
        <f>IFERROR(__xludf.DUMMYFUNCTION("""COMPUTED_VALUE"""),"BK_CVEU_261006")</f>
        <v>BK_CVEU_261006</v>
      </c>
      <c r="Z1209" s="1" t="str">
        <f>IFERROR(__xludf.DUMMYFUNCTION("""COMPUTED_VALUE"""),"NEW CONNECT")</f>
        <v>NEW CONNECT</v>
      </c>
      <c r="AA1209" s="1">
        <f>IFERROR(__xludf.DUMMYFUNCTION("""COMPUTED_VALUE"""),639985304103)</f>
        <v>639985304103</v>
      </c>
      <c r="AB1209" s="1"/>
      <c r="AC1209" s="1">
        <f>IFERROR(__xludf.DUMMYFUNCTION("""COMPUTED_VALUE"""),179)</f>
        <v>179</v>
      </c>
      <c r="AD1209" s="1" t="str">
        <f>IFERROR(__xludf.DUMMYFUNCTION("""COMPUTED_VALUE"""),"ADLAS")</f>
        <v>ADLAS</v>
      </c>
      <c r="AE1209" s="1"/>
      <c r="AF1209" s="1" t="str">
        <f>IFERROR(__xludf.DUMMYFUNCTION("""COMPUTED_VALUE"""),"BGY BIGA 2")</f>
        <v>BGY BIGA 2</v>
      </c>
      <c r="AG1209" s="1" t="str">
        <f>IFERROR(__xludf.DUMMYFUNCTION("""COMPUTED_VALUE"""),"SILANG")</f>
        <v>SILANG</v>
      </c>
      <c r="AH1209" s="1" t="str">
        <f>IFERROR(__xludf.DUMMYFUNCTION("""COMPUTED_VALUE"""),"JAVA JUNCTION CAFE")</f>
        <v>JAVA JUNCTION CAFE</v>
      </c>
      <c r="AI1209" s="1" t="str">
        <f>IFERROR(__xludf.DUMMYFUNCTION("""COMPUTED_VALUE"""),"CLUSTER 11")</f>
        <v>CLUSTER 11</v>
      </c>
    </row>
    <row r="1210" customHeight="1" spans="1:35">
      <c r="A1210" s="3">
        <f>IFERROR(__xludf.DUMMYFUNCTION("""COMPUTED_VALUE"""),46319)</f>
        <v>46319</v>
      </c>
      <c r="B1210" s="1" t="str">
        <f>IFERROR(__xludf.DUMMYFUNCTION("""COMPUTED_VALUE"""),"ERIC MORILLO SAPUSAO")</f>
        <v>ERIC MORILLO SAPUSAO</v>
      </c>
      <c r="C1210" s="1">
        <f>IFERROR(__xludf.DUMMYFUNCTION("""COMPUTED_VALUE"""),2313347670)</f>
        <v>2313347670</v>
      </c>
      <c r="D1210" s="1">
        <f>IFERROR(__xludf.DUMMYFUNCTION("""COMPUTED_VALUE"""),409288049)</f>
        <v>409288049</v>
      </c>
      <c r="E1210" s="1">
        <f>IFERROR(__xludf.DUMMYFUNCTION("""COMPUTED_VALUE"""),476922618004)</f>
        <v>476922618004</v>
      </c>
      <c r="F1210" s="1" t="str">
        <f>IFERROR(__xludf.DUMMYFUNCTION("""COMPUTED_VALUE"""),"CLOSED")</f>
        <v>CLOSED</v>
      </c>
      <c r="G1210" s="1" t="str">
        <f>IFERROR(__xludf.DUMMYFUNCTION("""COMPUTED_VALUE"""),"CLOSED")</f>
        <v>CLOSED</v>
      </c>
      <c r="H1210" s="1"/>
      <c r="I1210" s="1" t="str">
        <f>IFERROR(__xludf.DUMMYFUNCTION("""COMPUTED_VALUE"""),"NO 1 AMSF")</f>
        <v>NO 1 AMSF</v>
      </c>
      <c r="J1210" s="1"/>
      <c r="K1210" s="1"/>
      <c r="L1210" s="1" t="str">
        <f>IFERROR(__xludf.DUMMYFUNCTION("""COMPUTED_VALUE"""),"POSTED")</f>
        <v>POSTED</v>
      </c>
      <c r="M1210" s="1" t="str">
        <f>IFERROR(__xludf.DUMMYFUNCTION("""COMPUTED_VALUE"""),"POSTED")</f>
        <v>POSTED</v>
      </c>
      <c r="N1210" s="3">
        <f>IFERROR(__xludf.DUMMYFUNCTION("""COMPUTED_VALUE"""),46319)</f>
        <v>46319</v>
      </c>
      <c r="O1210" s="1" t="str">
        <f>IFERROR(__xludf.DUMMYFUNCTION("""COMPUTED_VALUE"""),"FIBR UNLI ALL PLAN 999")</f>
        <v>FIBR UNLI ALL PLAN 999</v>
      </c>
      <c r="P1210" s="1" t="str">
        <f>IFERROR(__xludf.DUMMYFUNCTION("""COMPUTED_VALUE"""),"LOWPLAN")</f>
        <v>LOWPLAN</v>
      </c>
      <c r="Q1210" s="1" t="str">
        <f>IFERROR(__xludf.DUMMYFUNCTION("""COMPUTED_VALUE"""),"P407564")</f>
        <v>P407564</v>
      </c>
      <c r="R1210" s="1" t="str">
        <f>IFERROR(__xludf.DUMMYFUNCTION("""COMPUTED_VALUE"""),"ARENA, LYKA")</f>
        <v>ARENA, LYKA</v>
      </c>
      <c r="S1210" s="1" t="str">
        <f>IFERROR(__xludf.DUMMYFUNCTION("""COMPUTED_VALUE"""),"ORGANIC")</f>
        <v>ORGANIC</v>
      </c>
      <c r="T1210" s="1" t="str">
        <f>IFERROR(__xludf.DUMMYFUNCTION("""COMPUTED_VALUE"""),"LEA REMOLLO")</f>
        <v>LEA REMOLLO</v>
      </c>
      <c r="U1210" s="1" t="str">
        <f>IFERROR(__xludf.DUMMYFUNCTION("""COMPUTED_VALUE"""),"JB SALIOA")</f>
        <v>JB SALIOA</v>
      </c>
      <c r="V1210" s="1" t="str">
        <f>IFERROR(__xludf.DUMMYFUNCTION("""COMPUTED_VALUE"""),"BK HSTK")</f>
        <v>BK HSTK</v>
      </c>
      <c r="W1210" s="1" t="str">
        <f>IFERROR(__xludf.DUMMYFUNCTION("""COMPUTED_VALUE"""),"BK HSTK")</f>
        <v>BK HSTK</v>
      </c>
      <c r="X1210" s="1" t="str">
        <f>IFERROR(__xludf.DUMMYFUNCTION("""COMPUTED_VALUE"""),"REGULAR")</f>
        <v>REGULAR</v>
      </c>
      <c r="Y1210" s="1" t="str">
        <f>IFERROR(__xludf.DUMMYFUNCTION("""COMPUTED_VALUE"""),"BK_CVEU_261006")</f>
        <v>BK_CVEU_261006</v>
      </c>
      <c r="Z1210" s="1" t="str">
        <f>IFERROR(__xludf.DUMMYFUNCTION("""COMPUTED_VALUE"""),"NEW CONNECT")</f>
        <v>NEW CONNECT</v>
      </c>
      <c r="AA1210" s="1">
        <f>IFERROR(__xludf.DUMMYFUNCTION("""COMPUTED_VALUE"""),639278051834)</f>
        <v>639278051834</v>
      </c>
      <c r="AB1210" s="1"/>
      <c r="AC1210" s="1">
        <f>IFERROR(__xludf.DUMMYFUNCTION("""COMPUTED_VALUE"""),54)</f>
        <v>54</v>
      </c>
      <c r="AD1210" s="1" t="str">
        <f>IFERROR(__xludf.DUMMYFUNCTION("""COMPUTED_VALUE"""),"PUROK 4")</f>
        <v>PUROK 4</v>
      </c>
      <c r="AE1210" s="1"/>
      <c r="AF1210" s="1" t="str">
        <f>IFERROR(__xludf.DUMMYFUNCTION("""COMPUTED_VALUE"""),"BGY BIGA 2")</f>
        <v>BGY BIGA 2</v>
      </c>
      <c r="AG1210" s="1" t="str">
        <f>IFERROR(__xludf.DUMMYFUNCTION("""COMPUTED_VALUE"""),"SILANG")</f>
        <v>SILANG</v>
      </c>
      <c r="AH1210" s="1" t="str">
        <f>IFERROR(__xludf.DUMMYFUNCTION("""COMPUTED_VALUE"""),"CASA AGON")</f>
        <v>CASA AGON</v>
      </c>
      <c r="AI1210" s="1" t="str">
        <f>IFERROR(__xludf.DUMMYFUNCTION("""COMPUTED_VALUE"""),"CLUSTER 11")</f>
        <v>CLUSTER 11</v>
      </c>
    </row>
    <row r="1211" customHeight="1" spans="1:35">
      <c r="A1211" s="3">
        <f>IFERROR(__xludf.DUMMYFUNCTION("""COMPUTED_VALUE"""),46319)</f>
        <v>46319</v>
      </c>
      <c r="B1211" s="1" t="str">
        <f>IFERROR(__xludf.DUMMYFUNCTION("""COMPUTED_VALUE"""),"MA. ANGELICA ISABEL MOJICA AUSTRIA")</f>
        <v>MA. ANGELICA ISABEL MOJICA AUSTRIA</v>
      </c>
      <c r="C1211" s="1">
        <f>IFERROR(__xludf.DUMMYFUNCTION("""COMPUTED_VALUE"""),2313347888)</f>
        <v>2313347888</v>
      </c>
      <c r="D1211" s="1">
        <f>IFERROR(__xludf.DUMMYFUNCTION("""COMPUTED_VALUE"""),409288456)</f>
        <v>409288456</v>
      </c>
      <c r="E1211" s="1">
        <f>IFERROR(__xludf.DUMMYFUNCTION("""COMPUTED_VALUE"""),476922633004)</f>
        <v>476922633004</v>
      </c>
      <c r="F1211" s="1" t="str">
        <f>IFERROR(__xludf.DUMMYFUNCTION("""COMPUTED_VALUE"""),"RPR")</f>
        <v>RPR</v>
      </c>
      <c r="G1211" s="1" t="str">
        <f>IFERROR(__xludf.DUMMYFUNCTION("""COMPUTED_VALUE"""),"""VISITED鈥
鈥嶳EMARKS: FOR PORT VERIF NEED TO CONFIRM PA SILLP67NP7 P7. ITATANONG PA DAW NG MY ARI NG APARTMENT KUNG GINAGAMIT PA ANG PLDT LINE NG TENANT. 
鈥嶴UBS ALREADY ADVICE 
鈥嶵ALK HR JANINE 
09925139255 09109908435 
""")</f>
        <v>"VISITED鈥
鈥嶳EMARKS: FOR PORT VERIF NEED TO CONFIRM PA SILLP67NP7 P7. ITATANONG PA DAW NG MY ARI NG APARTMENT KUNG GINAGAMIT PA ANG PLDT LINE NG TENANT. 
鈥嶴UBS ALREADY ADVICE 
鈥嶵ALK HR JANINE 
09925139255 09109908435 
"</v>
      </c>
      <c r="H1211" s="1"/>
      <c r="I1211" s="1"/>
      <c r="J1211" s="1"/>
      <c r="K1211" s="1"/>
      <c r="L1211" s="1" t="str">
        <f>IFERROR(__xludf.DUMMYFUNCTION("""COMPUTED_VALUE"""),"RPR - PORT VERIF")</f>
        <v>RPR - PORT VERIF</v>
      </c>
      <c r="M1211" s="1" t="str">
        <f>IFERROR(__xludf.DUMMYFUNCTION("""COMPUTED_VALUE"""),"RPR - PORT VERIFICATION")</f>
        <v>RPR - PORT VERIFICATION</v>
      </c>
      <c r="N1211" s="3"/>
      <c r="O1211" s="1" t="str">
        <f>IFERROR(__xludf.DUMMYFUNCTION("""COMPUTED_VALUE"""),"FIBER UNLI PLAN 1399")</f>
        <v>FIBER UNLI PLAN 1399</v>
      </c>
      <c r="P1211" s="1" t="str">
        <f>IFERROR(__xludf.DUMMYFUNCTION("""COMPUTED_VALUE"""),"LOWPLAN")</f>
        <v>LOWPLAN</v>
      </c>
      <c r="Q1211" s="1" t="str">
        <f>IFERROR(__xludf.DUMMYFUNCTION("""COMPUTED_VALUE"""),"P407049")</f>
        <v>P407049</v>
      </c>
      <c r="R1211" s="1" t="str">
        <f>IFERROR(__xludf.DUMMYFUNCTION("""COMPUTED_VALUE"""),"ALINGARO, CINDY")</f>
        <v>ALINGARO, CINDY</v>
      </c>
      <c r="S1211" s="1" t="str">
        <f>IFERROR(__xludf.DUMMYFUNCTION("""COMPUTED_VALUE"""),"ORGANIC")</f>
        <v>ORGANIC</v>
      </c>
      <c r="T1211" s="1" t="str">
        <f>IFERROR(__xludf.DUMMYFUNCTION("""COMPUTED_VALUE"""),"LEA REMOLLO")</f>
        <v>LEA REMOLLO</v>
      </c>
      <c r="U1211" s="1" t="str">
        <f>IFERROR(__xludf.DUMMYFUNCTION("""COMPUTED_VALUE"""),"JB SALIOA")</f>
        <v>JB SALIOA</v>
      </c>
      <c r="V1211" s="1" t="str">
        <f>IFERROR(__xludf.DUMMYFUNCTION("""COMPUTED_VALUE"""),"BK REGULAR")</f>
        <v>BK REGULAR</v>
      </c>
      <c r="W1211" s="1" t="str">
        <f>IFERROR(__xludf.DUMMYFUNCTION("""COMPUTED_VALUE"""),"STK REGULAR")</f>
        <v>STK REGULAR</v>
      </c>
      <c r="X1211" s="1" t="str">
        <f>IFERROR(__xludf.DUMMYFUNCTION("""COMPUTED_VALUE"""),"FIBER 1399 98TH YR")</f>
        <v>FIBER 1399 98TH YR</v>
      </c>
      <c r="Y1211" s="1" t="str">
        <f>IFERROR(__xludf.DUMMYFUNCTION("""COMPUTED_VALUE"""),"BK_CVEU_261006")</f>
        <v>BK_CVEU_261006</v>
      </c>
      <c r="Z1211" s="1" t="str">
        <f>IFERROR(__xludf.DUMMYFUNCTION("""COMPUTED_VALUE"""),"NEW CONNECT")</f>
        <v>NEW CONNECT</v>
      </c>
      <c r="AA1211" s="1">
        <f>IFERROR(__xludf.DUMMYFUNCTION("""COMPUTED_VALUE"""),639925139255)</f>
        <v>639925139255</v>
      </c>
      <c r="AB1211" s="1">
        <f>IFERROR(__xludf.DUMMYFUNCTION("""COMPUTED_VALUE"""),639109908435)</f>
        <v>639109908435</v>
      </c>
      <c r="AC1211" s="1">
        <f>IFERROR(__xludf.DUMMYFUNCTION("""COMPUTED_VALUE"""),9183)</f>
        <v>9183</v>
      </c>
      <c r="AD1211" s="1" t="str">
        <f>IFERROR(__xludf.DUMMYFUNCTION("""COMPUTED_VALUE"""),"GENERAL EMILIO AGUINALDO")</f>
        <v>GENERAL EMILIO AGUINALDO</v>
      </c>
      <c r="AE1211" s="1"/>
      <c r="AF1211" s="1" t="str">
        <f>IFERROR(__xludf.DUMMYFUNCTION("""COMPUTED_VALUE"""),"BGY BUHO")</f>
        <v>BGY BUHO</v>
      </c>
      <c r="AG1211" s="1" t="str">
        <f>IFERROR(__xludf.DUMMYFUNCTION("""COMPUTED_VALUE"""),"SILANG")</f>
        <v>SILANG</v>
      </c>
      <c r="AH1211" s="1" t="str">
        <f>IFERROR(__xludf.DUMMYFUNCTION("""COMPUTED_VALUE"""),"GEN EMILIO AGUINALDO HWY")</f>
        <v>GEN EMILIO AGUINALDO HWY</v>
      </c>
      <c r="AI1211" s="1" t="str">
        <f>IFERROR(__xludf.DUMMYFUNCTION("""COMPUTED_VALUE"""),"CLUSTER 11")</f>
        <v>CLUSTER 11</v>
      </c>
    </row>
    <row r="1212" customHeight="1" spans="1:35">
      <c r="A1212" s="3">
        <f>IFERROR(__xludf.DUMMYFUNCTION("""COMPUTED_VALUE"""),46319)</f>
        <v>46319</v>
      </c>
      <c r="B1212" s="1" t="str">
        <f>IFERROR(__xludf.DUMMYFUNCTION("""COMPUTED_VALUE"""),"JAIL CASIDSID LIANSING")</f>
        <v>JAIL CASIDSID LIANSING</v>
      </c>
      <c r="C1212" s="1">
        <f>IFERROR(__xludf.DUMMYFUNCTION("""COMPUTED_VALUE"""),2313348295)</f>
        <v>2313348295</v>
      </c>
      <c r="D1212" s="1">
        <f>IFERROR(__xludf.DUMMYFUNCTION("""COMPUTED_VALUE"""),409289916)</f>
        <v>409289916</v>
      </c>
      <c r="E1212" s="1">
        <f>IFERROR(__xludf.DUMMYFUNCTION("""COMPUTED_VALUE"""),476922881004)</f>
        <v>476922881004</v>
      </c>
      <c r="F1212" s="1" t="str">
        <f>IFERROR(__xludf.DUMMYFUNCTION("""COMPUTED_VALUE"""),"FOR PAYMENT")</f>
        <v>FOR PAYMENT</v>
      </c>
      <c r="G1212" s="1" t="str">
        <f>IFERROR(__xludf.DUMMYFUNCTION("""COMPUTED_VALUE"""),"FOR PAYMENT")</f>
        <v>FOR PAYMENT</v>
      </c>
      <c r="H1212" s="1"/>
      <c r="I1212" s="1"/>
      <c r="J1212" s="1"/>
      <c r="K1212" s="1"/>
      <c r="L1212" s="1" t="str">
        <f>IFERROR(__xludf.DUMMYFUNCTION("""COMPUTED_VALUE"""),"FOR PAYMENT")</f>
        <v>FOR PAYMENT</v>
      </c>
      <c r="M1212" s="1" t="str">
        <f>IFERROR(__xludf.DUMMYFUNCTION("""COMPUTED_VALUE"""),"FOR PAYMENT - FOR CALL OUT")</f>
        <v>FOR PAYMENT - FOR CALL OUT</v>
      </c>
      <c r="N1212" s="3"/>
      <c r="O1212" s="1" t="str">
        <f>IFERROR(__xludf.DUMMYFUNCTION("""COMPUTED_VALUE"""),"FIBR UNLI ALL PLAN 999")</f>
        <v>FIBR UNLI ALL PLAN 999</v>
      </c>
      <c r="P1212" s="1" t="str">
        <f>IFERROR(__xludf.DUMMYFUNCTION("""COMPUTED_VALUE"""),"LOWPLAN")</f>
        <v>LOWPLAN</v>
      </c>
      <c r="Q1212" s="1" t="str">
        <f>IFERROR(__xludf.DUMMYFUNCTION("""COMPUTED_VALUE"""),"P407559")</f>
        <v>P407559</v>
      </c>
      <c r="R1212" s="1" t="str">
        <f>IFERROR(__xludf.DUMMYFUNCTION("""COMPUTED_VALUE"""),"MAGDARAOG, KENNETH")</f>
        <v>MAGDARAOG, KENNETH</v>
      </c>
      <c r="S1212" s="1" t="str">
        <f>IFERROR(__xludf.DUMMYFUNCTION("""COMPUTED_VALUE"""),"ORGANIC")</f>
        <v>ORGANIC</v>
      </c>
      <c r="T1212" s="1" t="str">
        <f>IFERROR(__xludf.DUMMYFUNCTION("""COMPUTED_VALUE"""),"LEA REMOLLO")</f>
        <v>LEA REMOLLO</v>
      </c>
      <c r="U1212" s="1" t="str">
        <f>IFERROR(__xludf.DUMMYFUNCTION("""COMPUTED_VALUE"""),"JB SALIOA")</f>
        <v>JB SALIOA</v>
      </c>
      <c r="V1212" s="1" t="str">
        <f>IFERROR(__xludf.DUMMYFUNCTION("""COMPUTED_VALUE"""),"ONLINE/CRANFORD")</f>
        <v>ONLINE/CRANFORD</v>
      </c>
      <c r="W1212" s="1" t="str">
        <f>IFERROR(__xludf.DUMMYFUNCTION("""COMPUTED_VALUE"""),"STK REGULAR")</f>
        <v>STK REGULAR</v>
      </c>
      <c r="X1212" s="1" t="str">
        <f>IFERROR(__xludf.DUMMYFUNCTION("""COMPUTED_VALUE"""),"REGULAR")</f>
        <v>REGULAR</v>
      </c>
      <c r="Y1212" s="1" t="str">
        <f>IFERROR(__xludf.DUMMYFUNCTION("""COMPUTED_VALUE"""),"RS_SS_CVEU_2026")</f>
        <v>RS_SS_CVEU_2026</v>
      </c>
      <c r="Z1212" s="1" t="str">
        <f>IFERROR(__xludf.DUMMYFUNCTION("""COMPUTED_VALUE"""),"NEW CONNECT")</f>
        <v>NEW CONNECT</v>
      </c>
      <c r="AA1212" s="1">
        <f>IFERROR(__xludf.DUMMYFUNCTION("""COMPUTED_VALUE"""),639691458693)</f>
        <v>639691458693</v>
      </c>
      <c r="AB1212" s="1"/>
      <c r="AC1212" s="1">
        <f>IFERROR(__xludf.DUMMYFUNCTION("""COMPUTED_VALUE"""),42)</f>
        <v>42</v>
      </c>
      <c r="AD1212" s="1" t="str">
        <f>IFERROR(__xludf.DUMMYFUNCTION("""COMPUTED_VALUE"""),"PHASE 4")</f>
        <v>PHASE 4</v>
      </c>
      <c r="AE1212" s="1"/>
      <c r="AF1212" s="1" t="str">
        <f>IFERROR(__xludf.DUMMYFUNCTION("""COMPUTED_VALUE"""),"BGY PALIPARAN 3")</f>
        <v>BGY PALIPARAN 3</v>
      </c>
      <c r="AG1212" s="1" t="str">
        <f>IFERROR(__xludf.DUMMYFUNCTION("""COMPUTED_VALUE"""),"DASMARINAS")</f>
        <v>DASMARINAS</v>
      </c>
      <c r="AH1212" s="1" t="str">
        <f>IFERROR(__xludf.DUMMYFUNCTION("""COMPUTED_VALUE"""),"PHASE 4")</f>
        <v>PHASE 4</v>
      </c>
      <c r="AI1212" s="1" t="str">
        <f>IFERROR(__xludf.DUMMYFUNCTION("""COMPUTED_VALUE"""),"NOT AOR")</f>
        <v>NOT AOR</v>
      </c>
    </row>
    <row r="1213" customHeight="1" spans="1:35">
      <c r="A1213" s="3">
        <f>IFERROR(__xludf.DUMMYFUNCTION("""COMPUTED_VALUE"""),46319)</f>
        <v>46319</v>
      </c>
      <c r="B1213" s="1" t="str">
        <f>IFERROR(__xludf.DUMMYFUNCTION("""COMPUTED_VALUE"""),"MARTE TUMBAGA BATACLAN")</f>
        <v>MARTE TUMBAGA BATACLAN</v>
      </c>
      <c r="C1213" s="1">
        <f>IFERROR(__xludf.DUMMYFUNCTION("""COMPUTED_VALUE"""),2313350590)</f>
        <v>2313350590</v>
      </c>
      <c r="D1213" s="1">
        <f>IFERROR(__xludf.DUMMYFUNCTION("""COMPUTED_VALUE"""),409293182)</f>
        <v>409293182</v>
      </c>
      <c r="E1213" s="1">
        <f>IFERROR(__xludf.DUMMYFUNCTION("""COMPUTED_VALUE"""),476927778004)</f>
        <v>476927778004</v>
      </c>
      <c r="F1213" s="1" t="str">
        <f>IFERROR(__xludf.DUMMYFUNCTION("""COMPUTED_VALUE"""),"FOR PAYMENT")</f>
        <v>FOR PAYMENT</v>
      </c>
      <c r="G1213" s="1" t="str">
        <f>IFERROR(__xludf.DUMMYFUNCTION("""COMPUTED_VALUE"""),"FOR PAYMENT")</f>
        <v>FOR PAYMENT</v>
      </c>
      <c r="H1213" s="1"/>
      <c r="I1213" s="1"/>
      <c r="J1213" s="1"/>
      <c r="K1213" s="1"/>
      <c r="L1213" s="1" t="str">
        <f>IFERROR(__xludf.DUMMYFUNCTION("""COMPUTED_VALUE"""),"FOR PAYMENT")</f>
        <v>FOR PAYMENT</v>
      </c>
      <c r="M1213" s="1" t="str">
        <f>IFERROR(__xludf.DUMMYFUNCTION("""COMPUTED_VALUE"""),"FOR PAYMENT - FOR CALL OUT")</f>
        <v>FOR PAYMENT - FOR CALL OUT</v>
      </c>
      <c r="N1213" s="3"/>
      <c r="O1213" s="1" t="str">
        <f>IFERROR(__xludf.DUMMYFUNCTION("""COMPUTED_VALUE"""),"FIBER UNLI PLAN 1399")</f>
        <v>FIBER UNLI PLAN 1399</v>
      </c>
      <c r="P1213" s="1" t="str">
        <f>IFERROR(__xludf.DUMMYFUNCTION("""COMPUTED_VALUE"""),"LOWPLAN")</f>
        <v>LOWPLAN</v>
      </c>
      <c r="Q1213" s="1" t="str">
        <f>IFERROR(__xludf.DUMMYFUNCTION("""COMPUTED_VALUE"""),"P407049")</f>
        <v>P407049</v>
      </c>
      <c r="R1213" s="1" t="str">
        <f>IFERROR(__xludf.DUMMYFUNCTION("""COMPUTED_VALUE"""),"MERCADO, MARK ANTHONY")</f>
        <v>MERCADO, MARK ANTHONY</v>
      </c>
      <c r="S1213" s="1" t="str">
        <f>IFERROR(__xludf.DUMMYFUNCTION("""COMPUTED_VALUE"""),"ORGANIC")</f>
        <v>ORGANIC</v>
      </c>
      <c r="T1213" s="1" t="str">
        <f>IFERROR(__xludf.DUMMYFUNCTION("""COMPUTED_VALUE"""),"LEA REMOLLO")</f>
        <v>LEA REMOLLO</v>
      </c>
      <c r="U1213" s="1" t="str">
        <f>IFERROR(__xludf.DUMMYFUNCTION("""COMPUTED_VALUE"""),"JB SALIOA")</f>
        <v>JB SALIOA</v>
      </c>
      <c r="V1213" s="1" t="str">
        <f>IFERROR(__xludf.DUMMYFUNCTION("""COMPUTED_VALUE"""),"BK HSTK")</f>
        <v>BK HSTK</v>
      </c>
      <c r="W1213" s="1" t="str">
        <f>IFERROR(__xludf.DUMMYFUNCTION("""COMPUTED_VALUE"""),"BK HSTK")</f>
        <v>BK HSTK</v>
      </c>
      <c r="X1213" s="1" t="str">
        <f>IFERROR(__xludf.DUMMYFUNCTION("""COMPUTED_VALUE"""),"FIBER 1399 98TH YR")</f>
        <v>FIBER 1399 98TH YR</v>
      </c>
      <c r="Y1213" s="1" t="str">
        <f>IFERROR(__xludf.DUMMYFUNCTION("""COMPUTED_VALUE"""),"BK_CVEU_261001")</f>
        <v>BK_CVEU_261001</v>
      </c>
      <c r="Z1213" s="1" t="str">
        <f>IFERROR(__xludf.DUMMYFUNCTION("""COMPUTED_VALUE"""),"NEW CONNECT")</f>
        <v>NEW CONNECT</v>
      </c>
      <c r="AA1213" s="1">
        <f>IFERROR(__xludf.DUMMYFUNCTION("""COMPUTED_VALUE"""),639944685251)</f>
        <v>639944685251</v>
      </c>
      <c r="AB1213" s="1"/>
      <c r="AC1213" s="1">
        <f>IFERROR(__xludf.DUMMYFUNCTION("""COMPUTED_VALUE"""),69)</f>
        <v>69</v>
      </c>
      <c r="AD1213" s="1" t="str">
        <f>IFERROR(__xludf.DUMMYFUNCTION("""COMPUTED_VALUE"""),"BILOG")</f>
        <v>BILOG</v>
      </c>
      <c r="AE1213" s="1"/>
      <c r="AF1213" s="1" t="str">
        <f>IFERROR(__xludf.DUMMYFUNCTION("""COMPUTED_VALUE"""),"BGY BILOG")</f>
        <v>BGY BILOG</v>
      </c>
      <c r="AG1213" s="1" t="str">
        <f>IFERROR(__xludf.DUMMYFUNCTION("""COMPUTED_VALUE"""),"ALFONSO")</f>
        <v>ALFONSO</v>
      </c>
      <c r="AH1213" s="1" t="str">
        <f>IFERROR(__xludf.DUMMYFUNCTION("""COMPUTED_VALUE"""),"IGLESIA BUCK ESTATE")</f>
        <v>IGLESIA BUCK ESTATE</v>
      </c>
      <c r="AI1213" s="1" t="str">
        <f>IFERROR(__xludf.DUMMYFUNCTION("""COMPUTED_VALUE"""),"CLUSTER 12")</f>
        <v>CLUSTER 12</v>
      </c>
    </row>
    <row r="1214" customHeight="1" spans="1:35">
      <c r="A1214" s="3">
        <f>IFERROR(__xludf.DUMMYFUNCTION("""COMPUTED_VALUE"""),46319)</f>
        <v>46319</v>
      </c>
      <c r="B1214" s="1" t="str">
        <f>IFERROR(__xludf.DUMMYFUNCTION("""COMPUTED_VALUE"""),"MA. ANGELIKA CONDICION ROTAIRO")</f>
        <v>MA. ANGELIKA CONDICION ROTAIRO</v>
      </c>
      <c r="C1214" s="1">
        <f>IFERROR(__xludf.DUMMYFUNCTION("""COMPUTED_VALUE"""),2313350860)</f>
        <v>2313350860</v>
      </c>
      <c r="D1214" s="1">
        <f>IFERROR(__xludf.DUMMYFUNCTION("""COMPUTED_VALUE"""),409293824)</f>
        <v>409293824</v>
      </c>
      <c r="E1214" s="1">
        <f>IFERROR(__xludf.DUMMYFUNCTION("""COMPUTED_VALUE"""),476928471004)</f>
        <v>476928471004</v>
      </c>
      <c r="F1214" s="1" t="str">
        <f>IFERROR(__xludf.DUMMYFUNCTION("""COMPUTED_VALUE"""),"CLOSED")</f>
        <v>CLOSED</v>
      </c>
      <c r="G1214" s="1" t="str">
        <f>IFERROR(__xludf.DUMMYFUNCTION("""COMPUTED_VALUE"""),"CLOSED")</f>
        <v>CLOSED</v>
      </c>
      <c r="H1214" s="1"/>
      <c r="I1214" s="1"/>
      <c r="J1214" s="1"/>
      <c r="K1214" s="1"/>
      <c r="L1214" s="1" t="str">
        <f>IFERROR(__xludf.DUMMYFUNCTION("""COMPUTED_VALUE"""),"POSTED")</f>
        <v>POSTED</v>
      </c>
      <c r="M1214" s="1" t="str">
        <f>IFERROR(__xludf.DUMMYFUNCTION("""COMPUTED_VALUE"""),"POSTED")</f>
        <v>POSTED</v>
      </c>
      <c r="N1214" s="3">
        <f>IFERROR(__xludf.DUMMYFUNCTION("""COMPUTED_VALUE"""),2026)</f>
        <v>2026</v>
      </c>
      <c r="O1214" s="1" t="str">
        <f>IFERROR(__xludf.DUMMYFUNCTION("""COMPUTED_VALUE"""),"FIBER UNLI PLAN 1399")</f>
        <v>FIBER UNLI PLAN 1399</v>
      </c>
      <c r="P1214" s="1" t="str">
        <f>IFERROR(__xludf.DUMMYFUNCTION("""COMPUTED_VALUE"""),"LOWPLAN")</f>
        <v>LOWPLAN</v>
      </c>
      <c r="Q1214" s="1" t="str">
        <f>IFERROR(__xludf.DUMMYFUNCTION("""COMPUTED_VALUE"""),"P407517")</f>
        <v>P407517</v>
      </c>
      <c r="R1214" s="1" t="str">
        <f>IFERROR(__xludf.DUMMYFUNCTION("""COMPUTED_VALUE"""),"GABAY, MANUEL")</f>
        <v>GABAY, MANUEL</v>
      </c>
      <c r="S1214" s="1" t="str">
        <f>IFERROR(__xludf.DUMMYFUNCTION("""COMPUTED_VALUE"""),"FLA")</f>
        <v>FLA</v>
      </c>
      <c r="T1214" s="1" t="str">
        <f>IFERROR(__xludf.DUMMYFUNCTION("""COMPUTED_VALUE"""),"JERIC NAVARRO")</f>
        <v>JERIC NAVARRO</v>
      </c>
      <c r="U1214" s="1" t="str">
        <f>IFERROR(__xludf.DUMMYFUNCTION("""COMPUTED_VALUE"""),"JB SALIOA")</f>
        <v>JB SALIOA</v>
      </c>
      <c r="V1214" s="1" t="str">
        <f>IFERROR(__xludf.DUMMYFUNCTION("""COMPUTED_VALUE"""),"BK HSTK")</f>
        <v>BK HSTK</v>
      </c>
      <c r="W1214" s="1" t="str">
        <f>IFERROR(__xludf.DUMMYFUNCTION("""COMPUTED_VALUE"""),"BK HSTK")</f>
        <v>BK HSTK</v>
      </c>
      <c r="X1214" s="1" t="str">
        <f>IFERROR(__xludf.DUMMYFUNCTION("""COMPUTED_VALUE"""),"FIBER 1399 98TH YR")</f>
        <v>FIBER 1399 98TH YR</v>
      </c>
      <c r="Y1214" s="1" t="str">
        <f>IFERROR(__xludf.DUMMYFUNCTION("""COMPUTED_VALUE"""),"BK_CVEU_261001")</f>
        <v>BK_CVEU_261001</v>
      </c>
      <c r="Z1214" s="1" t="str">
        <f>IFERROR(__xludf.DUMMYFUNCTION("""COMPUTED_VALUE"""),"NEW CONNECT")</f>
        <v>NEW CONNECT</v>
      </c>
      <c r="AA1214" s="1">
        <f>IFERROR(__xludf.DUMMYFUNCTION("""COMPUTED_VALUE"""),639508950843)</f>
        <v>639508950843</v>
      </c>
      <c r="AB1214" s="1"/>
      <c r="AC1214" s="1"/>
      <c r="AD1214" s="1" t="str">
        <f>IFERROR(__xludf.DUMMYFUNCTION("""COMPUTED_VALUE"""),"LUKSUHIN-MANGAS")</f>
        <v>LUKSUHIN-MANGAS</v>
      </c>
      <c r="AE1214" s="1"/>
      <c r="AF1214" s="1" t="str">
        <f>IFERROR(__xludf.DUMMYFUNCTION("""COMPUTED_VALUE"""),"BGY MANGAS 1")</f>
        <v>BGY MANGAS 1</v>
      </c>
      <c r="AG1214" s="1" t="str">
        <f>IFERROR(__xludf.DUMMYFUNCTION("""COMPUTED_VALUE"""),"ALFONSO")</f>
        <v>ALFONSO</v>
      </c>
      <c r="AH1214" s="1" t="str">
        <f>IFERROR(__xludf.DUMMYFUNCTION("""COMPUTED_VALUE"""),"ALFAMART")</f>
        <v>ALFAMART</v>
      </c>
      <c r="AI1214" s="1" t="str">
        <f>IFERROR(__xludf.DUMMYFUNCTION("""COMPUTED_VALUE"""),"CLUSTER 12")</f>
        <v>CLUSTER 12</v>
      </c>
    </row>
    <row r="1215" customHeight="1" spans="1:35">
      <c r="A1215" s="3">
        <f>IFERROR(__xludf.DUMMYFUNCTION("""COMPUTED_VALUE"""),46319)</f>
        <v>46319</v>
      </c>
      <c r="B1215" s="1" t="str">
        <f>IFERROR(__xludf.DUMMYFUNCTION("""COMPUTED_VALUE"""),"BLESSING ORIOL PINEDA")</f>
        <v>BLESSING ORIOL PINEDA</v>
      </c>
      <c r="C1215" s="1">
        <f>IFERROR(__xludf.DUMMYFUNCTION("""COMPUTED_VALUE"""),2313351381)</f>
        <v>2313351381</v>
      </c>
      <c r="D1215" s="1">
        <f>IFERROR(__xludf.DUMMYFUNCTION("""COMPUTED_VALUE"""),409297277)</f>
        <v>409297277</v>
      </c>
      <c r="E1215" s="1">
        <f>IFERROR(__xludf.DUMMYFUNCTION("""COMPUTED_VALUE"""),476931246004)</f>
        <v>476931246004</v>
      </c>
      <c r="F1215" s="1" t="str">
        <f>IFERROR(__xludf.DUMMYFUNCTION("""COMPUTED_VALUE"""),"FOR PAYMENT")</f>
        <v>FOR PAYMENT</v>
      </c>
      <c r="G1215" s="1" t="str">
        <f>IFERROR(__xludf.DUMMYFUNCTION("""COMPUTED_VALUE"""),"FOR PAYMENT")</f>
        <v>FOR PAYMENT</v>
      </c>
      <c r="H1215" s="1"/>
      <c r="I1215" s="1"/>
      <c r="J1215" s="1"/>
      <c r="K1215" s="1"/>
      <c r="L1215" s="1" t="str">
        <f>IFERROR(__xludf.DUMMYFUNCTION("""COMPUTED_VALUE"""),"FOR PAYMENT")</f>
        <v>FOR PAYMENT</v>
      </c>
      <c r="M1215" s="1" t="str">
        <f>IFERROR(__xludf.DUMMYFUNCTION("""COMPUTED_VALUE"""),"FOR PAYMENT - FOR CALL OUT")</f>
        <v>FOR PAYMENT - FOR CALL OUT</v>
      </c>
      <c r="N1215" s="3"/>
      <c r="O1215" s="1" t="str">
        <f>IFERROR(__xludf.DUMMYFUNCTION("""COMPUTED_VALUE"""),"FIBR UNLI ALL PLAN 999")</f>
        <v>FIBR UNLI ALL PLAN 999</v>
      </c>
      <c r="P1215" s="1" t="str">
        <f>IFERROR(__xludf.DUMMYFUNCTION("""COMPUTED_VALUE"""),"LOWPLAN")</f>
        <v>LOWPLAN</v>
      </c>
      <c r="Q1215" s="1" t="str">
        <f>IFERROR(__xludf.DUMMYFUNCTION("""COMPUTED_VALUE"""),"P408055")</f>
        <v>P408055</v>
      </c>
      <c r="R1215" s="1" t="str">
        <f>IFERROR(__xludf.DUMMYFUNCTION("""COMPUTED_VALUE"""),"LOPEZ, JENIELYN")</f>
        <v>LOPEZ, JENIELYN</v>
      </c>
      <c r="S1215" s="1" t="str">
        <f>IFERROR(__xludf.DUMMYFUNCTION("""COMPUTED_VALUE"""),"ORGANIC")</f>
        <v>ORGANIC</v>
      </c>
      <c r="T1215" s="1" t="str">
        <f>IFERROR(__xludf.DUMMYFUNCTION("""COMPUTED_VALUE"""),"LEA REMOLLO")</f>
        <v>LEA REMOLLO</v>
      </c>
      <c r="U1215" s="1" t="str">
        <f>IFERROR(__xludf.DUMMYFUNCTION("""COMPUTED_VALUE"""),"JB SALIOA")</f>
        <v>JB SALIOA</v>
      </c>
      <c r="V1215" s="1" t="str">
        <f>IFERROR(__xludf.DUMMYFUNCTION("""COMPUTED_VALUE"""),"BK HSTK")</f>
        <v>BK HSTK</v>
      </c>
      <c r="W1215" s="1" t="str">
        <f>IFERROR(__xludf.DUMMYFUNCTION("""COMPUTED_VALUE"""),"BK HSTK")</f>
        <v>BK HSTK</v>
      </c>
      <c r="X1215" s="1" t="str">
        <f>IFERROR(__xludf.DUMMYFUNCTION("""COMPUTED_VALUE"""),"REGULAR")</f>
        <v>REGULAR</v>
      </c>
      <c r="Y1215" s="1" t="str">
        <f>IFERROR(__xludf.DUMMYFUNCTION("""COMPUTED_VALUE"""),"BK_CVEU_261006")</f>
        <v>BK_CVEU_261006</v>
      </c>
      <c r="Z1215" s="1" t="str">
        <f>IFERROR(__xludf.DUMMYFUNCTION("""COMPUTED_VALUE"""),"NEW CONNECT")</f>
        <v>NEW CONNECT</v>
      </c>
      <c r="AA1215" s="1">
        <f>IFERROR(__xludf.DUMMYFUNCTION("""COMPUTED_VALUE"""),639667068010)</f>
        <v>639667068010</v>
      </c>
      <c r="AB1215" s="1"/>
      <c r="AC1215" s="1">
        <f>IFERROR(__xludf.DUMMYFUNCTION("""COMPUTED_VALUE"""),512)</f>
        <v>512</v>
      </c>
      <c r="AD1215" s="1" t="str">
        <f>IFERROR(__xludf.DUMMYFUNCTION("""COMPUTED_VALUE"""),"MAGUYAM")</f>
        <v>MAGUYAM</v>
      </c>
      <c r="AE1215" s="1"/>
      <c r="AF1215" s="1" t="str">
        <f>IFERROR(__xludf.DUMMYFUNCTION("""COMPUTED_VALUE"""),"BGY MAGUYAM")</f>
        <v>BGY MAGUYAM</v>
      </c>
      <c r="AG1215" s="1" t="str">
        <f>IFERROR(__xludf.DUMMYFUNCTION("""COMPUTED_VALUE"""),"SILANG")</f>
        <v>SILANG</v>
      </c>
      <c r="AH1215" s="1" t="str">
        <f>IFERROR(__xludf.DUMMYFUNCTION("""COMPUTED_VALUE"""),"INFRONT OF POLICE STATION")</f>
        <v>INFRONT OF POLICE STATION</v>
      </c>
      <c r="AI1215" s="1" t="str">
        <f>IFERROR(__xludf.DUMMYFUNCTION("""COMPUTED_VALUE"""),"CLUSTER 11")</f>
        <v>CLUSTER 11</v>
      </c>
    </row>
    <row r="1216" customHeight="1" spans="1:35">
      <c r="A1216" s="3">
        <f>IFERROR(__xludf.DUMMYFUNCTION("""COMPUTED_VALUE"""),46319)</f>
        <v>46319</v>
      </c>
      <c r="B1216" s="1" t="str">
        <f>IFERROR(__xludf.DUMMYFUNCTION("""COMPUTED_VALUE"""),"JORD-DEN TANDOGON ORTIZ")</f>
        <v>JORD-DEN TANDOGON ORTIZ</v>
      </c>
      <c r="C1216" s="1">
        <f>IFERROR(__xludf.DUMMYFUNCTION("""COMPUTED_VALUE"""),2313352131)</f>
        <v>2313352131</v>
      </c>
      <c r="D1216" s="1"/>
      <c r="E1216" s="1"/>
      <c r="F1216" s="1" t="str">
        <f>IFERROR(__xludf.DUMMYFUNCTION("""COMPUTED_VALUE"""),"ESCALATED TO CVA A")</f>
        <v>ESCALATED TO CVA A</v>
      </c>
      <c r="G1216" s="1" t="str">
        <f>IFERROR(__xludf.DUMMYFUNCTION("""COMPUTED_VALUE"""),"ESCALATED TO CVA A")</f>
        <v>ESCALATED TO CVA A</v>
      </c>
      <c r="H1216" s="1"/>
      <c r="I1216" s="1"/>
      <c r="J1216" s="1"/>
      <c r="K1216" s="1"/>
      <c r="L1216" s="1" t="str">
        <f>IFERROR(__xludf.DUMMYFUNCTION("""COMPUTED_VALUE"""),"CREDIT VALIDATION")</f>
        <v>CREDIT VALIDATION</v>
      </c>
      <c r="M1216" s="1" t="str">
        <f>IFERROR(__xludf.DUMMYFUNCTION("""COMPUTED_VALUE"""),"CREDIT VALIDATION")</f>
        <v>CREDIT VALIDATION</v>
      </c>
      <c r="N1216" s="3"/>
      <c r="O1216" s="1" t="str">
        <f>IFERROR(__xludf.DUMMYFUNCTION("""COMPUTED_VALUE"""),"FIBER UNLI PLAN 1399")</f>
        <v>FIBER UNLI PLAN 1399</v>
      </c>
      <c r="P1216" s="1" t="str">
        <f>IFERROR(__xludf.DUMMYFUNCTION("""COMPUTED_VALUE"""),"LOWPLAN")</f>
        <v>LOWPLAN</v>
      </c>
      <c r="Q1216" s="1" t="str">
        <f>IFERROR(__xludf.DUMMYFUNCTION("""COMPUTED_VALUE"""),"P407561")</f>
        <v>P407561</v>
      </c>
      <c r="R1216" s="1" t="str">
        <f>IFERROR(__xludf.DUMMYFUNCTION("""COMPUTED_VALUE"""),"TAMAYO, MARY ROSE ZAIRA")</f>
        <v>TAMAYO, MARY ROSE ZAIRA</v>
      </c>
      <c r="S1216" s="1" t="str">
        <f>IFERROR(__xludf.DUMMYFUNCTION("""COMPUTED_VALUE"""),"ORGANIC")</f>
        <v>ORGANIC</v>
      </c>
      <c r="T1216" s="1" t="str">
        <f>IFERROR(__xludf.DUMMYFUNCTION("""COMPUTED_VALUE"""),"LEA REMOLLO")</f>
        <v>LEA REMOLLO</v>
      </c>
      <c r="U1216" s="1" t="str">
        <f>IFERROR(__xludf.DUMMYFUNCTION("""COMPUTED_VALUE"""),"JB SALIOA")</f>
        <v>JB SALIOA</v>
      </c>
      <c r="V1216" s="1" t="str">
        <f>IFERROR(__xludf.DUMMYFUNCTION("""COMPUTED_VALUE"""),"BK REGULAR")</f>
        <v>BK REGULAR</v>
      </c>
      <c r="W1216" s="1" t="str">
        <f>IFERROR(__xludf.DUMMYFUNCTION("""COMPUTED_VALUE"""),"STK REGULAR")</f>
        <v>STK REGULAR</v>
      </c>
      <c r="X1216" s="1" t="str">
        <f>IFERROR(__xludf.DUMMYFUNCTION("""COMPUTED_VALUE"""),"FIBER 1399 98TH YR")</f>
        <v>FIBER 1399 98TH YR</v>
      </c>
      <c r="Y1216" s="1" t="str">
        <f>IFERROR(__xludf.DUMMYFUNCTION("""COMPUTED_VALUE"""),"BK_CVEU_261003")</f>
        <v>BK_CVEU_261003</v>
      </c>
      <c r="Z1216" s="1" t="str">
        <f>IFERROR(__xludf.DUMMYFUNCTION("""COMPUTED_VALUE"""),"NEW CONNECT")</f>
        <v>NEW CONNECT</v>
      </c>
      <c r="AA1216" s="1">
        <f>IFERROR(__xludf.DUMMYFUNCTION("""COMPUTED_VALUE"""),639127385280)</f>
        <v>639127385280</v>
      </c>
      <c r="AB1216" s="1">
        <f>IFERROR(__xludf.DUMMYFUNCTION("""COMPUTED_VALUE"""),639925153323)</f>
        <v>639925153323</v>
      </c>
      <c r="AC1216" s="1">
        <f>IFERROR(__xludf.DUMMYFUNCTION("""COMPUTED_VALUE"""),9009)</f>
        <v>9009</v>
      </c>
      <c r="AD1216" s="1" t="str">
        <f>IFERROR(__xludf.DUMMYFUNCTION("""COMPUTED_VALUE"""),"SAN PEDRO")</f>
        <v>SAN PEDRO</v>
      </c>
      <c r="AE1216" s="1"/>
      <c r="AF1216" s="1" t="str">
        <f>IFERROR(__xludf.DUMMYFUNCTION("""COMPUTED_VALUE"""),"BGY CABILANG BAYBAY")</f>
        <v>BGY CABILANG BAYBAY</v>
      </c>
      <c r="AG1216" s="1" t="str">
        <f>IFERROR(__xludf.DUMMYFUNCTION("""COMPUTED_VALUE"""),"CARMONA")</f>
        <v>CARMONA</v>
      </c>
      <c r="AH1216" s="1" t="str">
        <f>IFERROR(__xludf.DUMMYFUNCTION("""COMPUTED_VALUE"""),"COVERED COURT")</f>
        <v>COVERED COURT</v>
      </c>
      <c r="AI1216" s="1" t="str">
        <f>IFERROR(__xludf.DUMMYFUNCTION("""COMPUTED_VALUE"""),"CLUSTER 11")</f>
        <v>CLUSTER 11</v>
      </c>
    </row>
    <row r="1217" customHeight="1" spans="1:35">
      <c r="A1217" s="3">
        <f>IFERROR(__xludf.DUMMYFUNCTION("""COMPUTED_VALUE"""),46319)</f>
        <v>46319</v>
      </c>
      <c r="B1217" s="1" t="str">
        <f>IFERROR(__xludf.DUMMYFUNCTION("""COMPUTED_VALUE"""),"JOEL MALLARI MANDINGIADO")</f>
        <v>JOEL MALLARI MANDINGIADO</v>
      </c>
      <c r="C1217" s="1">
        <f>IFERROR(__xludf.DUMMYFUNCTION("""COMPUTED_VALUE"""),2313352469)</f>
        <v>2313352469</v>
      </c>
      <c r="D1217" s="1">
        <f>IFERROR(__xludf.DUMMYFUNCTION("""COMPUTED_VALUE"""),409298826)</f>
        <v>409298826</v>
      </c>
      <c r="E1217" s="1">
        <f>IFERROR(__xludf.DUMMYFUNCTION("""COMPUTED_VALUE"""),476932194004)</f>
        <v>476932194004</v>
      </c>
      <c r="F1217" s="1" t="str">
        <f>IFERROR(__xludf.DUMMYFUNCTION("""COMPUTED_VALUE"""),"ORDER IN PROGRESS")</f>
        <v>ORDER IN PROGRESS</v>
      </c>
      <c r="G1217" s="1" t="str">
        <f>IFERROR(__xludf.DUMMYFUNCTION("""COMPUTED_VALUE"""),"ORDER IN PROGRESS")</f>
        <v>ORDER IN PROGRESS</v>
      </c>
      <c r="H1217" s="1"/>
      <c r="I1217" s="1"/>
      <c r="J1217" s="1"/>
      <c r="K1217" s="1"/>
      <c r="L1217" s="1" t="str">
        <f>IFERROR(__xludf.DUMMYFUNCTION("""COMPUTED_VALUE"""),"OPEN")</f>
        <v>OPEN</v>
      </c>
      <c r="M1217" s="1" t="str">
        <f>IFERROR(__xludf.DUMMYFUNCTION("""COMPUTED_VALUE"""),"OPEN")</f>
        <v>OPEN</v>
      </c>
      <c r="N1217" s="3"/>
      <c r="O1217" s="1" t="str">
        <f>IFERROR(__xludf.DUMMYFUNCTION("""COMPUTED_VALUE"""),"FIBER UNLI PLAN 1399")</f>
        <v>FIBER UNLI PLAN 1399</v>
      </c>
      <c r="P1217" s="1" t="str">
        <f>IFERROR(__xludf.DUMMYFUNCTION("""COMPUTED_VALUE"""),"LOWPLAN")</f>
        <v>LOWPLAN</v>
      </c>
      <c r="Q1217" s="1" t="str">
        <f>IFERROR(__xludf.DUMMYFUNCTION("""COMPUTED_VALUE"""),"P407517")</f>
        <v>P407517</v>
      </c>
      <c r="R1217" s="1" t="str">
        <f>IFERROR(__xludf.DUMMYFUNCTION("""COMPUTED_VALUE"""),"GABAY, MANUEL")</f>
        <v>GABAY, MANUEL</v>
      </c>
      <c r="S1217" s="1" t="str">
        <f>IFERROR(__xludf.DUMMYFUNCTION("""COMPUTED_VALUE"""),"FLA")</f>
        <v>FLA</v>
      </c>
      <c r="T1217" s="1" t="str">
        <f>IFERROR(__xludf.DUMMYFUNCTION("""COMPUTED_VALUE"""),"JERIC NAVARRO")</f>
        <v>JERIC NAVARRO</v>
      </c>
      <c r="U1217" s="1" t="str">
        <f>IFERROR(__xludf.DUMMYFUNCTION("""COMPUTED_VALUE"""),"JB SALIOA")</f>
        <v>JB SALIOA</v>
      </c>
      <c r="V1217" s="1" t="str">
        <f>IFERROR(__xludf.DUMMYFUNCTION("""COMPUTED_VALUE"""),"BK HSTK")</f>
        <v>BK HSTK</v>
      </c>
      <c r="W1217" s="1" t="str">
        <f>IFERROR(__xludf.DUMMYFUNCTION("""COMPUTED_VALUE"""),"BK HSTK")</f>
        <v>BK HSTK</v>
      </c>
      <c r="X1217" s="1" t="str">
        <f>IFERROR(__xludf.DUMMYFUNCTION("""COMPUTED_VALUE"""),"FIBER 1399 98TH YR")</f>
        <v>FIBER 1399 98TH YR</v>
      </c>
      <c r="Y1217" s="1" t="str">
        <f>IFERROR(__xludf.DUMMYFUNCTION("""COMPUTED_VALUE"""),"BK_CVEU_261001")</f>
        <v>BK_CVEU_261001</v>
      </c>
      <c r="Z1217" s="1" t="str">
        <f>IFERROR(__xludf.DUMMYFUNCTION("""COMPUTED_VALUE"""),"NEW CONNECT")</f>
        <v>NEW CONNECT</v>
      </c>
      <c r="AA1217" s="1">
        <f>IFERROR(__xludf.DUMMYFUNCTION("""COMPUTED_VALUE"""),639245339940)</f>
        <v>639245339940</v>
      </c>
      <c r="AB1217" s="1">
        <f>IFERROR(__xludf.DUMMYFUNCTION("""COMPUTED_VALUE"""),639508950843)</f>
        <v>639508950843</v>
      </c>
      <c r="AC1217" s="1">
        <f>IFERROR(__xludf.DUMMYFUNCTION("""COMPUTED_VALUE"""),4690)</f>
        <v>4690</v>
      </c>
      <c r="AD1217" s="1" t="str">
        <f>IFERROR(__xludf.DUMMYFUNCTION("""COMPUTED_VALUE"""),"LUKSUHIN-MANGAS")</f>
        <v>LUKSUHIN-MANGAS</v>
      </c>
      <c r="AE1217" s="1"/>
      <c r="AF1217" s="1" t="str">
        <f>IFERROR(__xludf.DUMMYFUNCTION("""COMPUTED_VALUE"""),"BGY MANGAS 1")</f>
        <v>BGY MANGAS 1</v>
      </c>
      <c r="AG1217" s="1" t="str">
        <f>IFERROR(__xludf.DUMMYFUNCTION("""COMPUTED_VALUE"""),"ALFONSO")</f>
        <v>ALFONSO</v>
      </c>
      <c r="AH1217" s="1" t="str">
        <f>IFERROR(__xludf.DUMMYFUNCTION("""COMPUTED_VALUE"""),"INFRONT OF ALFAMART")</f>
        <v>INFRONT OF ALFAMART</v>
      </c>
      <c r="AI1217" s="1" t="str">
        <f>IFERROR(__xludf.DUMMYFUNCTION("""COMPUTED_VALUE"""),"CLUSTER 12")</f>
        <v>CLUSTER 12</v>
      </c>
    </row>
    <row r="1218" customHeight="1" spans="1:35">
      <c r="A1218" s="3">
        <f>IFERROR(__xludf.DUMMYFUNCTION("""COMPUTED_VALUE"""),46319)</f>
        <v>46319</v>
      </c>
      <c r="B1218" s="1" t="str">
        <f>IFERROR(__xludf.DUMMYFUNCTION("""COMPUTED_VALUE"""),"JENNY CABENIAN GALERO")</f>
        <v>JENNY CABENIAN GALERO</v>
      </c>
      <c r="C1218" s="1">
        <f>IFERROR(__xludf.DUMMYFUNCTION("""COMPUTED_VALUE"""),2313352826)</f>
        <v>2313352826</v>
      </c>
      <c r="D1218" s="1"/>
      <c r="E1218" s="1"/>
      <c r="F1218" s="1" t="str">
        <f>IFERROR(__xludf.DUMMYFUNCTION("""COMPUTED_VALUE"""),"ESCALATED TO CVA A")</f>
        <v>ESCALATED TO CVA A</v>
      </c>
      <c r="G1218" s="1" t="str">
        <f>IFERROR(__xludf.DUMMYFUNCTION("""COMPUTED_VALUE"""),"ESCALATED TO CVA A")</f>
        <v>ESCALATED TO CVA A</v>
      </c>
      <c r="H1218" s="1"/>
      <c r="I1218" s="1"/>
      <c r="J1218" s="1"/>
      <c r="K1218" s="1"/>
      <c r="L1218" s="1" t="str">
        <f>IFERROR(__xludf.DUMMYFUNCTION("""COMPUTED_VALUE"""),"CREDIT VALIDATION")</f>
        <v>CREDIT VALIDATION</v>
      </c>
      <c r="M1218" s="1" t="str">
        <f>IFERROR(__xludf.DUMMYFUNCTION("""COMPUTED_VALUE"""),"CREDIT VALIDATION")</f>
        <v>CREDIT VALIDATION</v>
      </c>
      <c r="N1218" s="3"/>
      <c r="O1218" s="1" t="str">
        <f>IFERROR(__xludf.DUMMYFUNCTION("""COMPUTED_VALUE"""),"FIBER UNLI PLAN 1399")</f>
        <v>FIBER UNLI PLAN 1399</v>
      </c>
      <c r="P1218" s="1" t="str">
        <f>IFERROR(__xludf.DUMMYFUNCTION("""COMPUTED_VALUE"""),"LOWPLAN")</f>
        <v>LOWPLAN</v>
      </c>
      <c r="Q1218" s="1" t="str">
        <f>IFERROR(__xludf.DUMMYFUNCTION("""COMPUTED_VALUE"""),"P407520")</f>
        <v>P407520</v>
      </c>
      <c r="R1218" s="1" t="str">
        <f>IFERROR(__xludf.DUMMYFUNCTION("""COMPUTED_VALUE"""),"MALIWAT, MARK")</f>
        <v>MALIWAT, MARK</v>
      </c>
      <c r="S1218" s="1" t="str">
        <f>IFERROR(__xludf.DUMMYFUNCTION("""COMPUTED_VALUE"""),"FLA")</f>
        <v>FLA</v>
      </c>
      <c r="T1218" s="1" t="str">
        <f>IFERROR(__xludf.DUMMYFUNCTION("""COMPUTED_VALUE"""),"JERIC NAVARRO")</f>
        <v>JERIC NAVARRO</v>
      </c>
      <c r="U1218" s="1" t="str">
        <f>IFERROR(__xludf.DUMMYFUNCTION("""COMPUTED_VALUE"""),"JB SALIOA")</f>
        <v>JB SALIOA</v>
      </c>
      <c r="V1218" s="1" t="str">
        <f>IFERROR(__xludf.DUMMYFUNCTION("""COMPUTED_VALUE"""),"BK REGULAR")</f>
        <v>BK REGULAR</v>
      </c>
      <c r="W1218" s="1" t="str">
        <f>IFERROR(__xludf.DUMMYFUNCTION("""COMPUTED_VALUE"""),"STK REGULAR")</f>
        <v>STK REGULAR</v>
      </c>
      <c r="X1218" s="1" t="str">
        <f>IFERROR(__xludf.DUMMYFUNCTION("""COMPUTED_VALUE"""),"FIBER 1399 98TH YR")</f>
        <v>FIBER 1399 98TH YR</v>
      </c>
      <c r="Y1218" s="1" t="str">
        <f>IFERROR(__xludf.DUMMYFUNCTION("""COMPUTED_VALUE"""),"BK_CVEU_261001")</f>
        <v>BK_CVEU_261001</v>
      </c>
      <c r="Z1218" s="1" t="str">
        <f>IFERROR(__xludf.DUMMYFUNCTION("""COMPUTED_VALUE"""),"NEW CONNECT")</f>
        <v>NEW CONNECT</v>
      </c>
      <c r="AA1218" s="1">
        <f>IFERROR(__xludf.DUMMYFUNCTION("""COMPUTED_VALUE"""),639648826201)</f>
        <v>639648826201</v>
      </c>
      <c r="AB1218" s="1">
        <f>IFERROR(__xludf.DUMMYFUNCTION("""COMPUTED_VALUE"""),639941090747)</f>
        <v>639941090747</v>
      </c>
      <c r="AC1218" s="1">
        <f>IFERROR(__xludf.DUMMYFUNCTION("""COMPUTED_VALUE"""),38)</f>
        <v>38</v>
      </c>
      <c r="AD1218" s="1" t="str">
        <f>IFERROR(__xludf.DUMMYFUNCTION("""COMPUTED_VALUE"""),"MARAHAN 2")</f>
        <v>MARAHAN 2</v>
      </c>
      <c r="AE1218" s="1"/>
      <c r="AF1218" s="1" t="str">
        <f>IFERROR(__xludf.DUMMYFUNCTION("""COMPUTED_VALUE"""),"bgy MARAHAN 2")</f>
        <v>bgy MARAHAN 2</v>
      </c>
      <c r="AG1218" s="1" t="str">
        <f>IFERROR(__xludf.DUMMYFUNCTION("""COMPUTED_VALUE"""),"ALFONSO")</f>
        <v>ALFONSO</v>
      </c>
      <c r="AH1218" s="1" t="str">
        <f>IFERROR(__xludf.DUMMYFUNCTION("""COMPUTED_VALUE"""),"BURGER TWIN")</f>
        <v>BURGER TWIN</v>
      </c>
      <c r="AI1218" s="1" t="str">
        <f>IFERROR(__xludf.DUMMYFUNCTION("""COMPUTED_VALUE"""),"CLUSTER 12")</f>
        <v>CLUSTER 12</v>
      </c>
    </row>
    <row r="1219" customHeight="1" spans="1:35">
      <c r="A1219" s="3">
        <f>IFERROR(__xludf.DUMMYFUNCTION("""COMPUTED_VALUE"""),46319)</f>
        <v>46319</v>
      </c>
      <c r="B1219" s="1" t="str">
        <f>IFERROR(__xludf.DUMMYFUNCTION("""COMPUTED_VALUE"""),"ROWENA FERNANDEZ CARANDANG")</f>
        <v>ROWENA FERNANDEZ CARANDANG</v>
      </c>
      <c r="C1219" s="1">
        <f>IFERROR(__xludf.DUMMYFUNCTION("""COMPUTED_VALUE"""),2313353248)</f>
        <v>2313353248</v>
      </c>
      <c r="D1219" s="1">
        <f>IFERROR(__xludf.DUMMYFUNCTION("""COMPUTED_VALUE"""),409301134)</f>
        <v>409301134</v>
      </c>
      <c r="E1219" s="1">
        <f>IFERROR(__xludf.DUMMYFUNCTION("""COMPUTED_VALUE"""),476935417004)</f>
        <v>476935417004</v>
      </c>
      <c r="F1219" s="1" t="str">
        <f>IFERROR(__xludf.DUMMYFUNCTION("""COMPUTED_VALUE"""),"PAID")</f>
        <v>PAID</v>
      </c>
      <c r="G1219" s="1" t="str">
        <f>IFERROR(__xludf.DUMMYFUNCTION("""COMPUTED_VALUE"""),"PAID")</f>
        <v>PAID</v>
      </c>
      <c r="H1219" s="1" t="str">
        <f>IFERROR(__xludf.DUMMYFUNCTION("""COMPUTED_VALUE"""),"PAID VIA GCASH REF 074522070 OCT 25")</f>
        <v>PAID VIA GCASH REF 074522070 OCT 25</v>
      </c>
      <c r="I1219" s="1" t="str">
        <f>IFERROR(__xludf.DUMMYFUNCTION("""COMPUTED_VALUE"""),"WITH 1 AMSF")</f>
        <v>WITH 1 AMSF</v>
      </c>
      <c r="J1219" s="1"/>
      <c r="K1219" s="1"/>
      <c r="L1219" s="1" t="str">
        <f>IFERROR(__xludf.DUMMYFUNCTION("""COMPUTED_VALUE"""),"PAID")</f>
        <v>PAID</v>
      </c>
      <c r="M1219" s="1" t="str">
        <f>IFERROR(__xludf.DUMMYFUNCTION("""COMPUTED_VALUE"""),"PAID - FOR INSTALLATION")</f>
        <v>PAID - FOR INSTALLATION</v>
      </c>
      <c r="N1219" s="3"/>
      <c r="O1219" s="1" t="str">
        <f>IFERROR(__xludf.DUMMYFUNCTION("""COMPUTED_VALUE"""),"FIBER UNLI ALL PLAN 1499")</f>
        <v>FIBER UNLI ALL PLAN 1499</v>
      </c>
      <c r="P1219" s="1" t="str">
        <f>IFERROR(__xludf.DUMMYFUNCTION("""COMPUTED_VALUE"""),"LOWPLAN")</f>
        <v>LOWPLAN</v>
      </c>
      <c r="Q1219" s="1" t="str">
        <f>IFERROR(__xludf.DUMMYFUNCTION("""COMPUTED_VALUE"""),"P407564")</f>
        <v>P407564</v>
      </c>
      <c r="R1219" s="1" t="str">
        <f>IFERROR(__xludf.DUMMYFUNCTION("""COMPUTED_VALUE"""),"ARENA, LYKA")</f>
        <v>ARENA, LYKA</v>
      </c>
      <c r="S1219" s="1" t="str">
        <f>IFERROR(__xludf.DUMMYFUNCTION("""COMPUTED_VALUE"""),"ORGANIC")</f>
        <v>ORGANIC</v>
      </c>
      <c r="T1219" s="1" t="str">
        <f>IFERROR(__xludf.DUMMYFUNCTION("""COMPUTED_VALUE"""),"LEA REMOLLO")</f>
        <v>LEA REMOLLO</v>
      </c>
      <c r="U1219" s="1" t="str">
        <f>IFERROR(__xludf.DUMMYFUNCTION("""COMPUTED_VALUE"""),"JB SALIOA")</f>
        <v>JB SALIOA</v>
      </c>
      <c r="V1219" s="1" t="str">
        <f>IFERROR(__xludf.DUMMYFUNCTION("""COMPUTED_VALUE"""),"BK HSTK")</f>
        <v>BK HSTK</v>
      </c>
      <c r="W1219" s="1" t="str">
        <f>IFERROR(__xludf.DUMMYFUNCTION("""COMPUTED_VALUE"""),"BK HSTK")</f>
        <v>BK HSTK</v>
      </c>
      <c r="X1219" s="1" t="str">
        <f>IFERROR(__xludf.DUMMYFUNCTION("""COMPUTED_VALUE"""),"REGULAR")</f>
        <v>REGULAR</v>
      </c>
      <c r="Y1219" s="1" t="str">
        <f>IFERROR(__xludf.DUMMYFUNCTION("""COMPUTED_VALUE"""),"BK_CVEU_261006")</f>
        <v>BK_CVEU_261006</v>
      </c>
      <c r="Z1219" s="1" t="str">
        <f>IFERROR(__xludf.DUMMYFUNCTION("""COMPUTED_VALUE"""),"NEW CONNECT")</f>
        <v>NEW CONNECT</v>
      </c>
      <c r="AA1219" s="1">
        <f>IFERROR(__xludf.DUMMYFUNCTION("""COMPUTED_VALUE"""),639463138028)</f>
        <v>639463138028</v>
      </c>
      <c r="AB1219" s="1"/>
      <c r="AC1219" s="1">
        <f>IFERROR(__xludf.DUMMYFUNCTION("""COMPUTED_VALUE"""),211)</f>
        <v>211</v>
      </c>
      <c r="AD1219" s="1" t="str">
        <f>IFERROR(__xludf.DUMMYFUNCTION("""COMPUTED_VALUE"""),"AGUINALDO")</f>
        <v>AGUINALDO</v>
      </c>
      <c r="AE1219" s="1"/>
      <c r="AF1219" s="1" t="str">
        <f>IFERROR(__xludf.DUMMYFUNCTION("""COMPUTED_VALUE"""),"BGY BIGA 2")</f>
        <v>BGY BIGA 2</v>
      </c>
      <c r="AG1219" s="1" t="str">
        <f>IFERROR(__xludf.DUMMYFUNCTION("""COMPUTED_VALUE"""),"SILANG")</f>
        <v>SILANG</v>
      </c>
      <c r="AH1219" s="1" t="str">
        <f>IFERROR(__xludf.DUMMYFUNCTION("""COMPUTED_VALUE"""),"HIGH STEEL TRADING")</f>
        <v>HIGH STEEL TRADING</v>
      </c>
      <c r="AI1219" s="1" t="str">
        <f>IFERROR(__xludf.DUMMYFUNCTION("""COMPUTED_VALUE"""),"CLUSTER 11")</f>
        <v>CLUSTER 11</v>
      </c>
    </row>
    <row r="1220" customHeight="1" spans="1:35">
      <c r="A1220" s="3">
        <f>IFERROR(__xludf.DUMMYFUNCTION("""COMPUTED_VALUE"""),46319)</f>
        <v>46319</v>
      </c>
      <c r="B1220" s="1" t="str">
        <f>IFERROR(__xludf.DUMMYFUNCTION("""COMPUTED_VALUE"""),"MARJON RETUERTO DUGANG")</f>
        <v>MARJON RETUERTO DUGANG</v>
      </c>
      <c r="C1220" s="1">
        <f>IFERROR(__xludf.DUMMYFUNCTION("""COMPUTED_VALUE"""),2313353804)</f>
        <v>2313353804</v>
      </c>
      <c r="D1220" s="1"/>
      <c r="E1220" s="1"/>
      <c r="F1220" s="1" t="str">
        <f>IFERROR(__xludf.DUMMYFUNCTION("""COMPUTED_VALUE"""),"DUPLICATE SUBS INFO")</f>
        <v>DUPLICATE SUBS INFO</v>
      </c>
      <c r="G1220" s="1" t="str">
        <f>IFERROR(__xludf.DUMMYFUNCTION("""COMPUTED_VALUE"""),"DUPLICATE SUBS INFO")</f>
        <v>DUPLICATE SUBS INFO</v>
      </c>
      <c r="H1220" s="1"/>
      <c r="I1220" s="1"/>
      <c r="J1220" s="1"/>
      <c r="K1220" s="1"/>
      <c r="L1220" s="1" t="str">
        <f>IFERROR(__xludf.DUMMYFUNCTION("""COMPUTED_VALUE"""),"SFS VALIDATION")</f>
        <v>SFS VALIDATION</v>
      </c>
      <c r="M1220" s="1" t="str">
        <f>IFERROR(__xludf.DUMMYFUNCTION("""COMPUTED_VALUE"""),"SFS VALIDATION")</f>
        <v>SFS VALIDATION</v>
      </c>
      <c r="N1220" s="3"/>
      <c r="O1220" s="1" t="str">
        <f>IFERROR(__xludf.DUMMYFUNCTION("""COMPUTED_VALUE"""),"FIBER UNLI PLAN 1399")</f>
        <v>FIBER UNLI PLAN 1399</v>
      </c>
      <c r="P1220" s="1" t="str">
        <f>IFERROR(__xludf.DUMMYFUNCTION("""COMPUTED_VALUE"""),"LOWPLAN")</f>
        <v>LOWPLAN</v>
      </c>
      <c r="Q1220" s="1" t="str">
        <f>IFERROR(__xludf.DUMMYFUNCTION("""COMPUTED_VALUE"""),"P407520")</f>
        <v>P407520</v>
      </c>
      <c r="R1220" s="1" t="str">
        <f>IFERROR(__xludf.DUMMYFUNCTION("""COMPUTED_VALUE"""),"MALIWAT, MARK")</f>
        <v>MALIWAT, MARK</v>
      </c>
      <c r="S1220" s="1" t="str">
        <f>IFERROR(__xludf.DUMMYFUNCTION("""COMPUTED_VALUE"""),"FLA")</f>
        <v>FLA</v>
      </c>
      <c r="T1220" s="1" t="str">
        <f>IFERROR(__xludf.DUMMYFUNCTION("""COMPUTED_VALUE"""),"JERIC NAVARRO")</f>
        <v>JERIC NAVARRO</v>
      </c>
      <c r="U1220" s="1" t="str">
        <f>IFERROR(__xludf.DUMMYFUNCTION("""COMPUTED_VALUE"""),"JULIE ESPIRITU")</f>
        <v>JULIE ESPIRITU</v>
      </c>
      <c r="V1220" s="1" t="str">
        <f>IFERROR(__xludf.DUMMYFUNCTION("""COMPUTED_VALUE"""),"BK HSTK")</f>
        <v>BK HSTK</v>
      </c>
      <c r="W1220" s="1" t="str">
        <f>IFERROR(__xludf.DUMMYFUNCTION("""COMPUTED_VALUE"""),"BK HSTK")</f>
        <v>BK HSTK</v>
      </c>
      <c r="X1220" s="1" t="str">
        <f>IFERROR(__xludf.DUMMYFUNCTION("""COMPUTED_VALUE"""),"FIBER 1399 98TH YR")</f>
        <v>FIBER 1399 98TH YR</v>
      </c>
      <c r="Y1220" s="1" t="str">
        <f>IFERROR(__xludf.DUMMYFUNCTION("""COMPUTED_VALUE"""),"BK_CVEU_261006")</f>
        <v>BK_CVEU_261006</v>
      </c>
      <c r="Z1220" s="1" t="str">
        <f>IFERROR(__xludf.DUMMYFUNCTION("""COMPUTED_VALUE"""),"NEW CONNECT")</f>
        <v>NEW CONNECT</v>
      </c>
      <c r="AA1220" s="1">
        <f>IFERROR(__xludf.DUMMYFUNCTION("""COMPUTED_VALUE"""),639954322385)</f>
        <v>639954322385</v>
      </c>
      <c r="AB1220" s="1"/>
      <c r="AC1220" s="1"/>
      <c r="AD1220" s="1" t="str">
        <f>IFERROR(__xludf.DUMMYFUNCTION("""COMPUTED_VALUE"""),"BUKLURAN 2")</f>
        <v>BUKLURAN 2</v>
      </c>
      <c r="AE1220" s="1"/>
      <c r="AF1220" s="1" t="str">
        <f>IFERROR(__xludf.DUMMYFUNCTION("""COMPUTED_VALUE"""),"BGY BULIHAN")</f>
        <v>BGY BULIHAN</v>
      </c>
      <c r="AG1220" s="1" t="str">
        <f>IFERROR(__xludf.DUMMYFUNCTION("""COMPUTED_VALUE"""),"SILANG")</f>
        <v>SILANG</v>
      </c>
      <c r="AH1220" s="1" t="str">
        <f>IFERROR(__xludf.DUMMYFUNCTION("""COMPUTED_VALUE"""),"BKEXPRESS_NEAR UNCLE JOHNS BRGY HALL")</f>
        <v>BKEXPRESS_NEAR UNCLE JOHNS BRGY HALL</v>
      </c>
      <c r="AI1220" s="1" t="str">
        <f>IFERROR(__xludf.DUMMYFUNCTION("""COMPUTED_VALUE"""),"CLUSTER 11")</f>
        <v>CLUSTER 11</v>
      </c>
    </row>
    <row r="1221" customHeight="1" spans="1:35">
      <c r="A1221" s="3">
        <f>IFERROR(__xludf.DUMMYFUNCTION("""COMPUTED_VALUE"""),46319)</f>
        <v>46319</v>
      </c>
      <c r="B1221" s="1" t="str">
        <f>IFERROR(__xludf.DUMMYFUNCTION("""COMPUTED_VALUE""")," GENE PATRICK HERNANDEZ ADAJAR")</f>
        <v> GENE PATRICK HERNANDEZ ADAJAR</v>
      </c>
      <c r="C1221" s="1">
        <f>IFERROR(__xludf.DUMMYFUNCTION("""COMPUTED_VALUE"""),2313354602)</f>
        <v>2313354602</v>
      </c>
      <c r="D1221" s="1"/>
      <c r="E1221" s="1"/>
      <c r="F1221" s="1" t="str">
        <f>IFERROR(__xludf.DUMMYFUNCTION("""COMPUTED_VALUE"""),"DUPLICATE SUBS INFO")</f>
        <v>DUPLICATE SUBS INFO</v>
      </c>
      <c r="G1221" s="1" t="str">
        <f>IFERROR(__xludf.DUMMYFUNCTION("""COMPUTED_VALUE"""),"DUPLICATE SUBS INFO")</f>
        <v>DUPLICATE SUBS INFO</v>
      </c>
      <c r="H1221" s="1"/>
      <c r="I1221" s="1"/>
      <c r="J1221" s="1"/>
      <c r="K1221" s="1"/>
      <c r="L1221" s="1" t="str">
        <f>IFERROR(__xludf.DUMMYFUNCTION("""COMPUTED_VALUE"""),"SFS VALIDATION")</f>
        <v>SFS VALIDATION</v>
      </c>
      <c r="M1221" s="1" t="str">
        <f>IFERROR(__xludf.DUMMYFUNCTION("""COMPUTED_VALUE"""),"SFS VALIDATION")</f>
        <v>SFS VALIDATION</v>
      </c>
      <c r="N1221" s="3"/>
      <c r="O1221" s="1" t="str">
        <f>IFERROR(__xludf.DUMMYFUNCTION("""COMPUTED_VALUE"""),"FIBER UNLI PLAN 1399")</f>
        <v>FIBER UNLI PLAN 1399</v>
      </c>
      <c r="P1221" s="1" t="str">
        <f>IFERROR(__xludf.DUMMYFUNCTION("""COMPUTED_VALUE"""),"LOWPLAN")</f>
        <v>LOWPLAN</v>
      </c>
      <c r="Q1221" s="1" t="str">
        <f>IFERROR(__xludf.DUMMYFUNCTION("""COMPUTED_VALUE"""),"P407563 ")</f>
        <v>P407563 </v>
      </c>
      <c r="R1221" s="1" t="str">
        <f>IFERROR(__xludf.DUMMYFUNCTION("""COMPUTED_VALUE"""),"BAQUIT, JAZMIN")</f>
        <v>BAQUIT, JAZMIN</v>
      </c>
      <c r="S1221" s="1" t="str">
        <f>IFERROR(__xludf.DUMMYFUNCTION("""COMPUTED_VALUE"""),"ORGANIC")</f>
        <v>ORGANIC</v>
      </c>
      <c r="T1221" s="1" t="str">
        <f>IFERROR(__xludf.DUMMYFUNCTION("""COMPUTED_VALUE"""),"LEA REMOLLO")</f>
        <v>LEA REMOLLO</v>
      </c>
      <c r="U1221" s="1" t="str">
        <f>IFERROR(__xludf.DUMMYFUNCTION("""COMPUTED_VALUE"""),"JULIE ESPIRITU")</f>
        <v>JULIE ESPIRITU</v>
      </c>
      <c r="V1221" s="1" t="str">
        <f>IFERROR(__xludf.DUMMYFUNCTION("""COMPUTED_VALUE"""),"BK HSTK")</f>
        <v>BK HSTK</v>
      </c>
      <c r="W1221" s="1" t="str">
        <f>IFERROR(__xludf.DUMMYFUNCTION("""COMPUTED_VALUE"""),"BK HSTK")</f>
        <v>BK HSTK</v>
      </c>
      <c r="X1221" s="1" t="str">
        <f>IFERROR(__xludf.DUMMYFUNCTION("""COMPUTED_VALUE"""),"FIBER 1399 98TH YR")</f>
        <v>FIBER 1399 98TH YR</v>
      </c>
      <c r="Y1221" s="1" t="str">
        <f>IFERROR(__xludf.DUMMYFUNCTION("""COMPUTED_VALUE"""),"BK_CVEU_261004")</f>
        <v>BK_CVEU_261004</v>
      </c>
      <c r="Z1221" s="1" t="str">
        <f>IFERROR(__xludf.DUMMYFUNCTION("""COMPUTED_VALUE"""),"NEW CONNECT")</f>
        <v>NEW CONNECT</v>
      </c>
      <c r="AA1221" s="1">
        <f>IFERROR(__xludf.DUMMYFUNCTION("""COMPUTED_VALUE"""),639953004721)</f>
        <v>639953004721</v>
      </c>
      <c r="AB1221" s="1"/>
      <c r="AC1221" s="1">
        <f>IFERROR(__xludf.DUMMYFUNCTION("""COMPUTED_VALUE"""),176)</f>
        <v>176</v>
      </c>
      <c r="AD1221" s="1" t="str">
        <f>IFERROR(__xludf.DUMMYFUNCTION("""COMPUTED_VALUE"""),"VISAYA")</f>
        <v>VISAYA</v>
      </c>
      <c r="AE1221" s="1"/>
      <c r="AF1221" s="1" t="str">
        <f>IFERROR(__xludf.DUMMYFUNCTION("""COMPUTED_VALUE"""),"BGY GAVINO MADERAN")</f>
        <v>BGY GAVINO MADERAN</v>
      </c>
      <c r="AG1221" s="1" t="str">
        <f>IFERROR(__xludf.DUMMYFUNCTION("""COMPUTED_VALUE"""),"GEN MARIANO ALVAREZ")</f>
        <v>GEN MARIANO ALVAREZ</v>
      </c>
      <c r="AH1221" s="1" t="str">
        <f>IFERROR(__xludf.DUMMYFUNCTION("""COMPUTED_VALUE"""),"NEAR TERMINAL")</f>
        <v>NEAR TERMINAL</v>
      </c>
      <c r="AI1221" s="1" t="str">
        <f>IFERROR(__xludf.DUMMYFUNCTION("""COMPUTED_VALUE"""),"CLUSTER 11")</f>
        <v>CLUSTER 11</v>
      </c>
    </row>
    <row r="1222" customHeight="1" spans="1:35">
      <c r="A1222" s="3">
        <f>IFERROR(__xludf.DUMMYFUNCTION("""COMPUTED_VALUE"""),46319)</f>
        <v>46319</v>
      </c>
      <c r="B1222" s="1" t="str">
        <f>IFERROR(__xludf.DUMMYFUNCTION("""COMPUTED_VALUE"""),"MIA MAE DELA CRUZ ROBARO")</f>
        <v>MIA MAE DELA CRUZ ROBARO</v>
      </c>
      <c r="C1222" s="1">
        <f>IFERROR(__xludf.DUMMYFUNCTION("""COMPUTED_VALUE"""),2313355245)</f>
        <v>2313355245</v>
      </c>
      <c r="D1222" s="1"/>
      <c r="E1222" s="1"/>
      <c r="F1222" s="1" t="str">
        <f>IFERROR(__xludf.DUMMYFUNCTION("""COMPUTED_VALUE"""),"ESCALATED TO CVA A")</f>
        <v>ESCALATED TO CVA A</v>
      </c>
      <c r="G1222" s="1" t="str">
        <f>IFERROR(__xludf.DUMMYFUNCTION("""COMPUTED_VALUE"""),"ESCALATED TO CVA A")</f>
        <v>ESCALATED TO CVA A</v>
      </c>
      <c r="H1222" s="1"/>
      <c r="I1222" s="1"/>
      <c r="J1222" s="1"/>
      <c r="K1222" s="1"/>
      <c r="L1222" s="1" t="str">
        <f>IFERROR(__xludf.DUMMYFUNCTION("""COMPUTED_VALUE"""),"CREDIT VALIDATION")</f>
        <v>CREDIT VALIDATION</v>
      </c>
      <c r="M1222" s="1" t="str">
        <f>IFERROR(__xludf.DUMMYFUNCTION("""COMPUTED_VALUE"""),"CREDIT VALIDATION")</f>
        <v>CREDIT VALIDATION</v>
      </c>
      <c r="N1222" s="3"/>
      <c r="O1222" s="1" t="str">
        <f>IFERROR(__xludf.DUMMYFUNCTION("""COMPUTED_VALUE"""),"FIBER UNLI PLAN 1399")</f>
        <v>FIBER UNLI PLAN 1399</v>
      </c>
      <c r="P1222" s="1" t="str">
        <f>IFERROR(__xludf.DUMMYFUNCTION("""COMPUTED_VALUE"""),"LOWPLAN")</f>
        <v>LOWPLAN</v>
      </c>
      <c r="Q1222" s="1" t="str">
        <f>IFERROR(__xludf.DUMMYFUNCTION("""COMPUTED_VALUE"""),"P408049")</f>
        <v>P408049</v>
      </c>
      <c r="R1222" s="1" t="str">
        <f>IFERROR(__xludf.DUMMYFUNCTION("""COMPUTED_VALUE"""),"CORNELIO, CATHERINE")</f>
        <v>CORNELIO, CATHERINE</v>
      </c>
      <c r="S1222" s="1" t="str">
        <f>IFERROR(__xludf.DUMMYFUNCTION("""COMPUTED_VALUE"""),"ORGANIC")</f>
        <v>ORGANIC</v>
      </c>
      <c r="T1222" s="1" t="str">
        <f>IFERROR(__xludf.DUMMYFUNCTION("""COMPUTED_VALUE"""),"LEA REMOLLO")</f>
        <v>LEA REMOLLO</v>
      </c>
      <c r="U1222" s="1" t="str">
        <f>IFERROR(__xludf.DUMMYFUNCTION("""COMPUTED_VALUE"""),"JB SALIOA")</f>
        <v>JB SALIOA</v>
      </c>
      <c r="V1222" s="1" t="str">
        <f>IFERROR(__xludf.DUMMYFUNCTION("""COMPUTED_VALUE"""),"BK REGULAR")</f>
        <v>BK REGULAR</v>
      </c>
      <c r="W1222" s="1" t="str">
        <f>IFERROR(__xludf.DUMMYFUNCTION("""COMPUTED_VALUE"""),"STK REGULAR")</f>
        <v>STK REGULAR</v>
      </c>
      <c r="X1222" s="1" t="str">
        <f>IFERROR(__xludf.DUMMYFUNCTION("""COMPUTED_VALUE"""),"FIBER 1399 98TH YR")</f>
        <v>FIBER 1399 98TH YR</v>
      </c>
      <c r="Y1222" s="1" t="str">
        <f>IFERROR(__xludf.DUMMYFUNCTION("""COMPUTED_VALUE"""),"BK_CVEU_261006")</f>
        <v>BK_CVEU_261006</v>
      </c>
      <c r="Z1222" s="1" t="str">
        <f>IFERROR(__xludf.DUMMYFUNCTION("""COMPUTED_VALUE"""),"NEW CONNECT")</f>
        <v>NEW CONNECT</v>
      </c>
      <c r="AA1222" s="1">
        <f>IFERROR(__xludf.DUMMYFUNCTION("""COMPUTED_VALUE"""),639950217947)</f>
        <v>639950217947</v>
      </c>
      <c r="AB1222" s="1"/>
      <c r="AC1222" s="1">
        <f>IFERROR(__xludf.DUMMYFUNCTION("""COMPUTED_VALUE"""),25)</f>
        <v>25</v>
      </c>
      <c r="AD1222" s="1" t="str">
        <f>IFERROR(__xludf.DUMMYFUNCTION("""COMPUTED_VALUE"""),"PUROK 1")</f>
        <v>PUROK 1</v>
      </c>
      <c r="AE1222" s="1"/>
      <c r="AF1222" s="1" t="str">
        <f>IFERROR(__xludf.DUMMYFUNCTION("""COMPUTED_VALUE"""),"BGY MALAKING TATYAO")</f>
        <v>BGY MALAKING TATYAO</v>
      </c>
      <c r="AG1222" s="1" t="str">
        <f>IFERROR(__xludf.DUMMYFUNCTION("""COMPUTED_VALUE"""),"SILANG")</f>
        <v>SILANG</v>
      </c>
      <c r="AH1222" s="1" t="str">
        <f>IFERROR(__xludf.DUMMYFUNCTION("""COMPUTED_VALUE"""),"PUROK 1")</f>
        <v>PUROK 1</v>
      </c>
      <c r="AI1222" s="1" t="str">
        <f>IFERROR(__xludf.DUMMYFUNCTION("""COMPUTED_VALUE"""),"CLUSTER 11")</f>
        <v>CLUSTER 11</v>
      </c>
    </row>
    <row r="1223" customHeight="1" spans="1:35">
      <c r="A1223" s="3">
        <f>IFERROR(__xludf.DUMMYFUNCTION("""COMPUTED_VALUE"""),46319)</f>
        <v>46319</v>
      </c>
      <c r="B1223" s="1" t="str">
        <f>IFERROR(__xludf.DUMMYFUNCTION("""COMPUTED_VALUE"""),"MELCHOR JR SEPE MONTOYA")</f>
        <v>MELCHOR JR SEPE MONTOYA</v>
      </c>
      <c r="C1223" s="1">
        <f>IFERROR(__xludf.DUMMYFUNCTION("""COMPUTED_VALUE"""),2313359019)</f>
        <v>2313359019</v>
      </c>
      <c r="D1223" s="1"/>
      <c r="E1223" s="1"/>
      <c r="F1223" s="1" t="str">
        <f>IFERROR(__xludf.DUMMYFUNCTION("""COMPUTED_VALUE"""),"ESCALATED TO CVA A")</f>
        <v>ESCALATED TO CVA A</v>
      </c>
      <c r="G1223" s="1" t="str">
        <f>IFERROR(__xludf.DUMMYFUNCTION("""COMPUTED_VALUE"""),"ESCALATED TO CVA A")</f>
        <v>ESCALATED TO CVA A</v>
      </c>
      <c r="H1223" s="1"/>
      <c r="I1223" s="1"/>
      <c r="J1223" s="1"/>
      <c r="K1223" s="1"/>
      <c r="L1223" s="1" t="str">
        <f>IFERROR(__xludf.DUMMYFUNCTION("""COMPUTED_VALUE"""),"CREDIT VALIDATION")</f>
        <v>CREDIT VALIDATION</v>
      </c>
      <c r="M1223" s="1" t="str">
        <f>IFERROR(__xludf.DUMMYFUNCTION("""COMPUTED_VALUE"""),"CREDIT VALIDATION")</f>
        <v>CREDIT VALIDATION</v>
      </c>
      <c r="N1223" s="3"/>
      <c r="O1223" s="1" t="str">
        <f>IFERROR(__xludf.DUMMYFUNCTION("""COMPUTED_VALUE"""),"FIBER UNLI PLAN 1399")</f>
        <v>FIBER UNLI PLAN 1399</v>
      </c>
      <c r="P1223" s="1" t="str">
        <f>IFERROR(__xludf.DUMMYFUNCTION("""COMPUTED_VALUE"""),"LOWPLAN")</f>
        <v>LOWPLAN</v>
      </c>
      <c r="Q1223" s="1" t="str">
        <f>IFERROR(__xludf.DUMMYFUNCTION("""COMPUTED_VALUE"""),"P408049")</f>
        <v>P408049</v>
      </c>
      <c r="R1223" s="1" t="str">
        <f>IFERROR(__xludf.DUMMYFUNCTION("""COMPUTED_VALUE"""),"CORNELIO, CATHERINE")</f>
        <v>CORNELIO, CATHERINE</v>
      </c>
      <c r="S1223" s="1" t="str">
        <f>IFERROR(__xludf.DUMMYFUNCTION("""COMPUTED_VALUE"""),"ORGANIC")</f>
        <v>ORGANIC</v>
      </c>
      <c r="T1223" s="1" t="str">
        <f>IFERROR(__xludf.DUMMYFUNCTION("""COMPUTED_VALUE"""),"LEA REMOLLO")</f>
        <v>LEA REMOLLO</v>
      </c>
      <c r="U1223" s="1" t="str">
        <f>IFERROR(__xludf.DUMMYFUNCTION("""COMPUTED_VALUE"""),"JB SALIOA")</f>
        <v>JB SALIOA</v>
      </c>
      <c r="V1223" s="1" t="str">
        <f>IFERROR(__xludf.DUMMYFUNCTION("""COMPUTED_VALUE"""),"BK REGULAR")</f>
        <v>BK REGULAR</v>
      </c>
      <c r="W1223" s="1" t="str">
        <f>IFERROR(__xludf.DUMMYFUNCTION("""COMPUTED_VALUE"""),"STK REGULAR")</f>
        <v>STK REGULAR</v>
      </c>
      <c r="X1223" s="1" t="str">
        <f>IFERROR(__xludf.DUMMYFUNCTION("""COMPUTED_VALUE"""),"FIBER 1399 98TH YR")</f>
        <v>FIBER 1399 98TH YR</v>
      </c>
      <c r="Y1223" s="1" t="str">
        <f>IFERROR(__xludf.DUMMYFUNCTION("""COMPUTED_VALUE"""),"BK_CVEU_261006")</f>
        <v>BK_CVEU_261006</v>
      </c>
      <c r="Z1223" s="1" t="str">
        <f>IFERROR(__xludf.DUMMYFUNCTION("""COMPUTED_VALUE"""),"NEW CONNECT")</f>
        <v>NEW CONNECT</v>
      </c>
      <c r="AA1223" s="1">
        <f>IFERROR(__xludf.DUMMYFUNCTION("""COMPUTED_VALUE"""),639244821014)</f>
        <v>639244821014</v>
      </c>
      <c r="AB1223" s="1">
        <f>IFERROR(__xludf.DUMMYFUNCTION("""COMPUTED_VALUE"""),639543447113)</f>
        <v>639543447113</v>
      </c>
      <c r="AC1223" s="1">
        <f>IFERROR(__xludf.DUMMYFUNCTION("""COMPUTED_VALUE"""),9)</f>
        <v>9</v>
      </c>
      <c r="AD1223" s="1" t="str">
        <f>IFERROR(__xludf.DUMMYFUNCTION("""COMPUTED_VALUE"""),"IBAYONG ILOG")</f>
        <v>IBAYONG ILOG</v>
      </c>
      <c r="AE1223" s="1"/>
      <c r="AF1223" s="1" t="str">
        <f>IFERROR(__xludf.DUMMYFUNCTION("""COMPUTED_VALUE"""),"BGY KAONG")</f>
        <v>BGY KAONG</v>
      </c>
      <c r="AG1223" s="1" t="str">
        <f>IFERROR(__xludf.DUMMYFUNCTION("""COMPUTED_VALUE"""),"SILANG")</f>
        <v>SILANG</v>
      </c>
      <c r="AH1223" s="1" t="str">
        <f>IFERROR(__xludf.DUMMYFUNCTION("""COMPUTED_VALUE"""),"YOLANDA MORGA APARTMENT")</f>
        <v>YOLANDA MORGA APARTMENT</v>
      </c>
      <c r="AI1223" s="1" t="str">
        <f>IFERROR(__xludf.DUMMYFUNCTION("""COMPUTED_VALUE"""),"CLUSTER 11")</f>
        <v>CLUSTER 11</v>
      </c>
    </row>
    <row r="1224" customHeight="1" spans="1:35">
      <c r="A1224" s="3">
        <f>IFERROR(__xludf.DUMMYFUNCTION("""COMPUTED_VALUE"""),46319)</f>
        <v>46319</v>
      </c>
      <c r="B1224" s="1" t="str">
        <f>IFERROR(__xludf.DUMMYFUNCTION("""COMPUTED_VALUE"""),"JOANA BALOIS ZAMORA")</f>
        <v>JOANA BALOIS ZAMORA</v>
      </c>
      <c r="C1224" s="1">
        <f>IFERROR(__xludf.DUMMYFUNCTION("""COMPUTED_VALUE"""),2313359172)</f>
        <v>2313359172</v>
      </c>
      <c r="D1224" s="1"/>
      <c r="E1224" s="1"/>
      <c r="F1224" s="1" t="str">
        <f>IFERROR(__xludf.DUMMYFUNCTION("""COMPUTED_VALUE"""),"FOR COMPLIANCE VERIFICATION RCM")</f>
        <v>FOR COMPLIANCE VERIFICATION RCM</v>
      </c>
      <c r="G1224" s="1" t="str">
        <f>IFERROR(__xludf.DUMMYFUNCTION("""COMPUTED_VALUE"""),"FOR COMPLIANCE VERIFICATION RCM")</f>
        <v>FOR COMPLIANCE VERIFICATION RCM</v>
      </c>
      <c r="H1224" s="1"/>
      <c r="I1224" s="1"/>
      <c r="J1224" s="1"/>
      <c r="K1224" s="1"/>
      <c r="L1224" s="1" t="str">
        <f>IFERROR(__xludf.DUMMYFUNCTION("""COMPUTED_VALUE"""),"CREDIT VALIDATION")</f>
        <v>CREDIT VALIDATION</v>
      </c>
      <c r="M1224" s="1" t="str">
        <f>IFERROR(__xludf.DUMMYFUNCTION("""COMPUTED_VALUE"""),"CREDIT VALIDATION")</f>
        <v>CREDIT VALIDATION</v>
      </c>
      <c r="N1224" s="3"/>
      <c r="O1224" s="1" t="str">
        <f>IFERROR(__xludf.DUMMYFUNCTION("""COMPUTED_VALUE"""),"FIBER UNLI PLAN 1399")</f>
        <v>FIBER UNLI PLAN 1399</v>
      </c>
      <c r="P1224" s="1" t="str">
        <f>IFERROR(__xludf.DUMMYFUNCTION("""COMPUTED_VALUE"""),"LOWPLAN")</f>
        <v>LOWPLAN</v>
      </c>
      <c r="Q1224" s="1" t="str">
        <f>IFERROR(__xludf.DUMMYFUNCTION("""COMPUTED_VALUE"""),"P407517")</f>
        <v>P407517</v>
      </c>
      <c r="R1224" s="1" t="str">
        <f>IFERROR(__xludf.DUMMYFUNCTION("""COMPUTED_VALUE"""),"GABAY, MANUEL")</f>
        <v>GABAY, MANUEL</v>
      </c>
      <c r="S1224" s="1" t="str">
        <f>IFERROR(__xludf.DUMMYFUNCTION("""COMPUTED_VALUE"""),"FLA")</f>
        <v>FLA</v>
      </c>
      <c r="T1224" s="1" t="str">
        <f>IFERROR(__xludf.DUMMYFUNCTION("""COMPUTED_VALUE"""),"JERIC NAVARRO")</f>
        <v>JERIC NAVARRO</v>
      </c>
      <c r="U1224" s="1" t="str">
        <f>IFERROR(__xludf.DUMMYFUNCTION("""COMPUTED_VALUE"""),"JB SALIOA")</f>
        <v>JB SALIOA</v>
      </c>
      <c r="V1224" s="1" t="str">
        <f>IFERROR(__xludf.DUMMYFUNCTION("""COMPUTED_VALUE"""),"BK REGULAR")</f>
        <v>BK REGULAR</v>
      </c>
      <c r="W1224" s="1" t="str">
        <f>IFERROR(__xludf.DUMMYFUNCTION("""COMPUTED_VALUE"""),"STK REGULAR")</f>
        <v>STK REGULAR</v>
      </c>
      <c r="X1224" s="1" t="str">
        <f>IFERROR(__xludf.DUMMYFUNCTION("""COMPUTED_VALUE"""),"FIBER 1399 98TH YR")</f>
        <v>FIBER 1399 98TH YR</v>
      </c>
      <c r="Y1224" s="1" t="str">
        <f>IFERROR(__xludf.DUMMYFUNCTION("""COMPUTED_VALUE"""),"BK_CVEU_261006")</f>
        <v>BK_CVEU_261006</v>
      </c>
      <c r="Z1224" s="1" t="str">
        <f>IFERROR(__xludf.DUMMYFUNCTION("""COMPUTED_VALUE"""),"NEW CONNECT")</f>
        <v>NEW CONNECT</v>
      </c>
      <c r="AA1224" s="1">
        <f>IFERROR(__xludf.DUMMYFUNCTION("""COMPUTED_VALUE"""),639929058542)</f>
        <v>639929058542</v>
      </c>
      <c r="AB1224" s="1">
        <f>IFERROR(__xludf.DUMMYFUNCTION("""COMPUTED_VALUE"""),639477342123)</f>
        <v>639477342123</v>
      </c>
      <c r="AC1224" s="1">
        <f>IFERROR(__xludf.DUMMYFUNCTION("""COMPUTED_VALUE"""),236)</f>
        <v>236</v>
      </c>
      <c r="AD1224" s="1" t="str">
        <f>IFERROR(__xludf.DUMMYFUNCTION("""COMPUTED_VALUE"""),"SITIO BIGTASIN")</f>
        <v>SITIO BIGTASIN</v>
      </c>
      <c r="AE1224" s="1" t="str">
        <f>IFERROR(__xludf.DUMMYFUNCTION("""COMPUTED_VALUE"""),"PUROK 1")</f>
        <v>PUROK 1</v>
      </c>
      <c r="AF1224" s="1" t="str">
        <f>IFERROR(__xludf.DUMMYFUNCTION("""COMPUTED_VALUE"""),"BGY KAYSUYO")</f>
        <v>BGY KAYSUYO</v>
      </c>
      <c r="AG1224" s="1" t="str">
        <f>IFERROR(__xludf.DUMMYFUNCTION("""COMPUTED_VALUE"""),"ALFONSO")</f>
        <v>ALFONSO</v>
      </c>
      <c r="AH1224" s="1" t="str">
        <f>IFERROR(__xludf.DUMMYFUNCTION("""COMPUTED_VALUE"""),"SITIO BIGTASIN")</f>
        <v>SITIO BIGTASIN</v>
      </c>
      <c r="AI1224" s="1" t="str">
        <f>IFERROR(__xludf.DUMMYFUNCTION("""COMPUTED_VALUE"""),"CLUSTER 12")</f>
        <v>CLUSTER 12</v>
      </c>
    </row>
    <row r="1225" customHeight="1" spans="1:35">
      <c r="A1225" s="3">
        <f>IFERROR(__xludf.DUMMYFUNCTION("""COMPUTED_VALUE"""),46320)</f>
        <v>46320</v>
      </c>
      <c r="B1225" s="1" t="str">
        <f>IFERROR(__xludf.DUMMYFUNCTION("""COMPUTED_VALUE"""),"MAGILYN MACATANGAY ASCAN")</f>
        <v>MAGILYN MACATANGAY ASCAN</v>
      </c>
      <c r="C1225" s="1">
        <f>IFERROR(__xludf.DUMMYFUNCTION("""COMPUTED_VALUE"""),2313363823)</f>
        <v>2313363823</v>
      </c>
      <c r="D1225" s="1"/>
      <c r="E1225" s="1"/>
      <c r="F1225" s="1" t="str">
        <f>IFERROR(__xludf.DUMMYFUNCTION("""COMPUTED_VALUE"""),"DUPLICATE NAME")</f>
        <v>DUPLICATE NAME</v>
      </c>
      <c r="G1225" s="1" t="str">
        <f>IFERROR(__xludf.DUMMYFUNCTION("""COMPUTED_VALUE"""),"DUPLICATE NAME")</f>
        <v>DUPLICATE NAME</v>
      </c>
      <c r="H1225" s="1"/>
      <c r="I1225" s="1"/>
      <c r="J1225" s="1"/>
      <c r="K1225" s="1"/>
      <c r="L1225" s="1" t="str">
        <f>IFERROR(__xludf.DUMMYFUNCTION("""COMPUTED_VALUE"""),"SFS VALIDATION")</f>
        <v>SFS VALIDATION</v>
      </c>
      <c r="M1225" s="1" t="str">
        <f>IFERROR(__xludf.DUMMYFUNCTION("""COMPUTED_VALUE"""),"SFS VALIDATION")</f>
        <v>SFS VALIDATION</v>
      </c>
      <c r="N1225" s="3"/>
      <c r="O1225" s="1" t="str">
        <f>IFERROR(__xludf.DUMMYFUNCTION("""COMPUTED_VALUE"""),"FIBR NETFLIX PLAN 1599")</f>
        <v>FIBR NETFLIX PLAN 1599</v>
      </c>
      <c r="P1225" s="1" t="str">
        <f>IFERROR(__xludf.DUMMYFUNCTION("""COMPUTED_VALUE"""),"LOWPLAN")</f>
        <v>LOWPLAN</v>
      </c>
      <c r="Q1225" s="1" t="str">
        <f>IFERROR(__xludf.DUMMYFUNCTION("""COMPUTED_VALUE"""),"P407045")</f>
        <v>P407045</v>
      </c>
      <c r="R1225" s="1" t="str">
        <f>IFERROR(__xludf.DUMMYFUNCTION("""COMPUTED_VALUE"""),"REMOLLO, LEA")</f>
        <v>REMOLLO, LEA</v>
      </c>
      <c r="S1225" s="1" t="str">
        <f>IFERROR(__xludf.DUMMYFUNCTION("""COMPUTED_VALUE"""),"FLA")</f>
        <v>FLA</v>
      </c>
      <c r="T1225" s="1" t="str">
        <f>IFERROR(__xludf.DUMMYFUNCTION("""COMPUTED_VALUE"""),"JERIC NAVARRO")</f>
        <v>JERIC NAVARRO</v>
      </c>
      <c r="U1225" s="1" t="str">
        <f>IFERROR(__xludf.DUMMYFUNCTION("""COMPUTED_VALUE"""),"JB SALIOA")</f>
        <v>JB SALIOA</v>
      </c>
      <c r="V1225" s="1" t="str">
        <f>IFERROR(__xludf.DUMMYFUNCTION("""COMPUTED_VALUE"""),"BK REGULAR")</f>
        <v>BK REGULAR</v>
      </c>
      <c r="W1225" s="1" t="str">
        <f>IFERROR(__xludf.DUMMYFUNCTION("""COMPUTED_VALUE"""),"STK REGULAR")</f>
        <v>STK REGULAR</v>
      </c>
      <c r="X1225" s="1" t="str">
        <f>IFERROR(__xludf.DUMMYFUNCTION("""COMPUTED_VALUE"""),"REGULAR")</f>
        <v>REGULAR</v>
      </c>
      <c r="Y1225" s="1" t="str">
        <f>IFERROR(__xludf.DUMMYFUNCTION("""COMPUTED_VALUE"""),"BK_CVEU_261007")</f>
        <v>BK_CVEU_261007</v>
      </c>
      <c r="Z1225" s="1" t="str">
        <f>IFERROR(__xludf.DUMMYFUNCTION("""COMPUTED_VALUE"""),"NEW CONNECT")</f>
        <v>NEW CONNECT</v>
      </c>
      <c r="AA1225" s="1">
        <f>IFERROR(__xludf.DUMMYFUNCTION("""COMPUTED_VALUE"""),639663007739)</f>
        <v>639663007739</v>
      </c>
      <c r="AB1225" s="1"/>
      <c r="AC1225" s="1"/>
      <c r="AD1225" s="1" t="str">
        <f>IFERROR(__xludf.DUMMYFUNCTION("""COMPUTED_VALUE"""),"ELEVE HOMES")</f>
        <v>ELEVE HOMES</v>
      </c>
      <c r="AE1225" s="1" t="str">
        <f>IFERROR(__xludf.DUMMYFUNCTION("""COMPUTED_VALUE"""),"ELEVE HOMES")</f>
        <v>ELEVE HOMES</v>
      </c>
      <c r="AF1225" s="1" t="str">
        <f>IFERROR(__xludf.DUMMYFUNCTION("""COMPUTED_VALUE"""),"BGY MAHARLIKA WEST")</f>
        <v>BGY MAHARLIKA WEST</v>
      </c>
      <c r="AG1225" s="1" t="str">
        <f>IFERROR(__xludf.DUMMYFUNCTION("""COMPUTED_VALUE"""),"TAGAYTAY")</f>
        <v>TAGAYTAY</v>
      </c>
      <c r="AH1225" s="1" t="str">
        <f>IFERROR(__xludf.DUMMYFUNCTION("""COMPUTED_VALUE"""),"ELEVE HOMES")</f>
        <v>ELEVE HOMES</v>
      </c>
      <c r="AI1225" s="1" t="str">
        <f>IFERROR(__xludf.DUMMYFUNCTION("""COMPUTED_VALUE"""),"CLUSTER 12")</f>
        <v>CLUSTER 12</v>
      </c>
    </row>
    <row r="1226" customHeight="1" spans="1:35">
      <c r="A1226" s="3">
        <f>IFERROR(__xludf.DUMMYFUNCTION("""COMPUTED_VALUE"""),46320)</f>
        <v>46320</v>
      </c>
      <c r="B1226" s="1" t="str">
        <f>IFERROR(__xludf.DUMMYFUNCTION("""COMPUTED_VALUE"""),"JESREEL DERECHO IGAT")</f>
        <v>JESREEL DERECHO IGAT</v>
      </c>
      <c r="C1226" s="1">
        <f>IFERROR(__xludf.DUMMYFUNCTION("""COMPUTED_VALUE"""),2313364311)</f>
        <v>2313364311</v>
      </c>
      <c r="D1226" s="1">
        <f>IFERROR(__xludf.DUMMYFUNCTION("""COMPUTED_VALUE"""),409315852)</f>
        <v>409315852</v>
      </c>
      <c r="E1226" s="1"/>
      <c r="F1226" s="1" t="str">
        <f>IFERROR(__xludf.DUMMYFUNCTION("""COMPUTED_VALUE"""),"ORDER IN PROGRESS")</f>
        <v>ORDER IN PROGRESS</v>
      </c>
      <c r="G1226" s="1" t="str">
        <f>IFERROR(__xludf.DUMMYFUNCTION("""COMPUTED_VALUE"""),"ORDER IN PROGRESS")</f>
        <v>ORDER IN PROGRESS</v>
      </c>
      <c r="H1226" s="1"/>
      <c r="I1226" s="1"/>
      <c r="J1226" s="1"/>
      <c r="K1226" s="1"/>
      <c r="L1226" s="1" t="str">
        <f>IFERROR(__xludf.DUMMYFUNCTION("""COMPUTED_VALUE"""),"NO PID CREATED YET")</f>
        <v>NO PID CREATED YET</v>
      </c>
      <c r="M1226" s="1" t="str">
        <f>IFERROR(__xludf.DUMMYFUNCTION("""COMPUTED_VALUE"""),"NO PID CREATED YET")</f>
        <v>NO PID CREATED YET</v>
      </c>
      <c r="N1226" s="3"/>
      <c r="O1226" s="1" t="str">
        <f>IFERROR(__xludf.DUMMYFUNCTION("""COMPUTED_VALUE"""),"FIBR UNLI ALL PLAN 999")</f>
        <v>FIBR UNLI ALL PLAN 999</v>
      </c>
      <c r="P1226" s="1" t="str">
        <f>IFERROR(__xludf.DUMMYFUNCTION("""COMPUTED_VALUE"""),"LOWPLAN")</f>
        <v>LOWPLAN</v>
      </c>
      <c r="Q1226" s="1" t="str">
        <f>IFERROR(__xludf.DUMMYFUNCTION("""COMPUTED_VALUE"""),"P407559")</f>
        <v>P407559</v>
      </c>
      <c r="R1226" s="1" t="str">
        <f>IFERROR(__xludf.DUMMYFUNCTION("""COMPUTED_VALUE"""),"MAGDARAOG, KENNETH")</f>
        <v>MAGDARAOG, KENNETH</v>
      </c>
      <c r="S1226" s="1" t="str">
        <f>IFERROR(__xludf.DUMMYFUNCTION("""COMPUTED_VALUE"""),"ORGANIC")</f>
        <v>ORGANIC</v>
      </c>
      <c r="T1226" s="1" t="str">
        <f>IFERROR(__xludf.DUMMYFUNCTION("""COMPUTED_VALUE"""),"LEA REMOLLO")</f>
        <v>LEA REMOLLO</v>
      </c>
      <c r="U1226" s="1" t="str">
        <f>IFERROR(__xludf.DUMMYFUNCTION("""COMPUTED_VALUE"""),"JB SALIOA")</f>
        <v>JB SALIOA</v>
      </c>
      <c r="V1226" s="1" t="str">
        <f>IFERROR(__xludf.DUMMYFUNCTION("""COMPUTED_VALUE"""),"BK HSTK")</f>
        <v>BK HSTK</v>
      </c>
      <c r="W1226" s="1" t="str">
        <f>IFERROR(__xludf.DUMMYFUNCTION("""COMPUTED_VALUE"""),"BK HSTK")</f>
        <v>BK HSTK</v>
      </c>
      <c r="X1226" s="1" t="str">
        <f>IFERROR(__xludf.DUMMYFUNCTION("""COMPUTED_VALUE"""),"REGULAR")</f>
        <v>REGULAR</v>
      </c>
      <c r="Y1226" s="1" t="str">
        <f>IFERROR(__xludf.DUMMYFUNCTION("""COMPUTED_VALUE"""),"BK_CVEU_261006")</f>
        <v>BK_CVEU_261006</v>
      </c>
      <c r="Z1226" s="1" t="str">
        <f>IFERROR(__xludf.DUMMYFUNCTION("""COMPUTED_VALUE"""),"NEW CONNECT")</f>
        <v>NEW CONNECT</v>
      </c>
      <c r="AA1226" s="1">
        <f>IFERROR(__xludf.DUMMYFUNCTION("""COMPUTED_VALUE"""),639555591554)</f>
        <v>639555591554</v>
      </c>
      <c r="AB1226" s="1">
        <f>IFERROR(__xludf.DUMMYFUNCTION("""COMPUTED_VALUE"""),639678910150)</f>
        <v>639678910150</v>
      </c>
      <c r="AC1226" s="1">
        <f>IFERROR(__xludf.DUMMYFUNCTION("""COMPUTED_VALUE"""),35)</f>
        <v>35</v>
      </c>
      <c r="AD1226" s="1" t="str">
        <f>IFERROR(__xludf.DUMMYFUNCTION("""COMPUTED_VALUE"""),"BIGA 2")</f>
        <v>BIGA 2</v>
      </c>
      <c r="AE1226" s="1"/>
      <c r="AF1226" s="1" t="str">
        <f>IFERROR(__xludf.DUMMYFUNCTION("""COMPUTED_VALUE"""),"BGY BIGA 2")</f>
        <v>BGY BIGA 2</v>
      </c>
      <c r="AG1226" s="1" t="str">
        <f>IFERROR(__xludf.DUMMYFUNCTION("""COMPUTED_VALUE"""),"SILANG")</f>
        <v>SILANG</v>
      </c>
      <c r="AH1226" s="1" t="str">
        <f>IFERROR(__xludf.DUMMYFUNCTION("""COMPUTED_VALUE"""),"GIRLS TOWN")</f>
        <v>GIRLS TOWN</v>
      </c>
      <c r="AI1226" s="1" t="str">
        <f>IFERROR(__xludf.DUMMYFUNCTION("""COMPUTED_VALUE"""),"CLUSTER 11")</f>
        <v>CLUSTER 11</v>
      </c>
    </row>
    <row r="1227" customHeight="1" spans="1:35">
      <c r="A1227" s="1"/>
      <c r="B1227" s="1"/>
      <c r="C1227" s="1"/>
      <c r="D1227" s="1"/>
      <c r="E1227" s="1"/>
      <c r="F1227" s="1"/>
      <c r="G1227" s="1"/>
      <c r="H1227" s="1"/>
      <c r="I1227" s="1"/>
      <c r="J1227" s="1"/>
      <c r="K1227" s="1"/>
      <c r="L1227" s="1"/>
      <c r="M1227" s="1"/>
      <c r="N1227" s="1"/>
      <c r="O1227" s="1"/>
      <c r="P1227" s="1"/>
      <c r="Q1227" s="1"/>
      <c r="R1227" s="1"/>
      <c r="S1227" s="1"/>
      <c r="T1227" s="1"/>
      <c r="U1227" s="1"/>
      <c r="V1227" s="1"/>
      <c r="W1227" s="1"/>
      <c r="X1227" s="1"/>
      <c r="Y1227" s="1"/>
      <c r="Z1227" s="1"/>
      <c r="AA1227" s="1"/>
      <c r="AB1227" s="1"/>
      <c r="AC1227" s="1"/>
      <c r="AD1227" s="1"/>
      <c r="AE1227" s="1"/>
      <c r="AF1227" s="1"/>
      <c r="AG1227" s="1"/>
      <c r="AH1227" s="1"/>
      <c r="AI1227" s="1"/>
    </row>
    <row r="1228" customHeight="1" spans="1:35">
      <c r="A1228" s="1"/>
      <c r="B1228" s="1"/>
      <c r="C1228" s="1"/>
      <c r="D1228" s="1"/>
      <c r="E1228" s="1"/>
      <c r="F1228" s="1"/>
      <c r="G1228" s="1"/>
      <c r="H1228" s="1"/>
      <c r="I1228" s="1"/>
      <c r="J1228" s="1"/>
      <c r="K1228" s="1"/>
      <c r="L1228" s="1"/>
      <c r="M1228" s="1"/>
      <c r="N1228" s="1"/>
      <c r="O1228" s="1"/>
      <c r="P1228" s="1"/>
      <c r="Q1228" s="1"/>
      <c r="R1228" s="1"/>
      <c r="S1228" s="1"/>
      <c r="T1228" s="1"/>
      <c r="U1228" s="1"/>
      <c r="V1228" s="1"/>
      <c r="W1228" s="1"/>
      <c r="X1228" s="1"/>
      <c r="Y1228" s="1"/>
      <c r="Z1228" s="1"/>
      <c r="AA1228" s="1"/>
      <c r="AB1228" s="1"/>
      <c r="AC1228" s="1"/>
      <c r="AD1228" s="1"/>
      <c r="AE1228" s="1"/>
      <c r="AF1228" s="1"/>
      <c r="AG1228" s="1"/>
      <c r="AH1228" s="1"/>
      <c r="AI1228" s="1"/>
    </row>
    <row r="1229" customHeight="1" spans="1:35">
      <c r="A1229" s="1"/>
      <c r="B1229" s="1"/>
      <c r="C1229" s="1"/>
      <c r="D1229" s="1"/>
      <c r="E1229" s="1"/>
      <c r="F1229" s="1"/>
      <c r="G1229" s="1"/>
      <c r="H1229" s="1"/>
      <c r="I1229" s="1"/>
      <c r="J1229" s="1"/>
      <c r="K1229" s="1"/>
      <c r="L1229" s="1"/>
      <c r="M1229" s="1"/>
      <c r="N1229" s="1"/>
      <c r="O1229" s="1"/>
      <c r="P1229" s="1"/>
      <c r="Q1229" s="1"/>
      <c r="R1229" s="1"/>
      <c r="S1229" s="1"/>
      <c r="T1229" s="1"/>
      <c r="U1229" s="1"/>
      <c r="V1229" s="1"/>
      <c r="W1229" s="1"/>
      <c r="X1229" s="1"/>
      <c r="Y1229" s="1"/>
      <c r="Z1229" s="1"/>
      <c r="AA1229" s="1"/>
      <c r="AB1229" s="1"/>
      <c r="AC1229" s="1"/>
      <c r="AD1229" s="1"/>
      <c r="AE1229" s="1"/>
      <c r="AF1229" s="1"/>
      <c r="AG1229" s="1"/>
      <c r="AH1229" s="1"/>
      <c r="AI1229" s="1"/>
    </row>
    <row r="1230" customHeight="1" spans="1:35">
      <c r="A1230" s="1"/>
      <c r="B1230" s="1"/>
      <c r="C1230" s="1"/>
      <c r="D1230" s="1"/>
      <c r="E1230" s="1"/>
      <c r="F1230" s="1"/>
      <c r="G1230" s="1"/>
      <c r="H1230" s="1"/>
      <c r="I1230" s="1"/>
      <c r="J1230" s="1"/>
      <c r="K1230" s="1"/>
      <c r="L1230" s="1"/>
      <c r="M1230" s="1"/>
      <c r="N1230" s="1"/>
      <c r="O1230" s="1"/>
      <c r="P1230" s="1"/>
      <c r="Q1230" s="1"/>
      <c r="R1230" s="1"/>
      <c r="S1230" s="1"/>
      <c r="T1230" s="1"/>
      <c r="U1230" s="1"/>
      <c r="V1230" s="1"/>
      <c r="W1230" s="1"/>
      <c r="X1230" s="1"/>
      <c r="Y1230" s="1"/>
      <c r="Z1230" s="1"/>
      <c r="AA1230" s="1"/>
      <c r="AB1230" s="1"/>
      <c r="AC1230" s="1"/>
      <c r="AD1230" s="1"/>
      <c r="AE1230" s="1"/>
      <c r="AF1230" s="1"/>
      <c r="AG1230" s="1"/>
      <c r="AH1230" s="1"/>
      <c r="AI1230" s="1"/>
    </row>
    <row r="1231" customHeight="1" spans="1:35">
      <c r="A1231" s="1"/>
      <c r="B1231" s="1"/>
      <c r="C1231" s="1"/>
      <c r="D1231" s="1"/>
      <c r="E1231" s="1"/>
      <c r="F1231" s="1"/>
      <c r="G1231" s="1"/>
      <c r="H1231" s="1"/>
      <c r="I1231" s="1"/>
      <c r="J1231" s="1"/>
      <c r="K1231" s="1"/>
      <c r="L1231" s="1"/>
      <c r="M1231" s="1"/>
      <c r="N1231" s="1"/>
      <c r="O1231" s="1"/>
      <c r="P1231" s="1"/>
      <c r="Q1231" s="1"/>
      <c r="R1231" s="1"/>
      <c r="S1231" s="1"/>
      <c r="T1231" s="1"/>
      <c r="U1231" s="1"/>
      <c r="V1231" s="1"/>
      <c r="W1231" s="1"/>
      <c r="X1231" s="1"/>
      <c r="Y1231" s="1"/>
      <c r="Z1231" s="1"/>
      <c r="AA1231" s="1"/>
      <c r="AB1231" s="1"/>
      <c r="AC1231" s="1"/>
      <c r="AD1231" s="1"/>
      <c r="AE1231" s="1"/>
      <c r="AF1231" s="1"/>
      <c r="AG1231" s="1"/>
      <c r="AH1231" s="1"/>
      <c r="AI1231" s="1"/>
    </row>
    <row r="1232" customHeight="1" spans="1:35">
      <c r="A1232" s="1"/>
      <c r="B1232" s="1"/>
      <c r="C1232" s="1"/>
      <c r="D1232" s="1"/>
      <c r="E1232" s="1"/>
      <c r="F1232" s="1"/>
      <c r="G1232" s="1"/>
      <c r="H1232" s="1"/>
      <c r="I1232" s="1"/>
      <c r="J1232" s="1"/>
      <c r="K1232" s="1"/>
      <c r="L1232" s="1"/>
      <c r="M1232" s="1"/>
      <c r="N1232" s="1"/>
      <c r="O1232" s="1"/>
      <c r="P1232" s="1"/>
      <c r="Q1232" s="1"/>
      <c r="R1232" s="1"/>
      <c r="S1232" s="1"/>
      <c r="T1232" s="1"/>
      <c r="U1232" s="1"/>
      <c r="V1232" s="1"/>
      <c r="W1232" s="1"/>
      <c r="X1232" s="1"/>
      <c r="Y1232" s="1"/>
      <c r="Z1232" s="1"/>
      <c r="AA1232" s="1"/>
      <c r="AB1232" s="1"/>
      <c r="AC1232" s="1"/>
      <c r="AD1232" s="1"/>
      <c r="AE1232" s="1"/>
      <c r="AF1232" s="1"/>
      <c r="AG1232" s="1"/>
      <c r="AH1232" s="1"/>
      <c r="AI1232" s="1"/>
    </row>
    <row r="1233" customHeight="1" spans="1:35">
      <c r="A1233" s="1"/>
      <c r="B1233" s="1"/>
      <c r="C1233" s="1"/>
      <c r="D1233" s="1"/>
      <c r="E1233" s="1"/>
      <c r="F1233" s="1"/>
      <c r="G1233" s="1"/>
      <c r="H1233" s="1"/>
      <c r="I1233" s="1"/>
      <c r="J1233" s="1"/>
      <c r="K1233" s="1"/>
      <c r="L1233" s="1"/>
      <c r="M1233" s="1"/>
      <c r="N1233" s="1"/>
      <c r="O1233" s="1"/>
      <c r="P1233" s="1"/>
      <c r="Q1233" s="1"/>
      <c r="R1233" s="1"/>
      <c r="S1233" s="1"/>
      <c r="T1233" s="1"/>
      <c r="U1233" s="1"/>
      <c r="V1233" s="1"/>
      <c r="W1233" s="1"/>
      <c r="X1233" s="1"/>
      <c r="Y1233" s="1"/>
      <c r="Z1233" s="1"/>
      <c r="AA1233" s="1"/>
      <c r="AB1233" s="1"/>
      <c r="AC1233" s="1"/>
      <c r="AD1233" s="1"/>
      <c r="AE1233" s="1"/>
      <c r="AF1233" s="1"/>
      <c r="AG1233" s="1"/>
      <c r="AH1233" s="1"/>
      <c r="AI1233" s="1"/>
    </row>
    <row r="1234" customHeight="1" spans="1:35">
      <c r="A1234" s="1"/>
      <c r="B1234" s="1"/>
      <c r="C1234" s="1"/>
      <c r="D1234" s="1"/>
      <c r="E1234" s="1"/>
      <c r="F1234" s="1"/>
      <c r="G1234" s="1"/>
      <c r="H1234" s="1"/>
      <c r="I1234" s="1"/>
      <c r="J1234" s="1"/>
      <c r="K1234" s="1"/>
      <c r="L1234" s="1"/>
      <c r="M1234" s="1"/>
      <c r="N1234" s="1"/>
      <c r="O1234" s="1"/>
      <c r="P1234" s="1"/>
      <c r="Q1234" s="1"/>
      <c r="R1234" s="1"/>
      <c r="S1234" s="1"/>
      <c r="T1234" s="1"/>
      <c r="U1234" s="1"/>
      <c r="V1234" s="1"/>
      <c r="W1234" s="1"/>
      <c r="X1234" s="1"/>
      <c r="Y1234" s="1"/>
      <c r="Z1234" s="1"/>
      <c r="AA1234" s="1"/>
      <c r="AB1234" s="1"/>
      <c r="AC1234" s="1"/>
      <c r="AD1234" s="1"/>
      <c r="AE1234" s="1"/>
      <c r="AF1234" s="1"/>
      <c r="AG1234" s="1"/>
      <c r="AH1234" s="1"/>
      <c r="AI1234" s="1"/>
    </row>
    <row r="1235" customHeight="1" spans="1:35">
      <c r="A1235" s="1"/>
      <c r="B1235" s="1"/>
      <c r="C1235" s="1"/>
      <c r="D1235" s="1"/>
      <c r="E1235" s="1"/>
      <c r="F1235" s="1"/>
      <c r="G1235" s="1"/>
      <c r="H1235" s="1"/>
      <c r="I1235" s="1"/>
      <c r="J1235" s="1"/>
      <c r="K1235" s="1"/>
      <c r="L1235" s="1"/>
      <c r="M1235" s="1"/>
      <c r="N1235" s="1"/>
      <c r="O1235" s="1"/>
      <c r="P1235" s="1"/>
      <c r="Q1235" s="1"/>
      <c r="R1235" s="1"/>
      <c r="S1235" s="1"/>
      <c r="T1235" s="1"/>
      <c r="U1235" s="1"/>
      <c r="V1235" s="1"/>
      <c r="W1235" s="1"/>
      <c r="X1235" s="1"/>
      <c r="Y1235" s="1"/>
      <c r="Z1235" s="1"/>
      <c r="AA1235" s="1"/>
      <c r="AB1235" s="1"/>
      <c r="AC1235" s="1"/>
      <c r="AD1235" s="1"/>
      <c r="AE1235" s="1"/>
      <c r="AF1235" s="1"/>
      <c r="AG1235" s="1"/>
      <c r="AH1235" s="1"/>
      <c r="AI1235" s="1"/>
    </row>
    <row r="1236" customHeight="1" spans="1:35">
      <c r="A1236" s="1"/>
      <c r="B1236" s="1"/>
      <c r="C1236" s="1"/>
      <c r="D1236" s="1"/>
      <c r="E1236" s="1"/>
      <c r="F1236" s="1"/>
      <c r="G1236" s="1"/>
      <c r="H1236" s="1"/>
      <c r="I1236" s="1"/>
      <c r="J1236" s="1"/>
      <c r="K1236" s="1"/>
      <c r="L1236" s="1"/>
      <c r="M1236" s="1"/>
      <c r="N1236" s="1"/>
      <c r="O1236" s="1"/>
      <c r="P1236" s="1"/>
      <c r="Q1236" s="1"/>
      <c r="R1236" s="1"/>
      <c r="S1236" s="1"/>
      <c r="T1236" s="1"/>
      <c r="U1236" s="1"/>
      <c r="V1236" s="1"/>
      <c r="W1236" s="1"/>
      <c r="X1236" s="1"/>
      <c r="Y1236" s="1"/>
      <c r="Z1236" s="1"/>
      <c r="AA1236" s="1"/>
      <c r="AB1236" s="1"/>
      <c r="AC1236" s="1"/>
      <c r="AD1236" s="1"/>
      <c r="AE1236" s="1"/>
      <c r="AF1236" s="1"/>
      <c r="AG1236" s="1"/>
      <c r="AH1236" s="1"/>
      <c r="AI1236" s="1"/>
    </row>
    <row r="1237" customHeight="1" spans="1:35">
      <c r="A1237" s="1"/>
      <c r="B1237" s="1"/>
      <c r="C1237" s="1"/>
      <c r="D1237" s="1"/>
      <c r="E1237" s="1"/>
      <c r="F1237" s="1"/>
      <c r="G1237" s="1"/>
      <c r="H1237" s="1"/>
      <c r="I1237" s="1"/>
      <c r="J1237" s="1"/>
      <c r="K1237" s="1"/>
      <c r="L1237" s="1"/>
      <c r="M1237" s="1"/>
      <c r="N1237" s="1"/>
      <c r="O1237" s="1"/>
      <c r="P1237" s="1"/>
      <c r="Q1237" s="1"/>
      <c r="R1237" s="1"/>
      <c r="S1237" s="1"/>
      <c r="T1237" s="1"/>
      <c r="U1237" s="1"/>
      <c r="V1237" s="1"/>
      <c r="W1237" s="1"/>
      <c r="X1237" s="1"/>
      <c r="Y1237" s="1"/>
      <c r="Z1237" s="1"/>
      <c r="AA1237" s="1"/>
      <c r="AB1237" s="1"/>
      <c r="AC1237" s="1"/>
      <c r="AD1237" s="1"/>
      <c r="AE1237" s="1"/>
      <c r="AF1237" s="1"/>
      <c r="AG1237" s="1"/>
      <c r="AH1237" s="1"/>
      <c r="AI1237" s="1"/>
    </row>
    <row r="1238" customHeight="1" spans="1:35">
      <c r="A1238" s="1"/>
      <c r="B1238" s="1"/>
      <c r="C1238" s="1"/>
      <c r="D1238" s="1"/>
      <c r="E1238" s="1"/>
      <c r="F1238" s="1"/>
      <c r="G1238" s="1"/>
      <c r="H1238" s="1"/>
      <c r="I1238" s="1"/>
      <c r="J1238" s="1"/>
      <c r="K1238" s="1"/>
      <c r="L1238" s="1"/>
      <c r="M1238" s="1"/>
      <c r="N1238" s="1"/>
      <c r="O1238" s="1"/>
      <c r="P1238" s="1"/>
      <c r="Q1238" s="1"/>
      <c r="R1238" s="1"/>
      <c r="S1238" s="1"/>
      <c r="T1238" s="1"/>
      <c r="U1238" s="1"/>
      <c r="V1238" s="1"/>
      <c r="W1238" s="1"/>
      <c r="X1238" s="1"/>
      <c r="Y1238" s="1"/>
      <c r="Z1238" s="1"/>
      <c r="AA1238" s="1"/>
      <c r="AB1238" s="1"/>
      <c r="AC1238" s="1"/>
      <c r="AD1238" s="1"/>
      <c r="AE1238" s="1"/>
      <c r="AF1238" s="1"/>
      <c r="AG1238" s="1"/>
      <c r="AH1238" s="1"/>
      <c r="AI1238" s="1"/>
    </row>
    <row r="1239" customHeight="1" spans="1:35">
      <c r="A1239" s="1"/>
      <c r="B1239" s="1"/>
      <c r="C1239" s="1"/>
      <c r="D1239" s="1"/>
      <c r="E1239" s="1"/>
      <c r="F1239" s="1"/>
      <c r="G1239" s="1"/>
      <c r="H1239" s="1"/>
      <c r="I1239" s="1"/>
      <c r="J1239" s="1"/>
      <c r="K1239" s="1"/>
      <c r="L1239" s="1"/>
      <c r="M1239" s="1"/>
      <c r="N1239" s="1"/>
      <c r="O1239" s="1"/>
      <c r="P1239" s="1"/>
      <c r="Q1239" s="1"/>
      <c r="R1239" s="1"/>
      <c r="S1239" s="1"/>
      <c r="T1239" s="1"/>
      <c r="U1239" s="1"/>
      <c r="V1239" s="1"/>
      <c r="W1239" s="1"/>
      <c r="X1239" s="1"/>
      <c r="Y1239" s="1"/>
      <c r="Z1239" s="1"/>
      <c r="AA1239" s="1"/>
      <c r="AB1239" s="1"/>
      <c r="AC1239" s="1"/>
      <c r="AD1239" s="1"/>
      <c r="AE1239" s="1"/>
      <c r="AF1239" s="1"/>
      <c r="AG1239" s="1"/>
      <c r="AH1239" s="1"/>
      <c r="AI1239" s="1"/>
    </row>
    <row r="1240" customHeight="1" spans="1:35">
      <c r="A1240" s="1"/>
      <c r="B1240" s="1"/>
      <c r="C1240" s="1"/>
      <c r="D1240" s="1"/>
      <c r="E1240" s="1"/>
      <c r="F1240" s="1"/>
      <c r="G1240" s="1"/>
      <c r="H1240" s="1"/>
      <c r="I1240" s="1"/>
      <c r="J1240" s="1"/>
      <c r="K1240" s="1"/>
      <c r="L1240" s="1"/>
      <c r="M1240" s="1"/>
      <c r="N1240" s="1"/>
      <c r="O1240" s="1"/>
      <c r="P1240" s="1"/>
      <c r="Q1240" s="1"/>
      <c r="R1240" s="1"/>
      <c r="S1240" s="1"/>
      <c r="T1240" s="1"/>
      <c r="U1240" s="1"/>
      <c r="V1240" s="1"/>
      <c r="W1240" s="1"/>
      <c r="X1240" s="1"/>
      <c r="Y1240" s="1"/>
      <c r="Z1240" s="1"/>
      <c r="AA1240" s="1"/>
      <c r="AB1240" s="1"/>
      <c r="AC1240" s="1"/>
      <c r="AD1240" s="1"/>
      <c r="AE1240" s="1"/>
      <c r="AF1240" s="1"/>
      <c r="AG1240" s="1"/>
      <c r="AH1240" s="1"/>
      <c r="AI1240" s="1"/>
    </row>
    <row r="1241" customHeight="1" spans="1:35">
      <c r="A1241" s="1"/>
      <c r="B1241" s="1"/>
      <c r="C1241" s="1"/>
      <c r="D1241" s="1"/>
      <c r="E1241" s="1"/>
      <c r="F1241" s="1"/>
      <c r="G1241" s="1"/>
      <c r="H1241" s="1"/>
      <c r="I1241" s="1"/>
      <c r="J1241" s="1"/>
      <c r="K1241" s="1"/>
      <c r="L1241" s="1"/>
      <c r="M1241" s="1"/>
      <c r="N1241" s="1"/>
      <c r="O1241" s="1"/>
      <c r="P1241" s="1"/>
      <c r="Q1241" s="1"/>
      <c r="R1241" s="1"/>
      <c r="S1241" s="1"/>
      <c r="T1241" s="1"/>
      <c r="U1241" s="1"/>
      <c r="V1241" s="1"/>
      <c r="W1241" s="1"/>
      <c r="X1241" s="1"/>
      <c r="Y1241" s="1"/>
      <c r="Z1241" s="1"/>
      <c r="AA1241" s="1"/>
      <c r="AB1241" s="1"/>
      <c r="AC1241" s="1"/>
      <c r="AD1241" s="1"/>
      <c r="AE1241" s="1"/>
      <c r="AF1241" s="1"/>
      <c r="AG1241" s="1"/>
      <c r="AH1241" s="1"/>
      <c r="AI1241" s="1"/>
    </row>
    <row r="1242" customHeight="1" spans="1:35">
      <c r="A1242" s="1"/>
      <c r="B1242" s="1"/>
      <c r="C1242" s="1"/>
      <c r="D1242" s="1"/>
      <c r="E1242" s="1"/>
      <c r="F1242" s="1"/>
      <c r="G1242" s="1"/>
      <c r="H1242" s="1"/>
      <c r="I1242" s="1"/>
      <c r="J1242" s="1"/>
      <c r="K1242" s="1"/>
      <c r="L1242" s="1"/>
      <c r="M1242" s="1"/>
      <c r="N1242" s="1"/>
      <c r="O1242" s="1"/>
      <c r="P1242" s="1"/>
      <c r="Q1242" s="1"/>
      <c r="R1242" s="1"/>
      <c r="S1242" s="1"/>
      <c r="T1242" s="1"/>
      <c r="U1242" s="1"/>
      <c r="V1242" s="1"/>
      <c r="W1242" s="1"/>
      <c r="X1242" s="1"/>
      <c r="Y1242" s="1"/>
      <c r="Z1242" s="1"/>
      <c r="AA1242" s="1"/>
      <c r="AB1242" s="1"/>
      <c r="AC1242" s="1"/>
      <c r="AD1242" s="1"/>
      <c r="AE1242" s="1"/>
      <c r="AF1242" s="1"/>
      <c r="AG1242" s="1"/>
      <c r="AH1242" s="1"/>
      <c r="AI1242" s="1"/>
    </row>
    <row r="1243" customHeight="1" spans="1:35">
      <c r="A1243" s="1"/>
      <c r="B1243" s="1"/>
      <c r="C1243" s="1"/>
      <c r="D1243" s="1"/>
      <c r="E1243" s="1"/>
      <c r="F1243" s="1"/>
      <c r="G1243" s="1"/>
      <c r="H1243" s="1"/>
      <c r="I1243" s="1"/>
      <c r="J1243" s="1"/>
      <c r="K1243" s="1"/>
      <c r="L1243" s="1"/>
      <c r="M1243" s="1"/>
      <c r="N1243" s="1"/>
      <c r="O1243" s="1"/>
      <c r="P1243" s="1"/>
      <c r="Q1243" s="1"/>
      <c r="R1243" s="1"/>
      <c r="S1243" s="1"/>
      <c r="T1243" s="1"/>
      <c r="U1243" s="1"/>
      <c r="V1243" s="1"/>
      <c r="W1243" s="1"/>
      <c r="X1243" s="1"/>
      <c r="Y1243" s="1"/>
      <c r="Z1243" s="1"/>
      <c r="AA1243" s="1"/>
      <c r="AB1243" s="1"/>
      <c r="AC1243" s="1"/>
      <c r="AD1243" s="1"/>
      <c r="AE1243" s="1"/>
      <c r="AF1243" s="1"/>
      <c r="AG1243" s="1"/>
      <c r="AH1243" s="1"/>
      <c r="AI1243" s="1"/>
    </row>
    <row r="1244" customHeight="1" spans="1:35">
      <c r="A1244" s="1"/>
      <c r="B1244" s="1"/>
      <c r="C1244" s="1"/>
      <c r="D1244" s="1"/>
      <c r="E1244" s="1"/>
      <c r="F1244" s="1"/>
      <c r="G1244" s="1"/>
      <c r="H1244" s="1"/>
      <c r="I1244" s="1"/>
      <c r="J1244" s="1"/>
      <c r="K1244" s="1"/>
      <c r="L1244" s="1"/>
      <c r="M1244" s="1"/>
      <c r="N1244" s="1"/>
      <c r="O1244" s="1"/>
      <c r="P1244" s="1"/>
      <c r="Q1244" s="1"/>
      <c r="R1244" s="1"/>
      <c r="S1244" s="1"/>
      <c r="T1244" s="1"/>
      <c r="U1244" s="1"/>
      <c r="V1244" s="1"/>
      <c r="W1244" s="1"/>
      <c r="X1244" s="1"/>
      <c r="Y1244" s="1"/>
      <c r="Z1244" s="1"/>
      <c r="AA1244" s="1"/>
      <c r="AB1244" s="1"/>
      <c r="AC1244" s="1"/>
      <c r="AD1244" s="1"/>
      <c r="AE1244" s="1"/>
      <c r="AF1244" s="1"/>
      <c r="AG1244" s="1"/>
      <c r="AH1244" s="1"/>
      <c r="AI1244" s="1"/>
    </row>
    <row r="1245" customHeight="1" spans="1:35">
      <c r="A1245" s="1"/>
      <c r="B1245" s="1"/>
      <c r="C1245" s="1"/>
      <c r="D1245" s="1"/>
      <c r="E1245" s="1"/>
      <c r="F1245" s="1"/>
      <c r="G1245" s="1"/>
      <c r="H1245" s="1"/>
      <c r="I1245" s="1"/>
      <c r="J1245" s="1"/>
      <c r="K1245" s="1"/>
      <c r="L1245" s="1"/>
      <c r="M1245" s="1"/>
      <c r="N1245" s="1"/>
      <c r="O1245" s="1"/>
      <c r="P1245" s="1"/>
      <c r="Q1245" s="1"/>
      <c r="R1245" s="1"/>
      <c r="S1245" s="1"/>
      <c r="T1245" s="1"/>
      <c r="U1245" s="1"/>
      <c r="V1245" s="1"/>
      <c r="W1245" s="1"/>
      <c r="X1245" s="1"/>
      <c r="Y1245" s="1"/>
      <c r="Z1245" s="1"/>
      <c r="AA1245" s="1"/>
      <c r="AB1245" s="1"/>
      <c r="AC1245" s="1"/>
      <c r="AD1245" s="1"/>
      <c r="AE1245" s="1"/>
      <c r="AF1245" s="1"/>
      <c r="AG1245" s="1"/>
      <c r="AH1245" s="1"/>
      <c r="AI1245" s="1"/>
    </row>
    <row r="1246" customHeight="1" spans="1:35">
      <c r="A1246" s="1"/>
      <c r="B1246" s="1"/>
      <c r="C1246" s="1"/>
      <c r="D1246" s="1"/>
      <c r="E1246" s="1"/>
      <c r="F1246" s="1"/>
      <c r="G1246" s="1"/>
      <c r="H1246" s="1"/>
      <c r="I1246" s="1"/>
      <c r="J1246" s="1"/>
      <c r="K1246" s="1"/>
      <c r="L1246" s="1"/>
      <c r="M1246" s="1"/>
      <c r="N1246" s="1"/>
      <c r="O1246" s="1"/>
      <c r="P1246" s="1"/>
      <c r="Q1246" s="1"/>
      <c r="R1246" s="1"/>
      <c r="S1246" s="1"/>
      <c r="T1246" s="1"/>
      <c r="U1246" s="1"/>
      <c r="V1246" s="1"/>
      <c r="W1246" s="1"/>
      <c r="X1246" s="1"/>
      <c r="Y1246" s="1"/>
      <c r="Z1246" s="1"/>
      <c r="AA1246" s="1"/>
      <c r="AB1246" s="1"/>
      <c r="AC1246" s="1"/>
      <c r="AD1246" s="1"/>
      <c r="AE1246" s="1"/>
      <c r="AF1246" s="1"/>
      <c r="AG1246" s="1"/>
      <c r="AH1246" s="1"/>
      <c r="AI1246" s="1"/>
    </row>
    <row r="1247" customHeight="1" spans="1:35">
      <c r="A1247" s="1"/>
      <c r="B1247" s="1"/>
      <c r="C1247" s="1"/>
      <c r="D1247" s="1"/>
      <c r="E1247" s="1"/>
      <c r="F1247" s="1"/>
      <c r="G1247" s="1"/>
      <c r="H1247" s="1"/>
      <c r="I1247" s="1"/>
      <c r="J1247" s="1"/>
      <c r="K1247" s="1"/>
      <c r="L1247" s="1"/>
      <c r="M1247" s="1"/>
      <c r="N1247" s="1"/>
      <c r="O1247" s="1"/>
      <c r="P1247" s="1"/>
      <c r="Q1247" s="1"/>
      <c r="R1247" s="1"/>
      <c r="S1247" s="1"/>
      <c r="T1247" s="1"/>
      <c r="U1247" s="1"/>
      <c r="V1247" s="1"/>
      <c r="W1247" s="1"/>
      <c r="X1247" s="1"/>
      <c r="Y1247" s="1"/>
      <c r="Z1247" s="1"/>
      <c r="AA1247" s="1"/>
      <c r="AB1247" s="1"/>
      <c r="AC1247" s="1"/>
      <c r="AD1247" s="1"/>
      <c r="AE1247" s="1"/>
      <c r="AF1247" s="1"/>
      <c r="AG1247" s="1"/>
      <c r="AH1247" s="1"/>
      <c r="AI1247" s="1"/>
    </row>
    <row r="1248" customHeight="1" spans="1:35">
      <c r="A1248" s="1"/>
      <c r="B1248" s="1"/>
      <c r="C1248" s="1"/>
      <c r="D1248" s="1"/>
      <c r="E1248" s="1"/>
      <c r="F1248" s="1"/>
      <c r="G1248" s="1"/>
      <c r="H1248" s="1"/>
      <c r="I1248" s="1"/>
      <c r="J1248" s="1"/>
      <c r="K1248" s="1"/>
      <c r="L1248" s="1"/>
      <c r="M1248" s="1"/>
      <c r="N1248" s="1"/>
      <c r="O1248" s="1"/>
      <c r="P1248" s="1"/>
      <c r="Q1248" s="1"/>
      <c r="R1248" s="1"/>
      <c r="S1248" s="1"/>
      <c r="T1248" s="1"/>
      <c r="U1248" s="1"/>
      <c r="V1248" s="1"/>
      <c r="W1248" s="1"/>
      <c r="X1248" s="1"/>
      <c r="Y1248" s="1"/>
      <c r="Z1248" s="1"/>
      <c r="AA1248" s="1"/>
      <c r="AB1248" s="1"/>
      <c r="AC1248" s="1"/>
      <c r="AD1248" s="1"/>
      <c r="AE1248" s="1"/>
      <c r="AF1248" s="1"/>
      <c r="AG1248" s="1"/>
      <c r="AH1248" s="1"/>
      <c r="AI1248" s="1"/>
    </row>
    <row r="1249" customHeight="1" spans="1:35">
      <c r="A1249" s="1"/>
      <c r="B1249" s="1"/>
      <c r="C1249" s="1"/>
      <c r="D1249" s="1"/>
      <c r="E1249" s="1"/>
      <c r="F1249" s="1"/>
      <c r="G1249" s="1"/>
      <c r="H1249" s="1"/>
      <c r="I1249" s="1"/>
      <c r="J1249" s="1"/>
      <c r="K1249" s="1"/>
      <c r="L1249" s="1"/>
      <c r="M1249" s="1"/>
      <c r="N1249" s="1"/>
      <c r="O1249" s="1"/>
      <c r="P1249" s="1"/>
      <c r="Q1249" s="1"/>
      <c r="R1249" s="1"/>
      <c r="S1249" s="1"/>
      <c r="T1249" s="1"/>
      <c r="U1249" s="1"/>
      <c r="V1249" s="1"/>
      <c r="W1249" s="1"/>
      <c r="X1249" s="1"/>
      <c r="Y1249" s="1"/>
      <c r="Z1249" s="1"/>
      <c r="AA1249" s="1"/>
      <c r="AB1249" s="1"/>
      <c r="AC1249" s="1"/>
      <c r="AD1249" s="1"/>
      <c r="AE1249" s="1"/>
      <c r="AF1249" s="1"/>
      <c r="AG1249" s="1"/>
      <c r="AH1249" s="1"/>
      <c r="AI1249" s="1"/>
    </row>
    <row r="1250" customHeight="1" spans="1:35">
      <c r="A1250" s="1"/>
      <c r="B1250" s="1"/>
      <c r="C1250" s="1"/>
      <c r="D1250" s="1"/>
      <c r="E1250" s="1"/>
      <c r="F1250" s="1"/>
      <c r="G1250" s="1"/>
      <c r="H1250" s="1"/>
      <c r="I1250" s="1"/>
      <c r="J1250" s="1"/>
      <c r="K1250" s="1"/>
      <c r="L1250" s="1"/>
      <c r="M1250" s="1"/>
      <c r="N1250" s="1"/>
      <c r="O1250" s="1"/>
      <c r="P1250" s="1"/>
      <c r="Q1250" s="1"/>
      <c r="R1250" s="1"/>
      <c r="S1250" s="1"/>
      <c r="T1250" s="1"/>
      <c r="U1250" s="1"/>
      <c r="V1250" s="1"/>
      <c r="W1250" s="1"/>
      <c r="X1250" s="1"/>
      <c r="Y1250" s="1"/>
      <c r="Z1250" s="1"/>
      <c r="AA1250" s="1"/>
      <c r="AB1250" s="1"/>
      <c r="AC1250" s="1"/>
      <c r="AD1250" s="1"/>
      <c r="AE1250" s="1"/>
      <c r="AF1250" s="1"/>
      <c r="AG1250" s="1"/>
      <c r="AH1250" s="1"/>
      <c r="AI1250" s="1"/>
    </row>
    <row r="1251" customHeight="1" spans="1:35">
      <c r="A1251" s="1"/>
      <c r="B1251" s="1"/>
      <c r="C1251" s="1"/>
      <c r="D1251" s="1"/>
      <c r="E1251" s="1"/>
      <c r="F1251" s="1"/>
      <c r="G1251" s="1"/>
      <c r="H1251" s="1"/>
      <c r="I1251" s="1"/>
      <c r="J1251" s="1"/>
      <c r="K1251" s="1"/>
      <c r="L1251" s="1"/>
      <c r="M1251" s="1"/>
      <c r="N1251" s="1"/>
      <c r="O1251" s="1"/>
      <c r="P1251" s="1"/>
      <c r="Q1251" s="1"/>
      <c r="R1251" s="1"/>
      <c r="S1251" s="1"/>
      <c r="T1251" s="1"/>
      <c r="U1251" s="1"/>
      <c r="V1251" s="1"/>
      <c r="W1251" s="1"/>
      <c r="X1251" s="1"/>
      <c r="Y1251" s="1"/>
      <c r="Z1251" s="1"/>
      <c r="AA1251" s="1"/>
      <c r="AB1251" s="1"/>
      <c r="AC1251" s="1"/>
      <c r="AD1251" s="1"/>
      <c r="AE1251" s="1"/>
      <c r="AF1251" s="1"/>
      <c r="AG1251" s="1"/>
      <c r="AH1251" s="1"/>
      <c r="AI1251" s="1"/>
    </row>
    <row r="1252" customHeight="1" spans="1:35">
      <c r="A1252" s="1"/>
      <c r="B1252" s="1"/>
      <c r="C1252" s="1"/>
      <c r="D1252" s="1"/>
      <c r="E1252" s="1"/>
      <c r="F1252" s="1"/>
      <c r="G1252" s="1"/>
      <c r="H1252" s="1"/>
      <c r="I1252" s="1"/>
      <c r="J1252" s="1"/>
      <c r="K1252" s="1"/>
      <c r="L1252" s="1"/>
      <c r="M1252" s="1"/>
      <c r="N1252" s="1"/>
      <c r="O1252" s="1"/>
      <c r="P1252" s="1"/>
      <c r="Q1252" s="1"/>
      <c r="R1252" s="1"/>
      <c r="S1252" s="1"/>
      <c r="T1252" s="1"/>
      <c r="U1252" s="1"/>
      <c r="V1252" s="1"/>
      <c r="W1252" s="1"/>
      <c r="X1252" s="1"/>
      <c r="Y1252" s="1"/>
      <c r="Z1252" s="1"/>
      <c r="AA1252" s="1"/>
      <c r="AB1252" s="1"/>
      <c r="AC1252" s="1"/>
      <c r="AD1252" s="1"/>
      <c r="AE1252" s="1"/>
      <c r="AF1252" s="1"/>
      <c r="AG1252" s="1"/>
      <c r="AH1252" s="1"/>
      <c r="AI1252" s="1"/>
    </row>
    <row r="1253" customHeight="1" spans="1:35">
      <c r="A1253" s="1"/>
      <c r="B1253" s="1"/>
      <c r="C1253" s="1"/>
      <c r="D1253" s="1"/>
      <c r="E1253" s="1"/>
      <c r="F1253" s="1"/>
      <c r="G1253" s="1"/>
      <c r="H1253" s="1"/>
      <c r="I1253" s="1"/>
      <c r="J1253" s="1"/>
      <c r="K1253" s="1"/>
      <c r="L1253" s="1"/>
      <c r="M1253" s="1"/>
      <c r="N1253" s="1"/>
      <c r="O1253" s="1"/>
      <c r="P1253" s="1"/>
      <c r="Q1253" s="1"/>
      <c r="R1253" s="1"/>
      <c r="S1253" s="1"/>
      <c r="T1253" s="1"/>
      <c r="U1253" s="1"/>
      <c r="V1253" s="1"/>
      <c r="W1253" s="1"/>
      <c r="X1253" s="1"/>
      <c r="Y1253" s="1"/>
      <c r="Z1253" s="1"/>
      <c r="AA1253" s="1"/>
      <c r="AB1253" s="1"/>
      <c r="AC1253" s="1"/>
      <c r="AD1253" s="1"/>
      <c r="AE1253" s="1"/>
      <c r="AF1253" s="1"/>
      <c r="AG1253" s="1"/>
      <c r="AH1253" s="1"/>
      <c r="AI1253" s="1"/>
    </row>
    <row r="1254" customHeight="1" spans="1:35">
      <c r="A1254" s="1"/>
      <c r="B1254" s="1"/>
      <c r="C1254" s="1"/>
      <c r="D1254" s="1"/>
      <c r="E1254" s="1"/>
      <c r="F1254" s="1"/>
      <c r="G1254" s="1"/>
      <c r="H1254" s="1"/>
      <c r="I1254" s="1"/>
      <c r="J1254" s="1"/>
      <c r="K1254" s="1"/>
      <c r="L1254" s="1"/>
      <c r="M1254" s="1"/>
      <c r="N1254" s="1"/>
      <c r="O1254" s="1"/>
      <c r="P1254" s="1"/>
      <c r="Q1254" s="1"/>
      <c r="R1254" s="1"/>
      <c r="S1254" s="1"/>
      <c r="T1254" s="1"/>
      <c r="U1254" s="1"/>
      <c r="V1254" s="1"/>
      <c r="W1254" s="1"/>
      <c r="X1254" s="1"/>
      <c r="Y1254" s="1"/>
      <c r="Z1254" s="1"/>
      <c r="AA1254" s="1"/>
      <c r="AB1254" s="1"/>
      <c r="AC1254" s="1"/>
      <c r="AD1254" s="1"/>
      <c r="AE1254" s="1"/>
      <c r="AF1254" s="1"/>
      <c r="AG1254" s="1"/>
      <c r="AH1254" s="1"/>
      <c r="AI1254" s="1"/>
    </row>
    <row r="1255" customHeight="1" spans="1:35">
      <c r="A1255" s="1"/>
      <c r="B1255" s="1"/>
      <c r="C1255" s="1"/>
      <c r="D1255" s="1"/>
      <c r="E1255" s="1"/>
      <c r="F1255" s="1"/>
      <c r="G1255" s="1"/>
      <c r="H1255" s="1"/>
      <c r="I1255" s="1"/>
      <c r="J1255" s="1"/>
      <c r="K1255" s="1"/>
      <c r="L1255" s="1"/>
      <c r="M1255" s="1"/>
      <c r="N1255" s="1"/>
      <c r="O1255" s="1"/>
      <c r="P1255" s="1"/>
      <c r="Q1255" s="1"/>
      <c r="R1255" s="1"/>
      <c r="S1255" s="1"/>
      <c r="T1255" s="1"/>
      <c r="U1255" s="1"/>
      <c r="V1255" s="1"/>
      <c r="W1255" s="1"/>
      <c r="X1255" s="1"/>
      <c r="Y1255" s="1"/>
      <c r="Z1255" s="1"/>
      <c r="AA1255" s="1"/>
      <c r="AB1255" s="1"/>
      <c r="AC1255" s="1"/>
      <c r="AD1255" s="1"/>
      <c r="AE1255" s="1"/>
      <c r="AF1255" s="1"/>
      <c r="AG1255" s="1"/>
      <c r="AH1255" s="1"/>
      <c r="AI1255" s="1"/>
    </row>
    <row r="1256" customHeight="1" spans="1:35">
      <c r="A1256" s="1"/>
      <c r="B1256" s="1"/>
      <c r="C1256" s="1"/>
      <c r="D1256" s="1"/>
      <c r="E1256" s="1"/>
      <c r="F1256" s="1"/>
      <c r="G1256" s="1"/>
      <c r="H1256" s="1"/>
      <c r="I1256" s="1"/>
      <c r="J1256" s="1"/>
      <c r="K1256" s="1"/>
      <c r="L1256" s="1"/>
      <c r="M1256" s="1"/>
      <c r="N1256" s="1"/>
      <c r="O1256" s="1"/>
      <c r="P1256" s="1"/>
      <c r="Q1256" s="1"/>
      <c r="R1256" s="1"/>
      <c r="S1256" s="1"/>
      <c r="T1256" s="1"/>
      <c r="U1256" s="1"/>
      <c r="V1256" s="1"/>
      <c r="W1256" s="1"/>
      <c r="X1256" s="1"/>
      <c r="Y1256" s="1"/>
      <c r="Z1256" s="1"/>
      <c r="AA1256" s="1"/>
      <c r="AB1256" s="1"/>
      <c r="AC1256" s="1"/>
      <c r="AD1256" s="1"/>
      <c r="AE1256" s="1"/>
      <c r="AF1256" s="1"/>
      <c r="AG1256" s="1"/>
      <c r="AH1256" s="1"/>
      <c r="AI1256" s="1"/>
    </row>
    <row r="1257" customHeight="1" spans="1:35">
      <c r="A1257" s="1"/>
      <c r="B1257" s="1"/>
      <c r="C1257" s="1"/>
      <c r="D1257" s="1"/>
      <c r="E1257" s="1"/>
      <c r="F1257" s="1"/>
      <c r="G1257" s="1"/>
      <c r="H1257" s="1"/>
      <c r="I1257" s="1"/>
      <c r="J1257" s="1"/>
      <c r="K1257" s="1"/>
      <c r="L1257" s="1"/>
      <c r="M1257" s="1"/>
      <c r="N1257" s="1"/>
      <c r="O1257" s="1"/>
      <c r="P1257" s="1"/>
      <c r="Q1257" s="1"/>
      <c r="R1257" s="1"/>
      <c r="S1257" s="1"/>
      <c r="T1257" s="1"/>
      <c r="U1257" s="1"/>
      <c r="V1257" s="1"/>
      <c r="W1257" s="1"/>
      <c r="X1257" s="1"/>
      <c r="Y1257" s="1"/>
      <c r="Z1257" s="1"/>
      <c r="AA1257" s="1"/>
      <c r="AB1257" s="1"/>
      <c r="AC1257" s="1"/>
      <c r="AD1257" s="1"/>
      <c r="AE1257" s="1"/>
      <c r="AF1257" s="1"/>
      <c r="AG1257" s="1"/>
      <c r="AH1257" s="1"/>
      <c r="AI1257" s="1"/>
    </row>
    <row r="1258" customHeight="1" spans="1:35">
      <c r="A1258" s="1"/>
      <c r="B1258" s="1"/>
      <c r="C1258" s="1"/>
      <c r="D1258" s="1"/>
      <c r="E1258" s="1"/>
      <c r="F1258" s="1"/>
      <c r="G1258" s="1"/>
      <c r="H1258" s="1"/>
      <c r="I1258" s="1"/>
      <c r="J1258" s="1"/>
      <c r="K1258" s="1"/>
      <c r="L1258" s="1"/>
      <c r="M1258" s="1"/>
      <c r="N1258" s="1"/>
      <c r="O1258" s="1"/>
      <c r="P1258" s="1"/>
      <c r="Q1258" s="1"/>
      <c r="R1258" s="1"/>
      <c r="S1258" s="1"/>
      <c r="T1258" s="1"/>
      <c r="U1258" s="1"/>
      <c r="V1258" s="1"/>
      <c r="W1258" s="1"/>
      <c r="X1258" s="1"/>
      <c r="Y1258" s="1"/>
      <c r="Z1258" s="1"/>
      <c r="AA1258" s="1"/>
      <c r="AB1258" s="1"/>
      <c r="AC1258" s="1"/>
      <c r="AD1258" s="1"/>
      <c r="AE1258" s="1"/>
      <c r="AF1258" s="1"/>
      <c r="AG1258" s="1"/>
      <c r="AH1258" s="1"/>
      <c r="AI1258" s="1"/>
    </row>
    <row r="1259" customHeight="1" spans="1:35">
      <c r="A1259" s="1"/>
      <c r="B1259" s="1"/>
      <c r="C1259" s="1"/>
      <c r="D1259" s="1"/>
      <c r="E1259" s="1"/>
      <c r="F1259" s="1"/>
      <c r="G1259" s="1"/>
      <c r="H1259" s="1"/>
      <c r="I1259" s="1"/>
      <c r="J1259" s="1"/>
      <c r="K1259" s="1"/>
      <c r="L1259" s="1"/>
      <c r="M1259" s="1"/>
      <c r="N1259" s="1"/>
      <c r="O1259" s="1"/>
      <c r="P1259" s="1"/>
      <c r="Q1259" s="1"/>
      <c r="R1259" s="1"/>
      <c r="S1259" s="1"/>
      <c r="T1259" s="1"/>
      <c r="U1259" s="1"/>
      <c r="V1259" s="1"/>
      <c r="W1259" s="1"/>
      <c r="X1259" s="1"/>
      <c r="Y1259" s="1"/>
      <c r="Z1259" s="1"/>
      <c r="AA1259" s="1"/>
      <c r="AB1259" s="1"/>
      <c r="AC1259" s="1"/>
      <c r="AD1259" s="1"/>
      <c r="AE1259" s="1"/>
      <c r="AF1259" s="1"/>
      <c r="AG1259" s="1"/>
      <c r="AH1259" s="1"/>
      <c r="AI1259" s="1"/>
    </row>
    <row r="1260" customHeight="1" spans="1:35">
      <c r="A1260" s="1"/>
      <c r="B1260" s="1"/>
      <c r="C1260" s="1"/>
      <c r="D1260" s="1"/>
      <c r="E1260" s="1"/>
      <c r="F1260" s="1"/>
      <c r="G1260" s="1"/>
      <c r="H1260" s="1"/>
      <c r="I1260" s="1"/>
      <c r="J1260" s="1"/>
      <c r="K1260" s="1"/>
      <c r="L1260" s="1"/>
      <c r="M1260" s="1"/>
      <c r="N1260" s="1"/>
      <c r="O1260" s="1"/>
      <c r="P1260" s="1"/>
      <c r="Q1260" s="1"/>
      <c r="R1260" s="1"/>
      <c r="S1260" s="1"/>
      <c r="T1260" s="1"/>
      <c r="U1260" s="1"/>
      <c r="V1260" s="1"/>
      <c r="W1260" s="1"/>
      <c r="X1260" s="1"/>
      <c r="Y1260" s="1"/>
      <c r="Z1260" s="1"/>
      <c r="AA1260" s="1"/>
      <c r="AB1260" s="1"/>
      <c r="AC1260" s="1"/>
      <c r="AD1260" s="1"/>
      <c r="AE1260" s="1"/>
      <c r="AF1260" s="1"/>
      <c r="AG1260" s="1"/>
      <c r="AH1260" s="1"/>
      <c r="AI1260" s="1"/>
    </row>
    <row r="1261" customHeight="1" spans="1:35">
      <c r="A1261" s="1"/>
      <c r="B1261" s="1"/>
      <c r="C1261" s="1"/>
      <c r="D1261" s="1"/>
      <c r="E1261" s="1"/>
      <c r="F1261" s="1"/>
      <c r="G1261" s="1"/>
      <c r="H1261" s="1"/>
      <c r="I1261" s="1"/>
      <c r="J1261" s="1"/>
      <c r="K1261" s="1"/>
      <c r="L1261" s="1"/>
      <c r="M1261" s="1"/>
      <c r="N1261" s="1"/>
      <c r="O1261" s="1"/>
      <c r="P1261" s="1"/>
      <c r="Q1261" s="1"/>
      <c r="R1261" s="1"/>
      <c r="S1261" s="1"/>
      <c r="T1261" s="1"/>
      <c r="U1261" s="1"/>
      <c r="V1261" s="1"/>
      <c r="W1261" s="1"/>
      <c r="X1261" s="1"/>
      <c r="Y1261" s="1"/>
      <c r="Z1261" s="1"/>
      <c r="AA1261" s="1"/>
      <c r="AB1261" s="1"/>
      <c r="AC1261" s="1"/>
      <c r="AD1261" s="1"/>
      <c r="AE1261" s="1"/>
      <c r="AF1261" s="1"/>
      <c r="AG1261" s="1"/>
      <c r="AH1261" s="1"/>
      <c r="AI1261" s="1"/>
    </row>
    <row r="1262" customHeight="1" spans="1:35">
      <c r="A1262" s="1"/>
      <c r="B1262" s="1"/>
      <c r="C1262" s="1"/>
      <c r="D1262" s="1"/>
      <c r="E1262" s="1"/>
      <c r="F1262" s="1"/>
      <c r="G1262" s="1"/>
      <c r="H1262" s="1"/>
      <c r="I1262" s="1"/>
      <c r="J1262" s="1"/>
      <c r="K1262" s="1"/>
      <c r="L1262" s="1"/>
      <c r="M1262" s="1"/>
      <c r="N1262" s="1"/>
      <c r="O1262" s="1"/>
      <c r="P1262" s="1"/>
      <c r="Q1262" s="1"/>
      <c r="R1262" s="1"/>
      <c r="S1262" s="1"/>
      <c r="T1262" s="1"/>
      <c r="U1262" s="1"/>
      <c r="V1262" s="1"/>
      <c r="W1262" s="1"/>
      <c r="X1262" s="1"/>
      <c r="Y1262" s="1"/>
      <c r="Z1262" s="1"/>
      <c r="AA1262" s="1"/>
      <c r="AB1262" s="1"/>
      <c r="AC1262" s="1"/>
      <c r="AD1262" s="1"/>
      <c r="AE1262" s="1"/>
      <c r="AF1262" s="1"/>
      <c r="AG1262" s="1"/>
      <c r="AH1262" s="1"/>
      <c r="AI1262" s="1"/>
    </row>
    <row r="1263" customHeight="1" spans="1:35">
      <c r="A1263" s="1"/>
      <c r="B1263" s="1"/>
      <c r="C1263" s="1"/>
      <c r="D1263" s="1"/>
      <c r="E1263" s="1"/>
      <c r="F1263" s="1"/>
      <c r="G1263" s="1"/>
      <c r="H1263" s="1"/>
      <c r="I1263" s="1"/>
      <c r="J1263" s="1"/>
      <c r="K1263" s="1"/>
      <c r="L1263" s="1"/>
      <c r="M1263" s="1"/>
      <c r="N1263" s="1"/>
      <c r="O1263" s="1"/>
      <c r="P1263" s="1"/>
      <c r="Q1263" s="1"/>
      <c r="R1263" s="1"/>
      <c r="S1263" s="1"/>
      <c r="T1263" s="1"/>
      <c r="U1263" s="1"/>
      <c r="V1263" s="1"/>
      <c r="W1263" s="1"/>
      <c r="X1263" s="1"/>
      <c r="Y1263" s="1"/>
      <c r="Z1263" s="1"/>
      <c r="AA1263" s="1"/>
      <c r="AB1263" s="1"/>
      <c r="AC1263" s="1"/>
      <c r="AD1263" s="1"/>
      <c r="AE1263" s="1"/>
      <c r="AF1263" s="1"/>
      <c r="AG1263" s="1"/>
      <c r="AH1263" s="1"/>
      <c r="AI1263" s="1"/>
    </row>
    <row r="1264" customHeight="1" spans="1:35">
      <c r="A1264" s="1"/>
      <c r="B1264" s="1"/>
      <c r="C1264" s="1"/>
      <c r="D1264" s="1"/>
      <c r="E1264" s="1"/>
      <c r="F1264" s="1"/>
      <c r="G1264" s="1"/>
      <c r="H1264" s="1"/>
      <c r="I1264" s="1"/>
      <c r="J1264" s="1"/>
      <c r="K1264" s="1"/>
      <c r="L1264" s="1"/>
      <c r="M1264" s="1"/>
      <c r="N1264" s="1"/>
      <c r="O1264" s="1"/>
      <c r="P1264" s="1"/>
      <c r="Q1264" s="1"/>
      <c r="R1264" s="1"/>
      <c r="S1264" s="1"/>
      <c r="T1264" s="1"/>
      <c r="U1264" s="1"/>
      <c r="V1264" s="1"/>
      <c r="W1264" s="1"/>
      <c r="X1264" s="1"/>
      <c r="Y1264" s="1"/>
      <c r="Z1264" s="1"/>
      <c r="AA1264" s="1"/>
      <c r="AB1264" s="1"/>
      <c r="AC1264" s="1"/>
      <c r="AD1264" s="1"/>
      <c r="AE1264" s="1"/>
      <c r="AF1264" s="1"/>
      <c r="AG1264" s="1"/>
      <c r="AH1264" s="1"/>
      <c r="AI1264" s="1"/>
    </row>
    <row r="1265" customHeight="1" spans="1:35">
      <c r="A1265" s="1"/>
      <c r="B1265" s="1"/>
      <c r="C1265" s="1"/>
      <c r="D1265" s="1"/>
      <c r="E1265" s="1"/>
      <c r="F1265" s="1"/>
      <c r="G1265" s="1"/>
      <c r="H1265" s="1"/>
      <c r="I1265" s="1"/>
      <c r="J1265" s="1"/>
      <c r="K1265" s="1"/>
      <c r="L1265" s="1"/>
      <c r="M1265" s="1"/>
      <c r="N1265" s="1"/>
      <c r="O1265" s="1"/>
      <c r="P1265" s="1"/>
      <c r="Q1265" s="1"/>
      <c r="R1265" s="1"/>
      <c r="S1265" s="1"/>
      <c r="T1265" s="1"/>
      <c r="U1265" s="1"/>
      <c r="V1265" s="1"/>
      <c r="W1265" s="1"/>
      <c r="X1265" s="1"/>
      <c r="Y1265" s="1"/>
      <c r="Z1265" s="1"/>
      <c r="AA1265" s="1"/>
      <c r="AB1265" s="1"/>
      <c r="AC1265" s="1"/>
      <c r="AD1265" s="1"/>
      <c r="AE1265" s="1"/>
      <c r="AF1265" s="1"/>
      <c r="AG1265" s="1"/>
      <c r="AH1265" s="1"/>
      <c r="AI1265" s="1"/>
    </row>
    <row r="1266" customHeight="1" spans="1:35">
      <c r="A1266" s="1"/>
      <c r="B1266" s="1"/>
      <c r="C1266" s="1"/>
      <c r="D1266" s="1"/>
      <c r="E1266" s="1"/>
      <c r="F1266" s="1"/>
      <c r="G1266" s="1"/>
      <c r="H1266" s="1"/>
      <c r="I1266" s="1"/>
      <c r="J1266" s="1"/>
      <c r="K1266" s="1"/>
      <c r="L1266" s="1"/>
      <c r="M1266" s="1"/>
      <c r="N1266" s="1"/>
      <c r="O1266" s="1"/>
      <c r="P1266" s="1"/>
      <c r="Q1266" s="1"/>
      <c r="R1266" s="1"/>
      <c r="S1266" s="1"/>
      <c r="T1266" s="1"/>
      <c r="U1266" s="1"/>
      <c r="V1266" s="1"/>
      <c r="W1266" s="1"/>
      <c r="X1266" s="1"/>
      <c r="Y1266" s="1"/>
      <c r="Z1266" s="1"/>
      <c r="AA1266" s="1"/>
      <c r="AB1266" s="1"/>
      <c r="AC1266" s="1"/>
      <c r="AD1266" s="1"/>
      <c r="AE1266" s="1"/>
      <c r="AF1266" s="1"/>
      <c r="AG1266" s="1"/>
      <c r="AH1266" s="1"/>
      <c r="AI1266" s="1"/>
    </row>
    <row r="1267" customHeight="1" spans="1:35">
      <c r="A1267" s="1"/>
      <c r="B1267" s="1"/>
      <c r="C1267" s="1"/>
      <c r="D1267" s="1"/>
      <c r="E1267" s="1"/>
      <c r="F1267" s="1"/>
      <c r="G1267" s="1"/>
      <c r="H1267" s="1"/>
      <c r="I1267" s="1"/>
      <c r="J1267" s="1"/>
      <c r="K1267" s="1"/>
      <c r="L1267" s="1"/>
      <c r="M1267" s="1"/>
      <c r="N1267" s="1"/>
      <c r="O1267" s="1"/>
      <c r="P1267" s="1"/>
      <c r="Q1267" s="1"/>
      <c r="R1267" s="1"/>
      <c r="S1267" s="1"/>
      <c r="T1267" s="1"/>
      <c r="U1267" s="1"/>
      <c r="V1267" s="1"/>
      <c r="W1267" s="1"/>
      <c r="X1267" s="1"/>
      <c r="Y1267" s="1"/>
      <c r="Z1267" s="1"/>
      <c r="AA1267" s="1"/>
      <c r="AB1267" s="1"/>
      <c r="AC1267" s="1"/>
      <c r="AD1267" s="1"/>
      <c r="AE1267" s="1"/>
      <c r="AF1267" s="1"/>
      <c r="AG1267" s="1"/>
      <c r="AH1267" s="1"/>
      <c r="AI1267" s="1"/>
    </row>
    <row r="1268" customHeight="1" spans="1:35">
      <c r="A1268" s="1"/>
      <c r="B1268" s="1"/>
      <c r="C1268" s="1"/>
      <c r="D1268" s="1"/>
      <c r="E1268" s="1"/>
      <c r="F1268" s="1"/>
      <c r="G1268" s="1"/>
      <c r="H1268" s="1"/>
      <c r="I1268" s="1"/>
      <c r="J1268" s="1"/>
      <c r="K1268" s="1"/>
      <c r="L1268" s="1"/>
      <c r="M1268" s="1"/>
      <c r="N1268" s="1"/>
      <c r="O1268" s="1"/>
      <c r="P1268" s="1"/>
      <c r="Q1268" s="1"/>
      <c r="R1268" s="1"/>
      <c r="S1268" s="1"/>
      <c r="T1268" s="1"/>
      <c r="U1268" s="1"/>
      <c r="V1268" s="1"/>
      <c r="W1268" s="1"/>
      <c r="X1268" s="1"/>
      <c r="Y1268" s="1"/>
      <c r="Z1268" s="1"/>
      <c r="AA1268" s="1"/>
      <c r="AB1268" s="1"/>
      <c r="AC1268" s="1"/>
      <c r="AD1268" s="1"/>
      <c r="AE1268" s="1"/>
      <c r="AF1268" s="1"/>
      <c r="AG1268" s="1"/>
      <c r="AH1268" s="1"/>
      <c r="AI1268" s="1"/>
    </row>
    <row r="1269" customHeight="1" spans="1:35">
      <c r="A1269" s="1"/>
      <c r="B1269" s="1"/>
      <c r="C1269" s="1"/>
      <c r="D1269" s="1"/>
      <c r="E1269" s="1"/>
      <c r="F1269" s="1"/>
      <c r="G1269" s="1"/>
      <c r="H1269" s="1"/>
      <c r="I1269" s="1"/>
      <c r="J1269" s="1"/>
      <c r="K1269" s="1"/>
      <c r="L1269" s="1"/>
      <c r="M1269" s="1"/>
      <c r="N1269" s="1"/>
      <c r="O1269" s="1"/>
      <c r="P1269" s="1"/>
      <c r="Q1269" s="1"/>
      <c r="R1269" s="1"/>
      <c r="S1269" s="1"/>
      <c r="T1269" s="1"/>
      <c r="U1269" s="1"/>
      <c r="V1269" s="1"/>
      <c r="W1269" s="1"/>
      <c r="X1269" s="1"/>
      <c r="Y1269" s="1"/>
      <c r="Z1269" s="1"/>
      <c r="AA1269" s="1"/>
      <c r="AB1269" s="1"/>
      <c r="AC1269" s="1"/>
      <c r="AD1269" s="1"/>
      <c r="AE1269" s="1"/>
      <c r="AF1269" s="1"/>
      <c r="AG1269" s="1"/>
      <c r="AH1269" s="1"/>
      <c r="AI1269" s="1"/>
    </row>
    <row r="1270" customHeight="1" spans="1:35">
      <c r="A1270" s="1"/>
      <c r="B1270" s="1"/>
      <c r="C1270" s="1"/>
      <c r="D1270" s="1"/>
      <c r="E1270" s="1"/>
      <c r="F1270" s="1"/>
      <c r="G1270" s="1"/>
      <c r="H1270" s="1"/>
      <c r="I1270" s="1"/>
      <c r="J1270" s="1"/>
      <c r="K1270" s="1"/>
      <c r="L1270" s="1"/>
      <c r="M1270" s="1"/>
      <c r="N1270" s="1"/>
      <c r="O1270" s="1"/>
      <c r="P1270" s="1"/>
      <c r="Q1270" s="1"/>
      <c r="R1270" s="1"/>
      <c r="S1270" s="1"/>
      <c r="T1270" s="1"/>
      <c r="U1270" s="1"/>
      <c r="V1270" s="1"/>
      <c r="W1270" s="1"/>
      <c r="X1270" s="1"/>
      <c r="Y1270" s="1"/>
      <c r="Z1270" s="1"/>
      <c r="AA1270" s="1"/>
      <c r="AB1270" s="1"/>
      <c r="AC1270" s="1"/>
      <c r="AD1270" s="1"/>
      <c r="AE1270" s="1"/>
      <c r="AF1270" s="1"/>
      <c r="AG1270" s="1"/>
      <c r="AH1270" s="1"/>
      <c r="AI1270" s="1"/>
    </row>
    <row r="1271" customHeight="1" spans="1:35">
      <c r="A1271" s="1"/>
      <c r="B1271" s="1"/>
      <c r="C1271" s="1"/>
      <c r="D1271" s="1"/>
      <c r="E1271" s="1"/>
      <c r="F1271" s="1"/>
      <c r="G1271" s="1"/>
      <c r="H1271" s="1"/>
      <c r="I1271" s="1"/>
      <c r="J1271" s="1"/>
      <c r="K1271" s="1"/>
      <c r="L1271" s="1"/>
      <c r="M1271" s="1"/>
      <c r="N1271" s="1"/>
      <c r="O1271" s="1"/>
      <c r="P1271" s="1"/>
      <c r="Q1271" s="1"/>
      <c r="R1271" s="1"/>
      <c r="S1271" s="1"/>
      <c r="T1271" s="1"/>
      <c r="U1271" s="1"/>
      <c r="V1271" s="1"/>
      <c r="W1271" s="1"/>
      <c r="X1271" s="1"/>
      <c r="Y1271" s="1"/>
      <c r="Z1271" s="1"/>
      <c r="AA1271" s="1"/>
      <c r="AB1271" s="1"/>
      <c r="AC1271" s="1"/>
      <c r="AD1271" s="1"/>
      <c r="AE1271" s="1"/>
      <c r="AF1271" s="1"/>
      <c r="AG1271" s="1"/>
      <c r="AH1271" s="1"/>
      <c r="AI1271" s="1"/>
    </row>
    <row r="1272" customHeight="1" spans="1:35">
      <c r="A1272" s="1"/>
      <c r="B1272" s="1"/>
      <c r="C1272" s="1"/>
      <c r="D1272" s="1"/>
      <c r="E1272" s="1"/>
      <c r="F1272" s="1"/>
      <c r="G1272" s="1"/>
      <c r="H1272" s="1"/>
      <c r="I1272" s="1"/>
      <c r="J1272" s="1"/>
      <c r="K1272" s="1"/>
      <c r="L1272" s="1"/>
      <c r="M1272" s="1"/>
      <c r="N1272" s="1"/>
      <c r="O1272" s="1"/>
      <c r="P1272" s="1"/>
      <c r="Q1272" s="1"/>
      <c r="R1272" s="1"/>
      <c r="S1272" s="1"/>
      <c r="T1272" s="1"/>
      <c r="U1272" s="1"/>
      <c r="V1272" s="1"/>
      <c r="W1272" s="1"/>
      <c r="X1272" s="1"/>
      <c r="Y1272" s="1"/>
      <c r="Z1272" s="1"/>
      <c r="AA1272" s="1"/>
      <c r="AB1272" s="1"/>
      <c r="AC1272" s="1"/>
      <c r="AD1272" s="1"/>
      <c r="AE1272" s="1"/>
      <c r="AF1272" s="1"/>
      <c r="AG1272" s="1"/>
      <c r="AH1272" s="1"/>
      <c r="AI1272" s="1"/>
    </row>
    <row r="1273" customHeight="1" spans="1:35">
      <c r="A1273" s="1"/>
      <c r="B1273" s="1"/>
      <c r="C1273" s="1"/>
      <c r="D1273" s="1"/>
      <c r="E1273" s="1"/>
      <c r="F1273" s="1"/>
      <c r="G1273" s="1"/>
      <c r="H1273" s="1"/>
      <c r="I1273" s="1"/>
      <c r="J1273" s="1"/>
      <c r="K1273" s="1"/>
      <c r="L1273" s="1"/>
      <c r="M1273" s="1"/>
      <c r="N1273" s="1"/>
      <c r="O1273" s="1"/>
      <c r="P1273" s="1"/>
      <c r="Q1273" s="1"/>
      <c r="R1273" s="1"/>
      <c r="S1273" s="1"/>
      <c r="T1273" s="1"/>
      <c r="U1273" s="1"/>
      <c r="V1273" s="1"/>
      <c r="W1273" s="1"/>
      <c r="X1273" s="1"/>
      <c r="Y1273" s="1"/>
      <c r="Z1273" s="1"/>
      <c r="AA1273" s="1"/>
      <c r="AB1273" s="1"/>
      <c r="AC1273" s="1"/>
      <c r="AD1273" s="1"/>
      <c r="AE1273" s="1"/>
      <c r="AF1273" s="1"/>
      <c r="AG1273" s="1"/>
      <c r="AH1273" s="1"/>
      <c r="AI1273" s="1"/>
    </row>
    <row r="1274" customHeight="1" spans="1:35">
      <c r="A1274" s="1"/>
      <c r="B1274" s="1"/>
      <c r="C1274" s="1"/>
      <c r="D1274" s="1"/>
      <c r="E1274" s="1"/>
      <c r="F1274" s="1"/>
      <c r="G1274" s="1"/>
      <c r="H1274" s="1"/>
      <c r="I1274" s="1"/>
      <c r="J1274" s="1"/>
      <c r="K1274" s="1"/>
      <c r="L1274" s="1"/>
      <c r="M1274" s="1"/>
      <c r="N1274" s="1"/>
      <c r="O1274" s="1"/>
      <c r="P1274" s="1"/>
      <c r="Q1274" s="1"/>
      <c r="R1274" s="1"/>
      <c r="S1274" s="1"/>
      <c r="T1274" s="1"/>
      <c r="U1274" s="1"/>
      <c r="V1274" s="1"/>
      <c r="W1274" s="1"/>
      <c r="X1274" s="1"/>
      <c r="Y1274" s="1"/>
      <c r="Z1274" s="1"/>
      <c r="AA1274" s="1"/>
      <c r="AB1274" s="1"/>
      <c r="AC1274" s="1"/>
      <c r="AD1274" s="1"/>
      <c r="AE1274" s="1"/>
      <c r="AF1274" s="1"/>
      <c r="AG1274" s="1"/>
      <c r="AH1274" s="1"/>
      <c r="AI1274" s="1"/>
    </row>
    <row r="1275" customHeight="1" spans="1:35">
      <c r="A1275" s="1"/>
      <c r="B1275" s="1"/>
      <c r="C1275" s="1"/>
      <c r="D1275" s="1"/>
      <c r="E1275" s="1"/>
      <c r="F1275" s="1"/>
      <c r="G1275" s="1"/>
      <c r="H1275" s="1"/>
      <c r="I1275" s="1"/>
      <c r="J1275" s="1"/>
      <c r="K1275" s="1"/>
      <c r="L1275" s="1"/>
      <c r="M1275" s="1"/>
      <c r="N1275" s="1"/>
      <c r="O1275" s="1"/>
      <c r="P1275" s="1"/>
      <c r="Q1275" s="1"/>
      <c r="R1275" s="1"/>
      <c r="S1275" s="1"/>
      <c r="T1275" s="1"/>
      <c r="U1275" s="1"/>
      <c r="V1275" s="1"/>
      <c r="W1275" s="1"/>
      <c r="X1275" s="1"/>
      <c r="Y1275" s="1"/>
      <c r="Z1275" s="1"/>
      <c r="AA1275" s="1"/>
      <c r="AB1275" s="1"/>
      <c r="AC1275" s="1"/>
      <c r="AD1275" s="1"/>
      <c r="AE1275" s="1"/>
      <c r="AF1275" s="1"/>
      <c r="AG1275" s="1"/>
      <c r="AH1275" s="1"/>
      <c r="AI1275" s="1"/>
    </row>
    <row r="1276" customHeight="1" spans="1:35">
      <c r="A1276" s="1"/>
      <c r="B1276" s="1"/>
      <c r="C1276" s="1"/>
      <c r="D1276" s="1"/>
      <c r="E1276" s="1"/>
      <c r="F1276" s="1"/>
      <c r="G1276" s="1"/>
      <c r="H1276" s="1"/>
      <c r="I1276" s="1"/>
      <c r="J1276" s="1"/>
      <c r="K1276" s="1"/>
      <c r="L1276" s="1"/>
      <c r="M1276" s="1"/>
      <c r="N1276" s="1"/>
      <c r="O1276" s="1"/>
      <c r="P1276" s="1"/>
      <c r="Q1276" s="1"/>
      <c r="R1276" s="1"/>
      <c r="S1276" s="1"/>
      <c r="T1276" s="1"/>
      <c r="U1276" s="1"/>
      <c r="V1276" s="1"/>
      <c r="W1276" s="1"/>
      <c r="X1276" s="1"/>
      <c r="Y1276" s="1"/>
      <c r="Z1276" s="1"/>
      <c r="AA1276" s="1"/>
      <c r="AB1276" s="1"/>
      <c r="AC1276" s="1"/>
      <c r="AD1276" s="1"/>
      <c r="AE1276" s="1"/>
      <c r="AF1276" s="1"/>
      <c r="AG1276" s="1"/>
      <c r="AH1276" s="1"/>
      <c r="AI1276" s="1"/>
    </row>
    <row r="1277" customHeight="1" spans="1:35">
      <c r="A1277" s="1"/>
      <c r="B1277" s="1"/>
      <c r="C1277" s="1"/>
      <c r="D1277" s="1"/>
      <c r="E1277" s="1"/>
      <c r="F1277" s="1"/>
      <c r="G1277" s="1"/>
      <c r="H1277" s="1"/>
      <c r="I1277" s="1"/>
      <c r="J1277" s="1"/>
      <c r="K1277" s="1"/>
      <c r="L1277" s="1"/>
      <c r="M1277" s="1"/>
      <c r="N1277" s="1"/>
      <c r="O1277" s="1"/>
      <c r="P1277" s="1"/>
      <c r="Q1277" s="1"/>
      <c r="R1277" s="1"/>
      <c r="S1277" s="1"/>
      <c r="T1277" s="1"/>
      <c r="U1277" s="1"/>
      <c r="V1277" s="1"/>
      <c r="W1277" s="1"/>
      <c r="X1277" s="1"/>
      <c r="Y1277" s="1"/>
      <c r="Z1277" s="1"/>
      <c r="AA1277" s="1"/>
      <c r="AB1277" s="1"/>
      <c r="AC1277" s="1"/>
      <c r="AD1277" s="1"/>
      <c r="AE1277" s="1"/>
      <c r="AF1277" s="1"/>
      <c r="AG1277" s="1"/>
      <c r="AH1277" s="1"/>
      <c r="AI1277" s="1"/>
    </row>
    <row r="1278" customHeight="1" spans="1:35">
      <c r="A1278" s="1"/>
      <c r="B1278" s="1"/>
      <c r="C1278" s="1"/>
      <c r="D1278" s="1"/>
      <c r="E1278" s="1"/>
      <c r="F1278" s="1"/>
      <c r="G1278" s="1"/>
      <c r="H1278" s="1"/>
      <c r="I1278" s="1"/>
      <c r="J1278" s="1"/>
      <c r="K1278" s="1"/>
      <c r="L1278" s="1"/>
      <c r="M1278" s="1"/>
      <c r="N1278" s="1"/>
      <c r="O1278" s="1"/>
      <c r="P1278" s="1"/>
      <c r="Q1278" s="1"/>
      <c r="R1278" s="1"/>
      <c r="S1278" s="1"/>
      <c r="T1278" s="1"/>
      <c r="U1278" s="1"/>
      <c r="V1278" s="1"/>
      <c r="W1278" s="1"/>
      <c r="X1278" s="1"/>
      <c r="Y1278" s="1"/>
      <c r="Z1278" s="1"/>
      <c r="AA1278" s="1"/>
      <c r="AB1278" s="1"/>
      <c r="AC1278" s="1"/>
      <c r="AD1278" s="1"/>
      <c r="AE1278" s="1"/>
      <c r="AF1278" s="1"/>
      <c r="AG1278" s="1"/>
      <c r="AH1278" s="1"/>
      <c r="AI1278" s="1"/>
    </row>
    <row r="1279" customHeight="1" spans="1:35">
      <c r="A1279" s="1"/>
      <c r="B1279" s="1"/>
      <c r="C1279" s="1"/>
      <c r="D1279" s="1"/>
      <c r="E1279" s="1"/>
      <c r="F1279" s="1"/>
      <c r="G1279" s="1"/>
      <c r="H1279" s="1"/>
      <c r="I1279" s="1"/>
      <c r="J1279" s="1"/>
      <c r="K1279" s="1"/>
      <c r="L1279" s="1"/>
      <c r="M1279" s="1"/>
      <c r="N1279" s="1"/>
      <c r="O1279" s="1"/>
      <c r="P1279" s="1"/>
      <c r="Q1279" s="1"/>
      <c r="R1279" s="1"/>
      <c r="S1279" s="1"/>
      <c r="T1279" s="1"/>
      <c r="U1279" s="1"/>
      <c r="V1279" s="1"/>
      <c r="W1279" s="1"/>
      <c r="X1279" s="1"/>
      <c r="Y1279" s="1"/>
      <c r="Z1279" s="1"/>
      <c r="AA1279" s="1"/>
      <c r="AB1279" s="1"/>
      <c r="AC1279" s="1"/>
      <c r="AD1279" s="1"/>
      <c r="AE1279" s="1"/>
      <c r="AF1279" s="1"/>
      <c r="AG1279" s="1"/>
      <c r="AH1279" s="1"/>
      <c r="AI1279" s="1"/>
    </row>
    <row r="1280" customHeight="1" spans="1:35">
      <c r="A1280" s="1"/>
      <c r="B1280" s="1"/>
      <c r="C1280" s="1"/>
      <c r="D1280" s="1"/>
      <c r="E1280" s="1"/>
      <c r="F1280" s="1"/>
      <c r="G1280" s="1"/>
      <c r="H1280" s="1"/>
      <c r="I1280" s="1"/>
      <c r="J1280" s="1"/>
      <c r="K1280" s="1"/>
      <c r="L1280" s="1"/>
      <c r="M1280" s="1"/>
      <c r="N1280" s="1"/>
      <c r="O1280" s="1"/>
      <c r="P1280" s="1"/>
      <c r="Q1280" s="1"/>
      <c r="R1280" s="1"/>
      <c r="S1280" s="1"/>
      <c r="T1280" s="1"/>
      <c r="U1280" s="1"/>
      <c r="V1280" s="1"/>
      <c r="W1280" s="1"/>
      <c r="X1280" s="1"/>
      <c r="Y1280" s="1"/>
      <c r="Z1280" s="1"/>
      <c r="AA1280" s="1"/>
      <c r="AB1280" s="1"/>
      <c r="AC1280" s="1"/>
      <c r="AD1280" s="1"/>
      <c r="AE1280" s="1"/>
      <c r="AF1280" s="1"/>
      <c r="AG1280" s="1"/>
      <c r="AH1280" s="1"/>
      <c r="AI1280" s="1"/>
    </row>
    <row r="1281" customHeight="1" spans="1:35">
      <c r="A1281" s="1"/>
      <c r="B1281" s="1"/>
      <c r="C1281" s="1"/>
      <c r="D1281" s="1"/>
      <c r="E1281" s="1"/>
      <c r="F1281" s="1"/>
      <c r="G1281" s="1"/>
      <c r="H1281" s="1"/>
      <c r="I1281" s="1"/>
      <c r="J1281" s="1"/>
      <c r="K1281" s="1"/>
      <c r="L1281" s="1"/>
      <c r="M1281" s="1"/>
      <c r="N1281" s="1"/>
      <c r="O1281" s="1"/>
      <c r="P1281" s="1"/>
      <c r="Q1281" s="1"/>
      <c r="R1281" s="1"/>
      <c r="S1281" s="1"/>
      <c r="T1281" s="1"/>
      <c r="U1281" s="1"/>
      <c r="V1281" s="1"/>
      <c r="W1281" s="1"/>
      <c r="X1281" s="1"/>
      <c r="Y1281" s="1"/>
      <c r="Z1281" s="1"/>
      <c r="AA1281" s="1"/>
      <c r="AB1281" s="1"/>
      <c r="AC1281" s="1"/>
      <c r="AD1281" s="1"/>
      <c r="AE1281" s="1"/>
      <c r="AF1281" s="1"/>
      <c r="AG1281" s="1"/>
      <c r="AH1281" s="1"/>
      <c r="AI1281" s="1"/>
    </row>
    <row r="1282" customHeight="1" spans="1:35">
      <c r="A1282" s="1"/>
      <c r="B1282" s="1"/>
      <c r="C1282" s="1"/>
      <c r="D1282" s="1"/>
      <c r="E1282" s="1"/>
      <c r="F1282" s="1"/>
      <c r="G1282" s="1"/>
      <c r="H1282" s="1"/>
      <c r="I1282" s="1"/>
      <c r="J1282" s="1"/>
      <c r="K1282" s="1"/>
      <c r="L1282" s="1"/>
      <c r="M1282" s="1"/>
      <c r="N1282" s="1"/>
      <c r="O1282" s="1"/>
      <c r="P1282" s="1"/>
      <c r="Q1282" s="1"/>
      <c r="R1282" s="1"/>
      <c r="S1282" s="1"/>
      <c r="T1282" s="1"/>
      <c r="U1282" s="1"/>
      <c r="V1282" s="1"/>
      <c r="W1282" s="1"/>
      <c r="X1282" s="1"/>
      <c r="Y1282" s="1"/>
      <c r="Z1282" s="1"/>
      <c r="AA1282" s="1"/>
      <c r="AB1282" s="1"/>
      <c r="AC1282" s="1"/>
      <c r="AD1282" s="1"/>
      <c r="AE1282" s="1"/>
      <c r="AF1282" s="1"/>
      <c r="AG1282" s="1"/>
      <c r="AH1282" s="1"/>
      <c r="AI1282" s="1"/>
    </row>
    <row r="1283" customHeight="1" spans="1:35">
      <c r="A1283" s="1"/>
      <c r="B1283" s="1"/>
      <c r="C1283" s="1"/>
      <c r="D1283" s="1"/>
      <c r="E1283" s="1"/>
      <c r="F1283" s="1"/>
      <c r="G1283" s="1"/>
      <c r="H1283" s="1"/>
      <c r="I1283" s="1"/>
      <c r="J1283" s="1"/>
      <c r="K1283" s="1"/>
      <c r="L1283" s="1"/>
      <c r="M1283" s="1"/>
      <c r="N1283" s="1"/>
      <c r="O1283" s="1"/>
      <c r="P1283" s="1"/>
      <c r="Q1283" s="1"/>
      <c r="R1283" s="1"/>
      <c r="S1283" s="1"/>
      <c r="T1283" s="1"/>
      <c r="U1283" s="1"/>
      <c r="V1283" s="1"/>
      <c r="W1283" s="1"/>
      <c r="X1283" s="1"/>
      <c r="Y1283" s="1"/>
      <c r="Z1283" s="1"/>
      <c r="AA1283" s="1"/>
      <c r="AB1283" s="1"/>
      <c r="AC1283" s="1"/>
      <c r="AD1283" s="1"/>
      <c r="AE1283" s="1"/>
      <c r="AF1283" s="1"/>
      <c r="AG1283" s="1"/>
      <c r="AH1283" s="1"/>
      <c r="AI1283" s="1"/>
    </row>
    <row r="1284" customHeight="1" spans="1:35">
      <c r="A1284" s="1"/>
      <c r="B1284" s="1"/>
      <c r="C1284" s="1"/>
      <c r="D1284" s="1"/>
      <c r="E1284" s="1"/>
      <c r="F1284" s="1"/>
      <c r="G1284" s="1"/>
      <c r="H1284" s="1"/>
      <c r="I1284" s="1"/>
      <c r="J1284" s="1"/>
      <c r="K1284" s="1"/>
      <c r="L1284" s="1"/>
      <c r="M1284" s="1"/>
      <c r="N1284" s="1"/>
      <c r="O1284" s="1"/>
      <c r="P1284" s="1"/>
      <c r="Q1284" s="1"/>
      <c r="R1284" s="1"/>
      <c r="S1284" s="1"/>
      <c r="T1284" s="1"/>
      <c r="U1284" s="1"/>
      <c r="V1284" s="1"/>
      <c r="W1284" s="1"/>
      <c r="X1284" s="1"/>
      <c r="Y1284" s="1"/>
      <c r="Z1284" s="1"/>
      <c r="AA1284" s="1"/>
      <c r="AB1284" s="1"/>
      <c r="AC1284" s="1"/>
      <c r="AD1284" s="1"/>
      <c r="AE1284" s="1"/>
      <c r="AF1284" s="1"/>
      <c r="AG1284" s="1"/>
      <c r="AH1284" s="1"/>
      <c r="AI1284" s="1"/>
    </row>
    <row r="1285" customHeight="1" spans="1:35">
      <c r="A1285" s="1"/>
      <c r="B1285" s="1"/>
      <c r="C1285" s="1"/>
      <c r="D1285" s="1"/>
      <c r="E1285" s="1"/>
      <c r="F1285" s="1"/>
      <c r="G1285" s="1"/>
      <c r="H1285" s="1"/>
      <c r="I1285" s="1"/>
      <c r="J1285" s="1"/>
      <c r="K1285" s="1"/>
      <c r="L1285" s="1"/>
      <c r="M1285" s="1"/>
      <c r="N1285" s="1"/>
      <c r="O1285" s="1"/>
      <c r="P1285" s="1"/>
      <c r="Q1285" s="1"/>
      <c r="R1285" s="1"/>
      <c r="S1285" s="1"/>
      <c r="T1285" s="1"/>
      <c r="U1285" s="1"/>
      <c r="V1285" s="1"/>
      <c r="W1285" s="1"/>
      <c r="X1285" s="1"/>
      <c r="Y1285" s="1"/>
      <c r="Z1285" s="1"/>
      <c r="AA1285" s="1"/>
      <c r="AB1285" s="1"/>
      <c r="AC1285" s="1"/>
      <c r="AD1285" s="1"/>
      <c r="AE1285" s="1"/>
      <c r="AF1285" s="1"/>
      <c r="AG1285" s="1"/>
      <c r="AH1285" s="1"/>
      <c r="AI1285" s="1"/>
    </row>
    <row r="1286" customHeight="1" spans="1:35">
      <c r="A1286" s="1"/>
      <c r="B1286" s="1"/>
      <c r="C1286" s="1"/>
      <c r="D1286" s="1"/>
      <c r="E1286" s="1"/>
      <c r="F1286" s="1"/>
      <c r="G1286" s="1"/>
      <c r="H1286" s="1"/>
      <c r="I1286" s="1"/>
      <c r="J1286" s="1"/>
      <c r="K1286" s="1"/>
      <c r="L1286" s="1"/>
      <c r="M1286" s="1"/>
      <c r="N1286" s="1"/>
      <c r="O1286" s="1"/>
      <c r="P1286" s="1"/>
      <c r="Q1286" s="1"/>
      <c r="R1286" s="1"/>
      <c r="S1286" s="1"/>
      <c r="T1286" s="1"/>
      <c r="U1286" s="1"/>
      <c r="V1286" s="1"/>
      <c r="W1286" s="1"/>
      <c r="X1286" s="1"/>
      <c r="Y1286" s="1"/>
      <c r="Z1286" s="1"/>
      <c r="AA1286" s="1"/>
      <c r="AB1286" s="1"/>
      <c r="AC1286" s="1"/>
      <c r="AD1286" s="1"/>
      <c r="AE1286" s="1"/>
      <c r="AF1286" s="1"/>
      <c r="AG1286" s="1"/>
      <c r="AH1286" s="1"/>
      <c r="AI1286" s="1"/>
    </row>
    <row r="1287" customHeight="1" spans="1:35">
      <c r="A1287" s="1"/>
      <c r="B1287" s="1"/>
      <c r="C1287" s="1"/>
      <c r="D1287" s="1"/>
      <c r="E1287" s="1"/>
      <c r="F1287" s="1"/>
      <c r="G1287" s="1"/>
      <c r="H1287" s="1"/>
      <c r="I1287" s="1"/>
      <c r="J1287" s="1"/>
      <c r="K1287" s="1"/>
      <c r="L1287" s="1"/>
      <c r="M1287" s="1"/>
      <c r="N1287" s="1"/>
      <c r="O1287" s="1"/>
      <c r="P1287" s="1"/>
      <c r="Q1287" s="1"/>
      <c r="R1287" s="1"/>
      <c r="S1287" s="1"/>
      <c r="T1287" s="1"/>
      <c r="U1287" s="1"/>
      <c r="V1287" s="1"/>
      <c r="W1287" s="1"/>
      <c r="X1287" s="1"/>
      <c r="Y1287" s="1"/>
      <c r="Z1287" s="1"/>
      <c r="AA1287" s="1"/>
      <c r="AB1287" s="1"/>
      <c r="AC1287" s="1"/>
      <c r="AD1287" s="1"/>
      <c r="AE1287" s="1"/>
      <c r="AF1287" s="1"/>
      <c r="AG1287" s="1"/>
      <c r="AH1287" s="1"/>
      <c r="AI1287" s="1"/>
    </row>
    <row r="1288" customHeight="1" spans="1:35">
      <c r="A1288" s="1"/>
      <c r="B1288" s="1"/>
      <c r="C1288" s="1"/>
      <c r="D1288" s="1"/>
      <c r="E1288" s="1"/>
      <c r="F1288" s="1"/>
      <c r="G1288" s="1"/>
      <c r="H1288" s="1"/>
      <c r="I1288" s="1"/>
      <c r="J1288" s="1"/>
      <c r="K1288" s="1"/>
      <c r="L1288" s="1"/>
      <c r="M1288" s="1"/>
      <c r="N1288" s="1"/>
      <c r="O1288" s="1"/>
      <c r="P1288" s="1"/>
      <c r="Q1288" s="1"/>
      <c r="R1288" s="1"/>
      <c r="S1288" s="1"/>
      <c r="T1288" s="1"/>
      <c r="U1288" s="1"/>
      <c r="V1288" s="1"/>
      <c r="W1288" s="1"/>
      <c r="X1288" s="1"/>
      <c r="Y1288" s="1"/>
      <c r="Z1288" s="1"/>
      <c r="AA1288" s="1"/>
      <c r="AB1288" s="1"/>
      <c r="AC1288" s="1"/>
      <c r="AD1288" s="1"/>
      <c r="AE1288" s="1"/>
      <c r="AF1288" s="1"/>
      <c r="AG1288" s="1"/>
      <c r="AH1288" s="1"/>
      <c r="AI1288" s="1"/>
    </row>
    <row r="1289" customHeight="1" spans="1:35">
      <c r="A1289" s="1"/>
      <c r="B1289" s="1"/>
      <c r="C1289" s="1"/>
      <c r="D1289" s="1"/>
      <c r="E1289" s="1"/>
      <c r="F1289" s="1"/>
      <c r="G1289" s="1"/>
      <c r="H1289" s="1"/>
      <c r="I1289" s="1"/>
      <c r="J1289" s="1"/>
      <c r="K1289" s="1"/>
      <c r="L1289" s="1"/>
      <c r="M1289" s="1"/>
      <c r="N1289" s="1"/>
      <c r="O1289" s="1"/>
      <c r="P1289" s="1"/>
      <c r="Q1289" s="1"/>
      <c r="R1289" s="1"/>
      <c r="S1289" s="1"/>
      <c r="T1289" s="1"/>
      <c r="U1289" s="1"/>
      <c r="V1289" s="1"/>
      <c r="W1289" s="1"/>
      <c r="X1289" s="1"/>
      <c r="Y1289" s="1"/>
      <c r="Z1289" s="1"/>
      <c r="AA1289" s="1"/>
      <c r="AB1289" s="1"/>
      <c r="AC1289" s="1"/>
      <c r="AD1289" s="1"/>
      <c r="AE1289" s="1"/>
      <c r="AF1289" s="1"/>
      <c r="AG1289" s="1"/>
      <c r="AH1289" s="1"/>
      <c r="AI1289" s="1"/>
    </row>
    <row r="1290" customHeight="1" spans="1:35">
      <c r="A1290" s="1"/>
      <c r="B1290" s="1"/>
      <c r="C1290" s="1"/>
      <c r="D1290" s="1"/>
      <c r="E1290" s="1"/>
      <c r="F1290" s="1"/>
      <c r="G1290" s="1"/>
      <c r="H1290" s="1"/>
      <c r="I1290" s="1"/>
      <c r="J1290" s="1"/>
      <c r="K1290" s="1"/>
      <c r="L1290" s="1"/>
      <c r="M1290" s="1"/>
      <c r="N1290" s="1"/>
      <c r="O1290" s="1"/>
      <c r="P1290" s="1"/>
      <c r="Q1290" s="1"/>
      <c r="R1290" s="1"/>
      <c r="S1290" s="1"/>
      <c r="T1290" s="1"/>
      <c r="U1290" s="1"/>
      <c r="V1290" s="1"/>
      <c r="W1290" s="1"/>
      <c r="X1290" s="1"/>
      <c r="Y1290" s="1"/>
      <c r="Z1290" s="1"/>
      <c r="AA1290" s="1"/>
      <c r="AB1290" s="1"/>
      <c r="AC1290" s="1"/>
      <c r="AD1290" s="1"/>
      <c r="AE1290" s="1"/>
      <c r="AF1290" s="1"/>
      <c r="AG1290" s="1"/>
      <c r="AH1290" s="1"/>
      <c r="AI1290" s="1"/>
    </row>
    <row r="1291" customHeight="1" spans="1:35">
      <c r="A1291" s="1"/>
      <c r="B1291" s="1"/>
      <c r="C1291" s="1"/>
      <c r="D1291" s="1"/>
      <c r="E1291" s="1"/>
      <c r="F1291" s="1"/>
      <c r="G1291" s="1"/>
      <c r="H1291" s="1"/>
      <c r="I1291" s="1"/>
      <c r="J1291" s="1"/>
      <c r="K1291" s="1"/>
      <c r="L1291" s="1"/>
      <c r="M1291" s="1"/>
      <c r="N1291" s="1"/>
      <c r="O1291" s="1"/>
      <c r="P1291" s="1"/>
      <c r="Q1291" s="1"/>
      <c r="R1291" s="1"/>
      <c r="S1291" s="1"/>
      <c r="T1291" s="1"/>
      <c r="U1291" s="1"/>
      <c r="V1291" s="1"/>
      <c r="W1291" s="1"/>
      <c r="X1291" s="1"/>
      <c r="Y1291" s="1"/>
      <c r="Z1291" s="1"/>
      <c r="AA1291" s="1"/>
      <c r="AB1291" s="1"/>
      <c r="AC1291" s="1"/>
      <c r="AD1291" s="1"/>
      <c r="AE1291" s="1"/>
      <c r="AF1291" s="1"/>
      <c r="AG1291" s="1"/>
      <c r="AH1291" s="1"/>
      <c r="AI1291" s="1"/>
    </row>
    <row r="1292" customHeight="1" spans="1:35">
      <c r="A1292" s="1"/>
      <c r="B1292" s="1"/>
      <c r="C1292" s="1"/>
      <c r="D1292" s="1"/>
      <c r="E1292" s="1"/>
      <c r="F1292" s="1"/>
      <c r="G1292" s="1"/>
      <c r="H1292" s="1"/>
      <c r="I1292" s="1"/>
      <c r="J1292" s="1"/>
      <c r="K1292" s="1"/>
      <c r="L1292" s="1"/>
      <c r="M1292" s="1"/>
      <c r="N1292" s="1"/>
      <c r="O1292" s="1"/>
      <c r="P1292" s="1"/>
      <c r="Q1292" s="1"/>
      <c r="R1292" s="1"/>
      <c r="S1292" s="1"/>
      <c r="T1292" s="1"/>
      <c r="U1292" s="1"/>
      <c r="V1292" s="1"/>
      <c r="W1292" s="1"/>
      <c r="X1292" s="1"/>
      <c r="Y1292" s="1"/>
      <c r="Z1292" s="1"/>
      <c r="AA1292" s="1"/>
      <c r="AB1292" s="1"/>
      <c r="AC1292" s="1"/>
      <c r="AD1292" s="1"/>
      <c r="AE1292" s="1"/>
      <c r="AF1292" s="1"/>
      <c r="AG1292" s="1"/>
      <c r="AH1292" s="1"/>
      <c r="AI1292" s="1"/>
    </row>
    <row r="1293" customHeight="1" spans="1:35">
      <c r="A1293" s="1"/>
      <c r="B1293" s="1"/>
      <c r="C1293" s="1"/>
      <c r="D1293" s="1"/>
      <c r="E1293" s="1"/>
      <c r="F1293" s="1"/>
      <c r="G1293" s="1"/>
      <c r="H1293" s="1"/>
      <c r="I1293" s="1"/>
      <c r="J1293" s="1"/>
      <c r="K1293" s="1"/>
      <c r="L1293" s="1"/>
      <c r="M1293" s="1"/>
      <c r="N1293" s="1"/>
      <c r="O1293" s="1"/>
      <c r="P1293" s="1"/>
      <c r="Q1293" s="1"/>
      <c r="R1293" s="1"/>
      <c r="S1293" s="1"/>
      <c r="T1293" s="1"/>
      <c r="U1293" s="1"/>
      <c r="V1293" s="1"/>
      <c r="W1293" s="1"/>
      <c r="X1293" s="1"/>
      <c r="Y1293" s="1"/>
      <c r="Z1293" s="1"/>
      <c r="AA1293" s="1"/>
      <c r="AB1293" s="1"/>
      <c r="AC1293" s="1"/>
      <c r="AD1293" s="1"/>
      <c r="AE1293" s="1"/>
      <c r="AF1293" s="1"/>
      <c r="AG1293" s="1"/>
      <c r="AH1293" s="1"/>
      <c r="AI1293" s="1"/>
    </row>
    <row r="1294" customHeight="1" spans="1:35">
      <c r="A1294" s="1"/>
      <c r="B1294" s="1"/>
      <c r="C1294" s="1"/>
      <c r="D1294" s="1"/>
      <c r="E1294" s="1"/>
      <c r="F1294" s="1"/>
      <c r="G1294" s="1"/>
      <c r="H1294" s="1"/>
      <c r="I1294" s="1"/>
      <c r="J1294" s="1"/>
      <c r="K1294" s="1"/>
      <c r="L1294" s="1"/>
      <c r="M1294" s="1"/>
      <c r="N1294" s="1"/>
      <c r="O1294" s="1"/>
      <c r="P1294" s="1"/>
      <c r="Q1294" s="1"/>
      <c r="R1294" s="1"/>
      <c r="S1294" s="1"/>
      <c r="T1294" s="1"/>
      <c r="U1294" s="1"/>
      <c r="V1294" s="1"/>
      <c r="W1294" s="1"/>
      <c r="X1294" s="1"/>
      <c r="Y1294" s="1"/>
      <c r="Z1294" s="1"/>
      <c r="AA1294" s="1"/>
      <c r="AB1294" s="1"/>
      <c r="AC1294" s="1"/>
      <c r="AD1294" s="1"/>
      <c r="AE1294" s="1"/>
      <c r="AF1294" s="1"/>
      <c r="AG1294" s="1"/>
      <c r="AH1294" s="1"/>
      <c r="AI1294" s="1"/>
    </row>
    <row r="1295" customHeight="1" spans="1:35">
      <c r="A1295" s="1"/>
      <c r="B1295" s="1"/>
      <c r="C1295" s="1"/>
      <c r="D1295" s="1"/>
      <c r="E1295" s="1"/>
      <c r="F1295" s="1"/>
      <c r="G1295" s="1"/>
      <c r="H1295" s="1"/>
      <c r="I1295" s="1"/>
      <c r="J1295" s="1"/>
      <c r="K1295" s="1"/>
      <c r="L1295" s="1"/>
      <c r="M1295" s="1"/>
      <c r="N1295" s="1"/>
      <c r="O1295" s="1"/>
      <c r="P1295" s="1"/>
      <c r="Q1295" s="1"/>
      <c r="R1295" s="1"/>
      <c r="S1295" s="1"/>
      <c r="T1295" s="1"/>
      <c r="U1295" s="1"/>
      <c r="V1295" s="1"/>
      <c r="W1295" s="1"/>
      <c r="X1295" s="1"/>
      <c r="Y1295" s="1"/>
      <c r="Z1295" s="1"/>
      <c r="AA1295" s="1"/>
      <c r="AB1295" s="1"/>
      <c r="AC1295" s="1"/>
      <c r="AD1295" s="1"/>
      <c r="AE1295" s="1"/>
      <c r="AF1295" s="1"/>
      <c r="AG1295" s="1"/>
      <c r="AH1295" s="1"/>
      <c r="AI1295" s="1"/>
    </row>
    <row r="1296" customHeight="1" spans="1:35">
      <c r="A1296" s="1"/>
      <c r="B1296" s="1"/>
      <c r="C1296" s="1"/>
      <c r="D1296" s="1"/>
      <c r="E1296" s="1"/>
      <c r="F1296" s="1"/>
      <c r="G1296" s="1"/>
      <c r="H1296" s="1"/>
      <c r="I1296" s="1"/>
      <c r="J1296" s="1"/>
      <c r="K1296" s="1"/>
      <c r="L1296" s="1"/>
      <c r="M1296" s="1"/>
      <c r="N1296" s="1"/>
      <c r="O1296" s="1"/>
      <c r="P1296" s="1"/>
      <c r="Q1296" s="1"/>
      <c r="R1296" s="1"/>
      <c r="S1296" s="1"/>
      <c r="T1296" s="1"/>
      <c r="U1296" s="1"/>
      <c r="V1296" s="1"/>
      <c r="W1296" s="1"/>
      <c r="X1296" s="1"/>
      <c r="Y1296" s="1"/>
      <c r="Z1296" s="1"/>
      <c r="AA1296" s="1"/>
      <c r="AB1296" s="1"/>
      <c r="AC1296" s="1"/>
      <c r="AD1296" s="1"/>
      <c r="AE1296" s="1"/>
      <c r="AF1296" s="1"/>
      <c r="AG1296" s="1"/>
      <c r="AH1296" s="1"/>
      <c r="AI1296" s="1"/>
    </row>
    <row r="1297" customHeight="1" spans="1:35">
      <c r="A1297" s="1"/>
      <c r="B1297" s="1"/>
      <c r="C1297" s="1"/>
      <c r="D1297" s="1"/>
      <c r="E1297" s="1"/>
      <c r="F1297" s="1"/>
      <c r="G1297" s="1"/>
      <c r="H1297" s="1"/>
      <c r="I1297" s="1"/>
      <c r="J1297" s="1"/>
      <c r="K1297" s="1"/>
      <c r="L1297" s="1"/>
      <c r="M1297" s="1"/>
      <c r="N1297" s="1"/>
      <c r="O1297" s="1"/>
      <c r="P1297" s="1"/>
      <c r="Q1297" s="1"/>
      <c r="R1297" s="1"/>
      <c r="S1297" s="1"/>
      <c r="T1297" s="1"/>
      <c r="U1297" s="1"/>
      <c r="V1297" s="1"/>
      <c r="W1297" s="1"/>
      <c r="X1297" s="1"/>
      <c r="Y1297" s="1"/>
      <c r="Z1297" s="1"/>
      <c r="AA1297" s="1"/>
      <c r="AB1297" s="1"/>
      <c r="AC1297" s="1"/>
      <c r="AD1297" s="1"/>
      <c r="AE1297" s="1"/>
      <c r="AF1297" s="1"/>
      <c r="AG1297" s="1"/>
      <c r="AH1297" s="1"/>
      <c r="AI1297" s="1"/>
    </row>
    <row r="1298" customHeight="1" spans="1:35">
      <c r="A1298" s="1"/>
      <c r="B1298" s="1"/>
      <c r="C1298" s="1"/>
      <c r="D1298" s="1"/>
      <c r="E1298" s="1"/>
      <c r="F1298" s="1"/>
      <c r="G1298" s="1"/>
      <c r="H1298" s="1"/>
      <c r="I1298" s="1"/>
      <c r="J1298" s="1"/>
      <c r="K1298" s="1"/>
      <c r="L1298" s="1"/>
      <c r="M1298" s="1"/>
      <c r="N1298" s="1"/>
      <c r="O1298" s="1"/>
      <c r="P1298" s="1"/>
      <c r="Q1298" s="1"/>
      <c r="R1298" s="1"/>
      <c r="S1298" s="1"/>
      <c r="T1298" s="1"/>
      <c r="U1298" s="1"/>
      <c r="V1298" s="1"/>
      <c r="W1298" s="1"/>
      <c r="X1298" s="1"/>
      <c r="Y1298" s="1"/>
      <c r="Z1298" s="1"/>
      <c r="AA1298" s="1"/>
      <c r="AB1298" s="1"/>
      <c r="AC1298" s="1"/>
      <c r="AD1298" s="1"/>
      <c r="AE1298" s="1"/>
      <c r="AF1298" s="1"/>
      <c r="AG1298" s="1"/>
      <c r="AH1298" s="1"/>
      <c r="AI1298" s="1"/>
    </row>
    <row r="1299" customHeight="1" spans="1:35">
      <c r="A1299" s="1"/>
      <c r="B1299" s="1"/>
      <c r="C1299" s="1"/>
      <c r="D1299" s="1"/>
      <c r="E1299" s="1"/>
      <c r="F1299" s="1"/>
      <c r="G1299" s="1"/>
      <c r="H1299" s="1"/>
      <c r="I1299" s="1"/>
      <c r="J1299" s="1"/>
      <c r="K1299" s="1"/>
      <c r="L1299" s="1"/>
      <c r="M1299" s="1"/>
      <c r="N1299" s="1"/>
      <c r="O1299" s="1"/>
      <c r="P1299" s="1"/>
      <c r="Q1299" s="1"/>
      <c r="R1299" s="1"/>
      <c r="S1299" s="1"/>
      <c r="T1299" s="1"/>
      <c r="U1299" s="1"/>
      <c r="V1299" s="1"/>
      <c r="W1299" s="1"/>
      <c r="X1299" s="1"/>
      <c r="Y1299" s="1"/>
      <c r="Z1299" s="1"/>
      <c r="AA1299" s="1"/>
      <c r="AB1299" s="1"/>
      <c r="AC1299" s="1"/>
      <c r="AD1299" s="1"/>
      <c r="AE1299" s="1"/>
      <c r="AF1299" s="1"/>
      <c r="AG1299" s="1"/>
      <c r="AH1299" s="1"/>
      <c r="AI1299" s="1"/>
    </row>
    <row r="1300" customHeight="1" spans="1:35">
      <c r="A1300" s="1"/>
      <c r="B1300" s="1"/>
      <c r="C1300" s="1"/>
      <c r="D1300" s="1"/>
      <c r="E1300" s="1"/>
      <c r="F1300" s="1"/>
      <c r="G1300" s="1"/>
      <c r="H1300" s="1"/>
      <c r="I1300" s="1"/>
      <c r="J1300" s="1"/>
      <c r="K1300" s="1"/>
      <c r="L1300" s="1"/>
      <c r="M1300" s="1"/>
      <c r="N1300" s="1"/>
      <c r="O1300" s="1"/>
      <c r="P1300" s="1"/>
      <c r="Q1300" s="1"/>
      <c r="R1300" s="1"/>
      <c r="S1300" s="1"/>
      <c r="T1300" s="1"/>
      <c r="U1300" s="1"/>
      <c r="V1300" s="1"/>
      <c r="W1300" s="1"/>
      <c r="X1300" s="1"/>
      <c r="Y1300" s="1"/>
      <c r="Z1300" s="1"/>
      <c r="AA1300" s="1"/>
      <c r="AB1300" s="1"/>
      <c r="AC1300" s="1"/>
      <c r="AD1300" s="1"/>
      <c r="AE1300" s="1"/>
      <c r="AF1300" s="1"/>
      <c r="AG1300" s="1"/>
      <c r="AH1300" s="1"/>
      <c r="AI1300" s="1"/>
    </row>
    <row r="1301" customHeight="1" spans="1:35">
      <c r="A1301" s="1"/>
      <c r="B1301" s="1"/>
      <c r="C1301" s="1"/>
      <c r="D1301" s="1"/>
      <c r="E1301" s="1"/>
      <c r="F1301" s="1"/>
      <c r="G1301" s="1"/>
      <c r="H1301" s="1"/>
      <c r="I1301" s="1"/>
      <c r="J1301" s="1"/>
      <c r="K1301" s="1"/>
      <c r="L1301" s="1"/>
      <c r="M1301" s="1"/>
      <c r="N1301" s="1"/>
      <c r="O1301" s="1"/>
      <c r="P1301" s="1"/>
      <c r="Q1301" s="1"/>
      <c r="R1301" s="1"/>
      <c r="S1301" s="1"/>
      <c r="T1301" s="1"/>
      <c r="U1301" s="1"/>
      <c r="V1301" s="1"/>
      <c r="W1301" s="1"/>
      <c r="X1301" s="1"/>
      <c r="Y1301" s="1"/>
      <c r="Z1301" s="1"/>
      <c r="AA1301" s="1"/>
      <c r="AB1301" s="1"/>
      <c r="AC1301" s="1"/>
      <c r="AD1301" s="1"/>
      <c r="AE1301" s="1"/>
      <c r="AF1301" s="1"/>
      <c r="AG1301" s="1"/>
      <c r="AH1301" s="1"/>
      <c r="AI1301" s="1"/>
    </row>
    <row r="1302" customHeight="1" spans="1:35">
      <c r="A1302" s="1"/>
      <c r="B1302" s="1"/>
      <c r="C1302" s="1"/>
      <c r="D1302" s="1"/>
      <c r="E1302" s="1"/>
      <c r="F1302" s="1"/>
      <c r="G1302" s="1"/>
      <c r="H1302" s="1"/>
      <c r="I1302" s="1"/>
      <c r="J1302" s="1"/>
      <c r="K1302" s="1"/>
      <c r="L1302" s="1"/>
      <c r="M1302" s="1"/>
      <c r="N1302" s="1"/>
      <c r="O1302" s="1"/>
      <c r="P1302" s="1"/>
      <c r="Q1302" s="1"/>
      <c r="R1302" s="1"/>
      <c r="S1302" s="1"/>
      <c r="T1302" s="1"/>
      <c r="U1302" s="1"/>
      <c r="V1302" s="1"/>
      <c r="W1302" s="1"/>
      <c r="X1302" s="1"/>
      <c r="Y1302" s="1"/>
      <c r="Z1302" s="1"/>
      <c r="AA1302" s="1"/>
      <c r="AB1302" s="1"/>
      <c r="AC1302" s="1"/>
      <c r="AD1302" s="1"/>
      <c r="AE1302" s="1"/>
      <c r="AF1302" s="1"/>
      <c r="AG1302" s="1"/>
      <c r="AH1302" s="1"/>
      <c r="AI1302" s="1"/>
    </row>
    <row r="1303" customHeight="1" spans="1:35">
      <c r="A1303" s="1"/>
      <c r="B1303" s="1"/>
      <c r="C1303" s="1"/>
      <c r="D1303" s="1"/>
      <c r="E1303" s="1"/>
      <c r="F1303" s="1"/>
      <c r="G1303" s="1"/>
      <c r="H1303" s="1"/>
      <c r="I1303" s="1"/>
      <c r="J1303" s="1"/>
      <c r="K1303" s="1"/>
      <c r="L1303" s="1"/>
      <c r="M1303" s="1"/>
      <c r="N1303" s="1"/>
      <c r="O1303" s="1"/>
      <c r="P1303" s="1"/>
      <c r="Q1303" s="1"/>
      <c r="R1303" s="1"/>
      <c r="S1303" s="1"/>
      <c r="T1303" s="1"/>
      <c r="U1303" s="1"/>
      <c r="V1303" s="1"/>
      <c r="W1303" s="1"/>
      <c r="X1303" s="1"/>
      <c r="Y1303" s="1"/>
      <c r="Z1303" s="1"/>
      <c r="AA1303" s="1"/>
      <c r="AB1303" s="1"/>
      <c r="AC1303" s="1"/>
      <c r="AD1303" s="1"/>
      <c r="AE1303" s="1"/>
      <c r="AF1303" s="1"/>
      <c r="AG1303" s="1"/>
      <c r="AH1303" s="1"/>
      <c r="AI1303" s="1"/>
    </row>
    <row r="1304" customHeight="1" spans="1:35">
      <c r="A1304" s="1"/>
      <c r="B1304" s="1"/>
      <c r="C1304" s="1"/>
      <c r="D1304" s="1"/>
      <c r="E1304" s="1"/>
      <c r="F1304" s="1"/>
      <c r="G1304" s="1"/>
      <c r="H1304" s="1"/>
      <c r="I1304" s="1"/>
      <c r="J1304" s="1"/>
      <c r="K1304" s="1"/>
      <c r="L1304" s="1"/>
      <c r="M1304" s="1"/>
      <c r="N1304" s="1"/>
      <c r="O1304" s="1"/>
      <c r="P1304" s="1"/>
      <c r="Q1304" s="1"/>
      <c r="R1304" s="1"/>
      <c r="S1304" s="1"/>
      <c r="T1304" s="1"/>
      <c r="U1304" s="1"/>
      <c r="V1304" s="1"/>
      <c r="W1304" s="1"/>
      <c r="X1304" s="1"/>
      <c r="Y1304" s="1"/>
      <c r="Z1304" s="1"/>
      <c r="AA1304" s="1"/>
      <c r="AB1304" s="1"/>
      <c r="AC1304" s="1"/>
      <c r="AD1304" s="1"/>
      <c r="AE1304" s="1"/>
      <c r="AF1304" s="1"/>
      <c r="AG1304" s="1"/>
      <c r="AH1304" s="1"/>
      <c r="AI1304" s="1"/>
    </row>
    <row r="1305" customHeight="1" spans="1:35">
      <c r="A1305" s="1"/>
      <c r="B1305" s="1"/>
      <c r="C1305" s="1"/>
      <c r="D1305" s="1"/>
      <c r="E1305" s="1"/>
      <c r="F1305" s="1"/>
      <c r="G1305" s="1"/>
      <c r="H1305" s="1"/>
      <c r="I1305" s="1"/>
      <c r="J1305" s="1"/>
      <c r="K1305" s="1"/>
      <c r="L1305" s="1"/>
      <c r="M1305" s="1"/>
      <c r="N1305" s="1"/>
      <c r="O1305" s="1"/>
      <c r="P1305" s="1"/>
      <c r="Q1305" s="1"/>
      <c r="R1305" s="1"/>
      <c r="S1305" s="1"/>
      <c r="T1305" s="1"/>
      <c r="U1305" s="1"/>
      <c r="V1305" s="1"/>
      <c r="W1305" s="1"/>
      <c r="X1305" s="1"/>
      <c r="Y1305" s="1"/>
      <c r="Z1305" s="1"/>
      <c r="AA1305" s="1"/>
      <c r="AB1305" s="1"/>
      <c r="AC1305" s="1"/>
      <c r="AD1305" s="1"/>
      <c r="AE1305" s="1"/>
      <c r="AF1305" s="1"/>
      <c r="AG1305" s="1"/>
      <c r="AH1305" s="1"/>
      <c r="AI1305" s="1"/>
    </row>
    <row r="1306" customHeight="1" spans="1:35">
      <c r="A1306" s="1"/>
      <c r="B1306" s="1"/>
      <c r="C1306" s="1"/>
      <c r="D1306" s="1"/>
      <c r="E1306" s="1"/>
      <c r="F1306" s="1"/>
      <c r="G1306" s="1"/>
      <c r="H1306" s="1"/>
      <c r="I1306" s="1"/>
      <c r="J1306" s="1"/>
      <c r="K1306" s="1"/>
      <c r="L1306" s="1"/>
      <c r="M1306" s="1"/>
      <c r="N1306" s="1"/>
      <c r="O1306" s="1"/>
      <c r="P1306" s="1"/>
      <c r="Q1306" s="1"/>
      <c r="R1306" s="1"/>
      <c r="S1306" s="1"/>
      <c r="T1306" s="1"/>
      <c r="U1306" s="1"/>
      <c r="V1306" s="1"/>
      <c r="W1306" s="1"/>
      <c r="X1306" s="1"/>
      <c r="Y1306" s="1"/>
      <c r="Z1306" s="1"/>
      <c r="AA1306" s="1"/>
      <c r="AB1306" s="1"/>
      <c r="AC1306" s="1"/>
      <c r="AD1306" s="1"/>
      <c r="AE1306" s="1"/>
      <c r="AF1306" s="1"/>
      <c r="AG1306" s="1"/>
      <c r="AH1306" s="1"/>
      <c r="AI1306" s="1"/>
    </row>
    <row r="1307" customHeight="1" spans="1:35">
      <c r="A1307" s="1"/>
      <c r="B1307" s="1"/>
      <c r="C1307" s="1"/>
      <c r="D1307" s="1"/>
      <c r="E1307" s="1"/>
      <c r="F1307" s="1"/>
      <c r="G1307" s="1"/>
      <c r="H1307" s="1"/>
      <c r="I1307" s="1"/>
      <c r="J1307" s="1"/>
      <c r="K1307" s="1"/>
      <c r="L1307" s="1"/>
      <c r="M1307" s="1"/>
      <c r="N1307" s="1"/>
      <c r="O1307" s="1"/>
      <c r="P1307" s="1"/>
      <c r="Q1307" s="1"/>
      <c r="R1307" s="1"/>
      <c r="S1307" s="1"/>
      <c r="T1307" s="1"/>
      <c r="U1307" s="1"/>
      <c r="V1307" s="1"/>
      <c r="W1307" s="1"/>
      <c r="X1307" s="1"/>
      <c r="Y1307" s="1"/>
      <c r="Z1307" s="1"/>
      <c r="AA1307" s="1"/>
      <c r="AB1307" s="1"/>
      <c r="AC1307" s="1"/>
      <c r="AD1307" s="1"/>
      <c r="AE1307" s="1"/>
      <c r="AF1307" s="1"/>
      <c r="AG1307" s="1"/>
      <c r="AH1307" s="1"/>
      <c r="AI1307" s="1"/>
    </row>
    <row r="1308" customHeight="1" spans="1:35">
      <c r="A1308" s="1"/>
      <c r="B1308" s="1"/>
      <c r="C1308" s="1"/>
      <c r="D1308" s="1"/>
      <c r="E1308" s="1"/>
      <c r="F1308" s="1"/>
      <c r="G1308" s="1"/>
      <c r="H1308" s="1"/>
      <c r="I1308" s="1"/>
      <c r="J1308" s="1"/>
      <c r="K1308" s="1"/>
      <c r="L1308" s="1"/>
      <c r="M1308" s="1"/>
      <c r="N1308" s="1"/>
      <c r="O1308" s="1"/>
      <c r="P1308" s="1"/>
      <c r="Q1308" s="1"/>
      <c r="R1308" s="1"/>
      <c r="S1308" s="1"/>
      <c r="T1308" s="1"/>
      <c r="U1308" s="1"/>
      <c r="V1308" s="1"/>
      <c r="W1308" s="1"/>
      <c r="X1308" s="1"/>
      <c r="Y1308" s="1"/>
      <c r="Z1308" s="1"/>
      <c r="AA1308" s="1"/>
      <c r="AB1308" s="1"/>
      <c r="AC1308" s="1"/>
      <c r="AD1308" s="1"/>
      <c r="AE1308" s="1"/>
      <c r="AF1308" s="1"/>
      <c r="AG1308" s="1"/>
      <c r="AH1308" s="1"/>
      <c r="AI1308" s="1"/>
    </row>
    <row r="1309" customHeight="1" spans="1:35">
      <c r="A1309" s="1"/>
      <c r="B1309" s="1"/>
      <c r="C1309" s="1"/>
      <c r="D1309" s="1"/>
      <c r="E1309" s="1"/>
      <c r="F1309" s="1"/>
      <c r="G1309" s="1"/>
      <c r="H1309" s="1"/>
      <c r="I1309" s="1"/>
      <c r="J1309" s="1"/>
      <c r="K1309" s="1"/>
      <c r="L1309" s="1"/>
      <c r="M1309" s="1"/>
      <c r="N1309" s="1"/>
      <c r="O1309" s="1"/>
      <c r="P1309" s="1"/>
      <c r="Q1309" s="1"/>
      <c r="R1309" s="1"/>
      <c r="S1309" s="1"/>
      <c r="T1309" s="1"/>
      <c r="U1309" s="1"/>
      <c r="V1309" s="1"/>
      <c r="W1309" s="1"/>
      <c r="X1309" s="1"/>
      <c r="Y1309" s="1"/>
      <c r="Z1309" s="1"/>
      <c r="AA1309" s="1"/>
      <c r="AB1309" s="1"/>
      <c r="AC1309" s="1"/>
      <c r="AD1309" s="1"/>
      <c r="AE1309" s="1"/>
      <c r="AF1309" s="1"/>
      <c r="AG1309" s="1"/>
      <c r="AH1309" s="1"/>
      <c r="AI1309" s="1"/>
    </row>
    <row r="1310" customHeight="1" spans="1:35">
      <c r="A1310" s="1"/>
      <c r="B1310" s="1"/>
      <c r="C1310" s="1"/>
      <c r="D1310" s="1"/>
      <c r="E1310" s="1"/>
      <c r="F1310" s="1"/>
      <c r="G1310" s="1"/>
      <c r="H1310" s="1"/>
      <c r="I1310" s="1"/>
      <c r="J1310" s="1"/>
      <c r="K1310" s="1"/>
      <c r="L1310" s="1"/>
      <c r="M1310" s="1"/>
      <c r="N1310" s="1"/>
      <c r="O1310" s="1"/>
      <c r="P1310" s="1"/>
      <c r="Q1310" s="1"/>
      <c r="R1310" s="1"/>
      <c r="S1310" s="1"/>
      <c r="T1310" s="1"/>
      <c r="U1310" s="1"/>
      <c r="V1310" s="1"/>
      <c r="W1310" s="1"/>
      <c r="X1310" s="1"/>
      <c r="Y1310" s="1"/>
      <c r="Z1310" s="1"/>
      <c r="AA1310" s="1"/>
      <c r="AB1310" s="1"/>
      <c r="AC1310" s="1"/>
      <c r="AD1310" s="1"/>
      <c r="AE1310" s="1"/>
      <c r="AF1310" s="1"/>
      <c r="AG1310" s="1"/>
      <c r="AH1310" s="1"/>
      <c r="AI1310" s="1"/>
    </row>
    <row r="1311" customHeight="1" spans="1:35">
      <c r="A1311" s="1"/>
      <c r="B1311" s="1"/>
      <c r="C1311" s="1"/>
      <c r="D1311" s="1"/>
      <c r="E1311" s="1"/>
      <c r="F1311" s="1"/>
      <c r="G1311" s="1"/>
      <c r="H1311" s="1"/>
      <c r="I1311" s="1"/>
      <c r="J1311" s="1"/>
      <c r="K1311" s="1"/>
      <c r="L1311" s="1"/>
      <c r="M1311" s="1"/>
      <c r="N1311" s="1"/>
      <c r="O1311" s="1"/>
      <c r="P1311" s="1"/>
      <c r="Q1311" s="1"/>
      <c r="R1311" s="1"/>
      <c r="S1311" s="1"/>
      <c r="T1311" s="1"/>
      <c r="U1311" s="1"/>
      <c r="V1311" s="1"/>
      <c r="W1311" s="1"/>
      <c r="X1311" s="1"/>
      <c r="Y1311" s="1"/>
      <c r="Z1311" s="1"/>
      <c r="AA1311" s="1"/>
      <c r="AB1311" s="1"/>
      <c r="AC1311" s="1"/>
      <c r="AD1311" s="1"/>
      <c r="AE1311" s="1"/>
      <c r="AF1311" s="1"/>
      <c r="AG1311" s="1"/>
      <c r="AH1311" s="1"/>
      <c r="AI1311" s="1"/>
    </row>
    <row r="1312" customHeight="1" spans="1:35">
      <c r="A1312" s="1"/>
      <c r="B1312" s="1"/>
      <c r="C1312" s="1"/>
      <c r="D1312" s="1"/>
      <c r="E1312" s="1"/>
      <c r="F1312" s="1"/>
      <c r="G1312" s="1"/>
      <c r="H1312" s="1"/>
      <c r="I1312" s="1"/>
      <c r="J1312" s="1"/>
      <c r="K1312" s="1"/>
      <c r="L1312" s="1"/>
      <c r="M1312" s="1"/>
      <c r="N1312" s="1"/>
      <c r="O1312" s="1"/>
      <c r="P1312" s="1"/>
      <c r="Q1312" s="1"/>
      <c r="R1312" s="1"/>
      <c r="S1312" s="1"/>
      <c r="T1312" s="1"/>
      <c r="U1312" s="1"/>
      <c r="V1312" s="1"/>
      <c r="W1312" s="1"/>
      <c r="X1312" s="1"/>
      <c r="Y1312" s="1"/>
      <c r="Z1312" s="1"/>
      <c r="AA1312" s="1"/>
      <c r="AB1312" s="1"/>
      <c r="AC1312" s="1"/>
      <c r="AD1312" s="1"/>
      <c r="AE1312" s="1"/>
      <c r="AF1312" s="1"/>
      <c r="AG1312" s="1"/>
      <c r="AH1312" s="1"/>
      <c r="AI1312" s="1"/>
    </row>
    <row r="1313" customHeight="1" spans="1:35">
      <c r="A1313" s="1"/>
      <c r="B1313" s="1"/>
      <c r="C1313" s="1"/>
      <c r="D1313" s="1"/>
      <c r="E1313" s="1"/>
      <c r="F1313" s="1"/>
      <c r="G1313" s="1"/>
      <c r="H1313" s="1"/>
      <c r="I1313" s="1"/>
      <c r="J1313" s="1"/>
      <c r="K1313" s="1"/>
      <c r="L1313" s="1"/>
      <c r="M1313" s="1"/>
      <c r="N1313" s="1"/>
      <c r="O1313" s="1"/>
      <c r="P1313" s="1"/>
      <c r="Q1313" s="1"/>
      <c r="R1313" s="1"/>
      <c r="S1313" s="1"/>
      <c r="T1313" s="1"/>
      <c r="U1313" s="1"/>
      <c r="V1313" s="1"/>
      <c r="W1313" s="1"/>
      <c r="X1313" s="1"/>
      <c r="Y1313" s="1"/>
      <c r="Z1313" s="1"/>
      <c r="AA1313" s="1"/>
      <c r="AB1313" s="1"/>
      <c r="AC1313" s="1"/>
      <c r="AD1313" s="1"/>
      <c r="AE1313" s="1"/>
      <c r="AF1313" s="1"/>
      <c r="AG1313" s="1"/>
      <c r="AH1313" s="1"/>
      <c r="AI1313" s="1"/>
    </row>
    <row r="1314" customHeight="1" spans="1:35">
      <c r="A1314" s="1"/>
      <c r="B1314" s="1"/>
      <c r="C1314" s="1"/>
      <c r="D1314" s="1"/>
      <c r="E1314" s="1"/>
      <c r="F1314" s="1"/>
      <c r="G1314" s="1"/>
      <c r="H1314" s="1"/>
      <c r="I1314" s="1"/>
      <c r="J1314" s="1"/>
      <c r="K1314" s="1"/>
      <c r="L1314" s="1"/>
      <c r="M1314" s="1"/>
      <c r="N1314" s="1"/>
      <c r="O1314" s="1"/>
      <c r="P1314" s="1"/>
      <c r="Q1314" s="1"/>
      <c r="R1314" s="1"/>
      <c r="S1314" s="1"/>
      <c r="T1314" s="1"/>
      <c r="U1314" s="1"/>
      <c r="V1314" s="1"/>
      <c r="W1314" s="1"/>
      <c r="X1314" s="1"/>
      <c r="Y1314" s="1"/>
      <c r="Z1314" s="1"/>
      <c r="AA1314" s="1"/>
      <c r="AB1314" s="1"/>
      <c r="AC1314" s="1"/>
      <c r="AD1314" s="1"/>
      <c r="AE1314" s="1"/>
      <c r="AF1314" s="1"/>
      <c r="AG1314" s="1"/>
      <c r="AH1314" s="1"/>
      <c r="AI1314" s="1"/>
    </row>
    <row r="1315" customHeight="1" spans="1:35">
      <c r="A1315" s="1"/>
      <c r="B1315" s="1"/>
      <c r="C1315" s="1"/>
      <c r="D1315" s="1"/>
      <c r="E1315" s="1"/>
      <c r="F1315" s="1"/>
      <c r="G1315" s="1"/>
      <c r="H1315" s="1"/>
      <c r="I1315" s="1"/>
      <c r="J1315" s="1"/>
      <c r="K1315" s="1"/>
      <c r="L1315" s="1"/>
      <c r="M1315" s="1"/>
      <c r="N1315" s="1"/>
      <c r="O1315" s="1"/>
      <c r="P1315" s="1"/>
      <c r="Q1315" s="1"/>
      <c r="R1315" s="1"/>
      <c r="S1315" s="1"/>
      <c r="T1315" s="1"/>
      <c r="U1315" s="1"/>
      <c r="V1315" s="1"/>
      <c r="W1315" s="1"/>
      <c r="X1315" s="1"/>
      <c r="Y1315" s="1"/>
      <c r="Z1315" s="1"/>
      <c r="AA1315" s="1"/>
      <c r="AB1315" s="1"/>
      <c r="AC1315" s="1"/>
      <c r="AD1315" s="1"/>
      <c r="AE1315" s="1"/>
      <c r="AF1315" s="1"/>
      <c r="AG1315" s="1"/>
      <c r="AH1315" s="1"/>
      <c r="AI1315" s="1"/>
    </row>
    <row r="1316" customHeight="1" spans="1:35">
      <c r="A1316" s="1"/>
      <c r="B1316" s="1"/>
      <c r="C1316" s="1"/>
      <c r="D1316" s="1"/>
      <c r="E1316" s="1"/>
      <c r="F1316" s="1"/>
      <c r="G1316" s="1"/>
      <c r="H1316" s="1"/>
      <c r="I1316" s="1"/>
      <c r="J1316" s="1"/>
      <c r="K1316" s="1"/>
      <c r="L1316" s="1"/>
      <c r="M1316" s="1"/>
      <c r="N1316" s="1"/>
      <c r="O1316" s="1"/>
      <c r="P1316" s="1"/>
      <c r="Q1316" s="1"/>
      <c r="R1316" s="1"/>
      <c r="S1316" s="1"/>
      <c r="T1316" s="1"/>
      <c r="U1316" s="1"/>
      <c r="V1316" s="1"/>
      <c r="W1316" s="1"/>
      <c r="X1316" s="1"/>
      <c r="Y1316" s="1"/>
      <c r="Z1316" s="1"/>
      <c r="AA1316" s="1"/>
      <c r="AB1316" s="1"/>
      <c r="AC1316" s="1"/>
      <c r="AD1316" s="1"/>
      <c r="AE1316" s="1"/>
      <c r="AF1316" s="1"/>
      <c r="AG1316" s="1"/>
      <c r="AH1316" s="1"/>
      <c r="AI1316" s="1"/>
    </row>
    <row r="1317" customHeight="1" spans="1:35">
      <c r="A1317" s="1"/>
      <c r="B1317" s="1"/>
      <c r="C1317" s="1"/>
      <c r="D1317" s="1"/>
      <c r="E1317" s="1"/>
      <c r="F1317" s="1"/>
      <c r="G1317" s="1"/>
      <c r="H1317" s="1"/>
      <c r="I1317" s="1"/>
      <c r="J1317" s="1"/>
      <c r="K1317" s="1"/>
      <c r="L1317" s="1"/>
      <c r="M1317" s="1"/>
      <c r="N1317" s="1"/>
      <c r="O1317" s="1"/>
      <c r="P1317" s="1"/>
      <c r="Q1317" s="1"/>
      <c r="R1317" s="1"/>
      <c r="S1317" s="1"/>
      <c r="T1317" s="1"/>
      <c r="U1317" s="1"/>
      <c r="V1317" s="1"/>
      <c r="W1317" s="1"/>
      <c r="X1317" s="1"/>
      <c r="Y1317" s="1"/>
      <c r="Z1317" s="1"/>
      <c r="AA1317" s="1"/>
      <c r="AB1317" s="1"/>
      <c r="AC1317" s="1"/>
      <c r="AD1317" s="1"/>
      <c r="AE1317" s="1"/>
      <c r="AF1317" s="1"/>
      <c r="AG1317" s="1"/>
      <c r="AH1317" s="1"/>
      <c r="AI1317" s="1"/>
    </row>
    <row r="1318" customHeight="1" spans="1:35">
      <c r="A1318" s="1"/>
      <c r="B1318" s="1"/>
      <c r="C1318" s="1"/>
      <c r="D1318" s="1"/>
      <c r="E1318" s="1"/>
      <c r="F1318" s="1"/>
      <c r="G1318" s="1"/>
      <c r="H1318" s="1"/>
      <c r="I1318" s="1"/>
      <c r="J1318" s="1"/>
      <c r="K1318" s="1"/>
      <c r="L1318" s="1"/>
      <c r="M1318" s="1"/>
      <c r="N1318" s="1"/>
      <c r="O1318" s="1"/>
      <c r="P1318" s="1"/>
      <c r="Q1318" s="1"/>
      <c r="R1318" s="1"/>
      <c r="S1318" s="1"/>
      <c r="T1318" s="1"/>
      <c r="U1318" s="1"/>
      <c r="V1318" s="1"/>
      <c r="W1318" s="1"/>
      <c r="X1318" s="1"/>
      <c r="Y1318" s="1"/>
      <c r="Z1318" s="1"/>
      <c r="AA1318" s="1"/>
      <c r="AB1318" s="1"/>
      <c r="AC1318" s="1"/>
      <c r="AD1318" s="1"/>
      <c r="AE1318" s="1"/>
      <c r="AF1318" s="1"/>
      <c r="AG1318" s="1"/>
      <c r="AH1318" s="1"/>
      <c r="AI1318" s="1"/>
    </row>
    <row r="1319" customHeight="1" spans="1:35">
      <c r="A1319" s="1"/>
      <c r="B1319" s="1"/>
      <c r="C1319" s="1"/>
      <c r="D1319" s="1"/>
      <c r="E1319" s="1"/>
      <c r="F1319" s="1"/>
      <c r="G1319" s="1"/>
      <c r="H1319" s="1"/>
      <c r="I1319" s="1"/>
      <c r="J1319" s="1"/>
      <c r="K1319" s="1"/>
      <c r="L1319" s="1"/>
      <c r="M1319" s="1"/>
      <c r="N1319" s="1"/>
      <c r="O1319" s="1"/>
      <c r="P1319" s="1"/>
      <c r="Q1319" s="1"/>
      <c r="R1319" s="1"/>
      <c r="S1319" s="1"/>
      <c r="T1319" s="1"/>
      <c r="U1319" s="1"/>
      <c r="V1319" s="1"/>
      <c r="W1319" s="1"/>
      <c r="X1319" s="1"/>
      <c r="Y1319" s="1"/>
      <c r="Z1319" s="1"/>
      <c r="AA1319" s="1"/>
      <c r="AB1319" s="1"/>
      <c r="AC1319" s="1"/>
      <c r="AD1319" s="1"/>
      <c r="AE1319" s="1"/>
      <c r="AF1319" s="1"/>
      <c r="AG1319" s="1"/>
      <c r="AH1319" s="1"/>
      <c r="AI1319" s="1"/>
    </row>
    <row r="1320" customHeight="1" spans="1:35">
      <c r="A1320" s="1"/>
      <c r="B1320" s="1"/>
      <c r="C1320" s="1"/>
      <c r="D1320" s="1"/>
      <c r="E1320" s="1"/>
      <c r="F1320" s="1"/>
      <c r="G1320" s="1"/>
      <c r="H1320" s="1"/>
      <c r="I1320" s="1"/>
      <c r="J1320" s="1"/>
      <c r="K1320" s="1"/>
      <c r="L1320" s="1"/>
      <c r="M1320" s="1"/>
      <c r="N1320" s="1"/>
      <c r="O1320" s="1"/>
      <c r="P1320" s="1"/>
      <c r="Q1320" s="1"/>
      <c r="R1320" s="1"/>
      <c r="S1320" s="1"/>
      <c r="T1320" s="1"/>
      <c r="U1320" s="1"/>
      <c r="V1320" s="1"/>
      <c r="W1320" s="1"/>
      <c r="X1320" s="1"/>
      <c r="Y1320" s="1"/>
      <c r="Z1320" s="1"/>
      <c r="AA1320" s="1"/>
      <c r="AB1320" s="1"/>
      <c r="AC1320" s="1"/>
      <c r="AD1320" s="1"/>
      <c r="AE1320" s="1"/>
      <c r="AF1320" s="1"/>
      <c r="AG1320" s="1"/>
      <c r="AH1320" s="1"/>
      <c r="AI1320" s="1"/>
    </row>
    <row r="1321" customHeight="1" spans="1:35">
      <c r="A1321" s="1"/>
      <c r="B1321" s="1"/>
      <c r="C1321" s="1"/>
      <c r="D1321" s="1"/>
      <c r="E1321" s="1"/>
      <c r="F1321" s="1"/>
      <c r="G1321" s="1"/>
      <c r="H1321" s="1"/>
      <c r="I1321" s="1"/>
      <c r="J1321" s="1"/>
      <c r="K1321" s="1"/>
      <c r="L1321" s="1"/>
      <c r="M1321" s="1"/>
      <c r="N1321" s="1"/>
      <c r="O1321" s="1"/>
      <c r="P1321" s="1"/>
      <c r="Q1321" s="1"/>
      <c r="R1321" s="1"/>
      <c r="S1321" s="1"/>
      <c r="T1321" s="1"/>
      <c r="U1321" s="1"/>
      <c r="V1321" s="1"/>
      <c r="W1321" s="1"/>
      <c r="X1321" s="1"/>
      <c r="Y1321" s="1"/>
      <c r="Z1321" s="1"/>
      <c r="AA1321" s="1"/>
      <c r="AB1321" s="1"/>
      <c r="AC1321" s="1"/>
      <c r="AD1321" s="1"/>
      <c r="AE1321" s="1"/>
      <c r="AF1321" s="1"/>
      <c r="AG1321" s="1"/>
      <c r="AH1321" s="1"/>
      <c r="AI1321" s="1"/>
    </row>
    <row r="1322" customHeight="1" spans="1:35">
      <c r="A1322" s="1"/>
      <c r="B1322" s="1"/>
      <c r="C1322" s="1"/>
      <c r="D1322" s="1"/>
      <c r="E1322" s="1"/>
      <c r="F1322" s="1"/>
      <c r="G1322" s="1"/>
      <c r="H1322" s="1"/>
      <c r="I1322" s="1"/>
      <c r="J1322" s="1"/>
      <c r="K1322" s="1"/>
      <c r="L1322" s="1"/>
      <c r="M1322" s="1"/>
      <c r="N1322" s="1"/>
      <c r="O1322" s="1"/>
      <c r="P1322" s="1"/>
      <c r="Q1322" s="1"/>
      <c r="R1322" s="1"/>
      <c r="S1322" s="1"/>
      <c r="T1322" s="1"/>
      <c r="U1322" s="1"/>
      <c r="V1322" s="1"/>
      <c r="W1322" s="1"/>
      <c r="X1322" s="1"/>
      <c r="Y1322" s="1"/>
      <c r="Z1322" s="1"/>
      <c r="AA1322" s="1"/>
      <c r="AB1322" s="1"/>
      <c r="AC1322" s="1"/>
      <c r="AD1322" s="1"/>
      <c r="AE1322" s="1"/>
      <c r="AF1322" s="1"/>
      <c r="AG1322" s="1"/>
      <c r="AH1322" s="1"/>
      <c r="AI1322" s="1"/>
    </row>
    <row r="1323" customHeight="1" spans="1:35">
      <c r="A1323" s="1"/>
      <c r="B1323" s="1"/>
      <c r="C1323" s="1"/>
      <c r="D1323" s="1"/>
      <c r="E1323" s="1"/>
      <c r="F1323" s="1"/>
      <c r="G1323" s="1"/>
      <c r="H1323" s="1"/>
      <c r="I1323" s="1"/>
      <c r="J1323" s="1"/>
      <c r="K1323" s="1"/>
      <c r="L1323" s="1"/>
      <c r="M1323" s="1"/>
      <c r="N1323" s="1"/>
      <c r="O1323" s="1"/>
      <c r="P1323" s="1"/>
      <c r="Q1323" s="1"/>
      <c r="R1323" s="1"/>
      <c r="S1323" s="1"/>
      <c r="T1323" s="1"/>
      <c r="U1323" s="1"/>
      <c r="V1323" s="1"/>
      <c r="W1323" s="1"/>
      <c r="X1323" s="1"/>
      <c r="Y1323" s="1"/>
      <c r="Z1323" s="1"/>
      <c r="AA1323" s="1"/>
      <c r="AB1323" s="1"/>
      <c r="AC1323" s="1"/>
      <c r="AD1323" s="1"/>
      <c r="AE1323" s="1"/>
      <c r="AF1323" s="1"/>
      <c r="AG1323" s="1"/>
      <c r="AH1323" s="1"/>
      <c r="AI1323" s="1"/>
    </row>
    <row r="1324" customHeight="1" spans="1:35">
      <c r="A1324" s="1"/>
      <c r="B1324" s="1"/>
      <c r="C1324" s="1"/>
      <c r="D1324" s="1"/>
      <c r="E1324" s="1"/>
      <c r="F1324" s="1"/>
      <c r="G1324" s="1"/>
      <c r="H1324" s="1"/>
      <c r="I1324" s="1"/>
      <c r="J1324" s="1"/>
      <c r="K1324" s="1"/>
      <c r="L1324" s="1"/>
      <c r="M1324" s="1"/>
      <c r="N1324" s="1"/>
      <c r="O1324" s="1"/>
      <c r="P1324" s="1"/>
      <c r="Q1324" s="1"/>
      <c r="R1324" s="1"/>
      <c r="S1324" s="1"/>
      <c r="T1324" s="1"/>
      <c r="U1324" s="1"/>
      <c r="V1324" s="1"/>
      <c r="W1324" s="1"/>
      <c r="X1324" s="1"/>
      <c r="Y1324" s="1"/>
      <c r="Z1324" s="1"/>
      <c r="AA1324" s="1"/>
      <c r="AB1324" s="1"/>
      <c r="AC1324" s="1"/>
      <c r="AD1324" s="1"/>
      <c r="AE1324" s="1"/>
      <c r="AF1324" s="1"/>
      <c r="AG1324" s="1"/>
      <c r="AH1324" s="1"/>
      <c r="AI1324" s="1"/>
    </row>
    <row r="1325" customHeight="1" spans="1:35">
      <c r="A1325" s="1"/>
      <c r="B1325" s="1"/>
      <c r="C1325" s="1"/>
      <c r="D1325" s="1"/>
      <c r="E1325" s="1"/>
      <c r="F1325" s="1"/>
      <c r="G1325" s="1"/>
      <c r="H1325" s="1"/>
      <c r="I1325" s="1"/>
      <c r="J1325" s="1"/>
      <c r="K1325" s="1"/>
      <c r="L1325" s="1"/>
      <c r="M1325" s="1"/>
      <c r="N1325" s="1"/>
      <c r="O1325" s="1"/>
      <c r="P1325" s="1"/>
      <c r="Q1325" s="1"/>
      <c r="R1325" s="1"/>
      <c r="S1325" s="1"/>
      <c r="T1325" s="1"/>
      <c r="U1325" s="1"/>
      <c r="V1325" s="1"/>
      <c r="W1325" s="1"/>
      <c r="X1325" s="1"/>
      <c r="Y1325" s="1"/>
      <c r="Z1325" s="1"/>
      <c r="AA1325" s="1"/>
      <c r="AB1325" s="1"/>
      <c r="AC1325" s="1"/>
      <c r="AD1325" s="1"/>
      <c r="AE1325" s="1"/>
      <c r="AF1325" s="1"/>
      <c r="AG1325" s="1"/>
      <c r="AH1325" s="1"/>
      <c r="AI1325" s="1"/>
    </row>
    <row r="1326" customHeight="1" spans="1:35">
      <c r="A1326" s="1"/>
      <c r="B1326" s="1"/>
      <c r="C1326" s="1"/>
      <c r="D1326" s="1"/>
      <c r="E1326" s="1"/>
      <c r="F1326" s="1"/>
      <c r="G1326" s="1"/>
      <c r="H1326" s="1"/>
      <c r="I1326" s="1"/>
      <c r="J1326" s="1"/>
      <c r="K1326" s="1"/>
      <c r="L1326" s="1"/>
      <c r="M1326" s="1"/>
      <c r="N1326" s="1"/>
      <c r="O1326" s="1"/>
      <c r="P1326" s="1"/>
      <c r="Q1326" s="1"/>
      <c r="R1326" s="1"/>
      <c r="S1326" s="1"/>
      <c r="T1326" s="1"/>
      <c r="U1326" s="1"/>
      <c r="V1326" s="1"/>
      <c r="W1326" s="1"/>
      <c r="X1326" s="1"/>
      <c r="Y1326" s="1"/>
      <c r="Z1326" s="1"/>
      <c r="AA1326" s="1"/>
      <c r="AB1326" s="1"/>
      <c r="AC1326" s="1"/>
      <c r="AD1326" s="1"/>
      <c r="AE1326" s="1"/>
      <c r="AF1326" s="1"/>
      <c r="AG1326" s="1"/>
      <c r="AH1326" s="1"/>
      <c r="AI1326" s="1"/>
    </row>
    <row r="1327" customHeight="1" spans="1:35">
      <c r="A1327" s="1"/>
      <c r="B1327" s="1"/>
      <c r="C1327" s="1"/>
      <c r="D1327" s="1"/>
      <c r="E1327" s="1"/>
      <c r="F1327" s="1"/>
      <c r="G1327" s="1"/>
      <c r="H1327" s="1"/>
      <c r="I1327" s="1"/>
      <c r="J1327" s="1"/>
      <c r="K1327" s="1"/>
      <c r="L1327" s="1"/>
      <c r="M1327" s="1"/>
      <c r="N1327" s="1"/>
      <c r="O1327" s="1"/>
      <c r="P1327" s="1"/>
      <c r="Q1327" s="1"/>
      <c r="R1327" s="1"/>
      <c r="S1327" s="1"/>
      <c r="T1327" s="1"/>
      <c r="U1327" s="1"/>
      <c r="V1327" s="1"/>
      <c r="W1327" s="1"/>
      <c r="X1327" s="1"/>
      <c r="Y1327" s="1"/>
      <c r="Z1327" s="1"/>
      <c r="AA1327" s="1"/>
      <c r="AB1327" s="1"/>
      <c r="AC1327" s="1"/>
      <c r="AD1327" s="1"/>
      <c r="AE1327" s="1"/>
      <c r="AF1327" s="1"/>
      <c r="AG1327" s="1"/>
      <c r="AH1327" s="1"/>
      <c r="AI1327" s="1"/>
    </row>
    <row r="1328" customHeight="1" spans="1:35">
      <c r="A1328" s="1"/>
      <c r="B1328" s="1"/>
      <c r="C1328" s="1"/>
      <c r="D1328" s="1"/>
      <c r="E1328" s="1"/>
      <c r="F1328" s="1"/>
      <c r="G1328" s="1"/>
      <c r="H1328" s="1"/>
      <c r="I1328" s="1"/>
      <c r="J1328" s="1"/>
      <c r="K1328" s="1"/>
      <c r="L1328" s="1"/>
      <c r="M1328" s="1"/>
      <c r="N1328" s="1"/>
      <c r="O1328" s="1"/>
      <c r="P1328" s="1"/>
      <c r="Q1328" s="1"/>
      <c r="R1328" s="1"/>
      <c r="S1328" s="1"/>
      <c r="T1328" s="1"/>
      <c r="U1328" s="1"/>
      <c r="V1328" s="1"/>
      <c r="W1328" s="1"/>
      <c r="X1328" s="1"/>
      <c r="Y1328" s="1"/>
      <c r="Z1328" s="1"/>
      <c r="AA1328" s="1"/>
      <c r="AB1328" s="1"/>
      <c r="AC1328" s="1"/>
      <c r="AD1328" s="1"/>
      <c r="AE1328" s="1"/>
      <c r="AF1328" s="1"/>
      <c r="AG1328" s="1"/>
      <c r="AH1328" s="1"/>
      <c r="AI1328" s="1"/>
    </row>
    <row r="1329" customHeight="1" spans="1:35">
      <c r="A1329" s="1"/>
      <c r="B1329" s="1"/>
      <c r="C1329" s="1"/>
      <c r="D1329" s="1"/>
      <c r="E1329" s="1"/>
      <c r="F1329" s="1"/>
      <c r="G1329" s="1"/>
      <c r="H1329" s="1"/>
      <c r="I1329" s="1"/>
      <c r="J1329" s="1"/>
      <c r="K1329" s="1"/>
      <c r="L1329" s="1"/>
      <c r="M1329" s="1"/>
      <c r="N1329" s="1"/>
      <c r="O1329" s="1"/>
      <c r="P1329" s="1"/>
      <c r="Q1329" s="1"/>
      <c r="R1329" s="1"/>
      <c r="S1329" s="1"/>
      <c r="T1329" s="1"/>
      <c r="U1329" s="1"/>
      <c r="V1329" s="1"/>
      <c r="W1329" s="1"/>
      <c r="X1329" s="1"/>
      <c r="Y1329" s="1"/>
      <c r="Z1329" s="1"/>
      <c r="AA1329" s="1"/>
      <c r="AB1329" s="1"/>
      <c r="AC1329" s="1"/>
      <c r="AD1329" s="1"/>
      <c r="AE1329" s="1"/>
      <c r="AF1329" s="1"/>
      <c r="AG1329" s="1"/>
      <c r="AH1329" s="1"/>
      <c r="AI1329" s="1"/>
    </row>
    <row r="1330" customHeight="1" spans="1:35">
      <c r="A1330" s="1"/>
      <c r="B1330" s="1"/>
      <c r="C1330" s="1"/>
      <c r="D1330" s="1"/>
      <c r="E1330" s="1"/>
      <c r="F1330" s="1"/>
      <c r="G1330" s="1"/>
      <c r="H1330" s="1"/>
      <c r="I1330" s="1"/>
      <c r="J1330" s="1"/>
      <c r="K1330" s="1"/>
      <c r="L1330" s="1"/>
      <c r="M1330" s="1"/>
      <c r="N1330" s="1"/>
      <c r="O1330" s="1"/>
      <c r="P1330" s="1"/>
      <c r="Q1330" s="1"/>
      <c r="R1330" s="1"/>
      <c r="S1330" s="1"/>
      <c r="T1330" s="1"/>
      <c r="U1330" s="1"/>
      <c r="V1330" s="1"/>
      <c r="W1330" s="1"/>
      <c r="X1330" s="1"/>
      <c r="Y1330" s="1"/>
      <c r="Z1330" s="1"/>
      <c r="AA1330" s="1"/>
      <c r="AB1330" s="1"/>
      <c r="AC1330" s="1"/>
      <c r="AD1330" s="1"/>
      <c r="AE1330" s="1"/>
      <c r="AF1330" s="1"/>
      <c r="AG1330" s="1"/>
      <c r="AH1330" s="1"/>
      <c r="AI1330" s="1"/>
    </row>
    <row r="1331" customHeight="1" spans="1:35">
      <c r="A1331" s="1"/>
      <c r="B1331" s="1"/>
      <c r="C1331" s="1"/>
      <c r="D1331" s="1"/>
      <c r="E1331" s="1"/>
      <c r="F1331" s="1"/>
      <c r="G1331" s="1"/>
      <c r="H1331" s="1"/>
      <c r="I1331" s="1"/>
      <c r="J1331" s="1"/>
      <c r="K1331" s="1"/>
      <c r="L1331" s="1"/>
      <c r="M1331" s="1"/>
      <c r="N1331" s="1"/>
      <c r="O1331" s="1"/>
      <c r="P1331" s="1"/>
      <c r="Q1331" s="1"/>
      <c r="R1331" s="1"/>
      <c r="S1331" s="1"/>
      <c r="T1331" s="1"/>
      <c r="U1331" s="1"/>
      <c r="V1331" s="1"/>
      <c r="W1331" s="1"/>
      <c r="X1331" s="1"/>
      <c r="Y1331" s="1"/>
      <c r="Z1331" s="1"/>
      <c r="AA1331" s="1"/>
      <c r="AB1331" s="1"/>
      <c r="AC1331" s="1"/>
      <c r="AD1331" s="1"/>
      <c r="AE1331" s="1"/>
      <c r="AF1331" s="1"/>
      <c r="AG1331" s="1"/>
      <c r="AH1331" s="1"/>
      <c r="AI1331" s="1"/>
    </row>
    <row r="1332" customHeight="1" spans="1:35">
      <c r="A1332" s="1"/>
      <c r="B1332" s="1"/>
      <c r="C1332" s="1"/>
      <c r="D1332" s="1"/>
      <c r="E1332" s="1"/>
      <c r="F1332" s="1"/>
      <c r="G1332" s="1"/>
      <c r="H1332" s="1"/>
      <c r="I1332" s="1"/>
      <c r="J1332" s="1"/>
      <c r="K1332" s="1"/>
      <c r="L1332" s="1"/>
      <c r="M1332" s="1"/>
      <c r="N1332" s="1"/>
      <c r="O1332" s="1"/>
      <c r="P1332" s="1"/>
      <c r="Q1332" s="1"/>
      <c r="R1332" s="1"/>
      <c r="S1332" s="1"/>
      <c r="T1332" s="1"/>
      <c r="U1332" s="1"/>
      <c r="V1332" s="1"/>
      <c r="W1332" s="1"/>
      <c r="X1332" s="1"/>
      <c r="Y1332" s="1"/>
      <c r="Z1332" s="1"/>
      <c r="AA1332" s="1"/>
      <c r="AB1332" s="1"/>
      <c r="AC1332" s="1"/>
      <c r="AD1332" s="1"/>
      <c r="AE1332" s="1"/>
      <c r="AF1332" s="1"/>
      <c r="AG1332" s="1"/>
      <c r="AH1332" s="1"/>
      <c r="AI1332" s="1"/>
    </row>
    <row r="1333" customHeight="1" spans="1:35">
      <c r="A1333" s="1"/>
      <c r="B1333" s="1"/>
      <c r="C1333" s="1"/>
      <c r="D1333" s="1"/>
      <c r="E1333" s="1"/>
      <c r="F1333" s="1"/>
      <c r="G1333" s="1"/>
      <c r="H1333" s="1"/>
      <c r="I1333" s="1"/>
      <c r="J1333" s="1"/>
      <c r="K1333" s="1"/>
      <c r="L1333" s="1"/>
      <c r="M1333" s="1"/>
      <c r="N1333" s="1"/>
      <c r="O1333" s="1"/>
      <c r="P1333" s="1"/>
      <c r="Q1333" s="1"/>
      <c r="R1333" s="1"/>
      <c r="S1333" s="1"/>
      <c r="T1333" s="1"/>
      <c r="U1333" s="1"/>
      <c r="V1333" s="1"/>
      <c r="W1333" s="1"/>
      <c r="X1333" s="1"/>
      <c r="Y1333" s="1"/>
      <c r="Z1333" s="1"/>
      <c r="AA1333" s="1"/>
      <c r="AB1333" s="1"/>
      <c r="AC1333" s="1"/>
      <c r="AD1333" s="1"/>
      <c r="AE1333" s="1"/>
      <c r="AF1333" s="1"/>
      <c r="AG1333" s="1"/>
      <c r="AH1333" s="1"/>
      <c r="AI1333" s="1"/>
    </row>
    <row r="1334" customHeight="1" spans="1:35">
      <c r="A1334" s="1"/>
      <c r="B1334" s="1"/>
      <c r="C1334" s="1"/>
      <c r="D1334" s="1"/>
      <c r="E1334" s="1"/>
      <c r="F1334" s="1"/>
      <c r="G1334" s="1"/>
      <c r="H1334" s="1"/>
      <c r="I1334" s="1"/>
      <c r="J1334" s="1"/>
      <c r="K1334" s="1"/>
      <c r="L1334" s="1"/>
      <c r="M1334" s="1"/>
      <c r="N1334" s="1"/>
      <c r="O1334" s="1"/>
      <c r="P1334" s="1"/>
      <c r="Q1334" s="1"/>
      <c r="R1334" s="1"/>
      <c r="S1334" s="1"/>
      <c r="T1334" s="1"/>
      <c r="U1334" s="1"/>
      <c r="V1334" s="1"/>
      <c r="W1334" s="1"/>
      <c r="X1334" s="1"/>
      <c r="Y1334" s="1"/>
      <c r="Z1334" s="1"/>
      <c r="AA1334" s="1"/>
      <c r="AB1334" s="1"/>
      <c r="AC1334" s="1"/>
      <c r="AD1334" s="1"/>
      <c r="AE1334" s="1"/>
      <c r="AF1334" s="1"/>
      <c r="AG1334" s="1"/>
      <c r="AH1334" s="1"/>
      <c r="AI1334" s="1"/>
    </row>
    <row r="1335" customHeight="1" spans="1:35">
      <c r="A1335" s="1"/>
      <c r="B1335" s="1"/>
      <c r="C1335" s="1"/>
      <c r="D1335" s="1"/>
      <c r="E1335" s="1"/>
      <c r="F1335" s="1"/>
      <c r="G1335" s="1"/>
      <c r="H1335" s="1"/>
      <c r="I1335" s="1"/>
      <c r="J1335" s="1"/>
      <c r="K1335" s="1"/>
      <c r="L1335" s="1"/>
      <c r="M1335" s="1"/>
      <c r="N1335" s="1"/>
      <c r="O1335" s="1"/>
      <c r="P1335" s="1"/>
      <c r="Q1335" s="1"/>
      <c r="R1335" s="1"/>
      <c r="S1335" s="1"/>
      <c r="T1335" s="1"/>
      <c r="U1335" s="1"/>
      <c r="V1335" s="1"/>
      <c r="W1335" s="1"/>
      <c r="X1335" s="1"/>
      <c r="Y1335" s="1"/>
      <c r="Z1335" s="1"/>
      <c r="AA1335" s="1"/>
      <c r="AB1335" s="1"/>
      <c r="AC1335" s="1"/>
      <c r="AD1335" s="1"/>
      <c r="AE1335" s="1"/>
      <c r="AF1335" s="1"/>
      <c r="AG1335" s="1"/>
      <c r="AH1335" s="1"/>
      <c r="AI1335" s="1"/>
    </row>
    <row r="1336" customHeight="1" spans="1:35">
      <c r="A1336" s="1"/>
      <c r="B1336" s="1"/>
      <c r="C1336" s="1"/>
      <c r="D1336" s="1"/>
      <c r="E1336" s="1"/>
      <c r="F1336" s="1"/>
      <c r="G1336" s="1"/>
      <c r="H1336" s="1"/>
      <c r="I1336" s="1"/>
      <c r="J1336" s="1"/>
      <c r="K1336" s="1"/>
      <c r="L1336" s="1"/>
      <c r="M1336" s="1"/>
      <c r="N1336" s="1"/>
      <c r="O1336" s="1"/>
      <c r="P1336" s="1"/>
      <c r="Q1336" s="1"/>
      <c r="R1336" s="1"/>
      <c r="S1336" s="1"/>
      <c r="T1336" s="1"/>
      <c r="U1336" s="1"/>
      <c r="V1336" s="1"/>
      <c r="W1336" s="1"/>
      <c r="X1336" s="1"/>
      <c r="Y1336" s="1"/>
      <c r="Z1336" s="1"/>
      <c r="AA1336" s="1"/>
      <c r="AB1336" s="1"/>
      <c r="AC1336" s="1"/>
      <c r="AD1336" s="1"/>
      <c r="AE1336" s="1"/>
      <c r="AF1336" s="1"/>
      <c r="AG1336" s="1"/>
      <c r="AH1336" s="1"/>
      <c r="AI1336" s="1"/>
    </row>
    <row r="1337" customHeight="1" spans="1:35">
      <c r="A1337" s="1"/>
      <c r="B1337" s="1"/>
      <c r="C1337" s="1"/>
      <c r="D1337" s="1"/>
      <c r="E1337" s="1"/>
      <c r="F1337" s="1"/>
      <c r="G1337" s="1"/>
      <c r="H1337" s="1"/>
      <c r="I1337" s="1"/>
      <c r="J1337" s="1"/>
      <c r="K1337" s="1"/>
      <c r="L1337" s="1"/>
      <c r="M1337" s="1"/>
      <c r="N1337" s="1"/>
      <c r="O1337" s="1"/>
      <c r="P1337" s="1"/>
      <c r="Q1337" s="1"/>
      <c r="R1337" s="1"/>
      <c r="S1337" s="1"/>
      <c r="T1337" s="1"/>
      <c r="U1337" s="1"/>
      <c r="V1337" s="1"/>
      <c r="W1337" s="1"/>
      <c r="X1337" s="1"/>
      <c r="Y1337" s="1"/>
      <c r="Z1337" s="1"/>
      <c r="AA1337" s="1"/>
      <c r="AB1337" s="1"/>
      <c r="AC1337" s="1"/>
      <c r="AD1337" s="1"/>
      <c r="AE1337" s="1"/>
      <c r="AF1337" s="1"/>
      <c r="AG1337" s="1"/>
      <c r="AH1337" s="1"/>
      <c r="AI1337" s="1"/>
    </row>
    <row r="1338" customHeight="1" spans="1:35">
      <c r="A1338" s="1"/>
      <c r="B1338" s="1"/>
      <c r="C1338" s="1"/>
      <c r="D1338" s="1"/>
      <c r="E1338" s="1"/>
      <c r="F1338" s="1"/>
      <c r="G1338" s="1"/>
      <c r="H1338" s="1"/>
      <c r="I1338" s="1"/>
      <c r="J1338" s="1"/>
      <c r="K1338" s="1"/>
      <c r="L1338" s="1"/>
      <c r="M1338" s="1"/>
      <c r="N1338" s="1"/>
      <c r="O1338" s="1"/>
      <c r="P1338" s="1"/>
      <c r="Q1338" s="1"/>
      <c r="R1338" s="1"/>
      <c r="S1338" s="1"/>
      <c r="T1338" s="1"/>
      <c r="U1338" s="1"/>
      <c r="V1338" s="1"/>
      <c r="W1338" s="1"/>
      <c r="X1338" s="1"/>
      <c r="Y1338" s="1"/>
      <c r="Z1338" s="1"/>
      <c r="AA1338" s="1"/>
      <c r="AB1338" s="1"/>
      <c r="AC1338" s="1"/>
      <c r="AD1338" s="1"/>
      <c r="AE1338" s="1"/>
      <c r="AF1338" s="1"/>
      <c r="AG1338" s="1"/>
      <c r="AH1338" s="1"/>
      <c r="AI1338" s="1"/>
    </row>
    <row r="1339" customHeight="1" spans="1:35">
      <c r="A1339" s="1"/>
      <c r="B1339" s="1"/>
      <c r="C1339" s="1"/>
      <c r="D1339" s="1"/>
      <c r="E1339" s="1"/>
      <c r="F1339" s="1"/>
      <c r="G1339" s="1"/>
      <c r="H1339" s="1"/>
      <c r="I1339" s="1"/>
      <c r="J1339" s="1"/>
      <c r="K1339" s="1"/>
      <c r="L1339" s="1"/>
      <c r="M1339" s="1"/>
      <c r="N1339" s="1"/>
      <c r="O1339" s="1"/>
      <c r="P1339" s="1"/>
      <c r="Q1339" s="1"/>
      <c r="R1339" s="1"/>
      <c r="S1339" s="1"/>
      <c r="T1339" s="1"/>
      <c r="U1339" s="1"/>
      <c r="V1339" s="1"/>
      <c r="W1339" s="1"/>
      <c r="X1339" s="1"/>
      <c r="Y1339" s="1"/>
      <c r="Z1339" s="1"/>
      <c r="AA1339" s="1"/>
      <c r="AB1339" s="1"/>
      <c r="AC1339" s="1"/>
      <c r="AD1339" s="1"/>
      <c r="AE1339" s="1"/>
      <c r="AF1339" s="1"/>
      <c r="AG1339" s="1"/>
      <c r="AH1339" s="1"/>
      <c r="AI1339" s="1"/>
    </row>
    <row r="1340" customHeight="1" spans="1:35">
      <c r="A1340" s="1"/>
      <c r="B1340" s="1"/>
      <c r="C1340" s="1"/>
      <c r="D1340" s="1"/>
      <c r="E1340" s="1"/>
      <c r="F1340" s="1"/>
      <c r="G1340" s="1"/>
      <c r="H1340" s="1"/>
      <c r="I1340" s="1"/>
      <c r="J1340" s="1"/>
      <c r="K1340" s="1"/>
      <c r="L1340" s="1"/>
      <c r="M1340" s="1"/>
      <c r="N1340" s="1"/>
      <c r="O1340" s="1"/>
      <c r="P1340" s="1"/>
      <c r="Q1340" s="1"/>
      <c r="R1340" s="1"/>
      <c r="S1340" s="1"/>
      <c r="T1340" s="1"/>
      <c r="U1340" s="1"/>
      <c r="V1340" s="1"/>
      <c r="W1340" s="1"/>
      <c r="X1340" s="1"/>
      <c r="Y1340" s="1"/>
      <c r="Z1340" s="1"/>
      <c r="AA1340" s="1"/>
      <c r="AB1340" s="1"/>
      <c r="AC1340" s="1"/>
      <c r="AD1340" s="1"/>
      <c r="AE1340" s="1"/>
      <c r="AF1340" s="1"/>
      <c r="AG1340" s="1"/>
      <c r="AH1340" s="1"/>
      <c r="AI1340" s="1"/>
    </row>
    <row r="1341" customHeight="1" spans="1:35">
      <c r="A1341" s="1"/>
      <c r="B1341" s="1"/>
      <c r="C1341" s="1"/>
      <c r="D1341" s="1"/>
      <c r="E1341" s="1"/>
      <c r="F1341" s="1"/>
      <c r="G1341" s="1"/>
      <c r="H1341" s="1"/>
      <c r="I1341" s="1"/>
      <c r="J1341" s="1"/>
      <c r="K1341" s="1"/>
      <c r="L1341" s="1"/>
      <c r="M1341" s="1"/>
      <c r="N1341" s="1"/>
      <c r="O1341" s="1"/>
      <c r="P1341" s="1"/>
      <c r="Q1341" s="1"/>
      <c r="R1341" s="1"/>
      <c r="S1341" s="1"/>
      <c r="T1341" s="1"/>
      <c r="U1341" s="1"/>
      <c r="V1341" s="1"/>
      <c r="W1341" s="1"/>
      <c r="X1341" s="1"/>
      <c r="Y1341" s="1"/>
      <c r="Z1341" s="1"/>
      <c r="AA1341" s="1"/>
      <c r="AB1341" s="1"/>
      <c r="AC1341" s="1"/>
      <c r="AD1341" s="1"/>
      <c r="AE1341" s="1"/>
      <c r="AF1341" s="1"/>
      <c r="AG1341" s="1"/>
      <c r="AH1341" s="1"/>
      <c r="AI1341" s="1"/>
    </row>
    <row r="1342" customHeight="1" spans="1:35">
      <c r="A1342" s="1"/>
      <c r="B1342" s="1"/>
      <c r="C1342" s="1"/>
      <c r="D1342" s="1"/>
      <c r="E1342" s="1"/>
      <c r="F1342" s="1"/>
      <c r="G1342" s="1"/>
      <c r="H1342" s="1"/>
      <c r="I1342" s="1"/>
      <c r="J1342" s="1"/>
      <c r="K1342" s="1"/>
      <c r="L1342" s="1"/>
      <c r="M1342" s="1"/>
      <c r="N1342" s="1"/>
      <c r="O1342" s="1"/>
      <c r="P1342" s="1"/>
      <c r="Q1342" s="1"/>
      <c r="R1342" s="1"/>
      <c r="S1342" s="1"/>
      <c r="T1342" s="1"/>
      <c r="U1342" s="1"/>
      <c r="V1342" s="1"/>
      <c r="W1342" s="1"/>
      <c r="X1342" s="1"/>
      <c r="Y1342" s="1"/>
      <c r="Z1342" s="1"/>
      <c r="AA1342" s="1"/>
      <c r="AB1342" s="1"/>
      <c r="AC1342" s="1"/>
      <c r="AD1342" s="1"/>
      <c r="AE1342" s="1"/>
      <c r="AF1342" s="1"/>
      <c r="AG1342" s="1"/>
      <c r="AH1342" s="1"/>
      <c r="AI1342" s="1"/>
    </row>
    <row r="1343" customHeight="1" spans="1:35">
      <c r="A1343" s="1"/>
      <c r="B1343" s="1"/>
      <c r="C1343" s="1"/>
      <c r="D1343" s="1"/>
      <c r="E1343" s="1"/>
      <c r="F1343" s="1"/>
      <c r="G1343" s="1"/>
      <c r="H1343" s="1"/>
      <c r="I1343" s="1"/>
      <c r="J1343" s="1"/>
      <c r="K1343" s="1"/>
      <c r="L1343" s="1"/>
      <c r="M1343" s="1"/>
      <c r="N1343" s="1"/>
      <c r="O1343" s="1"/>
      <c r="P1343" s="1"/>
      <c r="Q1343" s="1"/>
      <c r="R1343" s="1"/>
      <c r="S1343" s="1"/>
      <c r="T1343" s="1"/>
      <c r="U1343" s="1"/>
      <c r="V1343" s="1"/>
      <c r="W1343" s="1"/>
      <c r="X1343" s="1"/>
      <c r="Y1343" s="1"/>
      <c r="Z1343" s="1"/>
      <c r="AA1343" s="1"/>
      <c r="AB1343" s="1"/>
      <c r="AC1343" s="1"/>
      <c r="AD1343" s="1"/>
      <c r="AE1343" s="1"/>
      <c r="AF1343" s="1"/>
      <c r="AG1343" s="1"/>
      <c r="AH1343" s="1"/>
      <c r="AI1343" s="1"/>
    </row>
    <row r="1344" customHeight="1" spans="1:35">
      <c r="A1344" s="1"/>
      <c r="B1344" s="1"/>
      <c r="C1344" s="1"/>
      <c r="D1344" s="1"/>
      <c r="E1344" s="1"/>
      <c r="F1344" s="1"/>
      <c r="G1344" s="1"/>
      <c r="H1344" s="1"/>
      <c r="I1344" s="1"/>
      <c r="J1344" s="1"/>
      <c r="K1344" s="1"/>
      <c r="L1344" s="1"/>
      <c r="M1344" s="1"/>
      <c r="N1344" s="1"/>
      <c r="O1344" s="1"/>
      <c r="P1344" s="1"/>
      <c r="Q1344" s="1"/>
      <c r="R1344" s="1"/>
      <c r="S1344" s="1"/>
      <c r="T1344" s="1"/>
      <c r="U1344" s="1"/>
      <c r="V1344" s="1"/>
      <c r="W1344" s="1"/>
      <c r="X1344" s="1"/>
      <c r="Y1344" s="1"/>
      <c r="Z1344" s="1"/>
      <c r="AA1344" s="1"/>
      <c r="AB1344" s="1"/>
      <c r="AC1344" s="1"/>
      <c r="AD1344" s="1"/>
      <c r="AE1344" s="1"/>
      <c r="AF1344" s="1"/>
      <c r="AG1344" s="1"/>
      <c r="AH1344" s="1"/>
      <c r="AI1344" s="1"/>
    </row>
    <row r="1345" customHeight="1" spans="1:35">
      <c r="A1345" s="1"/>
      <c r="B1345" s="1"/>
      <c r="C1345" s="1"/>
      <c r="D1345" s="1"/>
      <c r="E1345" s="1"/>
      <c r="F1345" s="1"/>
      <c r="G1345" s="1"/>
      <c r="H1345" s="1"/>
      <c r="I1345" s="1"/>
      <c r="J1345" s="1"/>
      <c r="K1345" s="1"/>
      <c r="L1345" s="1"/>
      <c r="M1345" s="1"/>
      <c r="N1345" s="1"/>
      <c r="O1345" s="1"/>
      <c r="P1345" s="1"/>
      <c r="Q1345" s="1"/>
      <c r="R1345" s="1"/>
      <c r="S1345" s="1"/>
      <c r="T1345" s="1"/>
      <c r="U1345" s="1"/>
      <c r="V1345" s="1"/>
      <c r="W1345" s="1"/>
      <c r="X1345" s="1"/>
      <c r="Y1345" s="1"/>
      <c r="Z1345" s="1"/>
      <c r="AA1345" s="1"/>
      <c r="AB1345" s="1"/>
      <c r="AC1345" s="1"/>
      <c r="AD1345" s="1"/>
      <c r="AE1345" s="1"/>
      <c r="AF1345" s="1"/>
      <c r="AG1345" s="1"/>
      <c r="AH1345" s="1"/>
      <c r="AI1345" s="1"/>
    </row>
    <row r="1346" customHeight="1" spans="1:35">
      <c r="A1346" s="1"/>
      <c r="B1346" s="1"/>
      <c r="C1346" s="1"/>
      <c r="D1346" s="1"/>
      <c r="E1346" s="1"/>
      <c r="F1346" s="1"/>
      <c r="G1346" s="1"/>
      <c r="H1346" s="1"/>
      <c r="I1346" s="1"/>
      <c r="J1346" s="1"/>
      <c r="K1346" s="1"/>
      <c r="L1346" s="1"/>
      <c r="M1346" s="1"/>
      <c r="N1346" s="1"/>
      <c r="O1346" s="1"/>
      <c r="P1346" s="1"/>
      <c r="Q1346" s="1"/>
      <c r="R1346" s="1"/>
      <c r="S1346" s="1"/>
      <c r="T1346" s="1"/>
      <c r="U1346" s="1"/>
      <c r="V1346" s="1"/>
      <c r="W1346" s="1"/>
      <c r="X1346" s="1"/>
      <c r="Y1346" s="1"/>
      <c r="Z1346" s="1"/>
      <c r="AA1346" s="1"/>
      <c r="AB1346" s="1"/>
      <c r="AC1346" s="1"/>
      <c r="AD1346" s="1"/>
      <c r="AE1346" s="1"/>
      <c r="AF1346" s="1"/>
      <c r="AG1346" s="1"/>
      <c r="AH1346" s="1"/>
      <c r="AI1346" s="1"/>
    </row>
    <row r="1347" customHeight="1" spans="1:35">
      <c r="A1347" s="1"/>
      <c r="B1347" s="1"/>
      <c r="C1347" s="1"/>
      <c r="D1347" s="1"/>
      <c r="E1347" s="1"/>
      <c r="F1347" s="1"/>
      <c r="G1347" s="1"/>
      <c r="H1347" s="1"/>
      <c r="I1347" s="1"/>
      <c r="J1347" s="1"/>
      <c r="K1347" s="1"/>
      <c r="L1347" s="1"/>
      <c r="M1347" s="1"/>
      <c r="N1347" s="1"/>
      <c r="O1347" s="1"/>
      <c r="P1347" s="1"/>
      <c r="Q1347" s="1"/>
      <c r="R1347" s="1"/>
      <c r="S1347" s="1"/>
      <c r="T1347" s="1"/>
      <c r="U1347" s="1"/>
      <c r="V1347" s="1"/>
      <c r="W1347" s="1"/>
      <c r="X1347" s="1"/>
      <c r="Y1347" s="1"/>
      <c r="Z1347" s="1"/>
      <c r="AA1347" s="1"/>
      <c r="AB1347" s="1"/>
      <c r="AC1347" s="1"/>
      <c r="AD1347" s="1"/>
      <c r="AE1347" s="1"/>
      <c r="AF1347" s="1"/>
      <c r="AG1347" s="1"/>
      <c r="AH1347" s="1"/>
      <c r="AI1347" s="1"/>
    </row>
    <row r="1348" customHeight="1" spans="1:35">
      <c r="A1348" s="1"/>
      <c r="B1348" s="1"/>
      <c r="C1348" s="1"/>
      <c r="D1348" s="1"/>
      <c r="E1348" s="1"/>
      <c r="F1348" s="1"/>
      <c r="G1348" s="1"/>
      <c r="H1348" s="1"/>
      <c r="I1348" s="1"/>
      <c r="J1348" s="1"/>
      <c r="K1348" s="1"/>
      <c r="L1348" s="1"/>
      <c r="M1348" s="1"/>
      <c r="N1348" s="1"/>
      <c r="O1348" s="1"/>
      <c r="P1348" s="1"/>
      <c r="Q1348" s="1"/>
      <c r="R1348" s="1"/>
      <c r="S1348" s="1"/>
      <c r="T1348" s="1"/>
      <c r="U1348" s="1"/>
      <c r="V1348" s="1"/>
      <c r="W1348" s="1"/>
      <c r="X1348" s="1"/>
      <c r="Y1348" s="1"/>
      <c r="Z1348" s="1"/>
      <c r="AA1348" s="1"/>
      <c r="AB1348" s="1"/>
      <c r="AC1348" s="1"/>
      <c r="AD1348" s="1"/>
      <c r="AE1348" s="1"/>
      <c r="AF1348" s="1"/>
      <c r="AG1348" s="1"/>
      <c r="AH1348" s="1"/>
      <c r="AI1348" s="1"/>
    </row>
    <row r="1349" customHeight="1" spans="1:35">
      <c r="A1349" s="1"/>
      <c r="B1349" s="1"/>
      <c r="C1349" s="1"/>
      <c r="D1349" s="1"/>
      <c r="E1349" s="1"/>
      <c r="F1349" s="1"/>
      <c r="G1349" s="1"/>
      <c r="H1349" s="1"/>
      <c r="I1349" s="1"/>
      <c r="J1349" s="1"/>
      <c r="K1349" s="1"/>
      <c r="L1349" s="1"/>
      <c r="M1349" s="1"/>
      <c r="N1349" s="1"/>
      <c r="O1349" s="1"/>
      <c r="P1349" s="1"/>
      <c r="Q1349" s="1"/>
      <c r="R1349" s="1"/>
      <c r="S1349" s="1"/>
      <c r="T1349" s="1"/>
      <c r="U1349" s="1"/>
      <c r="V1349" s="1"/>
      <c r="W1349" s="1"/>
      <c r="X1349" s="1"/>
      <c r="Y1349" s="1"/>
      <c r="Z1349" s="1"/>
      <c r="AA1349" s="1"/>
      <c r="AB1349" s="1"/>
      <c r="AC1349" s="1"/>
      <c r="AD1349" s="1"/>
      <c r="AE1349" s="1"/>
      <c r="AF1349" s="1"/>
      <c r="AG1349" s="1"/>
      <c r="AH1349" s="1"/>
      <c r="AI1349" s="1"/>
    </row>
    <row r="1350" customHeight="1" spans="1:35">
      <c r="A1350" s="1"/>
      <c r="B1350" s="1"/>
      <c r="C1350" s="1"/>
      <c r="D1350" s="1"/>
      <c r="E1350" s="1"/>
      <c r="F1350" s="1"/>
      <c r="G1350" s="1"/>
      <c r="H1350" s="1"/>
      <c r="I1350" s="1"/>
      <c r="J1350" s="1"/>
      <c r="K1350" s="1"/>
      <c r="L1350" s="1"/>
      <c r="M1350" s="1"/>
      <c r="N1350" s="1"/>
      <c r="O1350" s="1"/>
      <c r="P1350" s="1"/>
      <c r="Q1350" s="1"/>
      <c r="R1350" s="1"/>
      <c r="S1350" s="1"/>
      <c r="T1350" s="1"/>
      <c r="U1350" s="1"/>
      <c r="V1350" s="1"/>
      <c r="W1350" s="1"/>
      <c r="X1350" s="1"/>
      <c r="Y1350" s="1"/>
      <c r="Z1350" s="1"/>
      <c r="AA1350" s="1"/>
      <c r="AB1350" s="1"/>
      <c r="AC1350" s="1"/>
      <c r="AD1350" s="1"/>
      <c r="AE1350" s="1"/>
      <c r="AF1350" s="1"/>
      <c r="AG1350" s="1"/>
      <c r="AH1350" s="1"/>
      <c r="AI1350" s="1"/>
    </row>
    <row r="1351" customHeight="1" spans="1:35">
      <c r="A1351" s="1"/>
      <c r="B1351" s="1"/>
      <c r="C1351" s="1"/>
      <c r="D1351" s="1"/>
      <c r="E1351" s="1"/>
      <c r="F1351" s="1"/>
      <c r="G1351" s="1"/>
      <c r="H1351" s="1"/>
      <c r="I1351" s="1"/>
      <c r="J1351" s="1"/>
      <c r="K1351" s="1"/>
      <c r="L1351" s="1"/>
      <c r="M1351" s="1"/>
      <c r="N1351" s="1"/>
      <c r="O1351" s="1"/>
      <c r="P1351" s="1"/>
      <c r="Q1351" s="1"/>
      <c r="R1351" s="1"/>
      <c r="S1351" s="1"/>
      <c r="T1351" s="1"/>
      <c r="U1351" s="1"/>
      <c r="V1351" s="1"/>
      <c r="W1351" s="1"/>
      <c r="X1351" s="1"/>
      <c r="Y1351" s="1"/>
      <c r="Z1351" s="1"/>
      <c r="AA1351" s="1"/>
      <c r="AB1351" s="1"/>
      <c r="AC1351" s="1"/>
      <c r="AD1351" s="1"/>
      <c r="AE1351" s="1"/>
      <c r="AF1351" s="1"/>
      <c r="AG1351" s="1"/>
      <c r="AH1351" s="1"/>
      <c r="AI1351" s="1"/>
    </row>
    <row r="1352" customHeight="1" spans="1:35">
      <c r="A1352" s="1"/>
      <c r="B1352" s="1"/>
      <c r="C1352" s="1"/>
      <c r="D1352" s="1"/>
      <c r="E1352" s="1"/>
      <c r="F1352" s="1"/>
      <c r="G1352" s="1"/>
      <c r="H1352" s="1"/>
      <c r="I1352" s="1"/>
      <c r="J1352" s="1"/>
      <c r="K1352" s="1"/>
      <c r="L1352" s="1"/>
      <c r="M1352" s="1"/>
      <c r="N1352" s="1"/>
      <c r="O1352" s="1"/>
      <c r="P1352" s="1"/>
      <c r="Q1352" s="1"/>
      <c r="R1352" s="1"/>
      <c r="S1352" s="1"/>
      <c r="T1352" s="1"/>
      <c r="U1352" s="1"/>
      <c r="V1352" s="1"/>
      <c r="W1352" s="1"/>
      <c r="X1352" s="1"/>
      <c r="Y1352" s="1"/>
      <c r="Z1352" s="1"/>
      <c r="AA1352" s="1"/>
      <c r="AB1352" s="1"/>
      <c r="AC1352" s="1"/>
      <c r="AD1352" s="1"/>
      <c r="AE1352" s="1"/>
      <c r="AF1352" s="1"/>
      <c r="AG1352" s="1"/>
      <c r="AH1352" s="1"/>
      <c r="AI1352" s="1"/>
    </row>
    <row r="1353" customHeight="1" spans="1:35">
      <c r="A1353" s="1"/>
      <c r="B1353" s="1"/>
      <c r="C1353" s="1"/>
      <c r="D1353" s="1"/>
      <c r="E1353" s="1"/>
      <c r="F1353" s="1"/>
      <c r="G1353" s="1"/>
      <c r="H1353" s="1"/>
      <c r="I1353" s="1"/>
      <c r="J1353" s="1"/>
      <c r="K1353" s="1"/>
      <c r="L1353" s="1"/>
      <c r="M1353" s="1"/>
      <c r="N1353" s="1"/>
      <c r="O1353" s="1"/>
      <c r="P1353" s="1"/>
      <c r="Q1353" s="1"/>
      <c r="R1353" s="1"/>
      <c r="S1353" s="1"/>
      <c r="T1353" s="1"/>
      <c r="U1353" s="1"/>
      <c r="V1353" s="1"/>
      <c r="W1353" s="1"/>
      <c r="X1353" s="1"/>
      <c r="Y1353" s="1"/>
      <c r="Z1353" s="1"/>
      <c r="AA1353" s="1"/>
      <c r="AB1353" s="1"/>
      <c r="AC1353" s="1"/>
      <c r="AD1353" s="1"/>
      <c r="AE1353" s="1"/>
      <c r="AF1353" s="1"/>
      <c r="AG1353" s="1"/>
      <c r="AH1353" s="1"/>
      <c r="AI1353" s="1"/>
    </row>
    <row r="1354" customHeight="1" spans="1:35">
      <c r="A1354" s="1"/>
      <c r="B1354" s="1"/>
      <c r="C1354" s="1"/>
      <c r="D1354" s="1"/>
      <c r="E1354" s="1"/>
      <c r="F1354" s="1"/>
      <c r="G1354" s="1"/>
      <c r="H1354" s="1"/>
      <c r="I1354" s="1"/>
      <c r="J1354" s="1"/>
      <c r="K1354" s="1"/>
      <c r="L1354" s="1"/>
      <c r="M1354" s="1"/>
      <c r="N1354" s="1"/>
      <c r="O1354" s="1"/>
      <c r="P1354" s="1"/>
      <c r="Q1354" s="1"/>
      <c r="R1354" s="1"/>
      <c r="S1354" s="1"/>
      <c r="T1354" s="1"/>
      <c r="U1354" s="1"/>
      <c r="V1354" s="1"/>
      <c r="W1354" s="1"/>
      <c r="X1354" s="1"/>
      <c r="Y1354" s="1"/>
      <c r="Z1354" s="1"/>
      <c r="AA1354" s="1"/>
      <c r="AB1354" s="1"/>
      <c r="AC1354" s="1"/>
      <c r="AD1354" s="1"/>
      <c r="AE1354" s="1"/>
      <c r="AF1354" s="1"/>
      <c r="AG1354" s="1"/>
      <c r="AH1354" s="1"/>
      <c r="AI1354" s="1"/>
    </row>
    <row r="1355" customHeight="1" spans="1:35">
      <c r="A1355" s="1"/>
      <c r="B1355" s="1"/>
      <c r="C1355" s="1"/>
      <c r="D1355" s="1"/>
      <c r="E1355" s="1"/>
      <c r="F1355" s="1"/>
      <c r="G1355" s="1"/>
      <c r="H1355" s="1"/>
      <c r="I1355" s="1"/>
      <c r="J1355" s="1"/>
      <c r="K1355" s="1"/>
      <c r="L1355" s="1"/>
      <c r="M1355" s="1"/>
      <c r="N1355" s="1"/>
      <c r="O1355" s="1"/>
      <c r="P1355" s="1"/>
      <c r="Q1355" s="1"/>
      <c r="R1355" s="1"/>
      <c r="S1355" s="1"/>
      <c r="T1355" s="1"/>
      <c r="U1355" s="1"/>
      <c r="V1355" s="1"/>
      <c r="W1355" s="1"/>
      <c r="X1355" s="1"/>
      <c r="Y1355" s="1"/>
      <c r="Z1355" s="1"/>
      <c r="AA1355" s="1"/>
      <c r="AB1355" s="1"/>
      <c r="AC1355" s="1"/>
      <c r="AD1355" s="1"/>
      <c r="AE1355" s="1"/>
      <c r="AF1355" s="1"/>
      <c r="AG1355" s="1"/>
      <c r="AH1355" s="1"/>
      <c r="AI1355" s="1"/>
    </row>
    <row r="1356" customHeight="1" spans="1:35">
      <c r="A1356" s="1"/>
      <c r="B1356" s="1"/>
      <c r="C1356" s="1"/>
      <c r="D1356" s="1"/>
      <c r="E1356" s="1"/>
      <c r="F1356" s="1"/>
      <c r="G1356" s="1"/>
      <c r="H1356" s="1"/>
      <c r="I1356" s="1"/>
      <c r="J1356" s="1"/>
      <c r="K1356" s="1"/>
      <c r="L1356" s="1"/>
      <c r="M1356" s="1"/>
      <c r="N1356" s="1"/>
      <c r="O1356" s="1"/>
      <c r="P1356" s="1"/>
      <c r="Q1356" s="1"/>
      <c r="R1356" s="1"/>
      <c r="S1356" s="1"/>
      <c r="T1356" s="1"/>
      <c r="U1356" s="1"/>
      <c r="V1356" s="1"/>
      <c r="W1356" s="1"/>
      <c r="X1356" s="1"/>
      <c r="Y1356" s="1"/>
      <c r="Z1356" s="1"/>
      <c r="AA1356" s="1"/>
      <c r="AB1356" s="1"/>
      <c r="AC1356" s="1"/>
      <c r="AD1356" s="1"/>
      <c r="AE1356" s="1"/>
      <c r="AF1356" s="1"/>
      <c r="AG1356" s="1"/>
      <c r="AH1356" s="1"/>
      <c r="AI1356" s="1"/>
    </row>
    <row r="1357" customHeight="1" spans="1:35">
      <c r="A1357" s="1"/>
      <c r="B1357" s="1"/>
      <c r="C1357" s="1"/>
      <c r="D1357" s="1"/>
      <c r="E1357" s="1"/>
      <c r="F1357" s="1"/>
      <c r="G1357" s="1"/>
      <c r="H1357" s="1"/>
      <c r="I1357" s="1"/>
      <c r="J1357" s="1"/>
      <c r="K1357" s="1"/>
      <c r="L1357" s="1"/>
      <c r="M1357" s="1"/>
      <c r="N1357" s="1"/>
      <c r="O1357" s="1"/>
      <c r="P1357" s="1"/>
      <c r="Q1357" s="1"/>
      <c r="R1357" s="1"/>
      <c r="S1357" s="1"/>
      <c r="T1357" s="1"/>
      <c r="U1357" s="1"/>
      <c r="V1357" s="1"/>
      <c r="W1357" s="1"/>
      <c r="X1357" s="1"/>
      <c r="Y1357" s="1"/>
      <c r="Z1357" s="1"/>
      <c r="AA1357" s="1"/>
      <c r="AB1357" s="1"/>
      <c r="AC1357" s="1"/>
      <c r="AD1357" s="1"/>
      <c r="AE1357" s="1"/>
      <c r="AF1357" s="1"/>
      <c r="AG1357" s="1"/>
      <c r="AH1357" s="1"/>
      <c r="AI1357" s="1"/>
    </row>
    <row r="1358" customHeight="1" spans="1:35">
      <c r="A1358" s="1"/>
      <c r="B1358" s="1"/>
      <c r="C1358" s="1"/>
      <c r="D1358" s="1"/>
      <c r="E1358" s="1"/>
      <c r="F1358" s="1"/>
      <c r="G1358" s="1"/>
      <c r="H1358" s="1"/>
      <c r="I1358" s="1"/>
      <c r="J1358" s="1"/>
      <c r="K1358" s="1"/>
      <c r="L1358" s="1"/>
      <c r="M1358" s="1"/>
      <c r="N1358" s="1"/>
      <c r="O1358" s="1"/>
      <c r="P1358" s="1"/>
      <c r="Q1358" s="1"/>
      <c r="R1358" s="1"/>
      <c r="S1358" s="1"/>
      <c r="T1358" s="1"/>
      <c r="U1358" s="1"/>
      <c r="V1358" s="1"/>
      <c r="W1358" s="1"/>
      <c r="X1358" s="1"/>
      <c r="Y1358" s="1"/>
      <c r="Z1358" s="1"/>
      <c r="AA1358" s="1"/>
      <c r="AB1358" s="1"/>
      <c r="AC1358" s="1"/>
      <c r="AD1358" s="1"/>
      <c r="AE1358" s="1"/>
      <c r="AF1358" s="1"/>
      <c r="AG1358" s="1"/>
      <c r="AH1358" s="1"/>
      <c r="AI1358" s="1"/>
    </row>
    <row r="1359" customHeight="1" spans="1:35">
      <c r="A1359" s="1"/>
      <c r="B1359" s="1"/>
      <c r="C1359" s="1"/>
      <c r="D1359" s="1"/>
      <c r="E1359" s="1"/>
      <c r="F1359" s="1"/>
      <c r="G1359" s="1"/>
      <c r="H1359" s="1"/>
      <c r="I1359" s="1"/>
      <c r="J1359" s="1"/>
      <c r="K1359" s="1"/>
      <c r="L1359" s="1"/>
      <c r="M1359" s="1"/>
      <c r="N1359" s="1"/>
      <c r="O1359" s="1"/>
      <c r="P1359" s="1"/>
      <c r="Q1359" s="1"/>
      <c r="R1359" s="1"/>
      <c r="S1359" s="1"/>
      <c r="T1359" s="1"/>
      <c r="U1359" s="1"/>
      <c r="V1359" s="1"/>
      <c r="W1359" s="1"/>
      <c r="X1359" s="1"/>
      <c r="Y1359" s="1"/>
      <c r="Z1359" s="1"/>
      <c r="AA1359" s="1"/>
      <c r="AB1359" s="1"/>
      <c r="AC1359" s="1"/>
      <c r="AD1359" s="1"/>
      <c r="AE1359" s="1"/>
      <c r="AF1359" s="1"/>
      <c r="AG1359" s="1"/>
      <c r="AH1359" s="1"/>
      <c r="AI1359" s="1"/>
    </row>
    <row r="1360" customHeight="1" spans="1:35">
      <c r="A1360" s="1"/>
      <c r="B1360" s="1"/>
      <c r="C1360" s="1"/>
      <c r="D1360" s="1"/>
      <c r="E1360" s="1"/>
      <c r="F1360" s="1"/>
      <c r="G1360" s="1"/>
      <c r="H1360" s="1"/>
      <c r="I1360" s="1"/>
      <c r="J1360" s="1"/>
      <c r="K1360" s="1"/>
      <c r="L1360" s="1"/>
      <c r="M1360" s="1"/>
      <c r="N1360" s="1"/>
      <c r="O1360" s="1"/>
      <c r="P1360" s="1"/>
      <c r="Q1360" s="1"/>
      <c r="R1360" s="1"/>
      <c r="S1360" s="1"/>
      <c r="T1360" s="1"/>
      <c r="U1360" s="1"/>
      <c r="V1360" s="1"/>
      <c r="W1360" s="1"/>
      <c r="X1360" s="1"/>
      <c r="Y1360" s="1"/>
      <c r="Z1360" s="1"/>
      <c r="AA1360" s="1"/>
      <c r="AB1360" s="1"/>
      <c r="AC1360" s="1"/>
      <c r="AD1360" s="1"/>
      <c r="AE1360" s="1"/>
      <c r="AF1360" s="1"/>
      <c r="AG1360" s="1"/>
      <c r="AH1360" s="1"/>
      <c r="AI1360" s="1"/>
    </row>
    <row r="1361" customHeight="1" spans="1:35">
      <c r="A1361" s="1"/>
      <c r="B1361" s="1"/>
      <c r="C1361" s="1"/>
      <c r="D1361" s="1"/>
      <c r="E1361" s="1"/>
      <c r="F1361" s="1"/>
      <c r="G1361" s="1"/>
      <c r="H1361" s="1"/>
      <c r="I1361" s="1"/>
      <c r="J1361" s="1"/>
      <c r="K1361" s="1"/>
      <c r="L1361" s="1"/>
      <c r="M1361" s="1"/>
      <c r="N1361" s="1"/>
      <c r="O1361" s="1"/>
      <c r="P1361" s="1"/>
      <c r="Q1361" s="1"/>
      <c r="R1361" s="1"/>
      <c r="S1361" s="1"/>
      <c r="T1361" s="1"/>
      <c r="U1361" s="1"/>
      <c r="V1361" s="1"/>
      <c r="W1361" s="1"/>
      <c r="X1361" s="1"/>
      <c r="Y1361" s="1"/>
      <c r="Z1361" s="1"/>
      <c r="AA1361" s="1"/>
      <c r="AB1361" s="1"/>
      <c r="AC1361" s="1"/>
      <c r="AD1361" s="1"/>
      <c r="AE1361" s="1"/>
      <c r="AF1361" s="1"/>
      <c r="AG1361" s="1"/>
      <c r="AH1361" s="1"/>
      <c r="AI1361" s="1"/>
    </row>
    <row r="1362" customHeight="1" spans="1:35">
      <c r="A1362" s="1"/>
      <c r="B1362" s="1"/>
      <c r="C1362" s="1"/>
      <c r="D1362" s="1"/>
      <c r="E1362" s="1"/>
      <c r="F1362" s="1"/>
      <c r="G1362" s="1"/>
      <c r="H1362" s="1"/>
      <c r="I1362" s="1"/>
      <c r="J1362" s="1"/>
      <c r="K1362" s="1"/>
      <c r="L1362" s="1"/>
      <c r="M1362" s="1"/>
      <c r="N1362" s="1"/>
      <c r="O1362" s="1"/>
      <c r="P1362" s="1"/>
      <c r="Q1362" s="1"/>
      <c r="R1362" s="1"/>
      <c r="S1362" s="1"/>
      <c r="T1362" s="1"/>
      <c r="U1362" s="1"/>
      <c r="V1362" s="1"/>
      <c r="W1362" s="1"/>
      <c r="X1362" s="1"/>
      <c r="Y1362" s="1"/>
      <c r="Z1362" s="1"/>
      <c r="AA1362" s="1"/>
      <c r="AB1362" s="1"/>
      <c r="AC1362" s="1"/>
      <c r="AD1362" s="1"/>
      <c r="AE1362" s="1"/>
      <c r="AF1362" s="1"/>
      <c r="AG1362" s="1"/>
      <c r="AH1362" s="1"/>
      <c r="AI1362" s="1"/>
    </row>
    <row r="1363" customHeight="1" spans="1:35">
      <c r="A1363" s="1"/>
      <c r="B1363" s="1"/>
      <c r="C1363" s="1"/>
      <c r="D1363" s="1"/>
      <c r="E1363" s="1"/>
      <c r="F1363" s="1"/>
      <c r="G1363" s="1"/>
      <c r="H1363" s="1"/>
      <c r="I1363" s="1"/>
      <c r="J1363" s="1"/>
      <c r="K1363" s="1"/>
      <c r="L1363" s="1"/>
      <c r="M1363" s="1"/>
      <c r="N1363" s="1"/>
      <c r="O1363" s="1"/>
      <c r="P1363" s="1"/>
      <c r="Q1363" s="1"/>
      <c r="R1363" s="1"/>
      <c r="S1363" s="1"/>
      <c r="T1363" s="1"/>
      <c r="U1363" s="1"/>
      <c r="V1363" s="1"/>
      <c r="W1363" s="1"/>
      <c r="X1363" s="1"/>
      <c r="Y1363" s="1"/>
      <c r="Z1363" s="1"/>
      <c r="AA1363" s="1"/>
      <c r="AB1363" s="1"/>
      <c r="AC1363" s="1"/>
      <c r="AD1363" s="1"/>
      <c r="AE1363" s="1"/>
      <c r="AF1363" s="1"/>
      <c r="AG1363" s="1"/>
      <c r="AH1363" s="1"/>
      <c r="AI1363" s="1"/>
    </row>
    <row r="1364" customHeight="1" spans="1:35">
      <c r="A1364" s="1"/>
      <c r="B1364" s="1"/>
      <c r="C1364" s="1"/>
      <c r="D1364" s="1"/>
      <c r="E1364" s="1"/>
      <c r="F1364" s="1"/>
      <c r="G1364" s="1"/>
      <c r="H1364" s="1"/>
      <c r="I1364" s="1"/>
      <c r="J1364" s="1"/>
      <c r="K1364" s="1"/>
      <c r="L1364" s="1"/>
      <c r="M1364" s="1"/>
      <c r="N1364" s="1"/>
      <c r="O1364" s="1"/>
      <c r="P1364" s="1"/>
      <c r="Q1364" s="1"/>
      <c r="R1364" s="1"/>
      <c r="S1364" s="1"/>
      <c r="T1364" s="1"/>
      <c r="U1364" s="1"/>
      <c r="V1364" s="1"/>
      <c r="W1364" s="1"/>
      <c r="X1364" s="1"/>
      <c r="Y1364" s="1"/>
      <c r="Z1364" s="1"/>
      <c r="AA1364" s="1"/>
      <c r="AB1364" s="1"/>
      <c r="AC1364" s="1"/>
      <c r="AD1364" s="1"/>
      <c r="AE1364" s="1"/>
      <c r="AF1364" s="1"/>
      <c r="AG1364" s="1"/>
      <c r="AH1364" s="1"/>
      <c r="AI1364" s="1"/>
    </row>
    <row r="1365" customHeight="1" spans="1:35">
      <c r="A1365" s="1"/>
      <c r="B1365" s="1"/>
      <c r="C1365" s="1"/>
      <c r="D1365" s="1"/>
      <c r="E1365" s="1"/>
      <c r="F1365" s="1"/>
      <c r="G1365" s="1"/>
      <c r="H1365" s="1"/>
      <c r="I1365" s="1"/>
      <c r="J1365" s="1"/>
      <c r="K1365" s="1"/>
      <c r="L1365" s="1"/>
      <c r="M1365" s="1"/>
      <c r="N1365" s="1"/>
      <c r="O1365" s="1"/>
      <c r="P1365" s="1"/>
      <c r="Q1365" s="1"/>
      <c r="R1365" s="1"/>
      <c r="S1365" s="1"/>
      <c r="T1365" s="1"/>
      <c r="U1365" s="1"/>
      <c r="V1365" s="1"/>
      <c r="W1365" s="1"/>
      <c r="X1365" s="1"/>
      <c r="Y1365" s="1"/>
      <c r="Z1365" s="1"/>
      <c r="AA1365" s="1"/>
      <c r="AB1365" s="1"/>
      <c r="AC1365" s="1"/>
      <c r="AD1365" s="1"/>
      <c r="AE1365" s="1"/>
      <c r="AF1365" s="1"/>
      <c r="AG1365" s="1"/>
      <c r="AH1365" s="1"/>
      <c r="AI1365" s="1"/>
    </row>
    <row r="1366" customHeight="1" spans="1:35">
      <c r="A1366" s="1"/>
      <c r="B1366" s="1"/>
      <c r="C1366" s="1"/>
      <c r="D1366" s="1"/>
      <c r="E1366" s="1"/>
      <c r="F1366" s="1"/>
      <c r="G1366" s="1"/>
      <c r="H1366" s="1"/>
      <c r="I1366" s="1"/>
      <c r="J1366" s="1"/>
      <c r="K1366" s="1"/>
      <c r="L1366" s="1"/>
      <c r="M1366" s="1"/>
      <c r="N1366" s="1"/>
      <c r="O1366" s="1"/>
      <c r="P1366" s="1"/>
      <c r="Q1366" s="1"/>
      <c r="R1366" s="1"/>
      <c r="S1366" s="1"/>
      <c r="T1366" s="1"/>
      <c r="U1366" s="1"/>
      <c r="V1366" s="1"/>
      <c r="W1366" s="1"/>
      <c r="X1366" s="1"/>
      <c r="Y1366" s="1"/>
      <c r="Z1366" s="1"/>
      <c r="AA1366" s="1"/>
      <c r="AB1366" s="1"/>
      <c r="AC1366" s="1"/>
      <c r="AD1366" s="1"/>
      <c r="AE1366" s="1"/>
      <c r="AF1366" s="1"/>
      <c r="AG1366" s="1"/>
      <c r="AH1366" s="1"/>
      <c r="AI1366" s="1"/>
    </row>
    <row r="1367" customHeight="1" spans="1:35">
      <c r="A1367" s="1"/>
      <c r="B1367" s="1"/>
      <c r="C1367" s="1"/>
      <c r="D1367" s="1"/>
      <c r="E1367" s="1"/>
      <c r="F1367" s="1"/>
      <c r="G1367" s="1"/>
      <c r="H1367" s="1"/>
      <c r="I1367" s="1"/>
      <c r="J1367" s="1"/>
      <c r="K1367" s="1"/>
      <c r="L1367" s="1"/>
      <c r="M1367" s="1"/>
      <c r="N1367" s="1"/>
      <c r="O1367" s="1"/>
      <c r="P1367" s="1"/>
      <c r="Q1367" s="1"/>
      <c r="R1367" s="1"/>
      <c r="S1367" s="1"/>
      <c r="T1367" s="1"/>
      <c r="U1367" s="1"/>
      <c r="V1367" s="1"/>
      <c r="W1367" s="1"/>
      <c r="X1367" s="1"/>
      <c r="Y1367" s="1"/>
      <c r="Z1367" s="1"/>
      <c r="AA1367" s="1"/>
      <c r="AB1367" s="1"/>
      <c r="AC1367" s="1"/>
      <c r="AD1367" s="1"/>
      <c r="AE1367" s="1"/>
      <c r="AF1367" s="1"/>
      <c r="AG1367" s="1"/>
      <c r="AH1367" s="1"/>
      <c r="AI1367" s="1"/>
    </row>
    <row r="1368" customHeight="1" spans="1:35">
      <c r="A1368" s="1"/>
      <c r="B1368" s="1"/>
      <c r="C1368" s="1"/>
      <c r="D1368" s="1"/>
      <c r="E1368" s="1"/>
      <c r="F1368" s="1"/>
      <c r="G1368" s="1"/>
      <c r="H1368" s="1"/>
      <c r="I1368" s="1"/>
      <c r="J1368" s="1"/>
      <c r="K1368" s="1"/>
      <c r="L1368" s="1"/>
      <c r="M1368" s="1"/>
      <c r="N1368" s="1"/>
      <c r="O1368" s="1"/>
      <c r="P1368" s="1"/>
      <c r="Q1368" s="1"/>
      <c r="R1368" s="1"/>
      <c r="S1368" s="1"/>
      <c r="T1368" s="1"/>
      <c r="U1368" s="1"/>
      <c r="V1368" s="1"/>
      <c r="W1368" s="1"/>
      <c r="X1368" s="1"/>
      <c r="Y1368" s="1"/>
      <c r="Z1368" s="1"/>
      <c r="AA1368" s="1"/>
      <c r="AB1368" s="1"/>
      <c r="AC1368" s="1"/>
      <c r="AD1368" s="1"/>
      <c r="AE1368" s="1"/>
      <c r="AF1368" s="1"/>
      <c r="AG1368" s="1"/>
      <c r="AH1368" s="1"/>
      <c r="AI1368" s="1"/>
    </row>
    <row r="1369" customHeight="1" spans="1:35">
      <c r="A1369" s="1"/>
      <c r="B1369" s="1"/>
      <c r="C1369" s="1"/>
      <c r="D1369" s="1"/>
      <c r="E1369" s="1"/>
      <c r="F1369" s="1"/>
      <c r="G1369" s="1"/>
      <c r="H1369" s="1"/>
      <c r="I1369" s="1"/>
      <c r="J1369" s="1"/>
      <c r="K1369" s="1"/>
      <c r="L1369" s="1"/>
      <c r="M1369" s="1"/>
      <c r="N1369" s="1"/>
      <c r="O1369" s="1"/>
      <c r="P1369" s="1"/>
      <c r="Q1369" s="1"/>
      <c r="R1369" s="1"/>
      <c r="S1369" s="1"/>
      <c r="T1369" s="1"/>
      <c r="U1369" s="1"/>
      <c r="V1369" s="1"/>
      <c r="W1369" s="1"/>
      <c r="X1369" s="1"/>
      <c r="Y1369" s="1"/>
      <c r="Z1369" s="1"/>
      <c r="AA1369" s="1"/>
      <c r="AB1369" s="1"/>
      <c r="AC1369" s="1"/>
      <c r="AD1369" s="1"/>
      <c r="AE1369" s="1"/>
      <c r="AF1369" s="1"/>
      <c r="AG1369" s="1"/>
      <c r="AH1369" s="1"/>
      <c r="AI1369" s="1"/>
    </row>
    <row r="1370" customHeight="1" spans="1:35">
      <c r="A1370" s="1"/>
      <c r="B1370" s="1"/>
      <c r="C1370" s="1"/>
      <c r="D1370" s="1"/>
      <c r="E1370" s="1"/>
      <c r="F1370" s="1"/>
      <c r="G1370" s="1"/>
      <c r="H1370" s="1"/>
      <c r="I1370" s="1"/>
      <c r="J1370" s="1"/>
      <c r="K1370" s="1"/>
      <c r="L1370" s="1"/>
      <c r="M1370" s="1"/>
      <c r="N1370" s="1"/>
      <c r="O1370" s="1"/>
      <c r="P1370" s="1"/>
      <c r="Q1370" s="1"/>
      <c r="R1370" s="1"/>
      <c r="S1370" s="1"/>
      <c r="T1370" s="1"/>
      <c r="U1370" s="1"/>
      <c r="V1370" s="1"/>
      <c r="W1370" s="1"/>
      <c r="X1370" s="1"/>
      <c r="Y1370" s="1"/>
      <c r="Z1370" s="1"/>
      <c r="AA1370" s="1"/>
      <c r="AB1370" s="1"/>
      <c r="AC1370" s="1"/>
      <c r="AD1370" s="1"/>
      <c r="AE1370" s="1"/>
      <c r="AF1370" s="1"/>
      <c r="AG1370" s="1"/>
      <c r="AH1370" s="1"/>
      <c r="AI1370" s="1"/>
    </row>
    <row r="1371" customHeight="1" spans="1:35">
      <c r="A1371" s="1"/>
      <c r="B1371" s="1"/>
      <c r="C1371" s="1"/>
      <c r="D1371" s="1"/>
      <c r="E1371" s="1"/>
      <c r="F1371" s="1"/>
      <c r="G1371" s="1"/>
      <c r="H1371" s="1"/>
      <c r="I1371" s="1"/>
      <c r="J1371" s="1"/>
      <c r="K1371" s="1"/>
      <c r="L1371" s="1"/>
      <c r="M1371" s="1"/>
      <c r="N1371" s="1"/>
      <c r="O1371" s="1"/>
      <c r="P1371" s="1"/>
      <c r="Q1371" s="1"/>
      <c r="R1371" s="1"/>
      <c r="S1371" s="1"/>
      <c r="T1371" s="1"/>
      <c r="U1371" s="1"/>
      <c r="V1371" s="1"/>
      <c r="W1371" s="1"/>
      <c r="X1371" s="1"/>
      <c r="Y1371" s="1"/>
      <c r="Z1371" s="1"/>
      <c r="AA1371" s="1"/>
      <c r="AB1371" s="1"/>
      <c r="AC1371" s="1"/>
      <c r="AD1371" s="1"/>
      <c r="AE1371" s="1"/>
      <c r="AF1371" s="1"/>
      <c r="AG1371" s="1"/>
      <c r="AH1371" s="1"/>
      <c r="AI1371" s="1"/>
    </row>
    <row r="1372" customHeight="1" spans="1:35">
      <c r="A1372" s="1"/>
      <c r="B1372" s="1"/>
      <c r="C1372" s="1"/>
      <c r="D1372" s="1"/>
      <c r="E1372" s="1"/>
      <c r="F1372" s="1"/>
      <c r="G1372" s="1"/>
      <c r="H1372" s="1"/>
      <c r="I1372" s="1"/>
      <c r="J1372" s="1"/>
      <c r="K1372" s="1"/>
      <c r="L1372" s="1"/>
      <c r="M1372" s="1"/>
      <c r="N1372" s="1"/>
      <c r="O1372" s="1"/>
      <c r="P1372" s="1"/>
      <c r="Q1372" s="1"/>
      <c r="R1372" s="1"/>
      <c r="S1372" s="1"/>
      <c r="T1372" s="1"/>
      <c r="U1372" s="1"/>
      <c r="V1372" s="1"/>
      <c r="W1372" s="1"/>
      <c r="X1372" s="1"/>
      <c r="Y1372" s="1"/>
      <c r="Z1372" s="1"/>
      <c r="AA1372" s="1"/>
      <c r="AB1372" s="1"/>
      <c r="AC1372" s="1"/>
      <c r="AD1372" s="1"/>
      <c r="AE1372" s="1"/>
      <c r="AF1372" s="1"/>
      <c r="AG1372" s="1"/>
      <c r="AH1372" s="1"/>
      <c r="AI1372" s="1"/>
    </row>
    <row r="1373" customHeight="1" spans="1:35">
      <c r="A1373" s="1"/>
      <c r="B1373" s="1"/>
      <c r="C1373" s="1"/>
      <c r="D1373" s="1"/>
      <c r="E1373" s="1"/>
      <c r="F1373" s="1"/>
      <c r="G1373" s="1"/>
      <c r="H1373" s="1"/>
      <c r="I1373" s="1"/>
      <c r="J1373" s="1"/>
      <c r="K1373" s="1"/>
      <c r="L1373" s="1"/>
      <c r="M1373" s="1"/>
      <c r="N1373" s="1"/>
      <c r="O1373" s="1"/>
      <c r="P1373" s="1"/>
      <c r="Q1373" s="1"/>
      <c r="R1373" s="1"/>
      <c r="S1373" s="1"/>
      <c r="T1373" s="1"/>
      <c r="U1373" s="1"/>
      <c r="V1373" s="1"/>
      <c r="W1373" s="1"/>
      <c r="X1373" s="1"/>
      <c r="Y1373" s="1"/>
      <c r="Z1373" s="1"/>
      <c r="AA1373" s="1"/>
      <c r="AB1373" s="1"/>
      <c r="AC1373" s="1"/>
      <c r="AD1373" s="1"/>
      <c r="AE1373" s="1"/>
      <c r="AF1373" s="1"/>
      <c r="AG1373" s="1"/>
      <c r="AH1373" s="1"/>
      <c r="AI1373" s="1"/>
    </row>
    <row r="1374" customHeight="1" spans="1:35">
      <c r="A1374" s="1"/>
      <c r="B1374" s="1"/>
      <c r="C1374" s="1"/>
      <c r="D1374" s="1"/>
      <c r="E1374" s="1"/>
      <c r="F1374" s="1"/>
      <c r="G1374" s="1"/>
      <c r="H1374" s="1"/>
      <c r="I1374" s="1"/>
      <c r="J1374" s="1"/>
      <c r="K1374" s="1"/>
      <c r="L1374" s="1"/>
      <c r="M1374" s="1"/>
      <c r="N1374" s="1"/>
      <c r="O1374" s="1"/>
      <c r="P1374" s="1"/>
      <c r="Q1374" s="1"/>
      <c r="R1374" s="1"/>
      <c r="S1374" s="1"/>
      <c r="T1374" s="1"/>
      <c r="U1374" s="1"/>
      <c r="V1374" s="1"/>
      <c r="W1374" s="1"/>
      <c r="X1374" s="1"/>
      <c r="Y1374" s="1"/>
      <c r="Z1374" s="1"/>
      <c r="AA1374" s="1"/>
      <c r="AB1374" s="1"/>
      <c r="AC1374" s="1"/>
      <c r="AD1374" s="1"/>
      <c r="AE1374" s="1"/>
      <c r="AF1374" s="1"/>
      <c r="AG1374" s="1"/>
      <c r="AH1374" s="1"/>
      <c r="AI1374" s="1"/>
    </row>
    <row r="1375" customHeight="1" spans="1:35">
      <c r="A1375" s="1"/>
      <c r="B1375" s="1"/>
      <c r="C1375" s="1"/>
      <c r="D1375" s="1"/>
      <c r="E1375" s="1"/>
      <c r="F1375" s="1"/>
      <c r="G1375" s="1"/>
      <c r="H1375" s="1"/>
      <c r="I1375" s="1"/>
      <c r="J1375" s="1"/>
      <c r="K1375" s="1"/>
      <c r="L1375" s="1"/>
      <c r="M1375" s="1"/>
      <c r="N1375" s="1"/>
      <c r="O1375" s="1"/>
      <c r="P1375" s="1"/>
      <c r="Q1375" s="1"/>
      <c r="R1375" s="1"/>
      <c r="S1375" s="1"/>
      <c r="T1375" s="1"/>
      <c r="U1375" s="1"/>
      <c r="V1375" s="1"/>
      <c r="W1375" s="1"/>
      <c r="X1375" s="1"/>
      <c r="Y1375" s="1"/>
      <c r="Z1375" s="1"/>
      <c r="AA1375" s="1"/>
      <c r="AB1375" s="1"/>
      <c r="AC1375" s="1"/>
      <c r="AD1375" s="1"/>
      <c r="AE1375" s="1"/>
      <c r="AF1375" s="1"/>
      <c r="AG1375" s="1"/>
      <c r="AH1375" s="1"/>
      <c r="AI1375" s="1"/>
    </row>
    <row r="1376" customHeight="1" spans="1:35">
      <c r="A1376" s="1"/>
      <c r="B1376" s="1"/>
      <c r="C1376" s="1"/>
      <c r="D1376" s="1"/>
      <c r="E1376" s="1"/>
      <c r="F1376" s="1"/>
      <c r="G1376" s="1"/>
      <c r="H1376" s="1"/>
      <c r="I1376" s="1"/>
      <c r="J1376" s="1"/>
      <c r="K1376" s="1"/>
      <c r="L1376" s="1"/>
      <c r="M1376" s="1"/>
      <c r="N1376" s="1"/>
      <c r="O1376" s="1"/>
      <c r="P1376" s="1"/>
      <c r="Q1376" s="1"/>
      <c r="R1376" s="1"/>
      <c r="S1376" s="1"/>
      <c r="T1376" s="1"/>
      <c r="U1376" s="1"/>
      <c r="V1376" s="1"/>
      <c r="W1376" s="1"/>
      <c r="X1376" s="1"/>
      <c r="Y1376" s="1"/>
      <c r="Z1376" s="1"/>
      <c r="AA1376" s="1"/>
      <c r="AB1376" s="1"/>
      <c r="AC1376" s="1"/>
      <c r="AD1376" s="1"/>
      <c r="AE1376" s="1"/>
      <c r="AF1376" s="1"/>
      <c r="AG1376" s="1"/>
      <c r="AH1376" s="1"/>
      <c r="AI1376" s="1"/>
    </row>
    <row r="1377" customHeight="1" spans="1:35">
      <c r="A1377" s="1"/>
      <c r="B1377" s="1"/>
      <c r="C1377" s="1"/>
      <c r="D1377" s="1"/>
      <c r="E1377" s="1"/>
      <c r="F1377" s="1"/>
      <c r="G1377" s="1"/>
      <c r="H1377" s="1"/>
      <c r="I1377" s="1"/>
      <c r="J1377" s="1"/>
      <c r="K1377" s="1"/>
      <c r="L1377" s="1"/>
      <c r="M1377" s="1"/>
      <c r="N1377" s="1"/>
      <c r="O1377" s="1"/>
      <c r="P1377" s="1"/>
      <c r="Q1377" s="1"/>
      <c r="R1377" s="1"/>
      <c r="S1377" s="1"/>
      <c r="T1377" s="1"/>
      <c r="U1377" s="1"/>
      <c r="V1377" s="1"/>
      <c r="W1377" s="1"/>
      <c r="X1377" s="1"/>
      <c r="Y1377" s="1"/>
      <c r="Z1377" s="1"/>
      <c r="AA1377" s="1"/>
      <c r="AB1377" s="1"/>
      <c r="AC1377" s="1"/>
      <c r="AD1377" s="1"/>
      <c r="AE1377" s="1"/>
      <c r="AF1377" s="1"/>
      <c r="AG1377" s="1"/>
      <c r="AH1377" s="1"/>
      <c r="AI1377" s="1"/>
    </row>
    <row r="1378" customHeight="1" spans="1:35">
      <c r="A1378" s="1"/>
      <c r="B1378" s="1"/>
      <c r="C1378" s="1"/>
      <c r="D1378" s="1"/>
      <c r="E1378" s="1"/>
      <c r="F1378" s="1"/>
      <c r="G1378" s="1"/>
      <c r="H1378" s="1"/>
      <c r="I1378" s="1"/>
      <c r="J1378" s="1"/>
      <c r="K1378" s="1"/>
      <c r="L1378" s="1"/>
      <c r="M1378" s="1"/>
      <c r="N1378" s="1"/>
      <c r="O1378" s="1"/>
      <c r="P1378" s="1"/>
      <c r="Q1378" s="1"/>
      <c r="R1378" s="1"/>
      <c r="S1378" s="1"/>
      <c r="T1378" s="1"/>
      <c r="U1378" s="1"/>
      <c r="V1378" s="1"/>
      <c r="W1378" s="1"/>
      <c r="X1378" s="1"/>
      <c r="Y1378" s="1"/>
      <c r="Z1378" s="1"/>
      <c r="AA1378" s="1"/>
      <c r="AB1378" s="1"/>
      <c r="AC1378" s="1"/>
      <c r="AD1378" s="1"/>
      <c r="AE1378" s="1"/>
      <c r="AF1378" s="1"/>
      <c r="AG1378" s="1"/>
      <c r="AH1378" s="1"/>
      <c r="AI1378" s="1"/>
    </row>
    <row r="1379" customHeight="1" spans="1:35">
      <c r="A1379" s="1"/>
      <c r="B1379" s="1"/>
      <c r="C1379" s="1"/>
      <c r="D1379" s="1"/>
      <c r="E1379" s="1"/>
      <c r="F1379" s="1"/>
      <c r="G1379" s="1"/>
      <c r="H1379" s="1"/>
      <c r="I1379" s="1"/>
      <c r="J1379" s="1"/>
      <c r="K1379" s="1"/>
      <c r="L1379" s="1"/>
      <c r="M1379" s="1"/>
      <c r="N1379" s="1"/>
      <c r="O1379" s="1"/>
      <c r="P1379" s="1"/>
      <c r="Q1379" s="1"/>
      <c r="R1379" s="1"/>
      <c r="S1379" s="1"/>
      <c r="T1379" s="1"/>
      <c r="U1379" s="1"/>
      <c r="V1379" s="1"/>
      <c r="W1379" s="1"/>
      <c r="X1379" s="1"/>
      <c r="Y1379" s="1"/>
      <c r="Z1379" s="1"/>
      <c r="AA1379" s="1"/>
      <c r="AB1379" s="1"/>
      <c r="AC1379" s="1"/>
      <c r="AD1379" s="1"/>
      <c r="AE1379" s="1"/>
      <c r="AF1379" s="1"/>
      <c r="AG1379" s="1"/>
      <c r="AH1379" s="1"/>
      <c r="AI1379" s="1"/>
    </row>
    <row r="1380" customHeight="1" spans="1:35">
      <c r="A1380" s="1"/>
      <c r="B1380" s="1"/>
      <c r="C1380" s="1"/>
      <c r="D1380" s="1"/>
      <c r="E1380" s="1"/>
      <c r="F1380" s="1"/>
      <c r="G1380" s="1"/>
      <c r="H1380" s="1"/>
      <c r="I1380" s="1"/>
      <c r="J1380" s="1"/>
      <c r="K1380" s="1"/>
      <c r="L1380" s="1"/>
      <c r="M1380" s="1"/>
      <c r="N1380" s="1"/>
      <c r="O1380" s="1"/>
      <c r="P1380" s="1"/>
      <c r="Q1380" s="1"/>
      <c r="R1380" s="1"/>
      <c r="S1380" s="1"/>
      <c r="T1380" s="1"/>
      <c r="U1380" s="1"/>
      <c r="V1380" s="1"/>
      <c r="W1380" s="1"/>
      <c r="X1380" s="1"/>
      <c r="Y1380" s="1"/>
      <c r="Z1380" s="1"/>
      <c r="AA1380" s="1"/>
      <c r="AB1380" s="1"/>
      <c r="AC1380" s="1"/>
      <c r="AD1380" s="1"/>
      <c r="AE1380" s="1"/>
      <c r="AF1380" s="1"/>
      <c r="AG1380" s="1"/>
      <c r="AH1380" s="1"/>
      <c r="AI1380" s="1"/>
    </row>
    <row r="1381" customHeight="1" spans="1:35">
      <c r="A1381" s="1"/>
      <c r="B1381" s="1"/>
      <c r="C1381" s="1"/>
      <c r="D1381" s="1"/>
      <c r="E1381" s="1"/>
      <c r="F1381" s="1"/>
      <c r="G1381" s="1"/>
      <c r="H1381" s="1"/>
      <c r="I1381" s="1"/>
      <c r="J1381" s="1"/>
      <c r="K1381" s="1"/>
      <c r="L1381" s="1"/>
      <c r="M1381" s="1"/>
      <c r="N1381" s="1"/>
      <c r="O1381" s="1"/>
      <c r="P1381" s="1"/>
      <c r="Q1381" s="1"/>
      <c r="R1381" s="1"/>
      <c r="S1381" s="1"/>
      <c r="T1381" s="1"/>
      <c r="U1381" s="1"/>
      <c r="V1381" s="1"/>
      <c r="W1381" s="1"/>
      <c r="X1381" s="1"/>
      <c r="Y1381" s="1"/>
      <c r="Z1381" s="1"/>
      <c r="AA1381" s="1"/>
      <c r="AB1381" s="1"/>
      <c r="AC1381" s="1"/>
      <c r="AD1381" s="1"/>
      <c r="AE1381" s="1"/>
      <c r="AF1381" s="1"/>
      <c r="AG1381" s="1"/>
      <c r="AH1381" s="1"/>
      <c r="AI1381" s="1"/>
    </row>
    <row r="1382" customHeight="1" spans="1:35">
      <c r="A1382" s="1"/>
      <c r="B1382" s="1"/>
      <c r="C1382" s="1"/>
      <c r="D1382" s="1"/>
      <c r="E1382" s="1"/>
      <c r="F1382" s="1"/>
      <c r="G1382" s="1"/>
      <c r="H1382" s="1"/>
      <c r="I1382" s="1"/>
      <c r="J1382" s="1"/>
      <c r="K1382" s="1"/>
      <c r="L1382" s="1"/>
      <c r="M1382" s="1"/>
      <c r="N1382" s="1"/>
      <c r="O1382" s="1"/>
      <c r="P1382" s="1"/>
      <c r="Q1382" s="1"/>
      <c r="R1382" s="1"/>
      <c r="S1382" s="1"/>
      <c r="T1382" s="1"/>
      <c r="U1382" s="1"/>
      <c r="V1382" s="1"/>
      <c r="W1382" s="1"/>
      <c r="X1382" s="1"/>
      <c r="Y1382" s="1"/>
      <c r="Z1382" s="1"/>
      <c r="AA1382" s="1"/>
      <c r="AB1382" s="1"/>
      <c r="AC1382" s="1"/>
      <c r="AD1382" s="1"/>
      <c r="AE1382" s="1"/>
      <c r="AF1382" s="1"/>
      <c r="AG1382" s="1"/>
      <c r="AH1382" s="1"/>
      <c r="AI1382" s="1"/>
    </row>
    <row r="1383" customHeight="1" spans="1:35">
      <c r="A1383" s="1"/>
      <c r="B1383" s="1"/>
      <c r="C1383" s="1"/>
      <c r="D1383" s="1"/>
      <c r="E1383" s="1"/>
      <c r="F1383" s="1"/>
      <c r="G1383" s="1"/>
      <c r="H1383" s="1"/>
      <c r="I1383" s="1"/>
      <c r="J1383" s="1"/>
      <c r="K1383" s="1"/>
      <c r="L1383" s="1"/>
      <c r="M1383" s="1"/>
      <c r="N1383" s="1"/>
      <c r="O1383" s="1"/>
      <c r="P1383" s="1"/>
      <c r="Q1383" s="1"/>
      <c r="R1383" s="1"/>
      <c r="S1383" s="1"/>
      <c r="T1383" s="1"/>
      <c r="U1383" s="1"/>
      <c r="V1383" s="1"/>
      <c r="W1383" s="1"/>
      <c r="X1383" s="1"/>
      <c r="Y1383" s="1"/>
      <c r="Z1383" s="1"/>
      <c r="AA1383" s="1"/>
      <c r="AB1383" s="1"/>
      <c r="AC1383" s="1"/>
      <c r="AD1383" s="1"/>
      <c r="AE1383" s="1"/>
      <c r="AF1383" s="1"/>
      <c r="AG1383" s="1"/>
      <c r="AH1383" s="1"/>
      <c r="AI1383" s="1"/>
    </row>
    <row r="1384" customHeight="1" spans="1:35">
      <c r="A1384" s="1"/>
      <c r="B1384" s="1"/>
      <c r="C1384" s="1"/>
      <c r="D1384" s="1"/>
      <c r="E1384" s="1"/>
      <c r="F1384" s="1"/>
      <c r="G1384" s="1"/>
      <c r="H1384" s="1"/>
      <c r="I1384" s="1"/>
      <c r="J1384" s="1"/>
      <c r="K1384" s="1"/>
      <c r="L1384" s="1"/>
      <c r="M1384" s="1"/>
      <c r="N1384" s="1"/>
      <c r="O1384" s="1"/>
      <c r="P1384" s="1"/>
      <c r="Q1384" s="1"/>
      <c r="R1384" s="1"/>
      <c r="S1384" s="1"/>
      <c r="T1384" s="1"/>
      <c r="U1384" s="1"/>
      <c r="V1384" s="1"/>
      <c r="W1384" s="1"/>
      <c r="X1384" s="1"/>
      <c r="Y1384" s="1"/>
      <c r="Z1384" s="1"/>
      <c r="AA1384" s="1"/>
      <c r="AB1384" s="1"/>
      <c r="AC1384" s="1"/>
      <c r="AD1384" s="1"/>
      <c r="AE1384" s="1"/>
      <c r="AF1384" s="1"/>
      <c r="AG1384" s="1"/>
      <c r="AH1384" s="1"/>
      <c r="AI1384" s="1"/>
    </row>
    <row r="1385" customHeight="1" spans="1:35">
      <c r="A1385" s="1"/>
      <c r="B1385" s="1"/>
      <c r="C1385" s="1"/>
      <c r="D1385" s="1"/>
      <c r="E1385" s="1"/>
      <c r="F1385" s="1"/>
      <c r="G1385" s="1"/>
      <c r="H1385" s="1"/>
      <c r="I1385" s="1"/>
      <c r="J1385" s="1"/>
      <c r="K1385" s="1"/>
      <c r="L1385" s="1"/>
      <c r="M1385" s="1"/>
      <c r="N1385" s="1"/>
      <c r="O1385" s="1"/>
      <c r="P1385" s="1"/>
      <c r="Q1385" s="1"/>
      <c r="R1385" s="1"/>
      <c r="S1385" s="1"/>
      <c r="T1385" s="1"/>
      <c r="U1385" s="1"/>
      <c r="V1385" s="1"/>
      <c r="W1385" s="1"/>
      <c r="X1385" s="1"/>
      <c r="Y1385" s="1"/>
      <c r="Z1385" s="1"/>
      <c r="AA1385" s="1"/>
      <c r="AB1385" s="1"/>
      <c r="AC1385" s="1"/>
      <c r="AD1385" s="1"/>
      <c r="AE1385" s="1"/>
      <c r="AF1385" s="1"/>
      <c r="AG1385" s="1"/>
      <c r="AH1385" s="1"/>
      <c r="AI1385" s="1"/>
    </row>
    <row r="1386" customHeight="1" spans="1:35">
      <c r="A1386" s="1"/>
      <c r="B1386" s="1"/>
      <c r="C1386" s="1"/>
      <c r="D1386" s="1"/>
      <c r="E1386" s="1"/>
      <c r="F1386" s="1"/>
      <c r="G1386" s="1"/>
      <c r="H1386" s="1"/>
      <c r="I1386" s="1"/>
      <c r="J1386" s="1"/>
      <c r="K1386" s="1"/>
      <c r="L1386" s="1"/>
      <c r="M1386" s="1"/>
      <c r="N1386" s="1"/>
      <c r="O1386" s="1"/>
      <c r="P1386" s="1"/>
      <c r="Q1386" s="1"/>
      <c r="R1386" s="1"/>
      <c r="S1386" s="1"/>
      <c r="T1386" s="1"/>
      <c r="U1386" s="1"/>
      <c r="V1386" s="1"/>
      <c r="W1386" s="1"/>
      <c r="X1386" s="1"/>
      <c r="Y1386" s="1"/>
      <c r="Z1386" s="1"/>
      <c r="AA1386" s="1"/>
      <c r="AB1386" s="1"/>
      <c r="AC1386" s="1"/>
      <c r="AD1386" s="1"/>
      <c r="AE1386" s="1"/>
      <c r="AF1386" s="1"/>
      <c r="AG1386" s="1"/>
      <c r="AH1386" s="1"/>
      <c r="AI1386" s="1"/>
    </row>
    <row r="1387" customHeight="1" spans="1:35">
      <c r="A1387" s="1"/>
      <c r="B1387" s="1"/>
      <c r="C1387" s="1"/>
      <c r="D1387" s="1"/>
      <c r="E1387" s="1"/>
      <c r="F1387" s="1"/>
      <c r="G1387" s="1"/>
      <c r="H1387" s="1"/>
      <c r="I1387" s="1"/>
      <c r="J1387" s="1"/>
      <c r="K1387" s="1"/>
      <c r="L1387" s="1"/>
      <c r="M1387" s="1"/>
      <c r="N1387" s="1"/>
      <c r="O1387" s="1"/>
      <c r="P1387" s="1"/>
      <c r="Q1387" s="1"/>
      <c r="R1387" s="1"/>
      <c r="S1387" s="1"/>
      <c r="T1387" s="1"/>
      <c r="U1387" s="1"/>
      <c r="V1387" s="1"/>
      <c r="W1387" s="1"/>
      <c r="X1387" s="1"/>
      <c r="Y1387" s="1"/>
      <c r="Z1387" s="1"/>
      <c r="AA1387" s="1"/>
      <c r="AB1387" s="1"/>
      <c r="AC1387" s="1"/>
      <c r="AD1387" s="1"/>
      <c r="AE1387" s="1"/>
      <c r="AF1387" s="1"/>
      <c r="AG1387" s="1"/>
      <c r="AH1387" s="1"/>
      <c r="AI1387" s="1"/>
    </row>
    <row r="1388" customHeight="1" spans="1:35">
      <c r="A1388" s="1"/>
      <c r="B1388" s="1"/>
      <c r="C1388" s="1"/>
      <c r="D1388" s="1"/>
      <c r="E1388" s="1"/>
      <c r="F1388" s="1"/>
      <c r="G1388" s="1"/>
      <c r="H1388" s="1"/>
      <c r="I1388" s="1"/>
      <c r="J1388" s="1"/>
      <c r="K1388" s="1"/>
      <c r="L1388" s="1"/>
      <c r="M1388" s="1"/>
      <c r="N1388" s="1"/>
      <c r="O1388" s="1"/>
      <c r="P1388" s="1"/>
      <c r="Q1388" s="1"/>
      <c r="R1388" s="1"/>
      <c r="S1388" s="1"/>
      <c r="T1388" s="1"/>
      <c r="U1388" s="1"/>
      <c r="V1388" s="1"/>
      <c r="W1388" s="1"/>
      <c r="X1388" s="1"/>
      <c r="Y1388" s="1"/>
      <c r="Z1388" s="1"/>
      <c r="AA1388" s="1"/>
      <c r="AB1388" s="1"/>
      <c r="AC1388" s="1"/>
      <c r="AD1388" s="1"/>
      <c r="AE1388" s="1"/>
      <c r="AF1388" s="1"/>
      <c r="AG1388" s="1"/>
      <c r="AH1388" s="1"/>
      <c r="AI1388" s="1"/>
    </row>
    <row r="1389" customHeight="1" spans="1:35">
      <c r="A1389" s="1"/>
      <c r="B1389" s="1"/>
      <c r="C1389" s="1"/>
      <c r="D1389" s="1"/>
      <c r="E1389" s="1"/>
      <c r="F1389" s="1"/>
      <c r="G1389" s="1"/>
      <c r="H1389" s="1"/>
      <c r="I1389" s="1"/>
      <c r="J1389" s="1"/>
      <c r="K1389" s="1"/>
      <c r="L1389" s="1"/>
      <c r="M1389" s="1"/>
      <c r="N1389" s="1"/>
      <c r="O1389" s="1"/>
      <c r="P1389" s="1"/>
      <c r="Q1389" s="1"/>
      <c r="R1389" s="1"/>
      <c r="S1389" s="1"/>
      <c r="T1389" s="1"/>
      <c r="U1389" s="1"/>
      <c r="V1389" s="1"/>
      <c r="W1389" s="1"/>
      <c r="X1389" s="1"/>
      <c r="Y1389" s="1"/>
      <c r="Z1389" s="1"/>
      <c r="AA1389" s="1"/>
      <c r="AB1389" s="1"/>
      <c r="AC1389" s="1"/>
      <c r="AD1389" s="1"/>
      <c r="AE1389" s="1"/>
      <c r="AF1389" s="1"/>
      <c r="AG1389" s="1"/>
      <c r="AH1389" s="1"/>
      <c r="AI1389" s="1"/>
    </row>
    <row r="1390" customHeight="1" spans="1:35">
      <c r="A1390" s="1"/>
      <c r="B1390" s="1"/>
      <c r="C1390" s="1"/>
      <c r="D1390" s="1"/>
      <c r="E1390" s="1"/>
      <c r="F1390" s="1"/>
      <c r="G1390" s="1"/>
      <c r="H1390" s="1"/>
      <c r="I1390" s="1"/>
      <c r="J1390" s="1"/>
      <c r="K1390" s="1"/>
      <c r="L1390" s="1"/>
      <c r="M1390" s="1"/>
      <c r="N1390" s="1"/>
      <c r="O1390" s="1"/>
      <c r="P1390" s="1"/>
      <c r="Q1390" s="1"/>
      <c r="R1390" s="1"/>
      <c r="S1390" s="1"/>
      <c r="T1390" s="1"/>
      <c r="U1390" s="1"/>
      <c r="V1390" s="1"/>
      <c r="W1390" s="1"/>
      <c r="X1390" s="1"/>
      <c r="Y1390" s="1"/>
      <c r="Z1390" s="1"/>
      <c r="AA1390" s="1"/>
      <c r="AB1390" s="1"/>
      <c r="AC1390" s="1"/>
      <c r="AD1390" s="1"/>
      <c r="AE1390" s="1"/>
      <c r="AF1390" s="1"/>
      <c r="AG1390" s="1"/>
      <c r="AH1390" s="1"/>
      <c r="AI1390" s="1"/>
    </row>
    <row r="1391" customHeight="1" spans="1:35">
      <c r="A1391" s="1"/>
      <c r="B1391" s="1"/>
      <c r="C1391" s="1"/>
      <c r="D1391" s="1"/>
      <c r="E1391" s="1"/>
      <c r="F1391" s="1"/>
      <c r="G1391" s="1"/>
      <c r="H1391" s="1"/>
      <c r="I1391" s="1"/>
      <c r="J1391" s="1"/>
      <c r="K1391" s="1"/>
      <c r="L1391" s="1"/>
      <c r="M1391" s="1"/>
      <c r="N1391" s="1"/>
      <c r="O1391" s="1"/>
      <c r="P1391" s="1"/>
      <c r="Q1391" s="1"/>
      <c r="R1391" s="1"/>
      <c r="S1391" s="1"/>
      <c r="T1391" s="1"/>
      <c r="U1391" s="1"/>
      <c r="V1391" s="1"/>
      <c r="W1391" s="1"/>
      <c r="X1391" s="1"/>
      <c r="Y1391" s="1"/>
      <c r="Z1391" s="1"/>
      <c r="AA1391" s="1"/>
      <c r="AB1391" s="1"/>
      <c r="AC1391" s="1"/>
      <c r="AD1391" s="1"/>
      <c r="AE1391" s="1"/>
      <c r="AF1391" s="1"/>
      <c r="AG1391" s="1"/>
      <c r="AH1391" s="1"/>
      <c r="AI1391" s="1"/>
    </row>
    <row r="1392" customHeight="1" spans="1:35">
      <c r="A1392" s="1"/>
      <c r="B1392" s="1"/>
      <c r="C1392" s="1"/>
      <c r="D1392" s="1"/>
      <c r="E1392" s="1"/>
      <c r="F1392" s="1"/>
      <c r="G1392" s="1"/>
      <c r="H1392" s="1"/>
      <c r="I1392" s="1"/>
      <c r="J1392" s="1"/>
      <c r="K1392" s="1"/>
      <c r="L1392" s="1"/>
      <c r="M1392" s="1"/>
      <c r="N1392" s="1"/>
      <c r="O1392" s="1"/>
      <c r="P1392" s="1"/>
      <c r="Q1392" s="1"/>
      <c r="R1392" s="1"/>
      <c r="S1392" s="1"/>
      <c r="T1392" s="1"/>
      <c r="U1392" s="1"/>
      <c r="V1392" s="1"/>
      <c r="W1392" s="1"/>
      <c r="X1392" s="1"/>
      <c r="Y1392" s="1"/>
      <c r="Z1392" s="1"/>
      <c r="AA1392" s="1"/>
      <c r="AB1392" s="1"/>
      <c r="AC1392" s="1"/>
      <c r="AD1392" s="1"/>
      <c r="AE1392" s="1"/>
      <c r="AF1392" s="1"/>
      <c r="AG1392" s="1"/>
      <c r="AH1392" s="1"/>
      <c r="AI1392" s="1"/>
    </row>
    <row r="1393" customHeight="1" spans="1:35">
      <c r="A1393" s="1"/>
      <c r="B1393" s="1"/>
      <c r="C1393" s="1"/>
      <c r="D1393" s="1"/>
      <c r="E1393" s="1"/>
      <c r="F1393" s="1"/>
      <c r="G1393" s="1"/>
      <c r="H1393" s="1"/>
      <c r="I1393" s="1"/>
      <c r="J1393" s="1"/>
      <c r="K1393" s="1"/>
      <c r="L1393" s="1"/>
      <c r="M1393" s="1"/>
      <c r="N1393" s="1"/>
      <c r="O1393" s="1"/>
      <c r="P1393" s="1"/>
      <c r="Q1393" s="1"/>
      <c r="R1393" s="1"/>
      <c r="S1393" s="1"/>
      <c r="T1393" s="1"/>
      <c r="U1393" s="1"/>
      <c r="V1393" s="1"/>
      <c r="W1393" s="1"/>
      <c r="X1393" s="1"/>
      <c r="Y1393" s="1"/>
      <c r="Z1393" s="1"/>
      <c r="AA1393" s="1"/>
      <c r="AB1393" s="1"/>
      <c r="AC1393" s="1"/>
      <c r="AD1393" s="1"/>
      <c r="AE1393" s="1"/>
      <c r="AF1393" s="1"/>
      <c r="AG1393" s="1"/>
      <c r="AH1393" s="1"/>
      <c r="AI1393" s="1"/>
    </row>
    <row r="1394" customHeight="1" spans="1:35">
      <c r="A1394" s="1"/>
      <c r="B1394" s="1"/>
      <c r="C1394" s="1"/>
      <c r="D1394" s="1"/>
      <c r="E1394" s="1"/>
      <c r="F1394" s="1"/>
      <c r="G1394" s="1"/>
      <c r="H1394" s="1"/>
      <c r="I1394" s="1"/>
      <c r="J1394" s="1"/>
      <c r="K1394" s="1"/>
      <c r="L1394" s="1"/>
      <c r="M1394" s="1"/>
      <c r="N1394" s="1"/>
      <c r="O1394" s="1"/>
      <c r="P1394" s="1"/>
      <c r="Q1394" s="1"/>
      <c r="R1394" s="1"/>
      <c r="S1394" s="1"/>
      <c r="T1394" s="1"/>
      <c r="U1394" s="1"/>
      <c r="V1394" s="1"/>
      <c r="W1394" s="1"/>
      <c r="X1394" s="1"/>
      <c r="Y1394" s="1"/>
      <c r="Z1394" s="1"/>
      <c r="AA1394" s="1"/>
      <c r="AB1394" s="1"/>
      <c r="AC1394" s="1"/>
      <c r="AD1394" s="1"/>
      <c r="AE1394" s="1"/>
      <c r="AF1394" s="1"/>
      <c r="AG1394" s="1"/>
      <c r="AH1394" s="1"/>
      <c r="AI1394" s="1"/>
    </row>
    <row r="1395" customHeight="1" spans="1:35">
      <c r="A1395" s="1"/>
      <c r="B1395" s="1"/>
      <c r="C1395" s="1"/>
      <c r="D1395" s="1"/>
      <c r="E1395" s="1"/>
      <c r="F1395" s="1"/>
      <c r="G1395" s="1"/>
      <c r="H1395" s="1"/>
      <c r="I1395" s="1"/>
      <c r="J1395" s="1"/>
      <c r="K1395" s="1"/>
      <c r="L1395" s="1"/>
      <c r="M1395" s="1"/>
      <c r="N1395" s="1"/>
      <c r="O1395" s="1"/>
      <c r="P1395" s="1"/>
      <c r="Q1395" s="1"/>
      <c r="R1395" s="1"/>
      <c r="S1395" s="1"/>
      <c r="T1395" s="1"/>
      <c r="U1395" s="1"/>
      <c r="V1395" s="1"/>
      <c r="W1395" s="1"/>
      <c r="X1395" s="1"/>
      <c r="Y1395" s="1"/>
      <c r="Z1395" s="1"/>
      <c r="AA1395" s="1"/>
      <c r="AB1395" s="1"/>
      <c r="AC1395" s="1"/>
      <c r="AD1395" s="1"/>
      <c r="AE1395" s="1"/>
      <c r="AF1395" s="1"/>
      <c r="AG1395" s="1"/>
      <c r="AH1395" s="1"/>
      <c r="AI1395" s="1"/>
    </row>
    <row r="1396" customHeight="1" spans="1:35">
      <c r="A1396" s="1"/>
      <c r="B1396" s="1"/>
      <c r="C1396" s="1"/>
      <c r="D1396" s="1"/>
      <c r="E1396" s="1"/>
      <c r="F1396" s="1"/>
      <c r="G1396" s="1"/>
      <c r="H1396" s="1"/>
      <c r="I1396" s="1"/>
      <c r="J1396" s="1"/>
      <c r="K1396" s="1"/>
      <c r="L1396" s="1"/>
      <c r="M1396" s="1"/>
      <c r="N1396" s="1"/>
      <c r="O1396" s="1"/>
      <c r="P1396" s="1"/>
      <c r="Q1396" s="1"/>
      <c r="R1396" s="1"/>
      <c r="S1396" s="1"/>
      <c r="T1396" s="1"/>
      <c r="U1396" s="1"/>
      <c r="V1396" s="1"/>
      <c r="W1396" s="1"/>
      <c r="X1396" s="1"/>
      <c r="Y1396" s="1"/>
      <c r="Z1396" s="1"/>
      <c r="AA1396" s="1"/>
      <c r="AB1396" s="1"/>
      <c r="AC1396" s="1"/>
      <c r="AD1396" s="1"/>
      <c r="AE1396" s="1"/>
      <c r="AF1396" s="1"/>
      <c r="AG1396" s="1"/>
      <c r="AH1396" s="1"/>
      <c r="AI1396" s="1"/>
    </row>
    <row r="1397" customHeight="1" spans="1:35">
      <c r="A1397" s="1"/>
      <c r="B1397" s="1"/>
      <c r="C1397" s="1"/>
      <c r="D1397" s="1"/>
      <c r="E1397" s="1"/>
      <c r="F1397" s="1"/>
      <c r="G1397" s="1"/>
      <c r="H1397" s="1"/>
      <c r="I1397" s="1"/>
      <c r="J1397" s="1"/>
      <c r="K1397" s="1"/>
      <c r="L1397" s="1"/>
      <c r="M1397" s="1"/>
      <c r="N1397" s="1"/>
      <c r="O1397" s="1"/>
      <c r="P1397" s="1"/>
      <c r="Q1397" s="1"/>
      <c r="R1397" s="1"/>
      <c r="S1397" s="1"/>
      <c r="T1397" s="1"/>
      <c r="U1397" s="1"/>
      <c r="V1397" s="1"/>
      <c r="W1397" s="1"/>
      <c r="X1397" s="1"/>
      <c r="Y1397" s="1"/>
      <c r="Z1397" s="1"/>
      <c r="AA1397" s="1"/>
      <c r="AB1397" s="1"/>
      <c r="AC1397" s="1"/>
      <c r="AD1397" s="1"/>
      <c r="AE1397" s="1"/>
      <c r="AF1397" s="1"/>
      <c r="AG1397" s="1"/>
      <c r="AH1397" s="1"/>
      <c r="AI1397" s="1"/>
    </row>
    <row r="1398" customHeight="1" spans="1:35">
      <c r="A1398" s="1"/>
      <c r="B1398" s="1"/>
      <c r="C1398" s="1"/>
      <c r="D1398" s="1"/>
      <c r="E1398" s="1"/>
      <c r="F1398" s="1"/>
      <c r="G1398" s="1"/>
      <c r="H1398" s="1"/>
      <c r="I1398" s="1"/>
      <c r="J1398" s="1"/>
      <c r="K1398" s="1"/>
      <c r="L1398" s="1"/>
      <c r="M1398" s="1"/>
      <c r="N1398" s="1"/>
      <c r="O1398" s="1"/>
      <c r="P1398" s="1"/>
      <c r="Q1398" s="1"/>
      <c r="R1398" s="1"/>
      <c r="S1398" s="1"/>
      <c r="T1398" s="1"/>
      <c r="U1398" s="1"/>
      <c r="V1398" s="1"/>
      <c r="W1398" s="1"/>
      <c r="X1398" s="1"/>
      <c r="Y1398" s="1"/>
      <c r="Z1398" s="1"/>
      <c r="AA1398" s="1"/>
      <c r="AB1398" s="1"/>
      <c r="AC1398" s="1"/>
      <c r="AD1398" s="1"/>
      <c r="AE1398" s="1"/>
      <c r="AF1398" s="1"/>
      <c r="AG1398" s="1"/>
      <c r="AH1398" s="1"/>
      <c r="AI1398" s="1"/>
    </row>
    <row r="1399" customHeight="1" spans="1:35">
      <c r="A1399" s="1"/>
      <c r="B1399" s="1"/>
      <c r="C1399" s="1"/>
      <c r="D1399" s="1"/>
      <c r="E1399" s="1"/>
      <c r="F1399" s="1"/>
      <c r="G1399" s="1"/>
      <c r="H1399" s="1"/>
      <c r="I1399" s="1"/>
      <c r="J1399" s="1"/>
      <c r="K1399" s="1"/>
      <c r="L1399" s="1"/>
      <c r="M1399" s="1"/>
      <c r="N1399" s="1"/>
      <c r="O1399" s="1"/>
      <c r="P1399" s="1"/>
      <c r="Q1399" s="1"/>
      <c r="R1399" s="1"/>
      <c r="S1399" s="1"/>
      <c r="T1399" s="1"/>
      <c r="U1399" s="1"/>
      <c r="V1399" s="1"/>
      <c r="W1399" s="1"/>
      <c r="X1399" s="1"/>
      <c r="Y1399" s="1"/>
      <c r="Z1399" s="1"/>
      <c r="AA1399" s="1"/>
      <c r="AB1399" s="1"/>
      <c r="AC1399" s="1"/>
      <c r="AD1399" s="1"/>
      <c r="AE1399" s="1"/>
      <c r="AF1399" s="1"/>
      <c r="AG1399" s="1"/>
      <c r="AH1399" s="1"/>
      <c r="AI1399" s="1"/>
    </row>
    <row r="1400" customHeight="1" spans="1:35">
      <c r="A1400" s="1"/>
      <c r="B1400" s="1"/>
      <c r="C1400" s="1"/>
      <c r="D1400" s="1"/>
      <c r="E1400" s="1"/>
      <c r="F1400" s="1"/>
      <c r="G1400" s="1"/>
      <c r="H1400" s="1"/>
      <c r="I1400" s="1"/>
      <c r="J1400" s="1"/>
      <c r="K1400" s="1"/>
      <c r="L1400" s="1"/>
      <c r="M1400" s="1"/>
      <c r="N1400" s="1"/>
      <c r="O1400" s="1"/>
      <c r="P1400" s="1"/>
      <c r="Q1400" s="1"/>
      <c r="R1400" s="1"/>
      <c r="S1400" s="1"/>
      <c r="T1400" s="1"/>
      <c r="U1400" s="1"/>
      <c r="V1400" s="1"/>
      <c r="W1400" s="1"/>
      <c r="X1400" s="1"/>
      <c r="Y1400" s="1"/>
      <c r="Z1400" s="1"/>
      <c r="AA1400" s="1"/>
      <c r="AB1400" s="1"/>
      <c r="AC1400" s="1"/>
      <c r="AD1400" s="1"/>
      <c r="AE1400" s="1"/>
      <c r="AF1400" s="1"/>
      <c r="AG1400" s="1"/>
      <c r="AH1400" s="1"/>
      <c r="AI1400" s="1"/>
    </row>
    <row r="1401" customHeight="1" spans="1:35">
      <c r="A1401" s="1"/>
      <c r="B1401" s="1"/>
      <c r="C1401" s="1"/>
      <c r="D1401" s="1"/>
      <c r="E1401" s="1"/>
      <c r="F1401" s="1"/>
      <c r="G1401" s="1"/>
      <c r="H1401" s="1"/>
      <c r="I1401" s="1"/>
      <c r="J1401" s="1"/>
      <c r="K1401" s="1"/>
      <c r="L1401" s="1"/>
      <c r="M1401" s="1"/>
      <c r="N1401" s="1"/>
      <c r="O1401" s="1"/>
      <c r="P1401" s="1"/>
      <c r="Q1401" s="1"/>
      <c r="R1401" s="1"/>
      <c r="S1401" s="1"/>
      <c r="T1401" s="1"/>
      <c r="U1401" s="1"/>
      <c r="V1401" s="1"/>
      <c r="W1401" s="1"/>
      <c r="X1401" s="1"/>
      <c r="Y1401" s="1"/>
      <c r="Z1401" s="1"/>
      <c r="AA1401" s="1"/>
      <c r="AB1401" s="1"/>
      <c r="AC1401" s="1"/>
      <c r="AD1401" s="1"/>
      <c r="AE1401" s="1"/>
      <c r="AF1401" s="1"/>
      <c r="AG1401" s="1"/>
      <c r="AH1401" s="1"/>
      <c r="AI1401" s="1"/>
    </row>
    <row r="1402" customHeight="1" spans="1:35">
      <c r="A1402" s="1"/>
      <c r="B1402" s="1"/>
      <c r="C1402" s="1"/>
      <c r="D1402" s="1"/>
      <c r="E1402" s="1"/>
      <c r="F1402" s="1"/>
      <c r="G1402" s="1"/>
      <c r="H1402" s="1"/>
      <c r="I1402" s="1"/>
      <c r="J1402" s="1"/>
      <c r="K1402" s="1"/>
      <c r="L1402" s="1"/>
      <c r="M1402" s="1"/>
      <c r="N1402" s="1"/>
      <c r="O1402" s="1"/>
      <c r="P1402" s="1"/>
      <c r="Q1402" s="1"/>
      <c r="R1402" s="1"/>
      <c r="S1402" s="1"/>
      <c r="T1402" s="1"/>
      <c r="U1402" s="1"/>
      <c r="V1402" s="1"/>
      <c r="W1402" s="1"/>
      <c r="X1402" s="1"/>
      <c r="Y1402" s="1"/>
      <c r="Z1402" s="1"/>
      <c r="AA1402" s="1"/>
      <c r="AB1402" s="1"/>
      <c r="AC1402" s="1"/>
      <c r="AD1402" s="1"/>
      <c r="AE1402" s="1"/>
      <c r="AF1402" s="1"/>
      <c r="AG1402" s="1"/>
      <c r="AH1402" s="1"/>
      <c r="AI1402" s="1"/>
    </row>
    <row r="1403" customHeight="1" spans="1:35">
      <c r="A1403" s="1"/>
      <c r="B1403" s="1"/>
      <c r="C1403" s="1"/>
      <c r="D1403" s="1"/>
      <c r="E1403" s="1"/>
      <c r="F1403" s="1"/>
      <c r="G1403" s="1"/>
      <c r="H1403" s="1"/>
      <c r="I1403" s="1"/>
      <c r="J1403" s="1"/>
      <c r="K1403" s="1"/>
      <c r="L1403" s="1"/>
      <c r="M1403" s="1"/>
      <c r="N1403" s="1"/>
      <c r="O1403" s="1"/>
      <c r="P1403" s="1"/>
      <c r="Q1403" s="1"/>
      <c r="R1403" s="1"/>
      <c r="S1403" s="1"/>
      <c r="T1403" s="1"/>
      <c r="U1403" s="1"/>
      <c r="V1403" s="1"/>
      <c r="W1403" s="1"/>
      <c r="X1403" s="1"/>
      <c r="Y1403" s="1"/>
      <c r="Z1403" s="1"/>
      <c r="AA1403" s="1"/>
      <c r="AB1403" s="1"/>
      <c r="AC1403" s="1"/>
      <c r="AD1403" s="1"/>
      <c r="AE1403" s="1"/>
      <c r="AF1403" s="1"/>
      <c r="AG1403" s="1"/>
      <c r="AH1403" s="1"/>
      <c r="AI1403" s="1"/>
    </row>
    <row r="1404" customHeight="1" spans="1:35">
      <c r="A1404" s="1"/>
      <c r="B1404" s="1"/>
      <c r="C1404" s="1"/>
      <c r="D1404" s="1"/>
      <c r="E1404" s="1"/>
      <c r="F1404" s="1"/>
      <c r="G1404" s="1"/>
      <c r="H1404" s="1"/>
      <c r="I1404" s="1"/>
      <c r="J1404" s="1"/>
      <c r="K1404" s="1"/>
      <c r="L1404" s="1"/>
      <c r="M1404" s="1"/>
      <c r="N1404" s="1"/>
      <c r="O1404" s="1"/>
      <c r="P1404" s="1"/>
      <c r="Q1404" s="1"/>
      <c r="R1404" s="1"/>
      <c r="S1404" s="1"/>
      <c r="T1404" s="1"/>
      <c r="U1404" s="1"/>
      <c r="V1404" s="1"/>
      <c r="W1404" s="1"/>
      <c r="X1404" s="1"/>
      <c r="Y1404" s="1"/>
      <c r="Z1404" s="1"/>
      <c r="AA1404" s="1"/>
      <c r="AB1404" s="1"/>
      <c r="AC1404" s="1"/>
      <c r="AD1404" s="1"/>
      <c r="AE1404" s="1"/>
      <c r="AF1404" s="1"/>
      <c r="AG1404" s="1"/>
      <c r="AH1404" s="1"/>
      <c r="AI1404" s="1"/>
    </row>
    <row r="1405" customHeight="1" spans="1:35">
      <c r="A1405" s="1"/>
      <c r="B1405" s="1"/>
      <c r="C1405" s="1"/>
      <c r="D1405" s="1"/>
      <c r="E1405" s="1"/>
      <c r="F1405" s="1"/>
      <c r="G1405" s="1"/>
      <c r="H1405" s="1"/>
      <c r="I1405" s="1"/>
      <c r="J1405" s="1"/>
      <c r="K1405" s="1"/>
      <c r="L1405" s="1"/>
      <c r="M1405" s="1"/>
      <c r="N1405" s="1"/>
      <c r="O1405" s="1"/>
      <c r="P1405" s="1"/>
      <c r="Q1405" s="1"/>
      <c r="R1405" s="1"/>
      <c r="S1405" s="1"/>
      <c r="T1405" s="1"/>
      <c r="U1405" s="1"/>
      <c r="V1405" s="1"/>
      <c r="W1405" s="1"/>
      <c r="X1405" s="1"/>
      <c r="Y1405" s="1"/>
      <c r="Z1405" s="1"/>
      <c r="AA1405" s="1"/>
      <c r="AB1405" s="1"/>
      <c r="AC1405" s="1"/>
      <c r="AD1405" s="1"/>
      <c r="AE1405" s="1"/>
      <c r="AF1405" s="1"/>
      <c r="AG1405" s="1"/>
      <c r="AH1405" s="1"/>
      <c r="AI1405" s="1"/>
    </row>
    <row r="1406" customHeight="1" spans="1:35">
      <c r="A1406" s="1"/>
      <c r="B1406" s="1"/>
      <c r="C1406" s="1"/>
      <c r="D1406" s="1"/>
      <c r="E1406" s="1"/>
      <c r="F1406" s="1"/>
      <c r="G1406" s="1"/>
      <c r="H1406" s="1"/>
      <c r="I1406" s="1"/>
      <c r="J1406" s="1"/>
      <c r="K1406" s="1"/>
      <c r="L1406" s="1"/>
      <c r="M1406" s="1"/>
      <c r="N1406" s="1"/>
      <c r="O1406" s="1"/>
      <c r="P1406" s="1"/>
      <c r="Q1406" s="1"/>
      <c r="R1406" s="1"/>
      <c r="S1406" s="1"/>
      <c r="T1406" s="1"/>
      <c r="U1406" s="1"/>
      <c r="V1406" s="1"/>
      <c r="W1406" s="1"/>
      <c r="X1406" s="1"/>
      <c r="Y1406" s="1"/>
      <c r="Z1406" s="1"/>
      <c r="AA1406" s="1"/>
      <c r="AB1406" s="1"/>
      <c r="AC1406" s="1"/>
      <c r="AD1406" s="1"/>
      <c r="AE1406" s="1"/>
      <c r="AF1406" s="1"/>
      <c r="AG1406" s="1"/>
      <c r="AH1406" s="1"/>
      <c r="AI1406" s="1"/>
    </row>
    <row r="1407" customHeight="1" spans="1:35">
      <c r="A1407" s="1"/>
      <c r="B1407" s="1"/>
      <c r="C1407" s="1"/>
      <c r="D1407" s="1"/>
      <c r="E1407" s="1"/>
      <c r="F1407" s="1"/>
      <c r="G1407" s="1"/>
      <c r="H1407" s="1"/>
      <c r="I1407" s="1"/>
      <c r="J1407" s="1"/>
      <c r="K1407" s="1"/>
      <c r="L1407" s="1"/>
      <c r="M1407" s="1"/>
      <c r="N1407" s="1"/>
      <c r="O1407" s="1"/>
      <c r="P1407" s="1"/>
      <c r="Q1407" s="1"/>
      <c r="R1407" s="1"/>
      <c r="S1407" s="1"/>
      <c r="T1407" s="1"/>
      <c r="U1407" s="1"/>
      <c r="V1407" s="1"/>
      <c r="W1407" s="1"/>
      <c r="X1407" s="1"/>
      <c r="Y1407" s="1"/>
      <c r="Z1407" s="1"/>
      <c r="AA1407" s="1"/>
      <c r="AB1407" s="1"/>
      <c r="AC1407" s="1"/>
      <c r="AD1407" s="1"/>
      <c r="AE1407" s="1"/>
      <c r="AF1407" s="1"/>
      <c r="AG1407" s="1"/>
      <c r="AH1407" s="1"/>
      <c r="AI1407" s="1"/>
    </row>
    <row r="1408" customHeight="1" spans="1:35">
      <c r="A1408" s="1"/>
      <c r="B1408" s="1"/>
      <c r="C1408" s="1"/>
      <c r="D1408" s="1"/>
      <c r="E1408" s="1"/>
      <c r="F1408" s="1"/>
      <c r="G1408" s="1"/>
      <c r="H1408" s="1"/>
      <c r="I1408" s="1"/>
      <c r="J1408" s="1"/>
      <c r="K1408" s="1"/>
      <c r="L1408" s="1"/>
      <c r="M1408" s="1"/>
      <c r="N1408" s="1"/>
      <c r="O1408" s="1"/>
      <c r="P1408" s="1"/>
      <c r="Q1408" s="1"/>
      <c r="R1408" s="1"/>
      <c r="S1408" s="1"/>
      <c r="T1408" s="1"/>
      <c r="U1408" s="1"/>
      <c r="V1408" s="1"/>
      <c r="W1408" s="1"/>
      <c r="X1408" s="1"/>
      <c r="Y1408" s="1"/>
      <c r="Z1408" s="1"/>
      <c r="AA1408" s="1"/>
      <c r="AB1408" s="1"/>
      <c r="AC1408" s="1"/>
      <c r="AD1408" s="1"/>
      <c r="AE1408" s="1"/>
      <c r="AF1408" s="1"/>
      <c r="AG1408" s="1"/>
      <c r="AH1408" s="1"/>
      <c r="AI1408" s="1"/>
    </row>
    <row r="1409" customHeight="1" spans="1:35">
      <c r="A1409" s="1"/>
      <c r="B1409" s="1"/>
      <c r="C1409" s="1"/>
      <c r="D1409" s="1"/>
      <c r="E1409" s="1"/>
      <c r="F1409" s="1"/>
      <c r="G1409" s="1"/>
      <c r="H1409" s="1"/>
      <c r="I1409" s="1"/>
      <c r="J1409" s="1"/>
      <c r="K1409" s="1"/>
      <c r="L1409" s="1"/>
      <c r="M1409" s="1"/>
      <c r="N1409" s="1"/>
      <c r="O1409" s="1"/>
      <c r="P1409" s="1"/>
      <c r="Q1409" s="1"/>
      <c r="R1409" s="1"/>
      <c r="S1409" s="1"/>
      <c r="T1409" s="1"/>
      <c r="U1409" s="1"/>
      <c r="V1409" s="1"/>
      <c r="W1409" s="1"/>
      <c r="X1409" s="1"/>
      <c r="Y1409" s="1"/>
      <c r="Z1409" s="1"/>
      <c r="AA1409" s="1"/>
      <c r="AB1409" s="1"/>
      <c r="AC1409" s="1"/>
      <c r="AD1409" s="1"/>
      <c r="AE1409" s="1"/>
      <c r="AF1409" s="1"/>
      <c r="AG1409" s="1"/>
      <c r="AH1409" s="1"/>
      <c r="AI1409" s="1"/>
    </row>
    <row r="1410" customHeight="1" spans="1:35">
      <c r="A1410" s="1"/>
      <c r="B1410" s="1"/>
      <c r="C1410" s="1"/>
      <c r="D1410" s="1"/>
      <c r="E1410" s="1"/>
      <c r="F1410" s="1"/>
      <c r="G1410" s="1"/>
      <c r="H1410" s="1"/>
      <c r="I1410" s="1"/>
      <c r="J1410" s="1"/>
      <c r="K1410" s="1"/>
      <c r="L1410" s="1"/>
      <c r="M1410" s="1"/>
      <c r="N1410" s="1"/>
      <c r="O1410" s="1"/>
      <c r="P1410" s="1"/>
      <c r="Q1410" s="1"/>
      <c r="R1410" s="1"/>
      <c r="S1410" s="1"/>
      <c r="T1410" s="1"/>
      <c r="U1410" s="1"/>
      <c r="V1410" s="1"/>
      <c r="W1410" s="1"/>
      <c r="X1410" s="1"/>
      <c r="Y1410" s="1"/>
      <c r="Z1410" s="1"/>
      <c r="AA1410" s="1"/>
      <c r="AB1410" s="1"/>
      <c r="AC1410" s="1"/>
      <c r="AD1410" s="1"/>
      <c r="AE1410" s="1"/>
      <c r="AF1410" s="1"/>
      <c r="AG1410" s="1"/>
      <c r="AH1410" s="1"/>
      <c r="AI1410" s="1"/>
    </row>
    <row r="1411" customHeight="1" spans="1:35">
      <c r="A1411" s="1"/>
      <c r="B1411" s="1"/>
      <c r="C1411" s="1"/>
      <c r="D1411" s="1"/>
      <c r="E1411" s="1"/>
      <c r="F1411" s="1"/>
      <c r="G1411" s="1"/>
      <c r="H1411" s="1"/>
      <c r="I1411" s="1"/>
      <c r="J1411" s="1"/>
      <c r="K1411" s="1"/>
      <c r="L1411" s="1"/>
      <c r="M1411" s="1"/>
      <c r="N1411" s="1"/>
      <c r="O1411" s="1"/>
      <c r="P1411" s="1"/>
      <c r="Q1411" s="1"/>
      <c r="R1411" s="1"/>
      <c r="S1411" s="1"/>
      <c r="T1411" s="1"/>
      <c r="U1411" s="1"/>
      <c r="V1411" s="1"/>
      <c r="W1411" s="1"/>
      <c r="X1411" s="1"/>
      <c r="Y1411" s="1"/>
      <c r="Z1411" s="1"/>
      <c r="AA1411" s="1"/>
      <c r="AB1411" s="1"/>
      <c r="AC1411" s="1"/>
      <c r="AD1411" s="1"/>
      <c r="AE1411" s="1"/>
      <c r="AF1411" s="1"/>
      <c r="AG1411" s="1"/>
      <c r="AH1411" s="1"/>
      <c r="AI1411" s="1"/>
    </row>
    <row r="1412" customHeight="1" spans="1:35">
      <c r="A1412" s="1"/>
      <c r="B1412" s="1"/>
      <c r="C1412" s="1"/>
      <c r="D1412" s="1"/>
      <c r="E1412" s="1"/>
      <c r="F1412" s="1"/>
      <c r="G1412" s="1"/>
      <c r="H1412" s="1"/>
      <c r="I1412" s="1"/>
      <c r="J1412" s="1"/>
      <c r="K1412" s="1"/>
      <c r="L1412" s="1"/>
      <c r="M1412" s="1"/>
      <c r="N1412" s="1"/>
      <c r="O1412" s="1"/>
      <c r="P1412" s="1"/>
      <c r="Q1412" s="1"/>
      <c r="R1412" s="1"/>
      <c r="S1412" s="1"/>
      <c r="T1412" s="1"/>
      <c r="U1412" s="1"/>
      <c r="V1412" s="1"/>
      <c r="W1412" s="1"/>
      <c r="X1412" s="1"/>
      <c r="Y1412" s="1"/>
      <c r="Z1412" s="1"/>
      <c r="AA1412" s="1"/>
      <c r="AB1412" s="1"/>
      <c r="AC1412" s="1"/>
      <c r="AD1412" s="1"/>
      <c r="AE1412" s="1"/>
      <c r="AF1412" s="1"/>
      <c r="AG1412" s="1"/>
      <c r="AH1412" s="1"/>
      <c r="AI1412" s="1"/>
    </row>
    <row r="1413" customHeight="1" spans="1:35">
      <c r="A1413" s="1"/>
      <c r="B1413" s="1"/>
      <c r="C1413" s="1"/>
      <c r="D1413" s="1"/>
      <c r="E1413" s="1"/>
      <c r="F1413" s="1"/>
      <c r="G1413" s="1"/>
      <c r="H1413" s="1"/>
      <c r="I1413" s="1"/>
      <c r="J1413" s="1"/>
      <c r="K1413" s="1"/>
      <c r="L1413" s="1"/>
      <c r="M1413" s="1"/>
      <c r="N1413" s="1"/>
      <c r="O1413" s="1"/>
      <c r="P1413" s="1"/>
      <c r="Q1413" s="1"/>
      <c r="R1413" s="1"/>
      <c r="S1413" s="1"/>
      <c r="T1413" s="1"/>
      <c r="U1413" s="1"/>
      <c r="V1413" s="1"/>
      <c r="W1413" s="1"/>
      <c r="X1413" s="1"/>
      <c r="Y1413" s="1"/>
      <c r="Z1413" s="1"/>
      <c r="AA1413" s="1"/>
      <c r="AB1413" s="1"/>
      <c r="AC1413" s="1"/>
      <c r="AD1413" s="1"/>
      <c r="AE1413" s="1"/>
      <c r="AF1413" s="1"/>
      <c r="AG1413" s="1"/>
      <c r="AH1413" s="1"/>
      <c r="AI1413" s="1"/>
    </row>
    <row r="1414" customHeight="1" spans="1:35">
      <c r="A1414" s="1"/>
      <c r="B1414" s="1"/>
      <c r="C1414" s="1"/>
      <c r="D1414" s="1"/>
      <c r="E1414" s="1"/>
      <c r="F1414" s="1"/>
      <c r="G1414" s="1"/>
      <c r="H1414" s="1"/>
      <c r="I1414" s="1"/>
      <c r="J1414" s="1"/>
      <c r="K1414" s="1"/>
      <c r="L1414" s="1"/>
      <c r="M1414" s="1"/>
      <c r="N1414" s="1"/>
      <c r="O1414" s="1"/>
      <c r="P1414" s="1"/>
      <c r="Q1414" s="1"/>
      <c r="R1414" s="1"/>
      <c r="S1414" s="1"/>
      <c r="T1414" s="1"/>
      <c r="U1414" s="1"/>
      <c r="V1414" s="1"/>
      <c r="W1414" s="1"/>
      <c r="X1414" s="1"/>
      <c r="Y1414" s="1"/>
      <c r="Z1414" s="1"/>
      <c r="AA1414" s="1"/>
      <c r="AB1414" s="1"/>
      <c r="AC1414" s="1"/>
      <c r="AD1414" s="1"/>
      <c r="AE1414" s="1"/>
      <c r="AF1414" s="1"/>
      <c r="AG1414" s="1"/>
      <c r="AH1414" s="1"/>
      <c r="AI1414" s="1"/>
    </row>
    <row r="1415" customHeight="1" spans="1:35">
      <c r="A1415" s="1"/>
      <c r="B1415" s="1"/>
      <c r="C1415" s="1"/>
      <c r="D1415" s="1"/>
      <c r="E1415" s="1"/>
      <c r="F1415" s="1"/>
      <c r="G1415" s="1"/>
      <c r="H1415" s="1"/>
      <c r="I1415" s="1"/>
      <c r="J1415" s="1"/>
      <c r="K1415" s="1"/>
      <c r="L1415" s="1"/>
      <c r="M1415" s="1"/>
      <c r="N1415" s="1"/>
      <c r="O1415" s="1"/>
      <c r="P1415" s="1"/>
      <c r="Q1415" s="1"/>
      <c r="R1415" s="1"/>
      <c r="S1415" s="1"/>
      <c r="T1415" s="1"/>
      <c r="U1415" s="1"/>
      <c r="V1415" s="1"/>
      <c r="W1415" s="1"/>
      <c r="X1415" s="1"/>
      <c r="Y1415" s="1"/>
      <c r="Z1415" s="1"/>
      <c r="AA1415" s="1"/>
      <c r="AB1415" s="1"/>
      <c r="AC1415" s="1"/>
      <c r="AD1415" s="1"/>
      <c r="AE1415" s="1"/>
      <c r="AF1415" s="1"/>
      <c r="AG1415" s="1"/>
      <c r="AH1415" s="1"/>
      <c r="AI1415" s="1"/>
    </row>
    <row r="1416" customHeight="1" spans="1:35">
      <c r="A1416" s="1"/>
      <c r="B1416" s="1"/>
      <c r="C1416" s="1"/>
      <c r="D1416" s="1"/>
      <c r="E1416" s="1"/>
      <c r="F1416" s="1"/>
      <c r="G1416" s="1"/>
      <c r="H1416" s="1"/>
      <c r="I1416" s="1"/>
      <c r="J1416" s="1"/>
      <c r="K1416" s="1"/>
      <c r="L1416" s="1"/>
      <c r="M1416" s="1"/>
      <c r="N1416" s="1"/>
      <c r="O1416" s="1"/>
      <c r="P1416" s="1"/>
      <c r="Q1416" s="1"/>
      <c r="R1416" s="1"/>
      <c r="S1416" s="1"/>
      <c r="T1416" s="1"/>
      <c r="U1416" s="1"/>
      <c r="V1416" s="1"/>
      <c r="W1416" s="1"/>
      <c r="X1416" s="1"/>
      <c r="Y1416" s="1"/>
      <c r="Z1416" s="1"/>
      <c r="AA1416" s="1"/>
      <c r="AB1416" s="1"/>
      <c r="AC1416" s="1"/>
      <c r="AD1416" s="1"/>
      <c r="AE1416" s="1"/>
      <c r="AF1416" s="1"/>
      <c r="AG1416" s="1"/>
      <c r="AH1416" s="1"/>
      <c r="AI1416" s="1"/>
    </row>
    <row r="1417" customHeight="1" spans="1:35">
      <c r="A1417" s="1"/>
      <c r="B1417" s="1"/>
      <c r="C1417" s="1"/>
      <c r="D1417" s="1"/>
      <c r="E1417" s="1"/>
      <c r="F1417" s="1"/>
      <c r="G1417" s="1"/>
      <c r="H1417" s="1"/>
      <c r="I1417" s="1"/>
      <c r="J1417" s="1"/>
      <c r="K1417" s="1"/>
      <c r="L1417" s="1"/>
      <c r="M1417" s="1"/>
      <c r="N1417" s="1"/>
      <c r="O1417" s="1"/>
      <c r="P1417" s="1"/>
      <c r="Q1417" s="1"/>
      <c r="R1417" s="1"/>
      <c r="S1417" s="1"/>
      <c r="T1417" s="1"/>
      <c r="U1417" s="1"/>
      <c r="V1417" s="1"/>
      <c r="W1417" s="1"/>
      <c r="X1417" s="1"/>
      <c r="Y1417" s="1"/>
      <c r="Z1417" s="1"/>
      <c r="AA1417" s="1"/>
      <c r="AB1417" s="1"/>
      <c r="AC1417" s="1"/>
      <c r="AD1417" s="1"/>
      <c r="AE1417" s="1"/>
      <c r="AF1417" s="1"/>
      <c r="AG1417" s="1"/>
      <c r="AH1417" s="1"/>
      <c r="AI1417" s="1"/>
    </row>
    <row r="1418" customHeight="1" spans="1:35">
      <c r="A1418" s="1"/>
      <c r="B1418" s="1"/>
      <c r="C1418" s="1"/>
      <c r="D1418" s="1"/>
      <c r="E1418" s="1"/>
      <c r="F1418" s="1"/>
      <c r="G1418" s="1"/>
      <c r="H1418" s="1"/>
      <c r="I1418" s="1"/>
      <c r="J1418" s="1"/>
      <c r="K1418" s="1"/>
      <c r="L1418" s="1"/>
      <c r="M1418" s="1"/>
      <c r="N1418" s="1"/>
      <c r="O1418" s="1"/>
      <c r="P1418" s="1"/>
      <c r="Q1418" s="1"/>
      <c r="R1418" s="1"/>
      <c r="S1418" s="1"/>
      <c r="T1418" s="1"/>
      <c r="U1418" s="1"/>
      <c r="V1418" s="1"/>
      <c r="W1418" s="1"/>
      <c r="X1418" s="1"/>
      <c r="Y1418" s="1"/>
      <c r="Z1418" s="1"/>
      <c r="AA1418" s="1"/>
      <c r="AB1418" s="1"/>
      <c r="AC1418" s="1"/>
      <c r="AD1418" s="1"/>
      <c r="AE1418" s="1"/>
      <c r="AF1418" s="1"/>
      <c r="AG1418" s="1"/>
      <c r="AH1418" s="1"/>
      <c r="AI1418" s="1"/>
    </row>
    <row r="1419" customHeight="1" spans="1:35">
      <c r="A1419" s="1"/>
      <c r="B1419" s="1"/>
      <c r="C1419" s="1"/>
      <c r="D1419" s="1"/>
      <c r="E1419" s="1"/>
      <c r="F1419" s="1"/>
      <c r="G1419" s="1"/>
      <c r="H1419" s="1"/>
      <c r="I1419" s="1"/>
      <c r="J1419" s="1"/>
      <c r="K1419" s="1"/>
      <c r="L1419" s="1"/>
      <c r="M1419" s="1"/>
      <c r="N1419" s="1"/>
      <c r="O1419" s="1"/>
      <c r="P1419" s="1"/>
      <c r="Q1419" s="1"/>
      <c r="R1419" s="1"/>
      <c r="S1419" s="1"/>
      <c r="T1419" s="1"/>
      <c r="U1419" s="1"/>
      <c r="V1419" s="1"/>
      <c r="W1419" s="1"/>
      <c r="X1419" s="1"/>
      <c r="Y1419" s="1"/>
      <c r="Z1419" s="1"/>
      <c r="AA1419" s="1"/>
      <c r="AB1419" s="1"/>
      <c r="AC1419" s="1"/>
      <c r="AD1419" s="1"/>
      <c r="AE1419" s="1"/>
      <c r="AF1419" s="1"/>
      <c r="AG1419" s="1"/>
      <c r="AH1419" s="1"/>
      <c r="AI1419" s="1"/>
    </row>
    <row r="1420" customHeight="1" spans="1:35">
      <c r="A1420" s="1"/>
      <c r="B1420" s="1"/>
      <c r="C1420" s="1"/>
      <c r="D1420" s="1"/>
      <c r="E1420" s="1"/>
      <c r="F1420" s="1"/>
      <c r="G1420" s="1"/>
      <c r="H1420" s="1"/>
      <c r="I1420" s="1"/>
      <c r="J1420" s="1"/>
      <c r="K1420" s="1"/>
      <c r="L1420" s="1"/>
      <c r="M1420" s="1"/>
      <c r="N1420" s="1"/>
      <c r="O1420" s="1"/>
      <c r="P1420" s="1"/>
      <c r="Q1420" s="1"/>
      <c r="R1420" s="1"/>
      <c r="S1420" s="1"/>
      <c r="T1420" s="1"/>
      <c r="U1420" s="1"/>
      <c r="V1420" s="1"/>
      <c r="W1420" s="1"/>
      <c r="X1420" s="1"/>
      <c r="Y1420" s="1"/>
      <c r="Z1420" s="1"/>
      <c r="AA1420" s="1"/>
      <c r="AB1420" s="1"/>
      <c r="AC1420" s="1"/>
      <c r="AD1420" s="1"/>
      <c r="AE1420" s="1"/>
      <c r="AF1420" s="1"/>
      <c r="AG1420" s="1"/>
      <c r="AH1420" s="1"/>
      <c r="AI1420" s="1"/>
    </row>
    <row r="1421" customHeight="1" spans="1:35">
      <c r="A1421" s="1"/>
      <c r="B1421" s="1"/>
      <c r="C1421" s="1"/>
      <c r="D1421" s="1"/>
      <c r="E1421" s="1"/>
      <c r="F1421" s="1"/>
      <c r="G1421" s="1"/>
      <c r="H1421" s="1"/>
      <c r="I1421" s="1"/>
      <c r="J1421" s="1"/>
      <c r="K1421" s="1"/>
      <c r="L1421" s="1"/>
      <c r="M1421" s="1"/>
      <c r="N1421" s="1"/>
      <c r="O1421" s="1"/>
      <c r="P1421" s="1"/>
      <c r="Q1421" s="1"/>
      <c r="R1421" s="1"/>
      <c r="S1421" s="1"/>
      <c r="T1421" s="1"/>
      <c r="U1421" s="1"/>
      <c r="V1421" s="1"/>
      <c r="W1421" s="1"/>
      <c r="X1421" s="1"/>
      <c r="Y1421" s="1"/>
      <c r="Z1421" s="1"/>
      <c r="AA1421" s="1"/>
      <c r="AB1421" s="1"/>
      <c r="AC1421" s="1"/>
      <c r="AD1421" s="1"/>
      <c r="AE1421" s="1"/>
      <c r="AF1421" s="1"/>
      <c r="AG1421" s="1"/>
      <c r="AH1421" s="1"/>
      <c r="AI1421" s="1"/>
    </row>
    <row r="1422" customHeight="1" spans="1:35">
      <c r="A1422" s="1"/>
      <c r="B1422" s="1"/>
      <c r="C1422" s="1"/>
      <c r="D1422" s="1"/>
      <c r="E1422" s="1"/>
      <c r="F1422" s="1"/>
      <c r="G1422" s="1"/>
      <c r="H1422" s="1"/>
      <c r="I1422" s="1"/>
      <c r="J1422" s="1"/>
      <c r="K1422" s="1"/>
      <c r="L1422" s="1"/>
      <c r="M1422" s="1"/>
      <c r="N1422" s="1"/>
      <c r="O1422" s="1"/>
      <c r="P1422" s="1"/>
      <c r="Q1422" s="1"/>
      <c r="R1422" s="1"/>
      <c r="S1422" s="1"/>
      <c r="T1422" s="1"/>
      <c r="U1422" s="1"/>
      <c r="V1422" s="1"/>
      <c r="W1422" s="1"/>
      <c r="X1422" s="1"/>
      <c r="Y1422" s="1"/>
      <c r="Z1422" s="1"/>
      <c r="AA1422" s="1"/>
      <c r="AB1422" s="1"/>
      <c r="AC1422" s="1"/>
      <c r="AD1422" s="1"/>
      <c r="AE1422" s="1"/>
      <c r="AF1422" s="1"/>
      <c r="AG1422" s="1"/>
      <c r="AH1422" s="1"/>
      <c r="AI1422" s="1"/>
    </row>
    <row r="1423" customHeight="1" spans="1:35">
      <c r="A1423" s="1"/>
      <c r="B1423" s="1"/>
      <c r="C1423" s="1"/>
      <c r="D1423" s="1"/>
      <c r="E1423" s="1"/>
      <c r="F1423" s="1"/>
      <c r="G1423" s="1"/>
      <c r="H1423" s="1"/>
      <c r="I1423" s="1"/>
      <c r="J1423" s="1"/>
      <c r="K1423" s="1"/>
      <c r="L1423" s="1"/>
      <c r="M1423" s="1"/>
      <c r="N1423" s="1"/>
      <c r="O1423" s="1"/>
      <c r="P1423" s="1"/>
      <c r="Q1423" s="1"/>
      <c r="R1423" s="1"/>
      <c r="S1423" s="1"/>
      <c r="T1423" s="1"/>
      <c r="U1423" s="1"/>
      <c r="V1423" s="1"/>
      <c r="W1423" s="1"/>
      <c r="X1423" s="1"/>
      <c r="Y1423" s="1"/>
      <c r="Z1423" s="1"/>
      <c r="AA1423" s="1"/>
      <c r="AB1423" s="1"/>
      <c r="AC1423" s="1"/>
      <c r="AD1423" s="1"/>
      <c r="AE1423" s="1"/>
      <c r="AF1423" s="1"/>
      <c r="AG1423" s="1"/>
      <c r="AH1423" s="1"/>
      <c r="AI1423" s="1"/>
    </row>
    <row r="1424" customHeight="1" spans="1:35">
      <c r="A1424" s="1"/>
      <c r="B1424" s="1"/>
      <c r="C1424" s="1"/>
      <c r="D1424" s="1"/>
      <c r="E1424" s="1"/>
      <c r="F1424" s="1"/>
      <c r="G1424" s="1"/>
      <c r="H1424" s="1"/>
      <c r="I1424" s="1"/>
      <c r="J1424" s="1"/>
      <c r="K1424" s="1"/>
      <c r="L1424" s="1"/>
      <c r="M1424" s="1"/>
      <c r="N1424" s="1"/>
      <c r="O1424" s="1"/>
      <c r="P1424" s="1"/>
      <c r="Q1424" s="1"/>
      <c r="R1424" s="1"/>
      <c r="S1424" s="1"/>
      <c r="T1424" s="1"/>
      <c r="U1424" s="1"/>
      <c r="V1424" s="1"/>
      <c r="W1424" s="1"/>
      <c r="X1424" s="1"/>
      <c r="Y1424" s="1"/>
      <c r="Z1424" s="1"/>
      <c r="AA1424" s="1"/>
      <c r="AB1424" s="1"/>
      <c r="AC1424" s="1"/>
      <c r="AD1424" s="1"/>
      <c r="AE1424" s="1"/>
      <c r="AF1424" s="1"/>
      <c r="AG1424" s="1"/>
      <c r="AH1424" s="1"/>
      <c r="AI1424" s="1"/>
    </row>
    <row r="1425" customHeight="1" spans="1:35">
      <c r="A1425" s="1"/>
      <c r="B1425" s="1"/>
      <c r="C1425" s="1"/>
      <c r="D1425" s="1"/>
      <c r="E1425" s="1"/>
      <c r="F1425" s="1"/>
      <c r="G1425" s="1"/>
      <c r="H1425" s="1"/>
      <c r="I1425" s="1"/>
      <c r="J1425" s="1"/>
      <c r="K1425" s="1"/>
      <c r="L1425" s="1"/>
      <c r="M1425" s="1"/>
      <c r="N1425" s="1"/>
      <c r="O1425" s="1"/>
      <c r="P1425" s="1"/>
      <c r="Q1425" s="1"/>
      <c r="R1425" s="1"/>
      <c r="S1425" s="1"/>
      <c r="T1425" s="1"/>
      <c r="U1425" s="1"/>
      <c r="V1425" s="1"/>
      <c r="W1425" s="1"/>
      <c r="X1425" s="1"/>
      <c r="Y1425" s="1"/>
      <c r="Z1425" s="1"/>
      <c r="AA1425" s="1"/>
      <c r="AB1425" s="1"/>
      <c r="AC1425" s="1"/>
      <c r="AD1425" s="1"/>
      <c r="AE1425" s="1"/>
      <c r="AF1425" s="1"/>
      <c r="AG1425" s="1"/>
      <c r="AH1425" s="1"/>
      <c r="AI1425" s="1"/>
    </row>
    <row r="1426" customHeight="1" spans="1:35">
      <c r="A1426" s="1"/>
      <c r="B1426" s="1"/>
      <c r="C1426" s="1"/>
      <c r="D1426" s="1"/>
      <c r="E1426" s="1"/>
      <c r="F1426" s="1"/>
      <c r="G1426" s="1"/>
      <c r="H1426" s="1"/>
      <c r="I1426" s="1"/>
      <c r="J1426" s="1"/>
      <c r="K1426" s="1"/>
      <c r="L1426" s="1"/>
      <c r="M1426" s="1"/>
      <c r="N1426" s="1"/>
      <c r="O1426" s="1"/>
      <c r="P1426" s="1"/>
      <c r="Q1426" s="1"/>
      <c r="R1426" s="1"/>
      <c r="S1426" s="1"/>
      <c r="T1426" s="1"/>
      <c r="U1426" s="1"/>
      <c r="V1426" s="1"/>
      <c r="W1426" s="1"/>
      <c r="X1426" s="1"/>
      <c r="Y1426" s="1"/>
      <c r="Z1426" s="1"/>
      <c r="AA1426" s="1"/>
      <c r="AB1426" s="1"/>
      <c r="AC1426" s="1"/>
      <c r="AD1426" s="1"/>
      <c r="AE1426" s="1"/>
      <c r="AF1426" s="1"/>
      <c r="AG1426" s="1"/>
      <c r="AH1426" s="1"/>
      <c r="AI1426" s="1"/>
    </row>
    <row r="1427" customHeight="1" spans="1:35">
      <c r="A1427" s="1"/>
      <c r="B1427" s="1"/>
      <c r="C1427" s="1"/>
      <c r="D1427" s="1"/>
      <c r="E1427" s="1"/>
      <c r="F1427" s="1"/>
      <c r="G1427" s="1"/>
      <c r="H1427" s="1"/>
      <c r="I1427" s="1"/>
      <c r="J1427" s="1"/>
      <c r="K1427" s="1"/>
      <c r="L1427" s="1"/>
      <c r="M1427" s="1"/>
      <c r="N1427" s="1"/>
      <c r="O1427" s="1"/>
      <c r="P1427" s="1"/>
      <c r="Q1427" s="1"/>
      <c r="R1427" s="1"/>
      <c r="S1427" s="1"/>
      <c r="T1427" s="1"/>
      <c r="U1427" s="1"/>
      <c r="V1427" s="1"/>
      <c r="W1427" s="1"/>
      <c r="X1427" s="1"/>
      <c r="Y1427" s="1"/>
      <c r="Z1427" s="1"/>
      <c r="AA1427" s="1"/>
      <c r="AB1427" s="1"/>
      <c r="AC1427" s="1"/>
      <c r="AD1427" s="1"/>
      <c r="AE1427" s="1"/>
      <c r="AF1427" s="1"/>
      <c r="AG1427" s="1"/>
      <c r="AH1427" s="1"/>
      <c r="AI1427" s="1"/>
    </row>
    <row r="1428" customHeight="1" spans="1:35">
      <c r="A1428" s="1"/>
      <c r="B1428" s="1"/>
      <c r="C1428" s="1"/>
      <c r="D1428" s="1"/>
      <c r="E1428" s="1"/>
      <c r="F1428" s="1"/>
      <c r="G1428" s="1"/>
      <c r="H1428" s="1"/>
      <c r="I1428" s="1"/>
      <c r="J1428" s="1"/>
      <c r="K1428" s="1"/>
      <c r="L1428" s="1"/>
      <c r="M1428" s="1"/>
      <c r="N1428" s="1"/>
      <c r="O1428" s="1"/>
      <c r="P1428" s="1"/>
      <c r="Q1428" s="1"/>
      <c r="R1428" s="1"/>
      <c r="S1428" s="1"/>
      <c r="T1428" s="1"/>
      <c r="U1428" s="1"/>
      <c r="V1428" s="1"/>
      <c r="W1428" s="1"/>
      <c r="X1428" s="1"/>
      <c r="Y1428" s="1"/>
      <c r="Z1428" s="1"/>
      <c r="AA1428" s="1"/>
      <c r="AB1428" s="1"/>
      <c r="AC1428" s="1"/>
      <c r="AD1428" s="1"/>
      <c r="AE1428" s="1"/>
      <c r="AF1428" s="1"/>
      <c r="AG1428" s="1"/>
      <c r="AH1428" s="1"/>
      <c r="AI1428" s="1"/>
    </row>
    <row r="1429" customHeight="1" spans="1:35">
      <c r="A1429" s="1"/>
      <c r="B1429" s="1"/>
      <c r="C1429" s="1"/>
      <c r="D1429" s="1"/>
      <c r="E1429" s="1"/>
      <c r="F1429" s="1"/>
      <c r="G1429" s="1"/>
      <c r="H1429" s="1"/>
      <c r="I1429" s="1"/>
      <c r="J1429" s="1"/>
      <c r="K1429" s="1"/>
      <c r="L1429" s="1"/>
      <c r="M1429" s="1"/>
      <c r="N1429" s="1"/>
      <c r="O1429" s="1"/>
      <c r="P1429" s="1"/>
      <c r="Q1429" s="1"/>
      <c r="R1429" s="1"/>
      <c r="S1429" s="1"/>
      <c r="T1429" s="1"/>
      <c r="U1429" s="1"/>
      <c r="V1429" s="1"/>
      <c r="W1429" s="1"/>
      <c r="X1429" s="1"/>
      <c r="Y1429" s="1"/>
      <c r="Z1429" s="1"/>
      <c r="AA1429" s="1"/>
      <c r="AB1429" s="1"/>
      <c r="AC1429" s="1"/>
      <c r="AD1429" s="1"/>
      <c r="AE1429" s="1"/>
      <c r="AF1429" s="1"/>
      <c r="AG1429" s="1"/>
      <c r="AH1429" s="1"/>
      <c r="AI1429" s="1"/>
    </row>
    <row r="1430" customHeight="1" spans="1:35">
      <c r="A1430" s="1"/>
      <c r="B1430" s="1"/>
      <c r="C1430" s="1"/>
      <c r="D1430" s="1"/>
      <c r="E1430" s="1"/>
      <c r="F1430" s="1"/>
      <c r="G1430" s="1"/>
      <c r="H1430" s="1"/>
      <c r="I1430" s="1"/>
      <c r="J1430" s="1"/>
      <c r="K1430" s="1"/>
      <c r="L1430" s="1"/>
      <c r="M1430" s="1"/>
      <c r="N1430" s="1"/>
      <c r="O1430" s="1"/>
      <c r="P1430" s="1"/>
      <c r="Q1430" s="1"/>
      <c r="R1430" s="1"/>
      <c r="S1430" s="1"/>
      <c r="T1430" s="1"/>
      <c r="U1430" s="1"/>
      <c r="V1430" s="1"/>
      <c r="W1430" s="1"/>
      <c r="X1430" s="1"/>
      <c r="Y1430" s="1"/>
      <c r="Z1430" s="1"/>
      <c r="AA1430" s="1"/>
      <c r="AB1430" s="1"/>
      <c r="AC1430" s="1"/>
      <c r="AD1430" s="1"/>
      <c r="AE1430" s="1"/>
      <c r="AF1430" s="1"/>
      <c r="AG1430" s="1"/>
      <c r="AH1430" s="1"/>
      <c r="AI1430" s="1"/>
    </row>
    <row r="1431" customHeight="1" spans="1:35">
      <c r="A1431" s="1"/>
      <c r="B1431" s="1"/>
      <c r="C1431" s="1"/>
      <c r="D1431" s="1"/>
      <c r="E1431" s="1"/>
      <c r="F1431" s="1"/>
      <c r="G1431" s="1"/>
      <c r="H1431" s="1"/>
      <c r="I1431" s="1"/>
      <c r="J1431" s="1"/>
      <c r="K1431" s="1"/>
      <c r="L1431" s="1"/>
      <c r="M1431" s="1"/>
      <c r="N1431" s="1"/>
      <c r="O1431" s="1"/>
      <c r="P1431" s="1"/>
      <c r="Q1431" s="1"/>
      <c r="R1431" s="1"/>
      <c r="S1431" s="1"/>
      <c r="T1431" s="1"/>
      <c r="U1431" s="1"/>
      <c r="V1431" s="1"/>
      <c r="W1431" s="1"/>
      <c r="X1431" s="1"/>
      <c r="Y1431" s="1"/>
      <c r="Z1431" s="1"/>
      <c r="AA1431" s="1"/>
      <c r="AB1431" s="1"/>
      <c r="AC1431" s="1"/>
      <c r="AD1431" s="1"/>
      <c r="AE1431" s="1"/>
      <c r="AF1431" s="1"/>
      <c r="AG1431" s="1"/>
      <c r="AH1431" s="1"/>
      <c r="AI1431" s="1"/>
    </row>
    <row r="1432" customHeight="1" spans="1:35">
      <c r="A1432" s="1"/>
      <c r="B1432" s="1"/>
      <c r="C1432" s="1"/>
      <c r="D1432" s="1"/>
      <c r="E1432" s="1"/>
      <c r="F1432" s="1"/>
      <c r="G1432" s="1"/>
      <c r="H1432" s="1"/>
      <c r="I1432" s="1"/>
      <c r="J1432" s="1"/>
      <c r="K1432" s="1"/>
      <c r="L1432" s="1"/>
      <c r="M1432" s="1"/>
      <c r="N1432" s="1"/>
      <c r="O1432" s="1"/>
      <c r="P1432" s="1"/>
      <c r="Q1432" s="1"/>
      <c r="R1432" s="1"/>
      <c r="S1432" s="1"/>
      <c r="T1432" s="1"/>
      <c r="U1432" s="1"/>
      <c r="V1432" s="1"/>
      <c r="W1432" s="1"/>
      <c r="X1432" s="1"/>
      <c r="Y1432" s="1"/>
      <c r="Z1432" s="1"/>
      <c r="AA1432" s="1"/>
      <c r="AB1432" s="1"/>
      <c r="AC1432" s="1"/>
      <c r="AD1432" s="1"/>
      <c r="AE1432" s="1"/>
      <c r="AF1432" s="1"/>
      <c r="AG1432" s="1"/>
      <c r="AH1432" s="1"/>
      <c r="AI1432" s="1"/>
    </row>
    <row r="1433" customHeight="1" spans="1:35">
      <c r="A1433" s="1"/>
      <c r="B1433" s="1"/>
      <c r="C1433" s="1"/>
      <c r="D1433" s="1"/>
      <c r="E1433" s="1"/>
      <c r="F1433" s="1"/>
      <c r="G1433" s="1"/>
      <c r="H1433" s="1"/>
      <c r="I1433" s="1"/>
      <c r="J1433" s="1"/>
      <c r="K1433" s="1"/>
      <c r="L1433" s="1"/>
      <c r="M1433" s="1"/>
      <c r="N1433" s="1"/>
      <c r="O1433" s="1"/>
      <c r="P1433" s="1"/>
      <c r="Q1433" s="1"/>
      <c r="R1433" s="1"/>
      <c r="S1433" s="1"/>
      <c r="T1433" s="1"/>
      <c r="U1433" s="1"/>
      <c r="V1433" s="1"/>
      <c r="W1433" s="1"/>
      <c r="X1433" s="1"/>
      <c r="Y1433" s="1"/>
      <c r="Z1433" s="1"/>
      <c r="AA1433" s="1"/>
      <c r="AB1433" s="1"/>
      <c r="AC1433" s="1"/>
      <c r="AD1433" s="1"/>
      <c r="AE1433" s="1"/>
      <c r="AF1433" s="1"/>
      <c r="AG1433" s="1"/>
      <c r="AH1433" s="1"/>
      <c r="AI1433" s="1"/>
    </row>
    <row r="1434" customHeight="1" spans="1:35">
      <c r="A1434" s="1"/>
      <c r="B1434" s="1"/>
      <c r="C1434" s="1"/>
      <c r="D1434" s="1"/>
      <c r="E1434" s="1"/>
      <c r="F1434" s="1"/>
      <c r="G1434" s="1"/>
      <c r="H1434" s="1"/>
      <c r="I1434" s="1"/>
      <c r="J1434" s="1"/>
      <c r="K1434" s="1"/>
      <c r="L1434" s="1"/>
      <c r="M1434" s="1"/>
      <c r="N1434" s="1"/>
      <c r="O1434" s="1"/>
      <c r="P1434" s="1"/>
      <c r="Q1434" s="1"/>
      <c r="R1434" s="1"/>
      <c r="S1434" s="1"/>
      <c r="T1434" s="1"/>
      <c r="U1434" s="1"/>
      <c r="V1434" s="1"/>
      <c r="W1434" s="1"/>
      <c r="X1434" s="1"/>
      <c r="Y1434" s="1"/>
      <c r="Z1434" s="1"/>
      <c r="AA1434" s="1"/>
      <c r="AB1434" s="1"/>
      <c r="AC1434" s="1"/>
      <c r="AD1434" s="1"/>
      <c r="AE1434" s="1"/>
      <c r="AF1434" s="1"/>
      <c r="AG1434" s="1"/>
      <c r="AH1434" s="1"/>
      <c r="AI1434" s="1"/>
    </row>
    <row r="1435" customHeight="1" spans="1:35">
      <c r="A1435" s="1"/>
      <c r="B1435" s="1"/>
      <c r="C1435" s="1"/>
      <c r="D1435" s="1"/>
      <c r="E1435" s="1"/>
      <c r="F1435" s="1"/>
      <c r="G1435" s="1"/>
      <c r="H1435" s="1"/>
      <c r="I1435" s="1"/>
      <c r="J1435" s="1"/>
      <c r="K1435" s="1"/>
      <c r="L1435" s="1"/>
      <c r="M1435" s="1"/>
      <c r="N1435" s="1"/>
      <c r="O1435" s="1"/>
      <c r="P1435" s="1"/>
      <c r="Q1435" s="1"/>
      <c r="R1435" s="1"/>
      <c r="S1435" s="1"/>
      <c r="T1435" s="1"/>
      <c r="U1435" s="1"/>
      <c r="V1435" s="1"/>
      <c r="W1435" s="1"/>
      <c r="X1435" s="1"/>
      <c r="Y1435" s="1"/>
      <c r="Z1435" s="1"/>
      <c r="AA1435" s="1"/>
      <c r="AB1435" s="1"/>
      <c r="AC1435" s="1"/>
      <c r="AD1435" s="1"/>
      <c r="AE1435" s="1"/>
      <c r="AF1435" s="1"/>
      <c r="AG1435" s="1"/>
      <c r="AH1435" s="1"/>
      <c r="AI1435" s="1"/>
    </row>
    <row r="1436" customHeight="1" spans="1:35">
      <c r="A1436" s="1"/>
      <c r="B1436" s="1"/>
      <c r="C1436" s="1"/>
      <c r="D1436" s="1"/>
      <c r="E1436" s="1"/>
      <c r="F1436" s="1"/>
      <c r="G1436" s="1"/>
      <c r="H1436" s="1"/>
      <c r="I1436" s="1"/>
      <c r="J1436" s="1"/>
      <c r="K1436" s="1"/>
      <c r="L1436" s="1"/>
      <c r="M1436" s="1"/>
      <c r="N1436" s="1"/>
      <c r="O1436" s="1"/>
      <c r="P1436" s="1"/>
      <c r="Q1436" s="1"/>
      <c r="R1436" s="1"/>
      <c r="S1436" s="1"/>
      <c r="T1436" s="1"/>
      <c r="U1436" s="1"/>
      <c r="V1436" s="1"/>
      <c r="W1436" s="1"/>
      <c r="X1436" s="1"/>
      <c r="Y1436" s="1"/>
      <c r="Z1436" s="1"/>
      <c r="AA1436" s="1"/>
      <c r="AB1436" s="1"/>
      <c r="AC1436" s="1"/>
      <c r="AD1436" s="1"/>
      <c r="AE1436" s="1"/>
      <c r="AF1436" s="1"/>
      <c r="AG1436" s="1"/>
      <c r="AH1436" s="1"/>
      <c r="AI1436" s="1"/>
    </row>
    <row r="1437" customHeight="1" spans="1:35">
      <c r="A1437" s="1"/>
      <c r="B1437" s="1"/>
      <c r="C1437" s="1"/>
      <c r="D1437" s="1"/>
      <c r="E1437" s="1"/>
      <c r="F1437" s="1"/>
      <c r="G1437" s="1"/>
      <c r="H1437" s="1"/>
      <c r="I1437" s="1"/>
      <c r="J1437" s="1"/>
      <c r="K1437" s="1"/>
      <c r="L1437" s="1"/>
      <c r="M1437" s="1"/>
      <c r="N1437" s="1"/>
      <c r="O1437" s="1"/>
      <c r="P1437" s="1"/>
      <c r="Q1437" s="1"/>
      <c r="R1437" s="1"/>
      <c r="S1437" s="1"/>
      <c r="T1437" s="1"/>
      <c r="U1437" s="1"/>
      <c r="V1437" s="1"/>
      <c r="W1437" s="1"/>
      <c r="X1437" s="1"/>
      <c r="Y1437" s="1"/>
      <c r="Z1437" s="1"/>
      <c r="AA1437" s="1"/>
      <c r="AB1437" s="1"/>
      <c r="AC1437" s="1"/>
      <c r="AD1437" s="1"/>
      <c r="AE1437" s="1"/>
      <c r="AF1437" s="1"/>
      <c r="AG1437" s="1"/>
      <c r="AH1437" s="1"/>
      <c r="AI1437" s="1"/>
    </row>
    <row r="1438" customHeight="1" spans="1:35">
      <c r="A1438" s="1"/>
      <c r="B1438" s="1"/>
      <c r="C1438" s="1"/>
      <c r="D1438" s="1"/>
      <c r="E1438" s="1"/>
      <c r="F1438" s="1"/>
      <c r="G1438" s="1"/>
      <c r="H1438" s="1"/>
      <c r="I1438" s="1"/>
      <c r="J1438" s="1"/>
      <c r="K1438" s="1"/>
      <c r="L1438" s="1"/>
      <c r="M1438" s="1"/>
      <c r="N1438" s="1"/>
      <c r="O1438" s="1"/>
      <c r="P1438" s="1"/>
      <c r="Q1438" s="1"/>
      <c r="R1438" s="1"/>
      <c r="S1438" s="1"/>
      <c r="T1438" s="1"/>
      <c r="U1438" s="1"/>
      <c r="V1438" s="1"/>
      <c r="W1438" s="1"/>
      <c r="X1438" s="1"/>
      <c r="Y1438" s="1"/>
      <c r="Z1438" s="1"/>
      <c r="AA1438" s="1"/>
      <c r="AB1438" s="1"/>
      <c r="AC1438" s="1"/>
      <c r="AD1438" s="1"/>
      <c r="AE1438" s="1"/>
      <c r="AF1438" s="1"/>
      <c r="AG1438" s="1"/>
      <c r="AH1438" s="1"/>
      <c r="AI1438" s="1"/>
    </row>
    <row r="1439" customHeight="1" spans="1:35">
      <c r="A1439" s="1"/>
      <c r="B1439" s="1"/>
      <c r="C1439" s="1"/>
      <c r="D1439" s="1"/>
      <c r="E1439" s="1"/>
      <c r="F1439" s="1"/>
      <c r="G1439" s="1"/>
      <c r="H1439" s="1"/>
      <c r="I1439" s="1"/>
      <c r="J1439" s="1"/>
      <c r="K1439" s="1"/>
      <c r="L1439" s="1"/>
      <c r="M1439" s="1"/>
      <c r="N1439" s="1"/>
      <c r="O1439" s="1"/>
      <c r="P1439" s="1"/>
      <c r="Q1439" s="1"/>
      <c r="R1439" s="1"/>
      <c r="S1439" s="1"/>
      <c r="T1439" s="1"/>
      <c r="U1439" s="1"/>
      <c r="V1439" s="1"/>
      <c r="W1439" s="1"/>
      <c r="X1439" s="1"/>
      <c r="Y1439" s="1"/>
      <c r="Z1439" s="1"/>
      <c r="AA1439" s="1"/>
      <c r="AB1439" s="1"/>
      <c r="AC1439" s="1"/>
      <c r="AD1439" s="1"/>
      <c r="AE1439" s="1"/>
      <c r="AF1439" s="1"/>
      <c r="AG1439" s="1"/>
      <c r="AH1439" s="1"/>
      <c r="AI1439" s="1"/>
    </row>
    <row r="1440" customHeight="1" spans="1:35">
      <c r="A1440" s="1"/>
      <c r="B1440" s="1"/>
      <c r="C1440" s="1"/>
      <c r="D1440" s="1"/>
      <c r="E1440" s="1"/>
      <c r="F1440" s="1"/>
      <c r="G1440" s="1"/>
      <c r="H1440" s="1"/>
      <c r="I1440" s="1"/>
      <c r="J1440" s="1"/>
      <c r="K1440" s="1"/>
      <c r="L1440" s="1"/>
      <c r="M1440" s="1"/>
      <c r="N1440" s="1"/>
      <c r="O1440" s="1"/>
      <c r="P1440" s="1"/>
      <c r="Q1440" s="1"/>
      <c r="R1440" s="1"/>
      <c r="S1440" s="1"/>
      <c r="T1440" s="1"/>
      <c r="U1440" s="1"/>
      <c r="V1440" s="1"/>
      <c r="W1440" s="1"/>
      <c r="X1440" s="1"/>
      <c r="Y1440" s="1"/>
      <c r="Z1440" s="1"/>
      <c r="AA1440" s="1"/>
      <c r="AB1440" s="1"/>
      <c r="AC1440" s="1"/>
      <c r="AD1440" s="1"/>
      <c r="AE1440" s="1"/>
      <c r="AF1440" s="1"/>
      <c r="AG1440" s="1"/>
      <c r="AH1440" s="1"/>
      <c r="AI1440" s="1"/>
    </row>
    <row r="1441" customHeight="1" spans="1:35">
      <c r="A1441" s="1"/>
      <c r="B1441" s="1"/>
      <c r="C1441" s="1"/>
      <c r="D1441" s="1"/>
      <c r="E1441" s="1"/>
      <c r="F1441" s="1"/>
      <c r="G1441" s="1"/>
      <c r="H1441" s="1"/>
      <c r="I1441" s="1"/>
      <c r="J1441" s="1"/>
      <c r="K1441" s="1"/>
      <c r="L1441" s="1"/>
      <c r="M1441" s="1"/>
      <c r="N1441" s="1"/>
      <c r="O1441" s="1"/>
      <c r="P1441" s="1"/>
      <c r="Q1441" s="1"/>
      <c r="R1441" s="1"/>
      <c r="S1441" s="1"/>
      <c r="T1441" s="1"/>
      <c r="U1441" s="1"/>
      <c r="V1441" s="1"/>
      <c r="W1441" s="1"/>
      <c r="X1441" s="1"/>
      <c r="Y1441" s="1"/>
      <c r="Z1441" s="1"/>
      <c r="AA1441" s="1"/>
      <c r="AB1441" s="1"/>
      <c r="AC1441" s="1"/>
      <c r="AD1441" s="1"/>
      <c r="AE1441" s="1"/>
      <c r="AF1441" s="1"/>
      <c r="AG1441" s="1"/>
      <c r="AH1441" s="1"/>
      <c r="AI1441" s="1"/>
    </row>
    <row r="1442" customHeight="1" spans="1:35">
      <c r="A1442" s="1"/>
      <c r="B1442" s="1"/>
      <c r="C1442" s="1"/>
      <c r="D1442" s="1"/>
      <c r="E1442" s="1"/>
      <c r="F1442" s="1"/>
      <c r="G1442" s="1"/>
      <c r="H1442" s="1"/>
      <c r="I1442" s="1"/>
      <c r="J1442" s="1"/>
      <c r="K1442" s="1"/>
      <c r="L1442" s="1"/>
      <c r="M1442" s="1"/>
      <c r="N1442" s="1"/>
      <c r="O1442" s="1"/>
      <c r="P1442" s="1"/>
      <c r="Q1442" s="1"/>
      <c r="R1442" s="1"/>
      <c r="S1442" s="1"/>
      <c r="T1442" s="1"/>
      <c r="U1442" s="1"/>
      <c r="V1442" s="1"/>
      <c r="W1442" s="1"/>
      <c r="X1442" s="1"/>
      <c r="Y1442" s="1"/>
      <c r="Z1442" s="1"/>
      <c r="AA1442" s="1"/>
      <c r="AB1442" s="1"/>
      <c r="AC1442" s="1"/>
      <c r="AD1442" s="1"/>
      <c r="AE1442" s="1"/>
      <c r="AF1442" s="1"/>
      <c r="AG1442" s="1"/>
      <c r="AH1442" s="1"/>
      <c r="AI1442" s="1"/>
    </row>
    <row r="1443" customHeight="1" spans="1:35">
      <c r="A1443" s="1"/>
      <c r="B1443" s="1"/>
      <c r="C1443" s="1"/>
      <c r="D1443" s="1"/>
      <c r="E1443" s="1"/>
      <c r="F1443" s="1"/>
      <c r="G1443" s="1"/>
      <c r="H1443" s="1"/>
      <c r="I1443" s="1"/>
      <c r="J1443" s="1"/>
      <c r="K1443" s="1"/>
      <c r="L1443" s="1"/>
      <c r="M1443" s="1"/>
      <c r="N1443" s="1"/>
      <c r="O1443" s="1"/>
      <c r="P1443" s="1"/>
      <c r="Q1443" s="1"/>
      <c r="R1443" s="1"/>
      <c r="S1443" s="1"/>
      <c r="T1443" s="1"/>
      <c r="U1443" s="1"/>
      <c r="V1443" s="1"/>
      <c r="W1443" s="1"/>
      <c r="X1443" s="1"/>
      <c r="Y1443" s="1"/>
      <c r="Z1443" s="1"/>
      <c r="AA1443" s="1"/>
      <c r="AB1443" s="1"/>
      <c r="AC1443" s="1"/>
      <c r="AD1443" s="1"/>
      <c r="AE1443" s="1"/>
      <c r="AF1443" s="1"/>
      <c r="AG1443" s="1"/>
      <c r="AH1443" s="1"/>
      <c r="AI1443" s="1"/>
    </row>
    <row r="1444" customHeight="1" spans="1:35">
      <c r="A1444" s="1"/>
      <c r="B1444" s="1"/>
      <c r="C1444" s="1"/>
      <c r="D1444" s="1"/>
      <c r="E1444" s="1"/>
      <c r="F1444" s="1"/>
      <c r="G1444" s="1"/>
      <c r="H1444" s="1"/>
      <c r="I1444" s="1"/>
      <c r="J1444" s="1"/>
      <c r="K1444" s="1"/>
      <c r="L1444" s="1"/>
      <c r="M1444" s="1"/>
      <c r="N1444" s="1"/>
      <c r="O1444" s="1"/>
      <c r="P1444" s="1"/>
      <c r="Q1444" s="1"/>
      <c r="R1444" s="1"/>
      <c r="S1444" s="1"/>
      <c r="T1444" s="1"/>
      <c r="U1444" s="1"/>
      <c r="V1444" s="1"/>
      <c r="W1444" s="1"/>
      <c r="X1444" s="1"/>
      <c r="Y1444" s="1"/>
      <c r="Z1444" s="1"/>
      <c r="AA1444" s="1"/>
      <c r="AB1444" s="1"/>
      <c r="AC1444" s="1"/>
      <c r="AD1444" s="1"/>
      <c r="AE1444" s="1"/>
      <c r="AF1444" s="1"/>
      <c r="AG1444" s="1"/>
      <c r="AH1444" s="1"/>
      <c r="AI1444" s="1"/>
    </row>
    <row r="1445" customHeight="1" spans="1:35">
      <c r="A1445" s="1"/>
      <c r="B1445" s="1"/>
      <c r="C1445" s="1"/>
      <c r="D1445" s="1"/>
      <c r="E1445" s="1"/>
      <c r="F1445" s="1"/>
      <c r="G1445" s="1"/>
      <c r="H1445" s="1"/>
      <c r="I1445" s="1"/>
      <c r="J1445" s="1"/>
      <c r="K1445" s="1"/>
      <c r="L1445" s="1"/>
      <c r="M1445" s="1"/>
      <c r="N1445" s="1"/>
      <c r="O1445" s="1"/>
      <c r="P1445" s="1"/>
      <c r="Q1445" s="1"/>
      <c r="R1445" s="1"/>
      <c r="S1445" s="1"/>
      <c r="T1445" s="1"/>
      <c r="U1445" s="1"/>
      <c r="V1445" s="1"/>
      <c r="W1445" s="1"/>
      <c r="X1445" s="1"/>
      <c r="Y1445" s="1"/>
      <c r="Z1445" s="1"/>
      <c r="AA1445" s="1"/>
      <c r="AB1445" s="1"/>
      <c r="AC1445" s="1"/>
      <c r="AD1445" s="1"/>
      <c r="AE1445" s="1"/>
      <c r="AF1445" s="1"/>
      <c r="AG1445" s="1"/>
      <c r="AH1445" s="1"/>
      <c r="AI1445" s="1"/>
    </row>
    <row r="1446" customHeight="1" spans="1:35">
      <c r="A1446" s="1"/>
      <c r="B1446" s="1"/>
      <c r="C1446" s="1"/>
      <c r="D1446" s="1"/>
      <c r="E1446" s="1"/>
      <c r="F1446" s="1"/>
      <c r="G1446" s="1"/>
      <c r="H1446" s="1"/>
      <c r="I1446" s="1"/>
      <c r="J1446" s="1"/>
      <c r="K1446" s="1"/>
      <c r="L1446" s="1"/>
      <c r="M1446" s="1"/>
      <c r="N1446" s="1"/>
      <c r="O1446" s="1"/>
      <c r="P1446" s="1"/>
      <c r="Q1446" s="1"/>
      <c r="R1446" s="1"/>
      <c r="S1446" s="1"/>
      <c r="T1446" s="1"/>
      <c r="U1446" s="1"/>
      <c r="V1446" s="1"/>
      <c r="W1446" s="1"/>
      <c r="X1446" s="1"/>
      <c r="Y1446" s="1"/>
      <c r="Z1446" s="1"/>
      <c r="AA1446" s="1"/>
      <c r="AB1446" s="1"/>
      <c r="AC1446" s="1"/>
      <c r="AD1446" s="1"/>
      <c r="AE1446" s="1"/>
      <c r="AF1446" s="1"/>
      <c r="AG1446" s="1"/>
      <c r="AH1446" s="1"/>
      <c r="AI1446" s="1"/>
    </row>
    <row r="1447" customHeight="1" spans="1:35">
      <c r="A1447" s="1"/>
      <c r="B1447" s="1"/>
      <c r="C1447" s="1"/>
      <c r="D1447" s="1"/>
      <c r="E1447" s="1"/>
      <c r="F1447" s="1"/>
      <c r="G1447" s="1"/>
      <c r="H1447" s="1"/>
      <c r="I1447" s="1"/>
      <c r="J1447" s="1"/>
      <c r="K1447" s="1"/>
      <c r="L1447" s="1"/>
      <c r="M1447" s="1"/>
      <c r="N1447" s="1"/>
      <c r="O1447" s="1"/>
      <c r="P1447" s="1"/>
      <c r="Q1447" s="1"/>
      <c r="R1447" s="1"/>
      <c r="S1447" s="1"/>
      <c r="T1447" s="1"/>
      <c r="U1447" s="1"/>
      <c r="V1447" s="1"/>
      <c r="W1447" s="1"/>
      <c r="X1447" s="1"/>
      <c r="Y1447" s="1"/>
      <c r="Z1447" s="1"/>
      <c r="AA1447" s="1"/>
      <c r="AB1447" s="1"/>
      <c r="AC1447" s="1"/>
      <c r="AD1447" s="1"/>
      <c r="AE1447" s="1"/>
      <c r="AF1447" s="1"/>
      <c r="AG1447" s="1"/>
      <c r="AH1447" s="1"/>
      <c r="AI1447" s="1"/>
    </row>
    <row r="1448" customHeight="1" spans="1:35">
      <c r="A1448" s="1"/>
      <c r="B1448" s="1"/>
      <c r="C1448" s="1"/>
      <c r="D1448" s="1"/>
      <c r="E1448" s="1"/>
      <c r="F1448" s="1"/>
      <c r="G1448" s="1"/>
      <c r="H1448" s="1"/>
      <c r="I1448" s="1"/>
      <c r="J1448" s="1"/>
      <c r="K1448" s="1"/>
      <c r="L1448" s="1"/>
      <c r="M1448" s="1"/>
      <c r="N1448" s="1"/>
      <c r="O1448" s="1"/>
      <c r="P1448" s="1"/>
      <c r="Q1448" s="1"/>
      <c r="R1448" s="1"/>
      <c r="S1448" s="1"/>
      <c r="T1448" s="1"/>
      <c r="U1448" s="1"/>
      <c r="V1448" s="1"/>
      <c r="W1448" s="1"/>
      <c r="X1448" s="1"/>
      <c r="Y1448" s="1"/>
      <c r="Z1448" s="1"/>
      <c r="AA1448" s="1"/>
      <c r="AB1448" s="1"/>
      <c r="AC1448" s="1"/>
      <c r="AD1448" s="1"/>
      <c r="AE1448" s="1"/>
      <c r="AF1448" s="1"/>
      <c r="AG1448" s="1"/>
      <c r="AH1448" s="1"/>
      <c r="AI1448" s="1"/>
    </row>
    <row r="1449" customHeight="1" spans="1:35">
      <c r="A1449" s="1"/>
      <c r="B1449" s="1"/>
      <c r="C1449" s="1"/>
      <c r="D1449" s="1"/>
      <c r="E1449" s="1"/>
      <c r="F1449" s="1"/>
      <c r="G1449" s="1"/>
      <c r="H1449" s="1"/>
      <c r="I1449" s="1"/>
      <c r="J1449" s="1"/>
      <c r="K1449" s="1"/>
      <c r="L1449" s="1"/>
      <c r="M1449" s="1"/>
      <c r="N1449" s="1"/>
      <c r="O1449" s="1"/>
      <c r="P1449" s="1"/>
      <c r="Q1449" s="1"/>
      <c r="R1449" s="1"/>
      <c r="S1449" s="1"/>
      <c r="T1449" s="1"/>
      <c r="U1449" s="1"/>
      <c r="V1449" s="1"/>
      <c r="W1449" s="1"/>
      <c r="X1449" s="1"/>
      <c r="Y1449" s="1"/>
      <c r="Z1449" s="1"/>
      <c r="AA1449" s="1"/>
      <c r="AB1449" s="1"/>
      <c r="AC1449" s="1"/>
      <c r="AD1449" s="1"/>
      <c r="AE1449" s="1"/>
      <c r="AF1449" s="1"/>
      <c r="AG1449" s="1"/>
      <c r="AH1449" s="1"/>
      <c r="AI1449" s="1"/>
    </row>
    <row r="1450" customHeight="1" spans="1:35">
      <c r="A1450" s="1"/>
      <c r="B1450" s="1"/>
      <c r="C1450" s="1"/>
      <c r="D1450" s="1"/>
      <c r="E1450" s="1"/>
      <c r="F1450" s="1"/>
      <c r="G1450" s="1"/>
      <c r="H1450" s="1"/>
      <c r="I1450" s="1"/>
      <c r="J1450" s="1"/>
      <c r="K1450" s="1"/>
      <c r="L1450" s="1"/>
      <c r="M1450" s="1"/>
      <c r="N1450" s="1"/>
      <c r="O1450" s="1"/>
      <c r="P1450" s="1"/>
      <c r="Q1450" s="1"/>
      <c r="R1450" s="1"/>
      <c r="S1450" s="1"/>
      <c r="T1450" s="1"/>
      <c r="U1450" s="1"/>
      <c r="V1450" s="1"/>
      <c r="W1450" s="1"/>
      <c r="X1450" s="1"/>
      <c r="Y1450" s="1"/>
      <c r="Z1450" s="1"/>
      <c r="AA1450" s="1"/>
      <c r="AB1450" s="1"/>
      <c r="AC1450" s="1"/>
      <c r="AD1450" s="1"/>
      <c r="AE1450" s="1"/>
      <c r="AF1450" s="1"/>
      <c r="AG1450" s="1"/>
      <c r="AH1450" s="1"/>
      <c r="AI1450" s="1"/>
    </row>
    <row r="1451" customHeight="1" spans="1:35">
      <c r="A1451" s="1"/>
      <c r="B1451" s="1"/>
      <c r="C1451" s="1"/>
      <c r="D1451" s="1"/>
      <c r="E1451" s="1"/>
      <c r="F1451" s="1"/>
      <c r="G1451" s="1"/>
      <c r="H1451" s="1"/>
      <c r="I1451" s="1"/>
      <c r="J1451" s="1"/>
      <c r="K1451" s="1"/>
      <c r="L1451" s="1"/>
      <c r="M1451" s="1"/>
      <c r="N1451" s="1"/>
      <c r="O1451" s="1"/>
      <c r="P1451" s="1"/>
      <c r="Q1451" s="1"/>
      <c r="R1451" s="1"/>
      <c r="S1451" s="1"/>
      <c r="T1451" s="1"/>
      <c r="U1451" s="1"/>
      <c r="V1451" s="1"/>
      <c r="W1451" s="1"/>
      <c r="X1451" s="1"/>
      <c r="Y1451" s="1"/>
      <c r="Z1451" s="1"/>
      <c r="AA1451" s="1"/>
      <c r="AB1451" s="1"/>
      <c r="AC1451" s="1"/>
      <c r="AD1451" s="1"/>
      <c r="AE1451" s="1"/>
      <c r="AF1451" s="1"/>
      <c r="AG1451" s="1"/>
      <c r="AH1451" s="1"/>
      <c r="AI1451" s="1"/>
    </row>
    <row r="1452" customHeight="1" spans="1:35">
      <c r="A1452" s="1"/>
      <c r="B1452" s="1"/>
      <c r="C1452" s="1"/>
      <c r="D1452" s="1"/>
      <c r="E1452" s="1"/>
      <c r="F1452" s="1"/>
      <c r="G1452" s="1"/>
      <c r="H1452" s="1"/>
      <c r="I1452" s="1"/>
      <c r="J1452" s="1"/>
      <c r="K1452" s="1"/>
      <c r="L1452" s="1"/>
      <c r="M1452" s="1"/>
      <c r="N1452" s="1"/>
      <c r="O1452" s="1"/>
      <c r="P1452" s="1"/>
      <c r="Q1452" s="1"/>
      <c r="R1452" s="1"/>
      <c r="S1452" s="1"/>
      <c r="T1452" s="1"/>
      <c r="U1452" s="1"/>
      <c r="V1452" s="1"/>
      <c r="W1452" s="1"/>
      <c r="X1452" s="1"/>
      <c r="Y1452" s="1"/>
      <c r="Z1452" s="1"/>
      <c r="AA1452" s="1"/>
      <c r="AB1452" s="1"/>
      <c r="AC1452" s="1"/>
      <c r="AD1452" s="1"/>
      <c r="AE1452" s="1"/>
      <c r="AF1452" s="1"/>
      <c r="AG1452" s="1"/>
      <c r="AH1452" s="1"/>
      <c r="AI1452" s="1"/>
    </row>
    <row r="1453" customHeight="1" spans="1:35">
      <c r="A1453" s="1"/>
      <c r="B1453" s="1"/>
      <c r="C1453" s="1"/>
      <c r="D1453" s="1"/>
      <c r="E1453" s="1"/>
      <c r="F1453" s="1"/>
      <c r="G1453" s="1"/>
      <c r="H1453" s="1"/>
      <c r="I1453" s="1"/>
      <c r="J1453" s="1"/>
      <c r="K1453" s="1"/>
      <c r="L1453" s="1"/>
      <c r="M1453" s="1"/>
      <c r="N1453" s="1"/>
      <c r="O1453" s="1"/>
      <c r="P1453" s="1"/>
      <c r="Q1453" s="1"/>
      <c r="R1453" s="1"/>
      <c r="S1453" s="1"/>
      <c r="T1453" s="1"/>
      <c r="U1453" s="1"/>
      <c r="V1453" s="1"/>
      <c r="W1453" s="1"/>
      <c r="X1453" s="1"/>
      <c r="Y1453" s="1"/>
      <c r="Z1453" s="1"/>
      <c r="AA1453" s="1"/>
      <c r="AB1453" s="1"/>
      <c r="AC1453" s="1"/>
      <c r="AD1453" s="1"/>
      <c r="AE1453" s="1"/>
      <c r="AF1453" s="1"/>
      <c r="AG1453" s="1"/>
      <c r="AH1453" s="1"/>
      <c r="AI1453" s="1"/>
    </row>
    <row r="1454" customHeight="1" spans="1:35">
      <c r="A1454" s="1"/>
      <c r="B1454" s="1"/>
      <c r="C1454" s="1"/>
      <c r="D1454" s="1"/>
      <c r="E1454" s="1"/>
      <c r="F1454" s="1"/>
      <c r="G1454" s="1"/>
      <c r="H1454" s="1"/>
      <c r="I1454" s="1"/>
      <c r="J1454" s="1"/>
      <c r="K1454" s="1"/>
      <c r="L1454" s="1"/>
      <c r="M1454" s="1"/>
      <c r="N1454" s="1"/>
      <c r="O1454" s="1"/>
      <c r="P1454" s="1"/>
      <c r="Q1454" s="1"/>
      <c r="R1454" s="1"/>
      <c r="S1454" s="1"/>
      <c r="T1454" s="1"/>
      <c r="U1454" s="1"/>
      <c r="V1454" s="1"/>
      <c r="W1454" s="1"/>
      <c r="X1454" s="1"/>
      <c r="Y1454" s="1"/>
      <c r="Z1454" s="1"/>
      <c r="AA1454" s="1"/>
      <c r="AB1454" s="1"/>
      <c r="AC1454" s="1"/>
      <c r="AD1454" s="1"/>
      <c r="AE1454" s="1"/>
      <c r="AF1454" s="1"/>
      <c r="AG1454" s="1"/>
      <c r="AH1454" s="1"/>
      <c r="AI1454" s="1"/>
    </row>
    <row r="1455" customHeight="1" spans="1:35">
      <c r="A1455" s="1"/>
      <c r="B1455" s="1"/>
      <c r="C1455" s="1"/>
      <c r="D1455" s="1"/>
      <c r="E1455" s="1"/>
      <c r="F1455" s="1"/>
      <c r="G1455" s="1"/>
      <c r="H1455" s="1"/>
      <c r="I1455" s="1"/>
      <c r="J1455" s="1"/>
      <c r="K1455" s="1"/>
      <c r="L1455" s="1"/>
      <c r="M1455" s="1"/>
      <c r="N1455" s="1"/>
      <c r="O1455" s="1"/>
      <c r="P1455" s="1"/>
      <c r="Q1455" s="1"/>
      <c r="R1455" s="1"/>
      <c r="S1455" s="1"/>
      <c r="T1455" s="1"/>
      <c r="U1455" s="1"/>
      <c r="V1455" s="1"/>
      <c r="W1455" s="1"/>
      <c r="X1455" s="1"/>
      <c r="Y1455" s="1"/>
      <c r="Z1455" s="1"/>
      <c r="AA1455" s="1"/>
      <c r="AB1455" s="1"/>
      <c r="AC1455" s="1"/>
      <c r="AD1455" s="1"/>
      <c r="AE1455" s="1"/>
      <c r="AF1455" s="1"/>
      <c r="AG1455" s="1"/>
      <c r="AH1455" s="1"/>
      <c r="AI1455" s="1"/>
    </row>
    <row r="1456" customHeight="1" spans="1:35">
      <c r="A1456" s="1"/>
      <c r="B1456" s="1"/>
      <c r="C1456" s="1"/>
      <c r="D1456" s="1"/>
      <c r="E1456" s="1"/>
      <c r="F1456" s="1"/>
      <c r="G1456" s="1"/>
      <c r="H1456" s="1"/>
      <c r="I1456" s="1"/>
      <c r="J1456" s="1"/>
      <c r="K1456" s="1"/>
      <c r="L1456" s="1"/>
      <c r="M1456" s="1"/>
      <c r="N1456" s="1"/>
      <c r="O1456" s="1"/>
      <c r="P1456" s="1"/>
      <c r="Q1456" s="1"/>
      <c r="R1456" s="1"/>
      <c r="S1456" s="1"/>
      <c r="T1456" s="1"/>
      <c r="U1456" s="1"/>
      <c r="V1456" s="1"/>
      <c r="W1456" s="1"/>
      <c r="X1456" s="1"/>
      <c r="Y1456" s="1"/>
      <c r="Z1456" s="1"/>
      <c r="AA1456" s="1"/>
      <c r="AB1456" s="1"/>
      <c r="AC1456" s="1"/>
      <c r="AD1456" s="1"/>
      <c r="AE1456" s="1"/>
      <c r="AF1456" s="1"/>
      <c r="AG1456" s="1"/>
      <c r="AH1456" s="1"/>
      <c r="AI1456" s="1"/>
    </row>
    <row r="1457" customHeight="1" spans="1:35">
      <c r="A1457" s="1"/>
      <c r="B1457" s="1"/>
      <c r="C1457" s="1"/>
      <c r="D1457" s="1"/>
      <c r="E1457" s="1"/>
      <c r="F1457" s="1"/>
      <c r="G1457" s="1"/>
      <c r="H1457" s="1"/>
      <c r="I1457" s="1"/>
      <c r="J1457" s="1"/>
      <c r="K1457" s="1"/>
      <c r="L1457" s="1"/>
      <c r="M1457" s="1"/>
      <c r="N1457" s="1"/>
      <c r="O1457" s="1"/>
      <c r="P1457" s="1"/>
      <c r="Q1457" s="1"/>
      <c r="R1457" s="1"/>
      <c r="S1457" s="1"/>
      <c r="T1457" s="1"/>
      <c r="U1457" s="1"/>
      <c r="V1457" s="1"/>
      <c r="W1457" s="1"/>
      <c r="X1457" s="1"/>
      <c r="Y1457" s="1"/>
      <c r="Z1457" s="1"/>
      <c r="AA1457" s="1"/>
      <c r="AB1457" s="1"/>
      <c r="AC1457" s="1"/>
      <c r="AD1457" s="1"/>
      <c r="AE1457" s="1"/>
      <c r="AF1457" s="1"/>
      <c r="AG1457" s="1"/>
      <c r="AH1457" s="1"/>
      <c r="AI1457" s="1"/>
    </row>
    <row r="1458" customHeight="1" spans="1:35">
      <c r="A1458" s="1"/>
      <c r="B1458" s="1"/>
      <c r="C1458" s="1"/>
      <c r="D1458" s="1"/>
      <c r="E1458" s="1"/>
      <c r="F1458" s="1"/>
      <c r="G1458" s="1"/>
      <c r="H1458" s="1"/>
      <c r="I1458" s="1"/>
      <c r="J1458" s="1"/>
      <c r="K1458" s="1"/>
      <c r="L1458" s="1"/>
      <c r="M1458" s="1"/>
      <c r="N1458" s="1"/>
      <c r="O1458" s="1"/>
      <c r="P1458" s="1"/>
      <c r="Q1458" s="1"/>
      <c r="R1458" s="1"/>
      <c r="S1458" s="1"/>
      <c r="T1458" s="1"/>
      <c r="U1458" s="1"/>
      <c r="V1458" s="1"/>
      <c r="W1458" s="1"/>
      <c r="X1458" s="1"/>
      <c r="Y1458" s="1"/>
      <c r="Z1458" s="1"/>
      <c r="AA1458" s="1"/>
      <c r="AB1458" s="1"/>
      <c r="AC1458" s="1"/>
      <c r="AD1458" s="1"/>
      <c r="AE1458" s="1"/>
      <c r="AF1458" s="1"/>
      <c r="AG1458" s="1"/>
      <c r="AH1458" s="1"/>
      <c r="AI1458" s="1"/>
    </row>
    <row r="1459" customHeight="1" spans="1:35">
      <c r="A1459" s="1"/>
      <c r="B1459" s="1"/>
      <c r="C1459" s="1"/>
      <c r="D1459" s="1"/>
      <c r="E1459" s="1"/>
      <c r="F1459" s="1"/>
      <c r="G1459" s="1"/>
      <c r="H1459" s="1"/>
      <c r="I1459" s="1"/>
      <c r="J1459" s="1"/>
      <c r="K1459" s="1"/>
      <c r="L1459" s="1"/>
      <c r="M1459" s="1"/>
      <c r="N1459" s="1"/>
      <c r="O1459" s="1"/>
      <c r="P1459" s="1"/>
      <c r="Q1459" s="1"/>
      <c r="R1459" s="1"/>
      <c r="S1459" s="1"/>
      <c r="T1459" s="1"/>
      <c r="U1459" s="1"/>
      <c r="V1459" s="1"/>
      <c r="W1459" s="1"/>
      <c r="X1459" s="1"/>
      <c r="Y1459" s="1"/>
      <c r="Z1459" s="1"/>
      <c r="AA1459" s="1"/>
      <c r="AB1459" s="1"/>
      <c r="AC1459" s="1"/>
      <c r="AD1459" s="1"/>
      <c r="AE1459" s="1"/>
      <c r="AF1459" s="1"/>
      <c r="AG1459" s="1"/>
      <c r="AH1459" s="1"/>
      <c r="AI1459" s="1"/>
    </row>
    <row r="1460" customHeight="1" spans="1:35">
      <c r="A1460" s="1"/>
      <c r="B1460" s="1"/>
      <c r="C1460" s="1"/>
      <c r="D1460" s="1"/>
      <c r="E1460" s="1"/>
      <c r="F1460" s="1"/>
      <c r="G1460" s="1"/>
      <c r="H1460" s="1"/>
      <c r="I1460" s="1"/>
      <c r="J1460" s="1"/>
      <c r="K1460" s="1"/>
      <c r="L1460" s="1"/>
      <c r="M1460" s="1"/>
      <c r="N1460" s="1"/>
      <c r="O1460" s="1"/>
      <c r="P1460" s="1"/>
      <c r="Q1460" s="1"/>
      <c r="R1460" s="1"/>
      <c r="S1460" s="1"/>
      <c r="T1460" s="1"/>
      <c r="U1460" s="1"/>
      <c r="V1460" s="1"/>
      <c r="W1460" s="1"/>
      <c r="X1460" s="1"/>
      <c r="Y1460" s="1"/>
      <c r="Z1460" s="1"/>
      <c r="AA1460" s="1"/>
      <c r="AB1460" s="1"/>
      <c r="AC1460" s="1"/>
      <c r="AD1460" s="1"/>
      <c r="AE1460" s="1"/>
      <c r="AF1460" s="1"/>
      <c r="AG1460" s="1"/>
      <c r="AH1460" s="1"/>
      <c r="AI1460" s="1"/>
    </row>
    <row r="1461" customHeight="1" spans="1:35">
      <c r="A1461" s="1"/>
      <c r="B1461" s="1"/>
      <c r="C1461" s="1"/>
      <c r="D1461" s="1"/>
      <c r="E1461" s="1"/>
      <c r="F1461" s="1"/>
      <c r="G1461" s="1"/>
      <c r="H1461" s="1"/>
      <c r="I1461" s="1"/>
      <c r="J1461" s="1"/>
      <c r="K1461" s="1"/>
      <c r="L1461" s="1"/>
      <c r="M1461" s="1"/>
      <c r="N1461" s="1"/>
      <c r="O1461" s="1"/>
      <c r="P1461" s="1"/>
      <c r="Q1461" s="1"/>
      <c r="R1461" s="1"/>
      <c r="S1461" s="1"/>
      <c r="T1461" s="1"/>
      <c r="U1461" s="1"/>
      <c r="V1461" s="1"/>
      <c r="W1461" s="1"/>
      <c r="X1461" s="1"/>
      <c r="Y1461" s="1"/>
      <c r="Z1461" s="1"/>
      <c r="AA1461" s="1"/>
      <c r="AB1461" s="1"/>
      <c r="AC1461" s="1"/>
      <c r="AD1461" s="1"/>
      <c r="AE1461" s="1"/>
      <c r="AF1461" s="1"/>
      <c r="AG1461" s="1"/>
      <c r="AH1461" s="1"/>
      <c r="AI1461" s="1"/>
    </row>
    <row r="1462" customHeight="1" spans="1:35">
      <c r="A1462" s="1"/>
      <c r="B1462" s="1"/>
      <c r="C1462" s="1"/>
      <c r="D1462" s="1"/>
      <c r="E1462" s="1"/>
      <c r="F1462" s="1"/>
      <c r="G1462" s="1"/>
      <c r="H1462" s="1"/>
      <c r="I1462" s="1"/>
      <c r="J1462" s="1"/>
      <c r="K1462" s="1"/>
      <c r="L1462" s="1"/>
      <c r="M1462" s="1"/>
      <c r="N1462" s="1"/>
      <c r="O1462" s="1"/>
      <c r="P1462" s="1"/>
      <c r="Q1462" s="1"/>
      <c r="R1462" s="1"/>
      <c r="S1462" s="1"/>
      <c r="T1462" s="1"/>
      <c r="U1462" s="1"/>
      <c r="V1462" s="1"/>
      <c r="W1462" s="1"/>
      <c r="X1462" s="1"/>
      <c r="Y1462" s="1"/>
      <c r="Z1462" s="1"/>
      <c r="AA1462" s="1"/>
      <c r="AB1462" s="1"/>
      <c r="AC1462" s="1"/>
      <c r="AD1462" s="1"/>
      <c r="AE1462" s="1"/>
      <c r="AF1462" s="1"/>
      <c r="AG1462" s="1"/>
      <c r="AH1462" s="1"/>
      <c r="AI1462" s="1"/>
    </row>
    <row r="1463" customHeight="1" spans="1:35">
      <c r="A1463" s="1"/>
      <c r="B1463" s="1"/>
      <c r="C1463" s="1"/>
      <c r="D1463" s="1"/>
      <c r="E1463" s="1"/>
      <c r="F1463" s="1"/>
      <c r="G1463" s="1"/>
      <c r="H1463" s="1"/>
      <c r="I1463" s="1"/>
      <c r="J1463" s="1"/>
      <c r="K1463" s="1"/>
      <c r="L1463" s="1"/>
      <c r="M1463" s="1"/>
      <c r="N1463" s="1"/>
      <c r="O1463" s="1"/>
      <c r="P1463" s="1"/>
      <c r="Q1463" s="1"/>
      <c r="R1463" s="1"/>
      <c r="S1463" s="1"/>
      <c r="T1463" s="1"/>
      <c r="U1463" s="1"/>
      <c r="V1463" s="1"/>
      <c r="W1463" s="1"/>
      <c r="X1463" s="1"/>
      <c r="Y1463" s="1"/>
      <c r="Z1463" s="1"/>
      <c r="AA1463" s="1"/>
      <c r="AB1463" s="1"/>
      <c r="AC1463" s="1"/>
      <c r="AD1463" s="1"/>
      <c r="AE1463" s="1"/>
      <c r="AF1463" s="1"/>
      <c r="AG1463" s="1"/>
      <c r="AH1463" s="1"/>
      <c r="AI1463" s="1"/>
    </row>
    <row r="1464" customHeight="1" spans="1:35">
      <c r="A1464" s="1"/>
      <c r="B1464" s="1"/>
      <c r="C1464" s="1"/>
      <c r="D1464" s="1"/>
      <c r="E1464" s="1"/>
      <c r="F1464" s="1"/>
      <c r="G1464" s="1"/>
      <c r="H1464" s="1"/>
      <c r="I1464" s="1"/>
      <c r="J1464" s="1"/>
      <c r="K1464" s="1"/>
      <c r="L1464" s="1"/>
      <c r="M1464" s="1"/>
      <c r="N1464" s="1"/>
      <c r="O1464" s="1"/>
      <c r="P1464" s="1"/>
      <c r="Q1464" s="1"/>
      <c r="R1464" s="1"/>
      <c r="S1464" s="1"/>
      <c r="T1464" s="1"/>
      <c r="U1464" s="1"/>
      <c r="V1464" s="1"/>
      <c r="W1464" s="1"/>
      <c r="X1464" s="1"/>
      <c r="Y1464" s="1"/>
      <c r="Z1464" s="1"/>
      <c r="AA1464" s="1"/>
      <c r="AB1464" s="1"/>
      <c r="AC1464" s="1"/>
      <c r="AD1464" s="1"/>
      <c r="AE1464" s="1"/>
      <c r="AF1464" s="1"/>
      <c r="AG1464" s="1"/>
      <c r="AH1464" s="1"/>
      <c r="AI1464" s="1"/>
    </row>
    <row r="1465" customHeight="1" spans="1:35">
      <c r="A1465" s="1"/>
      <c r="B1465" s="1"/>
      <c r="C1465" s="1"/>
      <c r="D1465" s="1"/>
      <c r="E1465" s="1"/>
      <c r="F1465" s="1"/>
      <c r="G1465" s="1"/>
      <c r="H1465" s="1"/>
      <c r="I1465" s="1"/>
      <c r="J1465" s="1"/>
      <c r="K1465" s="1"/>
      <c r="L1465" s="1"/>
      <c r="M1465" s="1"/>
      <c r="N1465" s="1"/>
      <c r="O1465" s="1"/>
      <c r="P1465" s="1"/>
      <c r="Q1465" s="1"/>
      <c r="R1465" s="1"/>
      <c r="S1465" s="1"/>
      <c r="T1465" s="1"/>
      <c r="U1465" s="1"/>
      <c r="V1465" s="1"/>
      <c r="W1465" s="1"/>
      <c r="X1465" s="1"/>
      <c r="Y1465" s="1"/>
      <c r="Z1465" s="1"/>
      <c r="AA1465" s="1"/>
      <c r="AB1465" s="1"/>
      <c r="AC1465" s="1"/>
      <c r="AD1465" s="1"/>
      <c r="AE1465" s="1"/>
      <c r="AF1465" s="1"/>
      <c r="AG1465" s="1"/>
      <c r="AH1465" s="1"/>
      <c r="AI1465" s="1"/>
    </row>
    <row r="1466" customHeight="1" spans="1:35">
      <c r="A1466" s="1"/>
      <c r="B1466" s="1"/>
      <c r="C1466" s="1"/>
      <c r="D1466" s="1"/>
      <c r="E1466" s="1"/>
      <c r="F1466" s="1"/>
      <c r="G1466" s="1"/>
      <c r="H1466" s="1"/>
      <c r="I1466" s="1"/>
      <c r="J1466" s="1"/>
      <c r="K1466" s="1"/>
      <c r="L1466" s="1"/>
      <c r="M1466" s="1"/>
      <c r="N1466" s="1"/>
      <c r="O1466" s="1"/>
      <c r="P1466" s="1"/>
      <c r="Q1466" s="1"/>
      <c r="R1466" s="1"/>
      <c r="S1466" s="1"/>
      <c r="T1466" s="1"/>
      <c r="U1466" s="1"/>
      <c r="V1466" s="1"/>
      <c r="W1466" s="1"/>
      <c r="X1466" s="1"/>
      <c r="Y1466" s="1"/>
      <c r="Z1466" s="1"/>
      <c r="AA1466" s="1"/>
      <c r="AB1466" s="1"/>
      <c r="AC1466" s="1"/>
      <c r="AD1466" s="1"/>
      <c r="AE1466" s="1"/>
      <c r="AF1466" s="1"/>
      <c r="AG1466" s="1"/>
      <c r="AH1466" s="1"/>
      <c r="AI1466" s="1"/>
    </row>
    <row r="1467" customHeight="1" spans="1:35">
      <c r="A1467" s="1"/>
      <c r="B1467" s="1"/>
      <c r="C1467" s="1"/>
      <c r="D1467" s="1"/>
      <c r="E1467" s="1"/>
      <c r="F1467" s="1"/>
      <c r="G1467" s="1"/>
      <c r="H1467" s="1"/>
      <c r="I1467" s="1"/>
      <c r="J1467" s="1"/>
      <c r="K1467" s="1"/>
      <c r="L1467" s="1"/>
      <c r="M1467" s="1"/>
      <c r="N1467" s="1"/>
      <c r="O1467" s="1"/>
      <c r="P1467" s="1"/>
      <c r="Q1467" s="1"/>
      <c r="R1467" s="1"/>
      <c r="S1467" s="1"/>
      <c r="T1467" s="1"/>
      <c r="U1467" s="1"/>
      <c r="V1467" s="1"/>
      <c r="W1467" s="1"/>
      <c r="X1467" s="1"/>
      <c r="Y1467" s="1"/>
      <c r="Z1467" s="1"/>
      <c r="AA1467" s="1"/>
      <c r="AB1467" s="1"/>
      <c r="AC1467" s="1"/>
      <c r="AD1467" s="1"/>
      <c r="AE1467" s="1"/>
      <c r="AF1467" s="1"/>
      <c r="AG1467" s="1"/>
      <c r="AH1467" s="1"/>
      <c r="AI1467" s="1"/>
    </row>
    <row r="1468" customHeight="1" spans="1:35">
      <c r="A1468" s="1"/>
      <c r="B1468" s="1"/>
      <c r="C1468" s="1"/>
      <c r="D1468" s="1"/>
      <c r="E1468" s="1"/>
      <c r="F1468" s="1"/>
      <c r="G1468" s="1"/>
      <c r="H1468" s="1"/>
      <c r="I1468" s="1"/>
      <c r="J1468" s="1"/>
      <c r="K1468" s="1"/>
      <c r="L1468" s="1"/>
      <c r="M1468" s="1"/>
      <c r="N1468" s="1"/>
      <c r="O1468" s="1"/>
      <c r="P1468" s="1"/>
      <c r="Q1468" s="1"/>
      <c r="R1468" s="1"/>
      <c r="S1468" s="1"/>
      <c r="T1468" s="1"/>
      <c r="U1468" s="1"/>
      <c r="V1468" s="1"/>
      <c r="W1468" s="1"/>
      <c r="X1468" s="1"/>
      <c r="Y1468" s="1"/>
      <c r="Z1468" s="1"/>
      <c r="AA1468" s="1"/>
      <c r="AB1468" s="1"/>
      <c r="AC1468" s="1"/>
      <c r="AD1468" s="1"/>
      <c r="AE1468" s="1"/>
      <c r="AF1468" s="1"/>
      <c r="AG1468" s="1"/>
      <c r="AH1468" s="1"/>
      <c r="AI1468" s="1"/>
    </row>
    <row r="1469" customHeight="1" spans="1:35">
      <c r="A1469" s="1"/>
      <c r="B1469" s="1"/>
      <c r="C1469" s="1"/>
      <c r="D1469" s="1"/>
      <c r="E1469" s="1"/>
      <c r="F1469" s="1"/>
      <c r="G1469" s="1"/>
      <c r="H1469" s="1"/>
      <c r="I1469" s="1"/>
      <c r="J1469" s="1"/>
      <c r="K1469" s="1"/>
      <c r="L1469" s="1"/>
      <c r="M1469" s="1"/>
      <c r="N1469" s="1"/>
      <c r="O1469" s="1"/>
      <c r="P1469" s="1"/>
      <c r="Q1469" s="1"/>
      <c r="R1469" s="1"/>
      <c r="S1469" s="1"/>
      <c r="T1469" s="1"/>
      <c r="U1469" s="1"/>
      <c r="V1469" s="1"/>
      <c r="W1469" s="1"/>
      <c r="X1469" s="1"/>
      <c r="Y1469" s="1"/>
      <c r="Z1469" s="1"/>
      <c r="AA1469" s="1"/>
      <c r="AB1469" s="1"/>
      <c r="AC1469" s="1"/>
      <c r="AD1469" s="1"/>
      <c r="AE1469" s="1"/>
      <c r="AF1469" s="1"/>
      <c r="AG1469" s="1"/>
      <c r="AH1469" s="1"/>
      <c r="AI1469" s="1"/>
    </row>
    <row r="1470" customHeight="1" spans="1:35">
      <c r="A1470" s="1"/>
      <c r="B1470" s="1"/>
      <c r="C1470" s="1"/>
      <c r="D1470" s="1"/>
      <c r="E1470" s="1"/>
      <c r="F1470" s="1"/>
      <c r="G1470" s="1"/>
      <c r="H1470" s="1"/>
      <c r="I1470" s="1"/>
      <c r="J1470" s="1"/>
      <c r="K1470" s="1"/>
      <c r="L1470" s="1"/>
      <c r="M1470" s="1"/>
      <c r="N1470" s="1"/>
      <c r="O1470" s="1"/>
      <c r="P1470" s="1"/>
      <c r="Q1470" s="1"/>
      <c r="R1470" s="1"/>
      <c r="S1470" s="1"/>
      <c r="T1470" s="1"/>
      <c r="U1470" s="1"/>
      <c r="V1470" s="1"/>
      <c r="W1470" s="1"/>
      <c r="X1470" s="1"/>
      <c r="Y1470" s="1"/>
      <c r="Z1470" s="1"/>
      <c r="AA1470" s="1"/>
      <c r="AB1470" s="1"/>
      <c r="AC1470" s="1"/>
      <c r="AD1470" s="1"/>
      <c r="AE1470" s="1"/>
      <c r="AF1470" s="1"/>
      <c r="AG1470" s="1"/>
      <c r="AH1470" s="1"/>
      <c r="AI1470" s="1"/>
    </row>
    <row r="1471" customHeight="1" spans="1:35">
      <c r="A1471" s="1"/>
      <c r="B1471" s="1"/>
      <c r="C1471" s="1"/>
      <c r="D1471" s="1"/>
      <c r="E1471" s="1"/>
      <c r="F1471" s="1"/>
      <c r="G1471" s="1"/>
      <c r="H1471" s="1"/>
      <c r="I1471" s="1"/>
      <c r="J1471" s="1"/>
      <c r="K1471" s="1"/>
      <c r="L1471" s="1"/>
      <c r="M1471" s="1"/>
      <c r="N1471" s="1"/>
      <c r="O1471" s="1"/>
      <c r="P1471" s="1"/>
      <c r="Q1471" s="1"/>
      <c r="R1471" s="1"/>
      <c r="S1471" s="1"/>
      <c r="T1471" s="1"/>
      <c r="U1471" s="1"/>
      <c r="V1471" s="1"/>
      <c r="W1471" s="1"/>
      <c r="X1471" s="1"/>
      <c r="Y1471" s="1"/>
      <c r="Z1471" s="1"/>
      <c r="AA1471" s="1"/>
      <c r="AB1471" s="1"/>
      <c r="AC1471" s="1"/>
      <c r="AD1471" s="1"/>
      <c r="AE1471" s="1"/>
      <c r="AF1471" s="1"/>
      <c r="AG1471" s="1"/>
      <c r="AH1471" s="1"/>
      <c r="AI1471" s="1"/>
    </row>
    <row r="1472" customHeight="1" spans="1:35">
      <c r="A1472" s="1"/>
      <c r="B1472" s="1"/>
      <c r="C1472" s="1"/>
      <c r="D1472" s="1"/>
      <c r="E1472" s="1"/>
      <c r="F1472" s="1"/>
      <c r="G1472" s="1"/>
      <c r="H1472" s="1"/>
      <c r="I1472" s="1"/>
      <c r="J1472" s="1"/>
      <c r="K1472" s="1"/>
      <c r="L1472" s="1"/>
      <c r="M1472" s="1"/>
      <c r="N1472" s="1"/>
      <c r="O1472" s="1"/>
      <c r="P1472" s="1"/>
      <c r="Q1472" s="1"/>
      <c r="R1472" s="1"/>
      <c r="S1472" s="1"/>
      <c r="T1472" s="1"/>
      <c r="U1472" s="1"/>
      <c r="V1472" s="1"/>
      <c r="W1472" s="1"/>
      <c r="X1472" s="1"/>
      <c r="Y1472" s="1"/>
      <c r="Z1472" s="1"/>
      <c r="AA1472" s="1"/>
      <c r="AB1472" s="1"/>
      <c r="AC1472" s="1"/>
      <c r="AD1472" s="1"/>
      <c r="AE1472" s="1"/>
      <c r="AF1472" s="1"/>
      <c r="AG1472" s="1"/>
      <c r="AH1472" s="1"/>
      <c r="AI1472" s="1"/>
    </row>
    <row r="1473" customHeight="1" spans="1:35">
      <c r="A1473" s="1"/>
      <c r="B1473" s="1"/>
      <c r="C1473" s="1"/>
      <c r="D1473" s="1"/>
      <c r="E1473" s="1"/>
      <c r="F1473" s="1"/>
      <c r="G1473" s="1"/>
      <c r="H1473" s="1"/>
      <c r="I1473" s="1"/>
      <c r="J1473" s="1"/>
      <c r="K1473" s="1"/>
      <c r="L1473" s="1"/>
      <c r="M1473" s="1"/>
      <c r="N1473" s="1"/>
      <c r="O1473" s="1"/>
      <c r="P1473" s="1"/>
      <c r="Q1473" s="1"/>
      <c r="R1473" s="1"/>
      <c r="S1473" s="1"/>
      <c r="T1473" s="1"/>
      <c r="U1473" s="1"/>
      <c r="V1473" s="1"/>
      <c r="W1473" s="1"/>
      <c r="X1473" s="1"/>
      <c r="Y1473" s="1"/>
      <c r="Z1473" s="1"/>
      <c r="AA1473" s="1"/>
      <c r="AB1473" s="1"/>
      <c r="AC1473" s="1"/>
      <c r="AD1473" s="1"/>
      <c r="AE1473" s="1"/>
      <c r="AF1473" s="1"/>
      <c r="AG1473" s="1"/>
      <c r="AH1473" s="1"/>
      <c r="AI1473" s="1"/>
    </row>
    <row r="1474" customHeight="1" spans="1:35">
      <c r="A1474" s="1"/>
      <c r="B1474" s="1"/>
      <c r="C1474" s="1"/>
      <c r="D1474" s="1"/>
      <c r="E1474" s="1"/>
      <c r="F1474" s="1"/>
      <c r="G1474" s="1"/>
      <c r="H1474" s="1"/>
      <c r="I1474" s="1"/>
      <c r="J1474" s="1"/>
      <c r="K1474" s="1"/>
      <c r="L1474" s="1"/>
      <c r="M1474" s="1"/>
      <c r="N1474" s="1"/>
      <c r="O1474" s="1"/>
      <c r="P1474" s="1"/>
      <c r="Q1474" s="1"/>
      <c r="R1474" s="1"/>
      <c r="S1474" s="1"/>
      <c r="T1474" s="1"/>
      <c r="U1474" s="1"/>
      <c r="V1474" s="1"/>
      <c r="W1474" s="1"/>
      <c r="X1474" s="1"/>
      <c r="Y1474" s="1"/>
      <c r="Z1474" s="1"/>
      <c r="AA1474" s="1"/>
      <c r="AB1474" s="1"/>
      <c r="AC1474" s="1"/>
      <c r="AD1474" s="1"/>
      <c r="AE1474" s="1"/>
      <c r="AF1474" s="1"/>
      <c r="AG1474" s="1"/>
      <c r="AH1474" s="1"/>
      <c r="AI1474" s="1"/>
    </row>
    <row r="1475" customHeight="1" spans="1:35">
      <c r="A1475" s="1"/>
      <c r="B1475" s="1"/>
      <c r="C1475" s="1"/>
      <c r="D1475" s="1"/>
      <c r="E1475" s="1"/>
      <c r="F1475" s="1"/>
      <c r="G1475" s="1"/>
      <c r="H1475" s="1"/>
      <c r="I1475" s="1"/>
      <c r="J1475" s="1"/>
      <c r="K1475" s="1"/>
      <c r="L1475" s="1"/>
      <c r="M1475" s="1"/>
      <c r="N1475" s="1"/>
      <c r="O1475" s="1"/>
      <c r="P1475" s="1"/>
      <c r="Q1475" s="1"/>
      <c r="R1475" s="1"/>
      <c r="S1475" s="1"/>
      <c r="T1475" s="1"/>
      <c r="U1475" s="1"/>
      <c r="V1475" s="1"/>
      <c r="W1475" s="1"/>
      <c r="X1475" s="1"/>
      <c r="Y1475" s="1"/>
      <c r="Z1475" s="1"/>
      <c r="AA1475" s="1"/>
      <c r="AB1475" s="1"/>
      <c r="AC1475" s="1"/>
      <c r="AD1475" s="1"/>
      <c r="AE1475" s="1"/>
      <c r="AF1475" s="1"/>
      <c r="AG1475" s="1"/>
      <c r="AH1475" s="1"/>
      <c r="AI1475" s="1"/>
    </row>
    <row r="1476" customHeight="1" spans="1:35">
      <c r="A1476" s="1"/>
      <c r="B1476" s="1"/>
      <c r="C1476" s="1"/>
      <c r="D1476" s="1"/>
      <c r="E1476" s="1"/>
      <c r="F1476" s="1"/>
      <c r="G1476" s="1"/>
      <c r="H1476" s="1"/>
      <c r="I1476" s="1"/>
      <c r="J1476" s="1"/>
      <c r="K1476" s="1"/>
      <c r="L1476" s="1"/>
      <c r="M1476" s="1"/>
      <c r="N1476" s="1"/>
      <c r="O1476" s="1"/>
      <c r="P1476" s="1"/>
      <c r="Q1476" s="1"/>
      <c r="R1476" s="1"/>
      <c r="S1476" s="1"/>
      <c r="T1476" s="1"/>
      <c r="U1476" s="1"/>
      <c r="V1476" s="1"/>
      <c r="W1476" s="1"/>
      <c r="X1476" s="1"/>
      <c r="Y1476" s="1"/>
      <c r="Z1476" s="1"/>
      <c r="AA1476" s="1"/>
      <c r="AB1476" s="1"/>
      <c r="AC1476" s="1"/>
      <c r="AD1476" s="1"/>
      <c r="AE1476" s="1"/>
      <c r="AF1476" s="1"/>
      <c r="AG1476" s="1"/>
      <c r="AH1476" s="1"/>
      <c r="AI1476" s="1"/>
    </row>
    <row r="1477" customHeight="1" spans="1:35">
      <c r="A1477" s="1"/>
      <c r="B1477" s="1"/>
      <c r="C1477" s="1"/>
      <c r="D1477" s="1"/>
      <c r="E1477" s="1"/>
      <c r="F1477" s="1"/>
      <c r="G1477" s="1"/>
      <c r="H1477" s="1"/>
      <c r="I1477" s="1"/>
      <c r="J1477" s="1"/>
      <c r="K1477" s="1"/>
      <c r="L1477" s="1"/>
      <c r="M1477" s="1"/>
      <c r="N1477" s="1"/>
      <c r="O1477" s="1"/>
      <c r="P1477" s="1"/>
      <c r="Q1477" s="1"/>
      <c r="R1477" s="1"/>
      <c r="S1477" s="1"/>
      <c r="T1477" s="1"/>
      <c r="U1477" s="1"/>
      <c r="V1477" s="1"/>
      <c r="W1477" s="1"/>
      <c r="X1477" s="1"/>
      <c r="Y1477" s="1"/>
      <c r="Z1477" s="1"/>
      <c r="AA1477" s="1"/>
      <c r="AB1477" s="1"/>
      <c r="AC1477" s="1"/>
      <c r="AD1477" s="1"/>
      <c r="AE1477" s="1"/>
      <c r="AF1477" s="1"/>
      <c r="AG1477" s="1"/>
      <c r="AH1477" s="1"/>
      <c r="AI1477" s="1"/>
    </row>
    <row r="1478" customHeight="1" spans="1:35">
      <c r="A1478" s="1"/>
      <c r="B1478" s="1"/>
      <c r="C1478" s="1"/>
      <c r="D1478" s="1"/>
      <c r="E1478" s="1"/>
      <c r="F1478" s="1"/>
      <c r="G1478" s="1"/>
      <c r="H1478" s="1"/>
      <c r="I1478" s="1"/>
      <c r="J1478" s="1"/>
      <c r="K1478" s="1"/>
      <c r="L1478" s="1"/>
      <c r="M1478" s="1"/>
      <c r="N1478" s="1"/>
      <c r="O1478" s="1"/>
      <c r="P1478" s="1"/>
      <c r="Q1478" s="1"/>
      <c r="R1478" s="1"/>
      <c r="S1478" s="1"/>
      <c r="T1478" s="1"/>
      <c r="U1478" s="1"/>
      <c r="V1478" s="1"/>
      <c r="W1478" s="1"/>
      <c r="X1478" s="1"/>
      <c r="Y1478" s="1"/>
      <c r="Z1478" s="1"/>
      <c r="AA1478" s="1"/>
      <c r="AB1478" s="1"/>
      <c r="AC1478" s="1"/>
      <c r="AD1478" s="1"/>
      <c r="AE1478" s="1"/>
      <c r="AF1478" s="1"/>
      <c r="AG1478" s="1"/>
      <c r="AH1478" s="1"/>
      <c r="AI1478" s="1"/>
    </row>
    <row r="1479" customHeight="1" spans="1:35">
      <c r="A1479" s="1"/>
      <c r="B1479" s="1"/>
      <c r="C1479" s="1"/>
      <c r="D1479" s="1"/>
      <c r="E1479" s="1"/>
      <c r="F1479" s="1"/>
      <c r="G1479" s="1"/>
      <c r="H1479" s="1"/>
      <c r="I1479" s="1"/>
      <c r="J1479" s="1"/>
      <c r="K1479" s="1"/>
      <c r="L1479" s="1"/>
      <c r="M1479" s="1"/>
      <c r="N1479" s="1"/>
      <c r="O1479" s="1"/>
      <c r="P1479" s="1"/>
      <c r="Q1479" s="1"/>
      <c r="R1479" s="1"/>
      <c r="S1479" s="1"/>
      <c r="T1479" s="1"/>
      <c r="U1479" s="1"/>
      <c r="V1479" s="1"/>
      <c r="W1479" s="1"/>
      <c r="X1479" s="1"/>
      <c r="Y1479" s="1"/>
      <c r="Z1479" s="1"/>
      <c r="AA1479" s="1"/>
      <c r="AB1479" s="1"/>
      <c r="AC1479" s="1"/>
      <c r="AD1479" s="1"/>
      <c r="AE1479" s="1"/>
      <c r="AF1479" s="1"/>
      <c r="AG1479" s="1"/>
      <c r="AH1479" s="1"/>
      <c r="AI1479" s="1"/>
    </row>
    <row r="1480" customHeight="1" spans="1:35">
      <c r="A1480" s="1"/>
      <c r="B1480" s="1"/>
      <c r="C1480" s="1"/>
      <c r="D1480" s="1"/>
      <c r="E1480" s="1"/>
      <c r="F1480" s="1"/>
      <c r="G1480" s="1"/>
      <c r="H1480" s="1"/>
      <c r="I1480" s="1"/>
      <c r="J1480" s="1"/>
      <c r="K1480" s="1"/>
      <c r="L1480" s="1"/>
      <c r="M1480" s="1"/>
      <c r="N1480" s="1"/>
      <c r="O1480" s="1"/>
      <c r="P1480" s="1"/>
      <c r="Q1480" s="1"/>
      <c r="R1480" s="1"/>
      <c r="S1480" s="1"/>
      <c r="T1480" s="1"/>
      <c r="U1480" s="1"/>
      <c r="V1480" s="1"/>
      <c r="W1480" s="1"/>
      <c r="X1480" s="1"/>
      <c r="Y1480" s="1"/>
      <c r="Z1480" s="1"/>
      <c r="AA1480" s="1"/>
      <c r="AB1480" s="1"/>
      <c r="AC1480" s="1"/>
      <c r="AD1480" s="1"/>
      <c r="AE1480" s="1"/>
      <c r="AF1480" s="1"/>
      <c r="AG1480" s="1"/>
      <c r="AH1480" s="1"/>
      <c r="AI1480" s="1"/>
    </row>
    <row r="1481" customHeight="1" spans="1:35">
      <c r="A1481" s="1"/>
      <c r="B1481" s="1"/>
      <c r="C1481" s="1"/>
      <c r="D1481" s="1"/>
      <c r="E1481" s="1"/>
      <c r="F1481" s="1"/>
      <c r="G1481" s="1"/>
      <c r="H1481" s="1"/>
      <c r="I1481" s="1"/>
      <c r="J1481" s="1"/>
      <c r="K1481" s="1"/>
      <c r="L1481" s="1"/>
      <c r="M1481" s="1"/>
      <c r="N1481" s="1"/>
      <c r="O1481" s="1"/>
      <c r="P1481" s="1"/>
      <c r="Q1481" s="1"/>
      <c r="R1481" s="1"/>
      <c r="S1481" s="1"/>
      <c r="T1481" s="1"/>
      <c r="U1481" s="1"/>
      <c r="V1481" s="1"/>
      <c r="W1481" s="1"/>
      <c r="X1481" s="1"/>
      <c r="Y1481" s="1"/>
      <c r="Z1481" s="1"/>
      <c r="AA1481" s="1"/>
      <c r="AB1481" s="1"/>
      <c r="AC1481" s="1"/>
      <c r="AD1481" s="1"/>
      <c r="AE1481" s="1"/>
      <c r="AF1481" s="1"/>
      <c r="AG1481" s="1"/>
      <c r="AH1481" s="1"/>
      <c r="AI1481" s="1"/>
    </row>
    <row r="1482" customHeight="1" spans="1:35">
      <c r="A1482" s="1"/>
      <c r="B1482" s="1"/>
      <c r="C1482" s="1"/>
      <c r="D1482" s="1"/>
      <c r="E1482" s="1"/>
      <c r="F1482" s="1"/>
      <c r="G1482" s="1"/>
      <c r="H1482" s="1"/>
      <c r="I1482" s="1"/>
      <c r="J1482" s="1"/>
      <c r="K1482" s="1"/>
      <c r="L1482" s="1"/>
      <c r="M1482" s="1"/>
      <c r="N1482" s="1"/>
      <c r="O1482" s="1"/>
      <c r="P1482" s="1"/>
      <c r="Q1482" s="1"/>
      <c r="R1482" s="1"/>
      <c r="S1482" s="1"/>
      <c r="T1482" s="1"/>
      <c r="U1482" s="1"/>
      <c r="V1482" s="1"/>
      <c r="W1482" s="1"/>
      <c r="X1482" s="1"/>
      <c r="Y1482" s="1"/>
      <c r="Z1482" s="1"/>
      <c r="AA1482" s="1"/>
      <c r="AB1482" s="1"/>
      <c r="AC1482" s="1"/>
      <c r="AD1482" s="1"/>
      <c r="AE1482" s="1"/>
      <c r="AF1482" s="1"/>
      <c r="AG1482" s="1"/>
      <c r="AH1482" s="1"/>
      <c r="AI1482" s="1"/>
    </row>
    <row r="1483" customHeight="1" spans="1:35">
      <c r="A1483" s="1"/>
      <c r="B1483" s="1"/>
      <c r="C1483" s="1"/>
      <c r="D1483" s="1"/>
      <c r="E1483" s="1"/>
      <c r="F1483" s="1"/>
      <c r="G1483" s="1"/>
      <c r="H1483" s="1"/>
      <c r="I1483" s="1"/>
      <c r="J1483" s="1"/>
      <c r="K1483" s="1"/>
      <c r="L1483" s="1"/>
      <c r="M1483" s="1"/>
      <c r="N1483" s="1"/>
      <c r="O1483" s="1"/>
      <c r="P1483" s="1"/>
      <c r="Q1483" s="1"/>
      <c r="R1483" s="1"/>
      <c r="S1483" s="1"/>
      <c r="T1483" s="1"/>
      <c r="U1483" s="1"/>
      <c r="V1483" s="1"/>
      <c r="W1483" s="1"/>
      <c r="X1483" s="1"/>
      <c r="Y1483" s="1"/>
      <c r="Z1483" s="1"/>
      <c r="AA1483" s="1"/>
      <c r="AB1483" s="1"/>
      <c r="AC1483" s="1"/>
      <c r="AD1483" s="1"/>
      <c r="AE1483" s="1"/>
      <c r="AF1483" s="1"/>
      <c r="AG1483" s="1"/>
      <c r="AH1483" s="1"/>
      <c r="AI1483" s="1"/>
    </row>
    <row r="1484" customHeight="1" spans="1:35">
      <c r="A1484" s="1"/>
      <c r="B1484" s="1"/>
      <c r="C1484" s="1"/>
      <c r="D1484" s="1"/>
      <c r="E1484" s="1"/>
      <c r="F1484" s="1"/>
      <c r="G1484" s="1"/>
      <c r="H1484" s="1"/>
      <c r="I1484" s="1"/>
      <c r="J1484" s="1"/>
      <c r="K1484" s="1"/>
      <c r="L1484" s="1"/>
      <c r="M1484" s="1"/>
      <c r="N1484" s="1"/>
      <c r="O1484" s="1"/>
      <c r="P1484" s="1"/>
      <c r="Q1484" s="1"/>
      <c r="R1484" s="1"/>
      <c r="S1484" s="1"/>
      <c r="T1484" s="1"/>
      <c r="U1484" s="1"/>
      <c r="V1484" s="1"/>
      <c r="W1484" s="1"/>
      <c r="X1484" s="1"/>
      <c r="Y1484" s="1"/>
      <c r="Z1484" s="1"/>
      <c r="AA1484" s="1"/>
      <c r="AB1484" s="1"/>
      <c r="AC1484" s="1"/>
      <c r="AD1484" s="1"/>
      <c r="AE1484" s="1"/>
      <c r="AF1484" s="1"/>
      <c r="AG1484" s="1"/>
      <c r="AH1484" s="1"/>
      <c r="AI1484" s="1"/>
    </row>
    <row r="1485" customHeight="1" spans="1:35">
      <c r="A1485" s="1"/>
      <c r="B1485" s="1"/>
      <c r="C1485" s="1"/>
      <c r="D1485" s="1"/>
      <c r="E1485" s="1"/>
      <c r="F1485" s="1"/>
      <c r="G1485" s="1"/>
      <c r="H1485" s="1"/>
      <c r="I1485" s="1"/>
      <c r="J1485" s="1"/>
      <c r="K1485" s="1"/>
      <c r="L1485" s="1"/>
      <c r="M1485" s="1"/>
      <c r="N1485" s="1"/>
      <c r="O1485" s="1"/>
      <c r="P1485" s="1"/>
      <c r="Q1485" s="1"/>
      <c r="R1485" s="1"/>
      <c r="S1485" s="1"/>
      <c r="T1485" s="1"/>
      <c r="U1485" s="1"/>
      <c r="V1485" s="1"/>
      <c r="W1485" s="1"/>
      <c r="X1485" s="1"/>
      <c r="Y1485" s="1"/>
      <c r="Z1485" s="1"/>
      <c r="AA1485" s="1"/>
      <c r="AB1485" s="1"/>
      <c r="AC1485" s="1"/>
      <c r="AD1485" s="1"/>
      <c r="AE1485" s="1"/>
      <c r="AF1485" s="1"/>
      <c r="AG1485" s="1"/>
      <c r="AH1485" s="1"/>
      <c r="AI1485" s="1"/>
    </row>
    <row r="1486" customHeight="1" spans="1:35">
      <c r="A1486" s="1"/>
      <c r="B1486" s="1"/>
      <c r="C1486" s="1"/>
      <c r="D1486" s="1"/>
      <c r="E1486" s="1"/>
      <c r="F1486" s="1"/>
      <c r="G1486" s="1"/>
      <c r="H1486" s="1"/>
      <c r="I1486" s="1"/>
      <c r="J1486" s="1"/>
      <c r="K1486" s="1"/>
      <c r="L1486" s="1"/>
      <c r="M1486" s="1"/>
      <c r="N1486" s="1"/>
      <c r="O1486" s="1"/>
      <c r="P1486" s="1"/>
      <c r="Q1486" s="1"/>
      <c r="R1486" s="1"/>
      <c r="S1486" s="1"/>
      <c r="T1486" s="1"/>
      <c r="U1486" s="1"/>
      <c r="V1486" s="1"/>
      <c r="W1486" s="1"/>
      <c r="X1486" s="1"/>
      <c r="Y1486" s="1"/>
      <c r="Z1486" s="1"/>
      <c r="AA1486" s="1"/>
      <c r="AB1486" s="1"/>
      <c r="AC1486" s="1"/>
      <c r="AD1486" s="1"/>
      <c r="AE1486" s="1"/>
      <c r="AF1486" s="1"/>
      <c r="AG1486" s="1"/>
      <c r="AH1486" s="1"/>
      <c r="AI1486" s="1"/>
    </row>
    <row r="1487" customHeight="1" spans="1:35">
      <c r="A1487" s="1"/>
      <c r="B1487" s="1"/>
      <c r="C1487" s="1"/>
      <c r="D1487" s="1"/>
      <c r="E1487" s="1"/>
      <c r="F1487" s="1"/>
      <c r="G1487" s="1"/>
      <c r="H1487" s="1"/>
      <c r="I1487" s="1"/>
      <c r="J1487" s="1"/>
      <c r="K1487" s="1"/>
      <c r="L1487" s="1"/>
      <c r="M1487" s="1"/>
      <c r="N1487" s="1"/>
      <c r="O1487" s="1"/>
      <c r="P1487" s="1"/>
      <c r="Q1487" s="1"/>
      <c r="R1487" s="1"/>
      <c r="S1487" s="1"/>
      <c r="T1487" s="1"/>
      <c r="U1487" s="1"/>
      <c r="V1487" s="1"/>
      <c r="W1487" s="1"/>
      <c r="X1487" s="1"/>
      <c r="Y1487" s="1"/>
      <c r="Z1487" s="1"/>
      <c r="AA1487" s="1"/>
      <c r="AB1487" s="1"/>
      <c r="AC1487" s="1"/>
      <c r="AD1487" s="1"/>
      <c r="AE1487" s="1"/>
      <c r="AF1487" s="1"/>
      <c r="AG1487" s="1"/>
      <c r="AH1487" s="1"/>
      <c r="AI1487" s="1"/>
    </row>
    <row r="1488" customHeight="1" spans="1:35">
      <c r="A1488" s="1"/>
      <c r="B1488" s="1"/>
      <c r="C1488" s="1"/>
      <c r="D1488" s="1"/>
      <c r="E1488" s="1"/>
      <c r="F1488" s="1"/>
      <c r="G1488" s="1"/>
      <c r="H1488" s="1"/>
      <c r="I1488" s="1"/>
      <c r="J1488" s="1"/>
      <c r="K1488" s="1"/>
      <c r="L1488" s="1"/>
      <c r="M1488" s="1"/>
      <c r="N1488" s="1"/>
      <c r="O1488" s="1"/>
      <c r="P1488" s="1"/>
      <c r="Q1488" s="1"/>
      <c r="R1488" s="1"/>
      <c r="S1488" s="1"/>
      <c r="T1488" s="1"/>
      <c r="U1488" s="1"/>
      <c r="V1488" s="1"/>
      <c r="W1488" s="1"/>
      <c r="X1488" s="1"/>
      <c r="Y1488" s="1"/>
      <c r="Z1488" s="1"/>
      <c r="AA1488" s="1"/>
      <c r="AB1488" s="1"/>
      <c r="AC1488" s="1"/>
      <c r="AD1488" s="1"/>
      <c r="AE1488" s="1"/>
      <c r="AF1488" s="1"/>
      <c r="AG1488" s="1"/>
      <c r="AH1488" s="1"/>
      <c r="AI1488" s="1"/>
    </row>
    <row r="1489" customHeight="1" spans="1:35">
      <c r="A1489" s="1"/>
      <c r="B1489" s="1"/>
      <c r="C1489" s="1"/>
      <c r="D1489" s="1"/>
      <c r="E1489" s="1"/>
      <c r="F1489" s="1"/>
      <c r="G1489" s="1"/>
      <c r="H1489" s="1"/>
      <c r="I1489" s="1"/>
      <c r="J1489" s="1"/>
      <c r="K1489" s="1"/>
      <c r="L1489" s="1"/>
      <c r="M1489" s="1"/>
      <c r="N1489" s="1"/>
      <c r="O1489" s="1"/>
      <c r="P1489" s="1"/>
      <c r="Q1489" s="1"/>
      <c r="R1489" s="1"/>
      <c r="S1489" s="1"/>
      <c r="T1489" s="1"/>
      <c r="U1489" s="1"/>
      <c r="V1489" s="1"/>
      <c r="W1489" s="1"/>
      <c r="X1489" s="1"/>
      <c r="Y1489" s="1"/>
      <c r="Z1489" s="1"/>
      <c r="AA1489" s="1"/>
      <c r="AB1489" s="1"/>
      <c r="AC1489" s="1"/>
      <c r="AD1489" s="1"/>
      <c r="AE1489" s="1"/>
      <c r="AF1489" s="1"/>
      <c r="AG1489" s="1"/>
      <c r="AH1489" s="1"/>
      <c r="AI1489" s="1"/>
    </row>
    <row r="1490" customHeight="1" spans="1:35">
      <c r="A1490" s="1"/>
      <c r="B1490" s="1"/>
      <c r="C1490" s="1"/>
      <c r="D1490" s="1"/>
      <c r="E1490" s="1"/>
      <c r="F1490" s="1"/>
      <c r="G1490" s="1"/>
      <c r="H1490" s="1"/>
      <c r="I1490" s="1"/>
      <c r="J1490" s="1"/>
      <c r="K1490" s="1"/>
      <c r="L1490" s="1"/>
      <c r="M1490" s="1"/>
      <c r="N1490" s="1"/>
      <c r="O1490" s="1"/>
      <c r="P1490" s="1"/>
      <c r="Q1490" s="1"/>
      <c r="R1490" s="1"/>
      <c r="S1490" s="1"/>
      <c r="T1490" s="1"/>
      <c r="U1490" s="1"/>
      <c r="V1490" s="1"/>
      <c r="W1490" s="1"/>
      <c r="X1490" s="1"/>
      <c r="Y1490" s="1"/>
      <c r="Z1490" s="1"/>
      <c r="AA1490" s="1"/>
      <c r="AB1490" s="1"/>
      <c r="AC1490" s="1"/>
      <c r="AD1490" s="1"/>
      <c r="AE1490" s="1"/>
      <c r="AF1490" s="1"/>
      <c r="AG1490" s="1"/>
      <c r="AH1490" s="1"/>
      <c r="AI1490" s="1"/>
    </row>
    <row r="1491" customHeight="1" spans="1:35">
      <c r="A1491" s="1"/>
      <c r="B1491" s="1"/>
      <c r="C1491" s="1"/>
      <c r="D1491" s="1"/>
      <c r="E1491" s="1"/>
      <c r="F1491" s="1"/>
      <c r="G1491" s="1"/>
      <c r="H1491" s="1"/>
      <c r="I1491" s="1"/>
      <c r="J1491" s="1"/>
      <c r="K1491" s="1"/>
      <c r="L1491" s="1"/>
      <c r="M1491" s="1"/>
      <c r="N1491" s="1"/>
      <c r="O1491" s="1"/>
      <c r="P1491" s="1"/>
      <c r="Q1491" s="1"/>
      <c r="R1491" s="1"/>
      <c r="S1491" s="1"/>
      <c r="T1491" s="1"/>
      <c r="U1491" s="1"/>
      <c r="V1491" s="1"/>
      <c r="W1491" s="1"/>
      <c r="X1491" s="1"/>
      <c r="Y1491" s="1"/>
      <c r="Z1491" s="1"/>
      <c r="AA1491" s="1"/>
      <c r="AB1491" s="1"/>
      <c r="AC1491" s="1"/>
      <c r="AD1491" s="1"/>
      <c r="AE1491" s="1"/>
      <c r="AF1491" s="1"/>
      <c r="AG1491" s="1"/>
      <c r="AH1491" s="1"/>
      <c r="AI1491" s="1"/>
    </row>
    <row r="1492" customHeight="1" spans="1:35">
      <c r="A1492" s="1"/>
      <c r="B1492" s="1"/>
      <c r="C1492" s="1"/>
      <c r="D1492" s="1"/>
      <c r="E1492" s="1"/>
      <c r="F1492" s="1"/>
      <c r="G1492" s="1"/>
      <c r="H1492" s="1"/>
      <c r="I1492" s="1"/>
      <c r="J1492" s="1"/>
      <c r="K1492" s="1"/>
      <c r="L1492" s="1"/>
      <c r="M1492" s="1"/>
      <c r="N1492" s="1"/>
      <c r="O1492" s="1"/>
      <c r="P1492" s="1"/>
      <c r="Q1492" s="1"/>
      <c r="R1492" s="1"/>
      <c r="S1492" s="1"/>
      <c r="T1492" s="1"/>
      <c r="U1492" s="1"/>
      <c r="V1492" s="1"/>
      <c r="W1492" s="1"/>
      <c r="X1492" s="1"/>
      <c r="Y1492" s="1"/>
      <c r="Z1492" s="1"/>
      <c r="AA1492" s="1"/>
      <c r="AB1492" s="1"/>
      <c r="AC1492" s="1"/>
      <c r="AD1492" s="1"/>
      <c r="AE1492" s="1"/>
      <c r="AF1492" s="1"/>
      <c r="AG1492" s="1"/>
      <c r="AH1492" s="1"/>
      <c r="AI1492" s="1"/>
    </row>
    <row r="1493" customHeight="1" spans="1:35">
      <c r="A1493" s="1"/>
      <c r="B1493" s="1"/>
      <c r="C1493" s="1"/>
      <c r="D1493" s="1"/>
      <c r="E1493" s="1"/>
      <c r="F1493" s="1"/>
      <c r="G1493" s="1"/>
      <c r="H1493" s="1"/>
      <c r="I1493" s="1"/>
      <c r="J1493" s="1"/>
      <c r="K1493" s="1"/>
      <c r="L1493" s="1"/>
      <c r="M1493" s="1"/>
      <c r="N1493" s="1"/>
      <c r="O1493" s="1"/>
      <c r="P1493" s="1"/>
      <c r="Q1493" s="1"/>
      <c r="R1493" s="1"/>
      <c r="S1493" s="1"/>
      <c r="T1493" s="1"/>
      <c r="U1493" s="1"/>
      <c r="V1493" s="1"/>
      <c r="W1493" s="1"/>
      <c r="X1493" s="1"/>
      <c r="Y1493" s="1"/>
      <c r="Z1493" s="1"/>
      <c r="AA1493" s="1"/>
      <c r="AB1493" s="1"/>
      <c r="AC1493" s="1"/>
      <c r="AD1493" s="1"/>
      <c r="AE1493" s="1"/>
      <c r="AF1493" s="1"/>
      <c r="AG1493" s="1"/>
      <c r="AH1493" s="1"/>
      <c r="AI1493" s="1"/>
    </row>
    <row r="1494" customHeight="1" spans="1:35">
      <c r="A1494" s="1"/>
      <c r="B1494" s="1"/>
      <c r="C1494" s="1"/>
      <c r="D1494" s="1"/>
      <c r="E1494" s="1"/>
      <c r="F1494" s="1"/>
      <c r="G1494" s="1"/>
      <c r="H1494" s="1"/>
      <c r="I1494" s="1"/>
      <c r="J1494" s="1"/>
      <c r="K1494" s="1"/>
      <c r="L1494" s="1"/>
      <c r="M1494" s="1"/>
      <c r="N1494" s="1"/>
      <c r="O1494" s="1"/>
      <c r="P1494" s="1"/>
      <c r="Q1494" s="1"/>
      <c r="R1494" s="1"/>
      <c r="S1494" s="1"/>
      <c r="T1494" s="1"/>
      <c r="U1494" s="1"/>
      <c r="V1494" s="1"/>
      <c r="W1494" s="1"/>
      <c r="X1494" s="1"/>
      <c r="Y1494" s="1"/>
      <c r="Z1494" s="1"/>
      <c r="AA1494" s="1"/>
      <c r="AB1494" s="1"/>
      <c r="AC1494" s="1"/>
      <c r="AD1494" s="1"/>
      <c r="AE1494" s="1"/>
      <c r="AF1494" s="1"/>
      <c r="AG1494" s="1"/>
      <c r="AH1494" s="1"/>
      <c r="AI1494" s="1"/>
    </row>
    <row r="1495" customHeight="1" spans="1:35">
      <c r="A1495" s="1"/>
      <c r="B1495" s="1"/>
      <c r="C1495" s="1"/>
      <c r="D1495" s="1"/>
      <c r="E1495" s="1"/>
      <c r="F1495" s="1"/>
      <c r="G1495" s="1"/>
      <c r="H1495" s="1"/>
      <c r="I1495" s="1"/>
      <c r="J1495" s="1"/>
      <c r="K1495" s="1"/>
      <c r="L1495" s="1"/>
      <c r="M1495" s="1"/>
      <c r="N1495" s="1"/>
      <c r="O1495" s="1"/>
      <c r="P1495" s="1"/>
      <c r="Q1495" s="1"/>
      <c r="R1495" s="1"/>
      <c r="S1495" s="1"/>
      <c r="T1495" s="1"/>
      <c r="U1495" s="1"/>
      <c r="V1495" s="1"/>
      <c r="W1495" s="1"/>
      <c r="X1495" s="1"/>
      <c r="Y1495" s="1"/>
      <c r="Z1495" s="1"/>
      <c r="AA1495" s="1"/>
      <c r="AB1495" s="1"/>
      <c r="AC1495" s="1"/>
      <c r="AD1495" s="1"/>
      <c r="AE1495" s="1"/>
      <c r="AF1495" s="1"/>
      <c r="AG1495" s="1"/>
      <c r="AH1495" s="1"/>
      <c r="AI1495" s="1"/>
    </row>
    <row r="1496" customHeight="1" spans="1:35">
      <c r="A1496" s="1"/>
      <c r="B1496" s="1"/>
      <c r="C1496" s="1"/>
      <c r="D1496" s="1"/>
      <c r="E1496" s="1"/>
      <c r="F1496" s="1"/>
      <c r="G1496" s="1"/>
      <c r="H1496" s="1"/>
      <c r="I1496" s="1"/>
      <c r="J1496" s="1"/>
      <c r="K1496" s="1"/>
      <c r="L1496" s="1"/>
      <c r="M1496" s="1"/>
      <c r="N1496" s="1"/>
      <c r="O1496" s="1"/>
      <c r="P1496" s="1"/>
      <c r="Q1496" s="1"/>
      <c r="R1496" s="1"/>
      <c r="S1496" s="1"/>
      <c r="T1496" s="1"/>
      <c r="U1496" s="1"/>
      <c r="V1496" s="1"/>
      <c r="W1496" s="1"/>
      <c r="X1496" s="1"/>
      <c r="Y1496" s="1"/>
      <c r="Z1496" s="1"/>
      <c r="AA1496" s="1"/>
      <c r="AB1496" s="1"/>
      <c r="AC1496" s="1"/>
      <c r="AD1496" s="1"/>
      <c r="AE1496" s="1"/>
      <c r="AF1496" s="1"/>
      <c r="AG1496" s="1"/>
      <c r="AH1496" s="1"/>
      <c r="AI1496" s="1"/>
    </row>
    <row r="1497" customHeight="1" spans="1:35">
      <c r="A1497" s="1"/>
      <c r="B1497" s="1"/>
      <c r="C1497" s="1"/>
      <c r="D1497" s="1"/>
      <c r="E1497" s="1"/>
      <c r="F1497" s="1"/>
      <c r="G1497" s="1"/>
      <c r="H1497" s="1"/>
      <c r="I1497" s="1"/>
      <c r="J1497" s="1"/>
      <c r="K1497" s="1"/>
      <c r="L1497" s="1"/>
      <c r="M1497" s="1"/>
      <c r="N1497" s="1"/>
      <c r="O1497" s="1"/>
      <c r="P1497" s="1"/>
      <c r="Q1497" s="1"/>
      <c r="R1497" s="1"/>
      <c r="S1497" s="1"/>
      <c r="T1497" s="1"/>
      <c r="U1497" s="1"/>
      <c r="V1497" s="1"/>
      <c r="W1497" s="1"/>
      <c r="X1497" s="1"/>
      <c r="Y1497" s="1"/>
      <c r="Z1497" s="1"/>
      <c r="AA1497" s="1"/>
      <c r="AB1497" s="1"/>
      <c r="AC1497" s="1"/>
      <c r="AD1497" s="1"/>
      <c r="AE1497" s="1"/>
      <c r="AF1497" s="1"/>
      <c r="AG1497" s="1"/>
      <c r="AH1497" s="1"/>
      <c r="AI1497" s="1"/>
    </row>
    <row r="1498" customHeight="1" spans="1:35">
      <c r="A1498" s="1"/>
      <c r="B1498" s="1"/>
      <c r="C1498" s="1"/>
      <c r="D1498" s="1"/>
      <c r="E1498" s="1"/>
      <c r="F1498" s="1"/>
      <c r="G1498" s="1"/>
      <c r="H1498" s="1"/>
      <c r="I1498" s="1"/>
      <c r="J1498" s="1"/>
      <c r="K1498" s="1"/>
      <c r="L1498" s="1"/>
      <c r="M1498" s="1"/>
      <c r="N1498" s="1"/>
      <c r="O1498" s="1"/>
      <c r="P1498" s="1"/>
      <c r="Q1498" s="1"/>
      <c r="R1498" s="1"/>
      <c r="S1498" s="1"/>
      <c r="T1498" s="1"/>
      <c r="U1498" s="1"/>
      <c r="V1498" s="1"/>
      <c r="W1498" s="1"/>
      <c r="X1498" s="1"/>
      <c r="Y1498" s="1"/>
      <c r="Z1498" s="1"/>
      <c r="AA1498" s="1"/>
      <c r="AB1498" s="1"/>
      <c r="AC1498" s="1"/>
      <c r="AD1498" s="1"/>
      <c r="AE1498" s="1"/>
      <c r="AF1498" s="1"/>
      <c r="AG1498" s="1"/>
      <c r="AH1498" s="1"/>
      <c r="AI1498" s="1"/>
    </row>
    <row r="1499" customHeight="1" spans="1:35">
      <c r="A1499" s="1"/>
      <c r="B1499" s="1"/>
      <c r="C1499" s="1"/>
      <c r="D1499" s="1"/>
      <c r="E1499" s="1"/>
      <c r="F1499" s="1"/>
      <c r="G1499" s="1"/>
      <c r="H1499" s="1"/>
      <c r="I1499" s="1"/>
      <c r="J1499" s="1"/>
      <c r="K1499" s="1"/>
      <c r="L1499" s="1"/>
      <c r="M1499" s="1"/>
      <c r="N1499" s="1"/>
      <c r="O1499" s="1"/>
      <c r="P1499" s="1"/>
      <c r="Q1499" s="1"/>
      <c r="R1499" s="1"/>
      <c r="S1499" s="1"/>
      <c r="T1499" s="1"/>
      <c r="U1499" s="1"/>
      <c r="V1499" s="1"/>
      <c r="W1499" s="1"/>
      <c r="X1499" s="1"/>
      <c r="Y1499" s="1"/>
      <c r="Z1499" s="1"/>
      <c r="AA1499" s="1"/>
      <c r="AB1499" s="1"/>
      <c r="AC1499" s="1"/>
      <c r="AD1499" s="1"/>
      <c r="AE1499" s="1"/>
      <c r="AF1499" s="1"/>
      <c r="AG1499" s="1"/>
      <c r="AH1499" s="1"/>
      <c r="AI1499" s="1"/>
    </row>
    <row r="1500" customHeight="1" spans="1:35">
      <c r="A1500" s="1"/>
      <c r="B1500" s="1"/>
      <c r="C1500" s="1"/>
      <c r="D1500" s="1"/>
      <c r="E1500" s="1"/>
      <c r="F1500" s="1"/>
      <c r="G1500" s="1"/>
      <c r="H1500" s="1"/>
      <c r="I1500" s="1"/>
      <c r="J1500" s="1"/>
      <c r="K1500" s="1"/>
      <c r="L1500" s="1"/>
      <c r="M1500" s="1"/>
      <c r="N1500" s="1"/>
      <c r="O1500" s="1"/>
      <c r="P1500" s="1"/>
      <c r="Q1500" s="1"/>
      <c r="R1500" s="1"/>
      <c r="S1500" s="1"/>
      <c r="T1500" s="1"/>
      <c r="U1500" s="1"/>
      <c r="V1500" s="1"/>
      <c r="W1500" s="1"/>
      <c r="X1500" s="1"/>
      <c r="Y1500" s="1"/>
      <c r="Z1500" s="1"/>
      <c r="AA1500" s="1"/>
      <c r="AB1500" s="1"/>
      <c r="AC1500" s="1"/>
      <c r="AD1500" s="1"/>
      <c r="AE1500" s="1"/>
      <c r="AF1500" s="1"/>
      <c r="AG1500" s="1"/>
      <c r="AH1500" s="1"/>
      <c r="AI1500" s="1"/>
    </row>
    <row r="1501" customHeight="1" spans="1:35">
      <c r="A1501" s="1"/>
      <c r="B1501" s="1"/>
      <c r="C1501" s="1"/>
      <c r="D1501" s="1"/>
      <c r="E1501" s="1"/>
      <c r="F1501" s="1"/>
      <c r="G1501" s="1"/>
      <c r="H1501" s="1"/>
      <c r="I1501" s="1"/>
      <c r="J1501" s="1"/>
      <c r="K1501" s="1"/>
      <c r="L1501" s="1"/>
      <c r="M1501" s="1"/>
      <c r="N1501" s="1"/>
      <c r="O1501" s="1"/>
      <c r="P1501" s="1"/>
      <c r="Q1501" s="1"/>
      <c r="R1501" s="1"/>
      <c r="S1501" s="1"/>
      <c r="T1501" s="1"/>
      <c r="U1501" s="1"/>
      <c r="V1501" s="1"/>
      <c r="W1501" s="1"/>
      <c r="X1501" s="1"/>
      <c r="Y1501" s="1"/>
      <c r="Z1501" s="1"/>
      <c r="AA1501" s="1"/>
      <c r="AB1501" s="1"/>
      <c r="AC1501" s="1"/>
      <c r="AD1501" s="1"/>
      <c r="AE1501" s="1"/>
      <c r="AF1501" s="1"/>
      <c r="AG1501" s="1"/>
      <c r="AH1501" s="1"/>
      <c r="AI1501" s="1"/>
    </row>
    <row r="1502" customHeight="1" spans="1:35">
      <c r="A1502" s="1"/>
      <c r="B1502" s="1"/>
      <c r="C1502" s="1"/>
      <c r="D1502" s="1"/>
      <c r="E1502" s="1"/>
      <c r="F1502" s="1"/>
      <c r="G1502" s="1"/>
      <c r="H1502" s="1"/>
      <c r="I1502" s="1"/>
      <c r="J1502" s="1"/>
      <c r="K1502" s="1"/>
      <c r="L1502" s="1"/>
      <c r="M1502" s="1"/>
      <c r="N1502" s="1"/>
      <c r="O1502" s="1"/>
      <c r="P1502" s="1"/>
      <c r="Q1502" s="1"/>
      <c r="R1502" s="1"/>
      <c r="S1502" s="1"/>
      <c r="T1502" s="1"/>
      <c r="U1502" s="1"/>
      <c r="V1502" s="1"/>
      <c r="W1502" s="1"/>
      <c r="X1502" s="1"/>
      <c r="Y1502" s="1"/>
      <c r="Z1502" s="1"/>
      <c r="AA1502" s="1"/>
      <c r="AB1502" s="1"/>
      <c r="AC1502" s="1"/>
      <c r="AD1502" s="1"/>
      <c r="AE1502" s="1"/>
      <c r="AF1502" s="1"/>
      <c r="AG1502" s="1"/>
      <c r="AH1502" s="1"/>
      <c r="AI1502" s="1"/>
    </row>
    <row r="1503" customHeight="1" spans="1:35">
      <c r="A1503" s="1"/>
      <c r="B1503" s="1"/>
      <c r="C1503" s="1"/>
      <c r="D1503" s="1"/>
      <c r="E1503" s="1"/>
      <c r="F1503" s="1"/>
      <c r="G1503" s="1"/>
      <c r="H1503" s="1"/>
      <c r="I1503" s="1"/>
      <c r="J1503" s="1"/>
      <c r="K1503" s="1"/>
      <c r="L1503" s="1"/>
      <c r="M1503" s="1"/>
      <c r="N1503" s="1"/>
      <c r="O1503" s="1"/>
      <c r="P1503" s="1"/>
      <c r="Q1503" s="1"/>
      <c r="R1503" s="1"/>
      <c r="S1503" s="1"/>
      <c r="T1503" s="1"/>
      <c r="U1503" s="1"/>
      <c r="V1503" s="1"/>
      <c r="W1503" s="1"/>
      <c r="X1503" s="1"/>
      <c r="Y1503" s="1"/>
      <c r="Z1503" s="1"/>
      <c r="AA1503" s="1"/>
      <c r="AB1503" s="1"/>
      <c r="AC1503" s="1"/>
      <c r="AD1503" s="1"/>
      <c r="AE1503" s="1"/>
      <c r="AF1503" s="1"/>
      <c r="AG1503" s="1"/>
      <c r="AH1503" s="1"/>
      <c r="AI1503" s="1"/>
    </row>
    <row r="1504" customHeight="1" spans="1:35">
      <c r="A1504" s="1"/>
      <c r="B1504" s="1"/>
      <c r="C1504" s="1"/>
      <c r="D1504" s="1"/>
      <c r="E1504" s="1"/>
      <c r="F1504" s="1"/>
      <c r="G1504" s="1"/>
      <c r="H1504" s="1"/>
      <c r="I1504" s="1"/>
      <c r="J1504" s="1"/>
      <c r="K1504" s="1"/>
      <c r="L1504" s="1"/>
      <c r="M1504" s="1"/>
      <c r="N1504" s="1"/>
      <c r="O1504" s="1"/>
      <c r="P1504" s="1"/>
      <c r="Q1504" s="1"/>
      <c r="R1504" s="1"/>
      <c r="S1504" s="1"/>
      <c r="T1504" s="1"/>
      <c r="U1504" s="1"/>
      <c r="V1504" s="1"/>
      <c r="W1504" s="1"/>
      <c r="X1504" s="1"/>
      <c r="Y1504" s="1"/>
      <c r="Z1504" s="1"/>
      <c r="AA1504" s="1"/>
      <c r="AB1504" s="1"/>
      <c r="AC1504" s="1"/>
      <c r="AD1504" s="1"/>
      <c r="AE1504" s="1"/>
      <c r="AF1504" s="1"/>
      <c r="AG1504" s="1"/>
      <c r="AH1504" s="1"/>
      <c r="AI1504" s="1"/>
    </row>
    <row r="1505" customHeight="1" spans="1:35">
      <c r="A1505" s="1"/>
      <c r="B1505" s="1"/>
      <c r="C1505" s="1"/>
      <c r="D1505" s="1"/>
      <c r="E1505" s="1"/>
      <c r="F1505" s="1"/>
      <c r="G1505" s="1"/>
      <c r="H1505" s="1"/>
      <c r="I1505" s="1"/>
      <c r="J1505" s="1"/>
      <c r="K1505" s="1"/>
      <c r="L1505" s="1"/>
      <c r="M1505" s="1"/>
      <c r="N1505" s="1"/>
      <c r="O1505" s="1"/>
      <c r="P1505" s="1"/>
      <c r="Q1505" s="1"/>
      <c r="R1505" s="1"/>
      <c r="S1505" s="1"/>
      <c r="T1505" s="1"/>
      <c r="U1505" s="1"/>
      <c r="V1505" s="1"/>
      <c r="W1505" s="1"/>
      <c r="X1505" s="1"/>
      <c r="Y1505" s="1"/>
      <c r="Z1505" s="1"/>
      <c r="AA1505" s="1"/>
      <c r="AB1505" s="1"/>
      <c r="AC1505" s="1"/>
      <c r="AD1505" s="1"/>
      <c r="AE1505" s="1"/>
      <c r="AF1505" s="1"/>
      <c r="AG1505" s="1"/>
      <c r="AH1505" s="1"/>
      <c r="AI1505" s="1"/>
    </row>
    <row r="1506" customHeight="1" spans="1:35">
      <c r="A1506" s="1"/>
      <c r="B1506" s="1"/>
      <c r="C1506" s="1"/>
      <c r="D1506" s="1"/>
      <c r="E1506" s="1"/>
      <c r="F1506" s="1"/>
      <c r="G1506" s="1"/>
      <c r="H1506" s="1"/>
      <c r="I1506" s="1"/>
      <c r="J1506" s="1"/>
      <c r="K1506" s="1"/>
      <c r="L1506" s="1"/>
      <c r="M1506" s="1"/>
      <c r="N1506" s="1"/>
      <c r="O1506" s="1"/>
      <c r="P1506" s="1"/>
      <c r="Q1506" s="1"/>
      <c r="R1506" s="1"/>
      <c r="S1506" s="1"/>
      <c r="T1506" s="1"/>
      <c r="U1506" s="1"/>
      <c r="V1506" s="1"/>
      <c r="W1506" s="1"/>
      <c r="X1506" s="1"/>
      <c r="Y1506" s="1"/>
      <c r="Z1506" s="1"/>
      <c r="AA1506" s="1"/>
      <c r="AB1506" s="1"/>
      <c r="AC1506" s="1"/>
      <c r="AD1506" s="1"/>
      <c r="AE1506" s="1"/>
      <c r="AF1506" s="1"/>
      <c r="AG1506" s="1"/>
      <c r="AH1506" s="1"/>
      <c r="AI1506" s="1"/>
    </row>
    <row r="1507" customHeight="1" spans="1:35">
      <c r="A1507" s="1"/>
      <c r="B1507" s="1"/>
      <c r="C1507" s="1"/>
      <c r="D1507" s="1"/>
      <c r="E1507" s="1"/>
      <c r="F1507" s="1"/>
      <c r="G1507" s="1"/>
      <c r="H1507" s="1"/>
      <c r="I1507" s="1"/>
      <c r="J1507" s="1"/>
      <c r="K1507" s="1"/>
      <c r="L1507" s="1"/>
      <c r="M1507" s="1"/>
      <c r="N1507" s="1"/>
      <c r="O1507" s="1"/>
      <c r="P1507" s="1"/>
      <c r="Q1507" s="1"/>
      <c r="R1507" s="1"/>
      <c r="S1507" s="1"/>
      <c r="T1507" s="1"/>
      <c r="U1507" s="1"/>
      <c r="V1507" s="1"/>
      <c r="W1507" s="1"/>
      <c r="X1507" s="1"/>
      <c r="Y1507" s="1"/>
      <c r="Z1507" s="1"/>
      <c r="AA1507" s="1"/>
      <c r="AB1507" s="1"/>
      <c r="AC1507" s="1"/>
      <c r="AD1507" s="1"/>
      <c r="AE1507" s="1"/>
      <c r="AF1507" s="1"/>
      <c r="AG1507" s="1"/>
      <c r="AH1507" s="1"/>
      <c r="AI1507" s="1"/>
    </row>
    <row r="1508" customHeight="1" spans="1:35">
      <c r="A1508" s="1"/>
      <c r="B1508" s="1"/>
      <c r="C1508" s="1"/>
      <c r="D1508" s="1"/>
      <c r="E1508" s="1"/>
      <c r="F1508" s="1"/>
      <c r="G1508" s="1"/>
      <c r="H1508" s="1"/>
      <c r="I1508" s="1"/>
      <c r="J1508" s="1"/>
      <c r="K1508" s="1"/>
      <c r="L1508" s="1"/>
      <c r="M1508" s="1"/>
      <c r="N1508" s="1"/>
      <c r="O1508" s="1"/>
      <c r="P1508" s="1"/>
      <c r="Q1508" s="1"/>
      <c r="R1508" s="1"/>
      <c r="S1508" s="1"/>
      <c r="T1508" s="1"/>
      <c r="U1508" s="1"/>
      <c r="V1508" s="1"/>
      <c r="W1508" s="1"/>
      <c r="X1508" s="1"/>
      <c r="Y1508" s="1"/>
      <c r="Z1508" s="1"/>
      <c r="AA1508" s="1"/>
      <c r="AB1508" s="1"/>
      <c r="AC1508" s="1"/>
      <c r="AD1508" s="1"/>
      <c r="AE1508" s="1"/>
      <c r="AF1508" s="1"/>
      <c r="AG1508" s="1"/>
      <c r="AH1508" s="1"/>
      <c r="AI1508" s="1"/>
    </row>
    <row r="1509" customHeight="1" spans="1:35">
      <c r="A1509" s="1"/>
      <c r="B1509" s="1"/>
      <c r="C1509" s="1"/>
      <c r="D1509" s="1"/>
      <c r="E1509" s="1"/>
      <c r="F1509" s="1"/>
      <c r="G1509" s="1"/>
      <c r="H1509" s="1"/>
      <c r="I1509" s="1"/>
      <c r="J1509" s="1"/>
      <c r="K1509" s="1"/>
      <c r="L1509" s="1"/>
      <c r="M1509" s="1"/>
      <c r="N1509" s="1"/>
      <c r="O1509" s="1"/>
      <c r="P1509" s="1"/>
      <c r="Q1509" s="1"/>
      <c r="R1509" s="1"/>
      <c r="S1509" s="1"/>
      <c r="T1509" s="1"/>
      <c r="U1509" s="1"/>
      <c r="V1509" s="1"/>
      <c r="W1509" s="1"/>
      <c r="X1509" s="1"/>
      <c r="Y1509" s="1"/>
      <c r="Z1509" s="1"/>
      <c r="AA1509" s="1"/>
      <c r="AB1509" s="1"/>
      <c r="AC1509" s="1"/>
      <c r="AD1509" s="1"/>
      <c r="AE1509" s="1"/>
      <c r="AF1509" s="1"/>
      <c r="AG1509" s="1"/>
      <c r="AH1509" s="1"/>
      <c r="AI1509" s="1"/>
    </row>
    <row r="1510" customHeight="1" spans="1:35">
      <c r="A1510" s="1"/>
      <c r="B1510" s="1"/>
      <c r="C1510" s="1"/>
      <c r="D1510" s="1"/>
      <c r="E1510" s="1"/>
      <c r="F1510" s="1"/>
      <c r="G1510" s="1"/>
      <c r="H1510" s="1"/>
      <c r="I1510" s="1"/>
      <c r="J1510" s="1"/>
      <c r="K1510" s="1"/>
      <c r="L1510" s="1"/>
      <c r="M1510" s="1"/>
      <c r="N1510" s="1"/>
      <c r="O1510" s="1"/>
      <c r="P1510" s="1"/>
      <c r="Q1510" s="1"/>
      <c r="R1510" s="1"/>
      <c r="S1510" s="1"/>
      <c r="T1510" s="1"/>
      <c r="U1510" s="1"/>
      <c r="V1510" s="1"/>
      <c r="W1510" s="1"/>
      <c r="X1510" s="1"/>
      <c r="Y1510" s="1"/>
      <c r="Z1510" s="1"/>
      <c r="AA1510" s="1"/>
      <c r="AB1510" s="1"/>
      <c r="AC1510" s="1"/>
      <c r="AD1510" s="1"/>
      <c r="AE1510" s="1"/>
      <c r="AF1510" s="1"/>
      <c r="AG1510" s="1"/>
      <c r="AH1510" s="1"/>
      <c r="AI1510" s="1"/>
    </row>
    <row r="1511" customHeight="1" spans="1:35">
      <c r="A1511" s="1"/>
      <c r="B1511" s="1"/>
      <c r="C1511" s="1"/>
      <c r="D1511" s="1"/>
      <c r="E1511" s="1"/>
      <c r="F1511" s="1"/>
      <c r="G1511" s="1"/>
      <c r="H1511" s="1"/>
      <c r="I1511" s="1"/>
      <c r="J1511" s="1"/>
      <c r="K1511" s="1"/>
      <c r="L1511" s="1"/>
      <c r="M1511" s="1"/>
      <c r="N1511" s="1"/>
      <c r="O1511" s="1"/>
      <c r="P1511" s="1"/>
      <c r="Q1511" s="1"/>
      <c r="R1511" s="1"/>
      <c r="S1511" s="1"/>
      <c r="T1511" s="1"/>
      <c r="U1511" s="1"/>
      <c r="V1511" s="1"/>
      <c r="W1511" s="1"/>
      <c r="X1511" s="1"/>
      <c r="Y1511" s="1"/>
      <c r="Z1511" s="1"/>
      <c r="AA1511" s="1"/>
      <c r="AB1511" s="1"/>
      <c r="AC1511" s="1"/>
      <c r="AD1511" s="1"/>
      <c r="AE1511" s="1"/>
      <c r="AF1511" s="1"/>
      <c r="AG1511" s="1"/>
      <c r="AH1511" s="1"/>
      <c r="AI1511" s="1"/>
    </row>
    <row r="1512" customHeight="1" spans="1:35">
      <c r="A1512" s="1"/>
      <c r="B1512" s="1"/>
      <c r="C1512" s="1"/>
      <c r="D1512" s="1"/>
      <c r="E1512" s="1"/>
      <c r="F1512" s="1"/>
      <c r="G1512" s="1"/>
      <c r="H1512" s="1"/>
      <c r="I1512" s="1"/>
      <c r="J1512" s="1"/>
      <c r="K1512" s="1"/>
      <c r="L1512" s="1"/>
      <c r="M1512" s="1"/>
      <c r="N1512" s="1"/>
      <c r="O1512" s="1"/>
      <c r="P1512" s="1"/>
      <c r="Q1512" s="1"/>
      <c r="R1512" s="1"/>
      <c r="S1512" s="1"/>
      <c r="T1512" s="1"/>
      <c r="U1512" s="1"/>
      <c r="V1512" s="1"/>
      <c r="W1512" s="1"/>
      <c r="X1512" s="1"/>
      <c r="Y1512" s="1"/>
      <c r="Z1512" s="1"/>
      <c r="AA1512" s="1"/>
      <c r="AB1512" s="1"/>
      <c r="AC1512" s="1"/>
      <c r="AD1512" s="1"/>
      <c r="AE1512" s="1"/>
      <c r="AF1512" s="1"/>
      <c r="AG1512" s="1"/>
      <c r="AH1512" s="1"/>
      <c r="AI1512" s="1"/>
    </row>
    <row r="1513" customHeight="1" spans="1:35">
      <c r="A1513" s="1"/>
      <c r="B1513" s="1"/>
      <c r="C1513" s="1"/>
      <c r="D1513" s="1"/>
      <c r="E1513" s="1"/>
      <c r="F1513" s="1"/>
      <c r="G1513" s="1"/>
      <c r="H1513" s="1"/>
      <c r="I1513" s="1"/>
      <c r="J1513" s="1"/>
      <c r="K1513" s="1"/>
      <c r="L1513" s="1"/>
      <c r="M1513" s="1"/>
      <c r="N1513" s="1"/>
      <c r="O1513" s="1"/>
      <c r="P1513" s="1"/>
      <c r="Q1513" s="1"/>
      <c r="R1513" s="1"/>
      <c r="S1513" s="1"/>
      <c r="T1513" s="1"/>
      <c r="U1513" s="1"/>
      <c r="V1513" s="1"/>
      <c r="W1513" s="1"/>
      <c r="X1513" s="1"/>
      <c r="Y1513" s="1"/>
      <c r="Z1513" s="1"/>
      <c r="AA1513" s="1"/>
      <c r="AB1513" s="1"/>
      <c r="AC1513" s="1"/>
      <c r="AD1513" s="1"/>
      <c r="AE1513" s="1"/>
      <c r="AF1513" s="1"/>
      <c r="AG1513" s="1"/>
      <c r="AH1513" s="1"/>
      <c r="AI1513" s="1"/>
    </row>
    <row r="1514" customHeight="1" spans="1:35">
      <c r="A1514" s="1"/>
      <c r="B1514" s="1"/>
      <c r="C1514" s="1"/>
      <c r="D1514" s="1"/>
      <c r="E1514" s="1"/>
      <c r="F1514" s="1"/>
      <c r="G1514" s="1"/>
      <c r="H1514" s="1"/>
      <c r="I1514" s="1"/>
      <c r="J1514" s="1"/>
      <c r="K1514" s="1"/>
      <c r="L1514" s="1"/>
      <c r="M1514" s="1"/>
      <c r="N1514" s="1"/>
      <c r="O1514" s="1"/>
      <c r="P1514" s="1"/>
      <c r="Q1514" s="1"/>
      <c r="R1514" s="1"/>
      <c r="S1514" s="1"/>
      <c r="T1514" s="1"/>
      <c r="U1514" s="1"/>
      <c r="V1514" s="1"/>
      <c r="W1514" s="1"/>
      <c r="X1514" s="1"/>
      <c r="Y1514" s="1"/>
      <c r="Z1514" s="1"/>
      <c r="AA1514" s="1"/>
      <c r="AB1514" s="1"/>
      <c r="AC1514" s="1"/>
      <c r="AD1514" s="1"/>
      <c r="AE1514" s="1"/>
      <c r="AF1514" s="1"/>
      <c r="AG1514" s="1"/>
      <c r="AH1514" s="1"/>
      <c r="AI1514" s="1"/>
    </row>
    <row r="1515" customHeight="1" spans="1:35">
      <c r="A1515" s="1"/>
      <c r="B1515" s="1"/>
      <c r="C1515" s="1"/>
      <c r="D1515" s="1"/>
      <c r="E1515" s="1"/>
      <c r="F1515" s="1"/>
      <c r="G1515" s="1"/>
      <c r="H1515" s="1"/>
      <c r="I1515" s="1"/>
      <c r="J1515" s="1"/>
      <c r="K1515" s="1"/>
      <c r="L1515" s="1"/>
      <c r="M1515" s="1"/>
      <c r="N1515" s="1"/>
      <c r="O1515" s="1"/>
      <c r="P1515" s="1"/>
      <c r="Q1515" s="1"/>
      <c r="R1515" s="1"/>
      <c r="S1515" s="1"/>
      <c r="T1515" s="1"/>
      <c r="U1515" s="1"/>
      <c r="V1515" s="1"/>
      <c r="W1515" s="1"/>
      <c r="X1515" s="1"/>
      <c r="Y1515" s="1"/>
      <c r="Z1515" s="1"/>
      <c r="AA1515" s="1"/>
      <c r="AB1515" s="1"/>
      <c r="AC1515" s="1"/>
      <c r="AD1515" s="1"/>
      <c r="AE1515" s="1"/>
      <c r="AF1515" s="1"/>
      <c r="AG1515" s="1"/>
      <c r="AH1515" s="1"/>
      <c r="AI1515" s="1"/>
    </row>
    <row r="1516" customHeight="1" spans="1:35">
      <c r="A1516" s="1"/>
      <c r="B1516" s="1"/>
      <c r="C1516" s="1"/>
      <c r="D1516" s="1"/>
      <c r="E1516" s="1"/>
      <c r="F1516" s="1"/>
      <c r="G1516" s="1"/>
      <c r="H1516" s="1"/>
      <c r="I1516" s="1"/>
      <c r="J1516" s="1"/>
      <c r="K1516" s="1"/>
      <c r="L1516" s="1"/>
      <c r="M1516" s="1"/>
      <c r="N1516" s="1"/>
      <c r="O1516" s="1"/>
      <c r="P1516" s="1"/>
      <c r="Q1516" s="1"/>
      <c r="R1516" s="1"/>
      <c r="S1516" s="1"/>
      <c r="T1516" s="1"/>
      <c r="U1516" s="1"/>
      <c r="V1516" s="1"/>
      <c r="W1516" s="1"/>
      <c r="X1516" s="1"/>
      <c r="Y1516" s="1"/>
      <c r="Z1516" s="1"/>
      <c r="AA1516" s="1"/>
      <c r="AB1516" s="1"/>
      <c r="AC1516" s="1"/>
      <c r="AD1516" s="1"/>
      <c r="AE1516" s="1"/>
      <c r="AF1516" s="1"/>
      <c r="AG1516" s="1"/>
      <c r="AH1516" s="1"/>
      <c r="AI1516" s="1"/>
    </row>
    <row r="1517" customHeight="1" spans="1:35">
      <c r="A1517" s="1"/>
      <c r="B1517" s="1"/>
      <c r="C1517" s="1"/>
      <c r="D1517" s="1"/>
      <c r="E1517" s="1"/>
      <c r="F1517" s="1"/>
      <c r="G1517" s="1"/>
      <c r="H1517" s="1"/>
      <c r="I1517" s="1"/>
      <c r="J1517" s="1"/>
      <c r="K1517" s="1"/>
      <c r="L1517" s="1"/>
      <c r="M1517" s="1"/>
      <c r="N1517" s="1"/>
      <c r="O1517" s="1"/>
      <c r="P1517" s="1"/>
      <c r="Q1517" s="1"/>
      <c r="R1517" s="1"/>
      <c r="S1517" s="1"/>
      <c r="T1517" s="1"/>
      <c r="U1517" s="1"/>
      <c r="V1517" s="1"/>
      <c r="W1517" s="1"/>
      <c r="X1517" s="1"/>
      <c r="Y1517" s="1"/>
      <c r="Z1517" s="1"/>
      <c r="AA1517" s="1"/>
      <c r="AB1517" s="1"/>
      <c r="AC1517" s="1"/>
      <c r="AD1517" s="1"/>
      <c r="AE1517" s="1"/>
      <c r="AF1517" s="1"/>
      <c r="AG1517" s="1"/>
      <c r="AH1517" s="1"/>
      <c r="AI1517" s="1"/>
    </row>
    <row r="1518" customHeight="1" spans="1:35">
      <c r="A1518" s="1"/>
      <c r="B1518" s="1"/>
      <c r="C1518" s="1"/>
      <c r="D1518" s="1"/>
      <c r="E1518" s="1"/>
      <c r="F1518" s="1"/>
      <c r="G1518" s="1"/>
      <c r="H1518" s="1"/>
      <c r="I1518" s="1"/>
      <c r="J1518" s="1"/>
      <c r="K1518" s="1"/>
      <c r="L1518" s="1"/>
      <c r="M1518" s="1"/>
      <c r="N1518" s="1"/>
      <c r="O1518" s="1"/>
      <c r="P1518" s="1"/>
      <c r="Q1518" s="1"/>
      <c r="R1518" s="1"/>
      <c r="S1518" s="1"/>
      <c r="T1518" s="1"/>
      <c r="U1518" s="1"/>
      <c r="V1518" s="1"/>
      <c r="W1518" s="1"/>
      <c r="X1518" s="1"/>
      <c r="Y1518" s="1"/>
      <c r="Z1518" s="1"/>
      <c r="AA1518" s="1"/>
      <c r="AB1518" s="1"/>
      <c r="AC1518" s="1"/>
      <c r="AD1518" s="1"/>
      <c r="AE1518" s="1"/>
      <c r="AF1518" s="1"/>
      <c r="AG1518" s="1"/>
      <c r="AH1518" s="1"/>
      <c r="AI1518" s="1"/>
    </row>
    <row r="1519" customHeight="1" spans="1:35">
      <c r="A1519" s="1"/>
      <c r="B1519" s="1"/>
      <c r="C1519" s="1"/>
      <c r="D1519" s="1"/>
      <c r="E1519" s="1"/>
      <c r="F1519" s="1"/>
      <c r="G1519" s="1"/>
      <c r="H1519" s="1"/>
      <c r="I1519" s="1"/>
      <c r="J1519" s="1"/>
      <c r="K1519" s="1"/>
      <c r="L1519" s="1"/>
      <c r="M1519" s="1"/>
      <c r="N1519" s="1"/>
      <c r="O1519" s="1"/>
      <c r="P1519" s="1"/>
      <c r="Q1519" s="1"/>
      <c r="R1519" s="1"/>
      <c r="S1519" s="1"/>
      <c r="T1519" s="1"/>
      <c r="U1519" s="1"/>
      <c r="V1519" s="1"/>
      <c r="W1519" s="1"/>
      <c r="X1519" s="1"/>
      <c r="Y1519" s="1"/>
      <c r="Z1519" s="1"/>
      <c r="AA1519" s="1"/>
      <c r="AB1519" s="1"/>
      <c r="AC1519" s="1"/>
      <c r="AD1519" s="1"/>
      <c r="AE1519" s="1"/>
      <c r="AF1519" s="1"/>
      <c r="AG1519" s="1"/>
      <c r="AH1519" s="1"/>
      <c r="AI1519" s="1"/>
    </row>
    <row r="1520" customHeight="1" spans="1:35">
      <c r="A1520" s="1"/>
      <c r="B1520" s="1"/>
      <c r="C1520" s="1"/>
      <c r="D1520" s="1"/>
      <c r="E1520" s="1"/>
      <c r="F1520" s="1"/>
      <c r="G1520" s="1"/>
      <c r="H1520" s="1"/>
      <c r="I1520" s="1"/>
      <c r="J1520" s="1"/>
      <c r="K1520" s="1"/>
      <c r="L1520" s="1"/>
      <c r="M1520" s="1"/>
      <c r="N1520" s="1"/>
      <c r="O1520" s="1"/>
      <c r="P1520" s="1"/>
      <c r="Q1520" s="1"/>
      <c r="R1520" s="1"/>
      <c r="S1520" s="1"/>
      <c r="T1520" s="1"/>
      <c r="U1520" s="1"/>
      <c r="V1520" s="1"/>
      <c r="W1520" s="1"/>
      <c r="X1520" s="1"/>
      <c r="Y1520" s="1"/>
      <c r="Z1520" s="1"/>
      <c r="AA1520" s="1"/>
      <c r="AB1520" s="1"/>
      <c r="AC1520" s="1"/>
      <c r="AD1520" s="1"/>
      <c r="AE1520" s="1"/>
      <c r="AF1520" s="1"/>
      <c r="AG1520" s="1"/>
      <c r="AH1520" s="1"/>
      <c r="AI1520" s="1"/>
    </row>
    <row r="1521" customHeight="1" spans="1:35">
      <c r="A1521" s="1"/>
      <c r="B1521" s="1"/>
      <c r="C1521" s="1"/>
      <c r="D1521" s="1"/>
      <c r="E1521" s="1"/>
      <c r="F1521" s="1"/>
      <c r="G1521" s="1"/>
      <c r="H1521" s="1"/>
      <c r="I1521" s="1"/>
      <c r="J1521" s="1"/>
      <c r="K1521" s="1"/>
      <c r="L1521" s="1"/>
      <c r="M1521" s="1"/>
      <c r="N1521" s="1"/>
      <c r="O1521" s="1"/>
      <c r="P1521" s="1"/>
      <c r="Q1521" s="1"/>
      <c r="R1521" s="1"/>
      <c r="S1521" s="1"/>
      <c r="T1521" s="1"/>
      <c r="U1521" s="1"/>
      <c r="V1521" s="1"/>
      <c r="W1521" s="1"/>
      <c r="X1521" s="1"/>
      <c r="Y1521" s="1"/>
      <c r="Z1521" s="1"/>
      <c r="AA1521" s="1"/>
      <c r="AB1521" s="1"/>
      <c r="AC1521" s="1"/>
      <c r="AD1521" s="1"/>
      <c r="AE1521" s="1"/>
      <c r="AF1521" s="1"/>
      <c r="AG1521" s="1"/>
      <c r="AH1521" s="1"/>
      <c r="AI1521" s="1"/>
    </row>
    <row r="1522" customHeight="1" spans="1:35">
      <c r="A1522" s="1"/>
      <c r="B1522" s="1"/>
      <c r="C1522" s="1"/>
      <c r="D1522" s="1"/>
      <c r="E1522" s="1"/>
      <c r="F1522" s="1"/>
      <c r="G1522" s="1"/>
      <c r="H1522" s="1"/>
      <c r="I1522" s="1"/>
      <c r="J1522" s="1"/>
      <c r="K1522" s="1"/>
      <c r="L1522" s="1"/>
      <c r="M1522" s="1"/>
      <c r="N1522" s="1"/>
      <c r="O1522" s="1"/>
      <c r="P1522" s="1"/>
      <c r="Q1522" s="1"/>
      <c r="R1522" s="1"/>
      <c r="S1522" s="1"/>
      <c r="T1522" s="1"/>
      <c r="U1522" s="1"/>
      <c r="V1522" s="1"/>
      <c r="W1522" s="1"/>
      <c r="X1522" s="1"/>
      <c r="Y1522" s="1"/>
      <c r="Z1522" s="1"/>
      <c r="AA1522" s="1"/>
      <c r="AB1522" s="1"/>
      <c r="AC1522" s="1"/>
      <c r="AD1522" s="1"/>
      <c r="AE1522" s="1"/>
      <c r="AF1522" s="1"/>
      <c r="AG1522" s="1"/>
      <c r="AH1522" s="1"/>
      <c r="AI1522" s="1"/>
    </row>
    <row r="1523" customHeight="1" spans="1:35">
      <c r="A1523" s="1"/>
      <c r="B1523" s="1"/>
      <c r="C1523" s="1"/>
      <c r="D1523" s="1"/>
      <c r="E1523" s="1"/>
      <c r="F1523" s="1"/>
      <c r="G1523" s="1"/>
      <c r="H1523" s="1"/>
      <c r="I1523" s="1"/>
      <c r="J1523" s="1"/>
      <c r="K1523" s="1"/>
      <c r="L1523" s="1"/>
      <c r="M1523" s="1"/>
      <c r="N1523" s="1"/>
      <c r="O1523" s="1"/>
      <c r="P1523" s="1"/>
      <c r="Q1523" s="1"/>
      <c r="R1523" s="1"/>
      <c r="S1523" s="1"/>
      <c r="T1523" s="1"/>
      <c r="U1523" s="1"/>
      <c r="V1523" s="1"/>
      <c r="W1523" s="1"/>
      <c r="X1523" s="1"/>
      <c r="Y1523" s="1"/>
      <c r="Z1523" s="1"/>
      <c r="AA1523" s="1"/>
      <c r="AB1523" s="1"/>
      <c r="AC1523" s="1"/>
      <c r="AD1523" s="1"/>
      <c r="AE1523" s="1"/>
      <c r="AF1523" s="1"/>
      <c r="AG1523" s="1"/>
      <c r="AH1523" s="1"/>
      <c r="AI1523" s="1"/>
    </row>
    <row r="1524" customHeight="1" spans="1:35">
      <c r="A1524" s="1"/>
      <c r="B1524" s="1"/>
      <c r="C1524" s="1"/>
      <c r="D1524" s="1"/>
      <c r="E1524" s="1"/>
      <c r="F1524" s="1"/>
      <c r="G1524" s="1"/>
      <c r="H1524" s="1"/>
      <c r="I1524" s="1"/>
      <c r="J1524" s="1"/>
      <c r="K1524" s="1"/>
      <c r="L1524" s="1"/>
      <c r="M1524" s="1"/>
      <c r="N1524" s="1"/>
      <c r="O1524" s="1"/>
      <c r="P1524" s="1"/>
      <c r="Q1524" s="1"/>
      <c r="R1524" s="1"/>
      <c r="S1524" s="1"/>
      <c r="T1524" s="1"/>
      <c r="U1524" s="1"/>
      <c r="V1524" s="1"/>
      <c r="W1524" s="1"/>
      <c r="X1524" s="1"/>
      <c r="Y1524" s="1"/>
      <c r="Z1524" s="1"/>
      <c r="AA1524" s="1"/>
      <c r="AB1524" s="1"/>
      <c r="AC1524" s="1"/>
      <c r="AD1524" s="1"/>
      <c r="AE1524" s="1"/>
      <c r="AF1524" s="1"/>
      <c r="AG1524" s="1"/>
      <c r="AH1524" s="1"/>
      <c r="AI1524" s="1"/>
    </row>
    <row r="1525" customHeight="1" spans="1:35">
      <c r="A1525" s="1"/>
      <c r="B1525" s="1"/>
      <c r="C1525" s="1"/>
      <c r="D1525" s="1"/>
      <c r="E1525" s="1"/>
      <c r="F1525" s="1"/>
      <c r="G1525" s="1"/>
      <c r="H1525" s="1"/>
      <c r="I1525" s="1"/>
      <c r="J1525" s="1"/>
      <c r="K1525" s="1"/>
      <c r="L1525" s="1"/>
      <c r="M1525" s="1"/>
      <c r="N1525" s="1"/>
      <c r="O1525" s="1"/>
      <c r="P1525" s="1"/>
      <c r="Q1525" s="1"/>
      <c r="R1525" s="1"/>
      <c r="S1525" s="1"/>
      <c r="T1525" s="1"/>
      <c r="U1525" s="1"/>
      <c r="V1525" s="1"/>
      <c r="W1525" s="1"/>
      <c r="X1525" s="1"/>
      <c r="Y1525" s="1"/>
      <c r="Z1525" s="1"/>
      <c r="AA1525" s="1"/>
      <c r="AB1525" s="1"/>
      <c r="AC1525" s="1"/>
      <c r="AD1525" s="1"/>
      <c r="AE1525" s="1"/>
      <c r="AF1525" s="1"/>
      <c r="AG1525" s="1"/>
      <c r="AH1525" s="1"/>
      <c r="AI1525" s="1"/>
    </row>
    <row r="1526" customHeight="1" spans="1:35">
      <c r="A1526" s="1"/>
      <c r="B1526" s="1"/>
      <c r="C1526" s="1"/>
      <c r="D1526" s="1"/>
      <c r="E1526" s="1"/>
      <c r="F1526" s="1"/>
      <c r="G1526" s="1"/>
      <c r="H1526" s="1"/>
      <c r="I1526" s="1"/>
      <c r="J1526" s="1"/>
      <c r="K1526" s="1"/>
      <c r="L1526" s="1"/>
      <c r="M1526" s="1"/>
      <c r="N1526" s="1"/>
      <c r="O1526" s="1"/>
      <c r="P1526" s="1"/>
      <c r="Q1526" s="1"/>
      <c r="R1526" s="1"/>
      <c r="S1526" s="1"/>
      <c r="T1526" s="1"/>
      <c r="U1526" s="1"/>
      <c r="V1526" s="1"/>
      <c r="W1526" s="1"/>
      <c r="X1526" s="1"/>
      <c r="Y1526" s="1"/>
      <c r="Z1526" s="1"/>
      <c r="AA1526" s="1"/>
      <c r="AB1526" s="1"/>
      <c r="AC1526" s="1"/>
      <c r="AD1526" s="1"/>
      <c r="AE1526" s="1"/>
      <c r="AF1526" s="1"/>
      <c r="AG1526" s="1"/>
      <c r="AH1526" s="1"/>
      <c r="AI1526" s="1"/>
    </row>
    <row r="1527" customHeight="1" spans="1:35">
      <c r="A1527" s="1"/>
      <c r="B1527" s="1"/>
      <c r="C1527" s="1"/>
      <c r="D1527" s="1"/>
      <c r="E1527" s="1"/>
      <c r="F1527" s="1"/>
      <c r="G1527" s="1"/>
      <c r="H1527" s="1"/>
      <c r="I1527" s="1"/>
      <c r="J1527" s="1"/>
      <c r="K1527" s="1"/>
      <c r="L1527" s="1"/>
      <c r="M1527" s="1"/>
      <c r="N1527" s="1"/>
      <c r="O1527" s="1"/>
      <c r="P1527" s="1"/>
      <c r="Q1527" s="1"/>
      <c r="R1527" s="1"/>
      <c r="S1527" s="1"/>
      <c r="T1527" s="1"/>
      <c r="U1527" s="1"/>
      <c r="V1527" s="1"/>
      <c r="W1527" s="1"/>
      <c r="X1527" s="1"/>
      <c r="Y1527" s="1"/>
      <c r="Z1527" s="1"/>
      <c r="AA1527" s="1"/>
      <c r="AB1527" s="1"/>
      <c r="AC1527" s="1"/>
      <c r="AD1527" s="1"/>
      <c r="AE1527" s="1"/>
      <c r="AF1527" s="1"/>
      <c r="AG1527" s="1"/>
      <c r="AH1527" s="1"/>
      <c r="AI1527" s="1"/>
    </row>
    <row r="1528" customHeight="1" spans="1:35">
      <c r="A1528" s="1"/>
      <c r="B1528" s="1"/>
      <c r="C1528" s="1"/>
      <c r="D1528" s="1"/>
      <c r="E1528" s="1"/>
      <c r="F1528" s="1"/>
      <c r="G1528" s="1"/>
      <c r="H1528" s="1"/>
      <c r="I1528" s="1"/>
      <c r="J1528" s="1"/>
      <c r="K1528" s="1"/>
      <c r="L1528" s="1"/>
      <c r="M1528" s="1"/>
      <c r="N1528" s="1"/>
      <c r="O1528" s="1"/>
      <c r="P1528" s="1"/>
      <c r="Q1528" s="1"/>
      <c r="R1528" s="1"/>
      <c r="S1528" s="1"/>
      <c r="T1528" s="1"/>
      <c r="U1528" s="1"/>
      <c r="V1528" s="1"/>
      <c r="W1528" s="1"/>
      <c r="X1528" s="1"/>
      <c r="Y1528" s="1"/>
      <c r="Z1528" s="1"/>
      <c r="AA1528" s="1"/>
      <c r="AB1528" s="1"/>
      <c r="AC1528" s="1"/>
      <c r="AD1528" s="1"/>
      <c r="AE1528" s="1"/>
      <c r="AF1528" s="1"/>
      <c r="AG1528" s="1"/>
      <c r="AH1528" s="1"/>
      <c r="AI1528" s="1"/>
    </row>
    <row r="1529" customHeight="1" spans="1:35">
      <c r="A1529" s="1"/>
      <c r="B1529" s="1"/>
      <c r="C1529" s="1"/>
      <c r="D1529" s="1"/>
      <c r="E1529" s="1"/>
      <c r="F1529" s="1"/>
      <c r="G1529" s="1"/>
      <c r="H1529" s="1"/>
      <c r="I1529" s="1"/>
      <c r="J1529" s="1"/>
      <c r="K1529" s="1"/>
      <c r="L1529" s="1"/>
      <c r="M1529" s="1"/>
      <c r="N1529" s="1"/>
      <c r="O1529" s="1"/>
      <c r="P1529" s="1"/>
      <c r="Q1529" s="1"/>
      <c r="R1529" s="1"/>
      <c r="S1529" s="1"/>
      <c r="T1529" s="1"/>
      <c r="U1529" s="1"/>
      <c r="V1529" s="1"/>
      <c r="W1529" s="1"/>
      <c r="X1529" s="1"/>
      <c r="Y1529" s="1"/>
      <c r="Z1529" s="1"/>
      <c r="AA1529" s="1"/>
      <c r="AB1529" s="1"/>
      <c r="AC1529" s="1"/>
      <c r="AD1529" s="1"/>
      <c r="AE1529" s="1"/>
      <c r="AF1529" s="1"/>
      <c r="AG1529" s="1"/>
      <c r="AH1529" s="1"/>
      <c r="AI1529" s="1"/>
    </row>
    <row r="1530" customHeight="1" spans="1:35">
      <c r="A1530" s="1"/>
      <c r="B1530" s="1"/>
      <c r="C1530" s="1"/>
      <c r="D1530" s="1"/>
      <c r="E1530" s="1"/>
      <c r="F1530" s="1"/>
      <c r="G1530" s="1"/>
      <c r="H1530" s="1"/>
      <c r="I1530" s="1"/>
      <c r="J1530" s="1"/>
      <c r="K1530" s="1"/>
      <c r="L1530" s="1"/>
      <c r="M1530" s="1"/>
      <c r="N1530" s="1"/>
      <c r="O1530" s="1"/>
      <c r="P1530" s="1"/>
      <c r="Q1530" s="1"/>
      <c r="R1530" s="1"/>
      <c r="S1530" s="1"/>
      <c r="T1530" s="1"/>
      <c r="U1530" s="1"/>
      <c r="V1530" s="1"/>
      <c r="W1530" s="1"/>
      <c r="X1530" s="1"/>
      <c r="Y1530" s="1"/>
      <c r="Z1530" s="1"/>
      <c r="AA1530" s="1"/>
      <c r="AB1530" s="1"/>
      <c r="AC1530" s="1"/>
      <c r="AD1530" s="1"/>
      <c r="AE1530" s="1"/>
      <c r="AF1530" s="1"/>
      <c r="AG1530" s="1"/>
      <c r="AH1530" s="1"/>
      <c r="AI1530" s="1"/>
    </row>
    <row r="1531" customHeight="1" spans="1:35">
      <c r="A1531" s="1"/>
      <c r="B1531" s="1"/>
      <c r="C1531" s="1"/>
      <c r="D1531" s="1"/>
      <c r="E1531" s="1"/>
      <c r="F1531" s="1"/>
      <c r="G1531" s="1"/>
      <c r="H1531" s="1"/>
      <c r="I1531" s="1"/>
      <c r="J1531" s="1"/>
      <c r="K1531" s="1"/>
      <c r="L1531" s="1"/>
      <c r="M1531" s="1"/>
      <c r="N1531" s="1"/>
      <c r="O1531" s="1"/>
      <c r="P1531" s="1"/>
      <c r="Q1531" s="1"/>
      <c r="R1531" s="1"/>
      <c r="S1531" s="1"/>
      <c r="T1531" s="1"/>
      <c r="U1531" s="1"/>
      <c r="V1531" s="1"/>
      <c r="W1531" s="1"/>
      <c r="X1531" s="1"/>
      <c r="Y1531" s="1"/>
      <c r="Z1531" s="1"/>
      <c r="AA1531" s="1"/>
      <c r="AB1531" s="1"/>
      <c r="AC1531" s="1"/>
      <c r="AD1531" s="1"/>
      <c r="AE1531" s="1"/>
      <c r="AF1531" s="1"/>
      <c r="AG1531" s="1"/>
      <c r="AH1531" s="1"/>
      <c r="AI1531" s="1"/>
    </row>
    <row r="1532" customHeight="1" spans="1:35">
      <c r="A1532" s="1"/>
      <c r="B1532" s="1"/>
      <c r="C1532" s="1"/>
      <c r="D1532" s="1"/>
      <c r="E1532" s="1"/>
      <c r="F1532" s="1"/>
      <c r="G1532" s="1"/>
      <c r="H1532" s="1"/>
      <c r="I1532" s="1"/>
      <c r="J1532" s="1"/>
      <c r="K1532" s="1"/>
      <c r="L1532" s="1"/>
      <c r="M1532" s="1"/>
      <c r="N1532" s="1"/>
      <c r="O1532" s="1"/>
      <c r="P1532" s="1"/>
      <c r="Q1532" s="1"/>
      <c r="R1532" s="1"/>
      <c r="S1532" s="1"/>
      <c r="T1532" s="1"/>
      <c r="U1532" s="1"/>
      <c r="V1532" s="1"/>
      <c r="W1532" s="1"/>
      <c r="X1532" s="1"/>
      <c r="Y1532" s="1"/>
      <c r="Z1532" s="1"/>
      <c r="AA1532" s="1"/>
      <c r="AB1532" s="1"/>
      <c r="AC1532" s="1"/>
      <c r="AD1532" s="1"/>
      <c r="AE1532" s="1"/>
      <c r="AF1532" s="1"/>
      <c r="AG1532" s="1"/>
      <c r="AH1532" s="1"/>
      <c r="AI1532" s="1"/>
    </row>
    <row r="1533" customHeight="1" spans="1:35">
      <c r="A1533" s="1"/>
      <c r="B1533" s="1"/>
      <c r="C1533" s="1"/>
      <c r="D1533" s="1"/>
      <c r="E1533" s="1"/>
      <c r="F1533" s="1"/>
      <c r="G1533" s="1"/>
      <c r="H1533" s="1"/>
      <c r="I1533" s="1"/>
      <c r="J1533" s="1"/>
      <c r="K1533" s="1"/>
      <c r="L1533" s="1"/>
      <c r="M1533" s="1"/>
      <c r="N1533" s="1"/>
      <c r="O1533" s="1"/>
      <c r="P1533" s="1"/>
      <c r="Q1533" s="1"/>
      <c r="R1533" s="1"/>
      <c r="S1533" s="1"/>
      <c r="T1533" s="1"/>
      <c r="U1533" s="1"/>
      <c r="V1533" s="1"/>
      <c r="W1533" s="1"/>
      <c r="X1533" s="1"/>
      <c r="Y1533" s="1"/>
      <c r="Z1533" s="1"/>
      <c r="AA1533" s="1"/>
      <c r="AB1533" s="1"/>
      <c r="AC1533" s="1"/>
      <c r="AD1533" s="1"/>
      <c r="AE1533" s="1"/>
      <c r="AF1533" s="1"/>
      <c r="AG1533" s="1"/>
      <c r="AH1533" s="1"/>
      <c r="AI1533" s="1"/>
    </row>
    <row r="1534" customHeight="1" spans="1:35">
      <c r="A1534" s="1"/>
      <c r="B1534" s="1"/>
      <c r="C1534" s="1"/>
      <c r="D1534" s="1"/>
      <c r="E1534" s="1"/>
      <c r="F1534" s="1"/>
      <c r="G1534" s="1"/>
      <c r="H1534" s="1"/>
      <c r="I1534" s="1"/>
      <c r="J1534" s="1"/>
      <c r="K1534" s="1"/>
      <c r="L1534" s="1"/>
      <c r="M1534" s="1"/>
      <c r="N1534" s="1"/>
      <c r="O1534" s="1"/>
      <c r="P1534" s="1"/>
      <c r="Q1534" s="1"/>
      <c r="R1534" s="1"/>
      <c r="S1534" s="1"/>
      <c r="T1534" s="1"/>
      <c r="U1534" s="1"/>
      <c r="V1534" s="1"/>
      <c r="W1534" s="1"/>
      <c r="X1534" s="1"/>
      <c r="Y1534" s="1"/>
      <c r="Z1534" s="1"/>
      <c r="AA1534" s="1"/>
      <c r="AB1534" s="1"/>
      <c r="AC1534" s="1"/>
      <c r="AD1534" s="1"/>
      <c r="AE1534" s="1"/>
      <c r="AF1534" s="1"/>
      <c r="AG1534" s="1"/>
      <c r="AH1534" s="1"/>
      <c r="AI1534" s="1"/>
    </row>
    <row r="1535" customHeight="1" spans="1:35">
      <c r="A1535" s="1"/>
      <c r="B1535" s="1"/>
      <c r="C1535" s="1"/>
      <c r="D1535" s="1"/>
      <c r="E1535" s="1"/>
      <c r="F1535" s="1"/>
      <c r="G1535" s="1"/>
      <c r="H1535" s="1"/>
      <c r="I1535" s="1"/>
      <c r="J1535" s="1"/>
      <c r="K1535" s="1"/>
      <c r="L1535" s="1"/>
      <c r="M1535" s="1"/>
      <c r="N1535" s="1"/>
      <c r="O1535" s="1"/>
      <c r="P1535" s="1"/>
      <c r="Q1535" s="1"/>
      <c r="R1535" s="1"/>
      <c r="S1535" s="1"/>
      <c r="T1535" s="1"/>
      <c r="U1535" s="1"/>
      <c r="V1535" s="1"/>
      <c r="W1535" s="1"/>
      <c r="X1535" s="1"/>
      <c r="Y1535" s="1"/>
      <c r="Z1535" s="1"/>
      <c r="AA1535" s="1"/>
      <c r="AB1535" s="1"/>
      <c r="AC1535" s="1"/>
      <c r="AD1535" s="1"/>
      <c r="AE1535" s="1"/>
      <c r="AF1535" s="1"/>
      <c r="AG1535" s="1"/>
      <c r="AH1535" s="1"/>
      <c r="AI1535" s="1"/>
    </row>
    <row r="1536" customHeight="1" spans="1:35">
      <c r="A1536" s="1"/>
      <c r="B1536" s="1"/>
      <c r="C1536" s="1"/>
      <c r="D1536" s="1"/>
      <c r="E1536" s="1"/>
      <c r="F1536" s="1"/>
      <c r="G1536" s="1"/>
      <c r="H1536" s="1"/>
      <c r="I1536" s="1"/>
      <c r="J1536" s="1"/>
      <c r="K1536" s="1"/>
      <c r="L1536" s="1"/>
      <c r="M1536" s="1"/>
      <c r="N1536" s="1"/>
      <c r="O1536" s="1"/>
      <c r="P1536" s="1"/>
      <c r="Q1536" s="1"/>
      <c r="R1536" s="1"/>
      <c r="S1536" s="1"/>
      <c r="T1536" s="1"/>
      <c r="U1536" s="1"/>
      <c r="V1536" s="1"/>
      <c r="W1536" s="1"/>
      <c r="X1536" s="1"/>
      <c r="Y1536" s="1"/>
      <c r="Z1536" s="1"/>
      <c r="AA1536" s="1"/>
      <c r="AB1536" s="1"/>
      <c r="AC1536" s="1"/>
      <c r="AD1536" s="1"/>
      <c r="AE1536" s="1"/>
      <c r="AF1536" s="1"/>
      <c r="AG1536" s="1"/>
      <c r="AH1536" s="1"/>
      <c r="AI1536" s="1"/>
    </row>
    <row r="1537" customHeight="1" spans="1:35">
      <c r="A1537" s="1"/>
      <c r="B1537" s="1"/>
      <c r="C1537" s="1"/>
      <c r="D1537" s="1"/>
      <c r="E1537" s="1"/>
      <c r="F1537" s="1"/>
      <c r="G1537" s="1"/>
      <c r="H1537" s="1"/>
      <c r="I1537" s="1"/>
      <c r="J1537" s="1"/>
      <c r="K1537" s="1"/>
      <c r="L1537" s="1"/>
      <c r="M1537" s="1"/>
      <c r="N1537" s="1"/>
      <c r="O1537" s="1"/>
      <c r="P1537" s="1"/>
      <c r="Q1537" s="1"/>
      <c r="R1537" s="1"/>
      <c r="S1537" s="1"/>
      <c r="T1537" s="1"/>
      <c r="U1537" s="1"/>
      <c r="V1537" s="1"/>
      <c r="W1537" s="1"/>
      <c r="X1537" s="1"/>
      <c r="Y1537" s="1"/>
      <c r="Z1537" s="1"/>
      <c r="AA1537" s="1"/>
      <c r="AB1537" s="1"/>
      <c r="AC1537" s="1"/>
      <c r="AD1537" s="1"/>
      <c r="AE1537" s="1"/>
      <c r="AF1537" s="1"/>
      <c r="AG1537" s="1"/>
      <c r="AH1537" s="1"/>
      <c r="AI1537" s="1"/>
    </row>
    <row r="1538" customHeight="1" spans="1:35">
      <c r="A1538" s="1"/>
      <c r="B1538" s="1"/>
      <c r="C1538" s="1"/>
      <c r="D1538" s="1"/>
      <c r="E1538" s="1"/>
      <c r="F1538" s="1"/>
      <c r="G1538" s="1"/>
      <c r="H1538" s="1"/>
      <c r="I1538" s="1"/>
      <c r="J1538" s="1"/>
      <c r="K1538" s="1"/>
      <c r="L1538" s="1"/>
      <c r="M1538" s="1"/>
      <c r="N1538" s="1"/>
      <c r="O1538" s="1"/>
      <c r="P1538" s="1"/>
      <c r="Q1538" s="1"/>
      <c r="R1538" s="1"/>
      <c r="S1538" s="1"/>
      <c r="T1538" s="1"/>
      <c r="U1538" s="1"/>
      <c r="V1538" s="1"/>
      <c r="W1538" s="1"/>
      <c r="X1538" s="1"/>
      <c r="Y1538" s="1"/>
      <c r="Z1538" s="1"/>
      <c r="AA1538" s="1"/>
      <c r="AB1538" s="1"/>
      <c r="AC1538" s="1"/>
      <c r="AD1538" s="1"/>
      <c r="AE1538" s="1"/>
      <c r="AF1538" s="1"/>
      <c r="AG1538" s="1"/>
      <c r="AH1538" s="1"/>
      <c r="AI1538" s="1"/>
    </row>
    <row r="1539" customHeight="1" spans="1:35">
      <c r="A1539" s="1"/>
      <c r="B1539" s="1"/>
      <c r="C1539" s="1"/>
      <c r="D1539" s="1"/>
      <c r="E1539" s="1"/>
      <c r="F1539" s="1"/>
      <c r="G1539" s="1"/>
      <c r="H1539" s="1"/>
      <c r="I1539" s="1"/>
      <c r="J1539" s="1"/>
      <c r="K1539" s="1"/>
      <c r="L1539" s="1"/>
      <c r="M1539" s="1"/>
      <c r="N1539" s="1"/>
      <c r="O1539" s="1"/>
      <c r="P1539" s="1"/>
      <c r="Q1539" s="1"/>
      <c r="R1539" s="1"/>
      <c r="S1539" s="1"/>
      <c r="T1539" s="1"/>
      <c r="U1539" s="1"/>
      <c r="V1539" s="1"/>
      <c r="W1539" s="1"/>
      <c r="X1539" s="1"/>
      <c r="Y1539" s="1"/>
      <c r="Z1539" s="1"/>
      <c r="AA1539" s="1"/>
      <c r="AB1539" s="1"/>
      <c r="AC1539" s="1"/>
      <c r="AD1539" s="1"/>
      <c r="AE1539" s="1"/>
      <c r="AF1539" s="1"/>
      <c r="AG1539" s="1"/>
      <c r="AH1539" s="1"/>
      <c r="AI1539" s="1"/>
    </row>
    <row r="1540" customHeight="1" spans="1:35">
      <c r="A1540" s="1"/>
      <c r="B1540" s="1"/>
      <c r="C1540" s="1"/>
      <c r="D1540" s="1"/>
      <c r="E1540" s="1"/>
      <c r="F1540" s="1"/>
      <c r="G1540" s="1"/>
      <c r="H1540" s="1"/>
      <c r="I1540" s="1"/>
      <c r="J1540" s="1"/>
      <c r="K1540" s="1"/>
      <c r="L1540" s="1"/>
      <c r="M1540" s="1"/>
      <c r="N1540" s="1"/>
      <c r="O1540" s="1"/>
      <c r="P1540" s="1"/>
      <c r="Q1540" s="1"/>
      <c r="R1540" s="1"/>
      <c r="S1540" s="1"/>
      <c r="T1540" s="1"/>
      <c r="U1540" s="1"/>
      <c r="V1540" s="1"/>
      <c r="W1540" s="1"/>
      <c r="X1540" s="1"/>
      <c r="Y1540" s="1"/>
      <c r="Z1540" s="1"/>
      <c r="AA1540" s="1"/>
      <c r="AB1540" s="1"/>
      <c r="AC1540" s="1"/>
      <c r="AD1540" s="1"/>
      <c r="AE1540" s="1"/>
      <c r="AF1540" s="1"/>
      <c r="AG1540" s="1"/>
      <c r="AH1540" s="1"/>
      <c r="AI1540" s="1"/>
    </row>
    <row r="1541" customHeight="1" spans="1:35">
      <c r="A1541" s="1"/>
      <c r="B1541" s="1"/>
      <c r="C1541" s="1"/>
      <c r="D1541" s="1"/>
      <c r="E1541" s="1"/>
      <c r="F1541" s="1"/>
      <c r="G1541" s="1"/>
      <c r="H1541" s="1"/>
      <c r="I1541" s="1"/>
      <c r="J1541" s="1"/>
      <c r="K1541" s="1"/>
      <c r="L1541" s="1"/>
      <c r="M1541" s="1"/>
      <c r="N1541" s="1"/>
      <c r="O1541" s="1"/>
      <c r="P1541" s="1"/>
      <c r="Q1541" s="1"/>
      <c r="R1541" s="1"/>
      <c r="S1541" s="1"/>
      <c r="T1541" s="1"/>
      <c r="U1541" s="1"/>
      <c r="V1541" s="1"/>
      <c r="W1541" s="1"/>
      <c r="X1541" s="1"/>
      <c r="Y1541" s="1"/>
      <c r="Z1541" s="1"/>
      <c r="AA1541" s="1"/>
      <c r="AB1541" s="1"/>
      <c r="AC1541" s="1"/>
      <c r="AD1541" s="1"/>
      <c r="AE1541" s="1"/>
      <c r="AF1541" s="1"/>
      <c r="AG1541" s="1"/>
      <c r="AH1541" s="1"/>
      <c r="AI1541" s="1"/>
    </row>
    <row r="1542" customHeight="1" spans="1:35">
      <c r="A1542" s="1"/>
      <c r="B1542" s="1"/>
      <c r="C1542" s="1"/>
      <c r="D1542" s="1"/>
      <c r="E1542" s="1"/>
      <c r="F1542" s="1"/>
      <c r="G1542" s="1"/>
      <c r="H1542" s="1"/>
      <c r="I1542" s="1"/>
      <c r="J1542" s="1"/>
      <c r="K1542" s="1"/>
      <c r="L1542" s="1"/>
      <c r="M1542" s="1"/>
      <c r="N1542" s="1"/>
      <c r="O1542" s="1"/>
      <c r="P1542" s="1"/>
      <c r="Q1542" s="1"/>
      <c r="R1542" s="1"/>
      <c r="S1542" s="1"/>
      <c r="T1542" s="1"/>
      <c r="U1542" s="1"/>
      <c r="V1542" s="1"/>
      <c r="W1542" s="1"/>
      <c r="X1542" s="1"/>
      <c r="Y1542" s="1"/>
      <c r="Z1542" s="1"/>
      <c r="AA1542" s="1"/>
      <c r="AB1542" s="1"/>
      <c r="AC1542" s="1"/>
      <c r="AD1542" s="1"/>
      <c r="AE1542" s="1"/>
      <c r="AF1542" s="1"/>
      <c r="AG1542" s="1"/>
      <c r="AH1542" s="1"/>
      <c r="AI1542" s="1"/>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C1000"/>
  <sheetViews>
    <sheetView workbookViewId="0">
      <selection activeCell="A1" sqref="A1"/>
    </sheetView>
  </sheetViews>
  <sheetFormatPr defaultColWidth="12.6296296296296" defaultRowHeight="15.75" customHeight="1"/>
  <sheetData>
    <row r="1" customHeight="1" spans="1:29">
      <c r="A1" s="1" t="str">
        <f>IFERROR(__xludf.DUMMYFUNCTION("IMPORTRANGE(""https://docs.google.com/spreadsheets/d/1n0EAAzbw5db3irEm5fLwRhByuGsysikU6G_IS3FP7W4/edit?gid=136358729#gid=136358729"",""MASTERLIST!A:AC"")"),"DATE ")</f>
        <v>DATE </v>
      </c>
      <c r="B1" s="1" t="str">
        <f>IFERROR(__xludf.DUMMYFUNCTION("""COMPUTED_VALUE"""),"SUBSCRIBER NAME")</f>
        <v>SUBSCRIBER NAME</v>
      </c>
      <c r="C1" s="1" t="str">
        <f>IFERROR(__xludf.DUMMYFUNCTION("""COMPUTED_VALUE"""),"RITM #")</f>
        <v>RITM #</v>
      </c>
      <c r="D1" s="1" t="str">
        <f>IFERROR(__xludf.DUMMYFUNCTION("""COMPUTED_VALUE"""),"CS&amp;WO#")</f>
        <v>CS&amp;WO#</v>
      </c>
      <c r="E1" s="1" t="str">
        <f>IFERROR(__xludf.DUMMYFUNCTION("""COMPUTED_VALUE"""),"ACCT")</f>
        <v>ACCT</v>
      </c>
      <c r="F1" s="1" t="str">
        <f>IFERROR(__xludf.DUMMYFUNCTION("""COMPUTED_VALUE"""),"EMAIL ADDRESS")</f>
        <v>EMAIL ADDRESS</v>
      </c>
      <c r="G1" s="1" t="str">
        <f>IFERROR(__xludf.DUMMYFUNCTION("""COMPUTED_VALUE"""),"STATUS")</f>
        <v>STATUS</v>
      </c>
      <c r="H1" s="1" t="str">
        <f>IFERROR(__xludf.DUMMYFUNCTION("""COMPUTED_VALUE"""),"EOD REMARKS")</f>
        <v>EOD REMARKS</v>
      </c>
      <c r="I1" s="1" t="str">
        <f>IFERROR(__xludf.DUMMYFUNCTION("""COMPUTED_VALUE"""),"REMARKS")</f>
        <v>REMARKS</v>
      </c>
      <c r="J1" s="1" t="str">
        <f>IFERROR(__xludf.DUMMYFUNCTION("""COMPUTED_VALUE"""),"PAYMENT REFERENCE/ REMARKS")</f>
        <v>PAYMENT REFERENCE/ REMARKS</v>
      </c>
      <c r="K1" s="1" t="str">
        <f>IFERROR(__xludf.DUMMYFUNCTION("""COMPUTED_VALUE"""),"PAYMENT STATUS")</f>
        <v>PAYMENT STATUS</v>
      </c>
      <c r="L1" s="1" t="str">
        <f>IFERROR(__xludf.DUMMYFUNCTION("""COMPUTED_VALUE"""),"FINAL STATUS")</f>
        <v>FINAL STATUS</v>
      </c>
      <c r="M1" s="1" t="str">
        <f>IFERROR(__xludf.DUMMYFUNCTION("""COMPUTED_VALUE"""),"POSTED DATE")</f>
        <v>POSTED DATE</v>
      </c>
      <c r="N1" s="1" t="str">
        <f>IFERROR(__xludf.DUMMYFUNCTION("""COMPUTED_VALUE"""),"EVENT CODE")</f>
        <v>EVENT CODE</v>
      </c>
      <c r="O1" s="1" t="str">
        <f>IFERROR(__xludf.DUMMYFUNCTION("""COMPUTED_VALUE"""),"PLAN AVAILED")</f>
        <v>PLAN AVAILED</v>
      </c>
      <c r="P1" s="1" t="str">
        <f>IFERROR(__xludf.DUMMYFUNCTION("""COMPUTED_VALUE"""),"AGENT CODE")</f>
        <v>AGENT CODE</v>
      </c>
      <c r="Q1" s="1" t="str">
        <f>IFERROR(__xludf.DUMMYFUNCTION("""COMPUTED_VALUE"""),"AGENT NAME")</f>
        <v>AGENT NAME</v>
      </c>
      <c r="R1" s="1" t="str">
        <f>IFERROR(__xludf.DUMMYFUNCTION("""COMPUTED_VALUE"""),"TEAM LEADER")</f>
        <v>TEAM LEADER</v>
      </c>
      <c r="S1" s="1" t="str">
        <f>IFERROR(__xludf.DUMMYFUNCTION("""COMPUTED_VALUE"""),"ENCODER")</f>
        <v>ENCODER</v>
      </c>
      <c r="T1" s="1" t="str">
        <f>IFERROR(__xludf.DUMMYFUNCTION("""COMPUTED_VALUE"""),"PROMO")</f>
        <v>PROMO</v>
      </c>
      <c r="U1" s="1" t="str">
        <f>IFERROR(__xludf.DUMMYFUNCTION("""COMPUTED_VALUE"""),"CBR 1")</f>
        <v>CBR 1</v>
      </c>
      <c r="V1" s="1" t="str">
        <f>IFERROR(__xludf.DUMMYFUNCTION("""COMPUTED_VALUE"""),"CBR 2")</f>
        <v>CBR 2</v>
      </c>
      <c r="W1" s="1" t="str">
        <f>IFERROR(__xludf.DUMMYFUNCTION("""COMPUTED_VALUE"""),"HOUSE #")</f>
        <v>HOUSE #</v>
      </c>
      <c r="X1" s="1" t="str">
        <f>IFERROR(__xludf.DUMMYFUNCTION("""COMPUTED_VALUE"""),"ST NAME")</f>
        <v>ST NAME</v>
      </c>
      <c r="Y1" s="1" t="str">
        <f>IFERROR(__xludf.DUMMYFUNCTION("""COMPUTED_VALUE"""),"SUBDIVISION")</f>
        <v>SUBDIVISION</v>
      </c>
      <c r="Z1" s="1" t="str">
        <f>IFERROR(__xludf.DUMMYFUNCTION("""COMPUTED_VALUE"""),"BRGY")</f>
        <v>BRGY</v>
      </c>
      <c r="AA1" s="1" t="str">
        <f>IFERROR(__xludf.DUMMYFUNCTION("""COMPUTED_VALUE"""),"CITY")</f>
        <v>CITY</v>
      </c>
      <c r="AB1" s="1" t="str">
        <f>IFERROR(__xludf.DUMMYFUNCTION("""COMPUTED_VALUE"""),"CAFAC")</f>
        <v>CAFAC</v>
      </c>
      <c r="AC1" s="1" t="str">
        <f>IFERROR(__xludf.DUMMYFUNCTION("""COMPUTED_VALUE"""),"LONGLAT")</f>
        <v>LONGLAT</v>
      </c>
    </row>
    <row r="2" customHeight="1" spans="1:29">
      <c r="A2" s="3">
        <f>IFERROR(__xludf.DUMMYFUNCTION("""COMPUTED_VALUE"""),46231)</f>
        <v>46231</v>
      </c>
      <c r="B2" s="1" t="str">
        <f>IFERROR(__xludf.DUMMYFUNCTION("""COMPUTED_VALUE"""),"JHOANA BLANCO BAUTISTA")</f>
        <v>JHOANA BLANCO BAUTISTA</v>
      </c>
      <c r="C2" s="1"/>
      <c r="D2" s="1"/>
      <c r="E2" s="1"/>
      <c r="F2" s="1" t="str">
        <f>IFERROR(__xludf.DUMMYFUNCTION("""COMPUTED_VALUE"""),"joshuabautista853@gmail.com")</f>
        <v>joshuabautista853@gmail.com</v>
      </c>
      <c r="G2" s="1" t="str">
        <f>IFERROR(__xludf.DUMMYFUNCTION("""COMPUTED_VALUE"""),"CLOSED")</f>
        <v>CLOSED</v>
      </c>
      <c r="H2" s="1"/>
      <c r="I2" s="1"/>
      <c r="J2" s="1" t="str">
        <f>IFERROR(__xludf.DUMMYFUNCTION("""COMPUTED_VALUE"""),"PAID VIA GCASH - JUL 30 - REF- 832126801")</f>
        <v>PAID VIA GCASH - JUL 30 - REF- 832126801</v>
      </c>
      <c r="K2" s="1" t="str">
        <f>IFERROR(__xludf.DUMMYFUNCTION("""COMPUTED_VALUE"""),"PAID")</f>
        <v>PAID</v>
      </c>
      <c r="L2" s="1" t="str">
        <f>IFERROR(__xludf.DUMMYFUNCTION("""COMPUTED_VALUE"""),"POSTED")</f>
        <v>POSTED</v>
      </c>
      <c r="M2" s="1" t="str">
        <f>IFERROR(__xludf.DUMMYFUNCTION("""COMPUTED_VALUE"""),"2026")</f>
        <v>2026</v>
      </c>
      <c r="N2" s="1" t="str">
        <f>IFERROR(__xludf.DUMMYFUNCTION("""COMPUTED_VALUE"""),"RED_RS_ONL_CVE_25")</f>
        <v>RED_RS_ONL_CVE_25</v>
      </c>
      <c r="O2" s="1" t="str">
        <f>IFERROR(__xludf.DUMMYFUNCTION("""COMPUTED_VALUE"""),"RED FIBR 1000")</f>
        <v>RED FIBR 1000</v>
      </c>
      <c r="P2" s="1" t="str">
        <f>IFERROR(__xludf.DUMMYFUNCTION("""COMPUTED_VALUE"""),"MMM018712")</f>
        <v>MMM018712</v>
      </c>
      <c r="Q2" s="1" t="str">
        <f>IFERROR(__xludf.DUMMYFUNCTION("""COMPUTED_VALUE"""),"LUPENA. KARL ANGELO")</f>
        <v>LUPENA. KARL ANGELO</v>
      </c>
      <c r="R2" s="1" t="str">
        <f>IFERROR(__xludf.DUMMYFUNCTION("""COMPUTED_VALUE"""),"GARCIA MICHAEL JETTS")</f>
        <v>GARCIA MICHAEL JETTS</v>
      </c>
      <c r="S2" s="1" t="str">
        <f>IFERROR(__xludf.DUMMYFUNCTION("""COMPUTED_VALUE"""),"SALIOA JB")</f>
        <v>SALIOA JB</v>
      </c>
      <c r="T2" s="1" t="str">
        <f>IFERROR(__xludf.DUMMYFUNCTION("""COMPUTED_VALUE"""),"SP6MONTHS")</f>
        <v>SP6MONTHS</v>
      </c>
      <c r="U2" s="1">
        <f>IFERROR(__xludf.DUMMYFUNCTION("""COMPUTED_VALUE"""),9761932301)</f>
        <v>9761932301</v>
      </c>
      <c r="V2" s="1"/>
      <c r="W2" s="1"/>
      <c r="X2" s="1" t="str">
        <f>IFERROR(__xludf.DUMMYFUNCTION("""COMPUTED_VALUE"""),"PH2 ST")</f>
        <v>PH2 ST</v>
      </c>
      <c r="Y2" s="1" t="str">
        <f>IFERROR(__xludf.DUMMYFUNCTION("""COMPUTED_VALUE"""),"SITIO BAGONG POOK")</f>
        <v>SITIO BAGONG POOK</v>
      </c>
      <c r="Z2" s="1" t="str">
        <f>IFERROR(__xludf.DUMMYFUNCTION("""COMPUTED_VALUE"""),"DAANG AMAYA III")</f>
        <v>DAANG AMAYA III</v>
      </c>
      <c r="AA2" s="1" t="str">
        <f>IFERROR(__xludf.DUMMYFUNCTION("""COMPUTED_VALUE"""),"TANZA")</f>
        <v>TANZA</v>
      </c>
      <c r="AB2" s="1" t="str">
        <f>IFERROR(__xludf.DUMMYFUNCTION("""COMPUTED_VALUE"""),"CVT6 LCP208 NAP3/4")</f>
        <v>CVT6 LCP208 NAP3/4</v>
      </c>
      <c r="AC2" s="1" t="str">
        <f>IFERROR(__xludf.DUMMYFUNCTION("""COMPUTED_VALUE"""),"120.855759 / 14.395980")</f>
        <v>120.855759 / 14.395980</v>
      </c>
    </row>
    <row r="3" customHeight="1" spans="1:29">
      <c r="A3" s="3">
        <f>IFERROR(__xludf.DUMMYFUNCTION("""COMPUTED_VALUE"""),46232)</f>
        <v>46232</v>
      </c>
      <c r="B3" s="1" t="str">
        <f>IFERROR(__xludf.DUMMYFUNCTION("""COMPUTED_VALUE"""),"RUBELYN CONDE MANLAPAZ")</f>
        <v>RUBELYN CONDE MANLAPAZ</v>
      </c>
      <c r="C3" s="1"/>
      <c r="D3" s="1"/>
      <c r="E3" s="1"/>
      <c r="F3" s="1" t="str">
        <f>IFERROR(__xludf.DUMMYFUNCTION("""COMPUTED_VALUE"""),"manlapazrubelyn81@gmail.com")</f>
        <v>manlapazrubelyn81@gmail.com</v>
      </c>
      <c r="G3" s="1" t="str">
        <f>IFERROR(__xludf.DUMMYFUNCTION("""COMPUTED_VALUE"""),"CLOSED")</f>
        <v>CLOSED</v>
      </c>
      <c r="H3" s="1"/>
      <c r="I3" s="1"/>
      <c r="J3" s="1" t="str">
        <f>IFERROR(__xludf.DUMMYFUNCTION("""COMPUTED_VALUE"""),"SWITCHER PROMO")</f>
        <v>SWITCHER PROMO</v>
      </c>
      <c r="K3" s="1"/>
      <c r="L3" s="1" t="str">
        <f>IFERROR(__xludf.DUMMYFUNCTION("""COMPUTED_VALUE"""),"POSTED")</f>
        <v>POSTED</v>
      </c>
      <c r="M3" s="1" t="str">
        <f>IFERROR(__xludf.DUMMYFUNCTION("""COMPUTED_VALUE"""),"8/3/2026")</f>
        <v>8/3/2026</v>
      </c>
      <c r="N3" s="1" t="str">
        <f>IFERROR(__xludf.DUMMYFUNCTION("""COMPUTED_VALUE"""),"RED_RS_ONL_CVE_25")</f>
        <v>RED_RS_ONL_CVE_25</v>
      </c>
      <c r="O3" s="1" t="str">
        <f>IFERROR(__xludf.DUMMYFUNCTION("""COMPUTED_VALUE"""),"SWITCHER PLAN 900")</f>
        <v>SWITCHER PLAN 900</v>
      </c>
      <c r="P3" s="1" t="str">
        <f>IFERROR(__xludf.DUMMYFUNCTION("""COMPUTED_VALUE"""),"MMM018711")</f>
        <v>MMM018711</v>
      </c>
      <c r="Q3" s="1" t="str">
        <f>IFERROR(__xludf.DUMMYFUNCTION("""COMPUTED_VALUE"""),"DEL ROSARIO. MIGGY LENARD")</f>
        <v>DEL ROSARIO. MIGGY LENARD</v>
      </c>
      <c r="R3" s="1" t="str">
        <f>IFERROR(__xludf.DUMMYFUNCTION("""COMPUTED_VALUE"""),"GARCIA MICHAEL JETTS")</f>
        <v>GARCIA MICHAEL JETTS</v>
      </c>
      <c r="S3" s="1" t="str">
        <f>IFERROR(__xludf.DUMMYFUNCTION("""COMPUTED_VALUE"""),"SALIOA JB")</f>
        <v>SALIOA JB</v>
      </c>
      <c r="T3" s="1" t="str">
        <f>IFERROR(__xludf.DUMMYFUNCTION("""COMPUTED_VALUE"""),"SWITCHOFFER")</f>
        <v>SWITCHOFFER</v>
      </c>
      <c r="U3" s="1">
        <f>IFERROR(__xludf.DUMMYFUNCTION("""COMPUTED_VALUE"""),9107860074)</f>
        <v>9107860074</v>
      </c>
      <c r="V3" s="1"/>
      <c r="W3" s="1">
        <f>IFERROR(__xludf.DUMMYFUNCTION("""COMPUTED_VALUE"""),9132)</f>
        <v>9132</v>
      </c>
      <c r="X3" s="1" t="str">
        <f>IFERROR(__xludf.DUMMYFUNCTION("""COMPUTED_VALUE"""),"RAMO RD")</f>
        <v>RAMO RD</v>
      </c>
      <c r="Y3" s="1"/>
      <c r="Z3" s="1" t="str">
        <f>IFERROR(__xludf.DUMMYFUNCTION("""COMPUTED_VALUE"""),"AMAYA II")</f>
        <v>AMAYA II</v>
      </c>
      <c r="AA3" s="1" t="str">
        <f>IFERROR(__xludf.DUMMYFUNCTION("""COMPUTED_VALUE"""),"TANZA")</f>
        <v>TANZA</v>
      </c>
      <c r="AB3" s="1"/>
      <c r="AC3" s="1" t="str">
        <f>IFERROR(__xludf.DUMMYFUNCTION("""COMPUTED_VALUE"""),"120.831208 / 14.381417")</f>
        <v>120.831208 / 14.381417</v>
      </c>
    </row>
    <row r="4" customHeight="1" spans="1:29">
      <c r="A4" s="3">
        <f>IFERROR(__xludf.DUMMYFUNCTION("""COMPUTED_VALUE"""),46233)</f>
        <v>46233</v>
      </c>
      <c r="B4" s="1" t="str">
        <f>IFERROR(__xludf.DUMMYFUNCTION("""COMPUTED_VALUE"""),"RAMON HERRERO SICAT")</f>
        <v>RAMON HERRERO SICAT</v>
      </c>
      <c r="C4" s="1"/>
      <c r="D4" s="1"/>
      <c r="E4" s="1"/>
      <c r="F4" s="1" t="str">
        <f>IFERROR(__xludf.DUMMYFUNCTION("""COMPUTED_VALUE"""),"sicat.ramon@gmail.com")</f>
        <v>sicat.ramon@gmail.com</v>
      </c>
      <c r="G4" s="1" t="str">
        <f>IFERROR(__xludf.DUMMYFUNCTION("""COMPUTED_VALUE"""),"CLOSED")</f>
        <v>CLOSED</v>
      </c>
      <c r="H4" s="1"/>
      <c r="I4" s="1"/>
      <c r="J4" s="1" t="str">
        <f>IFERROR(__xludf.DUMMYFUNCTION("""COMPUTED_VALUE"""),"SWITCHER PROMO - W/CPWF")</f>
        <v>SWITCHER PROMO - W/CPWF</v>
      </c>
      <c r="K4" s="1"/>
      <c r="L4" s="1" t="str">
        <f>IFERROR(__xludf.DUMMYFUNCTION("""COMPUTED_VALUE"""),"POSTED")</f>
        <v>POSTED</v>
      </c>
      <c r="M4" s="1" t="str">
        <f>IFERROR(__xludf.DUMMYFUNCTION("""COMPUTED_VALUE"""),"8/2/2026")</f>
        <v>8/2/2026</v>
      </c>
      <c r="N4" s="1" t="str">
        <f>IFERROR(__xludf.DUMMYFUNCTION("""COMPUTED_VALUE"""),"RED_RS_ONL_CVE_25")</f>
        <v>RED_RS_ONL_CVE_25</v>
      </c>
      <c r="O4" s="1" t="str">
        <f>IFERROR(__xludf.DUMMYFUNCTION("""COMPUTED_VALUE"""),"SWITCHER PLAN 900")</f>
        <v>SWITCHER PLAN 900</v>
      </c>
      <c r="P4" s="1" t="str">
        <f>IFERROR(__xludf.DUMMYFUNCTION("""COMPUTED_VALUE"""),"MMM018711")</f>
        <v>MMM018711</v>
      </c>
      <c r="Q4" s="1" t="str">
        <f>IFERROR(__xludf.DUMMYFUNCTION("""COMPUTED_VALUE"""),"DEL ROSARIO. MIGGY LENARD")</f>
        <v>DEL ROSARIO. MIGGY LENARD</v>
      </c>
      <c r="R4" s="1" t="str">
        <f>IFERROR(__xludf.DUMMYFUNCTION("""COMPUTED_VALUE"""),"GARCIA MICHAEL JETTS")</f>
        <v>GARCIA MICHAEL JETTS</v>
      </c>
      <c r="S4" s="1" t="str">
        <f>IFERROR(__xludf.DUMMYFUNCTION("""COMPUTED_VALUE"""),"MALIWAT MARK")</f>
        <v>MALIWAT MARK</v>
      </c>
      <c r="T4" s="1" t="str">
        <f>IFERROR(__xludf.DUMMYFUNCTION("""COMPUTED_VALUE"""),"SP6MONTHS")</f>
        <v>SP6MONTHS</v>
      </c>
      <c r="U4" s="1">
        <f>IFERROR(__xludf.DUMMYFUNCTION("""COMPUTED_VALUE"""),9944248557)</f>
        <v>9944248557</v>
      </c>
      <c r="V4" s="1">
        <f>IFERROR(__xludf.DUMMYFUNCTION("""COMPUTED_VALUE"""),9944248557)</f>
        <v>9944248557</v>
      </c>
      <c r="W4" s="1"/>
      <c r="X4" s="1" t="str">
        <f>IFERROR(__xludf.DUMMYFUNCTION("""COMPUTED_VALUE"""),"PEARL RESIDENCES PHASE B RD")</f>
        <v>PEARL RESIDENCES PHASE B RD</v>
      </c>
      <c r="Y4" s="1"/>
      <c r="Z4" s="1"/>
      <c r="AA4" s="1"/>
      <c r="AB4" s="1"/>
      <c r="AC4" s="1"/>
    </row>
    <row r="5" customHeight="1" spans="1:29">
      <c r="A5" s="3">
        <f>IFERROR(__xludf.DUMMYFUNCTION("""COMPUTED_VALUE"""),46234)</f>
        <v>46234</v>
      </c>
      <c r="B5" s="1" t="str">
        <f>IFERROR(__xludf.DUMMYFUNCTION("""COMPUTED_VALUE"""),"IRENE MOLATO BIÑAS")</f>
        <v>IRENE MOLATO BIÑAS</v>
      </c>
      <c r="C5" s="1"/>
      <c r="D5" s="1"/>
      <c r="E5" s="1"/>
      <c r="F5" s="1" t="str">
        <f>IFERROR(__xludf.DUMMYFUNCTION("""COMPUTED_VALUE"""),"irenebinas988@gmail.com")</f>
        <v>irenebinas988@gmail.com</v>
      </c>
      <c r="G5" s="1" t="str">
        <f>IFERROR(__xludf.DUMMYFUNCTION("""COMPUTED_VALUE"""),"CLOSED")</f>
        <v>CLOSED</v>
      </c>
      <c r="H5" s="1"/>
      <c r="I5" s="1"/>
      <c r="J5" s="1" t="str">
        <f>IFERROR(__xludf.DUMMYFUNCTION("""COMPUTED_VALUE"""),"PAID THRU MAYA REF 621208198164 JUL 31")</f>
        <v>PAID THRU MAYA REF 621208198164 JUL 31</v>
      </c>
      <c r="K5" s="1" t="str">
        <f>IFERROR(__xludf.DUMMYFUNCTION("""COMPUTED_VALUE"""),"PAID")</f>
        <v>PAID</v>
      </c>
      <c r="L5" s="1" t="str">
        <f>IFERROR(__xludf.DUMMYFUNCTION("""COMPUTED_VALUE"""),"POSTED")</f>
        <v>POSTED</v>
      </c>
      <c r="M5" s="1" t="str">
        <f>IFERROR(__xludf.DUMMYFUNCTION("""COMPUTED_VALUE"""),"8/2/2026")</f>
        <v>8/2/2026</v>
      </c>
      <c r="N5" s="1" t="str">
        <f>IFERROR(__xludf.DUMMYFUNCTION("""COMPUTED_VALUE"""),"RED_RS_ONL_CVE_25")</f>
        <v>RED_RS_ONL_CVE_25</v>
      </c>
      <c r="O5" s="1" t="str">
        <f>IFERROR(__xludf.DUMMYFUNCTION("""COMPUTED_VALUE"""),"RED FIBR 1400")</f>
        <v>RED FIBR 1400</v>
      </c>
      <c r="P5" s="1" t="str">
        <f>IFERROR(__xludf.DUMMYFUNCTION("""COMPUTED_VALUE"""),"MMM018712")</f>
        <v>MMM018712</v>
      </c>
      <c r="Q5" s="1" t="str">
        <f>IFERROR(__xludf.DUMMYFUNCTION("""COMPUTED_VALUE"""),"LUPENA. KARL ANGELO")</f>
        <v>LUPENA. KARL ANGELO</v>
      </c>
      <c r="R5" s="1" t="str">
        <f>IFERROR(__xludf.DUMMYFUNCTION("""COMPUTED_VALUE"""),"GARCIA MICHAEL JETTS")</f>
        <v>GARCIA MICHAEL JETTS</v>
      </c>
      <c r="S5" s="1" t="str">
        <f>IFERROR(__xludf.DUMMYFUNCTION("""COMPUTED_VALUE"""),"ESPIRITU JULIE")</f>
        <v>ESPIRITU JULIE</v>
      </c>
      <c r="T5" s="1" t="str">
        <f>IFERROR(__xludf.DUMMYFUNCTION("""COMPUTED_VALUE"""),"SP6MONTHS")</f>
        <v>SP6MONTHS</v>
      </c>
      <c r="U5" s="1">
        <f>IFERROR(__xludf.DUMMYFUNCTION("""COMPUTED_VALUE"""),9561461316)</f>
        <v>9561461316</v>
      </c>
      <c r="V5" s="1"/>
      <c r="W5" s="1"/>
      <c r="X5" s="1" t="str">
        <f>IFERROR(__xludf.DUMMYFUNCTION("""COMPUTED_VALUE"""),"PHASE A  ST")</f>
        <v>PHASE A  ST</v>
      </c>
      <c r="Y5" s="1" t="str">
        <f>IFERROR(__xludf.DUMMYFUNCTION("""COMPUTED_VALUE"""),"PEARL RESIDENCES PHASE A")</f>
        <v>PEARL RESIDENCES PHASE A</v>
      </c>
      <c r="Z5" s="1" t="str">
        <f>IFERROR(__xludf.DUMMYFUNCTION("""COMPUTED_VALUE"""),"CAPIPISA")</f>
        <v>CAPIPISA</v>
      </c>
      <c r="AA5" s="1" t="str">
        <f>IFERROR(__xludf.DUMMYFUNCTION("""COMPUTED_VALUE"""),"TANZA")</f>
        <v>TANZA</v>
      </c>
      <c r="AB5" s="1" t="str">
        <f>IFERROR(__xludf.DUMMYFUNCTION("""COMPUTED_VALUE"""),"CVT6 LCP135 NP1/2")</f>
        <v>CVT6 LCP135 NP1/2</v>
      </c>
      <c r="AC5" s="1" t="str">
        <f>IFERROR(__xludf.DUMMYFUNCTION("""COMPUTED_VALUE"""),"120.796289 / 14.357159")</f>
        <v>120.796289 / 14.357159</v>
      </c>
    </row>
    <row r="6" customHeight="1" spans="1:29">
      <c r="A6" s="3">
        <f>IFERROR(__xludf.DUMMYFUNCTION("""COMPUTED_VALUE"""),46234)</f>
        <v>46234</v>
      </c>
      <c r="B6" s="1" t="str">
        <f>IFERROR(__xludf.DUMMYFUNCTION("""COMPUTED_VALUE"""),"MAY PADRONES APEROCHO")</f>
        <v>MAY PADRONES APEROCHO</v>
      </c>
      <c r="C6" s="1"/>
      <c r="D6" s="1"/>
      <c r="E6" s="1"/>
      <c r="F6" s="1" t="str">
        <f>IFERROR(__xludf.DUMMYFUNCTION("""COMPUTED_VALUE"""),"ryanaperoche@gmail.com")</f>
        <v>ryanaperoche@gmail.com</v>
      </c>
      <c r="G6" s="1" t="str">
        <f>IFERROR(__xludf.DUMMYFUNCTION("""COMPUTED_VALUE"""),"CLOSED")</f>
        <v>CLOSED</v>
      </c>
      <c r="H6" s="1"/>
      <c r="I6" s="1"/>
      <c r="J6" s="1" t="str">
        <f>IFERROR(__xludf.DUMMYFUNCTION("""COMPUTED_VALUE"""),"PAID THRU GCASH REF 078977092 JUL 31")</f>
        <v>PAID THRU GCASH REF 078977092 JUL 31</v>
      </c>
      <c r="K6" s="1" t="str">
        <f>IFERROR(__xludf.DUMMYFUNCTION("""COMPUTED_VALUE"""),"PAID")</f>
        <v>PAID</v>
      </c>
      <c r="L6" s="1" t="str">
        <f>IFERROR(__xludf.DUMMYFUNCTION("""COMPUTED_VALUE"""),"POSTED")</f>
        <v>POSTED</v>
      </c>
      <c r="M6" s="1" t="str">
        <f>IFERROR(__xludf.DUMMYFUNCTION("""COMPUTED_VALUE"""),"8/2/2026")</f>
        <v>8/2/2026</v>
      </c>
      <c r="N6" s="1" t="str">
        <f>IFERROR(__xludf.DUMMYFUNCTION("""COMPUTED_VALUE"""),"RED_RS_HH_CVE_25")</f>
        <v>RED_RS_HH_CVE_25</v>
      </c>
      <c r="O6" s="1" t="str">
        <f>IFERROR(__xludf.DUMMYFUNCTION("""COMPUTED_VALUE"""),"RED FIBR 1000")</f>
        <v>RED FIBR 1000</v>
      </c>
      <c r="P6" s="1" t="str">
        <f>IFERROR(__xludf.DUMMYFUNCTION("""COMPUTED_VALUE"""),"MMM018713")</f>
        <v>MMM018713</v>
      </c>
      <c r="Q6" s="1" t="str">
        <f>IFERROR(__xludf.DUMMYFUNCTION("""COMPUTED_VALUE"""),"AYON, MANUEL")</f>
        <v>AYON, MANUEL</v>
      </c>
      <c r="R6" s="1" t="str">
        <f>IFERROR(__xludf.DUMMYFUNCTION("""COMPUTED_VALUE"""),"NAVARRO JERIC")</f>
        <v>NAVARRO JERIC</v>
      </c>
      <c r="S6" s="1" t="str">
        <f>IFERROR(__xludf.DUMMYFUNCTION("""COMPUTED_VALUE"""),"MALIWAT MARK")</f>
        <v>MALIWAT MARK</v>
      </c>
      <c r="T6" s="1" t="str">
        <f>IFERROR(__xludf.DUMMYFUNCTION("""COMPUTED_VALUE"""),"SP6MONTHS")</f>
        <v>SP6MONTHS</v>
      </c>
      <c r="U6" s="1">
        <f>IFERROR(__xludf.DUMMYFUNCTION("""COMPUTED_VALUE"""),9951288992)</f>
        <v>9951288992</v>
      </c>
      <c r="V6" s="1">
        <f>IFERROR(__xludf.DUMMYFUNCTION("""COMPUTED_VALUE"""),9677159177)</f>
        <v>9677159177</v>
      </c>
      <c r="W6" s="1">
        <f>IFERROR(__xludf.DUMMYFUNCTION("""COMPUTED_VALUE"""),1290)</f>
        <v>1290</v>
      </c>
      <c r="X6" s="1" t="str">
        <f>IFERROR(__xludf.DUMMYFUNCTION("""COMPUTED_VALUE"""),"EMILIO AGUINALDO HIGHWAY")</f>
        <v>EMILIO AGUINALDO HIGHWAY</v>
      </c>
      <c r="Y6" s="1"/>
      <c r="Z6" s="1" t="str">
        <f>IFERROR(__xludf.DUMMYFUNCTION("""COMPUTED_VALUE"""),"BUHO")</f>
        <v>BUHO</v>
      </c>
      <c r="AA6" s="1" t="str">
        <f>IFERROR(__xludf.DUMMYFUNCTION("""COMPUTED_VALUE"""),"SILANG")</f>
        <v>SILANG</v>
      </c>
      <c r="AB6" s="1" t="str">
        <f>IFERROR(__xludf.DUMMYFUNCTION("""COMPUTED_VALUE"""),"CVT2 LCP80 NP2-7")</f>
        <v>CVT2 LCP80 NP2-7</v>
      </c>
      <c r="AC6" s="1" t="str">
        <f>IFERROR(__xludf.DUMMYFUNCTION("""COMPUTED_VALUE"""),"120.955405 / 14.137501")</f>
        <v>120.955405 / 14.137501</v>
      </c>
    </row>
    <row r="7" customHeight="1" spans="1:29">
      <c r="A7" s="3">
        <f>IFERROR(__xludf.DUMMYFUNCTION("""COMPUTED_VALUE"""),46232)</f>
        <v>46232</v>
      </c>
      <c r="B7" s="1" t="str">
        <f>IFERROR(__xludf.DUMMYFUNCTION("""COMPUTED_VALUE"""),"MARICRIS ASCUE ASIA")</f>
        <v>MARICRIS ASCUE ASIA</v>
      </c>
      <c r="C7" s="1"/>
      <c r="D7" s="1"/>
      <c r="E7" s="1"/>
      <c r="F7" s="1" t="str">
        <f>IFERROR(__xludf.DUMMYFUNCTION("""COMPUTED_VALUE"""),"maricrisasia40@gmail.com")</f>
        <v>maricrisasia40@gmail.com</v>
      </c>
      <c r="G7" s="1" t="str">
        <f>IFERROR(__xludf.DUMMYFUNCTION("""COMPUTED_VALUE"""),"CLOSED")</f>
        <v>CLOSED</v>
      </c>
      <c r="H7" s="1"/>
      <c r="I7" s="1"/>
      <c r="J7" s="1" t="str">
        <f>IFERROR(__xludf.DUMMYFUNCTION("""COMPUTED_VALUE"""),"PAID VIA GCASH - JULY 29 - REF- 071188255")</f>
        <v>PAID VIA GCASH - JULY 29 - REF- 071188255</v>
      </c>
      <c r="K7" s="1" t="str">
        <f>IFERROR(__xludf.DUMMYFUNCTION("""COMPUTED_VALUE"""),"PAID")</f>
        <v>PAID</v>
      </c>
      <c r="L7" s="1" t="str">
        <f>IFERROR(__xludf.DUMMYFUNCTION("""COMPUTED_VALUE"""),"POSTED")</f>
        <v>POSTED</v>
      </c>
      <c r="M7" s="1" t="str">
        <f>IFERROR(__xludf.DUMMYFUNCTION("""COMPUTED_VALUE"""),"8/5/2026")</f>
        <v>8/5/2026</v>
      </c>
      <c r="N7" s="1" t="str">
        <f>IFERROR(__xludf.DUMMYFUNCTION("""COMPUTED_VALUE"""),"RED_RS_ONL_CVE_25")</f>
        <v>RED_RS_ONL_CVE_25</v>
      </c>
      <c r="O7" s="1" t="str">
        <f>IFERROR(__xludf.DUMMYFUNCTION("""COMPUTED_VALUE"""),"RED FIBR 1400")</f>
        <v>RED FIBR 1400</v>
      </c>
      <c r="P7" s="1" t="str">
        <f>IFERROR(__xludf.DUMMYFUNCTION("""COMPUTED_VALUE"""),"MMM018712")</f>
        <v>MMM018712</v>
      </c>
      <c r="Q7" s="1" t="str">
        <f>IFERROR(__xludf.DUMMYFUNCTION("""COMPUTED_VALUE"""),"PEREZ. RONELL")</f>
        <v>PEREZ. RONELL</v>
      </c>
      <c r="R7" s="1" t="str">
        <f>IFERROR(__xludf.DUMMYFUNCTION("""COMPUTED_VALUE"""),"GARCIA MICHAEL JETTS")</f>
        <v>GARCIA MICHAEL JETTS</v>
      </c>
      <c r="S7" s="1" t="str">
        <f>IFERROR(__xludf.DUMMYFUNCTION("""COMPUTED_VALUE"""),"SALIOA JB")</f>
        <v>SALIOA JB</v>
      </c>
      <c r="T7" s="1" t="str">
        <f>IFERROR(__xludf.DUMMYFUNCTION("""COMPUTED_VALUE"""),"SP6MONTHS")</f>
        <v>SP6MONTHS</v>
      </c>
      <c r="U7" s="1">
        <f>IFERROR(__xludf.DUMMYFUNCTION("""COMPUTED_VALUE"""),9957802577)</f>
        <v>9957802577</v>
      </c>
      <c r="V7" s="1"/>
      <c r="W7" s="1"/>
      <c r="X7" s="1" t="str">
        <f>IFERROR(__xludf.DUMMYFUNCTION("""COMPUTED_VALUE"""),"TINGLUYAN ST")</f>
        <v>TINGLUYAN ST</v>
      </c>
      <c r="Y7" s="1"/>
      <c r="Z7" s="1" t="str">
        <f>IFERROR(__xludf.DUMMYFUNCTION("""COMPUTED_VALUE"""),"CAPIPISA")</f>
        <v>CAPIPISA</v>
      </c>
      <c r="AA7" s="1" t="str">
        <f>IFERROR(__xludf.DUMMYFUNCTION("""COMPUTED_VALUE"""),"TANZA")</f>
        <v>TANZA</v>
      </c>
      <c r="AB7" s="1"/>
      <c r="AC7" s="1" t="str">
        <f>IFERROR(__xludf.DUMMYFUNCTION("""COMPUTED_VALUE"""),"120.795495 / 14.360289")</f>
        <v>120.795495 / 14.360289</v>
      </c>
    </row>
    <row r="8" customHeight="1" spans="1:29">
      <c r="A8" s="3">
        <f>IFERROR(__xludf.DUMMYFUNCTION("""COMPUTED_VALUE"""),46229)</f>
        <v>46229</v>
      </c>
      <c r="B8" s="1" t="str">
        <f>IFERROR(__xludf.DUMMYFUNCTION("""COMPUTED_VALUE"""),"JHONALYN ARCA GAMBAN")</f>
        <v>JHONALYN ARCA GAMBAN</v>
      </c>
      <c r="C8" s="1"/>
      <c r="D8" s="1"/>
      <c r="E8" s="1"/>
      <c r="F8" s="1" t="str">
        <f>IFERROR(__xludf.DUMMYFUNCTION("""COMPUTED_VALUE"""),"jogamban08@gmail.com")</f>
        <v>jogamban08@gmail.com</v>
      </c>
      <c r="G8" s="1" t="str">
        <f>IFERROR(__xludf.DUMMYFUNCTION("""COMPUTED_VALUE"""),"CLOSED")</f>
        <v>CLOSED</v>
      </c>
      <c r="H8" s="1"/>
      <c r="I8" s="1"/>
      <c r="J8" s="1" t="str">
        <f>IFERROR(__xludf.DUMMYFUNCTION("""COMPUTED_VALUE"""),"SWITCHER PROMO")</f>
        <v>SWITCHER PROMO</v>
      </c>
      <c r="K8" s="1"/>
      <c r="L8" s="1" t="str">
        <f>IFERROR(__xludf.DUMMYFUNCTION("""COMPUTED_VALUE"""),"POSTED")</f>
        <v>POSTED</v>
      </c>
      <c r="M8" s="1" t="str">
        <f>IFERROR(__xludf.DUMMYFUNCTION("""COMPUTED_VALUE"""),"8/7/2026")</f>
        <v>8/7/2026</v>
      </c>
      <c r="N8" s="1" t="str">
        <f>IFERROR(__xludf.DUMMYFUNCTION("""COMPUTED_VALUE"""),"RED_RS_ONL_CVE_25")</f>
        <v>RED_RS_ONL_CVE_25</v>
      </c>
      <c r="O8" s="1" t="str">
        <f>IFERROR(__xludf.DUMMYFUNCTION("""COMPUTED_VALUE"""),"RED FIBER SWITCH 1400")</f>
        <v>RED FIBER SWITCH 1400</v>
      </c>
      <c r="P8" s="1" t="str">
        <f>IFERROR(__xludf.DUMMYFUNCTION("""COMPUTED_VALUE"""),"MMM018713")</f>
        <v>MMM018713</v>
      </c>
      <c r="Q8" s="1" t="str">
        <f>IFERROR(__xludf.DUMMYFUNCTION("""COMPUTED_VALUE"""),"BONZA, LEE VINCENT")</f>
        <v>BONZA, LEE VINCENT</v>
      </c>
      <c r="R8" s="1" t="str">
        <f>IFERROR(__xludf.DUMMYFUNCTION("""COMPUTED_VALUE"""),"GARCIA MICHAEL JETTS")</f>
        <v>GARCIA MICHAEL JETTS</v>
      </c>
      <c r="S8" s="1" t="str">
        <f>IFERROR(__xludf.DUMMYFUNCTION("""COMPUTED_VALUE"""),"JB SALIOA")</f>
        <v>JB SALIOA</v>
      </c>
      <c r="T8" s="1" t="str">
        <f>IFERROR(__xludf.DUMMYFUNCTION("""COMPUTED_VALUE"""),"SWITCHOFFER")</f>
        <v>SWITCHOFFER</v>
      </c>
      <c r="U8" s="1">
        <f>IFERROR(__xludf.DUMMYFUNCTION("""COMPUTED_VALUE"""),9269306499)</f>
        <v>9269306499</v>
      </c>
      <c r="V8" s="1"/>
      <c r="W8" s="1">
        <f>IFERROR(__xludf.DUMMYFUNCTION("""COMPUTED_VALUE"""),130)</f>
        <v>130</v>
      </c>
      <c r="X8" s="1" t="str">
        <f>IFERROR(__xludf.DUMMYFUNCTION("""COMPUTED_VALUE"""),"JULUGAN RD")</f>
        <v>JULUGAN RD</v>
      </c>
      <c r="Y8" s="1"/>
      <c r="Z8" s="1" t="str">
        <f>IFERROR(__xludf.DUMMYFUNCTION("""COMPUTED_VALUE"""),"JULUGAN VII")</f>
        <v>JULUGAN VII</v>
      </c>
      <c r="AA8" s="1" t="str">
        <f>IFERROR(__xludf.DUMMYFUNCTION("""COMPUTED_VALUE"""),"TANZA")</f>
        <v>TANZA</v>
      </c>
      <c r="AB8" s="1"/>
      <c r="AC8" s="1" t="str">
        <f>IFERROR(__xludf.DUMMYFUNCTION("""COMPUTED_VALUE"""),"120.841635 / 14.400279")</f>
        <v>120.841635 / 14.400279</v>
      </c>
    </row>
    <row r="9" customHeight="1" spans="1:29">
      <c r="A9" s="3">
        <f>IFERROR(__xludf.DUMMYFUNCTION("""COMPUTED_VALUE"""),46207)</f>
        <v>46207</v>
      </c>
      <c r="B9" s="1" t="str">
        <f>IFERROR(__xludf.DUMMYFUNCTION("""COMPUTED_VALUE"""),"LAMBERTO JR TAMMA MENDIOLA")</f>
        <v>LAMBERTO JR TAMMA MENDIOLA</v>
      </c>
      <c r="C9" s="1"/>
      <c r="D9" s="1"/>
      <c r="E9" s="1"/>
      <c r="F9" s="1" t="str">
        <f>IFERROR(__xludf.DUMMYFUNCTION("""COMPUTED_VALUE"""),"mendiolalamberts@gmail.com")</f>
        <v>mendiolalamberts@gmail.com</v>
      </c>
      <c r="G9" s="1" t="str">
        <f>IFERROR(__xludf.DUMMYFUNCTION("""COMPUTED_VALUE"""),"CLOSED")</f>
        <v>CLOSED</v>
      </c>
      <c r="H9" s="1"/>
      <c r="I9" s="1"/>
      <c r="J9" s="1" t="str">
        <f>IFERROR(__xludf.DUMMYFUNCTION("""COMPUTED_VALUE"""),"PAID VIA GCASH - JULY 5  - REF - RADI123647QVG17HQ")</f>
        <v>PAID VIA GCASH - JULY 5  - REF - RADI123647QVG17HQ</v>
      </c>
      <c r="K9" s="1" t="str">
        <f>IFERROR(__xludf.DUMMYFUNCTION("""COMPUTED_VALUE"""),"PAID")</f>
        <v>PAID</v>
      </c>
      <c r="L9" s="1" t="str">
        <f>IFERROR(__xludf.DUMMYFUNCTION("""COMPUTED_VALUE"""),"POSTED")</f>
        <v>POSTED</v>
      </c>
      <c r="M9" s="1" t="str">
        <f>IFERROR(__xludf.DUMMYFUNCTION("""COMPUTED_VALUE"""),"2026")</f>
        <v>2026</v>
      </c>
      <c r="N9" s="1" t="str">
        <f>IFERROR(__xludf.DUMMYFUNCTION("""COMPUTED_VALUE"""),"RED_RS_ONL_CVE_25")</f>
        <v>RED_RS_ONL_CVE_25</v>
      </c>
      <c r="O9" s="1" t="str">
        <f>IFERROR(__xludf.DUMMYFUNCTION("""COMPUTED_VALUE"""),"RED FIBR 1400")</f>
        <v>RED FIBR 1400</v>
      </c>
      <c r="P9" s="1" t="str">
        <f>IFERROR(__xludf.DUMMYFUNCTION("""COMPUTED_VALUE"""),"MMM018712")</f>
        <v>MMM018712</v>
      </c>
      <c r="Q9" s="1" t="str">
        <f>IFERROR(__xludf.DUMMYFUNCTION("""COMPUTED_VALUE"""),"DEL ROSARIO. MIGGY LENARD")</f>
        <v>DEL ROSARIO. MIGGY LENARD</v>
      </c>
      <c r="R9" s="1" t="str">
        <f>IFERROR(__xludf.DUMMYFUNCTION("""COMPUTED_VALUE"""),"GARCIA MICHAEL JETTS")</f>
        <v>GARCIA MICHAEL JETTS</v>
      </c>
      <c r="S9" s="1" t="str">
        <f>IFERROR(__xludf.DUMMYFUNCTION("""COMPUTED_VALUE"""),"ESPIRITU JULIE")</f>
        <v>ESPIRITU JULIE</v>
      </c>
      <c r="T9" s="1" t="str">
        <f>IFERROR(__xludf.DUMMYFUNCTION("""COMPUTED_VALUE"""),"SP6MONTHS")</f>
        <v>SP6MONTHS</v>
      </c>
      <c r="U9" s="1">
        <f>IFERROR(__xludf.DUMMYFUNCTION("""COMPUTED_VALUE"""),9102286968)</f>
        <v>9102286968</v>
      </c>
      <c r="V9" s="1"/>
      <c r="W9" s="1"/>
      <c r="X9" s="1" t="str">
        <f>IFERROR(__xludf.DUMMYFUNCTION("""COMPUTED_VALUE"""),"12 St")</f>
        <v>12 St</v>
      </c>
      <c r="Y9" s="1" t="str">
        <f>IFERROR(__xludf.DUMMYFUNCTION("""COMPUTED_VALUE"""),"PEARL RESIDENCES PHASE B")</f>
        <v>PEARL RESIDENCES PHASE B</v>
      </c>
      <c r="Z9" s="1" t="str">
        <f>IFERROR(__xludf.DUMMYFUNCTION("""COMPUTED_VALUE"""),"CAPIPISA")</f>
        <v>CAPIPISA</v>
      </c>
      <c r="AA9" s="1" t="str">
        <f>IFERROR(__xludf.DUMMYFUNCTION("""COMPUTED_VALUE"""),"TANZA")</f>
        <v>TANZA</v>
      </c>
      <c r="AB9" s="1" t="str">
        <f>IFERROR(__xludf.DUMMYFUNCTION("""COMPUTED_VALUE"""),"CVT6 LCP136 NP3/4")</f>
        <v>CVT6 LCP136 NP3/4</v>
      </c>
      <c r="AC9" s="1" t="str">
        <f>IFERROR(__xludf.DUMMYFUNCTION("""COMPUTED_VALUE"""),"120.47484422 / 14.213364308")</f>
        <v>120.47484422 / 14.213364308</v>
      </c>
    </row>
    <row r="10" customHeight="1" spans="1:29">
      <c r="A10" s="3">
        <f>IFERROR(__xludf.DUMMYFUNCTION("""COMPUTED_VALUE"""),46235)</f>
        <v>46235</v>
      </c>
      <c r="B10" s="1" t="str">
        <f>IFERROR(__xludf.DUMMYFUNCTION("""COMPUTED_VALUE"""),"FRANCISCO DE ROBLES NAZARENO")</f>
        <v>FRANCISCO DE ROBLES NAZARENO</v>
      </c>
      <c r="C10" s="1" t="str">
        <f>IFERROR(__xludf.DUMMYFUNCTION("""COMPUTED_VALUE"""),"RITM0304245")</f>
        <v>RITM0304245</v>
      </c>
      <c r="D10" s="1" t="str">
        <f>IFERROR(__xludf.DUMMYFUNCTION("""COMPUTED_VALUE"""),"CS1333658 / WO0898567")</f>
        <v>CS1333658 / WO0898567</v>
      </c>
      <c r="E10" s="1">
        <f>IFERROR(__xludf.DUMMYFUNCTION("""COMPUTED_VALUE"""),2387718368)</f>
        <v>2387718368</v>
      </c>
      <c r="F10" s="1" t="str">
        <f>IFERROR(__xludf.DUMMYFUNCTION("""COMPUTED_VALUE"""),"francis.dnazareno@gmail.com")</f>
        <v>francis.dnazareno@gmail.com</v>
      </c>
      <c r="G10" s="1" t="str">
        <f>IFERROR(__xludf.DUMMYFUNCTION("""COMPUTED_VALUE"""),"APPROVED")</f>
        <v>APPROVED</v>
      </c>
      <c r="H10" s="1" t="str">
        <f>IFERROR(__xludf.DUMMYFUNCTION("""COMPUTED_VALUE"""),"RWO - CANCEL APPLICATION
NOT INTERESTED, TALKED SOR")</f>
        <v>RWO - CANCEL APPLICATION
NOT INTERESTED, TALKED SOR</v>
      </c>
      <c r="I10" s="1"/>
      <c r="J10" s="1" t="str">
        <f>IFERROR(__xludf.DUMMYFUNCTION("""COMPUTED_VALUE"""),"SWITCHER PROMO - W/CPWF ")</f>
        <v>SWITCHER PROMO - W/CPWF </v>
      </c>
      <c r="K10" s="1"/>
      <c r="L10" s="1" t="str">
        <f>IFERROR(__xludf.DUMMYFUNCTION("""COMPUTED_VALUE"""),"CANCELLED - SUBS CANCEL REQUEST")</f>
        <v>CANCELLED - SUBS CANCEL REQUEST</v>
      </c>
      <c r="M10" s="1"/>
      <c r="N10" s="1" t="str">
        <f>IFERROR(__xludf.DUMMYFUNCTION("""COMPUTED_VALUE"""),"RED_RS_ONL_CVE_25")</f>
        <v>RED_RS_ONL_CVE_25</v>
      </c>
      <c r="O10" s="1" t="str">
        <f>IFERROR(__xludf.DUMMYFUNCTION("""COMPUTED_VALUE"""),"SWITCHER PLAN 1900")</f>
        <v>SWITCHER PLAN 1900</v>
      </c>
      <c r="P10" s="1" t="str">
        <f>IFERROR(__xludf.DUMMYFUNCTION("""COMPUTED_VALUE"""),"MMM018709")</f>
        <v>MMM018709</v>
      </c>
      <c r="Q10" s="1" t="str">
        <f>IFERROR(__xludf.DUMMYFUNCTION("""COMPUTED_VALUE"""),"KAWAUCHI, SHANE")</f>
        <v>KAWAUCHI, SHANE</v>
      </c>
      <c r="R10" s="1" t="str">
        <f>IFERROR(__xludf.DUMMYFUNCTION("""COMPUTED_VALUE"""),"GARCIA MICHAEL JETTS")</f>
        <v>GARCIA MICHAEL JETTS</v>
      </c>
      <c r="S10" s="1" t="str">
        <f>IFERROR(__xludf.DUMMYFUNCTION("""COMPUTED_VALUE"""),"ESPIRITU JULIE")</f>
        <v>ESPIRITU JULIE</v>
      </c>
      <c r="T10" s="1" t="str">
        <f>IFERROR(__xludf.DUMMYFUNCTION("""COMPUTED_VALUE"""),"SWITCHOFFER")</f>
        <v>SWITCHOFFER</v>
      </c>
      <c r="U10" s="1">
        <f>IFERROR(__xludf.DUMMYFUNCTION("""COMPUTED_VALUE"""),9276483340)</f>
        <v>9276483340</v>
      </c>
      <c r="V10" s="1"/>
      <c r="W10" s="1"/>
      <c r="X10" s="1" t="str">
        <f>IFERROR(__xludf.DUMMYFUNCTION("""COMPUTED_VALUE"""),"HENRY HOMES ST")</f>
        <v>HENRY HOMES ST</v>
      </c>
      <c r="Y10" s="1" t="str">
        <f>IFERROR(__xludf.DUMMYFUNCTION("""COMPUTED_VALUE"""),"HENRY HOMES ")</f>
        <v>HENRY HOMES </v>
      </c>
      <c r="Z10" s="1" t="str">
        <f>IFERROR(__xludf.DUMMYFUNCTION("""COMPUTED_VALUE"""),"AMAYA II")</f>
        <v>AMAYA II</v>
      </c>
      <c r="AA10" s="1" t="str">
        <f>IFERROR(__xludf.DUMMYFUNCTION("""COMPUTED_VALUE"""),"TANZA")</f>
        <v>TANZA</v>
      </c>
      <c r="AB10" s="1" t="str">
        <f>IFERROR(__xludf.DUMMYFUNCTION("""COMPUTED_VALUE"""),"CVT 6 LCP220 NP3/4/5/6")</f>
        <v>CVT 6 LCP220 NP3/4/5/6</v>
      </c>
      <c r="AC10" s="1" t="str">
        <f>IFERROR(__xludf.DUMMYFUNCTION("""COMPUTED_VALUE""")," 120.834374 / 14.377784")</f>
        <v> 120.834374 / 14.377784</v>
      </c>
    </row>
    <row r="11" customHeight="1" spans="1:29">
      <c r="A11" s="3">
        <f>IFERROR(__xludf.DUMMYFUNCTION("""COMPUTED_VALUE"""),46235)</f>
        <v>46235</v>
      </c>
      <c r="B11" s="1" t="str">
        <f>IFERROR(__xludf.DUMMYFUNCTION("""COMPUTED_VALUE"""),"JAINA HAMOR BANATE")</f>
        <v>JAINA HAMOR BANATE</v>
      </c>
      <c r="C11" s="1" t="str">
        <f>IFERROR(__xludf.DUMMYFUNCTION("""COMPUTED_VALUE"""),"RITM0304259
")</f>
        <v>RITM0304259
</v>
      </c>
      <c r="D11" s="1" t="str">
        <f>IFERROR(__xludf.DUMMYFUNCTION("""COMPUTED_VALUE"""),"CS1333904 / WO0903400")</f>
        <v>CS1333904 / WO0903400</v>
      </c>
      <c r="E11" s="1">
        <f>IFERROR(__xludf.DUMMYFUNCTION("""COMPUTED_VALUE"""),5374967986)</f>
        <v>5374967986</v>
      </c>
      <c r="F11" s="1" t="str">
        <f>IFERROR(__xludf.DUMMYFUNCTION("""COMPUTED_VALUE"""),"nicky.banate07@gmail.com")</f>
        <v>nicky.banate07@gmail.com</v>
      </c>
      <c r="G11" s="1" t="str">
        <f>IFERROR(__xludf.DUMMYFUNCTION("""COMPUTED_VALUE"""),"CLOSED")</f>
        <v>CLOSED</v>
      </c>
      <c r="H11" s="1"/>
      <c r="I11" s="1"/>
      <c r="J11" s="1" t="str">
        <f>IFERROR(__xludf.DUMMYFUNCTION("""COMPUTED_VALUE"""),"PAID THRU GCASH REF 554472929 AUG 4")</f>
        <v>PAID THRU GCASH REF 554472929 AUG 4</v>
      </c>
      <c r="K11" s="1" t="str">
        <f>IFERROR(__xludf.DUMMYFUNCTION("""COMPUTED_VALUE"""),"PAID")</f>
        <v>PAID</v>
      </c>
      <c r="L11" s="1" t="str">
        <f>IFERROR(__xludf.DUMMYFUNCTION("""COMPUTED_VALUE"""),"POSTED")</f>
        <v>POSTED</v>
      </c>
      <c r="M11" s="1" t="str">
        <f>IFERROR(__xludf.DUMMYFUNCTION("""COMPUTED_VALUE"""),"8/6/2026")</f>
        <v>8/6/2026</v>
      </c>
      <c r="N11" s="1" t="str">
        <f>IFERROR(__xludf.DUMMYFUNCTION("""COMPUTED_VALUE"""),"RED_RS_ONL_CVE_25")</f>
        <v>RED_RS_ONL_CVE_25</v>
      </c>
      <c r="O11" s="1" t="str">
        <f>IFERROR(__xludf.DUMMYFUNCTION("""COMPUTED_VALUE"""),"RED FIBR 1000")</f>
        <v>RED FIBR 1000</v>
      </c>
      <c r="P11" s="1" t="str">
        <f>IFERROR(__xludf.DUMMYFUNCTION("""COMPUTED_VALUE"""),"MMM018712")</f>
        <v>MMM018712</v>
      </c>
      <c r="Q11" s="1" t="str">
        <f>IFERROR(__xludf.DUMMYFUNCTION("""COMPUTED_VALUE"""),"YOLANGCO, JOJO")</f>
        <v>YOLANGCO, JOJO</v>
      </c>
      <c r="R11" s="1" t="str">
        <f>IFERROR(__xludf.DUMMYFUNCTION("""COMPUTED_VALUE"""),"GARCIA MICHAEL JETTS")</f>
        <v>GARCIA MICHAEL JETTS</v>
      </c>
      <c r="S11" s="1" t="str">
        <f>IFERROR(__xludf.DUMMYFUNCTION("""COMPUTED_VALUE"""),"ESPIRITU JULIE")</f>
        <v>ESPIRITU JULIE</v>
      </c>
      <c r="T11" s="1" t="str">
        <f>IFERROR(__xludf.DUMMYFUNCTION("""COMPUTED_VALUE"""),"SP6MONTHS")</f>
        <v>SP6MONTHS</v>
      </c>
      <c r="U11" s="1">
        <f>IFERROR(__xludf.DUMMYFUNCTION("""COMPUTED_VALUE"""),9944164045)</f>
        <v>9944164045</v>
      </c>
      <c r="V11" s="1"/>
      <c r="W11" s="1"/>
      <c r="X11" s="1" t="str">
        <f>IFERROR(__xludf.DUMMYFUNCTION("""COMPUTED_VALUE"""),"ISTANA RD")</f>
        <v>ISTANA RD</v>
      </c>
      <c r="Y11" s="1" t="str">
        <f>IFERROR(__xludf.DUMMYFUNCTION("""COMPUTED_VALUE"""),"ISTANA SUBDIVISION")</f>
        <v>ISTANA SUBDIVISION</v>
      </c>
      <c r="Z11" s="1" t="str">
        <f>IFERROR(__xludf.DUMMYFUNCTION("""COMPUTED_VALUE"""),"AMAYA II")</f>
        <v>AMAYA II</v>
      </c>
      <c r="AA11" s="1" t="str">
        <f>IFERROR(__xludf.DUMMYFUNCTION("""COMPUTED_VALUE"""),"TANZA")</f>
        <v>TANZA</v>
      </c>
      <c r="AB11" s="1" t="str">
        <f>IFERROR(__xludf.DUMMYFUNCTION("""COMPUTED_VALUE"""),"CVT4 LCP61 NP1/2")</f>
        <v>CVT4 LCP61 NP1/2</v>
      </c>
      <c r="AC11" s="1" t="str">
        <f>IFERROR(__xludf.DUMMYFUNCTION("""COMPUTED_VALUE"""),"120.501193124 / 14.222384964")</f>
        <v>120.501193124 / 14.222384964</v>
      </c>
    </row>
    <row r="12" customHeight="1" spans="1:29">
      <c r="A12" s="3">
        <f>IFERROR(__xludf.DUMMYFUNCTION("""COMPUTED_VALUE"""),46235)</f>
        <v>46235</v>
      </c>
      <c r="B12" s="1" t="str">
        <f>IFERROR(__xludf.DUMMYFUNCTION("""COMPUTED_VALUE"""),"CRISTOPHER BACIO MORENO")</f>
        <v>CRISTOPHER BACIO MORENO</v>
      </c>
      <c r="C12" s="1" t="str">
        <f>IFERROR(__xludf.DUMMYFUNCTION("""COMPUTED_VALUE"""),"RITM0304271")</f>
        <v>RITM0304271</v>
      </c>
      <c r="D12" s="1" t="str">
        <f>IFERROR(__xludf.DUMMYFUNCTION("""COMPUTED_VALUE"""),"CS1333696 / WO0898590")</f>
        <v>CS1333696 / WO0898590</v>
      </c>
      <c r="E12" s="1">
        <f>IFERROR(__xludf.DUMMYFUNCTION("""COMPUTED_VALUE"""),1515116133)</f>
        <v>1515116133</v>
      </c>
      <c r="F12" s="1" t="str">
        <f>IFERROR(__xludf.DUMMYFUNCTION("""COMPUTED_VALUE"""),"cristophermoreno1976@gmail.com")</f>
        <v>cristophermoreno1976@gmail.com</v>
      </c>
      <c r="G12" s="1" t="str">
        <f>IFERROR(__xludf.DUMMYFUNCTION("""COMPUTED_VALUE"""),"CLOSED")</f>
        <v>CLOSED</v>
      </c>
      <c r="H12" s="1"/>
      <c r="I12" s="1"/>
      <c r="J12" s="1" t="str">
        <f>IFERROR(__xludf.DUMMYFUNCTION("""COMPUTED_VALUE"""),"SWITCHER PROMO")</f>
        <v>SWITCHER PROMO</v>
      </c>
      <c r="K12" s="1"/>
      <c r="L12" s="1" t="str">
        <f>IFERROR(__xludf.DUMMYFUNCTION("""COMPUTED_VALUE"""),"POSTED")</f>
        <v>POSTED</v>
      </c>
      <c r="M12" s="1" t="str">
        <f>IFERROR(__xludf.DUMMYFUNCTION("""COMPUTED_VALUE"""),"8/3/2026")</f>
        <v>8/3/2026</v>
      </c>
      <c r="N12" s="1" t="str">
        <f>IFERROR(__xludf.DUMMYFUNCTION("""COMPUTED_VALUE"""),"RED_RS_ONL_CVE_25")</f>
        <v>RED_RS_ONL_CVE_25</v>
      </c>
      <c r="O12" s="1" t="str">
        <f>IFERROR(__xludf.DUMMYFUNCTION("""COMPUTED_VALUE"""),"SWITCHER PLAN 900")</f>
        <v>SWITCHER PLAN 900</v>
      </c>
      <c r="P12" s="1" t="str">
        <f>IFERROR(__xludf.DUMMYFUNCTION("""COMPUTED_VALUE"""),"MMM018711")</f>
        <v>MMM018711</v>
      </c>
      <c r="Q12" s="1" t="str">
        <f>IFERROR(__xludf.DUMMYFUNCTION("""COMPUTED_VALUE"""),"DEL ROSARIO. MIGGY LENARD")</f>
        <v>DEL ROSARIO. MIGGY LENARD</v>
      </c>
      <c r="R12" s="1" t="str">
        <f>IFERROR(__xludf.DUMMYFUNCTION("""COMPUTED_VALUE"""),"GARCIA MICHAEL JETTS")</f>
        <v>GARCIA MICHAEL JETTS</v>
      </c>
      <c r="S12" s="1" t="str">
        <f>IFERROR(__xludf.DUMMYFUNCTION("""COMPUTED_VALUE"""),"ESPIRITU JULIE")</f>
        <v>ESPIRITU JULIE</v>
      </c>
      <c r="T12" s="1" t="str">
        <f>IFERROR(__xludf.DUMMYFUNCTION("""COMPUTED_VALUE"""),"SWITCHOFFER")</f>
        <v>SWITCHOFFER</v>
      </c>
      <c r="U12" s="1">
        <f>IFERROR(__xludf.DUMMYFUNCTION("""COMPUTED_VALUE"""),9267277968)</f>
        <v>9267277968</v>
      </c>
      <c r="V12" s="1"/>
      <c r="W12" s="1"/>
      <c r="X12" s="1" t="str">
        <f>IFERROR(__xludf.DUMMYFUNCTION("""COMPUTED_VALUE"""),"PHASE 1 ST")</f>
        <v>PHASE 1 ST</v>
      </c>
      <c r="Y12" s="1" t="str">
        <f>IFERROR(__xludf.DUMMYFUNCTION("""COMPUTED_VALUE"""),"HENRY HOMES SUBDIVISION")</f>
        <v>HENRY HOMES SUBDIVISION</v>
      </c>
      <c r="Z12" s="1" t="str">
        <f>IFERROR(__xludf.DUMMYFUNCTION("""COMPUTED_VALUE"""),"AMAYA II")</f>
        <v>AMAYA II</v>
      </c>
      <c r="AA12" s="1" t="str">
        <f>IFERROR(__xludf.DUMMYFUNCTION("""COMPUTED_VALUE"""),"TANZA")</f>
        <v>TANZA</v>
      </c>
      <c r="AB12" s="1" t="str">
        <f>IFERROR(__xludf.DUMMYFUNCTION("""COMPUTED_VALUE"""),"CVT 6 LCP220 NP3/4/5/6")</f>
        <v>CVT 6 LCP220 NP3/4/5/6</v>
      </c>
      <c r="AC12" s="1" t="str">
        <f>IFERROR(__xludf.DUMMYFUNCTION("""COMPUTED_VALUE""")," 120.834917 / 14.379140")</f>
        <v> 120.834917 / 14.379140</v>
      </c>
    </row>
    <row r="13" customHeight="1" spans="1:29">
      <c r="A13" s="3">
        <f>IFERROR(__xludf.DUMMYFUNCTION("""COMPUTED_VALUE"""),46235)</f>
        <v>46235</v>
      </c>
      <c r="B13" s="1" t="str">
        <f>IFERROR(__xludf.DUMMYFUNCTION("""COMPUTED_VALUE"""),"HERMINIA TIBAYAN CREUS")</f>
        <v>HERMINIA TIBAYAN CREUS</v>
      </c>
      <c r="C13" s="1" t="str">
        <f>IFERROR(__xludf.DUMMYFUNCTION("""COMPUTED_VALUE"""),"RITM0304285")</f>
        <v>RITM0304285</v>
      </c>
      <c r="D13" s="1" t="str">
        <f>IFERROR(__xludf.DUMMYFUNCTION("""COMPUTED_VALUE"""),"CS1333832 / WO0898708")</f>
        <v>CS1333832 / WO0898708</v>
      </c>
      <c r="E13" s="1">
        <f>IFERROR(__xludf.DUMMYFUNCTION("""COMPUTED_VALUE"""),9253137442)</f>
        <v>9253137442</v>
      </c>
      <c r="F13" s="1" t="str">
        <f>IFERROR(__xludf.DUMMYFUNCTION("""COMPUTED_VALUE"""),"margiecreus8@gmail.com")</f>
        <v>margiecreus8@gmail.com</v>
      </c>
      <c r="G13" s="1" t="str">
        <f>IFERROR(__xludf.DUMMYFUNCTION("""COMPUTED_VALUE"""),"CLOSED")</f>
        <v>CLOSED</v>
      </c>
      <c r="H13" s="1"/>
      <c r="I13" s="1"/>
      <c r="J13" s="1" t="str">
        <f>IFERROR(__xludf.DUMMYFUNCTION("""COMPUTED_VALUE"""),"PAID THRU GCASH REF 948044151 AUG 2")</f>
        <v>PAID THRU GCASH REF 948044151 AUG 2</v>
      </c>
      <c r="K13" s="1" t="str">
        <f>IFERROR(__xludf.DUMMYFUNCTION("""COMPUTED_VALUE"""),"PAID")</f>
        <v>PAID</v>
      </c>
      <c r="L13" s="1" t="str">
        <f>IFERROR(__xludf.DUMMYFUNCTION("""COMPUTED_VALUE"""),"POSTED")</f>
        <v>POSTED</v>
      </c>
      <c r="M13" s="1" t="str">
        <f>IFERROR(__xludf.DUMMYFUNCTION("""COMPUTED_VALUE"""),"8/15/2026")</f>
        <v>8/15/2026</v>
      </c>
      <c r="N13" s="1" t="str">
        <f>IFERROR(__xludf.DUMMYFUNCTION("""COMPUTED_VALUE"""),"RED_RS_HH_CVE_25")</f>
        <v>RED_RS_HH_CVE_25</v>
      </c>
      <c r="O13" s="1" t="str">
        <f>IFERROR(__xludf.DUMMYFUNCTION("""COMPUTED_VALUE"""),"RED FIBR 1000")</f>
        <v>RED FIBR 1000</v>
      </c>
      <c r="P13" s="1" t="str">
        <f>IFERROR(__xludf.DUMMYFUNCTION("""COMPUTED_VALUE"""),"MMM018713")</f>
        <v>MMM018713</v>
      </c>
      <c r="Q13" s="1" t="str">
        <f>IFERROR(__xludf.DUMMYFUNCTION("""COMPUTED_VALUE"""),"MAGDARAOG, KENNETH")</f>
        <v>MAGDARAOG, KENNETH</v>
      </c>
      <c r="R13" s="1" t="str">
        <f>IFERROR(__xludf.DUMMYFUNCTION("""COMPUTED_VALUE"""),"REMOLLO LEA")</f>
        <v>REMOLLO LEA</v>
      </c>
      <c r="S13" s="1" t="str">
        <f>IFERROR(__xludf.DUMMYFUNCTION("""COMPUTED_VALUE"""),"ESPIRITU JULIE")</f>
        <v>ESPIRITU JULIE</v>
      </c>
      <c r="T13" s="1" t="str">
        <f>IFERROR(__xludf.DUMMYFUNCTION("""COMPUTED_VALUE"""),"SP6MONTHS")</f>
        <v>SP6MONTHS</v>
      </c>
      <c r="U13" s="1">
        <f>IFERROR(__xludf.DUMMYFUNCTION("""COMPUTED_VALUE"""),9657401067)</f>
        <v>9657401067</v>
      </c>
      <c r="V13" s="1"/>
      <c r="W13" s="1">
        <f>IFERROR(__xludf.DUMMYFUNCTION("""COMPUTED_VALUE"""),617)</f>
        <v>617</v>
      </c>
      <c r="X13" s="1" t="str">
        <f>IFERROR(__xludf.DUMMYFUNCTION("""COMPUTED_VALUE"""),"MABINI ST")</f>
        <v>MABINI ST</v>
      </c>
      <c r="Y13" s="1"/>
      <c r="Z13" s="1" t="str">
        <f>IFERROR(__xludf.DUMMYFUNCTION("""COMPUTED_VALUE"""),"POBLACION VI (BARANGAY VI)")</f>
        <v>POBLACION VI (BARANGAY VI)</v>
      </c>
      <c r="AA13" s="1" t="str">
        <f>IFERROR(__xludf.DUMMYFUNCTION("""COMPUTED_VALUE"""),"MENDEZ")</f>
        <v>MENDEZ</v>
      </c>
      <c r="AB13" s="1" t="str">
        <f>IFERROR(__xludf.DUMMYFUNCTION("""COMPUTED_VALUE"""),"CVT2 LCP59 NP1 CVT2 LCP60 NP1")</f>
        <v>CVT2 LCP59 NP1 CVT2 LCP60 NP1</v>
      </c>
      <c r="AC13" s="1" t="str">
        <f>IFERROR(__xludf.DUMMYFUNCTION("""COMPUTED_VALUE""")," 120.904827 / 14.134525")</f>
        <v> 120.904827 / 14.134525</v>
      </c>
    </row>
    <row r="14" customHeight="1" spans="1:29">
      <c r="A14" s="3">
        <f>IFERROR(__xludf.DUMMYFUNCTION("""COMPUTED_VALUE"""),46236)</f>
        <v>46236</v>
      </c>
      <c r="B14" s="1" t="str">
        <f>IFERROR(__xludf.DUMMYFUNCTION("""COMPUTED_VALUE"""),"ELENA ANYAYAHAN BENITEZ")</f>
        <v>ELENA ANYAYAHAN BENITEZ</v>
      </c>
      <c r="C14" s="1" t="str">
        <f>IFERROR(__xludf.DUMMYFUNCTION("""COMPUTED_VALUE"""),"RITM0304365")</f>
        <v>RITM0304365</v>
      </c>
      <c r="D14" s="1"/>
      <c r="E14" s="1"/>
      <c r="F14" s="1" t="str">
        <f>IFERROR(__xludf.DUMMYFUNCTION("""COMPUTED_VALUE"""),"alexisbenitez1020@gmail.com")</f>
        <v>alexisbenitez1020@gmail.com</v>
      </c>
      <c r="G14" s="1" t="str">
        <f>IFERROR(__xludf.DUMMYFUNCTION("""COMPUTED_VALUE"""),"APPROVED")</f>
        <v>APPROVED</v>
      </c>
      <c r="H14" s="1"/>
      <c r="I14" s="1" t="str">
        <f>IFERROR(__xludf.DUMMYFUNCTION("""COMPUTED_VALUE"""),"NAGBAGO DAW PO ISIP NG ANAK AS PER AGENT BABALIKAN DAW PO NILA 8/13")</f>
        <v>NAGBAGO DAW PO ISIP NG ANAK AS PER AGENT BABALIKAN DAW PO NILA 8/13</v>
      </c>
      <c r="J14" s="1"/>
      <c r="K14" s="1"/>
      <c r="L14" s="1" t="str">
        <f>IFERROR(__xludf.DUMMYFUNCTION("""COMPUTED_VALUE"""),"CANCELLED - AGING")</f>
        <v>CANCELLED - AGING</v>
      </c>
      <c r="M14" s="1"/>
      <c r="N14" s="1" t="str">
        <f>IFERROR(__xludf.DUMMYFUNCTION("""COMPUTED_VALUE"""),"RED_RS_ONL_CVE_25")</f>
        <v>RED_RS_ONL_CVE_25</v>
      </c>
      <c r="O14" s="1" t="str">
        <f>IFERROR(__xludf.DUMMYFUNCTION("""COMPUTED_VALUE"""),"RED FIBR 1000")</f>
        <v>RED FIBR 1000</v>
      </c>
      <c r="P14" s="1" t="str">
        <f>IFERROR(__xludf.DUMMYFUNCTION("""COMPUTED_VALUE"""),"MMM018713")</f>
        <v>MMM018713</v>
      </c>
      <c r="Q14" s="1" t="str">
        <f>IFERROR(__xludf.DUMMYFUNCTION("""COMPUTED_VALUE"""),"LUCELLE, FRIAS - BATANGAS")</f>
        <v>LUCELLE, FRIAS - BATANGAS</v>
      </c>
      <c r="R14" s="1" t="str">
        <f>IFERROR(__xludf.DUMMYFUNCTION("""COMPUTED_VALUE"""),"CLARETE, GLIZIEL")</f>
        <v>CLARETE, GLIZIEL</v>
      </c>
      <c r="S14" s="1" t="str">
        <f>IFERROR(__xludf.DUMMYFUNCTION("""COMPUTED_VALUE"""),"ESPIRITU JULIE")</f>
        <v>ESPIRITU JULIE</v>
      </c>
      <c r="T14" s="1" t="str">
        <f>IFERROR(__xludf.DUMMYFUNCTION("""COMPUTED_VALUE"""),"SP6MONTHS")</f>
        <v>SP6MONTHS</v>
      </c>
      <c r="U14" s="1">
        <f>IFERROR(__xludf.DUMMYFUNCTION("""COMPUTED_VALUE"""),9695021485)</f>
        <v>9695021485</v>
      </c>
      <c r="V14" s="1"/>
      <c r="W14" s="1">
        <f>IFERROR(__xludf.DUMMYFUNCTION("""COMPUTED_VALUE"""),26)</f>
        <v>26</v>
      </c>
      <c r="X14" s="1" t="str">
        <f>IFERROR(__xludf.DUMMYFUNCTION("""COMPUTED_VALUE"""),"TINGA LABAK ROAD")</f>
        <v>TINGA LABAK ROAD</v>
      </c>
      <c r="Y14" s="1"/>
      <c r="Z14" s="1" t="str">
        <f>IFERROR(__xludf.DUMMYFUNCTION("""COMPUTED_VALUE"""),"TINGA LABAK")</f>
        <v>TINGA LABAK</v>
      </c>
      <c r="AA14" s="1" t="str">
        <f>IFERROR(__xludf.DUMMYFUNCTION("""COMPUTED_VALUE"""),"BATANGAS ")</f>
        <v>BATANGAS </v>
      </c>
      <c r="AB14" s="1" t="str">
        <f>IFERROR(__xludf.DUMMYFUNCTION("""COMPUTED_VALUE"""),"BCYLCP98NAP3/4")</f>
        <v>BCYLCP98NAP3/4</v>
      </c>
      <c r="AC14" s="1" t="str">
        <f>IFERROR(__xludf.DUMMYFUNCTION("""COMPUTED_VALUE""")," 121.080863 / 13.792448")</f>
        <v> 121.080863 / 13.792448</v>
      </c>
    </row>
    <row r="15" customHeight="1" spans="1:29">
      <c r="A15" s="3">
        <f>IFERROR(__xludf.DUMMYFUNCTION("""COMPUTED_VALUE"""),46236)</f>
        <v>46236</v>
      </c>
      <c r="B15" s="1" t="str">
        <f>IFERROR(__xludf.DUMMYFUNCTION("""COMPUTED_VALUE"""),"GARY SUSTAL ARANAS")</f>
        <v>GARY SUSTAL ARANAS</v>
      </c>
      <c r="C15" s="1" t="str">
        <f>IFERROR(__xludf.DUMMYFUNCTION("""COMPUTED_VALUE"""),"RITM0304378")</f>
        <v>RITM0304378</v>
      </c>
      <c r="D15" s="1" t="str">
        <f>IFERROR(__xludf.DUMMYFUNCTION("""COMPUTED_VALUE"""),"CS1333891 / WO0898752")</f>
        <v>CS1333891 / WO0898752</v>
      </c>
      <c r="E15" s="1">
        <f>IFERROR(__xludf.DUMMYFUNCTION("""COMPUTED_VALUE"""),9266245831)</f>
        <v>9266245831</v>
      </c>
      <c r="F15" s="1" t="str">
        <f>IFERROR(__xludf.DUMMYFUNCTION("""COMPUTED_VALUE"""),"syrieprodigalidad354@gmail.com")</f>
        <v>syrieprodigalidad354@gmail.com</v>
      </c>
      <c r="G15" s="1" t="str">
        <f>IFERROR(__xludf.DUMMYFUNCTION("""COMPUTED_VALUE"""),"CLOSED")</f>
        <v>CLOSED</v>
      </c>
      <c r="H15" s="1"/>
      <c r="I15" s="1"/>
      <c r="J15" s="1" t="str">
        <f>IFERROR(__xludf.DUMMYFUNCTION("""COMPUTED_VALUE"""),"PAID THRU GCASH REF 148026893 AUG 2")</f>
        <v>PAID THRU GCASH REF 148026893 AUG 2</v>
      </c>
      <c r="K15" s="1" t="str">
        <f>IFERROR(__xludf.DUMMYFUNCTION("""COMPUTED_VALUE"""),"PAID")</f>
        <v>PAID</v>
      </c>
      <c r="L15" s="1" t="str">
        <f>IFERROR(__xludf.DUMMYFUNCTION("""COMPUTED_VALUE"""),"POSTED")</f>
        <v>POSTED</v>
      </c>
      <c r="M15" s="1" t="str">
        <f>IFERROR(__xludf.DUMMYFUNCTION("""COMPUTED_VALUE"""),"8/3/2026")</f>
        <v>8/3/2026</v>
      </c>
      <c r="N15" s="1" t="str">
        <f>IFERROR(__xludf.DUMMYFUNCTION("""COMPUTED_VALUE"""),"RED_RS_ONL_CVE_25")</f>
        <v>RED_RS_ONL_CVE_25</v>
      </c>
      <c r="O15" s="1" t="str">
        <f>IFERROR(__xludf.DUMMYFUNCTION("""COMPUTED_VALUE"""),"RED FIBR 1000")</f>
        <v>RED FIBR 1000</v>
      </c>
      <c r="P15" s="1" t="str">
        <f>IFERROR(__xludf.DUMMYFUNCTION("""COMPUTED_VALUE"""),"MMM018711")</f>
        <v>MMM018711</v>
      </c>
      <c r="Q15" s="1" t="str">
        <f>IFERROR(__xludf.DUMMYFUNCTION("""COMPUTED_VALUE"""),"PEREZ. RONELL")</f>
        <v>PEREZ. RONELL</v>
      </c>
      <c r="R15" s="1" t="str">
        <f>IFERROR(__xludf.DUMMYFUNCTION("""COMPUTED_VALUE"""),"GARCIA MICHAEL JETTS")</f>
        <v>GARCIA MICHAEL JETTS</v>
      </c>
      <c r="S15" s="1" t="str">
        <f>IFERROR(__xludf.DUMMYFUNCTION("""COMPUTED_VALUE"""),"ESPIRITU JULIE")</f>
        <v>ESPIRITU JULIE</v>
      </c>
      <c r="T15" s="1" t="str">
        <f>IFERROR(__xludf.DUMMYFUNCTION("""COMPUTED_VALUE"""),"SP6MONTHS")</f>
        <v>SP6MONTHS</v>
      </c>
      <c r="U15" s="1">
        <f>IFERROR(__xludf.DUMMYFUNCTION("""COMPUTED_VALUE"""),9352588457)</f>
        <v>9352588457</v>
      </c>
      <c r="V15" s="1"/>
      <c r="W15" s="1">
        <f>IFERROR(__xludf.DUMMYFUNCTION("""COMPUTED_VALUE"""),273)</f>
        <v>273</v>
      </c>
      <c r="X15" s="1" t="str">
        <f>IFERROR(__xludf.DUMMYFUNCTION("""COMPUTED_VALUE"""),"SILANGAN ST")</f>
        <v>SILANGAN ST</v>
      </c>
      <c r="Y15" s="1"/>
      <c r="Z15" s="1" t="str">
        <f>IFERROR(__xludf.DUMMYFUNCTION("""COMPUTED_VALUE"""),"HALAYHAY")</f>
        <v>HALAYHAY</v>
      </c>
      <c r="AA15" s="1" t="str">
        <f>IFERROR(__xludf.DUMMYFUNCTION("""COMPUTED_VALUE"""),"TANZA")</f>
        <v>TANZA</v>
      </c>
      <c r="AB15" s="1" t="str">
        <f>IFERROR(__xludf.DUMMYFUNCTION("""COMPUTED_VALUE"""),"CVT6-L230N5-8")</f>
        <v>CVT6-L230N5-8</v>
      </c>
      <c r="AC15" s="1" t="str">
        <f>IFERROR(__xludf.DUMMYFUNCTION("""COMPUTED_VALUE""")," 120.812398 / 14.374387")</f>
        <v> 120.812398 / 14.374387</v>
      </c>
    </row>
    <row r="16" customHeight="1" spans="1:29">
      <c r="A16" s="3">
        <f>IFERROR(__xludf.DUMMYFUNCTION("""COMPUTED_VALUE"""),46236)</f>
        <v>46236</v>
      </c>
      <c r="B16" s="1" t="str">
        <f>IFERROR(__xludf.DUMMYFUNCTION("""COMPUTED_VALUE"""),"BERNALYN BONGCAWIL VERZOSA")</f>
        <v>BERNALYN BONGCAWIL VERZOSA</v>
      </c>
      <c r="C16" s="1" t="str">
        <f>IFERROR(__xludf.DUMMYFUNCTION("""COMPUTED_VALUE"""),"RITM0304382")</f>
        <v>RITM0304382</v>
      </c>
      <c r="D16" s="1"/>
      <c r="E16" s="1"/>
      <c r="F16" s="1" t="str">
        <f>IFERROR(__xludf.DUMMYFUNCTION("""COMPUTED_VALUE"""),"bernalynverzosa37@gmail.com
")</f>
        <v>bernalynverzosa37@gmail.com
</v>
      </c>
      <c r="G16" s="1" t="str">
        <f>IFERROR(__xludf.DUMMYFUNCTION("""COMPUTED_VALUE"""),"REJECTED")</f>
        <v>REJECTED</v>
      </c>
      <c r="H16" s="1"/>
      <c r="I16" s="1" t="str">
        <f>IFERROR(__xludf.DUMMYFUNCTION("""COMPUTED_VALUE"""),"DUE TO NO CLEAR IN UNIT ADDRESS, PLEASE PROVIDE CLEAR COPY OF SOA")</f>
        <v>DUE TO NO CLEAR IN UNIT ADDRESS, PLEASE PROVIDE CLEAR COPY OF SOA</v>
      </c>
      <c r="J16" s="1"/>
      <c r="K16" s="1"/>
      <c r="L16" s="1" t="str">
        <f>IFERROR(__xludf.DUMMYFUNCTION("""COMPUTED_VALUE"""),"DISAPPROVED - UNCLEAR DOCS")</f>
        <v>DISAPPROVED - UNCLEAR DOCS</v>
      </c>
      <c r="M16" s="1"/>
      <c r="N16" s="1" t="str">
        <f>IFERROR(__xludf.DUMMYFUNCTION("""COMPUTED_VALUE"""),"RED_RS_ONL_CVE_25")</f>
        <v>RED_RS_ONL_CVE_25</v>
      </c>
      <c r="O16" s="1" t="str">
        <f>IFERROR(__xludf.DUMMYFUNCTION("""COMPUTED_VALUE"""),"SWITCHER PLAN 900")</f>
        <v>SWITCHER PLAN 900</v>
      </c>
      <c r="P16" s="1" t="str">
        <f>IFERROR(__xludf.DUMMYFUNCTION("""COMPUTED_VALUE"""),"MMM018711")</f>
        <v>MMM018711</v>
      </c>
      <c r="Q16" s="1" t="str">
        <f>IFERROR(__xludf.DUMMYFUNCTION("""COMPUTED_VALUE"""),"BONZA, LEE VINCENT")</f>
        <v>BONZA, LEE VINCENT</v>
      </c>
      <c r="R16" s="1" t="str">
        <f>IFERROR(__xludf.DUMMYFUNCTION("""COMPUTED_VALUE"""),"GARCIA MICHAEL JETTS")</f>
        <v>GARCIA MICHAEL JETTS</v>
      </c>
      <c r="S16" s="1" t="str">
        <f>IFERROR(__xludf.DUMMYFUNCTION("""COMPUTED_VALUE"""),"ESPIRITU JULIE")</f>
        <v>ESPIRITU JULIE</v>
      </c>
      <c r="T16" s="1" t="str">
        <f>IFERROR(__xludf.DUMMYFUNCTION("""COMPUTED_VALUE"""),"SWITCHOFFER")</f>
        <v>SWITCHOFFER</v>
      </c>
      <c r="U16" s="1">
        <f>IFERROR(__xludf.DUMMYFUNCTION("""COMPUTED_VALUE"""),9497844450)</f>
        <v>9497844450</v>
      </c>
      <c r="V16" s="1"/>
      <c r="W16" s="1"/>
      <c r="X16" s="1" t="str">
        <f>IFERROR(__xludf.DUMMYFUNCTION("""COMPUTED_VALUE"""),"PHASE A")</f>
        <v>PHASE A</v>
      </c>
      <c r="Y16" s="1" t="str">
        <f>IFERROR(__xludf.DUMMYFUNCTION("""COMPUTED_VALUE"""),"ISTANA SUBDIVISION")</f>
        <v>ISTANA SUBDIVISION</v>
      </c>
      <c r="Z16" s="1" t="str">
        <f>IFERROR(__xludf.DUMMYFUNCTION("""COMPUTED_VALUE"""),"AMAYA II")</f>
        <v>AMAYA II</v>
      </c>
      <c r="AA16" s="1" t="str">
        <f>IFERROR(__xludf.DUMMYFUNCTION("""COMPUTED_VALUE"""),"TANZA")</f>
        <v>TANZA</v>
      </c>
      <c r="AB16" s="1" t="str">
        <f>IFERROR(__xludf.DUMMYFUNCTION("""COMPUTED_VALUE"""),"CVT4 LCP59 NP3/4/5/6")</f>
        <v>CVT4 LCP59 NP3/4/5/6</v>
      </c>
      <c r="AC16" s="1" t="str">
        <f>IFERROR(__xludf.DUMMYFUNCTION("""COMPUTED_VALUE""")," 120.836881 / 14.373864")</f>
        <v> 120.836881 / 14.373864</v>
      </c>
    </row>
    <row r="17" customHeight="1" spans="1:29">
      <c r="A17" s="3">
        <f>IFERROR(__xludf.DUMMYFUNCTION("""COMPUTED_VALUE"""),46236)</f>
        <v>46236</v>
      </c>
      <c r="B17" s="1" t="str">
        <f>IFERROR(__xludf.DUMMYFUNCTION("""COMPUTED_VALUE"""),"JACQUELINE NICOLE FLORDELIZA CESA")</f>
        <v>JACQUELINE NICOLE FLORDELIZA CESA</v>
      </c>
      <c r="C17" s="1" t="str">
        <f>IFERROR(__xludf.DUMMYFUNCTION("""COMPUTED_VALUE"""),"RITM0304392")</f>
        <v>RITM0304392</v>
      </c>
      <c r="D17" s="1" t="str">
        <f>IFERROR(__xludf.DUMMYFUNCTION("""COMPUTED_VALUE"""),"CS1333952 / WO0898787")</f>
        <v>CS1333952 / WO0898787</v>
      </c>
      <c r="E17" s="1">
        <f>IFERROR(__xludf.DUMMYFUNCTION("""COMPUTED_VALUE"""),5183113891)</f>
        <v>5183113891</v>
      </c>
      <c r="F17" s="1" t="str">
        <f>IFERROR(__xludf.DUMMYFUNCTION("""COMPUTED_VALUE"""),"nicoleflordeliza1325@gmail.com")</f>
        <v>nicoleflordeliza1325@gmail.com</v>
      </c>
      <c r="G17" s="1" t="str">
        <f>IFERROR(__xludf.DUMMYFUNCTION("""COMPUTED_VALUE"""),"CLOSED")</f>
        <v>CLOSED</v>
      </c>
      <c r="H17" s="1"/>
      <c r="I17" s="1"/>
      <c r="J17" s="1" t="str">
        <f>IFERROR(__xludf.DUMMYFUNCTION("""COMPUTED_VALUE"""),"PAID THRU GCASH REF 089007187 AUG 2 ")</f>
        <v>PAID THRU GCASH REF 089007187 AUG 2 </v>
      </c>
      <c r="K17" s="1" t="str">
        <f>IFERROR(__xludf.DUMMYFUNCTION("""COMPUTED_VALUE"""),"PAID")</f>
        <v>PAID</v>
      </c>
      <c r="L17" s="1" t="str">
        <f>IFERROR(__xludf.DUMMYFUNCTION("""COMPUTED_VALUE"""),"POSTED")</f>
        <v>POSTED</v>
      </c>
      <c r="M17" s="1" t="str">
        <f>IFERROR(__xludf.DUMMYFUNCTION("""COMPUTED_VALUE"""),"8/3/2026")</f>
        <v>8/3/2026</v>
      </c>
      <c r="N17" s="1" t="str">
        <f>IFERROR(__xludf.DUMMYFUNCTION("""COMPUTED_VALUE"""),"RED_RS_ONL_CVE_25")</f>
        <v>RED_RS_ONL_CVE_25</v>
      </c>
      <c r="O17" s="1" t="str">
        <f>IFERROR(__xludf.DUMMYFUNCTION("""COMPUTED_VALUE"""),"RED FIBR 1400")</f>
        <v>RED FIBR 1400</v>
      </c>
      <c r="P17" s="1" t="str">
        <f>IFERROR(__xludf.DUMMYFUNCTION("""COMPUTED_VALUE"""),"MMM018711")</f>
        <v>MMM018711</v>
      </c>
      <c r="Q17" s="1" t="str">
        <f>IFERROR(__xludf.DUMMYFUNCTION("""COMPUTED_VALUE"""),"BONZA, LEE VINCENT")</f>
        <v>BONZA, LEE VINCENT</v>
      </c>
      <c r="R17" s="1" t="str">
        <f>IFERROR(__xludf.DUMMYFUNCTION("""COMPUTED_VALUE"""),"GARCIA MICHAEL JETTS")</f>
        <v>GARCIA MICHAEL JETTS</v>
      </c>
      <c r="S17" s="1" t="str">
        <f>IFERROR(__xludf.DUMMYFUNCTION("""COMPUTED_VALUE"""),"ESPIRITU JULIE")</f>
        <v>ESPIRITU JULIE</v>
      </c>
      <c r="T17" s="1" t="str">
        <f>IFERROR(__xludf.DUMMYFUNCTION("""COMPUTED_VALUE"""),"SP6MONTHS")</f>
        <v>SP6MONTHS</v>
      </c>
      <c r="U17" s="1">
        <f>IFERROR(__xludf.DUMMYFUNCTION("""COMPUTED_VALUE"""),9652455675)</f>
        <v>9652455675</v>
      </c>
      <c r="V17" s="1"/>
      <c r="W17" s="1"/>
      <c r="X17" s="1" t="str">
        <f>IFERROR(__xludf.DUMMYFUNCTION("""COMPUTED_VALUE"""),"3RD ST")</f>
        <v>3RD ST</v>
      </c>
      <c r="Y17" s="1" t="str">
        <f>IFERROR(__xludf.DUMMYFUNCTION("""COMPUTED_VALUE"""),"BUENSUCESO HOMES")</f>
        <v>BUENSUCESO HOMES</v>
      </c>
      <c r="Z17" s="1" t="str">
        <f>IFERROR(__xludf.DUMMYFUNCTION("""COMPUTED_VALUE"""),"BIWAS")</f>
        <v>BIWAS</v>
      </c>
      <c r="AA17" s="1" t="str">
        <f>IFERROR(__xludf.DUMMYFUNCTION("""COMPUTED_VALUE"""),"TANZA")</f>
        <v>TANZA</v>
      </c>
      <c r="AB17" s="1" t="str">
        <f>IFERROR(__xludf.DUMMYFUNCTION("""COMPUTED_VALUE"""),"CVT6 LCP211 NP1/2/3/4")</f>
        <v>CVT6 LCP211 NP1/2/3/4</v>
      </c>
      <c r="AC17" s="1" t="str">
        <f>IFERROR(__xludf.DUMMYFUNCTION("""COMPUTED_VALUE""")," 120.851832 / 14.401478")</f>
        <v> 120.851832 / 14.401478</v>
      </c>
    </row>
    <row r="18" customHeight="1" spans="1:29">
      <c r="A18" s="3">
        <f>IFERROR(__xludf.DUMMYFUNCTION("""COMPUTED_VALUE"""),46236)</f>
        <v>46236</v>
      </c>
      <c r="B18" s="1" t="str">
        <f>IFERROR(__xludf.DUMMYFUNCTION("""COMPUTED_VALUE"""),"JOHN WYNE IÑEGO MONTER")</f>
        <v>JOHN WYNE IÑEGO MONTER</v>
      </c>
      <c r="C18" s="1" t="str">
        <f>IFERROR(__xludf.DUMMYFUNCTION("""COMPUTED_VALUE"""),"RITM0304402")</f>
        <v>RITM0304402</v>
      </c>
      <c r="D18" s="1" t="str">
        <f>IFERROR(__xludf.DUMMYFUNCTION("""COMPUTED_VALUE"""),"CS1333941 / WO0898887")</f>
        <v>CS1333941 / WO0898887</v>
      </c>
      <c r="E18" s="1">
        <f>IFERROR(__xludf.DUMMYFUNCTION("""COMPUTED_VALUE"""),8314777482)</f>
        <v>8314777482</v>
      </c>
      <c r="F18" s="1" t="str">
        <f>IFERROR(__xludf.DUMMYFUNCTION("""COMPUTED_VALUE"""),"monterweng@gmail.com")</f>
        <v>monterweng@gmail.com</v>
      </c>
      <c r="G18" s="1" t="str">
        <f>IFERROR(__xludf.DUMMYFUNCTION("""COMPUTED_VALUE"""),"CLOSED")</f>
        <v>CLOSED</v>
      </c>
      <c r="H18" s="1"/>
      <c r="I18" s="1"/>
      <c r="J18" s="1" t="str">
        <f>IFERROR(__xludf.DUMMYFUNCTION("""COMPUTED_VALUE"""),"PAID THRU GCASH REF 749772754 AUG 3")</f>
        <v>PAID THRU GCASH REF 749772754 AUG 3</v>
      </c>
      <c r="K18" s="1" t="str">
        <f>IFERROR(__xludf.DUMMYFUNCTION("""COMPUTED_VALUE"""),"PAID")</f>
        <v>PAID</v>
      </c>
      <c r="L18" s="1" t="str">
        <f>IFERROR(__xludf.DUMMYFUNCTION("""COMPUTED_VALUE"""),"POSTED")</f>
        <v>POSTED</v>
      </c>
      <c r="M18" s="1" t="str">
        <f>IFERROR(__xludf.DUMMYFUNCTION("""COMPUTED_VALUE"""),"8/3/2026")</f>
        <v>8/3/2026</v>
      </c>
      <c r="N18" s="1" t="str">
        <f>IFERROR(__xludf.DUMMYFUNCTION("""COMPUTED_VALUE"""),"RED_RS_ONL_CVE_25")</f>
        <v>RED_RS_ONL_CVE_25</v>
      </c>
      <c r="O18" s="1" t="str">
        <f>IFERROR(__xludf.DUMMYFUNCTION("""COMPUTED_VALUE"""),"RED FIBR 1000")</f>
        <v>RED FIBR 1000</v>
      </c>
      <c r="P18" s="1" t="str">
        <f>IFERROR(__xludf.DUMMYFUNCTION("""COMPUTED_VALUE"""),"MMM018709")</f>
        <v>MMM018709</v>
      </c>
      <c r="Q18" s="1" t="str">
        <f>IFERROR(__xludf.DUMMYFUNCTION("""COMPUTED_VALUE"""),"MORADOS, MARVIN")</f>
        <v>MORADOS, MARVIN</v>
      </c>
      <c r="R18" s="1" t="str">
        <f>IFERROR(__xludf.DUMMYFUNCTION("""COMPUTED_VALUE"""),"GARCIA MICHAEL JETTS")</f>
        <v>GARCIA MICHAEL JETTS</v>
      </c>
      <c r="S18" s="1" t="str">
        <f>IFERROR(__xludf.DUMMYFUNCTION("""COMPUTED_VALUE"""),"ESPIRITU JULIE")</f>
        <v>ESPIRITU JULIE</v>
      </c>
      <c r="T18" s="1" t="str">
        <f>IFERROR(__xludf.DUMMYFUNCTION("""COMPUTED_VALUE"""),"SP6MONTHS")</f>
        <v>SP6MONTHS</v>
      </c>
      <c r="U18" s="1">
        <f>IFERROR(__xludf.DUMMYFUNCTION("""COMPUTED_VALUE"""),9457288710)</f>
        <v>9457288710</v>
      </c>
      <c r="V18" s="1"/>
      <c r="W18" s="1"/>
      <c r="X18" s="1" t="str">
        <f>IFERROR(__xludf.DUMMYFUNCTION("""COMPUTED_VALUE"""),"PHASE A")</f>
        <v>PHASE A</v>
      </c>
      <c r="Y18" s="1" t="str">
        <f>IFERROR(__xludf.DUMMYFUNCTION("""COMPUTED_VALUE"""),"ISTANA SUBDIVISION")</f>
        <v>ISTANA SUBDIVISION</v>
      </c>
      <c r="Z18" s="1" t="str">
        <f>IFERROR(__xludf.DUMMYFUNCTION("""COMPUTED_VALUE"""),"AMAYA II")</f>
        <v>AMAYA II</v>
      </c>
      <c r="AA18" s="1" t="str">
        <f>IFERROR(__xludf.DUMMYFUNCTION("""COMPUTED_VALUE"""),"TANZA")</f>
        <v>TANZA</v>
      </c>
      <c r="AB18" s="1" t="str">
        <f>IFERROR(__xludf.DUMMYFUNCTION("""COMPUTED_VALUE"""),"CVT4 LCP59 NP3/4/5/6")</f>
        <v>CVT4 LCP59 NP3/4/5/6</v>
      </c>
      <c r="AC18" s="1" t="str">
        <f>IFERROR(__xludf.DUMMYFUNCTION("""COMPUTED_VALUE""")," 120.836668 / 14.373751")</f>
        <v> 120.836668 / 14.373751</v>
      </c>
    </row>
    <row r="19" customHeight="1" spans="1:29">
      <c r="A19" s="3">
        <f>IFERROR(__xludf.DUMMYFUNCTION("""COMPUTED_VALUE"""),46236)</f>
        <v>46236</v>
      </c>
      <c r="B19" s="1" t="str">
        <f>IFERROR(__xludf.DUMMYFUNCTION("""COMPUTED_VALUE"""),"BERNALYN BONGCAWIL VERZOSA")</f>
        <v>BERNALYN BONGCAWIL VERZOSA</v>
      </c>
      <c r="C19" s="1" t="str">
        <f>IFERROR(__xludf.DUMMYFUNCTION("""COMPUTED_VALUE"""),"RITM0304414")</f>
        <v>RITM0304414</v>
      </c>
      <c r="D19" s="1" t="str">
        <f>IFERROR(__xludf.DUMMYFUNCTION("""COMPUTED_VALUE"""),"CS1333983 / WO0898796")</f>
        <v>CS1333983 / WO0898796</v>
      </c>
      <c r="E19" s="1">
        <f>IFERROR(__xludf.DUMMYFUNCTION("""COMPUTED_VALUE"""),6812158118)</f>
        <v>6812158118</v>
      </c>
      <c r="F19" s="1" t="str">
        <f>IFERROR(__xludf.DUMMYFUNCTION("""COMPUTED_VALUE"""),"bernalynverzosa37@gmail.com
")</f>
        <v>bernalynverzosa37@gmail.com
</v>
      </c>
      <c r="G19" s="1" t="str">
        <f>IFERROR(__xludf.DUMMYFUNCTION("""COMPUTED_VALUE"""),"CLOSED")</f>
        <v>CLOSED</v>
      </c>
      <c r="H19" s="1"/>
      <c r="I19" s="1"/>
      <c r="J19" s="1" t="str">
        <f>IFERROR(__xludf.DUMMYFUNCTION("""COMPUTED_VALUE"""),"SWITCHER PROMO")</f>
        <v>SWITCHER PROMO</v>
      </c>
      <c r="K19" s="1"/>
      <c r="L19" s="1" t="str">
        <f>IFERROR(__xludf.DUMMYFUNCTION("""COMPUTED_VALUE"""),"POSTED")</f>
        <v>POSTED</v>
      </c>
      <c r="M19" s="1" t="str">
        <f>IFERROR(__xludf.DUMMYFUNCTION("""COMPUTED_VALUE"""),"8/5/2026")</f>
        <v>8/5/2026</v>
      </c>
      <c r="N19" s="1" t="str">
        <f>IFERROR(__xludf.DUMMYFUNCTION("""COMPUTED_VALUE"""),"RED_RS_ONL_CVE_25")</f>
        <v>RED_RS_ONL_CVE_25</v>
      </c>
      <c r="O19" s="1" t="str">
        <f>IFERROR(__xludf.DUMMYFUNCTION("""COMPUTED_VALUE"""),"SWITCHER PLAN 900")</f>
        <v>SWITCHER PLAN 900</v>
      </c>
      <c r="P19" s="1" t="str">
        <f>IFERROR(__xludf.DUMMYFUNCTION("""COMPUTED_VALUE"""),"MMM018711")</f>
        <v>MMM018711</v>
      </c>
      <c r="Q19" s="1" t="str">
        <f>IFERROR(__xludf.DUMMYFUNCTION("""COMPUTED_VALUE"""),"BONZA, LEE VINCENT")</f>
        <v>BONZA, LEE VINCENT</v>
      </c>
      <c r="R19" s="1" t="str">
        <f>IFERROR(__xludf.DUMMYFUNCTION("""COMPUTED_VALUE"""),"GARCIA MICHAEL JETTS")</f>
        <v>GARCIA MICHAEL JETTS</v>
      </c>
      <c r="S19" s="1" t="str">
        <f>IFERROR(__xludf.DUMMYFUNCTION("""COMPUTED_VALUE"""),"ESPIRITU JULIE")</f>
        <v>ESPIRITU JULIE</v>
      </c>
      <c r="T19" s="1" t="str">
        <f>IFERROR(__xludf.DUMMYFUNCTION("""COMPUTED_VALUE"""),"SWITCHOFFER")</f>
        <v>SWITCHOFFER</v>
      </c>
      <c r="U19" s="1">
        <f>IFERROR(__xludf.DUMMYFUNCTION("""COMPUTED_VALUE"""),9497844450)</f>
        <v>9497844450</v>
      </c>
      <c r="V19" s="1"/>
      <c r="W19" s="1"/>
      <c r="X19" s="1" t="str">
        <f>IFERROR(__xludf.DUMMYFUNCTION("""COMPUTED_VALUE"""),"PHASE A")</f>
        <v>PHASE A</v>
      </c>
      <c r="Y19" s="1" t="str">
        <f>IFERROR(__xludf.DUMMYFUNCTION("""COMPUTED_VALUE"""),"ISTANA SUBDIVISION")</f>
        <v>ISTANA SUBDIVISION</v>
      </c>
      <c r="Z19" s="1" t="str">
        <f>IFERROR(__xludf.DUMMYFUNCTION("""COMPUTED_VALUE"""),"AMAYA II")</f>
        <v>AMAYA II</v>
      </c>
      <c r="AA19" s="1" t="str">
        <f>IFERROR(__xludf.DUMMYFUNCTION("""COMPUTED_VALUE"""),"TANZA")</f>
        <v>TANZA</v>
      </c>
      <c r="AB19" s="1" t="str">
        <f>IFERROR(__xludf.DUMMYFUNCTION("""COMPUTED_VALUE"""),"CVT4 LCP59 NP3/4/5/6")</f>
        <v>CVT4 LCP59 NP3/4/5/6</v>
      </c>
      <c r="AC19" s="1" t="str">
        <f>IFERROR(__xludf.DUMMYFUNCTION("""COMPUTED_VALUE""")," 120.836881 / 14.373864")</f>
        <v> 120.836881 / 14.373864</v>
      </c>
    </row>
    <row r="20" customHeight="1" spans="1:29">
      <c r="A20" s="3">
        <f>IFERROR(__xludf.DUMMYFUNCTION("""COMPUTED_VALUE"""),46237)</f>
        <v>46237</v>
      </c>
      <c r="B20" s="1" t="str">
        <f>IFERROR(__xludf.DUMMYFUNCTION("""COMPUTED_VALUE"""),"MELDRIN JOY GAMILLA GARCIA")</f>
        <v>MELDRIN JOY GAMILLA GARCIA</v>
      </c>
      <c r="C20" s="1" t="str">
        <f>IFERROR(__xludf.DUMMYFUNCTION("""COMPUTED_VALUE"""),"RITM0304493")</f>
        <v>RITM0304493</v>
      </c>
      <c r="D20" s="1" t="str">
        <f>IFERROR(__xludf.DUMMYFUNCTION("""COMPUTED_VALUE"""),"CS1334234 / WO0898908")</f>
        <v>CS1334234 / WO0898908</v>
      </c>
      <c r="E20" s="1">
        <f>IFERROR(__xludf.DUMMYFUNCTION("""COMPUTED_VALUE"""),7424495941)</f>
        <v>7424495941</v>
      </c>
      <c r="F20" s="1" t="str">
        <f>IFERROR(__xludf.DUMMYFUNCTION("""COMPUTED_VALUE"""),"majoygamilla@gmail.com")</f>
        <v>majoygamilla@gmail.com</v>
      </c>
      <c r="G20" s="1" t="str">
        <f>IFERROR(__xludf.DUMMYFUNCTION("""COMPUTED_VALUE"""),"CLOSED")</f>
        <v>CLOSED</v>
      </c>
      <c r="H20" s="1"/>
      <c r="I20" s="1"/>
      <c r="J20" s="1" t="str">
        <f>IFERROR(__xludf.DUMMYFUNCTION("""COMPUTED_VALUE"""),"PAID THRU GCASH REF 689909749 AUG 3")</f>
        <v>PAID THRU GCASH REF 689909749 AUG 3</v>
      </c>
      <c r="K20" s="1" t="str">
        <f>IFERROR(__xludf.DUMMYFUNCTION("""COMPUTED_VALUE"""),"PAID")</f>
        <v>PAID</v>
      </c>
      <c r="L20" s="1" t="str">
        <f>IFERROR(__xludf.DUMMYFUNCTION("""COMPUTED_VALUE"""),"POSTED")</f>
        <v>POSTED</v>
      </c>
      <c r="M20" s="1" t="str">
        <f>IFERROR(__xludf.DUMMYFUNCTION("""COMPUTED_VALUE"""),"8/8/2026")</f>
        <v>8/8/2026</v>
      </c>
      <c r="N20" s="1" t="str">
        <f>IFERROR(__xludf.DUMMYFUNCTION("""COMPUTED_VALUE"""),"RED_RS_ONL_CVE_25")</f>
        <v>RED_RS_ONL_CVE_25</v>
      </c>
      <c r="O20" s="1" t="str">
        <f>IFERROR(__xludf.DUMMYFUNCTION("""COMPUTED_VALUE"""),"RED FIBR 1000")</f>
        <v>RED FIBR 1000</v>
      </c>
      <c r="P20" s="1" t="str">
        <f>IFERROR(__xludf.DUMMYFUNCTION("""COMPUTED_VALUE"""),"MMM018712")</f>
        <v>MMM018712</v>
      </c>
      <c r="Q20" s="1" t="str">
        <f>IFERROR(__xludf.DUMMYFUNCTION("""COMPUTED_VALUE"""),"PEREZ. RONELL")</f>
        <v>PEREZ. RONELL</v>
      </c>
      <c r="R20" s="1" t="str">
        <f>IFERROR(__xludf.DUMMYFUNCTION("""COMPUTED_VALUE"""),"GARCIA MICHAEL JETTS")</f>
        <v>GARCIA MICHAEL JETTS</v>
      </c>
      <c r="S20" s="1" t="str">
        <f>IFERROR(__xludf.DUMMYFUNCTION("""COMPUTED_VALUE"""),"ESPIRITU JULIE")</f>
        <v>ESPIRITU JULIE</v>
      </c>
      <c r="T20" s="1" t="str">
        <f>IFERROR(__xludf.DUMMYFUNCTION("""COMPUTED_VALUE"""),"SP6MONTHS")</f>
        <v>SP6MONTHS</v>
      </c>
      <c r="U20" s="1">
        <f>IFERROR(__xludf.DUMMYFUNCTION("""COMPUTED_VALUE"""),9560039857)</f>
        <v>9560039857</v>
      </c>
      <c r="V20" s="1"/>
      <c r="W20" s="1"/>
      <c r="X20" s="1" t="str">
        <f>IFERROR(__xludf.DUMMYFUNCTION("""COMPUTED_VALUE"""),"11TH ST")</f>
        <v>11TH ST</v>
      </c>
      <c r="Y20" s="1" t="str">
        <f>IFERROR(__xludf.DUMMYFUNCTION("""COMPUTED_VALUE"""),"PEARL RESIDENCES  PHASE A")</f>
        <v>PEARL RESIDENCES  PHASE A</v>
      </c>
      <c r="Z20" s="1" t="str">
        <f>IFERROR(__xludf.DUMMYFUNCTION("""COMPUTED_VALUE"""),"CAPIPISA")</f>
        <v>CAPIPISA</v>
      </c>
      <c r="AA20" s="1" t="str">
        <f>IFERROR(__xludf.DUMMYFUNCTION("""COMPUTED_VALUE"""),"TANZA")</f>
        <v>TANZA</v>
      </c>
      <c r="AB20" s="1" t="str">
        <f>IFERROR(__xludf.DUMMYFUNCTION("""COMPUTED_VALUE"""),"CVT6 LCP135 NP1/2")</f>
        <v>CVT6 LCP135 NP1/2</v>
      </c>
      <c r="AC20" s="1" t="str">
        <f>IFERROR(__xludf.DUMMYFUNCTION("""COMPUTED_VALUE"""),"120.796058 / 14.357133")</f>
        <v>120.796058 / 14.357133</v>
      </c>
    </row>
    <row r="21" customHeight="1" spans="1:29">
      <c r="A21" s="3">
        <f>IFERROR(__xludf.DUMMYFUNCTION("""COMPUTED_VALUE"""),46237)</f>
        <v>46237</v>
      </c>
      <c r="B21" s="1" t="str">
        <f>IFERROR(__xludf.DUMMYFUNCTION("""COMPUTED_VALUE"""),"JENNIE ROSE SUICO KIEFER")</f>
        <v>JENNIE ROSE SUICO KIEFER</v>
      </c>
      <c r="C21" s="1" t="str">
        <f>IFERROR(__xludf.DUMMYFUNCTION("""COMPUTED_VALUE"""),"RITM0304553")</f>
        <v>RITM0304553</v>
      </c>
      <c r="D21" s="1" t="str">
        <f>IFERROR(__xludf.DUMMYFUNCTION("""COMPUTED_VALUE"""),"CS1334516 / WO0905119")</f>
        <v>CS1334516 / WO0905119</v>
      </c>
      <c r="E21" s="1">
        <f>IFERROR(__xludf.DUMMYFUNCTION("""COMPUTED_VALUE"""),2485495887)</f>
        <v>2485495887</v>
      </c>
      <c r="F21" s="1" t="str">
        <f>IFERROR(__xludf.DUMMYFUNCTION("""COMPUTED_VALUE"""),"jenniesuikiefer@gmail.com")</f>
        <v>jenniesuikiefer@gmail.com</v>
      </c>
      <c r="G21" s="1" t="str">
        <f>IFERROR(__xludf.DUMMYFUNCTION("""COMPUTED_VALUE"""),"CLOSED")</f>
        <v>CLOSED</v>
      </c>
      <c r="H21" s="1"/>
      <c r="I21" s="1"/>
      <c r="J21" s="1" t="str">
        <f>IFERROR(__xludf.DUMMYFUNCTION("""COMPUTED_VALUE"""),"PAID THRU GCASH REF 470984323 AUG 8")</f>
        <v>PAID THRU GCASH REF 470984323 AUG 8</v>
      </c>
      <c r="K21" s="1" t="str">
        <f>IFERROR(__xludf.DUMMYFUNCTION("""COMPUTED_VALUE"""),"PAID")</f>
        <v>PAID</v>
      </c>
      <c r="L21" s="1" t="str">
        <f>IFERROR(__xludf.DUMMYFUNCTION("""COMPUTED_VALUE"""),"POSTED")</f>
        <v>POSTED</v>
      </c>
      <c r="M21" s="1" t="str">
        <f>IFERROR(__xludf.DUMMYFUNCTION("""COMPUTED_VALUE"""),"8/10/2026")</f>
        <v>8/10/2026</v>
      </c>
      <c r="N21" s="1" t="str">
        <f>IFERROR(__xludf.DUMMYFUNCTION("""COMPUTED_VALUE"""),"RED_RS_ONL_CVE_25")</f>
        <v>RED_RS_ONL_CVE_25</v>
      </c>
      <c r="O21" s="1" t="str">
        <f>IFERROR(__xludf.DUMMYFUNCTION("""COMPUTED_VALUE"""),"RED FIBR 1000")</f>
        <v>RED FIBR 1000</v>
      </c>
      <c r="P21" s="1" t="str">
        <f>IFERROR(__xludf.DUMMYFUNCTION("""COMPUTED_VALUE"""),"MMM018712")</f>
        <v>MMM018712</v>
      </c>
      <c r="Q21" s="1" t="str">
        <f>IFERROR(__xludf.DUMMYFUNCTION("""COMPUTED_VALUE"""),"LUPENA. KARL ANGELO")</f>
        <v>LUPENA. KARL ANGELO</v>
      </c>
      <c r="R21" s="1" t="str">
        <f>IFERROR(__xludf.DUMMYFUNCTION("""COMPUTED_VALUE"""),"GARCIA MICHAEL JETTS")</f>
        <v>GARCIA MICHAEL JETTS</v>
      </c>
      <c r="S21" s="1" t="str">
        <f>IFERROR(__xludf.DUMMYFUNCTION("""COMPUTED_VALUE"""),"ESPIRITU JULIE")</f>
        <v>ESPIRITU JULIE</v>
      </c>
      <c r="T21" s="1" t="str">
        <f>IFERROR(__xludf.DUMMYFUNCTION("""COMPUTED_VALUE"""),"SP6MONTHS")</f>
        <v>SP6MONTHS</v>
      </c>
      <c r="U21" s="1">
        <f>IFERROR(__xludf.DUMMYFUNCTION("""COMPUTED_VALUE"""),9622755819)</f>
        <v>9622755819</v>
      </c>
      <c r="V21" s="1"/>
      <c r="W21" s="1"/>
      <c r="X21" s="1" t="str">
        <f>IFERROR(__xludf.DUMMYFUNCTION("""COMPUTED_VALUE"""),"PAGSIBOL VILLAGE ROAD")</f>
        <v>PAGSIBOL VILLAGE ROAD</v>
      </c>
      <c r="Y21" s="1" t="str">
        <f>IFERROR(__xludf.DUMMYFUNCTION("""COMPUTED_VALUE"""),"PAGSIBOLL VILLAGE SOUTHWEST")</f>
        <v>PAGSIBOLL VILLAGE SOUTHWEST</v>
      </c>
      <c r="Z21" s="1" t="str">
        <f>IFERROR(__xludf.DUMMYFUNCTION("""COMPUTED_VALUE"""),"TIMALAN BALSAHAN")</f>
        <v>TIMALAN BALSAHAN</v>
      </c>
      <c r="AA21" s="1" t="str">
        <f>IFERROR(__xludf.DUMMYFUNCTION("""COMPUTED_VALUE"""),"TANZA")</f>
        <v>TANZA</v>
      </c>
      <c r="AB21" s="1" t="str">
        <f>IFERROR(__xludf.DUMMYFUNCTION("""COMPUTED_VALUE""")," CVT6-L279N3-8 CVT6-L280NP3-6")</f>
        <v> CVT6-L279N3-8 CVT6-L280NP3-6</v>
      </c>
      <c r="AC21" s="1" t="str">
        <f>IFERROR(__xludf.DUMMYFUNCTION("""COMPUTED_VALUE""")," 120.813589 / 14.318045")</f>
        <v> 120.813589 / 14.318045</v>
      </c>
    </row>
    <row r="22" customHeight="1" spans="1:29">
      <c r="A22" s="3">
        <f>IFERROR(__xludf.DUMMYFUNCTION("""COMPUTED_VALUE"""),46237)</f>
        <v>46237</v>
      </c>
      <c r="B22" s="1" t="str">
        <f>IFERROR(__xludf.DUMMYFUNCTION("""COMPUTED_VALUE"""),"GLALYN PEREZ PAJULAS")</f>
        <v>GLALYN PEREZ PAJULAS</v>
      </c>
      <c r="C22" s="1" t="str">
        <f>IFERROR(__xludf.DUMMYFUNCTION("""COMPUTED_VALUE"""),"RITM0304594")</f>
        <v>RITM0304594</v>
      </c>
      <c r="D22" s="1" t="str">
        <f>IFERROR(__xludf.DUMMYFUNCTION("""COMPUTED_VALUE"""),"CS1334912 / WO0903356")</f>
        <v>CS1334912 / WO0903356</v>
      </c>
      <c r="E22" s="1">
        <f>IFERROR(__xludf.DUMMYFUNCTION("""COMPUTED_VALUE"""),4966739494)</f>
        <v>4966739494</v>
      </c>
      <c r="F22" s="1" t="str">
        <f>IFERROR(__xludf.DUMMYFUNCTION("""COMPUTED_VALUE"""),"mileyspears05@gmail.com")</f>
        <v>mileyspears05@gmail.com</v>
      </c>
      <c r="G22" s="1" t="str">
        <f>IFERROR(__xludf.DUMMYFUNCTION("""COMPUTED_VALUE"""),"CLOSED")</f>
        <v>CLOSED</v>
      </c>
      <c r="H22" s="1"/>
      <c r="I22" s="1"/>
      <c r="J22" s="1" t="str">
        <f>IFERROR(__xludf.DUMMYFUNCTION("""COMPUTED_VALUE"""),"SWITCHER PROMO")</f>
        <v>SWITCHER PROMO</v>
      </c>
      <c r="K22" s="1"/>
      <c r="L22" s="1" t="str">
        <f>IFERROR(__xludf.DUMMYFUNCTION("""COMPUTED_VALUE"""),"POSTED")</f>
        <v>POSTED</v>
      </c>
      <c r="M22" s="1" t="str">
        <f>IFERROR(__xludf.DUMMYFUNCTION("""COMPUTED_VALUE"""),"8/5/2026")</f>
        <v>8/5/2026</v>
      </c>
      <c r="N22" s="1" t="str">
        <f>IFERROR(__xludf.DUMMYFUNCTION("""COMPUTED_VALUE"""),"RED_RS_ONL_CVE_25")</f>
        <v>RED_RS_ONL_CVE_25</v>
      </c>
      <c r="O22" s="1" t="str">
        <f>IFERROR(__xludf.DUMMYFUNCTION("""COMPUTED_VALUE"""),"SWITCHER PLAN 1400")</f>
        <v>SWITCHER PLAN 1400</v>
      </c>
      <c r="P22" s="1" t="str">
        <f>IFERROR(__xludf.DUMMYFUNCTION("""COMPUTED_VALUE"""),"MMM018713")</f>
        <v>MMM018713</v>
      </c>
      <c r="Q22" s="1" t="str">
        <f>IFERROR(__xludf.DUMMYFUNCTION("""COMPUTED_VALUE"""),"BONZA, LEE VINCENT")</f>
        <v>BONZA, LEE VINCENT</v>
      </c>
      <c r="R22" s="1" t="str">
        <f>IFERROR(__xludf.DUMMYFUNCTION("""COMPUTED_VALUE"""),"GARCIA MICHAEL JETTS")</f>
        <v>GARCIA MICHAEL JETTS</v>
      </c>
      <c r="S22" s="1" t="str">
        <f>IFERROR(__xludf.DUMMYFUNCTION("""COMPUTED_VALUE"""),"ESPIRITU JULIE")</f>
        <v>ESPIRITU JULIE</v>
      </c>
      <c r="T22" s="1" t="str">
        <f>IFERROR(__xludf.DUMMYFUNCTION("""COMPUTED_VALUE"""),"SWITCHOFFER")</f>
        <v>SWITCHOFFER</v>
      </c>
      <c r="U22" s="1">
        <f>IFERROR(__xludf.DUMMYFUNCTION("""COMPUTED_VALUE"""),9923266162)</f>
        <v>9923266162</v>
      </c>
      <c r="V22" s="1"/>
      <c r="W22" s="1"/>
      <c r="X22" s="1" t="str">
        <f>IFERROR(__xludf.DUMMYFUNCTION("""COMPUTED_VALUE"""),"PHASE B ST")</f>
        <v>PHASE B ST</v>
      </c>
      <c r="Y22" s="1" t="str">
        <f>IFERROR(__xludf.DUMMYFUNCTION("""COMPUTED_VALUE"""),"ISTANA SUBDIVISION")</f>
        <v>ISTANA SUBDIVISION</v>
      </c>
      <c r="Z22" s="1" t="str">
        <f>IFERROR(__xludf.DUMMYFUNCTION("""COMPUTED_VALUE"""),"BIGA")</f>
        <v>BIGA</v>
      </c>
      <c r="AA22" s="1" t="str">
        <f>IFERROR(__xludf.DUMMYFUNCTION("""COMPUTED_VALUE"""),"TANZA")</f>
        <v>TANZA</v>
      </c>
      <c r="AB22" s="1" t="str">
        <f>IFERROR(__xludf.DUMMYFUNCTION("""COMPUTED_VALUE"""),"CVT4 LCP69 NP3/4/5/6")</f>
        <v>CVT4 LCP69 NP3/4/5/6</v>
      </c>
      <c r="AC22" s="1" t="str">
        <f>IFERROR(__xludf.DUMMYFUNCTION("""COMPUTED_VALUE""")," 120.842579 / 14.372289")</f>
        <v> 120.842579 / 14.372289</v>
      </c>
    </row>
    <row r="23" customHeight="1" spans="1:29">
      <c r="A23" s="3">
        <f>IFERROR(__xludf.DUMMYFUNCTION("""COMPUTED_VALUE"""),46238)</f>
        <v>46238</v>
      </c>
      <c r="B23" s="1" t="str">
        <f>IFERROR(__xludf.DUMMYFUNCTION("""COMPUTED_VALUE"""),"JECERYL BARTOLATA SO")</f>
        <v>JECERYL BARTOLATA SO</v>
      </c>
      <c r="C23" s="1" t="str">
        <f>IFERROR(__xludf.DUMMYFUNCTION("""COMPUTED_VALUE"""),"RITM0304704")</f>
        <v>RITM0304704</v>
      </c>
      <c r="D23" s="1" t="str">
        <f>IFERROR(__xludf.DUMMYFUNCTION("""COMPUTED_VALUE"""),"CS1339141 / WO0903425")</f>
        <v>CS1339141 / WO0903425</v>
      </c>
      <c r="E23" s="1">
        <f>IFERROR(__xludf.DUMMYFUNCTION("""COMPUTED_VALUE"""),3187923617)</f>
        <v>3187923617</v>
      </c>
      <c r="F23" s="1" t="str">
        <f>IFERROR(__xludf.DUMMYFUNCTION("""COMPUTED_VALUE"""),"jeceryl2427@gmail.com")</f>
        <v>jeceryl2427@gmail.com</v>
      </c>
      <c r="G23" s="1" t="str">
        <f>IFERROR(__xludf.DUMMYFUNCTION("""COMPUTED_VALUE"""),"CLOSED")</f>
        <v>CLOSED</v>
      </c>
      <c r="H23" s="1"/>
      <c r="I23" s="1"/>
      <c r="J23" s="1"/>
      <c r="K23" s="1" t="str">
        <f>IFERROR(__xludf.DUMMYFUNCTION("""COMPUTED_VALUE"""),"PAID")</f>
        <v>PAID</v>
      </c>
      <c r="L23" s="1" t="str">
        <f>IFERROR(__xludf.DUMMYFUNCTION("""COMPUTED_VALUE"""),"POSTED")</f>
        <v>POSTED</v>
      </c>
      <c r="M23" s="1" t="str">
        <f>IFERROR(__xludf.DUMMYFUNCTION("""COMPUTED_VALUE"""),"8/6/2026")</f>
        <v>8/6/2026</v>
      </c>
      <c r="N23" s="1" t="str">
        <f>IFERROR(__xludf.DUMMYFUNCTION("""COMPUTED_VALUE"""),"RED_RS_ONL_CVE_25")</f>
        <v>RED_RS_ONL_CVE_25</v>
      </c>
      <c r="O23" s="1" t="str">
        <f>IFERROR(__xludf.DUMMYFUNCTION("""COMPUTED_VALUE"""),"RED FIBR 1400")</f>
        <v>RED FIBR 1400</v>
      </c>
      <c r="P23" s="1" t="str">
        <f>IFERROR(__xludf.DUMMYFUNCTION("""COMPUTED_VALUE"""),"MMM018711")</f>
        <v>MMM018711</v>
      </c>
      <c r="Q23" s="1" t="str">
        <f>IFERROR(__xludf.DUMMYFUNCTION("""COMPUTED_VALUE"""),"DEL ROSARIO. MIGGY LENARD")</f>
        <v>DEL ROSARIO. MIGGY LENARD</v>
      </c>
      <c r="R23" s="1" t="str">
        <f>IFERROR(__xludf.DUMMYFUNCTION("""COMPUTED_VALUE"""),"GARCIA MICHAEL JETTS")</f>
        <v>GARCIA MICHAEL JETTS</v>
      </c>
      <c r="S23" s="1" t="str">
        <f>IFERROR(__xludf.DUMMYFUNCTION("""COMPUTED_VALUE"""),"ESPIRITU JULIE")</f>
        <v>ESPIRITU JULIE</v>
      </c>
      <c r="T23" s="1" t="str">
        <f>IFERROR(__xludf.DUMMYFUNCTION("""COMPUTED_VALUE"""),"SP6MONTHS")</f>
        <v>SP6MONTHS</v>
      </c>
      <c r="U23" s="1">
        <f>IFERROR(__xludf.DUMMYFUNCTION("""COMPUTED_VALUE"""),9065102340)</f>
        <v>9065102340</v>
      </c>
      <c r="V23" s="1"/>
      <c r="W23" s="1"/>
      <c r="X23" s="1" t="str">
        <f>IFERROR(__xludf.DUMMYFUNCTION("""COMPUTED_VALUE"""),"PHASE A ST")</f>
        <v>PHASE A ST</v>
      </c>
      <c r="Y23" s="1" t="str">
        <f>IFERROR(__xludf.DUMMYFUNCTION("""COMPUTED_VALUE"""),"PEARL RESIDENCES PHASE A")</f>
        <v>PEARL RESIDENCES PHASE A</v>
      </c>
      <c r="Z23" s="1" t="str">
        <f>IFERROR(__xludf.DUMMYFUNCTION("""COMPUTED_VALUE"""),"CAPIPISA")</f>
        <v>CAPIPISA</v>
      </c>
      <c r="AA23" s="1" t="str">
        <f>IFERROR(__xludf.DUMMYFUNCTION("""COMPUTED_VALUE"""),"TANZA")</f>
        <v>TANZA</v>
      </c>
      <c r="AB23" s="1" t="str">
        <f>IFERROR(__xludf.DUMMYFUNCTION("""COMPUTED_VALUE"""),"CVT6 LCP135 NP1/2")</f>
        <v>CVT6 LCP135 NP1/2</v>
      </c>
      <c r="AC23" s="1" t="str">
        <f>IFERROR(__xludf.DUMMYFUNCTION("""COMPUTED_VALUE""")," 120.797051 / 14.357268")</f>
        <v> 120.797051 / 14.357268</v>
      </c>
    </row>
    <row r="24" customHeight="1" spans="1:29">
      <c r="A24" s="3">
        <f>IFERROR(__xludf.DUMMYFUNCTION("""COMPUTED_VALUE"""),46238)</f>
        <v>46238</v>
      </c>
      <c r="B24" s="1" t="str">
        <f>IFERROR(__xludf.DUMMYFUNCTION("""COMPUTED_VALUE"""),"RYZEN MURAÑA PEDRASA")</f>
        <v>RYZEN MURAÑA PEDRASA</v>
      </c>
      <c r="C24" s="1" t="str">
        <f>IFERROR(__xludf.DUMMYFUNCTION("""COMPUTED_VALUE"""),"RITM0304716")</f>
        <v>RITM0304716</v>
      </c>
      <c r="D24" s="1"/>
      <c r="E24" s="1"/>
      <c r="F24" s="1" t="str">
        <f>IFERROR(__xludf.DUMMYFUNCTION("""COMPUTED_VALUE"""),"ryzen_02murania@gmail.com")</f>
        <v>ryzen_02murania@gmail.com</v>
      </c>
      <c r="G24" s="1" t="str">
        <f>IFERROR(__xludf.DUMMYFUNCTION("""COMPUTED_VALUE"""),"APPROVED")</f>
        <v>APPROVED</v>
      </c>
      <c r="H24" s="1"/>
      <c r="I24" s="1"/>
      <c r="J24" s="1" t="str">
        <f>IFERROR(__xludf.DUMMYFUNCTION("""COMPUTED_VALUE"""),"NO EMAIL RECEIVED")</f>
        <v>NO EMAIL RECEIVED</v>
      </c>
      <c r="K24" s="1"/>
      <c r="L24" s="1" t="str">
        <f>IFERROR(__xludf.DUMMYFUNCTION("""COMPUTED_VALUE"""),"CANCEL RECREATE - FOR CHANGE EMAIL")</f>
        <v>CANCEL RECREATE - FOR CHANGE EMAIL</v>
      </c>
      <c r="M24" s="1"/>
      <c r="N24" s="1" t="str">
        <f>IFERROR(__xludf.DUMMYFUNCTION("""COMPUTED_VALUE"""),"RED_RS_ONL_CVE_25")</f>
        <v>RED_RS_ONL_CVE_25</v>
      </c>
      <c r="O24" s="1" t="str">
        <f>IFERROR(__xludf.DUMMYFUNCTION("""COMPUTED_VALUE"""),"RED FIBR 1000")</f>
        <v>RED FIBR 1000</v>
      </c>
      <c r="P24" s="1" t="str">
        <f>IFERROR(__xludf.DUMMYFUNCTION("""COMPUTED_VALUE"""),"MMM018713")</f>
        <v>MMM018713</v>
      </c>
      <c r="Q24" s="1" t="str">
        <f>IFERROR(__xludf.DUMMYFUNCTION("""COMPUTED_VALUE"""),"BONZA, LEE VINCENT")</f>
        <v>BONZA, LEE VINCENT</v>
      </c>
      <c r="R24" s="1" t="str">
        <f>IFERROR(__xludf.DUMMYFUNCTION("""COMPUTED_VALUE"""),"GARCIA MICHAEL JETTS")</f>
        <v>GARCIA MICHAEL JETTS</v>
      </c>
      <c r="S24" s="1" t="str">
        <f>IFERROR(__xludf.DUMMYFUNCTION("""COMPUTED_VALUE"""),"ESPIRITU JULIE")</f>
        <v>ESPIRITU JULIE</v>
      </c>
      <c r="T24" s="1" t="str">
        <f>IFERROR(__xludf.DUMMYFUNCTION("""COMPUTED_VALUE"""),"SP6MONTHS")</f>
        <v>SP6MONTHS</v>
      </c>
      <c r="U24" s="1">
        <f>IFERROR(__xludf.DUMMYFUNCTION("""COMPUTED_VALUE"""),9974176067)</f>
        <v>9974176067</v>
      </c>
      <c r="V24" s="1"/>
      <c r="W24" s="1">
        <f>IFERROR(__xludf.DUMMYFUNCTION("""COMPUTED_VALUE"""),25)</f>
        <v>25</v>
      </c>
      <c r="X24" s="1" t="str">
        <f>IFERROR(__xludf.DUMMYFUNCTION("""COMPUTED_VALUE"""),"MALIGAYA ST")</f>
        <v>MALIGAYA ST</v>
      </c>
      <c r="Y24" s="1"/>
      <c r="Z24" s="1" t="str">
        <f>IFERROR(__xludf.DUMMYFUNCTION("""COMPUTED_VALUE"""),"JULUGAN VI")</f>
        <v>JULUGAN VI</v>
      </c>
      <c r="AA24" s="1" t="str">
        <f>IFERROR(__xludf.DUMMYFUNCTION("""COMPUTED_VALUE"""),"TANZA")</f>
        <v>TANZA</v>
      </c>
      <c r="AB24" s="1"/>
      <c r="AC24" s="1" t="str">
        <f>IFERROR(__xludf.DUMMYFUNCTION("""COMPUTED_VALUE""")," 120.843709 / 14.401718")</f>
        <v> 120.843709 / 14.401718</v>
      </c>
    </row>
    <row r="25" customHeight="1" spans="1:29">
      <c r="A25" s="3">
        <f>IFERROR(__xludf.DUMMYFUNCTION("""COMPUTED_VALUE"""),46238)</f>
        <v>46238</v>
      </c>
      <c r="B25" s="1" t="str">
        <f>IFERROR(__xludf.DUMMYFUNCTION("""COMPUTED_VALUE"""),"FACUNDO JR MISSION BAULOS")</f>
        <v>FACUNDO JR MISSION BAULOS</v>
      </c>
      <c r="C25" s="1" t="str">
        <f>IFERROR(__xludf.DUMMYFUNCTION("""COMPUTED_VALUE"""),"RITM0304731")</f>
        <v>RITM0304731</v>
      </c>
      <c r="D25" s="1"/>
      <c r="E25" s="1"/>
      <c r="F25" s="1" t="str">
        <f>IFERROR(__xludf.DUMMYFUNCTION("""COMPUTED_VALUE"""),"baulosfacundo31@gmail.com")</f>
        <v>baulosfacundo31@gmail.com</v>
      </c>
      <c r="G25" s="1" t="str">
        <f>IFERROR(__xludf.DUMMYFUNCTION("""COMPUTED_VALUE"""),"REJECTED")</f>
        <v>REJECTED</v>
      </c>
      <c r="H25" s="1"/>
      <c r="I25" s="1"/>
      <c r="J25" s="1" t="str">
        <f>IFERROR(__xludf.DUMMYFUNCTION("""COMPUTED_VALUE"""),"FOUND SELFIE PHOTO HOLDING SOA AND POID IS NOT VALID (SOA AND POID NOT READABLE) // KINDLY ATTACH SELFIE HOLDING CLEAR AND READABLE SOA AND POID //")</f>
        <v>FOUND SELFIE PHOTO HOLDING SOA AND POID IS NOT VALID (SOA AND POID NOT READABLE) // KINDLY ATTACH SELFIE HOLDING CLEAR AND READABLE SOA AND POID //</v>
      </c>
      <c r="K25" s="1"/>
      <c r="L25" s="1" t="str">
        <f>IFERROR(__xludf.DUMMYFUNCTION("""COMPUTED_VALUE"""),"FOR REENCODE")</f>
        <v>FOR REENCODE</v>
      </c>
      <c r="M25" s="1"/>
      <c r="N25" s="1" t="str">
        <f>IFERROR(__xludf.DUMMYFUNCTION("""COMPUTED_VALUE"""),"RED_RS_ONL_CVE_25")</f>
        <v>RED_RS_ONL_CVE_25</v>
      </c>
      <c r="O25" s="1" t="str">
        <f>IFERROR(__xludf.DUMMYFUNCTION("""COMPUTED_VALUE"""),"SWITCHER PLAN 900")</f>
        <v>SWITCHER PLAN 900</v>
      </c>
      <c r="P25" s="1" t="str">
        <f>IFERROR(__xludf.DUMMYFUNCTION("""COMPUTED_VALUE"""),"MMM018709")</f>
        <v>MMM018709</v>
      </c>
      <c r="Q25" s="1" t="str">
        <f>IFERROR(__xludf.DUMMYFUNCTION("""COMPUTED_VALUE"""),"MORADOS, MARVIN")</f>
        <v>MORADOS, MARVIN</v>
      </c>
      <c r="R25" s="1" t="str">
        <f>IFERROR(__xludf.DUMMYFUNCTION("""COMPUTED_VALUE"""),"GARCIA MICHAEL JETTS")</f>
        <v>GARCIA MICHAEL JETTS</v>
      </c>
      <c r="S25" s="1" t="str">
        <f>IFERROR(__xludf.DUMMYFUNCTION("""COMPUTED_VALUE"""),"ESPIRITU JULIE")</f>
        <v>ESPIRITU JULIE</v>
      </c>
      <c r="T25" s="1" t="str">
        <f>IFERROR(__xludf.DUMMYFUNCTION("""COMPUTED_VALUE"""),"SWITCHOFFER")</f>
        <v>SWITCHOFFER</v>
      </c>
      <c r="U25" s="1">
        <f>IFERROR(__xludf.DUMMYFUNCTION("""COMPUTED_VALUE"""),9554610926)</f>
        <v>9554610926</v>
      </c>
      <c r="V25" s="1"/>
      <c r="W25" s="1"/>
      <c r="X25" s="1" t="str">
        <f>IFERROR(__xludf.DUMMYFUNCTION("""COMPUTED_VALUE"""),"PHASE B ST")</f>
        <v>PHASE B ST</v>
      </c>
      <c r="Y25" s="1" t="str">
        <f>IFERROR(__xludf.DUMMYFUNCTION("""COMPUTED_VALUE"""),"PEARL RESIDENCES")</f>
        <v>PEARL RESIDENCES</v>
      </c>
      <c r="Z25" s="1" t="str">
        <f>IFERROR(__xludf.DUMMYFUNCTION("""COMPUTED_VALUE"""),"CAPIPISA")</f>
        <v>CAPIPISA</v>
      </c>
      <c r="AA25" s="1" t="str">
        <f>IFERROR(__xludf.DUMMYFUNCTION("""COMPUTED_VALUE"""),"TANZA")</f>
        <v>TANZA</v>
      </c>
      <c r="AB25" s="1" t="str">
        <f>IFERROR(__xludf.DUMMYFUNCTION("""COMPUTED_VALUE"""),"CVT6 LCP136 NP3/4")</f>
        <v>CVT6 LCP136 NP3/4</v>
      </c>
      <c r="AC25" s="1" t="str">
        <f>IFERROR(__xludf.DUMMYFUNCTION("""COMPUTED_VALUE""")," 120.796486 / 14.358287")</f>
        <v> 120.796486 / 14.358287</v>
      </c>
    </row>
    <row r="26" customHeight="1" spans="1:29">
      <c r="A26" s="3">
        <f>IFERROR(__xludf.DUMMYFUNCTION("""COMPUTED_VALUE"""),46238)</f>
        <v>46238</v>
      </c>
      <c r="B26" s="1" t="str">
        <f>IFERROR(__xludf.DUMMYFUNCTION("""COMPUTED_VALUE"""),"JOSEPH SALUDI MANANGU")</f>
        <v>JOSEPH SALUDI MANANGU</v>
      </c>
      <c r="C26" s="1" t="str">
        <f>IFERROR(__xludf.DUMMYFUNCTION("""COMPUTED_VALUE"""),"RITM0304746")</f>
        <v>RITM0304746</v>
      </c>
      <c r="D26" s="1" t="str">
        <f>IFERROR(__xludf.DUMMYFUNCTION("""COMPUTED_VALUE"""),"CS1339205 / WO0904509")</f>
        <v>CS1339205 / WO0904509</v>
      </c>
      <c r="E26" s="1">
        <f>IFERROR(__xludf.DUMMYFUNCTION("""COMPUTED_VALUE"""),1613533742)</f>
        <v>1613533742</v>
      </c>
      <c r="F26" s="1" t="str">
        <f>IFERROR(__xludf.DUMMYFUNCTION("""COMPUTED_VALUE"""),"josephmanangu4@gmail.com")</f>
        <v>josephmanangu4@gmail.com</v>
      </c>
      <c r="G26" s="1" t="str">
        <f>IFERROR(__xludf.DUMMYFUNCTION("""COMPUTED_VALUE"""),"CLOSED")</f>
        <v>CLOSED</v>
      </c>
      <c r="H26" s="1"/>
      <c r="I26" s="1"/>
      <c r="J26" s="1" t="str">
        <f>IFERROR(__xludf.DUMMYFUNCTION("""COMPUTED_VALUE"""),"PAID THRU GCASH REF 600624997 ")</f>
        <v>PAID THRU GCASH REF 600624997 </v>
      </c>
      <c r="K26" s="1" t="str">
        <f>IFERROR(__xludf.DUMMYFUNCTION("""COMPUTED_VALUE"""),"PAID")</f>
        <v>PAID</v>
      </c>
      <c r="L26" s="1" t="str">
        <f>IFERROR(__xludf.DUMMYFUNCTION("""COMPUTED_VALUE"""),"POSTED")</f>
        <v>POSTED</v>
      </c>
      <c r="M26" s="1" t="str">
        <f>IFERROR(__xludf.DUMMYFUNCTION("""COMPUTED_VALUE"""),"8/7/2026")</f>
        <v>8/7/2026</v>
      </c>
      <c r="N26" s="1" t="str">
        <f>IFERROR(__xludf.DUMMYFUNCTION("""COMPUTED_VALUE"""),"RED_RS_ONL_CVE_25")</f>
        <v>RED_RS_ONL_CVE_25</v>
      </c>
      <c r="O26" s="1" t="str">
        <f>IFERROR(__xludf.DUMMYFUNCTION("""COMPUTED_VALUE"""),"RED FIBR 1000")</f>
        <v>RED FIBR 1000</v>
      </c>
      <c r="P26" s="1" t="str">
        <f>IFERROR(__xludf.DUMMYFUNCTION("""COMPUTED_VALUE"""),"MMM018709")</f>
        <v>MMM018709</v>
      </c>
      <c r="Q26" s="1" t="str">
        <f>IFERROR(__xludf.DUMMYFUNCTION("""COMPUTED_VALUE"""),"PANCHO . JAMES ANDREW")</f>
        <v>PANCHO . JAMES ANDREW</v>
      </c>
      <c r="R26" s="1" t="str">
        <f>IFERROR(__xludf.DUMMYFUNCTION("""COMPUTED_VALUE"""),"NAVARRO JERIC")</f>
        <v>NAVARRO JERIC</v>
      </c>
      <c r="S26" s="1" t="str">
        <f>IFERROR(__xludf.DUMMYFUNCTION("""COMPUTED_VALUE"""),"ESPIRITU JULIE")</f>
        <v>ESPIRITU JULIE</v>
      </c>
      <c r="T26" s="1" t="str">
        <f>IFERROR(__xludf.DUMMYFUNCTION("""COMPUTED_VALUE"""),"SP6MONTHS")</f>
        <v>SP6MONTHS</v>
      </c>
      <c r="U26" s="1">
        <f>IFERROR(__xludf.DUMMYFUNCTION("""COMPUTED_VALUE"""),9942437114)</f>
        <v>9942437114</v>
      </c>
      <c r="V26" s="1"/>
      <c r="W26" s="1">
        <f>IFERROR(__xludf.DUMMYFUNCTION("""COMPUTED_VALUE"""),798)</f>
        <v>798</v>
      </c>
      <c r="X26" s="1" t="str">
        <f>IFERROR(__xludf.DUMMYFUNCTION("""COMPUTED_VALUE"""),"ARGETE ST")</f>
        <v>ARGETE ST</v>
      </c>
      <c r="Y26" s="1"/>
      <c r="Z26" s="1" t="str">
        <f>IFERROR(__xludf.DUMMYFUNCTION("""COMPUTED_VALUE"""),"SAHUD ULAN")</f>
        <v>SAHUD ULAN</v>
      </c>
      <c r="AA26" s="1" t="str">
        <f>IFERROR(__xludf.DUMMYFUNCTION("""COMPUTED_VALUE"""),"TANZA")</f>
        <v>TANZA</v>
      </c>
      <c r="AB26" s="1" t="str">
        <f>IFERROR(__xludf.DUMMYFUNCTION("""COMPUTED_VALUE"""),"CVT6 LCP226 NP3/4/5/6")</f>
        <v>CVT6 LCP226 NP3/4/5/6</v>
      </c>
      <c r="AC26" s="1" t="str">
        <f>IFERROR(__xludf.DUMMYFUNCTION("""COMPUTED_VALUE""")," 120.823054 / 14.371573")</f>
        <v> 120.823054 / 14.371573</v>
      </c>
    </row>
    <row r="27" customHeight="1" spans="1:29">
      <c r="A27" s="3">
        <f>IFERROR(__xludf.DUMMYFUNCTION("""COMPUTED_VALUE"""),46238)</f>
        <v>46238</v>
      </c>
      <c r="B27" s="1" t="str">
        <f>IFERROR(__xludf.DUMMYFUNCTION("""COMPUTED_VALUE"""),"FACUNDO JR MISSION BAULOS")</f>
        <v>FACUNDO JR MISSION BAULOS</v>
      </c>
      <c r="C27" s="1" t="str">
        <f>IFERROR(__xludf.DUMMYFUNCTION("""COMPUTED_VALUE"""),"RITM0304766")</f>
        <v>RITM0304766</v>
      </c>
      <c r="D27" s="1" t="str">
        <f>IFERROR(__xludf.DUMMYFUNCTION("""COMPUTED_VALUE"""),"CS1339244 / WO0903468")</f>
        <v>CS1339244 / WO0903468</v>
      </c>
      <c r="E27" s="1">
        <f>IFERROR(__xludf.DUMMYFUNCTION("""COMPUTED_VALUE"""),8757737296)</f>
        <v>8757737296</v>
      </c>
      <c r="F27" s="1" t="str">
        <f>IFERROR(__xludf.DUMMYFUNCTION("""COMPUTED_VALUE"""),"baulosfacundo31@gmail.com")</f>
        <v>baulosfacundo31@gmail.com</v>
      </c>
      <c r="G27" s="1" t="str">
        <f>IFERROR(__xludf.DUMMYFUNCTION("""COMPUTED_VALUE"""),"CLOSED")</f>
        <v>CLOSED</v>
      </c>
      <c r="H27" s="1"/>
      <c r="I27" s="1"/>
      <c r="J27" s="1" t="str">
        <f>IFERROR(__xludf.DUMMYFUNCTION("""COMPUTED_VALUE"""),"SWITCHER PROMO W/CPWF")</f>
        <v>SWITCHER PROMO W/CPWF</v>
      </c>
      <c r="K27" s="1"/>
      <c r="L27" s="1" t="str">
        <f>IFERROR(__xludf.DUMMYFUNCTION("""COMPUTED_VALUE"""),"POSTED")</f>
        <v>POSTED</v>
      </c>
      <c r="M27" s="1" t="str">
        <f>IFERROR(__xludf.DUMMYFUNCTION("""COMPUTED_VALUE"""),"8/7/2026")</f>
        <v>8/7/2026</v>
      </c>
      <c r="N27" s="1" t="str">
        <f>IFERROR(__xludf.DUMMYFUNCTION("""COMPUTED_VALUE"""),"RED_RS_ONL_CVE_25")</f>
        <v>RED_RS_ONL_CVE_25</v>
      </c>
      <c r="O27" s="1" t="str">
        <f>IFERROR(__xludf.DUMMYFUNCTION("""COMPUTED_VALUE"""),"SWITCHER PLAN 900")</f>
        <v>SWITCHER PLAN 900</v>
      </c>
      <c r="P27" s="1" t="str">
        <f>IFERROR(__xludf.DUMMYFUNCTION("""COMPUTED_VALUE"""),"MMM018709")</f>
        <v>MMM018709</v>
      </c>
      <c r="Q27" s="1" t="str">
        <f>IFERROR(__xludf.DUMMYFUNCTION("""COMPUTED_VALUE"""),"MORADOS, MARVIN")</f>
        <v>MORADOS, MARVIN</v>
      </c>
      <c r="R27" s="1" t="str">
        <f>IFERROR(__xludf.DUMMYFUNCTION("""COMPUTED_VALUE"""),"GARCIA MICHAEL JETTS")</f>
        <v>GARCIA MICHAEL JETTS</v>
      </c>
      <c r="S27" s="1" t="str">
        <f>IFERROR(__xludf.DUMMYFUNCTION("""COMPUTED_VALUE"""),"ESPIRITU JULIE")</f>
        <v>ESPIRITU JULIE</v>
      </c>
      <c r="T27" s="1" t="str">
        <f>IFERROR(__xludf.DUMMYFUNCTION("""COMPUTED_VALUE"""),"SWITCHOFFER")</f>
        <v>SWITCHOFFER</v>
      </c>
      <c r="U27" s="1">
        <f>IFERROR(__xludf.DUMMYFUNCTION("""COMPUTED_VALUE"""),9554610926)</f>
        <v>9554610926</v>
      </c>
      <c r="V27" s="1"/>
      <c r="W27" s="1"/>
      <c r="X27" s="1" t="str">
        <f>IFERROR(__xludf.DUMMYFUNCTION("""COMPUTED_VALUE"""),"PHASE B ST")</f>
        <v>PHASE B ST</v>
      </c>
      <c r="Y27" s="1" t="str">
        <f>IFERROR(__xludf.DUMMYFUNCTION("""COMPUTED_VALUE"""),"PEARL RESIDENCES")</f>
        <v>PEARL RESIDENCES</v>
      </c>
      <c r="Z27" s="1" t="str">
        <f>IFERROR(__xludf.DUMMYFUNCTION("""COMPUTED_VALUE"""),"CAPIPISA")</f>
        <v>CAPIPISA</v>
      </c>
      <c r="AA27" s="1" t="str">
        <f>IFERROR(__xludf.DUMMYFUNCTION("""COMPUTED_VALUE"""),"TANZA")</f>
        <v>TANZA</v>
      </c>
      <c r="AB27" s="1" t="str">
        <f>IFERROR(__xludf.DUMMYFUNCTION("""COMPUTED_VALUE"""),"CVT6 LCP136 NP3/4")</f>
        <v>CVT6 LCP136 NP3/4</v>
      </c>
      <c r="AC27" s="1" t="str">
        <f>IFERROR(__xludf.DUMMYFUNCTION("""COMPUTED_VALUE""")," 120.796486 / 14.358287")</f>
        <v> 120.796486 / 14.358287</v>
      </c>
    </row>
    <row r="28" customHeight="1" spans="1:29">
      <c r="A28" s="3">
        <f>IFERROR(__xludf.DUMMYFUNCTION("""COMPUTED_VALUE"""),46238)</f>
        <v>46238</v>
      </c>
      <c r="B28" s="1" t="str">
        <f>IFERROR(__xludf.DUMMYFUNCTION("""COMPUTED_VALUE"""),"MARY STEPHANIE JANE FEDERICO")</f>
        <v>MARY STEPHANIE JANE FEDERICO</v>
      </c>
      <c r="C28" s="1" t="str">
        <f>IFERROR(__xludf.DUMMYFUNCTION("""COMPUTED_VALUE"""),"RITM0304785")</f>
        <v>RITM0304785</v>
      </c>
      <c r="D28" s="1" t="str">
        <f>IFERROR(__xludf.DUMMYFUNCTION("""COMPUTED_VALUE"""),"CS1339241 / WO0903466")</f>
        <v>CS1339241 / WO0903466</v>
      </c>
      <c r="E28" s="1">
        <f>IFERROR(__xludf.DUMMYFUNCTION("""COMPUTED_VALUE"""),5257481257)</f>
        <v>5257481257</v>
      </c>
      <c r="F28" s="1" t="str">
        <f>IFERROR(__xludf.DUMMYFUNCTION("""COMPUTED_VALUE"""),"marystephaniejanef@gmail.com")</f>
        <v>marystephaniejanef@gmail.com</v>
      </c>
      <c r="G28" s="1" t="str">
        <f>IFERROR(__xludf.DUMMYFUNCTION("""COMPUTED_VALUE"""),"CLOSED")</f>
        <v>CLOSED</v>
      </c>
      <c r="H28" s="1"/>
      <c r="I28" s="1"/>
      <c r="J28" s="1" t="str">
        <f>IFERROR(__xludf.DUMMYFUNCTION("""COMPUTED_VALUE"""),"SWITCHER PROMO")</f>
        <v>SWITCHER PROMO</v>
      </c>
      <c r="K28" s="1"/>
      <c r="L28" s="1" t="str">
        <f>IFERROR(__xludf.DUMMYFUNCTION("""COMPUTED_VALUE"""),"POSTED")</f>
        <v>POSTED</v>
      </c>
      <c r="M28" s="1" t="str">
        <f>IFERROR(__xludf.DUMMYFUNCTION("""COMPUTED_VALUE"""),"8/5/2026")</f>
        <v>8/5/2026</v>
      </c>
      <c r="N28" s="1" t="str">
        <f>IFERROR(__xludf.DUMMYFUNCTION("""COMPUTED_VALUE"""),"RED_RS_ONL_CVE_25")</f>
        <v>RED_RS_ONL_CVE_25</v>
      </c>
      <c r="O28" s="1" t="str">
        <f>IFERROR(__xludf.DUMMYFUNCTION("""COMPUTED_VALUE"""),"SWITCHER PLAN 900")</f>
        <v>SWITCHER PLAN 900</v>
      </c>
      <c r="P28" s="1" t="str">
        <f>IFERROR(__xludf.DUMMYFUNCTION("""COMPUTED_VALUE"""),"MMM018712")</f>
        <v>MMM018712</v>
      </c>
      <c r="Q28" s="1" t="str">
        <f>IFERROR(__xludf.DUMMYFUNCTION("""COMPUTED_VALUE"""),"PEREZ. RONELL")</f>
        <v>PEREZ. RONELL</v>
      </c>
      <c r="R28" s="1" t="str">
        <f>IFERROR(__xludf.DUMMYFUNCTION("""COMPUTED_VALUE"""),"GARCIA MICHAEL JETTS")</f>
        <v>GARCIA MICHAEL JETTS</v>
      </c>
      <c r="S28" s="1" t="str">
        <f>IFERROR(__xludf.DUMMYFUNCTION("""COMPUTED_VALUE"""),"ESPIRITU JULIE")</f>
        <v>ESPIRITU JULIE</v>
      </c>
      <c r="T28" s="1" t="str">
        <f>IFERROR(__xludf.DUMMYFUNCTION("""COMPUTED_VALUE"""),"SWITCHOFFER")</f>
        <v>SWITCHOFFER</v>
      </c>
      <c r="U28" s="1">
        <f>IFERROR(__xludf.DUMMYFUNCTION("""COMPUTED_VALUE"""),9362232135)</f>
        <v>9362232135</v>
      </c>
      <c r="V28" s="1">
        <f>IFERROR(__xludf.DUMMYFUNCTION("""COMPUTED_VALUE"""),9362232135)</f>
        <v>9362232135</v>
      </c>
      <c r="W28" s="1"/>
      <c r="X28" s="1" t="str">
        <f>IFERROR(__xludf.DUMMYFUNCTION("""COMPUTED_VALUE"""),"PHASE B")</f>
        <v>PHASE B</v>
      </c>
      <c r="Y28" s="1" t="str">
        <f>IFERROR(__xludf.DUMMYFUNCTION("""COMPUTED_VALUE"""),"ISTANA SUBDIVISION")</f>
        <v>ISTANA SUBDIVISION</v>
      </c>
      <c r="Z28" s="1" t="str">
        <f>IFERROR(__xludf.DUMMYFUNCTION("""COMPUTED_VALUE"""),"BIGA")</f>
        <v>BIGA</v>
      </c>
      <c r="AA28" s="1" t="str">
        <f>IFERROR(__xludf.DUMMYFUNCTION("""COMPUTED_VALUE"""),"TANZA")</f>
        <v>TANZA</v>
      </c>
      <c r="AB28" s="1" t="str">
        <f>IFERROR(__xludf.DUMMYFUNCTION("""COMPUTED_VALUE"""),"CVT4 LCP69 NP3/4/5/6")</f>
        <v>CVT4 LCP69 NP3/4/5/6</v>
      </c>
      <c r="AC28" s="1" t="str">
        <f>IFERROR(__xludf.DUMMYFUNCTION("""COMPUTED_VALUE""")," 120.842640 / 14.372531")</f>
        <v> 120.842640 / 14.372531</v>
      </c>
    </row>
    <row r="29" customHeight="1" spans="1:29">
      <c r="A29" s="3">
        <f>IFERROR(__xludf.DUMMYFUNCTION("""COMPUTED_VALUE"""),46238)</f>
        <v>46238</v>
      </c>
      <c r="B29" s="1" t="str">
        <f>IFERROR(__xludf.DUMMYFUNCTION("""COMPUTED_VALUE"""),"RYZEN MURAÑA PEDRASA")</f>
        <v>RYZEN MURAÑA PEDRASA</v>
      </c>
      <c r="C29" s="1" t="str">
        <f>IFERROR(__xludf.DUMMYFUNCTION("""COMPUTED_VALUE"""),"RITM0304823")</f>
        <v>RITM0304823</v>
      </c>
      <c r="D29" s="1" t="str">
        <f>IFERROR(__xludf.DUMMYFUNCTION("""COMPUTED_VALUE"""),"CS1339308 / WO0904093")</f>
        <v>CS1339308 / WO0904093</v>
      </c>
      <c r="E29" s="1">
        <f>IFERROR(__xludf.DUMMYFUNCTION("""COMPUTED_VALUE"""),5422682231)</f>
        <v>5422682231</v>
      </c>
      <c r="F29" s="1" t="str">
        <f>IFERROR(__xludf.DUMMYFUNCTION("""COMPUTED_VALUE"""),"ryzenmurania@gmail.com")</f>
        <v>ryzenmurania@gmail.com</v>
      </c>
      <c r="G29" s="1" t="str">
        <f>IFERROR(__xludf.DUMMYFUNCTION("""COMPUTED_VALUE"""),"CLOSED")</f>
        <v>CLOSED</v>
      </c>
      <c r="H29" s="1"/>
      <c r="I29" s="1"/>
      <c r="J29" s="1" t="str">
        <f>IFERROR(__xludf.DUMMYFUNCTION("""COMPUTED_VALUE"""),"PAID THRU GCASH REF 457546371 AUG 4")</f>
        <v>PAID THRU GCASH REF 457546371 AUG 4</v>
      </c>
      <c r="K29" s="1" t="str">
        <f>IFERROR(__xludf.DUMMYFUNCTION("""COMPUTED_VALUE"""),"PAID")</f>
        <v>PAID</v>
      </c>
      <c r="L29" s="1" t="str">
        <f>IFERROR(__xludf.DUMMYFUNCTION("""COMPUTED_VALUE"""),"POSTED")</f>
        <v>POSTED</v>
      </c>
      <c r="M29" s="1" t="str">
        <f>IFERROR(__xludf.DUMMYFUNCTION("""COMPUTED_VALUE"""),"8/6/2026")</f>
        <v>8/6/2026</v>
      </c>
      <c r="N29" s="1" t="str">
        <f>IFERROR(__xludf.DUMMYFUNCTION("""COMPUTED_VALUE"""),"RED_RS_ONL_CVE_25")</f>
        <v>RED_RS_ONL_CVE_25</v>
      </c>
      <c r="O29" s="1" t="str">
        <f>IFERROR(__xludf.DUMMYFUNCTION("""COMPUTED_VALUE"""),"RED FIBR 1000")</f>
        <v>RED FIBR 1000</v>
      </c>
      <c r="P29" s="1" t="str">
        <f>IFERROR(__xludf.DUMMYFUNCTION("""COMPUTED_VALUE"""),"MMM018713")</f>
        <v>MMM018713</v>
      </c>
      <c r="Q29" s="1" t="str">
        <f>IFERROR(__xludf.DUMMYFUNCTION("""COMPUTED_VALUE"""),"BONZA, LEE VINCENT")</f>
        <v>BONZA, LEE VINCENT</v>
      </c>
      <c r="R29" s="1" t="str">
        <f>IFERROR(__xludf.DUMMYFUNCTION("""COMPUTED_VALUE"""),"GARCIA MICHAEL JETTS")</f>
        <v>GARCIA MICHAEL JETTS</v>
      </c>
      <c r="S29" s="1" t="str">
        <f>IFERROR(__xludf.DUMMYFUNCTION("""COMPUTED_VALUE"""),"ESPIRITU JULIE")</f>
        <v>ESPIRITU JULIE</v>
      </c>
      <c r="T29" s="1" t="str">
        <f>IFERROR(__xludf.DUMMYFUNCTION("""COMPUTED_VALUE"""),"SP6MONTHS")</f>
        <v>SP6MONTHS</v>
      </c>
      <c r="U29" s="1">
        <f>IFERROR(__xludf.DUMMYFUNCTION("""COMPUTED_VALUE"""),9974176067)</f>
        <v>9974176067</v>
      </c>
      <c r="V29" s="1"/>
      <c r="W29" s="1">
        <f>IFERROR(__xludf.DUMMYFUNCTION("""COMPUTED_VALUE"""),25)</f>
        <v>25</v>
      </c>
      <c r="X29" s="1" t="str">
        <f>IFERROR(__xludf.DUMMYFUNCTION("""COMPUTED_VALUE"""),"MALIGAYA ST")</f>
        <v>MALIGAYA ST</v>
      </c>
      <c r="Y29" s="1"/>
      <c r="Z29" s="1" t="str">
        <f>IFERROR(__xludf.DUMMYFUNCTION("""COMPUTED_VALUE"""),"JULUGAN VI")</f>
        <v>JULUGAN VI</v>
      </c>
      <c r="AA29" s="1" t="str">
        <f>IFERROR(__xludf.DUMMYFUNCTION("""COMPUTED_VALUE"""),"TANZA")</f>
        <v>TANZA</v>
      </c>
      <c r="AB29" s="1"/>
      <c r="AC29" s="1" t="str">
        <f>IFERROR(__xludf.DUMMYFUNCTION("""COMPUTED_VALUE""")," 120.843709 / 14.401718")</f>
        <v> 120.843709 / 14.401718</v>
      </c>
    </row>
    <row r="30" customHeight="1" spans="1:29">
      <c r="A30" s="3">
        <f>IFERROR(__xludf.DUMMYFUNCTION("""COMPUTED_VALUE"""),46239)</f>
        <v>46239</v>
      </c>
      <c r="B30" s="1" t="str">
        <f>IFERROR(__xludf.DUMMYFUNCTION("""COMPUTED_VALUE"""),"KATRINA LUNA ABAD")</f>
        <v>KATRINA LUNA ABAD</v>
      </c>
      <c r="C30" s="1" t="str">
        <f>IFERROR(__xludf.DUMMYFUNCTION("""COMPUTED_VALUE"""),"RITM0304909")</f>
        <v>RITM0304909</v>
      </c>
      <c r="D30" s="1" t="str">
        <f>IFERROR(__xludf.DUMMYFUNCTION("""COMPUTED_VALUE"""),"CS1340076 / WO0904184")</f>
        <v>CS1340076 / WO0904184</v>
      </c>
      <c r="E30" s="1">
        <f>IFERROR(__xludf.DUMMYFUNCTION("""COMPUTED_VALUE"""),7496161469)</f>
        <v>7496161469</v>
      </c>
      <c r="F30" s="1" t="str">
        <f>IFERROR(__xludf.DUMMYFUNCTION("""COMPUTED_VALUE"""),"katrinaabad2504@gmail.com")</f>
        <v>katrinaabad2504@gmail.com</v>
      </c>
      <c r="G30" s="1" t="str">
        <f>IFERROR(__xludf.DUMMYFUNCTION("""COMPUTED_VALUE"""),"CLOSED")</f>
        <v>CLOSED</v>
      </c>
      <c r="H30" s="1"/>
      <c r="I30" s="1"/>
      <c r="J30" s="1" t="str">
        <f>IFERROR(__xludf.DUMMYFUNCTION("""COMPUTED_VALUE"""),"PAID VIA GACSH 757001554 AUG 5")</f>
        <v>PAID VIA GACSH 757001554 AUG 5</v>
      </c>
      <c r="K30" s="1" t="str">
        <f>IFERROR(__xludf.DUMMYFUNCTION("""COMPUTED_VALUE"""),"PAID")</f>
        <v>PAID</v>
      </c>
      <c r="L30" s="1" t="str">
        <f>IFERROR(__xludf.DUMMYFUNCTION("""COMPUTED_VALUE"""),"POSTED")</f>
        <v>POSTED</v>
      </c>
      <c r="M30" s="1" t="str">
        <f>IFERROR(__xludf.DUMMYFUNCTION("""COMPUTED_VALUE"""),"8/6/2026")</f>
        <v>8/6/2026</v>
      </c>
      <c r="N30" s="1" t="str">
        <f>IFERROR(__xludf.DUMMYFUNCTION("""COMPUTED_VALUE"""),"RED_RS_ONL_CVE_25")</f>
        <v>RED_RS_ONL_CVE_25</v>
      </c>
      <c r="O30" s="1" t="str">
        <f>IFERROR(__xludf.DUMMYFUNCTION("""COMPUTED_VALUE"""),"RED FIBR 1000")</f>
        <v>RED FIBR 1000</v>
      </c>
      <c r="P30" s="1" t="str">
        <f>IFERROR(__xludf.DUMMYFUNCTION("""COMPUTED_VALUE"""),"MMM018713")</f>
        <v>MMM018713</v>
      </c>
      <c r="Q30" s="1" t="str">
        <f>IFERROR(__xludf.DUMMYFUNCTION("""COMPUTED_VALUE"""),"BONZA, LEE VINCENT")</f>
        <v>BONZA, LEE VINCENT</v>
      </c>
      <c r="R30" s="1" t="str">
        <f>IFERROR(__xludf.DUMMYFUNCTION("""COMPUTED_VALUE"""),"GARCIA MICHAEL JETTS")</f>
        <v>GARCIA MICHAEL JETTS</v>
      </c>
      <c r="S30" s="1" t="str">
        <f>IFERROR(__xludf.DUMMYFUNCTION("""COMPUTED_VALUE"""),"SALIOA JB")</f>
        <v>SALIOA JB</v>
      </c>
      <c r="T30" s="1" t="str">
        <f>IFERROR(__xludf.DUMMYFUNCTION("""COMPUTED_VALUE"""),"SP6MONTHS")</f>
        <v>SP6MONTHS</v>
      </c>
      <c r="U30" s="1">
        <f>IFERROR(__xludf.DUMMYFUNCTION("""COMPUTED_VALUE"""),9850197549)</f>
        <v>9850197549</v>
      </c>
      <c r="V30" s="1"/>
      <c r="W30" s="1">
        <f>IFERROR(__xludf.DUMMYFUNCTION("""COMPUTED_VALUE"""),584)</f>
        <v>584</v>
      </c>
      <c r="X30" s="1" t="str">
        <f>IFERROR(__xludf.DUMMYFUNCTION("""COMPUTED_VALUE"""),"EMILIO TORRES ST")</f>
        <v>EMILIO TORRES ST</v>
      </c>
      <c r="Y30" s="1"/>
      <c r="Z30" s="1" t="str">
        <f>IFERROR(__xludf.DUMMYFUNCTION("""COMPUTED_VALUE"""),"JULUGAN I")</f>
        <v>JULUGAN I</v>
      </c>
      <c r="AA30" s="1" t="str">
        <f>IFERROR(__xludf.DUMMYFUNCTION("""COMPUTED_VALUE"""),"TANZA")</f>
        <v>TANZA</v>
      </c>
      <c r="AB30" s="1"/>
      <c r="AC30" s="1" t="str">
        <f>IFERROR(__xludf.DUMMYFUNCTION("""COMPUTED_VALUE"""),"120.843017 / 14.404094")</f>
        <v>120.843017 / 14.404094</v>
      </c>
    </row>
    <row r="31" customHeight="1" spans="1:29">
      <c r="A31" s="3">
        <f>IFERROR(__xludf.DUMMYFUNCTION("""COMPUTED_VALUE"""),46239)</f>
        <v>46239</v>
      </c>
      <c r="B31" s="1" t="str">
        <f>IFERROR(__xludf.DUMMYFUNCTION("""COMPUTED_VALUE"""),"ANGEL ANNE SANTOS")</f>
        <v>ANGEL ANNE SANTOS</v>
      </c>
      <c r="C31" s="1" t="str">
        <f>IFERROR(__xludf.DUMMYFUNCTION("""COMPUTED_VALUE"""),"RITM0304931")</f>
        <v>RITM0304931</v>
      </c>
      <c r="D31" s="1"/>
      <c r="E31" s="1"/>
      <c r="F31" s="1" t="str">
        <f>IFERROR(__xludf.DUMMYFUNCTION("""COMPUTED_VALUE"""),"ariamarquez01@gmail.com")</f>
        <v>ariamarquez01@gmail.com</v>
      </c>
      <c r="G31" s="1" t="str">
        <f>IFERROR(__xludf.DUMMYFUNCTION("""COMPUTED_VALUE"""),"REJECTED")</f>
        <v>REJECTED</v>
      </c>
      <c r="H31" s="1"/>
      <c r="I31" s="1" t="str">
        <f>IFERROR(__xludf.DUMMYFUNCTION("""COMPUTED_VALUE"""),"MISMATCHED DOB: CRP/POID (2001-09-01) SAF (2001-01-09) //")</f>
        <v>MISMATCHED DOB: CRP/POID (2001-09-01) SAF (2001-01-09) //</v>
      </c>
      <c r="J31" s="1"/>
      <c r="K31" s="1"/>
      <c r="L31" s="1" t="str">
        <f>IFERROR(__xludf.DUMMYFUNCTION("""COMPUTED_VALUE"""),"REENCODED")</f>
        <v>REENCODED</v>
      </c>
      <c r="M31" s="1"/>
      <c r="N31" s="1" t="str">
        <f>IFERROR(__xludf.DUMMYFUNCTION("""COMPUTED_VALUE"""),"RED_RS_ONL_CVE_25")</f>
        <v>RED_RS_ONL_CVE_25</v>
      </c>
      <c r="O31" s="1" t="str">
        <f>IFERROR(__xludf.DUMMYFUNCTION("""COMPUTED_VALUE"""),"RED FIBR 1000")</f>
        <v>RED FIBR 1000</v>
      </c>
      <c r="P31" s="1" t="str">
        <f>IFERROR(__xludf.DUMMYFUNCTION("""COMPUTED_VALUE"""),"MMM018713")</f>
        <v>MMM018713</v>
      </c>
      <c r="Q31" s="1" t="str">
        <f>IFERROR(__xludf.DUMMYFUNCTION("""COMPUTED_VALUE"""),"BONZA, LEE VINCENT")</f>
        <v>BONZA, LEE VINCENT</v>
      </c>
      <c r="R31" s="1" t="str">
        <f>IFERROR(__xludf.DUMMYFUNCTION("""COMPUTED_VALUE"""),"GARCIA MICHAEL JETTS")</f>
        <v>GARCIA MICHAEL JETTS</v>
      </c>
      <c r="S31" s="1" t="str">
        <f>IFERROR(__xludf.DUMMYFUNCTION("""COMPUTED_VALUE"""),"SALIOA JB")</f>
        <v>SALIOA JB</v>
      </c>
      <c r="T31" s="1" t="str">
        <f>IFERROR(__xludf.DUMMYFUNCTION("""COMPUTED_VALUE"""),"SP6MONTHS")</f>
        <v>SP6MONTHS</v>
      </c>
      <c r="U31" s="1">
        <f>IFERROR(__xludf.DUMMYFUNCTION("""COMPUTED_VALUE"""),9750541764)</f>
        <v>9750541764</v>
      </c>
      <c r="V31" s="1"/>
      <c r="W31" s="1">
        <f>IFERROR(__xludf.DUMMYFUNCTION("""COMPUTED_VALUE"""),31)</f>
        <v>31</v>
      </c>
      <c r="X31" s="1" t="str">
        <f>IFERROR(__xludf.DUMMYFUNCTION("""COMPUTED_VALUE"""),"MALIGAYA ST")</f>
        <v>MALIGAYA ST</v>
      </c>
      <c r="Y31" s="1"/>
      <c r="Z31" s="1" t="str">
        <f>IFERROR(__xludf.DUMMYFUNCTION("""COMPUTED_VALUE"""),"JULUGAN VI")</f>
        <v>JULUGAN VI</v>
      </c>
      <c r="AA31" s="1" t="str">
        <f>IFERROR(__xludf.DUMMYFUNCTION("""COMPUTED_VALUE"""),"TANZA")</f>
        <v>TANZA</v>
      </c>
      <c r="AB31" s="1"/>
      <c r="AC31" s="1" t="str">
        <f>IFERROR(__xludf.DUMMYFUNCTION("""COMPUTED_VALUE"""),"120.843584 / 14.401775")</f>
        <v>120.843584 / 14.401775</v>
      </c>
    </row>
    <row r="32" customHeight="1" spans="1:29">
      <c r="A32" s="3">
        <f>IFERROR(__xludf.DUMMYFUNCTION("""COMPUTED_VALUE"""),46239)</f>
        <v>46239</v>
      </c>
      <c r="B32" s="1" t="str">
        <f>IFERROR(__xludf.DUMMYFUNCTION("""COMPUTED_VALUE"""),"DOLORES TRINIDAD ICAMEN")</f>
        <v>DOLORES TRINIDAD ICAMEN</v>
      </c>
      <c r="C32" s="1" t="str">
        <f>IFERROR(__xludf.DUMMYFUNCTION("""COMPUTED_VALUE"""),"RITM0304944")</f>
        <v>RITM0304944</v>
      </c>
      <c r="D32" s="1" t="str">
        <f>IFERROR(__xludf.DUMMYFUNCTION("""COMPUTED_VALUE"""),"CS1340111 / WO0904195")</f>
        <v>CS1340111 / WO0904195</v>
      </c>
      <c r="E32" s="1">
        <f>IFERROR(__xludf.DUMMYFUNCTION("""COMPUTED_VALUE"""),2291995186)</f>
        <v>2291995186</v>
      </c>
      <c r="F32" s="1" t="str">
        <f>IFERROR(__xludf.DUMMYFUNCTION("""COMPUTED_VALUE"""),"doloresicamen1969@gmail.com")</f>
        <v>doloresicamen1969@gmail.com</v>
      </c>
      <c r="G32" s="1" t="str">
        <f>IFERROR(__xludf.DUMMYFUNCTION("""COMPUTED_VALUE"""),"CLOSED")</f>
        <v>CLOSED</v>
      </c>
      <c r="H32" s="1"/>
      <c r="I32" s="1"/>
      <c r="J32" s="1" t="str">
        <f>IFERROR(__xludf.DUMMYFUNCTION("""COMPUTED_VALUE"""),"PAID VIA GCASH - AUG 5 - REF - 355100289")</f>
        <v>PAID VIA GCASH - AUG 5 - REF - 355100289</v>
      </c>
      <c r="K32" s="1" t="str">
        <f>IFERROR(__xludf.DUMMYFUNCTION("""COMPUTED_VALUE"""),"PAID")</f>
        <v>PAID</v>
      </c>
      <c r="L32" s="1" t="str">
        <f>IFERROR(__xludf.DUMMYFUNCTION("""COMPUTED_VALUE"""),"POSTED")</f>
        <v>POSTED</v>
      </c>
      <c r="M32" s="1" t="str">
        <f>IFERROR(__xludf.DUMMYFUNCTION("""COMPUTED_VALUE"""),"8/7/2026")</f>
        <v>8/7/2026</v>
      </c>
      <c r="N32" s="1" t="str">
        <f>IFERROR(__xludf.DUMMYFUNCTION("""COMPUTED_VALUE"""),"RED_RS_ONL_CVE_25")</f>
        <v>RED_RS_ONL_CVE_25</v>
      </c>
      <c r="O32" s="1" t="str">
        <f>IFERROR(__xludf.DUMMYFUNCTION("""COMPUTED_VALUE"""),"RED FIBR 1000")</f>
        <v>RED FIBR 1000</v>
      </c>
      <c r="P32" s="1" t="str">
        <f>IFERROR(__xludf.DUMMYFUNCTION("""COMPUTED_VALUE"""),"MMM018713")</f>
        <v>MMM018713</v>
      </c>
      <c r="Q32" s="1" t="str">
        <f>IFERROR(__xludf.DUMMYFUNCTION("""COMPUTED_VALUE"""),"BONZA, LEE VINCENT")</f>
        <v>BONZA, LEE VINCENT</v>
      </c>
      <c r="R32" s="1" t="str">
        <f>IFERROR(__xludf.DUMMYFUNCTION("""COMPUTED_VALUE"""),"GARCIA MICHAEL JETTS")</f>
        <v>GARCIA MICHAEL JETTS</v>
      </c>
      <c r="S32" s="1" t="str">
        <f>IFERROR(__xludf.DUMMYFUNCTION("""COMPUTED_VALUE"""),"SALIOA JB")</f>
        <v>SALIOA JB</v>
      </c>
      <c r="T32" s="1" t="str">
        <f>IFERROR(__xludf.DUMMYFUNCTION("""COMPUTED_VALUE"""),"SP6MONTHS")</f>
        <v>SP6MONTHS</v>
      </c>
      <c r="U32" s="1">
        <f>IFERROR(__xludf.DUMMYFUNCTION("""COMPUTED_VALUE"""),9060397762)</f>
        <v>9060397762</v>
      </c>
      <c r="V32" s="1"/>
      <c r="W32" s="1"/>
      <c r="X32" s="1" t="str">
        <f>IFERROR(__xludf.DUMMYFUNCTION("""COMPUTED_VALUE"""),"14TH ST")</f>
        <v>14TH ST</v>
      </c>
      <c r="Y32" s="1" t="str">
        <f>IFERROR(__xludf.DUMMYFUNCTION("""COMPUTED_VALUE"""),"ISTANA PHASE B")</f>
        <v>ISTANA PHASE B</v>
      </c>
      <c r="Z32" s="1" t="str">
        <f>IFERROR(__xludf.DUMMYFUNCTION("""COMPUTED_VALUE"""),"AMAYA II")</f>
        <v>AMAYA II</v>
      </c>
      <c r="AA32" s="1" t="str">
        <f>IFERROR(__xludf.DUMMYFUNCTION("""COMPUTED_VALUE"""),"TANZA")</f>
        <v>TANZA</v>
      </c>
      <c r="AB32" s="1"/>
      <c r="AC32" s="1" t="str">
        <f>IFERROR(__xludf.DUMMYFUNCTION("""COMPUTED_VALUE"""),"120.837849 / 14.373937")</f>
        <v>120.837849 / 14.373937</v>
      </c>
    </row>
    <row r="33" customHeight="1" spans="1:29">
      <c r="A33" s="3">
        <f>IFERROR(__xludf.DUMMYFUNCTION("""COMPUTED_VALUE"""),46239)</f>
        <v>46239</v>
      </c>
      <c r="B33" s="1" t="str">
        <f>IFERROR(__xludf.DUMMYFUNCTION("""COMPUTED_VALUE"""),"ANGEL ANNE SANTOS")</f>
        <v>ANGEL ANNE SANTOS</v>
      </c>
      <c r="C33" s="1" t="str">
        <f>IFERROR(__xludf.DUMMYFUNCTION("""COMPUTED_VALUE"""),"RITM0304947")</f>
        <v>RITM0304947</v>
      </c>
      <c r="D33" s="1" t="str">
        <f>IFERROR(__xludf.DUMMYFUNCTION("""COMPUTED_VALUE"""),"CS1340257 / WO0904382")</f>
        <v>CS1340257 / WO0904382</v>
      </c>
      <c r="E33" s="1">
        <f>IFERROR(__xludf.DUMMYFUNCTION("""COMPUTED_VALUE"""),3919799179)</f>
        <v>3919799179</v>
      </c>
      <c r="F33" s="1" t="str">
        <f>IFERROR(__xludf.DUMMYFUNCTION("""COMPUTED_VALUE"""),"ariamarquez01@gmail.com")</f>
        <v>ariamarquez01@gmail.com</v>
      </c>
      <c r="G33" s="1" t="str">
        <f>IFERROR(__xludf.DUMMYFUNCTION("""COMPUTED_VALUE"""),"CLOSED")</f>
        <v>CLOSED</v>
      </c>
      <c r="H33" s="1"/>
      <c r="I33" s="1"/>
      <c r="J33" s="1" t="str">
        <f>IFERROR(__xludf.DUMMYFUNCTION("""COMPUTED_VALUE"""),"PAID VIA GCASH - AUG 5 - REF - 003962017")</f>
        <v>PAID VIA GCASH - AUG 5 - REF - 003962017</v>
      </c>
      <c r="K33" s="1" t="str">
        <f>IFERROR(__xludf.DUMMYFUNCTION("""COMPUTED_VALUE"""),"PAID")</f>
        <v>PAID</v>
      </c>
      <c r="L33" s="1" t="str">
        <f>IFERROR(__xludf.DUMMYFUNCTION("""COMPUTED_VALUE"""),"POSTED")</f>
        <v>POSTED</v>
      </c>
      <c r="M33" s="1" t="str">
        <f>IFERROR(__xludf.DUMMYFUNCTION("""COMPUTED_VALUE"""),"8/7/2026")</f>
        <v>8/7/2026</v>
      </c>
      <c r="N33" s="1" t="str">
        <f>IFERROR(__xludf.DUMMYFUNCTION("""COMPUTED_VALUE"""),"RED_RS_ONL_CVE_25")</f>
        <v>RED_RS_ONL_CVE_25</v>
      </c>
      <c r="O33" s="1" t="str">
        <f>IFERROR(__xludf.DUMMYFUNCTION("""COMPUTED_VALUE"""),"RED FIBR 1000")</f>
        <v>RED FIBR 1000</v>
      </c>
      <c r="P33" s="1" t="str">
        <f>IFERROR(__xludf.DUMMYFUNCTION("""COMPUTED_VALUE"""),"MMM018713")</f>
        <v>MMM018713</v>
      </c>
      <c r="Q33" s="1" t="str">
        <f>IFERROR(__xludf.DUMMYFUNCTION("""COMPUTED_VALUE"""),"BONZA, LEE VINCENT")</f>
        <v>BONZA, LEE VINCENT</v>
      </c>
      <c r="R33" s="1" t="str">
        <f>IFERROR(__xludf.DUMMYFUNCTION("""COMPUTED_VALUE"""),"GARCIA MICHAEL JETTS")</f>
        <v>GARCIA MICHAEL JETTS</v>
      </c>
      <c r="S33" s="1" t="str">
        <f>IFERROR(__xludf.DUMMYFUNCTION("""COMPUTED_VALUE"""),"SALIOA JB")</f>
        <v>SALIOA JB</v>
      </c>
      <c r="T33" s="1" t="str">
        <f>IFERROR(__xludf.DUMMYFUNCTION("""COMPUTED_VALUE"""),"SP6MONTHS")</f>
        <v>SP6MONTHS</v>
      </c>
      <c r="U33" s="1">
        <f>IFERROR(__xludf.DUMMYFUNCTION("""COMPUTED_VALUE"""),9750541764)</f>
        <v>9750541764</v>
      </c>
      <c r="V33" s="1"/>
      <c r="W33" s="1">
        <f>IFERROR(__xludf.DUMMYFUNCTION("""COMPUTED_VALUE"""),31)</f>
        <v>31</v>
      </c>
      <c r="X33" s="1" t="str">
        <f>IFERROR(__xludf.DUMMYFUNCTION("""COMPUTED_VALUE"""),"MALIGAYA ST")</f>
        <v>MALIGAYA ST</v>
      </c>
      <c r="Y33" s="1"/>
      <c r="Z33" s="1" t="str">
        <f>IFERROR(__xludf.DUMMYFUNCTION("""COMPUTED_VALUE"""),"JULUGAN VI")</f>
        <v>JULUGAN VI</v>
      </c>
      <c r="AA33" s="1" t="str">
        <f>IFERROR(__xludf.DUMMYFUNCTION("""COMPUTED_VALUE"""),"TANZA")</f>
        <v>TANZA</v>
      </c>
      <c r="AB33" s="1"/>
      <c r="AC33" s="1" t="str">
        <f>IFERROR(__xludf.DUMMYFUNCTION("""COMPUTED_VALUE"""),"120.843584 / 14.401775")</f>
        <v>120.843584 / 14.401775</v>
      </c>
    </row>
    <row r="34" customHeight="1" spans="1:29">
      <c r="A34" s="3">
        <f>IFERROR(__xludf.DUMMYFUNCTION("""COMPUTED_VALUE"""),46240)</f>
        <v>46240</v>
      </c>
      <c r="B34" s="1" t="str">
        <f>IFERROR(__xludf.DUMMYFUNCTION("""COMPUTED_VALUE"""),"RANCES WALLY BONIFACIO SISON")</f>
        <v>RANCES WALLY BONIFACIO SISON</v>
      </c>
      <c r="C34" s="1" t="str">
        <f>IFERROR(__xludf.DUMMYFUNCTION("""COMPUTED_VALUE"""),"RITM0305062")</f>
        <v>RITM0305062</v>
      </c>
      <c r="D34" s="1" t="str">
        <f>IFERROR(__xludf.DUMMYFUNCTION("""COMPUTED_VALUE"""),"CS1340515 / WO0904432")</f>
        <v>CS1340515 / WO0904432</v>
      </c>
      <c r="E34" s="1">
        <f>IFERROR(__xludf.DUMMYFUNCTION("""COMPUTED_VALUE"""),4459353981)</f>
        <v>4459353981</v>
      </c>
      <c r="F34" s="1" t="str">
        <f>IFERROR(__xludf.DUMMYFUNCTION("""COMPUTED_VALUE"""),"zeinette.02@gmail.com")</f>
        <v>zeinette.02@gmail.com</v>
      </c>
      <c r="G34" s="1" t="str">
        <f>IFERROR(__xludf.DUMMYFUNCTION("""COMPUTED_VALUE"""),"CLOSED")</f>
        <v>CLOSED</v>
      </c>
      <c r="H34" s="1"/>
      <c r="I34" s="1"/>
      <c r="J34" s="1" t="str">
        <f>IFERROR(__xludf.DUMMYFUNCTION("""COMPUTED_VALUE"""),"PAID THRU GCASH REF 26218ETE71D2K10TV")</f>
        <v>PAID THRU GCASH REF 26218ETE71D2K10TV</v>
      </c>
      <c r="K34" s="1" t="str">
        <f>IFERROR(__xludf.DUMMYFUNCTION("""COMPUTED_VALUE"""),"PAID")</f>
        <v>PAID</v>
      </c>
      <c r="L34" s="1" t="str">
        <f>IFERROR(__xludf.DUMMYFUNCTION("""COMPUTED_VALUE"""),"POSTED")</f>
        <v>POSTED</v>
      </c>
      <c r="M34" s="1" t="str">
        <f>IFERROR(__xludf.DUMMYFUNCTION("""COMPUTED_VALUE"""),"8/7/2026")</f>
        <v>8/7/2026</v>
      </c>
      <c r="N34" s="1" t="str">
        <f>IFERROR(__xludf.DUMMYFUNCTION("""COMPUTED_VALUE"""),"RED_RS_ONL_CVE_25")</f>
        <v>RED_RS_ONL_CVE_25</v>
      </c>
      <c r="O34" s="1" t="str">
        <f>IFERROR(__xludf.DUMMYFUNCTION("""COMPUTED_VALUE"""),"RED FIBR 1000")</f>
        <v>RED FIBR 1000</v>
      </c>
      <c r="P34" s="1" t="str">
        <f>IFERROR(__xludf.DUMMYFUNCTION("""COMPUTED_VALUE""")," MMM018712")</f>
        <v> MMM018712</v>
      </c>
      <c r="Q34" s="1" t="str">
        <f>IFERROR(__xludf.DUMMYFUNCTION("""COMPUTED_VALUE"""),"LUPENA. KARL ANGELO")</f>
        <v>LUPENA. KARL ANGELO</v>
      </c>
      <c r="R34" s="1" t="str">
        <f>IFERROR(__xludf.DUMMYFUNCTION("""COMPUTED_VALUE"""),"GARCIA MICHAEL JETTS")</f>
        <v>GARCIA MICHAEL JETTS</v>
      </c>
      <c r="S34" s="1" t="str">
        <f>IFERROR(__xludf.DUMMYFUNCTION("""COMPUTED_VALUE"""),"ESPIRITU JULIE")</f>
        <v>ESPIRITU JULIE</v>
      </c>
      <c r="T34" s="1" t="str">
        <f>IFERROR(__xludf.DUMMYFUNCTION("""COMPUTED_VALUE"""),"SP6MONTHS")</f>
        <v>SP6MONTHS</v>
      </c>
      <c r="U34" s="1">
        <f>IFERROR(__xludf.DUMMYFUNCTION("""COMPUTED_VALUE"""),9298378277)</f>
        <v>9298378277</v>
      </c>
      <c r="V34" s="1"/>
      <c r="W34" s="1"/>
      <c r="X34" s="1" t="str">
        <f>IFERROR(__xludf.DUMMYFUNCTION("""COMPUTED_VALUE"""),"PHASE A ST")</f>
        <v>PHASE A ST</v>
      </c>
      <c r="Y34" s="1" t="str">
        <f>IFERROR(__xludf.DUMMYFUNCTION("""COMPUTED_VALUE"""),"PEARL RESIDENCES PHASE A")</f>
        <v>PEARL RESIDENCES PHASE A</v>
      </c>
      <c r="Z34" s="1" t="str">
        <f>IFERROR(__xludf.DUMMYFUNCTION("""COMPUTED_VALUE"""),"CAPIPISA")</f>
        <v>CAPIPISA</v>
      </c>
      <c r="AA34" s="1" t="str">
        <f>IFERROR(__xludf.DUMMYFUNCTION("""COMPUTED_VALUE"""),"TANZA")</f>
        <v>TANZA</v>
      </c>
      <c r="AB34" s="1" t="str">
        <f>IFERROR(__xludf.DUMMYFUNCTION("""COMPUTED_VALUE"""),"CVT6 LCP135 NP1/2")</f>
        <v>CVT6 LCP135 NP1/2</v>
      </c>
      <c r="AC34" s="1" t="str">
        <f>IFERROR(__xludf.DUMMYFUNCTION("""COMPUTED_VALUE""")," 120.796006 / 14.356371")</f>
        <v> 120.796006 / 14.356371</v>
      </c>
    </row>
    <row r="35" customHeight="1" spans="1:29">
      <c r="A35" s="3">
        <f>IFERROR(__xludf.DUMMYFUNCTION("""COMPUTED_VALUE"""),46241)</f>
        <v>46241</v>
      </c>
      <c r="B35" s="1" t="str">
        <f>IFERROR(__xludf.DUMMYFUNCTION("""COMPUTED_VALUE"""),"EMILIANO LAVAJO ONDRA")</f>
        <v>EMILIANO LAVAJO ONDRA</v>
      </c>
      <c r="C35" s="1" t="str">
        <f>IFERROR(__xludf.DUMMYFUNCTION("""COMPUTED_VALUE"""),"RITM0305222")</f>
        <v>RITM0305222</v>
      </c>
      <c r="D35" s="1" t="str">
        <f>IFERROR(__xludf.DUMMYFUNCTION("""COMPUTED_VALUE"""),"CS1341019 / WO0904765")</f>
        <v>CS1341019 / WO0904765</v>
      </c>
      <c r="E35" s="1">
        <f>IFERROR(__xludf.DUMMYFUNCTION("""COMPUTED_VALUE"""),8862347669)</f>
        <v>8862347669</v>
      </c>
      <c r="F35" s="1" t="str">
        <f>IFERROR(__xludf.DUMMYFUNCTION("""COMPUTED_VALUE"""),"emilianoondra987@gmail.com")</f>
        <v>emilianoondra987@gmail.com</v>
      </c>
      <c r="G35" s="1" t="str">
        <f>IFERROR(__xludf.DUMMYFUNCTION("""COMPUTED_VALUE"""),"CLOSED")</f>
        <v>CLOSED</v>
      </c>
      <c r="H35" s="1"/>
      <c r="I35" s="1"/>
      <c r="J35" s="1" t="str">
        <f>IFERROR(__xludf.DUMMYFUNCTION("""COMPUTED_VALUE"""),"PAID THRU GCASH REF RADI23680YGT8YB4 AUG 7")</f>
        <v>PAID THRU GCASH REF RADI23680YGT8YB4 AUG 7</v>
      </c>
      <c r="K35" s="1" t="str">
        <f>IFERROR(__xludf.DUMMYFUNCTION("""COMPUTED_VALUE"""),"PAID")</f>
        <v>PAID</v>
      </c>
      <c r="L35" s="1" t="str">
        <f>IFERROR(__xludf.DUMMYFUNCTION("""COMPUTED_VALUE"""),"POSTED")</f>
        <v>POSTED</v>
      </c>
      <c r="M35" s="1" t="str">
        <f>IFERROR(__xludf.DUMMYFUNCTION("""COMPUTED_VALUE"""),"2026")</f>
        <v>2026</v>
      </c>
      <c r="N35" s="1" t="str">
        <f>IFERROR(__xludf.DUMMYFUNCTION("""COMPUTED_VALUE"""),"RED_RS_ONL_CVE_25")</f>
        <v>RED_RS_ONL_CVE_25</v>
      </c>
      <c r="O35" s="1" t="str">
        <f>IFERROR(__xludf.DUMMYFUNCTION("""COMPUTED_VALUE"""),"RED FIBR 1000")</f>
        <v>RED FIBR 1000</v>
      </c>
      <c r="P35" s="1" t="str">
        <f>IFERROR(__xludf.DUMMYFUNCTION("""COMPUTED_VALUE"""),"MMM018712")</f>
        <v>MMM018712</v>
      </c>
      <c r="Q35" s="1" t="str">
        <f>IFERROR(__xludf.DUMMYFUNCTION("""COMPUTED_VALUE"""),"LUPENA. KARL ANGELO")</f>
        <v>LUPENA. KARL ANGELO</v>
      </c>
      <c r="R35" s="1" t="str">
        <f>IFERROR(__xludf.DUMMYFUNCTION("""COMPUTED_VALUE"""),"GARCIA MICHAEL JETTS")</f>
        <v>GARCIA MICHAEL JETTS</v>
      </c>
      <c r="S35" s="1" t="str">
        <f>IFERROR(__xludf.DUMMYFUNCTION("""COMPUTED_VALUE"""),"ESPIRITU JULIE")</f>
        <v>ESPIRITU JULIE</v>
      </c>
      <c r="T35" s="1" t="str">
        <f>IFERROR(__xludf.DUMMYFUNCTION("""COMPUTED_VALUE"""),"SP6MONTHS")</f>
        <v>SP6MONTHS</v>
      </c>
      <c r="U35" s="1">
        <f>IFERROR(__xludf.DUMMYFUNCTION("""COMPUTED_VALUE"""),9369057125)</f>
        <v>9369057125</v>
      </c>
      <c r="V35" s="1"/>
      <c r="W35" s="1">
        <f>IFERROR(__xludf.DUMMYFUNCTION("""COMPUTED_VALUE"""),9708)</f>
        <v>9708</v>
      </c>
      <c r="X35" s="1" t="str">
        <f>IFERROR(__xludf.DUMMYFUNCTION("""COMPUTED_VALUE"""),"PROGRESSIVE VILLAGE ")</f>
        <v>PROGRESSIVE VILLAGE </v>
      </c>
      <c r="Y35" s="1" t="str">
        <f>IFERROR(__xludf.DUMMYFUNCTION("""COMPUTED_VALUE"""),"PROGRESSIVE VILLAGE 9")</f>
        <v>PROGRESSIVE VILLAGE 9</v>
      </c>
      <c r="Z35" s="1" t="str">
        <f>IFERROR(__xludf.DUMMYFUNCTION("""COMPUTED_VALUE"""),"MOLINO 2")</f>
        <v>MOLINO 2</v>
      </c>
      <c r="AA35" s="1" t="str">
        <f>IFERROR(__xludf.DUMMYFUNCTION("""COMPUTED_VALUE"""),"BACOOR")</f>
        <v>BACOOR</v>
      </c>
      <c r="AB35" s="1" t="str">
        <f>IFERROR(__xludf.DUMMYFUNCTION("""COMPUTED_VALUE"""),"CVT5 LCP73 NP1/2")</f>
        <v>CVT5 LCP73 NP1/2</v>
      </c>
      <c r="AC35" s="1" t="str">
        <f>IFERROR(__xludf.DUMMYFUNCTION("""COMPUTED_VALUE"""),"120.975689 / 14.412946")</f>
        <v>120.975689 / 14.412946</v>
      </c>
    </row>
    <row r="36" customHeight="1" spans="1:29">
      <c r="A36" s="3">
        <f>IFERROR(__xludf.DUMMYFUNCTION("""COMPUTED_VALUE"""),46241)</f>
        <v>46241</v>
      </c>
      <c r="B36" s="1" t="str">
        <f>IFERROR(__xludf.DUMMYFUNCTION("""COMPUTED_VALUE"""),"JET NICOLETT FLORES VICENTE")</f>
        <v>JET NICOLETT FLORES VICENTE</v>
      </c>
      <c r="C36" s="1" t="str">
        <f>IFERROR(__xludf.DUMMYFUNCTION("""COMPUTED_VALUE"""),"RITM0305299")</f>
        <v>RITM0305299</v>
      </c>
      <c r="D36" s="1"/>
      <c r="E36" s="1"/>
      <c r="F36" s="1" t="str">
        <f>IFERROR(__xludf.DUMMYFUNCTION("""COMPUTED_VALUE"""),"jetflores47@gmail.com")</f>
        <v>jetflores47@gmail.com</v>
      </c>
      <c r="G36" s="1" t="str">
        <f>IFERROR(__xludf.DUMMYFUNCTION("""COMPUTED_VALUE"""),"APPROVED")</f>
        <v>APPROVED</v>
      </c>
      <c r="H36" s="1"/>
      <c r="I36" s="1" t="str">
        <f>IFERROR(__xludf.DUMMYFUNCTION("""COMPUTED_VALUE"""),"CANCELLED - AGING")</f>
        <v>CANCELLED - AGING</v>
      </c>
      <c r="J36" s="1"/>
      <c r="K36" s="1"/>
      <c r="L36" s="1" t="str">
        <f>IFERROR(__xludf.DUMMYFUNCTION("""COMPUTED_VALUE"""),"CANCELLED - AGING")</f>
        <v>CANCELLED - AGING</v>
      </c>
      <c r="M36" s="1"/>
      <c r="N36" s="1" t="str">
        <f>IFERROR(__xludf.DUMMYFUNCTION("""COMPUTED_VALUE"""),"RED_RS_ONL_CVE_25")</f>
        <v>RED_RS_ONL_CVE_25</v>
      </c>
      <c r="O36" s="1" t="str">
        <f>IFERROR(__xludf.DUMMYFUNCTION("""COMPUTED_VALUE"""),"RED FIBR 1400")</f>
        <v>RED FIBR 1400</v>
      </c>
      <c r="P36" s="1" t="str">
        <f>IFERROR(__xludf.DUMMYFUNCTION("""COMPUTED_VALUE"""),"MMM018709")</f>
        <v>MMM018709</v>
      </c>
      <c r="Q36" s="1" t="str">
        <f>IFERROR(__xludf.DUMMYFUNCTION("""COMPUTED_VALUE"""),"KAWAUCHI, SHANE")</f>
        <v>KAWAUCHI, SHANE</v>
      </c>
      <c r="R36" s="1" t="str">
        <f>IFERROR(__xludf.DUMMYFUNCTION("""COMPUTED_VALUE"""),"GARCIA MICHAEL JETTS")</f>
        <v>GARCIA MICHAEL JETTS</v>
      </c>
      <c r="S36" s="1" t="str">
        <f>IFERROR(__xludf.DUMMYFUNCTION("""COMPUTED_VALUE"""),"ESPIRITU JULIE")</f>
        <v>ESPIRITU JULIE</v>
      </c>
      <c r="T36" s="1" t="str">
        <f>IFERROR(__xludf.DUMMYFUNCTION("""COMPUTED_VALUE"""),"SP6MONTHS")</f>
        <v>SP6MONTHS</v>
      </c>
      <c r="U36" s="1">
        <f>IFERROR(__xludf.DUMMYFUNCTION("""COMPUTED_VALUE"""),9273926599)</f>
        <v>9273926599</v>
      </c>
      <c r="V36" s="1"/>
      <c r="W36" s="1">
        <f>IFERROR(__xludf.DUMMYFUNCTION("""COMPUTED_VALUE"""),129)</f>
        <v>129</v>
      </c>
      <c r="X36" s="1" t="str">
        <f>IFERROR(__xludf.DUMMYFUNCTION("""COMPUTED_VALUE"""),"TIERRA VERDE TOWN HOMES")</f>
        <v>TIERRA VERDE TOWN HOMES</v>
      </c>
      <c r="Y36" s="1" t="str">
        <f>IFERROR(__xludf.DUMMYFUNCTION("""COMPUTED_VALUE"""),"TIERRA VERDE TOWN HOMES")</f>
        <v>TIERRA VERDE TOWN HOMES</v>
      </c>
      <c r="Z36" s="1" t="str">
        <f>IFERROR(__xludf.DUMMYFUNCTION("""COMPUTED_VALUE"""),"HABAY II")</f>
        <v>HABAY II</v>
      </c>
      <c r="AA36" s="1" t="str">
        <f>IFERROR(__xludf.DUMMYFUNCTION("""COMPUTED_VALUE"""),"BACOOR")</f>
        <v>BACOOR</v>
      </c>
      <c r="AB36" s="1"/>
      <c r="AC36" s="1" t="str">
        <f>IFERROR(__xludf.DUMMYFUNCTION("""COMPUTED_VALUE""")," 120.949844 / 14.442021")</f>
        <v> 120.949844 / 14.442021</v>
      </c>
    </row>
    <row r="37" customHeight="1" spans="1:29">
      <c r="A37" s="3">
        <f>IFERROR(__xludf.DUMMYFUNCTION("""COMPUTED_VALUE"""),46242)</f>
        <v>46242</v>
      </c>
      <c r="B37" s="1" t="str">
        <f>IFERROR(__xludf.DUMMYFUNCTION("""COMPUTED_VALUE"""),"ENGILBERT CARENA ASTURIAS")</f>
        <v>ENGILBERT CARENA ASTURIAS</v>
      </c>
      <c r="C37" s="1" t="str">
        <f>IFERROR(__xludf.DUMMYFUNCTION("""COMPUTED_VALUE"""),"RITM0305383")</f>
        <v>RITM0305383</v>
      </c>
      <c r="D37" s="1" t="str">
        <f>IFERROR(__xludf.DUMMYFUNCTION("""COMPUTED_VALUE"""),"CS1341332 / WO0904952")</f>
        <v>CS1341332 / WO0904952</v>
      </c>
      <c r="E37" s="1">
        <f>IFERROR(__xludf.DUMMYFUNCTION("""COMPUTED_VALUE"""),8955181189)</f>
        <v>8955181189</v>
      </c>
      <c r="F37" s="1" t="str">
        <f>IFERROR(__xludf.DUMMYFUNCTION("""COMPUTED_VALUE"""),"mtbarcarse27@gmail.com")</f>
        <v>mtbarcarse27@gmail.com</v>
      </c>
      <c r="G37" s="1" t="str">
        <f>IFERROR(__xludf.DUMMYFUNCTION("""COMPUTED_VALUE"""),"CLOSED")</f>
        <v>CLOSED</v>
      </c>
      <c r="H37" s="1"/>
      <c r="I37" s="1"/>
      <c r="J37" s="1" t="str">
        <f>IFERROR(__xludf.DUMMYFUNCTION("""COMPUTED_VALUE"""),"SWITCHER PROMO")</f>
        <v>SWITCHER PROMO</v>
      </c>
      <c r="K37" s="1"/>
      <c r="L37" s="1" t="str">
        <f>IFERROR(__xludf.DUMMYFUNCTION("""COMPUTED_VALUE"""),"POSTED")</f>
        <v>POSTED</v>
      </c>
      <c r="M37" s="1" t="str">
        <f>IFERROR(__xludf.DUMMYFUNCTION("""COMPUTED_VALUE"""),"8/10/2026")</f>
        <v>8/10/2026</v>
      </c>
      <c r="N37" s="1" t="str">
        <f>IFERROR(__xludf.DUMMYFUNCTION("""COMPUTED_VALUE"""),"RED_RS_ONL_CVE_25")</f>
        <v>RED_RS_ONL_CVE_25</v>
      </c>
      <c r="O37" s="1" t="str">
        <f>IFERROR(__xludf.DUMMYFUNCTION("""COMPUTED_VALUE"""),"SWITCHER PLAN 900")</f>
        <v>SWITCHER PLAN 900</v>
      </c>
      <c r="P37" s="1" t="str">
        <f>IFERROR(__xludf.DUMMYFUNCTION("""COMPUTED_VALUE"""),"MMM018709")</f>
        <v>MMM018709</v>
      </c>
      <c r="Q37" s="1" t="str">
        <f>IFERROR(__xludf.DUMMYFUNCTION("""COMPUTED_VALUE"""),"YOLANGCO, JOJO")</f>
        <v>YOLANGCO, JOJO</v>
      </c>
      <c r="R37" s="1" t="str">
        <f>IFERROR(__xludf.DUMMYFUNCTION("""COMPUTED_VALUE"""),"GARCIA MICHAEL JETTS")</f>
        <v>GARCIA MICHAEL JETTS</v>
      </c>
      <c r="S37" s="1" t="str">
        <f>IFERROR(__xludf.DUMMYFUNCTION("""COMPUTED_VALUE"""),"ESPIRITU JULIE")</f>
        <v>ESPIRITU JULIE</v>
      </c>
      <c r="T37" s="1" t="str">
        <f>IFERROR(__xludf.DUMMYFUNCTION("""COMPUTED_VALUE"""),"SWITCHOFFER")</f>
        <v>SWITCHOFFER</v>
      </c>
      <c r="U37" s="1">
        <f>IFERROR(__xludf.DUMMYFUNCTION("""COMPUTED_VALUE"""),9273926599)</f>
        <v>9273926599</v>
      </c>
      <c r="V37" s="1"/>
      <c r="W37" s="1"/>
      <c r="X37" s="1" t="str">
        <f>IFERROR(__xludf.DUMMYFUNCTION("""COMPUTED_VALUE"""),"PHASE A PEARL RESIDENCES")</f>
        <v>PHASE A PEARL RESIDENCES</v>
      </c>
      <c r="Y37" s="1"/>
      <c r="Z37" s="1" t="str">
        <f>IFERROR(__xludf.DUMMYFUNCTION("""COMPUTED_VALUE"""),"CAPIPISA")</f>
        <v>CAPIPISA</v>
      </c>
      <c r="AA37" s="1" t="str">
        <f>IFERROR(__xludf.DUMMYFUNCTION("""COMPUTED_VALUE"""),"TANZA")</f>
        <v>TANZA</v>
      </c>
      <c r="AB37" s="1" t="str">
        <f>IFERROR(__xludf.DUMMYFUNCTION("""COMPUTED_VALUE"""),"CVT6 LCP135 NP1/2")</f>
        <v>CVT6 LCP135 NP1/2</v>
      </c>
      <c r="AC37" s="1" t="str">
        <f>IFERROR(__xludf.DUMMYFUNCTION("""COMPUTED_VALUE"""),"120.796595 / 14.356664")</f>
        <v>120.796595 / 14.356664</v>
      </c>
    </row>
    <row r="38" customHeight="1" spans="1:29">
      <c r="A38" s="3">
        <f>IFERROR(__xludf.DUMMYFUNCTION("""COMPUTED_VALUE"""),46242)</f>
        <v>46242</v>
      </c>
      <c r="B38" s="1" t="str">
        <f>IFERROR(__xludf.DUMMYFUNCTION("""COMPUTED_VALUE"""),"ROGELIO JR HERNANDO SUICO")</f>
        <v>ROGELIO JR HERNANDO SUICO</v>
      </c>
      <c r="C38" s="1" t="str">
        <f>IFERROR(__xludf.DUMMYFUNCTION("""COMPUTED_VALUE"""),"RITM0305411")</f>
        <v>RITM0305411</v>
      </c>
      <c r="D38" s="1" t="str">
        <f>IFERROR(__xludf.DUMMYFUNCTION("""COMPUTED_VALUE"""),"CS1341493 / WO0906563")</f>
        <v>CS1341493 / WO0906563</v>
      </c>
      <c r="E38" s="1">
        <f>IFERROR(__xludf.DUMMYFUNCTION("""COMPUTED_VALUE"""),7677812711)</f>
        <v>7677812711</v>
      </c>
      <c r="F38" s="1" t="str">
        <f>IFERROR(__xludf.DUMMYFUNCTION("""COMPUTED_VALUE"""),"suicorogeliojr@gmail.com")</f>
        <v>suicorogeliojr@gmail.com</v>
      </c>
      <c r="G38" s="1" t="str">
        <f>IFERROR(__xludf.DUMMYFUNCTION("""COMPUTED_VALUE"""),"CLOSED")</f>
        <v>CLOSED</v>
      </c>
      <c r="H38" s="1"/>
      <c r="I38" s="1"/>
      <c r="J38" s="1" t="str">
        <f>IFERROR(__xludf.DUMMYFUNCTION("""COMPUTED_VALUE"""),"PAID THRU UB REF RADI23688GU3MSBY AUG 15")</f>
        <v>PAID THRU UB REF RADI23688GU3MSBY AUG 15</v>
      </c>
      <c r="K38" s="1" t="str">
        <f>IFERROR(__xludf.DUMMYFUNCTION("""COMPUTED_VALUE"""),"PAID")</f>
        <v>PAID</v>
      </c>
      <c r="L38" s="1" t="str">
        <f>IFERROR(__xludf.DUMMYFUNCTION("""COMPUTED_VALUE"""),"POSTED")</f>
        <v>POSTED</v>
      </c>
      <c r="M38" s="1" t="str">
        <f>IFERROR(__xludf.DUMMYFUNCTION("""COMPUTED_VALUE"""),"2026")</f>
        <v>2026</v>
      </c>
      <c r="N38" s="1" t="str">
        <f>IFERROR(__xludf.DUMMYFUNCTION("""COMPUTED_VALUE"""),"RED_RS_ONL_CVE_25")</f>
        <v>RED_RS_ONL_CVE_25</v>
      </c>
      <c r="O38" s="1" t="str">
        <f>IFERROR(__xludf.DUMMYFUNCTION("""COMPUTED_VALUE"""),"RED FIBR 1000")</f>
        <v>RED FIBR 1000</v>
      </c>
      <c r="P38" s="1" t="str">
        <f>IFERROR(__xludf.DUMMYFUNCTION("""COMPUTED_VALUE"""),"MMM018712")</f>
        <v>MMM018712</v>
      </c>
      <c r="Q38" s="1" t="str">
        <f>IFERROR(__xludf.DUMMYFUNCTION("""COMPUTED_VALUE"""),"LUPENA. KARL ANGELO")</f>
        <v>LUPENA. KARL ANGELO</v>
      </c>
      <c r="R38" s="1" t="str">
        <f>IFERROR(__xludf.DUMMYFUNCTION("""COMPUTED_VALUE"""),"GARCIA MICHAEL JETTS")</f>
        <v>GARCIA MICHAEL JETTS</v>
      </c>
      <c r="S38" s="1" t="str">
        <f>IFERROR(__xludf.DUMMYFUNCTION("""COMPUTED_VALUE"""),"ESPIRITU JULIE")</f>
        <v>ESPIRITU JULIE</v>
      </c>
      <c r="T38" s="1" t="str">
        <f>IFERROR(__xludf.DUMMYFUNCTION("""COMPUTED_VALUE"""),"SP6MONTHS")</f>
        <v>SP6MONTHS</v>
      </c>
      <c r="U38" s="1">
        <f>IFERROR(__xludf.DUMMYFUNCTION("""COMPUTED_VALUE"""),9125294689)</f>
        <v>9125294689</v>
      </c>
      <c r="V38" s="1"/>
      <c r="W38" s="1"/>
      <c r="X38" s="1" t="str">
        <f>IFERROR(__xludf.DUMMYFUNCTION("""COMPUTED_VALUE"""),"HAPPINESS ST")</f>
        <v>HAPPINESS ST</v>
      </c>
      <c r="Y38" s="1" t="str">
        <f>IFERROR(__xludf.DUMMYFUNCTION("""COMPUTED_VALUE"""),"PAGSIBOL VILLAGE SOUTH WEST PHASE 5")</f>
        <v>PAGSIBOL VILLAGE SOUTH WEST PHASE 5</v>
      </c>
      <c r="Z38" s="1" t="str">
        <f>IFERROR(__xludf.DUMMYFUNCTION("""COMPUTED_VALUE"""),"SABANG")</f>
        <v>SABANG</v>
      </c>
      <c r="AA38" s="1" t="str">
        <f>IFERROR(__xludf.DUMMYFUNCTION("""COMPUTED_VALUE"""),"NAIC")</f>
        <v>NAIC</v>
      </c>
      <c r="AB38" s="1" t="str">
        <f>IFERROR(__xludf.DUMMYFUNCTION("""COMPUTED_VALUE"""),"CVT6 LCP278 NP1/2/3/4")</f>
        <v>CVT6 LCP278 NP1/2/3/4</v>
      </c>
      <c r="AC38" s="1" t="str">
        <f>IFERROR(__xludf.DUMMYFUNCTION("""COMPUTED_VALUE""")," 120.881628 / 14.313319")</f>
        <v> 120.881628 / 14.313319</v>
      </c>
    </row>
    <row r="39" customHeight="1" spans="1:29">
      <c r="A39" s="3">
        <f>IFERROR(__xludf.DUMMYFUNCTION("""COMPUTED_VALUE"""),46242)</f>
        <v>46242</v>
      </c>
      <c r="B39" s="1" t="str">
        <f>IFERROR(__xludf.DUMMYFUNCTION("""COMPUTED_VALUE"""),"ZACARIAS GARCIA RIVERA")</f>
        <v>ZACARIAS GARCIA RIVERA</v>
      </c>
      <c r="C39" s="1" t="str">
        <f>IFERROR(__xludf.DUMMYFUNCTION("""COMPUTED_VALUE"""),"RITM0305433")</f>
        <v>RITM0305433</v>
      </c>
      <c r="D39" s="1" t="str">
        <f>IFERROR(__xludf.DUMMYFUNCTION("""COMPUTED_VALUE"""),"CS1341650 / WO0906134")</f>
        <v>CS1341650 / WO0906134</v>
      </c>
      <c r="E39" s="1">
        <f>IFERROR(__xludf.DUMMYFUNCTION("""COMPUTED_VALUE"""),6812428835)</f>
        <v>6812428835</v>
      </c>
      <c r="F39" s="1" t="str">
        <f>IFERROR(__xludf.DUMMYFUNCTION("""COMPUTED_VALUE"""),"zrivera091953@gmail.com")</f>
        <v>zrivera091953@gmail.com</v>
      </c>
      <c r="G39" s="1" t="str">
        <f>IFERROR(__xludf.DUMMYFUNCTION("""COMPUTED_VALUE"""),"CLOSED")</f>
        <v>CLOSED</v>
      </c>
      <c r="H39" s="1"/>
      <c r="I39" s="1"/>
      <c r="J39" s="1" t="str">
        <f>IFERROR(__xludf.DUMMYFUNCTION("""COMPUTED_VALUE"""),"PAID THRU GCASH REF 87846516 AUG 13 ")</f>
        <v>PAID THRU GCASH REF 87846516 AUG 13 </v>
      </c>
      <c r="K39" s="1" t="str">
        <f>IFERROR(__xludf.DUMMYFUNCTION("""COMPUTED_VALUE"""),"PAID")</f>
        <v>PAID</v>
      </c>
      <c r="L39" s="1" t="str">
        <f>IFERROR(__xludf.DUMMYFUNCTION("""COMPUTED_VALUE"""),"POSTED")</f>
        <v>POSTED</v>
      </c>
      <c r="M39" s="1" t="str">
        <f>IFERROR(__xludf.DUMMYFUNCTION("""COMPUTED_VALUE"""),"8/15/2026")</f>
        <v>8/15/2026</v>
      </c>
      <c r="N39" s="1" t="str">
        <f>IFERROR(__xludf.DUMMYFUNCTION("""COMPUTED_VALUE"""),"RED_RS_ONL_CVE_25")</f>
        <v>RED_RS_ONL_CVE_25</v>
      </c>
      <c r="O39" s="1" t="str">
        <f>IFERROR(__xludf.DUMMYFUNCTION("""COMPUTED_VALUE"""),"RED FIBR 1000")</f>
        <v>RED FIBR 1000</v>
      </c>
      <c r="P39" s="1" t="str">
        <f>IFERROR(__xludf.DUMMYFUNCTION("""COMPUTED_VALUE"""),"MMM018713")</f>
        <v>MMM018713</v>
      </c>
      <c r="Q39" s="1" t="str">
        <f>IFERROR(__xludf.DUMMYFUNCTION("""COMPUTED_VALUE"""),"BONZA, LEE VINCENT")</f>
        <v>BONZA, LEE VINCENT</v>
      </c>
      <c r="R39" s="1" t="str">
        <f>IFERROR(__xludf.DUMMYFUNCTION("""COMPUTED_VALUE"""),"GARCIA MICHAEL JETTS")</f>
        <v>GARCIA MICHAEL JETTS</v>
      </c>
      <c r="S39" s="1" t="str">
        <f>IFERROR(__xludf.DUMMYFUNCTION("""COMPUTED_VALUE"""),"ESPIRITU JULIE")</f>
        <v>ESPIRITU JULIE</v>
      </c>
      <c r="T39" s="1" t="str">
        <f>IFERROR(__xludf.DUMMYFUNCTION("""COMPUTED_VALUE"""),"SP6MONTHS")</f>
        <v>SP6MONTHS</v>
      </c>
      <c r="U39" s="1">
        <f>IFERROR(__xludf.DUMMYFUNCTION("""COMPUTED_VALUE"""),9153733062)</f>
        <v>9153733062</v>
      </c>
      <c r="V39" s="1"/>
      <c r="W39" s="1"/>
      <c r="X39" s="1" t="str">
        <f>IFERROR(__xludf.DUMMYFUNCTION("""COMPUTED_VALUE"""),"ROAD 14")</f>
        <v>ROAD 14</v>
      </c>
      <c r="Y39" s="1" t="str">
        <f>IFERROR(__xludf.DUMMYFUNCTION("""COMPUTED_VALUE"""),"PEARL RESIDENCE PHASE B")</f>
        <v>PEARL RESIDENCE PHASE B</v>
      </c>
      <c r="Z39" s="1" t="str">
        <f>IFERROR(__xludf.DUMMYFUNCTION("""COMPUTED_VALUE"""),"CAPIPISA")</f>
        <v>CAPIPISA</v>
      </c>
      <c r="AA39" s="1" t="str">
        <f>IFERROR(__xludf.DUMMYFUNCTION("""COMPUTED_VALUE"""),"TANZA")</f>
        <v>TANZA</v>
      </c>
      <c r="AB39" s="1" t="str">
        <f>IFERROR(__xludf.DUMMYFUNCTION("""COMPUTED_VALUE"""),"CVT6 LCP136 NP3/4")</f>
        <v>CVT6 LCP136 NP3/4</v>
      </c>
      <c r="AC39" s="1" t="str">
        <f>IFERROR(__xludf.DUMMYFUNCTION("""COMPUTED_VALUE""")," 120.79595 / 14.35925")</f>
        <v> 120.79595 / 14.35925</v>
      </c>
    </row>
    <row r="40" customHeight="1" spans="1:29">
      <c r="A40" s="3">
        <f>IFERROR(__xludf.DUMMYFUNCTION("""COMPUTED_VALUE"""),46243)</f>
        <v>46243</v>
      </c>
      <c r="B40" s="1" t="str">
        <f>IFERROR(__xludf.DUMMYFUNCTION("""COMPUTED_VALUE"""),"PAUL JUSTINE PADUA TORRES")</f>
        <v>PAUL JUSTINE PADUA TORRES</v>
      </c>
      <c r="C40" s="1" t="str">
        <f>IFERROR(__xludf.DUMMYFUNCTION("""COMPUTED_VALUE"""),"RITM0305463")</f>
        <v>RITM0305463</v>
      </c>
      <c r="D40" s="1" t="str">
        <f>IFERROR(__xludf.DUMMYFUNCTION("""COMPUTED_VALUE"""),"CS1341624 / WO0905130")</f>
        <v>CS1341624 / WO0905130</v>
      </c>
      <c r="E40" s="1">
        <f>IFERROR(__xludf.DUMMYFUNCTION("""COMPUTED_VALUE"""),4623877542)</f>
        <v>4623877542</v>
      </c>
      <c r="F40" s="1" t="str">
        <f>IFERROR(__xludf.DUMMYFUNCTION("""COMPUTED_VALUE"""),"torrespauljustine14@gmail.com")</f>
        <v>torrespauljustine14@gmail.com</v>
      </c>
      <c r="G40" s="1" t="str">
        <f>IFERROR(__xludf.DUMMYFUNCTION("""COMPUTED_VALUE"""),"CLOSED")</f>
        <v>CLOSED</v>
      </c>
      <c r="H40" s="1"/>
      <c r="I40" s="1"/>
      <c r="J40" s="1" t="str">
        <f>IFERROR(__xludf.DUMMYFUNCTION("""COMPUTED_VALUE"""),"PAID THRU GCASH 769568093 AUGU 9")</f>
        <v>PAID THRU GCASH 769568093 AUGU 9</v>
      </c>
      <c r="K40" s="1" t="str">
        <f>IFERROR(__xludf.DUMMYFUNCTION("""COMPUTED_VALUE"""),"PAID")</f>
        <v>PAID</v>
      </c>
      <c r="L40" s="1" t="str">
        <f>IFERROR(__xludf.DUMMYFUNCTION("""COMPUTED_VALUE"""),"POSTED")</f>
        <v>POSTED</v>
      </c>
      <c r="M40" s="1" t="str">
        <f>IFERROR(__xludf.DUMMYFUNCTION("""COMPUTED_VALUE"""),"8/12/2026")</f>
        <v>8/12/2026</v>
      </c>
      <c r="N40" s="1" t="str">
        <f>IFERROR(__xludf.DUMMYFUNCTION("""COMPUTED_VALUE"""),"RED_RS_ONL_CVE_25")</f>
        <v>RED_RS_ONL_CVE_25</v>
      </c>
      <c r="O40" s="1" t="str">
        <f>IFERROR(__xludf.DUMMYFUNCTION("""COMPUTED_VALUE"""),"RED FIBR 1000")</f>
        <v>RED FIBR 1000</v>
      </c>
      <c r="P40" s="1" t="str">
        <f>IFERROR(__xludf.DUMMYFUNCTION("""COMPUTED_VALUE"""),"MMM018709")</f>
        <v>MMM018709</v>
      </c>
      <c r="Q40" s="1" t="str">
        <f>IFERROR(__xludf.DUMMYFUNCTION("""COMPUTED_VALUE"""),"KAWAUCHI, SHANE")</f>
        <v>KAWAUCHI, SHANE</v>
      </c>
      <c r="R40" s="1" t="str">
        <f>IFERROR(__xludf.DUMMYFUNCTION("""COMPUTED_VALUE"""),"GARCIA MICHAEL JETTS")</f>
        <v>GARCIA MICHAEL JETTS</v>
      </c>
      <c r="S40" s="1" t="str">
        <f>IFERROR(__xludf.DUMMYFUNCTION("""COMPUTED_VALUE"""),"ESPIRITU JULIE")</f>
        <v>ESPIRITU JULIE</v>
      </c>
      <c r="T40" s="1" t="str">
        <f>IFERROR(__xludf.DUMMYFUNCTION("""COMPUTED_VALUE"""),"SP6MONTHS")</f>
        <v>SP6MONTHS</v>
      </c>
      <c r="U40" s="1">
        <f>IFERROR(__xludf.DUMMYFUNCTION("""COMPUTED_VALUE"""),9760656429)</f>
        <v>9760656429</v>
      </c>
      <c r="V40" s="1"/>
      <c r="W40" s="1"/>
      <c r="X40" s="1" t="str">
        <f>IFERROR(__xludf.DUMMYFUNCTION("""COMPUTED_VALUE"""),"PALOSAPIS ST")</f>
        <v>PALOSAPIS ST</v>
      </c>
      <c r="Y40" s="1"/>
      <c r="Z40" s="1" t="str">
        <f>IFERROR(__xludf.DUMMYFUNCTION("""COMPUTED_VALUE"""),"BARANGAY IV (POB.)")</f>
        <v>BARANGAY IV (POB.)</v>
      </c>
      <c r="AA40" s="1" t="str">
        <f>IFERROR(__xludf.DUMMYFUNCTION("""COMPUTED_VALUE"""),"TANZA")</f>
        <v>TANZA</v>
      </c>
      <c r="AB40" s="1"/>
      <c r="AC40" s="1" t="str">
        <f>IFERROR(__xludf.DUMMYFUNCTION("""COMPUTED_VALUE""")," 120.858306 / 14.395135")</f>
        <v> 120.858306 / 14.395135</v>
      </c>
    </row>
    <row r="41" customHeight="1" spans="1:29">
      <c r="A41" s="3">
        <f>IFERROR(__xludf.DUMMYFUNCTION("""COMPUTED_VALUE"""),46243)</f>
        <v>46243</v>
      </c>
      <c r="B41" s="1" t="str">
        <f>IFERROR(__xludf.DUMMYFUNCTION("""COMPUTED_VALUE"""),"LALAINE BLANCO JUAN")</f>
        <v>LALAINE BLANCO JUAN</v>
      </c>
      <c r="C41" s="1" t="str">
        <f>IFERROR(__xludf.DUMMYFUNCTION("""COMPUTED_VALUE"""),"RITM0305477")</f>
        <v>RITM0305477</v>
      </c>
      <c r="D41" s="1" t="str">
        <f>IFERROR(__xludf.DUMMYFUNCTION("""COMPUTED_VALUE"""),"CS1341727 / WO0905614")</f>
        <v>CS1341727 / WO0905614</v>
      </c>
      <c r="E41" s="1">
        <f>IFERROR(__xludf.DUMMYFUNCTION("""COMPUTED_VALUE"""),8741195685)</f>
        <v>8741195685</v>
      </c>
      <c r="F41" s="1" t="str">
        <f>IFERROR(__xludf.DUMMYFUNCTION("""COMPUTED_VALUE"""),"lalainepascualblanco@gmail.com")</f>
        <v>lalainepascualblanco@gmail.com</v>
      </c>
      <c r="G41" s="1" t="str">
        <f>IFERROR(__xludf.DUMMYFUNCTION("""COMPUTED_VALUE"""),"CLOSED")</f>
        <v>CLOSED</v>
      </c>
      <c r="H41" s="1"/>
      <c r="I41" s="1"/>
      <c r="J41" s="1" t="str">
        <f>IFERROR(__xludf.DUMMYFUNCTION("""COMPUTED_VALUE"""),"PAID VIA GCASH - AUG 11 - REF - 374027834")</f>
        <v>PAID VIA GCASH - AUG 11 - REF - 374027834</v>
      </c>
      <c r="K41" s="1" t="str">
        <f>IFERROR(__xludf.DUMMYFUNCTION("""COMPUTED_VALUE"""),"PAID")</f>
        <v>PAID</v>
      </c>
      <c r="L41" s="1" t="str">
        <f>IFERROR(__xludf.DUMMYFUNCTION("""COMPUTED_VALUE"""),"POSTED")</f>
        <v>POSTED</v>
      </c>
      <c r="M41" s="1" t="str">
        <f>IFERROR(__xludf.DUMMYFUNCTION("""COMPUTED_VALUE"""),"8/13/2026")</f>
        <v>8/13/2026</v>
      </c>
      <c r="N41" s="1" t="str">
        <f>IFERROR(__xludf.DUMMYFUNCTION("""COMPUTED_VALUE"""),"RED_RS_ONL_CVE_25")</f>
        <v>RED_RS_ONL_CVE_25</v>
      </c>
      <c r="O41" s="1" t="str">
        <f>IFERROR(__xludf.DUMMYFUNCTION("""COMPUTED_VALUE"""),"RED FIBR 1000")</f>
        <v>RED FIBR 1000</v>
      </c>
      <c r="P41" s="1" t="str">
        <f>IFERROR(__xludf.DUMMYFUNCTION("""COMPUTED_VALUE"""),"MMM018711")</f>
        <v>MMM018711</v>
      </c>
      <c r="Q41" s="1" t="str">
        <f>IFERROR(__xludf.DUMMYFUNCTION("""COMPUTED_VALUE"""),"DEL ROSARIO. MIGGY LENARD")</f>
        <v>DEL ROSARIO. MIGGY LENARD</v>
      </c>
      <c r="R41" s="1" t="str">
        <f>IFERROR(__xludf.DUMMYFUNCTION("""COMPUTED_VALUE"""),"GARCIA MICHAEL JETTS")</f>
        <v>GARCIA MICHAEL JETTS</v>
      </c>
      <c r="S41" s="1" t="str">
        <f>IFERROR(__xludf.DUMMYFUNCTION("""COMPUTED_VALUE"""),"ESPIRITU JULIE")</f>
        <v>ESPIRITU JULIE</v>
      </c>
      <c r="T41" s="1" t="str">
        <f>IFERROR(__xludf.DUMMYFUNCTION("""COMPUTED_VALUE"""),"SP6MONTHS")</f>
        <v>SP6MONTHS</v>
      </c>
      <c r="U41" s="1">
        <f>IFERROR(__xludf.DUMMYFUNCTION("""COMPUTED_VALUE"""),9933474084)</f>
        <v>9933474084</v>
      </c>
      <c r="V41" s="1"/>
      <c r="W41" s="1"/>
      <c r="X41" s="1" t="str">
        <f>IFERROR(__xludf.DUMMYFUNCTION("""COMPUTED_VALUE"""),"PHASE A")</f>
        <v>PHASE A</v>
      </c>
      <c r="Y41" s="1" t="str">
        <f>IFERROR(__xludf.DUMMYFUNCTION("""COMPUTED_VALUE"""),"PEARL RESIDENCES")</f>
        <v>PEARL RESIDENCES</v>
      </c>
      <c r="Z41" s="1" t="str">
        <f>IFERROR(__xludf.DUMMYFUNCTION("""COMPUTED_VALUE"""),"CAPIPISA")</f>
        <v>CAPIPISA</v>
      </c>
      <c r="AA41" s="1" t="str">
        <f>IFERROR(__xludf.DUMMYFUNCTION("""COMPUTED_VALUE"""),"TANZA")</f>
        <v>TANZA</v>
      </c>
      <c r="AB41" s="1" t="str">
        <f>IFERROR(__xludf.DUMMYFUNCTION("""COMPUTED_VALUE"""),"CVT6 LCP136 NP3/4")</f>
        <v>CVT6 LCP136 NP3/4</v>
      </c>
      <c r="AC41" s="1" t="str">
        <f>IFERROR(__xludf.DUMMYFUNCTION("""COMPUTED_VALUE""")," 120.796241 / 14.356440")</f>
        <v> 120.796241 / 14.356440</v>
      </c>
    </row>
    <row r="42" customHeight="1" spans="1:29">
      <c r="A42" s="3">
        <f>IFERROR(__xludf.DUMMYFUNCTION("""COMPUTED_VALUE"""),46243)</f>
        <v>46243</v>
      </c>
      <c r="B42" s="1" t="str">
        <f>IFERROR(__xludf.DUMMYFUNCTION("""COMPUTED_VALUE"""),"KRYSTIN MARI SANCHEZ BILLONA")</f>
        <v>KRYSTIN MARI SANCHEZ BILLONA</v>
      </c>
      <c r="C42" s="1" t="str">
        <f>IFERROR(__xludf.DUMMYFUNCTION("""COMPUTED_VALUE"""),"RITM0305479")</f>
        <v>RITM0305479</v>
      </c>
      <c r="D42" s="1"/>
      <c r="E42" s="1"/>
      <c r="F42" s="1" t="str">
        <f>IFERROR(__xludf.DUMMYFUNCTION("""COMPUTED_VALUE"""),"krystinmari.billona@deped.gov.ph")</f>
        <v>krystinmari.billona@deped.gov.ph</v>
      </c>
      <c r="G42" s="1" t="str">
        <f>IFERROR(__xludf.DUMMYFUNCTION("""COMPUTED_VALUE"""),"APPROVED")</f>
        <v>APPROVED</v>
      </c>
      <c r="H42" s="1" t="str">
        <f>IFERROR(__xludf.DUMMYFUNCTION("""COMPUTED_VALUE"""),"FOR REPROCESS - CHANGE EMAIL")</f>
        <v>FOR REPROCESS - CHANGE EMAIL</v>
      </c>
      <c r="I42" s="1"/>
      <c r="J42" s="1"/>
      <c r="K42" s="1"/>
      <c r="L42" s="1" t="str">
        <f>IFERROR(__xludf.DUMMYFUNCTION("""COMPUTED_VALUE"""),"CANCEL RECREATE - FOR CHANGE EMAIL")</f>
        <v>CANCEL RECREATE - FOR CHANGE EMAIL</v>
      </c>
      <c r="M42" s="1"/>
      <c r="N42" s="1" t="str">
        <f>IFERROR(__xludf.DUMMYFUNCTION("""COMPUTED_VALUE"""),"RED_RS_ONL_CVE_25")</f>
        <v>RED_RS_ONL_CVE_25</v>
      </c>
      <c r="O42" s="1" t="str">
        <f>IFERROR(__xludf.DUMMYFUNCTION("""COMPUTED_VALUE"""),"RED FIBR 1000")</f>
        <v>RED FIBR 1000</v>
      </c>
      <c r="P42" s="1" t="str">
        <f>IFERROR(__xludf.DUMMYFUNCTION("""COMPUTED_VALUE"""),"MMM018713")</f>
        <v>MMM018713</v>
      </c>
      <c r="Q42" s="1" t="str">
        <f>IFERROR(__xludf.DUMMYFUNCTION("""COMPUTED_VALUE"""),"BONZA, LEE VINCENT")</f>
        <v>BONZA, LEE VINCENT</v>
      </c>
      <c r="R42" s="1" t="str">
        <f>IFERROR(__xludf.DUMMYFUNCTION("""COMPUTED_VALUE"""),"GARCIA MICHAEL JETTS")</f>
        <v>GARCIA MICHAEL JETTS</v>
      </c>
      <c r="S42" s="1" t="str">
        <f>IFERROR(__xludf.DUMMYFUNCTION("""COMPUTED_VALUE"""),"ESPIRITU JULIE")</f>
        <v>ESPIRITU JULIE</v>
      </c>
      <c r="T42" s="1" t="str">
        <f>IFERROR(__xludf.DUMMYFUNCTION("""COMPUTED_VALUE"""),"SP6MONTHS")</f>
        <v>SP6MONTHS</v>
      </c>
      <c r="U42" s="1">
        <f>IFERROR(__xludf.DUMMYFUNCTION("""COMPUTED_VALUE"""),9755975592)</f>
        <v>9755975592</v>
      </c>
      <c r="V42" s="1"/>
      <c r="W42" s="1"/>
      <c r="X42" s="1" t="str">
        <f>IFERROR(__xludf.DUMMYFUNCTION("""COMPUTED_VALUE"""),"PHASE B")</f>
        <v>PHASE B</v>
      </c>
      <c r="Y42" s="1" t="str">
        <f>IFERROR(__xludf.DUMMYFUNCTION("""COMPUTED_VALUE"""),"PEARL RESIDENCES")</f>
        <v>PEARL RESIDENCES</v>
      </c>
      <c r="Z42" s="1" t="str">
        <f>IFERROR(__xludf.DUMMYFUNCTION("""COMPUTED_VALUE"""),"CAPIPISA")</f>
        <v>CAPIPISA</v>
      </c>
      <c r="AA42" s="1" t="str">
        <f>IFERROR(__xludf.DUMMYFUNCTION("""COMPUTED_VALUE"""),"TANZA")</f>
        <v>TANZA</v>
      </c>
      <c r="AB42" s="1" t="str">
        <f>IFERROR(__xludf.DUMMYFUNCTION("""COMPUTED_VALUE"""),"CVT6 LCP136 NP3/4")</f>
        <v>CVT6 LCP136 NP3/4</v>
      </c>
      <c r="AC42" s="1" t="str">
        <f>IFERROR(__xludf.DUMMYFUNCTION("""COMPUTED_VALUE""")," 120.795595 / 14.359367")</f>
        <v> 120.795595 / 14.359367</v>
      </c>
    </row>
    <row r="43" customHeight="1" spans="1:29">
      <c r="A43" s="3">
        <f>IFERROR(__xludf.DUMMYFUNCTION("""COMPUTED_VALUE"""),46243)</f>
        <v>46243</v>
      </c>
      <c r="B43" s="1" t="str">
        <f>IFERROR(__xludf.DUMMYFUNCTION("""COMPUTED_VALUE"""),"RHENE NOBLE FORNALES")</f>
        <v>RHENE NOBLE FORNALES</v>
      </c>
      <c r="C43" s="1" t="str">
        <f>IFERROR(__xludf.DUMMYFUNCTION("""COMPUTED_VALUE"""),"RITM0305507")</f>
        <v>RITM0305507</v>
      </c>
      <c r="D43" s="1" t="str">
        <f>IFERROR(__xludf.DUMMYFUNCTION("""COMPUTED_VALUE"""),"CS1341861 / WO0905341")</f>
        <v>CS1341861 / WO0905341</v>
      </c>
      <c r="E43" s="1">
        <f>IFERROR(__xludf.DUMMYFUNCTION("""COMPUTED_VALUE"""),6187933169)</f>
        <v>6187933169</v>
      </c>
      <c r="F43" s="1" t="str">
        <f>IFERROR(__xludf.DUMMYFUNCTION("""COMPUTED_VALUE"""),"rhenefornales29@gmail.com")</f>
        <v>rhenefornales29@gmail.com</v>
      </c>
      <c r="G43" s="1" t="str">
        <f>IFERROR(__xludf.DUMMYFUNCTION("""COMPUTED_VALUE"""),"CLOSED")</f>
        <v>CLOSED</v>
      </c>
      <c r="H43" s="1"/>
      <c r="I43" s="1"/>
      <c r="J43" s="1" t="str">
        <f>IFERROR(__xludf.DUMMYFUNCTION("""COMPUTED_VALUE"""),"PAID VIA GCASH - AUG 10 - REF - RAD12368358E823F")</f>
        <v>PAID VIA GCASH - AUG 10 - REF - RAD12368358E823F</v>
      </c>
      <c r="K43" s="1" t="str">
        <f>IFERROR(__xludf.DUMMYFUNCTION("""COMPUTED_VALUE"""),"PAID")</f>
        <v>PAID</v>
      </c>
      <c r="L43" s="1" t="str">
        <f>IFERROR(__xludf.DUMMYFUNCTION("""COMPUTED_VALUE"""),"POSTED")</f>
        <v>POSTED</v>
      </c>
      <c r="M43" s="1" t="str">
        <f>IFERROR(__xludf.DUMMYFUNCTION("""COMPUTED_VALUE"""),"8/13/2026")</f>
        <v>8/13/2026</v>
      </c>
      <c r="N43" s="1" t="str">
        <f>IFERROR(__xludf.DUMMYFUNCTION("""COMPUTED_VALUE"""),"RED_RS_ONL_CVE_25")</f>
        <v>RED_RS_ONL_CVE_25</v>
      </c>
      <c r="O43" s="1" t="str">
        <f>IFERROR(__xludf.DUMMYFUNCTION("""COMPUTED_VALUE"""),"RED FIBR 1000")</f>
        <v>RED FIBR 1000</v>
      </c>
      <c r="P43" s="1" t="str">
        <f>IFERROR(__xludf.DUMMYFUNCTION("""COMPUTED_VALUE"""),"MMM018713")</f>
        <v>MMM018713</v>
      </c>
      <c r="Q43" s="1" t="str">
        <f>IFERROR(__xludf.DUMMYFUNCTION("""COMPUTED_VALUE"""),"BONZA, LEE VINCENT")</f>
        <v>BONZA, LEE VINCENT</v>
      </c>
      <c r="R43" s="1" t="str">
        <f>IFERROR(__xludf.DUMMYFUNCTION("""COMPUTED_VALUE"""),"GARCIA MICHAEL JETTS")</f>
        <v>GARCIA MICHAEL JETTS</v>
      </c>
      <c r="S43" s="1" t="str">
        <f>IFERROR(__xludf.DUMMYFUNCTION("""COMPUTED_VALUE"""),"ESPIRITU JULIE")</f>
        <v>ESPIRITU JULIE</v>
      </c>
      <c r="T43" s="1" t="str">
        <f>IFERROR(__xludf.DUMMYFUNCTION("""COMPUTED_VALUE"""),"SP6MONTHS")</f>
        <v>SP6MONTHS</v>
      </c>
      <c r="U43" s="1">
        <f>IFERROR(__xludf.DUMMYFUNCTION("""COMPUTED_VALUE"""),9121446714)</f>
        <v>9121446714</v>
      </c>
      <c r="V43" s="1"/>
      <c r="W43" s="1"/>
      <c r="X43" s="1" t="str">
        <f>IFERROR(__xludf.DUMMYFUNCTION("""COMPUTED_VALUE"""),"PHASE A")</f>
        <v>PHASE A</v>
      </c>
      <c r="Y43" s="1" t="str">
        <f>IFERROR(__xludf.DUMMYFUNCTION("""COMPUTED_VALUE"""),"PEARL RESIDENCES")</f>
        <v>PEARL RESIDENCES</v>
      </c>
      <c r="Z43" s="1" t="str">
        <f>IFERROR(__xludf.DUMMYFUNCTION("""COMPUTED_VALUE"""),"CAPIPISA")</f>
        <v>CAPIPISA</v>
      </c>
      <c r="AA43" s="1" t="str">
        <f>IFERROR(__xludf.DUMMYFUNCTION("""COMPUTED_VALUE"""),"TANZA")</f>
        <v>TANZA</v>
      </c>
      <c r="AB43" s="1" t="str">
        <f>IFERROR(__xludf.DUMMYFUNCTION("""COMPUTED_VALUE"""),"CVT6 LCP135 NP1/2")</f>
        <v>CVT6 LCP135 NP1/2</v>
      </c>
      <c r="AC43" s="1" t="str">
        <f>IFERROR(__xludf.DUMMYFUNCTION("""COMPUTED_VALUE""")," 120.796469 / 14.357318")</f>
        <v> 120.796469 / 14.357318</v>
      </c>
    </row>
    <row r="44" customHeight="1" spans="1:29">
      <c r="A44" s="3">
        <f>IFERROR(__xludf.DUMMYFUNCTION("""COMPUTED_VALUE"""),46243)</f>
        <v>46243</v>
      </c>
      <c r="B44" s="1" t="str">
        <f>IFERROR(__xludf.DUMMYFUNCTION("""COMPUTED_VALUE"""),"MARK EFREN JR ESGUERRA JUAN")</f>
        <v>MARK EFREN JR ESGUERRA JUAN</v>
      </c>
      <c r="C44" s="1" t="str">
        <f>IFERROR(__xludf.DUMMYFUNCTION("""COMPUTED_VALUE"""),"RITM0305508")</f>
        <v>RITM0305508</v>
      </c>
      <c r="D44" s="1" t="str">
        <f>IFERROR(__xludf.DUMMYFUNCTION("""COMPUTED_VALUE"""),"CS1341748 / WO0905565")</f>
        <v>CS1341748 / WO0905565</v>
      </c>
      <c r="E44" s="1">
        <f>IFERROR(__xludf.DUMMYFUNCTION("""COMPUTED_VALUE"""),5172947178)</f>
        <v>5172947178</v>
      </c>
      <c r="F44" s="1" t="str">
        <f>IFERROR(__xludf.DUMMYFUNCTION("""COMPUTED_VALUE"""),"mangjuanprint@gmail.com")</f>
        <v>mangjuanprint@gmail.com</v>
      </c>
      <c r="G44" s="1" t="str">
        <f>IFERROR(__xludf.DUMMYFUNCTION("""COMPUTED_VALUE"""),"CLOSED")</f>
        <v>CLOSED</v>
      </c>
      <c r="H44" s="1"/>
      <c r="I44" s="1"/>
      <c r="J44" s="1" t="str">
        <f>IFERROR(__xludf.DUMMYFUNCTION("""COMPUTED_VALUE"""),"SWITCHER PROMO")</f>
        <v>SWITCHER PROMO</v>
      </c>
      <c r="K44" s="1"/>
      <c r="L44" s="1" t="str">
        <f>IFERROR(__xludf.DUMMYFUNCTION("""COMPUTED_VALUE"""),"POSTED")</f>
        <v>POSTED</v>
      </c>
      <c r="M44" s="1" t="str">
        <f>IFERROR(__xludf.DUMMYFUNCTION("""COMPUTED_VALUE"""),"8/17/2026")</f>
        <v>8/17/2026</v>
      </c>
      <c r="N44" s="1" t="str">
        <f>IFERROR(__xludf.DUMMYFUNCTION("""COMPUTED_VALUE"""),"RED_RS_ONL_CVE_25")</f>
        <v>RED_RS_ONL_CVE_25</v>
      </c>
      <c r="O44" s="1" t="str">
        <f>IFERROR(__xludf.DUMMYFUNCTION("""COMPUTED_VALUE"""),"SWITCHER PLAN 1400")</f>
        <v>SWITCHER PLAN 1400</v>
      </c>
      <c r="P44" s="1" t="str">
        <f>IFERROR(__xludf.DUMMYFUNCTION("""COMPUTED_VALUE"""),"MMM018711")</f>
        <v>MMM018711</v>
      </c>
      <c r="Q44" s="1" t="str">
        <f>IFERROR(__xludf.DUMMYFUNCTION("""COMPUTED_VALUE"""),"DEL ROSARIO. MIGGY LENARD")</f>
        <v>DEL ROSARIO. MIGGY LENARD</v>
      </c>
      <c r="R44" s="1" t="str">
        <f>IFERROR(__xludf.DUMMYFUNCTION("""COMPUTED_VALUE"""),"GARCIA MICHAEL JETTS")</f>
        <v>GARCIA MICHAEL JETTS</v>
      </c>
      <c r="S44" s="1" t="str">
        <f>IFERROR(__xludf.DUMMYFUNCTION("""COMPUTED_VALUE"""),"ESPIRITU JULIE")</f>
        <v>ESPIRITU JULIE</v>
      </c>
      <c r="T44" s="1" t="str">
        <f>IFERROR(__xludf.DUMMYFUNCTION("""COMPUTED_VALUE"""),"SWITCHOFFER")</f>
        <v>SWITCHOFFER</v>
      </c>
      <c r="U44" s="1">
        <f>IFERROR(__xludf.DUMMYFUNCTION("""COMPUTED_VALUE"""),9764358674)</f>
        <v>9764358674</v>
      </c>
      <c r="V44" s="1"/>
      <c r="W44" s="1"/>
      <c r="X44" s="1" t="str">
        <f>IFERROR(__xludf.DUMMYFUNCTION("""COMPUTED_VALUE"""),"PHASE A")</f>
        <v>PHASE A</v>
      </c>
      <c r="Y44" s="1" t="str">
        <f>IFERROR(__xludf.DUMMYFUNCTION("""COMPUTED_VALUE"""),"PEARL RESIDENCES")</f>
        <v>PEARL RESIDENCES</v>
      </c>
      <c r="Z44" s="1" t="str">
        <f>IFERROR(__xludf.DUMMYFUNCTION("""COMPUTED_VALUE"""),"CAPIPISA")</f>
        <v>CAPIPISA</v>
      </c>
      <c r="AA44" s="1" t="str">
        <f>IFERROR(__xludf.DUMMYFUNCTION("""COMPUTED_VALUE"""),"TANZA")</f>
        <v>TANZA</v>
      </c>
      <c r="AB44" s="1" t="str">
        <f>IFERROR(__xludf.DUMMYFUNCTION("""COMPUTED_VALUE"""),"CVT6 LCP135 NP1/2")</f>
        <v>CVT6 LCP135 NP1/2</v>
      </c>
      <c r="AC44" s="1" t="str">
        <f>IFERROR(__xludf.DUMMYFUNCTION("""COMPUTED_VALUE""")," 120.796048 / 14.356720")</f>
        <v> 120.796048 / 14.356720</v>
      </c>
    </row>
    <row r="45" customHeight="1" spans="1:29">
      <c r="A45" s="3">
        <f>IFERROR(__xludf.DUMMYFUNCTION("""COMPUTED_VALUE"""),46244)</f>
        <v>46244</v>
      </c>
      <c r="B45" s="1" t="str">
        <f>IFERROR(__xludf.DUMMYFUNCTION("""COMPUTED_VALUE"""),"MA SANDRA ESCUTIN FIGUEROA")</f>
        <v>MA SANDRA ESCUTIN FIGUEROA</v>
      </c>
      <c r="C45" s="1" t="str">
        <f>IFERROR(__xludf.DUMMYFUNCTION("""COMPUTED_VALUE"""),"RITM0305579")</f>
        <v>RITM0305579</v>
      </c>
      <c r="D45" s="1" t="str">
        <f>IFERROR(__xludf.DUMMYFUNCTION("""COMPUTED_VALUE"""),"CS1342019 / WO0905374")</f>
        <v>CS1342019 / WO0905374</v>
      </c>
      <c r="E45" s="1">
        <f>IFERROR(__xludf.DUMMYFUNCTION("""COMPUTED_VALUE"""),1612286517)</f>
        <v>1612286517</v>
      </c>
      <c r="F45" s="1" t="str">
        <f>IFERROR(__xludf.DUMMYFUNCTION("""COMPUTED_VALUE"""),"kurtigueroa564@gmail.com")</f>
        <v>kurtigueroa564@gmail.com</v>
      </c>
      <c r="G45" s="1" t="str">
        <f>IFERROR(__xludf.DUMMYFUNCTION("""COMPUTED_VALUE"""),"CLOSED")</f>
        <v>CLOSED</v>
      </c>
      <c r="H45" s="1"/>
      <c r="I45" s="1"/>
      <c r="J45" s="1" t="str">
        <f>IFERROR(__xludf.DUMMYFUNCTION("""COMPUTED_VALUE"""),"PAID VIA GCASH  - AUG 10 - REF - 2622ETQP159JKVFD")</f>
        <v>PAID VIA GCASH  - AUG 10 - REF - 2622ETQP159JKVFD</v>
      </c>
      <c r="K45" s="1" t="str">
        <f>IFERROR(__xludf.DUMMYFUNCTION("""COMPUTED_VALUE"""),"PAID")</f>
        <v>PAID</v>
      </c>
      <c r="L45" s="1" t="str">
        <f>IFERROR(__xludf.DUMMYFUNCTION("""COMPUTED_VALUE"""),"POSTED")</f>
        <v>POSTED</v>
      </c>
      <c r="M45" s="1" t="str">
        <f>IFERROR(__xludf.DUMMYFUNCTION("""COMPUTED_VALUE"""),"8/13/2026")</f>
        <v>8/13/2026</v>
      </c>
      <c r="N45" s="1" t="str">
        <f>IFERROR(__xludf.DUMMYFUNCTION("""COMPUTED_VALUE"""),"RED_RS_ONL_CVE_25")</f>
        <v>RED_RS_ONL_CVE_25</v>
      </c>
      <c r="O45" s="1" t="str">
        <f>IFERROR(__xludf.DUMMYFUNCTION("""COMPUTED_VALUE"""),"RED FIBR 1400")</f>
        <v>RED FIBR 1400</v>
      </c>
      <c r="P45" s="1" t="str">
        <f>IFERROR(__xludf.DUMMYFUNCTION("""COMPUTED_VALUE"""),"MMM018712")</f>
        <v>MMM018712</v>
      </c>
      <c r="Q45" s="1" t="str">
        <f>IFERROR(__xludf.DUMMYFUNCTION("""COMPUTED_VALUE"""),"PEREZ. RONELL")</f>
        <v>PEREZ. RONELL</v>
      </c>
      <c r="R45" s="1" t="str">
        <f>IFERROR(__xludf.DUMMYFUNCTION("""COMPUTED_VALUE"""),"GARCIA MICHAEL JETTS")</f>
        <v>GARCIA MICHAEL JETTS</v>
      </c>
      <c r="S45" s="1" t="str">
        <f>IFERROR(__xludf.DUMMYFUNCTION("""COMPUTED_VALUE"""),"MALIWAT MARK")</f>
        <v>MALIWAT MARK</v>
      </c>
      <c r="T45" s="1" t="str">
        <f>IFERROR(__xludf.DUMMYFUNCTION("""COMPUTED_VALUE"""),"SP6MONTHS")</f>
        <v>SP6MONTHS</v>
      </c>
      <c r="U45" s="1">
        <f>IFERROR(__xludf.DUMMYFUNCTION("""COMPUTED_VALUE"""),9474296177)</f>
        <v>9474296177</v>
      </c>
      <c r="V45" s="1">
        <f>IFERROR(__xludf.DUMMYFUNCTION("""COMPUTED_VALUE"""),9324381320)</f>
        <v>9324381320</v>
      </c>
      <c r="W45" s="1"/>
      <c r="X45" s="1" t="str">
        <f>IFERROR(__xludf.DUMMYFUNCTION("""COMPUTED_VALUE"""),"PHASE B ISTANA RD")</f>
        <v>PHASE B ISTANA RD</v>
      </c>
      <c r="Y45" s="1" t="str">
        <f>IFERROR(__xludf.DUMMYFUNCTION("""COMPUTED_VALUE"""),"PHASE B ISTANA")</f>
        <v>PHASE B ISTANA</v>
      </c>
      <c r="Z45" s="1" t="str">
        <f>IFERROR(__xludf.DUMMYFUNCTION("""COMPUTED_VALUE"""),"BIGA")</f>
        <v>BIGA</v>
      </c>
      <c r="AA45" s="1" t="str">
        <f>IFERROR(__xludf.DUMMYFUNCTION("""COMPUTED_VALUE"""),"TANZA")</f>
        <v>TANZA</v>
      </c>
      <c r="AB45" s="1"/>
      <c r="AC45" s="1" t="str">
        <f>IFERROR(__xludf.DUMMYFUNCTION("""COMPUTED_VALUE"""),"120.841949/14.374399")</f>
        <v>120.841949/14.374399</v>
      </c>
    </row>
    <row r="46" customHeight="1" spans="1:29">
      <c r="A46" s="3">
        <f>IFERROR(__xludf.DUMMYFUNCTION("""COMPUTED_VALUE"""),46244)</f>
        <v>46244</v>
      </c>
      <c r="B46" s="1" t="str">
        <f>IFERROR(__xludf.DUMMYFUNCTION("""COMPUTED_VALUE"""),"FRANCIS BONGON CUELLO")</f>
        <v>FRANCIS BONGON CUELLO</v>
      </c>
      <c r="C46" s="1" t="str">
        <f>IFERROR(__xludf.DUMMYFUNCTION("""COMPUTED_VALUE"""),"RITM0305602")</f>
        <v>RITM0305602</v>
      </c>
      <c r="D46" s="1"/>
      <c r="E46" s="1"/>
      <c r="F46" s="1" t="str">
        <f>IFERROR(__xludf.DUMMYFUNCTION("""COMPUTED_VALUE"""),"franciscuello02@gmail.com")</f>
        <v>franciscuello02@gmail.com</v>
      </c>
      <c r="G46" s="1" t="str">
        <f>IFERROR(__xludf.DUMMYFUNCTION("""COMPUTED_VALUE"""),"APPROVED")</f>
        <v>APPROVED</v>
      </c>
      <c r="H46" s="1"/>
      <c r="I46" s="1" t="str">
        <f>IFERROR(__xludf.DUMMYFUNCTION("""COMPUTED_VALUE"""),"W25")</f>
        <v>W25</v>
      </c>
      <c r="J46" s="1"/>
      <c r="K46" s="1"/>
      <c r="L46" s="1" t="str">
        <f>IFERROR(__xludf.DUMMYFUNCTION("""COMPUTED_VALUE"""),"CANCEL RECREATE - FOR CHANGE EMAIL")</f>
        <v>CANCEL RECREATE - FOR CHANGE EMAIL</v>
      </c>
      <c r="M46" s="1"/>
      <c r="N46" s="1" t="str">
        <f>IFERROR(__xludf.DUMMYFUNCTION("""COMPUTED_VALUE"""),"RED_RS_ONL_CVE_25")</f>
        <v>RED_RS_ONL_CVE_25</v>
      </c>
      <c r="O46" s="1" t="str">
        <f>IFERROR(__xludf.DUMMYFUNCTION("""COMPUTED_VALUE"""),"RED FIBR 1000")</f>
        <v>RED FIBR 1000</v>
      </c>
      <c r="P46" s="1" t="str">
        <f>IFERROR(__xludf.DUMMYFUNCTION("""COMPUTED_VALUE"""),"MMM018709")</f>
        <v>MMM018709</v>
      </c>
      <c r="Q46" s="1" t="str">
        <f>IFERROR(__xludf.DUMMYFUNCTION("""COMPUTED_VALUE"""),"YOLANGCO, JOJO")</f>
        <v>YOLANGCO, JOJO</v>
      </c>
      <c r="R46" s="1" t="str">
        <f>IFERROR(__xludf.DUMMYFUNCTION("""COMPUTED_VALUE"""),"GARCIA MICHAEL JETTS")</f>
        <v>GARCIA MICHAEL JETTS</v>
      </c>
      <c r="S46" s="1" t="str">
        <f>IFERROR(__xludf.DUMMYFUNCTION("""COMPUTED_VALUE"""),"MALIWAT MARK")</f>
        <v>MALIWAT MARK</v>
      </c>
      <c r="T46" s="1" t="str">
        <f>IFERROR(__xludf.DUMMYFUNCTION("""COMPUTED_VALUE"""),"SP6MONTHS")</f>
        <v>SP6MONTHS</v>
      </c>
      <c r="U46" s="1">
        <f>IFERROR(__xludf.DUMMYFUNCTION("""COMPUTED_VALUE"""),9497008867)</f>
        <v>9497008867</v>
      </c>
      <c r="V46" s="1">
        <f>IFERROR(__xludf.DUMMYFUNCTION("""COMPUTED_VALUE"""),9497008867)</f>
        <v>9497008867</v>
      </c>
      <c r="W46" s="1">
        <f>IFERROR(__xludf.DUMMYFUNCTION("""COMPUTED_VALUE"""),81)</f>
        <v>81</v>
      </c>
      <c r="X46" s="1" t="str">
        <f>IFERROR(__xludf.DUMMYFUNCTION("""COMPUTED_VALUE"""),"CALLEJION 13")</f>
        <v>CALLEJION 13</v>
      </c>
      <c r="Y46" s="1"/>
      <c r="Z46" s="1" t="str">
        <f>IFERROR(__xludf.DUMMYFUNCTION("""COMPUTED_VALUE"""),"JULUGAN III")</f>
        <v>JULUGAN III</v>
      </c>
      <c r="AA46" s="1" t="str">
        <f>IFERROR(__xludf.DUMMYFUNCTION("""COMPUTED_VALUE"""),"TANZA")</f>
        <v>TANZA</v>
      </c>
      <c r="AB46" s="1"/>
      <c r="AC46" s="1"/>
    </row>
    <row r="47" customHeight="1" spans="1:29">
      <c r="A47" s="3">
        <f>IFERROR(__xludf.DUMMYFUNCTION("""COMPUTED_VALUE"""),46244)</f>
        <v>46244</v>
      </c>
      <c r="B47" s="1" t="str">
        <f>IFERROR(__xludf.DUMMYFUNCTION("""COMPUTED_VALUE"""),"KATE ANGELENE ARAMAN LUPENA")</f>
        <v>KATE ANGELENE ARAMAN LUPENA</v>
      </c>
      <c r="C47" s="1" t="str">
        <f>IFERROR(__xludf.DUMMYFUNCTION("""COMPUTED_VALUE"""),"RITM0305605")</f>
        <v>RITM0305605</v>
      </c>
      <c r="D47" s="1"/>
      <c r="E47" s="1"/>
      <c r="F47" s="1" t="str">
        <f>IFERROR(__xludf.DUMMYFUNCTION("""COMPUTED_VALUE"""),"lupenakate73@gmail.com")</f>
        <v>lupenakate73@gmail.com</v>
      </c>
      <c r="G47" s="1" t="str">
        <f>IFERROR(__xludf.DUMMYFUNCTION("""COMPUTED_VALUE"""),"REJECTED")</f>
        <v>REJECTED</v>
      </c>
      <c r="H47" s="1" t="str">
        <f>IFERROR(__xludf.DUMMYFUNCTION("""COMPUTED_VALUE"""),"FOUND NO PROMO CODE IN SAF // FOUND SOA ATTACHED IS NOT VALID FOR SWITCH OFFER (DIFF. ADDRESS AND OUT-TO-DATE) // KINDLY ATTACH UPDATED SOA WITH SAME SUBS NAME AND ADDRESS TO AVAIL THE PROMO //")</f>
        <v>FOUND NO PROMO CODE IN SAF // FOUND SOA ATTACHED IS NOT VALID FOR SWITCH OFFER (DIFF. ADDRESS AND OUT-TO-DATE) // KINDLY ATTACH UPDATED SOA WITH SAME SUBS NAME AND ADDRESS TO AVAIL THE PROMO //</v>
      </c>
      <c r="I47" s="1"/>
      <c r="J47" s="1"/>
      <c r="K47" s="1"/>
      <c r="L47" s="1" t="str">
        <f>IFERROR(__xludf.DUMMYFUNCTION("""COMPUTED_VALUE"""),"DISAPPROVED")</f>
        <v>DISAPPROVED</v>
      </c>
      <c r="M47" s="1"/>
      <c r="N47" s="1" t="str">
        <f>IFERROR(__xludf.DUMMYFUNCTION("""COMPUTED_VALUE"""),"RED_RS_ONL_CVE_25")</f>
        <v>RED_RS_ONL_CVE_25</v>
      </c>
      <c r="O47" s="1" t="str">
        <f>IFERROR(__xludf.DUMMYFUNCTION("""COMPUTED_VALUE"""),"RED FIBR 1400")</f>
        <v>RED FIBR 1400</v>
      </c>
      <c r="P47" s="1" t="str">
        <f>IFERROR(__xludf.DUMMYFUNCTION("""COMPUTED_VALUE"""),"MMM018712")</f>
        <v>MMM018712</v>
      </c>
      <c r="Q47" s="1" t="str">
        <f>IFERROR(__xludf.DUMMYFUNCTION("""COMPUTED_VALUE"""),"LUPENA. KARL ANGELO")</f>
        <v>LUPENA. KARL ANGELO</v>
      </c>
      <c r="R47" s="1" t="str">
        <f>IFERROR(__xludf.DUMMYFUNCTION("""COMPUTED_VALUE"""),"GARCIA MICHAEL JETTS")</f>
        <v>GARCIA MICHAEL JETTS</v>
      </c>
      <c r="S47" s="1" t="str">
        <f>IFERROR(__xludf.DUMMYFUNCTION("""COMPUTED_VALUE"""),"MALIWAT MARK")</f>
        <v>MALIWAT MARK</v>
      </c>
      <c r="T47" s="1" t="str">
        <f>IFERROR(__xludf.DUMMYFUNCTION("""COMPUTED_VALUE"""),"SP6MONTHS")</f>
        <v>SP6MONTHS</v>
      </c>
      <c r="U47" s="1">
        <f>IFERROR(__xludf.DUMMYFUNCTION("""COMPUTED_VALUE"""),9364229628)</f>
        <v>9364229628</v>
      </c>
      <c r="V47" s="1">
        <f>IFERROR(__xludf.DUMMYFUNCTION("""COMPUTED_VALUE"""),9364229628)</f>
        <v>9364229628</v>
      </c>
      <c r="W47" s="1">
        <f>IFERROR(__xludf.DUMMYFUNCTION("""COMPUTED_VALUE"""),185)</f>
        <v>185</v>
      </c>
      <c r="X47" s="1" t="str">
        <f>IFERROR(__xludf.DUMMYFUNCTION("""COMPUTED_VALUE"""),"BLISS COMPOUND RD")</f>
        <v>BLISS COMPOUND RD</v>
      </c>
      <c r="Y47" s="1" t="str">
        <f>IFERROR(__xludf.DUMMYFUNCTION("""COMPUTED_VALUE"""),"BLISS SUBDIVISION
")</f>
        <v>BLISS SUBDIVISION
</v>
      </c>
      <c r="Z47" s="1" t="str">
        <f>IFERROR(__xludf.DUMMYFUNCTION("""COMPUTED_VALUE"""),"DAANG AMAYA II")</f>
        <v>DAANG AMAYA II</v>
      </c>
      <c r="AA47" s="1" t="str">
        <f>IFERROR(__xludf.DUMMYFUNCTION("""COMPUTED_VALUE"""),"TANZA")</f>
        <v>TANZA</v>
      </c>
      <c r="AB47" s="1"/>
      <c r="AC47" s="1" t="str">
        <f>IFERROR(__xludf.DUMMYFUNCTION("""COMPUTED_VALUE"""),"120.850320/14.342959")</f>
        <v>120.850320/14.342959</v>
      </c>
    </row>
    <row r="48" customHeight="1" spans="1:29">
      <c r="A48" s="3">
        <f>IFERROR(__xludf.DUMMYFUNCTION("""COMPUTED_VALUE"""),46244)</f>
        <v>46244</v>
      </c>
      <c r="B48" s="1" t="str">
        <f>IFERROR(__xludf.DUMMYFUNCTION("""COMPUTED_VALUE"""),"KRYSTIN MARI SANCHEZ BILLONA")</f>
        <v>KRYSTIN MARI SANCHEZ BILLONA</v>
      </c>
      <c r="C48" s="1" t="str">
        <f>IFERROR(__xludf.DUMMYFUNCTION("""COMPUTED_VALUE"""),"RITM0305608")</f>
        <v>RITM0305608</v>
      </c>
      <c r="D48" s="1" t="str">
        <f>IFERROR(__xludf.DUMMYFUNCTION("""COMPUTED_VALUE"""),"CS1342122 / WO0907679")</f>
        <v>CS1342122 / WO0907679</v>
      </c>
      <c r="E48" s="1">
        <f>IFERROR(__xludf.DUMMYFUNCTION("""COMPUTED_VALUE"""),7226531343)</f>
        <v>7226531343</v>
      </c>
      <c r="F48" s="1" t="str">
        <f>IFERROR(__xludf.DUMMYFUNCTION("""COMPUTED_VALUE"""),"sanchezkrystinmari@gmail.com")</f>
        <v>sanchezkrystinmari@gmail.com</v>
      </c>
      <c r="G48" s="1" t="str">
        <f>IFERROR(__xludf.DUMMYFUNCTION("""COMPUTED_VALUE"""),"CLOSED")</f>
        <v>CLOSED</v>
      </c>
      <c r="H48" s="1"/>
      <c r="I48" s="1"/>
      <c r="J48" s="1" t="str">
        <f>IFERROR(__xludf.DUMMYFUNCTION("""COMPUTED_VALUE"""),"PAID VIA GCASH REF 042995236 AUG 14 TO ACC#8741195685 - PAID THRU GCASH REF 072578313 AUG 20")</f>
        <v>PAID VIA GCASH REF 042995236 AUG 14 TO ACC#8741195685 - PAID THRU GCASH REF 072578313 AUG 20</v>
      </c>
      <c r="K48" s="1" t="str">
        <f>IFERROR(__xludf.DUMMYFUNCTION("""COMPUTED_VALUE"""),"PAID")</f>
        <v>PAID</v>
      </c>
      <c r="L48" s="1" t="str">
        <f>IFERROR(__xludf.DUMMYFUNCTION("""COMPUTED_VALUE"""),"POSTED")</f>
        <v>POSTED</v>
      </c>
      <c r="M48" s="1" t="str">
        <f>IFERROR(__xludf.DUMMYFUNCTION("""COMPUTED_VALUE"""),"8/21/2026")</f>
        <v>8/21/2026</v>
      </c>
      <c r="N48" s="1" t="str">
        <f>IFERROR(__xludf.DUMMYFUNCTION("""COMPUTED_VALUE"""),"RED_RS_ONL_CVE_25")</f>
        <v>RED_RS_ONL_CVE_25</v>
      </c>
      <c r="O48" s="1" t="str">
        <f>IFERROR(__xludf.DUMMYFUNCTION("""COMPUTED_VALUE"""),"RED FIBR 1000")</f>
        <v>RED FIBR 1000</v>
      </c>
      <c r="P48" s="1" t="str">
        <f>IFERROR(__xludf.DUMMYFUNCTION("""COMPUTED_VALUE"""),"MMM018713")</f>
        <v>MMM018713</v>
      </c>
      <c r="Q48" s="1" t="str">
        <f>IFERROR(__xludf.DUMMYFUNCTION("""COMPUTED_VALUE"""),"BONZA, LEE VINCENT")</f>
        <v>BONZA, LEE VINCENT</v>
      </c>
      <c r="R48" s="1" t="str">
        <f>IFERROR(__xludf.DUMMYFUNCTION("""COMPUTED_VALUE"""),"GARCIA MICHAEL JETTS")</f>
        <v>GARCIA MICHAEL JETTS</v>
      </c>
      <c r="S48" s="1" t="str">
        <f>IFERROR(__xludf.DUMMYFUNCTION("""COMPUTED_VALUE"""),"MALIWAT MARK")</f>
        <v>MALIWAT MARK</v>
      </c>
      <c r="T48" s="1" t="str">
        <f>IFERROR(__xludf.DUMMYFUNCTION("""COMPUTED_VALUE"""),"SP6MONTHS")</f>
        <v>SP6MONTHS</v>
      </c>
      <c r="U48" s="1">
        <f>IFERROR(__xludf.DUMMYFUNCTION("""COMPUTED_VALUE"""),9755975592)</f>
        <v>9755975592</v>
      </c>
      <c r="V48" s="1"/>
      <c r="W48" s="1"/>
      <c r="X48" s="1" t="str">
        <f>IFERROR(__xludf.DUMMYFUNCTION("""COMPUTED_VALUE"""),"PHASE B")</f>
        <v>PHASE B</v>
      </c>
      <c r="Y48" s="1" t="str">
        <f>IFERROR(__xludf.DUMMYFUNCTION("""COMPUTED_VALUE"""),"PEARL RESIDENCES")</f>
        <v>PEARL RESIDENCES</v>
      </c>
      <c r="Z48" s="1" t="str">
        <f>IFERROR(__xludf.DUMMYFUNCTION("""COMPUTED_VALUE"""),"CAPIPISA")</f>
        <v>CAPIPISA</v>
      </c>
      <c r="AA48" s="1" t="str">
        <f>IFERROR(__xludf.DUMMYFUNCTION("""COMPUTED_VALUE"""),"TANZA")</f>
        <v>TANZA</v>
      </c>
      <c r="AB48" s="1" t="str">
        <f>IFERROR(__xludf.DUMMYFUNCTION("""COMPUTED_VALUE"""),"CVT6 LCP136 NP3/4")</f>
        <v>CVT6 LCP136 NP3/4</v>
      </c>
      <c r="AC48" s="1" t="str">
        <f>IFERROR(__xludf.DUMMYFUNCTION("""COMPUTED_VALUE""")," 120.795595 / 14.359367")</f>
        <v> 120.795595 / 14.359367</v>
      </c>
    </row>
    <row r="49" customHeight="1" spans="1:29">
      <c r="A49" s="3">
        <f>IFERROR(__xludf.DUMMYFUNCTION("""COMPUTED_VALUE"""),46244)</f>
        <v>46244</v>
      </c>
      <c r="B49" s="1" t="str">
        <f>IFERROR(__xludf.DUMMYFUNCTION("""COMPUTED_VALUE"""),"IVY ROSE GUANTIA SILANG")</f>
        <v>IVY ROSE GUANTIA SILANG</v>
      </c>
      <c r="C49" s="1" t="str">
        <f>IFERROR(__xludf.DUMMYFUNCTION("""COMPUTED_VALUE"""),"RITM0305614")</f>
        <v>RITM0305614</v>
      </c>
      <c r="D49" s="1" t="str">
        <f>IFERROR(__xludf.DUMMYFUNCTION("""COMPUTED_VALUE"""),"CS1342114 / WO0905412")</f>
        <v>CS1342114 / WO0905412</v>
      </c>
      <c r="E49" s="1">
        <f>IFERROR(__xludf.DUMMYFUNCTION("""COMPUTED_VALUE"""),5616386189)</f>
        <v>5616386189</v>
      </c>
      <c r="F49" s="1" t="str">
        <f>IFERROR(__xludf.DUMMYFUNCTION("""COMPUTED_VALUE"""),"silangivyrose316@gmail.com")</f>
        <v>silangivyrose316@gmail.com</v>
      </c>
      <c r="G49" s="1" t="str">
        <f>IFERROR(__xludf.DUMMYFUNCTION("""COMPUTED_VALUE"""),"CLOSED")</f>
        <v>CLOSED</v>
      </c>
      <c r="H49" s="1"/>
      <c r="I49" s="1"/>
      <c r="J49" s="1" t="str">
        <f>IFERROR(__xludf.DUMMYFUNCTION("""COMPUTED_VALUE"""),"PAID VIA GCASH - AUG 10 - REF- 773392734")</f>
        <v>PAID VIA GCASH - AUG 10 - REF- 773392734</v>
      </c>
      <c r="K49" s="1" t="str">
        <f>IFERROR(__xludf.DUMMYFUNCTION("""COMPUTED_VALUE"""),"PAID")</f>
        <v>PAID</v>
      </c>
      <c r="L49" s="1" t="str">
        <f>IFERROR(__xludf.DUMMYFUNCTION("""COMPUTED_VALUE"""),"POSTED")</f>
        <v>POSTED</v>
      </c>
      <c r="M49" s="1" t="str">
        <f>IFERROR(__xludf.DUMMYFUNCTION("""COMPUTED_VALUE"""),"8/12/2026")</f>
        <v>8/12/2026</v>
      </c>
      <c r="N49" s="1" t="str">
        <f>IFERROR(__xludf.DUMMYFUNCTION("""COMPUTED_VALUE"""),"RED_RS_ONL_CVE_25")</f>
        <v>RED_RS_ONL_CVE_25</v>
      </c>
      <c r="O49" s="1" t="str">
        <f>IFERROR(__xludf.DUMMYFUNCTION("""COMPUTED_VALUE"""),"RED FIBR 1000")</f>
        <v>RED FIBR 1000</v>
      </c>
      <c r="P49" s="1" t="str">
        <f>IFERROR(__xludf.DUMMYFUNCTION("""COMPUTED_VALUE"""),"MMM018712")</f>
        <v>MMM018712</v>
      </c>
      <c r="Q49" s="1" t="str">
        <f>IFERROR(__xludf.DUMMYFUNCTION("""COMPUTED_VALUE"""),"PEREZ. RONELL")</f>
        <v>PEREZ. RONELL</v>
      </c>
      <c r="R49" s="1" t="str">
        <f>IFERROR(__xludf.DUMMYFUNCTION("""COMPUTED_VALUE"""),"GARCIA MICHAEL JETTS")</f>
        <v>GARCIA MICHAEL JETTS</v>
      </c>
      <c r="S49" s="1" t="str">
        <f>IFERROR(__xludf.DUMMYFUNCTION("""COMPUTED_VALUE"""),"MALIWAT MARK")</f>
        <v>MALIWAT MARK</v>
      </c>
      <c r="T49" s="1" t="str">
        <f>IFERROR(__xludf.DUMMYFUNCTION("""COMPUTED_VALUE"""),"SP6MONTHS")</f>
        <v>SP6MONTHS</v>
      </c>
      <c r="U49" s="1">
        <f>IFERROR(__xludf.DUMMYFUNCTION("""COMPUTED_VALUE"""),9757171530)</f>
        <v>9757171530</v>
      </c>
      <c r="V49" s="1">
        <f>IFERROR(__xludf.DUMMYFUNCTION("""COMPUTED_VALUE"""),9757171530)</f>
        <v>9757171530</v>
      </c>
      <c r="W49" s="1"/>
      <c r="X49" s="1" t="str">
        <f>IFERROR(__xludf.DUMMYFUNCTION("""COMPUTED_VALUE"""),"PHASE A PEARL RESIDENCES")</f>
        <v>PHASE A PEARL RESIDENCES</v>
      </c>
      <c r="Y49" s="1" t="str">
        <f>IFERROR(__xludf.DUMMYFUNCTION("""COMPUTED_VALUE"""),"PHASE A PEARL RESIDENCES")</f>
        <v>PHASE A PEARL RESIDENCES</v>
      </c>
      <c r="Z49" s="1" t="str">
        <f>IFERROR(__xludf.DUMMYFUNCTION("""COMPUTED_VALUE"""),"CAPIPISA")</f>
        <v>CAPIPISA</v>
      </c>
      <c r="AA49" s="1" t="str">
        <f>IFERROR(__xludf.DUMMYFUNCTION("""COMPUTED_VALUE"""),"TANZA")</f>
        <v>TANZA</v>
      </c>
      <c r="AB49" s="1" t="str">
        <f>IFERROR(__xludf.DUMMYFUNCTION("""COMPUTED_VALUE"""),"CVT6 LCP136 NP3/4")</f>
        <v>CVT6 LCP136 NP3/4</v>
      </c>
      <c r="AC49" s="1" t="str">
        <f>IFERROR(__xludf.DUMMYFUNCTION("""COMPUTED_VALUE""")," 120.795595 / 14.359367")</f>
        <v> 120.795595 / 14.359367</v>
      </c>
    </row>
    <row r="50" customHeight="1" spans="1:29">
      <c r="A50" s="3">
        <f>IFERROR(__xludf.DUMMYFUNCTION("""COMPUTED_VALUE"""),46244)</f>
        <v>46244</v>
      </c>
      <c r="B50" s="1" t="str">
        <f>IFERROR(__xludf.DUMMYFUNCTION("""COMPUTED_VALUE""")," IREENE ESTRELLANES SUMARIA")</f>
        <v> IREENE ESTRELLANES SUMARIA</v>
      </c>
      <c r="C50" s="1" t="str">
        <f>IFERROR(__xludf.DUMMYFUNCTION("""COMPUTED_VALUE"""),"RITM0305622")</f>
        <v>RITM0305622</v>
      </c>
      <c r="D50" s="1"/>
      <c r="E50" s="1"/>
      <c r="F50" s="1" t="str">
        <f>IFERROR(__xludf.DUMMYFUNCTION("""COMPUTED_VALUE"""),"sumariaireene@gmail.com")</f>
        <v>sumariaireene@gmail.com</v>
      </c>
      <c r="G50" s="1" t="str">
        <f>IFERROR(__xludf.DUMMYFUNCTION("""COMPUTED_VALUE"""),"REJECTED")</f>
        <v>REJECTED</v>
      </c>
      <c r="H50" s="1"/>
      <c r="I50" s="1" t="str">
        <f>IFERROR(__xludf.DUMMYFUNCTION("""COMPUTED_VALUE"""),"REJECTED:
MISMATCHED DOB: CRP/POID (1983-10-09) SAF (1983-09-10) // FOUND NO PROMO CODE IN SAF //")</f>
        <v>REJECTED:
MISMATCHED DOB: CRP/POID (1983-10-09) SAF (1983-09-10) // FOUND NO PROMO CODE IN SAF //</v>
      </c>
      <c r="J50" s="1"/>
      <c r="K50" s="1"/>
      <c r="L50" s="1" t="str">
        <f>IFERROR(__xludf.DUMMYFUNCTION("""COMPUTED_VALUE"""),"FOR REENCODE")</f>
        <v>FOR REENCODE</v>
      </c>
      <c r="M50" s="1"/>
      <c r="N50" s="1" t="str">
        <f>IFERROR(__xludf.DUMMYFUNCTION("""COMPUTED_VALUE"""),"RED_RS_ONL_CVE_25")</f>
        <v>RED_RS_ONL_CVE_25</v>
      </c>
      <c r="O50" s="1" t="str">
        <f>IFERROR(__xludf.DUMMYFUNCTION("""COMPUTED_VALUE"""),"RED FIBR 1400")</f>
        <v>RED FIBR 1400</v>
      </c>
      <c r="P50" s="1" t="str">
        <f>IFERROR(__xludf.DUMMYFUNCTION("""COMPUTED_VALUE"""),"MMM018709")</f>
        <v>MMM018709</v>
      </c>
      <c r="Q50" s="1" t="str">
        <f>IFERROR(__xludf.DUMMYFUNCTION("""COMPUTED_VALUE"""),"MORADOS, MARVIN")</f>
        <v>MORADOS, MARVIN</v>
      </c>
      <c r="R50" s="1" t="str">
        <f>IFERROR(__xludf.DUMMYFUNCTION("""COMPUTED_VALUE"""),"GARCIA MICHAEL JETTS")</f>
        <v>GARCIA MICHAEL JETTS</v>
      </c>
      <c r="S50" s="1" t="str">
        <f>IFERROR(__xludf.DUMMYFUNCTION("""COMPUTED_VALUE"""),"MALIWAT MARK")</f>
        <v>MALIWAT MARK</v>
      </c>
      <c r="T50" s="1" t="str">
        <f>IFERROR(__xludf.DUMMYFUNCTION("""COMPUTED_VALUE"""),"SP6MONTHS")</f>
        <v>SP6MONTHS</v>
      </c>
      <c r="U50" s="1">
        <f>IFERROR(__xludf.DUMMYFUNCTION("""COMPUTED_VALUE"""),9853090778)</f>
        <v>9853090778</v>
      </c>
      <c r="V50" s="1">
        <f>IFERROR(__xludf.DUMMYFUNCTION("""COMPUTED_VALUE"""),9853090778)</f>
        <v>9853090778</v>
      </c>
      <c r="W50" s="1"/>
      <c r="X50" s="1" t="str">
        <f>IFERROR(__xludf.DUMMYFUNCTION("""COMPUTED_VALUE"""),"GOLDCREST VILLA 1 ST")</f>
        <v>GOLDCREST VILLA 1 ST</v>
      </c>
      <c r="Y50" s="1" t="str">
        <f>IFERROR(__xludf.DUMMYFUNCTION("""COMPUTED_VALUE"""),"GOLDCREST VILLA 1 ")</f>
        <v>GOLDCREST VILLA 1 </v>
      </c>
      <c r="Z50" s="1" t="str">
        <f>IFERROR(__xludf.DUMMYFUNCTION("""COMPUTED_VALUE"""),"SAN AGUSTIN")</f>
        <v>SAN AGUSTIN</v>
      </c>
      <c r="AA50" s="1" t="str">
        <f>IFERROR(__xludf.DUMMYFUNCTION("""COMPUTED_VALUE"""),"TRECE MARTIRES")</f>
        <v>TRECE MARTIRES</v>
      </c>
      <c r="AB50" s="1"/>
      <c r="AC50" s="1" t="str">
        <f>IFERROR(__xludf.DUMMYFUNCTION("""COMPUTED_VALUE"""),"120.865120/14.287865")</f>
        <v>120.865120/14.287865</v>
      </c>
    </row>
    <row r="51" customHeight="1" spans="1:29">
      <c r="A51" s="3">
        <f>IFERROR(__xludf.DUMMYFUNCTION("""COMPUTED_VALUE"""),46244)</f>
        <v>46244</v>
      </c>
      <c r="B51" s="1" t="str">
        <f>IFERROR(__xludf.DUMMYFUNCTION("""COMPUTED_VALUE"""),"FRANCIS BONGON CUELLO")</f>
        <v>FRANCIS BONGON CUELLO</v>
      </c>
      <c r="C51" s="1" t="str">
        <f>IFERROR(__xludf.DUMMYFUNCTION("""COMPUTED_VALUE"""),"RITM0305629")</f>
        <v>RITM0305629</v>
      </c>
      <c r="D51" s="1"/>
      <c r="E51" s="1"/>
      <c r="F51" s="1" t="str">
        <f>IFERROR(__xludf.DUMMYFUNCTION("""COMPUTED_VALUE"""),"cuellofrancis39@gmail.com")</f>
        <v>cuellofrancis39@gmail.com</v>
      </c>
      <c r="G51" s="1" t="str">
        <f>IFERROR(__xludf.DUMMYFUNCTION("""COMPUTED_VALUE"""),"APPROVED")</f>
        <v>APPROVED</v>
      </c>
      <c r="H51" s="1"/>
      <c r="I51" s="1" t="str">
        <f>IFERROR(__xludf.DUMMYFUNCTION("""COMPUTED_VALUE"""),"SUBS CANCEL - GUSTO DAW NG KAHATI SA PAG BAYAD FREE INSTALLATION AS PER TL 8/14")</f>
        <v>SUBS CANCEL - GUSTO DAW NG KAHATI SA PAG BAYAD FREE INSTALLATION AS PER TL 8/14</v>
      </c>
      <c r="J51" s="1"/>
      <c r="K51" s="1"/>
      <c r="L51" s="1" t="str">
        <f>IFERROR(__xludf.DUMMYFUNCTION("""COMPUTED_VALUE"""),"CANCELLED - SUBS CANCEL REQUEST")</f>
        <v>CANCELLED - SUBS CANCEL REQUEST</v>
      </c>
      <c r="M51" s="1"/>
      <c r="N51" s="1" t="str">
        <f>IFERROR(__xludf.DUMMYFUNCTION("""COMPUTED_VALUE"""),"RED_RS_ONL_CVE_25")</f>
        <v>RED_RS_ONL_CVE_25</v>
      </c>
      <c r="O51" s="1" t="str">
        <f>IFERROR(__xludf.DUMMYFUNCTION("""COMPUTED_VALUE"""),"RED FIBR 1000")</f>
        <v>RED FIBR 1000</v>
      </c>
      <c r="P51" s="1" t="str">
        <f>IFERROR(__xludf.DUMMYFUNCTION("""COMPUTED_VALUE"""),"MMM018709")</f>
        <v>MMM018709</v>
      </c>
      <c r="Q51" s="1" t="str">
        <f>IFERROR(__xludf.DUMMYFUNCTION("""COMPUTED_VALUE"""),"YOLANGCO, JOJO")</f>
        <v>YOLANGCO, JOJO</v>
      </c>
      <c r="R51" s="1" t="str">
        <f>IFERROR(__xludf.DUMMYFUNCTION("""COMPUTED_VALUE"""),"GARCIA MICHAEL JETTS")</f>
        <v>GARCIA MICHAEL JETTS</v>
      </c>
      <c r="S51" s="1" t="str">
        <f>IFERROR(__xludf.DUMMYFUNCTION("""COMPUTED_VALUE"""),"MALIWAT MARK")</f>
        <v>MALIWAT MARK</v>
      </c>
      <c r="T51" s="1" t="str">
        <f>IFERROR(__xludf.DUMMYFUNCTION("""COMPUTED_VALUE"""),"SP6MONTHS")</f>
        <v>SP6MONTHS</v>
      </c>
      <c r="U51" s="1">
        <f>IFERROR(__xludf.DUMMYFUNCTION("""COMPUTED_VALUE"""),9497008867)</f>
        <v>9497008867</v>
      </c>
      <c r="V51" s="1">
        <f>IFERROR(__xludf.DUMMYFUNCTION("""COMPUTED_VALUE"""),9497008867)</f>
        <v>9497008867</v>
      </c>
      <c r="W51" s="1">
        <f>IFERROR(__xludf.DUMMYFUNCTION("""COMPUTED_VALUE"""),81)</f>
        <v>81</v>
      </c>
      <c r="X51" s="1" t="str">
        <f>IFERROR(__xludf.DUMMYFUNCTION("""COMPUTED_VALUE"""),"CALLEJION 13")</f>
        <v>CALLEJION 13</v>
      </c>
      <c r="Y51" s="1"/>
      <c r="Z51" s="1" t="str">
        <f>IFERROR(__xludf.DUMMYFUNCTION("""COMPUTED_VALUE"""),"JULUGAN III")</f>
        <v>JULUGAN III</v>
      </c>
      <c r="AA51" s="1" t="str">
        <f>IFERROR(__xludf.DUMMYFUNCTION("""COMPUTED_VALUE"""),"TANZA")</f>
        <v>TANZA</v>
      </c>
      <c r="AB51" s="1"/>
      <c r="AC51" s="1" t="str">
        <f>IFERROR(__xludf.DUMMYFUNCTION("""COMPUTED_VALUE""")," 120.795595 / 14.359367")</f>
        <v> 120.795595 / 14.359367</v>
      </c>
    </row>
    <row r="52" customHeight="1" spans="1:29">
      <c r="A52" s="3">
        <f>IFERROR(__xludf.DUMMYFUNCTION("""COMPUTED_VALUE"""),46244)</f>
        <v>46244</v>
      </c>
      <c r="B52" s="1" t="str">
        <f>IFERROR(__xludf.DUMMYFUNCTION("""COMPUTED_VALUE"""),"DARLEN MAE CAUREZ")</f>
        <v>DARLEN MAE CAUREZ</v>
      </c>
      <c r="C52" s="1" t="str">
        <f>IFERROR(__xludf.DUMMYFUNCTION("""COMPUTED_VALUE"""),"RITM0305638")</f>
        <v>RITM0305638</v>
      </c>
      <c r="D52" s="1"/>
      <c r="E52" s="1"/>
      <c r="F52" s="1" t="str">
        <f>IFERROR(__xludf.DUMMYFUNCTION("""COMPUTED_VALUE"""),"darlenemaecaurez@gmail.com")</f>
        <v>darlenemaecaurez@gmail.com</v>
      </c>
      <c r="G52" s="1" t="str">
        <f>IFERROR(__xludf.DUMMYFUNCTION("""COMPUTED_VALUE"""),"REJECTED")</f>
        <v>REJECTED</v>
      </c>
      <c r="H52" s="1"/>
      <c r="I52" s="1"/>
      <c r="J52" s="1" t="str">
        <f>IFERROR(__xludf.DUMMYFUNCTION("""COMPUTED_VALUE"""),"REJECTED
FOUND NO SAF ATTACHMENTS")</f>
        <v>REJECTED
FOUND NO SAF ATTACHMENTS</v>
      </c>
      <c r="K52" s="1"/>
      <c r="L52" s="1" t="str">
        <f>IFERROR(__xludf.DUMMYFUNCTION("""COMPUTED_VALUE"""),"REENCODED")</f>
        <v>REENCODED</v>
      </c>
      <c r="M52" s="1"/>
      <c r="N52" s="1" t="str">
        <f>IFERROR(__xludf.DUMMYFUNCTION("""COMPUTED_VALUE"""),"RED_RS_ONL_CVE_25")</f>
        <v>RED_RS_ONL_CVE_25</v>
      </c>
      <c r="O52" s="1" t="str">
        <f>IFERROR(__xludf.DUMMYFUNCTION("""COMPUTED_VALUE"""),"RED FIBR 1400")</f>
        <v>RED FIBR 1400</v>
      </c>
      <c r="P52" s="1" t="str">
        <f>IFERROR(__xludf.DUMMYFUNCTION("""COMPUTED_VALUE"""),"MMM018709")</f>
        <v>MMM018709</v>
      </c>
      <c r="Q52" s="1" t="str">
        <f>IFERROR(__xludf.DUMMYFUNCTION("""COMPUTED_VALUE"""),"KAWAUCHI, SHANE")</f>
        <v>KAWAUCHI, SHANE</v>
      </c>
      <c r="R52" s="1" t="str">
        <f>IFERROR(__xludf.DUMMYFUNCTION("""COMPUTED_VALUE"""),"GARCIA MICHAEL JETTS")</f>
        <v>GARCIA MICHAEL JETTS</v>
      </c>
      <c r="S52" s="1" t="str">
        <f>IFERROR(__xludf.DUMMYFUNCTION("""COMPUTED_VALUE"""),"MALIWAT MARK")</f>
        <v>MALIWAT MARK</v>
      </c>
      <c r="T52" s="1" t="str">
        <f>IFERROR(__xludf.DUMMYFUNCTION("""COMPUTED_VALUE"""),"SP6MONTHS")</f>
        <v>SP6MONTHS</v>
      </c>
      <c r="U52" s="1">
        <f>IFERROR(__xludf.DUMMYFUNCTION("""COMPUTED_VALUE"""),9150471207)</f>
        <v>9150471207</v>
      </c>
      <c r="V52" s="1"/>
      <c r="W52" s="1"/>
      <c r="X52" s="1" t="str">
        <f>IFERROR(__xludf.DUMMYFUNCTION("""COMPUTED_VALUE"""),"PEARL RESIDENCES PHASE B RD")</f>
        <v>PEARL RESIDENCES PHASE B RD</v>
      </c>
      <c r="Y52" s="1" t="str">
        <f>IFERROR(__xludf.DUMMYFUNCTION("""COMPUTED_VALUE"""),"PEARL RESIDENCES PHASE B RD")</f>
        <v>PEARL RESIDENCES PHASE B RD</v>
      </c>
      <c r="Z52" s="1" t="str">
        <f>IFERROR(__xludf.DUMMYFUNCTION("""COMPUTED_VALUE"""),"CAPIPISA")</f>
        <v>CAPIPISA</v>
      </c>
      <c r="AA52" s="1" t="str">
        <f>IFERROR(__xludf.DUMMYFUNCTION("""COMPUTED_VALUE"""),"TANZA")</f>
        <v>TANZA</v>
      </c>
      <c r="AB52" s="1"/>
      <c r="AC52" s="1" t="str">
        <f>IFERROR(__xludf.DUMMYFUNCTION("""COMPUTED_VALUE""")," 120.795595 / 14.359367")</f>
        <v> 120.795595 / 14.359367</v>
      </c>
    </row>
    <row r="53" customHeight="1" spans="1:29">
      <c r="A53" s="3">
        <f>IFERROR(__xludf.DUMMYFUNCTION("""COMPUTED_VALUE"""),46244)</f>
        <v>46244</v>
      </c>
      <c r="B53" s="1" t="str">
        <f>IFERROR(__xludf.DUMMYFUNCTION("""COMPUTED_VALUE"""),"ELSIE ARMIJO MAGNAYO")</f>
        <v>ELSIE ARMIJO MAGNAYO</v>
      </c>
      <c r="C53" s="1" t="str">
        <f>IFERROR(__xludf.DUMMYFUNCTION("""COMPUTED_VALUE"""),"RITM0305652")</f>
        <v>RITM0305652</v>
      </c>
      <c r="D53" s="1"/>
      <c r="E53" s="1"/>
      <c r="F53" s="1" t="str">
        <f>IFERROR(__xludf.DUMMYFUNCTION("""COMPUTED_VALUE"""),"elsiemagnaye8602@gmail.com")</f>
        <v>elsiemagnaye8602@gmail.com</v>
      </c>
      <c r="G53" s="1" t="str">
        <f>IFERROR(__xludf.DUMMYFUNCTION("""COMPUTED_VALUE"""),"REJECTED")</f>
        <v>REJECTED</v>
      </c>
      <c r="H53" s="1"/>
      <c r="I53" s="1" t="str">
        <f>IFERROR(__xludf.DUMMYFUNCTION("""COMPUTED_VALUE"""),"FOUND DEACTIVATED ACC# 5278475447 UNDERS SUBS NAME WITH OUTSTANDING BALANCE AMOUNTING (P11,464.83) // KINDLY ADVISE SUBS NEED TO SETTLE 1ST BEFORE WE PROCEED THE APPLICATION")</f>
        <v>FOUND DEACTIVATED ACC# 5278475447 UNDERS SUBS NAME WITH OUTSTANDING BALANCE AMOUNTING (P11,464.83) // KINDLY ADVISE SUBS NEED TO SETTLE 1ST BEFORE WE PROCEED THE APPLICATION</v>
      </c>
      <c r="J53" s="1"/>
      <c r="K53" s="1"/>
      <c r="L53" s="1" t="str">
        <f>IFERROR(__xludf.DUMMYFUNCTION("""COMPUTED_VALUE"""),"CANCELLED - WITH OB")</f>
        <v>CANCELLED - WITH OB</v>
      </c>
      <c r="M53" s="1"/>
      <c r="N53" s="1" t="str">
        <f>IFERROR(__xludf.DUMMYFUNCTION("""COMPUTED_VALUE"""),"RED_RS_ONL_CVE_25")</f>
        <v>RED_RS_ONL_CVE_25</v>
      </c>
      <c r="O53" s="1" t="str">
        <f>IFERROR(__xludf.DUMMYFUNCTION("""COMPUTED_VALUE"""),"RED FIBR 1400")</f>
        <v>RED FIBR 1400</v>
      </c>
      <c r="P53" s="1" t="str">
        <f>IFERROR(__xludf.DUMMYFUNCTION("""COMPUTED_VALUE"""),"MMM018709")</f>
        <v>MMM018709</v>
      </c>
      <c r="Q53" s="1" t="str">
        <f>IFERROR(__xludf.DUMMYFUNCTION("""COMPUTED_VALUE"""),"ARMIJO, LOUEI JAY")</f>
        <v>ARMIJO, LOUEI JAY</v>
      </c>
      <c r="R53" s="1" t="str">
        <f>IFERROR(__xludf.DUMMYFUNCTION("""COMPUTED_VALUE"""),"GARCIA MICHAEL JETTS")</f>
        <v>GARCIA MICHAEL JETTS</v>
      </c>
      <c r="S53" s="1" t="str">
        <f>IFERROR(__xludf.DUMMYFUNCTION("""COMPUTED_VALUE"""),"MALIWAT MARK")</f>
        <v>MALIWAT MARK</v>
      </c>
      <c r="T53" s="1" t="str">
        <f>IFERROR(__xludf.DUMMYFUNCTION("""COMPUTED_VALUE"""),"SP6MONTHS")</f>
        <v>SP6MONTHS</v>
      </c>
      <c r="U53" s="1">
        <f>IFERROR(__xludf.DUMMYFUNCTION("""COMPUTED_VALUE"""),9606650248)</f>
        <v>9606650248</v>
      </c>
      <c r="V53" s="1">
        <f>IFERROR(__xludf.DUMMYFUNCTION("""COMPUTED_VALUE"""),9606650248)</f>
        <v>9606650248</v>
      </c>
      <c r="W53" s="1"/>
      <c r="X53" s="1" t="str">
        <f>IFERROR(__xludf.DUMMYFUNCTION("""COMPUTED_VALUE"""),"HEART FOUNDATION RD")</f>
        <v>HEART FOUNDATION RD</v>
      </c>
      <c r="Y53" s="1" t="str">
        <f>IFERROR(__xludf.DUMMYFUNCTION("""COMPUTED_VALUE"""),"HEART FOUNDATION")</f>
        <v>HEART FOUNDATION</v>
      </c>
      <c r="Z53" s="1" t="str">
        <f>IFERROR(__xludf.DUMMYFUNCTION("""COMPUTED_VALUE"""),"AMAYA I")</f>
        <v>AMAYA I</v>
      </c>
      <c r="AA53" s="1" t="str">
        <f>IFERROR(__xludf.DUMMYFUNCTION("""COMPUTED_VALUE"""),"TANZA")</f>
        <v>TANZA</v>
      </c>
      <c r="AB53" s="1"/>
      <c r="AC53" s="1" t="str">
        <f>IFERROR(__xludf.DUMMYFUNCTION("""COMPUTED_VALUE"""),"120.872935/14.369320")</f>
        <v>120.872935/14.369320</v>
      </c>
    </row>
    <row r="54" customHeight="1" spans="1:29">
      <c r="A54" s="3">
        <f>IFERROR(__xludf.DUMMYFUNCTION("""COMPUTED_VALUE"""),46244)</f>
        <v>46244</v>
      </c>
      <c r="B54" s="1" t="str">
        <f>IFERROR(__xludf.DUMMYFUNCTION("""COMPUTED_VALUE""")," IREENE ESTRELLANES SUMARIA")</f>
        <v> IREENE ESTRELLANES SUMARIA</v>
      </c>
      <c r="C54" s="1" t="str">
        <f>IFERROR(__xludf.DUMMYFUNCTION("""COMPUTED_VALUE"""),"RITM0305663")</f>
        <v>RITM0305663</v>
      </c>
      <c r="D54" s="1" t="str">
        <f>IFERROR(__xludf.DUMMYFUNCTION("""COMPUTED_VALUE"""),"CS1342200 / WO0905572 ")</f>
        <v>CS1342200 / WO0905572 </v>
      </c>
      <c r="E54" s="1">
        <f>IFERROR(__xludf.DUMMYFUNCTION("""COMPUTED_VALUE"""),8454699234)</f>
        <v>8454699234</v>
      </c>
      <c r="F54" s="1" t="str">
        <f>IFERROR(__xludf.DUMMYFUNCTION("""COMPUTED_VALUE"""),"sumariaireene@gmail.com")</f>
        <v>sumariaireene@gmail.com</v>
      </c>
      <c r="G54" s="1" t="str">
        <f>IFERROR(__xludf.DUMMYFUNCTION("""COMPUTED_VALUE"""),"CLOSED")</f>
        <v>CLOSED</v>
      </c>
      <c r="H54" s="1"/>
      <c r="I54" s="1"/>
      <c r="J54" s="1" t="str">
        <f>IFERROR(__xludf.DUMMYFUNCTION("""COMPUTED_VALUE"""),"PAID VIA GCASH - AUG 11- REF - RADI23684LSOHKF")</f>
        <v>PAID VIA GCASH - AUG 11- REF - RADI23684LSOHKF</v>
      </c>
      <c r="K54" s="1" t="str">
        <f>IFERROR(__xludf.DUMMYFUNCTION("""COMPUTED_VALUE"""),"PAID")</f>
        <v>PAID</v>
      </c>
      <c r="L54" s="1" t="str">
        <f>IFERROR(__xludf.DUMMYFUNCTION("""COMPUTED_VALUE"""),"POSTED")</f>
        <v>POSTED</v>
      </c>
      <c r="M54" s="1" t="str">
        <f>IFERROR(__xludf.DUMMYFUNCTION("""COMPUTED_VALUE"""),"8/12/2026")</f>
        <v>8/12/2026</v>
      </c>
      <c r="N54" s="1" t="str">
        <f>IFERROR(__xludf.DUMMYFUNCTION("""COMPUTED_VALUE"""),"RED_RS_ONL_CVE_25")</f>
        <v>RED_RS_ONL_CVE_25</v>
      </c>
      <c r="O54" s="1" t="str">
        <f>IFERROR(__xludf.DUMMYFUNCTION("""COMPUTED_VALUE"""),"RED FIBR 1400")</f>
        <v>RED FIBR 1400</v>
      </c>
      <c r="P54" s="1" t="str">
        <f>IFERROR(__xludf.DUMMYFUNCTION("""COMPUTED_VALUE"""),"MMM018709")</f>
        <v>MMM018709</v>
      </c>
      <c r="Q54" s="1" t="str">
        <f>IFERROR(__xludf.DUMMYFUNCTION("""COMPUTED_VALUE"""),"MORADOS, MARVIN")</f>
        <v>MORADOS, MARVIN</v>
      </c>
      <c r="R54" s="1" t="str">
        <f>IFERROR(__xludf.DUMMYFUNCTION("""COMPUTED_VALUE"""),"GARCIA MICHAEL JETTS")</f>
        <v>GARCIA MICHAEL JETTS</v>
      </c>
      <c r="S54" s="1" t="str">
        <f>IFERROR(__xludf.DUMMYFUNCTION("""COMPUTED_VALUE"""),"MALIWAT MARK")</f>
        <v>MALIWAT MARK</v>
      </c>
      <c r="T54" s="1" t="str">
        <f>IFERROR(__xludf.DUMMYFUNCTION("""COMPUTED_VALUE"""),"SP6MONTHS")</f>
        <v>SP6MONTHS</v>
      </c>
      <c r="U54" s="1">
        <f>IFERROR(__xludf.DUMMYFUNCTION("""COMPUTED_VALUE"""),9853090778)</f>
        <v>9853090778</v>
      </c>
      <c r="V54" s="1">
        <f>IFERROR(__xludf.DUMMYFUNCTION("""COMPUTED_VALUE"""),9853090778)</f>
        <v>9853090778</v>
      </c>
      <c r="W54" s="1"/>
      <c r="X54" s="1" t="str">
        <f>IFERROR(__xludf.DUMMYFUNCTION("""COMPUTED_VALUE"""),"GOLDCREST VILLA 1 ST")</f>
        <v>GOLDCREST VILLA 1 ST</v>
      </c>
      <c r="Y54" s="1" t="str">
        <f>IFERROR(__xludf.DUMMYFUNCTION("""COMPUTED_VALUE"""),"GOLDCREST VILLA 1 ")</f>
        <v>GOLDCREST VILLA 1 </v>
      </c>
      <c r="Z54" s="1" t="str">
        <f>IFERROR(__xludf.DUMMYFUNCTION("""COMPUTED_VALUE"""),"SAN AGUSTIN")</f>
        <v>SAN AGUSTIN</v>
      </c>
      <c r="AA54" s="1" t="str">
        <f>IFERROR(__xludf.DUMMYFUNCTION("""COMPUTED_VALUE"""),"TRECE MARTIRES")</f>
        <v>TRECE MARTIRES</v>
      </c>
      <c r="AB54" s="1"/>
      <c r="AC54" s="1" t="str">
        <f>IFERROR(__xludf.DUMMYFUNCTION("""COMPUTED_VALUE"""),"120.865120/14.287865")</f>
        <v>120.865120/14.287865</v>
      </c>
    </row>
    <row r="55" customHeight="1" spans="1:29">
      <c r="A55" s="3">
        <f>IFERROR(__xludf.DUMMYFUNCTION("""COMPUTED_VALUE"""),46244)</f>
        <v>46244</v>
      </c>
      <c r="B55" s="1" t="str">
        <f>IFERROR(__xludf.DUMMYFUNCTION("""COMPUTED_VALUE"""),"DARLEN MAE CAUREZ")</f>
        <v>DARLEN MAE CAUREZ</v>
      </c>
      <c r="C55" s="1" t="str">
        <f>IFERROR(__xludf.DUMMYFUNCTION("""COMPUTED_VALUE"""),"RITM0305662")</f>
        <v>RITM0305662</v>
      </c>
      <c r="D55" s="1"/>
      <c r="E55" s="1"/>
      <c r="F55" s="1" t="str">
        <f>IFERROR(__xludf.DUMMYFUNCTION("""COMPUTED_VALUE"""),"darlenemaecaurez@gmail.com")</f>
        <v>darlenemaecaurez@gmail.com</v>
      </c>
      <c r="G55" s="1" t="str">
        <f>IFERROR(__xludf.DUMMYFUNCTION("""COMPUTED_VALUE"""),"REJECTED")</f>
        <v>REJECTED</v>
      </c>
      <c r="H55" s="1"/>
      <c r="I55" s="1" t="str">
        <f>IFERROR(__xludf.DUMMYFUNCTION("""COMPUTED_VALUE"""),"REJECTED:
MISMATCHED OTHER MOBILE NO.: CRP (09150471207) SAF (09632170757) // FOUND NO PROMO CODE IN SAF //")</f>
        <v>REJECTED:
MISMATCHED OTHER MOBILE NO.: CRP (09150471207) SAF (09632170757) // FOUND NO PROMO CODE IN SAF //</v>
      </c>
      <c r="J55" s="1"/>
      <c r="K55" s="1"/>
      <c r="L55" s="1"/>
      <c r="M55" s="1"/>
      <c r="N55" s="1" t="str">
        <f>IFERROR(__xludf.DUMMYFUNCTION("""COMPUTED_VALUE"""),"RED_RS_ONL_CVE_25")</f>
        <v>RED_RS_ONL_CVE_25</v>
      </c>
      <c r="O55" s="1" t="str">
        <f>IFERROR(__xludf.DUMMYFUNCTION("""COMPUTED_VALUE"""),"RED FIBR 1400")</f>
        <v>RED FIBR 1400</v>
      </c>
      <c r="P55" s="1" t="str">
        <f>IFERROR(__xludf.DUMMYFUNCTION("""COMPUTED_VALUE"""),"MMM018709")</f>
        <v>MMM018709</v>
      </c>
      <c r="Q55" s="1" t="str">
        <f>IFERROR(__xludf.DUMMYFUNCTION("""COMPUTED_VALUE"""),"KAWAUCHI, SHANE")</f>
        <v>KAWAUCHI, SHANE</v>
      </c>
      <c r="R55" s="1" t="str">
        <f>IFERROR(__xludf.DUMMYFUNCTION("""COMPUTED_VALUE"""),"GARCIA MICHAEL JETTS")</f>
        <v>GARCIA MICHAEL JETTS</v>
      </c>
      <c r="S55" s="1" t="str">
        <f>IFERROR(__xludf.DUMMYFUNCTION("""COMPUTED_VALUE"""),"MALIWAT MARK")</f>
        <v>MALIWAT MARK</v>
      </c>
      <c r="T55" s="1" t="str">
        <f>IFERROR(__xludf.DUMMYFUNCTION("""COMPUTED_VALUE"""),"SP6MONTHS")</f>
        <v>SP6MONTHS</v>
      </c>
      <c r="U55" s="1">
        <f>IFERROR(__xludf.DUMMYFUNCTION("""COMPUTED_VALUE"""),9150471207)</f>
        <v>9150471207</v>
      </c>
      <c r="V55" s="1"/>
      <c r="W55" s="1"/>
      <c r="X55" s="1" t="str">
        <f>IFERROR(__xludf.DUMMYFUNCTION("""COMPUTED_VALUE"""),"PEARL RESIDENCES PHASE B RD")</f>
        <v>PEARL RESIDENCES PHASE B RD</v>
      </c>
      <c r="Y55" s="1" t="str">
        <f>IFERROR(__xludf.DUMMYFUNCTION("""COMPUTED_VALUE"""),"PEARL RESIDENCES PHASE B RD")</f>
        <v>PEARL RESIDENCES PHASE B RD</v>
      </c>
      <c r="Z55" s="1" t="str">
        <f>IFERROR(__xludf.DUMMYFUNCTION("""COMPUTED_VALUE"""),"CAPIPISA")</f>
        <v>CAPIPISA</v>
      </c>
      <c r="AA55" s="1" t="str">
        <f>IFERROR(__xludf.DUMMYFUNCTION("""COMPUTED_VALUE"""),"TANZA")</f>
        <v>TANZA</v>
      </c>
      <c r="AB55" s="1"/>
      <c r="AC55" s="1" t="str">
        <f>IFERROR(__xludf.DUMMYFUNCTION("""COMPUTED_VALUE""")," 120.795595 / 14.359367")</f>
        <v> 120.795595 / 14.359367</v>
      </c>
    </row>
    <row r="56" customHeight="1" spans="1:29">
      <c r="A56" s="3">
        <f>IFERROR(__xludf.DUMMYFUNCTION("""COMPUTED_VALUE"""),46245)</f>
        <v>46245</v>
      </c>
      <c r="B56" s="1" t="str">
        <f>IFERROR(__xludf.DUMMYFUNCTION("""COMPUTED_VALUE"""),"DARLEN MAE CAUREZ")</f>
        <v>DARLEN MAE CAUREZ</v>
      </c>
      <c r="C56" s="1" t="str">
        <f>IFERROR(__xludf.DUMMYFUNCTION("""COMPUTED_VALUE"""),"RITM0305699")</f>
        <v>RITM0305699</v>
      </c>
      <c r="D56" s="1"/>
      <c r="E56" s="1"/>
      <c r="F56" s="1" t="str">
        <f>IFERROR(__xludf.DUMMYFUNCTION("""COMPUTED_VALUE"""),"darlenmaecaurez@gmail.com")</f>
        <v>darlenmaecaurez@gmail.com</v>
      </c>
      <c r="G56" s="1" t="str">
        <f>IFERROR(__xludf.DUMMYFUNCTION("""COMPUTED_VALUE"""),"APPROVED")</f>
        <v>APPROVED</v>
      </c>
      <c r="H56" s="1"/>
      <c r="I56" s="1" t="str">
        <f>IFERROR(__xludf.DUMMYFUNCTION("""COMPUTED_VALUE"""),"Nakapag pakabit na po ng prepaid tatry muna nila ng 7days kung ok kapag hindi babalikan nalang tayo")</f>
        <v>Nakapag pakabit na po ng prepaid tatry muna nila ng 7days kung ok kapag hindi babalikan nalang tayo</v>
      </c>
      <c r="J56" s="1"/>
      <c r="K56" s="1"/>
      <c r="L56" s="1" t="str">
        <f>IFERROR(__xludf.DUMMYFUNCTION("""COMPUTED_VALUE"""),"CANCELLED - SUBS CANCEL REQUEST")</f>
        <v>CANCELLED - SUBS CANCEL REQUEST</v>
      </c>
      <c r="M56" s="1"/>
      <c r="N56" s="1" t="str">
        <f>IFERROR(__xludf.DUMMYFUNCTION("""COMPUTED_VALUE"""),"RED_RS_ONL_CVE_25")</f>
        <v>RED_RS_ONL_CVE_25</v>
      </c>
      <c r="O56" s="1" t="str">
        <f>IFERROR(__xludf.DUMMYFUNCTION("""COMPUTED_VALUE"""),"RED FIBR 1400")</f>
        <v>RED FIBR 1400</v>
      </c>
      <c r="P56" s="1" t="str">
        <f>IFERROR(__xludf.DUMMYFUNCTION("""COMPUTED_VALUE"""),"MMM018709")</f>
        <v>MMM018709</v>
      </c>
      <c r="Q56" s="1" t="str">
        <f>IFERROR(__xludf.DUMMYFUNCTION("""COMPUTED_VALUE"""),"KAWAUCHI, SHANE")</f>
        <v>KAWAUCHI, SHANE</v>
      </c>
      <c r="R56" s="1" t="str">
        <f>IFERROR(__xludf.DUMMYFUNCTION("""COMPUTED_VALUE"""),"GARCIA MICHAEL JETTS")</f>
        <v>GARCIA MICHAEL JETTS</v>
      </c>
      <c r="S56" s="1" t="str">
        <f>IFERROR(__xludf.DUMMYFUNCTION("""COMPUTED_VALUE"""),"SALIOA JB")</f>
        <v>SALIOA JB</v>
      </c>
      <c r="T56" s="1" t="str">
        <f>IFERROR(__xludf.DUMMYFUNCTION("""COMPUTED_VALUE"""),"SP6MONTHS")</f>
        <v>SP6MONTHS</v>
      </c>
      <c r="U56" s="1">
        <f>IFERROR(__xludf.DUMMYFUNCTION("""COMPUTED_VALUE"""),9150471207)</f>
        <v>9150471207</v>
      </c>
      <c r="V56" s="1">
        <f>IFERROR(__xludf.DUMMYFUNCTION("""COMPUTED_VALUE"""),9632170757)</f>
        <v>9632170757</v>
      </c>
      <c r="W56" s="1"/>
      <c r="X56" s="1" t="str">
        <f>IFERROR(__xludf.DUMMYFUNCTION("""COMPUTED_VALUE"""),"PHASE B ST")</f>
        <v>PHASE B ST</v>
      </c>
      <c r="Y56" s="1" t="str">
        <f>IFERROR(__xludf.DUMMYFUNCTION("""COMPUTED_VALUE"""),"PEARL RESIDENCES")</f>
        <v>PEARL RESIDENCES</v>
      </c>
      <c r="Z56" s="1" t="str">
        <f>IFERROR(__xludf.DUMMYFUNCTION("""COMPUTED_VALUE"""),"CAPIPISA")</f>
        <v>CAPIPISA</v>
      </c>
      <c r="AA56" s="1" t="str">
        <f>IFERROR(__xludf.DUMMYFUNCTION("""COMPUTED_VALUE"""),"TANZA")</f>
        <v>TANZA</v>
      </c>
      <c r="AB56" s="1"/>
      <c r="AC56" s="1" t="str">
        <f>IFERROR(__xludf.DUMMYFUNCTION("""COMPUTED_VALUE""")," 120.795595 / 14.359367")</f>
        <v> 120.795595 / 14.359367</v>
      </c>
    </row>
    <row r="57" customHeight="1" spans="1:29">
      <c r="A57" s="3">
        <f>IFERROR(__xludf.DUMMYFUNCTION("""COMPUTED_VALUE"""),46245)</f>
        <v>46245</v>
      </c>
      <c r="B57" s="1" t="str">
        <f>IFERROR(__xludf.DUMMYFUNCTION("""COMPUTED_VALUE"""),"MERICRIS PEBECLEY ALOJADO")</f>
        <v>MERICRIS PEBECLEY ALOJADO</v>
      </c>
      <c r="C57" s="1" t="str">
        <f>IFERROR(__xludf.DUMMYFUNCTION("""COMPUTED_VALUE"""),"RITM0305723")</f>
        <v>RITM0305723</v>
      </c>
      <c r="D57" s="1" t="str">
        <f>IFERROR(__xludf.DUMMYFUNCTION("""COMPUTED_VALUE"""),"CS1342486 / WO0905666")</f>
        <v>CS1342486 / WO0905666</v>
      </c>
      <c r="E57" s="1">
        <f>IFERROR(__xludf.DUMMYFUNCTION("""COMPUTED_VALUE"""),8464744455)</f>
        <v>8464744455</v>
      </c>
      <c r="F57" s="1" t="str">
        <f>IFERROR(__xludf.DUMMYFUNCTION("""COMPUTED_VALUE"""),"meishanserenity@gmail.com")</f>
        <v>meishanserenity@gmail.com</v>
      </c>
      <c r="G57" s="1" t="str">
        <f>IFERROR(__xludf.DUMMYFUNCTION("""COMPUTED_VALUE"""),"CLOSED")</f>
        <v>CLOSED</v>
      </c>
      <c r="H57" s="1"/>
      <c r="I57" s="1"/>
      <c r="J57" s="1" t="str">
        <f>IFERROR(__xludf.DUMMYFUNCTION("""COMPUTED_VALUE"""),"PAID VIA GCASH - AUG 11 - REF - RADI 236844XWIYIG")</f>
        <v>PAID VIA GCASH - AUG 11 - REF - RADI 236844XWIYIG</v>
      </c>
      <c r="K57" s="1" t="str">
        <f>IFERROR(__xludf.DUMMYFUNCTION("""COMPUTED_VALUE"""),"PAID")</f>
        <v>PAID</v>
      </c>
      <c r="L57" s="1" t="str">
        <f>IFERROR(__xludf.DUMMYFUNCTION("""COMPUTED_VALUE"""),"POSTED")</f>
        <v>POSTED</v>
      </c>
      <c r="M57" s="1" t="str">
        <f>IFERROR(__xludf.DUMMYFUNCTION("""COMPUTED_VALUE"""),"8/12/2026")</f>
        <v>8/12/2026</v>
      </c>
      <c r="N57" s="1" t="str">
        <f>IFERROR(__xludf.DUMMYFUNCTION("""COMPUTED_VALUE"""),"RED_RS_ONL_CVE_25")</f>
        <v>RED_RS_ONL_CVE_25</v>
      </c>
      <c r="O57" s="1" t="str">
        <f>IFERROR(__xludf.DUMMYFUNCTION("""COMPUTED_VALUE"""),"RED FIBR 1000")</f>
        <v>RED FIBR 1000</v>
      </c>
      <c r="P57" s="1" t="str">
        <f>IFERROR(__xludf.DUMMYFUNCTION("""COMPUTED_VALUE"""),"MMM018709")</f>
        <v>MMM018709</v>
      </c>
      <c r="Q57" s="1" t="str">
        <f>IFERROR(__xludf.DUMMYFUNCTION("""COMPUTED_VALUE"""),"KAWAUCHI, SHANE")</f>
        <v>KAWAUCHI, SHANE</v>
      </c>
      <c r="R57" s="1" t="str">
        <f>IFERROR(__xludf.DUMMYFUNCTION("""COMPUTED_VALUE"""),"GARCIA MICHAEL JETTS")</f>
        <v>GARCIA MICHAEL JETTS</v>
      </c>
      <c r="S57" s="1" t="str">
        <f>IFERROR(__xludf.DUMMYFUNCTION("""COMPUTED_VALUE"""),"SALIOA JB")</f>
        <v>SALIOA JB</v>
      </c>
      <c r="T57" s="1" t="str">
        <f>IFERROR(__xludf.DUMMYFUNCTION("""COMPUTED_VALUE"""),"SP6MONTHS")</f>
        <v>SP6MONTHS</v>
      </c>
      <c r="U57" s="1">
        <f>IFERROR(__xludf.DUMMYFUNCTION("""COMPUTED_VALUE"""),9380658674)</f>
        <v>9380658674</v>
      </c>
      <c r="V57" s="1"/>
      <c r="W57" s="1"/>
      <c r="X57" s="1" t="str">
        <f>IFERROR(__xludf.DUMMYFUNCTION("""COMPUTED_VALUE"""),"PHASE B ST")</f>
        <v>PHASE B ST</v>
      </c>
      <c r="Y57" s="1" t="str">
        <f>IFERROR(__xludf.DUMMYFUNCTION("""COMPUTED_VALUE"""),"PEARL RESIDENCES")</f>
        <v>PEARL RESIDENCES</v>
      </c>
      <c r="Z57" s="1" t="str">
        <f>IFERROR(__xludf.DUMMYFUNCTION("""COMPUTED_VALUE"""),"CAPIPISA")</f>
        <v>CAPIPISA</v>
      </c>
      <c r="AA57" s="1" t="str">
        <f>IFERROR(__xludf.DUMMYFUNCTION("""COMPUTED_VALUE"""),"TANZA")</f>
        <v>TANZA</v>
      </c>
      <c r="AB57" s="1"/>
      <c r="AC57" s="1" t="str">
        <f>IFERROR(__xludf.DUMMYFUNCTION("""COMPUTED_VALUE"""),"120.79673085 / 14.35910693")</f>
        <v>120.79673085 / 14.35910693</v>
      </c>
    </row>
    <row r="58" customHeight="1" spans="1:29">
      <c r="A58" s="3">
        <f>IFERROR(__xludf.DUMMYFUNCTION("""COMPUTED_VALUE"""),46245)</f>
        <v>46245</v>
      </c>
      <c r="B58" s="1" t="str">
        <f>IFERROR(__xludf.DUMMYFUNCTION("""COMPUTED_VALUE"""),"RIZALEN BLASCO VILLAMIN")</f>
        <v>RIZALEN BLASCO VILLAMIN</v>
      </c>
      <c r="C58" s="1" t="str">
        <f>IFERROR(__xludf.DUMMYFUNCTION("""COMPUTED_VALUE"""),"RITM0305818")</f>
        <v>RITM0305818</v>
      </c>
      <c r="D58" s="1" t="str">
        <f>IFERROR(__xludf.DUMMYFUNCTION("""COMPUTED_VALUE"""),"CS1342605 / WO0905853")</f>
        <v>CS1342605 / WO0905853</v>
      </c>
      <c r="E58" s="1">
        <f>IFERROR(__xludf.DUMMYFUNCTION("""COMPUTED_VALUE"""),7959284884)</f>
        <v>7959284884</v>
      </c>
      <c r="F58" s="1" t="str">
        <f>IFERROR(__xludf.DUMMYFUNCTION("""COMPUTED_VALUE"""),"villaminruvenjohn045@gmail.com")</f>
        <v>villaminruvenjohn045@gmail.com</v>
      </c>
      <c r="G58" s="1" t="str">
        <f>IFERROR(__xludf.DUMMYFUNCTION("""COMPUTED_VALUE"""),"CLOSED")</f>
        <v>CLOSED</v>
      </c>
      <c r="H58" s="1"/>
      <c r="I58" s="1"/>
      <c r="J58" s="1" t="str">
        <f>IFERROR(__xludf.DUMMYFUNCTION("""COMPUTED_VALUE"""),"PAID VIA GCASH - AUG 11 - REF - RADI 23684DW7DW25")</f>
        <v>PAID VIA GCASH - AUG 11 - REF - RADI 23684DW7DW25</v>
      </c>
      <c r="K58" s="1" t="str">
        <f>IFERROR(__xludf.DUMMYFUNCTION("""COMPUTED_VALUE"""),"PAID")</f>
        <v>PAID</v>
      </c>
      <c r="L58" s="1" t="str">
        <f>IFERROR(__xludf.DUMMYFUNCTION("""COMPUTED_VALUE"""),"POSTED")</f>
        <v>POSTED</v>
      </c>
      <c r="M58" s="1" t="str">
        <f>IFERROR(__xludf.DUMMYFUNCTION("""COMPUTED_VALUE"""),"8/13/2026")</f>
        <v>8/13/2026</v>
      </c>
      <c r="N58" s="1" t="str">
        <f>IFERROR(__xludf.DUMMYFUNCTION("""COMPUTED_VALUE"""),"RED_RS_ONL_CVE_25")</f>
        <v>RED_RS_ONL_CVE_25</v>
      </c>
      <c r="O58" s="1" t="str">
        <f>IFERROR(__xludf.DUMMYFUNCTION("""COMPUTED_VALUE"""),"RED FIBR 1000")</f>
        <v>RED FIBR 1000</v>
      </c>
      <c r="P58" s="1" t="str">
        <f>IFERROR(__xludf.DUMMYFUNCTION("""COMPUTED_VALUE"""),"MMM018709")</f>
        <v>MMM018709</v>
      </c>
      <c r="Q58" s="1" t="str">
        <f>IFERROR(__xludf.DUMMYFUNCTION("""COMPUTED_VALUE"""),"YOLANGCO, JOJO")</f>
        <v>YOLANGCO, JOJO</v>
      </c>
      <c r="R58" s="1" t="str">
        <f>IFERROR(__xludf.DUMMYFUNCTION("""COMPUTED_VALUE"""),"GARCIA MICHAEL JETTS")</f>
        <v>GARCIA MICHAEL JETTS</v>
      </c>
      <c r="S58" s="1" t="str">
        <f>IFERROR(__xludf.DUMMYFUNCTION("""COMPUTED_VALUE"""),"SALIOA JB")</f>
        <v>SALIOA JB</v>
      </c>
      <c r="T58" s="1" t="str">
        <f>IFERROR(__xludf.DUMMYFUNCTION("""COMPUTED_VALUE"""),"SP6MONTHS")</f>
        <v>SP6MONTHS</v>
      </c>
      <c r="U58" s="1">
        <f>IFERROR(__xludf.DUMMYFUNCTION("""COMPUTED_VALUE"""),9859753832)</f>
        <v>9859753832</v>
      </c>
      <c r="V58" s="1"/>
      <c r="W58" s="1"/>
      <c r="X58" s="1" t="str">
        <f>IFERROR(__xludf.DUMMYFUNCTION("""COMPUTED_VALUE"""),"14TH RD")</f>
        <v>14TH RD</v>
      </c>
      <c r="Y58" s="1" t="str">
        <f>IFERROR(__xludf.DUMMYFUNCTION("""COMPUTED_VALUE"""),"PEARL RESIDENCES PHASE B")</f>
        <v>PEARL RESIDENCES PHASE B</v>
      </c>
      <c r="Z58" s="1" t="str">
        <f>IFERROR(__xludf.DUMMYFUNCTION("""COMPUTED_VALUE"""),"CAPIPISA")</f>
        <v>CAPIPISA</v>
      </c>
      <c r="AA58" s="1" t="str">
        <f>IFERROR(__xludf.DUMMYFUNCTION("""COMPUTED_VALUE"""),"TANZA")</f>
        <v>TANZA</v>
      </c>
      <c r="AB58" s="1"/>
      <c r="AC58" s="1" t="str">
        <f>IFERROR(__xludf.DUMMYFUNCTION("""COMPUTED_VALUE"""),"120.796872 / 14.357249")</f>
        <v>120.796872 / 14.357249</v>
      </c>
    </row>
    <row r="59" customHeight="1" spans="1:29">
      <c r="A59" s="3">
        <f>IFERROR(__xludf.DUMMYFUNCTION("""COMPUTED_VALUE"""),46245)</f>
        <v>46245</v>
      </c>
      <c r="B59" s="1" t="str">
        <f>IFERROR(__xludf.DUMMYFUNCTION("""COMPUTED_VALUE"""),"NOREIGN AVIONA BIGALBAL ANTONIO")</f>
        <v>NOREIGN AVIONA BIGALBAL ANTONIO</v>
      </c>
      <c r="C59" s="1" t="str">
        <f>IFERROR(__xludf.DUMMYFUNCTION("""COMPUTED_VALUE"""),"RITM0305821")</f>
        <v>RITM0305821</v>
      </c>
      <c r="D59" s="1" t="str">
        <f>IFERROR(__xludf.DUMMYFUNCTION("""COMPUTED_VALUE"""),"CS1342610 / WO0905854")</f>
        <v>CS1342610 / WO0905854</v>
      </c>
      <c r="E59" s="1">
        <f>IFERROR(__xludf.DUMMYFUNCTION("""COMPUTED_VALUE"""),3129135682)</f>
        <v>3129135682</v>
      </c>
      <c r="F59" s="1" t="str">
        <f>IFERROR(__xludf.DUMMYFUNCTION("""COMPUTED_VALUE"""),"Antonionoreign16@gmail.com")</f>
        <v>Antonionoreign16@gmail.com</v>
      </c>
      <c r="G59" s="1" t="str">
        <f>IFERROR(__xludf.DUMMYFUNCTION("""COMPUTED_VALUE"""),"CLOSED")</f>
        <v>CLOSED</v>
      </c>
      <c r="H59" s="1"/>
      <c r="I59" s="1"/>
      <c r="J59" s="1" t="str">
        <f>IFERROR(__xludf.DUMMYFUNCTION("""COMPUTED_VALUE"""),"PAID VIA GCASH - AUG 11 - REF - ETQP26223R58Lj2d9")</f>
        <v>PAID VIA GCASH - AUG 11 - REF - ETQP26223R58Lj2d9</v>
      </c>
      <c r="K59" s="1" t="str">
        <f>IFERROR(__xludf.DUMMYFUNCTION("""COMPUTED_VALUE"""),"PAID")</f>
        <v>PAID</v>
      </c>
      <c r="L59" s="1" t="str">
        <f>IFERROR(__xludf.DUMMYFUNCTION("""COMPUTED_VALUE"""),"POSTED")</f>
        <v>POSTED</v>
      </c>
      <c r="M59" s="1" t="str">
        <f>IFERROR(__xludf.DUMMYFUNCTION("""COMPUTED_VALUE"""),"8/13/2026")</f>
        <v>8/13/2026</v>
      </c>
      <c r="N59" s="1" t="str">
        <f>IFERROR(__xludf.DUMMYFUNCTION("""COMPUTED_VALUE"""),"RED_RS_ONL_CVE_25")</f>
        <v>RED_RS_ONL_CVE_25</v>
      </c>
      <c r="O59" s="1" t="str">
        <f>IFERROR(__xludf.DUMMYFUNCTION("""COMPUTED_VALUE"""),"RED FIBR 1400")</f>
        <v>RED FIBR 1400</v>
      </c>
      <c r="P59" s="1" t="str">
        <f>IFERROR(__xludf.DUMMYFUNCTION("""COMPUTED_VALUE"""),"MMM018709")</f>
        <v>MMM018709</v>
      </c>
      <c r="Q59" s="1" t="str">
        <f>IFERROR(__xludf.DUMMYFUNCTION("""COMPUTED_VALUE"""),"MORADOS, MARVIN")</f>
        <v>MORADOS, MARVIN</v>
      </c>
      <c r="R59" s="1" t="str">
        <f>IFERROR(__xludf.DUMMYFUNCTION("""COMPUTED_VALUE"""),"GARCIA MICHAEL JETTS")</f>
        <v>GARCIA MICHAEL JETTS</v>
      </c>
      <c r="S59" s="1" t="str">
        <f>IFERROR(__xludf.DUMMYFUNCTION("""COMPUTED_VALUE"""),"SALIOA JB")</f>
        <v>SALIOA JB</v>
      </c>
      <c r="T59" s="1" t="str">
        <f>IFERROR(__xludf.DUMMYFUNCTION("""COMPUTED_VALUE"""),"SP6MONTHS")</f>
        <v>SP6MONTHS</v>
      </c>
      <c r="U59" s="1">
        <f>IFERROR(__xludf.DUMMYFUNCTION("""COMPUTED_VALUE"""),9457293641)</f>
        <v>9457293641</v>
      </c>
      <c r="V59" s="1"/>
      <c r="W59" s="1"/>
      <c r="X59" s="1" t="str">
        <f>IFERROR(__xludf.DUMMYFUNCTION("""COMPUTED_VALUE"""),"PHASE A ST")</f>
        <v>PHASE A ST</v>
      </c>
      <c r="Y59" s="1" t="str">
        <f>IFERROR(__xludf.DUMMYFUNCTION("""COMPUTED_VALUE"""),"ISTANA ")</f>
        <v>ISTANA </v>
      </c>
      <c r="Z59" s="1" t="str">
        <f>IFERROR(__xludf.DUMMYFUNCTION("""COMPUTED_VALUE"""),"AMAYA II")</f>
        <v>AMAYA II</v>
      </c>
      <c r="AA59" s="1" t="str">
        <f>IFERROR(__xludf.DUMMYFUNCTION("""COMPUTED_VALUE"""),"TANZA")</f>
        <v>TANZA</v>
      </c>
      <c r="AB59" s="1"/>
      <c r="AC59" s="1" t="str">
        <f>IFERROR(__xludf.DUMMYFUNCTION("""COMPUTED_VALUE"""),"120.837575 / 14.373796")</f>
        <v>120.837575 / 14.373796</v>
      </c>
    </row>
    <row r="60" customHeight="1" spans="1:29">
      <c r="A60" s="3">
        <f>IFERROR(__xludf.DUMMYFUNCTION("""COMPUTED_VALUE"""),46246)</f>
        <v>46246</v>
      </c>
      <c r="B60" s="1" t="str">
        <f>IFERROR(__xludf.DUMMYFUNCTION("""COMPUTED_VALUE"""),"ROANNE SOLIS CAPILI")</f>
        <v>ROANNE SOLIS CAPILI</v>
      </c>
      <c r="C60" s="1" t="str">
        <f>IFERROR(__xludf.DUMMYFUNCTION("""COMPUTED_VALUE"""),"RITM0305883 ")</f>
        <v>RITM0305883 </v>
      </c>
      <c r="D60" s="1"/>
      <c r="E60" s="1"/>
      <c r="F60" s="1" t="str">
        <f>IFERROR(__xludf.DUMMYFUNCTION("""COMPUTED_VALUE"""),"Rnnslscpl1199@gmail.com")</f>
        <v>Rnnslscpl1199@gmail.com</v>
      </c>
      <c r="G60" s="1" t="str">
        <f>IFERROR(__xludf.DUMMYFUNCTION("""COMPUTED_VALUE"""),"APPROVED")</f>
        <v>APPROVED</v>
      </c>
      <c r="H60" s="1"/>
      <c r="I60" s="1" t="str">
        <f>IFERROR(__xludf.DUMMYFUNCTION("""COMPUTED_VALUE"""),"SUBS CANCEL - AYAW DAW NG MAY BAYAD AS PER TL 8/15")</f>
        <v>SUBS CANCEL - AYAW DAW NG MAY BAYAD AS PER TL 8/15</v>
      </c>
      <c r="J60" s="1"/>
      <c r="K60" s="1"/>
      <c r="L60" s="1" t="str">
        <f>IFERROR(__xludf.DUMMYFUNCTION("""COMPUTED_VALUE"""),"CANCELLED - SUBS CANCEL REQUEST")</f>
        <v>CANCELLED - SUBS CANCEL REQUEST</v>
      </c>
      <c r="M60" s="1"/>
      <c r="N60" s="1" t="str">
        <f>IFERROR(__xludf.DUMMYFUNCTION("""COMPUTED_VALUE"""),"RED_RS_ONL_CVE_25")</f>
        <v>RED_RS_ONL_CVE_25</v>
      </c>
      <c r="O60" s="1" t="str">
        <f>IFERROR(__xludf.DUMMYFUNCTION("""COMPUTED_VALUE"""),"RED FIBR 1000")</f>
        <v>RED FIBR 1000</v>
      </c>
      <c r="P60" s="1" t="str">
        <f>IFERROR(__xludf.DUMMYFUNCTION("""COMPUTED_VALUE"""),"MMM018709")</f>
        <v>MMM018709</v>
      </c>
      <c r="Q60" s="1" t="str">
        <f>IFERROR(__xludf.DUMMYFUNCTION("""COMPUTED_VALUE"""),"YOLANGCO, JOJO")</f>
        <v>YOLANGCO, JOJO</v>
      </c>
      <c r="R60" s="1" t="str">
        <f>IFERROR(__xludf.DUMMYFUNCTION("""COMPUTED_VALUE"""),"GARCIA MICHAEL JETTS")</f>
        <v>GARCIA MICHAEL JETTS</v>
      </c>
      <c r="S60" s="1" t="str">
        <f>IFERROR(__xludf.DUMMYFUNCTION("""COMPUTED_VALUE"""),"SALIOA JB")</f>
        <v>SALIOA JB</v>
      </c>
      <c r="T60" s="1" t="str">
        <f>IFERROR(__xludf.DUMMYFUNCTION("""COMPUTED_VALUE"""),"SP6MONTHS")</f>
        <v>SP6MONTHS</v>
      </c>
      <c r="U60" s="1">
        <f>IFERROR(__xludf.DUMMYFUNCTION("""COMPUTED_VALUE"""),9651775839)</f>
        <v>9651775839</v>
      </c>
      <c r="V60" s="1"/>
      <c r="W60" s="1">
        <f>IFERROR(__xludf.DUMMYFUNCTION("""COMPUTED_VALUE"""),241)</f>
        <v>241</v>
      </c>
      <c r="X60" s="1" t="str">
        <f>IFERROR(__xludf.DUMMYFUNCTION("""COMPUTED_VALUE"""),"MAGDALO ST")</f>
        <v>MAGDALO ST</v>
      </c>
      <c r="Y60" s="1"/>
      <c r="Z60" s="1" t="str">
        <f>IFERROR(__xludf.DUMMYFUNCTION("""COMPUTED_VALUE"""),"JULUGAN VI")</f>
        <v>JULUGAN VI</v>
      </c>
      <c r="AA60" s="1" t="str">
        <f>IFERROR(__xludf.DUMMYFUNCTION("""COMPUTED_VALUE"""),"TANZA")</f>
        <v>TANZA</v>
      </c>
      <c r="AB60" s="1"/>
      <c r="AC60" s="1" t="str">
        <f>IFERROR(__xludf.DUMMYFUNCTION("""COMPUTED_VALUE"""),"120.843235 / 14.400174")</f>
        <v>120.843235 / 14.400174</v>
      </c>
    </row>
    <row r="61" customHeight="1" spans="1:29">
      <c r="A61" s="3">
        <f>IFERROR(__xludf.DUMMYFUNCTION("""COMPUTED_VALUE"""),46246)</f>
        <v>46246</v>
      </c>
      <c r="B61" s="1" t="str">
        <f>IFERROR(__xludf.DUMMYFUNCTION("""COMPUTED_VALUE"""),"KHEY ANN BOCITA PAULINO")</f>
        <v>KHEY ANN BOCITA PAULINO</v>
      </c>
      <c r="C61" s="1" t="str">
        <f>IFERROR(__xludf.DUMMYFUNCTION("""COMPUTED_VALUE"""),"RITM0305899")</f>
        <v>RITM0305899</v>
      </c>
      <c r="D61" s="1" t="str">
        <f>IFERROR(__xludf.DUMMYFUNCTION("""COMPUTED_VALUE"""),"CS1342885 / WO0905932")</f>
        <v>CS1342885 / WO0905932</v>
      </c>
      <c r="E61" s="1">
        <f>IFERROR(__xludf.DUMMYFUNCTION("""COMPUTED_VALUE"""),3459117268)</f>
        <v>3459117268</v>
      </c>
      <c r="F61" s="1" t="str">
        <f>IFERROR(__xludf.DUMMYFUNCTION("""COMPUTED_VALUE"""),"paulinokheyann@gmail.com")</f>
        <v>paulinokheyann@gmail.com</v>
      </c>
      <c r="G61" s="1" t="str">
        <f>IFERROR(__xludf.DUMMYFUNCTION("""COMPUTED_VALUE"""),"CLOSED")</f>
        <v>CLOSED</v>
      </c>
      <c r="H61" s="1"/>
      <c r="I61" s="1"/>
      <c r="J61" s="1" t="str">
        <f>IFERROR(__xludf.DUMMYFUNCTION("""COMPUTED_VALUE"""),"PAID VIA GCASH - AUG 12 - REF - ETQP26224EfQjR5S")</f>
        <v>PAID VIA GCASH - AUG 12 - REF - ETQP26224EfQjR5S</v>
      </c>
      <c r="K61" s="1" t="str">
        <f>IFERROR(__xludf.DUMMYFUNCTION("""COMPUTED_VALUE"""),"PAID")</f>
        <v>PAID</v>
      </c>
      <c r="L61" s="1" t="str">
        <f>IFERROR(__xludf.DUMMYFUNCTION("""COMPUTED_VALUE"""),"POSTED")</f>
        <v>POSTED</v>
      </c>
      <c r="M61" s="1" t="str">
        <f>IFERROR(__xludf.DUMMYFUNCTION("""COMPUTED_VALUE"""),"8/13/2026")</f>
        <v>8/13/2026</v>
      </c>
      <c r="N61" s="1" t="str">
        <f>IFERROR(__xludf.DUMMYFUNCTION("""COMPUTED_VALUE"""),"RED_RS_ONL_CVE_25")</f>
        <v>RED_RS_ONL_CVE_25</v>
      </c>
      <c r="O61" s="1" t="str">
        <f>IFERROR(__xludf.DUMMYFUNCTION("""COMPUTED_VALUE"""),"RED FIBR 1000")</f>
        <v>RED FIBR 1000</v>
      </c>
      <c r="P61" s="1" t="str">
        <f>IFERROR(__xludf.DUMMYFUNCTION("""COMPUTED_VALUE"""),"MMM018709")</f>
        <v>MMM018709</v>
      </c>
      <c r="Q61" s="1" t="str">
        <f>IFERROR(__xludf.DUMMYFUNCTION("""COMPUTED_VALUE"""),"PEREZ. RONELL")</f>
        <v>PEREZ. RONELL</v>
      </c>
      <c r="R61" s="1" t="str">
        <f>IFERROR(__xludf.DUMMYFUNCTION("""COMPUTED_VALUE"""),"GARCIA MICHAEL JETTS")</f>
        <v>GARCIA MICHAEL JETTS</v>
      </c>
      <c r="S61" s="1" t="str">
        <f>IFERROR(__xludf.DUMMYFUNCTION("""COMPUTED_VALUE"""),"SALIOA JB")</f>
        <v>SALIOA JB</v>
      </c>
      <c r="T61" s="1" t="str">
        <f>IFERROR(__xludf.DUMMYFUNCTION("""COMPUTED_VALUE"""),"SP6MONTHS")</f>
        <v>SP6MONTHS</v>
      </c>
      <c r="U61" s="1">
        <f>IFERROR(__xludf.DUMMYFUNCTION("""COMPUTED_VALUE"""),9676177435)</f>
        <v>9676177435</v>
      </c>
      <c r="V61" s="1">
        <f>IFERROR(__xludf.DUMMYFUNCTION("""COMPUTED_VALUE"""),9193428344)</f>
        <v>9193428344</v>
      </c>
      <c r="W61" s="1"/>
      <c r="X61" s="1" t="str">
        <f>IFERROR(__xludf.DUMMYFUNCTION("""COMPUTED_VALUE"""),"FLORENTINO JOYA ST")</f>
        <v>FLORENTINO JOYA ST</v>
      </c>
      <c r="Y61" s="1"/>
      <c r="Z61" s="1" t="str">
        <f>IFERROR(__xludf.DUMMYFUNCTION("""COMPUTED_VALUE"""),"JULUGAN II")</f>
        <v>JULUGAN II</v>
      </c>
      <c r="AA61" s="1" t="str">
        <f>IFERROR(__xludf.DUMMYFUNCTION("""COMPUTED_VALUE"""),"TANZA")</f>
        <v>TANZA</v>
      </c>
      <c r="AB61" s="1"/>
      <c r="AC61" s="1" t="str">
        <f>IFERROR(__xludf.DUMMYFUNCTION("""COMPUTED_VALUE"""),"120.847320 / 14.404693")</f>
        <v>120.847320 / 14.404693</v>
      </c>
    </row>
    <row r="62" customHeight="1" spans="1:29">
      <c r="A62" s="3">
        <f>IFERROR(__xludf.DUMMYFUNCTION("""COMPUTED_VALUE"""),46246)</f>
        <v>46246</v>
      </c>
      <c r="B62" s="1" t="str">
        <f>IFERROR(__xludf.DUMMYFUNCTION("""COMPUTED_VALUE"""),"ROBIE OJASCASTRO RAMIREZ")</f>
        <v>ROBIE OJASCASTRO RAMIREZ</v>
      </c>
      <c r="C62" s="1" t="str">
        <f>IFERROR(__xludf.DUMMYFUNCTION("""COMPUTED_VALUE"""),"RITM0305952")</f>
        <v>RITM0305952</v>
      </c>
      <c r="D62" s="1" t="str">
        <f>IFERROR(__xludf.DUMMYFUNCTION("""COMPUTED_VALUE"""),"CS1342999 / WO0905987")</f>
        <v>CS1342999 / WO0905987</v>
      </c>
      <c r="E62" s="1">
        <f>IFERROR(__xludf.DUMMYFUNCTION("""COMPUTED_VALUE"""),2782329944)</f>
        <v>2782329944</v>
      </c>
      <c r="F62" s="1" t="str">
        <f>IFERROR(__xludf.DUMMYFUNCTION("""COMPUTED_VALUE"""),"stevedelossantos7@gmail.com")</f>
        <v>stevedelossantos7@gmail.com</v>
      </c>
      <c r="G62" s="1" t="str">
        <f>IFERROR(__xludf.DUMMYFUNCTION("""COMPUTED_VALUE"""),"CLOSED")</f>
        <v>CLOSED</v>
      </c>
      <c r="H62" s="1"/>
      <c r="I62" s="1"/>
      <c r="J62" s="1" t="str">
        <f>IFERROR(__xludf.DUMMYFUNCTION("""COMPUTED_VALUE"""),"PAID VIA GCASH - AUG 12 - REF - RADI2368JF4MYC")</f>
        <v>PAID VIA GCASH - AUG 12 - REF - RADI2368JF4MYC</v>
      </c>
      <c r="K62" s="1" t="str">
        <f>IFERROR(__xludf.DUMMYFUNCTION("""COMPUTED_VALUE"""),"PAID")</f>
        <v>PAID</v>
      </c>
      <c r="L62" s="1" t="str">
        <f>IFERROR(__xludf.DUMMYFUNCTION("""COMPUTED_VALUE"""),"POSTED")</f>
        <v>POSTED</v>
      </c>
      <c r="M62" s="1" t="str">
        <f>IFERROR(__xludf.DUMMYFUNCTION("""COMPUTED_VALUE"""),"8/14/2026")</f>
        <v>8/14/2026</v>
      </c>
      <c r="N62" s="1" t="str">
        <f>IFERROR(__xludf.DUMMYFUNCTION("""COMPUTED_VALUE"""),"RED_RS_ONL_CVE_25")</f>
        <v>RED_RS_ONL_CVE_25</v>
      </c>
      <c r="O62" s="1" t="str">
        <f>IFERROR(__xludf.DUMMYFUNCTION("""COMPUTED_VALUE"""),"RED FIBR 1400")</f>
        <v>RED FIBR 1400</v>
      </c>
      <c r="P62" s="1" t="str">
        <f>IFERROR(__xludf.DUMMYFUNCTION("""COMPUTED_VALUE"""),"MMM018713")</f>
        <v>MMM018713</v>
      </c>
      <c r="Q62" s="1" t="str">
        <f>IFERROR(__xludf.DUMMYFUNCTION("""COMPUTED_VALUE"""),"BONZA, LEE VINCENT")</f>
        <v>BONZA, LEE VINCENT</v>
      </c>
      <c r="R62" s="1" t="str">
        <f>IFERROR(__xludf.DUMMYFUNCTION("""COMPUTED_VALUE"""),"GARCIA MICHAEL JETTS")</f>
        <v>GARCIA MICHAEL JETTS</v>
      </c>
      <c r="S62" s="1" t="str">
        <f>IFERROR(__xludf.DUMMYFUNCTION("""COMPUTED_VALUE"""),"SALIOA JB")</f>
        <v>SALIOA JB</v>
      </c>
      <c r="T62" s="1" t="str">
        <f>IFERROR(__xludf.DUMMYFUNCTION("""COMPUTED_VALUE"""),"SP6MONTHS")</f>
        <v>SP6MONTHS</v>
      </c>
      <c r="U62" s="1">
        <f>IFERROR(__xludf.DUMMYFUNCTION("""COMPUTED_VALUE"""),9285751812)</f>
        <v>9285751812</v>
      </c>
      <c r="V62" s="1"/>
      <c r="W62" s="1">
        <f>IFERROR(__xludf.DUMMYFUNCTION("""COMPUTED_VALUE"""),410)</f>
        <v>410</v>
      </c>
      <c r="X62" s="1" t="str">
        <f>IFERROR(__xludf.DUMMYFUNCTION("""COMPUTED_VALUE"""),"CENIZAL CRISPIN ST")</f>
        <v>CENIZAL CRISPIN ST</v>
      </c>
      <c r="Y62" s="1"/>
      <c r="Z62" s="1" t="str">
        <f>IFERROR(__xludf.DUMMYFUNCTION("""COMPUTED_VALUE"""),"BIWAS")</f>
        <v>BIWAS</v>
      </c>
      <c r="AA62" s="1" t="str">
        <f>IFERROR(__xludf.DUMMYFUNCTION("""COMPUTED_VALUE"""),"TANZA")</f>
        <v>TANZA</v>
      </c>
      <c r="AB62" s="1"/>
      <c r="AC62" s="1" t="str">
        <f>IFERROR(__xludf.DUMMYFUNCTION("""COMPUTED_VALUE"""),"120.853535 / 14.402648")</f>
        <v>120.853535 / 14.402648</v>
      </c>
    </row>
    <row r="63" customHeight="1" spans="1:29">
      <c r="A63" s="3">
        <f>IFERROR(__xludf.DUMMYFUNCTION("""COMPUTED_VALUE"""),46247)</f>
        <v>46247</v>
      </c>
      <c r="B63" s="1" t="str">
        <f>IFERROR(__xludf.DUMMYFUNCTION("""COMPUTED_VALUE"""),"CHRISTIAN LLOYD DE JESUS ENDOZO")</f>
        <v>CHRISTIAN LLOYD DE JESUS ENDOZO</v>
      </c>
      <c r="C63" s="1" t="str">
        <f>IFERROR(__xludf.DUMMYFUNCTION("""COMPUTED_VALUE"""),"RITM0306028")</f>
        <v>RITM0306028</v>
      </c>
      <c r="D63" s="1" t="str">
        <f>IFERROR(__xludf.DUMMYFUNCTION("""COMPUTED_VALUE"""),"CS1343218 / WO0906282")</f>
        <v>CS1343218 / WO0906282</v>
      </c>
      <c r="E63" s="1">
        <f>IFERROR(__xludf.DUMMYFUNCTION("""COMPUTED_VALUE"""),2482363332)</f>
        <v>2482363332</v>
      </c>
      <c r="F63" s="1" t="str">
        <f>IFERROR(__xludf.DUMMYFUNCTION("""COMPUTED_VALUE"""),"CHRISTIANENDOZO2@GMAIL.COM")</f>
        <v>CHRISTIANENDOZO2@GMAIL.COM</v>
      </c>
      <c r="G63" s="1" t="str">
        <f>IFERROR(__xludf.DUMMYFUNCTION("""COMPUTED_VALUE"""),"CLOSED")</f>
        <v>CLOSED</v>
      </c>
      <c r="H63" s="1"/>
      <c r="I63" s="1"/>
      <c r="J63" s="1" t="str">
        <f>IFERROR(__xludf.DUMMYFUNCTION("""COMPUTED_VALUE"""),"PAID VIA GCASH REF 784840829 AUG 13")</f>
        <v>PAID VIA GCASH REF 784840829 AUG 13</v>
      </c>
      <c r="K63" s="1" t="str">
        <f>IFERROR(__xludf.DUMMYFUNCTION("""COMPUTED_VALUE"""),"PAID")</f>
        <v>PAID</v>
      </c>
      <c r="L63" s="1" t="str">
        <f>IFERROR(__xludf.DUMMYFUNCTION("""COMPUTED_VALUE"""),"POSTED")</f>
        <v>POSTED</v>
      </c>
      <c r="M63" s="1" t="str">
        <f>IFERROR(__xludf.DUMMYFUNCTION("""COMPUTED_VALUE"""),"8/15/2026")</f>
        <v>8/15/2026</v>
      </c>
      <c r="N63" s="1" t="str">
        <f>IFERROR(__xludf.DUMMYFUNCTION("""COMPUTED_VALUE"""),"RED_RS_ONL_CVE_25")</f>
        <v>RED_RS_ONL_CVE_25</v>
      </c>
      <c r="O63" s="1" t="str">
        <f>IFERROR(__xludf.DUMMYFUNCTION("""COMPUTED_VALUE"""),"RED FIBR 1000")</f>
        <v>RED FIBR 1000</v>
      </c>
      <c r="P63" s="1" t="str">
        <f>IFERROR(__xludf.DUMMYFUNCTION("""COMPUTED_VALUE"""),"MMM018709")</f>
        <v>MMM018709</v>
      </c>
      <c r="Q63" s="1" t="str">
        <f>IFERROR(__xludf.DUMMYFUNCTION("""COMPUTED_VALUE"""),"ARMIJO, LOUEI JAY")</f>
        <v>ARMIJO, LOUEI JAY</v>
      </c>
      <c r="R63" s="1" t="str">
        <f>IFERROR(__xludf.DUMMYFUNCTION("""COMPUTED_VALUE"""),"GARCIA MICHAEL JETTS")</f>
        <v>GARCIA MICHAEL JETTS</v>
      </c>
      <c r="S63" s="1" t="str">
        <f>IFERROR(__xludf.DUMMYFUNCTION("""COMPUTED_VALUE"""),"ESPIRITU JULIE")</f>
        <v>ESPIRITU JULIE</v>
      </c>
      <c r="T63" s="1" t="str">
        <f>IFERROR(__xludf.DUMMYFUNCTION("""COMPUTED_VALUE"""),"SP6MONTHS")</f>
        <v>SP6MONTHS</v>
      </c>
      <c r="U63" s="1">
        <f>IFERROR(__xludf.DUMMYFUNCTION("""COMPUTED_VALUE"""),9512691884)</f>
        <v>9512691884</v>
      </c>
      <c r="V63" s="1"/>
      <c r="W63" s="1"/>
      <c r="X63" s="1" t="str">
        <f>IFERROR(__xludf.DUMMYFUNCTION("""COMPUTED_VALUE"""),"POBLACION 1 RD")</f>
        <v>POBLACION 1 RD</v>
      </c>
      <c r="Y63" s="1"/>
      <c r="Z63" s="1" t="str">
        <f>IFERROR(__xludf.DUMMYFUNCTION("""COMPUTED_VALUE"""),"BARANGAY I (POB.)")</f>
        <v>BARANGAY I (POB.)</v>
      </c>
      <c r="AA63" s="1" t="str">
        <f>IFERROR(__xludf.DUMMYFUNCTION("""COMPUTED_VALUE"""),"TANZA")</f>
        <v>TANZA</v>
      </c>
      <c r="AB63" s="1"/>
      <c r="AC63" s="1" t="str">
        <f>IFERROR(__xludf.DUMMYFUNCTION("""COMPUTED_VALUE""")," 120.858324 / 14.399929")</f>
        <v> 120.858324 / 14.399929</v>
      </c>
    </row>
    <row r="64" customHeight="1" spans="1:29">
      <c r="A64" s="3">
        <f>IFERROR(__xludf.DUMMYFUNCTION("""COMPUTED_VALUE"""),46247)</f>
        <v>46247</v>
      </c>
      <c r="B64" s="1" t="str">
        <f>IFERROR(__xludf.DUMMYFUNCTION("""COMPUTED_VALUE"""),"JOICEL ABANID")</f>
        <v>JOICEL ABANID</v>
      </c>
      <c r="C64" s="1" t="str">
        <f>IFERROR(__xludf.DUMMYFUNCTION("""COMPUTED_VALUE"""),"RITM0306092")</f>
        <v>RITM0306092</v>
      </c>
      <c r="D64" s="1"/>
      <c r="E64" s="1"/>
      <c r="F64" s="1" t="str">
        <f>IFERROR(__xludf.DUMMYFUNCTION("""COMPUTED_VALUE"""),"calingasanrobert17@gmail.com")</f>
        <v>calingasanrobert17@gmail.com</v>
      </c>
      <c r="G64" s="1" t="str">
        <f>IFERROR(__xludf.DUMMYFUNCTION("""COMPUTED_VALUE"""),"REJECTED")</f>
        <v>REJECTED</v>
      </c>
      <c r="H64" s="1" t="str">
        <f>IFERROR(__xludf.DUMMYFUNCTION("""COMPUTED_VALUE"""),"FOR REVISIT NI TL AND AGENT")</f>
        <v>FOR REVISIT NI TL AND AGENT</v>
      </c>
      <c r="I64" s="1" t="str">
        <f>IFERROR(__xludf.DUMMYFUNCTION("""COMPUTED_VALUE"""),"FOUND NO NEAREST FACILITY // KINDLY ATTACHED LCP NAP ID")</f>
        <v>FOUND NO NEAREST FACILITY // KINDLY ATTACHED LCP NAP ID</v>
      </c>
      <c r="J64" s="1"/>
      <c r="K64" s="1"/>
      <c r="L64" s="1" t="str">
        <f>IFERROR(__xludf.DUMMYFUNCTION("""COMPUTED_VALUE"""),"CANCELLED")</f>
        <v>CANCELLED</v>
      </c>
      <c r="M64" s="1"/>
      <c r="N64" s="1" t="str">
        <f>IFERROR(__xludf.DUMMYFUNCTION("""COMPUTED_VALUE"""),"RED_RS_ONL_CVE_25")</f>
        <v>RED_RS_ONL_CVE_25</v>
      </c>
      <c r="O64" s="1" t="str">
        <f>IFERROR(__xludf.DUMMYFUNCTION("""COMPUTED_VALUE"""),"RED FIBR 1000")</f>
        <v>RED FIBR 1000</v>
      </c>
      <c r="P64" s="1" t="str">
        <f>IFERROR(__xludf.DUMMYFUNCTION("""COMPUTED_VALUE"""),"MMM018713")</f>
        <v>MMM018713</v>
      </c>
      <c r="Q64" s="1" t="str">
        <f>IFERROR(__xludf.DUMMYFUNCTION("""COMPUTED_VALUE"""),"MANLOLO, MICHAELA - BATANGAS")</f>
        <v>MANLOLO, MICHAELA - BATANGAS</v>
      </c>
      <c r="R64" s="1" t="str">
        <f>IFERROR(__xludf.DUMMYFUNCTION("""COMPUTED_VALUE"""),"CLARETE, GLIZIEL")</f>
        <v>CLARETE, GLIZIEL</v>
      </c>
      <c r="S64" s="1" t="str">
        <f>IFERROR(__xludf.DUMMYFUNCTION("""COMPUTED_VALUE"""),"ESPIRITU JULIE")</f>
        <v>ESPIRITU JULIE</v>
      </c>
      <c r="T64" s="1" t="str">
        <f>IFERROR(__xludf.DUMMYFUNCTION("""COMPUTED_VALUE"""),"SP6MONTHS")</f>
        <v>SP6MONTHS</v>
      </c>
      <c r="U64" s="1">
        <f>IFERROR(__xludf.DUMMYFUNCTION("""COMPUTED_VALUE"""),9345995495)</f>
        <v>9345995495</v>
      </c>
      <c r="V64" s="1"/>
      <c r="W64" s="1">
        <f>IFERROR(__xludf.DUMMYFUNCTION("""COMPUTED_VALUE"""),152)</f>
        <v>152</v>
      </c>
      <c r="X64" s="1" t="str">
        <f>IFERROR(__xludf.DUMMYFUNCTION("""COMPUTED_VALUE"""),"SITIO 2 BALUGBOG")</f>
        <v>SITIO 2 BALUGBOG</v>
      </c>
      <c r="Y64" s="1"/>
      <c r="Z64" s="1" t="str">
        <f>IFERROR(__xludf.DUMMYFUNCTION("""COMPUTED_VALUE"""),"TINGA LABAK")</f>
        <v>TINGA LABAK</v>
      </c>
      <c r="AA64" s="1" t="str">
        <f>IFERROR(__xludf.DUMMYFUNCTION("""COMPUTED_VALUE"""),"BATANGAS ")</f>
        <v>BATANGAS </v>
      </c>
      <c r="AB64" s="1" t="str">
        <f>IFERROR(__xludf.DUMMYFUNCTION("""COMPUTED_VALUE"""),"BCYLCP98NAP2")</f>
        <v>BCYLCP98NAP2</v>
      </c>
      <c r="AC64" s="1" t="str">
        <f>IFERROR(__xludf.DUMMYFUNCTION("""COMPUTED_VALUE""")," 121.080257 / 13.778255")</f>
        <v> 121.080257 / 13.778255</v>
      </c>
    </row>
    <row r="65" customHeight="1" spans="1:29">
      <c r="A65" s="3">
        <f>IFERROR(__xludf.DUMMYFUNCTION("""COMPUTED_VALUE"""),46247)</f>
        <v>46247</v>
      </c>
      <c r="B65" s="1" t="str">
        <f>IFERROR(__xludf.DUMMYFUNCTION("""COMPUTED_VALUE"""),"DANZ RUSSEL BIONG MARZAN")</f>
        <v>DANZ RUSSEL BIONG MARZAN</v>
      </c>
      <c r="C65" s="1" t="str">
        <f>IFERROR(__xludf.DUMMYFUNCTION("""COMPUTED_VALUE"""),"RITM0306100")</f>
        <v>RITM0306100</v>
      </c>
      <c r="D65" s="1" t="str">
        <f>IFERROR(__xludf.DUMMYFUNCTION("""COMPUTED_VALUE"""),"CS1343340 / WO0906536")</f>
        <v>CS1343340 / WO0906536</v>
      </c>
      <c r="E65" s="1">
        <f>IFERROR(__xludf.DUMMYFUNCTION("""COMPUTED_VALUE"""),2478638747)</f>
        <v>2478638747</v>
      </c>
      <c r="F65" s="1" t="str">
        <f>IFERROR(__xludf.DUMMYFUNCTION("""COMPUTED_VALUE"""),"loismarzan1630@gmail.com")</f>
        <v>loismarzan1630@gmail.com</v>
      </c>
      <c r="G65" s="1" t="str">
        <f>IFERROR(__xludf.DUMMYFUNCTION("""COMPUTED_VALUE"""),"CLOSED")</f>
        <v>CLOSED</v>
      </c>
      <c r="H65" s="1"/>
      <c r="I65" s="1"/>
      <c r="J65" s="1" t="str">
        <f>IFERROR(__xludf.DUMMYFUNCTION("""COMPUTED_VALUE"""),"PAID VIA GCASH REF 189940774 AUG 15")</f>
        <v>PAID VIA GCASH REF 189940774 AUG 15</v>
      </c>
      <c r="K65" s="1" t="str">
        <f>IFERROR(__xludf.DUMMYFUNCTION("""COMPUTED_VALUE"""),"PAID")</f>
        <v>PAID</v>
      </c>
      <c r="L65" s="1" t="str">
        <f>IFERROR(__xludf.DUMMYFUNCTION("""COMPUTED_VALUE"""),"POSTED")</f>
        <v>POSTED</v>
      </c>
      <c r="M65" s="1" t="str">
        <f>IFERROR(__xludf.DUMMYFUNCTION("""COMPUTED_VALUE"""),"8/16/2026")</f>
        <v>8/16/2026</v>
      </c>
      <c r="N65" s="1" t="str">
        <f>IFERROR(__xludf.DUMMYFUNCTION("""COMPUTED_VALUE"""),"RED_RS_ONL_CVE_25")</f>
        <v>RED_RS_ONL_CVE_25</v>
      </c>
      <c r="O65" s="1" t="str">
        <f>IFERROR(__xludf.DUMMYFUNCTION("""COMPUTED_VALUE"""),"RED FIBR 1000")</f>
        <v>RED FIBR 1000</v>
      </c>
      <c r="P65" s="1" t="str">
        <f>IFERROR(__xludf.DUMMYFUNCTION("""COMPUTED_VALUE"""),"MMM018712")</f>
        <v>MMM018712</v>
      </c>
      <c r="Q65" s="1" t="str">
        <f>IFERROR(__xludf.DUMMYFUNCTION("""COMPUTED_VALUE"""),"LUPENA. KARL ANGELO")</f>
        <v>LUPENA. KARL ANGELO</v>
      </c>
      <c r="R65" s="1" t="str">
        <f>IFERROR(__xludf.DUMMYFUNCTION("""COMPUTED_VALUE"""),"GARCIA MICHAEL JETTS")</f>
        <v>GARCIA MICHAEL JETTS</v>
      </c>
      <c r="S65" s="1" t="str">
        <f>IFERROR(__xludf.DUMMYFUNCTION("""COMPUTED_VALUE"""),"ESPIRITU JULIE")</f>
        <v>ESPIRITU JULIE</v>
      </c>
      <c r="T65" s="1" t="str">
        <f>IFERROR(__xludf.DUMMYFUNCTION("""COMPUTED_VALUE"""),"SP6MONTHS")</f>
        <v>SP6MONTHS</v>
      </c>
      <c r="U65" s="1">
        <f>IFERROR(__xludf.DUMMYFUNCTION("""COMPUTED_VALUE"""),9750581322)</f>
        <v>9750581322</v>
      </c>
      <c r="V65" s="1"/>
      <c r="W65" s="1"/>
      <c r="X65" s="1" t="str">
        <f>IFERROR(__xludf.DUMMYFUNCTION("""COMPUTED_VALUE"""),"PHASE A")</f>
        <v>PHASE A</v>
      </c>
      <c r="Y65" s="1" t="str">
        <f>IFERROR(__xludf.DUMMYFUNCTION("""COMPUTED_VALUE"""),"PEARL RESIDENCES")</f>
        <v>PEARL RESIDENCES</v>
      </c>
      <c r="Z65" s="1" t="str">
        <f>IFERROR(__xludf.DUMMYFUNCTION("""COMPUTED_VALUE"""),"CAPIPISA")</f>
        <v>CAPIPISA</v>
      </c>
      <c r="AA65" s="1" t="str">
        <f>IFERROR(__xludf.DUMMYFUNCTION("""COMPUTED_VALUE"""),"TANZA")</f>
        <v>TANZA</v>
      </c>
      <c r="AB65" s="1" t="str">
        <f>IFERROR(__xludf.DUMMYFUNCTION("""COMPUTED_VALUE"""),"CVT6 LCP136 NP3/4")</f>
        <v>CVT6 LCP136 NP3/4</v>
      </c>
      <c r="AC65" s="1" t="str">
        <f>IFERROR(__xludf.DUMMYFUNCTION("""COMPUTED_VALUE""")," 120.797209 / 14.357065")</f>
        <v> 120.797209 / 14.357065</v>
      </c>
    </row>
    <row r="66" customHeight="1" spans="1:29">
      <c r="A66" s="3">
        <f>IFERROR(__xludf.DUMMYFUNCTION("""COMPUTED_VALUE"""),46248)</f>
        <v>46248</v>
      </c>
      <c r="B66" s="1" t="str">
        <f>IFERROR(__xludf.DUMMYFUNCTION("""COMPUTED_VALUE"""),"MICHELLE SIBAL MONFORTE")</f>
        <v>MICHELLE SIBAL MONFORTE</v>
      </c>
      <c r="C66" s="1" t="str">
        <f>IFERROR(__xludf.DUMMYFUNCTION("""COMPUTED_VALUE"""),"RITM0306198")</f>
        <v>RITM0306198</v>
      </c>
      <c r="D66" s="1" t="str">
        <f>IFERROR(__xludf.DUMMYFUNCTION("""COMPUTED_VALUE"""),"CS1343645 / WO0906380")</f>
        <v>CS1343645 / WO0906380</v>
      </c>
      <c r="E66" s="1">
        <f>IFERROR(__xludf.DUMMYFUNCTION("""COMPUTED_VALUE"""),8483269475)</f>
        <v>8483269475</v>
      </c>
      <c r="F66" s="1" t="str">
        <f>IFERROR(__xludf.DUMMYFUNCTION("""COMPUTED_VALUE"""),"michellesibal171991@gmail.com")</f>
        <v>michellesibal171991@gmail.com</v>
      </c>
      <c r="G66" s="1" t="str">
        <f>IFERROR(__xludf.DUMMYFUNCTION("""COMPUTED_VALUE"""),"CLOSED")</f>
        <v>CLOSED</v>
      </c>
      <c r="H66" s="1"/>
      <c r="I66" s="1"/>
      <c r="J66" s="1" t="str">
        <f>IFERROR(__xludf.DUMMYFUNCTION("""COMPUTED_VALUE"""),"PAID VIA GCASH REF 785961735 AUG 14")</f>
        <v>PAID VIA GCASH REF 785961735 AUG 14</v>
      </c>
      <c r="K66" s="1" t="str">
        <f>IFERROR(__xludf.DUMMYFUNCTION("""COMPUTED_VALUE"""),"PAID")</f>
        <v>PAID</v>
      </c>
      <c r="L66" s="1" t="str">
        <f>IFERROR(__xludf.DUMMYFUNCTION("""COMPUTED_VALUE"""),"POSTED")</f>
        <v>POSTED</v>
      </c>
      <c r="M66" s="1" t="str">
        <f>IFERROR(__xludf.DUMMYFUNCTION("""COMPUTED_VALUE"""),"8/15/2026")</f>
        <v>8/15/2026</v>
      </c>
      <c r="N66" s="1" t="str">
        <f>IFERROR(__xludf.DUMMYFUNCTION("""COMPUTED_VALUE"""),"RED_RS_ONL_CVE_25")</f>
        <v>RED_RS_ONL_CVE_25</v>
      </c>
      <c r="O66" s="1" t="str">
        <f>IFERROR(__xludf.DUMMYFUNCTION("""COMPUTED_VALUE"""),"RED FIBR 1000")</f>
        <v>RED FIBR 1000</v>
      </c>
      <c r="P66" s="1" t="str">
        <f>IFERROR(__xludf.DUMMYFUNCTION("""COMPUTED_VALUE"""),"MMM018709")</f>
        <v>MMM018709</v>
      </c>
      <c r="Q66" s="1" t="str">
        <f>IFERROR(__xludf.DUMMYFUNCTION("""COMPUTED_VALUE"""),"YOLANGCO, JOJO")</f>
        <v>YOLANGCO, JOJO</v>
      </c>
      <c r="R66" s="1" t="str">
        <f>IFERROR(__xludf.DUMMYFUNCTION("""COMPUTED_VALUE"""),"GARCIA MICHAEL JETTS")</f>
        <v>GARCIA MICHAEL JETTS</v>
      </c>
      <c r="S66" s="1" t="str">
        <f>IFERROR(__xludf.DUMMYFUNCTION("""COMPUTED_VALUE"""),"ESPIRITU JULIE")</f>
        <v>ESPIRITU JULIE</v>
      </c>
      <c r="T66" s="1" t="str">
        <f>IFERROR(__xludf.DUMMYFUNCTION("""COMPUTED_VALUE"""),"SP6MONTHS")</f>
        <v>SP6MONTHS</v>
      </c>
      <c r="U66" s="1">
        <f>IFERROR(__xludf.DUMMYFUNCTION("""COMPUTED_VALUE"""),9082603033)</f>
        <v>9082603033</v>
      </c>
      <c r="V66" s="1"/>
      <c r="W66" s="1"/>
      <c r="X66" s="1" t="str">
        <f>IFERROR(__xludf.DUMMYFUNCTION("""COMPUTED_VALUE"""),"PHASE B ST")</f>
        <v>PHASE B ST</v>
      </c>
      <c r="Y66" s="1" t="str">
        <f>IFERROR(__xludf.DUMMYFUNCTION("""COMPUTED_VALUE"""),"PEARL RESIDENCES")</f>
        <v>PEARL RESIDENCES</v>
      </c>
      <c r="Z66" s="1" t="str">
        <f>IFERROR(__xludf.DUMMYFUNCTION("""COMPUTED_VALUE"""),"CAPIPISA")</f>
        <v>CAPIPISA</v>
      </c>
      <c r="AA66" s="1" t="str">
        <f>IFERROR(__xludf.DUMMYFUNCTION("""COMPUTED_VALUE"""),"TANZA")</f>
        <v>TANZA</v>
      </c>
      <c r="AB66" s="1" t="str">
        <f>IFERROR(__xludf.DUMMYFUNCTION("""COMPUTED_VALUE"""),"CVT6 LCP136 NP3/4")</f>
        <v>CVT6 LCP136 NP3/4</v>
      </c>
      <c r="AC66" s="1" t="str">
        <f>IFERROR(__xludf.DUMMYFUNCTION("""COMPUTED_VALUE""")," 120.796228 / 14.357954")</f>
        <v> 120.796228 / 14.357954</v>
      </c>
    </row>
    <row r="67" customHeight="1" spans="1:29">
      <c r="A67" s="3">
        <f>IFERROR(__xludf.DUMMYFUNCTION("""COMPUTED_VALUE"""),46248)</f>
        <v>46248</v>
      </c>
      <c r="B67" s="1" t="str">
        <f>IFERROR(__xludf.DUMMYFUNCTION("""COMPUTED_VALUE"""),"PATRICK CABAUATAN")</f>
        <v>PATRICK CABAUATAN</v>
      </c>
      <c r="C67" s="1" t="str">
        <f>IFERROR(__xludf.DUMMYFUNCTION("""COMPUTED_VALUE"""),"RITM0306203")</f>
        <v>RITM0306203</v>
      </c>
      <c r="D67" s="1" t="str">
        <f>IFERROR(__xludf.DUMMYFUNCTION("""COMPUTED_VALUE"""),"CS1343641 / WO0906404")</f>
        <v>CS1343641 / WO0906404</v>
      </c>
      <c r="E67" s="1">
        <f>IFERROR(__xludf.DUMMYFUNCTION("""COMPUTED_VALUE"""),7139539970)</f>
        <v>7139539970</v>
      </c>
      <c r="F67" s="1" t="str">
        <f>IFERROR(__xludf.DUMMYFUNCTION("""COMPUTED_VALUE"""),"patrickcabauatan@gmail.com")</f>
        <v>patrickcabauatan@gmail.com</v>
      </c>
      <c r="G67" s="1" t="str">
        <f>IFERROR(__xludf.DUMMYFUNCTION("""COMPUTED_VALUE"""),"APPROVED")</f>
        <v>APPROVED</v>
      </c>
      <c r="H67" s="1" t="str">
        <f>IFERROR(__xludf.DUMMYFUNCTION("""COMPUTED_VALUE"""),"RWO - FOR REFUND")</f>
        <v>RWO - FOR REFUND</v>
      </c>
      <c r="I67" s="1" t="str">
        <f>IFERROR(__xludf.DUMMYFUNCTION("""COMPUTED_VALUE"""),"RWO - Nearest NAP is located in another subdivision, which we are not permitted to utilize")</f>
        <v>RWO - Nearest NAP is located in another subdivision, which we are not permitted to utilize</v>
      </c>
      <c r="J67" s="1" t="str">
        <f>IFERROR(__xludf.DUMMYFUNCTION("""COMPUTED_VALUE"""),"PAID VIA GCASH REF 987747846 AUG 14")</f>
        <v>PAID VIA GCASH REF 987747846 AUG 14</v>
      </c>
      <c r="K67" s="1" t="str">
        <f>IFERROR(__xludf.DUMMYFUNCTION("""COMPUTED_VALUE"""),"PAID")</f>
        <v>PAID</v>
      </c>
      <c r="L67" s="1" t="str">
        <f>IFERROR(__xludf.DUMMYFUNCTION("""COMPUTED_VALUE"""),"CANCELLED - RPR")</f>
        <v>CANCELLED - RPR</v>
      </c>
      <c r="M67" s="1"/>
      <c r="N67" s="1" t="str">
        <f>IFERROR(__xludf.DUMMYFUNCTION("""COMPUTED_VALUE"""),"RED_RS_ONL_CVE_25")</f>
        <v>RED_RS_ONL_CVE_25</v>
      </c>
      <c r="O67" s="1" t="str">
        <f>IFERROR(__xludf.DUMMYFUNCTION("""COMPUTED_VALUE"""),"RED FIBR 1400")</f>
        <v>RED FIBR 1400</v>
      </c>
      <c r="P67" s="1" t="str">
        <f>IFERROR(__xludf.DUMMYFUNCTION("""COMPUTED_VALUE"""),"MMM018709")</f>
        <v>MMM018709</v>
      </c>
      <c r="Q67" s="1" t="str">
        <f>IFERROR(__xludf.DUMMYFUNCTION("""COMPUTED_VALUE"""),"KAWAUCHI, SHANE")</f>
        <v>KAWAUCHI, SHANE</v>
      </c>
      <c r="R67" s="1" t="str">
        <f>IFERROR(__xludf.DUMMYFUNCTION("""COMPUTED_VALUE"""),"GARCIA MICHAEL JETTS")</f>
        <v>GARCIA MICHAEL JETTS</v>
      </c>
      <c r="S67" s="1" t="str">
        <f>IFERROR(__xludf.DUMMYFUNCTION("""COMPUTED_VALUE"""),"ESPIRITU JULIE")</f>
        <v>ESPIRITU JULIE</v>
      </c>
      <c r="T67" s="1" t="str">
        <f>IFERROR(__xludf.DUMMYFUNCTION("""COMPUTED_VALUE"""),"SP6MONTHS")</f>
        <v>SP6MONTHS</v>
      </c>
      <c r="U67" s="1">
        <f>IFERROR(__xludf.DUMMYFUNCTION("""COMPUTED_VALUE"""),9496375849)</f>
        <v>9496375849</v>
      </c>
      <c r="V67" s="1"/>
      <c r="W67" s="1"/>
      <c r="X67" s="1" t="str">
        <f>IFERROR(__xludf.DUMMYFUNCTION("""COMPUTED_VALUE"""),"SIMPLICITY ST")</f>
        <v>SIMPLICITY ST</v>
      </c>
      <c r="Y67" s="1" t="str">
        <f>IFERROR(__xludf.DUMMYFUNCTION("""COMPUTED_VALUE"""),"ESTANZIA WEST")</f>
        <v>ESTANZIA WEST</v>
      </c>
      <c r="Z67" s="1" t="str">
        <f>IFERROR(__xludf.DUMMYFUNCTION("""COMPUTED_VALUE"""),"HALAYHAY")</f>
        <v>HALAYHAY</v>
      </c>
      <c r="AA67" s="1" t="str">
        <f>IFERROR(__xludf.DUMMYFUNCTION("""COMPUTED_VALUE"""),"TANZA")</f>
        <v>TANZA</v>
      </c>
      <c r="AB67" s="1" t="str">
        <f>IFERROR(__xludf.DUMMYFUNCTION("""COMPUTED_VALUE"""),"CVT6 L229 NP3-8")</f>
        <v>CVT6 L229 NP3-8</v>
      </c>
      <c r="AC67" s="1" t="str">
        <f>IFERROR(__xludf.DUMMYFUNCTION("""COMPUTED_VALUE""")," 120.820363 / 14.374055")</f>
        <v> 120.820363 / 14.374055</v>
      </c>
    </row>
    <row r="68" customHeight="1" spans="1:29">
      <c r="A68" s="3">
        <f>IFERROR(__xludf.DUMMYFUNCTION("""COMPUTED_VALUE"""),46248)</f>
        <v>46248</v>
      </c>
      <c r="B68" s="1" t="str">
        <f>IFERROR(__xludf.DUMMYFUNCTION("""COMPUTED_VALUE"""),"MICHELLE BARRION DIMAANO")</f>
        <v>MICHELLE BARRION DIMAANO</v>
      </c>
      <c r="C68" s="1" t="str">
        <f>IFERROR(__xludf.DUMMYFUNCTION("""COMPUTED_VALUE"""),"RITM0306221")</f>
        <v>RITM0306221</v>
      </c>
      <c r="D68" s="1" t="str">
        <f>IFERROR(__xludf.DUMMYFUNCTION("""COMPUTED_VALUE"""),"CS1344516 / WO0906922")</f>
        <v>CS1344516 / WO0906922</v>
      </c>
      <c r="E68" s="1">
        <f>IFERROR(__xludf.DUMMYFUNCTION("""COMPUTED_VALUE"""),6451764921)</f>
        <v>6451764921</v>
      </c>
      <c r="F68" s="1" t="str">
        <f>IFERROR(__xludf.DUMMYFUNCTION("""COMPUTED_VALUE"""),"richelledimaano6@gmail.com")</f>
        <v>richelledimaano6@gmail.com</v>
      </c>
      <c r="G68" s="1" t="str">
        <f>IFERROR(__xludf.DUMMYFUNCTION("""COMPUTED_VALUE"""),"CLOSED")</f>
        <v>CLOSED</v>
      </c>
      <c r="H68" s="1"/>
      <c r="I68" s="1"/>
      <c r="J68" s="1" t="str">
        <f>IFERROR(__xludf.DUMMYFUNCTION("""COMPUTED_VALUE"""),"PAID VIA GCASH REF 795461734 AUG 17")</f>
        <v>PAID VIA GCASH REF 795461734 AUG 17</v>
      </c>
      <c r="K68" s="1" t="str">
        <f>IFERROR(__xludf.DUMMYFUNCTION("""COMPUTED_VALUE"""),"PAID")</f>
        <v>PAID</v>
      </c>
      <c r="L68" s="1" t="str">
        <f>IFERROR(__xludf.DUMMYFUNCTION("""COMPUTED_VALUE"""),"POSTED")</f>
        <v>POSTED</v>
      </c>
      <c r="M68" s="1" t="str">
        <f>IFERROR(__xludf.DUMMYFUNCTION("""COMPUTED_VALUE"""),"8/23/2026")</f>
        <v>8/23/2026</v>
      </c>
      <c r="N68" s="1" t="str">
        <f>IFERROR(__xludf.DUMMYFUNCTION("""COMPUTED_VALUE"""),"RED_RS_ONL_CVE_25")</f>
        <v>RED_RS_ONL_CVE_25</v>
      </c>
      <c r="O68" s="1" t="str">
        <f>IFERROR(__xludf.DUMMYFUNCTION("""COMPUTED_VALUE"""),"RED FIBR 1400")</f>
        <v>RED FIBR 1400</v>
      </c>
      <c r="P68" s="1" t="str">
        <f>IFERROR(__xludf.DUMMYFUNCTION("""COMPUTED_VALUE"""),"MMM018713")</f>
        <v>MMM018713</v>
      </c>
      <c r="Q68" s="1" t="str">
        <f>IFERROR(__xludf.DUMMYFUNCTION("""COMPUTED_VALUE"""),"FALLARNA, CLEAR - BATANGAS")</f>
        <v>FALLARNA, CLEAR - BATANGAS</v>
      </c>
      <c r="R68" s="1" t="str">
        <f>IFERROR(__xludf.DUMMYFUNCTION("""COMPUTED_VALUE"""),"CLARETE, GLIZIEL")</f>
        <v>CLARETE, GLIZIEL</v>
      </c>
      <c r="S68" s="1" t="str">
        <f>IFERROR(__xludf.DUMMYFUNCTION("""COMPUTED_VALUE"""),"ESPIRITU JULIE")</f>
        <v>ESPIRITU JULIE</v>
      </c>
      <c r="T68" s="1" t="str">
        <f>IFERROR(__xludf.DUMMYFUNCTION("""COMPUTED_VALUE"""),"SP6MONTHS")</f>
        <v>SP6MONTHS</v>
      </c>
      <c r="U68" s="1">
        <f>IFERROR(__xludf.DUMMYFUNCTION("""COMPUTED_VALUE"""),9771365754)</f>
        <v>9771365754</v>
      </c>
      <c r="V68" s="1">
        <f>IFERROR(__xludf.DUMMYFUNCTION("""COMPUTED_VALUE"""),9451877081)</f>
        <v>9451877081</v>
      </c>
      <c r="W68" s="1">
        <f>IFERROR(__xludf.DUMMYFUNCTION("""COMPUTED_VALUE"""),23)</f>
        <v>23</v>
      </c>
      <c r="X68" s="1" t="str">
        <f>IFERROR(__xludf.DUMMYFUNCTION("""COMPUTED_VALUE"""),"BAYANIHAN Road 3")</f>
        <v>BAYANIHAN Road 3</v>
      </c>
      <c r="Y68" s="1"/>
      <c r="Z68" s="1" t="str">
        <f>IFERROR(__xludf.DUMMYFUNCTION("""COMPUTED_VALUE"""),"TINGA LABAK")</f>
        <v>TINGA LABAK</v>
      </c>
      <c r="AA68" s="1" t="str">
        <f>IFERROR(__xludf.DUMMYFUNCTION("""COMPUTED_VALUE"""),"BATANGAS ")</f>
        <v>BATANGAS </v>
      </c>
      <c r="AB68" s="1" t="str">
        <f>IFERROR(__xludf.DUMMYFUNCTION("""COMPUTED_VALUE"""),"BCYLCP97NP3/4")</f>
        <v>BCYLCP97NP3/4</v>
      </c>
      <c r="AC68" s="1" t="str">
        <f>IFERROR(__xludf.DUMMYFUNCTION("""COMPUTED_VALUE""")," 121.080437 / 13.792493")</f>
        <v> 121.080437 / 13.792493</v>
      </c>
    </row>
    <row r="69" customHeight="1" spans="1:29">
      <c r="A69" s="3">
        <f>IFERROR(__xludf.DUMMYFUNCTION("""COMPUTED_VALUE"""),46248)</f>
        <v>46248</v>
      </c>
      <c r="B69" s="1" t="str">
        <f>IFERROR(__xludf.DUMMYFUNCTION("""COMPUTED_VALUE"""),"ARAM KEIRO SALAZAR MONZON")</f>
        <v>ARAM KEIRO SALAZAR MONZON</v>
      </c>
      <c r="C69" s="1" t="str">
        <f>IFERROR(__xludf.DUMMYFUNCTION("""COMPUTED_VALUE"""),"RITM0306223")</f>
        <v>RITM0306223</v>
      </c>
      <c r="D69" s="1" t="str">
        <f>IFERROR(__xludf.DUMMYFUNCTION("""COMPUTED_VALUE"""),"CS1343643 / WO0906501")</f>
        <v>CS1343643 / WO0906501</v>
      </c>
      <c r="E69" s="1">
        <f>IFERROR(__xludf.DUMMYFUNCTION("""COMPUTED_VALUE"""),5282289427)</f>
        <v>5282289427</v>
      </c>
      <c r="F69" s="1" t="str">
        <f>IFERROR(__xludf.DUMMYFUNCTION("""COMPUTED_VALUE"""),"akeiromonzon@gmail.com")</f>
        <v>akeiromonzon@gmail.com</v>
      </c>
      <c r="G69" s="1" t="str">
        <f>IFERROR(__xludf.DUMMYFUNCTION("""COMPUTED_VALUE"""),"CLOSED")</f>
        <v>CLOSED</v>
      </c>
      <c r="H69" s="1"/>
      <c r="I69" s="1"/>
      <c r="J69" s="1" t="str">
        <f>IFERROR(__xludf.DUMMYFUNCTION("""COMPUTED_VALUE"""),"PAID VIA GCASH REF 988079148 AUG 15")</f>
        <v>PAID VIA GCASH REF 988079148 AUG 15</v>
      </c>
      <c r="K69" s="1" t="str">
        <f>IFERROR(__xludf.DUMMYFUNCTION("""COMPUTED_VALUE"""),"PAID")</f>
        <v>PAID</v>
      </c>
      <c r="L69" s="1" t="str">
        <f>IFERROR(__xludf.DUMMYFUNCTION("""COMPUTED_VALUE"""),"POSTED")</f>
        <v>POSTED</v>
      </c>
      <c r="M69" s="1" t="str">
        <f>IFERROR(__xludf.DUMMYFUNCTION("""COMPUTED_VALUE"""),"8/16/2026")</f>
        <v>8/16/2026</v>
      </c>
      <c r="N69" s="1" t="str">
        <f>IFERROR(__xludf.DUMMYFUNCTION("""COMPUTED_VALUE"""),"RED_RS_ONL_CVE_25")</f>
        <v>RED_RS_ONL_CVE_25</v>
      </c>
      <c r="O69" s="1" t="str">
        <f>IFERROR(__xludf.DUMMYFUNCTION("""COMPUTED_VALUE"""),"RED FIBR 1000")</f>
        <v>RED FIBR 1000</v>
      </c>
      <c r="P69" s="1" t="str">
        <f>IFERROR(__xludf.DUMMYFUNCTION("""COMPUTED_VALUE"""),"MMM018713")</f>
        <v>MMM018713</v>
      </c>
      <c r="Q69" s="1" t="str">
        <f>IFERROR(__xludf.DUMMYFUNCTION("""COMPUTED_VALUE"""),"MALIWAT MARK")</f>
        <v>MALIWAT MARK</v>
      </c>
      <c r="R69" s="1" t="str">
        <f>IFERROR(__xludf.DUMMYFUNCTION("""COMPUTED_VALUE"""),"NAVARRO JERIC")</f>
        <v>NAVARRO JERIC</v>
      </c>
      <c r="S69" s="1" t="str">
        <f>IFERROR(__xludf.DUMMYFUNCTION("""COMPUTED_VALUE"""),"ESPIRITU JULIE")</f>
        <v>ESPIRITU JULIE</v>
      </c>
      <c r="T69" s="1" t="str">
        <f>IFERROR(__xludf.DUMMYFUNCTION("""COMPUTED_VALUE"""),"SP6MONTHS")</f>
        <v>SP6MONTHS</v>
      </c>
      <c r="U69" s="1">
        <f>IFERROR(__xludf.DUMMYFUNCTION("""COMPUTED_VALUE"""),9262752269)</f>
        <v>9262752269</v>
      </c>
      <c r="V69" s="1">
        <f>IFERROR(__xludf.DUMMYFUNCTION("""COMPUTED_VALUE"""),9262752270)</f>
        <v>9262752270</v>
      </c>
      <c r="W69" s="1"/>
      <c r="X69" s="1" t="str">
        <f>IFERROR(__xludf.DUMMYFUNCTION("""COMPUTED_VALUE"""),"PHASE 2")</f>
        <v>PHASE 2</v>
      </c>
      <c r="Y69" s="1" t="str">
        <f>IFERROR(__xludf.DUMMYFUNCTION("""COMPUTED_VALUE"""),"PAGSIBOL VILLAGE SOUTH 3B")</f>
        <v>PAGSIBOL VILLAGE SOUTH 3B</v>
      </c>
      <c r="Z69" s="1" t="str">
        <f>IFERROR(__xludf.DUMMYFUNCTION("""COMPUTED_VALUE"""),"SABANG")</f>
        <v>SABANG</v>
      </c>
      <c r="AA69" s="1" t="str">
        <f>IFERROR(__xludf.DUMMYFUNCTION("""COMPUTED_VALUE"""),"NAIC")</f>
        <v>NAIC</v>
      </c>
      <c r="AB69" s="1" t="str">
        <f>IFERROR(__xludf.DUMMYFUNCTION("""COMPUTED_VALUE"""),"CVT6LCP280NP1-6")</f>
        <v>CVT6LCP280NP1-6</v>
      </c>
      <c r="AC69" s="1" t="str">
        <f>IFERROR(__xludf.DUMMYFUNCTION("""COMPUTED_VALUE""")," 120.809952  / 14.315348")</f>
        <v> 120.809952  / 14.315348</v>
      </c>
    </row>
    <row r="70" customHeight="1" spans="1:29">
      <c r="A70" s="3">
        <f>IFERROR(__xludf.DUMMYFUNCTION("""COMPUTED_VALUE"""),46248)</f>
        <v>46248</v>
      </c>
      <c r="B70" s="1" t="str">
        <f>IFERROR(__xludf.DUMMYFUNCTION("""COMPUTED_VALUE"""),"JANNETH DELFINO EBONES")</f>
        <v>JANNETH DELFINO EBONES</v>
      </c>
      <c r="C70" s="1" t="str">
        <f>IFERROR(__xludf.DUMMYFUNCTION("""COMPUTED_VALUE"""),"RITM0306228")</f>
        <v>RITM0306228</v>
      </c>
      <c r="D70" s="1" t="str">
        <f>IFERROR(__xludf.DUMMYFUNCTION("""COMPUTED_VALUE"""),"CS1343683 / WO0906503")</f>
        <v>CS1343683 / WO0906503</v>
      </c>
      <c r="E70" s="1">
        <f>IFERROR(__xludf.DUMMYFUNCTION("""COMPUTED_VALUE"""),8665358378)</f>
        <v>8665358378</v>
      </c>
      <c r="F70" s="1" t="str">
        <f>IFERROR(__xludf.DUMMYFUNCTION("""COMPUTED_VALUE"""),"hannahmargarettebones@gmail.com")</f>
        <v>hannahmargarettebones@gmail.com</v>
      </c>
      <c r="G70" s="1" t="str">
        <f>IFERROR(__xludf.DUMMYFUNCTION("""COMPUTED_VALUE"""),"CLOSED")</f>
        <v>CLOSED</v>
      </c>
      <c r="H70" s="1"/>
      <c r="I70" s="1"/>
      <c r="J70" s="1" t="str">
        <f>IFERROR(__xludf.DUMMYFUNCTION("""COMPUTED_VALUE"""),"PAID VIA GCASH REF 629406558 AUG 15")</f>
        <v>PAID VIA GCASH REF 629406558 AUG 15</v>
      </c>
      <c r="K70" s="1" t="str">
        <f>IFERROR(__xludf.DUMMYFUNCTION("""COMPUTED_VALUE"""),"PAID")</f>
        <v>PAID</v>
      </c>
      <c r="L70" s="1" t="str">
        <f>IFERROR(__xludf.DUMMYFUNCTION("""COMPUTED_VALUE"""),"POSTED")</f>
        <v>POSTED</v>
      </c>
      <c r="M70" s="1" t="str">
        <f>IFERROR(__xludf.DUMMYFUNCTION("""COMPUTED_VALUE"""),"8/15/2026")</f>
        <v>8/15/2026</v>
      </c>
      <c r="N70" s="1" t="str">
        <f>IFERROR(__xludf.DUMMYFUNCTION("""COMPUTED_VALUE"""),"RED_RS_ONL_CVE_25")</f>
        <v>RED_RS_ONL_CVE_25</v>
      </c>
      <c r="O70" s="1" t="str">
        <f>IFERROR(__xludf.DUMMYFUNCTION("""COMPUTED_VALUE"""),"RED FIBR 1000")</f>
        <v>RED FIBR 1000</v>
      </c>
      <c r="P70" s="1" t="str">
        <f>IFERROR(__xludf.DUMMYFUNCTION("""COMPUTED_VALUE"""),"MMM018709")</f>
        <v>MMM018709</v>
      </c>
      <c r="Q70" s="1" t="str">
        <f>IFERROR(__xludf.DUMMYFUNCTION("""COMPUTED_VALUE"""),"YOLANGCO, JOJO")</f>
        <v>YOLANGCO, JOJO</v>
      </c>
      <c r="R70" s="1" t="str">
        <f>IFERROR(__xludf.DUMMYFUNCTION("""COMPUTED_VALUE"""),"GARCIA MICHAEL JETTS")</f>
        <v>GARCIA MICHAEL JETTS</v>
      </c>
      <c r="S70" s="1" t="str">
        <f>IFERROR(__xludf.DUMMYFUNCTION("""COMPUTED_VALUE"""),"ESPIRITU JULIE")</f>
        <v>ESPIRITU JULIE</v>
      </c>
      <c r="T70" s="1" t="str">
        <f>IFERROR(__xludf.DUMMYFUNCTION("""COMPUTED_VALUE"""),"SP6MONTHS")</f>
        <v>SP6MONTHS</v>
      </c>
      <c r="U70" s="1">
        <f>IFERROR(__xludf.DUMMYFUNCTION("""COMPUTED_VALUE"""),9275569383)</f>
        <v>9275569383</v>
      </c>
      <c r="V70" s="1"/>
      <c r="W70" s="1">
        <f>IFERROR(__xludf.DUMMYFUNCTION("""COMPUTED_VALUE"""),4480)</f>
        <v>4480</v>
      </c>
      <c r="X70" s="1" t="str">
        <f>IFERROR(__xludf.DUMMYFUNCTION("""COMPUTED_VALUE"""),"PUROK 5 BAGONG KALSADA")</f>
        <v>PUROK 5 BAGONG KALSADA</v>
      </c>
      <c r="Y70" s="1"/>
      <c r="Z70" s="1" t="str">
        <f>IFERROR(__xludf.DUMMYFUNCTION("""COMPUTED_VALUE"""),"PASONG KAWAYAN II")</f>
        <v>PASONG KAWAYAN II</v>
      </c>
      <c r="AA70" s="1" t="str">
        <f>IFERROR(__xludf.DUMMYFUNCTION("""COMPUTED_VALUE"""),"GENERAL TRIAS")</f>
        <v>GENERAL TRIAS</v>
      </c>
      <c r="AB70" s="1" t="str">
        <f>IFERROR(__xludf.DUMMYFUNCTION("""COMPUTED_VALUE"""),"CVT6LCP12NP5/6/8")</f>
        <v>CVT6LCP12NP5/6/8</v>
      </c>
      <c r="AC70" s="1" t="str">
        <f>IFERROR(__xludf.DUMMYFUNCTION("""COMPUTED_VALUE"""),"120.882037 / 14.329204")</f>
        <v>120.882037 / 14.329204</v>
      </c>
    </row>
    <row r="71" customHeight="1" spans="1:29">
      <c r="A71" s="3">
        <f>IFERROR(__xludf.DUMMYFUNCTION("""COMPUTED_VALUE"""),46248)</f>
        <v>46248</v>
      </c>
      <c r="B71" s="1" t="str">
        <f>IFERROR(__xludf.DUMMYFUNCTION("""COMPUTED_VALUE"""),"MARINA BERGUNIO BIDBID")</f>
        <v>MARINA BERGUNIO BIDBID</v>
      </c>
      <c r="C71" s="1" t="str">
        <f>IFERROR(__xludf.DUMMYFUNCTION("""COMPUTED_VALUE"""),"RITM0306242")</f>
        <v>RITM0306242</v>
      </c>
      <c r="D71" s="1" t="str">
        <f>IFERROR(__xludf.DUMMYFUNCTION("""COMPUTED_VALUE"""),"CS1343693 / WO0906537")</f>
        <v>CS1343693 / WO0906537</v>
      </c>
      <c r="E71" s="1">
        <f>IFERROR(__xludf.DUMMYFUNCTION("""COMPUTED_VALUE"""),3126769262)</f>
        <v>3126769262</v>
      </c>
      <c r="F71" s="1" t="str">
        <f>IFERROR(__xludf.DUMMYFUNCTION("""COMPUTED_VALUE"""),"mainead6@gmail.com")</f>
        <v>mainead6@gmail.com</v>
      </c>
      <c r="G71" s="1" t="str">
        <f>IFERROR(__xludf.DUMMYFUNCTION("""COMPUTED_VALUE"""),"CLOSED")</f>
        <v>CLOSED</v>
      </c>
      <c r="H71" s="1"/>
      <c r="I71" s="1"/>
      <c r="J71" s="1" t="str">
        <f>IFERROR(__xludf.DUMMYFUNCTION("""COMPUTED_VALUE"""),"PAID VIA GCASH REF 048341957 AUG 15")</f>
        <v>PAID VIA GCASH REF 048341957 AUG 15</v>
      </c>
      <c r="K71" s="1" t="str">
        <f>IFERROR(__xludf.DUMMYFUNCTION("""COMPUTED_VALUE"""),"PAID")</f>
        <v>PAID</v>
      </c>
      <c r="L71" s="1" t="str">
        <f>IFERROR(__xludf.DUMMYFUNCTION("""COMPUTED_VALUE"""),"POSTED")</f>
        <v>POSTED</v>
      </c>
      <c r="M71" s="1" t="str">
        <f>IFERROR(__xludf.DUMMYFUNCTION("""COMPUTED_VALUE"""),"8/16/2026")</f>
        <v>8/16/2026</v>
      </c>
      <c r="N71" s="1" t="str">
        <f>IFERROR(__xludf.DUMMYFUNCTION("""COMPUTED_VALUE"""),"RED_RS_ONL_CVE_25")</f>
        <v>RED_RS_ONL_CVE_25</v>
      </c>
      <c r="O71" s="1" t="str">
        <f>IFERROR(__xludf.DUMMYFUNCTION("""COMPUTED_VALUE"""),"RED FIBR 1000")</f>
        <v>RED FIBR 1000</v>
      </c>
      <c r="P71" s="1" t="str">
        <f>IFERROR(__xludf.DUMMYFUNCTION("""COMPUTED_VALUE"""),"MMM018709")</f>
        <v>MMM018709</v>
      </c>
      <c r="Q71" s="1" t="str">
        <f>IFERROR(__xludf.DUMMYFUNCTION("""COMPUTED_VALUE"""),"DEL ROSARIO. MIGGY LENARD")</f>
        <v>DEL ROSARIO. MIGGY LENARD</v>
      </c>
      <c r="R71" s="1" t="str">
        <f>IFERROR(__xludf.DUMMYFUNCTION("""COMPUTED_VALUE"""),"GARCIA MICHAEL JETTS")</f>
        <v>GARCIA MICHAEL JETTS</v>
      </c>
      <c r="S71" s="1" t="str">
        <f>IFERROR(__xludf.DUMMYFUNCTION("""COMPUTED_VALUE"""),"ESPIRITU JULIE")</f>
        <v>ESPIRITU JULIE</v>
      </c>
      <c r="T71" s="1" t="str">
        <f>IFERROR(__xludf.DUMMYFUNCTION("""COMPUTED_VALUE"""),"SP6MONTHS")</f>
        <v>SP6MONTHS</v>
      </c>
      <c r="U71" s="1">
        <f>IFERROR(__xludf.DUMMYFUNCTION("""COMPUTED_VALUE"""),9561660669)</f>
        <v>9561660669</v>
      </c>
      <c r="V71" s="1"/>
      <c r="W71" s="1"/>
      <c r="X71" s="1" t="str">
        <f>IFERROR(__xludf.DUMMYFUNCTION("""COMPUTED_VALUE"""),"QUINTANA SUBDIVISION")</f>
        <v>QUINTANA SUBDIVISION</v>
      </c>
      <c r="Y71" s="1" t="str">
        <f>IFERROR(__xludf.DUMMYFUNCTION("""COMPUTED_VALUE"""),"QUINTANA SUBDIVISION")</f>
        <v>QUINTANA SUBDIVISION</v>
      </c>
      <c r="Z71" s="1" t="str">
        <f>IFERROR(__xludf.DUMMYFUNCTION("""COMPUTED_VALUE"""),"SAN AGUSTIN (POB.)")</f>
        <v>SAN AGUSTIN (POB.)</v>
      </c>
      <c r="AA71" s="1" t="str">
        <f>IFERROR(__xludf.DUMMYFUNCTION("""COMPUTED_VALUE"""),"TRECE MARTIRES")</f>
        <v>TRECE MARTIRES</v>
      </c>
      <c r="AB71" s="1" t="str">
        <f>IFERROR(__xludf.DUMMYFUNCTION("""COMPUTED_VALUE"""),"CVT4LCP34NP3/4")</f>
        <v>CVT4LCP34NP3/4</v>
      </c>
      <c r="AC71" s="1" t="str">
        <f>IFERROR(__xludf.DUMMYFUNCTION("""COMPUTED_VALUE""")," 120.864547 / 14.281949")</f>
        <v> 120.864547 / 14.281949</v>
      </c>
    </row>
    <row r="72" customHeight="1" spans="1:29">
      <c r="A72" s="3">
        <f>IFERROR(__xludf.DUMMYFUNCTION("""COMPUTED_VALUE"""),46249)</f>
        <v>46249</v>
      </c>
      <c r="B72" s="1" t="str">
        <f>IFERROR(__xludf.DUMMYFUNCTION("""COMPUTED_VALUE"""),"JOSHUA CENIDO JASARENO")</f>
        <v>JOSHUA CENIDO JASARENO</v>
      </c>
      <c r="C72" s="1" t="str">
        <f>IFERROR(__xludf.DUMMYFUNCTION("""COMPUTED_VALUE"""),"RITM0306302")</f>
        <v>RITM0306302</v>
      </c>
      <c r="D72" s="1"/>
      <c r="E72" s="1"/>
      <c r="F72" s="1" t="str">
        <f>IFERROR(__xludf.DUMMYFUNCTION("""COMPUTED_VALUE"""),"jasarenoj26@gmail.com")</f>
        <v>jasarenoj26@gmail.com</v>
      </c>
      <c r="G72" s="1" t="str">
        <f>IFERROR(__xludf.DUMMYFUNCTION("""COMPUTED_VALUE"""),"APPROVED")</f>
        <v>APPROVED</v>
      </c>
      <c r="H72" s="1"/>
      <c r="I72" s="1" t="str">
        <f>IFERROR(__xludf.DUMMYFUNCTION("""COMPUTED_VALUE"""),"CANCEELLED - NO EMAL RECEIVE FROM RED ")</f>
        <v>CANCEELLED - NO EMAL RECEIVE FROM RED </v>
      </c>
      <c r="J72" s="1"/>
      <c r="K72" s="1"/>
      <c r="L72" s="1" t="str">
        <f>IFERROR(__xludf.DUMMYFUNCTION("""COMPUTED_VALUE"""),"CANCEL RECREATE - FOR CHANGE EMAIL")</f>
        <v>CANCEL RECREATE - FOR CHANGE EMAIL</v>
      </c>
      <c r="M72" s="1"/>
      <c r="N72" s="1" t="str">
        <f>IFERROR(__xludf.DUMMYFUNCTION("""COMPUTED_VALUE"""),"RED_RS_ONL_CVE_25")</f>
        <v>RED_RS_ONL_CVE_25</v>
      </c>
      <c r="O72" s="1" t="str">
        <f>IFERROR(__xludf.DUMMYFUNCTION("""COMPUTED_VALUE"""),"RED FIBR 1000")</f>
        <v>RED FIBR 1000</v>
      </c>
      <c r="P72" s="1" t="str">
        <f>IFERROR(__xludf.DUMMYFUNCTION("""COMPUTED_VALUE"""),"MMM018709")</f>
        <v>MMM018709</v>
      </c>
      <c r="Q72" s="1" t="str">
        <f>IFERROR(__xludf.DUMMYFUNCTION("""COMPUTED_VALUE"""),"KAWAUCHI, SHANE")</f>
        <v>KAWAUCHI, SHANE</v>
      </c>
      <c r="R72" s="1" t="str">
        <f>IFERROR(__xludf.DUMMYFUNCTION("""COMPUTED_VALUE"""),"GARCIA MICHAEL JETTS")</f>
        <v>GARCIA MICHAEL JETTS</v>
      </c>
      <c r="S72" s="1" t="str">
        <f>IFERROR(__xludf.DUMMYFUNCTION("""COMPUTED_VALUE"""),"ESPIRITU JULIE")</f>
        <v>ESPIRITU JULIE</v>
      </c>
      <c r="T72" s="1" t="str">
        <f>IFERROR(__xludf.DUMMYFUNCTION("""COMPUTED_VALUE"""),"SP6MONTHS")</f>
        <v>SP6MONTHS</v>
      </c>
      <c r="U72" s="1">
        <f>IFERROR(__xludf.DUMMYFUNCTION("""COMPUTED_VALUE"""),9359702530)</f>
        <v>9359702530</v>
      </c>
      <c r="V72" s="1"/>
      <c r="W72" s="1">
        <f>IFERROR(__xludf.DUMMYFUNCTION("""COMPUTED_VALUE"""),185)</f>
        <v>185</v>
      </c>
      <c r="X72" s="1" t="str">
        <f>IFERROR(__xludf.DUMMYFUNCTION("""COMPUTED_VALUE"""),"ARMIJO ST")</f>
        <v>ARMIJO ST</v>
      </c>
      <c r="Y72" s="1"/>
      <c r="Z72" s="1" t="str">
        <f>IFERROR(__xludf.DUMMYFUNCTION("""COMPUTED_VALUE"""),"AMAYA I")</f>
        <v>AMAYA I</v>
      </c>
      <c r="AA72" s="1" t="str">
        <f>IFERROR(__xludf.DUMMYFUNCTION("""COMPUTED_VALUE"""),"TANZA")</f>
        <v>TANZA</v>
      </c>
      <c r="AB72" s="1" t="str">
        <f>IFERROR(__xludf.DUMMYFUNCTION("""COMPUTED_VALUE"""),"CVT6 LCP220NP7/8 CVT6LCP221NP1/2")</f>
        <v>CVT6 LCP220NP7/8 CVT6LCP221NP1/2</v>
      </c>
      <c r="AC72" s="1" t="str">
        <f>IFERROR(__xludf.DUMMYFUNCTION("""COMPUTED_VALUE""")," 120.8336914 / 14.3839254")</f>
        <v> 120.8336914 / 14.3839254</v>
      </c>
    </row>
    <row r="73" customHeight="1" spans="1:29">
      <c r="A73" s="3">
        <f>IFERROR(__xludf.DUMMYFUNCTION("""COMPUTED_VALUE"""),46249)</f>
        <v>46249</v>
      </c>
      <c r="B73" s="1" t="str">
        <f>IFERROR(__xludf.DUMMYFUNCTION("""COMPUTED_VALUE"""),"KATE ANGELENE ARAMAN LUPENA")</f>
        <v>KATE ANGELENE ARAMAN LUPENA</v>
      </c>
      <c r="C73" s="1" t="str">
        <f>IFERROR(__xludf.DUMMYFUNCTION("""COMPUTED_VALUE"""),"RITM0306311")</f>
        <v>RITM0306311</v>
      </c>
      <c r="D73" s="1" t="str">
        <f>IFERROR(__xludf.DUMMYFUNCTION("""COMPUTED_VALUE"""),"CS1345187 / WO0907563")</f>
        <v>CS1345187 / WO0907563</v>
      </c>
      <c r="E73" s="1">
        <f>IFERROR(__xludf.DUMMYFUNCTION("""COMPUTED_VALUE"""),5877766249)</f>
        <v>5877766249</v>
      </c>
      <c r="F73" s="1" t="str">
        <f>IFERROR(__xludf.DUMMYFUNCTION("""COMPUTED_VALUE"""),"lupenakate73@gmail.com")</f>
        <v>lupenakate73@gmail.com</v>
      </c>
      <c r="G73" s="1" t="str">
        <f>IFERROR(__xludf.DUMMYFUNCTION("""COMPUTED_VALUE"""),"CLOSED")</f>
        <v>CLOSED</v>
      </c>
      <c r="H73" s="1" t="str">
        <f>IFERROR(__xludf.DUMMYFUNCTION("""COMPUTED_VALUE"""),"RESCHEDULE - 2pm onwards available si subs ")</f>
        <v>RESCHEDULE - 2pm onwards available si subs </v>
      </c>
      <c r="I73" s="1" t="str">
        <f>IFERROR(__xludf.DUMMYFUNCTION("""COMPUTED_VALUE"""),"QUALIFIED - 8/20")</f>
        <v>QUALIFIED - 8/20</v>
      </c>
      <c r="J73" s="1" t="str">
        <f>IFERROR(__xludf.DUMMYFUNCTION("""COMPUTED_VALUE"""),"PAID VIA GCASH REF 105440623 AUG 20")</f>
        <v>PAID VIA GCASH REF 105440623 AUG 20</v>
      </c>
      <c r="K73" s="1" t="str">
        <f>IFERROR(__xludf.DUMMYFUNCTION("""COMPUTED_VALUE"""),"PAID")</f>
        <v>PAID</v>
      </c>
      <c r="L73" s="1" t="str">
        <f>IFERROR(__xludf.DUMMYFUNCTION("""COMPUTED_VALUE"""),"POSTED")</f>
        <v>POSTED</v>
      </c>
      <c r="M73" s="1" t="str">
        <f>IFERROR(__xludf.DUMMYFUNCTION("""COMPUTED_VALUE"""),"9/2/2026")</f>
        <v>9/2/2026</v>
      </c>
      <c r="N73" s="1" t="str">
        <f>IFERROR(__xludf.DUMMYFUNCTION("""COMPUTED_VALUE"""),"RED_RS_ONL_CVE_25")</f>
        <v>RED_RS_ONL_CVE_25</v>
      </c>
      <c r="O73" s="1" t="str">
        <f>IFERROR(__xludf.DUMMYFUNCTION("""COMPUTED_VALUE"""),"RED FIBR 1400")</f>
        <v>RED FIBR 1400</v>
      </c>
      <c r="P73" s="1" t="str">
        <f>IFERROR(__xludf.DUMMYFUNCTION("""COMPUTED_VALUE"""),"MMM018712")</f>
        <v>MMM018712</v>
      </c>
      <c r="Q73" s="1" t="str">
        <f>IFERROR(__xludf.DUMMYFUNCTION("""COMPUTED_VALUE"""),"LUPENA. KARL ANGELO")</f>
        <v>LUPENA. KARL ANGELO</v>
      </c>
      <c r="R73" s="1" t="str">
        <f>IFERROR(__xludf.DUMMYFUNCTION("""COMPUTED_VALUE"""),"GARCIA MICHAEL JETTS")</f>
        <v>GARCIA MICHAEL JETTS</v>
      </c>
      <c r="S73" s="1" t="str">
        <f>IFERROR(__xludf.DUMMYFUNCTION("""COMPUTED_VALUE"""),"ESPIRITU JULIE")</f>
        <v>ESPIRITU JULIE</v>
      </c>
      <c r="T73" s="1" t="str">
        <f>IFERROR(__xludf.DUMMYFUNCTION("""COMPUTED_VALUE"""),"SP6MONTHS")</f>
        <v>SP6MONTHS</v>
      </c>
      <c r="U73" s="1">
        <f>IFERROR(__xludf.DUMMYFUNCTION("""COMPUTED_VALUE"""),9364229628)</f>
        <v>9364229628</v>
      </c>
      <c r="V73" s="1"/>
      <c r="W73" s="1">
        <f>IFERROR(__xludf.DUMMYFUNCTION("""COMPUTED_VALUE"""),185)</f>
        <v>185</v>
      </c>
      <c r="X73" s="1" t="str">
        <f>IFERROR(__xludf.DUMMYFUNCTION("""COMPUTED_VALUE"""),"BLISS ST")</f>
        <v>BLISS ST</v>
      </c>
      <c r="Y73" s="1"/>
      <c r="Z73" s="1" t="str">
        <f>IFERROR(__xludf.DUMMYFUNCTION("""COMPUTED_VALUE"""),"DAANG AMAYA II")</f>
        <v>DAANG AMAYA II</v>
      </c>
      <c r="AA73" s="1" t="str">
        <f>IFERROR(__xludf.DUMMYFUNCTION("""COMPUTED_VALUE"""),"TANZA")</f>
        <v>TANZA</v>
      </c>
      <c r="AB73" s="1" t="str">
        <f>IFERROR(__xludf.DUMMYFUNCTION("""COMPUTED_VALUE"""),"CVT6-L209N3-8")</f>
        <v>CVT6-L209N3-8</v>
      </c>
      <c r="AC73" s="1" t="str">
        <f>IFERROR(__xludf.DUMMYFUNCTION("""COMPUTED_VALUE""")," 120.852222 / 14.399286")</f>
        <v> 120.852222 / 14.399286</v>
      </c>
    </row>
    <row r="74" customHeight="1" spans="1:29">
      <c r="A74" s="3">
        <f>IFERROR(__xludf.DUMMYFUNCTION("""COMPUTED_VALUE"""),46249)</f>
        <v>46249</v>
      </c>
      <c r="B74" s="1" t="str">
        <f>IFERROR(__xludf.DUMMYFUNCTION("""COMPUTED_VALUE"""),"ANN MAICA MAGURA MENDOZA")</f>
        <v>ANN MAICA MAGURA MENDOZA</v>
      </c>
      <c r="C74" s="1" t="str">
        <f>IFERROR(__xludf.DUMMYFUNCTION("""COMPUTED_VALUE"""),"RITM0306375")</f>
        <v>RITM0306375</v>
      </c>
      <c r="D74" s="1" t="str">
        <f>IFERROR(__xludf.DUMMYFUNCTION("""COMPUTED_VALUE"""),"CS1344008 / WO0906776")</f>
        <v>CS1344008 / WO0906776</v>
      </c>
      <c r="E74" s="1">
        <f>IFERROR(__xludf.DUMMYFUNCTION("""COMPUTED_VALUE"""),2212766547)</f>
        <v>2212766547</v>
      </c>
      <c r="F74" s="1" t="str">
        <f>IFERROR(__xludf.DUMMYFUNCTION("""COMPUTED_VALUE"""),"magura.annmaica@gmail.com")</f>
        <v>magura.annmaica@gmail.com</v>
      </c>
      <c r="G74" s="1" t="str">
        <f>IFERROR(__xludf.DUMMYFUNCTION("""COMPUTED_VALUE"""),"CLOSED")</f>
        <v>CLOSED</v>
      </c>
      <c r="H74" s="1"/>
      <c r="I74" s="1"/>
      <c r="J74" s="1" t="str">
        <f>IFERROR(__xludf.DUMMYFUNCTION("""COMPUTED_VALUE"""),"PAID VIA GCASH REF 633610326 AUG 16")</f>
        <v>PAID VIA GCASH REF 633610326 AUG 16</v>
      </c>
      <c r="K74" s="1" t="str">
        <f>IFERROR(__xludf.DUMMYFUNCTION("""COMPUTED_VALUE"""),"PAID")</f>
        <v>PAID</v>
      </c>
      <c r="L74" s="1" t="str">
        <f>IFERROR(__xludf.DUMMYFUNCTION("""COMPUTED_VALUE"""),"POSTED")</f>
        <v>POSTED</v>
      </c>
      <c r="M74" s="1" t="str">
        <f>IFERROR(__xludf.DUMMYFUNCTION("""COMPUTED_VALUE"""),"2026")</f>
        <v>2026</v>
      </c>
      <c r="N74" s="1" t="str">
        <f>IFERROR(__xludf.DUMMYFUNCTION("""COMPUTED_VALUE"""),"RED_HH_SS_CVE_25")</f>
        <v>RED_HH_SS_CVE_25</v>
      </c>
      <c r="O74" s="1" t="str">
        <f>IFERROR(__xludf.DUMMYFUNCTION("""COMPUTED_VALUE"""),"RED FIBR 1000")</f>
        <v>RED FIBR 1000</v>
      </c>
      <c r="P74" s="1" t="str">
        <f>IFERROR(__xludf.DUMMYFUNCTION("""COMPUTED_VALUE"""),"MMM018713")</f>
        <v>MMM018713</v>
      </c>
      <c r="Q74" s="1" t="str">
        <f>IFERROR(__xludf.DUMMYFUNCTION("""COMPUTED_VALUE"""),"NAVARRO JERIC")</f>
        <v>NAVARRO JERIC</v>
      </c>
      <c r="R74" s="1" t="str">
        <f>IFERROR(__xludf.DUMMYFUNCTION("""COMPUTED_VALUE"""),"NAVARRO JERIC")</f>
        <v>NAVARRO JERIC</v>
      </c>
      <c r="S74" s="1" t="str">
        <f>IFERROR(__xludf.DUMMYFUNCTION("""COMPUTED_VALUE"""),"ESPIRITU JULIE")</f>
        <v>ESPIRITU JULIE</v>
      </c>
      <c r="T74" s="1" t="str">
        <f>IFERROR(__xludf.DUMMYFUNCTION("""COMPUTED_VALUE"""),"SP6MONTHS")</f>
        <v>SP6MONTHS</v>
      </c>
      <c r="U74" s="1">
        <f>IFERROR(__xludf.DUMMYFUNCTION("""COMPUTED_VALUE"""),9660088678)</f>
        <v>9660088678</v>
      </c>
      <c r="V74" s="1">
        <f>IFERROR(__xludf.DUMMYFUNCTION("""COMPUTED_VALUE"""),9693418439)</f>
        <v>9693418439</v>
      </c>
      <c r="W74" s="1">
        <f>IFERROR(__xludf.DUMMYFUNCTION("""COMPUTED_VALUE"""),73)</f>
        <v>73</v>
      </c>
      <c r="X74" s="1" t="str">
        <f>IFERROR(__xludf.DUMMYFUNCTION("""COMPUTED_VALUE"""),"MABINI ST")</f>
        <v>MABINI ST</v>
      </c>
      <c r="Y74" s="1"/>
      <c r="Z74" s="1" t="str">
        <f>IFERROR(__xludf.DUMMYFUNCTION("""COMPUTED_VALUE"""),"POBLACION II (BARANGAY II)")</f>
        <v>POBLACION II (BARANGAY II)</v>
      </c>
      <c r="AA74" s="1" t="str">
        <f>IFERROR(__xludf.DUMMYFUNCTION("""COMPUTED_VALUE"""),"MENDEZ")</f>
        <v>MENDEZ</v>
      </c>
      <c r="AB74" s="1" t="str">
        <f>IFERROR(__xludf.DUMMYFUNCTION("""COMPUTED_VALUE"""),"CVT2 LCP57 NP1 CVT2 LCP60 NP1")</f>
        <v>CVT2 LCP57 NP1 CVT2 LCP60 NP1</v>
      </c>
      <c r="AC74" s="1" t="str">
        <f>IFERROR(__xludf.DUMMYFUNCTION("""COMPUTED_VALUE""")," 120.906402 / 14.130004")</f>
        <v> 120.906402 / 14.130004</v>
      </c>
    </row>
    <row r="75" customHeight="1" spans="1:29">
      <c r="A75" s="3">
        <f>IFERROR(__xludf.DUMMYFUNCTION("""COMPUTED_VALUE"""),46249)</f>
        <v>46249</v>
      </c>
      <c r="B75" s="1" t="str">
        <f>IFERROR(__xludf.DUMMYFUNCTION("""COMPUTED_VALUE"""),"JOSHUA CENIDO JASARENO")</f>
        <v>JOSHUA CENIDO JASARENO</v>
      </c>
      <c r="C75" s="1" t="str">
        <f>IFERROR(__xludf.DUMMYFUNCTION("""COMPUTED_VALUE"""),"RITM0306383")</f>
        <v>RITM0306383</v>
      </c>
      <c r="D75" s="1" t="str">
        <f>IFERROR(__xludf.DUMMYFUNCTION("""COMPUTED_VALUE"""),"CS1344032 / WO0906597")</f>
        <v>CS1344032 / WO0906597</v>
      </c>
      <c r="E75" s="1">
        <f>IFERROR(__xludf.DUMMYFUNCTION("""COMPUTED_VALUE"""),3938272891)</f>
        <v>3938272891</v>
      </c>
      <c r="F75" s="1" t="str">
        <f>IFERROR(__xludf.DUMMYFUNCTION("""COMPUTED_VALUE"""),"kwartomagulong@gmail.com")</f>
        <v>kwartomagulong@gmail.com</v>
      </c>
      <c r="G75" s="1" t="str">
        <f>IFERROR(__xludf.DUMMYFUNCTION("""COMPUTED_VALUE"""),"CLOSED")</f>
        <v>CLOSED</v>
      </c>
      <c r="H75" s="1"/>
      <c r="I75" s="1"/>
      <c r="J75" s="1" t="str">
        <f>IFERROR(__xludf.DUMMYFUNCTION("""COMPUTED_VALUE"""),"PAID VIA GCASH REF 630260077 AUG 15")</f>
        <v>PAID VIA GCASH REF 630260077 AUG 15</v>
      </c>
      <c r="K75" s="1" t="str">
        <f>IFERROR(__xludf.DUMMYFUNCTION("""COMPUTED_VALUE"""),"PAID")</f>
        <v>PAID</v>
      </c>
      <c r="L75" s="1" t="str">
        <f>IFERROR(__xludf.DUMMYFUNCTION("""COMPUTED_VALUE"""),"POSTED")</f>
        <v>POSTED</v>
      </c>
      <c r="M75" s="1" t="str">
        <f>IFERROR(__xludf.DUMMYFUNCTION("""COMPUTED_VALUE"""),"8/17/2026")</f>
        <v>8/17/2026</v>
      </c>
      <c r="N75" s="1" t="str">
        <f>IFERROR(__xludf.DUMMYFUNCTION("""COMPUTED_VALUE"""),"RED_RS_ONL_CVE_25")</f>
        <v>RED_RS_ONL_CVE_25</v>
      </c>
      <c r="O75" s="1" t="str">
        <f>IFERROR(__xludf.DUMMYFUNCTION("""COMPUTED_VALUE"""),"RED FIBR 1000")</f>
        <v>RED FIBR 1000</v>
      </c>
      <c r="P75" s="1" t="str">
        <f>IFERROR(__xludf.DUMMYFUNCTION("""COMPUTED_VALUE"""),"MMM018709")</f>
        <v>MMM018709</v>
      </c>
      <c r="Q75" s="1" t="str">
        <f>IFERROR(__xludf.DUMMYFUNCTION("""COMPUTED_VALUE"""),"KAWAUCHI, SHANE")</f>
        <v>KAWAUCHI, SHANE</v>
      </c>
      <c r="R75" s="1" t="str">
        <f>IFERROR(__xludf.DUMMYFUNCTION("""COMPUTED_VALUE"""),"GARCIA MICHAEL JETTS")</f>
        <v>GARCIA MICHAEL JETTS</v>
      </c>
      <c r="S75" s="1" t="str">
        <f>IFERROR(__xludf.DUMMYFUNCTION("""COMPUTED_VALUE"""),"ESPIRITU JULIE")</f>
        <v>ESPIRITU JULIE</v>
      </c>
      <c r="T75" s="1" t="str">
        <f>IFERROR(__xludf.DUMMYFUNCTION("""COMPUTED_VALUE"""),"SP6MONTHS")</f>
        <v>SP6MONTHS</v>
      </c>
      <c r="U75" s="1">
        <f>IFERROR(__xludf.DUMMYFUNCTION("""COMPUTED_VALUE"""),9359702530)</f>
        <v>9359702530</v>
      </c>
      <c r="V75" s="1"/>
      <c r="W75" s="1">
        <f>IFERROR(__xludf.DUMMYFUNCTION("""COMPUTED_VALUE"""),185)</f>
        <v>185</v>
      </c>
      <c r="X75" s="1" t="str">
        <f>IFERROR(__xludf.DUMMYFUNCTION("""COMPUTED_VALUE"""),"ARMIJO ST")</f>
        <v>ARMIJO ST</v>
      </c>
      <c r="Y75" s="1"/>
      <c r="Z75" s="1" t="str">
        <f>IFERROR(__xludf.DUMMYFUNCTION("""COMPUTED_VALUE"""),"AMAYA I")</f>
        <v>AMAYA I</v>
      </c>
      <c r="AA75" s="1" t="str">
        <f>IFERROR(__xludf.DUMMYFUNCTION("""COMPUTED_VALUE"""),"TANZA")</f>
        <v>TANZA</v>
      </c>
      <c r="AB75" s="1" t="str">
        <f>IFERROR(__xludf.DUMMYFUNCTION("""COMPUTED_VALUE"""),"CVT6 LCP220NP7/8 CVT6LCP221NP1/2")</f>
        <v>CVT6 LCP220NP7/8 CVT6LCP221NP1/2</v>
      </c>
      <c r="AC75" s="1" t="str">
        <f>IFERROR(__xludf.DUMMYFUNCTION("""COMPUTED_VALUE""")," 120.8336914 / 14.3839254")</f>
        <v> 120.8336914 / 14.3839254</v>
      </c>
    </row>
    <row r="76" customHeight="1" spans="1:29">
      <c r="A76" s="3">
        <f>IFERROR(__xludf.DUMMYFUNCTION("""COMPUTED_VALUE"""),46249)</f>
        <v>46249</v>
      </c>
      <c r="B76" s="1" t="str">
        <f>IFERROR(__xludf.DUMMYFUNCTION("""COMPUTED_VALUE"""),"ELLEN ABENDAÑO DILAO")</f>
        <v>ELLEN ABENDAÑO DILAO</v>
      </c>
      <c r="C76" s="1" t="str">
        <f>IFERROR(__xludf.DUMMYFUNCTION("""COMPUTED_VALUE"""),"RITM0306397")</f>
        <v>RITM0306397</v>
      </c>
      <c r="D76" s="1" t="str">
        <f>IFERROR(__xludf.DUMMYFUNCTION("""COMPUTED_VALUE"""),"CS1344067 / WO0906778")</f>
        <v>CS1344067 / WO0906778</v>
      </c>
      <c r="E76" s="1">
        <f>IFERROR(__xludf.DUMMYFUNCTION("""COMPUTED_VALUE"""),5411356278)</f>
        <v>5411356278</v>
      </c>
      <c r="F76" s="1" t="str">
        <f>IFERROR(__xludf.DUMMYFUNCTION("""COMPUTED_VALUE"""),"dilaobhoke@gmail.com")</f>
        <v>dilaobhoke@gmail.com</v>
      </c>
      <c r="G76" s="1" t="str">
        <f>IFERROR(__xludf.DUMMYFUNCTION("""COMPUTED_VALUE"""),"CLOSED")</f>
        <v>CLOSED</v>
      </c>
      <c r="H76" s="1"/>
      <c r="I76" s="1"/>
      <c r="J76" s="1" t="str">
        <f>IFERROR(__xludf.DUMMYFUNCTION("""COMPUTED_VALUE"""),"PAID VIA GCASH REF 633553036 AUG 16")</f>
        <v>PAID VIA GCASH REF 633553036 AUG 16</v>
      </c>
      <c r="K76" s="1" t="str">
        <f>IFERROR(__xludf.DUMMYFUNCTION("""COMPUTED_VALUE"""),"PAID")</f>
        <v>PAID</v>
      </c>
      <c r="L76" s="1" t="str">
        <f>IFERROR(__xludf.DUMMYFUNCTION("""COMPUTED_VALUE"""),"POSTED")</f>
        <v>POSTED</v>
      </c>
      <c r="M76" s="1" t="str">
        <f>IFERROR(__xludf.DUMMYFUNCTION("""COMPUTED_VALUE"""),"2026")</f>
        <v>2026</v>
      </c>
      <c r="N76" s="1" t="str">
        <f>IFERROR(__xludf.DUMMYFUNCTION("""COMPUTED_VALUE"""),"RED_RS_ONL_CVE_25")</f>
        <v>RED_RS_ONL_CVE_25</v>
      </c>
      <c r="O76" s="1" t="str">
        <f>IFERROR(__xludf.DUMMYFUNCTION("""COMPUTED_VALUE"""),"RED FIBR 1000")</f>
        <v>RED FIBR 1000</v>
      </c>
      <c r="P76" s="1" t="str">
        <f>IFERROR(__xludf.DUMMYFUNCTION("""COMPUTED_VALUE"""),"MMM018709")</f>
        <v>MMM018709</v>
      </c>
      <c r="Q76" s="1" t="str">
        <f>IFERROR(__xludf.DUMMYFUNCTION("""COMPUTED_VALUE"""),"KAWAUCHI, SHANE")</f>
        <v>KAWAUCHI, SHANE</v>
      </c>
      <c r="R76" s="1" t="str">
        <f>IFERROR(__xludf.DUMMYFUNCTION("""COMPUTED_VALUE"""),"GARCIA MICHAEL JETTS")</f>
        <v>GARCIA MICHAEL JETTS</v>
      </c>
      <c r="S76" s="1" t="str">
        <f>IFERROR(__xludf.DUMMYFUNCTION("""COMPUTED_VALUE"""),"ESPIRITU JULIE")</f>
        <v>ESPIRITU JULIE</v>
      </c>
      <c r="T76" s="1" t="str">
        <f>IFERROR(__xludf.DUMMYFUNCTION("""COMPUTED_VALUE"""),"SP6MONTHS")</f>
        <v>SP6MONTHS</v>
      </c>
      <c r="U76" s="1">
        <f>IFERROR(__xludf.DUMMYFUNCTION("""COMPUTED_VALUE"""),9537206041)</f>
        <v>9537206041</v>
      </c>
      <c r="V76" s="1"/>
      <c r="W76" s="1">
        <f>IFERROR(__xludf.DUMMYFUNCTION("""COMPUTED_VALUE"""),92)</f>
        <v>92</v>
      </c>
      <c r="X76" s="1" t="str">
        <f>IFERROR(__xludf.DUMMYFUNCTION("""COMPUTED_VALUE"""),"ARGETE ST")</f>
        <v>ARGETE ST</v>
      </c>
      <c r="Y76" s="1"/>
      <c r="Z76" s="1" t="str">
        <f>IFERROR(__xludf.DUMMYFUNCTION("""COMPUTED_VALUE"""),"SAHUD ULAN")</f>
        <v>SAHUD ULAN</v>
      </c>
      <c r="AA76" s="1" t="str">
        <f>IFERROR(__xludf.DUMMYFUNCTION("""COMPUTED_VALUE"""),"TANZA")</f>
        <v>TANZA</v>
      </c>
      <c r="AB76" s="1" t="str">
        <f>IFERROR(__xludf.DUMMYFUNCTION("""COMPUTED_VALUE"""),"CVT6 LCP226 NP5/6")</f>
        <v>CVT6 LCP226 NP5/6</v>
      </c>
      <c r="AC76" s="1" t="str">
        <f>IFERROR(__xludf.DUMMYFUNCTION("""COMPUTED_VALUE""")," MMM018709 / 14.370203")</f>
        <v> MMM018709 / 14.370203</v>
      </c>
    </row>
    <row r="77" customHeight="1" spans="1:29">
      <c r="A77" s="3">
        <f>IFERROR(__xludf.DUMMYFUNCTION("""COMPUTED_VALUE"""),46249)</f>
        <v>46249</v>
      </c>
      <c r="B77" s="1" t="str">
        <f>IFERROR(__xludf.DUMMYFUNCTION("""COMPUTED_VALUE"""),"RODALYN JAN TAGUD ARMIJO")</f>
        <v>RODALYN JAN TAGUD ARMIJO</v>
      </c>
      <c r="C77" s="1" t="str">
        <f>IFERROR(__xludf.DUMMYFUNCTION("""COMPUTED_VALUE"""),"RITM0306429")</f>
        <v>RITM0306429</v>
      </c>
      <c r="D77" s="1" t="str">
        <f>IFERROR(__xludf.DUMMYFUNCTION("""COMPUTED_VALUE"""),"CS1344269 / WO0907157")</f>
        <v>CS1344269 / WO0907157</v>
      </c>
      <c r="E77" s="1">
        <f>IFERROR(__xludf.DUMMYFUNCTION("""COMPUTED_VALUE"""),9611571213)</f>
        <v>9611571213</v>
      </c>
      <c r="F77" s="1" t="str">
        <f>IFERROR(__xludf.DUMMYFUNCTION("""COMPUTED_VALUE"""),"rodalynjan.armijo@deped.gov.ph")</f>
        <v>rodalynjan.armijo@deped.gov.ph</v>
      </c>
      <c r="G77" s="1" t="str">
        <f>IFERROR(__xludf.DUMMYFUNCTION("""COMPUTED_VALUE"""),"CLOSED")</f>
        <v>CLOSED</v>
      </c>
      <c r="H77" s="1"/>
      <c r="I77" s="1"/>
      <c r="J77" s="1" t="str">
        <f>IFERROR(__xludf.DUMMYFUNCTION("""COMPUTED_VALUE"""),"PAID BIA GCASH REF 062336549 AUG 18")</f>
        <v>PAID BIA GCASH REF 062336549 AUG 18</v>
      </c>
      <c r="K77" s="1" t="str">
        <f>IFERROR(__xludf.DUMMYFUNCTION("""COMPUTED_VALUE"""),"PAID")</f>
        <v>PAID</v>
      </c>
      <c r="L77" s="1" t="str">
        <f>IFERROR(__xludf.DUMMYFUNCTION("""COMPUTED_VALUE"""),"POSTED")</f>
        <v>POSTED</v>
      </c>
      <c r="M77" s="1" t="str">
        <f>IFERROR(__xludf.DUMMYFUNCTION("""COMPUTED_VALUE"""),"8/25/2026")</f>
        <v>8/25/2026</v>
      </c>
      <c r="N77" s="1" t="str">
        <f>IFERROR(__xludf.DUMMYFUNCTION("""COMPUTED_VALUE"""),"RED_RS_ONL_CVE_25")</f>
        <v>RED_RS_ONL_CVE_25</v>
      </c>
      <c r="O77" s="1" t="str">
        <f>IFERROR(__xludf.DUMMYFUNCTION("""COMPUTED_VALUE"""),"RED FIBR 1400")</f>
        <v>RED FIBR 1400</v>
      </c>
      <c r="P77" s="1" t="str">
        <f>IFERROR(__xludf.DUMMYFUNCTION("""COMPUTED_VALUE"""),"MMM018709")</f>
        <v>MMM018709</v>
      </c>
      <c r="Q77" s="1" t="str">
        <f>IFERROR(__xludf.DUMMYFUNCTION("""COMPUTED_VALUE"""),"ARMIJO, LOUEI JAY")</f>
        <v>ARMIJO, LOUEI JAY</v>
      </c>
      <c r="R77" s="1" t="str">
        <f>IFERROR(__xludf.DUMMYFUNCTION("""COMPUTED_VALUE"""),"GARCIA MICHAEL JETTS")</f>
        <v>GARCIA MICHAEL JETTS</v>
      </c>
      <c r="S77" s="1" t="str">
        <f>IFERROR(__xludf.DUMMYFUNCTION("""COMPUTED_VALUE"""),"ESPIRITU JULIE")</f>
        <v>ESPIRITU JULIE</v>
      </c>
      <c r="T77" s="1" t="str">
        <f>IFERROR(__xludf.DUMMYFUNCTION("""COMPUTED_VALUE"""),"SP6MONTHS")</f>
        <v>SP6MONTHS</v>
      </c>
      <c r="U77" s="1">
        <f>IFERROR(__xludf.DUMMYFUNCTION("""COMPUTED_VALUE"""),9456079795)</f>
        <v>9456079795</v>
      </c>
      <c r="V77" s="1"/>
      <c r="W77" s="1"/>
      <c r="X77" s="1" t="str">
        <f>IFERROR(__xludf.DUMMYFUNCTION("""COMPUTED_VALUE"""),"BAGUNA'S APARTMENT RD")</f>
        <v>BAGUNA'S APARTMENT RD</v>
      </c>
      <c r="Y77" s="1" t="str">
        <f>IFERROR(__xludf.DUMMYFUNCTION("""COMPUTED_VALUE"""),"HEART FOUNDATION")</f>
        <v>HEART FOUNDATION</v>
      </c>
      <c r="Z77" s="1" t="str">
        <f>IFERROR(__xludf.DUMMYFUNCTION("""COMPUTED_VALUE"""),"AMAYA I")</f>
        <v>AMAYA I</v>
      </c>
      <c r="AA77" s="1" t="str">
        <f>IFERROR(__xludf.DUMMYFUNCTION("""COMPUTED_VALUE"""),"TANZA")</f>
        <v>TANZA</v>
      </c>
      <c r="AB77" s="1"/>
      <c r="AC77" s="1" t="str">
        <f>IFERROR(__xludf.DUMMYFUNCTION("""COMPUTED_VALUE""")," 120.836741 / 14.383281")</f>
        <v> 120.836741 / 14.383281</v>
      </c>
    </row>
    <row r="78" customHeight="1" spans="1:29">
      <c r="A78" s="3">
        <f>IFERROR(__xludf.DUMMYFUNCTION("""COMPUTED_VALUE"""),46250)</f>
        <v>46250</v>
      </c>
      <c r="B78" s="1" t="str">
        <f>IFERROR(__xludf.DUMMYFUNCTION("""COMPUTED_VALUE"""),"HUMBERTO CUISON DELOS SANTOS")</f>
        <v>HUMBERTO CUISON DELOS SANTOS</v>
      </c>
      <c r="C78" s="1" t="str">
        <f>IFERROR(__xludf.DUMMYFUNCTION("""COMPUTED_VALUE"""),"RITM0306471")</f>
        <v>RITM0306471</v>
      </c>
      <c r="D78" s="1" t="str">
        <f>IFERROR(__xludf.DUMMYFUNCTION("""COMPUTED_VALUE""")," CS1344293 / WO0906902")</f>
        <v> CS1344293 / WO0906902</v>
      </c>
      <c r="E78" s="1">
        <f>IFERROR(__xludf.DUMMYFUNCTION("""COMPUTED_VALUE"""),1347814255)</f>
        <v>1347814255</v>
      </c>
      <c r="F78" s="1" t="str">
        <f>IFERROR(__xludf.DUMMYFUNCTION("""COMPUTED_VALUE"""),"nelsaabanilla09@gmail.com")</f>
        <v>nelsaabanilla09@gmail.com</v>
      </c>
      <c r="G78" s="1" t="str">
        <f>IFERROR(__xludf.DUMMYFUNCTION("""COMPUTED_VALUE"""),"CLOSED")</f>
        <v>CLOSED</v>
      </c>
      <c r="H78" s="1"/>
      <c r="I78" s="1"/>
      <c r="J78" s="1" t="str">
        <f>IFERROR(__xludf.DUMMYFUNCTION("""COMPUTED_VALUE"""),"PAID THRU GCASH REF 26228ETQP1LO0K486 AUG 16")</f>
        <v>PAID THRU GCASH REF 26228ETQP1LO0K486 AUG 16</v>
      </c>
      <c r="K78" s="1" t="str">
        <f>IFERROR(__xludf.DUMMYFUNCTION("""COMPUTED_VALUE"""),"PAID")</f>
        <v>PAID</v>
      </c>
      <c r="L78" s="1" t="str">
        <f>IFERROR(__xludf.DUMMYFUNCTION("""COMPUTED_VALUE"""),"POSTED")</f>
        <v>POSTED</v>
      </c>
      <c r="M78" s="1" t="str">
        <f>IFERROR(__xludf.DUMMYFUNCTION("""COMPUTED_VALUE"""),"2026")</f>
        <v>2026</v>
      </c>
      <c r="N78" s="1" t="str">
        <f>IFERROR(__xludf.DUMMYFUNCTION("""COMPUTED_VALUE"""),"RED_RS_ONL_CVE_25")</f>
        <v>RED_RS_ONL_CVE_25</v>
      </c>
      <c r="O78" s="1" t="str">
        <f>IFERROR(__xludf.DUMMYFUNCTION("""COMPUTED_VALUE"""),"RED FIBR 1000")</f>
        <v>RED FIBR 1000</v>
      </c>
      <c r="P78" s="1" t="str">
        <f>IFERROR(__xludf.DUMMYFUNCTION("""COMPUTED_VALUE"""),"MMM018713")</f>
        <v>MMM018713</v>
      </c>
      <c r="Q78" s="1" t="str">
        <f>IFERROR(__xludf.DUMMYFUNCTION("""COMPUTED_VALUE"""),"BONZA, LEE VINCENT")</f>
        <v>BONZA, LEE VINCENT</v>
      </c>
      <c r="R78" s="1" t="str">
        <f>IFERROR(__xludf.DUMMYFUNCTION("""COMPUTED_VALUE"""),"GARCIA MICHAEL JETTS")</f>
        <v>GARCIA MICHAEL JETTS</v>
      </c>
      <c r="S78" s="1" t="str">
        <f>IFERROR(__xludf.DUMMYFUNCTION("""COMPUTED_VALUE"""),"ESPIRITU JULIE")</f>
        <v>ESPIRITU JULIE</v>
      </c>
      <c r="T78" s="1" t="str">
        <f>IFERROR(__xludf.DUMMYFUNCTION("""COMPUTED_VALUE"""),"SP6MONTHS")</f>
        <v>SP6MONTHS</v>
      </c>
      <c r="U78" s="1">
        <f>IFERROR(__xludf.DUMMYFUNCTION("""COMPUTED_VALUE"""),9358093595)</f>
        <v>9358093595</v>
      </c>
      <c r="V78" s="1"/>
      <c r="W78" s="1"/>
      <c r="X78" s="1" t="str">
        <f>IFERROR(__xludf.DUMMYFUNCTION("""COMPUTED_VALUE"""),"PHASE 1")</f>
        <v>PHASE 1</v>
      </c>
      <c r="Y78" s="1" t="str">
        <f>IFERROR(__xludf.DUMMYFUNCTION("""COMPUTED_VALUE"""),"PEARL RESIDENCES")</f>
        <v>PEARL RESIDENCES</v>
      </c>
      <c r="Z78" s="1" t="str">
        <f>IFERROR(__xludf.DUMMYFUNCTION("""COMPUTED_VALUE"""),"CAPIPISA")</f>
        <v>CAPIPISA</v>
      </c>
      <c r="AA78" s="1" t="str">
        <f>IFERROR(__xludf.DUMMYFUNCTION("""COMPUTED_VALUE"""),"TANZA")</f>
        <v>TANZA</v>
      </c>
      <c r="AB78" s="1" t="str">
        <f>IFERROR(__xludf.DUMMYFUNCTION("""COMPUTED_VALUE"""),"CVT6 LCP136 NP3/4")</f>
        <v>CVT6 LCP136 NP3/4</v>
      </c>
      <c r="AC78" s="1" t="str">
        <f>IFERROR(__xludf.DUMMYFUNCTION("""COMPUTED_VALUE""")," 120.794852 / 14.356546")</f>
        <v> 120.794852 / 14.356546</v>
      </c>
    </row>
    <row r="79" customHeight="1" spans="1:29">
      <c r="A79" s="3">
        <f>IFERROR(__xludf.DUMMYFUNCTION("""COMPUTED_VALUE"""),46250)</f>
        <v>46250</v>
      </c>
      <c r="B79" s="1" t="str">
        <f>IFERROR(__xludf.DUMMYFUNCTION("""COMPUTED_VALUE"""),"JOHN REXON CARAAN PANGANIBAN")</f>
        <v>JOHN REXON CARAAN PANGANIBAN</v>
      </c>
      <c r="C79" s="1" t="str">
        <f>IFERROR(__xludf.DUMMYFUNCTION("""COMPUTED_VALUE"""),"RITM0306486")</f>
        <v>RITM0306486</v>
      </c>
      <c r="D79" s="1"/>
      <c r="E79" s="1"/>
      <c r="F79" s="1" t="str">
        <f>IFERROR(__xludf.DUMMYFUNCTION("""COMPUTED_VALUE"""),"panganibanjohnrexon@gmail.com")</f>
        <v>panganibanjohnrexon@gmail.com</v>
      </c>
      <c r="G79" s="1" t="str">
        <f>IFERROR(__xludf.DUMMYFUNCTION("""COMPUTED_VALUE"""),"APPROVED")</f>
        <v>APPROVED</v>
      </c>
      <c r="H79" s="1"/>
      <c r="I79" s="1" t="str">
        <f>IFERROR(__xludf.DUMMYFUNCTION("""COMPUTED_VALUE"""),"NAGALAW DAW PO YUNG PANG BAYAD SA SA AUG 31 NALANG DAW PO BALIKAN AS PER SUBS 8/21")</f>
        <v>NAGALAW DAW PO YUNG PANG BAYAD SA SA AUG 31 NALANG DAW PO BALIKAN AS PER SUBS 8/21</v>
      </c>
      <c r="J79" s="1"/>
      <c r="K79" s="1"/>
      <c r="L79" s="1" t="str">
        <f>IFERROR(__xludf.DUMMYFUNCTION("""COMPUTED_VALUE"""),"CANCELLED - AGING")</f>
        <v>CANCELLED - AGING</v>
      </c>
      <c r="M79" s="1"/>
      <c r="N79" s="1" t="str">
        <f>IFERROR(__xludf.DUMMYFUNCTION("""COMPUTED_VALUE"""),"RED_RS_ONL_CVE_25")</f>
        <v>RED_RS_ONL_CVE_25</v>
      </c>
      <c r="O79" s="1" t="str">
        <f>IFERROR(__xludf.DUMMYFUNCTION("""COMPUTED_VALUE"""),"RED FIBR 1000")</f>
        <v>RED FIBR 1000</v>
      </c>
      <c r="P79" s="1" t="str">
        <f>IFERROR(__xludf.DUMMYFUNCTION("""COMPUTED_VALUE"""),"MMM018713")</f>
        <v>MMM018713</v>
      </c>
      <c r="Q79" s="1" t="str">
        <f>IFERROR(__xludf.DUMMYFUNCTION("""COMPUTED_VALUE"""),"LUCELLE, FRIAS - BATANGAS")</f>
        <v>LUCELLE, FRIAS - BATANGAS</v>
      </c>
      <c r="R79" s="1" t="str">
        <f>IFERROR(__xludf.DUMMYFUNCTION("""COMPUTED_VALUE"""),"CLARETE, GLIZIEL")</f>
        <v>CLARETE, GLIZIEL</v>
      </c>
      <c r="S79" s="1" t="str">
        <f>IFERROR(__xludf.DUMMYFUNCTION("""COMPUTED_VALUE"""),"ESPIRITU JULIE")</f>
        <v>ESPIRITU JULIE</v>
      </c>
      <c r="T79" s="1" t="str">
        <f>IFERROR(__xludf.DUMMYFUNCTION("""COMPUTED_VALUE"""),"SP6MONTHS")</f>
        <v>SP6MONTHS</v>
      </c>
      <c r="U79" s="1">
        <f>IFERROR(__xludf.DUMMYFUNCTION("""COMPUTED_VALUE"""),9483591023)</f>
        <v>9483591023</v>
      </c>
      <c r="V79" s="1"/>
      <c r="W79" s="1">
        <f>IFERROR(__xludf.DUMMYFUNCTION("""COMPUTED_VALUE"""),245)</f>
        <v>245</v>
      </c>
      <c r="X79" s="1" t="str">
        <f>IFERROR(__xludf.DUMMYFUNCTION("""COMPUTED_VALUE"""),"SITIO 3TRAMO")</f>
        <v>SITIO 3TRAMO</v>
      </c>
      <c r="Y79" s="1"/>
      <c r="Z79" s="1" t="str">
        <f>IFERROR(__xludf.DUMMYFUNCTION("""COMPUTED_VALUE"""),"BATANGAS CITY")</f>
        <v>BATANGAS CITY</v>
      </c>
      <c r="AA79" s="1" t="str">
        <f>IFERROR(__xludf.DUMMYFUNCTION("""COMPUTED_VALUE"""),"BATANGAS ")</f>
        <v>BATANGAS </v>
      </c>
      <c r="AB79" s="1" t="str">
        <f>IFERROR(__xludf.DUMMYFUNCTION("""COMPUTED_VALUE"""),"BCYLCP101NP1")</f>
        <v>BCYLCP101NP1</v>
      </c>
      <c r="AC79" s="1" t="str">
        <f>IFERROR(__xludf.DUMMYFUNCTION("""COMPUTED_VALUE""")," 121.069200 / 13.796697")</f>
        <v> 121.069200 / 13.796697</v>
      </c>
    </row>
    <row r="80" customHeight="1" spans="1:29">
      <c r="A80" s="3">
        <f>IFERROR(__xludf.DUMMYFUNCTION("""COMPUTED_VALUE"""),46250)</f>
        <v>46250</v>
      </c>
      <c r="B80" s="1" t="str">
        <f>IFERROR(__xludf.DUMMYFUNCTION("""COMPUTED_VALUE"""),"MARK LESLIE PEREA SAMONTE")</f>
        <v>MARK LESLIE PEREA SAMONTE</v>
      </c>
      <c r="C80" s="1" t="str">
        <f>IFERROR(__xludf.DUMMYFUNCTION("""COMPUTED_VALUE"""),"RITM0306514")</f>
        <v>RITM0306514</v>
      </c>
      <c r="D80" s="1" t="str">
        <f>IFERROR(__xludf.DUMMYFUNCTION("""COMPUTED_VALUE"""),"CS1344353 / WO0906816")</f>
        <v>CS1344353 / WO0906816</v>
      </c>
      <c r="E80" s="1">
        <f>IFERROR(__xludf.DUMMYFUNCTION("""COMPUTED_VALUE"""),6231141832)</f>
        <v>6231141832</v>
      </c>
      <c r="F80" s="1" t="str">
        <f>IFERROR(__xludf.DUMMYFUNCTION("""COMPUTED_VALUE"""),"marklesliesamonte029@gmail.com")</f>
        <v>marklesliesamonte029@gmail.com</v>
      </c>
      <c r="G80" s="1" t="str">
        <f>IFERROR(__xludf.DUMMYFUNCTION("""COMPUTED_VALUE"""),"CLOSED")</f>
        <v>CLOSED</v>
      </c>
      <c r="H80" s="1"/>
      <c r="I80" s="1"/>
      <c r="J80" s="1" t="str">
        <f>IFERROR(__xludf.DUMMYFUNCTION("""COMPUTED_VALUE"""),"PAID THRU BANK REF RADI23689E8SMGJP AUG 16")</f>
        <v>PAID THRU BANK REF RADI23689E8SMGJP AUG 16</v>
      </c>
      <c r="K80" s="1" t="str">
        <f>IFERROR(__xludf.DUMMYFUNCTION("""COMPUTED_VALUE"""),"PAID")</f>
        <v>PAID</v>
      </c>
      <c r="L80" s="1" t="str">
        <f>IFERROR(__xludf.DUMMYFUNCTION("""COMPUTED_VALUE"""),"POSTED")</f>
        <v>POSTED</v>
      </c>
      <c r="M80" s="1" t="str">
        <f>IFERROR(__xludf.DUMMYFUNCTION("""COMPUTED_VALUE"""),"2026")</f>
        <v>2026</v>
      </c>
      <c r="N80" s="1" t="str">
        <f>IFERROR(__xludf.DUMMYFUNCTION("""COMPUTED_VALUE"""),"RED_RS_ONL_CVE_25")</f>
        <v>RED_RS_ONL_CVE_25</v>
      </c>
      <c r="O80" s="1" t="str">
        <f>IFERROR(__xludf.DUMMYFUNCTION("""COMPUTED_VALUE"""),"RED FIBR 1400")</f>
        <v>RED FIBR 1400</v>
      </c>
      <c r="P80" s="1" t="str">
        <f>IFERROR(__xludf.DUMMYFUNCTION("""COMPUTED_VALUE"""),"MMM018709")</f>
        <v>MMM018709</v>
      </c>
      <c r="Q80" s="1" t="str">
        <f>IFERROR(__xludf.DUMMYFUNCTION("""COMPUTED_VALUE"""),"MORADOS, MARVIN")</f>
        <v>MORADOS, MARVIN</v>
      </c>
      <c r="R80" s="1" t="str">
        <f>IFERROR(__xludf.DUMMYFUNCTION("""COMPUTED_VALUE"""),"GARCIA MICHAEL JETTS")</f>
        <v>GARCIA MICHAEL JETTS</v>
      </c>
      <c r="S80" s="1" t="str">
        <f>IFERROR(__xludf.DUMMYFUNCTION("""COMPUTED_VALUE"""),"ESPIRITU JULIE")</f>
        <v>ESPIRITU JULIE</v>
      </c>
      <c r="T80" s="1" t="str">
        <f>IFERROR(__xludf.DUMMYFUNCTION("""COMPUTED_VALUE"""),"SP6MONTHS")</f>
        <v>SP6MONTHS</v>
      </c>
      <c r="U80" s="1">
        <f>IFERROR(__xludf.DUMMYFUNCTION("""COMPUTED_VALUE"""),9057349430)</f>
        <v>9057349430</v>
      </c>
      <c r="V80" s="1"/>
      <c r="W80" s="1">
        <f>IFERROR(__xludf.DUMMYFUNCTION("""COMPUTED_VALUE"""),189)</f>
        <v>189</v>
      </c>
      <c r="X80" s="1" t="str">
        <f>IFERROR(__xludf.DUMMYFUNCTION("""COMPUTED_VALUE"""),"ARMIJO ST")</f>
        <v>ARMIJO ST</v>
      </c>
      <c r="Y80" s="1"/>
      <c r="Z80" s="1" t="str">
        <f>IFERROR(__xludf.DUMMYFUNCTION("""COMPUTED_VALUE"""),"AMAYA I")</f>
        <v>AMAYA I</v>
      </c>
      <c r="AA80" s="1" t="str">
        <f>IFERROR(__xludf.DUMMYFUNCTION("""COMPUTED_VALUE"""),"TANZA")</f>
        <v>TANZA</v>
      </c>
      <c r="AB80" s="1" t="str">
        <f>IFERROR(__xludf.DUMMYFUNCTION("""COMPUTED_VALUE"""),"CVT6 LCP222 NP1/2/3/4/5 CVT6 LCP221 NP7/8")</f>
        <v>CVT6 LCP222 NP1/2/3/4/5 CVT6 LCP221 NP7/8</v>
      </c>
      <c r="AC80" s="1" t="str">
        <f>IFERROR(__xludf.DUMMYFUNCTION("""COMPUTED_VALUE""")," 120.833691 / 14.3839254")</f>
        <v> 120.833691 / 14.3839254</v>
      </c>
    </row>
    <row r="81" customHeight="1" spans="1:29">
      <c r="A81" s="3">
        <f>IFERROR(__xludf.DUMMYFUNCTION("""COMPUTED_VALUE"""),46250)</f>
        <v>46250</v>
      </c>
      <c r="B81" s="1" t="str">
        <f>IFERROR(__xludf.DUMMYFUNCTION("""COMPUTED_VALUE"""),"KEVIN EARL DULAY ARBES")</f>
        <v>KEVIN EARL DULAY ARBES</v>
      </c>
      <c r="C81" s="1" t="str">
        <f>IFERROR(__xludf.DUMMYFUNCTION("""COMPUTED_VALUE"""),"RITM0306525")</f>
        <v>RITM0306525</v>
      </c>
      <c r="D81" s="1" t="str">
        <f>IFERROR(__xludf.DUMMYFUNCTION("""COMPUTED_VALUE"""),"CS1344640 / WO0907640")</f>
        <v>CS1344640 / WO0907640</v>
      </c>
      <c r="E81" s="1">
        <f>IFERROR(__xludf.DUMMYFUNCTION("""COMPUTED_VALUE"""),4381271931)</f>
        <v>4381271931</v>
      </c>
      <c r="F81" s="1" t="str">
        <f>IFERROR(__xludf.DUMMYFUNCTION("""COMPUTED_VALUE"""),"kevinarbes24@gmail.com")</f>
        <v>kevinarbes24@gmail.com</v>
      </c>
      <c r="G81" s="1" t="str">
        <f>IFERROR(__xludf.DUMMYFUNCTION("""COMPUTED_VALUE"""),"CLOSED")</f>
        <v>CLOSED</v>
      </c>
      <c r="H81" s="1"/>
      <c r="I81" s="1"/>
      <c r="J81" s="1" t="str">
        <f>IFERROR(__xludf.DUMMYFUNCTION("""COMPUTED_VALUE"""),"PAID VIA GCASH  - AUG 19- REF - 408027178")</f>
        <v>PAID VIA GCASH  - AUG 19- REF - 408027178</v>
      </c>
      <c r="K81" s="1" t="str">
        <f>IFERROR(__xludf.DUMMYFUNCTION("""COMPUTED_VALUE"""),"PAID")</f>
        <v>PAID</v>
      </c>
      <c r="L81" s="1" t="str">
        <f>IFERROR(__xludf.DUMMYFUNCTION("""COMPUTED_VALUE"""),"POSTED")</f>
        <v>POSTED</v>
      </c>
      <c r="M81" s="1" t="str">
        <f>IFERROR(__xludf.DUMMYFUNCTION("""COMPUTED_VALUE"""),"8/20/2026")</f>
        <v>8/20/2026</v>
      </c>
      <c r="N81" s="1" t="str">
        <f>IFERROR(__xludf.DUMMYFUNCTION("""COMPUTED_VALUE"""),"RED_RS_ONL_CVE_25")</f>
        <v>RED_RS_ONL_CVE_25</v>
      </c>
      <c r="O81" s="1" t="str">
        <f>IFERROR(__xludf.DUMMYFUNCTION("""COMPUTED_VALUE"""),"RED FIBR 1400")</f>
        <v>RED FIBR 1400</v>
      </c>
      <c r="P81" s="1" t="str">
        <f>IFERROR(__xludf.DUMMYFUNCTION("""COMPUTED_VALUE"""),"MMM018712")</f>
        <v>MMM018712</v>
      </c>
      <c r="Q81" s="1" t="str">
        <f>IFERROR(__xludf.DUMMYFUNCTION("""COMPUTED_VALUE"""),"PEREZ. RONELL")</f>
        <v>PEREZ. RONELL</v>
      </c>
      <c r="R81" s="1" t="str">
        <f>IFERROR(__xludf.DUMMYFUNCTION("""COMPUTED_VALUE"""),"GARCIA MICHAEL JETTS")</f>
        <v>GARCIA MICHAEL JETTS</v>
      </c>
      <c r="S81" s="1" t="str">
        <f>IFERROR(__xludf.DUMMYFUNCTION("""COMPUTED_VALUE"""),"ESPIRITU JULIE")</f>
        <v>ESPIRITU JULIE</v>
      </c>
      <c r="T81" s="1" t="str">
        <f>IFERROR(__xludf.DUMMYFUNCTION("""COMPUTED_VALUE"""),"SP6MONTHS")</f>
        <v>SP6MONTHS</v>
      </c>
      <c r="U81" s="1">
        <f>IFERROR(__xludf.DUMMYFUNCTION("""COMPUTED_VALUE"""),9477277209)</f>
        <v>9477277209</v>
      </c>
      <c r="V81" s="1"/>
      <c r="W81" s="1"/>
      <c r="X81" s="1" t="str">
        <f>IFERROR(__xludf.DUMMYFUNCTION("""COMPUTED_VALUE"""),"PHASE A")</f>
        <v>PHASE A</v>
      </c>
      <c r="Y81" s="1" t="str">
        <f>IFERROR(__xludf.DUMMYFUNCTION("""COMPUTED_VALUE"""),"PEARL RESIDENCES")</f>
        <v>PEARL RESIDENCES</v>
      </c>
      <c r="Z81" s="1" t="str">
        <f>IFERROR(__xludf.DUMMYFUNCTION("""COMPUTED_VALUE"""),"CAPIPISA")</f>
        <v>CAPIPISA</v>
      </c>
      <c r="AA81" s="1" t="str">
        <f>IFERROR(__xludf.DUMMYFUNCTION("""COMPUTED_VALUE"""),"TANZA")</f>
        <v>TANZA</v>
      </c>
      <c r="AB81" s="1"/>
      <c r="AC81" s="1" t="str">
        <f>IFERROR(__xludf.DUMMYFUNCTION("""COMPUTED_VALUE""")," 120.795011 / 14.356625")</f>
        <v> 120.795011 / 14.356625</v>
      </c>
    </row>
    <row r="82" customHeight="1" spans="1:29">
      <c r="A82" s="3">
        <f>IFERROR(__xludf.DUMMYFUNCTION("""COMPUTED_VALUE"""),46251)</f>
        <v>46251</v>
      </c>
      <c r="B82" s="1" t="str">
        <f>IFERROR(__xludf.DUMMYFUNCTION("""COMPUTED_VALUE"""),"JEFF VILLAMARZO GONZALES")</f>
        <v>JEFF VILLAMARZO GONZALES</v>
      </c>
      <c r="C82" s="1" t="str">
        <f>IFERROR(__xludf.DUMMYFUNCTION("""COMPUTED_VALUE"""),"RITM0306592")</f>
        <v>RITM0306592</v>
      </c>
      <c r="D82" s="1" t="str">
        <f>IFERROR(__xludf.DUMMYFUNCTION("""COMPUTED_VALUE"""),"CS1344614 / WO0907171")</f>
        <v>CS1344614 / WO0907171</v>
      </c>
      <c r="E82" s="1">
        <f>IFERROR(__xludf.DUMMYFUNCTION("""COMPUTED_VALUE"""),1417823936)</f>
        <v>1417823936</v>
      </c>
      <c r="F82" s="1" t="str">
        <f>IFERROR(__xludf.DUMMYFUNCTION("""COMPUTED_VALUE"""),"andresmalvar63@gmail.com")</f>
        <v>andresmalvar63@gmail.com</v>
      </c>
      <c r="G82" s="1" t="str">
        <f>IFERROR(__xludf.DUMMYFUNCTION("""COMPUTED_VALUE"""),"CLOSED")</f>
        <v>CLOSED</v>
      </c>
      <c r="H82" s="1"/>
      <c r="I82" s="1"/>
      <c r="J82" s="1" t="str">
        <f>IFERROR(__xludf.DUMMYFUNCTION("""COMPUTED_VALUE"""),"PAID THUR GCASH - AUG 17 - REF- 060202632")</f>
        <v>PAID THUR GCASH - AUG 17 - REF- 060202632</v>
      </c>
      <c r="K82" s="1" t="str">
        <f>IFERROR(__xludf.DUMMYFUNCTION("""COMPUTED_VALUE"""),"PAID")</f>
        <v>PAID</v>
      </c>
      <c r="L82" s="1" t="str">
        <f>IFERROR(__xludf.DUMMYFUNCTION("""COMPUTED_VALUE"""),"POSTED")</f>
        <v>POSTED</v>
      </c>
      <c r="M82" s="1" t="str">
        <f>IFERROR(__xludf.DUMMYFUNCTION("""COMPUTED_VALUE"""),"8/19/2026")</f>
        <v>8/19/2026</v>
      </c>
      <c r="N82" s="1" t="str">
        <f>IFERROR(__xludf.DUMMYFUNCTION("""COMPUTED_VALUE"""),"RED_RS_ONL_CVE_25")</f>
        <v>RED_RS_ONL_CVE_25</v>
      </c>
      <c r="O82" s="1" t="str">
        <f>IFERROR(__xludf.DUMMYFUNCTION("""COMPUTED_VALUE"""),"RED FIBR 1400")</f>
        <v>RED FIBR 1400</v>
      </c>
      <c r="P82" s="1" t="str">
        <f>IFERROR(__xludf.DUMMYFUNCTION("""COMPUTED_VALUE"""),"MMM018709")</f>
        <v>MMM018709</v>
      </c>
      <c r="Q82" s="1" t="str">
        <f>IFERROR(__xludf.DUMMYFUNCTION("""COMPUTED_VALUE"""),"KAWAUCHI, SHANE")</f>
        <v>KAWAUCHI, SHANE</v>
      </c>
      <c r="R82" s="1" t="str">
        <f>IFERROR(__xludf.DUMMYFUNCTION("""COMPUTED_VALUE"""),"GARCIA MICHAEL JETTS")</f>
        <v>GARCIA MICHAEL JETTS</v>
      </c>
      <c r="S82" s="1" t="str">
        <f>IFERROR(__xludf.DUMMYFUNCTION("""COMPUTED_VALUE"""),"ESPIRITU JULIE")</f>
        <v>ESPIRITU JULIE</v>
      </c>
      <c r="T82" s="1" t="str">
        <f>IFERROR(__xludf.DUMMYFUNCTION("""COMPUTED_VALUE"""),"SP6MONTHS")</f>
        <v>SP6MONTHS</v>
      </c>
      <c r="U82" s="1">
        <f>IFERROR(__xludf.DUMMYFUNCTION("""COMPUTED_VALUE"""),9918290580)</f>
        <v>9918290580</v>
      </c>
      <c r="V82" s="1"/>
      <c r="W82" s="1">
        <f>IFERROR(__xludf.DUMMYFUNCTION("""COMPUTED_VALUE"""),34)</f>
        <v>34</v>
      </c>
      <c r="X82" s="1" t="str">
        <f>IFERROR(__xludf.DUMMYFUNCTION("""COMPUTED_VALUE"""),"ORCHID ST")</f>
        <v>ORCHID ST</v>
      </c>
      <c r="Y82" s="1"/>
      <c r="Z82" s="1" t="str">
        <f>IFERROR(__xludf.DUMMYFUNCTION("""COMPUTED_VALUE"""),"JULUGAN IV")</f>
        <v>JULUGAN IV</v>
      </c>
      <c r="AA82" s="1" t="str">
        <f>IFERROR(__xludf.DUMMYFUNCTION("""COMPUTED_VALUE"""),"TANZA")</f>
        <v>TANZA</v>
      </c>
      <c r="AB82" s="1" t="str">
        <f>IFERROR(__xludf.DUMMYFUNCTION("""COMPUTED_VALUE"""),"CVT6LCP214NP5/6 / CT6 LCP205 NP3/4")</f>
        <v>CVT6LCP214NP5/6 / CT6 LCP205 NP3/4</v>
      </c>
      <c r="AC82" s="1" t="str">
        <f>IFERROR(__xludf.DUMMYFUNCTION("""COMPUTED_VALUE""")," 120.843928 / 14.402391")</f>
        <v> 120.843928 / 14.402391</v>
      </c>
    </row>
    <row r="83" customHeight="1" spans="1:29">
      <c r="A83" s="3">
        <f>IFERROR(__xludf.DUMMYFUNCTION("""COMPUTED_VALUE"""),46251)</f>
        <v>46251</v>
      </c>
      <c r="B83" s="1" t="str">
        <f>IFERROR(__xludf.DUMMYFUNCTION("""COMPUTED_VALUE"""),"LEA JOY NEPOMUCENO DOLUNTAP-FIGUEROA")</f>
        <v>LEA JOY NEPOMUCENO DOLUNTAP-FIGUEROA</v>
      </c>
      <c r="C83" s="1" t="str">
        <f>IFERROR(__xludf.DUMMYFUNCTION("""COMPUTED_VALUE"""),"RITM0306596")</f>
        <v>RITM0306596</v>
      </c>
      <c r="D83" s="1" t="str">
        <f>IFERROR(__xludf.DUMMYFUNCTION("""COMPUTED_VALUE"""),"CS1344622 / WO0907000")</f>
        <v>CS1344622 / WO0907000</v>
      </c>
      <c r="E83" s="1">
        <f>IFERROR(__xludf.DUMMYFUNCTION("""COMPUTED_VALUE"""),2272985272)</f>
        <v>2272985272</v>
      </c>
      <c r="F83" s="1" t="str">
        <f>IFERROR(__xludf.DUMMYFUNCTION("""COMPUTED_VALUE"""),"figueroaleajoy@gmail.com")</f>
        <v>figueroaleajoy@gmail.com</v>
      </c>
      <c r="G83" s="1" t="str">
        <f>IFERROR(__xludf.DUMMYFUNCTION("""COMPUTED_VALUE"""),"CLOSED")</f>
        <v>CLOSED</v>
      </c>
      <c r="H83" s="1"/>
      <c r="I83" s="1"/>
      <c r="J83" s="1" t="str">
        <f>IFERROR(__xludf.DUMMYFUNCTION("""COMPUTED_VALUE"""),"PAID THUR GCASH 596927467 AUG 17")</f>
        <v>PAID THUR GCASH 596927467 AUG 17</v>
      </c>
      <c r="K83" s="1" t="str">
        <f>IFERROR(__xludf.DUMMYFUNCTION("""COMPUTED_VALUE"""),"PAID")</f>
        <v>PAID</v>
      </c>
      <c r="L83" s="1" t="str">
        <f>IFERROR(__xludf.DUMMYFUNCTION("""COMPUTED_VALUE"""),"POSTED")</f>
        <v>POSTED</v>
      </c>
      <c r="M83" s="1" t="str">
        <f>IFERROR(__xludf.DUMMYFUNCTION("""COMPUTED_VALUE"""),"2026")</f>
        <v>2026</v>
      </c>
      <c r="N83" s="1" t="str">
        <f>IFERROR(__xludf.DUMMYFUNCTION("""COMPUTED_VALUE"""),"RED_RS_ONL_CVE_25")</f>
        <v>RED_RS_ONL_CVE_25</v>
      </c>
      <c r="O83" s="1" t="str">
        <f>IFERROR(__xludf.DUMMYFUNCTION("""COMPUTED_VALUE"""),"RED FIBR 1000")</f>
        <v>RED FIBR 1000</v>
      </c>
      <c r="P83" s="1" t="str">
        <f>IFERROR(__xludf.DUMMYFUNCTION("""COMPUTED_VALUE"""),"MMM018711")</f>
        <v>MMM018711</v>
      </c>
      <c r="Q83" s="1" t="str">
        <f>IFERROR(__xludf.DUMMYFUNCTION("""COMPUTED_VALUE"""),"ARMIJO, LOUEI JAY")</f>
        <v>ARMIJO, LOUEI JAY</v>
      </c>
      <c r="R83" s="1" t="str">
        <f>IFERROR(__xludf.DUMMYFUNCTION("""COMPUTED_VALUE"""),"GARCIA MICHAEL JETTS")</f>
        <v>GARCIA MICHAEL JETTS</v>
      </c>
      <c r="S83" s="1" t="str">
        <f>IFERROR(__xludf.DUMMYFUNCTION("""COMPUTED_VALUE"""),"ESPIRITU JULIE")</f>
        <v>ESPIRITU JULIE</v>
      </c>
      <c r="T83" s="1" t="str">
        <f>IFERROR(__xludf.DUMMYFUNCTION("""COMPUTED_VALUE"""),"SP6MONTHS")</f>
        <v>SP6MONTHS</v>
      </c>
      <c r="U83" s="1">
        <f>IFERROR(__xludf.DUMMYFUNCTION("""COMPUTED_VALUE"""),9218202045)</f>
        <v>9218202045</v>
      </c>
      <c r="V83" s="1"/>
      <c r="W83" s="1"/>
      <c r="X83" s="1" t="str">
        <f>IFERROR(__xludf.DUMMYFUNCTION("""COMPUTED_VALUE"""),"MA. CECILIA SUBDIVISION")</f>
        <v>MA. CECILIA SUBDIVISION</v>
      </c>
      <c r="Y83" s="1" t="str">
        <f>IFERROR(__xludf.DUMMYFUNCTION("""COMPUTED_VALUE"""),"MA. CECILIA SUBDIVISION")</f>
        <v>MA. CECILIA SUBDIVISION</v>
      </c>
      <c r="Z83" s="1" t="str">
        <f>IFERROR(__xludf.DUMMYFUNCTION("""COMPUTED_VALUE"""),"MULAWIN")</f>
        <v>MULAWIN</v>
      </c>
      <c r="AA83" s="1" t="str">
        <f>IFERROR(__xludf.DUMMYFUNCTION("""COMPUTED_VALUE"""),"TANZA")</f>
        <v>TANZA</v>
      </c>
      <c r="AB83" s="1" t="str">
        <f>IFERROR(__xludf.DUMMYFUNCTION("""COMPUTED_VALUE"""),"CVT6-L198N5-8")</f>
        <v>CVT6-L198N5-8</v>
      </c>
      <c r="AC83" s="1" t="str">
        <f>IFERROR(__xludf.DUMMYFUNCTION("""COMPUTED_VALUE""")," 120.854279 / 14.383311")</f>
        <v> 120.854279 / 14.383311</v>
      </c>
    </row>
    <row r="84" customHeight="1" spans="1:29">
      <c r="A84" s="3">
        <f>IFERROR(__xludf.DUMMYFUNCTION("""COMPUTED_VALUE"""),46251)</f>
        <v>46251</v>
      </c>
      <c r="B84" s="1" t="str">
        <f>IFERROR(__xludf.DUMMYFUNCTION("""COMPUTED_VALUE"""),"JOHN ERICKSON PEREY OLIVEROS")</f>
        <v>JOHN ERICKSON PEREY OLIVEROS</v>
      </c>
      <c r="C84" s="1" t="str">
        <f>IFERROR(__xludf.DUMMYFUNCTION("""COMPUTED_VALUE"""),"RITM0306612")</f>
        <v>RITM0306612</v>
      </c>
      <c r="D84" s="1" t="str">
        <f>IFERROR(__xludf.DUMMYFUNCTION("""COMPUTED_VALUE"""),"CS1344800 / WO0907158")</f>
        <v>CS1344800 / WO0907158</v>
      </c>
      <c r="E84" s="1"/>
      <c r="F84" s="1" t="str">
        <f>IFERROR(__xludf.DUMMYFUNCTION("""COMPUTED_VALUE"""),"oliverosjohnerickson@gmail.com")</f>
        <v>oliverosjohnerickson@gmail.com</v>
      </c>
      <c r="G84" s="1" t="str">
        <f>IFERROR(__xludf.DUMMYFUNCTION("""COMPUTED_VALUE"""),"CLOSED")</f>
        <v>CLOSED</v>
      </c>
      <c r="H84" s="1"/>
      <c r="I84" s="1"/>
      <c r="J84" s="1" t="str">
        <f>IFERROR(__xludf.DUMMYFUNCTION("""COMPUTED_VALUE"""),"PAID VIA GCASH REF RADI23691UC2T4ZL AUG 18")</f>
        <v>PAID VIA GCASH REF RADI23691UC2T4ZL AUG 18</v>
      </c>
      <c r="K84" s="1" t="str">
        <f>IFERROR(__xludf.DUMMYFUNCTION("""COMPUTED_VALUE"""),"PAID")</f>
        <v>PAID</v>
      </c>
      <c r="L84" s="1" t="str">
        <f>IFERROR(__xludf.DUMMYFUNCTION("""COMPUTED_VALUE"""),"POSTED")</f>
        <v>POSTED</v>
      </c>
      <c r="M84" s="1" t="str">
        <f>IFERROR(__xludf.DUMMYFUNCTION("""COMPUTED_VALUE"""),"2026")</f>
        <v>2026</v>
      </c>
      <c r="N84" s="1" t="str">
        <f>IFERROR(__xludf.DUMMYFUNCTION("""COMPUTED_VALUE"""),"RED_RS_ONL_CVE_25")</f>
        <v>RED_RS_ONL_CVE_25</v>
      </c>
      <c r="O84" s="1" t="str">
        <f>IFERROR(__xludf.DUMMYFUNCTION("""COMPUTED_VALUE"""),"RED FIBR 1400")</f>
        <v>RED FIBR 1400</v>
      </c>
      <c r="P84" s="1" t="str">
        <f>IFERROR(__xludf.DUMMYFUNCTION("""COMPUTED_VALUE"""),"MMM018713")</f>
        <v>MMM018713</v>
      </c>
      <c r="Q84" s="1" t="str">
        <f>IFERROR(__xludf.DUMMYFUNCTION("""COMPUTED_VALUE"""),"AYON, MANUEL")</f>
        <v>AYON, MANUEL</v>
      </c>
      <c r="R84" s="1" t="str">
        <f>IFERROR(__xludf.DUMMYFUNCTION("""COMPUTED_VALUE"""),"NAVARRO JERIC")</f>
        <v>NAVARRO JERIC</v>
      </c>
      <c r="S84" s="1" t="str">
        <f>IFERROR(__xludf.DUMMYFUNCTION("""COMPUTED_VALUE"""),"ESPIRITU JULIE")</f>
        <v>ESPIRITU JULIE</v>
      </c>
      <c r="T84" s="1" t="str">
        <f>IFERROR(__xludf.DUMMYFUNCTION("""COMPUTED_VALUE"""),"SP6MONTHS")</f>
        <v>SP6MONTHS</v>
      </c>
      <c r="U84" s="1">
        <f>IFERROR(__xludf.DUMMYFUNCTION("""COMPUTED_VALUE"""),9501180026)</f>
        <v>9501180026</v>
      </c>
      <c r="V84" s="1"/>
      <c r="W84" s="1"/>
      <c r="X84" s="1" t="str">
        <f>IFERROR(__xludf.DUMMYFUNCTION("""COMPUTED_VALUE"""),"PUROK 3 ST")</f>
        <v>PUROK 3 ST</v>
      </c>
      <c r="Y84" s="1"/>
      <c r="Z84" s="1" t="str">
        <f>IFERROR(__xludf.DUMMYFUNCTION("""COMPUTED_VALUE"""),"ULAT")</f>
        <v>ULAT</v>
      </c>
      <c r="AA84" s="1" t="str">
        <f>IFERROR(__xludf.DUMMYFUNCTION("""COMPUTED_VALUE"""),"SILANG")</f>
        <v>SILANG</v>
      </c>
      <c r="AB84" s="1" t="str">
        <f>IFERROR(__xludf.DUMMYFUNCTION("""COMPUTED_VALUE"""),"CVT2 LCP37 NP1/2/3")</f>
        <v>CVT2 LCP37 NP1/2/3</v>
      </c>
      <c r="AC84" s="1" t="str">
        <f>IFERROR(__xludf.DUMMYFUNCTION("""COMPUTED_VALUE""")," 120.987331 / 14.155877")</f>
        <v> 120.987331 / 14.155877</v>
      </c>
    </row>
    <row r="85" customHeight="1" spans="1:29">
      <c r="A85" s="3">
        <f>IFERROR(__xludf.DUMMYFUNCTION("""COMPUTED_VALUE"""),46251)</f>
        <v>46251</v>
      </c>
      <c r="B85" s="1" t="str">
        <f>IFERROR(__xludf.DUMMYFUNCTION("""COMPUTED_VALUE"""),"VANESSA ALMAREZ ESPINA")</f>
        <v>VANESSA ALMAREZ ESPINA</v>
      </c>
      <c r="C85" s="1" t="str">
        <f>IFERROR(__xludf.DUMMYFUNCTION("""COMPUTED_VALUE"""),"RITM0306620")</f>
        <v>RITM0306620</v>
      </c>
      <c r="D85" s="1" t="str">
        <f>IFERROR(__xludf.DUMMYFUNCTION("""COMPUTED_VALUE"""),"CS1344668 / WO0907794")</f>
        <v>CS1344668 / WO0907794</v>
      </c>
      <c r="E85" s="1">
        <f>IFERROR(__xludf.DUMMYFUNCTION("""COMPUTED_VALUE"""),9887135842)</f>
        <v>9887135842</v>
      </c>
      <c r="F85" s="1" t="str">
        <f>IFERROR(__xludf.DUMMYFUNCTION("""COMPUTED_VALUE"""),"ninajheancalleja@gmail.com")</f>
        <v>ninajheancalleja@gmail.com</v>
      </c>
      <c r="G85" s="1" t="str">
        <f>IFERROR(__xludf.DUMMYFUNCTION("""COMPUTED_VALUE"""),"CLOSED")</f>
        <v>CLOSED</v>
      </c>
      <c r="H85" s="1"/>
      <c r="I85" s="1"/>
      <c r="J85" s="1" t="str">
        <f>IFERROR(__xludf.DUMMYFUNCTION("""COMPUTED_VALUE"""),"PAID VIA CGASH REF 508740001 AUG 21")</f>
        <v>PAID VIA CGASH REF 508740001 AUG 21</v>
      </c>
      <c r="K85" s="1" t="str">
        <f>IFERROR(__xludf.DUMMYFUNCTION("""COMPUTED_VALUE"""),"PAID")</f>
        <v>PAID</v>
      </c>
      <c r="L85" s="1" t="str">
        <f>IFERROR(__xludf.DUMMYFUNCTION("""COMPUTED_VALUE"""),"POSTED")</f>
        <v>POSTED</v>
      </c>
      <c r="M85" s="1" t="str">
        <f>IFERROR(__xludf.DUMMYFUNCTION("""COMPUTED_VALUE"""),"8/23/2026")</f>
        <v>8/23/2026</v>
      </c>
      <c r="N85" s="1" t="str">
        <f>IFERROR(__xludf.DUMMYFUNCTION("""COMPUTED_VALUE"""),"RED_RS_ONL_CVE_25")</f>
        <v>RED_RS_ONL_CVE_25</v>
      </c>
      <c r="O85" s="1" t="str">
        <f>IFERROR(__xludf.DUMMYFUNCTION("""COMPUTED_VALUE"""),"RED FIBR 1000")</f>
        <v>RED FIBR 1000</v>
      </c>
      <c r="P85" s="1" t="str">
        <f>IFERROR(__xludf.DUMMYFUNCTION("""COMPUTED_VALUE"""),"MMM018713")</f>
        <v>MMM018713</v>
      </c>
      <c r="Q85" s="1" t="str">
        <f>IFERROR(__xludf.DUMMYFUNCTION("""COMPUTED_VALUE"""),"LUCELLE, FRIAS - BATANGAS")</f>
        <v>LUCELLE, FRIAS - BATANGAS</v>
      </c>
      <c r="R85" s="1" t="str">
        <f>IFERROR(__xludf.DUMMYFUNCTION("""COMPUTED_VALUE"""),"CLARETE, GLIZIEL")</f>
        <v>CLARETE, GLIZIEL</v>
      </c>
      <c r="S85" s="1" t="str">
        <f>IFERROR(__xludf.DUMMYFUNCTION("""COMPUTED_VALUE"""),"ESPIRITU JULIE")</f>
        <v>ESPIRITU JULIE</v>
      </c>
      <c r="T85" s="1" t="str">
        <f>IFERROR(__xludf.DUMMYFUNCTION("""COMPUTED_VALUE"""),"SP6MONTHS")</f>
        <v>SP6MONTHS</v>
      </c>
      <c r="U85" s="1">
        <f>IFERROR(__xludf.DUMMYFUNCTION("""COMPUTED_VALUE"""),9707551797)</f>
        <v>9707551797</v>
      </c>
      <c r="V85" s="1">
        <f>IFERROR(__xludf.DUMMYFUNCTION("""COMPUTED_VALUE"""),9506473926)</f>
        <v>9506473926</v>
      </c>
      <c r="W85" s="1">
        <f>IFERROR(__xludf.DUMMYFUNCTION("""COMPUTED_VALUE"""),5216)</f>
        <v>5216</v>
      </c>
      <c r="X85" s="1" t="str">
        <f>IFERROR(__xludf.DUMMYFUNCTION("""COMPUTED_VALUE"""),"SITIO 3TRAMO")</f>
        <v>SITIO 3TRAMO</v>
      </c>
      <c r="Y85" s="1"/>
      <c r="Z85" s="1" t="str">
        <f>IFERROR(__xludf.DUMMYFUNCTION("""COMPUTED_VALUE"""),"BALAGTAS")</f>
        <v>BALAGTAS</v>
      </c>
      <c r="AA85" s="1" t="str">
        <f>IFERROR(__xludf.DUMMYFUNCTION("""COMPUTED_VALUE"""),"BATANGAS ")</f>
        <v>BATANGAS </v>
      </c>
      <c r="AB85" s="1" t="str">
        <f>IFERROR(__xludf.DUMMYFUNCTION("""COMPUTED_VALUE"""),"BCYLCP101NP1")</f>
        <v>BCYLCP101NP1</v>
      </c>
      <c r="AC85" s="1" t="str">
        <f>IFERROR(__xludf.DUMMYFUNCTION("""COMPUTED_VALUE""")," 121.069204 / 13.796769")</f>
        <v> 121.069204 / 13.796769</v>
      </c>
    </row>
    <row r="86" customHeight="1" spans="1:29">
      <c r="A86" s="3">
        <f>IFERROR(__xludf.DUMMYFUNCTION("""COMPUTED_VALUE"""),46251)</f>
        <v>46251</v>
      </c>
      <c r="B86" s="1" t="str">
        <f>IFERROR(__xludf.DUMMYFUNCTION("""COMPUTED_VALUE"""),"REYNOLD ORTIZ ORAS")</f>
        <v>REYNOLD ORTIZ ORAS</v>
      </c>
      <c r="C86" s="1" t="str">
        <f>IFERROR(__xludf.DUMMYFUNCTION("""COMPUTED_VALUE"""),"RITM0306627")</f>
        <v>RITM0306627</v>
      </c>
      <c r="D86" s="1" t="str">
        <f>IFERROR(__xludf.DUMMYFUNCTION("""COMPUTED_VALUE"""),"CS1344700 / WO0907065")</f>
        <v>CS1344700 / WO0907065</v>
      </c>
      <c r="E86" s="1">
        <f>IFERROR(__xludf.DUMMYFUNCTION("""COMPUTED_VALUE"""),1476159594)</f>
        <v>1476159594</v>
      </c>
      <c r="F86" s="1" t="str">
        <f>IFERROR(__xludf.DUMMYFUNCTION("""COMPUTED_VALUE"""),"reynoldortiz12@gmail.com")</f>
        <v>reynoldortiz12@gmail.com</v>
      </c>
      <c r="G86" s="1" t="str">
        <f>IFERROR(__xludf.DUMMYFUNCTION("""COMPUTED_VALUE"""),"APPROVED")</f>
        <v>APPROVED</v>
      </c>
      <c r="H86" s="1" t="str">
        <f>IFERROR(__xludf.DUMMYFUNCTION("""COMPUTED_VALUE"""),"RETURNED WORK ORDER - no remarks - CLOSED INCOMPLETE")</f>
        <v>RETURNED WORK ORDER - no remarks - CLOSED INCOMPLETE</v>
      </c>
      <c r="I86" s="1" t="str">
        <f>IFERROR(__xludf.DUMMYFUNCTION("""COMPUTED_VALUE"""),"CLOSED INCOMPLETE 8/24")</f>
        <v>CLOSED INCOMPLETE 8/24</v>
      </c>
      <c r="J86" s="1" t="str">
        <f>IFERROR(__xludf.DUMMYFUNCTION("""COMPUTED_VALUE"""),"PAID THRU GCASH REF RADI23690CVF6QYI AUG 17")</f>
        <v>PAID THRU GCASH REF RADI23690CVF6QYI AUG 17</v>
      </c>
      <c r="K86" s="1" t="str">
        <f>IFERROR(__xludf.DUMMYFUNCTION("""COMPUTED_VALUE"""),"PAID")</f>
        <v>PAID</v>
      </c>
      <c r="L86" s="1" t="str">
        <f>IFERROR(__xludf.DUMMYFUNCTION("""COMPUTED_VALUE"""),"PAID - FOR INSTALLATION")</f>
        <v>PAID - FOR INSTALLATION</v>
      </c>
      <c r="M86" s="1"/>
      <c r="N86" s="1" t="str">
        <f>IFERROR(__xludf.DUMMYFUNCTION("""COMPUTED_VALUE"""),"RED_RS_ONL_CVE_25")</f>
        <v>RED_RS_ONL_CVE_25</v>
      </c>
      <c r="O86" s="1" t="str">
        <f>IFERROR(__xludf.DUMMYFUNCTION("""COMPUTED_VALUE"""),"RED FIBR 1400")</f>
        <v>RED FIBR 1400</v>
      </c>
      <c r="P86" s="1" t="str">
        <f>IFERROR(__xludf.DUMMYFUNCTION("""COMPUTED_VALUE"""),"MMM018712")</f>
        <v>MMM018712</v>
      </c>
      <c r="Q86" s="1" t="str">
        <f>IFERROR(__xludf.DUMMYFUNCTION("""COMPUTED_VALUE"""),"PEREZ. RONELL")</f>
        <v>PEREZ. RONELL</v>
      </c>
      <c r="R86" s="1" t="str">
        <f>IFERROR(__xludf.DUMMYFUNCTION("""COMPUTED_VALUE"""),"GARCIA MICHAEL JETTS")</f>
        <v>GARCIA MICHAEL JETTS</v>
      </c>
      <c r="S86" s="1" t="str">
        <f>IFERROR(__xludf.DUMMYFUNCTION("""COMPUTED_VALUE"""),"ESPIRITU JULIE")</f>
        <v>ESPIRITU JULIE</v>
      </c>
      <c r="T86" s="1" t="str">
        <f>IFERROR(__xludf.DUMMYFUNCTION("""COMPUTED_VALUE"""),"SP6MONTHS")</f>
        <v>SP6MONTHS</v>
      </c>
      <c r="U86" s="1">
        <f>IFERROR(__xludf.DUMMYFUNCTION("""COMPUTED_VALUE"""),9648611034)</f>
        <v>9648611034</v>
      </c>
      <c r="V86" s="1"/>
      <c r="W86" s="1">
        <f>IFERROR(__xludf.DUMMYFUNCTION("""COMPUTED_VALUE"""),7105)</f>
        <v>7105</v>
      </c>
      <c r="X86" s="1" t="str">
        <f>IFERROR(__xludf.DUMMYFUNCTION("""COMPUTED_VALUE"""),"LAS VEGAS ST")</f>
        <v>LAS VEGAS ST</v>
      </c>
      <c r="Y86" s="1"/>
      <c r="Z86" s="1" t="str">
        <f>IFERROR(__xludf.DUMMYFUNCTION("""COMPUTED_VALUE"""),"AMAYA VII")</f>
        <v>AMAYA VII</v>
      </c>
      <c r="AA86" s="1" t="str">
        <f>IFERROR(__xludf.DUMMYFUNCTION("""COMPUTED_VALUE"""),"TANZA")</f>
        <v>TANZA</v>
      </c>
      <c r="AB86" s="1" t="str">
        <f>IFERROR(__xludf.DUMMYFUNCTION("""COMPUTED_VALUE"""),"CVT6LCP224NP1-6")</f>
        <v>CVT6LCP224NP1-6</v>
      </c>
      <c r="AC86" s="1" t="str">
        <f>IFERROR(__xludf.DUMMYFUNCTION("""COMPUTED_VALUE""")," 120.828721 / 14.388336")</f>
        <v> 120.828721 / 14.388336</v>
      </c>
    </row>
    <row r="87" customHeight="1" spans="1:29">
      <c r="A87" s="3">
        <f>IFERROR(__xludf.DUMMYFUNCTION("""COMPUTED_VALUE"""),46251)</f>
        <v>46251</v>
      </c>
      <c r="B87" s="1" t="str">
        <f>IFERROR(__xludf.DUMMYFUNCTION("""COMPUTED_VALUE"""),"LORENZO LACAR HERNANDEZ")</f>
        <v>LORENZO LACAR HERNANDEZ</v>
      </c>
      <c r="C87" s="1" t="str">
        <f>IFERROR(__xludf.DUMMYFUNCTION("""COMPUTED_VALUE"""),"RITM0306631")</f>
        <v>RITM0306631</v>
      </c>
      <c r="D87" s="1" t="str">
        <f>IFERROR(__xludf.DUMMYFUNCTION("""COMPUTED_VALUE"""),"CS1344706 / WO0907216")</f>
        <v>CS1344706 / WO0907216</v>
      </c>
      <c r="E87" s="1">
        <f>IFERROR(__xludf.DUMMYFUNCTION("""COMPUTED_VALUE"""),4515178440)</f>
        <v>4515178440</v>
      </c>
      <c r="F87" s="1" t="str">
        <f>IFERROR(__xludf.DUMMYFUNCTION("""COMPUTED_VALUE"""),"southcast59@gmail.com")</f>
        <v>southcast59@gmail.com</v>
      </c>
      <c r="G87" s="1" t="str">
        <f>IFERROR(__xludf.DUMMYFUNCTION("""COMPUTED_VALUE"""),"CLOSED")</f>
        <v>CLOSED</v>
      </c>
      <c r="H87" s="1"/>
      <c r="I87" s="1"/>
      <c r="J87" s="1" t="str">
        <f>IFERROR(__xludf.DUMMYFUNCTION("""COMPUTED_VALUE"""),"PAID VIA GCASH REF 100147938 AUG 18")</f>
        <v>PAID VIA GCASH REF 100147938 AUG 18</v>
      </c>
      <c r="K87" s="1" t="str">
        <f>IFERROR(__xludf.DUMMYFUNCTION("""COMPUTED_VALUE"""),"PAID")</f>
        <v>PAID</v>
      </c>
      <c r="L87" s="1" t="str">
        <f>IFERROR(__xludf.DUMMYFUNCTION("""COMPUTED_VALUE"""),"POSTED")</f>
        <v>POSTED</v>
      </c>
      <c r="M87" s="1" t="str">
        <f>IFERROR(__xludf.DUMMYFUNCTION("""COMPUTED_VALUE"""),"8/22/2026")</f>
        <v>8/22/2026</v>
      </c>
      <c r="N87" s="1" t="str">
        <f>IFERROR(__xludf.DUMMYFUNCTION("""COMPUTED_VALUE"""),"RED_RS_ONL_CVE_25")</f>
        <v>RED_RS_ONL_CVE_25</v>
      </c>
      <c r="O87" s="1" t="str">
        <f>IFERROR(__xludf.DUMMYFUNCTION("""COMPUTED_VALUE"""),"RED FIBR 1000")</f>
        <v>RED FIBR 1000</v>
      </c>
      <c r="P87" s="1" t="str">
        <f>IFERROR(__xludf.DUMMYFUNCTION("""COMPUTED_VALUE"""),"MMM018711")</f>
        <v>MMM018711</v>
      </c>
      <c r="Q87" s="1" t="str">
        <f>IFERROR(__xludf.DUMMYFUNCTION("""COMPUTED_VALUE"""),"ARMIJO, LOUEI JAY")</f>
        <v>ARMIJO, LOUEI JAY</v>
      </c>
      <c r="R87" s="1" t="str">
        <f>IFERROR(__xludf.DUMMYFUNCTION("""COMPUTED_VALUE"""),"GARCIA MICHAEL JETTS")</f>
        <v>GARCIA MICHAEL JETTS</v>
      </c>
      <c r="S87" s="1" t="str">
        <f>IFERROR(__xludf.DUMMYFUNCTION("""COMPUTED_VALUE"""),"ESPIRITU JULIE")</f>
        <v>ESPIRITU JULIE</v>
      </c>
      <c r="T87" s="1" t="str">
        <f>IFERROR(__xludf.DUMMYFUNCTION("""COMPUTED_VALUE"""),"SP6MONTHS")</f>
        <v>SP6MONTHS</v>
      </c>
      <c r="U87" s="1">
        <f>IFERROR(__xludf.DUMMYFUNCTION("""COMPUTED_VALUE"""),9756931044)</f>
        <v>9756931044</v>
      </c>
      <c r="V87" s="1"/>
      <c r="W87" s="1">
        <f>IFERROR(__xludf.DUMMYFUNCTION("""COMPUTED_VALUE"""),524)</f>
        <v>524</v>
      </c>
      <c r="X87" s="1" t="str">
        <f>IFERROR(__xludf.DUMMYFUNCTION("""COMPUTED_VALUE"""),"ARVISU ST")</f>
        <v>ARVISU ST</v>
      </c>
      <c r="Y87" s="1"/>
      <c r="Z87" s="1" t="str">
        <f>IFERROR(__xludf.DUMMYFUNCTION("""COMPUTED_VALUE"""),"BIWAS")</f>
        <v>BIWAS</v>
      </c>
      <c r="AA87" s="1" t="str">
        <f>IFERROR(__xludf.DUMMYFUNCTION("""COMPUTED_VALUE"""),"TANZA")</f>
        <v>TANZA</v>
      </c>
      <c r="AB87" s="1" t="str">
        <f>IFERROR(__xludf.DUMMYFUNCTION("""COMPUTED_VALUE"""),"CT6LCP211NP5/6 / CVT6LCP212NP1/2")</f>
        <v>CT6LCP211NP5/6 / CVT6LCP212NP1/2</v>
      </c>
      <c r="AC87" s="1" t="str">
        <f>IFERROR(__xludf.DUMMYFUNCTION("""COMPUTED_VALUE""")," 120.851472 / 14.402964")</f>
        <v> 120.851472 / 14.402964</v>
      </c>
    </row>
    <row r="88" customHeight="1" spans="1:29">
      <c r="A88" s="3">
        <f>IFERROR(__xludf.DUMMYFUNCTION("""COMPUTED_VALUE"""),46252)</f>
        <v>46252</v>
      </c>
      <c r="B88" s="1" t="str">
        <f>IFERROR(__xludf.DUMMYFUNCTION("""COMPUTED_VALUE"""),"JULIUS PERLAS CUSTODIO")</f>
        <v>JULIUS PERLAS CUSTODIO</v>
      </c>
      <c r="C88" s="1" t="str">
        <f>IFERROR(__xludf.DUMMYFUNCTION("""COMPUTED_VALUE"""),"RITM0306726")</f>
        <v>RITM0306726</v>
      </c>
      <c r="D88" s="1"/>
      <c r="E88" s="1"/>
      <c r="F88" s="1" t="str">
        <f>IFERROR(__xludf.DUMMYFUNCTION("""COMPUTED_VALUE"""),"custodiojuls@gmail.com")</f>
        <v>custodiojuls@gmail.com</v>
      </c>
      <c r="G88" s="1" t="str">
        <f>IFERROR(__xludf.DUMMYFUNCTION("""COMPUTED_VALUE"""),"APPROVED")</f>
        <v>APPROVED</v>
      </c>
      <c r="H88" s="1"/>
      <c r="I88" s="1" t="str">
        <f>IFERROR(__xludf.DUMMYFUNCTION("""COMPUTED_VALUE"""),"AS PER AGENT SUBS CANCEL ")</f>
        <v>AS PER AGENT SUBS CANCEL </v>
      </c>
      <c r="J88" s="1"/>
      <c r="K88" s="1"/>
      <c r="L88" s="1" t="str">
        <f>IFERROR(__xludf.DUMMYFUNCTION("""COMPUTED_VALUE"""),"CANCELLED - SUBS CANCEL REQUEST")</f>
        <v>CANCELLED - SUBS CANCEL REQUEST</v>
      </c>
      <c r="M88" s="1"/>
      <c r="N88" s="1" t="str">
        <f>IFERROR(__xludf.DUMMYFUNCTION("""COMPUTED_VALUE"""),"RED_RS_ONL_CVE_25")</f>
        <v>RED_RS_ONL_CVE_25</v>
      </c>
      <c r="O88" s="1" t="str">
        <f>IFERROR(__xludf.DUMMYFUNCTION("""COMPUTED_VALUE"""),"RED FIBR 1000")</f>
        <v>RED FIBR 1000</v>
      </c>
      <c r="P88" s="1" t="str">
        <f>IFERROR(__xludf.DUMMYFUNCTION("""COMPUTED_VALUE"""),"MMM018712")</f>
        <v>MMM018712</v>
      </c>
      <c r="Q88" s="1" t="str">
        <f>IFERROR(__xludf.DUMMYFUNCTION("""COMPUTED_VALUE"""),"LUPENA. KARL ANGELO")</f>
        <v>LUPENA. KARL ANGELO</v>
      </c>
      <c r="R88" s="1" t="str">
        <f>IFERROR(__xludf.DUMMYFUNCTION("""COMPUTED_VALUE"""),"GARCIA MICHAEL JETTS")</f>
        <v>GARCIA MICHAEL JETTS</v>
      </c>
      <c r="S88" s="1" t="str">
        <f>IFERROR(__xludf.DUMMYFUNCTION("""COMPUTED_VALUE"""),"ESPIRITU JULIE")</f>
        <v>ESPIRITU JULIE</v>
      </c>
      <c r="T88" s="1" t="str">
        <f>IFERROR(__xludf.DUMMYFUNCTION("""COMPUTED_VALUE"""),"SP6MONTHS")</f>
        <v>SP6MONTHS</v>
      </c>
      <c r="U88" s="1">
        <f>IFERROR(__xludf.DUMMYFUNCTION("""COMPUTED_VALUE"""),9941236972)</f>
        <v>9941236972</v>
      </c>
      <c r="V88" s="1"/>
      <c r="W88" s="1">
        <f>IFERROR(__xludf.DUMMYFUNCTION("""COMPUTED_VALUE"""),41)</f>
        <v>41</v>
      </c>
      <c r="X88" s="1" t="str">
        <f>IFERROR(__xludf.DUMMYFUNCTION("""COMPUTED_VALUE"""),"DR SOLIS ST")</f>
        <v>DR SOLIS ST</v>
      </c>
      <c r="Y88" s="1"/>
      <c r="Z88" s="1" t="str">
        <f>IFERROR(__xludf.DUMMYFUNCTION("""COMPUTED_VALUE"""),"JULUGAN III")</f>
        <v>JULUGAN III</v>
      </c>
      <c r="AA88" s="1" t="str">
        <f>IFERROR(__xludf.DUMMYFUNCTION("""COMPUTED_VALUE"""),"TANZA")</f>
        <v>TANZA</v>
      </c>
      <c r="AB88" s="1" t="str">
        <f>IFERROR(__xludf.DUMMYFUNCTION("""COMPUTED_VALUE"""),"CVT6LCP212NP5/6 CVT6LCP213NP1-6")</f>
        <v>CVT6LCP212NP5/6 CVT6LCP213NP1-6</v>
      </c>
      <c r="AC88" s="1" t="str">
        <f>IFERROR(__xludf.DUMMYFUNCTION("""COMPUTED_VALUE""")," 120.846198 / 14.404593")</f>
        <v> 120.846198 / 14.404593</v>
      </c>
    </row>
    <row r="89" customHeight="1" spans="1:29">
      <c r="A89" s="3">
        <f>IFERROR(__xludf.DUMMYFUNCTION("""COMPUTED_VALUE"""),46252)</f>
        <v>46252</v>
      </c>
      <c r="B89" s="1" t="str">
        <f>IFERROR(__xludf.DUMMYFUNCTION("""COMPUTED_VALUE"""),"FLORDELIZA OPONE PANGANIBAN")</f>
        <v>FLORDELIZA OPONE PANGANIBAN</v>
      </c>
      <c r="C89" s="1" t="str">
        <f>IFERROR(__xludf.DUMMYFUNCTION("""COMPUTED_VALUE"""),"RITM0306800")</f>
        <v>RITM0306800</v>
      </c>
      <c r="D89" s="1"/>
      <c r="E89" s="1"/>
      <c r="F89" s="1" t="str">
        <f>IFERROR(__xludf.DUMMYFUNCTION("""COMPUTED_VALUE"""),"florpanganiban52@gmail.com")</f>
        <v>florpanganiban52@gmail.com</v>
      </c>
      <c r="G89" s="1" t="str">
        <f>IFERROR(__xludf.DUMMYFUNCTION("""COMPUTED_VALUE"""),"APPROVED")</f>
        <v>APPROVED</v>
      </c>
      <c r="H89" s="1"/>
      <c r="I89" s="1" t="str">
        <f>IFERROR(__xludf.DUMMYFUNCTION("""COMPUTED_VALUE"""),"NO EMAIL RECEIVE FROM RED FIBER")</f>
        <v>NO EMAIL RECEIVE FROM RED FIBER</v>
      </c>
      <c r="J89" s="1"/>
      <c r="K89" s="1"/>
      <c r="L89" s="1" t="str">
        <f>IFERROR(__xludf.DUMMYFUNCTION("""COMPUTED_VALUE"""),"CANCEL RECREATE - FOR CHANGE EMAIL")</f>
        <v>CANCEL RECREATE - FOR CHANGE EMAIL</v>
      </c>
      <c r="M89" s="1"/>
      <c r="N89" s="1" t="str">
        <f>IFERROR(__xludf.DUMMYFUNCTION("""COMPUTED_VALUE"""),"RED_RS_ONL_CVE_25")</f>
        <v>RED_RS_ONL_CVE_25</v>
      </c>
      <c r="O89" s="1" t="str">
        <f>IFERROR(__xludf.DUMMYFUNCTION("""COMPUTED_VALUE"""),"RED FIBR 1000")</f>
        <v>RED FIBR 1000</v>
      </c>
      <c r="P89" s="1" t="str">
        <f>IFERROR(__xludf.DUMMYFUNCTION("""COMPUTED_VALUE"""),"MMM018711")</f>
        <v>MMM018711</v>
      </c>
      <c r="Q89" s="1" t="str">
        <f>IFERROR(__xludf.DUMMYFUNCTION("""COMPUTED_VALUE"""),"ARMIJO, LOUEI JAY")</f>
        <v>ARMIJO, LOUEI JAY</v>
      </c>
      <c r="R89" s="1" t="str">
        <f>IFERROR(__xludf.DUMMYFUNCTION("""COMPUTED_VALUE"""),"GARCIA MICHAEL JETTS")</f>
        <v>GARCIA MICHAEL JETTS</v>
      </c>
      <c r="S89" s="1" t="str">
        <f>IFERROR(__xludf.DUMMYFUNCTION("""COMPUTED_VALUE"""),"ESPIRITU JULIE")</f>
        <v>ESPIRITU JULIE</v>
      </c>
      <c r="T89" s="1" t="str">
        <f>IFERROR(__xludf.DUMMYFUNCTION("""COMPUTED_VALUE"""),"SP6MONTHS")</f>
        <v>SP6MONTHS</v>
      </c>
      <c r="U89" s="1">
        <f>IFERROR(__xludf.DUMMYFUNCTION("""COMPUTED_VALUE"""),9539188198)</f>
        <v>9539188198</v>
      </c>
      <c r="V89" s="1"/>
      <c r="W89" s="1">
        <f>IFERROR(__xludf.DUMMYFUNCTION("""COMPUTED_VALUE"""),24)</f>
        <v>24</v>
      </c>
      <c r="X89" s="1" t="str">
        <f>IFERROR(__xludf.DUMMYFUNCTION("""COMPUTED_VALUE"""),"BONIFACIO ST")</f>
        <v>BONIFACIO ST</v>
      </c>
      <c r="Y89" s="1"/>
      <c r="Z89" s="1" t="str">
        <f>IFERROR(__xludf.DUMMYFUNCTION("""COMPUTED_VALUE"""),"POBLACION VII (BARANGAY VII)")</f>
        <v>POBLACION VII (BARANGAY VII)</v>
      </c>
      <c r="AA89" s="1" t="str">
        <f>IFERROR(__xludf.DUMMYFUNCTION("""COMPUTED_VALUE"""),"MENDEZ")</f>
        <v>MENDEZ</v>
      </c>
      <c r="AB89" s="1" t="str">
        <f>IFERROR(__xludf.DUMMYFUNCTION("""COMPUTED_VALUE"""),"CVT2LCP59NP1-6 CVT2LCP60NP1")</f>
        <v>CVT2LCP59NP1-6 CVT2LCP60NP1</v>
      </c>
      <c r="AC89" s="1" t="str">
        <f>IFERROR(__xludf.DUMMYFUNCTION("""COMPUTED_VALUE"""),"120.903845 / 14.133270")</f>
        <v>120.903845 / 14.133270</v>
      </c>
    </row>
    <row r="90" customHeight="1" spans="1:29">
      <c r="A90" s="3">
        <f>IFERROR(__xludf.DUMMYFUNCTION("""COMPUTED_VALUE"""),46252)</f>
        <v>46252</v>
      </c>
      <c r="B90" s="1" t="str">
        <f>IFERROR(__xludf.DUMMYFUNCTION("""COMPUTED_VALUE"""),"ARMENIO JR ANDRADA TOPACIO")</f>
        <v>ARMENIO JR ANDRADA TOPACIO</v>
      </c>
      <c r="C90" s="1" t="str">
        <f>IFERROR(__xludf.DUMMYFUNCTION("""COMPUTED_VALUE"""),"RITM0306807")</f>
        <v>RITM0306807</v>
      </c>
      <c r="D90" s="1" t="str">
        <f>IFERROR(__xludf.DUMMYFUNCTION("""COMPUTED_VALUE"""),"CS1345173 / WO0907393")</f>
        <v>CS1345173 / WO0907393</v>
      </c>
      <c r="E90" s="1">
        <f>IFERROR(__xludf.DUMMYFUNCTION("""COMPUTED_VALUE"""),3615395457)</f>
        <v>3615395457</v>
      </c>
      <c r="F90" s="1" t="str">
        <f>IFERROR(__xludf.DUMMYFUNCTION("""COMPUTED_VALUE"""),"topacioarmenio@gmail.com")</f>
        <v>topacioarmenio@gmail.com</v>
      </c>
      <c r="G90" s="1" t="str">
        <f>IFERROR(__xludf.DUMMYFUNCTION("""COMPUTED_VALUE"""),"CLOSED")</f>
        <v>CLOSED</v>
      </c>
      <c r="H90" s="1"/>
      <c r="I90" s="1"/>
      <c r="J90" s="1" t="str">
        <f>IFERROR(__xludf.DUMMYFUNCTION("""COMPUTED_VALUE"""),"PAID VIA GCASH - AUG 19 - REF- 404538088")</f>
        <v>PAID VIA GCASH - AUG 19 - REF- 404538088</v>
      </c>
      <c r="K90" s="1" t="str">
        <f>IFERROR(__xludf.DUMMYFUNCTION("""COMPUTED_VALUE"""),"PAID")</f>
        <v>PAID</v>
      </c>
      <c r="L90" s="1" t="str">
        <f>IFERROR(__xludf.DUMMYFUNCTION("""COMPUTED_VALUE"""),"POSTED")</f>
        <v>POSTED</v>
      </c>
      <c r="M90" s="1" t="str">
        <f>IFERROR(__xludf.DUMMYFUNCTION("""COMPUTED_VALUE"""),"8/22/2026")</f>
        <v>8/22/2026</v>
      </c>
      <c r="N90" s="1" t="str">
        <f>IFERROR(__xludf.DUMMYFUNCTION("""COMPUTED_VALUE"""),"RED_RS_ONL_CVE_25")</f>
        <v>RED_RS_ONL_CVE_25</v>
      </c>
      <c r="O90" s="1" t="str">
        <f>IFERROR(__xludf.DUMMYFUNCTION("""COMPUTED_VALUE"""),"RED FIBR 1000")</f>
        <v>RED FIBR 1000</v>
      </c>
      <c r="P90" s="1" t="str">
        <f>IFERROR(__xludf.DUMMYFUNCTION("""COMPUTED_VALUE"""),"MMM018711")</f>
        <v>MMM018711</v>
      </c>
      <c r="Q90" s="1" t="str">
        <f>IFERROR(__xludf.DUMMYFUNCTION("""COMPUTED_VALUE"""),"DEL ROSARIO. MIGGY LENARD")</f>
        <v>DEL ROSARIO. MIGGY LENARD</v>
      </c>
      <c r="R90" s="1" t="str">
        <f>IFERROR(__xludf.DUMMYFUNCTION("""COMPUTED_VALUE"""),"GARCIA MICHAEL JETTS")</f>
        <v>GARCIA MICHAEL JETTS</v>
      </c>
      <c r="S90" s="1" t="str">
        <f>IFERROR(__xludf.DUMMYFUNCTION("""COMPUTED_VALUE"""),"ESPIRITU JULIE")</f>
        <v>ESPIRITU JULIE</v>
      </c>
      <c r="T90" s="1" t="str">
        <f>IFERROR(__xludf.DUMMYFUNCTION("""COMPUTED_VALUE"""),"SP6MONTHS")</f>
        <v>SP6MONTHS</v>
      </c>
      <c r="U90" s="1">
        <f>IFERROR(__xludf.DUMMYFUNCTION("""COMPUTED_VALUE"""),9564195521)</f>
        <v>9564195521</v>
      </c>
      <c r="V90" s="1"/>
      <c r="W90" s="1">
        <f>IFERROR(__xludf.DUMMYFUNCTION("""COMPUTED_VALUE"""),4888)</f>
        <v>4888</v>
      </c>
      <c r="X90" s="1" t="str">
        <f>IFERROR(__xludf.DUMMYFUNCTION("""COMPUTED_VALUE"""),"SAN LORENZO ST")</f>
        <v>SAN LORENZO ST</v>
      </c>
      <c r="Y90" s="1"/>
      <c r="Z90" s="1" t="str">
        <f>IFERROR(__xludf.DUMMYFUNCTION("""COMPUTED_VALUE"""),"SANTA MESA")</f>
        <v>SANTA MESA</v>
      </c>
      <c r="AA90" s="1" t="str">
        <f>IFERROR(__xludf.DUMMYFUNCTION("""COMPUTED_VALUE"""),"MANILA")</f>
        <v>MANILA</v>
      </c>
      <c r="AB90" s="1" t="str">
        <f>IFERROR(__xludf.DUMMYFUNCTION("""COMPUTED_VALUE"""),"MLALCP227NP2-6 MLALCP231NP1-6")</f>
        <v>MLALCP227NP2-6 MLALCP231NP1-6</v>
      </c>
      <c r="AC90" s="1" t="str">
        <f>IFERROR(__xludf.DUMMYFUNCTION("""COMPUTED_VALUE""")," 121.019891 / 14.601162")</f>
        <v> 121.019891 / 14.601162</v>
      </c>
    </row>
    <row r="91" customHeight="1" spans="1:29">
      <c r="A91" s="3">
        <f>IFERROR(__xludf.DUMMYFUNCTION("""COMPUTED_VALUE"""),46252)</f>
        <v>46252</v>
      </c>
      <c r="B91" s="1" t="str">
        <f>IFERROR(__xludf.DUMMYFUNCTION("""COMPUTED_VALUE"""),"FRANZ WILLIARD SANTOS BRANDARES")</f>
        <v>FRANZ WILLIARD SANTOS BRANDARES</v>
      </c>
      <c r="C91" s="1" t="str">
        <f>IFERROR(__xludf.DUMMYFUNCTION("""COMPUTED_VALUE"""),"RITM0306809")</f>
        <v>RITM0306809</v>
      </c>
      <c r="D91" s="1" t="str">
        <f>IFERROR(__xludf.DUMMYFUNCTION("""COMPUTED_VALUE"""),"CS1345143 / WO0907289")</f>
        <v>CS1345143 / WO0907289</v>
      </c>
      <c r="E91" s="1">
        <f>IFERROR(__xludf.DUMMYFUNCTION("""COMPUTED_VALUE"""),6189247684)</f>
        <v>6189247684</v>
      </c>
      <c r="F91" s="1" t="str">
        <f>IFERROR(__xludf.DUMMYFUNCTION("""COMPUTED_VALUE"""),"smilediariesstudio@gmail.com")</f>
        <v>smilediariesstudio@gmail.com</v>
      </c>
      <c r="G91" s="1" t="str">
        <f>IFERROR(__xludf.DUMMYFUNCTION("""COMPUTED_VALUE"""),"CLOSED")</f>
        <v>CLOSED</v>
      </c>
      <c r="H91" s="1"/>
      <c r="I91" s="1"/>
      <c r="J91" s="1" t="str">
        <f>IFERROR(__xludf.DUMMYFUNCTION("""COMPUTED_VALUE"""),"PAID VIA GCASH REF 895905910 AUG 18")</f>
        <v>PAID VIA GCASH REF 895905910 AUG 18</v>
      </c>
      <c r="K91" s="1" t="str">
        <f>IFERROR(__xludf.DUMMYFUNCTION("""COMPUTED_VALUE"""),"PAID")</f>
        <v>PAID</v>
      </c>
      <c r="L91" s="1" t="str">
        <f>IFERROR(__xludf.DUMMYFUNCTION("""COMPUTED_VALUE"""),"POSTED")</f>
        <v>POSTED</v>
      </c>
      <c r="M91" s="1" t="str">
        <f>IFERROR(__xludf.DUMMYFUNCTION("""COMPUTED_VALUE"""),"8/20/2026")</f>
        <v>8/20/2026</v>
      </c>
      <c r="N91" s="1" t="str">
        <f>IFERROR(__xludf.DUMMYFUNCTION("""COMPUTED_VALUE"""),"RED_RS_ONL_CVE_25")</f>
        <v>RED_RS_ONL_CVE_25</v>
      </c>
      <c r="O91" s="1" t="str">
        <f>IFERROR(__xludf.DUMMYFUNCTION("""COMPUTED_VALUE"""),"RED FIBR 1000")</f>
        <v>RED FIBR 1000</v>
      </c>
      <c r="P91" s="1" t="str">
        <f>IFERROR(__xludf.DUMMYFUNCTION("""COMPUTED_VALUE"""),"MMM018713")</f>
        <v>MMM018713</v>
      </c>
      <c r="Q91" s="1" t="str">
        <f>IFERROR(__xludf.DUMMYFUNCTION("""COMPUTED_VALUE"""),"PANCHO . JAMES ANDREW")</f>
        <v>PANCHO . JAMES ANDREW</v>
      </c>
      <c r="R91" s="1" t="str">
        <f>IFERROR(__xludf.DUMMYFUNCTION("""COMPUTED_VALUE"""),"NAVARRO JERIC")</f>
        <v>NAVARRO JERIC</v>
      </c>
      <c r="S91" s="1" t="str">
        <f>IFERROR(__xludf.DUMMYFUNCTION("""COMPUTED_VALUE"""),"ESPIRITU JULIE")</f>
        <v>ESPIRITU JULIE</v>
      </c>
      <c r="T91" s="1" t="str">
        <f>IFERROR(__xludf.DUMMYFUNCTION("""COMPUTED_VALUE"""),"SP6MONTHS")</f>
        <v>SP6MONTHS</v>
      </c>
      <c r="U91" s="1">
        <f>IFERROR(__xludf.DUMMYFUNCTION("""COMPUTED_VALUE"""),9919750400)</f>
        <v>9919750400</v>
      </c>
      <c r="V91" s="1"/>
      <c r="W91" s="1"/>
      <c r="X91" s="1" t="str">
        <f>IFERROR(__xludf.DUMMYFUNCTION("""COMPUTED_VALUE"""),"PAGPUPUNYAGI ST")</f>
        <v>PAGPUPUNYAGI ST</v>
      </c>
      <c r="Y91" s="1" t="str">
        <f>IFERROR(__xludf.DUMMYFUNCTION("""COMPUTED_VALUE"""),"PAGSIBOL 3A")</f>
        <v>PAGSIBOL 3A</v>
      </c>
      <c r="Z91" s="1" t="str">
        <f>IFERROR(__xludf.DUMMYFUNCTION("""COMPUTED_VALUE"""),"SABANG")</f>
        <v>SABANG</v>
      </c>
      <c r="AA91" s="1" t="str">
        <f>IFERROR(__xludf.DUMMYFUNCTION("""COMPUTED_VALUE"""),"NAIC")</f>
        <v>NAIC</v>
      </c>
      <c r="AB91" s="1" t="str">
        <f>IFERROR(__xludf.DUMMYFUNCTION("""COMPUTED_VALUE"""),"CVT6LCP69NP1-6")</f>
        <v>CVT6LCP69NP1-6</v>
      </c>
      <c r="AC91" s="1" t="str">
        <f>IFERROR(__xludf.DUMMYFUNCTION("""COMPUTED_VALUE""")," 120.81517053 / 14.316880821")</f>
        <v> 120.81517053 / 14.316880821</v>
      </c>
    </row>
    <row r="92" customHeight="1" spans="1:29">
      <c r="A92" s="3">
        <f>IFERROR(__xludf.DUMMYFUNCTION("""COMPUTED_VALUE"""),46253)</f>
        <v>46253</v>
      </c>
      <c r="B92" s="1" t="str">
        <f>IFERROR(__xludf.DUMMYFUNCTION("""COMPUTED_VALUE"""),"MARION LESTER BRAGAIS BIRATA")</f>
        <v>MARION LESTER BRAGAIS BIRATA</v>
      </c>
      <c r="C92" s="1" t="str">
        <f>IFERROR(__xludf.DUMMYFUNCTION("""COMPUTED_VALUE"""),"RITM0306846")</f>
        <v>RITM0306846</v>
      </c>
      <c r="D92" s="1" t="str">
        <f>IFERROR(__xludf.DUMMYFUNCTION("""COMPUTED_VALUE"""),"CS1345631 / WO0907829")</f>
        <v>CS1345631 / WO0907829</v>
      </c>
      <c r="E92" s="1">
        <f>IFERROR(__xludf.DUMMYFUNCTION("""COMPUTED_VALUE"""),2732917495)</f>
        <v>2732917495</v>
      </c>
      <c r="F92" s="1" t="str">
        <f>IFERROR(__xludf.DUMMYFUNCTION("""COMPUTED_VALUE"""),"marionlesterbirata@yahoo.com")</f>
        <v>marionlesterbirata@yahoo.com</v>
      </c>
      <c r="G92" s="1" t="str">
        <f>IFERROR(__xludf.DUMMYFUNCTION("""COMPUTED_VALUE"""),"CLOSED")</f>
        <v>CLOSED</v>
      </c>
      <c r="H92" s="1"/>
      <c r="I92" s="1"/>
      <c r="J92" s="1" t="str">
        <f>IFERROR(__xludf.DUMMYFUNCTION("""COMPUTED_VALUE"""),"PAID VIA GCASH REF 306180917 AUG 21")</f>
        <v>PAID VIA GCASH REF 306180917 AUG 21</v>
      </c>
      <c r="K92" s="1" t="str">
        <f>IFERROR(__xludf.DUMMYFUNCTION("""COMPUTED_VALUE"""),"PAID")</f>
        <v>PAID</v>
      </c>
      <c r="L92" s="1" t="str">
        <f>IFERROR(__xludf.DUMMYFUNCTION("""COMPUTED_VALUE"""),"POSTED")</f>
        <v>POSTED</v>
      </c>
      <c r="M92" s="1" t="str">
        <f>IFERROR(__xludf.DUMMYFUNCTION("""COMPUTED_VALUE"""),"8/22/2026")</f>
        <v>8/22/2026</v>
      </c>
      <c r="N92" s="1" t="str">
        <f>IFERROR(__xludf.DUMMYFUNCTION("""COMPUTED_VALUE"""),"RED_RS_ONL_CVE_25")</f>
        <v>RED_RS_ONL_CVE_25</v>
      </c>
      <c r="O92" s="1" t="str">
        <f>IFERROR(__xludf.DUMMYFUNCTION("""COMPUTED_VALUE"""),"RED FIBR 1000")</f>
        <v>RED FIBR 1000</v>
      </c>
      <c r="P92" s="1" t="str">
        <f>IFERROR(__xludf.DUMMYFUNCTION("""COMPUTED_VALUE"""),"MMM018713")</f>
        <v>MMM018713</v>
      </c>
      <c r="Q92" s="1" t="str">
        <f>IFERROR(__xludf.DUMMYFUNCTION("""COMPUTED_VALUE"""),"BONZA, LEE VINCENT")</f>
        <v>BONZA, LEE VINCENT</v>
      </c>
      <c r="R92" s="1" t="str">
        <f>IFERROR(__xludf.DUMMYFUNCTION("""COMPUTED_VALUE"""),"GARCIA MICHAEL JETTS")</f>
        <v>GARCIA MICHAEL JETTS</v>
      </c>
      <c r="S92" s="1" t="str">
        <f>IFERROR(__xludf.DUMMYFUNCTION("""COMPUTED_VALUE"""),"SALIOA JB")</f>
        <v>SALIOA JB</v>
      </c>
      <c r="T92" s="1" t="str">
        <f>IFERROR(__xludf.DUMMYFUNCTION("""COMPUTED_VALUE"""),"SP6MONTHS")</f>
        <v>SP6MONTHS</v>
      </c>
      <c r="U92" s="1">
        <f>IFERROR(__xludf.DUMMYFUNCTION("""COMPUTED_VALUE"""),9566133638)</f>
        <v>9566133638</v>
      </c>
      <c r="V92" s="1"/>
      <c r="W92" s="1"/>
      <c r="X92" s="1" t="str">
        <f>IFERROR(__xludf.DUMMYFUNCTION("""COMPUTED_VALUE"""),"PHASE A ST")</f>
        <v>PHASE A ST</v>
      </c>
      <c r="Y92" s="1" t="str">
        <f>IFERROR(__xludf.DUMMYFUNCTION("""COMPUTED_VALUE"""),"PEARL RESIDENCE")</f>
        <v>PEARL RESIDENCE</v>
      </c>
      <c r="Z92" s="1" t="str">
        <f>IFERROR(__xludf.DUMMYFUNCTION("""COMPUTED_VALUE"""),"CAPIPISA")</f>
        <v>CAPIPISA</v>
      </c>
      <c r="AA92" s="1" t="str">
        <f>IFERROR(__xludf.DUMMYFUNCTION("""COMPUTED_VALUE"""),"TANZA")</f>
        <v>TANZA</v>
      </c>
      <c r="AB92" s="1"/>
      <c r="AC92" s="1" t="str">
        <f>IFERROR(__xludf.DUMMYFUNCTION("""COMPUTED_VALUE"""),"120.795822 / 14.356454")</f>
        <v>120.795822 / 14.356454</v>
      </c>
    </row>
    <row r="93" customHeight="1" spans="1:29">
      <c r="A93" s="3">
        <f>IFERROR(__xludf.DUMMYFUNCTION("""COMPUTED_VALUE"""),46253)</f>
        <v>46253</v>
      </c>
      <c r="B93" s="1" t="str">
        <f>IFERROR(__xludf.DUMMYFUNCTION("""COMPUTED_VALUE"""),"GEMMA VALDEZ VILLANUEVA")</f>
        <v>GEMMA VALDEZ VILLANUEVA</v>
      </c>
      <c r="C93" s="1" t="str">
        <f>IFERROR(__xludf.DUMMYFUNCTION("""COMPUTED_VALUE"""),"RITM0306907")</f>
        <v>RITM0306907</v>
      </c>
      <c r="D93" s="1" t="str">
        <f>IFERROR(__xludf.DUMMYFUNCTION("""COMPUTED_VALUE"""),"CS1345575 / WO0907581")</f>
        <v>CS1345575 / WO0907581</v>
      </c>
      <c r="E93" s="1">
        <f>IFERROR(__xludf.DUMMYFUNCTION("""COMPUTED_VALUE"""),8957236532)</f>
        <v>8957236532</v>
      </c>
      <c r="F93" s="1" t="str">
        <f>IFERROR(__xludf.DUMMYFUNCTION("""COMPUTED_VALUE"""),"villanuevagemma1998@gmail.com")</f>
        <v>villanuevagemma1998@gmail.com</v>
      </c>
      <c r="G93" s="1" t="str">
        <f>IFERROR(__xludf.DUMMYFUNCTION("""COMPUTED_VALUE"""),"APPROVED")</f>
        <v>APPROVED</v>
      </c>
      <c r="H93" s="1" t="str">
        <f>IFERROR(__xludf.DUMMYFUNCTION("""COMPUTED_VALUE"""),"RESCHEDULE - TBD - PERMIT ISSUE ")</f>
        <v>RESCHEDULE - TBD - PERMIT ISSUE </v>
      </c>
      <c r="I93" s="1" t="str">
        <f>IFERROR(__xludf.DUMMYFUNCTION("""COMPUTED_VALUE"""),"QUALIFIED - 8/20")</f>
        <v>QUALIFIED - 8/20</v>
      </c>
      <c r="J93" s="1" t="str">
        <f>IFERROR(__xludf.DUMMYFUNCTION("""COMPUTED_VALUE"""),"PAID VIA GCASH REF 105769059 AUG 20")</f>
        <v>PAID VIA GCASH REF 105769059 AUG 20</v>
      </c>
      <c r="K93" s="1" t="str">
        <f>IFERROR(__xludf.DUMMYFUNCTION("""COMPUTED_VALUE"""),"PAID")</f>
        <v>PAID</v>
      </c>
      <c r="L93" s="1" t="str">
        <f>IFERROR(__xludf.DUMMYFUNCTION("""COMPUTED_VALUE"""),"PAID - FOR INSTALLATION")</f>
        <v>PAID - FOR INSTALLATION</v>
      </c>
      <c r="M93" s="1"/>
      <c r="N93" s="1" t="str">
        <f>IFERROR(__xludf.DUMMYFUNCTION("""COMPUTED_VALUE"""),"RED_RS_ONL_CVE_25")</f>
        <v>RED_RS_ONL_CVE_25</v>
      </c>
      <c r="O93" s="1" t="str">
        <f>IFERROR(__xludf.DUMMYFUNCTION("""COMPUTED_VALUE"""),"RED FIBR 1000")</f>
        <v>RED FIBR 1000</v>
      </c>
      <c r="P93" s="1" t="str">
        <f>IFERROR(__xludf.DUMMYFUNCTION("""COMPUTED_VALUE"""),"MMM018712")</f>
        <v>MMM018712</v>
      </c>
      <c r="Q93" s="1" t="str">
        <f>IFERROR(__xludf.DUMMYFUNCTION("""COMPUTED_VALUE"""),"LUPENA. KARL ANGELO")</f>
        <v>LUPENA. KARL ANGELO</v>
      </c>
      <c r="R93" s="1" t="str">
        <f>IFERROR(__xludf.DUMMYFUNCTION("""COMPUTED_VALUE"""),"GARCIA MICHAEL JETTS")</f>
        <v>GARCIA MICHAEL JETTS</v>
      </c>
      <c r="S93" s="1" t="str">
        <f>IFERROR(__xludf.DUMMYFUNCTION("""COMPUTED_VALUE"""),"SALIOA JB")</f>
        <v>SALIOA JB</v>
      </c>
      <c r="T93" s="1" t="str">
        <f>IFERROR(__xludf.DUMMYFUNCTION("""COMPUTED_VALUE"""),"SP6MONTHS")</f>
        <v>SP6MONTHS</v>
      </c>
      <c r="U93" s="1">
        <f>IFERROR(__xludf.DUMMYFUNCTION("""COMPUTED_VALUE"""),9557390616)</f>
        <v>9557390616</v>
      </c>
      <c r="V93" s="1">
        <f>IFERROR(__xludf.DUMMYFUNCTION("""COMPUTED_VALUE"""),9535493258)</f>
        <v>9535493258</v>
      </c>
      <c r="W93" s="1">
        <f>IFERROR(__xludf.DUMMYFUNCTION("""COMPUTED_VALUE"""),375)</f>
        <v>375</v>
      </c>
      <c r="X93" s="1" t="str">
        <f>IFERROR(__xludf.DUMMYFUNCTION("""COMPUTED_VALUE"""),"ROSAL ST")</f>
        <v>ROSAL ST</v>
      </c>
      <c r="Y93" s="1"/>
      <c r="Z93" s="1" t="str">
        <f>IFERROR(__xludf.DUMMYFUNCTION("""COMPUTED_VALUE"""),"SAN ANDRES (POB.)")</f>
        <v>SAN ANDRES (POB.)</v>
      </c>
      <c r="AA93" s="1" t="str">
        <f>IFERROR(__xludf.DUMMYFUNCTION("""COMPUTED_VALUE"""),"CAINTA")</f>
        <v>CAINTA</v>
      </c>
      <c r="AB93" s="1"/>
      <c r="AC93" s="1" t="str">
        <f>IFERROR(__xludf.DUMMYFUNCTION("""COMPUTED_VALUE"""),"121.104407 / 14.572466")</f>
        <v>121.104407 / 14.572466</v>
      </c>
    </row>
    <row r="94" customHeight="1" spans="1:29">
      <c r="A94" s="3">
        <f>IFERROR(__xludf.DUMMYFUNCTION("""COMPUTED_VALUE"""),46253)</f>
        <v>46253</v>
      </c>
      <c r="B94" s="1" t="str">
        <f>IFERROR(__xludf.DUMMYFUNCTION("""COMPUTED_VALUE"""),"TRISTIAN JAY HERNANDEZ MORALES")</f>
        <v>TRISTIAN JAY HERNANDEZ MORALES</v>
      </c>
      <c r="C94" s="1" t="str">
        <f>IFERROR(__xludf.DUMMYFUNCTION("""COMPUTED_VALUE"""),"RITM0306915")</f>
        <v>RITM0306915</v>
      </c>
      <c r="D94" s="1" t="str">
        <f>IFERROR(__xludf.DUMMYFUNCTION("""COMPUTED_VALUE"""),"CS1346103 / WO0907821")</f>
        <v>CS1346103 / WO0907821</v>
      </c>
      <c r="E94" s="1">
        <f>IFERROR(__xludf.DUMMYFUNCTION("""COMPUTED_VALUE"""),4764389188)</f>
        <v>4764389188</v>
      </c>
      <c r="F94" s="1" t="str">
        <f>IFERROR(__xludf.DUMMYFUNCTION("""COMPUTED_VALUE"""),"moralestj112790@gmail.com")</f>
        <v>moralestj112790@gmail.com</v>
      </c>
      <c r="G94" s="1" t="str">
        <f>IFERROR(__xludf.DUMMYFUNCTION("""COMPUTED_VALUE"""),"CLOSED")</f>
        <v>CLOSED</v>
      </c>
      <c r="H94" s="1"/>
      <c r="I94" s="1"/>
      <c r="J94" s="1" t="str">
        <f>IFERROR(__xludf.DUMMYFUNCTION("""COMPUTED_VALUE"""),"PAID VIA GCASH REF 306358696 AUG 21")</f>
        <v>PAID VIA GCASH REF 306358696 AUG 21</v>
      </c>
      <c r="K94" s="1" t="str">
        <f>IFERROR(__xludf.DUMMYFUNCTION("""COMPUTED_VALUE"""),"PAID")</f>
        <v>PAID</v>
      </c>
      <c r="L94" s="1" t="str">
        <f>IFERROR(__xludf.DUMMYFUNCTION("""COMPUTED_VALUE"""),"POSTED")</f>
        <v>POSTED</v>
      </c>
      <c r="M94" s="1" t="str">
        <f>IFERROR(__xludf.DUMMYFUNCTION("""COMPUTED_VALUE"""),"8/23/2026")</f>
        <v>8/23/2026</v>
      </c>
      <c r="N94" s="1" t="str">
        <f>IFERROR(__xludf.DUMMYFUNCTION("""COMPUTED_VALUE"""),"RED_RS_ONL_CVE_25")</f>
        <v>RED_RS_ONL_CVE_25</v>
      </c>
      <c r="O94" s="1" t="str">
        <f>IFERROR(__xludf.DUMMYFUNCTION("""COMPUTED_VALUE"""),"RED FIBR 1000")</f>
        <v>RED FIBR 1000</v>
      </c>
      <c r="P94" s="1" t="str">
        <f>IFERROR(__xludf.DUMMYFUNCTION("""COMPUTED_VALUE"""),"MMM018709")</f>
        <v>MMM018709</v>
      </c>
      <c r="Q94" s="1" t="str">
        <f>IFERROR(__xludf.DUMMYFUNCTION("""COMPUTED_VALUE"""),"KAWAUCHI, SHANE")</f>
        <v>KAWAUCHI, SHANE</v>
      </c>
      <c r="R94" s="1" t="str">
        <f>IFERROR(__xludf.DUMMYFUNCTION("""COMPUTED_VALUE"""),"GARCIA MICHAEL JETTS")</f>
        <v>GARCIA MICHAEL JETTS</v>
      </c>
      <c r="S94" s="1" t="str">
        <f>IFERROR(__xludf.DUMMYFUNCTION("""COMPUTED_VALUE"""),"SALIOA JB")</f>
        <v>SALIOA JB</v>
      </c>
      <c r="T94" s="1" t="str">
        <f>IFERROR(__xludf.DUMMYFUNCTION("""COMPUTED_VALUE"""),"SP6MONTHS")</f>
        <v>SP6MONTHS</v>
      </c>
      <c r="U94" s="1">
        <f>IFERROR(__xludf.DUMMYFUNCTION("""COMPUTED_VALUE"""),9648623001)</f>
        <v>9648623001</v>
      </c>
      <c r="V94" s="1"/>
      <c r="W94" s="1">
        <f>IFERROR(__xludf.DUMMYFUNCTION("""COMPUTED_VALUE"""),18)</f>
        <v>18</v>
      </c>
      <c r="X94" s="1" t="str">
        <f>IFERROR(__xludf.DUMMYFUNCTION("""COMPUTED_VALUE"""),"DEBORAH VILLE RD")</f>
        <v>DEBORAH VILLE RD</v>
      </c>
      <c r="Y94" s="1" t="str">
        <f>IFERROR(__xludf.DUMMYFUNCTION("""COMPUTED_VALUE"""),"DEBORAH VILLE")</f>
        <v>DEBORAH VILLE</v>
      </c>
      <c r="Z94" s="1" t="str">
        <f>IFERROR(__xludf.DUMMYFUNCTION("""COMPUTED_VALUE"""),"AMAYA I")</f>
        <v>AMAYA I</v>
      </c>
      <c r="AA94" s="1" t="str">
        <f>IFERROR(__xludf.DUMMYFUNCTION("""COMPUTED_VALUE"""),"TANZA")</f>
        <v>TANZA</v>
      </c>
      <c r="AB94" s="1"/>
      <c r="AC94" s="1" t="str">
        <f>IFERROR(__xludf.DUMMYFUNCTION("""COMPUTED_VALUE"""),"120.836677 / 14.381099")</f>
        <v>120.836677 / 14.381099</v>
      </c>
    </row>
    <row r="95" customHeight="1" spans="1:29">
      <c r="A95" s="3">
        <f>IFERROR(__xludf.DUMMYFUNCTION("""COMPUTED_VALUE"""),46254)</f>
        <v>46254</v>
      </c>
      <c r="B95" s="1" t="str">
        <f>IFERROR(__xludf.DUMMYFUNCTION("""COMPUTED_VALUE"""),"EUFROCINIA MAGTIBAY TUKODLANGIT")</f>
        <v>EUFROCINIA MAGTIBAY TUKODLANGIT</v>
      </c>
      <c r="C95" s="1" t="str">
        <f>IFERROR(__xludf.DUMMYFUNCTION("""COMPUTED_VALUE"""),"RITM0306994")</f>
        <v>RITM0306994</v>
      </c>
      <c r="D95" s="1" t="str">
        <f>IFERROR(__xludf.DUMMYFUNCTION("""COMPUTED_VALUE"""),"CS1345790 / WO0907634")</f>
        <v>CS1345790 / WO0907634</v>
      </c>
      <c r="E95" s="1">
        <f>IFERROR(__xludf.DUMMYFUNCTION("""COMPUTED_VALUE"""),9175462137)</f>
        <v>9175462137</v>
      </c>
      <c r="F95" s="1" t="str">
        <f>IFERROR(__xludf.DUMMYFUNCTION("""COMPUTED_VALUE"""),"moneykey3613@gmail.com")</f>
        <v>moneykey3613@gmail.com</v>
      </c>
      <c r="G95" s="1" t="str">
        <f>IFERROR(__xludf.DUMMYFUNCTION("""COMPUTED_VALUE"""),"CLOSED")</f>
        <v>CLOSED</v>
      </c>
      <c r="H95" s="1"/>
      <c r="I95" s="1"/>
      <c r="J95" s="1" t="str">
        <f>IFERROR(__xludf.DUMMYFUNCTION("""COMPUTED_VALUE"""),"PAID VIA GCASH REF 071982553 AUG 20")</f>
        <v>PAID VIA GCASH REF 071982553 AUG 20</v>
      </c>
      <c r="K95" s="1" t="str">
        <f>IFERROR(__xludf.DUMMYFUNCTION("""COMPUTED_VALUE"""),"PAID")</f>
        <v>PAID</v>
      </c>
      <c r="L95" s="1" t="str">
        <f>IFERROR(__xludf.DUMMYFUNCTION("""COMPUTED_VALUE"""),"POSTED")</f>
        <v>POSTED</v>
      </c>
      <c r="M95" s="1" t="str">
        <f>IFERROR(__xludf.DUMMYFUNCTION("""COMPUTED_VALUE"""),"2026")</f>
        <v>2026</v>
      </c>
      <c r="N95" s="1" t="str">
        <f>IFERROR(__xludf.DUMMYFUNCTION("""COMPUTED_VALUE"""),"RED_RS_ONL_CVE_25")</f>
        <v>RED_RS_ONL_CVE_25</v>
      </c>
      <c r="O95" s="1" t="str">
        <f>IFERROR(__xludf.DUMMYFUNCTION("""COMPUTED_VALUE"""),"RED FIBR 1400")</f>
        <v>RED FIBR 1400</v>
      </c>
      <c r="P95" s="1" t="str">
        <f>IFERROR(__xludf.DUMMYFUNCTION("""COMPUTED_VALUE"""),"MMM018712")</f>
        <v>MMM018712</v>
      </c>
      <c r="Q95" s="1" t="str">
        <f>IFERROR(__xludf.DUMMYFUNCTION("""COMPUTED_VALUE"""),"PEREZ. RONELL")</f>
        <v>PEREZ. RONELL</v>
      </c>
      <c r="R95" s="1" t="str">
        <f>IFERROR(__xludf.DUMMYFUNCTION("""COMPUTED_VALUE"""),"GARCIA MICHAEL JETTS")</f>
        <v>GARCIA MICHAEL JETTS</v>
      </c>
      <c r="S95" s="1" t="str">
        <f>IFERROR(__xludf.DUMMYFUNCTION("""COMPUTED_VALUE"""),"ESPIRITU JULIE")</f>
        <v>ESPIRITU JULIE</v>
      </c>
      <c r="T95" s="1" t="str">
        <f>IFERROR(__xludf.DUMMYFUNCTION("""COMPUTED_VALUE"""),"SP6MONTHS")</f>
        <v>SP6MONTHS</v>
      </c>
      <c r="U95" s="1">
        <f>IFERROR(__xludf.DUMMYFUNCTION("""COMPUTED_VALUE"""),9638856922)</f>
        <v>9638856922</v>
      </c>
      <c r="V95" s="1"/>
      <c r="W95" s="1">
        <f>IFERROR(__xludf.DUMMYFUNCTION("""COMPUTED_VALUE"""),128)</f>
        <v>128</v>
      </c>
      <c r="X95" s="1" t="str">
        <f>IFERROR(__xludf.DUMMYFUNCTION("""COMPUTED_VALUE"""),"GITNANG ITAAS ST")</f>
        <v>GITNANG ITAAS ST</v>
      </c>
      <c r="Y95" s="1"/>
      <c r="Z95" s="1" t="str">
        <f>IFERROR(__xludf.DUMMYFUNCTION("""COMPUTED_VALUE"""),"CAPIPISA")</f>
        <v>CAPIPISA</v>
      </c>
      <c r="AA95" s="1" t="str">
        <f>IFERROR(__xludf.DUMMYFUNCTION("""COMPUTED_VALUE"""),"TANZA")</f>
        <v>TANZA</v>
      </c>
      <c r="AB95" s="1" t="str">
        <f>IFERROR(__xludf.DUMMYFUNCTION("""COMPUTED_VALUE"""),"CVT6LCP235NP1-6")</f>
        <v>CVT6LCP235NP1-6</v>
      </c>
      <c r="AC95" s="1" t="str">
        <f>IFERROR(__xludf.DUMMYFUNCTION("""COMPUTED_VALUE""")," 120.792066 / 14.359715")</f>
        <v> 120.792066 / 14.359715</v>
      </c>
    </row>
    <row r="96" customHeight="1" spans="1:29">
      <c r="A96" s="3">
        <f>IFERROR(__xludf.DUMMYFUNCTION("""COMPUTED_VALUE"""),46254)</f>
        <v>46254</v>
      </c>
      <c r="B96" s="1" t="str">
        <f>IFERROR(__xludf.DUMMYFUNCTION("""COMPUTED_VALUE"""),"NERISSA MENDOZA BORDEOS")</f>
        <v>NERISSA MENDOZA BORDEOS</v>
      </c>
      <c r="C96" s="1" t="str">
        <f>IFERROR(__xludf.DUMMYFUNCTION("""COMPUTED_VALUE"""),"RITM0307026")</f>
        <v>RITM0307026</v>
      </c>
      <c r="D96" s="1"/>
      <c r="E96" s="1"/>
      <c r="F96" s="1" t="str">
        <f>IFERROR(__xludf.DUMMYFUNCTION("""COMPUTED_VALUE"""),"bordeosnerissa323@gmail.com")</f>
        <v>bordeosnerissa323@gmail.com</v>
      </c>
      <c r="G96" s="1" t="str">
        <f>IFERROR(__xludf.DUMMYFUNCTION("""COMPUTED_VALUE"""),"APPROVED")</f>
        <v>APPROVED</v>
      </c>
      <c r="H96" s="1"/>
      <c r="I96" s="1" t="str">
        <f>IFERROR(__xludf.DUMMYFUNCTION("""COMPUTED_VALUE"""),"CANCELLED - SUBS CANCEL REQUEST")</f>
        <v>CANCELLED - SUBS CANCEL REQUEST</v>
      </c>
      <c r="J96" s="1"/>
      <c r="K96" s="1"/>
      <c r="L96" s="1" t="str">
        <f>IFERROR(__xludf.DUMMYFUNCTION("""COMPUTED_VALUE"""),"CANCELLED - SUBS CANCEL REQUEST")</f>
        <v>CANCELLED - SUBS CANCEL REQUEST</v>
      </c>
      <c r="M96" s="1"/>
      <c r="N96" s="1" t="str">
        <f>IFERROR(__xludf.DUMMYFUNCTION("""COMPUTED_VALUE"""),"RED_RS_ONL_CVE_25")</f>
        <v>RED_RS_ONL_CVE_25</v>
      </c>
      <c r="O96" s="1" t="str">
        <f>IFERROR(__xludf.DUMMYFUNCTION("""COMPUTED_VALUE"""),"RED FIBR 1000")</f>
        <v>RED FIBR 1000</v>
      </c>
      <c r="P96" s="1" t="str">
        <f>IFERROR(__xludf.DUMMYFUNCTION("""COMPUTED_VALUE"""),"MMM018713")</f>
        <v>MMM018713</v>
      </c>
      <c r="Q96" s="1" t="str">
        <f>IFERROR(__xludf.DUMMYFUNCTION("""COMPUTED_VALUE"""),"LUCELLE, FRIAS - BATANGAS")</f>
        <v>LUCELLE, FRIAS - BATANGAS</v>
      </c>
      <c r="R96" s="1" t="str">
        <f>IFERROR(__xludf.DUMMYFUNCTION("""COMPUTED_VALUE"""),"CLARETE, GLIZIEL")</f>
        <v>CLARETE, GLIZIEL</v>
      </c>
      <c r="S96" s="1" t="str">
        <f>IFERROR(__xludf.DUMMYFUNCTION("""COMPUTED_VALUE"""),"ESPIRITU JULIE")</f>
        <v>ESPIRITU JULIE</v>
      </c>
      <c r="T96" s="1" t="str">
        <f>IFERROR(__xludf.DUMMYFUNCTION("""COMPUTED_VALUE"""),"SP6MONTHS")</f>
        <v>SP6MONTHS</v>
      </c>
      <c r="U96" s="1">
        <f>IFERROR(__xludf.DUMMYFUNCTION("""COMPUTED_VALUE"""),9957238619)</f>
        <v>9957238619</v>
      </c>
      <c r="V96" s="1"/>
      <c r="W96" s="1">
        <f>IFERROR(__xludf.DUMMYFUNCTION("""COMPUTED_VALUE"""),402)</f>
        <v>402</v>
      </c>
      <c r="X96" s="1" t="str">
        <f>IFERROR(__xludf.DUMMYFUNCTION("""COMPUTED_VALUE"""),"PUROK 3 ST")</f>
        <v>PUROK 3 ST</v>
      </c>
      <c r="Y96" s="1"/>
      <c r="Z96" s="1" t="str">
        <f>IFERROR(__xludf.DUMMYFUNCTION("""COMPUTED_VALUE"""),"SOROSORO IBABA")</f>
        <v>SOROSORO IBABA</v>
      </c>
      <c r="AA96" s="1" t="str">
        <f>IFERROR(__xludf.DUMMYFUNCTION("""COMPUTED_VALUE"""),"BATANGAS ")</f>
        <v>BATANGAS </v>
      </c>
      <c r="AB96" s="1" t="str">
        <f>IFERROR(__xludf.DUMMYFUNCTION("""COMPUTED_VALUE"""),"BCYLCP83NP3/4")</f>
        <v>BCYLCP83NP3/4</v>
      </c>
      <c r="AC96" s="1" t="str">
        <f>IFERROR(__xludf.DUMMYFUNCTION("""COMPUTED_VALUE""")," 121.089677 / 13.810667")</f>
        <v> 121.089677 / 13.810667</v>
      </c>
    </row>
    <row r="97" customHeight="1" spans="1:29">
      <c r="A97" s="3">
        <f>IFERROR(__xludf.DUMMYFUNCTION("""COMPUTED_VALUE"""),46254)</f>
        <v>46254</v>
      </c>
      <c r="B97" s="1" t="str">
        <f>IFERROR(__xludf.DUMMYFUNCTION("""COMPUTED_VALUE"""),"ILUMINADA BAGUI AMORADO")</f>
        <v>ILUMINADA BAGUI AMORADO</v>
      </c>
      <c r="C97" s="1" t="str">
        <f>IFERROR(__xludf.DUMMYFUNCTION("""COMPUTED_VALUE"""),"RITM0307047")</f>
        <v>RITM0307047</v>
      </c>
      <c r="D97" s="1" t="str">
        <f>IFERROR(__xludf.DUMMYFUNCTION("""COMPUTED_VALUE"""),"CS1345844 / WO0907663 ")</f>
        <v>CS1345844 / WO0907663 </v>
      </c>
      <c r="E97" s="1">
        <f>IFERROR(__xludf.DUMMYFUNCTION("""COMPUTED_VALUE"""),3569318515)</f>
        <v>3569318515</v>
      </c>
      <c r="F97" s="1" t="str">
        <f>IFERROR(__xludf.DUMMYFUNCTION("""COMPUTED_VALUE"""),"amoradokathleen134@gmail.com")</f>
        <v>amoradokathleen134@gmail.com</v>
      </c>
      <c r="G97" s="1" t="str">
        <f>IFERROR(__xludf.DUMMYFUNCTION("""COMPUTED_VALUE"""),"APPROVED")</f>
        <v>APPROVED</v>
      </c>
      <c r="H97" s="1" t="str">
        <f>IFERROR(__xludf.DUMMYFUNCTION("""COMPUTED_VALUE""")," RETURNED WORK ORDER - NOT INTERESTED")</f>
        <v> RETURNED WORK ORDER - NOT INTERESTED</v>
      </c>
      <c r="I97" s="1"/>
      <c r="J97" s="1" t="str">
        <f>IFERROR(__xludf.DUMMYFUNCTION("""COMPUTED_VALUE"""),"SWITCHER PROMO")</f>
        <v>SWITCHER PROMO</v>
      </c>
      <c r="K97" s="1"/>
      <c r="L97" s="1" t="str">
        <f>IFERROR(__xludf.DUMMYFUNCTION("""COMPUTED_VALUE"""),"RPR- SUBS CANCEL REQUEST")</f>
        <v>RPR- SUBS CANCEL REQUEST</v>
      </c>
      <c r="M97" s="1"/>
      <c r="N97" s="1" t="str">
        <f>IFERROR(__xludf.DUMMYFUNCTION("""COMPUTED_VALUE"""),"RED_RS_ONL_CVE_25")</f>
        <v>RED_RS_ONL_CVE_25</v>
      </c>
      <c r="O97" s="1" t="str">
        <f>IFERROR(__xludf.DUMMYFUNCTION("""COMPUTED_VALUE"""),"SWITCHER PLAN 1400")</f>
        <v>SWITCHER PLAN 1400</v>
      </c>
      <c r="P97" s="1" t="str">
        <f>IFERROR(__xludf.DUMMYFUNCTION("""COMPUTED_VALUE"""),"MMM018713")</f>
        <v>MMM018713</v>
      </c>
      <c r="Q97" s="1" t="str">
        <f>IFERROR(__xludf.DUMMYFUNCTION("""COMPUTED_VALUE"""),"FALLARNA, CLEAR - BATANGAS")</f>
        <v>FALLARNA, CLEAR - BATANGAS</v>
      </c>
      <c r="R97" s="1" t="str">
        <f>IFERROR(__xludf.DUMMYFUNCTION("""COMPUTED_VALUE"""),"CLARETE, GLIZIEL")</f>
        <v>CLARETE, GLIZIEL</v>
      </c>
      <c r="S97" s="1" t="str">
        <f>IFERROR(__xludf.DUMMYFUNCTION("""COMPUTED_VALUE"""),"ESPIRITU JULIE")</f>
        <v>ESPIRITU JULIE</v>
      </c>
      <c r="T97" s="1" t="str">
        <f>IFERROR(__xludf.DUMMYFUNCTION("""COMPUTED_VALUE"""),"SWITCHOFFER")</f>
        <v>SWITCHOFFER</v>
      </c>
      <c r="U97" s="1">
        <f>IFERROR(__xludf.DUMMYFUNCTION("""COMPUTED_VALUE"""),9952960290)</f>
        <v>9952960290</v>
      </c>
      <c r="V97" s="1"/>
      <c r="W97" s="1"/>
      <c r="X97" s="1" t="str">
        <f>IFERROR(__xludf.DUMMYFUNCTION("""COMPUTED_VALUE"""),"PUROK 2")</f>
        <v>PUROK 2</v>
      </c>
      <c r="Y97" s="1"/>
      <c r="Z97" s="1" t="str">
        <f>IFERROR(__xludf.DUMMYFUNCTION("""COMPUTED_VALUE"""),"SOROSORO IBABA")</f>
        <v>SOROSORO IBABA</v>
      </c>
      <c r="AA97" s="1" t="str">
        <f>IFERROR(__xludf.DUMMYFUNCTION("""COMPUTED_VALUE"""),"BATANGAS ")</f>
        <v>BATANGAS </v>
      </c>
      <c r="AB97" s="1" t="str">
        <f>IFERROR(__xludf.DUMMYFUNCTION("""COMPUTED_VALUE"""),"BCYLCP84NP5/6")</f>
        <v>BCYLCP84NP5/6</v>
      </c>
      <c r="AC97" s="1" t="str">
        <f>IFERROR(__xludf.DUMMYFUNCTION("""COMPUTED_VALUE""")," 121.089681 / 13.810920")</f>
        <v> 121.089681 / 13.810920</v>
      </c>
    </row>
    <row r="98" customHeight="1" spans="1:29">
      <c r="A98" s="3">
        <f>IFERROR(__xludf.DUMMYFUNCTION("""COMPUTED_VALUE"""),46254)</f>
        <v>46254</v>
      </c>
      <c r="B98" s="1" t="str">
        <f>IFERROR(__xludf.DUMMYFUNCTION("""COMPUTED_VALUE""")," PATERNO BUSTAMANTE BUCO JR ")</f>
        <v> PATERNO BUSTAMANTE BUCO JR </v>
      </c>
      <c r="C98" s="1" t="str">
        <f>IFERROR(__xludf.DUMMYFUNCTION("""COMPUTED_VALUE"""),"RITM0307054")</f>
        <v>RITM0307054</v>
      </c>
      <c r="D98" s="1" t="str">
        <f>IFERROR(__xludf.DUMMYFUNCTION("""COMPUTED_VALUE"""),"CS1346553 / WO0908040")</f>
        <v>CS1346553 / WO0908040</v>
      </c>
      <c r="E98" s="1">
        <f>IFERROR(__xludf.DUMMYFUNCTION("""COMPUTED_VALUE"""),3133944319)</f>
        <v>3133944319</v>
      </c>
      <c r="F98" s="1" t="str">
        <f>IFERROR(__xludf.DUMMYFUNCTION("""COMPUTED_VALUE"""),"paternobuco0823@gmail.com")</f>
        <v>paternobuco0823@gmail.com</v>
      </c>
      <c r="G98" s="1" t="str">
        <f>IFERROR(__xludf.DUMMYFUNCTION("""COMPUTED_VALUE"""),"CLOSED")</f>
        <v>CLOSED</v>
      </c>
      <c r="H98" s="1"/>
      <c r="I98" s="1" t="str">
        <f>IFERROR(__xludf.DUMMYFUNCTION("""COMPUTED_VALUE"""),"ASSIGNED 8/24")</f>
        <v>ASSIGNED 8/24</v>
      </c>
      <c r="J98" s="1" t="str">
        <f>IFERROR(__xludf.DUMMYFUNCTION("""COMPUTED_VALUE"""),"PAID VIA GCASH - AUG 22 - REF- 210782971")</f>
        <v>PAID VIA GCASH - AUG 22 - REF- 210782971</v>
      </c>
      <c r="K98" s="1" t="str">
        <f>IFERROR(__xludf.DUMMYFUNCTION("""COMPUTED_VALUE"""),"PAID")</f>
        <v>PAID</v>
      </c>
      <c r="L98" s="1" t="str">
        <f>IFERROR(__xludf.DUMMYFUNCTION("""COMPUTED_VALUE"""),"POSTED")</f>
        <v>POSTED</v>
      </c>
      <c r="M98" s="1" t="str">
        <f>IFERROR(__xludf.DUMMYFUNCTION("""COMPUTED_VALUE"""),"2026")</f>
        <v>2026</v>
      </c>
      <c r="N98" s="1" t="str">
        <f>IFERROR(__xludf.DUMMYFUNCTION("""COMPUTED_VALUE"""),"RED_RS_HH_CVE_25")</f>
        <v>RED_RS_HH_CVE_25</v>
      </c>
      <c r="O98" s="1" t="str">
        <f>IFERROR(__xludf.DUMMYFUNCTION("""COMPUTED_VALUE"""),"RED FIBR 1000")</f>
        <v>RED FIBR 1000</v>
      </c>
      <c r="P98" s="1" t="str">
        <f>IFERROR(__xludf.DUMMYFUNCTION("""COMPUTED_VALUE"""),"MMM018711")</f>
        <v>MMM018711</v>
      </c>
      <c r="Q98" s="1" t="str">
        <f>IFERROR(__xludf.DUMMYFUNCTION("""COMPUTED_VALUE"""),"GABAY MANUEL")</f>
        <v>GABAY MANUEL</v>
      </c>
      <c r="R98" s="1" t="str">
        <f>IFERROR(__xludf.DUMMYFUNCTION("""COMPUTED_VALUE"""),"NAVARRO JERIC")</f>
        <v>NAVARRO JERIC</v>
      </c>
      <c r="S98" s="1" t="str">
        <f>IFERROR(__xludf.DUMMYFUNCTION("""COMPUTED_VALUE"""),"ESPIRITU JULIE")</f>
        <v>ESPIRITU JULIE</v>
      </c>
      <c r="T98" s="1" t="str">
        <f>IFERROR(__xludf.DUMMYFUNCTION("""COMPUTED_VALUE"""),"SP6MONTHS")</f>
        <v>SP6MONTHS</v>
      </c>
      <c r="U98" s="1">
        <f>IFERROR(__xludf.DUMMYFUNCTION("""COMPUTED_VALUE"""),9204627840)</f>
        <v>9204627840</v>
      </c>
      <c r="V98" s="1">
        <f>IFERROR(__xludf.DUMMYFUNCTION("""COMPUTED_VALUE"""),9560034761)</f>
        <v>9560034761</v>
      </c>
      <c r="W98" s="1">
        <f>IFERROR(__xludf.DUMMYFUNCTION("""COMPUTED_VALUE"""),9086)</f>
        <v>9086</v>
      </c>
      <c r="X98" s="1" t="str">
        <f>IFERROR(__xludf.DUMMYFUNCTION("""COMPUTED_VALUE"""),"LUKSUHIN-SULSUGIN RD")</f>
        <v>LUKSUHIN-SULSUGIN RD</v>
      </c>
      <c r="Y98" s="1"/>
      <c r="Z98" s="1" t="str">
        <f>IFERROR(__xludf.DUMMYFUNCTION("""COMPUTED_VALUE"""),"LUKSUHIN IBABA")</f>
        <v>LUKSUHIN IBABA</v>
      </c>
      <c r="AA98" s="1" t="str">
        <f>IFERROR(__xludf.DUMMYFUNCTION("""COMPUTED_VALUE"""),"TAGAYTAY")</f>
        <v>TAGAYTAY</v>
      </c>
      <c r="AB98" s="1" t="str">
        <f>IFERROR(__xludf.DUMMYFUNCTION("""COMPUTED_VALUE"""),"CVT2LCP48NP3")</f>
        <v>CVT2LCP48NP3</v>
      </c>
      <c r="AC98" s="1" t="str">
        <f>IFERROR(__xludf.DUMMYFUNCTION("""COMPUTED_VALUE""")," 120.888165  / 14.095719")</f>
        <v> 120.888165  / 14.095719</v>
      </c>
    </row>
    <row r="99" customHeight="1" spans="1:29">
      <c r="A99" s="3">
        <f>IFERROR(__xludf.DUMMYFUNCTION("""COMPUTED_VALUE"""),46254)</f>
        <v>46254</v>
      </c>
      <c r="B99" s="1" t="str">
        <f>IFERROR(__xludf.DUMMYFUNCTION("""COMPUTED_VALUE"""),"ELLEN DIMAANO AMORADO")</f>
        <v>ELLEN DIMAANO AMORADO</v>
      </c>
      <c r="C99" s="1" t="str">
        <f>IFERROR(__xludf.DUMMYFUNCTION("""COMPUTED_VALUE"""),"RITM0307065")</f>
        <v>RITM0307065</v>
      </c>
      <c r="D99" s="1" t="str">
        <f>IFERROR(__xludf.DUMMYFUNCTION("""COMPUTED_VALUE"""),"CS1345889 / WO0907711")</f>
        <v>CS1345889 / WO0907711</v>
      </c>
      <c r="E99" s="1">
        <f>IFERROR(__xludf.DUMMYFUNCTION("""COMPUTED_VALUE"""),1481244652)</f>
        <v>1481244652</v>
      </c>
      <c r="F99" s="1" t="str">
        <f>IFERROR(__xludf.DUMMYFUNCTION("""COMPUTED_VALUE"""),"ellen.amorado.18@gmail.com")</f>
        <v>ellen.amorado.18@gmail.com</v>
      </c>
      <c r="G99" s="1" t="str">
        <f>IFERROR(__xludf.DUMMYFUNCTION("""COMPUTED_VALUE"""),"APPROVED")</f>
        <v>APPROVED</v>
      </c>
      <c r="H99" s="1" t="str">
        <f>IFERROR(__xludf.DUMMYFUNCTION("""COMPUTED_VALUE""")," RETURNED WORK ORDER - NOT INTERESTED")</f>
        <v> RETURNED WORK ORDER - NOT INTERESTED</v>
      </c>
      <c r="I99" s="1"/>
      <c r="J99" s="1" t="str">
        <f>IFERROR(__xludf.DUMMYFUNCTION("""COMPUTED_VALUE"""),"SWITCHER PROMO")</f>
        <v>SWITCHER PROMO</v>
      </c>
      <c r="K99" s="1"/>
      <c r="L99" s="1" t="str">
        <f>IFERROR(__xludf.DUMMYFUNCTION("""COMPUTED_VALUE"""),"RPR- SUBS CANCEL REQUEST")</f>
        <v>RPR- SUBS CANCEL REQUEST</v>
      </c>
      <c r="M99" s="1"/>
      <c r="N99" s="1" t="str">
        <f>IFERROR(__xludf.DUMMYFUNCTION("""COMPUTED_VALUE"""),"RED_RS_ONL_CVE_25")</f>
        <v>RED_RS_ONL_CVE_25</v>
      </c>
      <c r="O99" s="1" t="str">
        <f>IFERROR(__xludf.DUMMYFUNCTION("""COMPUTED_VALUE"""),"SWITCHER PLAN 900")</f>
        <v>SWITCHER PLAN 900</v>
      </c>
      <c r="P99" s="1" t="str">
        <f>IFERROR(__xludf.DUMMYFUNCTION("""COMPUTED_VALUE"""),"MMM018713")</f>
        <v>MMM018713</v>
      </c>
      <c r="Q99" s="1" t="str">
        <f>IFERROR(__xludf.DUMMYFUNCTION("""COMPUTED_VALUE"""),"FALLARNA, CLEAR - BATANGAS")</f>
        <v>FALLARNA, CLEAR - BATANGAS</v>
      </c>
      <c r="R99" s="1" t="str">
        <f>IFERROR(__xludf.DUMMYFUNCTION("""COMPUTED_VALUE"""),"CLARETE, GLIZIEL")</f>
        <v>CLARETE, GLIZIEL</v>
      </c>
      <c r="S99" s="1" t="str">
        <f>IFERROR(__xludf.DUMMYFUNCTION("""COMPUTED_VALUE"""),"ESPIRITU JULIE")</f>
        <v>ESPIRITU JULIE</v>
      </c>
      <c r="T99" s="1" t="str">
        <f>IFERROR(__xludf.DUMMYFUNCTION("""COMPUTED_VALUE"""),"SWITCHOFFER")</f>
        <v>SWITCHOFFER</v>
      </c>
      <c r="U99" s="1">
        <f>IFERROR(__xludf.DUMMYFUNCTION("""COMPUTED_VALUE"""),9686241705)</f>
        <v>9686241705</v>
      </c>
      <c r="V99" s="1"/>
      <c r="W99" s="1"/>
      <c r="X99" s="1" t="str">
        <f>IFERROR(__xludf.DUMMYFUNCTION("""COMPUTED_VALUE"""),"PUROK 3 ST")</f>
        <v>PUROK 3 ST</v>
      </c>
      <c r="Y99" s="1"/>
      <c r="Z99" s="1" t="str">
        <f>IFERROR(__xludf.DUMMYFUNCTION("""COMPUTED_VALUE"""),"SOROSORO IBABA")</f>
        <v>SOROSORO IBABA</v>
      </c>
      <c r="AA99" s="1" t="str">
        <f>IFERROR(__xludf.DUMMYFUNCTION("""COMPUTED_VALUE"""),"BATANGAS ")</f>
        <v>BATANGAS </v>
      </c>
      <c r="AB99" s="1" t="str">
        <f>IFERROR(__xludf.DUMMYFUNCTION("""COMPUTED_VALUE"""),"BCYLCP84NP5/6")</f>
        <v>BCYLCP84NP5/6</v>
      </c>
      <c r="AC99" s="1" t="str">
        <f>IFERROR(__xludf.DUMMYFUNCTION("""COMPUTED_VALUE""")," 121.089686 / 13.810776")</f>
        <v> 121.089686 / 13.810776</v>
      </c>
    </row>
    <row r="100" customHeight="1" spans="1:29">
      <c r="A100" s="3">
        <f>IFERROR(__xludf.DUMMYFUNCTION("""COMPUTED_VALUE"""),46254)</f>
        <v>46254</v>
      </c>
      <c r="B100" s="1" t="str">
        <f>IFERROR(__xludf.DUMMYFUNCTION("""COMPUTED_VALUE"""),"RAINIER LLOYD FELLO CERNERO")</f>
        <v>RAINIER LLOYD FELLO CERNERO</v>
      </c>
      <c r="C100" s="1" t="str">
        <f>IFERROR(__xludf.DUMMYFUNCTION("""COMPUTED_VALUE"""),"RITM0307075")</f>
        <v>RITM0307075</v>
      </c>
      <c r="D100" s="1" t="str">
        <f>IFERROR(__xludf.DUMMYFUNCTION("""COMPUTED_VALUE"""),"CS1346024 / WO0907836")</f>
        <v>CS1346024 / WO0907836</v>
      </c>
      <c r="E100" s="1">
        <f>IFERROR(__xludf.DUMMYFUNCTION("""COMPUTED_VALUE"""),4676623679)</f>
        <v>4676623679</v>
      </c>
      <c r="F100" s="1" t="str">
        <f>IFERROR(__xludf.DUMMYFUNCTION("""COMPUTED_VALUE"""),"cernerolloyd@gmail.com")</f>
        <v>cernerolloyd@gmail.com</v>
      </c>
      <c r="G100" s="1" t="str">
        <f>IFERROR(__xludf.DUMMYFUNCTION("""COMPUTED_VALUE"""),"CLOSED")</f>
        <v>CLOSED</v>
      </c>
      <c r="H100" s="1"/>
      <c r="I100" s="1"/>
      <c r="J100" s="1" t="str">
        <f>IFERROR(__xludf.DUMMYFUNCTION("""COMPUTED_VALUE"""),"PAID VIA GCASH - AUG 21 - REF - 649505810")</f>
        <v>PAID VIA GCASH - AUG 21 - REF - 649505810</v>
      </c>
      <c r="K100" s="1" t="str">
        <f>IFERROR(__xludf.DUMMYFUNCTION("""COMPUTED_VALUE"""),"PAID")</f>
        <v>PAID</v>
      </c>
      <c r="L100" s="1" t="str">
        <f>IFERROR(__xludf.DUMMYFUNCTION("""COMPUTED_VALUE"""),"POSTED")</f>
        <v>POSTED</v>
      </c>
      <c r="M100" s="1" t="str">
        <f>IFERROR(__xludf.DUMMYFUNCTION("""COMPUTED_VALUE"""),"8/22/2026")</f>
        <v>8/22/2026</v>
      </c>
      <c r="N100" s="1" t="str">
        <f>IFERROR(__xludf.DUMMYFUNCTION("""COMPUTED_VALUE"""),"RED_RS_HH_CVE_25")</f>
        <v>RED_RS_HH_CVE_25</v>
      </c>
      <c r="O100" s="1" t="str">
        <f>IFERROR(__xludf.DUMMYFUNCTION("""COMPUTED_VALUE"""),"RED FIBR 1000")</f>
        <v>RED FIBR 1000</v>
      </c>
      <c r="P100" s="1" t="str">
        <f>IFERROR(__xludf.DUMMYFUNCTION("""COMPUTED_VALUE"""),"MMM018711")</f>
        <v>MMM018711</v>
      </c>
      <c r="Q100" s="1" t="str">
        <f>IFERROR(__xludf.DUMMYFUNCTION("""COMPUTED_VALUE"""),"GABAY MANUEL")</f>
        <v>GABAY MANUEL</v>
      </c>
      <c r="R100" s="1" t="str">
        <f>IFERROR(__xludf.DUMMYFUNCTION("""COMPUTED_VALUE"""),"NAVARRO JERIC")</f>
        <v>NAVARRO JERIC</v>
      </c>
      <c r="S100" s="1" t="str">
        <f>IFERROR(__xludf.DUMMYFUNCTION("""COMPUTED_VALUE"""),"ESPIRITU JULIE")</f>
        <v>ESPIRITU JULIE</v>
      </c>
      <c r="T100" s="1" t="str">
        <f>IFERROR(__xludf.DUMMYFUNCTION("""COMPUTED_VALUE"""),"SP6MONTHS")</f>
        <v>SP6MONTHS</v>
      </c>
      <c r="U100" s="1">
        <f>IFERROR(__xludf.DUMMYFUNCTION("""COMPUTED_VALUE"""),9301959673)</f>
        <v>9301959673</v>
      </c>
      <c r="V100" s="1"/>
      <c r="W100" s="1">
        <f>IFERROR(__xludf.DUMMYFUNCTION("""COMPUTED_VALUE"""),6892)</f>
        <v>6892</v>
      </c>
      <c r="X100" s="1" t="str">
        <f>IFERROR(__xludf.DUMMYFUNCTION("""COMPUTED_VALUE"""),"PUROK 5")</f>
        <v>PUROK 5</v>
      </c>
      <c r="Y100" s="1"/>
      <c r="Z100" s="1" t="str">
        <f>IFERROR(__xludf.DUMMYFUNCTION("""COMPUTED_VALUE"""),"ULAT")</f>
        <v>ULAT</v>
      </c>
      <c r="AA100" s="1" t="str">
        <f>IFERROR(__xludf.DUMMYFUNCTION("""COMPUTED_VALUE"""),"SILANG")</f>
        <v>SILANG</v>
      </c>
      <c r="AB100" s="1" t="str">
        <f>IFERROR(__xludf.DUMMYFUNCTION("""COMPUTED_VALUE"""),"CVT2 LCP37 NP1/2/3")</f>
        <v>CVT2 LCP37 NP1/2/3</v>
      </c>
      <c r="AC100" s="1" t="str">
        <f>IFERROR(__xludf.DUMMYFUNCTION("""COMPUTED_VALUE""")," 120.988661 / 14.14649")</f>
        <v> 120.988661 / 14.14649</v>
      </c>
    </row>
    <row r="101" customHeight="1" spans="1:29">
      <c r="A101" s="3">
        <f>IFERROR(__xludf.DUMMYFUNCTION("""COMPUTED_VALUE"""),46254)</f>
        <v>46254</v>
      </c>
      <c r="B101" s="1" t="str">
        <f>IFERROR(__xludf.DUMMYFUNCTION("""COMPUTED_VALUE"""),"ALYSSA AMBAGAN RIVERA")</f>
        <v>ALYSSA AMBAGAN RIVERA</v>
      </c>
      <c r="C101" s="1" t="str">
        <f>IFERROR(__xludf.DUMMYFUNCTION("""COMPUTED_VALUE"""),"RITM0307078")</f>
        <v>RITM0307078</v>
      </c>
      <c r="D101" s="1"/>
      <c r="E101" s="1"/>
      <c r="F101" s="1" t="str">
        <f>IFERROR(__xludf.DUMMYFUNCTION("""COMPUTED_VALUE"""),"alyssarivera803@gmail.com")</f>
        <v>alyssarivera803@gmail.com</v>
      </c>
      <c r="G101" s="1" t="str">
        <f>IFERROR(__xludf.DUMMYFUNCTION("""COMPUTED_VALUE"""),"APPROVED")</f>
        <v>APPROVED</v>
      </c>
      <c r="H101" s="1"/>
      <c r="I101" s="1" t="str">
        <f>IFERROR(__xludf.DUMMYFUNCTION("""COMPUTED_VALUE"""),"As per subs hinihintay lang si father niya para makapag payment today 8/24")</f>
        <v>As per subs hinihintay lang si father niya para makapag payment today 8/24</v>
      </c>
      <c r="J101" s="1"/>
      <c r="K101" s="1"/>
      <c r="L101" s="1" t="str">
        <f>IFERROR(__xludf.DUMMYFUNCTION("""COMPUTED_VALUE"""),"CANCELLED - AGING")</f>
        <v>CANCELLED - AGING</v>
      </c>
      <c r="M101" s="1"/>
      <c r="N101" s="1" t="str">
        <f>IFERROR(__xludf.DUMMYFUNCTION("""COMPUTED_VALUE"""),"RED_RS_ONL_CVE_25")</f>
        <v>RED_RS_ONL_CVE_25</v>
      </c>
      <c r="O101" s="1" t="str">
        <f>IFERROR(__xludf.DUMMYFUNCTION("""COMPUTED_VALUE"""),"RED FIBR 1000")</f>
        <v>RED FIBR 1000</v>
      </c>
      <c r="P101" s="1" t="str">
        <f>IFERROR(__xludf.DUMMYFUNCTION("""COMPUTED_VALUE"""),"MMM018712")</f>
        <v>MMM018712</v>
      </c>
      <c r="Q101" s="1" t="str">
        <f>IFERROR(__xludf.DUMMYFUNCTION("""COMPUTED_VALUE"""),"LUPENA. KARL ANGELO")</f>
        <v>LUPENA. KARL ANGELO</v>
      </c>
      <c r="R101" s="1" t="str">
        <f>IFERROR(__xludf.DUMMYFUNCTION("""COMPUTED_VALUE"""),"GARCIA MICHAEL JETTS")</f>
        <v>GARCIA MICHAEL JETTS</v>
      </c>
      <c r="S101" s="1" t="str">
        <f>IFERROR(__xludf.DUMMYFUNCTION("""COMPUTED_VALUE"""),"ESPIRITU JULIE")</f>
        <v>ESPIRITU JULIE</v>
      </c>
      <c r="T101" s="1" t="str">
        <f>IFERROR(__xludf.DUMMYFUNCTION("""COMPUTED_VALUE"""),"SP6MONTHS")</f>
        <v>SP6MONTHS</v>
      </c>
      <c r="U101" s="1">
        <f>IFERROR(__xludf.DUMMYFUNCTION("""COMPUTED_VALUE"""),9121582903)</f>
        <v>9121582903</v>
      </c>
      <c r="V101" s="1"/>
      <c r="W101" s="1">
        <f>IFERROR(__xludf.DUMMYFUNCTION("""COMPUTED_VALUE"""),1021)</f>
        <v>1021</v>
      </c>
      <c r="X101" s="1" t="str">
        <f>IFERROR(__xludf.DUMMYFUNCTION("""COMPUTED_VALUE"""),"SAMPALUCAN ST")</f>
        <v>SAMPALUCAN ST</v>
      </c>
      <c r="Y101" s="1"/>
      <c r="Z101" s="1" t="str">
        <f>IFERROR(__xludf.DUMMYFUNCTION("""COMPUTED_VALUE"""),"BIWAS")</f>
        <v>BIWAS</v>
      </c>
      <c r="AA101" s="1" t="str">
        <f>IFERROR(__xludf.DUMMYFUNCTION("""COMPUTED_VALUE"""),"TANZA")</f>
        <v>TANZA</v>
      </c>
      <c r="AB101" s="1" t="str">
        <f>IFERROR(__xludf.DUMMYFUNCTION("""COMPUTED_VALUE"""),"CVT6LCP207NP3/4 CVT6LCP209NP1/2")</f>
        <v>CVT6LCP207NP3/4 CVT6LCP209NP1/2</v>
      </c>
      <c r="AC101" s="1" t="str">
        <f>IFERROR(__xludf.DUMMYFUNCTION("""COMPUTED_VALUE""")," 120.855453 / 14.400268")</f>
        <v> 120.855453 / 14.400268</v>
      </c>
    </row>
    <row r="102" customHeight="1" spans="1:29">
      <c r="A102" s="3">
        <f>IFERROR(__xludf.DUMMYFUNCTION("""COMPUTED_VALUE"""),46254)</f>
        <v>46254</v>
      </c>
      <c r="B102" s="1" t="str">
        <f>IFERROR(__xludf.DUMMYFUNCTION("""COMPUTED_VALUE"""),"BENITO CHAVEZ CARANDANG")</f>
        <v>BENITO CHAVEZ CARANDANG</v>
      </c>
      <c r="C102" s="1" t="str">
        <f>IFERROR(__xludf.DUMMYFUNCTION("""COMPUTED_VALUE"""),"RITM0307086")</f>
        <v>RITM0307086</v>
      </c>
      <c r="D102" s="1" t="str">
        <f>IFERROR(__xludf.DUMMYFUNCTION("""COMPUTED_VALUE"""),"CS1345935 / WO0907789")</f>
        <v>CS1345935 / WO0907789</v>
      </c>
      <c r="E102" s="1">
        <f>IFERROR(__xludf.DUMMYFUNCTION("""COMPUTED_VALUE"""),6568496174)</f>
        <v>6568496174</v>
      </c>
      <c r="F102" s="1" t="str">
        <f>IFERROR(__xludf.DUMMYFUNCTION("""COMPUTED_VALUE"""),"shawsheycarandang@gmail.com")</f>
        <v>shawsheycarandang@gmail.com</v>
      </c>
      <c r="G102" s="1" t="str">
        <f>IFERROR(__xludf.DUMMYFUNCTION("""COMPUTED_VALUE"""),"CLOSED")</f>
        <v>CLOSED</v>
      </c>
      <c r="H102" s="1"/>
      <c r="I102" s="1" t="str">
        <f>IFERROR(__xludf.DUMMYFUNCTION("""COMPUTED_VALUE"""),"ASSIGNED 8/24")</f>
        <v>ASSIGNED 8/24</v>
      </c>
      <c r="J102" s="1" t="str">
        <f>IFERROR(__xludf.DUMMYFUNCTION("""COMPUTED_VALUE"""),"PAID VIA GCASH REF 508643148 AUG 21")</f>
        <v>PAID VIA GCASH REF 508643148 AUG 21</v>
      </c>
      <c r="K102" s="1" t="str">
        <f>IFERROR(__xludf.DUMMYFUNCTION("""COMPUTED_VALUE"""),"PAID")</f>
        <v>PAID</v>
      </c>
      <c r="L102" s="1" t="str">
        <f>IFERROR(__xludf.DUMMYFUNCTION("""COMPUTED_VALUE"""),"POSTED")</f>
        <v>POSTED</v>
      </c>
      <c r="M102" s="1" t="str">
        <f>IFERROR(__xludf.DUMMYFUNCTION("""COMPUTED_VALUE"""),"8/24/2026")</f>
        <v>8/24/2026</v>
      </c>
      <c r="N102" s="1" t="str">
        <f>IFERROR(__xludf.DUMMYFUNCTION("""COMPUTED_VALUE"""),"RED_RS_ONL_CVE_25")</f>
        <v>RED_RS_ONL_CVE_25</v>
      </c>
      <c r="O102" s="1" t="str">
        <f>IFERROR(__xludf.DUMMYFUNCTION("""COMPUTED_VALUE"""),"RED FIBR 1000")</f>
        <v>RED FIBR 1000</v>
      </c>
      <c r="P102" s="1" t="str">
        <f>IFERROR(__xludf.DUMMYFUNCTION("""COMPUTED_VALUE"""),"MMM018709")</f>
        <v>MMM018709</v>
      </c>
      <c r="Q102" s="1" t="str">
        <f>IFERROR(__xludf.DUMMYFUNCTION("""COMPUTED_VALUE"""),"KAWAUCHI, SHANE")</f>
        <v>KAWAUCHI, SHANE</v>
      </c>
      <c r="R102" s="1" t="str">
        <f>IFERROR(__xludf.DUMMYFUNCTION("""COMPUTED_VALUE"""),"GARCIA MICHAEL JETTS")</f>
        <v>GARCIA MICHAEL JETTS</v>
      </c>
      <c r="S102" s="1" t="str">
        <f>IFERROR(__xludf.DUMMYFUNCTION("""COMPUTED_VALUE"""),"ESPIRITU JULIE")</f>
        <v>ESPIRITU JULIE</v>
      </c>
      <c r="T102" s="1" t="str">
        <f>IFERROR(__xludf.DUMMYFUNCTION("""COMPUTED_VALUE"""),"SP6MONTHS")</f>
        <v>SP6MONTHS</v>
      </c>
      <c r="U102" s="1">
        <f>IFERROR(__xludf.DUMMYFUNCTION("""COMPUTED_VALUE"""),9277939004)</f>
        <v>9277939004</v>
      </c>
      <c r="V102" s="1"/>
      <c r="W102" s="1">
        <f>IFERROR(__xludf.DUMMYFUNCTION("""COMPUTED_VALUE"""),17)</f>
        <v>17</v>
      </c>
      <c r="X102" s="1" t="str">
        <f>IFERROR(__xludf.DUMMYFUNCTION("""COMPUTED_VALUE"""),"CAMPOS ST")</f>
        <v>CAMPOS ST</v>
      </c>
      <c r="Y102" s="1"/>
      <c r="Z102" s="1" t="str">
        <f>IFERROR(__xludf.DUMMYFUNCTION("""COMPUTED_VALUE"""),"JULUGAN V")</f>
        <v>JULUGAN V</v>
      </c>
      <c r="AA102" s="1" t="str">
        <f>IFERROR(__xludf.DUMMYFUNCTION("""COMPUTED_VALUE"""),"TANZA")</f>
        <v>TANZA</v>
      </c>
      <c r="AB102" s="1" t="str">
        <f>IFERROR(__xludf.DUMMYFUNCTION("""COMPUTED_VALUE"""),"CVT6LCP214NP1/2")</f>
        <v>CVT6LCP214NP1/2</v>
      </c>
      <c r="AC102" s="1" t="str">
        <f>IFERROR(__xludf.DUMMYFUNCTION("""COMPUTED_VALUE""")," 120.844384 / 14.403111")</f>
        <v> 120.844384 / 14.403111</v>
      </c>
    </row>
    <row r="103" customHeight="1" spans="1:29">
      <c r="A103" s="3">
        <f>IFERROR(__xludf.DUMMYFUNCTION("""COMPUTED_VALUE"""),46254)</f>
        <v>46254</v>
      </c>
      <c r="B103" s="1" t="str">
        <f>IFERROR(__xludf.DUMMYFUNCTION("""COMPUTED_VALUE"""),"BERDIN CAPICINIO ABRASALDO")</f>
        <v>BERDIN CAPICINIO ABRASALDO</v>
      </c>
      <c r="C103" s="1" t="str">
        <f>IFERROR(__xludf.DUMMYFUNCTION("""COMPUTED_VALUE"""),"RITM0307105")</f>
        <v>RITM0307105</v>
      </c>
      <c r="D103" s="1" t="str">
        <f>IFERROR(__xludf.DUMMYFUNCTION("""COMPUTED_VALUE"""),"CS1346030 / WO0907905")</f>
        <v>CS1346030 / WO0907905</v>
      </c>
      <c r="E103" s="1">
        <f>IFERROR(__xludf.DUMMYFUNCTION("""COMPUTED_VALUE"""),1955985485)</f>
        <v>1955985485</v>
      </c>
      <c r="F103" s="1" t="str">
        <f>IFERROR(__xludf.DUMMYFUNCTION("""COMPUTED_VALUE"""),"abrasaldo000@gmail.com")</f>
        <v>abrasaldo000@gmail.com</v>
      </c>
      <c r="G103" s="1" t="str">
        <f>IFERROR(__xludf.DUMMYFUNCTION("""COMPUTED_VALUE"""),"CLOSED")</f>
        <v>CLOSED</v>
      </c>
      <c r="H103" s="1"/>
      <c r="I103" s="1"/>
      <c r="J103" s="1" t="str">
        <f>IFERROR(__xludf.DUMMYFUNCTION("""COMPUTED_VALUE"""),"PAID VIA GCASH REF 910687246 AUG 21")</f>
        <v>PAID VIA GCASH REF 910687246 AUG 21</v>
      </c>
      <c r="K103" s="1" t="str">
        <f>IFERROR(__xludf.DUMMYFUNCTION("""COMPUTED_VALUE"""),"PAID")</f>
        <v>PAID</v>
      </c>
      <c r="L103" s="1" t="str">
        <f>IFERROR(__xludf.DUMMYFUNCTION("""COMPUTED_VALUE"""),"POSTED")</f>
        <v>POSTED</v>
      </c>
      <c r="M103" s="1" t="str">
        <f>IFERROR(__xludf.DUMMYFUNCTION("""COMPUTED_VALUE"""),"8/24/2026")</f>
        <v>8/24/2026</v>
      </c>
      <c r="N103" s="1" t="str">
        <f>IFERROR(__xludf.DUMMYFUNCTION("""COMPUTED_VALUE"""),"RED_RS_ONL_CVE_25")</f>
        <v>RED_RS_ONL_CVE_25</v>
      </c>
      <c r="O103" s="1" t="str">
        <f>IFERROR(__xludf.DUMMYFUNCTION("""COMPUTED_VALUE"""),"RED FIBR 1000")</f>
        <v>RED FIBR 1000</v>
      </c>
      <c r="P103" s="1" t="str">
        <f>IFERROR(__xludf.DUMMYFUNCTION("""COMPUTED_VALUE"""),"MMM018713")</f>
        <v>MMM018713</v>
      </c>
      <c r="Q103" s="1" t="str">
        <f>IFERROR(__xludf.DUMMYFUNCTION("""COMPUTED_VALUE"""),"MALIWAT MARK")</f>
        <v>MALIWAT MARK</v>
      </c>
      <c r="R103" s="1" t="str">
        <f>IFERROR(__xludf.DUMMYFUNCTION("""COMPUTED_VALUE"""),"NAVARRO JERIC")</f>
        <v>NAVARRO JERIC</v>
      </c>
      <c r="S103" s="1" t="str">
        <f>IFERROR(__xludf.DUMMYFUNCTION("""COMPUTED_VALUE"""),"ESPIRITU JULIE")</f>
        <v>ESPIRITU JULIE</v>
      </c>
      <c r="T103" s="1" t="str">
        <f>IFERROR(__xludf.DUMMYFUNCTION("""COMPUTED_VALUE"""),"SP6MONTHS")</f>
        <v>SP6MONTHS</v>
      </c>
      <c r="U103" s="1">
        <f>IFERROR(__xludf.DUMMYFUNCTION("""COMPUTED_VALUE"""),9353395826)</f>
        <v>9353395826</v>
      </c>
      <c r="V103" s="1">
        <f>IFERROR(__xludf.DUMMYFUNCTION("""COMPUTED_VALUE"""),9702879945)</f>
        <v>9702879945</v>
      </c>
      <c r="W103" s="1"/>
      <c r="X103" s="1" t="str">
        <f>IFERROR(__xludf.DUMMYFUNCTION("""COMPUTED_VALUE"""),"PHASE 1")</f>
        <v>PHASE 1</v>
      </c>
      <c r="Y103" s="1" t="str">
        <f>IFERROR(__xludf.DUMMYFUNCTION("""COMPUTED_VALUE"""),"ABOT KAMAY")</f>
        <v>ABOT KAMAY</v>
      </c>
      <c r="Z103" s="1" t="str">
        <f>IFERROR(__xludf.DUMMYFUNCTION("""COMPUTED_VALUE"""),"LANGKAAN I")</f>
        <v>LANGKAAN I</v>
      </c>
      <c r="AA103" s="1" t="str">
        <f>IFERROR(__xludf.DUMMYFUNCTION("""COMPUTED_VALUE"""),"DASMARINAS")</f>
        <v>DASMARINAS</v>
      </c>
      <c r="AB103" s="1" t="str">
        <f>IFERROR(__xludf.DUMMYFUNCTION("""COMPUTED_VALUE"""),"CVT3LCP13NP8")</f>
        <v>CVT3LCP13NP8</v>
      </c>
      <c r="AC103" s="1" t="str">
        <f>IFERROR(__xludf.DUMMYFUNCTION("""COMPUTED_VALUE""")," 120.94823518016628 / 14.272364754116575")</f>
        <v> 120.94823518016628 / 14.272364754116575</v>
      </c>
    </row>
    <row r="104" customHeight="1" spans="1:29">
      <c r="A104" s="3">
        <f>IFERROR(__xludf.DUMMYFUNCTION("""COMPUTED_VALUE"""),46255)</f>
        <v>46255</v>
      </c>
      <c r="B104" s="1" t="str">
        <f>IFERROR(__xludf.DUMMYFUNCTION("""COMPUTED_VALUE"""),"MARISHEL ALBA DELOS REYES")</f>
        <v>MARISHEL ALBA DELOS REYES</v>
      </c>
      <c r="C104" s="1" t="str">
        <f>IFERROR(__xludf.DUMMYFUNCTION("""COMPUTED_VALUE"""),"RITM0307153")</f>
        <v>RITM0307153</v>
      </c>
      <c r="D104" s="1" t="str">
        <f>IFERROR(__xludf.DUMMYFUNCTION("""COMPUTED_VALUE"""),"CS1346151 / WO0907803")</f>
        <v>CS1346151 / WO0907803</v>
      </c>
      <c r="E104" s="1">
        <f>IFERROR(__xludf.DUMMYFUNCTION("""COMPUTED_VALUE"""),1437599419)</f>
        <v>1437599419</v>
      </c>
      <c r="F104" s="1" t="str">
        <f>IFERROR(__xludf.DUMMYFUNCTION("""COMPUTED_VALUE"""),"shllmrdlsrys@gmail.com")</f>
        <v>shllmrdlsrys@gmail.com</v>
      </c>
      <c r="G104" s="1" t="str">
        <f>IFERROR(__xludf.DUMMYFUNCTION("""COMPUTED_VALUE"""),"CLOSED")</f>
        <v>CLOSED</v>
      </c>
      <c r="H104" s="1"/>
      <c r="I104" s="1"/>
      <c r="J104" s="1" t="str">
        <f>IFERROR(__xludf.DUMMYFUNCTION("""COMPUTED_VALUE"""),"PAID VIA GCASH REF 509077652 AUG 21")</f>
        <v>PAID VIA GCASH REF 509077652 AUG 21</v>
      </c>
      <c r="K104" s="1" t="str">
        <f>IFERROR(__xludf.DUMMYFUNCTION("""COMPUTED_VALUE"""),"PAID")</f>
        <v>PAID</v>
      </c>
      <c r="L104" s="1" t="str">
        <f>IFERROR(__xludf.DUMMYFUNCTION("""COMPUTED_VALUE"""),"POSTED")</f>
        <v>POSTED</v>
      </c>
      <c r="M104" s="1" t="str">
        <f>IFERROR(__xludf.DUMMYFUNCTION("""COMPUTED_VALUE"""),"8/23/2026")</f>
        <v>8/23/2026</v>
      </c>
      <c r="N104" s="1" t="str">
        <f>IFERROR(__xludf.DUMMYFUNCTION("""COMPUTED_VALUE"""),"RED_RS_ONL_CVE_25")</f>
        <v>RED_RS_ONL_CVE_25</v>
      </c>
      <c r="O104" s="1" t="str">
        <f>IFERROR(__xludf.DUMMYFUNCTION("""COMPUTED_VALUE"""),"RED FIBR 1000")</f>
        <v>RED FIBR 1000</v>
      </c>
      <c r="P104" s="1" t="str">
        <f>IFERROR(__xludf.DUMMYFUNCTION("""COMPUTED_VALUE"""),"MMM018713")</f>
        <v>MMM018713</v>
      </c>
      <c r="Q104" s="1" t="str">
        <f>IFERROR(__xludf.DUMMYFUNCTION("""COMPUTED_VALUE"""),"FALLARNA, CLEAR - BATANGAS")</f>
        <v>FALLARNA, CLEAR - BATANGAS</v>
      </c>
      <c r="R104" s="1" t="str">
        <f>IFERROR(__xludf.DUMMYFUNCTION("""COMPUTED_VALUE"""),"CLARETE, GLIZIEL")</f>
        <v>CLARETE, GLIZIEL</v>
      </c>
      <c r="S104" s="1" t="str">
        <f>IFERROR(__xludf.DUMMYFUNCTION("""COMPUTED_VALUE"""),"ESPIRITU JULIE")</f>
        <v>ESPIRITU JULIE</v>
      </c>
      <c r="T104" s="1" t="str">
        <f>IFERROR(__xludf.DUMMYFUNCTION("""COMPUTED_VALUE"""),"SP6MONTHS")</f>
        <v>SP6MONTHS</v>
      </c>
      <c r="U104" s="1">
        <f>IFERROR(__xludf.DUMMYFUNCTION("""COMPUTED_VALUE"""),9692445904)</f>
        <v>9692445904</v>
      </c>
      <c r="V104" s="1"/>
      <c r="W104" s="1">
        <f>IFERROR(__xludf.DUMMYFUNCTION("""COMPUTED_VALUE"""),103)</f>
        <v>103</v>
      </c>
      <c r="X104" s="1" t="str">
        <f>IFERROR(__xludf.DUMMYFUNCTION("""COMPUTED_VALUE"""),"ROAD 4")</f>
        <v>ROAD 4</v>
      </c>
      <c r="Y104" s="1"/>
      <c r="Z104" s="1" t="str">
        <f>IFERROR(__xludf.DUMMYFUNCTION("""COMPUTED_VALUE"""),"TINGA LABAK")</f>
        <v>TINGA LABAK</v>
      </c>
      <c r="AA104" s="1" t="str">
        <f>IFERROR(__xludf.DUMMYFUNCTION("""COMPUTED_VALUE"""),"BATANGAS ")</f>
        <v>BATANGAS </v>
      </c>
      <c r="AB104" s="1" t="str">
        <f>IFERROR(__xludf.DUMMYFUNCTION("""COMPUTED_VALUE"""),"BCYLCP95NP5/6")</f>
        <v>BCYLCP95NP5/6</v>
      </c>
      <c r="AC104" s="1" t="str">
        <f>IFERROR(__xludf.DUMMYFUNCTION("""COMPUTED_VALUE""")," 121.078418 / 13.786741")</f>
        <v> 121.078418 / 13.786741</v>
      </c>
    </row>
    <row r="105" customHeight="1" spans="1:29">
      <c r="A105" s="3">
        <f>IFERROR(__xludf.DUMMYFUNCTION("""COMPUTED_VALUE"""),46255)</f>
        <v>46255</v>
      </c>
      <c r="B105" s="1" t="str">
        <f>IFERROR(__xludf.DUMMYFUNCTION("""COMPUTED_VALUE"""),"MONALIZA MACALALAD JACOBE")</f>
        <v>MONALIZA MACALALAD JACOBE</v>
      </c>
      <c r="C105" s="1" t="str">
        <f>IFERROR(__xludf.DUMMYFUNCTION("""COMPUTED_VALUE"""),"RITM0307164")</f>
        <v>RITM0307164</v>
      </c>
      <c r="D105" s="1"/>
      <c r="E105" s="1"/>
      <c r="F105" s="1" t="str">
        <f>IFERROR(__xludf.DUMMYFUNCTION("""COMPUTED_VALUE"""),"monalizajacobe299@gmail.com")</f>
        <v>monalizajacobe299@gmail.com</v>
      </c>
      <c r="G105" s="1" t="str">
        <f>IFERROR(__xludf.DUMMYFUNCTION("""COMPUTED_VALUE"""),"APPROVED")</f>
        <v>APPROVED</v>
      </c>
      <c r="H105" s="1"/>
      <c r="I105" s="1" t="str">
        <f>IFERROR(__xludf.DUMMYFUNCTION("""COMPUTED_VALUE"""),"SUBS CANCEL - Mag isa lang daw siya sa bahay makikiconnect nalang daw sa kapatid niya 8/24")</f>
        <v>SUBS CANCEL - Mag isa lang daw siya sa bahay makikiconnect nalang daw sa kapatid niya 8/24</v>
      </c>
      <c r="J105" s="1"/>
      <c r="K105" s="1"/>
      <c r="L105" s="1" t="str">
        <f>IFERROR(__xludf.DUMMYFUNCTION("""COMPUTED_VALUE"""),"CANCELLED - SUBS CANCEL REQUEST")</f>
        <v>CANCELLED - SUBS CANCEL REQUEST</v>
      </c>
      <c r="M105" s="1"/>
      <c r="N105" s="1" t="str">
        <f>IFERROR(__xludf.DUMMYFUNCTION("""COMPUTED_VALUE"""),"RED_RS_ONL_CVE_25")</f>
        <v>RED_RS_ONL_CVE_25</v>
      </c>
      <c r="O105" s="1" t="str">
        <f>IFERROR(__xludf.DUMMYFUNCTION("""COMPUTED_VALUE"""),"RED FIBR 1000")</f>
        <v>RED FIBR 1000</v>
      </c>
      <c r="P105" s="1" t="str">
        <f>IFERROR(__xludf.DUMMYFUNCTION("""COMPUTED_VALUE"""),"MMM018713")</f>
        <v>MMM018713</v>
      </c>
      <c r="Q105" s="1" t="str">
        <f>IFERROR(__xludf.DUMMYFUNCTION("""COMPUTED_VALUE"""),"LUCELLE, FRIAS - BATANGAS")</f>
        <v>LUCELLE, FRIAS - BATANGAS</v>
      </c>
      <c r="R105" s="1" t="str">
        <f>IFERROR(__xludf.DUMMYFUNCTION("""COMPUTED_VALUE"""),"CLARETE, GLIZIEL")</f>
        <v>CLARETE, GLIZIEL</v>
      </c>
      <c r="S105" s="1" t="str">
        <f>IFERROR(__xludf.DUMMYFUNCTION("""COMPUTED_VALUE"""),"ESPIRITU JULIE")</f>
        <v>ESPIRITU JULIE</v>
      </c>
      <c r="T105" s="1" t="str">
        <f>IFERROR(__xludf.DUMMYFUNCTION("""COMPUTED_VALUE"""),"SP6MONTHS")</f>
        <v>SP6MONTHS</v>
      </c>
      <c r="U105" s="1">
        <f>IFERROR(__xludf.DUMMYFUNCTION("""COMPUTED_VALUE"""),9150672358)</f>
        <v>9150672358</v>
      </c>
      <c r="V105" s="1"/>
      <c r="W105" s="1">
        <f>IFERROR(__xludf.DUMMYFUNCTION("""COMPUTED_VALUE"""),572)</f>
        <v>572</v>
      </c>
      <c r="X105" s="1" t="str">
        <f>IFERROR(__xludf.DUMMYFUNCTION("""COMPUTED_VALUE"""),"ROAD 4")</f>
        <v>ROAD 4</v>
      </c>
      <c r="Y105" s="1"/>
      <c r="Z105" s="1" t="str">
        <f>IFERROR(__xludf.DUMMYFUNCTION("""COMPUTED_VALUE"""),"TINGA LABAK")</f>
        <v>TINGA LABAK</v>
      </c>
      <c r="AA105" s="1" t="str">
        <f>IFERROR(__xludf.DUMMYFUNCTION("""COMPUTED_VALUE"""),"BATANGAS ")</f>
        <v>BATANGAS </v>
      </c>
      <c r="AB105" s="1" t="str">
        <f>IFERROR(__xludf.DUMMYFUNCTION("""COMPUTED_VALUE"""),"BCYLCP95NP5/6")</f>
        <v>BCYLCP95NP5/6</v>
      </c>
      <c r="AC105" s="1" t="str">
        <f>IFERROR(__xludf.DUMMYFUNCTION("""COMPUTED_VALUE""")," 121.077755 / 13.789017")</f>
        <v> 121.077755 / 13.789017</v>
      </c>
    </row>
    <row r="106" customHeight="1" spans="1:29">
      <c r="A106" s="3">
        <f>IFERROR(__xludf.DUMMYFUNCTION("""COMPUTED_VALUE"""),46255)</f>
        <v>46255</v>
      </c>
      <c r="B106" s="1" t="str">
        <f>IFERROR(__xludf.DUMMYFUNCTION("""COMPUTED_VALUE"""),"MARIBETH CASTILLO BISA")</f>
        <v>MARIBETH CASTILLO BISA</v>
      </c>
      <c r="C106" s="1" t="str">
        <f>IFERROR(__xludf.DUMMYFUNCTION("""COMPUTED_VALUE"""),"RITM0307174")</f>
        <v>RITM0307174</v>
      </c>
      <c r="D106" s="1" t="str">
        <f>IFERROR(__xludf.DUMMYFUNCTION("""COMPUTED_VALUE"""),"CS1346201 / WO0907841")</f>
        <v>CS1346201 / WO0907841</v>
      </c>
      <c r="E106" s="1">
        <f>IFERROR(__xludf.DUMMYFUNCTION("""COMPUTED_VALUE"""),6813225234)</f>
        <v>6813225234</v>
      </c>
      <c r="F106" s="1" t="str">
        <f>IFERROR(__xludf.DUMMYFUNCTION("""COMPUTED_VALUE"""),"bisamacbeth@gmail.com")</f>
        <v>bisamacbeth@gmail.com</v>
      </c>
      <c r="G106" s="1" t="str">
        <f>IFERROR(__xludf.DUMMYFUNCTION("""COMPUTED_VALUE"""),"CLOSED")</f>
        <v>CLOSED</v>
      </c>
      <c r="H106" s="1"/>
      <c r="I106" s="1"/>
      <c r="J106" s="1" t="str">
        <f>IFERROR(__xludf.DUMMYFUNCTION("""COMPUTED_VALUE"""),"PAID VIA GCASH REF 509407469 AUG 21")</f>
        <v>PAID VIA GCASH REF 509407469 AUG 21</v>
      </c>
      <c r="K106" s="1" t="str">
        <f>IFERROR(__xludf.DUMMYFUNCTION("""COMPUTED_VALUE"""),"PAID")</f>
        <v>PAID</v>
      </c>
      <c r="L106" s="1" t="str">
        <f>IFERROR(__xludf.DUMMYFUNCTION("""COMPUTED_VALUE"""),"POSTED")</f>
        <v>POSTED</v>
      </c>
      <c r="M106" s="1" t="str">
        <f>IFERROR(__xludf.DUMMYFUNCTION("""COMPUTED_VALUE"""),"8/23/2026")</f>
        <v>8/23/2026</v>
      </c>
      <c r="N106" s="1" t="str">
        <f>IFERROR(__xludf.DUMMYFUNCTION("""COMPUTED_VALUE"""),"RED_RS_ONL_CVE_25")</f>
        <v>RED_RS_ONL_CVE_25</v>
      </c>
      <c r="O106" s="1" t="str">
        <f>IFERROR(__xludf.DUMMYFUNCTION("""COMPUTED_VALUE"""),"RED FIBR 1000")</f>
        <v>RED FIBR 1000</v>
      </c>
      <c r="P106" s="1" t="str">
        <f>IFERROR(__xludf.DUMMYFUNCTION("""COMPUTED_VALUE"""),"MMM018713")</f>
        <v>MMM018713</v>
      </c>
      <c r="Q106" s="1" t="str">
        <f>IFERROR(__xludf.DUMMYFUNCTION("""COMPUTED_VALUE"""),"LUCELLE, FRIAS - BATANGAS")</f>
        <v>LUCELLE, FRIAS - BATANGAS</v>
      </c>
      <c r="R106" s="1" t="str">
        <f>IFERROR(__xludf.DUMMYFUNCTION("""COMPUTED_VALUE"""),"CLARETE, GLIZIEL")</f>
        <v>CLARETE, GLIZIEL</v>
      </c>
      <c r="S106" s="1" t="str">
        <f>IFERROR(__xludf.DUMMYFUNCTION("""COMPUTED_VALUE"""),"ESPIRITU JULIE")</f>
        <v>ESPIRITU JULIE</v>
      </c>
      <c r="T106" s="1" t="str">
        <f>IFERROR(__xludf.DUMMYFUNCTION("""COMPUTED_VALUE"""),"SP6MONTHS")</f>
        <v>SP6MONTHS</v>
      </c>
      <c r="U106" s="1">
        <f>IFERROR(__xludf.DUMMYFUNCTION("""COMPUTED_VALUE"""),9939166727)</f>
        <v>9939166727</v>
      </c>
      <c r="V106" s="1"/>
      <c r="W106" s="1">
        <f>IFERROR(__xludf.DUMMYFUNCTION("""COMPUTED_VALUE"""),574)</f>
        <v>574</v>
      </c>
      <c r="X106" s="1" t="str">
        <f>IFERROR(__xludf.DUMMYFUNCTION("""COMPUTED_VALUE"""),"ROAD 4")</f>
        <v>ROAD 4</v>
      </c>
      <c r="Y106" s="1"/>
      <c r="Z106" s="1" t="str">
        <f>IFERROR(__xludf.DUMMYFUNCTION("""COMPUTED_VALUE"""),"TINGA LABAK")</f>
        <v>TINGA LABAK</v>
      </c>
      <c r="AA106" s="1" t="str">
        <f>IFERROR(__xludf.DUMMYFUNCTION("""COMPUTED_VALUE"""),"BATANGAS ")</f>
        <v>BATANGAS </v>
      </c>
      <c r="AB106" s="1" t="str">
        <f>IFERROR(__xludf.DUMMYFUNCTION("""COMPUTED_VALUE"""),"BCYLCP95NP5/6")</f>
        <v>BCYLCP95NP5/6</v>
      </c>
      <c r="AC106" s="1" t="str">
        <f>IFERROR(__xludf.DUMMYFUNCTION("""COMPUTED_VALUE""")," 121.078202 / 13.788954")</f>
        <v> 121.078202 / 13.788954</v>
      </c>
    </row>
    <row r="107" customHeight="1" spans="1:29">
      <c r="A107" s="3">
        <f>IFERROR(__xludf.DUMMYFUNCTION("""COMPUTED_VALUE"""),46255)</f>
        <v>46255</v>
      </c>
      <c r="B107" s="1" t="str">
        <f>IFERROR(__xludf.DUMMYFUNCTION("""COMPUTED_VALUE"""),"EDGAR CULLON NAVA")</f>
        <v>EDGAR CULLON NAVA</v>
      </c>
      <c r="C107" s="1" t="str">
        <f>IFERROR(__xludf.DUMMYFUNCTION("""COMPUTED_VALUE"""),"RITM0307192")</f>
        <v>RITM0307192</v>
      </c>
      <c r="D107" s="1" t="str">
        <f>IFERROR(__xludf.DUMMYFUNCTION("""COMPUTED_VALUE"""),"CS1346228 / WO0907852")</f>
        <v>CS1346228 / WO0907852</v>
      </c>
      <c r="E107" s="1">
        <f>IFERROR(__xludf.DUMMYFUNCTION("""COMPUTED_VALUE"""),6126462641)</f>
        <v>6126462641</v>
      </c>
      <c r="F107" s="1" t="str">
        <f>IFERROR(__xludf.DUMMYFUNCTION("""COMPUTED_VALUE"""),"enava9892@gmail.com")</f>
        <v>enava9892@gmail.com</v>
      </c>
      <c r="G107" s="1" t="str">
        <f>IFERROR(__xludf.DUMMYFUNCTION("""COMPUTED_VALUE"""),"CLOSED")</f>
        <v>CLOSED</v>
      </c>
      <c r="H107" s="1"/>
      <c r="I107" s="1"/>
      <c r="J107" s="1" t="str">
        <f>IFERROR(__xludf.DUMMYFUNCTION("""COMPUTED_VALUE"""),"SWITCHER PROMO")</f>
        <v>SWITCHER PROMO</v>
      </c>
      <c r="K107" s="1"/>
      <c r="L107" s="1" t="str">
        <f>IFERROR(__xludf.DUMMYFUNCTION("""COMPUTED_VALUE"""),"POSTED")</f>
        <v>POSTED</v>
      </c>
      <c r="M107" s="1" t="str">
        <f>IFERROR(__xludf.DUMMYFUNCTION("""COMPUTED_VALUE"""),"8/23/2026")</f>
        <v>8/23/2026</v>
      </c>
      <c r="N107" s="1" t="str">
        <f>IFERROR(__xludf.DUMMYFUNCTION("""COMPUTED_VALUE"""),"RED_RS_ONL_CVE_25")</f>
        <v>RED_RS_ONL_CVE_25</v>
      </c>
      <c r="O107" s="1" t="str">
        <f>IFERROR(__xludf.DUMMYFUNCTION("""COMPUTED_VALUE"""),"SWITCHER PLAN 900")</f>
        <v>SWITCHER PLAN 900</v>
      </c>
      <c r="P107" s="1" t="str">
        <f>IFERROR(__xludf.DUMMYFUNCTION("""COMPUTED_VALUE"""),"MMM018713")</f>
        <v>MMM018713</v>
      </c>
      <c r="Q107" s="1" t="str">
        <f>IFERROR(__xludf.DUMMYFUNCTION("""COMPUTED_VALUE"""),"BONZA, LEE VINCENT")</f>
        <v>BONZA, LEE VINCENT</v>
      </c>
      <c r="R107" s="1" t="str">
        <f>IFERROR(__xludf.DUMMYFUNCTION("""COMPUTED_VALUE"""),"GARCIA MICHAEL JETTS")</f>
        <v>GARCIA MICHAEL JETTS</v>
      </c>
      <c r="S107" s="1" t="str">
        <f>IFERROR(__xludf.DUMMYFUNCTION("""COMPUTED_VALUE"""),"ESPIRITU JULIE")</f>
        <v>ESPIRITU JULIE</v>
      </c>
      <c r="T107" s="1" t="str">
        <f>IFERROR(__xludf.DUMMYFUNCTION("""COMPUTED_VALUE"""),"SWITCHOFFER")</f>
        <v>SWITCHOFFER</v>
      </c>
      <c r="U107" s="1">
        <f>IFERROR(__xludf.DUMMYFUNCTION("""COMPUTED_VALUE"""),9276667615)</f>
        <v>9276667615</v>
      </c>
      <c r="V107" s="1"/>
      <c r="W107" s="1"/>
      <c r="X107" s="1" t="str">
        <f>IFERROR(__xludf.DUMMYFUNCTION("""COMPUTED_VALUE"""),"PHASE B")</f>
        <v>PHASE B</v>
      </c>
      <c r="Y107" s="1" t="str">
        <f>IFERROR(__xludf.DUMMYFUNCTION("""COMPUTED_VALUE"""),"THE ISTANA")</f>
        <v>THE ISTANA</v>
      </c>
      <c r="Z107" s="1" t="str">
        <f>IFERROR(__xludf.DUMMYFUNCTION("""COMPUTED_VALUE"""),"BIGA")</f>
        <v>BIGA</v>
      </c>
      <c r="AA107" s="1" t="str">
        <f>IFERROR(__xludf.DUMMYFUNCTION("""COMPUTED_VALUE"""),"TANZA")</f>
        <v>TANZA</v>
      </c>
      <c r="AB107" s="1" t="str">
        <f>IFERROR(__xludf.DUMMYFUNCTION("""COMPUTED_VALUE"""),"CVT4LCP69NP3/4")</f>
        <v>CVT4LCP69NP3/4</v>
      </c>
      <c r="AC107" s="1" t="str">
        <f>IFERROR(__xludf.DUMMYFUNCTION("""COMPUTED_VALUE""")," 120.842543 / 14.372614")</f>
        <v> 120.842543 / 14.372614</v>
      </c>
    </row>
    <row r="108" customHeight="1" spans="1:29">
      <c r="A108" s="3">
        <f>IFERROR(__xludf.DUMMYFUNCTION("""COMPUTED_VALUE"""),46255)</f>
        <v>46255</v>
      </c>
      <c r="B108" s="1" t="str">
        <f>IFERROR(__xludf.DUMMYFUNCTION("""COMPUTED_VALUE"""),"FLORDELIZA OPONE PANGANIBAN")</f>
        <v>FLORDELIZA OPONE PANGANIBAN</v>
      </c>
      <c r="C108" s="1" t="str">
        <f>IFERROR(__xludf.DUMMYFUNCTION("""COMPUTED_VALUE"""),"RITM0307197")</f>
        <v>RITM0307197</v>
      </c>
      <c r="D108" s="1" t="str">
        <f>IFERROR(__xludf.DUMMYFUNCTION("""COMPUTED_VALUE"""),"CS1346350 / WO0908220")</f>
        <v>CS1346350 / WO0908220</v>
      </c>
      <c r="E108" s="1">
        <f>IFERROR(__xludf.DUMMYFUNCTION("""COMPUTED_VALUE"""),4441998367)</f>
        <v>4441998367</v>
      </c>
      <c r="F108" s="1" t="str">
        <f>IFERROR(__xludf.DUMMYFUNCTION("""COMPUTED_VALUE"""),"paperlords2022@gmail.com")</f>
        <v>paperlords2022@gmail.com</v>
      </c>
      <c r="G108" s="1" t="str">
        <f>IFERROR(__xludf.DUMMYFUNCTION("""COMPUTED_VALUE"""),"CLOSED")</f>
        <v>CLOSED</v>
      </c>
      <c r="H108" s="1"/>
      <c r="I108" s="1"/>
      <c r="J108" s="1"/>
      <c r="K108" s="1"/>
      <c r="L108" s="1" t="str">
        <f>IFERROR(__xludf.DUMMYFUNCTION("""COMPUTED_VALUE"""),"POSTED")</f>
        <v>POSTED</v>
      </c>
      <c r="M108" s="1" t="str">
        <f>IFERROR(__xludf.DUMMYFUNCTION("""COMPUTED_VALUE"""),"8/23/2026")</f>
        <v>8/23/2026</v>
      </c>
      <c r="N108" s="1" t="str">
        <f>IFERROR(__xludf.DUMMYFUNCTION("""COMPUTED_VALUE"""),"RED_RS_ONL_CVE_25")</f>
        <v>RED_RS_ONL_CVE_25</v>
      </c>
      <c r="O108" s="1" t="str">
        <f>IFERROR(__xludf.DUMMYFUNCTION("""COMPUTED_VALUE"""),"RED FIBR 1000")</f>
        <v>RED FIBR 1000</v>
      </c>
      <c r="P108" s="1" t="str">
        <f>IFERROR(__xludf.DUMMYFUNCTION("""COMPUTED_VALUE"""),"MMM018711")</f>
        <v>MMM018711</v>
      </c>
      <c r="Q108" s="1" t="str">
        <f>IFERROR(__xludf.DUMMYFUNCTION("""COMPUTED_VALUE"""),"ARMIJO, LOUEI JAY")</f>
        <v>ARMIJO, LOUEI JAY</v>
      </c>
      <c r="R108" s="1" t="str">
        <f>IFERROR(__xludf.DUMMYFUNCTION("""COMPUTED_VALUE"""),"GARCIA MICHAEL JETTS")</f>
        <v>GARCIA MICHAEL JETTS</v>
      </c>
      <c r="S108" s="1" t="str">
        <f>IFERROR(__xludf.DUMMYFUNCTION("""COMPUTED_VALUE"""),"ESPIRITU JULIE")</f>
        <v>ESPIRITU JULIE</v>
      </c>
      <c r="T108" s="1" t="str">
        <f>IFERROR(__xludf.DUMMYFUNCTION("""COMPUTED_VALUE"""),"SP6MONTHS")</f>
        <v>SP6MONTHS</v>
      </c>
      <c r="U108" s="1">
        <f>IFERROR(__xludf.DUMMYFUNCTION("""COMPUTED_VALUE"""),9539188198)</f>
        <v>9539188198</v>
      </c>
      <c r="V108" s="1"/>
      <c r="W108" s="1">
        <f>IFERROR(__xludf.DUMMYFUNCTION("""COMPUTED_VALUE"""),24)</f>
        <v>24</v>
      </c>
      <c r="X108" s="1" t="str">
        <f>IFERROR(__xludf.DUMMYFUNCTION("""COMPUTED_VALUE"""),"BONIFACIO ST")</f>
        <v>BONIFACIO ST</v>
      </c>
      <c r="Y108" s="1"/>
      <c r="Z108" s="1" t="str">
        <f>IFERROR(__xludf.DUMMYFUNCTION("""COMPUTED_VALUE"""),"POBLACION VII (BARANGAY VII)")</f>
        <v>POBLACION VII (BARANGAY VII)</v>
      </c>
      <c r="AA108" s="1" t="str">
        <f>IFERROR(__xludf.DUMMYFUNCTION("""COMPUTED_VALUE"""),"MENDEZ")</f>
        <v>MENDEZ</v>
      </c>
      <c r="AB108" s="1" t="str">
        <f>IFERROR(__xludf.DUMMYFUNCTION("""COMPUTED_VALUE"""),"CVT2LCP59NP1-6 CVT2LCP60NP1")</f>
        <v>CVT2LCP59NP1-6 CVT2LCP60NP1</v>
      </c>
      <c r="AC108" s="1" t="str">
        <f>IFERROR(__xludf.DUMMYFUNCTION("""COMPUTED_VALUE"""),"120.903845 / 14.133270")</f>
        <v>120.903845 / 14.133270</v>
      </c>
    </row>
    <row r="109" customHeight="1" spans="1:29">
      <c r="A109" s="3">
        <f>IFERROR(__xludf.DUMMYFUNCTION("""COMPUTED_VALUE"""),46255)</f>
        <v>46255</v>
      </c>
      <c r="B109" s="1" t="str">
        <f>IFERROR(__xludf.DUMMYFUNCTION("""COMPUTED_VALUE"""),"ANGELICA BASTES TOGONON")</f>
        <v>ANGELICA BASTES TOGONON</v>
      </c>
      <c r="C109" s="1" t="str">
        <f>IFERROR(__xludf.DUMMYFUNCTION("""COMPUTED_VALUE"""),"RITM0307205")</f>
        <v>RITM0307205</v>
      </c>
      <c r="D109" s="1" t="str">
        <f>IFERROR(__xludf.DUMMYFUNCTION("""COMPUTED_VALUE"""),"CS1346242 / WO0907879")</f>
        <v>CS1346242 / WO0907879</v>
      </c>
      <c r="E109" s="1">
        <f>IFERROR(__xludf.DUMMYFUNCTION("""COMPUTED_VALUE"""),3181971511)</f>
        <v>3181971511</v>
      </c>
      <c r="F109" s="1" t="str">
        <f>IFERROR(__xludf.DUMMYFUNCTION("""COMPUTED_VALUE"""),"togononangelica84@gmail.com")</f>
        <v>togononangelica84@gmail.com</v>
      </c>
      <c r="G109" s="1" t="str">
        <f>IFERROR(__xludf.DUMMYFUNCTION("""COMPUTED_VALUE"""),"CLOSED")</f>
        <v>CLOSED</v>
      </c>
      <c r="H109" s="1"/>
      <c r="I109" s="1"/>
      <c r="J109" s="1" t="str">
        <f>IFERROR(__xludf.DUMMYFUNCTION("""COMPUTED_VALUE"""),"PAID VIA GCASH REF 708888998 AUG 21")</f>
        <v>PAID VIA GCASH REF 708888998 AUG 21</v>
      </c>
      <c r="K109" s="1" t="str">
        <f>IFERROR(__xludf.DUMMYFUNCTION("""COMPUTED_VALUE"""),"PAID")</f>
        <v>PAID</v>
      </c>
      <c r="L109" s="1" t="str">
        <f>IFERROR(__xludf.DUMMYFUNCTION("""COMPUTED_VALUE"""),"POSTED")</f>
        <v>POSTED</v>
      </c>
      <c r="M109" s="1" t="str">
        <f>IFERROR(__xludf.DUMMYFUNCTION("""COMPUTED_VALUE"""),"8/23/2026")</f>
        <v>8/23/2026</v>
      </c>
      <c r="N109" s="1" t="str">
        <f>IFERROR(__xludf.DUMMYFUNCTION("""COMPUTED_VALUE"""),"RED_RS_ONL_CVE_25")</f>
        <v>RED_RS_ONL_CVE_25</v>
      </c>
      <c r="O109" s="1" t="str">
        <f>IFERROR(__xludf.DUMMYFUNCTION("""COMPUTED_VALUE"""),"RED FIBR 1400")</f>
        <v>RED FIBR 1400</v>
      </c>
      <c r="P109" s="1" t="str">
        <f>IFERROR(__xludf.DUMMYFUNCTION("""COMPUTED_VALUE"""),"MMM018709")</f>
        <v>MMM018709</v>
      </c>
      <c r="Q109" s="1" t="str">
        <f>IFERROR(__xludf.DUMMYFUNCTION("""COMPUTED_VALUE"""),"YOLANGCO, JOJO")</f>
        <v>YOLANGCO, JOJO</v>
      </c>
      <c r="R109" s="1" t="str">
        <f>IFERROR(__xludf.DUMMYFUNCTION("""COMPUTED_VALUE"""),"GARCIA MICHAEL JETTS")</f>
        <v>GARCIA MICHAEL JETTS</v>
      </c>
      <c r="S109" s="1" t="str">
        <f>IFERROR(__xludf.DUMMYFUNCTION("""COMPUTED_VALUE"""),"ESPIRITU JULIE")</f>
        <v>ESPIRITU JULIE</v>
      </c>
      <c r="T109" s="1" t="str">
        <f>IFERROR(__xludf.DUMMYFUNCTION("""COMPUTED_VALUE"""),"SP6MONTHS")</f>
        <v>SP6MONTHS</v>
      </c>
      <c r="U109" s="1">
        <f>IFERROR(__xludf.DUMMYFUNCTION("""COMPUTED_VALUE"""),9311261147)</f>
        <v>9311261147</v>
      </c>
      <c r="V109" s="1"/>
      <c r="W109" s="1"/>
      <c r="X109" s="1" t="str">
        <f>IFERROR(__xludf.DUMMYFUNCTION("""COMPUTED_VALUE"""),"PHASE A")</f>
        <v>PHASE A</v>
      </c>
      <c r="Y109" s="1" t="str">
        <f>IFERROR(__xludf.DUMMYFUNCTION("""COMPUTED_VALUE"""),"PEARL RESIDENCES")</f>
        <v>PEARL RESIDENCES</v>
      </c>
      <c r="Z109" s="1" t="str">
        <f>IFERROR(__xludf.DUMMYFUNCTION("""COMPUTED_VALUE"""),"CAPIPISA")</f>
        <v>CAPIPISA</v>
      </c>
      <c r="AA109" s="1" t="str">
        <f>IFERROR(__xludf.DUMMYFUNCTION("""COMPUTED_VALUE"""),"TANZA")</f>
        <v>TANZA</v>
      </c>
      <c r="AB109" s="1" t="str">
        <f>IFERROR(__xludf.DUMMYFUNCTION("""COMPUTED_VALUE"""),"CVT6 LCP135 NP1/2")</f>
        <v>CVT6 LCP135 NP1/2</v>
      </c>
      <c r="AC109" s="1" t="str">
        <f>IFERROR(__xludf.DUMMYFUNCTION("""COMPUTED_VALUE""")," 120.794557 / 14.35630")</f>
        <v> 120.794557 / 14.35630</v>
      </c>
    </row>
    <row r="110" customHeight="1" spans="1:29">
      <c r="A110" s="3">
        <f>IFERROR(__xludf.DUMMYFUNCTION("""COMPUTED_VALUE"""),46256)</f>
        <v>46256</v>
      </c>
      <c r="B110" s="1" t="str">
        <f>IFERROR(__xludf.DUMMYFUNCTION("""COMPUTED_VALUE"""),"KAI MAJAL TEANIO DIMAS")</f>
        <v>KAI MAJAL TEANIO DIMAS</v>
      </c>
      <c r="C110" s="1" t="str">
        <f>IFERROR(__xludf.DUMMYFUNCTION("""COMPUTED_VALUE"""),"RITM0307292")</f>
        <v>RITM0307292</v>
      </c>
      <c r="D110" s="1"/>
      <c r="E110" s="1"/>
      <c r="F110" s="1" t="str">
        <f>IFERROR(__xludf.DUMMYFUNCTION("""COMPUTED_VALUE"""),"kaimajald@gmail.com")</f>
        <v>kaimajald@gmail.com</v>
      </c>
      <c r="G110" s="1" t="str">
        <f>IFERROR(__xludf.DUMMYFUNCTION("""COMPUTED_VALUE"""),"APPROVED")</f>
        <v>APPROVED</v>
      </c>
      <c r="H110" s="1"/>
      <c r="I110" s="1" t="str">
        <f>IFERROR(__xludf.DUMMYFUNCTION("""COMPUTED_VALUE"""),"Nasa work pa daw po si subs mag check nalang ng email pag uwi 8/22")</f>
        <v>Nasa work pa daw po si subs mag check nalang ng email pag uwi 8/22</v>
      </c>
      <c r="J110" s="1"/>
      <c r="K110" s="1"/>
      <c r="L110" s="1" t="str">
        <f>IFERROR(__xludf.DUMMYFUNCTION("""COMPUTED_VALUE"""),"CANCELLED - AGING")</f>
        <v>CANCELLED - AGING</v>
      </c>
      <c r="M110" s="1"/>
      <c r="N110" s="1" t="str">
        <f>IFERROR(__xludf.DUMMYFUNCTION("""COMPUTED_VALUE"""),"RED_RS_HH_CVE_25")</f>
        <v>RED_RS_HH_CVE_25</v>
      </c>
      <c r="O110" s="1" t="str">
        <f>IFERROR(__xludf.DUMMYFUNCTION("""COMPUTED_VALUE"""),"RED FIBR 1000")</f>
        <v>RED FIBR 1000</v>
      </c>
      <c r="P110" s="1" t="str">
        <f>IFERROR(__xludf.DUMMYFUNCTION("""COMPUTED_VALUE"""),"MMM018713")</f>
        <v>MMM018713</v>
      </c>
      <c r="Q110" s="1" t="str">
        <f>IFERROR(__xludf.DUMMYFUNCTION("""COMPUTED_VALUE"""),"CADERAO, RONALD")</f>
        <v>CADERAO, RONALD</v>
      </c>
      <c r="R110" s="1" t="str">
        <f>IFERROR(__xludf.DUMMYFUNCTION("""COMPUTED_VALUE"""),"REMOLLO LEA")</f>
        <v>REMOLLO LEA</v>
      </c>
      <c r="S110" s="1" t="str">
        <f>IFERROR(__xludf.DUMMYFUNCTION("""COMPUTED_VALUE"""),"ESPIRITU JULIE")</f>
        <v>ESPIRITU JULIE</v>
      </c>
      <c r="T110" s="1" t="str">
        <f>IFERROR(__xludf.DUMMYFUNCTION("""COMPUTED_VALUE"""),"SP6MONTHS")</f>
        <v>SP6MONTHS</v>
      </c>
      <c r="U110" s="1">
        <f>IFERROR(__xludf.DUMMYFUNCTION("""COMPUTED_VALUE"""),9553824121)</f>
        <v>9553824121</v>
      </c>
      <c r="V110" s="1">
        <f>IFERROR(__xludf.DUMMYFUNCTION("""COMPUTED_VALUE"""),9650642637)</f>
        <v>9650642637</v>
      </c>
      <c r="W110" s="1">
        <f>IFERROR(__xludf.DUMMYFUNCTION("""COMPUTED_VALUE"""),122)</f>
        <v>122</v>
      </c>
      <c r="X110" s="1" t="str">
        <f>IFERROR(__xludf.DUMMYFUNCTION("""COMPUTED_VALUE"""),"OREGANO ST")</f>
        <v>OREGANO ST</v>
      </c>
      <c r="Y110" s="1" t="str">
        <f>IFERROR(__xludf.DUMMYFUNCTION("""COMPUTED_VALUE"""),"PUROK 6")</f>
        <v>PUROK 6</v>
      </c>
      <c r="Z110" s="1" t="str">
        <f>IFERROR(__xludf.DUMMYFUNCTION("""COMPUTED_VALUE"""),"ULAT")</f>
        <v>ULAT</v>
      </c>
      <c r="AA110" s="1" t="str">
        <f>IFERROR(__xludf.DUMMYFUNCTION("""COMPUTED_VALUE"""),"SILANG")</f>
        <v>SILANG</v>
      </c>
      <c r="AB110" s="1" t="str">
        <f>IFERROR(__xludf.DUMMYFUNCTION("""COMPUTED_VALUE"""),"CVT2LCP37NP2")</f>
        <v>CVT2LCP37NP2</v>
      </c>
      <c r="AC110" s="1" t="str">
        <f>IFERROR(__xludf.DUMMYFUNCTION("""COMPUTED_VALUE""")," 120.988702 / 14.146742")</f>
        <v> 120.988702 / 14.146742</v>
      </c>
    </row>
    <row r="111" customHeight="1" spans="1:29">
      <c r="A111" s="3">
        <f>IFERROR(__xludf.DUMMYFUNCTION("""COMPUTED_VALUE"""),46256)</f>
        <v>46256</v>
      </c>
      <c r="B111" s="1" t="str">
        <f>IFERROR(__xludf.DUMMYFUNCTION("""COMPUTED_VALUE"""),"STARSKY DELOS REYES SOLICITO")</f>
        <v>STARSKY DELOS REYES SOLICITO</v>
      </c>
      <c r="C111" s="1" t="str">
        <f>IFERROR(__xludf.DUMMYFUNCTION("""COMPUTED_VALUE"""),"RITM0307293")</f>
        <v>RITM0307293</v>
      </c>
      <c r="D111" s="1" t="str">
        <f>IFERROR(__xludf.DUMMYFUNCTION("""COMPUTED_VALUE"""),"CS1346515 / WO0908032")</f>
        <v>CS1346515 / WO0908032</v>
      </c>
      <c r="E111" s="1">
        <f>IFERROR(__xludf.DUMMYFUNCTION("""COMPUTED_VALUE"""),6914799770)</f>
        <v>6914799770</v>
      </c>
      <c r="F111" s="1" t="str">
        <f>IFERROR(__xludf.DUMMYFUNCTION("""COMPUTED_VALUE"""),"ssolicito@gmail.com")</f>
        <v>ssolicito@gmail.com</v>
      </c>
      <c r="G111" s="1" t="str">
        <f>IFERROR(__xludf.DUMMYFUNCTION("""COMPUTED_VALUE"""),"CLOSED")</f>
        <v>CLOSED</v>
      </c>
      <c r="H111" s="1"/>
      <c r="I111" s="1" t="str">
        <f>IFERROR(__xludf.DUMMYFUNCTION("""COMPUTED_VALUE"""),"QUALIFIED - 8/22")</f>
        <v>QUALIFIED - 8/22</v>
      </c>
      <c r="J111" s="1" t="str">
        <f>IFERROR(__xludf.DUMMYFUNCTION("""COMPUTED_VALUE"""),"PAID VIA GCASH REF 26234ETQP1DRU8JVY AUG 22")</f>
        <v>PAID VIA GCASH REF 26234ETQP1DRU8JVY AUG 22</v>
      </c>
      <c r="K111" s="1" t="str">
        <f>IFERROR(__xludf.DUMMYFUNCTION("""COMPUTED_VALUE"""),"PAID")</f>
        <v>PAID</v>
      </c>
      <c r="L111" s="1" t="str">
        <f>IFERROR(__xludf.DUMMYFUNCTION("""COMPUTED_VALUE"""),"POSTED")</f>
        <v>POSTED</v>
      </c>
      <c r="M111" s="1" t="str">
        <f>IFERROR(__xludf.DUMMYFUNCTION("""COMPUTED_VALUE"""),"8/24/2026")</f>
        <v>8/24/2026</v>
      </c>
      <c r="N111" s="1" t="str">
        <f>IFERROR(__xludf.DUMMYFUNCTION("""COMPUTED_VALUE"""),"RED_RS_ONL_CVE_25")</f>
        <v>RED_RS_ONL_CVE_25</v>
      </c>
      <c r="O111" s="1" t="str">
        <f>IFERROR(__xludf.DUMMYFUNCTION("""COMPUTED_VALUE"""),"RED FIBR 1000")</f>
        <v>RED FIBR 1000</v>
      </c>
      <c r="P111" s="1" t="str">
        <f>IFERROR(__xludf.DUMMYFUNCTION("""COMPUTED_VALUE"""),"MMM018712")</f>
        <v>MMM018712</v>
      </c>
      <c r="Q111" s="1" t="str">
        <f>IFERROR(__xludf.DUMMYFUNCTION("""COMPUTED_VALUE"""),"PEREZ. RONELL")</f>
        <v>PEREZ. RONELL</v>
      </c>
      <c r="R111" s="1" t="str">
        <f>IFERROR(__xludf.DUMMYFUNCTION("""COMPUTED_VALUE"""),"GARCIA MICHAEL JETTS")</f>
        <v>GARCIA MICHAEL JETTS</v>
      </c>
      <c r="S111" s="1" t="str">
        <f>IFERROR(__xludf.DUMMYFUNCTION("""COMPUTED_VALUE"""),"ESPIRITU JULIE")</f>
        <v>ESPIRITU JULIE</v>
      </c>
      <c r="T111" s="1" t="str">
        <f>IFERROR(__xludf.DUMMYFUNCTION("""COMPUTED_VALUE"""),"SP6MONTHS")</f>
        <v>SP6MONTHS</v>
      </c>
      <c r="U111" s="1">
        <f>IFERROR(__xludf.DUMMYFUNCTION("""COMPUTED_VALUE"""),9622384112)</f>
        <v>9622384112</v>
      </c>
      <c r="V111" s="1"/>
      <c r="W111" s="1">
        <f>IFERROR(__xludf.DUMMYFUNCTION("""COMPUTED_VALUE"""),148)</f>
        <v>148</v>
      </c>
      <c r="X111" s="1" t="str">
        <f>IFERROR(__xludf.DUMMYFUNCTION("""COMPUTED_VALUE"""),"MABINI ST")</f>
        <v>MABINI ST</v>
      </c>
      <c r="Y111" s="1"/>
      <c r="Z111" s="1" t="str">
        <f>IFERROR(__xludf.DUMMYFUNCTION("""COMPUTED_VALUE"""),"AMAYA II")</f>
        <v>AMAYA II</v>
      </c>
      <c r="AA111" s="1" t="str">
        <f>IFERROR(__xludf.DUMMYFUNCTION("""COMPUTED_VALUE"""),"TANZA")</f>
        <v>TANZA</v>
      </c>
      <c r="AB111" s="1" t="str">
        <f>IFERROR(__xludf.DUMMYFUNCTION("""COMPUTED_VALUE"""),"CVT6LCP221NP3/4")</f>
        <v>CVT6LCP221NP3/4</v>
      </c>
      <c r="AC111" s="1" t="str">
        <f>IFERROR(__xludf.DUMMYFUNCTION("""COMPUTED_VALUE""")," 120.831287 / 14.382577")</f>
        <v> 120.831287 / 14.382577</v>
      </c>
    </row>
    <row r="112" customHeight="1" spans="1:29">
      <c r="A112" s="3">
        <f>IFERROR(__xludf.DUMMYFUNCTION("""COMPUTED_VALUE"""),46256)</f>
        <v>46256</v>
      </c>
      <c r="B112" s="1" t="str">
        <f>IFERROR(__xludf.DUMMYFUNCTION("""COMPUTED_VALUE"""),"MARJORIE ROJA GASCO")</f>
        <v>MARJORIE ROJA GASCO</v>
      </c>
      <c r="C112" s="1" t="str">
        <f>IFERROR(__xludf.DUMMYFUNCTION("""COMPUTED_VALUE"""),"RITM0307323")</f>
        <v>RITM0307323</v>
      </c>
      <c r="D112" s="1" t="str">
        <f>IFERROR(__xludf.DUMMYFUNCTION("""COMPUTED_VALUE"""),"CS1347404 / WO0908481")</f>
        <v>CS1347404 / WO0908481</v>
      </c>
      <c r="E112" s="1">
        <f>IFERROR(__xludf.DUMMYFUNCTION("""COMPUTED_VALUE"""),1886211516)</f>
        <v>1886211516</v>
      </c>
      <c r="F112" s="1" t="str">
        <f>IFERROR(__xludf.DUMMYFUNCTION("""COMPUTED_VALUE"""),"marjoriegasco64@gmail.com")</f>
        <v>marjoriegasco64@gmail.com</v>
      </c>
      <c r="G112" s="1" t="str">
        <f>IFERROR(__xludf.DUMMYFUNCTION("""COMPUTED_VALUE"""),"CLOSED")</f>
        <v>CLOSED</v>
      </c>
      <c r="H112" s="1"/>
      <c r="I112" s="1" t="str">
        <f>IFERROR(__xludf.DUMMYFUNCTION("""COMPUTED_VALUE"""),"WORK IN PROGRESS 8/26")</f>
        <v>WORK IN PROGRESS 8/26</v>
      </c>
      <c r="J112" s="1" t="str">
        <f>IFERROR(__xludf.DUMMYFUNCTION("""COMPUTED_VALUE"""),"PAID VIA GCASH - AUG 24 - REF - 118820600")</f>
        <v>PAID VIA GCASH - AUG 24 - REF - 118820600</v>
      </c>
      <c r="K112" s="1" t="str">
        <f>IFERROR(__xludf.DUMMYFUNCTION("""COMPUTED_VALUE"""),"PAID")</f>
        <v>PAID</v>
      </c>
      <c r="L112" s="1" t="str">
        <f>IFERROR(__xludf.DUMMYFUNCTION("""COMPUTED_VALUE"""),"POSTED")</f>
        <v>POSTED</v>
      </c>
      <c r="M112" s="1" t="str">
        <f>IFERROR(__xludf.DUMMYFUNCTION("""COMPUTED_VALUE"""),"8/26/2026")</f>
        <v>8/26/2026</v>
      </c>
      <c r="N112" s="1" t="str">
        <f>IFERROR(__xludf.DUMMYFUNCTION("""COMPUTED_VALUE"""),"RED_RS_ONL_CVE_25")</f>
        <v>RED_RS_ONL_CVE_25</v>
      </c>
      <c r="O112" s="1" t="str">
        <f>IFERROR(__xludf.DUMMYFUNCTION("""COMPUTED_VALUE"""),"RED FIBR 1000")</f>
        <v>RED FIBR 1000</v>
      </c>
      <c r="P112" s="1" t="str">
        <f>IFERROR(__xludf.DUMMYFUNCTION("""COMPUTED_VALUE"""),"MMM018711")</f>
        <v>MMM018711</v>
      </c>
      <c r="Q112" s="1" t="str">
        <f>IFERROR(__xludf.DUMMYFUNCTION("""COMPUTED_VALUE"""),"FRANCISCO, ROSELYN")</f>
        <v>FRANCISCO, ROSELYN</v>
      </c>
      <c r="R112" s="1" t="str">
        <f>IFERROR(__xludf.DUMMYFUNCTION("""COMPUTED_VALUE"""),"REMOLLO LEA")</f>
        <v>REMOLLO LEA</v>
      </c>
      <c r="S112" s="1" t="str">
        <f>IFERROR(__xludf.DUMMYFUNCTION("""COMPUTED_VALUE"""),"ESPIRITU JULIE")</f>
        <v>ESPIRITU JULIE</v>
      </c>
      <c r="T112" s="1" t="str">
        <f>IFERROR(__xludf.DUMMYFUNCTION("""COMPUTED_VALUE"""),"SP6MONTHS")</f>
        <v>SP6MONTHS</v>
      </c>
      <c r="U112" s="1">
        <f>IFERROR(__xludf.DUMMYFUNCTION("""COMPUTED_VALUE"""),9707572406)</f>
        <v>9707572406</v>
      </c>
      <c r="V112" s="1"/>
      <c r="W112" s="1"/>
      <c r="X112" s="1" t="str">
        <f>IFERROR(__xludf.DUMMYFUNCTION("""COMPUTED_VALUE"""),"PHASE 2")</f>
        <v>PHASE 2</v>
      </c>
      <c r="Y112" s="1" t="str">
        <f>IFERROR(__xludf.DUMMYFUNCTION("""COMPUTED_VALUE"""),"WESTWOODS HIGHLANDS")</f>
        <v>WESTWOODS HIGHLANDS</v>
      </c>
      <c r="Z112" s="1" t="str">
        <f>IFERROR(__xludf.DUMMYFUNCTION("""COMPUTED_VALUE"""),"LANGKAAN I")</f>
        <v>LANGKAAN I</v>
      </c>
      <c r="AA112" s="1" t="str">
        <f>IFERROR(__xludf.DUMMYFUNCTION("""COMPUTED_VALUE"""),"DASMARINAS")</f>
        <v>DASMARINAS</v>
      </c>
      <c r="AB112" s="1" t="str">
        <f>IFERROR(__xludf.DUMMYFUNCTION("""COMPUTED_VALUE"""),"CVT3 LCP6 NP1/2")</f>
        <v>CVT3 LCP6 NP1/2</v>
      </c>
      <c r="AC112" s="1" t="str">
        <f>IFERROR(__xludf.DUMMYFUNCTION("""COMPUTED_VALUE""")," 120.94602 / 14.283130")</f>
        <v> 120.94602 / 14.283130</v>
      </c>
    </row>
    <row r="113" customHeight="1" spans="1:29">
      <c r="A113" s="3">
        <f>IFERROR(__xludf.DUMMYFUNCTION("""COMPUTED_VALUE"""),46256)</f>
        <v>46256</v>
      </c>
      <c r="B113" s="1" t="str">
        <f>IFERROR(__xludf.DUMMYFUNCTION("""COMPUTED_VALUE"""),"JUDY ANNE IRANG SISTIOSIO")</f>
        <v>JUDY ANNE IRANG SISTIOSIO</v>
      </c>
      <c r="C113" s="1" t="str">
        <f>IFERROR(__xludf.DUMMYFUNCTION("""COMPUTED_VALUE"""),"RITM0307329")</f>
        <v>RITM0307329</v>
      </c>
      <c r="D113" s="1" t="str">
        <f>IFERROR(__xludf.DUMMYFUNCTION("""COMPUTED_VALUE"""),"CS1346628 / WO0908088")</f>
        <v>CS1346628 / WO0908088</v>
      </c>
      <c r="E113" s="1">
        <f>IFERROR(__xludf.DUMMYFUNCTION("""COMPUTED_VALUE"""),2926776471)</f>
        <v>2926776471</v>
      </c>
      <c r="F113" s="1" t="str">
        <f>IFERROR(__xludf.DUMMYFUNCTION("""COMPUTED_VALUE"""),"dhansamsung08@gmail.com")</f>
        <v>dhansamsung08@gmail.com</v>
      </c>
      <c r="G113" s="1" t="str">
        <f>IFERROR(__xludf.DUMMYFUNCTION("""COMPUTED_VALUE"""),"CLOSED")</f>
        <v>CLOSED</v>
      </c>
      <c r="H113" s="1"/>
      <c r="I113" s="1" t="str">
        <f>IFERROR(__xludf.DUMMYFUNCTION("""COMPUTED_VALUE"""),"QUALIFIED - 8/22")</f>
        <v>QUALIFIED - 8/22</v>
      </c>
      <c r="J113" s="1" t="str">
        <f>IFERROR(__xludf.DUMMYFUNCTION("""COMPUTED_VALUE"""),"SWITCHER PROMO")</f>
        <v>SWITCHER PROMO</v>
      </c>
      <c r="K113" s="1"/>
      <c r="L113" s="1" t="str">
        <f>IFERROR(__xludf.DUMMYFUNCTION("""COMPUTED_VALUE"""),"POSTED")</f>
        <v>POSTED</v>
      </c>
      <c r="M113" s="1" t="str">
        <f>IFERROR(__xludf.DUMMYFUNCTION("""COMPUTED_VALUE"""),"8/28/2026")</f>
        <v>8/28/2026</v>
      </c>
      <c r="N113" s="1" t="str">
        <f>IFERROR(__xludf.DUMMYFUNCTION("""COMPUTED_VALUE"""),"RED_RS_ONL_CVE_25")</f>
        <v>RED_RS_ONL_CVE_25</v>
      </c>
      <c r="O113" s="1" t="str">
        <f>IFERROR(__xludf.DUMMYFUNCTION("""COMPUTED_VALUE"""),"SWITCHER PLAN 1400")</f>
        <v>SWITCHER PLAN 1400</v>
      </c>
      <c r="P113" s="1" t="str">
        <f>IFERROR(__xludf.DUMMYFUNCTION("""COMPUTED_VALUE"""),"MMM018713")</f>
        <v>MMM018713</v>
      </c>
      <c r="Q113" s="1" t="str">
        <f>IFERROR(__xludf.DUMMYFUNCTION("""COMPUTED_VALUE"""),"BONZA, LEE VINCENT")</f>
        <v>BONZA, LEE VINCENT</v>
      </c>
      <c r="R113" s="1" t="str">
        <f>IFERROR(__xludf.DUMMYFUNCTION("""COMPUTED_VALUE"""),"GARCIA MICHAEL JETTS")</f>
        <v>GARCIA MICHAEL JETTS</v>
      </c>
      <c r="S113" s="1" t="str">
        <f>IFERROR(__xludf.DUMMYFUNCTION("""COMPUTED_VALUE"""),"ESPIRITU JULIE")</f>
        <v>ESPIRITU JULIE</v>
      </c>
      <c r="T113" s="1" t="str">
        <f>IFERROR(__xludf.DUMMYFUNCTION("""COMPUTED_VALUE"""),"SWITCHOFFER")</f>
        <v>SWITCHOFFER</v>
      </c>
      <c r="U113" s="1">
        <f>IFERROR(__xludf.DUMMYFUNCTION("""COMPUTED_VALUE"""),9287459720)</f>
        <v>9287459720</v>
      </c>
      <c r="V113" s="1"/>
      <c r="W113" s="1"/>
      <c r="X113" s="1" t="str">
        <f>IFERROR(__xludf.DUMMYFUNCTION("""COMPUTED_VALUE"""),"PHASE B")</f>
        <v>PHASE B</v>
      </c>
      <c r="Y113" s="1" t="str">
        <f>IFERROR(__xludf.DUMMYFUNCTION("""COMPUTED_VALUE"""),"PEARL RESIDENCES")</f>
        <v>PEARL RESIDENCES</v>
      </c>
      <c r="Z113" s="1" t="str">
        <f>IFERROR(__xludf.DUMMYFUNCTION("""COMPUTED_VALUE"""),"CAPIPISA")</f>
        <v>CAPIPISA</v>
      </c>
      <c r="AA113" s="1" t="str">
        <f>IFERROR(__xludf.DUMMYFUNCTION("""COMPUTED_VALUE"""),"TANZA")</f>
        <v>TANZA</v>
      </c>
      <c r="AB113" s="1"/>
      <c r="AC113" s="1" t="str">
        <f>IFERROR(__xludf.DUMMYFUNCTION("""COMPUTED_VALUE""")," 120.79635 / 14.357981")</f>
        <v> 120.79635 / 14.357981</v>
      </c>
    </row>
    <row r="114" customHeight="1" spans="1:29">
      <c r="A114" s="3">
        <f>IFERROR(__xludf.DUMMYFUNCTION("""COMPUTED_VALUE"""),46257)</f>
        <v>46257</v>
      </c>
      <c r="B114" s="1" t="str">
        <f>IFERROR(__xludf.DUMMYFUNCTION("""COMPUTED_VALUE"""),"AILLYNIED PETALLAR GALVEZ")</f>
        <v>AILLYNIED PETALLAR GALVEZ</v>
      </c>
      <c r="C114" s="1" t="str">
        <f>IFERROR(__xludf.DUMMYFUNCTION("""COMPUTED_VALUE"""),"RITM0307390")</f>
        <v>RITM0307390</v>
      </c>
      <c r="D114" s="1"/>
      <c r="E114" s="1"/>
      <c r="F114" s="1" t="str">
        <f>IFERROR(__xludf.DUMMYFUNCTION("""COMPUTED_VALUE"""),"aillyniedgalvez@gmail.com")</f>
        <v>aillyniedgalvez@gmail.com</v>
      </c>
      <c r="G114" s="1" t="str">
        <f>IFERROR(__xludf.DUMMYFUNCTION("""COMPUTED_VALUE"""),"APPROVED")</f>
        <v>APPROVED</v>
      </c>
      <c r="H114" s="1"/>
      <c r="I114" s="1" t="str">
        <f>IFERROR(__xludf.DUMMYFUNCTION("""COMPUTED_VALUE"""),"As per subs nagastos niya yung pang Installation fee - inform nalang daw po si Agent once may pang bayad na ulit 8/27")</f>
        <v>As per subs nagastos niya yung pang Installation fee - inform nalang daw po si Agent once may pang bayad na ulit 8/27</v>
      </c>
      <c r="J114" s="1"/>
      <c r="K114" s="1"/>
      <c r="L114" s="1" t="str">
        <f>IFERROR(__xludf.DUMMYFUNCTION("""COMPUTED_VALUE"""),"CANCELLED - SUBS CANCEL REQUEST")</f>
        <v>CANCELLED - SUBS CANCEL REQUEST</v>
      </c>
      <c r="M114" s="1"/>
      <c r="N114" s="1" t="str">
        <f>IFERROR(__xludf.DUMMYFUNCTION("""COMPUTED_VALUE"""),"RED_RS_ONL_CVE_25")</f>
        <v>RED_RS_ONL_CVE_25</v>
      </c>
      <c r="O114" s="1" t="str">
        <f>IFERROR(__xludf.DUMMYFUNCTION("""COMPUTED_VALUE"""),"RED FIBR 1000")</f>
        <v>RED FIBR 1000</v>
      </c>
      <c r="P114" s="1" t="str">
        <f>IFERROR(__xludf.DUMMYFUNCTION("""COMPUTED_VALUE"""),"MMM018709")</f>
        <v>MMM018709</v>
      </c>
      <c r="Q114" s="1" t="str">
        <f>IFERROR(__xludf.DUMMYFUNCTION("""COMPUTED_VALUE"""),"MORADOS, MARVIN")</f>
        <v>MORADOS, MARVIN</v>
      </c>
      <c r="R114" s="1" t="str">
        <f>IFERROR(__xludf.DUMMYFUNCTION("""COMPUTED_VALUE"""),"GARCIA MICHAEL JETTS")</f>
        <v>GARCIA MICHAEL JETTS</v>
      </c>
      <c r="S114" s="1" t="str">
        <f>IFERROR(__xludf.DUMMYFUNCTION("""COMPUTED_VALUE"""),"SALIOA JB")</f>
        <v>SALIOA JB</v>
      </c>
      <c r="T114" s="1" t="str">
        <f>IFERROR(__xludf.DUMMYFUNCTION("""COMPUTED_VALUE"""),"SP6MONTHS")</f>
        <v>SP6MONTHS</v>
      </c>
      <c r="U114" s="1">
        <f>IFERROR(__xludf.DUMMYFUNCTION("""COMPUTED_VALUE"""),9458454771)</f>
        <v>9458454771</v>
      </c>
      <c r="V114" s="1"/>
      <c r="W114" s="1">
        <f>IFERROR(__xludf.DUMMYFUNCTION("""COMPUTED_VALUE"""),624)</f>
        <v>624</v>
      </c>
      <c r="X114" s="1" t="str">
        <f>IFERROR(__xludf.DUMMYFUNCTION("""COMPUTED_VALUE"""),"TRAMO 2 RD")</f>
        <v>TRAMO 2 RD</v>
      </c>
      <c r="Y114" s="1"/>
      <c r="Z114" s="1" t="str">
        <f>IFERROR(__xludf.DUMMYFUNCTION("""COMPUTED_VALUE"""),"AMAYA II")</f>
        <v>AMAYA II</v>
      </c>
      <c r="AA114" s="1" t="str">
        <f>IFERROR(__xludf.DUMMYFUNCTION("""COMPUTED_VALUE"""),"TANZA")</f>
        <v>TANZA</v>
      </c>
      <c r="AB114" s="1"/>
      <c r="AC114" s="1" t="str">
        <f>IFERROR(__xludf.DUMMYFUNCTION("""COMPUTED_VALUE"""),"120.834733 / 14.383279")</f>
        <v>120.834733 / 14.383279</v>
      </c>
    </row>
    <row r="115" customHeight="1" spans="1:29">
      <c r="A115" s="3">
        <f>IFERROR(__xludf.DUMMYFUNCTION("""COMPUTED_VALUE"""),46257)</f>
        <v>46257</v>
      </c>
      <c r="B115" s="1" t="str">
        <f>IFERROR(__xludf.DUMMYFUNCTION("""COMPUTED_VALUE"""),"JIM BALANLAYOS BUENAFE")</f>
        <v>JIM BALANLAYOS BUENAFE</v>
      </c>
      <c r="C115" s="1" t="str">
        <f>IFERROR(__xludf.DUMMYFUNCTION("""COMPUTED_VALUE"""),"RITM0307399")</f>
        <v>RITM0307399</v>
      </c>
      <c r="D115" s="1"/>
      <c r="E115" s="1"/>
      <c r="F115" s="1" t="str">
        <f>IFERROR(__xludf.DUMMYFUNCTION("""COMPUTED_VALUE"""),"buenafe.jim23@gmail.com")</f>
        <v>buenafe.jim23@gmail.com</v>
      </c>
      <c r="G115" s="1" t="str">
        <f>IFERROR(__xludf.DUMMYFUNCTION("""COMPUTED_VALUE"""),"APPROVED")</f>
        <v>APPROVED</v>
      </c>
      <c r="H115" s="1"/>
      <c r="I115" s="1" t="str">
        <f>IFERROR(__xludf.DUMMYFUNCTION("""COMPUTED_VALUE"""),"2 KAPITBAHAY HINDI NAINSTALLAN - CANCEL nalang daw po as per agent")</f>
        <v>2 KAPITBAHAY HINDI NAINSTALLAN - CANCEL nalang daw po as per agent</v>
      </c>
      <c r="J115" s="1"/>
      <c r="K115" s="1"/>
      <c r="L115" s="1" t="str">
        <f>IFERROR(__xludf.DUMMYFUNCTION("""COMPUTED_VALUE"""),"CANCELLED - SUBS CANCEL REQUEST")</f>
        <v>CANCELLED - SUBS CANCEL REQUEST</v>
      </c>
      <c r="M115" s="1"/>
      <c r="N115" s="1" t="str">
        <f>IFERROR(__xludf.DUMMYFUNCTION("""COMPUTED_VALUE"""),"RED_RS_ONL_CVE_25")</f>
        <v>RED_RS_ONL_CVE_25</v>
      </c>
      <c r="O115" s="1" t="str">
        <f>IFERROR(__xludf.DUMMYFUNCTION("""COMPUTED_VALUE"""),"RED FIBR 1000")</f>
        <v>RED FIBR 1000</v>
      </c>
      <c r="P115" s="1" t="str">
        <f>IFERROR(__xludf.DUMMYFUNCTION("""COMPUTED_VALUE"""),"MMM018713")</f>
        <v>MMM018713</v>
      </c>
      <c r="Q115" s="1" t="str">
        <f>IFERROR(__xludf.DUMMYFUNCTION("""COMPUTED_VALUE"""),"PEREZ. RONELL")</f>
        <v>PEREZ. RONELL</v>
      </c>
      <c r="R115" s="1" t="str">
        <f>IFERROR(__xludf.DUMMYFUNCTION("""COMPUTED_VALUE"""),"GARCIA MICHAEL JETTS")</f>
        <v>GARCIA MICHAEL JETTS</v>
      </c>
      <c r="S115" s="1" t="str">
        <f>IFERROR(__xludf.DUMMYFUNCTION("""COMPUTED_VALUE"""),"SALIOA JB")</f>
        <v>SALIOA JB</v>
      </c>
      <c r="T115" s="1" t="str">
        <f>IFERROR(__xludf.DUMMYFUNCTION("""COMPUTED_VALUE"""),"SP6MONTHS")</f>
        <v>SP6MONTHS</v>
      </c>
      <c r="U115" s="1">
        <f>IFERROR(__xludf.DUMMYFUNCTION("""COMPUTED_VALUE"""),9975366023)</f>
        <v>9975366023</v>
      </c>
      <c r="V115" s="1"/>
      <c r="W115" s="1">
        <f>IFERROR(__xludf.DUMMYFUNCTION("""COMPUTED_VALUE"""),14)</f>
        <v>14</v>
      </c>
      <c r="X115" s="1" t="str">
        <f>IFERROR(__xludf.DUMMYFUNCTION("""COMPUTED_VALUE"""),"LIKO ST")</f>
        <v>LIKO ST</v>
      </c>
      <c r="Y115" s="1"/>
      <c r="Z115" s="1" t="str">
        <f>IFERROR(__xludf.DUMMYFUNCTION("""COMPUTED_VALUE"""),"AMAYA VII")</f>
        <v>AMAYA VII</v>
      </c>
      <c r="AA115" s="1" t="str">
        <f>IFERROR(__xludf.DUMMYFUNCTION("""COMPUTED_VALUE"""),"TANZA")</f>
        <v>TANZA</v>
      </c>
      <c r="AB115" s="1"/>
      <c r="AC115" s="1" t="str">
        <f>IFERROR(__xludf.DUMMYFUNCTION("""COMPUTED_VALUE"""),"120.828973 / 14.388134")</f>
        <v>120.828973 / 14.388134</v>
      </c>
    </row>
    <row r="116" customHeight="1" spans="1:29">
      <c r="A116" s="3">
        <f>IFERROR(__xludf.DUMMYFUNCTION("""COMPUTED_VALUE"""),46257)</f>
        <v>46257</v>
      </c>
      <c r="B116" s="1" t="str">
        <f>IFERROR(__xludf.DUMMYFUNCTION("""COMPUTED_VALUE"""),"JOHN DAVID ACEBUCHE SANTOS")</f>
        <v>JOHN DAVID ACEBUCHE SANTOS</v>
      </c>
      <c r="C116" s="1" t="str">
        <f>IFERROR(__xludf.DUMMYFUNCTION("""COMPUTED_VALUE"""),"RITM0307401 ")</f>
        <v>RITM0307401 </v>
      </c>
      <c r="D116" s="1" t="str">
        <f>IFERROR(__xludf.DUMMYFUNCTION("""COMPUTED_VALUE"""),"CS1346893 / WO0909368")</f>
        <v>CS1346893 / WO0909368</v>
      </c>
      <c r="E116" s="1">
        <f>IFERROR(__xludf.DUMMYFUNCTION("""COMPUTED_VALUE"""),9875443344)</f>
        <v>9875443344</v>
      </c>
      <c r="F116" s="1" t="str">
        <f>IFERROR(__xludf.DUMMYFUNCTION("""COMPUTED_VALUE"""),"genoguinjestine8@gmail.com")</f>
        <v>genoguinjestine8@gmail.com</v>
      </c>
      <c r="G116" s="1" t="str">
        <f>IFERROR(__xludf.DUMMYFUNCTION("""COMPUTED_VALUE"""),"APPROVED")</f>
        <v>APPROVED</v>
      </c>
      <c r="H116" s="1"/>
      <c r="I116" s="1" t="str">
        <f>IFERROR(__xludf.DUMMYFUNCTION("""COMPUTED_VALUE"""),"QUALIFIED - 8/29")</f>
        <v>QUALIFIED - 8/29</v>
      </c>
      <c r="J116" s="1" t="str">
        <f>IFERROR(__xludf.DUMMYFUNCTION("""COMPUTED_VALUE"""),"PAID VIA GCASH REF 828215791 AUG 29")</f>
        <v>PAID VIA GCASH REF 828215791 AUG 29</v>
      </c>
      <c r="K116" s="1" t="str">
        <f>IFERROR(__xludf.DUMMYFUNCTION("""COMPUTED_VALUE"""),"PAID")</f>
        <v>PAID</v>
      </c>
      <c r="L116" s="1" t="str">
        <f>IFERROR(__xludf.DUMMYFUNCTION("""COMPUTED_VALUE"""),"PAID - FOR INSTALLATION")</f>
        <v>PAID - FOR INSTALLATION</v>
      </c>
      <c r="M116" s="1"/>
      <c r="N116" s="1" t="str">
        <f>IFERROR(__xludf.DUMMYFUNCTION("""COMPUTED_VALUE"""),"RED_RS_ONL_CVE_25")</f>
        <v>RED_RS_ONL_CVE_25</v>
      </c>
      <c r="O116" s="1" t="str">
        <f>IFERROR(__xludf.DUMMYFUNCTION("""COMPUTED_VALUE"""),"RED FIBR 1000")</f>
        <v>RED FIBR 1000</v>
      </c>
      <c r="P116" s="1" t="str">
        <f>IFERROR(__xludf.DUMMYFUNCTION("""COMPUTED_VALUE"""),"MMM018713")</f>
        <v>MMM018713</v>
      </c>
      <c r="Q116" s="1" t="str">
        <f>IFERROR(__xludf.DUMMYFUNCTION("""COMPUTED_VALUE"""),"PEREZ. RONELL")</f>
        <v>PEREZ. RONELL</v>
      </c>
      <c r="R116" s="1" t="str">
        <f>IFERROR(__xludf.DUMMYFUNCTION("""COMPUTED_VALUE"""),"GARCIA MICHAEL JETTS")</f>
        <v>GARCIA MICHAEL JETTS</v>
      </c>
      <c r="S116" s="1" t="str">
        <f>IFERROR(__xludf.DUMMYFUNCTION("""COMPUTED_VALUE"""),"SALIOA JB")</f>
        <v>SALIOA JB</v>
      </c>
      <c r="T116" s="1" t="str">
        <f>IFERROR(__xludf.DUMMYFUNCTION("""COMPUTED_VALUE"""),"SP6MONTHS")</f>
        <v>SP6MONTHS</v>
      </c>
      <c r="U116" s="1">
        <f>IFERROR(__xludf.DUMMYFUNCTION("""COMPUTED_VALUE"""),9941198098)</f>
        <v>9941198098</v>
      </c>
      <c r="V116" s="1"/>
      <c r="W116" s="1">
        <f>IFERROR(__xludf.DUMMYFUNCTION("""COMPUTED_VALUE"""),9089)</f>
        <v>9089</v>
      </c>
      <c r="X116" s="1" t="str">
        <f>IFERROR(__xludf.DUMMYFUNCTION("""COMPUTED_VALUE"""),"J.B PEREZ ST")</f>
        <v>J.B PEREZ ST</v>
      </c>
      <c r="Y116" s="1"/>
      <c r="Z116" s="1" t="str">
        <f>IFERROR(__xludf.DUMMYFUNCTION("""COMPUTED_VALUE"""),"AMAYA VII")</f>
        <v>AMAYA VII</v>
      </c>
      <c r="AA116" s="1" t="str">
        <f>IFERROR(__xludf.DUMMYFUNCTION("""COMPUTED_VALUE"""),"TANZA")</f>
        <v>TANZA</v>
      </c>
      <c r="AB116" s="1"/>
      <c r="AC116" s="1" t="str">
        <f>IFERROR(__xludf.DUMMYFUNCTION("""COMPUTED_VALUE"""),"120.829485 / 14.388771")</f>
        <v>120.829485 / 14.388771</v>
      </c>
    </row>
    <row r="117" customHeight="1" spans="1:29">
      <c r="A117" s="3">
        <f>IFERROR(__xludf.DUMMYFUNCTION("""COMPUTED_VALUE"""),46257)</f>
        <v>46257</v>
      </c>
      <c r="B117" s="1" t="str">
        <f>IFERROR(__xludf.DUMMYFUNCTION("""COMPUTED_VALUE"""),"RICO ABEDES NULLA")</f>
        <v>RICO ABEDES NULLA</v>
      </c>
      <c r="C117" s="1" t="str">
        <f>IFERROR(__xludf.DUMMYFUNCTION("""COMPUTED_VALUE"""),"RITM0307404")</f>
        <v>RITM0307404</v>
      </c>
      <c r="D117" s="1"/>
      <c r="E117" s="1"/>
      <c r="F117" s="1" t="str">
        <f>IFERROR(__xludf.DUMMYFUNCTION("""COMPUTED_VALUE"""),"ricsnulla@gmail.com")</f>
        <v>ricsnulla@gmail.com</v>
      </c>
      <c r="G117" s="1" t="str">
        <f>IFERROR(__xludf.DUMMYFUNCTION("""COMPUTED_VALUE"""),"APPROVED")</f>
        <v>APPROVED</v>
      </c>
      <c r="H117" s="1"/>
      <c r="I117" s="1" t="str">
        <f>IFERROR(__xludf.DUMMYFUNCTION("""COMPUTED_VALUE"""),"As per Agent nakausap na and hihihintay lang yung asawa - 8/24")</f>
        <v>As per Agent nakausap na and hihihintay lang yung asawa - 8/24</v>
      </c>
      <c r="J117" s="1"/>
      <c r="K117" s="1"/>
      <c r="L117" s="1" t="str">
        <f>IFERROR(__xludf.DUMMYFUNCTION("""COMPUTED_VALUE"""),"CANCELLED - SUBS CANCEL REQUEST")</f>
        <v>CANCELLED - SUBS CANCEL REQUEST</v>
      </c>
      <c r="M117" s="1"/>
      <c r="N117" s="1" t="str">
        <f>IFERROR(__xludf.DUMMYFUNCTION("""COMPUTED_VALUE"""),"RED_RS_HH_CVE_25")</f>
        <v>RED_RS_HH_CVE_25</v>
      </c>
      <c r="O117" s="1" t="str">
        <f>IFERROR(__xludf.DUMMYFUNCTION("""COMPUTED_VALUE"""),"RED FIBR 1000")</f>
        <v>RED FIBR 1000</v>
      </c>
      <c r="P117" s="1" t="str">
        <f>IFERROR(__xludf.DUMMYFUNCTION("""COMPUTED_VALUE"""),"MMM018711")</f>
        <v>MMM018711</v>
      </c>
      <c r="Q117" s="1" t="str">
        <f>IFERROR(__xludf.DUMMYFUNCTION("""COMPUTED_VALUE"""),"ALOS, CHARLS")</f>
        <v>ALOS, CHARLS</v>
      </c>
      <c r="R117" s="1" t="str">
        <f>IFERROR(__xludf.DUMMYFUNCTION("""COMPUTED_VALUE"""),"REMOLLO LEA")</f>
        <v>REMOLLO LEA</v>
      </c>
      <c r="S117" s="1" t="str">
        <f>IFERROR(__xludf.DUMMYFUNCTION("""COMPUTED_VALUE"""),"SALIOA JB")</f>
        <v>SALIOA JB</v>
      </c>
      <c r="T117" s="1" t="str">
        <f>IFERROR(__xludf.DUMMYFUNCTION("""COMPUTED_VALUE"""),"SP6MONTHS")</f>
        <v>SP6MONTHS</v>
      </c>
      <c r="U117" s="1">
        <f>IFERROR(__xludf.DUMMYFUNCTION("""COMPUTED_VALUE"""),9303736317)</f>
        <v>9303736317</v>
      </c>
      <c r="V117" s="1"/>
      <c r="W117" s="1">
        <f>IFERROR(__xludf.DUMMYFUNCTION("""COMPUTED_VALUE"""),333)</f>
        <v>333</v>
      </c>
      <c r="X117" s="1" t="str">
        <f>IFERROR(__xludf.DUMMYFUNCTION("""COMPUTED_VALUE"""),"MABINI STREET")</f>
        <v>MABINI STREET</v>
      </c>
      <c r="Y117" s="1"/>
      <c r="Z117" s="1" t="str">
        <f>IFERROR(__xludf.DUMMYFUNCTION("""COMPUTED_VALUE"""),"POBLACION III (BARANGAY III)")</f>
        <v>POBLACION III (BARANGAY III)</v>
      </c>
      <c r="AA117" s="1" t="str">
        <f>IFERROR(__xludf.DUMMYFUNCTION("""COMPUTED_VALUE"""),"MENDEZ")</f>
        <v>MENDEZ</v>
      </c>
      <c r="AB117" s="1" t="str">
        <f>IFERROR(__xludf.DUMMYFUNCTION("""COMPUTED_VALUE"""),"CVT2 LCP57 NAP2")</f>
        <v>CVT2 LCP57 NAP2</v>
      </c>
      <c r="AC117" s="1" t="str">
        <f>IFERROR(__xludf.DUMMYFUNCTION("""COMPUTED_VALUE"""),"120.906248 / 14.131615")</f>
        <v>120.906248 / 14.131615</v>
      </c>
    </row>
    <row r="118" customHeight="1" spans="1:29">
      <c r="A118" s="3">
        <f>IFERROR(__xludf.DUMMYFUNCTION("""COMPUTED_VALUE"""),46257)</f>
        <v>46257</v>
      </c>
      <c r="B118" s="1" t="str">
        <f>IFERROR(__xludf.DUMMYFUNCTION("""COMPUTED_VALUE"""),"CATHERINE TIBAYAN ALINSUNURIN")</f>
        <v>CATHERINE TIBAYAN ALINSUNURIN</v>
      </c>
      <c r="C118" s="1" t="str">
        <f>IFERROR(__xludf.DUMMYFUNCTION("""COMPUTED_VALUE"""),"RITM0307407")</f>
        <v>RITM0307407</v>
      </c>
      <c r="D118" s="1"/>
      <c r="E118" s="1"/>
      <c r="F118" s="1" t="str">
        <f>IFERROR(__xludf.DUMMYFUNCTION("""COMPUTED_VALUE"""),"jaysieespinoalinsunurin@gmail.com")</f>
        <v>jaysieespinoalinsunurin@gmail.com</v>
      </c>
      <c r="G118" s="1" t="str">
        <f>IFERROR(__xludf.DUMMYFUNCTION("""COMPUTED_VALUE"""),"REJECTED")</f>
        <v>REJECTED</v>
      </c>
      <c r="H118" s="1"/>
      <c r="I118" s="1" t="str">
        <f>IFERROR(__xludf.DUMMYFUNCTION("""COMPUTED_VALUE"""),"REJECTED: MISMACTHED ADDRESS IN CRP (OREGANO) VS SAF (GREGANO) //KINDLY CONFIRM THE STREET")</f>
        <v>REJECTED: MISMACTHED ADDRESS IN CRP (OREGANO) VS SAF (GREGANO) //KINDLY CONFIRM THE STREET</v>
      </c>
      <c r="J118" s="1"/>
      <c r="K118" s="1"/>
      <c r="L118" s="1" t="str">
        <f>IFERROR(__xludf.DUMMYFUNCTION("""COMPUTED_VALUE"""),"REENCODED")</f>
        <v>REENCODED</v>
      </c>
      <c r="M118" s="1"/>
      <c r="N118" s="1" t="str">
        <f>IFERROR(__xludf.DUMMYFUNCTION("""COMPUTED_VALUE"""),"RED_RS_HH_CVE_25")</f>
        <v>RED_RS_HH_CVE_25</v>
      </c>
      <c r="O118" s="1" t="str">
        <f>IFERROR(__xludf.DUMMYFUNCTION("""COMPUTED_VALUE"""),"RED FIBR 1000")</f>
        <v>RED FIBR 1000</v>
      </c>
      <c r="P118" s="1" t="str">
        <f>IFERROR(__xludf.DUMMYFUNCTION("""COMPUTED_VALUE"""),"MMM018711")</f>
        <v>MMM018711</v>
      </c>
      <c r="Q118" s="1" t="str">
        <f>IFERROR(__xludf.DUMMYFUNCTION("""COMPUTED_VALUE"""),"ARENA, LYKA")</f>
        <v>ARENA, LYKA</v>
      </c>
      <c r="R118" s="1" t="str">
        <f>IFERROR(__xludf.DUMMYFUNCTION("""COMPUTED_VALUE"""),"REMOLLO LEA")</f>
        <v>REMOLLO LEA</v>
      </c>
      <c r="S118" s="1" t="str">
        <f>IFERROR(__xludf.DUMMYFUNCTION("""COMPUTED_VALUE"""),"SALIOA JB")</f>
        <v>SALIOA JB</v>
      </c>
      <c r="T118" s="1" t="str">
        <f>IFERROR(__xludf.DUMMYFUNCTION("""COMPUTED_VALUE"""),"SP6MONTHS")</f>
        <v>SP6MONTHS</v>
      </c>
      <c r="U118" s="1">
        <f>IFERROR(__xludf.DUMMYFUNCTION("""COMPUTED_VALUE"""),9435633918)</f>
        <v>9435633918</v>
      </c>
      <c r="V118" s="1">
        <f>IFERROR(__xludf.DUMMYFUNCTION("""COMPUTED_VALUE"""),9074929717)</f>
        <v>9074929717</v>
      </c>
      <c r="W118" s="1">
        <f>IFERROR(__xludf.DUMMYFUNCTION("""COMPUTED_VALUE"""),99)</f>
        <v>99</v>
      </c>
      <c r="X118" s="1" t="str">
        <f>IFERROR(__xludf.DUMMYFUNCTION("""COMPUTED_VALUE"""),"OREGANO ST")</f>
        <v>OREGANO ST</v>
      </c>
      <c r="Y118" s="1" t="str">
        <f>IFERROR(__xludf.DUMMYFUNCTION("""COMPUTED_VALUE"""),"PUROK 6")</f>
        <v>PUROK 6</v>
      </c>
      <c r="Z118" s="1" t="str">
        <f>IFERROR(__xludf.DUMMYFUNCTION("""COMPUTED_VALUE"""),"ULAT")</f>
        <v>ULAT</v>
      </c>
      <c r="AA118" s="1" t="str">
        <f>IFERROR(__xludf.DUMMYFUNCTION("""COMPUTED_VALUE"""),"SILANG")</f>
        <v>SILANG</v>
      </c>
      <c r="AB118" s="1" t="str">
        <f>IFERROR(__xludf.DUMMYFUNCTION("""COMPUTED_VALUE"""),"CVT2 LCP37 NAP1")</f>
        <v>CVT2 LCP37 NAP1</v>
      </c>
      <c r="AC118" s="1" t="str">
        <f>IFERROR(__xludf.DUMMYFUNCTION("""COMPUTED_VALUE"""),"120.988702 / 14.146742")</f>
        <v>120.988702 / 14.146742</v>
      </c>
    </row>
    <row r="119" customHeight="1" spans="1:29">
      <c r="A119" s="3">
        <f>IFERROR(__xludf.DUMMYFUNCTION("""COMPUTED_VALUE"""),46257)</f>
        <v>46257</v>
      </c>
      <c r="B119" s="1" t="str">
        <f>IFERROR(__xludf.DUMMYFUNCTION("""COMPUTED_VALUE"""),"MIKAELA GIVERA")</f>
        <v>MIKAELA GIVERA</v>
      </c>
      <c r="C119" s="1" t="str">
        <f>IFERROR(__xludf.DUMMYFUNCTION("""COMPUTED_VALUE"""),"RITM0307412")</f>
        <v>RITM0307412</v>
      </c>
      <c r="D119" s="1"/>
      <c r="E119" s="1"/>
      <c r="F119" s="1" t="str">
        <f>IFERROR(__xludf.DUMMYFUNCTION("""COMPUTED_VALUE"""),"giveramikaela075@gmail.com")</f>
        <v>giveramikaela075@gmail.com</v>
      </c>
      <c r="G119" s="1" t="str">
        <f>IFERROR(__xludf.DUMMYFUNCTION("""COMPUTED_VALUE"""),"REJECTED")</f>
        <v>REJECTED</v>
      </c>
      <c r="H119" s="1"/>
      <c r="I119" s="1" t="str">
        <f>IFERROR(__xludf.DUMMYFUNCTION("""COMPUTED_VALUE"""),"REJECTED: KINDLY PROVIDE THE ORIGINAL COPY OF SOA WITH ADDRESS")</f>
        <v>REJECTED: KINDLY PROVIDE THE ORIGINAL COPY OF SOA WITH ADDRESS</v>
      </c>
      <c r="J119" s="1"/>
      <c r="K119" s="1"/>
      <c r="L119" s="1" t="str">
        <f>IFERROR(__xludf.DUMMYFUNCTION("""COMPUTED_VALUE"""),"CUSTOMERS COMPLIANCE - REQS")</f>
        <v>CUSTOMERS COMPLIANCE - REQS</v>
      </c>
      <c r="M119" s="1"/>
      <c r="N119" s="1" t="str">
        <f>IFERROR(__xludf.DUMMYFUNCTION("""COMPUTED_VALUE"""),"RED_RS_ONL_CVE_25")</f>
        <v>RED_RS_ONL_CVE_25</v>
      </c>
      <c r="O119" s="1" t="str">
        <f>IFERROR(__xludf.DUMMYFUNCTION("""COMPUTED_VALUE"""),"SWITCHER PLAN 900")</f>
        <v>SWITCHER PLAN 900</v>
      </c>
      <c r="P119" s="1" t="str">
        <f>IFERROR(__xludf.DUMMYFUNCTION("""COMPUTED_VALUE"""),"MMM018713")</f>
        <v>MMM018713</v>
      </c>
      <c r="Q119" s="1" t="str">
        <f>IFERROR(__xludf.DUMMYFUNCTION("""COMPUTED_VALUE"""),"BONZA, LEE VINCENT")</f>
        <v>BONZA, LEE VINCENT</v>
      </c>
      <c r="R119" s="1" t="str">
        <f>IFERROR(__xludf.DUMMYFUNCTION("""COMPUTED_VALUE"""),"GARCIA MICHAEL JETTS")</f>
        <v>GARCIA MICHAEL JETTS</v>
      </c>
      <c r="S119" s="1" t="str">
        <f>IFERROR(__xludf.DUMMYFUNCTION("""COMPUTED_VALUE"""),"SALIOA JB")</f>
        <v>SALIOA JB</v>
      </c>
      <c r="T119" s="1" t="str">
        <f>IFERROR(__xludf.DUMMYFUNCTION("""COMPUTED_VALUE"""),"SWITCHOFFER")</f>
        <v>SWITCHOFFER</v>
      </c>
      <c r="U119" s="1">
        <f>IFERROR(__xludf.DUMMYFUNCTION("""COMPUTED_VALUE"""),9484283972)</f>
        <v>9484283972</v>
      </c>
      <c r="V119" s="1"/>
      <c r="W119" s="1">
        <f>IFERROR(__xludf.DUMMYFUNCTION("""COMPUTED_VALUE"""),137)</f>
        <v>137</v>
      </c>
      <c r="X119" s="1" t="str">
        <f>IFERROR(__xludf.DUMMYFUNCTION("""COMPUTED_VALUE"""),"DR V SOLIS ST")</f>
        <v>DR V SOLIS ST</v>
      </c>
      <c r="Y119" s="1"/>
      <c r="Z119" s="1" t="str">
        <f>IFERROR(__xludf.DUMMYFUNCTION("""COMPUTED_VALUE"""),"JULUGAN I")</f>
        <v>JULUGAN I</v>
      </c>
      <c r="AA119" s="1" t="str">
        <f>IFERROR(__xludf.DUMMYFUNCTION("""COMPUTED_VALUE"""),"TANZA")</f>
        <v>TANZA</v>
      </c>
      <c r="AB119" s="1"/>
      <c r="AC119" s="1" t="str">
        <f>IFERROR(__xludf.DUMMYFUNCTION("""COMPUTED_VALUE"""),"120.844958 / 14.404945")</f>
        <v>120.844958 / 14.404945</v>
      </c>
    </row>
    <row r="120" customHeight="1" spans="1:29">
      <c r="A120" s="3">
        <f>IFERROR(__xludf.DUMMYFUNCTION("""COMPUTED_VALUE"""),46257)</f>
        <v>46257</v>
      </c>
      <c r="B120" s="1" t="str">
        <f>IFERROR(__xludf.DUMMYFUNCTION("""COMPUTED_VALUE"""),"JERICK ANGELO CAUNCERAN")</f>
        <v>JERICK ANGELO CAUNCERAN</v>
      </c>
      <c r="C120" s="1" t="str">
        <f>IFERROR(__xludf.DUMMYFUNCTION("""COMPUTED_VALUE"""),"RITM0307426")</f>
        <v>RITM0307426</v>
      </c>
      <c r="D120" s="1" t="str">
        <f>IFERROR(__xludf.DUMMYFUNCTION("""COMPUTED_VALUE"""),"CS1347069 / WO0908399")</f>
        <v>CS1347069 / WO0908399</v>
      </c>
      <c r="E120" s="1">
        <f>IFERROR(__xludf.DUMMYFUNCTION("""COMPUTED_VALUE"""),3154115199)</f>
        <v>3154115199</v>
      </c>
      <c r="F120" s="1" t="str">
        <f>IFERROR(__xludf.DUMMYFUNCTION("""COMPUTED_VALUE"""),"kimcyrishcaunceran@gmail.com")</f>
        <v>kimcyrishcaunceran@gmail.com</v>
      </c>
      <c r="G120" s="1" t="str">
        <f>IFERROR(__xludf.DUMMYFUNCTION("""COMPUTED_VALUE"""),"CLOSED")</f>
        <v>CLOSED</v>
      </c>
      <c r="H120" s="1"/>
      <c r="I120" s="1" t="str">
        <f>IFERROR(__xludf.DUMMYFUNCTION("""COMPUTED_VALUE"""),"QUALIFIED - 8/24")</f>
        <v>QUALIFIED - 8/24</v>
      </c>
      <c r="J120" s="1" t="str">
        <f>IFERROR(__xludf.DUMMYFUNCTION("""COMPUTED_VALUE"""),"PAID VIA GCASH - AUG 23 - REF - 086518285")</f>
        <v>PAID VIA GCASH - AUG 23 - REF - 086518285</v>
      </c>
      <c r="K120" s="1" t="str">
        <f>IFERROR(__xludf.DUMMYFUNCTION("""COMPUTED_VALUE"""),"PAID")</f>
        <v>PAID</v>
      </c>
      <c r="L120" s="1" t="str">
        <f>IFERROR(__xludf.DUMMYFUNCTION("""COMPUTED_VALUE"""),"POSTED")</f>
        <v>POSTED</v>
      </c>
      <c r="M120" s="1" t="str">
        <f>IFERROR(__xludf.DUMMYFUNCTION("""COMPUTED_VALUE"""),"8/25/2026")</f>
        <v>8/25/2026</v>
      </c>
      <c r="N120" s="1" t="str">
        <f>IFERROR(__xludf.DUMMYFUNCTION("""COMPUTED_VALUE"""),"RED_RS_ONL_CVE_25")</f>
        <v>RED_RS_ONL_CVE_25</v>
      </c>
      <c r="O120" s="1" t="str">
        <f>IFERROR(__xludf.DUMMYFUNCTION("""COMPUTED_VALUE"""),"RED FIBR 1000")</f>
        <v>RED FIBR 1000</v>
      </c>
      <c r="P120" s="1" t="str">
        <f>IFERROR(__xludf.DUMMYFUNCTION("""COMPUTED_VALUE"""),"MMM018713")</f>
        <v>MMM018713</v>
      </c>
      <c r="Q120" s="1" t="str">
        <f>IFERROR(__xludf.DUMMYFUNCTION("""COMPUTED_VALUE"""),"MATUDAN. LEBRON JAMES")</f>
        <v>MATUDAN. LEBRON JAMES</v>
      </c>
      <c r="R120" s="1" t="str">
        <f>IFERROR(__xludf.DUMMYFUNCTION("""COMPUTED_VALUE"""),"GARCIA MICHAEL JETTS")</f>
        <v>GARCIA MICHAEL JETTS</v>
      </c>
      <c r="S120" s="1" t="str">
        <f>IFERROR(__xludf.DUMMYFUNCTION("""COMPUTED_VALUE"""),"SALIOA JB")</f>
        <v>SALIOA JB</v>
      </c>
      <c r="T120" s="1" t="str">
        <f>IFERROR(__xludf.DUMMYFUNCTION("""COMPUTED_VALUE"""),"SP6MONTHS")</f>
        <v>SP6MONTHS</v>
      </c>
      <c r="U120" s="1">
        <f>IFERROR(__xludf.DUMMYFUNCTION("""COMPUTED_VALUE"""),9854665632)</f>
        <v>9854665632</v>
      </c>
      <c r="V120" s="1"/>
      <c r="W120" s="1">
        <f>IFERROR(__xludf.DUMMYFUNCTION("""COMPUTED_VALUE"""),54)</f>
        <v>54</v>
      </c>
      <c r="X120" s="1" t="str">
        <f>IFERROR(__xludf.DUMMYFUNCTION("""COMPUTED_VALUE"""),"STA CRUZ ST")</f>
        <v>STA CRUZ ST</v>
      </c>
      <c r="Y120" s="1"/>
      <c r="Z120" s="1" t="str">
        <f>IFERROR(__xludf.DUMMYFUNCTION("""COMPUTED_VALUE"""),"BARANGAY IV (POB.)")</f>
        <v>BARANGAY IV (POB.)</v>
      </c>
      <c r="AA120" s="1" t="str">
        <f>IFERROR(__xludf.DUMMYFUNCTION("""COMPUTED_VALUE"""),"TANZA")</f>
        <v>TANZA</v>
      </c>
      <c r="AB120" s="1"/>
      <c r="AC120" s="1" t="str">
        <f>IFERROR(__xludf.DUMMYFUNCTION("""COMPUTED_VALUE"""),"120.859660 / 14.397336")</f>
        <v>120.859660 / 14.397336</v>
      </c>
    </row>
    <row r="121" customHeight="1" spans="1:29">
      <c r="A121" s="3">
        <f>IFERROR(__xludf.DUMMYFUNCTION("""COMPUTED_VALUE"""),46257)</f>
        <v>46257</v>
      </c>
      <c r="B121" s="1" t="str">
        <f>IFERROR(__xludf.DUMMYFUNCTION("""COMPUTED_VALUE"""),"JAN RENN OXIMINA ARLE")</f>
        <v>JAN RENN OXIMINA ARLE</v>
      </c>
      <c r="C121" s="1" t="str">
        <f>IFERROR(__xludf.DUMMYFUNCTION("""COMPUTED_VALUE"""),"RITM0307432")</f>
        <v>RITM0307432</v>
      </c>
      <c r="D121" s="1"/>
      <c r="E121" s="1"/>
      <c r="F121" s="1" t="str">
        <f>IFERROR(__xludf.DUMMYFUNCTION("""COMPUTED_VALUE"""),"janrenarle@gmail.com")</f>
        <v>janrenarle@gmail.com</v>
      </c>
      <c r="G121" s="1" t="str">
        <f>IFERROR(__xludf.DUMMYFUNCTION("""COMPUTED_VALUE"""),"REJECTED")</f>
        <v>REJECTED</v>
      </c>
      <c r="H121" s="1"/>
      <c r="I121" s="1" t="str">
        <f>IFERROR(__xludf.DUMMYFUNCTION("""COMPUTED_VALUE"""),"REJECTED INVALID SOA (BLURRED COPY) KINDLY PROVIDE CLEAR COPY OF SOA")</f>
        <v>REJECTED INVALID SOA (BLURRED COPY) KINDLY PROVIDE CLEAR COPY OF SOA</v>
      </c>
      <c r="J121" s="1"/>
      <c r="K121" s="1"/>
      <c r="L121" s="1" t="str">
        <f>IFERROR(__xludf.DUMMYFUNCTION("""COMPUTED_VALUE"""),"REENCODED")</f>
        <v>REENCODED</v>
      </c>
      <c r="M121" s="1"/>
      <c r="N121" s="1" t="str">
        <f>IFERROR(__xludf.DUMMYFUNCTION("""COMPUTED_VALUE"""),"RED_RS_ONL_CVE_25")</f>
        <v>RED_RS_ONL_CVE_25</v>
      </c>
      <c r="O121" s="1" t="str">
        <f>IFERROR(__xludf.DUMMYFUNCTION("""COMPUTED_VALUE"""),"SWITCHER PLAN 1400")</f>
        <v>SWITCHER PLAN 1400</v>
      </c>
      <c r="P121" s="1" t="str">
        <f>IFERROR(__xludf.DUMMYFUNCTION("""COMPUTED_VALUE"""),"MMM018713")</f>
        <v>MMM018713</v>
      </c>
      <c r="Q121" s="1" t="str">
        <f>IFERROR(__xludf.DUMMYFUNCTION("""COMPUTED_VALUE"""),"PEREZ. RONELL")</f>
        <v>PEREZ. RONELL</v>
      </c>
      <c r="R121" s="1" t="str">
        <f>IFERROR(__xludf.DUMMYFUNCTION("""COMPUTED_VALUE"""),"GARCIA MICHAEL JETTS")</f>
        <v>GARCIA MICHAEL JETTS</v>
      </c>
      <c r="S121" s="1" t="str">
        <f>IFERROR(__xludf.DUMMYFUNCTION("""COMPUTED_VALUE"""),"SALIOA JB")</f>
        <v>SALIOA JB</v>
      </c>
      <c r="T121" s="1" t="str">
        <f>IFERROR(__xludf.DUMMYFUNCTION("""COMPUTED_VALUE"""),"SWITCHOFFER")</f>
        <v>SWITCHOFFER</v>
      </c>
      <c r="U121" s="1">
        <f>IFERROR(__xludf.DUMMYFUNCTION("""COMPUTED_VALUE"""),9761570664)</f>
        <v>9761570664</v>
      </c>
      <c r="V121" s="1"/>
      <c r="W121" s="1">
        <f>IFERROR(__xludf.DUMMYFUNCTION("""COMPUTED_VALUE"""),483)</f>
        <v>483</v>
      </c>
      <c r="X121" s="1" t="str">
        <f>IFERROR(__xludf.DUMMYFUNCTION("""COMPUTED_VALUE"""),"TRAMO KANLURAN RD")</f>
        <v>TRAMO KANLURAN RD</v>
      </c>
      <c r="Y121" s="1"/>
      <c r="Z121" s="1" t="str">
        <f>IFERROR(__xludf.DUMMYFUNCTION("""COMPUTED_VALUE"""),"HALAYHAY")</f>
        <v>HALAYHAY</v>
      </c>
      <c r="AA121" s="1" t="str">
        <f>IFERROR(__xludf.DUMMYFUNCTION("""COMPUTED_VALUE"""),"TANZA")</f>
        <v>TANZA</v>
      </c>
      <c r="AB121" s="1"/>
      <c r="AC121" s="1" t="str">
        <f>IFERROR(__xludf.DUMMYFUNCTION("""COMPUTED_VALUE"""),"120.813951 / 14.372251")</f>
        <v>120.813951 / 14.372251</v>
      </c>
    </row>
    <row r="122" customHeight="1" spans="1:29">
      <c r="A122" s="3">
        <f>IFERROR(__xludf.DUMMYFUNCTION("""COMPUTED_VALUE"""),46257)</f>
        <v>46257</v>
      </c>
      <c r="B122" s="1" t="str">
        <f>IFERROR(__xludf.DUMMYFUNCTION("""COMPUTED_VALUE"""),"ALEXA ALEYAH ENTINO ALCAZAREN")</f>
        <v>ALEXA ALEYAH ENTINO ALCAZAREN</v>
      </c>
      <c r="C122" s="1" t="str">
        <f>IFERROR(__xludf.DUMMYFUNCTION("""COMPUTED_VALUE"""),"RITM0307435")</f>
        <v>RITM0307435</v>
      </c>
      <c r="D122" s="1"/>
      <c r="E122" s="1">
        <f>IFERROR(__xludf.DUMMYFUNCTION("""COMPUTED_VALUE"""),8639747326)</f>
        <v>8639747326</v>
      </c>
      <c r="F122" s="1" t="str">
        <f>IFERROR(__xludf.DUMMYFUNCTION("""COMPUTED_VALUE"""),"entinoalexa17@gmail.com")</f>
        <v>entinoalexa17@gmail.com</v>
      </c>
      <c r="G122" s="1" t="str">
        <f>IFERROR(__xludf.DUMMYFUNCTION("""COMPUTED_VALUE"""),"APPROVED")</f>
        <v>APPROVED</v>
      </c>
      <c r="H122" s="1"/>
      <c r="I122" s="1"/>
      <c r="J122" s="1"/>
      <c r="K122" s="1"/>
      <c r="L122" s="1" t="str">
        <f>IFERROR(__xludf.DUMMYFUNCTION("""COMPUTED_VALUE"""),"CANCELLED - FOR PAYMENT - AUTO AGING")</f>
        <v>CANCELLED - FOR PAYMENT - AUTO AGING</v>
      </c>
      <c r="M122" s="1"/>
      <c r="N122" s="1" t="str">
        <f>IFERROR(__xludf.DUMMYFUNCTION("""COMPUTED_VALUE"""),"RED_RS_ONL_CVE_25")</f>
        <v>RED_RS_ONL_CVE_25</v>
      </c>
      <c r="O122" s="1" t="str">
        <f>IFERROR(__xludf.DUMMYFUNCTION("""COMPUTED_VALUE"""),"RED FIBR 1000")</f>
        <v>RED FIBR 1000</v>
      </c>
      <c r="P122" s="1" t="str">
        <f>IFERROR(__xludf.DUMMYFUNCTION("""COMPUTED_VALUE"""),"MMM018712")</f>
        <v>MMM018712</v>
      </c>
      <c r="Q122" s="1" t="str">
        <f>IFERROR(__xludf.DUMMYFUNCTION("""COMPUTED_VALUE"""),"LUPENA. KARL ANGELO")</f>
        <v>LUPENA. KARL ANGELO</v>
      </c>
      <c r="R122" s="1" t="str">
        <f>IFERROR(__xludf.DUMMYFUNCTION("""COMPUTED_VALUE"""),"GARCIA MICHAEL JETTS")</f>
        <v>GARCIA MICHAEL JETTS</v>
      </c>
      <c r="S122" s="1" t="str">
        <f>IFERROR(__xludf.DUMMYFUNCTION("""COMPUTED_VALUE"""),"SALIOA JB")</f>
        <v>SALIOA JB</v>
      </c>
      <c r="T122" s="1" t="str">
        <f>IFERROR(__xludf.DUMMYFUNCTION("""COMPUTED_VALUE"""),"SP6MONTHS")</f>
        <v>SP6MONTHS</v>
      </c>
      <c r="U122" s="1">
        <f>IFERROR(__xludf.DUMMYFUNCTION("""COMPUTED_VALUE"""),9972170702)</f>
        <v>9972170702</v>
      </c>
      <c r="V122" s="1"/>
      <c r="W122" s="1">
        <f>IFERROR(__xludf.DUMMYFUNCTION("""COMPUTED_VALUE"""),10012)</f>
        <v>10012</v>
      </c>
      <c r="X122" s="1" t="str">
        <f>IFERROR(__xludf.DUMMYFUNCTION("""COMPUTED_VALUE"""),"GARDEN COAST RD")</f>
        <v>GARDEN COAST RD</v>
      </c>
      <c r="Y122" s="1"/>
      <c r="Z122" s="1" t="str">
        <f>IFERROR(__xludf.DUMMYFUNCTION("""COMPUTED_VALUE"""),"CAPIPISA")</f>
        <v>CAPIPISA</v>
      </c>
      <c r="AA122" s="1" t="str">
        <f>IFERROR(__xludf.DUMMYFUNCTION("""COMPUTED_VALUE"""),"TANZA")</f>
        <v>TANZA</v>
      </c>
      <c r="AB122" s="1"/>
      <c r="AC122" s="1" t="str">
        <f>IFERROR(__xludf.DUMMYFUNCTION("""COMPUTED_VALUE"""),"120.783349 / 14.350267")</f>
        <v>120.783349 / 14.350267</v>
      </c>
    </row>
    <row r="123" customHeight="1" spans="1:29">
      <c r="A123" s="3">
        <f>IFERROR(__xludf.DUMMYFUNCTION("""COMPUTED_VALUE"""),46257)</f>
        <v>46257</v>
      </c>
      <c r="B123" s="1" t="str">
        <f>IFERROR(__xludf.DUMMYFUNCTION("""COMPUTED_VALUE"""),"NOEL EDROSO REVERENTE")</f>
        <v>NOEL EDROSO REVERENTE</v>
      </c>
      <c r="C123" s="1" t="str">
        <f>IFERROR(__xludf.DUMMYFUNCTION("""COMPUTED_VALUE"""),"RITM0307440")</f>
        <v>RITM0307440</v>
      </c>
      <c r="D123" s="1"/>
      <c r="E123" s="1"/>
      <c r="F123" s="1" t="str">
        <f>IFERROR(__xludf.DUMMYFUNCTION("""COMPUTED_VALUE"""),"noelreverente81@gmail.com")</f>
        <v>noelreverente81@gmail.com</v>
      </c>
      <c r="G123" s="1" t="str">
        <f>IFERROR(__xludf.DUMMYFUNCTION("""COMPUTED_VALUE"""),"REJECTED")</f>
        <v>REJECTED</v>
      </c>
      <c r="H123" s="1"/>
      <c r="I123" s="1" t="str">
        <f>IFERROR(__xludf.DUMMYFUNCTION("""COMPUTED_VALUE"""),"NO FACILITIES")</f>
        <v>NO FACILITIES</v>
      </c>
      <c r="J123" s="1"/>
      <c r="K123" s="1"/>
      <c r="L123" s="1" t="str">
        <f>IFERROR(__xludf.DUMMYFUNCTION("""COMPUTED_VALUE"""),"CANCELLED - NO FACILITY")</f>
        <v>CANCELLED - NO FACILITY</v>
      </c>
      <c r="M123" s="1"/>
      <c r="N123" s="1" t="str">
        <f>IFERROR(__xludf.DUMMYFUNCTION("""COMPUTED_VALUE"""),"RED_RS_ONL_CVE_25")</f>
        <v>RED_RS_ONL_CVE_25</v>
      </c>
      <c r="O123" s="1" t="str">
        <f>IFERROR(__xludf.DUMMYFUNCTION("""COMPUTED_VALUE"""),"RED FIBR 1400")</f>
        <v>RED FIBR 1400</v>
      </c>
      <c r="P123" s="1" t="str">
        <f>IFERROR(__xludf.DUMMYFUNCTION("""COMPUTED_VALUE"""),"MMM018709")</f>
        <v>MMM018709</v>
      </c>
      <c r="Q123" s="1" t="str">
        <f>IFERROR(__xludf.DUMMYFUNCTION("""COMPUTED_VALUE"""),"ARMIJO, LOUEI JAY")</f>
        <v>ARMIJO, LOUEI JAY</v>
      </c>
      <c r="R123" s="1" t="str">
        <f>IFERROR(__xludf.DUMMYFUNCTION("""COMPUTED_VALUE"""),"GARCIA MICHAEL JETTS")</f>
        <v>GARCIA MICHAEL JETTS</v>
      </c>
      <c r="S123" s="1" t="str">
        <f>IFERROR(__xludf.DUMMYFUNCTION("""COMPUTED_VALUE"""),"SALIOA JB")</f>
        <v>SALIOA JB</v>
      </c>
      <c r="T123" s="1" t="str">
        <f>IFERROR(__xludf.DUMMYFUNCTION("""COMPUTED_VALUE"""),"SP6MONTHS")</f>
        <v>SP6MONTHS</v>
      </c>
      <c r="U123" s="1">
        <f>IFERROR(__xludf.DUMMYFUNCTION("""COMPUTED_VALUE"""),9922588269)</f>
        <v>9922588269</v>
      </c>
      <c r="V123" s="1"/>
      <c r="W123" s="1"/>
      <c r="X123" s="1" t="str">
        <f>IFERROR(__xludf.DUMMYFUNCTION("""COMPUTED_VALUE"""),"RUBBER ST")</f>
        <v>RUBBER ST</v>
      </c>
      <c r="Y123" s="1" t="str">
        <f>IFERROR(__xludf.DUMMYFUNCTION("""COMPUTED_VALUE"""),"TAMARA SUBDIVISION")</f>
        <v>TAMARA SUBDIVISION</v>
      </c>
      <c r="Z123" s="1" t="str">
        <f>IFERROR(__xludf.DUMMYFUNCTION("""COMPUTED_VALUE"""),"SANJA MAYOR")</f>
        <v>SANJA MAYOR</v>
      </c>
      <c r="AA123" s="1" t="str">
        <f>IFERROR(__xludf.DUMMYFUNCTION("""COMPUTED_VALUE"""),"TANZA")</f>
        <v>TANZA</v>
      </c>
      <c r="AB123" s="1"/>
      <c r="AC123" s="1" t="str">
        <f>IFERROR(__xludf.DUMMYFUNCTION("""COMPUTED_VALUE"""),"120.844875 / 14.377730")</f>
        <v>120.844875 / 14.377730</v>
      </c>
    </row>
    <row r="124" customHeight="1" spans="1:29">
      <c r="A124" s="3">
        <f>IFERROR(__xludf.DUMMYFUNCTION("""COMPUTED_VALUE"""),46257)</f>
        <v>46257</v>
      </c>
      <c r="B124" s="1" t="str">
        <f>IFERROR(__xludf.DUMMYFUNCTION("""COMPUTED_VALUE"""),"PAUL MATTHEW DE LEON SOSA")</f>
        <v>PAUL MATTHEW DE LEON SOSA</v>
      </c>
      <c r="C124" s="1" t="str">
        <f>IFERROR(__xludf.DUMMYFUNCTION("""COMPUTED_VALUE"""),"RITM0307443")</f>
        <v>RITM0307443</v>
      </c>
      <c r="D124" s="1" t="str">
        <f>IFERROR(__xludf.DUMMYFUNCTION("""COMPUTED_VALUE"""),"CS1347053 / WO0908605")</f>
        <v>CS1347053 / WO0908605</v>
      </c>
      <c r="E124" s="1">
        <f>IFERROR(__xludf.DUMMYFUNCTION("""COMPUTED_VALUE"""),4266264518)</f>
        <v>4266264518</v>
      </c>
      <c r="F124" s="1" t="str">
        <f>IFERROR(__xludf.DUMMYFUNCTION("""COMPUTED_VALUE"""),"pmdeleon01@gmail.com")</f>
        <v>pmdeleon01@gmail.com</v>
      </c>
      <c r="G124" s="1" t="str">
        <f>IFERROR(__xludf.DUMMYFUNCTION("""COMPUTED_VALUE"""),"APPROVED")</f>
        <v>APPROVED</v>
      </c>
      <c r="H124" s="1"/>
      <c r="I124" s="1" t="str">
        <f>IFERROR(__xludf.DUMMYFUNCTION("""COMPUTED_VALUE"""),"QUALIFIED - 8/25")</f>
        <v>QUALIFIED - 8/25</v>
      </c>
      <c r="J124" s="1" t="str">
        <f>IFERROR(__xludf.DUMMYFUNCTION("""COMPUTED_VALUE"""),"PAID VIA GCASH REF 920695793 AUG 24")</f>
        <v>PAID VIA GCASH REF 920695793 AUG 24</v>
      </c>
      <c r="K124" s="1" t="str">
        <f>IFERROR(__xludf.DUMMYFUNCTION("""COMPUTED_VALUE"""),"PAID")</f>
        <v>PAID</v>
      </c>
      <c r="L124" s="1" t="str">
        <f>IFERROR(__xludf.DUMMYFUNCTION("""COMPUTED_VALUE"""),"POSTED")</f>
        <v>POSTED</v>
      </c>
      <c r="M124" s="1" t="str">
        <f>IFERROR(__xludf.DUMMYFUNCTION("""COMPUTED_VALUE"""),"8/26/2026")</f>
        <v>8/26/2026</v>
      </c>
      <c r="N124" s="1" t="str">
        <f>IFERROR(__xludf.DUMMYFUNCTION("""COMPUTED_VALUE"""),"RED_RS_ONL_CVE_25")</f>
        <v>RED_RS_ONL_CVE_25</v>
      </c>
      <c r="O124" s="1" t="str">
        <f>IFERROR(__xludf.DUMMYFUNCTION("""COMPUTED_VALUE"""),"RED FIBR 1000")</f>
        <v>RED FIBR 1000</v>
      </c>
      <c r="P124" s="1" t="str">
        <f>IFERROR(__xludf.DUMMYFUNCTION("""COMPUTED_VALUE"""),"MMM018712")</f>
        <v>MMM018712</v>
      </c>
      <c r="Q124" s="1" t="str">
        <f>IFERROR(__xludf.DUMMYFUNCTION("""COMPUTED_VALUE"""),"LUPENA. KARL ANGELO")</f>
        <v>LUPENA. KARL ANGELO</v>
      </c>
      <c r="R124" s="1" t="str">
        <f>IFERROR(__xludf.DUMMYFUNCTION("""COMPUTED_VALUE"""),"GARCIA MICHAEL JETTS")</f>
        <v>GARCIA MICHAEL JETTS</v>
      </c>
      <c r="S124" s="1" t="str">
        <f>IFERROR(__xludf.DUMMYFUNCTION("""COMPUTED_VALUE"""),"SALIOA JB")</f>
        <v>SALIOA JB</v>
      </c>
      <c r="T124" s="1" t="str">
        <f>IFERROR(__xludf.DUMMYFUNCTION("""COMPUTED_VALUE"""),"SP6MONTHS")</f>
        <v>SP6MONTHS</v>
      </c>
      <c r="U124" s="1">
        <f>IFERROR(__xludf.DUMMYFUNCTION("""COMPUTED_VALUE"""),9287527761)</f>
        <v>9287527761</v>
      </c>
      <c r="V124" s="1"/>
      <c r="W124" s="1"/>
      <c r="X124" s="1" t="str">
        <f>IFERROR(__xludf.DUMMYFUNCTION("""COMPUTED_VALUE"""),"PACUMIO ST")</f>
        <v>PACUMIO ST</v>
      </c>
      <c r="Y124" s="1" t="str">
        <f>IFERROR(__xludf.DUMMYFUNCTION("""COMPUTED_VALUE"""),"NUÑEZ APARTMENT")</f>
        <v>NUÑEZ APARTMENT</v>
      </c>
      <c r="Z124" s="1" t="str">
        <f>IFERROR(__xludf.DUMMYFUNCTION("""COMPUTED_VALUE"""),"JULUGAN VIII")</f>
        <v>JULUGAN VIII</v>
      </c>
      <c r="AA124" s="1" t="str">
        <f>IFERROR(__xludf.DUMMYFUNCTION("""COMPUTED_VALUE"""),"TANZA")</f>
        <v>TANZA</v>
      </c>
      <c r="AB124" s="1"/>
      <c r="AC124" s="1" t="str">
        <f>IFERROR(__xludf.DUMMYFUNCTION("""COMPUTED_VALUE"""),"120.842561 / 14.398174")</f>
        <v>120.842561 / 14.398174</v>
      </c>
    </row>
    <row r="125" customHeight="1" spans="1:29">
      <c r="A125" s="3">
        <f>IFERROR(__xludf.DUMMYFUNCTION("""COMPUTED_VALUE"""),46257)</f>
        <v>46257</v>
      </c>
      <c r="B125" s="1" t="str">
        <f>IFERROR(__xludf.DUMMYFUNCTION("""COMPUTED_VALUE"""),"JOMAR NAPA MORCILLO")</f>
        <v>JOMAR NAPA MORCILLO</v>
      </c>
      <c r="C125" s="1" t="str">
        <f>IFERROR(__xludf.DUMMYFUNCTION("""COMPUTED_VALUE"""),"RITM0307446")</f>
        <v>RITM0307446</v>
      </c>
      <c r="D125" s="1" t="str">
        <f>IFERROR(__xludf.DUMMYFUNCTION("""COMPUTED_VALUE"""),"CS1347260 / WO0908473")</f>
        <v>CS1347260 / WO0908473</v>
      </c>
      <c r="E125" s="1">
        <f>IFERROR(__xludf.DUMMYFUNCTION("""COMPUTED_VALUE"""),5356916754)</f>
        <v>5356916754</v>
      </c>
      <c r="F125" s="1" t="str">
        <f>IFERROR(__xludf.DUMMYFUNCTION("""COMPUTED_VALUE"""),"jomarmorcillo030@gmail.com")</f>
        <v>jomarmorcillo030@gmail.com</v>
      </c>
      <c r="G125" s="1" t="str">
        <f>IFERROR(__xludf.DUMMYFUNCTION("""COMPUTED_VALUE"""),"CLOSED")</f>
        <v>CLOSED</v>
      </c>
      <c r="H125" s="1"/>
      <c r="I125" s="1"/>
      <c r="J125" s="1" t="str">
        <f>IFERROR(__xludf.DUMMYFUNCTION("""COMPUTED_VALUE"""),"PAID VIA GCASH REF 315687340 AUG 24")</f>
        <v>PAID VIA GCASH REF 315687340 AUG 24</v>
      </c>
      <c r="K125" s="1" t="str">
        <f>IFERROR(__xludf.DUMMYFUNCTION("""COMPUTED_VALUE"""),"PAID")</f>
        <v>PAID</v>
      </c>
      <c r="L125" s="1" t="str">
        <f>IFERROR(__xludf.DUMMYFUNCTION("""COMPUTED_VALUE"""),"POSTED")</f>
        <v>POSTED</v>
      </c>
      <c r="M125" s="1" t="str">
        <f>IFERROR(__xludf.DUMMYFUNCTION("""COMPUTED_VALUE"""),"8/25/2026")</f>
        <v>8/25/2026</v>
      </c>
      <c r="N125" s="1" t="str">
        <f>IFERROR(__xludf.DUMMYFUNCTION("""COMPUTED_VALUE"""),"RED_RS_ONL_CVE_25")</f>
        <v>RED_RS_ONL_CVE_25</v>
      </c>
      <c r="O125" s="1" t="str">
        <f>IFERROR(__xludf.DUMMYFUNCTION("""COMPUTED_VALUE"""),"RED FIBR 1000")</f>
        <v>RED FIBR 1000</v>
      </c>
      <c r="P125" s="1" t="str">
        <f>IFERROR(__xludf.DUMMYFUNCTION("""COMPUTED_VALUE"""),"MMM018711")</f>
        <v>MMM018711</v>
      </c>
      <c r="Q125" s="1" t="str">
        <f>IFERROR(__xludf.DUMMYFUNCTION("""COMPUTED_VALUE"""),"DEL ROSARIO. MIGGY LENARD")</f>
        <v>DEL ROSARIO. MIGGY LENARD</v>
      </c>
      <c r="R125" s="1" t="str">
        <f>IFERROR(__xludf.DUMMYFUNCTION("""COMPUTED_VALUE"""),"GARCIA MICHAEL JETTS")</f>
        <v>GARCIA MICHAEL JETTS</v>
      </c>
      <c r="S125" s="1" t="str">
        <f>IFERROR(__xludf.DUMMYFUNCTION("""COMPUTED_VALUE"""),"SALIOA JB")</f>
        <v>SALIOA JB</v>
      </c>
      <c r="T125" s="1" t="str">
        <f>IFERROR(__xludf.DUMMYFUNCTION("""COMPUTED_VALUE"""),"SP6MONTHS")</f>
        <v>SP6MONTHS</v>
      </c>
      <c r="U125" s="1">
        <f>IFERROR(__xludf.DUMMYFUNCTION("""COMPUTED_VALUE"""),9624995399)</f>
        <v>9624995399</v>
      </c>
      <c r="V125" s="1"/>
      <c r="W125" s="1">
        <f>IFERROR(__xludf.DUMMYFUNCTION("""COMPUTED_VALUE"""),32)</f>
        <v>32</v>
      </c>
      <c r="X125" s="1" t="str">
        <f>IFERROR(__xludf.DUMMYFUNCTION("""COMPUTED_VALUE"""),"BOCALAN ST")</f>
        <v>BOCALAN ST</v>
      </c>
      <c r="Y125" s="1"/>
      <c r="Z125" s="1" t="str">
        <f>IFERROR(__xludf.DUMMYFUNCTION("""COMPUTED_VALUE"""),"AMAYA III")</f>
        <v>AMAYA III</v>
      </c>
      <c r="AA125" s="1" t="str">
        <f>IFERROR(__xludf.DUMMYFUNCTION("""COMPUTED_VALUE"""),"TANZA")</f>
        <v>TANZA</v>
      </c>
      <c r="AB125" s="1"/>
      <c r="AC125" s="1" t="str">
        <f>IFERROR(__xludf.DUMMYFUNCTION("""COMPUTED_VALUE"""),"120.833080 / 14.384185")</f>
        <v>120.833080 / 14.384185</v>
      </c>
    </row>
    <row r="126" customHeight="1" spans="1:29">
      <c r="A126" s="3">
        <f>IFERROR(__xludf.DUMMYFUNCTION("""COMPUTED_VALUE"""),46257)</f>
        <v>46257</v>
      </c>
      <c r="B126" s="1" t="str">
        <f>IFERROR(__xludf.DUMMYFUNCTION("""COMPUTED_VALUE"""),"CATHERINE TIBAYAN ALINSUNURIN")</f>
        <v>CATHERINE TIBAYAN ALINSUNURIN</v>
      </c>
      <c r="C126" s="1" t="str">
        <f>IFERROR(__xludf.DUMMYFUNCTION("""COMPUTED_VALUE"""),"RITM0307447")</f>
        <v>RITM0307447</v>
      </c>
      <c r="D126" s="1"/>
      <c r="E126" s="1"/>
      <c r="F126" s="1" t="str">
        <f>IFERROR(__xludf.DUMMYFUNCTION("""COMPUTED_VALUE"""),"jaysieespinoalinsunurin@gmail.com")</f>
        <v>jaysieespinoalinsunurin@gmail.com</v>
      </c>
      <c r="G126" s="1" t="str">
        <f>IFERROR(__xludf.DUMMYFUNCTION("""COMPUTED_VALUE"""),"APPROVED")</f>
        <v>APPROVED</v>
      </c>
      <c r="H126" s="1"/>
      <c r="I126" s="1" t="str">
        <f>IFERROR(__xludf.DUMMYFUNCTION("""COMPUTED_VALUE"""),"AS PER AGENT nagastos daw yung pang bayad sa susunod na sahod nalang daw po Sept 5 nalang ireprocess 8/29")</f>
        <v>AS PER AGENT nagastos daw yung pang bayad sa susunod na sahod nalang daw po Sept 5 nalang ireprocess 8/29</v>
      </c>
      <c r="J126" s="1"/>
      <c r="K126" s="1"/>
      <c r="L126" s="1" t="str">
        <f>IFERROR(__xludf.DUMMYFUNCTION("""COMPUTED_VALUE"""),"CANCELLED - SUBS CANCEL REQUEST")</f>
        <v>CANCELLED - SUBS CANCEL REQUEST</v>
      </c>
      <c r="M126" s="1"/>
      <c r="N126" s="1" t="str">
        <f>IFERROR(__xludf.DUMMYFUNCTION("""COMPUTED_VALUE"""),"RED_RS_HH_CVE_25")</f>
        <v>RED_RS_HH_CVE_25</v>
      </c>
      <c r="O126" s="1" t="str">
        <f>IFERROR(__xludf.DUMMYFUNCTION("""COMPUTED_VALUE"""),"RED FIBR 1000")</f>
        <v>RED FIBR 1000</v>
      </c>
      <c r="P126" s="1" t="str">
        <f>IFERROR(__xludf.DUMMYFUNCTION("""COMPUTED_VALUE"""),"MMM018711")</f>
        <v>MMM018711</v>
      </c>
      <c r="Q126" s="1" t="str">
        <f>IFERROR(__xludf.DUMMYFUNCTION("""COMPUTED_VALUE"""),"ARENA, LYKA")</f>
        <v>ARENA, LYKA</v>
      </c>
      <c r="R126" s="1" t="str">
        <f>IFERROR(__xludf.DUMMYFUNCTION("""COMPUTED_VALUE"""),"REMOLLO LEA")</f>
        <v>REMOLLO LEA</v>
      </c>
      <c r="S126" s="1" t="str">
        <f>IFERROR(__xludf.DUMMYFUNCTION("""COMPUTED_VALUE"""),"SALIOA JB")</f>
        <v>SALIOA JB</v>
      </c>
      <c r="T126" s="1" t="str">
        <f>IFERROR(__xludf.DUMMYFUNCTION("""COMPUTED_VALUE"""),"SP6MONTHS")</f>
        <v>SP6MONTHS</v>
      </c>
      <c r="U126" s="1">
        <f>IFERROR(__xludf.DUMMYFUNCTION("""COMPUTED_VALUE"""),9435633918)</f>
        <v>9435633918</v>
      </c>
      <c r="V126" s="1">
        <f>IFERROR(__xludf.DUMMYFUNCTION("""COMPUTED_VALUE"""),9074929717)</f>
        <v>9074929717</v>
      </c>
      <c r="W126" s="1">
        <f>IFERROR(__xludf.DUMMYFUNCTION("""COMPUTED_VALUE"""),99)</f>
        <v>99</v>
      </c>
      <c r="X126" s="1" t="str">
        <f>IFERROR(__xludf.DUMMYFUNCTION("""COMPUTED_VALUE"""),"OREGANO ST")</f>
        <v>OREGANO ST</v>
      </c>
      <c r="Y126" s="1" t="str">
        <f>IFERROR(__xludf.DUMMYFUNCTION("""COMPUTED_VALUE"""),"PUROK 6")</f>
        <v>PUROK 6</v>
      </c>
      <c r="Z126" s="1" t="str">
        <f>IFERROR(__xludf.DUMMYFUNCTION("""COMPUTED_VALUE"""),"ULAT")</f>
        <v>ULAT</v>
      </c>
      <c r="AA126" s="1" t="str">
        <f>IFERROR(__xludf.DUMMYFUNCTION("""COMPUTED_VALUE"""),"SILANG")</f>
        <v>SILANG</v>
      </c>
      <c r="AB126" s="1" t="str">
        <f>IFERROR(__xludf.DUMMYFUNCTION("""COMPUTED_VALUE"""),"CVT2 LCP37 NAP1")</f>
        <v>CVT2 LCP37 NAP1</v>
      </c>
      <c r="AC126" s="1" t="str">
        <f>IFERROR(__xludf.DUMMYFUNCTION("""COMPUTED_VALUE"""),"120.988702 / 14.146742")</f>
        <v>120.988702 / 14.146742</v>
      </c>
    </row>
    <row r="127" customHeight="1" spans="1:29">
      <c r="A127" s="3">
        <f>IFERROR(__xludf.DUMMYFUNCTION("""COMPUTED_VALUE"""),46257)</f>
        <v>46257</v>
      </c>
      <c r="B127" s="1" t="str">
        <f>IFERROR(__xludf.DUMMYFUNCTION("""COMPUTED_VALUE"""),"ALEEYAH KRIZLE CO ESTABILLO")</f>
        <v>ALEEYAH KRIZLE CO ESTABILLO</v>
      </c>
      <c r="C127" s="1" t="str">
        <f>IFERROR(__xludf.DUMMYFUNCTION("""COMPUTED_VALUE"""),"RITM0307450")</f>
        <v>RITM0307450</v>
      </c>
      <c r="D127" s="1" t="str">
        <f>IFERROR(__xludf.DUMMYFUNCTION("""COMPUTED_VALUE"""),"CS1347037 / WO0909071")</f>
        <v>CS1347037 / WO0909071</v>
      </c>
      <c r="E127" s="1">
        <f>IFERROR(__xludf.DUMMYFUNCTION("""COMPUTED_VALUE"""),1275522873)</f>
        <v>1275522873</v>
      </c>
      <c r="F127" s="1" t="str">
        <f>IFERROR(__xludf.DUMMYFUNCTION("""COMPUTED_VALUE"""),"estabilloak@gmail.com")</f>
        <v>estabilloak@gmail.com</v>
      </c>
      <c r="G127" s="1" t="str">
        <f>IFERROR(__xludf.DUMMYFUNCTION("""COMPUTED_VALUE"""),"CLOSED")</f>
        <v>CLOSED</v>
      </c>
      <c r="H127" s="1"/>
      <c r="I127" s="1" t="str">
        <f>IFERROR(__xludf.DUMMYFUNCTION("""COMPUTED_VALUE"""),"QUALIFIED - 8/27")</f>
        <v>QUALIFIED - 8/27</v>
      </c>
      <c r="J127" s="1" t="str">
        <f>IFERROR(__xludf.DUMMYFUNCTION("""COMPUTED_VALUE"""),"PAID REF RADI23700WIITA4V AUG 27")</f>
        <v>PAID REF RADI23700WIITA4V AUG 27</v>
      </c>
      <c r="K127" s="1" t="str">
        <f>IFERROR(__xludf.DUMMYFUNCTION("""COMPUTED_VALUE"""),"PAID")</f>
        <v>PAID</v>
      </c>
      <c r="L127" s="1" t="str">
        <f>IFERROR(__xludf.DUMMYFUNCTION("""COMPUTED_VALUE"""),"POSTED")</f>
        <v>POSTED</v>
      </c>
      <c r="M127" s="1" t="str">
        <f>IFERROR(__xludf.DUMMYFUNCTION("""COMPUTED_VALUE"""),"8/28/2026")</f>
        <v>8/28/2026</v>
      </c>
      <c r="N127" s="1" t="str">
        <f>IFERROR(__xludf.DUMMYFUNCTION("""COMPUTED_VALUE"""),"RED_RS_ONL_CVE_25")</f>
        <v>RED_RS_ONL_CVE_25</v>
      </c>
      <c r="O127" s="1" t="str">
        <f>IFERROR(__xludf.DUMMYFUNCTION("""COMPUTED_VALUE"""),"RED FIBR 1000")</f>
        <v>RED FIBR 1000</v>
      </c>
      <c r="P127" s="1" t="str">
        <f>IFERROR(__xludf.DUMMYFUNCTION("""COMPUTED_VALUE"""),"MMM018709")</f>
        <v>MMM018709</v>
      </c>
      <c r="Q127" s="1" t="str">
        <f>IFERROR(__xludf.DUMMYFUNCTION("""COMPUTED_VALUE"""),"KAWAUCHI, SHANE")</f>
        <v>KAWAUCHI, SHANE</v>
      </c>
      <c r="R127" s="1" t="str">
        <f>IFERROR(__xludf.DUMMYFUNCTION("""COMPUTED_VALUE"""),"GARCIA MICHAEL JETTS")</f>
        <v>GARCIA MICHAEL JETTS</v>
      </c>
      <c r="S127" s="1" t="str">
        <f>IFERROR(__xludf.DUMMYFUNCTION("""COMPUTED_VALUE"""),"SALIOA JB")</f>
        <v>SALIOA JB</v>
      </c>
      <c r="T127" s="1" t="str">
        <f>IFERROR(__xludf.DUMMYFUNCTION("""COMPUTED_VALUE"""),"SP6MONTHS")</f>
        <v>SP6MONTHS</v>
      </c>
      <c r="U127" s="1">
        <f>IFERROR(__xludf.DUMMYFUNCTION("""COMPUTED_VALUE"""),9608770950)</f>
        <v>9608770950</v>
      </c>
      <c r="V127" s="1"/>
      <c r="W127" s="1"/>
      <c r="X127" s="1" t="str">
        <f>IFERROR(__xludf.DUMMYFUNCTION("""COMPUTED_VALUE"""),"PHASE B ST")</f>
        <v>PHASE B ST</v>
      </c>
      <c r="Y127" s="1" t="str">
        <f>IFERROR(__xludf.DUMMYFUNCTION("""COMPUTED_VALUE"""),"ISTANA SUBD")</f>
        <v>ISTANA SUBD</v>
      </c>
      <c r="Z127" s="1" t="str">
        <f>IFERROR(__xludf.DUMMYFUNCTION("""COMPUTED_VALUE"""),"BIGA")</f>
        <v>BIGA</v>
      </c>
      <c r="AA127" s="1" t="str">
        <f>IFERROR(__xludf.DUMMYFUNCTION("""COMPUTED_VALUE"""),"TANZA")</f>
        <v>TANZA</v>
      </c>
      <c r="AB127" s="1"/>
      <c r="AC127" s="1" t="str">
        <f>IFERROR(__xludf.DUMMYFUNCTION("""COMPUTED_VALUE"""),"120.842122 / 14.373780")</f>
        <v>120.842122 / 14.373780</v>
      </c>
    </row>
    <row r="128" customHeight="1" spans="1:29">
      <c r="A128" s="3">
        <f>IFERROR(__xludf.DUMMYFUNCTION("""COMPUTED_VALUE"""),46258)</f>
        <v>46258</v>
      </c>
      <c r="B128" s="1" t="str">
        <f>IFERROR(__xludf.DUMMYFUNCTION("""COMPUTED_VALUE"""),"JAN RENN OXIMINA ARLE")</f>
        <v>JAN RENN OXIMINA ARLE</v>
      </c>
      <c r="C128" s="1" t="str">
        <f>IFERROR(__xludf.DUMMYFUNCTION("""COMPUTED_VALUE"""),"RITM0307488")</f>
        <v>RITM0307488</v>
      </c>
      <c r="D128" s="1" t="str">
        <f>IFERROR(__xludf.DUMMYFUNCTION("""COMPUTED_VALUE"""),"CS1347296 / WO0908443")</f>
        <v>CS1347296 / WO0908443</v>
      </c>
      <c r="E128" s="1">
        <f>IFERROR(__xludf.DUMMYFUNCTION("""COMPUTED_VALUE"""),6616685382)</f>
        <v>6616685382</v>
      </c>
      <c r="F128" s="1" t="str">
        <f>IFERROR(__xludf.DUMMYFUNCTION("""COMPUTED_VALUE"""),"janrenarle@gmail.com")</f>
        <v>janrenarle@gmail.com</v>
      </c>
      <c r="G128" s="1" t="str">
        <f>IFERROR(__xludf.DUMMYFUNCTION("""COMPUTED_VALUE"""),"CLOSED")</f>
        <v>CLOSED</v>
      </c>
      <c r="H128" s="1"/>
      <c r="I128" s="1" t="str">
        <f>IFERROR(__xludf.DUMMYFUNCTION("""COMPUTED_VALUE"""),"QUALIFIED - 8/24")</f>
        <v>QUALIFIED - 8/24</v>
      </c>
      <c r="J128" s="1" t="str">
        <f>IFERROR(__xludf.DUMMYFUNCTION("""COMPUTED_VALUE"""),"SWITCHER PROMO")</f>
        <v>SWITCHER PROMO</v>
      </c>
      <c r="K128" s="1"/>
      <c r="L128" s="1" t="str">
        <f>IFERROR(__xludf.DUMMYFUNCTION("""COMPUTED_VALUE"""),"POSTED")</f>
        <v>POSTED</v>
      </c>
      <c r="M128" s="1" t="str">
        <f>IFERROR(__xludf.DUMMYFUNCTION("""COMPUTED_VALUE"""),"8/25/2026")</f>
        <v>8/25/2026</v>
      </c>
      <c r="N128" s="1" t="str">
        <f>IFERROR(__xludf.DUMMYFUNCTION("""COMPUTED_VALUE"""),"RED_RS_ONL_CVE_25")</f>
        <v>RED_RS_ONL_CVE_25</v>
      </c>
      <c r="O128" s="1" t="str">
        <f>IFERROR(__xludf.DUMMYFUNCTION("""COMPUTED_VALUE"""),"SWITCHER PLAN 1400")</f>
        <v>SWITCHER PLAN 1400</v>
      </c>
      <c r="P128" s="1" t="str">
        <f>IFERROR(__xludf.DUMMYFUNCTION("""COMPUTED_VALUE"""),"MMM018713")</f>
        <v>MMM018713</v>
      </c>
      <c r="Q128" s="1" t="str">
        <f>IFERROR(__xludf.DUMMYFUNCTION("""COMPUTED_VALUE"""),"PEREZ. RONELL")</f>
        <v>PEREZ. RONELL</v>
      </c>
      <c r="R128" s="1" t="str">
        <f>IFERROR(__xludf.DUMMYFUNCTION("""COMPUTED_VALUE"""),"GARCIA MICHAEL JETTS")</f>
        <v>GARCIA MICHAEL JETTS</v>
      </c>
      <c r="S128" s="1" t="str">
        <f>IFERROR(__xludf.DUMMYFUNCTION("""COMPUTED_VALUE"""),"ESPIRITU JULIE")</f>
        <v>ESPIRITU JULIE</v>
      </c>
      <c r="T128" s="1" t="str">
        <f>IFERROR(__xludf.DUMMYFUNCTION("""COMPUTED_VALUE"""),"SWITCHOFFER")</f>
        <v>SWITCHOFFER</v>
      </c>
      <c r="U128" s="1">
        <f>IFERROR(__xludf.DUMMYFUNCTION("""COMPUTED_VALUE"""),9761570664)</f>
        <v>9761570664</v>
      </c>
      <c r="V128" s="1"/>
      <c r="W128" s="1">
        <f>IFERROR(__xludf.DUMMYFUNCTION("""COMPUTED_VALUE"""),483)</f>
        <v>483</v>
      </c>
      <c r="X128" s="1" t="str">
        <f>IFERROR(__xludf.DUMMYFUNCTION("""COMPUTED_VALUE"""),"TRAMO KANLURAN RD")</f>
        <v>TRAMO KANLURAN RD</v>
      </c>
      <c r="Y128" s="1"/>
      <c r="Z128" s="1" t="str">
        <f>IFERROR(__xludf.DUMMYFUNCTION("""COMPUTED_VALUE"""),"HALAYHAY")</f>
        <v>HALAYHAY</v>
      </c>
      <c r="AA128" s="1" t="str">
        <f>IFERROR(__xludf.DUMMYFUNCTION("""COMPUTED_VALUE"""),"TANZA")</f>
        <v>TANZA</v>
      </c>
      <c r="AB128" s="1" t="str">
        <f>IFERROR(__xludf.DUMMYFUNCTION("""COMPUTED_VALUE"""),"CVT6LCP230NP3/4/7")</f>
        <v>CVT6LCP230NP3/4/7</v>
      </c>
      <c r="AC128" s="1" t="str">
        <f>IFERROR(__xludf.DUMMYFUNCTION("""COMPUTED_VALUE"""),"120.813951 / 14.372251")</f>
        <v>120.813951 / 14.372251</v>
      </c>
    </row>
    <row r="129" customHeight="1" spans="1:29">
      <c r="A129" s="3">
        <f>IFERROR(__xludf.DUMMYFUNCTION("""COMPUTED_VALUE"""),46258)</f>
        <v>46258</v>
      </c>
      <c r="B129" s="1" t="str">
        <f>IFERROR(__xludf.DUMMYFUNCTION("""COMPUTED_VALUE"""),"MIKAELA GIVERA")</f>
        <v>MIKAELA GIVERA</v>
      </c>
      <c r="C129" s="1" t="str">
        <f>IFERROR(__xludf.DUMMYFUNCTION("""COMPUTED_VALUE"""),"RITM0307541")</f>
        <v>RITM0307541</v>
      </c>
      <c r="D129" s="1"/>
      <c r="E129" s="1"/>
      <c r="F129" s="1" t="str">
        <f>IFERROR(__xludf.DUMMYFUNCTION("""COMPUTED_VALUE"""),"giveramikaela075@gmail.com")</f>
        <v>giveramikaela075@gmail.com</v>
      </c>
      <c r="G129" s="1" t="str">
        <f>IFERROR(__xludf.DUMMYFUNCTION("""COMPUTED_VALUE"""),"REJECTED")</f>
        <v>REJECTED</v>
      </c>
      <c r="H129" s="1"/>
      <c r="I129" s="1" t="str">
        <f>IFERROR(__xludf.DUMMYFUNCTION("""COMPUTED_VALUE"""),"NAREJECT di nakita ng FSV na meron CPWF - already advise ang FSV regarding sa ganitong issue")</f>
        <v>NAREJECT di nakita ng FSV na meron CPWF - already advise ang FSV regarding sa ganitong issue</v>
      </c>
      <c r="J129" s="1"/>
      <c r="K129" s="1"/>
      <c r="L129" s="1" t="str">
        <f>IFERROR(__xludf.DUMMYFUNCTION("""COMPUTED_VALUE"""),"REENCODED")</f>
        <v>REENCODED</v>
      </c>
      <c r="M129" s="1"/>
      <c r="N129" s="1" t="str">
        <f>IFERROR(__xludf.DUMMYFUNCTION("""COMPUTED_VALUE"""),"RED_RS_ONL_CVE_25")</f>
        <v>RED_RS_ONL_CVE_25</v>
      </c>
      <c r="O129" s="1" t="str">
        <f>IFERROR(__xludf.DUMMYFUNCTION("""COMPUTED_VALUE"""),"SWITCHER PLAN 900")</f>
        <v>SWITCHER PLAN 900</v>
      </c>
      <c r="P129" s="1" t="str">
        <f>IFERROR(__xludf.DUMMYFUNCTION("""COMPUTED_VALUE"""),"MMM018713")</f>
        <v>MMM018713</v>
      </c>
      <c r="Q129" s="1" t="str">
        <f>IFERROR(__xludf.DUMMYFUNCTION("""COMPUTED_VALUE"""),"BONZA, LEE VINCENT")</f>
        <v>BONZA, LEE VINCENT</v>
      </c>
      <c r="R129" s="1" t="str">
        <f>IFERROR(__xludf.DUMMYFUNCTION("""COMPUTED_VALUE"""),"GARCIA MICHAEL JETTS")</f>
        <v>GARCIA MICHAEL JETTS</v>
      </c>
      <c r="S129" s="1" t="str">
        <f>IFERROR(__xludf.DUMMYFUNCTION("""COMPUTED_VALUE"""),"ESPIRITU JULIE")</f>
        <v>ESPIRITU JULIE</v>
      </c>
      <c r="T129" s="1" t="str">
        <f>IFERROR(__xludf.DUMMYFUNCTION("""COMPUTED_VALUE"""),"SWITCHOFFER")</f>
        <v>SWITCHOFFER</v>
      </c>
      <c r="U129" s="1">
        <f>IFERROR(__xludf.DUMMYFUNCTION("""COMPUTED_VALUE"""),9484283972)</f>
        <v>9484283972</v>
      </c>
      <c r="V129" s="1"/>
      <c r="W129" s="1">
        <f>IFERROR(__xludf.DUMMYFUNCTION("""COMPUTED_VALUE"""),137)</f>
        <v>137</v>
      </c>
      <c r="X129" s="1" t="str">
        <f>IFERROR(__xludf.DUMMYFUNCTION("""COMPUTED_VALUE"""),"DR V SOLIS ST")</f>
        <v>DR V SOLIS ST</v>
      </c>
      <c r="Y129" s="1"/>
      <c r="Z129" s="1" t="str">
        <f>IFERROR(__xludf.DUMMYFUNCTION("""COMPUTED_VALUE"""),"JULUGAN I")</f>
        <v>JULUGAN I</v>
      </c>
      <c r="AA129" s="1" t="str">
        <f>IFERROR(__xludf.DUMMYFUNCTION("""COMPUTED_VALUE"""),"TANZA")</f>
        <v>TANZA</v>
      </c>
      <c r="AB129" s="1"/>
      <c r="AC129" s="1" t="str">
        <f>IFERROR(__xludf.DUMMYFUNCTION("""COMPUTED_VALUE"""),"120.844958 / 14.404945")</f>
        <v>120.844958 / 14.404945</v>
      </c>
    </row>
    <row r="130" customHeight="1" spans="1:29">
      <c r="A130" s="3">
        <f>IFERROR(__xludf.DUMMYFUNCTION("""COMPUTED_VALUE"""),46258)</f>
        <v>46258</v>
      </c>
      <c r="B130" s="1" t="str">
        <f>IFERROR(__xludf.DUMMYFUNCTION("""COMPUTED_VALUE"""),"MIKAELA GIVERA")</f>
        <v>MIKAELA GIVERA</v>
      </c>
      <c r="C130" s="1" t="str">
        <f>IFERROR(__xludf.DUMMYFUNCTION("""COMPUTED_VALUE"""),"RITM0307553")</f>
        <v>RITM0307553</v>
      </c>
      <c r="D130" s="1"/>
      <c r="E130" s="1"/>
      <c r="F130" s="1" t="str">
        <f>IFERROR(__xludf.DUMMYFUNCTION("""COMPUTED_VALUE"""),"giveramikaela075@gmail.com")</f>
        <v>giveramikaela075@gmail.com</v>
      </c>
      <c r="G130" s="1" t="str">
        <f>IFERROR(__xludf.DUMMYFUNCTION("""COMPUTED_VALUE"""),"APPROVED")</f>
        <v>APPROVED</v>
      </c>
      <c r="H130" s="1"/>
      <c r="I130" s="1" t="str">
        <f>IFERROR(__xludf.DUMMYFUNCTION("""COMPUTED_VALUE"""),"For ticket creation - no email received - CANCELLED - SUBS CANCEL REQUEST")</f>
        <v>For ticket creation - no email received - CANCELLED - SUBS CANCEL REQUEST</v>
      </c>
      <c r="J130" s="1"/>
      <c r="K130" s="1"/>
      <c r="L130" s="1" t="str">
        <f>IFERROR(__xludf.DUMMYFUNCTION("""COMPUTED_VALUE"""),"CANCELLED - SUBS CANCEL REQUEST")</f>
        <v>CANCELLED - SUBS CANCEL REQUEST</v>
      </c>
      <c r="M130" s="1"/>
      <c r="N130" s="1" t="str">
        <f>IFERROR(__xludf.DUMMYFUNCTION("""COMPUTED_VALUE"""),"RED_RS_ONL_CVE_25")</f>
        <v>RED_RS_ONL_CVE_25</v>
      </c>
      <c r="O130" s="1" t="str">
        <f>IFERROR(__xludf.DUMMYFUNCTION("""COMPUTED_VALUE"""),"SWITCHER PLAN 900")</f>
        <v>SWITCHER PLAN 900</v>
      </c>
      <c r="P130" s="1" t="str">
        <f>IFERROR(__xludf.DUMMYFUNCTION("""COMPUTED_VALUE"""),"MMM018713")</f>
        <v>MMM018713</v>
      </c>
      <c r="Q130" s="1" t="str">
        <f>IFERROR(__xludf.DUMMYFUNCTION("""COMPUTED_VALUE"""),"BONZA, LEE VINCENT")</f>
        <v>BONZA, LEE VINCENT</v>
      </c>
      <c r="R130" s="1" t="str">
        <f>IFERROR(__xludf.DUMMYFUNCTION("""COMPUTED_VALUE"""),"GARCIA MICHAEL JETTS")</f>
        <v>GARCIA MICHAEL JETTS</v>
      </c>
      <c r="S130" s="1" t="str">
        <f>IFERROR(__xludf.DUMMYFUNCTION("""COMPUTED_VALUE"""),"ESPIRITU JULIE")</f>
        <v>ESPIRITU JULIE</v>
      </c>
      <c r="T130" s="1" t="str">
        <f>IFERROR(__xludf.DUMMYFUNCTION("""COMPUTED_VALUE"""),"SWITCHOFFER")</f>
        <v>SWITCHOFFER</v>
      </c>
      <c r="U130" s="1">
        <f>IFERROR(__xludf.DUMMYFUNCTION("""COMPUTED_VALUE"""),9484283972)</f>
        <v>9484283972</v>
      </c>
      <c r="V130" s="1"/>
      <c r="W130" s="1">
        <f>IFERROR(__xludf.DUMMYFUNCTION("""COMPUTED_VALUE"""),137)</f>
        <v>137</v>
      </c>
      <c r="X130" s="1" t="str">
        <f>IFERROR(__xludf.DUMMYFUNCTION("""COMPUTED_VALUE"""),"DR V SOLIS ST")</f>
        <v>DR V SOLIS ST</v>
      </c>
      <c r="Y130" s="1"/>
      <c r="Z130" s="1" t="str">
        <f>IFERROR(__xludf.DUMMYFUNCTION("""COMPUTED_VALUE"""),"JULUGAN I")</f>
        <v>JULUGAN I</v>
      </c>
      <c r="AA130" s="1" t="str">
        <f>IFERROR(__xludf.DUMMYFUNCTION("""COMPUTED_VALUE"""),"TANZA")</f>
        <v>TANZA</v>
      </c>
      <c r="AB130" s="1"/>
      <c r="AC130" s="1" t="str">
        <f>IFERROR(__xludf.DUMMYFUNCTION("""COMPUTED_VALUE"""),"120.844958 / 14.404945")</f>
        <v>120.844958 / 14.404945</v>
      </c>
    </row>
    <row r="131" customHeight="1" spans="1:29">
      <c r="A131" s="3">
        <f>IFERROR(__xludf.DUMMYFUNCTION("""COMPUTED_VALUE"""),46259)</f>
        <v>46259</v>
      </c>
      <c r="B131" s="1" t="str">
        <f>IFERROR(__xludf.DUMMYFUNCTION("""COMPUTED_VALUE"""),"FRANCISCO JAVIER MACALALAD")</f>
        <v>FRANCISCO JAVIER MACALALAD</v>
      </c>
      <c r="C131" s="1" t="str">
        <f>IFERROR(__xludf.DUMMYFUNCTION("""COMPUTED_VALUE"""),"RITM0307703")</f>
        <v>RITM0307703</v>
      </c>
      <c r="D131" s="1" t="str">
        <f>IFERROR(__xludf.DUMMYFUNCTION("""COMPUTED_VALUE"""),"CS1347684 / WO0908642")</f>
        <v>CS1347684 / WO0908642</v>
      </c>
      <c r="E131" s="1">
        <f>IFERROR(__xludf.DUMMYFUNCTION("""COMPUTED_VALUE"""),6894927125)</f>
        <v>6894927125</v>
      </c>
      <c r="F131" s="1" t="str">
        <f>IFERROR(__xludf.DUMMYFUNCTION("""COMPUTED_VALUE"""),"marinellmacalalad24@gmail.com")</f>
        <v>marinellmacalalad24@gmail.com</v>
      </c>
      <c r="G131" s="1" t="str">
        <f>IFERROR(__xludf.DUMMYFUNCTION("""COMPUTED_VALUE"""),"CLOSED")</f>
        <v>CLOSED</v>
      </c>
      <c r="H131" s="1"/>
      <c r="I131" s="1" t="str">
        <f>IFERROR(__xludf.DUMMYFUNCTION("""COMPUTED_VALUE"""),"QUALIFIED - 8/25")</f>
        <v>QUALIFIED - 8/25</v>
      </c>
      <c r="J131" s="1" t="str">
        <f>IFERROR(__xludf.DUMMYFUNCTION("""COMPUTED_VALUE"""),"PAID VIA GCASH REF 094072995 AUG 25")</f>
        <v>PAID VIA GCASH REF 094072995 AUG 25</v>
      </c>
      <c r="K131" s="1" t="str">
        <f>IFERROR(__xludf.DUMMYFUNCTION("""COMPUTED_VALUE"""),"PAID")</f>
        <v>PAID</v>
      </c>
      <c r="L131" s="1" t="str">
        <f>IFERROR(__xludf.DUMMYFUNCTION("""COMPUTED_VALUE"""),"POSTED")</f>
        <v>POSTED</v>
      </c>
      <c r="M131" s="1" t="str">
        <f>IFERROR(__xludf.DUMMYFUNCTION("""COMPUTED_VALUE"""),"9/10/2026")</f>
        <v>9/10/2026</v>
      </c>
      <c r="N131" s="1" t="str">
        <f>IFERROR(__xludf.DUMMYFUNCTION("""COMPUTED_VALUE"""),"RED_RS_ONL_CVE_25")</f>
        <v>RED_RS_ONL_CVE_25</v>
      </c>
      <c r="O131" s="1" t="str">
        <f>IFERROR(__xludf.DUMMYFUNCTION("""COMPUTED_VALUE"""),"RED FIBR 1000")</f>
        <v>RED FIBR 1000</v>
      </c>
      <c r="P131" s="1" t="str">
        <f>IFERROR(__xludf.DUMMYFUNCTION("""COMPUTED_VALUE"""),"MMM018713")</f>
        <v>MMM018713</v>
      </c>
      <c r="Q131" s="1" t="str">
        <f>IFERROR(__xludf.DUMMYFUNCTION("""COMPUTED_VALUE"""),"FALLARNA, CLEAR - BATANGAS")</f>
        <v>FALLARNA, CLEAR - BATANGAS</v>
      </c>
      <c r="R131" s="1" t="str">
        <f>IFERROR(__xludf.DUMMYFUNCTION("""COMPUTED_VALUE"""),"CLARETE, GLIZIEL")</f>
        <v>CLARETE, GLIZIEL</v>
      </c>
      <c r="S131" s="1" t="str">
        <f>IFERROR(__xludf.DUMMYFUNCTION("""COMPUTED_VALUE"""),"ESPIRITU JULIE")</f>
        <v>ESPIRITU JULIE</v>
      </c>
      <c r="T131" s="1" t="str">
        <f>IFERROR(__xludf.DUMMYFUNCTION("""COMPUTED_VALUE"""),"SP6MONTHS")</f>
        <v>SP6MONTHS</v>
      </c>
      <c r="U131" s="1">
        <f>IFERROR(__xludf.DUMMYFUNCTION("""COMPUTED_VALUE"""),9977238139)</f>
        <v>9977238139</v>
      </c>
      <c r="V131" s="1"/>
      <c r="W131" s="1">
        <f>IFERROR(__xludf.DUMMYFUNCTION("""COMPUTED_VALUE"""),234)</f>
        <v>234</v>
      </c>
      <c r="X131" s="1" t="str">
        <f>IFERROR(__xludf.DUMMYFUNCTION("""COMPUTED_VALUE"""),"ROAD 4")</f>
        <v>ROAD 4</v>
      </c>
      <c r="Y131" s="1"/>
      <c r="Z131" s="1" t="str">
        <f>IFERROR(__xludf.DUMMYFUNCTION("""COMPUTED_VALUE"""),"TINGA LABAK")</f>
        <v>TINGA LABAK</v>
      </c>
      <c r="AA131" s="1" t="str">
        <f>IFERROR(__xludf.DUMMYFUNCTION("""COMPUTED_VALUE"""),"BATANGAS ")</f>
        <v>BATANGAS </v>
      </c>
      <c r="AB131" s="1" t="str">
        <f>IFERROR(__xludf.DUMMYFUNCTION("""COMPUTED_VALUE"""),"BCY95NP5/6")</f>
        <v>BCY95NP5/6</v>
      </c>
      <c r="AC131" s="1" t="str">
        <f>IFERROR(__xludf.DUMMYFUNCTION("""COMPUTED_VALUE""")," 121.0791016 / 13.7832273")</f>
        <v> 121.0791016 / 13.7832273</v>
      </c>
    </row>
    <row r="132" customHeight="1" spans="1:29">
      <c r="A132" s="3">
        <f>IFERROR(__xludf.DUMMYFUNCTION("""COMPUTED_VALUE"""),46259)</f>
        <v>46259</v>
      </c>
      <c r="B132" s="1" t="str">
        <f>IFERROR(__xludf.DUMMYFUNCTION("""COMPUTED_VALUE"""),"JONNA BAUTISTA SINTINELLAR")</f>
        <v>JONNA BAUTISTA SINTINELLAR</v>
      </c>
      <c r="C132" s="1" t="str">
        <f>IFERROR(__xludf.DUMMYFUNCTION("""COMPUTED_VALUE"""),"RITM0307706")</f>
        <v>RITM0307706</v>
      </c>
      <c r="D132" s="1" t="str">
        <f>IFERROR(__xludf.DUMMYFUNCTION("""COMPUTED_VALUE"""),"CS1347722 / WO0908683")</f>
        <v>CS1347722 / WO0908683</v>
      </c>
      <c r="E132" s="1">
        <f>IFERROR(__xludf.DUMMYFUNCTION("""COMPUTED_VALUE"""),6529762679)</f>
        <v>6529762679</v>
      </c>
      <c r="F132" s="1" t="str">
        <f>IFERROR(__xludf.DUMMYFUNCTION("""COMPUTED_VALUE"""),"sintijhon1595@gmail.com")</f>
        <v>sintijhon1595@gmail.com</v>
      </c>
      <c r="G132" s="1" t="str">
        <f>IFERROR(__xludf.DUMMYFUNCTION("""COMPUTED_VALUE"""),"CLOSED")</f>
        <v>CLOSED</v>
      </c>
      <c r="H132" s="1"/>
      <c r="I132" s="1" t="str">
        <f>IFERROR(__xludf.DUMMYFUNCTION("""COMPUTED_VALUE"""),"QUALIFIED - 8/25")</f>
        <v>QUALIFIED - 8/25</v>
      </c>
      <c r="J132" s="1" t="str">
        <f>IFERROR(__xludf.DUMMYFUNCTION("""COMPUTED_VALUE"""),"PAID VIA GCASH REF 423245958 AUG 25")</f>
        <v>PAID VIA GCASH REF 423245958 AUG 25</v>
      </c>
      <c r="K132" s="1" t="str">
        <f>IFERROR(__xludf.DUMMYFUNCTION("""COMPUTED_VALUE"""),"PAID")</f>
        <v>PAID</v>
      </c>
      <c r="L132" s="1" t="str">
        <f>IFERROR(__xludf.DUMMYFUNCTION("""COMPUTED_VALUE"""),"POSTED")</f>
        <v>POSTED</v>
      </c>
      <c r="M132" s="1" t="str">
        <f>IFERROR(__xludf.DUMMYFUNCTION("""COMPUTED_VALUE"""),"8/26/2026")</f>
        <v>8/26/2026</v>
      </c>
      <c r="N132" s="1" t="str">
        <f>IFERROR(__xludf.DUMMYFUNCTION("""COMPUTED_VALUE"""),"RED_RS_ONL_CVE_25")</f>
        <v>RED_RS_ONL_CVE_25</v>
      </c>
      <c r="O132" s="1" t="str">
        <f>IFERROR(__xludf.DUMMYFUNCTION("""COMPUTED_VALUE"""),"RED FIBR 1000")</f>
        <v>RED FIBR 1000</v>
      </c>
      <c r="P132" s="1" t="str">
        <f>IFERROR(__xludf.DUMMYFUNCTION("""COMPUTED_VALUE"""),"MMM018709")</f>
        <v>MMM018709</v>
      </c>
      <c r="Q132" s="1" t="str">
        <f>IFERROR(__xludf.DUMMYFUNCTION("""COMPUTED_VALUE"""),"KAWAUCHI, SHANE")</f>
        <v>KAWAUCHI, SHANE</v>
      </c>
      <c r="R132" s="1" t="str">
        <f>IFERROR(__xludf.DUMMYFUNCTION("""COMPUTED_VALUE"""),"GARCIA MICHAEL JETTS")</f>
        <v>GARCIA MICHAEL JETTS</v>
      </c>
      <c r="S132" s="1" t="str">
        <f>IFERROR(__xludf.DUMMYFUNCTION("""COMPUTED_VALUE"""),"ESPIRITU JULIE")</f>
        <v>ESPIRITU JULIE</v>
      </c>
      <c r="T132" s="1" t="str">
        <f>IFERROR(__xludf.DUMMYFUNCTION("""COMPUTED_VALUE"""),"SP6MONTHS")</f>
        <v>SP6MONTHS</v>
      </c>
      <c r="U132" s="1">
        <f>IFERROR(__xludf.DUMMYFUNCTION("""COMPUTED_VALUE"""),9683097001)</f>
        <v>9683097001</v>
      </c>
      <c r="V132" s="1"/>
      <c r="W132" s="1">
        <f>IFERROR(__xludf.DUMMYFUNCTION("""COMPUTED_VALUE"""),827)</f>
        <v>827</v>
      </c>
      <c r="X132" s="1" t="str">
        <f>IFERROR(__xludf.DUMMYFUNCTION("""COMPUTED_VALUE"""),"UDASCO ST")</f>
        <v>UDASCO ST</v>
      </c>
      <c r="Y132" s="1" t="str">
        <f>IFERROR(__xludf.DUMMYFUNCTION("""COMPUTED_VALUE"""),"UDASCO SUBDIVISION")</f>
        <v>UDASCO SUBDIVISION</v>
      </c>
      <c r="Z132" s="1" t="str">
        <f>IFERROR(__xludf.DUMMYFUNCTION("""COMPUTED_VALUE"""),"BIWAS")</f>
        <v>BIWAS</v>
      </c>
      <c r="AA132" s="1" t="str">
        <f>IFERROR(__xludf.DUMMYFUNCTION("""COMPUTED_VALUE"""),"TANZA")</f>
        <v>TANZA</v>
      </c>
      <c r="AB132" s="1" t="str">
        <f>IFERROR(__xludf.DUMMYFUNCTION("""COMPUTED_VALUE"""),"CVT6LCP211NP3/4")</f>
        <v>CVT6LCP211NP3/4</v>
      </c>
      <c r="AC132" s="1" t="str">
        <f>IFERROR(__xludf.DUMMYFUNCTION("""COMPUTED_VALUE""")," 120.852186 / 14.4019570")</f>
        <v> 120.852186 / 14.4019570</v>
      </c>
    </row>
    <row r="133" customHeight="1" spans="1:29">
      <c r="A133" s="3">
        <f>IFERROR(__xludf.DUMMYFUNCTION("""COMPUTED_VALUE"""),46259)</f>
        <v>46259</v>
      </c>
      <c r="B133" s="1" t="str">
        <f>IFERROR(__xludf.DUMMYFUNCTION("""COMPUTED_VALUE"""),"LAUWERENCE JOSEPH MIER MINJOOT")</f>
        <v>LAUWERENCE JOSEPH MIER MINJOOT</v>
      </c>
      <c r="C133" s="1" t="str">
        <f>IFERROR(__xludf.DUMMYFUNCTION("""COMPUTED_VALUE"""),"RITM0307709")</f>
        <v>RITM0307709</v>
      </c>
      <c r="D133" s="1" t="str">
        <f>IFERROR(__xludf.DUMMYFUNCTION("""COMPUTED_VALUE"""),"CS1347695 / WO0908674")</f>
        <v>CS1347695 / WO0908674</v>
      </c>
      <c r="E133" s="1">
        <f>IFERROR(__xludf.DUMMYFUNCTION("""COMPUTED_VALUE"""),4555887932)</f>
        <v>4555887932</v>
      </c>
      <c r="F133" s="1" t="str">
        <f>IFERROR(__xludf.DUMMYFUNCTION("""COMPUTED_VALUE"""),"lminjoot@yahoo.com")</f>
        <v>lminjoot@yahoo.com</v>
      </c>
      <c r="G133" s="1" t="str">
        <f>IFERROR(__xludf.DUMMYFUNCTION("""COMPUTED_VALUE"""),"CLOSED")</f>
        <v>CLOSED</v>
      </c>
      <c r="H133" s="1"/>
      <c r="I133" s="1" t="str">
        <f>IFERROR(__xludf.DUMMYFUNCTION("""COMPUTED_VALUE"""),"QUALIFIED - 8/25")</f>
        <v>QUALIFIED - 8/25</v>
      </c>
      <c r="J133" s="1" t="str">
        <f>IFERROR(__xludf.DUMMYFUNCTION("""COMPUTED_VALUE"""),"PAID VIA GCASH REF 094393010 AUG 25")</f>
        <v>PAID VIA GCASH REF 094393010 AUG 25</v>
      </c>
      <c r="K133" s="1" t="str">
        <f>IFERROR(__xludf.DUMMYFUNCTION("""COMPUTED_VALUE"""),"PAID")</f>
        <v>PAID</v>
      </c>
      <c r="L133" s="1" t="str">
        <f>IFERROR(__xludf.DUMMYFUNCTION("""COMPUTED_VALUE"""),"POSTED")</f>
        <v>POSTED</v>
      </c>
      <c r="M133" s="1" t="str">
        <f>IFERROR(__xludf.DUMMYFUNCTION("""COMPUTED_VALUE"""),"8/25/2026")</f>
        <v>8/25/2026</v>
      </c>
      <c r="N133" s="1" t="str">
        <f>IFERROR(__xludf.DUMMYFUNCTION("""COMPUTED_VALUE"""),"RED_RS_ONL_CVE_25")</f>
        <v>RED_RS_ONL_CVE_25</v>
      </c>
      <c r="O133" s="1" t="str">
        <f>IFERROR(__xludf.DUMMYFUNCTION("""COMPUTED_VALUE"""),"RED FIBR 1000")</f>
        <v>RED FIBR 1000</v>
      </c>
      <c r="P133" s="1" t="str">
        <f>IFERROR(__xludf.DUMMYFUNCTION("""COMPUTED_VALUE"""),"MMM018709")</f>
        <v>MMM018709</v>
      </c>
      <c r="Q133" s="1" t="str">
        <f>IFERROR(__xludf.DUMMYFUNCTION("""COMPUTED_VALUE"""),"DEL ROSARIO. MIGGY LENARD")</f>
        <v>DEL ROSARIO. MIGGY LENARD</v>
      </c>
      <c r="R133" s="1" t="str">
        <f>IFERROR(__xludf.DUMMYFUNCTION("""COMPUTED_VALUE"""),"GARCIA MICHAEL JETTS")</f>
        <v>GARCIA MICHAEL JETTS</v>
      </c>
      <c r="S133" s="1" t="str">
        <f>IFERROR(__xludf.DUMMYFUNCTION("""COMPUTED_VALUE"""),"ESPIRITU JULIE")</f>
        <v>ESPIRITU JULIE</v>
      </c>
      <c r="T133" s="1" t="str">
        <f>IFERROR(__xludf.DUMMYFUNCTION("""COMPUTED_VALUE"""),"SP6MONTHS")</f>
        <v>SP6MONTHS</v>
      </c>
      <c r="U133" s="1">
        <f>IFERROR(__xludf.DUMMYFUNCTION("""COMPUTED_VALUE"""),9198369356)</f>
        <v>9198369356</v>
      </c>
      <c r="V133" s="1"/>
      <c r="W133" s="1">
        <f>IFERROR(__xludf.DUMMYFUNCTION("""COMPUTED_VALUE"""),588)</f>
        <v>588</v>
      </c>
      <c r="X133" s="1" t="str">
        <f>IFERROR(__xludf.DUMMYFUNCTION("""COMPUTED_VALUE"""),"TRAMO SILANGAN")</f>
        <v>TRAMO SILANGAN</v>
      </c>
      <c r="Y133" s="1"/>
      <c r="Z133" s="1" t="str">
        <f>IFERROR(__xludf.DUMMYFUNCTION("""COMPUTED_VALUE"""),"HALAYHAY")</f>
        <v>HALAYHAY</v>
      </c>
      <c r="AA133" s="1" t="str">
        <f>IFERROR(__xludf.DUMMYFUNCTION("""COMPUTED_VALUE"""),"TANZA")</f>
        <v>TANZA</v>
      </c>
      <c r="AB133" s="1" t="str">
        <f>IFERROR(__xludf.DUMMYFUNCTION("""COMPUTED_VALUE"""),"CVT6LCP230NP3-7")</f>
        <v>CVT6LCP230NP3-7</v>
      </c>
      <c r="AC133" s="1" t="str">
        <f>IFERROR(__xludf.DUMMYFUNCTION("""COMPUTED_VALUE""")," 120.815755 / 14.3733154")</f>
        <v> 120.815755 / 14.3733154</v>
      </c>
    </row>
    <row r="134" customHeight="1" spans="1:29">
      <c r="A134" s="3">
        <f>IFERROR(__xludf.DUMMYFUNCTION("""COMPUTED_VALUE"""),46259)</f>
        <v>46259</v>
      </c>
      <c r="B134" s="1" t="str">
        <f>IFERROR(__xludf.DUMMYFUNCTION("""COMPUTED_VALUE"""),"JAYMARK BUIZA PANGILINAN")</f>
        <v>JAYMARK BUIZA PANGILINAN</v>
      </c>
      <c r="C134" s="1" t="str">
        <f>IFERROR(__xludf.DUMMYFUNCTION("""COMPUTED_VALUE"""),"RITM0307716")</f>
        <v>RITM0307716</v>
      </c>
      <c r="D134" s="1" t="str">
        <f>IFERROR(__xludf.DUMMYFUNCTION("""COMPUTED_VALUE"""),"CS1347749 / WO0908686")</f>
        <v>CS1347749 / WO0908686</v>
      </c>
      <c r="E134" s="1">
        <f>IFERROR(__xludf.DUMMYFUNCTION("""COMPUTED_VALUE"""),7464935248)</f>
        <v>7464935248</v>
      </c>
      <c r="F134" s="1" t="str">
        <f>IFERROR(__xludf.DUMMYFUNCTION("""COMPUTED_VALUE"""),"eimionpangilinan0520@gmail.com")</f>
        <v>eimionpangilinan0520@gmail.com</v>
      </c>
      <c r="G134" s="1" t="str">
        <f>IFERROR(__xludf.DUMMYFUNCTION("""COMPUTED_VALUE"""),"CLOSED")</f>
        <v>CLOSED</v>
      </c>
      <c r="H134" s="1"/>
      <c r="I134" s="1" t="str">
        <f>IFERROR(__xludf.DUMMYFUNCTION("""COMPUTED_VALUE"""),"QUALIFIED - 8/25")</f>
        <v>QUALIFIED - 8/25</v>
      </c>
      <c r="J134" s="1" t="str">
        <f>IFERROR(__xludf.DUMMYFUNCTION("""COMPUTED_VALUE"""),"PAID VA GCASH REF 094508770 AUG 25")</f>
        <v>PAID VA GCASH REF 094508770 AUG 25</v>
      </c>
      <c r="K134" s="1" t="str">
        <f>IFERROR(__xludf.DUMMYFUNCTION("""COMPUTED_VALUE"""),"PAID")</f>
        <v>PAID</v>
      </c>
      <c r="L134" s="1" t="str">
        <f>IFERROR(__xludf.DUMMYFUNCTION("""COMPUTED_VALUE"""),"POSTED")</f>
        <v>POSTED</v>
      </c>
      <c r="M134" s="1" t="str">
        <f>IFERROR(__xludf.DUMMYFUNCTION("""COMPUTED_VALUE"""),"8/26/2026")</f>
        <v>8/26/2026</v>
      </c>
      <c r="N134" s="1" t="str">
        <f>IFERROR(__xludf.DUMMYFUNCTION("""COMPUTED_VALUE"""),"RED_RS_ONL_CVE_25")</f>
        <v>RED_RS_ONL_CVE_25</v>
      </c>
      <c r="O134" s="1" t="str">
        <f>IFERROR(__xludf.DUMMYFUNCTION("""COMPUTED_VALUE"""),"RED FIBR 1000")</f>
        <v>RED FIBR 1000</v>
      </c>
      <c r="P134" s="1" t="str">
        <f>IFERROR(__xludf.DUMMYFUNCTION("""COMPUTED_VALUE"""),"MMM018713")</f>
        <v>MMM018713</v>
      </c>
      <c r="Q134" s="1" t="str">
        <f>IFERROR(__xludf.DUMMYFUNCTION("""COMPUTED_VALUE"""),"BONZA, LEE VINCENT")</f>
        <v>BONZA, LEE VINCENT</v>
      </c>
      <c r="R134" s="1" t="str">
        <f>IFERROR(__xludf.DUMMYFUNCTION("""COMPUTED_VALUE"""),"GARCIA MICHAEL JETTS")</f>
        <v>GARCIA MICHAEL JETTS</v>
      </c>
      <c r="S134" s="1" t="str">
        <f>IFERROR(__xludf.DUMMYFUNCTION("""COMPUTED_VALUE"""),"ESPIRITU JULIE")</f>
        <v>ESPIRITU JULIE</v>
      </c>
      <c r="T134" s="1" t="str">
        <f>IFERROR(__xludf.DUMMYFUNCTION("""COMPUTED_VALUE"""),"SP6MONTHS")</f>
        <v>SP6MONTHS</v>
      </c>
      <c r="U134" s="1">
        <f>IFERROR(__xludf.DUMMYFUNCTION("""COMPUTED_VALUE"""),9366992204)</f>
        <v>9366992204</v>
      </c>
      <c r="V134" s="1"/>
      <c r="W134" s="1">
        <f>IFERROR(__xludf.DUMMYFUNCTION("""COMPUTED_VALUE"""),1580)</f>
        <v>1580</v>
      </c>
      <c r="X134" s="1" t="str">
        <f>IFERROR(__xludf.DUMMYFUNCTION("""COMPUTED_VALUE"""),"GITNANG SILANGAN")</f>
        <v>GITNANG SILANGAN</v>
      </c>
      <c r="Y134" s="1"/>
      <c r="Z134" s="1" t="str">
        <f>IFERROR(__xludf.DUMMYFUNCTION("""COMPUTED_VALUE"""),"CAPIPISA")</f>
        <v>CAPIPISA</v>
      </c>
      <c r="AA134" s="1" t="str">
        <f>IFERROR(__xludf.DUMMYFUNCTION("""COMPUTED_VALUE"""),"TANZA")</f>
        <v>TANZA</v>
      </c>
      <c r="AB134" s="1" t="str">
        <f>IFERROR(__xludf.DUMMYFUNCTION("""COMPUTED_VALUE"""),"CVT6LCP235NP1-6")</f>
        <v>CVT6LCP235NP1-6</v>
      </c>
      <c r="AC134" s="1" t="str">
        <f>IFERROR(__xludf.DUMMYFUNCTION("""COMPUTED_VALUE""")," 120.79234 / 14.35998")</f>
        <v> 120.79234 / 14.35998</v>
      </c>
    </row>
    <row r="135" customHeight="1" spans="1:29">
      <c r="A135" s="3">
        <f>IFERROR(__xludf.DUMMYFUNCTION("""COMPUTED_VALUE"""),46259)</f>
        <v>46259</v>
      </c>
      <c r="B135" s="1" t="str">
        <f>IFERROR(__xludf.DUMMYFUNCTION("""COMPUTED_VALUE"""),"KEVIN PAOLO BARCELON DE GUIA")</f>
        <v>KEVIN PAOLO BARCELON DE GUIA</v>
      </c>
      <c r="C135" s="1" t="str">
        <f>IFERROR(__xludf.DUMMYFUNCTION("""COMPUTED_VALUE"""),"RITM0307759")</f>
        <v>RITM0307759</v>
      </c>
      <c r="D135" s="1" t="str">
        <f>IFERROR(__xludf.DUMMYFUNCTION("""COMPUTED_VALUE"""),"CS1347812 / WO0908713")</f>
        <v>CS1347812 / WO0908713</v>
      </c>
      <c r="E135" s="1">
        <f>IFERROR(__xludf.DUMMYFUNCTION("""COMPUTED_VALUE"""),5772276360)</f>
        <v>5772276360</v>
      </c>
      <c r="F135" s="1" t="str">
        <f>IFERROR(__xludf.DUMMYFUNCTION("""COMPUTED_VALUE"""),"paolodeguia8888@gmail.com")</f>
        <v>paolodeguia8888@gmail.com</v>
      </c>
      <c r="G135" s="1" t="str">
        <f>IFERROR(__xludf.DUMMYFUNCTION("""COMPUTED_VALUE"""),"CLOSED")</f>
        <v>CLOSED</v>
      </c>
      <c r="H135" s="1"/>
      <c r="I135" s="1" t="str">
        <f>IFERROR(__xludf.DUMMYFUNCTION("""COMPUTED_VALUE"""),"QUALIFIED - 8/25")</f>
        <v>QUALIFIED - 8/25</v>
      </c>
      <c r="J135" s="1" t="str">
        <f>IFERROR(__xludf.DUMMYFUNCTION("""COMPUTED_VALUE"""),"PAID VIA GCASH REF 220170389 AUG 25")</f>
        <v>PAID VIA GCASH REF 220170389 AUG 25</v>
      </c>
      <c r="K135" s="1" t="str">
        <f>IFERROR(__xludf.DUMMYFUNCTION("""COMPUTED_VALUE"""),"PAID")</f>
        <v>PAID</v>
      </c>
      <c r="L135" s="1" t="str">
        <f>IFERROR(__xludf.DUMMYFUNCTION("""COMPUTED_VALUE"""),"POSTED")</f>
        <v>POSTED</v>
      </c>
      <c r="M135" s="1" t="str">
        <f>IFERROR(__xludf.DUMMYFUNCTION("""COMPUTED_VALUE"""),"8/26/2026")</f>
        <v>8/26/2026</v>
      </c>
      <c r="N135" s="1" t="str">
        <f>IFERROR(__xludf.DUMMYFUNCTION("""COMPUTED_VALUE"""),"RED_RS_ONL_CVE_25")</f>
        <v>RED_RS_ONL_CVE_25</v>
      </c>
      <c r="O135" s="1" t="str">
        <f>IFERROR(__xludf.DUMMYFUNCTION("""COMPUTED_VALUE"""),"RED FIBR 1400")</f>
        <v>RED FIBR 1400</v>
      </c>
      <c r="P135" s="1" t="str">
        <f>IFERROR(__xludf.DUMMYFUNCTION("""COMPUTED_VALUE"""),"MMM018709")</f>
        <v>MMM018709</v>
      </c>
      <c r="Q135" s="1" t="str">
        <f>IFERROR(__xludf.DUMMYFUNCTION("""COMPUTED_VALUE"""),"YOLANGCO, JOJO")</f>
        <v>YOLANGCO, JOJO</v>
      </c>
      <c r="R135" s="1" t="str">
        <f>IFERROR(__xludf.DUMMYFUNCTION("""COMPUTED_VALUE"""),"GARCIA MICHAEL JETTS")</f>
        <v>GARCIA MICHAEL JETTS</v>
      </c>
      <c r="S135" s="1" t="str">
        <f>IFERROR(__xludf.DUMMYFUNCTION("""COMPUTED_VALUE"""),"ESPIRITU JULIE")</f>
        <v>ESPIRITU JULIE</v>
      </c>
      <c r="T135" s="1" t="str">
        <f>IFERROR(__xludf.DUMMYFUNCTION("""COMPUTED_VALUE"""),"SP6MONTHS")</f>
        <v>SP6MONTHS</v>
      </c>
      <c r="U135" s="1">
        <f>IFERROR(__xludf.DUMMYFUNCTION("""COMPUTED_VALUE"""),9562274936)</f>
        <v>9562274936</v>
      </c>
      <c r="V135" s="1"/>
      <c r="W135" s="1"/>
      <c r="X135" s="1" t="str">
        <f>IFERROR(__xludf.DUMMYFUNCTION("""COMPUTED_VALUE"""),"ESTATES GOLDEN HORIZON RD")</f>
        <v>ESTATES GOLDEN HORIZON RD</v>
      </c>
      <c r="Y135" s="1" t="str">
        <f>IFERROR(__xludf.DUMMYFUNCTION("""COMPUTED_VALUE"""),"ESTATES GOLDEN HORIZON ")</f>
        <v>ESTATES GOLDEN HORIZON </v>
      </c>
      <c r="Z135" s="1" t="str">
        <f>IFERROR(__xludf.DUMMYFUNCTION("""COMPUTED_VALUE"""),"PEREZ (LUCBANAN)")</f>
        <v>PEREZ (LUCBANAN)</v>
      </c>
      <c r="AA135" s="1" t="str">
        <f>IFERROR(__xludf.DUMMYFUNCTION("""COMPUTED_VALUE"""),"TRECE MARTIRES")</f>
        <v>TRECE MARTIRES</v>
      </c>
      <c r="AB135" s="1" t="str">
        <f>IFERROR(__xludf.DUMMYFUNCTION("""COMPUTED_VALUE"""),"CVT4LCP1NP1-6")</f>
        <v>CVT4LCP1NP1-6</v>
      </c>
      <c r="AC135" s="1" t="str">
        <f>IFERROR(__xludf.DUMMYFUNCTION("""COMPUTED_VALUE""")," 120.88976 / 14.297938")</f>
        <v> 120.88976 / 14.297938</v>
      </c>
    </row>
    <row r="136" customHeight="1" spans="1:29">
      <c r="A136" s="3">
        <f>IFERROR(__xludf.DUMMYFUNCTION("""COMPUTED_VALUE"""),46259)</f>
        <v>46259</v>
      </c>
      <c r="B136" s="1" t="str">
        <f>IFERROR(__xludf.DUMMYFUNCTION("""COMPUTED_VALUE"""),"LYNDON ONGCAL CAJECUM")</f>
        <v>LYNDON ONGCAL CAJECUM</v>
      </c>
      <c r="C136" s="1" t="str">
        <f>IFERROR(__xludf.DUMMYFUNCTION("""COMPUTED_VALUE"""),"RITM0307743")</f>
        <v>RITM0307743</v>
      </c>
      <c r="D136" s="1" t="str">
        <f>IFERROR(__xludf.DUMMYFUNCTION("""COMPUTED_VALUE""")," CS1347804 / WO0908714")</f>
        <v> CS1347804 / WO0908714</v>
      </c>
      <c r="E136" s="1">
        <f>IFERROR(__xludf.DUMMYFUNCTION("""COMPUTED_VALUE"""),7512779551)</f>
        <v>7512779551</v>
      </c>
      <c r="F136" s="1" t="str">
        <f>IFERROR(__xludf.DUMMYFUNCTION("""COMPUTED_VALUE"""),"ynnarocher17@gmail.com")</f>
        <v>ynnarocher17@gmail.com</v>
      </c>
      <c r="G136" s="1" t="str">
        <f>IFERROR(__xludf.DUMMYFUNCTION("""COMPUTED_VALUE"""),"CLOSED")</f>
        <v>CLOSED</v>
      </c>
      <c r="H136" s="1"/>
      <c r="I136" s="1" t="str">
        <f>IFERROR(__xludf.DUMMYFUNCTION("""COMPUTED_VALUE"""),"QUALIFIED - 8/25")</f>
        <v>QUALIFIED - 8/25</v>
      </c>
      <c r="J136" s="1" t="str">
        <f>IFERROR(__xludf.DUMMYFUNCTION("""COMPUTED_VALUE"""),"PAID VIA GCASH REF 922384981 AUG 25")</f>
        <v>PAID VIA GCASH REF 922384981 AUG 25</v>
      </c>
      <c r="K136" s="1" t="str">
        <f>IFERROR(__xludf.DUMMYFUNCTION("""COMPUTED_VALUE"""),"PAID")</f>
        <v>PAID</v>
      </c>
      <c r="L136" s="1" t="str">
        <f>IFERROR(__xludf.DUMMYFUNCTION("""COMPUTED_VALUE"""),"POSTED")</f>
        <v>POSTED</v>
      </c>
      <c r="M136" s="1" t="str">
        <f>IFERROR(__xludf.DUMMYFUNCTION("""COMPUTED_VALUE"""),"8/26/2026")</f>
        <v>8/26/2026</v>
      </c>
      <c r="N136" s="1" t="str">
        <f>IFERROR(__xludf.DUMMYFUNCTION("""COMPUTED_VALUE"""),"RED_RS_ONL_CVE_25")</f>
        <v>RED_RS_ONL_CVE_25</v>
      </c>
      <c r="O136" s="1" t="str">
        <f>IFERROR(__xludf.DUMMYFUNCTION("""COMPUTED_VALUE"""),"RED FIBR 1000")</f>
        <v>RED FIBR 1000</v>
      </c>
      <c r="P136" s="1" t="str">
        <f>IFERROR(__xludf.DUMMYFUNCTION("""COMPUTED_VALUE"""),"MMM018713")</f>
        <v>MMM018713</v>
      </c>
      <c r="Q136" s="1" t="str">
        <f>IFERROR(__xludf.DUMMYFUNCTION("""COMPUTED_VALUE"""),"BONZA, LEE VINCENT")</f>
        <v>BONZA, LEE VINCENT</v>
      </c>
      <c r="R136" s="1" t="str">
        <f>IFERROR(__xludf.DUMMYFUNCTION("""COMPUTED_VALUE"""),"GARCIA MICHAEL JETTS")</f>
        <v>GARCIA MICHAEL JETTS</v>
      </c>
      <c r="S136" s="1" t="str">
        <f>IFERROR(__xludf.DUMMYFUNCTION("""COMPUTED_VALUE"""),"ESPIRITU JULIE")</f>
        <v>ESPIRITU JULIE</v>
      </c>
      <c r="T136" s="1" t="str">
        <f>IFERROR(__xludf.DUMMYFUNCTION("""COMPUTED_VALUE"""),"SP6MONTHS")</f>
        <v>SP6MONTHS</v>
      </c>
      <c r="U136" s="1">
        <f>IFERROR(__xludf.DUMMYFUNCTION("""COMPUTED_VALUE"""),9358432048)</f>
        <v>9358432048</v>
      </c>
      <c r="V136" s="1"/>
      <c r="W136" s="1"/>
      <c r="X136" s="1" t="str">
        <f>IFERROR(__xludf.DUMMYFUNCTION("""COMPUTED_VALUE"""),"GARCIA ST")</f>
        <v>GARCIA ST</v>
      </c>
      <c r="Y136" s="1"/>
      <c r="Z136" s="1" t="str">
        <f>IFERROR(__xludf.DUMMYFUNCTION("""COMPUTED_VALUE"""),"ANIBAN I")</f>
        <v>ANIBAN I</v>
      </c>
      <c r="AA136" s="1" t="str">
        <f>IFERROR(__xludf.DUMMYFUNCTION("""COMPUTED_VALUE"""),"BACOOR")</f>
        <v>BACOOR</v>
      </c>
      <c r="AB136" s="1" t="str">
        <f>IFERROR(__xludf.DUMMYFUNCTION("""COMPUTED_VALUE"""),"CVTLCP182NP3-6")</f>
        <v>CVTLCP182NP3-6</v>
      </c>
      <c r="AC136" s="1" t="str">
        <f>IFERROR(__xludf.DUMMYFUNCTION("""COMPUTED_VALUE""")," 120.96395 / 14.457691")</f>
        <v> 120.96395 / 14.457691</v>
      </c>
    </row>
    <row r="137" customHeight="1" spans="1:29">
      <c r="A137" s="3">
        <f>IFERROR(__xludf.DUMMYFUNCTION("""COMPUTED_VALUE"""),46260)</f>
        <v>46260</v>
      </c>
      <c r="B137" s="1" t="str">
        <f>IFERROR(__xludf.DUMMYFUNCTION("""COMPUTED_VALUE"""),"MARISTELA DE LUNA SYTAMCO")</f>
        <v>MARISTELA DE LUNA SYTAMCO</v>
      </c>
      <c r="C137" s="1" t="str">
        <f>IFERROR(__xludf.DUMMYFUNCTION("""COMPUTED_VALUE"""),"RITM0307947")</f>
        <v>RITM0307947</v>
      </c>
      <c r="D137" s="1" t="str">
        <f>IFERROR(__xludf.DUMMYFUNCTION("""COMPUTED_VALUE"""),"CS1348352 / WO0909058")</f>
        <v>CS1348352 / WO0909058</v>
      </c>
      <c r="E137" s="1">
        <f>IFERROR(__xludf.DUMMYFUNCTION("""COMPUTED_VALUE"""),7679797247)</f>
        <v>7679797247</v>
      </c>
      <c r="F137" s="1" t="str">
        <f>IFERROR(__xludf.DUMMYFUNCTION("""COMPUTED_VALUE"""),"sytamcomaris17@gmail.com")</f>
        <v>sytamcomaris17@gmail.com</v>
      </c>
      <c r="G137" s="1" t="str">
        <f>IFERROR(__xludf.DUMMYFUNCTION("""COMPUTED_VALUE"""),"CLOSED")</f>
        <v>CLOSED</v>
      </c>
      <c r="H137" s="1"/>
      <c r="I137" s="1" t="str">
        <f>IFERROR(__xludf.DUMMYFUNCTION("""COMPUTED_VALUE"""),"QUALIFIED - 8/27")</f>
        <v>QUALIFIED - 8/27</v>
      </c>
      <c r="J137" s="1" t="str">
        <f>IFERROR(__xludf.DUMMYFUNCTION("""COMPUTED_VALUE"""),"PAID VIA GCASH REF RADI23700B0SAQ3A AUG 27")</f>
        <v>PAID VIA GCASH REF RADI23700B0SAQ3A AUG 27</v>
      </c>
      <c r="K137" s="1" t="str">
        <f>IFERROR(__xludf.DUMMYFUNCTION("""COMPUTED_VALUE"""),"PAID")</f>
        <v>PAID</v>
      </c>
      <c r="L137" s="1" t="str">
        <f>IFERROR(__xludf.DUMMYFUNCTION("""COMPUTED_VALUE"""),"POSTED")</f>
        <v>POSTED</v>
      </c>
      <c r="M137" s="1" t="str">
        <f>IFERROR(__xludf.DUMMYFUNCTION("""COMPUTED_VALUE"""),"8/28/2026")</f>
        <v>8/28/2026</v>
      </c>
      <c r="N137" s="1" t="str">
        <f>IFERROR(__xludf.DUMMYFUNCTION("""COMPUTED_VALUE"""),"RED_RS_ONL_CVE_25")</f>
        <v>RED_RS_ONL_CVE_25</v>
      </c>
      <c r="O137" s="1" t="str">
        <f>IFERROR(__xludf.DUMMYFUNCTION("""COMPUTED_VALUE"""),"RED FIBR 1000")</f>
        <v>RED FIBR 1000</v>
      </c>
      <c r="P137" s="1" t="str">
        <f>IFERROR(__xludf.DUMMYFUNCTION("""COMPUTED_VALUE"""),"MMM018713")</f>
        <v>MMM018713</v>
      </c>
      <c r="Q137" s="1" t="str">
        <f>IFERROR(__xludf.DUMMYFUNCTION("""COMPUTED_VALUE"""),"FRANCISCO, ROSELYN")</f>
        <v>FRANCISCO, ROSELYN</v>
      </c>
      <c r="R137" s="1" t="str">
        <f>IFERROR(__xludf.DUMMYFUNCTION("""COMPUTED_VALUE"""),"REMOLLO LEA")</f>
        <v>REMOLLO LEA</v>
      </c>
      <c r="S137" s="1" t="str">
        <f>IFERROR(__xludf.DUMMYFUNCTION("""COMPUTED_VALUE"""),"ESPIRITU JULIE")</f>
        <v>ESPIRITU JULIE</v>
      </c>
      <c r="T137" s="1" t="str">
        <f>IFERROR(__xludf.DUMMYFUNCTION("""COMPUTED_VALUE"""),"SP6MONTHS")</f>
        <v>SP6MONTHS</v>
      </c>
      <c r="U137" s="1">
        <f>IFERROR(__xludf.DUMMYFUNCTION("""COMPUTED_VALUE"""),9677822747)</f>
        <v>9677822747</v>
      </c>
      <c r="V137" s="1">
        <f>IFERROR(__xludf.DUMMYFUNCTION("""COMPUTED_VALUE"""),9562507343)</f>
        <v>9562507343</v>
      </c>
      <c r="W137" s="1"/>
      <c r="X137" s="1" t="str">
        <f>IFERROR(__xludf.DUMMYFUNCTION("""COMPUTED_VALUE"""),"VIOLET ST")</f>
        <v>VIOLET ST</v>
      </c>
      <c r="Y137" s="1" t="str">
        <f>IFERROR(__xludf.DUMMYFUNCTION("""COMPUTED_VALUE"""),"WOODTOWN PHASE 4 SUBDIVISION")</f>
        <v>WOODTOWN PHASE 4 SUBDIVISION</v>
      </c>
      <c r="Z137" s="1" t="str">
        <f>IFERROR(__xludf.DUMMYFUNCTION("""COMPUTED_VALUE"""),"LANGKAAN I")</f>
        <v>LANGKAAN I</v>
      </c>
      <c r="AA137" s="1" t="str">
        <f>IFERROR(__xludf.DUMMYFUNCTION("""COMPUTED_VALUE"""),"DASMARINAS")</f>
        <v>DASMARINAS</v>
      </c>
      <c r="AB137" s="1" t="str">
        <f>IFERROR(__xludf.DUMMYFUNCTION("""COMPUTED_VALUE"""),"CVT3LCP388NP1/3")</f>
        <v>CVT3LCP388NP1/3</v>
      </c>
      <c r="AC137" s="1" t="str">
        <f>IFERROR(__xludf.DUMMYFUNCTION("""COMPUTED_VALUE""")," 120.944561 / 14.2856810")</f>
        <v> 120.944561 / 14.2856810</v>
      </c>
    </row>
    <row r="138" customHeight="1" spans="1:29">
      <c r="A138" s="3">
        <f>IFERROR(__xludf.DUMMYFUNCTION("""COMPUTED_VALUE"""),46260)</f>
        <v>46260</v>
      </c>
      <c r="B138" s="1" t="str">
        <f>IFERROR(__xludf.DUMMYFUNCTION("""COMPUTED_VALUE"""),"MARVIN SAMPAG MONTANCES")</f>
        <v>MARVIN SAMPAG MONTANCES</v>
      </c>
      <c r="C138" s="1" t="str">
        <f>IFERROR(__xludf.DUMMYFUNCTION("""COMPUTED_VALUE"""),"RITM0307966")</f>
        <v>RITM0307966</v>
      </c>
      <c r="D138" s="1" t="str">
        <f>IFERROR(__xludf.DUMMYFUNCTION("""COMPUTED_VALUE"""),"CS1348389 / WO0909055")</f>
        <v>CS1348389 / WO0909055</v>
      </c>
      <c r="E138" s="1">
        <f>IFERROR(__xludf.DUMMYFUNCTION("""COMPUTED_VALUE"""),8667589849)</f>
        <v>8667589849</v>
      </c>
      <c r="F138" s="1" t="str">
        <f>IFERROR(__xludf.DUMMYFUNCTION("""COMPUTED_VALUE"""),"marvinmontances96@gmail.com")</f>
        <v>marvinmontances96@gmail.com</v>
      </c>
      <c r="G138" s="1" t="str">
        <f>IFERROR(__xludf.DUMMYFUNCTION("""COMPUTED_VALUE"""),"APPROVED")</f>
        <v>APPROVED</v>
      </c>
      <c r="H138" s="1"/>
      <c r="I138" s="1" t="str">
        <f>IFERROR(__xludf.DUMMYFUNCTION("""COMPUTED_VALUE"""),"QUALIFIED - 8/27")</f>
        <v>QUALIFIED - 8/27</v>
      </c>
      <c r="J138" s="1" t="str">
        <f>IFERROR(__xludf.DUMMYFUNCTION("""COMPUTED_VALUE"""),"PAID VIA GCASH REF 225472360 AUG 27")</f>
        <v>PAID VIA GCASH REF 225472360 AUG 27</v>
      </c>
      <c r="K138" s="1" t="str">
        <f>IFERROR(__xludf.DUMMYFUNCTION("""COMPUTED_VALUE"""),"PAID")</f>
        <v>PAID</v>
      </c>
      <c r="L138" s="1" t="str">
        <f>IFERROR(__xludf.DUMMYFUNCTION("""COMPUTED_VALUE"""),"PAID - FOR INSTALLATION")</f>
        <v>PAID - FOR INSTALLATION</v>
      </c>
      <c r="M138" s="1"/>
      <c r="N138" s="1" t="str">
        <f>IFERROR(__xludf.DUMMYFUNCTION("""COMPUTED_VALUE"""),"RED_RS_ONL_CVE_25")</f>
        <v>RED_RS_ONL_CVE_25</v>
      </c>
      <c r="O138" s="1" t="str">
        <f>IFERROR(__xludf.DUMMYFUNCTION("""COMPUTED_VALUE"""),"RED FIBR 1000")</f>
        <v>RED FIBR 1000</v>
      </c>
      <c r="P138" s="1" t="str">
        <f>IFERROR(__xludf.DUMMYFUNCTION("""COMPUTED_VALUE"""),"MMM018711")</f>
        <v>MMM018711</v>
      </c>
      <c r="Q138" s="1" t="str">
        <f>IFERROR(__xludf.DUMMYFUNCTION("""COMPUTED_VALUE"""),"DEL ROSARIO. MIGGY LENARD")</f>
        <v>DEL ROSARIO. MIGGY LENARD</v>
      </c>
      <c r="R138" s="1" t="str">
        <f>IFERROR(__xludf.DUMMYFUNCTION("""COMPUTED_VALUE"""),"GARCIA MICHAEL JETTS")</f>
        <v>GARCIA MICHAEL JETTS</v>
      </c>
      <c r="S138" s="1" t="str">
        <f>IFERROR(__xludf.DUMMYFUNCTION("""COMPUTED_VALUE"""),"ESPIRITU JULIE")</f>
        <v>ESPIRITU JULIE</v>
      </c>
      <c r="T138" s="1" t="str">
        <f>IFERROR(__xludf.DUMMYFUNCTION("""COMPUTED_VALUE"""),"SP6MONTHS")</f>
        <v>SP6MONTHS</v>
      </c>
      <c r="U138" s="1">
        <f>IFERROR(__xludf.DUMMYFUNCTION("""COMPUTED_VALUE"""),9814377619)</f>
        <v>9814377619</v>
      </c>
      <c r="V138" s="1"/>
      <c r="W138" s="1">
        <f>IFERROR(__xludf.DUMMYFUNCTION("""COMPUTED_VALUE"""),214)</f>
        <v>214</v>
      </c>
      <c r="X138" s="1" t="str">
        <f>IFERROR(__xludf.DUMMYFUNCTION("""COMPUTED_VALUE"""),"BAGONG POOK")</f>
        <v>BAGONG POOK</v>
      </c>
      <c r="Y138" s="1"/>
      <c r="Z138" s="1" t="str">
        <f>IFERROR(__xludf.DUMMYFUNCTION("""COMPUTED_VALUE"""),"DAANG AMAYA III")</f>
        <v>DAANG AMAYA III</v>
      </c>
      <c r="AA138" s="1" t="str">
        <f>IFERROR(__xludf.DUMMYFUNCTION("""COMPUTED_VALUE"""),"TANZA")</f>
        <v>TANZA</v>
      </c>
      <c r="AB138" s="1" t="str">
        <f>IFERROR(__xludf.DUMMYFUNCTION("""COMPUTED_VALUE"""),"CVT6LCP208NP3/4")</f>
        <v>CVT6LCP208NP3/4</v>
      </c>
      <c r="AC138" s="1" t="str">
        <f>IFERROR(__xludf.DUMMYFUNCTION("""COMPUTED_VALUE""")," 120.85200 / 14.39488")</f>
        <v> 120.85200 / 14.39488</v>
      </c>
    </row>
    <row r="139" customHeight="1" spans="1:29">
      <c r="A139" s="3">
        <f>IFERROR(__xludf.DUMMYFUNCTION("""COMPUTED_VALUE"""),46260)</f>
        <v>46260</v>
      </c>
      <c r="B139" s="1" t="str">
        <f>IFERROR(__xludf.DUMMYFUNCTION("""COMPUTED_VALUE"""),"JENNIE CORTEZ PACUMIO")</f>
        <v>JENNIE CORTEZ PACUMIO</v>
      </c>
      <c r="C139" s="1" t="str">
        <f>IFERROR(__xludf.DUMMYFUNCTION("""COMPUTED_VALUE"""),"RITM0307999")</f>
        <v>RITM0307999</v>
      </c>
      <c r="D139" s="1"/>
      <c r="E139" s="1"/>
      <c r="F139" s="1" t="str">
        <f>IFERROR(__xludf.DUMMYFUNCTION("""COMPUTED_VALUE"""),"jhaipacumioarcaira@gmail.com")</f>
        <v>jhaipacumioarcaira@gmail.com</v>
      </c>
      <c r="G139" s="1" t="str">
        <f>IFERROR(__xludf.DUMMYFUNCTION("""COMPUTED_VALUE"""),"APPROVED")</f>
        <v>APPROVED</v>
      </c>
      <c r="H139" s="1"/>
      <c r="I139" s="1"/>
      <c r="J139" s="1"/>
      <c r="K139" s="1"/>
      <c r="L139" s="1" t="str">
        <f>IFERROR(__xludf.DUMMYFUNCTION("""COMPUTED_VALUE"""),"CANCELLED")</f>
        <v>CANCELLED</v>
      </c>
      <c r="M139" s="1"/>
      <c r="N139" s="1" t="str">
        <f>IFERROR(__xludf.DUMMYFUNCTION("""COMPUTED_VALUE"""),"RED_RS_ONL_CVE_25")</f>
        <v>RED_RS_ONL_CVE_25</v>
      </c>
      <c r="O139" s="1" t="str">
        <f>IFERROR(__xludf.DUMMYFUNCTION("""COMPUTED_VALUE"""),"RED FIBR 1000")</f>
        <v>RED FIBR 1000</v>
      </c>
      <c r="P139" s="1" t="str">
        <f>IFERROR(__xludf.DUMMYFUNCTION("""COMPUTED_VALUE"""),"MMM018709")</f>
        <v>MMM018709</v>
      </c>
      <c r="Q139" s="1" t="str">
        <f>IFERROR(__xludf.DUMMYFUNCTION("""COMPUTED_VALUE"""),"KAWAUCHI, SHANE")</f>
        <v>KAWAUCHI, SHANE</v>
      </c>
      <c r="R139" s="1" t="str">
        <f>IFERROR(__xludf.DUMMYFUNCTION("""COMPUTED_VALUE"""),"GARCIA MICHAEL JETTS")</f>
        <v>GARCIA MICHAEL JETTS</v>
      </c>
      <c r="S139" s="1" t="str">
        <f>IFERROR(__xludf.DUMMYFUNCTION("""COMPUTED_VALUE"""),"ESPIRITU JULIE")</f>
        <v>ESPIRITU JULIE</v>
      </c>
      <c r="T139" s="1" t="str">
        <f>IFERROR(__xludf.DUMMYFUNCTION("""COMPUTED_VALUE"""),"SP6MONTHS")</f>
        <v>SP6MONTHS</v>
      </c>
      <c r="U139" s="1">
        <f>IFERROR(__xludf.DUMMYFUNCTION("""COMPUTED_VALUE"""),9753381962)</f>
        <v>9753381962</v>
      </c>
      <c r="V139" s="1"/>
      <c r="W139" s="1">
        <f>IFERROR(__xludf.DUMMYFUNCTION("""COMPUTED_VALUE"""),116)</f>
        <v>116</v>
      </c>
      <c r="X139" s="1" t="str">
        <f>IFERROR(__xludf.DUMMYFUNCTION("""COMPUTED_VALUE"""),"CAMPIA ST")</f>
        <v>CAMPIA ST</v>
      </c>
      <c r="Y139" s="1"/>
      <c r="Z139" s="1" t="str">
        <f>IFERROR(__xludf.DUMMYFUNCTION("""COMPUTED_VALUE"""),"JULUGAN IV")</f>
        <v>JULUGAN IV</v>
      </c>
      <c r="AA139" s="1" t="str">
        <f>IFERROR(__xludf.DUMMYFUNCTION("""COMPUTED_VALUE"""),"TANZA")</f>
        <v>TANZA</v>
      </c>
      <c r="AB139" s="1"/>
      <c r="AC139" s="1" t="str">
        <f>IFERROR(__xludf.DUMMYFUNCTION("""COMPUTED_VALUE""")," 120.84392 / 14.40244")</f>
        <v> 120.84392 / 14.40244</v>
      </c>
    </row>
    <row r="140" customHeight="1" spans="1:29">
      <c r="A140" s="3">
        <f>IFERROR(__xludf.DUMMYFUNCTION("""COMPUTED_VALUE"""),46261)</f>
        <v>46261</v>
      </c>
      <c r="B140" s="1" t="str">
        <f>IFERROR(__xludf.DUMMYFUNCTION("""COMPUTED_VALUE"""),"REA LYN MARCELO CAUNCA")</f>
        <v>REA LYN MARCELO CAUNCA</v>
      </c>
      <c r="C140" s="1" t="str">
        <f>IFERROR(__xludf.DUMMYFUNCTION("""COMPUTED_VALUE"""),"RITM0308049")</f>
        <v>RITM0308049</v>
      </c>
      <c r="D140" s="1"/>
      <c r="E140" s="1"/>
      <c r="F140" s="1" t="str">
        <f>IFERROR(__xludf.DUMMYFUNCTION("""COMPUTED_VALUE"""),"simplenylaer@gmail.com")</f>
        <v>simplenylaer@gmail.com</v>
      </c>
      <c r="G140" s="1" t="str">
        <f>IFERROR(__xludf.DUMMYFUNCTION("""COMPUTED_VALUE"""),"APPROVED")</f>
        <v>APPROVED</v>
      </c>
      <c r="H140" s="1"/>
      <c r="I140" s="1" t="str">
        <f>IFERROR(__xludf.DUMMYFUNCTION("""COMPUTED_VALUE"""),"CANCEL RECREATE - CHANGE PLAN")</f>
        <v>CANCEL RECREATE - CHANGE PLAN</v>
      </c>
      <c r="J140" s="1"/>
      <c r="K140" s="1"/>
      <c r="L140" s="1" t="str">
        <f>IFERROR(__xludf.DUMMYFUNCTION("""COMPUTED_VALUE"""),"CANCEL RECREATE - CHANGE PLAN")</f>
        <v>CANCEL RECREATE - CHANGE PLAN</v>
      </c>
      <c r="M140" s="1"/>
      <c r="N140" s="1" t="str">
        <f>IFERROR(__xludf.DUMMYFUNCTION("""COMPUTED_VALUE"""),"RED_RS_ONL_CVE_25")</f>
        <v>RED_RS_ONL_CVE_25</v>
      </c>
      <c r="O140" s="1" t="str">
        <f>IFERROR(__xludf.DUMMYFUNCTION("""COMPUTED_VALUE"""),"RED FIBR 1400")</f>
        <v>RED FIBR 1400</v>
      </c>
      <c r="P140" s="1" t="str">
        <f>IFERROR(__xludf.DUMMYFUNCTION("""COMPUTED_VALUE"""),"MMM018712")</f>
        <v>MMM018712</v>
      </c>
      <c r="Q140" s="1" t="str">
        <f>IFERROR(__xludf.DUMMYFUNCTION("""COMPUTED_VALUE"""),"LUPENA. KARL ANGELO")</f>
        <v>LUPENA. KARL ANGELO</v>
      </c>
      <c r="R140" s="1" t="str">
        <f>IFERROR(__xludf.DUMMYFUNCTION("""COMPUTED_VALUE"""),"GARCIA MICHAEL JETTS")</f>
        <v>GARCIA MICHAEL JETTS</v>
      </c>
      <c r="S140" s="1" t="str">
        <f>IFERROR(__xludf.DUMMYFUNCTION("""COMPUTED_VALUE"""),"ESPIRITU JULIE")</f>
        <v>ESPIRITU JULIE</v>
      </c>
      <c r="T140" s="1" t="str">
        <f>IFERROR(__xludf.DUMMYFUNCTION("""COMPUTED_VALUE"""),"SP6MONTHS")</f>
        <v>SP6MONTHS</v>
      </c>
      <c r="U140" s="1">
        <f>IFERROR(__xludf.DUMMYFUNCTION("""COMPUTED_VALUE"""),9636774830)</f>
        <v>9636774830</v>
      </c>
      <c r="V140" s="1"/>
      <c r="W140" s="1"/>
      <c r="X140" s="1" t="str">
        <f>IFERROR(__xludf.DUMMYFUNCTION("""COMPUTED_VALUE"""),"GOLDEN HORIZON RD")</f>
        <v>GOLDEN HORIZON RD</v>
      </c>
      <c r="Y140" s="1" t="str">
        <f>IFERROR(__xludf.DUMMYFUNCTION("""COMPUTED_VALUE"""),"GOLDEN HORIZON SUBDIVISION")</f>
        <v>GOLDEN HORIZON SUBDIVISION</v>
      </c>
      <c r="Z140" s="1" t="str">
        <f>IFERROR(__xludf.DUMMYFUNCTION("""COMPUTED_VALUE"""),"PEREZ (LUCBANAN)")</f>
        <v>PEREZ (LUCBANAN)</v>
      </c>
      <c r="AA140" s="1" t="str">
        <f>IFERROR(__xludf.DUMMYFUNCTION("""COMPUTED_VALUE"""),"TRECE MARTIRES")</f>
        <v>TRECE MARTIRES</v>
      </c>
      <c r="AB140" s="1" t="str">
        <f>IFERROR(__xludf.DUMMYFUNCTION("""COMPUTED_VALUE"""),"CVT4LCP1NP1-6")</f>
        <v>CVT4LCP1NP1-6</v>
      </c>
      <c r="AC140" s="1" t="str">
        <f>IFERROR(__xludf.DUMMYFUNCTION("""COMPUTED_VALUE""")," 120.892551 / 14.2976169")</f>
        <v> 120.892551 / 14.2976169</v>
      </c>
    </row>
    <row r="141" customHeight="1" spans="1:29">
      <c r="A141" s="3">
        <f>IFERROR(__xludf.DUMMYFUNCTION("""COMPUTED_VALUE"""),46261)</f>
        <v>46261</v>
      </c>
      <c r="B141" s="1" t="str">
        <f>IFERROR(__xludf.DUMMYFUNCTION("""COMPUTED_VALUE"""),"ALICE AGUILA DIMAANO ")</f>
        <v>ALICE AGUILA DIMAANO </v>
      </c>
      <c r="C141" s="1" t="str">
        <f>IFERROR(__xludf.DUMMYFUNCTION("""COMPUTED_VALUE"""),"RITM0308064")</f>
        <v>RITM0308064</v>
      </c>
      <c r="D141" s="1" t="str">
        <f>IFERROR(__xludf.DUMMYFUNCTION("""COMPUTED_VALUE"""),"CS1348514 / WO0909377")</f>
        <v>CS1348514 / WO0909377</v>
      </c>
      <c r="E141" s="1">
        <f>IFERROR(__xludf.DUMMYFUNCTION("""COMPUTED_VALUE"""),8886466417)</f>
        <v>8886466417</v>
      </c>
      <c r="F141" s="1" t="str">
        <f>IFERROR(__xludf.DUMMYFUNCTION("""COMPUTED_VALUE"""),"nogalag0218@gmail.com")</f>
        <v>nogalag0218@gmail.com</v>
      </c>
      <c r="G141" s="1" t="str">
        <f>IFERROR(__xludf.DUMMYFUNCTION("""COMPUTED_VALUE"""),"CLOSED")</f>
        <v>CLOSED</v>
      </c>
      <c r="H141" s="1"/>
      <c r="I141" s="1" t="str">
        <f>IFERROR(__xludf.DUMMYFUNCTION("""COMPUTED_VALUE"""),"QUALIFIED - 8/29")</f>
        <v>QUALIFIED - 8/29</v>
      </c>
      <c r="J141" s="1" t="str">
        <f>IFERROR(__xludf.DUMMYFUNCTION("""COMPUTED_VALUE"""),"SWITCHER PROMO")</f>
        <v>SWITCHER PROMO</v>
      </c>
      <c r="K141" s="1"/>
      <c r="L141" s="1" t="str">
        <f>IFERROR(__xludf.DUMMYFUNCTION("""COMPUTED_VALUE"""),"POSTED")</f>
        <v>POSTED</v>
      </c>
      <c r="M141" s="1" t="str">
        <f>IFERROR(__xludf.DUMMYFUNCTION("""COMPUTED_VALUE"""),"9/10/2026")</f>
        <v>9/10/2026</v>
      </c>
      <c r="N141" s="1" t="str">
        <f>IFERROR(__xludf.DUMMYFUNCTION("""COMPUTED_VALUE"""),"RED_RS_ONL_CVE_25")</f>
        <v>RED_RS_ONL_CVE_25</v>
      </c>
      <c r="O141" s="1" t="str">
        <f>IFERROR(__xludf.DUMMYFUNCTION("""COMPUTED_VALUE"""),"SWITCHER PLAN 1400")</f>
        <v>SWITCHER PLAN 1400</v>
      </c>
      <c r="P141" s="1" t="str">
        <f>IFERROR(__xludf.DUMMYFUNCTION("""COMPUTED_VALUE"""),"MMM018713")</f>
        <v>MMM018713</v>
      </c>
      <c r="Q141" s="1" t="str">
        <f>IFERROR(__xludf.DUMMYFUNCTION("""COMPUTED_VALUE"""),"LUCELLE, FRIAS - BATANGAS")</f>
        <v>LUCELLE, FRIAS - BATANGAS</v>
      </c>
      <c r="R141" s="1" t="str">
        <f>IFERROR(__xludf.DUMMYFUNCTION("""COMPUTED_VALUE"""),"CLARETE, GLIZIEL")</f>
        <v>CLARETE, GLIZIEL</v>
      </c>
      <c r="S141" s="1" t="str">
        <f>IFERROR(__xludf.DUMMYFUNCTION("""COMPUTED_VALUE"""),"ESPIRITU JULIE")</f>
        <v>ESPIRITU JULIE</v>
      </c>
      <c r="T141" s="1" t="str">
        <f>IFERROR(__xludf.DUMMYFUNCTION("""COMPUTED_VALUE"""),"SWITCHOFFER")</f>
        <v>SWITCHOFFER</v>
      </c>
      <c r="U141" s="1">
        <f>IFERROR(__xludf.DUMMYFUNCTION("""COMPUTED_VALUE"""),9279631771)</f>
        <v>9279631771</v>
      </c>
      <c r="V141" s="1"/>
      <c r="W141" s="1"/>
      <c r="X141" s="1" t="str">
        <f>IFERROR(__xludf.DUMMYFUNCTION("""COMPUTED_VALUE"""),"SOROSORO IBABA")</f>
        <v>SOROSORO IBABA</v>
      </c>
      <c r="Y141" s="1" t="str">
        <f>IFERROR(__xludf.DUMMYFUNCTION("""COMPUTED_VALUE"""),"-")</f>
        <v>-</v>
      </c>
      <c r="Z141" s="1" t="str">
        <f>IFERROR(__xludf.DUMMYFUNCTION("""COMPUTED_VALUE"""),"SOROSORO IBABA")</f>
        <v>SOROSORO IBABA</v>
      </c>
      <c r="AA141" s="1" t="str">
        <f>IFERROR(__xludf.DUMMYFUNCTION("""COMPUTED_VALUE"""),"BATANGAS ")</f>
        <v>BATANGAS </v>
      </c>
      <c r="AB141" s="1" t="str">
        <f>IFERROR(__xludf.DUMMYFUNCTION("""COMPUTED_VALUE"""),"BCYLCP87NP5/6")</f>
        <v>BCYLCP87NP5/6</v>
      </c>
      <c r="AC141" s="1" t="str">
        <f>IFERROR(__xludf.DUMMYFUNCTION("""COMPUTED_VALUE""")," 121.091062 / 13.811371")</f>
        <v> 121.091062 / 13.811371</v>
      </c>
    </row>
    <row r="142" customHeight="1" spans="1:29">
      <c r="A142" s="3">
        <f>IFERROR(__xludf.DUMMYFUNCTION("""COMPUTED_VALUE"""),46262)</f>
        <v>46262</v>
      </c>
      <c r="B142" s="1" t="str">
        <f>IFERROR(__xludf.DUMMYFUNCTION("""COMPUTED_VALUE"""),"MARK ANTHONY COMBONG THELMO")</f>
        <v>MARK ANTHONY COMBONG THELMO</v>
      </c>
      <c r="C142" s="1" t="str">
        <f>IFERROR(__xludf.DUMMYFUNCTION("""COMPUTED_VALUE"""),"RITM0308165")</f>
        <v>RITM0308165</v>
      </c>
      <c r="D142" s="1" t="str">
        <f>IFERROR(__xludf.DUMMYFUNCTION("""COMPUTED_VALUE"""),"CS1348708 / WO0909307")</f>
        <v>CS1348708 / WO0909307</v>
      </c>
      <c r="E142" s="1">
        <f>IFERROR(__xludf.DUMMYFUNCTION("""COMPUTED_VALUE"""),9165681270)</f>
        <v>9165681270</v>
      </c>
      <c r="F142" s="1" t="str">
        <f>IFERROR(__xludf.DUMMYFUNCTION("""COMPUTED_VALUE"""),"thelmomarkanthony04@gmail.com")</f>
        <v>thelmomarkanthony04@gmail.com</v>
      </c>
      <c r="G142" s="1" t="str">
        <f>IFERROR(__xludf.DUMMYFUNCTION("""COMPUTED_VALUE"""),"CLOSED")</f>
        <v>CLOSED</v>
      </c>
      <c r="H142" s="1"/>
      <c r="I142" s="1" t="str">
        <f>IFERROR(__xludf.DUMMYFUNCTION("""COMPUTED_VALUE"""),"QUALIFIED - 8/28")</f>
        <v>QUALIFIED - 8/28</v>
      </c>
      <c r="J142" s="1" t="str">
        <f>IFERROR(__xludf.DUMMYFUNCTION("""COMPUTED_VALUE"""),"PAID VIA GCASH - AUG 28 - REF - 13110566")</f>
        <v>PAID VIA GCASH - AUG 28 - REF - 13110566</v>
      </c>
      <c r="K142" s="1" t="str">
        <f>IFERROR(__xludf.DUMMYFUNCTION("""COMPUTED_VALUE"""),"PAID")</f>
        <v>PAID</v>
      </c>
      <c r="L142" s="1" t="str">
        <f>IFERROR(__xludf.DUMMYFUNCTION("""COMPUTED_VALUE"""),"POSTED")</f>
        <v>POSTED</v>
      </c>
      <c r="M142" s="1" t="str">
        <f>IFERROR(__xludf.DUMMYFUNCTION("""COMPUTED_VALUE"""),"9/2/2026")</f>
        <v>9/2/2026</v>
      </c>
      <c r="N142" s="1" t="str">
        <f>IFERROR(__xludf.DUMMYFUNCTION("""COMPUTED_VALUE"""),"RED_RS_ONL_CVE_25")</f>
        <v>RED_RS_ONL_CVE_25</v>
      </c>
      <c r="O142" s="1" t="str">
        <f>IFERROR(__xludf.DUMMYFUNCTION("""COMPUTED_VALUE"""),"RED FIBR 1000")</f>
        <v>RED FIBR 1000</v>
      </c>
      <c r="P142" s="1" t="str">
        <f>IFERROR(__xludf.DUMMYFUNCTION("""COMPUTED_VALUE"""),"MMM018711")</f>
        <v>MMM018711</v>
      </c>
      <c r="Q142" s="1" t="str">
        <f>IFERROR(__xludf.DUMMYFUNCTION("""COMPUTED_VALUE"""),"YOLANGCO, MARVIN")</f>
        <v>YOLANGCO, MARVIN</v>
      </c>
      <c r="R142" s="1" t="str">
        <f>IFERROR(__xludf.DUMMYFUNCTION("""COMPUTED_VALUE"""),"GARCIA MICHAEL JETTS")</f>
        <v>GARCIA MICHAEL JETTS</v>
      </c>
      <c r="S142" s="1" t="str">
        <f>IFERROR(__xludf.DUMMYFUNCTION("""COMPUTED_VALUE"""),"ESPIRITU JULIE")</f>
        <v>ESPIRITU JULIE</v>
      </c>
      <c r="T142" s="1" t="str">
        <f>IFERROR(__xludf.DUMMYFUNCTION("""COMPUTED_VALUE"""),"SP6MONTHS")</f>
        <v>SP6MONTHS</v>
      </c>
      <c r="U142" s="1">
        <f>IFERROR(__xludf.DUMMYFUNCTION("""COMPUTED_VALUE"""),9974259713)</f>
        <v>9974259713</v>
      </c>
      <c r="V142" s="1"/>
      <c r="W142" s="1"/>
      <c r="X142" s="1" t="str">
        <f>IFERROR(__xludf.DUMMYFUNCTION("""COMPUTED_VALUE"""),"TRAMO RD")</f>
        <v>TRAMO RD</v>
      </c>
      <c r="Y142" s="1"/>
      <c r="Z142" s="1" t="str">
        <f>IFERROR(__xludf.DUMMYFUNCTION("""COMPUTED_VALUE"""),"AMAYA I")</f>
        <v>AMAYA I</v>
      </c>
      <c r="AA142" s="1" t="str">
        <f>IFERROR(__xludf.DUMMYFUNCTION("""COMPUTED_VALUE"""),"TANZA")</f>
        <v>TANZA</v>
      </c>
      <c r="AB142" s="1"/>
      <c r="AC142" s="1" t="str">
        <f>IFERROR(__xludf.DUMMYFUNCTION("""COMPUTED_VALUE""")," 120.83618 / 14.3845691")</f>
        <v> 120.83618 / 14.3845691</v>
      </c>
    </row>
    <row r="143" customHeight="1" spans="1:29">
      <c r="A143" s="3">
        <f>IFERROR(__xludf.DUMMYFUNCTION("""COMPUTED_VALUE"""),46262)</f>
        <v>46262</v>
      </c>
      <c r="B143" s="1" t="str">
        <f>IFERROR(__xludf.DUMMYFUNCTION("""COMPUTED_VALUE"""),"REA LYN MARCELO CAUNCA")</f>
        <v>REA LYN MARCELO CAUNCA</v>
      </c>
      <c r="C143" s="1" t="str">
        <f>IFERROR(__xludf.DUMMYFUNCTION("""COMPUTED_VALUE"""),"RITM0308169")</f>
        <v>RITM0308169</v>
      </c>
      <c r="D143" s="1"/>
      <c r="E143" s="1"/>
      <c r="F143" s="1" t="str">
        <f>IFERROR(__xludf.DUMMYFUNCTION("""COMPUTED_VALUE"""),"realyncaunca@gmail.com")</f>
        <v>realyncaunca@gmail.com</v>
      </c>
      <c r="G143" s="1" t="str">
        <f>IFERROR(__xludf.DUMMYFUNCTION("""COMPUTED_VALUE"""),"REJECTED")</f>
        <v>REJECTED</v>
      </c>
      <c r="H143" s="1"/>
      <c r="I143" s="1" t="str">
        <f>IFERROR(__xludf.DUMMYFUNCTION("""COMPUTED_VALUE"""),"REJECTED - FOUND NO SELFIE WITH MODEM GREEN LIGHT // KINDLY PROVIDE SELFIE WITH MODEM GREEN LIGHT")</f>
        <v>REJECTED - FOUND NO SELFIE WITH MODEM GREEN LIGHT // KINDLY PROVIDE SELFIE WITH MODEM GREEN LIGHT</v>
      </c>
      <c r="J143" s="1"/>
      <c r="K143" s="1"/>
      <c r="L143" s="1" t="str">
        <f>IFERROR(__xludf.DUMMYFUNCTION("""COMPUTED_VALUE"""),"DISAPPROVED")</f>
        <v>DISAPPROVED</v>
      </c>
      <c r="M143" s="1"/>
      <c r="N143" s="1" t="str">
        <f>IFERROR(__xludf.DUMMYFUNCTION("""COMPUTED_VALUE"""),"RED_RS_ONL_CVE_25")</f>
        <v>RED_RS_ONL_CVE_25</v>
      </c>
      <c r="O143" s="1" t="str">
        <f>IFERROR(__xludf.DUMMYFUNCTION("""COMPUTED_VALUE"""),"SWITCHER PLAN 1400")</f>
        <v>SWITCHER PLAN 1400</v>
      </c>
      <c r="P143" s="1" t="str">
        <f>IFERROR(__xludf.DUMMYFUNCTION("""COMPUTED_VALUE"""),"MMM018712")</f>
        <v>MMM018712</v>
      </c>
      <c r="Q143" s="1" t="str">
        <f>IFERROR(__xludf.DUMMYFUNCTION("""COMPUTED_VALUE"""),"LUPENA. KARL ANGELO")</f>
        <v>LUPENA. KARL ANGELO</v>
      </c>
      <c r="R143" s="1" t="str">
        <f>IFERROR(__xludf.DUMMYFUNCTION("""COMPUTED_VALUE"""),"GARCIA MICHAEL JETTS")</f>
        <v>GARCIA MICHAEL JETTS</v>
      </c>
      <c r="S143" s="1" t="str">
        <f>IFERROR(__xludf.DUMMYFUNCTION("""COMPUTED_VALUE"""),"SALIOA JB")</f>
        <v>SALIOA JB</v>
      </c>
      <c r="T143" s="1" t="str">
        <f>IFERROR(__xludf.DUMMYFUNCTION("""COMPUTED_VALUE"""),"SWITCHOFFER")</f>
        <v>SWITCHOFFER</v>
      </c>
      <c r="U143" s="1">
        <f>IFERROR(__xludf.DUMMYFUNCTION("""COMPUTED_VALUE"""),9636774830)</f>
        <v>9636774830</v>
      </c>
      <c r="V143" s="1"/>
      <c r="W143" s="1"/>
      <c r="X143" s="1" t="str">
        <f>IFERROR(__xludf.DUMMYFUNCTION("""COMPUTED_VALUE"""),"PHASE 1 ST")</f>
        <v>PHASE 1 ST</v>
      </c>
      <c r="Y143" s="1" t="str">
        <f>IFERROR(__xludf.DUMMYFUNCTION("""COMPUTED_VALUE"""),"GOLDEN HORIZON")</f>
        <v>GOLDEN HORIZON</v>
      </c>
      <c r="Z143" s="1" t="str">
        <f>IFERROR(__xludf.DUMMYFUNCTION("""COMPUTED_VALUE"""),"PEREZ (LUCBANAN)")</f>
        <v>PEREZ (LUCBANAN)</v>
      </c>
      <c r="AA143" s="1" t="str">
        <f>IFERROR(__xludf.DUMMYFUNCTION("""COMPUTED_VALUE"""),"TRECE MARTIRES")</f>
        <v>TRECE MARTIRES</v>
      </c>
      <c r="AB143" s="1" t="str">
        <f>IFERROR(__xludf.DUMMYFUNCTION("""COMPUTED_VALUE"""),"CVT4 LCP1 NP1-6")</f>
        <v>CVT4 LCP1 NP1-6</v>
      </c>
      <c r="AC143" s="1" t="str">
        <f>IFERROR(__xludf.DUMMYFUNCTION("""COMPUTED_VALUE"""),"120.892551 / 14.2976169")</f>
        <v>120.892551 / 14.2976169</v>
      </c>
    </row>
    <row r="144" customHeight="1" spans="1:29">
      <c r="A144" s="3">
        <f>IFERROR(__xludf.DUMMYFUNCTION("""COMPUTED_VALUE"""),46262)</f>
        <v>46262</v>
      </c>
      <c r="B144" s="1" t="str">
        <f>IFERROR(__xludf.DUMMYFUNCTION("""COMPUTED_VALUE"""),"JESUS JR MIRANDA LABANDA")</f>
        <v>JESUS JR MIRANDA LABANDA</v>
      </c>
      <c r="C144" s="1" t="str">
        <f>IFERROR(__xludf.DUMMYFUNCTION("""COMPUTED_VALUE"""),"RITM0308230")</f>
        <v>RITM0308230</v>
      </c>
      <c r="D144" s="1"/>
      <c r="E144" s="1"/>
      <c r="F144" s="1" t="str">
        <f>IFERROR(__xludf.DUMMYFUNCTION("""COMPUTED_VALUE"""),"shobayola@gmail.com")</f>
        <v>shobayola@gmail.com</v>
      </c>
      <c r="G144" s="1" t="str">
        <f>IFERROR(__xludf.DUMMYFUNCTION("""COMPUTED_VALUE"""),"APPROVED")</f>
        <v>APPROVED</v>
      </c>
      <c r="H144" s="1"/>
      <c r="I144" s="1" t="str">
        <f>IFERROR(__xludf.DUMMYFUNCTION("""COMPUTED_VALUE"""),"Hinihintay lang yung anak para ma check sa email - 8/30")</f>
        <v>Hinihintay lang yung anak para ma check sa email - 8/30</v>
      </c>
      <c r="J144" s="1"/>
      <c r="K144" s="1"/>
      <c r="L144" s="1" t="str">
        <f>IFERROR(__xludf.DUMMYFUNCTION("""COMPUTED_VALUE"""),"CANCELLED")</f>
        <v>CANCELLED</v>
      </c>
      <c r="M144" s="1"/>
      <c r="N144" s="1" t="str">
        <f>IFERROR(__xludf.DUMMYFUNCTION("""COMPUTED_VALUE"""),"RED_RS_ONL_CVE_25")</f>
        <v>RED_RS_ONL_CVE_25</v>
      </c>
      <c r="O144" s="1" t="str">
        <f>IFERROR(__xludf.DUMMYFUNCTION("""COMPUTED_VALUE"""),"RED FIBR 1000")</f>
        <v>RED FIBR 1000</v>
      </c>
      <c r="P144" s="1" t="str">
        <f>IFERROR(__xludf.DUMMYFUNCTION("""COMPUTED_VALUE"""),"MMM018709")</f>
        <v>MMM018709</v>
      </c>
      <c r="Q144" s="1" t="str">
        <f>IFERROR(__xludf.DUMMYFUNCTION("""COMPUTED_VALUE"""),"MORADOS, MARVIN")</f>
        <v>MORADOS, MARVIN</v>
      </c>
      <c r="R144" s="1" t="str">
        <f>IFERROR(__xludf.DUMMYFUNCTION("""COMPUTED_VALUE"""),"GARCIA MICHAEL JETTS")</f>
        <v>GARCIA MICHAEL JETTS</v>
      </c>
      <c r="S144" s="1" t="str">
        <f>IFERROR(__xludf.DUMMYFUNCTION("""COMPUTED_VALUE"""),"SALIOA JB")</f>
        <v>SALIOA JB</v>
      </c>
      <c r="T144" s="1" t="str">
        <f>IFERROR(__xludf.DUMMYFUNCTION("""COMPUTED_VALUE"""),"SP6MONTHS")</f>
        <v>SP6MONTHS</v>
      </c>
      <c r="U144" s="1">
        <f>IFERROR(__xludf.DUMMYFUNCTION("""COMPUTED_VALUE"""),9355117279)</f>
        <v>9355117279</v>
      </c>
      <c r="V144" s="1"/>
      <c r="W144" s="1"/>
      <c r="X144" s="1" t="str">
        <f>IFERROR(__xludf.DUMMYFUNCTION("""COMPUTED_VALUE"""),"PHASE 2 ST")</f>
        <v>PHASE 2 ST</v>
      </c>
      <c r="Y144" s="1"/>
      <c r="Z144" s="1" t="str">
        <f>IFERROR(__xludf.DUMMYFUNCTION("""COMPUTED_VALUE"""),"BICLATAN")</f>
        <v>BICLATAN</v>
      </c>
      <c r="AA144" s="1" t="str">
        <f>IFERROR(__xludf.DUMMYFUNCTION("""COMPUTED_VALUE"""),"GENERAL TRIAS")</f>
        <v>GENERAL TRIAS</v>
      </c>
      <c r="AB144" s="1"/>
      <c r="AC144" s="1" t="str">
        <f>IFERROR(__xludf.DUMMYFUNCTION("""COMPUTED_VALUE"""),"120.910127 / 14.278449")</f>
        <v>120.910127 / 14.278449</v>
      </c>
    </row>
    <row r="145" customHeight="1" spans="1:29">
      <c r="A145" s="3">
        <f>IFERROR(__xludf.DUMMYFUNCTION("""COMPUTED_VALUE"""),46262)</f>
        <v>46262</v>
      </c>
      <c r="B145" s="1" t="str">
        <f>IFERROR(__xludf.DUMMYFUNCTION("""COMPUTED_VALUE"""),"RONALD MATHEW GARCIA MIRALLES")</f>
        <v>RONALD MATHEW GARCIA MIRALLES</v>
      </c>
      <c r="C145" s="1" t="str">
        <f>IFERROR(__xludf.DUMMYFUNCTION("""COMPUTED_VALUE"""),"RITM0308232")</f>
        <v>RITM0308232</v>
      </c>
      <c r="D145" s="1" t="str">
        <f>IFERROR(__xludf.DUMMYFUNCTION("""COMPUTED_VALUE"""),"CS1348802 / WO0909428")</f>
        <v>CS1348802 / WO0909428</v>
      </c>
      <c r="E145" s="1">
        <f>IFERROR(__xludf.DUMMYFUNCTION("""COMPUTED_VALUE"""),4285659167)</f>
        <v>4285659167</v>
      </c>
      <c r="F145" s="1" t="str">
        <f>IFERROR(__xludf.DUMMYFUNCTION("""COMPUTED_VALUE"""),"mattmiralles16@gmail.com")</f>
        <v>mattmiralles16@gmail.com</v>
      </c>
      <c r="G145" s="1" t="str">
        <f>IFERROR(__xludf.DUMMYFUNCTION("""COMPUTED_VALUE"""),"CLOSED")</f>
        <v>CLOSED</v>
      </c>
      <c r="H145" s="1"/>
      <c r="I145" s="1" t="str">
        <f>IFERROR(__xludf.DUMMYFUNCTION("""COMPUTED_VALUE"""),"QUALIFIED - 8/29")</f>
        <v>QUALIFIED - 8/29</v>
      </c>
      <c r="J145" s="1" t="str">
        <f>IFERROR(__xludf.DUMMYFUNCTION("""COMPUTED_VALUE"""),"PAID THRU GCASH REF 828743855 AUG 29")</f>
        <v>PAID THRU GCASH REF 828743855 AUG 29</v>
      </c>
      <c r="K145" s="1" t="str">
        <f>IFERROR(__xludf.DUMMYFUNCTION("""COMPUTED_VALUE"""),"PAID")</f>
        <v>PAID</v>
      </c>
      <c r="L145" s="1" t="str">
        <f>IFERROR(__xludf.DUMMYFUNCTION("""COMPUTED_VALUE"""),"POSTED")</f>
        <v>POSTED</v>
      </c>
      <c r="M145" s="1" t="str">
        <f>IFERROR(__xludf.DUMMYFUNCTION("""COMPUTED_VALUE"""),"8/31/2026")</f>
        <v>8/31/2026</v>
      </c>
      <c r="N145" s="1" t="str">
        <f>IFERROR(__xludf.DUMMYFUNCTION("""COMPUTED_VALUE"""),"RED_RS_HH_CVE_25")</f>
        <v>RED_RS_HH_CVE_25</v>
      </c>
      <c r="O145" s="1" t="str">
        <f>IFERROR(__xludf.DUMMYFUNCTION("""COMPUTED_VALUE"""),"RED FIBR 1400")</f>
        <v>RED FIBR 1400</v>
      </c>
      <c r="P145" s="1" t="str">
        <f>IFERROR(__xludf.DUMMYFUNCTION("""COMPUTED_VALUE"""),"MMM018709")</f>
        <v>MMM018709</v>
      </c>
      <c r="Q145" s="1" t="str">
        <f>IFERROR(__xludf.DUMMYFUNCTION("""COMPUTED_VALUE"""),"FRANCISCO, ROSELYN")</f>
        <v>FRANCISCO, ROSELYN</v>
      </c>
      <c r="R145" s="1" t="str">
        <f>IFERROR(__xludf.DUMMYFUNCTION("""COMPUTED_VALUE"""),"REMOLLO LEA")</f>
        <v>REMOLLO LEA</v>
      </c>
      <c r="S145" s="1" t="str">
        <f>IFERROR(__xludf.DUMMYFUNCTION("""COMPUTED_VALUE"""),"SALIOA JB")</f>
        <v>SALIOA JB</v>
      </c>
      <c r="T145" s="1" t="str">
        <f>IFERROR(__xludf.DUMMYFUNCTION("""COMPUTED_VALUE"""),"SP6MONTHS")</f>
        <v>SP6MONTHS</v>
      </c>
      <c r="U145" s="1">
        <f>IFERROR(__xludf.DUMMYFUNCTION("""COMPUTED_VALUE"""),9476236320)</f>
        <v>9476236320</v>
      </c>
      <c r="V145" s="1">
        <f>IFERROR(__xludf.DUMMYFUNCTION("""COMPUTED_VALUE"""),9162085133)</f>
        <v>9162085133</v>
      </c>
      <c r="W145" s="1">
        <f>IFERROR(__xludf.DUMMYFUNCTION("""COMPUTED_VALUE"""),31)</f>
        <v>31</v>
      </c>
      <c r="X145" s="1" t="str">
        <f>IFERROR(__xludf.DUMMYFUNCTION("""COMPUTED_VALUE"""),"CRISANTO M DELOS REYES AVE")</f>
        <v>CRISANTO M DELOS REYES AVE</v>
      </c>
      <c r="Y145" s="1"/>
      <c r="Z145" s="1" t="str">
        <f>IFERROR(__xludf.DUMMYFUNCTION("""COMPUTED_VALUE"""),"BARANGAY VI (POB.)")</f>
        <v>BARANGAY VI (POB.)</v>
      </c>
      <c r="AA145" s="1" t="str">
        <f>IFERROR(__xludf.DUMMYFUNCTION("""COMPUTED_VALUE"""),"AMADEO")</f>
        <v>AMADEO</v>
      </c>
      <c r="AB145" s="1" t="str">
        <f>IFERROR(__xludf.DUMMYFUNCTION("""COMPUTED_VALUE"""),"CVT2 LCP92 NAP5/6")</f>
        <v>CVT2 LCP92 NAP5/6</v>
      </c>
      <c r="AC145" s="1" t="str">
        <f>IFERROR(__xludf.DUMMYFUNCTION("""COMPUTED_VALUE"""),"120.924057 / 14.172073")</f>
        <v>120.924057 / 14.172073</v>
      </c>
    </row>
    <row r="146" customHeight="1" spans="1:29">
      <c r="A146" s="3">
        <f>IFERROR(__xludf.DUMMYFUNCTION("""COMPUTED_VALUE"""),46263)</f>
        <v>46263</v>
      </c>
      <c r="B146" s="1" t="str">
        <f>IFERROR(__xludf.DUMMYFUNCTION("""COMPUTED_VALUE"""),"LOYD TIAMZON CORTEZ")</f>
        <v>LOYD TIAMZON CORTEZ</v>
      </c>
      <c r="C146" s="1" t="str">
        <f>IFERROR(__xludf.DUMMYFUNCTION("""COMPUTED_VALUE"""),"RITM0308330")</f>
        <v>RITM0308330</v>
      </c>
      <c r="D146" s="1" t="str">
        <f>IFERROR(__xludf.DUMMYFUNCTION("""COMPUTED_VALUE"""),"CS1349195 / WO0909444")</f>
        <v>CS1349195 / WO0909444</v>
      </c>
      <c r="E146" s="1">
        <f>IFERROR(__xludf.DUMMYFUNCTION("""COMPUTED_VALUE"""),1488412272)</f>
        <v>1488412272</v>
      </c>
      <c r="F146" s="1" t="str">
        <f>IFERROR(__xludf.DUMMYFUNCTION("""COMPUTED_VALUE"""),"sayatmelody@gmail.com")</f>
        <v>sayatmelody@gmail.com</v>
      </c>
      <c r="G146" s="1" t="str">
        <f>IFERROR(__xludf.DUMMYFUNCTION("""COMPUTED_VALUE"""),"CLOSED")</f>
        <v>CLOSED</v>
      </c>
      <c r="H146" s="1"/>
      <c r="I146" s="1" t="str">
        <f>IFERROR(__xludf.DUMMYFUNCTION("""COMPUTED_VALUE"""),"QUALIFIED - 8/29")</f>
        <v>QUALIFIED - 8/29</v>
      </c>
      <c r="J146" s="1" t="str">
        <f>IFERROR(__xludf.DUMMYFUNCTION("""COMPUTED_VALUE"""),"PAID VIA GCASH REF 435744363 AUG 29")</f>
        <v>PAID VIA GCASH REF 435744363 AUG 29</v>
      </c>
      <c r="K146" s="1" t="str">
        <f>IFERROR(__xludf.DUMMYFUNCTION("""COMPUTED_VALUE"""),"PAID")</f>
        <v>PAID</v>
      </c>
      <c r="L146" s="1" t="str">
        <f>IFERROR(__xludf.DUMMYFUNCTION("""COMPUTED_VALUE"""),"POSTED")</f>
        <v>POSTED</v>
      </c>
      <c r="M146" s="1" t="str">
        <f>IFERROR(__xludf.DUMMYFUNCTION("""COMPUTED_VALUE"""),"9/2/2026")</f>
        <v>9/2/2026</v>
      </c>
      <c r="N146" s="1" t="str">
        <f>IFERROR(__xludf.DUMMYFUNCTION("""COMPUTED_VALUE"""),"RED_RS_ONL_CVE_25")</f>
        <v>RED_RS_ONL_CVE_25</v>
      </c>
      <c r="O146" s="1" t="str">
        <f>IFERROR(__xludf.DUMMYFUNCTION("""COMPUTED_VALUE"""),"RED FIBR 1000")</f>
        <v>RED FIBR 1000</v>
      </c>
      <c r="P146" s="1" t="str">
        <f>IFERROR(__xludf.DUMMYFUNCTION("""COMPUTED_VALUE"""),"MMM018709")</f>
        <v>MMM018709</v>
      </c>
      <c r="Q146" s="1" t="str">
        <f>IFERROR(__xludf.DUMMYFUNCTION("""COMPUTED_VALUE"""),"MORADOS, MARVIN")</f>
        <v>MORADOS, MARVIN</v>
      </c>
      <c r="R146" s="1" t="str">
        <f>IFERROR(__xludf.DUMMYFUNCTION("""COMPUTED_VALUE"""),"GARCIA MICHAEL JETTS")</f>
        <v>GARCIA MICHAEL JETTS</v>
      </c>
      <c r="S146" s="1" t="str">
        <f>IFERROR(__xludf.DUMMYFUNCTION("""COMPUTED_VALUE"""),"ESPIRITU JULIE")</f>
        <v>ESPIRITU JULIE</v>
      </c>
      <c r="T146" s="1" t="str">
        <f>IFERROR(__xludf.DUMMYFUNCTION("""COMPUTED_VALUE"""),"SP6MONTHS")</f>
        <v>SP6MONTHS</v>
      </c>
      <c r="U146" s="1">
        <f>IFERROR(__xludf.DUMMYFUNCTION("""COMPUTED_VALUE"""),9155481413)</f>
        <v>9155481413</v>
      </c>
      <c r="V146" s="1"/>
      <c r="W146" s="1"/>
      <c r="X146" s="1" t="str">
        <f>IFERROR(__xludf.DUMMYFUNCTION("""COMPUTED_VALUE"""),"PIELA RD")</f>
        <v>PIELA RD</v>
      </c>
      <c r="Y146" s="1" t="str">
        <f>IFERROR(__xludf.DUMMYFUNCTION("""COMPUTED_VALUE"""),"VILLA LINDA HEIGHTS SUBDIVISION")</f>
        <v>VILLA LINDA HEIGHTS SUBDIVISION</v>
      </c>
      <c r="Z146" s="1" t="str">
        <f>IFERROR(__xludf.DUMMYFUNCTION("""COMPUTED_VALUE"""),"SAMPALOC III")</f>
        <v>SAMPALOC III</v>
      </c>
      <c r="AA146" s="1" t="str">
        <f>IFERROR(__xludf.DUMMYFUNCTION("""COMPUTED_VALUE"""),"DASMARINAS")</f>
        <v>DASMARINAS</v>
      </c>
      <c r="AB146" s="1" t="str">
        <f>IFERROR(__xludf.DUMMYFUNCTION("""COMPUTED_VALUE"""),"CVT3LCP355NP1-6")</f>
        <v>CVT3LCP355NP1-6</v>
      </c>
      <c r="AC146" s="1" t="str">
        <f>IFERROR(__xludf.DUMMYFUNCTION("""COMPUTED_VALUE""")," 120.97506 / 14.29084")</f>
        <v> 120.97506 / 14.29084</v>
      </c>
    </row>
    <row r="147" customHeight="1" spans="1:29">
      <c r="A147" s="3">
        <f>IFERROR(__xludf.DUMMYFUNCTION("""COMPUTED_VALUE"""),46263)</f>
        <v>46263</v>
      </c>
      <c r="B147" s="1" t="str">
        <f>IFERROR(__xludf.DUMMYFUNCTION("""COMPUTED_VALUE"""),"ALLECK VERGARA AGUIRRE")</f>
        <v>ALLECK VERGARA AGUIRRE</v>
      </c>
      <c r="C147" s="1" t="str">
        <f>IFERROR(__xludf.DUMMYFUNCTION("""COMPUTED_VALUE"""),"RITM0308364")</f>
        <v>RITM0308364</v>
      </c>
      <c r="D147" s="1"/>
      <c r="E147" s="1"/>
      <c r="F147" s="1" t="str">
        <f>IFERROR(__xludf.DUMMYFUNCTION("""COMPUTED_VALUE"""),"alleckaguirre402@gmail.com")</f>
        <v>alleckaguirre402@gmail.com</v>
      </c>
      <c r="G147" s="1" t="str">
        <f>IFERROR(__xludf.DUMMYFUNCTION("""COMPUTED_VALUE"""),"APPROVED")</f>
        <v>APPROVED</v>
      </c>
      <c r="H147" s="1"/>
      <c r="I147" s="1" t="str">
        <f>IFERROR(__xludf.DUMMYFUNCTION("""COMPUTED_VALUE"""),"SUBS CANCELLED - nag surf to sawa na daw as per agent")</f>
        <v>SUBS CANCELLED - nag surf to sawa na daw as per agent</v>
      </c>
      <c r="J147" s="1"/>
      <c r="K147" s="1"/>
      <c r="L147" s="1" t="str">
        <f>IFERROR(__xludf.DUMMYFUNCTION("""COMPUTED_VALUE"""),"CANCELLED - SUBS CANCEL REQUEST")</f>
        <v>CANCELLED - SUBS CANCEL REQUEST</v>
      </c>
      <c r="M147" s="1"/>
      <c r="N147" s="1" t="str">
        <f>IFERROR(__xludf.DUMMYFUNCTION("""COMPUTED_VALUE"""),"RED_RS_ONL_CVE_25")</f>
        <v>RED_RS_ONL_CVE_25</v>
      </c>
      <c r="O147" s="1" t="str">
        <f>IFERROR(__xludf.DUMMYFUNCTION("""COMPUTED_VALUE"""),"RED FIBR 1000")</f>
        <v>RED FIBR 1000</v>
      </c>
      <c r="P147" s="1" t="str">
        <f>IFERROR(__xludf.DUMMYFUNCTION("""COMPUTED_VALUE"""),"MMM018712")</f>
        <v>MMM018712</v>
      </c>
      <c r="Q147" s="1" t="str">
        <f>IFERROR(__xludf.DUMMYFUNCTION("""COMPUTED_VALUE"""),"PEREZ. RONELL ")</f>
        <v>PEREZ. RONELL </v>
      </c>
      <c r="R147" s="1" t="str">
        <f>IFERROR(__xludf.DUMMYFUNCTION("""COMPUTED_VALUE"""),"GARCIA MICHAEL JETTS")</f>
        <v>GARCIA MICHAEL JETTS</v>
      </c>
      <c r="S147" s="1" t="str">
        <f>IFERROR(__xludf.DUMMYFUNCTION("""COMPUTED_VALUE"""),"ESPIRITU JULIE")</f>
        <v>ESPIRITU JULIE</v>
      </c>
      <c r="T147" s="1" t="str">
        <f>IFERROR(__xludf.DUMMYFUNCTION("""COMPUTED_VALUE"""),"SP6MONTHS")</f>
        <v>SP6MONTHS</v>
      </c>
      <c r="U147" s="1">
        <f>IFERROR(__xludf.DUMMYFUNCTION("""COMPUTED_VALUE"""),9384125861)</f>
        <v>9384125861</v>
      </c>
      <c r="V147" s="1"/>
      <c r="W147" s="1">
        <f>IFERROR(__xludf.DUMMYFUNCTION("""COMPUTED_VALUE"""),124)</f>
        <v>124</v>
      </c>
      <c r="X147" s="1" t="str">
        <f>IFERROR(__xludf.DUMMYFUNCTION("""COMPUTED_VALUE"""),"JUAN JORDAN ST")</f>
        <v>JUAN JORDAN ST</v>
      </c>
      <c r="Y147" s="1"/>
      <c r="Z147" s="1" t="str">
        <f>IFERROR(__xludf.DUMMYFUNCTION("""COMPUTED_VALUE"""),"JULUGAN I")</f>
        <v>JULUGAN I</v>
      </c>
      <c r="AA147" s="1" t="str">
        <f>IFERROR(__xludf.DUMMYFUNCTION("""COMPUTED_VALUE"""),"TANZA")</f>
        <v>TANZA</v>
      </c>
      <c r="AB147" s="1" t="str">
        <f>IFERROR(__xludf.DUMMYFUNCTION("""COMPUTED_VALUE"""),"CVT6LCP213NP5-8")</f>
        <v>CVT6LCP213NP5-8</v>
      </c>
      <c r="AC147" s="1" t="str">
        <f>IFERROR(__xludf.DUMMYFUNCTION("""COMPUTED_VALUE""")," 120.84591 / 14.40541")</f>
        <v> 120.84591 / 14.40541</v>
      </c>
    </row>
    <row r="148" customHeight="1" spans="1:29">
      <c r="A148" s="3">
        <f>IFERROR(__xludf.DUMMYFUNCTION("""COMPUTED_VALUE"""),46263)</f>
        <v>46263</v>
      </c>
      <c r="B148" s="1" t="str">
        <f>IFERROR(__xludf.DUMMYFUNCTION("""COMPUTED_VALUE"""),"GLORIA SUBIERA RICO")</f>
        <v>GLORIA SUBIERA RICO</v>
      </c>
      <c r="C148" s="1" t="str">
        <f>IFERROR(__xludf.DUMMYFUNCTION("""COMPUTED_VALUE"""),"RITM0308365")</f>
        <v>RITM0308365</v>
      </c>
      <c r="D148" s="1"/>
      <c r="E148" s="1"/>
      <c r="F148" s="1" t="str">
        <f>IFERROR(__xludf.DUMMYFUNCTION("""COMPUTED_VALUE"""),"edrinejoyg@gmail.com")</f>
        <v>edrinejoyg@gmail.com</v>
      </c>
      <c r="G148" s="1" t="str">
        <f>IFERROR(__xludf.DUMMYFUNCTION("""COMPUTED_VALUE"""),"REJECTED")</f>
        <v>REJECTED</v>
      </c>
      <c r="H148" s="1"/>
      <c r="I148" s="1" t="str">
        <f>IFERROR(__xludf.DUMMYFUNCTION("""COMPUTED_VALUE"""),"FSV REJECTED - W/CPWF attached")</f>
        <v>FSV REJECTED - W/CPWF attached</v>
      </c>
      <c r="J148" s="1"/>
      <c r="K148" s="1"/>
      <c r="L148" s="1" t="str">
        <f>IFERROR(__xludf.DUMMYFUNCTION("""COMPUTED_VALUE"""),"REENCODED")</f>
        <v>REENCODED</v>
      </c>
      <c r="M148" s="1"/>
      <c r="N148" s="1" t="str">
        <f>IFERROR(__xludf.DUMMYFUNCTION("""COMPUTED_VALUE"""),"RED_RS_ONL_CVE_25")</f>
        <v>RED_RS_ONL_CVE_25</v>
      </c>
      <c r="O148" s="1" t="str">
        <f>IFERROR(__xludf.DUMMYFUNCTION("""COMPUTED_VALUE"""),"SWITCHER PLAN 900")</f>
        <v>SWITCHER PLAN 900</v>
      </c>
      <c r="P148" s="1" t="str">
        <f>IFERROR(__xludf.DUMMYFUNCTION("""COMPUTED_VALUE"""),"MMM018712")</f>
        <v>MMM018712</v>
      </c>
      <c r="Q148" s="1" t="str">
        <f>IFERROR(__xludf.DUMMYFUNCTION("""COMPUTED_VALUE"""),"LUPENA. KARL ANGELO")</f>
        <v>LUPENA. KARL ANGELO</v>
      </c>
      <c r="R148" s="1" t="str">
        <f>IFERROR(__xludf.DUMMYFUNCTION("""COMPUTED_VALUE"""),"GARCIA MICHAEL JETTS")</f>
        <v>GARCIA MICHAEL JETTS</v>
      </c>
      <c r="S148" s="1" t="str">
        <f>IFERROR(__xludf.DUMMYFUNCTION("""COMPUTED_VALUE"""),"ESPIRITU JULIE")</f>
        <v>ESPIRITU JULIE</v>
      </c>
      <c r="T148" s="1" t="str">
        <f>IFERROR(__xludf.DUMMYFUNCTION("""COMPUTED_VALUE"""),"SWITCHOFFER")</f>
        <v>SWITCHOFFER</v>
      </c>
      <c r="U148" s="1">
        <f>IFERROR(__xludf.DUMMYFUNCTION("""COMPUTED_VALUE"""),9622870770)</f>
        <v>9622870770</v>
      </c>
      <c r="V148" s="1"/>
      <c r="W148" s="1"/>
      <c r="X148" s="1" t="str">
        <f>IFERROR(__xludf.DUMMYFUNCTION("""COMPUTED_VALUE"""),"GOLDEN HORIZON SUBDIVISION")</f>
        <v>GOLDEN HORIZON SUBDIVISION</v>
      </c>
      <c r="Y148" s="1" t="str">
        <f>IFERROR(__xludf.DUMMYFUNCTION("""COMPUTED_VALUE"""),"GOLDEN HORIZON SUBDIVISION")</f>
        <v>GOLDEN HORIZON SUBDIVISION</v>
      </c>
      <c r="Z148" s="1" t="str">
        <f>IFERROR(__xludf.DUMMYFUNCTION("""COMPUTED_VALUE"""),"PEREZ (LUCBANAN)")</f>
        <v>PEREZ (LUCBANAN)</v>
      </c>
      <c r="AA148" s="1" t="str">
        <f>IFERROR(__xludf.DUMMYFUNCTION("""COMPUTED_VALUE"""),"TRECE MARTIRES")</f>
        <v>TRECE MARTIRES</v>
      </c>
      <c r="AB148" s="1" t="str">
        <f>IFERROR(__xludf.DUMMYFUNCTION("""COMPUTED_VALUE"""),"CVT4LCP1NP1-6")</f>
        <v>CVT4LCP1NP1-6</v>
      </c>
      <c r="AC148" s="1" t="str">
        <f>IFERROR(__xludf.DUMMYFUNCTION("""COMPUTED_VALUE""")," 120.88726 / 14.29696")</f>
        <v> 120.88726 / 14.29696</v>
      </c>
    </row>
    <row r="149" customHeight="1" spans="1:29">
      <c r="A149" s="3">
        <f>IFERROR(__xludf.DUMMYFUNCTION("""COMPUTED_VALUE"""),46264)</f>
        <v>46264</v>
      </c>
      <c r="B149" s="1" t="str">
        <f>IFERROR(__xludf.DUMMYFUNCTION("""COMPUTED_VALUE"""),"GLORIA SUBIERA RICO")</f>
        <v>GLORIA SUBIERA RICO</v>
      </c>
      <c r="C149" s="1" t="str">
        <f>IFERROR(__xludf.DUMMYFUNCTION("""COMPUTED_VALUE"""),"RITM0308389")</f>
        <v>RITM0308389</v>
      </c>
      <c r="D149" s="1"/>
      <c r="E149" s="1"/>
      <c r="F149" s="1" t="str">
        <f>IFERROR(__xludf.DUMMYFUNCTION("""COMPUTED_VALUE"""),"edrinejoyg@gmail.com")</f>
        <v>edrinejoyg@gmail.com</v>
      </c>
      <c r="G149" s="1" t="str">
        <f>IFERROR(__xludf.DUMMYFUNCTION("""COMPUTED_VALUE"""),"APPROVED")</f>
        <v>APPROVED</v>
      </c>
      <c r="H149" s="1"/>
      <c r="I149" s="1"/>
      <c r="J149" s="1" t="str">
        <f>IFERROR(__xludf.DUMMYFUNCTION("""COMPUTED_VALUE"""),"SWITCHER PROMO")</f>
        <v>SWITCHER PROMO</v>
      </c>
      <c r="K149" s="1"/>
      <c r="L149" s="1" t="str">
        <f>IFERROR(__xludf.DUMMYFUNCTION("""COMPUTED_VALUE"""),"PENDING EMAIL VERIFICATION")</f>
        <v>PENDING EMAIL VERIFICATION</v>
      </c>
      <c r="M149" s="1"/>
      <c r="N149" s="1" t="str">
        <f>IFERROR(__xludf.DUMMYFUNCTION("""COMPUTED_VALUE"""),"RED_RS_ONL_CVE_25")</f>
        <v>RED_RS_ONL_CVE_25</v>
      </c>
      <c r="O149" s="1" t="str">
        <f>IFERROR(__xludf.DUMMYFUNCTION("""COMPUTED_VALUE"""),"SWITCHER PLAN 900")</f>
        <v>SWITCHER PLAN 900</v>
      </c>
      <c r="P149" s="1" t="str">
        <f>IFERROR(__xludf.DUMMYFUNCTION("""COMPUTED_VALUE"""),"MMM018712")</f>
        <v>MMM018712</v>
      </c>
      <c r="Q149" s="1" t="str">
        <f>IFERROR(__xludf.DUMMYFUNCTION("""COMPUTED_VALUE"""),"LUPENA. KARL ANGELO")</f>
        <v>LUPENA. KARL ANGELO</v>
      </c>
      <c r="R149" s="1" t="str">
        <f>IFERROR(__xludf.DUMMYFUNCTION("""COMPUTED_VALUE"""),"GARCIA MICHAEL JETTS")</f>
        <v>GARCIA MICHAEL JETTS</v>
      </c>
      <c r="S149" s="1" t="str">
        <f>IFERROR(__xludf.DUMMYFUNCTION("""COMPUTED_VALUE"""),"ESPIRITU JULIE")</f>
        <v>ESPIRITU JULIE</v>
      </c>
      <c r="T149" s="1" t="str">
        <f>IFERROR(__xludf.DUMMYFUNCTION("""COMPUTED_VALUE"""),"SWITCHOFFER")</f>
        <v>SWITCHOFFER</v>
      </c>
      <c r="U149" s="1">
        <f>IFERROR(__xludf.DUMMYFUNCTION("""COMPUTED_VALUE"""),9622870770)</f>
        <v>9622870770</v>
      </c>
      <c r="V149" s="1"/>
      <c r="W149" s="1"/>
      <c r="X149" s="1" t="str">
        <f>IFERROR(__xludf.DUMMYFUNCTION("""COMPUTED_VALUE"""),"GOLDEN HORIZON SUBDIVISION")</f>
        <v>GOLDEN HORIZON SUBDIVISION</v>
      </c>
      <c r="Y149" s="1" t="str">
        <f>IFERROR(__xludf.DUMMYFUNCTION("""COMPUTED_VALUE"""),"GOLDEN HORIZON SUBDIVISION")</f>
        <v>GOLDEN HORIZON SUBDIVISION</v>
      </c>
      <c r="Z149" s="1" t="str">
        <f>IFERROR(__xludf.DUMMYFUNCTION("""COMPUTED_VALUE"""),"PEREZ (LUCBANAN)")</f>
        <v>PEREZ (LUCBANAN)</v>
      </c>
      <c r="AA149" s="1" t="str">
        <f>IFERROR(__xludf.DUMMYFUNCTION("""COMPUTED_VALUE"""),"TRECE MARTIRES")</f>
        <v>TRECE MARTIRES</v>
      </c>
      <c r="AB149" s="1" t="str">
        <f>IFERROR(__xludf.DUMMYFUNCTION("""COMPUTED_VALUE"""),"CVT4LCP1NP1-6")</f>
        <v>CVT4LCP1NP1-6</v>
      </c>
      <c r="AC149" s="1" t="str">
        <f>IFERROR(__xludf.DUMMYFUNCTION("""COMPUTED_VALUE""")," 120.88726 / 14.29696")</f>
        <v> 120.88726 / 14.29696</v>
      </c>
    </row>
    <row r="150" customHeight="1" spans="1:29">
      <c r="A150" s="3">
        <f>IFERROR(__xludf.DUMMYFUNCTION("""COMPUTED_VALUE"""),46264)</f>
        <v>46264</v>
      </c>
      <c r="B150" s="1" t="str">
        <f>IFERROR(__xludf.DUMMYFUNCTION("""COMPUTED_VALUE"""),"JENNIFER LLANETA DUMAGTOY")</f>
        <v>JENNIFER LLANETA DUMAGTOY</v>
      </c>
      <c r="C150" s="1" t="str">
        <f>IFERROR(__xludf.DUMMYFUNCTION("""COMPUTED_VALUE"""),"RITM0308442")</f>
        <v>RITM0308442</v>
      </c>
      <c r="D150" s="1"/>
      <c r="E150" s="1"/>
      <c r="F150" s="1" t="str">
        <f>IFERROR(__xludf.DUMMYFUNCTION("""COMPUTED_VALUE"""),"jenniferdumagtoy29@gmail.com")</f>
        <v>jenniferdumagtoy29@gmail.com</v>
      </c>
      <c r="G150" s="1" t="str">
        <f>IFERROR(__xludf.DUMMYFUNCTION("""COMPUTED_VALUE"""),"REENCODED")</f>
        <v>REENCODED</v>
      </c>
      <c r="H150" s="1"/>
      <c r="I150" s="1" t="str">
        <f>IFERROR(__xludf.DUMMYFUNCTION("""COMPUTED_VALUE"""),"REENCODED - DUE TO INCORRECT EMAIL ADD")</f>
        <v>REENCODED - DUE TO INCORRECT EMAIL ADD</v>
      </c>
      <c r="J150" s="1"/>
      <c r="K150" s="1"/>
      <c r="L150" s="1" t="str">
        <f>IFERROR(__xludf.DUMMYFUNCTION("""COMPUTED_VALUE"""),"REENCODED")</f>
        <v>REENCODED</v>
      </c>
      <c r="M150" s="1"/>
      <c r="N150" s="1" t="str">
        <f>IFERROR(__xludf.DUMMYFUNCTION("""COMPUTED_VALUE"""),"RED_RS_ONL_CVE_25")</f>
        <v>RED_RS_ONL_CVE_25</v>
      </c>
      <c r="O150" s="1" t="str">
        <f>IFERROR(__xludf.DUMMYFUNCTION("""COMPUTED_VALUE"""),"RED FIBR 1000")</f>
        <v>RED FIBR 1000</v>
      </c>
      <c r="P150" s="1" t="str">
        <f>IFERROR(__xludf.DUMMYFUNCTION("""COMPUTED_VALUE"""),"MMM018709")</f>
        <v>MMM018709</v>
      </c>
      <c r="Q150" s="1" t="str">
        <f>IFERROR(__xludf.DUMMYFUNCTION("""COMPUTED_VALUE"""),"MORADOS, MARVIN")</f>
        <v>MORADOS, MARVIN</v>
      </c>
      <c r="R150" s="1" t="str">
        <f>IFERROR(__xludf.DUMMYFUNCTION("""COMPUTED_VALUE"""),"GARCIA MICHAEL JETTS")</f>
        <v>GARCIA MICHAEL JETTS</v>
      </c>
      <c r="S150" s="1" t="str">
        <f>IFERROR(__xludf.DUMMYFUNCTION("""COMPUTED_VALUE"""),"ESPIRITU JULIE")</f>
        <v>ESPIRITU JULIE</v>
      </c>
      <c r="T150" s="1" t="str">
        <f>IFERROR(__xludf.DUMMYFUNCTION("""COMPUTED_VALUE"""),"SP6MONTHS")</f>
        <v>SP6MONTHS</v>
      </c>
      <c r="U150" s="1">
        <f>IFERROR(__xludf.DUMMYFUNCTION("""COMPUTED_VALUE"""),9762895031)</f>
        <v>9762895031</v>
      </c>
      <c r="V150" s="1"/>
      <c r="W150" s="1"/>
      <c r="X150" s="1" t="str">
        <f>IFERROR(__xludf.DUMMYFUNCTION("""COMPUTED_VALUE"""),"PHASE B")</f>
        <v>PHASE B</v>
      </c>
      <c r="Y150" s="1" t="str">
        <f>IFERROR(__xludf.DUMMYFUNCTION("""COMPUTED_VALUE"""),"PEARL RESIDENCES")</f>
        <v>PEARL RESIDENCES</v>
      </c>
      <c r="Z150" s="1" t="str">
        <f>IFERROR(__xludf.DUMMYFUNCTION("""COMPUTED_VALUE"""),"CAPIPISA")</f>
        <v>CAPIPISA</v>
      </c>
      <c r="AA150" s="1" t="str">
        <f>IFERROR(__xludf.DUMMYFUNCTION("""COMPUTED_VALUE"""),"TANZA")</f>
        <v>TANZA</v>
      </c>
      <c r="AB150" s="1"/>
      <c r="AC150" s="1" t="str">
        <f>IFERROR(__xludf.DUMMYFUNCTION("""COMPUTED_VALUE""")," 120.79627 / 14.35915")</f>
        <v> 120.79627 / 14.35915</v>
      </c>
    </row>
    <row r="151" customHeight="1" spans="1:29">
      <c r="A151" s="3">
        <f>IFERROR(__xludf.DUMMYFUNCTION("""COMPUTED_VALUE"""),46265)</f>
        <v>46265</v>
      </c>
      <c r="B151" s="1" t="str">
        <f>IFERROR(__xludf.DUMMYFUNCTION("""COMPUTED_VALUE"""),"MIGUEL LORETO III MORALES SINGSON")</f>
        <v>MIGUEL LORETO III MORALES SINGSON</v>
      </c>
      <c r="C151" s="1" t="str">
        <f>IFERROR(__xludf.DUMMYFUNCTION("""COMPUTED_VALUE"""),"RITM0308522")</f>
        <v>RITM0308522</v>
      </c>
      <c r="D151" s="1"/>
      <c r="E151" s="1"/>
      <c r="F151" s="1" t="str">
        <f>IFERROR(__xludf.DUMMYFUNCTION("""COMPUTED_VALUE"""),"lionheart080622@gmail.com")</f>
        <v>lionheart080622@gmail.com</v>
      </c>
      <c r="G151" s="1" t="str">
        <f>IFERROR(__xludf.DUMMYFUNCTION("""COMPUTED_VALUE"""),"REJECTED")</f>
        <v>REJECTED</v>
      </c>
      <c r="H151" s="1"/>
      <c r="I151" s="1" t="str">
        <f>IFERROR(__xludf.DUMMYFUNCTION("""COMPUTED_VALUE"""),"REJECTED: kindly provide the updated saf with correct suffix name, CRP/POID (MIGUEL LORETO III) VS SAF (SINGSON III)")</f>
        <v>REJECTED: kindly provide the updated saf with correct suffix name, CRP/POID (MIGUEL LORETO III) VS SAF (SINGSON III)</v>
      </c>
      <c r="J151" s="1"/>
      <c r="K151" s="1"/>
      <c r="L151" s="1" t="str">
        <f>IFERROR(__xludf.DUMMYFUNCTION("""COMPUTED_VALUE"""),"DISAPPROVED")</f>
        <v>DISAPPROVED</v>
      </c>
      <c r="M151" s="1"/>
      <c r="N151" s="1" t="str">
        <f>IFERROR(__xludf.DUMMYFUNCTION("""COMPUTED_VALUE"""),"RED_RS_ONL_CVE_25")</f>
        <v>RED_RS_ONL_CVE_25</v>
      </c>
      <c r="O151" s="1" t="str">
        <f>IFERROR(__xludf.DUMMYFUNCTION("""COMPUTED_VALUE"""),"RED FIBR 1400")</f>
        <v>RED FIBR 1400</v>
      </c>
      <c r="P151" s="1" t="str">
        <f>IFERROR(__xludf.DUMMYFUNCTION("""COMPUTED_VALUE"""),"MMM018713")</f>
        <v>MMM018713</v>
      </c>
      <c r="Q151" s="1" t="str">
        <f>IFERROR(__xludf.DUMMYFUNCTION("""COMPUTED_VALUE"""),"BONZA, LEE VINCENT")</f>
        <v>BONZA, LEE VINCENT</v>
      </c>
      <c r="R151" s="1" t="str">
        <f>IFERROR(__xludf.DUMMYFUNCTION("""COMPUTED_VALUE"""),"GARCIA MICHAEL JETTS")</f>
        <v>GARCIA MICHAEL JETTS</v>
      </c>
      <c r="S151" s="1" t="str">
        <f>IFERROR(__xludf.DUMMYFUNCTION("""COMPUTED_VALUE"""),"SALIOA JB")</f>
        <v>SALIOA JB</v>
      </c>
      <c r="T151" s="1" t="str">
        <f>IFERROR(__xludf.DUMMYFUNCTION("""COMPUTED_VALUE"""),"SP6MONTHS")</f>
        <v>SP6MONTHS</v>
      </c>
      <c r="U151" s="1">
        <f>IFERROR(__xludf.DUMMYFUNCTION("""COMPUTED_VALUE"""),9088945984)</f>
        <v>9088945984</v>
      </c>
      <c r="V151" s="1"/>
      <c r="W151" s="1">
        <f>IFERROR(__xludf.DUMMYFUNCTION("""COMPUTED_VALUE"""),467)</f>
        <v>467</v>
      </c>
      <c r="X151" s="1" t="str">
        <f>IFERROR(__xludf.DUMMYFUNCTION("""COMPUTED_VALUE"""),"FAMILY VILLAGE RD")</f>
        <v>FAMILY VILLAGE RD</v>
      </c>
      <c r="Y151" s="1" t="str">
        <f>IFERROR(__xludf.DUMMYFUNCTION("""COMPUTED_VALUE"""),"FAMILY VILLAGE")</f>
        <v>FAMILY VILLAGE</v>
      </c>
      <c r="Z151" s="1" t="str">
        <f>IFERROR(__xludf.DUMMYFUNCTION("""COMPUTED_VALUE"""),"P.F. ESPIRITU I (PANAPAAN)")</f>
        <v>P.F. ESPIRITU I (PANAPAAN)</v>
      </c>
      <c r="AA151" s="1" t="str">
        <f>IFERROR(__xludf.DUMMYFUNCTION("""COMPUTED_VALUE"""),"BACOOR")</f>
        <v>BACOOR</v>
      </c>
      <c r="AB151" s="1"/>
      <c r="AC151" s="1" t="str">
        <f>IFERROR(__xludf.DUMMYFUNCTION("""COMPUTED_VALUE"""),"120.955206 / 14.447347")</f>
        <v>120.955206 / 14.447347</v>
      </c>
    </row>
    <row r="152" customHeight="1" spans="1:29">
      <c r="A152" s="3">
        <f>IFERROR(__xludf.DUMMYFUNCTION("""COMPUTED_VALUE"""),46265)</f>
        <v>46265</v>
      </c>
      <c r="B152" s="1" t="str">
        <f>IFERROR(__xludf.DUMMYFUNCTION("""COMPUTED_VALUE"""),"MIGUEL LORETO III MORALES SINGSON")</f>
        <v>MIGUEL LORETO III MORALES SINGSON</v>
      </c>
      <c r="C152" s="1" t="str">
        <f>IFERROR(__xludf.DUMMYFUNCTION("""COMPUTED_VALUE"""),"RITM0308524")</f>
        <v>RITM0308524</v>
      </c>
      <c r="D152" s="1"/>
      <c r="E152" s="1"/>
      <c r="F152" s="1" t="str">
        <f>IFERROR(__xludf.DUMMYFUNCTION("""COMPUTED_VALUE"""),"lionheart080622@gmail.com")</f>
        <v>lionheart080622@gmail.com</v>
      </c>
      <c r="G152" s="1" t="str">
        <f>IFERROR(__xludf.DUMMYFUNCTION("""COMPUTED_VALUE"""),"APPROVED")</f>
        <v>APPROVED</v>
      </c>
      <c r="H152" s="1"/>
      <c r="I152" s="1"/>
      <c r="J152" s="1"/>
      <c r="K152" s="1"/>
      <c r="L152" s="1" t="str">
        <f>IFERROR(__xludf.DUMMYFUNCTION("""COMPUTED_VALUE"""),"PENDING EMAIL VERIFICATION")</f>
        <v>PENDING EMAIL VERIFICATION</v>
      </c>
      <c r="M152" s="1"/>
      <c r="N152" s="1" t="str">
        <f>IFERROR(__xludf.DUMMYFUNCTION("""COMPUTED_VALUE"""),"RED_RS_ONL_CVE_25")</f>
        <v>RED_RS_ONL_CVE_25</v>
      </c>
      <c r="O152" s="1" t="str">
        <f>IFERROR(__xludf.DUMMYFUNCTION("""COMPUTED_VALUE"""),"RED FIBR 1400")</f>
        <v>RED FIBR 1400</v>
      </c>
      <c r="P152" s="1" t="str">
        <f>IFERROR(__xludf.DUMMYFUNCTION("""COMPUTED_VALUE"""),"MMM018713")</f>
        <v>MMM018713</v>
      </c>
      <c r="Q152" s="1" t="str">
        <f>IFERROR(__xludf.DUMMYFUNCTION("""COMPUTED_VALUE"""),"BONZA, LEE VINCENT")</f>
        <v>BONZA, LEE VINCENT</v>
      </c>
      <c r="R152" s="1" t="str">
        <f>IFERROR(__xludf.DUMMYFUNCTION("""COMPUTED_VALUE"""),"GARCIA MICHAEL JETTS")</f>
        <v>GARCIA MICHAEL JETTS</v>
      </c>
      <c r="S152" s="1" t="str">
        <f>IFERROR(__xludf.DUMMYFUNCTION("""COMPUTED_VALUE"""),"SALIOA JB")</f>
        <v>SALIOA JB</v>
      </c>
      <c r="T152" s="1" t="str">
        <f>IFERROR(__xludf.DUMMYFUNCTION("""COMPUTED_VALUE"""),"SP6MONTHS")</f>
        <v>SP6MONTHS</v>
      </c>
      <c r="U152" s="1">
        <f>IFERROR(__xludf.DUMMYFUNCTION("""COMPUTED_VALUE"""),9088945984)</f>
        <v>9088945984</v>
      </c>
      <c r="V152" s="1"/>
      <c r="W152" s="1">
        <f>IFERROR(__xludf.DUMMYFUNCTION("""COMPUTED_VALUE"""),467)</f>
        <v>467</v>
      </c>
      <c r="X152" s="1" t="str">
        <f>IFERROR(__xludf.DUMMYFUNCTION("""COMPUTED_VALUE"""),"FAMILY VILLAGE RD")</f>
        <v>FAMILY VILLAGE RD</v>
      </c>
      <c r="Y152" s="1" t="str">
        <f>IFERROR(__xludf.DUMMYFUNCTION("""COMPUTED_VALUE"""),"FAMILY VILLAGE")</f>
        <v>FAMILY VILLAGE</v>
      </c>
      <c r="Z152" s="1" t="str">
        <f>IFERROR(__xludf.DUMMYFUNCTION("""COMPUTED_VALUE"""),"P.F. ESPIRITU I (PANAPAAN)")</f>
        <v>P.F. ESPIRITU I (PANAPAAN)</v>
      </c>
      <c r="AA152" s="1" t="str">
        <f>IFERROR(__xludf.DUMMYFUNCTION("""COMPUTED_VALUE"""),"BACOOR")</f>
        <v>BACOOR</v>
      </c>
      <c r="AB152" s="1"/>
      <c r="AC152" s="1" t="str">
        <f>IFERROR(__xludf.DUMMYFUNCTION("""COMPUTED_VALUE"""),"120.955206 / 14.447347")</f>
        <v>120.955206 / 14.447347</v>
      </c>
    </row>
    <row r="153" customHeight="1" spans="1:29">
      <c r="A153" s="3">
        <f>IFERROR(__xludf.DUMMYFUNCTION("""COMPUTED_VALUE"""),46265)</f>
        <v>46265</v>
      </c>
      <c r="B153" s="1" t="str">
        <f>IFERROR(__xludf.DUMMYFUNCTION("""COMPUTED_VALUE"""),"JENNIFER LLANETA DUMAGTOY")</f>
        <v>JENNIFER LLANETA DUMAGTOY</v>
      </c>
      <c r="C153" s="1" t="str">
        <f>IFERROR(__xludf.DUMMYFUNCTION("""COMPUTED_VALUE"""),"RITM0308527")</f>
        <v>RITM0308527</v>
      </c>
      <c r="D153" s="1" t="str">
        <f>IFERROR(__xludf.DUMMYFUNCTION("""COMPUTED_VALUE"""),"CS1349717 / WO0909700")</f>
        <v>CS1349717 / WO0909700</v>
      </c>
      <c r="E153" s="1">
        <f>IFERROR(__xludf.DUMMYFUNCTION("""COMPUTED_VALUE"""),3382875736)</f>
        <v>3382875736</v>
      </c>
      <c r="F153" s="1" t="str">
        <f>IFERROR(__xludf.DUMMYFUNCTION("""COMPUTED_VALUE"""),"jenniferdumagtoy29@gmail.com")</f>
        <v>jenniferdumagtoy29@gmail.com</v>
      </c>
      <c r="G153" s="1" t="str">
        <f>IFERROR(__xludf.DUMMYFUNCTION("""COMPUTED_VALUE"""),"CLOSED")</f>
        <v>CLOSED</v>
      </c>
      <c r="H153" s="1"/>
      <c r="I153" s="1" t="str">
        <f>IFERROR(__xludf.DUMMYFUNCTION("""COMPUTED_VALUE"""),"QUALIFIED - 8/31")</f>
        <v>QUALIFIED - 8/31</v>
      </c>
      <c r="J153" s="1" t="str">
        <f>IFERROR(__xludf.DUMMYFUNCTION("""COMPUTED_VALUE"""),"PAID GOTYM CAR2608310409315871 AUG 31")</f>
        <v>PAID GOTYM CAR2608310409315871 AUG 31</v>
      </c>
      <c r="K153" s="1" t="str">
        <f>IFERROR(__xludf.DUMMYFUNCTION("""COMPUTED_VALUE"""),"PAID")</f>
        <v>PAID</v>
      </c>
      <c r="L153" s="1" t="str">
        <f>IFERROR(__xludf.DUMMYFUNCTION("""COMPUTED_VALUE"""),"POSTED")</f>
        <v>POSTED</v>
      </c>
      <c r="M153" s="1" t="str">
        <f>IFERROR(__xludf.DUMMYFUNCTION("""COMPUTED_VALUE"""),"9/2/2026")</f>
        <v>9/2/2026</v>
      </c>
      <c r="N153" s="1" t="str">
        <f>IFERROR(__xludf.DUMMYFUNCTION("""COMPUTED_VALUE"""),"RED_RS_ONL_CVE_25")</f>
        <v>RED_RS_ONL_CVE_25</v>
      </c>
      <c r="O153" s="1" t="str">
        <f>IFERROR(__xludf.DUMMYFUNCTION("""COMPUTED_VALUE"""),"RED FIBR 1000")</f>
        <v>RED FIBR 1000</v>
      </c>
      <c r="P153" s="1" t="str">
        <f>IFERROR(__xludf.DUMMYFUNCTION("""COMPUTED_VALUE"""),"MMM018709")</f>
        <v>MMM018709</v>
      </c>
      <c r="Q153" s="1" t="str">
        <f>IFERROR(__xludf.DUMMYFUNCTION("""COMPUTED_VALUE"""),"MORADOS, MARVIN")</f>
        <v>MORADOS, MARVIN</v>
      </c>
      <c r="R153" s="1" t="str">
        <f>IFERROR(__xludf.DUMMYFUNCTION("""COMPUTED_VALUE"""),"GARCIA MICHAEL JETTS")</f>
        <v>GARCIA MICHAEL JETTS</v>
      </c>
      <c r="S153" s="1" t="str">
        <f>IFERROR(__xludf.DUMMYFUNCTION("""COMPUTED_VALUE"""),"SALIOA JB")</f>
        <v>SALIOA JB</v>
      </c>
      <c r="T153" s="1" t="str">
        <f>IFERROR(__xludf.DUMMYFUNCTION("""COMPUTED_VALUE"""),"SP6MONTHS")</f>
        <v>SP6MONTHS</v>
      </c>
      <c r="U153" s="1">
        <f>IFERROR(__xludf.DUMMYFUNCTION("""COMPUTED_VALUE"""),9762895031)</f>
        <v>9762895031</v>
      </c>
      <c r="V153" s="1"/>
      <c r="W153" s="1"/>
      <c r="X153" s="1" t="str">
        <f>IFERROR(__xludf.DUMMYFUNCTION("""COMPUTED_VALUE"""),"PHASE B ST")</f>
        <v>PHASE B ST</v>
      </c>
      <c r="Y153" s="1" t="str">
        <f>IFERROR(__xludf.DUMMYFUNCTION("""COMPUTED_VALUE"""),"PEARL RESIDENCES")</f>
        <v>PEARL RESIDENCES</v>
      </c>
      <c r="Z153" s="1" t="str">
        <f>IFERROR(__xludf.DUMMYFUNCTION("""COMPUTED_VALUE"""),"CAPIPISA")</f>
        <v>CAPIPISA</v>
      </c>
      <c r="AA153" s="1" t="str">
        <f>IFERROR(__xludf.DUMMYFUNCTION("""COMPUTED_VALUE"""),"TANZA")</f>
        <v>TANZA</v>
      </c>
      <c r="AB153" s="1"/>
      <c r="AC153" s="1" t="str">
        <f>IFERROR(__xludf.DUMMYFUNCTION("""COMPUTED_VALUE"""),"120.79627 / 14.35915")</f>
        <v>120.79627 / 14.35915</v>
      </c>
    </row>
    <row r="154" customHeight="1" spans="1:29">
      <c r="A154" s="3">
        <f>IFERROR(__xludf.DUMMYFUNCTION("""COMPUTED_VALUE"""),46265)</f>
        <v>46265</v>
      </c>
      <c r="B154" s="1" t="str">
        <f>IFERROR(__xludf.DUMMYFUNCTION("""COMPUTED_VALUE"""),"ANGELO BAGWAL GUTIERREZ")</f>
        <v>ANGELO BAGWAL GUTIERREZ</v>
      </c>
      <c r="C154" s="1" t="str">
        <f>IFERROR(__xludf.DUMMYFUNCTION("""COMPUTED_VALUE"""),"RITM0308580")</f>
        <v>RITM0308580</v>
      </c>
      <c r="D154" s="1"/>
      <c r="E154" s="1"/>
      <c r="F154" s="1" t="str">
        <f>IFERROR(__xludf.DUMMYFUNCTION("""COMPUTED_VALUE"""),"nerissapaezgutierrez@gmail.com")</f>
        <v>nerissapaezgutierrez@gmail.com</v>
      </c>
      <c r="G154" s="1" t="str">
        <f>IFERROR(__xludf.DUMMYFUNCTION("""COMPUTED_VALUE"""),"APPROVED")</f>
        <v>APPROVED</v>
      </c>
      <c r="H154" s="1"/>
      <c r="I154" s="1"/>
      <c r="J154" s="1"/>
      <c r="K154" s="1"/>
      <c r="L154" s="1" t="str">
        <f>IFERROR(__xludf.DUMMYFUNCTION("""COMPUTED_VALUE"""),"PENDING EMAIL VERIFICATION")</f>
        <v>PENDING EMAIL VERIFICATION</v>
      </c>
      <c r="M154" s="1"/>
      <c r="N154" s="1" t="str">
        <f>IFERROR(__xludf.DUMMYFUNCTION("""COMPUTED_VALUE"""),"RED_RS_ONL_CVE_25")</f>
        <v>RED_RS_ONL_CVE_25</v>
      </c>
      <c r="O154" s="1" t="str">
        <f>IFERROR(__xludf.DUMMYFUNCTION("""COMPUTED_VALUE"""),"RED FIBR 1000")</f>
        <v>RED FIBR 1000</v>
      </c>
      <c r="P154" s="1" t="str">
        <f>IFERROR(__xludf.DUMMYFUNCTION("""COMPUTED_VALUE"""),"MMM018712")</f>
        <v>MMM018712</v>
      </c>
      <c r="Q154" s="1" t="str">
        <f>IFERROR(__xludf.DUMMYFUNCTION("""COMPUTED_VALUE"""),"LUPENA. KARL ANGELO")</f>
        <v>LUPENA. KARL ANGELO</v>
      </c>
      <c r="R154" s="1" t="str">
        <f>IFERROR(__xludf.DUMMYFUNCTION("""COMPUTED_VALUE"""),"GARCIA MICHAEL JETTS")</f>
        <v>GARCIA MICHAEL JETTS</v>
      </c>
      <c r="S154" s="1" t="str">
        <f>IFERROR(__xludf.DUMMYFUNCTION("""COMPUTED_VALUE"""),"SALIOA JB")</f>
        <v>SALIOA JB</v>
      </c>
      <c r="T154" s="1" t="str">
        <f>IFERROR(__xludf.DUMMYFUNCTION("""COMPUTED_VALUE"""),"SP6MONTHS")</f>
        <v>SP6MONTHS</v>
      </c>
      <c r="U154" s="1">
        <f>IFERROR(__xludf.DUMMYFUNCTION("""COMPUTED_VALUE"""),9568960684)</f>
        <v>9568960684</v>
      </c>
      <c r="V154" s="1"/>
      <c r="W154" s="1">
        <f>IFERROR(__xludf.DUMMYFUNCTION("""COMPUTED_VALUE"""),398)</f>
        <v>398</v>
      </c>
      <c r="X154" s="1" t="str">
        <f>IFERROR(__xludf.DUMMYFUNCTION("""COMPUTED_VALUE"""),"TRAMO KANLURAN RD")</f>
        <v>TRAMO KANLURAN RD</v>
      </c>
      <c r="Y154" s="1" t="str">
        <f>IFERROR(__xludf.DUMMYFUNCTION("""COMPUTED_VALUE"""),"ISLA VERDE")</f>
        <v>ISLA VERDE</v>
      </c>
      <c r="Z154" s="1" t="str">
        <f>IFERROR(__xludf.DUMMYFUNCTION("""COMPUTED_VALUE"""),"HALAYHAY")</f>
        <v>HALAYHAY</v>
      </c>
      <c r="AA154" s="1" t="str">
        <f>IFERROR(__xludf.DUMMYFUNCTION("""COMPUTED_VALUE"""),"TANZA")</f>
        <v>TANZA</v>
      </c>
      <c r="AB154" s="1"/>
      <c r="AC154" s="1" t="str">
        <f>IFERROR(__xludf.DUMMYFUNCTION("""COMPUTED_VALUE"""),"120.795216 / 14.363135")</f>
        <v>120.795216 / 14.363135</v>
      </c>
    </row>
    <row r="155" customHeight="1" spans="1:29">
      <c r="A155" s="3">
        <f>IFERROR(__xludf.DUMMYFUNCTION("""COMPUTED_VALUE"""),46265)</f>
        <v>46265</v>
      </c>
      <c r="B155" s="1" t="str">
        <f>IFERROR(__xludf.DUMMYFUNCTION("""COMPUTED_VALUE"""),"JANE CATUBIS PENDON")</f>
        <v>JANE CATUBIS PENDON</v>
      </c>
      <c r="C155" s="1" t="str">
        <f>IFERROR(__xludf.DUMMYFUNCTION("""COMPUTED_VALUE"""),"RITM0308583")</f>
        <v>RITM0308583</v>
      </c>
      <c r="D155" s="1" t="str">
        <f>IFERROR(__xludf.DUMMYFUNCTION("""COMPUTED_VALUE"""),"CS1350082 / WO0910119")</f>
        <v>CS1350082 / WO0910119</v>
      </c>
      <c r="E155" s="1">
        <f>IFERROR(__xludf.DUMMYFUNCTION("""COMPUTED_VALUE"""),6126349243)</f>
        <v>6126349243</v>
      </c>
      <c r="F155" s="1" t="str">
        <f>IFERROR(__xludf.DUMMYFUNCTION("""COMPUTED_VALUE"""),"jane.pendon1986@gmail.com")</f>
        <v>jane.pendon1986@gmail.com</v>
      </c>
      <c r="G155" s="1" t="str">
        <f>IFERROR(__xludf.DUMMYFUNCTION("""COMPUTED_VALUE"""),"CLOSED")</f>
        <v>CLOSED</v>
      </c>
      <c r="H155" s="1"/>
      <c r="I155" s="1" t="str">
        <f>IFERROR(__xludf.DUMMYFUNCTION("""COMPUTED_VALUE"""),"QUALIFIED - 9/1")</f>
        <v>QUALIFIED - 9/1</v>
      </c>
      <c r="J155" s="1" t="str">
        <f>IFERROR(__xludf.DUMMYFUNCTION("""COMPUTED_VALUE"""),"PAID VIA GCASH REF 837967783 SEP 1")</f>
        <v>PAID VIA GCASH REF 837967783 SEP 1</v>
      </c>
      <c r="K155" s="1" t="str">
        <f>IFERROR(__xludf.DUMMYFUNCTION("""COMPUTED_VALUE"""),"PAID")</f>
        <v>PAID</v>
      </c>
      <c r="L155" s="1" t="str">
        <f>IFERROR(__xludf.DUMMYFUNCTION("""COMPUTED_VALUE"""),"POSTED")</f>
        <v>POSTED</v>
      </c>
      <c r="M155" s="1" t="str">
        <f>IFERROR(__xludf.DUMMYFUNCTION("""COMPUTED_VALUE"""),"9/2/2026")</f>
        <v>9/2/2026</v>
      </c>
      <c r="N155" s="1" t="str">
        <f>IFERROR(__xludf.DUMMYFUNCTION("""COMPUTED_VALUE"""),"RED_RS_ONL_CVE_25")</f>
        <v>RED_RS_ONL_CVE_25</v>
      </c>
      <c r="O155" s="1" t="str">
        <f>IFERROR(__xludf.DUMMYFUNCTION("""COMPUTED_VALUE"""),"RED FIBR 1000")</f>
        <v>RED FIBR 1000</v>
      </c>
      <c r="P155" s="1" t="str">
        <f>IFERROR(__xludf.DUMMYFUNCTION("""COMPUTED_VALUE"""),"MMM018711")</f>
        <v>MMM018711</v>
      </c>
      <c r="Q155" s="1" t="str">
        <f>IFERROR(__xludf.DUMMYFUNCTION("""COMPUTED_VALUE"""),"YOLANGCO, JOJO")</f>
        <v>YOLANGCO, JOJO</v>
      </c>
      <c r="R155" s="1" t="str">
        <f>IFERROR(__xludf.DUMMYFUNCTION("""COMPUTED_VALUE"""),"GARCIA MICHAEL JETTS")</f>
        <v>GARCIA MICHAEL JETTS</v>
      </c>
      <c r="S155" s="1" t="str">
        <f>IFERROR(__xludf.DUMMYFUNCTION("""COMPUTED_VALUE"""),"SALIOA JB")</f>
        <v>SALIOA JB</v>
      </c>
      <c r="T155" s="1" t="str">
        <f>IFERROR(__xludf.DUMMYFUNCTION("""COMPUTED_VALUE"""),"SP6MONTHS")</f>
        <v>SP6MONTHS</v>
      </c>
      <c r="U155" s="1">
        <f>IFERROR(__xludf.DUMMYFUNCTION("""COMPUTED_VALUE"""),9976390926)</f>
        <v>9976390926</v>
      </c>
      <c r="V155" s="1"/>
      <c r="W155" s="1"/>
      <c r="X155" s="1" t="str">
        <f>IFERROR(__xludf.DUMMYFUNCTION("""COMPUTED_VALUE"""),"MABINI ST")</f>
        <v>MABINI ST</v>
      </c>
      <c r="Y155" s="1"/>
      <c r="Z155" s="1" t="str">
        <f>IFERROR(__xludf.DUMMYFUNCTION("""COMPUTED_VALUE"""),"POBLACION II (BARANGAY II)")</f>
        <v>POBLACION II (BARANGAY II)</v>
      </c>
      <c r="AA155" s="1" t="str">
        <f>IFERROR(__xludf.DUMMYFUNCTION("""COMPUTED_VALUE"""),"MENDEZ")</f>
        <v>MENDEZ</v>
      </c>
      <c r="AB155" s="1"/>
      <c r="AC155" s="1" t="str">
        <f>IFERROR(__xludf.DUMMYFUNCTION("""COMPUTED_VALUE"""),"120.906419 / 14.129368")</f>
        <v>120.906419 / 14.129368</v>
      </c>
    </row>
    <row r="156" customHeight="1" spans="1:29">
      <c r="A156" s="3">
        <f>IFERROR(__xludf.DUMMYFUNCTION("""COMPUTED_VALUE"""),46249)</f>
        <v>46249</v>
      </c>
      <c r="B156" s="1" t="str">
        <f>IFERROR(__xludf.DUMMYFUNCTION("""COMPUTED_VALUE"""),"AUGUST")</f>
        <v>AUGUST</v>
      </c>
      <c r="C156" s="1" t="str">
        <f>IFERROR(__xludf.DUMMYFUNCTION("""COMPUTED_VALUE"""),"KATE ANGELENE ARAMAN LUPENA")</f>
        <v>KATE ANGELENE ARAMAN LUPENA</v>
      </c>
      <c r="D156" s="1"/>
      <c r="E156" s="1"/>
      <c r="F156" s="1"/>
      <c r="G156" s="1" t="str">
        <f>IFERROR(__xludf.DUMMYFUNCTION("""COMPUTED_VALUE"""),"lupenakate73@gmail.com")</f>
        <v>lupenakate73@gmail.com</v>
      </c>
      <c r="H156" s="1" t="str">
        <f>IFERROR(__xludf.DUMMYFUNCTION("""COMPUTED_VALUE"""),"CLOSED")</f>
        <v>CLOSED</v>
      </c>
      <c r="I156" s="1"/>
      <c r="J156" s="1"/>
      <c r="K156" s="1" t="str">
        <f>IFERROR(__xludf.DUMMYFUNCTION("""COMPUTED_VALUE"""),"PAID VIA GCASH REF 105440623 AUG 20")</f>
        <v>PAID VIA GCASH REF 105440623 AUG 20</v>
      </c>
      <c r="L156" s="1" t="str">
        <f>IFERROR(__xludf.DUMMYFUNCTION("""COMPUTED_VALUE"""),"PAID")</f>
        <v>PAID</v>
      </c>
      <c r="M156" s="1" t="str">
        <f>IFERROR(__xludf.DUMMYFUNCTION("""COMPUTED_VALUE"""),"POSTED")</f>
        <v>POSTED</v>
      </c>
      <c r="N156" s="1" t="str">
        <f>IFERROR(__xludf.DUMMYFUNCTION("""COMPUTED_VALUE"""),"9/2/2026")</f>
        <v>9/2/2026</v>
      </c>
      <c r="O156" s="1" t="str">
        <f>IFERROR(__xludf.DUMMYFUNCTION("""COMPUTED_VALUE"""),"RED_RS_ONL_CVE_25")</f>
        <v>RED_RS_ONL_CVE_25</v>
      </c>
      <c r="P156" s="1" t="str">
        <f>IFERROR(__xludf.DUMMYFUNCTION("""COMPUTED_VALUE"""),"RED FIBR 1400")</f>
        <v>RED FIBR 1400</v>
      </c>
      <c r="Q156" s="1" t="str">
        <f>IFERROR(__xludf.DUMMYFUNCTION("""COMPUTED_VALUE"""),"MMM018712")</f>
        <v>MMM018712</v>
      </c>
      <c r="R156" s="1" t="str">
        <f>IFERROR(__xludf.DUMMYFUNCTION("""COMPUTED_VALUE"""),"LUPENA. KARL ANGELO")</f>
        <v>LUPENA. KARL ANGELO</v>
      </c>
      <c r="S156" s="1" t="str">
        <f>IFERROR(__xludf.DUMMYFUNCTION("""COMPUTED_VALUE"""),"GARCIA MICHAEL JETTS")</f>
        <v>GARCIA MICHAEL JETTS</v>
      </c>
      <c r="T156" s="1" t="str">
        <f>IFERROR(__xludf.DUMMYFUNCTION("""COMPUTED_VALUE"""),"ESPIRITU JULIE")</f>
        <v>ESPIRITU JULIE</v>
      </c>
      <c r="U156" s="1"/>
      <c r="V156" s="1">
        <f>IFERROR(__xludf.DUMMYFUNCTION("""COMPUTED_VALUE"""),9364229628)</f>
        <v>9364229628</v>
      </c>
      <c r="W156" s="1"/>
      <c r="X156" s="1" t="str">
        <f>IFERROR(__xludf.DUMMYFUNCTION("""COMPUTED_VALUE"""),"185")</f>
        <v>185</v>
      </c>
      <c r="Y156" s="1" t="str">
        <f>IFERROR(__xludf.DUMMYFUNCTION("""COMPUTED_VALUE"""),"BLISS ST")</f>
        <v>BLISS ST</v>
      </c>
      <c r="Z156" s="1"/>
      <c r="AA156" s="1" t="str">
        <f>IFERROR(__xludf.DUMMYFUNCTION("""COMPUTED_VALUE"""),"DAANG AMAYA II")</f>
        <v>DAANG AMAYA II</v>
      </c>
      <c r="AB156" s="1" t="str">
        <f>IFERROR(__xludf.DUMMYFUNCTION("""COMPUTED_VALUE"""),"TANZA")</f>
        <v>TANZA</v>
      </c>
      <c r="AC156" s="1" t="str">
        <f>IFERROR(__xludf.DUMMYFUNCTION("""COMPUTED_VALUE"""),"CVT6-L209N3-8")</f>
        <v>CVT6-L209N3-8</v>
      </c>
    </row>
    <row r="157" customHeight="1" spans="1:29">
      <c r="A157" s="3">
        <f>IFERROR(__xludf.DUMMYFUNCTION("""COMPUTED_VALUE"""),46262)</f>
        <v>46262</v>
      </c>
      <c r="B157" s="1" t="str">
        <f>IFERROR(__xludf.DUMMYFUNCTION("""COMPUTED_VALUE"""),"AUGUST")</f>
        <v>AUGUST</v>
      </c>
      <c r="C157" s="1" t="str">
        <f>IFERROR(__xludf.DUMMYFUNCTION("""COMPUTED_VALUE"""),"MARK ANTHONY COMBONG THELMO")</f>
        <v>MARK ANTHONY COMBONG THELMO</v>
      </c>
      <c r="D157" s="1"/>
      <c r="E157" s="1"/>
      <c r="F157" s="1"/>
      <c r="G157" s="1" t="str">
        <f>IFERROR(__xludf.DUMMYFUNCTION("""COMPUTED_VALUE"""),"thelmomarkanthony04@gmail.com")</f>
        <v>thelmomarkanthony04@gmail.com</v>
      </c>
      <c r="H157" s="1" t="str">
        <f>IFERROR(__xludf.DUMMYFUNCTION("""COMPUTED_VALUE"""),"CLOSED")</f>
        <v>CLOSED</v>
      </c>
      <c r="I157" s="1"/>
      <c r="J157" s="1"/>
      <c r="K157" s="1" t="str">
        <f>IFERROR(__xludf.DUMMYFUNCTION("""COMPUTED_VALUE"""),"PAID VIA GCASH - AUG 28 - REF - 13110566")</f>
        <v>PAID VIA GCASH - AUG 28 - REF - 13110566</v>
      </c>
      <c r="L157" s="1" t="str">
        <f>IFERROR(__xludf.DUMMYFUNCTION("""COMPUTED_VALUE"""),"PAID")</f>
        <v>PAID</v>
      </c>
      <c r="M157" s="1" t="str">
        <f>IFERROR(__xludf.DUMMYFUNCTION("""COMPUTED_VALUE"""),"POSTED")</f>
        <v>POSTED</v>
      </c>
      <c r="N157" s="1" t="str">
        <f>IFERROR(__xludf.DUMMYFUNCTION("""COMPUTED_VALUE"""),"9/2/2026")</f>
        <v>9/2/2026</v>
      </c>
      <c r="O157" s="1" t="str">
        <f>IFERROR(__xludf.DUMMYFUNCTION("""COMPUTED_VALUE"""),"RED_RS_ONL_CVE_25")</f>
        <v>RED_RS_ONL_CVE_25</v>
      </c>
      <c r="P157" s="1" t="str">
        <f>IFERROR(__xludf.DUMMYFUNCTION("""COMPUTED_VALUE"""),"RED FIBR 1000")</f>
        <v>RED FIBR 1000</v>
      </c>
      <c r="Q157" s="1" t="str">
        <f>IFERROR(__xludf.DUMMYFUNCTION("""COMPUTED_VALUE"""),"MMM018711")</f>
        <v>MMM018711</v>
      </c>
      <c r="R157" s="1" t="str">
        <f>IFERROR(__xludf.DUMMYFUNCTION("""COMPUTED_VALUE"""),"YOLANGCO, MARVIN")</f>
        <v>YOLANGCO, MARVIN</v>
      </c>
      <c r="S157" s="1" t="str">
        <f>IFERROR(__xludf.DUMMYFUNCTION("""COMPUTED_VALUE"""),"GARCIA MICHAEL JETTS")</f>
        <v>GARCIA MICHAEL JETTS</v>
      </c>
      <c r="T157" s="1" t="str">
        <f>IFERROR(__xludf.DUMMYFUNCTION("""COMPUTED_VALUE"""),"ESPIRITU JULIE")</f>
        <v>ESPIRITU JULIE</v>
      </c>
      <c r="U157" s="1"/>
      <c r="V157" s="1">
        <f>IFERROR(__xludf.DUMMYFUNCTION("""COMPUTED_VALUE"""),9974259713)</f>
        <v>9974259713</v>
      </c>
      <c r="W157" s="1"/>
      <c r="X157" s="1" t="str">
        <f>IFERROR(__xludf.DUMMYFUNCTION("""COMPUTED_VALUE"""),"9155C")</f>
        <v>9155C</v>
      </c>
      <c r="Y157" s="1" t="str">
        <f>IFERROR(__xludf.DUMMYFUNCTION("""COMPUTED_VALUE"""),"TRAMO RD")</f>
        <v>TRAMO RD</v>
      </c>
      <c r="Z157" s="1"/>
      <c r="AA157" s="1" t="str">
        <f>IFERROR(__xludf.DUMMYFUNCTION("""COMPUTED_VALUE"""),"AMAYA I")</f>
        <v>AMAYA I</v>
      </c>
      <c r="AB157" s="1" t="str">
        <f>IFERROR(__xludf.DUMMYFUNCTION("""COMPUTED_VALUE"""),"TANZA")</f>
        <v>TANZA</v>
      </c>
      <c r="AC157" s="1"/>
    </row>
    <row r="158" customHeight="1" spans="1:29">
      <c r="A158" s="3">
        <f>IFERROR(__xludf.DUMMYFUNCTION("""COMPUTED_VALUE"""),46263)</f>
        <v>46263</v>
      </c>
      <c r="B158" s="1" t="str">
        <f>IFERROR(__xludf.DUMMYFUNCTION("""COMPUTED_VALUE"""),"AUGUST")</f>
        <v>AUGUST</v>
      </c>
      <c r="C158" s="1" t="str">
        <f>IFERROR(__xludf.DUMMYFUNCTION("""COMPUTED_VALUE"""),"LOYD TIAMZON CORTEZ")</f>
        <v>LOYD TIAMZON CORTEZ</v>
      </c>
      <c r="D158" s="1"/>
      <c r="E158" s="1"/>
      <c r="F158" s="1"/>
      <c r="G158" s="1" t="str">
        <f>IFERROR(__xludf.DUMMYFUNCTION("""COMPUTED_VALUE"""),"sayatmelody@gmail.com")</f>
        <v>sayatmelody@gmail.com</v>
      </c>
      <c r="H158" s="1" t="str">
        <f>IFERROR(__xludf.DUMMYFUNCTION("""COMPUTED_VALUE"""),"CLOSED")</f>
        <v>CLOSED</v>
      </c>
      <c r="I158" s="1"/>
      <c r="J158" s="1"/>
      <c r="K158" s="1" t="str">
        <f>IFERROR(__xludf.DUMMYFUNCTION("""COMPUTED_VALUE"""),"PAID VIA GCASH REF 435744363 AUG 29")</f>
        <v>PAID VIA GCASH REF 435744363 AUG 29</v>
      </c>
      <c r="L158" s="1" t="str">
        <f>IFERROR(__xludf.DUMMYFUNCTION("""COMPUTED_VALUE"""),"PAID")</f>
        <v>PAID</v>
      </c>
      <c r="M158" s="1" t="str">
        <f>IFERROR(__xludf.DUMMYFUNCTION("""COMPUTED_VALUE"""),"POSTED")</f>
        <v>POSTED</v>
      </c>
      <c r="N158" s="1" t="str">
        <f>IFERROR(__xludf.DUMMYFUNCTION("""COMPUTED_VALUE"""),"9/2/2026")</f>
        <v>9/2/2026</v>
      </c>
      <c r="O158" s="1" t="str">
        <f>IFERROR(__xludf.DUMMYFUNCTION("""COMPUTED_VALUE"""),"RED_RS_ONL_CVE_25")</f>
        <v>RED_RS_ONL_CVE_25</v>
      </c>
      <c r="P158" s="1" t="str">
        <f>IFERROR(__xludf.DUMMYFUNCTION("""COMPUTED_VALUE"""),"RED FIBR 1000")</f>
        <v>RED FIBR 1000</v>
      </c>
      <c r="Q158" s="1" t="str">
        <f>IFERROR(__xludf.DUMMYFUNCTION("""COMPUTED_VALUE"""),"MMM018709")</f>
        <v>MMM018709</v>
      </c>
      <c r="R158" s="1" t="str">
        <f>IFERROR(__xludf.DUMMYFUNCTION("""COMPUTED_VALUE"""),"MORADOS, MARVIN")</f>
        <v>MORADOS, MARVIN</v>
      </c>
      <c r="S158" s="1" t="str">
        <f>IFERROR(__xludf.DUMMYFUNCTION("""COMPUTED_VALUE"""),"GARCIA MICHAEL JETTS")</f>
        <v>GARCIA MICHAEL JETTS</v>
      </c>
      <c r="T158" s="1" t="str">
        <f>IFERROR(__xludf.DUMMYFUNCTION("""COMPUTED_VALUE"""),"ESPIRITU JULIE")</f>
        <v>ESPIRITU JULIE</v>
      </c>
      <c r="U158" s="1"/>
      <c r="V158" s="1">
        <f>IFERROR(__xludf.DUMMYFUNCTION("""COMPUTED_VALUE"""),9155481413)</f>
        <v>9155481413</v>
      </c>
      <c r="W158" s="1"/>
      <c r="X158" s="1" t="str">
        <f>IFERROR(__xludf.DUMMYFUNCTION("""COMPUTED_VALUE"""),"BLK 2 LOT 9")</f>
        <v>BLK 2 LOT 9</v>
      </c>
      <c r="Y158" s="1" t="str">
        <f>IFERROR(__xludf.DUMMYFUNCTION("""COMPUTED_VALUE"""),"PIELA RD")</f>
        <v>PIELA RD</v>
      </c>
      <c r="Z158" s="1" t="str">
        <f>IFERROR(__xludf.DUMMYFUNCTION("""COMPUTED_VALUE"""),"VILLA LINDA HEIGHTS SUBDIVISION")</f>
        <v>VILLA LINDA HEIGHTS SUBDIVISION</v>
      </c>
      <c r="AA158" s="1" t="str">
        <f>IFERROR(__xludf.DUMMYFUNCTION("""COMPUTED_VALUE"""),"SAMPALOC III")</f>
        <v>SAMPALOC III</v>
      </c>
      <c r="AB158" s="1" t="str">
        <f>IFERROR(__xludf.DUMMYFUNCTION("""COMPUTED_VALUE"""),"DASMARINAS")</f>
        <v>DASMARINAS</v>
      </c>
      <c r="AC158" s="1" t="str">
        <f>IFERROR(__xludf.DUMMYFUNCTION("""COMPUTED_VALUE"""),"CVT3LCP355NP1-6")</f>
        <v>CVT3LCP355NP1-6</v>
      </c>
    </row>
    <row r="159" customHeight="1" spans="1:29">
      <c r="A159" s="3">
        <f>IFERROR(__xludf.DUMMYFUNCTION("""COMPUTED_VALUE"""),46259)</f>
        <v>46259</v>
      </c>
      <c r="B159" s="1" t="str">
        <f>IFERROR(__xludf.DUMMYFUNCTION("""COMPUTED_VALUE"""),"AUGUST")</f>
        <v>AUGUST</v>
      </c>
      <c r="C159" s="1" t="str">
        <f>IFERROR(__xludf.DUMMYFUNCTION("""COMPUTED_VALUE"""),"FRANCISCO JAVIER MACALALAD")</f>
        <v>FRANCISCO JAVIER MACALALAD</v>
      </c>
      <c r="D159" s="1"/>
      <c r="E159" s="1"/>
      <c r="F159" s="1"/>
      <c r="G159" s="1" t="str">
        <f>IFERROR(__xludf.DUMMYFUNCTION("""COMPUTED_VALUE"""),"marinellmacalalad24@gmail.com")</f>
        <v>marinellmacalalad24@gmail.com</v>
      </c>
      <c r="H159" s="1" t="str">
        <f>IFERROR(__xludf.DUMMYFUNCTION("""COMPUTED_VALUE"""),"CLOSED")</f>
        <v>CLOSED</v>
      </c>
      <c r="I159" s="1"/>
      <c r="J159" s="1"/>
      <c r="K159" s="1" t="str">
        <f>IFERROR(__xludf.DUMMYFUNCTION("""COMPUTED_VALUE"""),"PAID VIA GCASH REF 094072995 AUG 25")</f>
        <v>PAID VIA GCASH REF 094072995 AUG 25</v>
      </c>
      <c r="L159" s="1" t="str">
        <f>IFERROR(__xludf.DUMMYFUNCTION("""COMPUTED_VALUE"""),"PAID")</f>
        <v>PAID</v>
      </c>
      <c r="M159" s="1" t="str">
        <f>IFERROR(__xludf.DUMMYFUNCTION("""COMPUTED_VALUE"""),"POSTED")</f>
        <v>POSTED</v>
      </c>
      <c r="N159" s="1" t="str">
        <f>IFERROR(__xludf.DUMMYFUNCTION("""COMPUTED_VALUE"""),"2026")</f>
        <v>2026</v>
      </c>
      <c r="O159" s="1" t="str">
        <f>IFERROR(__xludf.DUMMYFUNCTION("""COMPUTED_VALUE"""),"RED_RS_ONL_CVE_25")</f>
        <v>RED_RS_ONL_CVE_25</v>
      </c>
      <c r="P159" s="1" t="str">
        <f>IFERROR(__xludf.DUMMYFUNCTION("""COMPUTED_VALUE"""),"RED FIBR 1000")</f>
        <v>RED FIBR 1000</v>
      </c>
      <c r="Q159" s="1" t="str">
        <f>IFERROR(__xludf.DUMMYFUNCTION("""COMPUTED_VALUE"""),"MMM018713")</f>
        <v>MMM018713</v>
      </c>
      <c r="R159" s="1" t="str">
        <f>IFERROR(__xludf.DUMMYFUNCTION("""COMPUTED_VALUE"""),"FALLARNA, CLEAR - BATANGAS")</f>
        <v>FALLARNA, CLEAR - BATANGAS</v>
      </c>
      <c r="S159" s="1" t="str">
        <f>IFERROR(__xludf.DUMMYFUNCTION("""COMPUTED_VALUE"""),"CLARETE, GLIZIEL")</f>
        <v>CLARETE, GLIZIEL</v>
      </c>
      <c r="T159" s="1" t="str">
        <f>IFERROR(__xludf.DUMMYFUNCTION("""COMPUTED_VALUE"""),"ESPIRITU JULIE")</f>
        <v>ESPIRITU JULIE</v>
      </c>
      <c r="U159" s="1"/>
      <c r="V159" s="1">
        <f>IFERROR(__xludf.DUMMYFUNCTION("""COMPUTED_VALUE"""),9977238139)</f>
        <v>9977238139</v>
      </c>
      <c r="W159" s="1"/>
      <c r="X159" s="1" t="str">
        <f>IFERROR(__xludf.DUMMYFUNCTION("""COMPUTED_VALUE"""),"234")</f>
        <v>234</v>
      </c>
      <c r="Y159" s="1" t="str">
        <f>IFERROR(__xludf.DUMMYFUNCTION("""COMPUTED_VALUE"""),"ROAD 4")</f>
        <v>ROAD 4</v>
      </c>
      <c r="Z159" s="1"/>
      <c r="AA159" s="1" t="str">
        <f>IFERROR(__xludf.DUMMYFUNCTION("""COMPUTED_VALUE"""),"TINGA LABAK")</f>
        <v>TINGA LABAK</v>
      </c>
      <c r="AB159" s="1" t="str">
        <f>IFERROR(__xludf.DUMMYFUNCTION("""COMPUTED_VALUE"""),"BATANGAS ")</f>
        <v>BATANGAS </v>
      </c>
      <c r="AC159" s="1" t="str">
        <f>IFERROR(__xludf.DUMMYFUNCTION("""COMPUTED_VALUE"""),"BCY95NP5/6")</f>
        <v>BCY95NP5/6</v>
      </c>
    </row>
    <row r="160" customHeight="1" spans="1:29">
      <c r="A160" s="3">
        <f>IFERROR(__xludf.DUMMYFUNCTION("""COMPUTED_VALUE"""),46261)</f>
        <v>46261</v>
      </c>
      <c r="B160" s="1" t="str">
        <f>IFERROR(__xludf.DUMMYFUNCTION("""COMPUTED_VALUE"""),"AUGUST")</f>
        <v>AUGUST</v>
      </c>
      <c r="C160" s="1" t="str">
        <f>IFERROR(__xludf.DUMMYFUNCTION("""COMPUTED_VALUE"""),"ALICE AGUILA DIMAANO ")</f>
        <v>ALICE AGUILA DIMAANO </v>
      </c>
      <c r="D160" s="1"/>
      <c r="E160" s="1"/>
      <c r="F160" s="1"/>
      <c r="G160" s="1" t="str">
        <f>IFERROR(__xludf.DUMMYFUNCTION("""COMPUTED_VALUE"""),"nogalag0218@gmail.com")</f>
        <v>nogalag0218@gmail.com</v>
      </c>
      <c r="H160" s="1" t="str">
        <f>IFERROR(__xludf.DUMMYFUNCTION("""COMPUTED_VALUE"""),"CLOSED")</f>
        <v>CLOSED</v>
      </c>
      <c r="I160" s="1"/>
      <c r="J160" s="1"/>
      <c r="K160" s="1" t="str">
        <f>IFERROR(__xludf.DUMMYFUNCTION("""COMPUTED_VALUE"""),"SWITCHER PROMO")</f>
        <v>SWITCHER PROMO</v>
      </c>
      <c r="L160" s="1"/>
      <c r="M160" s="1" t="str">
        <f>IFERROR(__xludf.DUMMYFUNCTION("""COMPUTED_VALUE"""),"POSTED")</f>
        <v>POSTED</v>
      </c>
      <c r="N160" s="1" t="str">
        <f>IFERROR(__xludf.DUMMYFUNCTION("""COMPUTED_VALUE"""),"2026")</f>
        <v>2026</v>
      </c>
      <c r="O160" s="1" t="str">
        <f>IFERROR(__xludf.DUMMYFUNCTION("""COMPUTED_VALUE"""),"RED_RS_ONL_CVE_25")</f>
        <v>RED_RS_ONL_CVE_25</v>
      </c>
      <c r="P160" s="1" t="str">
        <f>IFERROR(__xludf.DUMMYFUNCTION("""COMPUTED_VALUE"""),"SWITCHER PLAN 1400")</f>
        <v>SWITCHER PLAN 1400</v>
      </c>
      <c r="Q160" s="1" t="str">
        <f>IFERROR(__xludf.DUMMYFUNCTION("""COMPUTED_VALUE"""),"MMM018713")</f>
        <v>MMM018713</v>
      </c>
      <c r="R160" s="1" t="str">
        <f>IFERROR(__xludf.DUMMYFUNCTION("""COMPUTED_VALUE"""),"LUCELLE, FRIAS - BATANGAS")</f>
        <v>LUCELLE, FRIAS - BATANGAS</v>
      </c>
      <c r="S160" s="1" t="str">
        <f>IFERROR(__xludf.DUMMYFUNCTION("""COMPUTED_VALUE"""),"CLARETE, GLIZIEL")</f>
        <v>CLARETE, GLIZIEL</v>
      </c>
      <c r="T160" s="1" t="str">
        <f>IFERROR(__xludf.DUMMYFUNCTION("""COMPUTED_VALUE"""),"ESPIRITU JULIE")</f>
        <v>ESPIRITU JULIE</v>
      </c>
      <c r="U160" s="1"/>
      <c r="V160" s="1">
        <f>IFERROR(__xludf.DUMMYFUNCTION("""COMPUTED_VALUE"""),9279631771)</f>
        <v>9279631771</v>
      </c>
      <c r="W160" s="1"/>
      <c r="X160" s="1" t="str">
        <f>IFERROR(__xludf.DUMMYFUNCTION("""COMPUTED_VALUE"""),"-")</f>
        <v>-</v>
      </c>
      <c r="Y160" s="1" t="str">
        <f>IFERROR(__xludf.DUMMYFUNCTION("""COMPUTED_VALUE"""),"SOROSORO IBABA")</f>
        <v>SOROSORO IBABA</v>
      </c>
      <c r="Z160" s="1" t="str">
        <f>IFERROR(__xludf.DUMMYFUNCTION("""COMPUTED_VALUE"""),"-")</f>
        <v>-</v>
      </c>
      <c r="AA160" s="1" t="str">
        <f>IFERROR(__xludf.DUMMYFUNCTION("""COMPUTED_VALUE"""),"SOROSORO IBABA")</f>
        <v>SOROSORO IBABA</v>
      </c>
      <c r="AB160" s="1" t="str">
        <f>IFERROR(__xludf.DUMMYFUNCTION("""COMPUTED_VALUE"""),"BATANGAS ")</f>
        <v>BATANGAS </v>
      </c>
      <c r="AC160" s="1" t="str">
        <f>IFERROR(__xludf.DUMMYFUNCTION("""COMPUTED_VALUE"""),"BCYLCP87NP5/6")</f>
        <v>BCYLCP87NP5/6</v>
      </c>
    </row>
    <row r="161" customHeight="1" spans="1:29">
      <c r="A161" s="3">
        <f>IFERROR(__xludf.DUMMYFUNCTION("""COMPUTED_VALUE"""),46265)</f>
        <v>46265</v>
      </c>
      <c r="B161" s="1" t="str">
        <f>IFERROR(__xludf.DUMMYFUNCTION("""COMPUTED_VALUE"""),"AUGUST")</f>
        <v>AUGUST</v>
      </c>
      <c r="C161" s="1" t="str">
        <f>IFERROR(__xludf.DUMMYFUNCTION("""COMPUTED_VALUE"""),"JENNIFER LLANETA DUMAGTOY")</f>
        <v>JENNIFER LLANETA DUMAGTOY</v>
      </c>
      <c r="D161" s="1"/>
      <c r="E161" s="1"/>
      <c r="F161" s="1"/>
      <c r="G161" s="1" t="str">
        <f>IFERROR(__xludf.DUMMYFUNCTION("""COMPUTED_VALUE"""),"jenniferdumagtoy29@gmail.com")</f>
        <v>jenniferdumagtoy29@gmail.com</v>
      </c>
      <c r="H161" s="1" t="str">
        <f>IFERROR(__xludf.DUMMYFUNCTION("""COMPUTED_VALUE"""),"CLOSED")</f>
        <v>CLOSED</v>
      </c>
      <c r="I161" s="1"/>
      <c r="J161" s="1"/>
      <c r="K161" s="1" t="str">
        <f>IFERROR(__xludf.DUMMYFUNCTION("""COMPUTED_VALUE"""),"PAID GOTYM CAR2608310409315871 AUG 31")</f>
        <v>PAID GOTYM CAR2608310409315871 AUG 31</v>
      </c>
      <c r="L161" s="1" t="str">
        <f>IFERROR(__xludf.DUMMYFUNCTION("""COMPUTED_VALUE"""),"PAID")</f>
        <v>PAID</v>
      </c>
      <c r="M161" s="1" t="str">
        <f>IFERROR(__xludf.DUMMYFUNCTION("""COMPUTED_VALUE"""),"POSTED")</f>
        <v>POSTED</v>
      </c>
      <c r="N161" s="1" t="str">
        <f>IFERROR(__xludf.DUMMYFUNCTION("""COMPUTED_VALUE"""),"9/2/2026")</f>
        <v>9/2/2026</v>
      </c>
      <c r="O161" s="1" t="str">
        <f>IFERROR(__xludf.DUMMYFUNCTION("""COMPUTED_VALUE"""),"RED_RS_ONL_CVE_25")</f>
        <v>RED_RS_ONL_CVE_25</v>
      </c>
      <c r="P161" s="1" t="str">
        <f>IFERROR(__xludf.DUMMYFUNCTION("""COMPUTED_VALUE"""),"RED FIBR 1000")</f>
        <v>RED FIBR 1000</v>
      </c>
      <c r="Q161" s="1" t="str">
        <f>IFERROR(__xludf.DUMMYFUNCTION("""COMPUTED_VALUE"""),"MMM018709")</f>
        <v>MMM018709</v>
      </c>
      <c r="R161" s="1" t="str">
        <f>IFERROR(__xludf.DUMMYFUNCTION("""COMPUTED_VALUE"""),"MORADOS, MARVIN")</f>
        <v>MORADOS, MARVIN</v>
      </c>
      <c r="S161" s="1" t="str">
        <f>IFERROR(__xludf.DUMMYFUNCTION("""COMPUTED_VALUE"""),"GARCIA MICHAEL JETTS")</f>
        <v>GARCIA MICHAEL JETTS</v>
      </c>
      <c r="T161" s="1" t="str">
        <f>IFERROR(__xludf.DUMMYFUNCTION("""COMPUTED_VALUE"""),"SALIOA JB")</f>
        <v>SALIOA JB</v>
      </c>
      <c r="U161" s="1"/>
      <c r="V161" s="1">
        <f>IFERROR(__xludf.DUMMYFUNCTION("""COMPUTED_VALUE"""),9762895031)</f>
        <v>9762895031</v>
      </c>
      <c r="W161" s="1"/>
      <c r="X161" s="1" t="str">
        <f>IFERROR(__xludf.DUMMYFUNCTION("""COMPUTED_VALUE"""),"010-BL-048")</f>
        <v>010-BL-048</v>
      </c>
      <c r="Y161" s="1" t="str">
        <f>IFERROR(__xludf.DUMMYFUNCTION("""COMPUTED_VALUE"""),"PHASE B ST")</f>
        <v>PHASE B ST</v>
      </c>
      <c r="Z161" s="1" t="str">
        <f>IFERROR(__xludf.DUMMYFUNCTION("""COMPUTED_VALUE"""),"PEARL RESIDENCES")</f>
        <v>PEARL RESIDENCES</v>
      </c>
      <c r="AA161" s="1" t="str">
        <f>IFERROR(__xludf.DUMMYFUNCTION("""COMPUTED_VALUE"""),"CAPIPISA")</f>
        <v>CAPIPISA</v>
      </c>
      <c r="AB161" s="1" t="str">
        <f>IFERROR(__xludf.DUMMYFUNCTION("""COMPUTED_VALUE"""),"TANZA")</f>
        <v>TANZA</v>
      </c>
      <c r="AC161" s="1"/>
    </row>
    <row r="162" customHeight="1" spans="1:29">
      <c r="A162" s="3">
        <f>IFERROR(__xludf.DUMMYFUNCTION("""COMPUTED_VALUE"""),46265)</f>
        <v>46265</v>
      </c>
      <c r="B162" s="1" t="str">
        <f>IFERROR(__xludf.DUMMYFUNCTION("""COMPUTED_VALUE"""),"AUGUST")</f>
        <v>AUGUST</v>
      </c>
      <c r="C162" s="1" t="str">
        <f>IFERROR(__xludf.DUMMYFUNCTION("""COMPUTED_VALUE"""),"JANE CATUBIS PENDON")</f>
        <v>JANE CATUBIS PENDON</v>
      </c>
      <c r="D162" s="1"/>
      <c r="E162" s="1"/>
      <c r="F162" s="1"/>
      <c r="G162" s="1" t="str">
        <f>IFERROR(__xludf.DUMMYFUNCTION("""COMPUTED_VALUE"""),"jane.pendon1986@gmail.com")</f>
        <v>jane.pendon1986@gmail.com</v>
      </c>
      <c r="H162" s="1" t="str">
        <f>IFERROR(__xludf.DUMMYFUNCTION("""COMPUTED_VALUE"""),"CLOSED")</f>
        <v>CLOSED</v>
      </c>
      <c r="I162" s="1"/>
      <c r="J162" s="1"/>
      <c r="K162" s="1" t="str">
        <f>IFERROR(__xludf.DUMMYFUNCTION("""COMPUTED_VALUE"""),"PAID VIA GCASH REF 837967783 SEP 1")</f>
        <v>PAID VIA GCASH REF 837967783 SEP 1</v>
      </c>
      <c r="L162" s="1" t="str">
        <f>IFERROR(__xludf.DUMMYFUNCTION("""COMPUTED_VALUE"""),"PAID")</f>
        <v>PAID</v>
      </c>
      <c r="M162" s="1" t="str">
        <f>IFERROR(__xludf.DUMMYFUNCTION("""COMPUTED_VALUE"""),"POSTED")</f>
        <v>POSTED</v>
      </c>
      <c r="N162" s="1" t="str">
        <f>IFERROR(__xludf.DUMMYFUNCTION("""COMPUTED_VALUE"""),"9/2/2026")</f>
        <v>9/2/2026</v>
      </c>
      <c r="O162" s="1" t="str">
        <f>IFERROR(__xludf.DUMMYFUNCTION("""COMPUTED_VALUE"""),"RED_RS_ONL_CVE_25")</f>
        <v>RED_RS_ONL_CVE_25</v>
      </c>
      <c r="P162" s="1" t="str">
        <f>IFERROR(__xludf.DUMMYFUNCTION("""COMPUTED_VALUE"""),"RED FIBR 1000")</f>
        <v>RED FIBR 1000</v>
      </c>
      <c r="Q162" s="1" t="str">
        <f>IFERROR(__xludf.DUMMYFUNCTION("""COMPUTED_VALUE"""),"MMM018711")</f>
        <v>MMM018711</v>
      </c>
      <c r="R162" s="1" t="str">
        <f>IFERROR(__xludf.DUMMYFUNCTION("""COMPUTED_VALUE"""),"YOLANGCO, JOJO")</f>
        <v>YOLANGCO, JOJO</v>
      </c>
      <c r="S162" s="1" t="str">
        <f>IFERROR(__xludf.DUMMYFUNCTION("""COMPUTED_VALUE"""),"GARCIA MICHAEL JETTS")</f>
        <v>GARCIA MICHAEL JETTS</v>
      </c>
      <c r="T162" s="1" t="str">
        <f>IFERROR(__xludf.DUMMYFUNCTION("""COMPUTED_VALUE"""),"SALIOA JB")</f>
        <v>SALIOA JB</v>
      </c>
      <c r="U162" s="1"/>
      <c r="V162" s="1">
        <f>IFERROR(__xludf.DUMMYFUNCTION("""COMPUTED_VALUE"""),9976390926)</f>
        <v>9976390926</v>
      </c>
      <c r="W162" s="1"/>
      <c r="X162" s="1" t="str">
        <f>IFERROR(__xludf.DUMMYFUNCTION("""COMPUTED_VALUE"""),"33A")</f>
        <v>33A</v>
      </c>
      <c r="Y162" s="1" t="str">
        <f>IFERROR(__xludf.DUMMYFUNCTION("""COMPUTED_VALUE"""),"MABINI ST")</f>
        <v>MABINI ST</v>
      </c>
      <c r="Z162" s="1"/>
      <c r="AA162" s="1" t="str">
        <f>IFERROR(__xludf.DUMMYFUNCTION("""COMPUTED_VALUE"""),"POBLACION II (BARANGAY II)")</f>
        <v>POBLACION II (BARANGAY II)</v>
      </c>
      <c r="AB162" s="1" t="str">
        <f>IFERROR(__xludf.DUMMYFUNCTION("""COMPUTED_VALUE"""),"MENDEZ")</f>
        <v>MENDEZ</v>
      </c>
      <c r="AC162" s="1"/>
    </row>
    <row r="163" customHeight="1" spans="1:29">
      <c r="A163" s="3">
        <f>IFERROR(__xludf.DUMMYFUNCTION("""COMPUTED_VALUE"""),46266)</f>
        <v>46266</v>
      </c>
      <c r="B163" s="1" t="str">
        <f>IFERROR(__xludf.DUMMYFUNCTION("""COMPUTED_VALUE"""),"SEPTEMBER")</f>
        <v>SEPTEMBER</v>
      </c>
      <c r="C163" s="1" t="str">
        <f>IFERROR(__xludf.DUMMYFUNCTION("""COMPUTED_VALUE"""),"JHENALYN MAMILOTO LEGASPI")</f>
        <v>JHENALYN MAMILOTO LEGASPI</v>
      </c>
      <c r="D163" s="1" t="str">
        <f>IFERROR(__xludf.DUMMYFUNCTION("""COMPUTED_VALUE"""),"RITM0308652")</f>
        <v>RITM0308652</v>
      </c>
      <c r="E163" s="1"/>
      <c r="F163" s="1" t="str">
        <f>IFERROR(__xludf.DUMMYFUNCTION("""COMPUTED_VALUE"""),"1332292697")</f>
        <v>1332292697</v>
      </c>
      <c r="G163" s="1" t="str">
        <f>IFERROR(__xludf.DUMMYFUNCTION("""COMPUTED_VALUE"""),"legaspijhenalyn90@gmail.com")</f>
        <v>legaspijhenalyn90@gmail.com</v>
      </c>
      <c r="H163" s="1" t="str">
        <f>IFERROR(__xludf.DUMMYFUNCTION("""COMPUTED_VALUE"""),"CLOSED")</f>
        <v>CLOSED</v>
      </c>
      <c r="I163" s="1"/>
      <c r="J163" s="1"/>
      <c r="K163" s="1" t="str">
        <f>IFERROR(__xludf.DUMMYFUNCTION("""COMPUTED_VALUE"""),"PAID VIA MAYA RADI2370584JLVA2 SEP 1")</f>
        <v>PAID VIA MAYA RADI2370584JLVA2 SEP 1</v>
      </c>
      <c r="L163" s="1" t="str">
        <f>IFERROR(__xludf.DUMMYFUNCTION("""COMPUTED_VALUE"""),"PAID")</f>
        <v>PAID</v>
      </c>
      <c r="M163" s="1" t="str">
        <f>IFERROR(__xludf.DUMMYFUNCTION("""COMPUTED_VALUE"""),"POSTED")</f>
        <v>POSTED</v>
      </c>
      <c r="N163" s="1" t="str">
        <f>IFERROR(__xludf.DUMMYFUNCTION("""COMPUTED_VALUE"""),"9/2/2026")</f>
        <v>9/2/2026</v>
      </c>
      <c r="O163" s="1" t="str">
        <f>IFERROR(__xludf.DUMMYFUNCTION("""COMPUTED_VALUE"""),"RED_RS_ONL_CVE_25")</f>
        <v>RED_RS_ONL_CVE_25</v>
      </c>
      <c r="P163" s="1" t="str">
        <f>IFERROR(__xludf.DUMMYFUNCTION("""COMPUTED_VALUE"""),"RED FIBR 1000")</f>
        <v>RED FIBR 1000</v>
      </c>
      <c r="Q163" s="1" t="str">
        <f>IFERROR(__xludf.DUMMYFUNCTION("""COMPUTED_VALUE"""),"MMM018709")</f>
        <v>MMM018709</v>
      </c>
      <c r="R163" s="1" t="str">
        <f>IFERROR(__xludf.DUMMYFUNCTION("""COMPUTED_VALUE"""),"KAWAUCHI, SHANE")</f>
        <v>KAWAUCHI, SHANE</v>
      </c>
      <c r="S163" s="1" t="str">
        <f>IFERROR(__xludf.DUMMYFUNCTION("""COMPUTED_VALUE"""),"GARCIA MICHAEL JETTS")</f>
        <v>GARCIA MICHAEL JETTS</v>
      </c>
      <c r="T163" s="1" t="str">
        <f>IFERROR(__xludf.DUMMYFUNCTION("""COMPUTED_VALUE"""),"SALIOA JB")</f>
        <v>SALIOA JB</v>
      </c>
      <c r="U163" s="1"/>
      <c r="V163" s="1">
        <f>IFERROR(__xludf.DUMMYFUNCTION("""COMPUTED_VALUE"""),9669801770)</f>
        <v>9669801770</v>
      </c>
      <c r="W163" s="1"/>
      <c r="X163" s="1" t="str">
        <f>IFERROR(__xludf.DUMMYFUNCTION("""COMPUTED_VALUE"""),"303")</f>
        <v>303</v>
      </c>
      <c r="Y163" s="1" t="str">
        <f>IFERROR(__xludf.DUMMYFUNCTION("""COMPUTED_VALUE"""),"1ST ST")</f>
        <v>1ST ST</v>
      </c>
      <c r="Z163" s="1" t="str">
        <f>IFERROR(__xludf.DUMMYFUNCTION("""COMPUTED_VALUE"""),"FOJAS SUBDIVISION")</f>
        <v>FOJAS SUBDIVISION</v>
      </c>
      <c r="AA163" s="1" t="str">
        <f>IFERROR(__xludf.DUMMYFUNCTION("""COMPUTED_VALUE"""),"DAANG AMAYA 2")</f>
        <v>DAANG AMAYA 2</v>
      </c>
      <c r="AB163" s="1" t="str">
        <f>IFERROR(__xludf.DUMMYFUNCTION("""COMPUTED_VALUE"""),"TANZA")</f>
        <v>TANZA</v>
      </c>
      <c r="AC163" s="1"/>
    </row>
    <row r="164" customHeight="1" spans="1:29">
      <c r="A164" s="3">
        <f>IFERROR(__xludf.DUMMYFUNCTION("""COMPUTED_VALUE"""),46267)</f>
        <v>46267</v>
      </c>
      <c r="B164" s="1" t="str">
        <f>IFERROR(__xludf.DUMMYFUNCTION("""COMPUTED_VALUE"""),"SEPTEMBER")</f>
        <v>SEPTEMBER</v>
      </c>
      <c r="C164" s="1" t="str">
        <f>IFERROR(__xludf.DUMMYFUNCTION("""COMPUTED_VALUE"""),"GINA OFREN ORENCE")</f>
        <v>GINA OFREN ORENCE</v>
      </c>
      <c r="D164" s="1" t="str">
        <f>IFERROR(__xludf.DUMMYFUNCTION("""COMPUTED_VALUE"""),"RITM0308844")</f>
        <v>RITM0308844</v>
      </c>
      <c r="E164" s="1"/>
      <c r="F164" s="1" t="str">
        <f>IFERROR(__xludf.DUMMYFUNCTION("""COMPUTED_VALUE"""),"4494752262")</f>
        <v>4494752262</v>
      </c>
      <c r="G164" s="1" t="str">
        <f>IFERROR(__xludf.DUMMYFUNCTION("""COMPUTED_VALUE"""),"apollodustindeleon86@gmail.com")</f>
        <v>apollodustindeleon86@gmail.com</v>
      </c>
      <c r="H164" s="1" t="str">
        <f>IFERROR(__xludf.DUMMYFUNCTION("""COMPUTED_VALUE"""),"CLOSED")</f>
        <v>CLOSED</v>
      </c>
      <c r="I164" s="1"/>
      <c r="J164" s="1"/>
      <c r="K164" s="1" t="str">
        <f>IFERROR(__xludf.DUMMYFUNCTION("""COMPUTED_VALUE"""),"PAID VIA GCASH SEP 2 REF 146711166 SEP 2")</f>
        <v>PAID VIA GCASH SEP 2 REF 146711166 SEP 2</v>
      </c>
      <c r="L164" s="1" t="str">
        <f>IFERROR(__xludf.DUMMYFUNCTION("""COMPUTED_VALUE"""),"PAID")</f>
        <v>PAID</v>
      </c>
      <c r="M164" s="1" t="str">
        <f>IFERROR(__xludf.DUMMYFUNCTION("""COMPUTED_VALUE"""),"POSTED")</f>
        <v>POSTED</v>
      </c>
      <c r="N164" s="1" t="str">
        <f>IFERROR(__xludf.DUMMYFUNCTION("""COMPUTED_VALUE"""),"9/5/2026")</f>
        <v>9/5/2026</v>
      </c>
      <c r="O164" s="1" t="str">
        <f>IFERROR(__xludf.DUMMYFUNCTION("""COMPUTED_VALUE"""),"RED_RS_HH_CVE_25")</f>
        <v>RED_RS_HH_CVE_25</v>
      </c>
      <c r="P164" s="1" t="str">
        <f>IFERROR(__xludf.DUMMYFUNCTION("""COMPUTED_VALUE"""),"RED FIBR 1400")</f>
        <v>RED FIBR 1400</v>
      </c>
      <c r="Q164" s="1" t="str">
        <f>IFERROR(__xludf.DUMMYFUNCTION("""COMPUTED_VALUE"""),"MMM018713")</f>
        <v>MMM018713</v>
      </c>
      <c r="R164" s="1" t="str">
        <f>IFERROR(__xludf.DUMMYFUNCTION("""COMPUTED_VALUE"""),"ALOS, CHARLS")</f>
        <v>ALOS, CHARLS</v>
      </c>
      <c r="S164" s="1" t="str">
        <f>IFERROR(__xludf.DUMMYFUNCTION("""COMPUTED_VALUE"""),"REMOLLO LEA")</f>
        <v>REMOLLO LEA</v>
      </c>
      <c r="T164" s="1" t="str">
        <f>IFERROR(__xludf.DUMMYFUNCTION("""COMPUTED_VALUE"""),"SALIOA JB")</f>
        <v>SALIOA JB</v>
      </c>
      <c r="U164" s="1"/>
      <c r="V164" s="1">
        <f>IFERROR(__xludf.DUMMYFUNCTION("""COMPUTED_VALUE"""),9958846690)</f>
        <v>9958846690</v>
      </c>
      <c r="W164" s="1"/>
      <c r="X164" s="1" t="str">
        <f>IFERROR(__xludf.DUMMYFUNCTION("""COMPUTED_VALUE"""),"339")</f>
        <v>339</v>
      </c>
      <c r="Y164" s="1" t="str">
        <f>IFERROR(__xludf.DUMMYFUNCTION("""COMPUTED_VALUE"""),"SALABAN RD")</f>
        <v>SALABAN RD</v>
      </c>
      <c r="Z164" s="1" t="str">
        <f>IFERROR(__xludf.DUMMYFUNCTION("""COMPUTED_VALUE"""),"TOMAGAN APARTMENT")</f>
        <v>TOMAGAN APARTMENT</v>
      </c>
      <c r="AA164" s="1" t="str">
        <f>IFERROR(__xludf.DUMMYFUNCTION("""COMPUTED_VALUE"""),"SALABAN")</f>
        <v>SALABAN</v>
      </c>
      <c r="AB164" s="1" t="str">
        <f>IFERROR(__xludf.DUMMYFUNCTION("""COMPUTED_VALUE"""),"AMADEO")</f>
        <v>AMADEO</v>
      </c>
      <c r="AC164" s="1" t="str">
        <f>IFERROR(__xludf.DUMMYFUNCTION("""COMPUTED_VALUE"""),"CVT2 LCP39 NAP1")</f>
        <v>CVT2 LCP39 NAP1</v>
      </c>
    </row>
    <row r="165" customHeight="1" spans="1:29">
      <c r="A165" s="3">
        <f>IFERROR(__xludf.DUMMYFUNCTION("""COMPUTED_VALUE"""),46267)</f>
        <v>46267</v>
      </c>
      <c r="B165" s="1" t="str">
        <f>IFERROR(__xludf.DUMMYFUNCTION("""COMPUTED_VALUE"""),"SEPTEMBER")</f>
        <v>SEPTEMBER</v>
      </c>
      <c r="C165" s="1" t="str">
        <f>IFERROR(__xludf.DUMMYFUNCTION("""COMPUTED_VALUE"""),"MARY GLENDA ABADILLA AURE")</f>
        <v>MARY GLENDA ABADILLA AURE</v>
      </c>
      <c r="D165" s="1" t="str">
        <f>IFERROR(__xludf.DUMMYFUNCTION("""COMPUTED_VALUE"""),"RITM0308846")</f>
        <v>RITM0308846</v>
      </c>
      <c r="E165" s="1"/>
      <c r="F165" s="1" t="str">
        <f>IFERROR(__xludf.DUMMYFUNCTION("""COMPUTED_VALUE"""),"5481324285")</f>
        <v>5481324285</v>
      </c>
      <c r="G165" s="1" t="str">
        <f>IFERROR(__xludf.DUMMYFUNCTION("""COMPUTED_VALUE"""),"glenda031822@gmail.com")</f>
        <v>glenda031822@gmail.com</v>
      </c>
      <c r="H165" s="1" t="str">
        <f>IFERROR(__xludf.DUMMYFUNCTION("""COMPUTED_VALUE"""),"CLOSED")</f>
        <v>CLOSED</v>
      </c>
      <c r="I165" s="1"/>
      <c r="J165" s="1"/>
      <c r="K165" s="1" t="str">
        <f>IFERROR(__xludf.DUMMYFUNCTION("""COMPUTED_VALUE"""),"PAID VIA GCASH REF 031326194 SEP 2")</f>
        <v>PAID VIA GCASH REF 031326194 SEP 2</v>
      </c>
      <c r="L165" s="1" t="str">
        <f>IFERROR(__xludf.DUMMYFUNCTION("""COMPUTED_VALUE"""),"PAID")</f>
        <v>PAID</v>
      </c>
      <c r="M165" s="1" t="str">
        <f>IFERROR(__xludf.DUMMYFUNCTION("""COMPUTED_VALUE"""),"POSTED")</f>
        <v>POSTED</v>
      </c>
      <c r="N165" s="1" t="str">
        <f>IFERROR(__xludf.DUMMYFUNCTION("""COMPUTED_VALUE"""),"9/6/2026")</f>
        <v>9/6/2026</v>
      </c>
      <c r="O165" s="1" t="str">
        <f>IFERROR(__xludf.DUMMYFUNCTION("""COMPUTED_VALUE"""),"RED_RS_ONL_CVE_25")</f>
        <v>RED_RS_ONL_CVE_25</v>
      </c>
      <c r="P165" s="1" t="str">
        <f>IFERROR(__xludf.DUMMYFUNCTION("""COMPUTED_VALUE"""),"RED FIBR 1000")</f>
        <v>RED FIBR 1000</v>
      </c>
      <c r="Q165" s="1" t="str">
        <f>IFERROR(__xludf.DUMMYFUNCTION("""COMPUTED_VALUE"""),"MMM018713")</f>
        <v>MMM018713</v>
      </c>
      <c r="R165" s="1" t="str">
        <f>IFERROR(__xludf.DUMMYFUNCTION("""COMPUTED_VALUE"""),"PEREZ. RONELL ")</f>
        <v>PEREZ. RONELL </v>
      </c>
      <c r="S165" s="1" t="str">
        <f>IFERROR(__xludf.DUMMYFUNCTION("""COMPUTED_VALUE"""),"GARCIA MICHAEL JETTS")</f>
        <v>GARCIA MICHAEL JETTS</v>
      </c>
      <c r="T165" s="1" t="str">
        <f>IFERROR(__xludf.DUMMYFUNCTION("""COMPUTED_VALUE"""),"SALIOA JB")</f>
        <v>SALIOA JB</v>
      </c>
      <c r="U165" s="1"/>
      <c r="V165" s="1">
        <f>IFERROR(__xludf.DUMMYFUNCTION("""COMPUTED_VALUE"""),9762375056)</f>
        <v>9762375056</v>
      </c>
      <c r="W165" s="1"/>
      <c r="X165" s="1" t="str">
        <f>IFERROR(__xludf.DUMMYFUNCTION("""COMPUTED_VALUE"""),"003-BL-004")</f>
        <v>003-BL-004</v>
      </c>
      <c r="Y165" s="1" t="str">
        <f>IFERROR(__xludf.DUMMYFUNCTION("""COMPUTED_VALUE"""),"HALAYHAY RD")</f>
        <v>HALAYHAY RD</v>
      </c>
      <c r="Z165" s="1"/>
      <c r="AA165" s="1" t="str">
        <f>IFERROR(__xludf.DUMMYFUNCTION("""COMPUTED_VALUE"""),"HALAYHAY")</f>
        <v>HALAYHAY</v>
      </c>
      <c r="AB165" s="1" t="str">
        <f>IFERROR(__xludf.DUMMYFUNCTION("""COMPUTED_VALUE"""),"TANZA")</f>
        <v>TANZA</v>
      </c>
      <c r="AC165" s="1"/>
    </row>
    <row r="166" customHeight="1" spans="1:29">
      <c r="A166" s="3">
        <f>IFERROR(__xludf.DUMMYFUNCTION("""COMPUTED_VALUE"""),46267)</f>
        <v>46267</v>
      </c>
      <c r="B166" s="1" t="str">
        <f>IFERROR(__xludf.DUMMYFUNCTION("""COMPUTED_VALUE"""),"SEPTEMBER")</f>
        <v>SEPTEMBER</v>
      </c>
      <c r="C166" s="1" t="str">
        <f>IFERROR(__xludf.DUMMYFUNCTION("""COMPUTED_VALUE"""),"CARLITO JOYA ALARCA")</f>
        <v>CARLITO JOYA ALARCA</v>
      </c>
      <c r="D166" s="1" t="str">
        <f>IFERROR(__xludf.DUMMYFUNCTION("""COMPUTED_VALUE"""),"RITM0308854 ")</f>
        <v>RITM0308854 </v>
      </c>
      <c r="E166" s="1"/>
      <c r="F166" s="1" t="str">
        <f>IFERROR(__xludf.DUMMYFUNCTION("""COMPUTED_VALUE"""),"2939273329")</f>
        <v>2939273329</v>
      </c>
      <c r="G166" s="1" t="str">
        <f>IFERROR(__xludf.DUMMYFUNCTION("""COMPUTED_VALUE"""),"maclarissasabandeja@gmail.com")</f>
        <v>maclarissasabandeja@gmail.com</v>
      </c>
      <c r="H166" s="1" t="str">
        <f>IFERROR(__xludf.DUMMYFUNCTION("""COMPUTED_VALUE"""),"CLOSED")</f>
        <v>CLOSED</v>
      </c>
      <c r="I166" s="1"/>
      <c r="J166" s="1"/>
      <c r="K166" s="1" t="str">
        <f>IFERROR(__xludf.DUMMYFUNCTION("""COMPUTED_VALUE"""),"SWITCHER PROMO")</f>
        <v>SWITCHER PROMO</v>
      </c>
      <c r="L166" s="1" t="str">
        <f>IFERROR(__xludf.DUMMYFUNCTION("""COMPUTED_VALUE"""),"PAID")</f>
        <v>PAID</v>
      </c>
      <c r="M166" s="1" t="str">
        <f>IFERROR(__xludf.DUMMYFUNCTION("""COMPUTED_VALUE"""),"POSTED")</f>
        <v>POSTED</v>
      </c>
      <c r="N166" s="1" t="str">
        <f>IFERROR(__xludf.DUMMYFUNCTION("""COMPUTED_VALUE"""),"9/4/2026")</f>
        <v>9/4/2026</v>
      </c>
      <c r="O166" s="1" t="str">
        <f>IFERROR(__xludf.DUMMYFUNCTION("""COMPUTED_VALUE"""),"RED_RS_ONL_CVE_25")</f>
        <v>RED_RS_ONL_CVE_25</v>
      </c>
      <c r="P166" s="1" t="str">
        <f>IFERROR(__xludf.DUMMYFUNCTION("""COMPUTED_VALUE"""),"SWITCHER PLAN 900")</f>
        <v>SWITCHER PLAN 900</v>
      </c>
      <c r="Q166" s="1" t="str">
        <f>IFERROR(__xludf.DUMMYFUNCTION("""COMPUTED_VALUE"""),"MMM018713")</f>
        <v>MMM018713</v>
      </c>
      <c r="R166" s="1" t="str">
        <f>IFERROR(__xludf.DUMMYFUNCTION("""COMPUTED_VALUE"""),"BONZA, LEE VINCENT")</f>
        <v>BONZA, LEE VINCENT</v>
      </c>
      <c r="S166" s="1" t="str">
        <f>IFERROR(__xludf.DUMMYFUNCTION("""COMPUTED_VALUE"""),"GARCIA MICHAEL JETTS")</f>
        <v>GARCIA MICHAEL JETTS</v>
      </c>
      <c r="T166" s="1" t="str">
        <f>IFERROR(__xludf.DUMMYFUNCTION("""COMPUTED_VALUE"""),"SALIOA JB")</f>
        <v>SALIOA JB</v>
      </c>
      <c r="U166" s="1"/>
      <c r="V166" s="1">
        <f>IFERROR(__xludf.DUMMYFUNCTION("""COMPUTED_VALUE"""),9164028555)</f>
        <v>9164028555</v>
      </c>
      <c r="W166" s="1"/>
      <c r="X166" s="1" t="str">
        <f>IFERROR(__xludf.DUMMYFUNCTION("""COMPUTED_VALUE"""),"014A")</f>
        <v>014A</v>
      </c>
      <c r="Y166" s="1" t="str">
        <f>IFERROR(__xludf.DUMMYFUNCTION("""COMPUTED_VALUE"""),"SAN ANTONIO ST")</f>
        <v>SAN ANTONIO ST</v>
      </c>
      <c r="Z166" s="1"/>
      <c r="AA166" s="1" t="str">
        <f>IFERROR(__xludf.DUMMYFUNCTION("""COMPUTED_VALUE"""),"BARANGAY III (POB.)")</f>
        <v>BARANGAY III (POB.)</v>
      </c>
      <c r="AB166" s="1" t="str">
        <f>IFERROR(__xludf.DUMMYFUNCTION("""COMPUTED_VALUE"""),"TANZA")</f>
        <v>TANZA</v>
      </c>
      <c r="AC166" s="1"/>
    </row>
    <row r="167" customHeight="1" spans="1:29">
      <c r="A167" s="3">
        <f>IFERROR(__xludf.DUMMYFUNCTION("""COMPUTED_VALUE"""),46269)</f>
        <v>46269</v>
      </c>
      <c r="B167" s="1" t="str">
        <f>IFERROR(__xludf.DUMMYFUNCTION("""COMPUTED_VALUE"""),"SEPTEMBER")</f>
        <v>SEPTEMBER</v>
      </c>
      <c r="C167" s="1" t="str">
        <f>IFERROR(__xludf.DUMMYFUNCTION("""COMPUTED_VALUE"""),"MARK ANTHON VILLAFLOR REYES")</f>
        <v>MARK ANTHON VILLAFLOR REYES</v>
      </c>
      <c r="D167" s="1" t="str">
        <f>IFERROR(__xludf.DUMMYFUNCTION("""COMPUTED_VALUE"""),"RITM0309104 ")</f>
        <v>RITM0309104 </v>
      </c>
      <c r="E167" s="1"/>
      <c r="F167" s="1"/>
      <c r="G167" s="1" t="str">
        <f>IFERROR(__xludf.DUMMYFUNCTION("""COMPUTED_VALUE"""),"preciousreyes0909@gmail.com")</f>
        <v>preciousreyes0909@gmail.com</v>
      </c>
      <c r="H167" s="1" t="str">
        <f>IFERROR(__xludf.DUMMYFUNCTION("""COMPUTED_VALUE"""),"APPROVED")</f>
        <v>APPROVED</v>
      </c>
      <c r="I167" s="1"/>
      <c r="J167" s="1" t="str">
        <f>IFERROR(__xludf.DUMMYFUNCTION("""COMPUTED_VALUE"""),"REENCODED - CHANGED EMAIL ADDRESS Fpreciousreyes0909@gmail.com TO Bombeye20@gmail.com DUE TO SUBS CANT RECEIVE EMAIL")</f>
        <v>REENCODED - CHANGED EMAIL ADDRESS Fpreciousreyes0909@gmail.com TO Bombeye20@gmail.com DUE TO SUBS CANT RECEIVE EMAIL</v>
      </c>
      <c r="K167" s="1"/>
      <c r="L167" s="1"/>
      <c r="M167" s="1" t="str">
        <f>IFERROR(__xludf.DUMMYFUNCTION("""COMPUTED_VALUE"""),"REENCODED")</f>
        <v>REENCODED</v>
      </c>
      <c r="N167" s="1"/>
      <c r="O167" s="1" t="str">
        <f>IFERROR(__xludf.DUMMYFUNCTION("""COMPUTED_VALUE"""),"RED_RS_ONL_CVE_25")</f>
        <v>RED_RS_ONL_CVE_25</v>
      </c>
      <c r="P167" s="1" t="str">
        <f>IFERROR(__xludf.DUMMYFUNCTION("""COMPUTED_VALUE"""),"RED FIBR 1000")</f>
        <v>RED FIBR 1000</v>
      </c>
      <c r="Q167" s="1" t="str">
        <f>IFERROR(__xludf.DUMMYFUNCTION("""COMPUTED_VALUE"""),"MMM018713")</f>
        <v>MMM018713</v>
      </c>
      <c r="R167" s="1" t="str">
        <f>IFERROR(__xludf.DUMMYFUNCTION("""COMPUTED_VALUE"""),"YOLANGCO, MARVIN")</f>
        <v>YOLANGCO, MARVIN</v>
      </c>
      <c r="S167" s="1" t="str">
        <f>IFERROR(__xludf.DUMMYFUNCTION("""COMPUTED_VALUE"""),"GARCIA MICHAEL JETTS")</f>
        <v>GARCIA MICHAEL JETTS</v>
      </c>
      <c r="T167" s="1" t="str">
        <f>IFERROR(__xludf.DUMMYFUNCTION("""COMPUTED_VALUE"""),"SALIOA JB")</f>
        <v>SALIOA JB</v>
      </c>
      <c r="U167" s="1"/>
      <c r="V167" s="1">
        <f>IFERROR(__xludf.DUMMYFUNCTION("""COMPUTED_VALUE"""),9914795229)</f>
        <v>9914795229</v>
      </c>
      <c r="W167" s="1"/>
      <c r="X167" s="1" t="str">
        <f>IFERROR(__xludf.DUMMYFUNCTION("""COMPUTED_VALUE"""),"1067")</f>
        <v>1067</v>
      </c>
      <c r="Y167" s="1" t="str">
        <f>IFERROR(__xludf.DUMMYFUNCTION("""COMPUTED_VALUE"""),"ERNESTO FOJAS ST")</f>
        <v>ERNESTO FOJAS ST</v>
      </c>
      <c r="Z167" s="1"/>
      <c r="AA167" s="1" t="str">
        <f>IFERROR(__xludf.DUMMYFUNCTION("""COMPUTED_VALUE"""),"SAHUD ULAN")</f>
        <v>SAHUD ULAN</v>
      </c>
      <c r="AB167" s="1" t="str">
        <f>IFERROR(__xludf.DUMMYFUNCTION("""COMPUTED_VALUE"""),"TANZA")</f>
        <v>TANZA</v>
      </c>
      <c r="AC167" s="1"/>
    </row>
    <row r="168" customHeight="1" spans="1:29">
      <c r="A168" s="3">
        <f>IFERROR(__xludf.DUMMYFUNCTION("""COMPUTED_VALUE"""),46269)</f>
        <v>46269</v>
      </c>
      <c r="B168" s="1" t="str">
        <f>IFERROR(__xludf.DUMMYFUNCTION("""COMPUTED_VALUE"""),"SEPTEMBER")</f>
        <v>SEPTEMBER</v>
      </c>
      <c r="C168" s="1" t="str">
        <f>IFERROR(__xludf.DUMMYFUNCTION("""COMPUTED_VALUE"""),"STATIC CREW CARS AND COFFEE")</f>
        <v>STATIC CREW CARS AND COFFEE</v>
      </c>
      <c r="D168" s="1" t="str">
        <f>IFERROR(__xludf.DUMMYFUNCTION("""COMPUTED_VALUE"""),"RITM0309133")</f>
        <v>RITM0309133</v>
      </c>
      <c r="E168" s="1"/>
      <c r="F168" s="1"/>
      <c r="G168" s="1" t="str">
        <f>IFERROR(__xludf.DUMMYFUNCTION("""COMPUTED_VALUE"""),"vincecarbonilla@gmail.com")</f>
        <v>vincecarbonilla@gmail.com</v>
      </c>
      <c r="H168" s="1" t="str">
        <f>IFERROR(__xludf.DUMMYFUNCTION("""COMPUTED_VALUE"""),"REJECTED")</f>
        <v>REJECTED</v>
      </c>
      <c r="I168" s="1"/>
      <c r="J168" s="1" t="str">
        <f>IFERROR(__xludf.DUMMYFUNCTION("""COMPUTED_VALUE"""),"REJECTED KINDLY INDICATE TIN NUMBER ON SAF (MSME APPLICATION) // KINDLY EDIT")</f>
        <v>REJECTED KINDLY INDICATE TIN NUMBER ON SAF (MSME APPLICATION) // KINDLY EDIT</v>
      </c>
      <c r="K168" s="1"/>
      <c r="L168" s="1"/>
      <c r="M168" s="1" t="str">
        <f>IFERROR(__xludf.DUMMYFUNCTION("""COMPUTED_VALUE"""),"REENCODED")</f>
        <v>REENCODED</v>
      </c>
      <c r="N168" s="1"/>
      <c r="O168" s="1" t="str">
        <f>IFERROR(__xludf.DUMMYFUNCTION("""COMPUTED_VALUE"""),"RED_RS_ONL_CVE_25")</f>
        <v>RED_RS_ONL_CVE_25</v>
      </c>
      <c r="P168" s="1" t="str">
        <f>IFERROR(__xludf.DUMMYFUNCTION("""COMPUTED_VALUE"""),"RED FIBR 1900")</f>
        <v>RED FIBR 1900</v>
      </c>
      <c r="Q168" s="1" t="str">
        <f>IFERROR(__xludf.DUMMYFUNCTION("""COMPUTED_VALUE"""),"MMM018713")</f>
        <v>MMM018713</v>
      </c>
      <c r="R168" s="1" t="str">
        <f>IFERROR(__xludf.DUMMYFUNCTION("""COMPUTED_VALUE"""),"YOLANGCO, MARVIN")</f>
        <v>YOLANGCO, MARVIN</v>
      </c>
      <c r="S168" s="1" t="str">
        <f>IFERROR(__xludf.DUMMYFUNCTION("""COMPUTED_VALUE"""),"GARCIA MICHAEL JETTS")</f>
        <v>GARCIA MICHAEL JETTS</v>
      </c>
      <c r="T168" s="1" t="str">
        <f>IFERROR(__xludf.DUMMYFUNCTION("""COMPUTED_VALUE"""),"SALIOA JB")</f>
        <v>SALIOA JB</v>
      </c>
      <c r="U168" s="1"/>
      <c r="V168" s="1">
        <f>IFERROR(__xludf.DUMMYFUNCTION("""COMPUTED_VALUE"""),9762407684)</f>
        <v>9762407684</v>
      </c>
      <c r="W168" s="1"/>
      <c r="X168" s="1" t="str">
        <f>IFERROR(__xludf.DUMMYFUNCTION("""COMPUTED_VALUE"""),"2ND FLOOR")</f>
        <v>2ND FLOOR</v>
      </c>
      <c r="Y168" s="1" t="str">
        <f>IFERROR(__xludf.DUMMYFUNCTION("""COMPUTED_VALUE"""),"ANTERO SORIANO HWY")</f>
        <v>ANTERO SORIANO HWY</v>
      </c>
      <c r="Z168" s="1" t="str">
        <f>IFERROR(__xludf.DUMMYFUNCTION("""COMPUTED_VALUE"""),"STATIC CREW CARS AND COFFEE")</f>
        <v>STATIC CREW CARS AND COFFEE</v>
      </c>
      <c r="AA168" s="1" t="str">
        <f>IFERROR(__xludf.DUMMYFUNCTION("""COMPUTED_VALUE"""),"AMAYA I")</f>
        <v>AMAYA I</v>
      </c>
      <c r="AB168" s="1" t="str">
        <f>IFERROR(__xludf.DUMMYFUNCTION("""COMPUTED_VALUE"""),"TANZA")</f>
        <v>TANZA</v>
      </c>
      <c r="AC168" s="1"/>
    </row>
    <row r="169" customHeight="1" spans="1:29">
      <c r="A169" s="3">
        <f>IFERROR(__xludf.DUMMYFUNCTION("""COMPUTED_VALUE"""),46269)</f>
        <v>46269</v>
      </c>
      <c r="B169" s="1" t="str">
        <f>IFERROR(__xludf.DUMMYFUNCTION("""COMPUTED_VALUE"""),"SEPTEMBER")</f>
        <v>SEPTEMBER</v>
      </c>
      <c r="C169" s="1" t="str">
        <f>IFERROR(__xludf.DUMMYFUNCTION("""COMPUTED_VALUE"""),"STATIC CREW CARS AND COFFEE")</f>
        <v>STATIC CREW CARS AND COFFEE</v>
      </c>
      <c r="D169" s="1" t="str">
        <f>IFERROR(__xludf.DUMMYFUNCTION("""COMPUTED_VALUE"""),"RITM0309152")</f>
        <v>RITM0309152</v>
      </c>
      <c r="E169" s="1"/>
      <c r="F169" s="1"/>
      <c r="G169" s="1" t="str">
        <f>IFERROR(__xludf.DUMMYFUNCTION("""COMPUTED_VALUE"""),"vincecarbonilla@gmail.com")</f>
        <v>vincecarbonilla@gmail.com</v>
      </c>
      <c r="H169" s="1" t="str">
        <f>IFERROR(__xludf.DUMMYFUNCTION("""COMPUTED_VALUE"""),"APPROVED")</f>
        <v>APPROVED</v>
      </c>
      <c r="I169" s="1"/>
      <c r="J169" s="1"/>
      <c r="K169" s="1"/>
      <c r="L169" s="1"/>
      <c r="M169" s="1" t="str">
        <f>IFERROR(__xludf.DUMMYFUNCTION("""COMPUTED_VALUE"""),"CANCEL RECREATE - FOR CHANGE EMAIL")</f>
        <v>CANCEL RECREATE - FOR CHANGE EMAIL</v>
      </c>
      <c r="N169" s="1"/>
      <c r="O169" s="1" t="str">
        <f>IFERROR(__xludf.DUMMYFUNCTION("""COMPUTED_VALUE"""),"RED_RS_ONL_CVE_25")</f>
        <v>RED_RS_ONL_CVE_25</v>
      </c>
      <c r="P169" s="1" t="str">
        <f>IFERROR(__xludf.DUMMYFUNCTION("""COMPUTED_VALUE"""),"RED FIBR 1900")</f>
        <v>RED FIBR 1900</v>
      </c>
      <c r="Q169" s="1" t="str">
        <f>IFERROR(__xludf.DUMMYFUNCTION("""COMPUTED_VALUE"""),"MMM018713")</f>
        <v>MMM018713</v>
      </c>
      <c r="R169" s="1" t="str">
        <f>IFERROR(__xludf.DUMMYFUNCTION("""COMPUTED_VALUE"""),"YOLANGCO, MARVIN")</f>
        <v>YOLANGCO, MARVIN</v>
      </c>
      <c r="S169" s="1" t="str">
        <f>IFERROR(__xludf.DUMMYFUNCTION("""COMPUTED_VALUE"""),"GARCIA MICHAEL JETTS")</f>
        <v>GARCIA MICHAEL JETTS</v>
      </c>
      <c r="T169" s="1" t="str">
        <f>IFERROR(__xludf.DUMMYFUNCTION("""COMPUTED_VALUE"""),"SALIOA JB")</f>
        <v>SALIOA JB</v>
      </c>
      <c r="U169" s="1"/>
      <c r="V169" s="1">
        <f>IFERROR(__xludf.DUMMYFUNCTION("""COMPUTED_VALUE"""),9762407684)</f>
        <v>9762407684</v>
      </c>
      <c r="W169" s="1"/>
      <c r="X169" s="1" t="str">
        <f>IFERROR(__xludf.DUMMYFUNCTION("""COMPUTED_VALUE"""),"2ND FLOOR")</f>
        <v>2ND FLOOR</v>
      </c>
      <c r="Y169" s="1" t="str">
        <f>IFERROR(__xludf.DUMMYFUNCTION("""COMPUTED_VALUE"""),"ANTERO SORIANO HWY")</f>
        <v>ANTERO SORIANO HWY</v>
      </c>
      <c r="Z169" s="1" t="str">
        <f>IFERROR(__xludf.DUMMYFUNCTION("""COMPUTED_VALUE"""),"STATIC CREW CARS AND COFFEE")</f>
        <v>STATIC CREW CARS AND COFFEE</v>
      </c>
      <c r="AA169" s="1" t="str">
        <f>IFERROR(__xludf.DUMMYFUNCTION("""COMPUTED_VALUE"""),"AMAYA I")</f>
        <v>AMAYA I</v>
      </c>
      <c r="AB169" s="1" t="str">
        <f>IFERROR(__xludf.DUMMYFUNCTION("""COMPUTED_VALUE"""),"TANZA")</f>
        <v>TANZA</v>
      </c>
      <c r="AC169" s="1"/>
    </row>
    <row r="170" customHeight="1" spans="1:29">
      <c r="A170" s="3">
        <f>IFERROR(__xludf.DUMMYFUNCTION("""COMPUTED_VALUE"""),46269)</f>
        <v>46269</v>
      </c>
      <c r="B170" s="1" t="str">
        <f>IFERROR(__xludf.DUMMYFUNCTION("""COMPUTED_VALUE"""),"SEPTEMBER")</f>
        <v>SEPTEMBER</v>
      </c>
      <c r="C170" s="1" t="str">
        <f>IFERROR(__xludf.DUMMYFUNCTION("""COMPUTED_VALUE"""),"MARK ANTHON VILLAFLOR REYES")</f>
        <v>MARK ANTHON VILLAFLOR REYES</v>
      </c>
      <c r="D170" s="1" t="str">
        <f>IFERROR(__xludf.DUMMYFUNCTION("""COMPUTED_VALUE"""),"RITM0309154")</f>
        <v>RITM0309154</v>
      </c>
      <c r="E170" s="1"/>
      <c r="F170" s="1" t="str">
        <f>IFERROR(__xludf.DUMMYFUNCTION("""COMPUTED_VALUE"""),"8179971330")</f>
        <v>8179971330</v>
      </c>
      <c r="G170" s="1" t="str">
        <f>IFERROR(__xludf.DUMMYFUNCTION("""COMPUTED_VALUE"""),"Bombeye20@gmail.com")</f>
        <v>Bombeye20@gmail.com</v>
      </c>
      <c r="H170" s="1" t="str">
        <f>IFERROR(__xludf.DUMMYFUNCTION("""COMPUTED_VALUE"""),"APPROVED")</f>
        <v>APPROVED</v>
      </c>
      <c r="I170" s="1" t="str">
        <f>IFERROR(__xludf.DUMMYFUNCTION("""COMPUTED_VALUE"""),"RWO - NAP AUGMENTATION")</f>
        <v>RWO - NAP AUGMENTATION</v>
      </c>
      <c r="J170" s="1" t="str">
        <f>IFERROR(__xludf.DUMMYFUNCTION("""COMPUTED_VALUE"""),"FOR REFUND")</f>
        <v>FOR REFUND</v>
      </c>
      <c r="K170" s="1" t="str">
        <f>IFERROR(__xludf.DUMMYFUNCTION("""COMPUTED_VALUE"""),"PAID VIA GCASH 953455824 SEP 4")</f>
        <v>PAID VIA GCASH 953455824 SEP 4</v>
      </c>
      <c r="L170" s="1" t="str">
        <f>IFERROR(__xludf.DUMMYFUNCTION("""COMPUTED_VALUE"""),"PAID")</f>
        <v>PAID</v>
      </c>
      <c r="M170" s="1" t="str">
        <f>IFERROR(__xludf.DUMMYFUNCTION("""COMPUTED_VALUE"""),"CANCELLED - RPR")</f>
        <v>CANCELLED - RPR</v>
      </c>
      <c r="N170" s="1"/>
      <c r="O170" s="1" t="str">
        <f>IFERROR(__xludf.DUMMYFUNCTION("""COMPUTED_VALUE"""),"RED_RS_ONL_CVE_25")</f>
        <v>RED_RS_ONL_CVE_25</v>
      </c>
      <c r="P170" s="1" t="str">
        <f>IFERROR(__xludf.DUMMYFUNCTION("""COMPUTED_VALUE"""),"RED FIBR 1000")</f>
        <v>RED FIBR 1000</v>
      </c>
      <c r="Q170" s="1" t="str">
        <f>IFERROR(__xludf.DUMMYFUNCTION("""COMPUTED_VALUE"""),"MMM018713")</f>
        <v>MMM018713</v>
      </c>
      <c r="R170" s="1" t="str">
        <f>IFERROR(__xludf.DUMMYFUNCTION("""COMPUTED_VALUE"""),"YOLANGCO, MARVIN")</f>
        <v>YOLANGCO, MARVIN</v>
      </c>
      <c r="S170" s="1" t="str">
        <f>IFERROR(__xludf.DUMMYFUNCTION("""COMPUTED_VALUE"""),"GARCIA MICHAEL JETTS")</f>
        <v>GARCIA MICHAEL JETTS</v>
      </c>
      <c r="T170" s="1" t="str">
        <f>IFERROR(__xludf.DUMMYFUNCTION("""COMPUTED_VALUE"""),"SALIOA JB")</f>
        <v>SALIOA JB</v>
      </c>
      <c r="U170" s="1"/>
      <c r="V170" s="1">
        <f>IFERROR(__xludf.DUMMYFUNCTION("""COMPUTED_VALUE"""),9914795229)</f>
        <v>9914795229</v>
      </c>
      <c r="W170" s="1"/>
      <c r="X170" s="1" t="str">
        <f>IFERROR(__xludf.DUMMYFUNCTION("""COMPUTED_VALUE"""),"1067")</f>
        <v>1067</v>
      </c>
      <c r="Y170" s="1" t="str">
        <f>IFERROR(__xludf.DUMMYFUNCTION("""COMPUTED_VALUE"""),"ERNESTO FOJAS ST")</f>
        <v>ERNESTO FOJAS ST</v>
      </c>
      <c r="Z170" s="1"/>
      <c r="AA170" s="1" t="str">
        <f>IFERROR(__xludf.DUMMYFUNCTION("""COMPUTED_VALUE"""),"SAHUD ULAN")</f>
        <v>SAHUD ULAN</v>
      </c>
      <c r="AB170" s="1" t="str">
        <f>IFERROR(__xludf.DUMMYFUNCTION("""COMPUTED_VALUE"""),"TANZA")</f>
        <v>TANZA</v>
      </c>
      <c r="AC170" s="1"/>
    </row>
    <row r="171" customHeight="1" spans="1:29">
      <c r="A171" s="3">
        <f>IFERROR(__xludf.DUMMYFUNCTION("""COMPUTED_VALUE"""),46269)</f>
        <v>46269</v>
      </c>
      <c r="B171" s="1" t="str">
        <f>IFERROR(__xludf.DUMMYFUNCTION("""COMPUTED_VALUE"""),"SEPTEMBER")</f>
        <v>SEPTEMBER</v>
      </c>
      <c r="C171" s="1" t="str">
        <f>IFERROR(__xludf.DUMMYFUNCTION("""COMPUTED_VALUE"""),"ARIEL CORTEIO LAMATA")</f>
        <v>ARIEL CORTEIO LAMATA</v>
      </c>
      <c r="D171" s="1" t="str">
        <f>IFERROR(__xludf.DUMMYFUNCTION("""COMPUTED_VALUE"""),"RITM0309156")</f>
        <v>RITM0309156</v>
      </c>
      <c r="E171" s="1"/>
      <c r="F171" s="1" t="str">
        <f>IFERROR(__xludf.DUMMYFUNCTION("""COMPUTED_VALUE"""),"8487125979")</f>
        <v>8487125979</v>
      </c>
      <c r="G171" s="1" t="str">
        <f>IFERROR(__xludf.DUMMYFUNCTION("""COMPUTED_VALUE"""),"ariel.amaya0802@gmail.com")</f>
        <v>ariel.amaya0802@gmail.com</v>
      </c>
      <c r="H171" s="1" t="str">
        <f>IFERROR(__xludf.DUMMYFUNCTION("""COMPUTED_VALUE"""),"CLOSED")</f>
        <v>CLOSED</v>
      </c>
      <c r="I171" s="1"/>
      <c r="J171" s="1"/>
      <c r="K171" s="1" t="str">
        <f>IFERROR(__xludf.DUMMYFUNCTION("""COMPUTED_VALUE"""),"PAID VIA GCASH REF 045310284 SEP 5")</f>
        <v>PAID VIA GCASH REF 045310284 SEP 5</v>
      </c>
      <c r="L171" s="1" t="str">
        <f>IFERROR(__xludf.DUMMYFUNCTION("""COMPUTED_VALUE"""),"PAID")</f>
        <v>PAID</v>
      </c>
      <c r="M171" s="1" t="str">
        <f>IFERROR(__xludf.DUMMYFUNCTION("""COMPUTED_VALUE"""),"POSTED")</f>
        <v>POSTED</v>
      </c>
      <c r="N171" s="1" t="str">
        <f>IFERROR(__xludf.DUMMYFUNCTION("""COMPUTED_VALUE"""),"9/7/2026")</f>
        <v>9/7/2026</v>
      </c>
      <c r="O171" s="1" t="str">
        <f>IFERROR(__xludf.DUMMYFUNCTION("""COMPUTED_VALUE"""),"RED_RS_ONL_CVE_25")</f>
        <v>RED_RS_ONL_CVE_25</v>
      </c>
      <c r="P171" s="1" t="str">
        <f>IFERROR(__xludf.DUMMYFUNCTION("""COMPUTED_VALUE"""),"RED FIBR 1400")</f>
        <v>RED FIBR 1400</v>
      </c>
      <c r="Q171" s="1" t="str">
        <f>IFERROR(__xludf.DUMMYFUNCTION("""COMPUTED_VALUE"""),"MMM018713")</f>
        <v>MMM018713</v>
      </c>
      <c r="R171" s="1" t="str">
        <f>IFERROR(__xludf.DUMMYFUNCTION("""COMPUTED_VALUE"""),"SANTOS, FRANZ IVAN")</f>
        <v>SANTOS, FRANZ IVAN</v>
      </c>
      <c r="S171" s="1" t="str">
        <f>IFERROR(__xludf.DUMMYFUNCTION("""COMPUTED_VALUE"""),"GARCIA MICHAEL JETTS")</f>
        <v>GARCIA MICHAEL JETTS</v>
      </c>
      <c r="T171" s="1" t="str">
        <f>IFERROR(__xludf.DUMMYFUNCTION("""COMPUTED_VALUE"""),"SALIOA JB")</f>
        <v>SALIOA JB</v>
      </c>
      <c r="U171" s="1"/>
      <c r="V171" s="1">
        <f>IFERROR(__xludf.DUMMYFUNCTION("""COMPUTED_VALUE"""),9307104936)</f>
        <v>9307104936</v>
      </c>
      <c r="W171" s="1">
        <f>IFERROR(__xludf.DUMMYFUNCTION("""COMPUTED_VALUE"""),9555692568)</f>
        <v>9555692568</v>
      </c>
      <c r="X171" s="1" t="str">
        <f>IFERROR(__xludf.DUMMYFUNCTION("""COMPUTED_VALUE"""),"514")</f>
        <v>514</v>
      </c>
      <c r="Y171" s="1" t="str">
        <f>IFERROR(__xludf.DUMMYFUNCTION("""COMPUTED_VALUE"""),"TRAMO ST")</f>
        <v>TRAMO ST</v>
      </c>
      <c r="Z171" s="1"/>
      <c r="AA171" s="1" t="str">
        <f>IFERROR(__xludf.DUMMYFUNCTION("""COMPUTED_VALUE"""),"HALAYHAY")</f>
        <v>HALAYHAY</v>
      </c>
      <c r="AB171" s="1" t="str">
        <f>IFERROR(__xludf.DUMMYFUNCTION("""COMPUTED_VALUE"""),"TANZA")</f>
        <v>TANZA</v>
      </c>
      <c r="AC171" s="1"/>
    </row>
    <row r="172" customHeight="1" spans="1:29">
      <c r="A172" s="3">
        <f>IFERROR(__xludf.DUMMYFUNCTION("""COMPUTED_VALUE"""),46269)</f>
        <v>46269</v>
      </c>
      <c r="B172" s="1" t="str">
        <f>IFERROR(__xludf.DUMMYFUNCTION("""COMPUTED_VALUE"""),"SEPTEMBER")</f>
        <v>SEPTEMBER</v>
      </c>
      <c r="C172" s="1" t="str">
        <f>IFERROR(__xludf.DUMMYFUNCTION("""COMPUTED_VALUE"""),"ROSENDO DAVID MORALES")</f>
        <v>ROSENDO DAVID MORALES</v>
      </c>
      <c r="D172" s="1" t="str">
        <f>IFERROR(__xludf.DUMMYFUNCTION("""COMPUTED_VALUE"""),"RITM0309163")</f>
        <v>RITM0309163</v>
      </c>
      <c r="E172" s="1"/>
      <c r="F172" s="1" t="str">
        <f>IFERROR(__xludf.DUMMYFUNCTION("""COMPUTED_VALUE"""),"3413874975")</f>
        <v>3413874975</v>
      </c>
      <c r="G172" s="1" t="str">
        <f>IFERROR(__xludf.DUMMYFUNCTION("""COMPUTED_VALUE"""),"rnnbiz0524@gmail.com")</f>
        <v>rnnbiz0524@gmail.com</v>
      </c>
      <c r="H172" s="1" t="str">
        <f>IFERROR(__xludf.DUMMYFUNCTION("""COMPUTED_VALUE"""),"CLOSED")</f>
        <v>CLOSED</v>
      </c>
      <c r="I172" s="1"/>
      <c r="J172" s="1"/>
      <c r="K172" s="1" t="str">
        <f>IFERROR(__xludf.DUMMYFUNCTION("""COMPUTED_VALUE"""),"PAID  PAYMENT REF RADI23708UKJWR18 SEP 4")</f>
        <v>PAID  PAYMENT REF RADI23708UKJWR18 SEP 4</v>
      </c>
      <c r="L172" s="1" t="str">
        <f>IFERROR(__xludf.DUMMYFUNCTION("""COMPUTED_VALUE"""),"PAID")</f>
        <v>PAID</v>
      </c>
      <c r="M172" s="1" t="str">
        <f>IFERROR(__xludf.DUMMYFUNCTION("""COMPUTED_VALUE"""),"POSTED")</f>
        <v>POSTED</v>
      </c>
      <c r="N172" s="1" t="str">
        <f>IFERROR(__xludf.DUMMYFUNCTION("""COMPUTED_VALUE"""),"9/6/2026")</f>
        <v>9/6/2026</v>
      </c>
      <c r="O172" s="1" t="str">
        <f>IFERROR(__xludf.DUMMYFUNCTION("""COMPUTED_VALUE"""),"RED_RS_ONL_CVE_25")</f>
        <v>RED_RS_ONL_CVE_25</v>
      </c>
      <c r="P172" s="1" t="str">
        <f>IFERROR(__xludf.DUMMYFUNCTION("""COMPUTED_VALUE"""),"RED FIBR 1000")</f>
        <v>RED FIBR 1000</v>
      </c>
      <c r="Q172" s="1" t="str">
        <f>IFERROR(__xludf.DUMMYFUNCTION("""COMPUTED_VALUE"""),"MMM018713")</f>
        <v>MMM018713</v>
      </c>
      <c r="R172" s="1" t="str">
        <f>IFERROR(__xludf.DUMMYFUNCTION("""COMPUTED_VALUE"""),"PEREZ. RONELL ")</f>
        <v>PEREZ. RONELL </v>
      </c>
      <c r="S172" s="1" t="str">
        <f>IFERROR(__xludf.DUMMYFUNCTION("""COMPUTED_VALUE"""),"GARCIA MICHAEL JETTS")</f>
        <v>GARCIA MICHAEL JETTS</v>
      </c>
      <c r="T172" s="1" t="str">
        <f>IFERROR(__xludf.DUMMYFUNCTION("""COMPUTED_VALUE"""),"SALIOA JB")</f>
        <v>SALIOA JB</v>
      </c>
      <c r="U172" s="1"/>
      <c r="V172" s="1">
        <f>IFERROR(__xludf.DUMMYFUNCTION("""COMPUTED_VALUE"""),9693391620)</f>
        <v>9693391620</v>
      </c>
      <c r="W172" s="1"/>
      <c r="X172" s="1" t="str">
        <f>IFERROR(__xludf.DUMMYFUNCTION("""COMPUTED_VALUE"""),"004-BL-007")</f>
        <v>004-BL-007</v>
      </c>
      <c r="Y172" s="1" t="str">
        <f>IFERROR(__xludf.DUMMYFUNCTION("""COMPUTED_VALUE"""),"REMULLA DRV")</f>
        <v>REMULLA DRV</v>
      </c>
      <c r="Z172" s="1"/>
      <c r="AA172" s="1" t="str">
        <f>IFERROR(__xludf.DUMMYFUNCTION("""COMPUTED_VALUE"""),"SAHUD ULAN")</f>
        <v>SAHUD ULAN</v>
      </c>
      <c r="AB172" s="1" t="str">
        <f>IFERROR(__xludf.DUMMYFUNCTION("""COMPUTED_VALUE"""),"TANZA")</f>
        <v>TANZA</v>
      </c>
      <c r="AC172" s="1"/>
    </row>
    <row r="173" customHeight="1" spans="1:29">
      <c r="A173" s="3">
        <f>IFERROR(__xludf.DUMMYFUNCTION("""COMPUTED_VALUE"""),46270)</f>
        <v>46270</v>
      </c>
      <c r="B173" s="1" t="str">
        <f>IFERROR(__xludf.DUMMYFUNCTION("""COMPUTED_VALUE"""),"SEPTEMBER")</f>
        <v>SEPTEMBER</v>
      </c>
      <c r="C173" s="1" t="str">
        <f>IFERROR(__xludf.DUMMYFUNCTION("""COMPUTED_VALUE"""),"CATHERINE TIBAYAN ALINSUNURIN")</f>
        <v>CATHERINE TIBAYAN ALINSUNURIN</v>
      </c>
      <c r="D173" s="1" t="str">
        <f>IFERROR(__xludf.DUMMYFUNCTION("""COMPUTED_VALUE"""),"RITM0309252")</f>
        <v>RITM0309252</v>
      </c>
      <c r="E173" s="1"/>
      <c r="F173" s="1" t="str">
        <f>IFERROR(__xludf.DUMMYFUNCTION("""COMPUTED_VALUE"""),"3983628913")</f>
        <v>3983628913</v>
      </c>
      <c r="G173" s="1" t="str">
        <f>IFERROR(__xludf.DUMMYFUNCTION("""COMPUTED_VALUE"""),"jaysieespinoalinsunurin@gmail.com")</f>
        <v>jaysieespinoalinsunurin@gmail.com</v>
      </c>
      <c r="H173" s="1" t="str">
        <f>IFERROR(__xludf.DUMMYFUNCTION("""COMPUTED_VALUE"""),"CLOSED")</f>
        <v>CLOSED</v>
      </c>
      <c r="I173" s="1"/>
      <c r="J173" s="1"/>
      <c r="K173" s="1" t="str">
        <f>IFERROR(__xludf.DUMMYFUNCTION("""COMPUTED_VALUE"""),"PAID THRU GCASH 32A2 15F3 2ECA SEP 5")</f>
        <v>PAID THRU GCASH 32A2 15F3 2ECA SEP 5</v>
      </c>
      <c r="L173" s="1" t="str">
        <f>IFERROR(__xludf.DUMMYFUNCTION("""COMPUTED_VALUE"""),"PAID")</f>
        <v>PAID</v>
      </c>
      <c r="M173" s="1" t="str">
        <f>IFERROR(__xludf.DUMMYFUNCTION("""COMPUTED_VALUE"""),"POSTED")</f>
        <v>POSTED</v>
      </c>
      <c r="N173" s="1" t="str">
        <f>IFERROR(__xludf.DUMMYFUNCTION("""COMPUTED_VALUE"""),"9/7/2026")</f>
        <v>9/7/2026</v>
      </c>
      <c r="O173" s="1" t="str">
        <f>IFERROR(__xludf.DUMMYFUNCTION("""COMPUTED_VALUE"""),"RED_RS_HH_CVE_25")</f>
        <v>RED_RS_HH_CVE_25</v>
      </c>
      <c r="P173" s="1" t="str">
        <f>IFERROR(__xludf.DUMMYFUNCTION("""COMPUTED_VALUE"""),"RED FIBR 1000")</f>
        <v>RED FIBR 1000</v>
      </c>
      <c r="Q173" s="1" t="str">
        <f>IFERROR(__xludf.DUMMYFUNCTION("""COMPUTED_VALUE"""),"MMM018711")</f>
        <v>MMM018711</v>
      </c>
      <c r="R173" s="1" t="str">
        <f>IFERROR(__xludf.DUMMYFUNCTION("""COMPUTED_VALUE"""),"ARENA, LYKA")</f>
        <v>ARENA, LYKA</v>
      </c>
      <c r="S173" s="1" t="str">
        <f>IFERROR(__xludf.DUMMYFUNCTION("""COMPUTED_VALUE"""),"REMOLLO LEA")</f>
        <v>REMOLLO LEA</v>
      </c>
      <c r="T173" s="1" t="str">
        <f>IFERROR(__xludf.DUMMYFUNCTION("""COMPUTED_VALUE"""),"SALIOA JB")</f>
        <v>SALIOA JB</v>
      </c>
      <c r="U173" s="1"/>
      <c r="V173" s="1">
        <f>IFERROR(__xludf.DUMMYFUNCTION("""COMPUTED_VALUE"""),9435633918)</f>
        <v>9435633918</v>
      </c>
      <c r="W173" s="1">
        <f>IFERROR(__xludf.DUMMYFUNCTION("""COMPUTED_VALUE"""),9074929717)</f>
        <v>9074929717</v>
      </c>
      <c r="X173" s="1" t="str">
        <f>IFERROR(__xludf.DUMMYFUNCTION("""COMPUTED_VALUE"""),"99")</f>
        <v>99</v>
      </c>
      <c r="Y173" s="1" t="str">
        <f>IFERROR(__xludf.DUMMYFUNCTION("""COMPUTED_VALUE"""),"OREGANO ST")</f>
        <v>OREGANO ST</v>
      </c>
      <c r="Z173" s="1" t="str">
        <f>IFERROR(__xludf.DUMMYFUNCTION("""COMPUTED_VALUE"""),"PUROK 6")</f>
        <v>PUROK 6</v>
      </c>
      <c r="AA173" s="1" t="str">
        <f>IFERROR(__xludf.DUMMYFUNCTION("""COMPUTED_VALUE"""),"ULAT")</f>
        <v>ULAT</v>
      </c>
      <c r="AB173" s="1" t="str">
        <f>IFERROR(__xludf.DUMMYFUNCTION("""COMPUTED_VALUE"""),"SILANG")</f>
        <v>SILANG</v>
      </c>
      <c r="AC173" s="1" t="str">
        <f>IFERROR(__xludf.DUMMYFUNCTION("""COMPUTED_VALUE"""),"CVT2 LCP37 NAP1")</f>
        <v>CVT2 LCP37 NAP1</v>
      </c>
    </row>
    <row r="174" customHeight="1" spans="1:29">
      <c r="A174" s="3">
        <f>IFERROR(__xludf.DUMMYFUNCTION("""COMPUTED_VALUE"""),46271)</f>
        <v>46271</v>
      </c>
      <c r="B174" s="1" t="str">
        <f>IFERROR(__xludf.DUMMYFUNCTION("""COMPUTED_VALUE"""),"SEPTEMBER")</f>
        <v>SEPTEMBER</v>
      </c>
      <c r="C174" s="1" t="str">
        <f>IFERROR(__xludf.DUMMYFUNCTION("""COMPUTED_VALUE"""),"PAULINO JR ETERNO BROÑOLA")</f>
        <v>PAULINO JR ETERNO BROÑOLA</v>
      </c>
      <c r="D174" s="1" t="str">
        <f>IFERROR(__xludf.DUMMYFUNCTION("""COMPUTED_VALUE"""),"RITM0309370")</f>
        <v>RITM0309370</v>
      </c>
      <c r="E174" s="1"/>
      <c r="F174" s="1"/>
      <c r="G174" s="1" t="str">
        <f>IFERROR(__xludf.DUMMYFUNCTION("""COMPUTED_VALUE"""),"paulinobronola7@gmail.com")</f>
        <v>paulinobronola7@gmail.com</v>
      </c>
      <c r="H174" s="1" t="str">
        <f>IFERROR(__xludf.DUMMYFUNCTION("""COMPUTED_VALUE"""),"APPROVED")</f>
        <v>APPROVED</v>
      </c>
      <c r="I174" s="1"/>
      <c r="J174" s="1" t="str">
        <f>IFERROR(__xludf.DUMMYFUNCTION("""COMPUTED_VALUE"""),"AS PER AGENT - mag cancel nalang daw po sila gawa gusto e install muna pero bago po yan paapplyin e na briefing na po yan ni tl nag bago lang po isip 9/11")</f>
        <v>AS PER AGENT - mag cancel nalang daw po sila gawa gusto e install muna pero bago po yan paapplyin e na briefing na po yan ni tl nag bago lang po isip 9/11</v>
      </c>
      <c r="K174" s="1"/>
      <c r="L174" s="1"/>
      <c r="M174" s="1" t="str">
        <f>IFERROR(__xludf.DUMMYFUNCTION("""COMPUTED_VALUE"""),"CANCELLED - SUBS CANCEL REQUEST")</f>
        <v>CANCELLED - SUBS CANCEL REQUEST</v>
      </c>
      <c r="N174" s="1"/>
      <c r="O174" s="1" t="str">
        <f>IFERROR(__xludf.DUMMYFUNCTION("""COMPUTED_VALUE"""),"RED_RS_ONL_CVE_25")</f>
        <v>RED_RS_ONL_CVE_25</v>
      </c>
      <c r="P174" s="1" t="str">
        <f>IFERROR(__xludf.DUMMYFUNCTION("""COMPUTED_VALUE"""),"RED FIBR 1000")</f>
        <v>RED FIBR 1000</v>
      </c>
      <c r="Q174" s="1" t="str">
        <f>IFERROR(__xludf.DUMMYFUNCTION("""COMPUTED_VALUE"""),"MMM018712")</f>
        <v>MMM018712</v>
      </c>
      <c r="R174" s="1" t="str">
        <f>IFERROR(__xludf.DUMMYFUNCTION("""COMPUTED_VALUE"""),"YOLANGCO, MARVIN")</f>
        <v>YOLANGCO, MARVIN</v>
      </c>
      <c r="S174" s="1" t="str">
        <f>IFERROR(__xludf.DUMMYFUNCTION("""COMPUTED_VALUE"""),"GARCIA MICHAEL JETTS")</f>
        <v>GARCIA MICHAEL JETTS</v>
      </c>
      <c r="T174" s="1" t="str">
        <f>IFERROR(__xludf.DUMMYFUNCTION("""COMPUTED_VALUE"""),"ESPIRITU JULIE")</f>
        <v>ESPIRITU JULIE</v>
      </c>
      <c r="U174" s="1"/>
      <c r="V174" s="1">
        <f>IFERROR(__xludf.DUMMYFUNCTION("""COMPUTED_VALUE"""),9399503350)</f>
        <v>9399503350</v>
      </c>
      <c r="W174" s="1"/>
      <c r="X174" s="1" t="str">
        <f>IFERROR(__xludf.DUMMYFUNCTION("""COMPUTED_VALUE"""),"BLK 4 LOT 15")</f>
        <v>BLK 4 LOT 15</v>
      </c>
      <c r="Y174" s="1" t="str">
        <f>IFERROR(__xludf.DUMMYFUNCTION("""COMPUTED_VALUE"""),"PHASE B")</f>
        <v>PHASE B</v>
      </c>
      <c r="Z174" s="1" t="str">
        <f>IFERROR(__xludf.DUMMYFUNCTION("""COMPUTED_VALUE"""),"PEARL RESIDENCES")</f>
        <v>PEARL RESIDENCES</v>
      </c>
      <c r="AA174" s="1" t="str">
        <f>IFERROR(__xludf.DUMMYFUNCTION("""COMPUTED_VALUE"""),"CAPIPISA")</f>
        <v>CAPIPISA</v>
      </c>
      <c r="AB174" s="1" t="str">
        <f>IFERROR(__xludf.DUMMYFUNCTION("""COMPUTED_VALUE"""),"TANZA")</f>
        <v>TANZA</v>
      </c>
      <c r="AC174" s="1" t="str">
        <f>IFERROR(__xludf.DUMMYFUNCTION("""COMPUTED_VALUE""")," ")</f>
        <v> </v>
      </c>
    </row>
    <row r="175" customHeight="1" spans="1:29">
      <c r="A175" s="3">
        <f>IFERROR(__xludf.DUMMYFUNCTION("""COMPUTED_VALUE"""),46272)</f>
        <v>46272</v>
      </c>
      <c r="B175" s="1" t="str">
        <f>IFERROR(__xludf.DUMMYFUNCTION("""COMPUTED_VALUE"""),"SEPTEMBER")</f>
        <v>SEPTEMBER</v>
      </c>
      <c r="C175" s="1" t="str">
        <f>IFERROR(__xludf.DUMMYFUNCTION("""COMPUTED_VALUE"""),"CECILIA PRENDON MAGAT")</f>
        <v>CECILIA PRENDON MAGAT</v>
      </c>
      <c r="D175" s="1" t="str">
        <f>IFERROR(__xludf.DUMMYFUNCTION("""COMPUTED_VALUE"""),"RITM0309500")</f>
        <v>RITM0309500</v>
      </c>
      <c r="E175" s="1"/>
      <c r="F175" s="1" t="str">
        <f>IFERROR(__xludf.DUMMYFUNCTION("""COMPUTED_VALUE"""),"7316558416")</f>
        <v>7316558416</v>
      </c>
      <c r="G175" s="1" t="str">
        <f>IFERROR(__xludf.DUMMYFUNCTION("""COMPUTED_VALUE"""),"ceciliamagat123@gmail.com")</f>
        <v>ceciliamagat123@gmail.com</v>
      </c>
      <c r="H175" s="1" t="str">
        <f>IFERROR(__xludf.DUMMYFUNCTION("""COMPUTED_VALUE"""),"APPROVED")</f>
        <v>APPROVED</v>
      </c>
      <c r="I175" s="1"/>
      <c r="J175" s="1"/>
      <c r="K175" s="1"/>
      <c r="L175" s="1"/>
      <c r="M175" s="1" t="str">
        <f>IFERROR(__xludf.DUMMYFUNCTION("""COMPUTED_VALUE"""),"CANCELLED - FOR PAYMENT - AUTO AGING")</f>
        <v>CANCELLED - FOR PAYMENT - AUTO AGING</v>
      </c>
      <c r="N175" s="1"/>
      <c r="O175" s="1" t="str">
        <f>IFERROR(__xludf.DUMMYFUNCTION("""COMPUTED_VALUE"""),"RED_RS_ONL_CVE_25")</f>
        <v>RED_RS_ONL_CVE_25</v>
      </c>
      <c r="P175" s="1" t="str">
        <f>IFERROR(__xludf.DUMMYFUNCTION("""COMPUTED_VALUE"""),"RED FIBR 1000")</f>
        <v>RED FIBR 1000</v>
      </c>
      <c r="Q175" s="1" t="str">
        <f>IFERROR(__xludf.DUMMYFUNCTION("""COMPUTED_VALUE"""),"MMM018711")</f>
        <v>MMM018711</v>
      </c>
      <c r="R175" s="1" t="str">
        <f>IFERROR(__xludf.DUMMYFUNCTION("""COMPUTED_VALUE"""),"YOLANGCO, JOJO")</f>
        <v>YOLANGCO, JOJO</v>
      </c>
      <c r="S175" s="1" t="str">
        <f>IFERROR(__xludf.DUMMYFUNCTION("""COMPUTED_VALUE"""),"GARCIA MICHAEL JETTS")</f>
        <v>GARCIA MICHAEL JETTS</v>
      </c>
      <c r="T175" s="1" t="str">
        <f>IFERROR(__xludf.DUMMYFUNCTION("""COMPUTED_VALUE"""),"ESPIRITU JULIE")</f>
        <v>ESPIRITU JULIE</v>
      </c>
      <c r="U175" s="1"/>
      <c r="V175" s="1">
        <f>IFERROR(__xludf.DUMMYFUNCTION("""COMPUTED_VALUE"""),9681257487)</f>
        <v>9681257487</v>
      </c>
      <c r="W175" s="1"/>
      <c r="X175" s="1" t="str">
        <f>IFERROR(__xludf.DUMMYFUNCTION("""COMPUTED_VALUE"""),"BLK 20 LOT 46")</f>
        <v>BLK 20 LOT 46</v>
      </c>
      <c r="Y175" s="1" t="str">
        <f>IFERROR(__xludf.DUMMYFUNCTION("""COMPUTED_VALUE"""),"24TH ST")</f>
        <v>24TH ST</v>
      </c>
      <c r="Z175" s="1" t="str">
        <f>IFERROR(__xludf.DUMMYFUNCTION("""COMPUTED_VALUE"""),"THE ISTANA PHASE B SUBDIVISION")</f>
        <v>THE ISTANA PHASE B SUBDIVISION</v>
      </c>
      <c r="AA175" s="1" t="str">
        <f>IFERROR(__xludf.DUMMYFUNCTION("""COMPUTED_VALUE"""),"BIGA")</f>
        <v>BIGA</v>
      </c>
      <c r="AB175" s="1" t="str">
        <f>IFERROR(__xludf.DUMMYFUNCTION("""COMPUTED_VALUE"""),"TANZA")</f>
        <v>TANZA</v>
      </c>
      <c r="AC175" s="1"/>
    </row>
    <row r="176" customHeight="1" spans="1:29">
      <c r="A176" s="3">
        <f>IFERROR(__xludf.DUMMYFUNCTION("""COMPUTED_VALUE"""),46272)</f>
        <v>46272</v>
      </c>
      <c r="B176" s="1" t="str">
        <f>IFERROR(__xludf.DUMMYFUNCTION("""COMPUTED_VALUE"""),"SEPTEMBER")</f>
        <v>SEPTEMBER</v>
      </c>
      <c r="C176" s="1" t="str">
        <f>IFERROR(__xludf.DUMMYFUNCTION("""COMPUTED_VALUE"""),"PRINCESS ANGELICA BAYA PIÑERO")</f>
        <v>PRINCESS ANGELICA BAYA PIÑERO</v>
      </c>
      <c r="D176" s="1" t="str">
        <f>IFERROR(__xludf.DUMMYFUNCTION("""COMPUTED_VALUE"""),"RITM0309543")</f>
        <v>RITM0309543</v>
      </c>
      <c r="E176" s="1"/>
      <c r="F176" s="1" t="str">
        <f>IFERROR(__xludf.DUMMYFUNCTION("""COMPUTED_VALUE"""),"5678496796")</f>
        <v>5678496796</v>
      </c>
      <c r="G176" s="1" t="str">
        <f>IFERROR(__xludf.DUMMYFUNCTION("""COMPUTED_VALUE"""),"pineroangel688@gmail.com")</f>
        <v>pineroangel688@gmail.com</v>
      </c>
      <c r="H176" s="1" t="str">
        <f>IFERROR(__xludf.DUMMYFUNCTION("""COMPUTED_VALUE"""),"CLOSED")</f>
        <v>CLOSED</v>
      </c>
      <c r="I176" s="1"/>
      <c r="J176" s="1"/>
      <c r="K176" s="1" t="str">
        <f>IFERROR(__xludf.DUMMYFUNCTION("""COMPUTED_VALUE"""),"PAID THRU GCASG REF 064448882")</f>
        <v>PAID THRU GCASG REF 064448882</v>
      </c>
      <c r="L176" s="1" t="str">
        <f>IFERROR(__xludf.DUMMYFUNCTION("""COMPUTED_VALUE"""),"PAID")</f>
        <v>PAID</v>
      </c>
      <c r="M176" s="1" t="str">
        <f>IFERROR(__xludf.DUMMYFUNCTION("""COMPUTED_VALUE"""),"POSTED")</f>
        <v>POSTED</v>
      </c>
      <c r="N176" s="1" t="str">
        <f>IFERROR(__xludf.DUMMYFUNCTION("""COMPUTED_VALUE"""),"09/11/2026")</f>
        <v>09/11/2026</v>
      </c>
      <c r="O176" s="1" t="str">
        <f>IFERROR(__xludf.DUMMYFUNCTION("""COMPUTED_VALUE"""),"RED_RS_ONL_CVE_25")</f>
        <v>RED_RS_ONL_CVE_25</v>
      </c>
      <c r="P176" s="1" t="str">
        <f>IFERROR(__xludf.DUMMYFUNCTION("""COMPUTED_VALUE"""),"RED FIBR 1000")</f>
        <v>RED FIBR 1000</v>
      </c>
      <c r="Q176" s="1" t="str">
        <f>IFERROR(__xludf.DUMMYFUNCTION("""COMPUTED_VALUE"""),"MMM018711")</f>
        <v>MMM018711</v>
      </c>
      <c r="R176" s="1" t="str">
        <f>IFERROR(__xludf.DUMMYFUNCTION("""COMPUTED_VALUE"""),"DEL ROSARIO. MIGGY LENARD")</f>
        <v>DEL ROSARIO. MIGGY LENARD</v>
      </c>
      <c r="S176" s="1" t="str">
        <f>IFERROR(__xludf.DUMMYFUNCTION("""COMPUTED_VALUE"""),"GARCIA MICHAEL JETTS")</f>
        <v>GARCIA MICHAEL JETTS</v>
      </c>
      <c r="T176" s="1" t="str">
        <f>IFERROR(__xludf.DUMMYFUNCTION("""COMPUTED_VALUE"""),"ESPIRITU JULIE")</f>
        <v>ESPIRITU JULIE</v>
      </c>
      <c r="U176" s="1"/>
      <c r="V176" s="1">
        <f>IFERROR(__xludf.DUMMYFUNCTION("""COMPUTED_VALUE"""),9393819651)</f>
        <v>9393819651</v>
      </c>
      <c r="W176" s="1"/>
      <c r="X176" s="1" t="str">
        <f>IFERROR(__xludf.DUMMYFUNCTION("""COMPUTED_VALUE"""),"BLK 21 LOT 5")</f>
        <v>BLK 21 LOT 5</v>
      </c>
      <c r="Y176" s="1" t="str">
        <f>IFERROR(__xludf.DUMMYFUNCTION("""COMPUTED_VALUE"""),"PHASE A")</f>
        <v>PHASE A</v>
      </c>
      <c r="Z176" s="1" t="str">
        <f>IFERROR(__xludf.DUMMYFUNCTION("""COMPUTED_VALUE"""),"THE ISTANA SUBDIVISION")</f>
        <v>THE ISTANA SUBDIVISION</v>
      </c>
      <c r="AA176" s="1" t="str">
        <f>IFERROR(__xludf.DUMMYFUNCTION("""COMPUTED_VALUE"""),"AMAYA II")</f>
        <v>AMAYA II</v>
      </c>
      <c r="AB176" s="1" t="str">
        <f>IFERROR(__xludf.DUMMYFUNCTION("""COMPUTED_VALUE"""),"TANZA")</f>
        <v>TANZA</v>
      </c>
      <c r="AC176" s="1"/>
    </row>
    <row r="177" customHeight="1" spans="1:29">
      <c r="A177" s="3">
        <f>IFERROR(__xludf.DUMMYFUNCTION("""COMPUTED_VALUE"""),46273)</f>
        <v>46273</v>
      </c>
      <c r="B177" s="1" t="str">
        <f>IFERROR(__xludf.DUMMYFUNCTION("""COMPUTED_VALUE"""),"SEPTEMBER")</f>
        <v>SEPTEMBER</v>
      </c>
      <c r="C177" s="1" t="str">
        <f>IFERROR(__xludf.DUMMYFUNCTION("""COMPUTED_VALUE"""),"CRISANTO SUNGA NACOR")</f>
        <v>CRISANTO SUNGA NACOR</v>
      </c>
      <c r="D177" s="1" t="str">
        <f>IFERROR(__xludf.DUMMYFUNCTION("""COMPUTED_VALUE"""),"RITM0309683")</f>
        <v>RITM0309683</v>
      </c>
      <c r="E177" s="1"/>
      <c r="F177" s="1" t="str">
        <f>IFERROR(__xludf.DUMMYFUNCTION("""COMPUTED_VALUE"""),"6811629664")</f>
        <v>6811629664</v>
      </c>
      <c r="G177" s="1" t="str">
        <f>IFERROR(__xludf.DUMMYFUNCTION("""COMPUTED_VALUE"""),"johnerick.bermundo.ge2019@gmail.com")</f>
        <v>johnerick.bermundo.ge2019@gmail.com</v>
      </c>
      <c r="H177" s="1" t="str">
        <f>IFERROR(__xludf.DUMMYFUNCTION("""COMPUTED_VALUE"""),"APPROVED")</f>
        <v>APPROVED</v>
      </c>
      <c r="I177" s="1" t="str">
        <f>IFERROR(__xludf.DUMMYFUNCTION("""COMPUTED_VALUE"""),"NO NEAREST FACILITIES")</f>
        <v>NO NEAREST FACILITIES</v>
      </c>
      <c r="J177" s="1" t="str">
        <f>IFERROR(__xludf.DUMMYFUNCTION("""COMPUTED_VALUE"""),"FOR REFUND")</f>
        <v>FOR REFUND</v>
      </c>
      <c r="K177" s="1" t="str">
        <f>IFERROR(__xludf.DUMMYFUNCTION("""COMPUTED_VALUE"""),"PAID THRU GCASH REF 966511100 SEP 8")</f>
        <v>PAID THRU GCASH REF 966511100 SEP 8</v>
      </c>
      <c r="L177" s="1" t="str">
        <f>IFERROR(__xludf.DUMMYFUNCTION("""COMPUTED_VALUE"""),"PAID")</f>
        <v>PAID</v>
      </c>
      <c r="M177" s="1" t="str">
        <f>IFERROR(__xludf.DUMMYFUNCTION("""COMPUTED_VALUE"""),"CANCELLED - NO FACILITY")</f>
        <v>CANCELLED - NO FACILITY</v>
      </c>
      <c r="N177" s="1"/>
      <c r="O177" s="1" t="str">
        <f>IFERROR(__xludf.DUMMYFUNCTION("""COMPUTED_VALUE"""),"RED_RS_ONL_CVE_25")</f>
        <v>RED_RS_ONL_CVE_25</v>
      </c>
      <c r="P177" s="1" t="str">
        <f>IFERROR(__xludf.DUMMYFUNCTION("""COMPUTED_VALUE"""),"RED FIBR 1000")</f>
        <v>RED FIBR 1000</v>
      </c>
      <c r="Q177" s="1" t="str">
        <f>IFERROR(__xludf.DUMMYFUNCTION("""COMPUTED_VALUE"""),"MMM018709")</f>
        <v>MMM018709</v>
      </c>
      <c r="R177" s="1" t="str">
        <f>IFERROR(__xludf.DUMMYFUNCTION("""COMPUTED_VALUE"""),"MORADOS, MARVIN")</f>
        <v>MORADOS, MARVIN</v>
      </c>
      <c r="S177" s="1" t="str">
        <f>IFERROR(__xludf.DUMMYFUNCTION("""COMPUTED_VALUE"""),"GARCIA MICHAEL JETTS")</f>
        <v>GARCIA MICHAEL JETTS</v>
      </c>
      <c r="T177" s="1" t="str">
        <f>IFERROR(__xludf.DUMMYFUNCTION("""COMPUTED_VALUE"""),"ESPIRITU JULIE")</f>
        <v>ESPIRITU JULIE</v>
      </c>
      <c r="U177" s="1"/>
      <c r="V177" s="1">
        <f>IFERROR(__xludf.DUMMYFUNCTION("""COMPUTED_VALUE"""),9324427274)</f>
        <v>9324427274</v>
      </c>
      <c r="W177" s="1"/>
      <c r="X177" s="1" t="str">
        <f>IFERROR(__xludf.DUMMYFUNCTION("""COMPUTED_VALUE"""),"BLK 103 LOT 43")</f>
        <v>BLK 103 LOT 43</v>
      </c>
      <c r="Y177" s="1" t="str">
        <f>IFERROR(__xludf.DUMMYFUNCTION("""COMPUTED_VALUE"""),"PHASE 1")</f>
        <v>PHASE 1</v>
      </c>
      <c r="Z177" s="1" t="str">
        <f>IFERROR(__xludf.DUMMYFUNCTION("""COMPUTED_VALUE"""),"GOLDEN HORIZON")</f>
        <v>GOLDEN HORIZON</v>
      </c>
      <c r="AA177" s="1" t="str">
        <f>IFERROR(__xludf.DUMMYFUNCTION("""COMPUTED_VALUE"""),"PEREZ (LUCBANAN)")</f>
        <v>PEREZ (LUCBANAN)</v>
      </c>
      <c r="AB177" s="1" t="str">
        <f>IFERROR(__xludf.DUMMYFUNCTION("""COMPUTED_VALUE"""),"TRECE MARTIRES")</f>
        <v>TRECE MARTIRES</v>
      </c>
      <c r="AC177" s="1" t="str">
        <f>IFERROR(__xludf.DUMMYFUNCTION("""COMPUTED_VALUE"""),"CVT4 LCP1 NP1-6")</f>
        <v>CVT4 LCP1 NP1-6</v>
      </c>
    </row>
    <row r="178" customHeight="1" spans="1:29">
      <c r="A178" s="3">
        <f>IFERROR(__xludf.DUMMYFUNCTION("""COMPUTED_VALUE"""),46274)</f>
        <v>46274</v>
      </c>
      <c r="B178" s="1" t="str">
        <f>IFERROR(__xludf.DUMMYFUNCTION("""COMPUTED_VALUE"""),"SEPTEMBER")</f>
        <v>SEPTEMBER</v>
      </c>
      <c r="C178" s="1" t="str">
        <f>IFERROR(__xludf.DUMMYFUNCTION("""COMPUTED_VALUE"""),"ANGELO CHRIS DE GUIA BORJA")</f>
        <v>ANGELO CHRIS DE GUIA BORJA</v>
      </c>
      <c r="D178" s="1" t="str">
        <f>IFERROR(__xludf.DUMMYFUNCTION("""COMPUTED_VALUE"""),"RITM0309774")</f>
        <v>RITM0309774</v>
      </c>
      <c r="E178" s="1"/>
      <c r="F178" s="1"/>
      <c r="G178" s="1" t="str">
        <f>IFERROR(__xludf.DUMMYFUNCTION("""COMPUTED_VALUE"""),"geloborja1@gmail.com")</f>
        <v>geloborja1@gmail.com</v>
      </c>
      <c r="H178" s="1" t="str">
        <f>IFERROR(__xludf.DUMMYFUNCTION("""COMPUTED_VALUE"""),"REJECTED")</f>
        <v>REJECTED</v>
      </c>
      <c r="I178" s="1" t="str">
        <f>IFERROR(__xludf.DUMMYFUNCTION("""COMPUTED_VALUE"""),"NO NEAREST FACILITY // KINDLY ATTACH LCP NAP ID")</f>
        <v>NO NEAREST FACILITY // KINDLY ATTACH LCP NAP ID</v>
      </c>
      <c r="J178" s="1"/>
      <c r="K178" s="1"/>
      <c r="L178" s="1"/>
      <c r="M178" s="1"/>
      <c r="N178" s="1"/>
      <c r="O178" s="1" t="str">
        <f>IFERROR(__xludf.DUMMYFUNCTION("""COMPUTED_VALUE"""),"RED_RS_ONL_CVE_25")</f>
        <v>RED_RS_ONL_CVE_25</v>
      </c>
      <c r="P178" s="1" t="str">
        <f>IFERROR(__xludf.DUMMYFUNCTION("""COMPUTED_VALUE"""),"RED FIBR 1000")</f>
        <v>RED FIBR 1000</v>
      </c>
      <c r="Q178" s="1" t="str">
        <f>IFERROR(__xludf.DUMMYFUNCTION("""COMPUTED_VALUE"""),"MMM018713")</f>
        <v>MMM018713</v>
      </c>
      <c r="R178" s="1" t="str">
        <f>IFERROR(__xludf.DUMMYFUNCTION("""COMPUTED_VALUE"""),"YOLANGCO, MARVIN")</f>
        <v>YOLANGCO, MARVIN</v>
      </c>
      <c r="S178" s="1" t="str">
        <f>IFERROR(__xludf.DUMMYFUNCTION("""COMPUTED_VALUE"""),"GARCIA MICHAEL JETTS")</f>
        <v>GARCIA MICHAEL JETTS</v>
      </c>
      <c r="T178" s="1" t="str">
        <f>IFERROR(__xludf.DUMMYFUNCTION("""COMPUTED_VALUE"""),"SALIOA JB")</f>
        <v>SALIOA JB</v>
      </c>
      <c r="U178" s="1"/>
      <c r="V178" s="1">
        <f>IFERROR(__xludf.DUMMYFUNCTION("""COMPUTED_VALUE"""),9616192661)</f>
        <v>9616192661</v>
      </c>
      <c r="W178" s="1">
        <f>IFERROR(__xludf.DUMMYFUNCTION("""COMPUTED_VALUE"""),9606807326)</f>
        <v>9606807326</v>
      </c>
      <c r="X178" s="1" t="str">
        <f>IFERROR(__xludf.DUMMYFUNCTION("""COMPUTED_VALUE"""),"021-BL-022")</f>
        <v>021-BL-022</v>
      </c>
      <c r="Y178" s="1" t="str">
        <f>IFERROR(__xludf.DUMMYFUNCTION("""COMPUTED_VALUE"""),"TUNGKULIN ST")</f>
        <v>TUNGKULIN ST</v>
      </c>
      <c r="Z178" s="1" t="str">
        <f>IFERROR(__xludf.DUMMYFUNCTION("""COMPUTED_VALUE"""),"PHASE 2")</f>
        <v>PHASE 2</v>
      </c>
      <c r="AA178" s="1" t="str">
        <f>IFERROR(__xludf.DUMMYFUNCTION("""COMPUTED_VALUE"""),"MUZON")</f>
        <v>MUZON</v>
      </c>
      <c r="AB178" s="1" t="str">
        <f>IFERROR(__xludf.DUMMYFUNCTION("""COMPUTED_VALUE"""),"NAIC")</f>
        <v>NAIC</v>
      </c>
      <c r="AC178" s="1"/>
    </row>
    <row r="179" customHeight="1" spans="1:29">
      <c r="A179" s="3">
        <f>IFERROR(__xludf.DUMMYFUNCTION("""COMPUTED_VALUE"""),46274)</f>
        <v>46274</v>
      </c>
      <c r="B179" s="1" t="str">
        <f>IFERROR(__xludf.DUMMYFUNCTION("""COMPUTED_VALUE"""),"SEPTEMBER")</f>
        <v>SEPTEMBER</v>
      </c>
      <c r="C179" s="1" t="str">
        <f>IFERROR(__xludf.DUMMYFUNCTION("""COMPUTED_VALUE"""),"ANSELMA DE CASTRO ONDO")</f>
        <v>ANSELMA DE CASTRO ONDO</v>
      </c>
      <c r="D179" s="1" t="str">
        <f>IFERROR(__xludf.DUMMYFUNCTION("""COMPUTED_VALUE"""),"RITM0309837")</f>
        <v>RITM0309837</v>
      </c>
      <c r="E179" s="1"/>
      <c r="F179" s="1"/>
      <c r="G179" s="1" t="str">
        <f>IFERROR(__xludf.DUMMYFUNCTION("""COMPUTED_VALUE"""),"romerokimberly150310@gmail.com")</f>
        <v>romerokimberly150310@gmail.com</v>
      </c>
      <c r="H179" s="1" t="str">
        <f>IFERROR(__xludf.DUMMYFUNCTION("""COMPUTED_VALUE"""),"REJECTED")</f>
        <v>REJECTED</v>
      </c>
      <c r="I179" s="1" t="str">
        <f>IFERROR(__xludf.DUMMYFUNCTION("""COMPUTED_VALUE"""),"FOUND NO DATE ON POID CERTIFICATION // NO NEAREST FACILITY // KINDLY ATTACH LCP NAP ID")</f>
        <v>FOUND NO DATE ON POID CERTIFICATION // NO NEAREST FACILITY // KINDLY ATTACH LCP NAP ID</v>
      </c>
      <c r="J179" s="1"/>
      <c r="K179" s="1"/>
      <c r="L179" s="1"/>
      <c r="M179" s="1"/>
      <c r="N179" s="1"/>
      <c r="O179" s="1" t="str">
        <f>IFERROR(__xludf.DUMMYFUNCTION("""COMPUTED_VALUE"""),"RED_RS_HH_CVE_25")</f>
        <v>RED_RS_HH_CVE_25</v>
      </c>
      <c r="P179" s="1" t="str">
        <f>IFERROR(__xludf.DUMMYFUNCTION("""COMPUTED_VALUE"""),"RED FIBR 1000")</f>
        <v>RED FIBR 1000</v>
      </c>
      <c r="Q179" s="1" t="str">
        <f>IFERROR(__xludf.DUMMYFUNCTION("""COMPUTED_VALUE"""),"MMM018709")</f>
        <v>MMM018709</v>
      </c>
      <c r="R179" s="1" t="str">
        <f>IFERROR(__xludf.DUMMYFUNCTION("""COMPUTED_VALUE"""),"CADERAO, RONALD")</f>
        <v>CADERAO, RONALD</v>
      </c>
      <c r="S179" s="1" t="str">
        <f>IFERROR(__xludf.DUMMYFUNCTION("""COMPUTED_VALUE"""),"REMOLLO LEA")</f>
        <v>REMOLLO LEA</v>
      </c>
      <c r="T179" s="1" t="str">
        <f>IFERROR(__xludf.DUMMYFUNCTION("""COMPUTED_VALUE"""),"SALIOA JB")</f>
        <v>SALIOA JB</v>
      </c>
      <c r="U179" s="1"/>
      <c r="V179" s="1">
        <f>IFERROR(__xludf.DUMMYFUNCTION("""COMPUTED_VALUE"""),9702201234)</f>
        <v>9702201234</v>
      </c>
      <c r="W179" s="1"/>
      <c r="X179" s="1" t="str">
        <f>IFERROR(__xludf.DUMMYFUNCTION("""COMPUTED_VALUE"""),"122")</f>
        <v>122</v>
      </c>
      <c r="Y179" s="1" t="str">
        <f>IFERROR(__xludf.DUMMYFUNCTION("""COMPUTED_VALUE"""),"ORIGANO ST")</f>
        <v>ORIGANO ST</v>
      </c>
      <c r="Z179" s="1" t="str">
        <f>IFERROR(__xludf.DUMMYFUNCTION("""COMPUTED_VALUE"""),"PUROK 6")</f>
        <v>PUROK 6</v>
      </c>
      <c r="AA179" s="1" t="str">
        <f>IFERROR(__xludf.DUMMYFUNCTION("""COMPUTED_VALUE"""),"ULAT")</f>
        <v>ULAT</v>
      </c>
      <c r="AB179" s="1" t="str">
        <f>IFERROR(__xludf.DUMMYFUNCTION("""COMPUTED_VALUE"""),"SILANG")</f>
        <v>SILANG</v>
      </c>
      <c r="AC179" s="1"/>
    </row>
    <row r="180" customHeight="1" spans="1:29">
      <c r="A180" s="3">
        <f>IFERROR(__xludf.DUMMYFUNCTION("""COMPUTED_VALUE"""),46274)</f>
        <v>46274</v>
      </c>
      <c r="B180" s="1" t="str">
        <f>IFERROR(__xludf.DUMMYFUNCTION("""COMPUTED_VALUE"""),"SEPTEMBER")</f>
        <v>SEPTEMBER</v>
      </c>
      <c r="C180" s="1" t="str">
        <f>IFERROR(__xludf.DUMMYFUNCTION("""COMPUTED_VALUE"""),"ANSELMA DE CASTRO ONDO")</f>
        <v>ANSELMA DE CASTRO ONDO</v>
      </c>
      <c r="D180" s="1" t="str">
        <f>IFERROR(__xludf.DUMMYFUNCTION("""COMPUTED_VALUE"""),"RITM0309839")</f>
        <v>RITM0309839</v>
      </c>
      <c r="E180" s="1"/>
      <c r="F180" s="1"/>
      <c r="G180" s="1" t="str">
        <f>IFERROR(__xludf.DUMMYFUNCTION("""COMPUTED_VALUE"""),"romerokimberly150310@gmail.com")</f>
        <v>romerokimberly150310@gmail.com</v>
      </c>
      <c r="H180" s="1" t="str">
        <f>IFERROR(__xludf.DUMMYFUNCTION("""COMPUTED_VALUE"""),"APPROVED")</f>
        <v>APPROVED</v>
      </c>
      <c r="I180" s="1"/>
      <c r="J180" s="1" t="str">
        <f>IFERROR(__xludf.DUMMYFUNCTION("""COMPUTED_VALUE"""),"CANCELLED - SUBS CANCEL REQUEST")</f>
        <v>CANCELLED - SUBS CANCEL REQUEST</v>
      </c>
      <c r="K180" s="1"/>
      <c r="L180" s="1"/>
      <c r="M180" s="1" t="str">
        <f>IFERROR(__xludf.DUMMYFUNCTION("""COMPUTED_VALUE"""),"CANCELLED - SUBS CANCEL REQUEST")</f>
        <v>CANCELLED - SUBS CANCEL REQUEST</v>
      </c>
      <c r="N180" s="1"/>
      <c r="O180" s="1" t="str">
        <f>IFERROR(__xludf.DUMMYFUNCTION("""COMPUTED_VALUE"""),"RED_RS_HH_CVE_25")</f>
        <v>RED_RS_HH_CVE_25</v>
      </c>
      <c r="P180" s="1" t="str">
        <f>IFERROR(__xludf.DUMMYFUNCTION("""COMPUTED_VALUE"""),"RED FIBR 1000")</f>
        <v>RED FIBR 1000</v>
      </c>
      <c r="Q180" s="1" t="str">
        <f>IFERROR(__xludf.DUMMYFUNCTION("""COMPUTED_VALUE"""),"MMM018709")</f>
        <v>MMM018709</v>
      </c>
      <c r="R180" s="1" t="str">
        <f>IFERROR(__xludf.DUMMYFUNCTION("""COMPUTED_VALUE"""),"CADERAO, RONALD")</f>
        <v>CADERAO, RONALD</v>
      </c>
      <c r="S180" s="1" t="str">
        <f>IFERROR(__xludf.DUMMYFUNCTION("""COMPUTED_VALUE"""),"REMOLLO LEA")</f>
        <v>REMOLLO LEA</v>
      </c>
      <c r="T180" s="1" t="str">
        <f>IFERROR(__xludf.DUMMYFUNCTION("""COMPUTED_VALUE"""),"SALIOA JB")</f>
        <v>SALIOA JB</v>
      </c>
      <c r="U180" s="1"/>
      <c r="V180" s="1">
        <f>IFERROR(__xludf.DUMMYFUNCTION("""COMPUTED_VALUE"""),9702201234)</f>
        <v>9702201234</v>
      </c>
      <c r="W180" s="1"/>
      <c r="X180" s="1" t="str">
        <f>IFERROR(__xludf.DUMMYFUNCTION("""COMPUTED_VALUE"""),"122")</f>
        <v>122</v>
      </c>
      <c r="Y180" s="1" t="str">
        <f>IFERROR(__xludf.DUMMYFUNCTION("""COMPUTED_VALUE"""),"ORIGANO ST")</f>
        <v>ORIGANO ST</v>
      </c>
      <c r="Z180" s="1" t="str">
        <f>IFERROR(__xludf.DUMMYFUNCTION("""COMPUTED_VALUE"""),"PUROK 6")</f>
        <v>PUROK 6</v>
      </c>
      <c r="AA180" s="1" t="str">
        <f>IFERROR(__xludf.DUMMYFUNCTION("""COMPUTED_VALUE"""),"ULAT")</f>
        <v>ULAT</v>
      </c>
      <c r="AB180" s="1" t="str">
        <f>IFERROR(__xludf.DUMMYFUNCTION("""COMPUTED_VALUE"""),"SILANG")</f>
        <v>SILANG</v>
      </c>
      <c r="AC180" s="1"/>
    </row>
    <row r="181" customHeight="1" spans="1:29">
      <c r="A181" s="3">
        <f>IFERROR(__xludf.DUMMYFUNCTION("""COMPUTED_VALUE"""),46274)</f>
        <v>46274</v>
      </c>
      <c r="B181" s="1" t="str">
        <f>IFERROR(__xludf.DUMMYFUNCTION("""COMPUTED_VALUE"""),"SEPTEMBER")</f>
        <v>SEPTEMBER</v>
      </c>
      <c r="C181" s="1" t="str">
        <f>IFERROR(__xludf.DUMMYFUNCTION("""COMPUTED_VALUE"""),"VRINZ JOHN MAGNAYE PANICAN")</f>
        <v>VRINZ JOHN MAGNAYE PANICAN</v>
      </c>
      <c r="D181" s="1" t="str">
        <f>IFERROR(__xludf.DUMMYFUNCTION("""COMPUTED_VALUE"""),"RITM0309842")</f>
        <v>RITM0309842</v>
      </c>
      <c r="E181" s="1"/>
      <c r="F181" s="1"/>
      <c r="G181" s="1" t="str">
        <f>IFERROR(__xludf.DUMMYFUNCTION("""COMPUTED_VALUE"""),"margiemagnaye012984@gmail.com")</f>
        <v>margiemagnaye012984@gmail.com</v>
      </c>
      <c r="H181" s="1" t="str">
        <f>IFERROR(__xludf.DUMMYFUNCTION("""COMPUTED_VALUE"""),"APPROVED")</f>
        <v>APPROVED</v>
      </c>
      <c r="I181" s="1"/>
      <c r="J181" s="1"/>
      <c r="K181" s="1"/>
      <c r="L181" s="1"/>
      <c r="M181" s="1" t="str">
        <f>IFERROR(__xludf.DUMMYFUNCTION("""COMPUTED_VALUE"""),"CANCEL RECREATE - FOR CHANGE EMAIL")</f>
        <v>CANCEL RECREATE - FOR CHANGE EMAIL</v>
      </c>
      <c r="N181" s="1"/>
      <c r="O181" s="1" t="str">
        <f>IFERROR(__xludf.DUMMYFUNCTION("""COMPUTED_VALUE"""),"RED_RS_HH_CVE_25")</f>
        <v>RED_RS_HH_CVE_25</v>
      </c>
      <c r="P181" s="1" t="str">
        <f>IFERROR(__xludf.DUMMYFUNCTION("""COMPUTED_VALUE"""),"RED FIBR 1000")</f>
        <v>RED FIBR 1000</v>
      </c>
      <c r="Q181" s="1" t="str">
        <f>IFERROR(__xludf.DUMMYFUNCTION("""COMPUTED_VALUE"""),"MMM018709")</f>
        <v>MMM018709</v>
      </c>
      <c r="R181" s="1" t="str">
        <f>IFERROR(__xludf.DUMMYFUNCTION("""COMPUTED_VALUE"""),"GABAY MANUEL")</f>
        <v>GABAY MANUEL</v>
      </c>
      <c r="S181" s="1" t="str">
        <f>IFERROR(__xludf.DUMMYFUNCTION("""COMPUTED_VALUE"""),"GARCIA MICHAEL JETTS")</f>
        <v>GARCIA MICHAEL JETTS</v>
      </c>
      <c r="T181" s="1" t="str">
        <f>IFERROR(__xludf.DUMMYFUNCTION("""COMPUTED_VALUE"""),"SALIOA JB")</f>
        <v>SALIOA JB</v>
      </c>
      <c r="U181" s="1"/>
      <c r="V181" s="1">
        <f>IFERROR(__xludf.DUMMYFUNCTION("""COMPUTED_VALUE"""),9083384605)</f>
        <v>9083384605</v>
      </c>
      <c r="W181" s="1">
        <f>IFERROR(__xludf.DUMMYFUNCTION("""COMPUTED_VALUE"""),9665976655)</f>
        <v>9665976655</v>
      </c>
      <c r="X181" s="1" t="str">
        <f>IFERROR(__xludf.DUMMYFUNCTION("""COMPUTED_VALUE"""),"4000")</f>
        <v>4000</v>
      </c>
      <c r="Y181" s="1" t="str">
        <f>IFERROR(__xludf.DUMMYFUNCTION("""COMPUTED_VALUE"""),"CITRONELLA ST")</f>
        <v>CITRONELLA ST</v>
      </c>
      <c r="Z181" s="1" t="str">
        <f>IFERROR(__xludf.DUMMYFUNCTION("""COMPUTED_VALUE"""),"PUROK 6")</f>
        <v>PUROK 6</v>
      </c>
      <c r="AA181" s="1" t="str">
        <f>IFERROR(__xludf.DUMMYFUNCTION("""COMPUTED_VALUE"""),"ULAT")</f>
        <v>ULAT</v>
      </c>
      <c r="AB181" s="1" t="str">
        <f>IFERROR(__xludf.DUMMYFUNCTION("""COMPUTED_VALUE"""),"SILANG")</f>
        <v>SILANG</v>
      </c>
      <c r="AC181" s="1"/>
    </row>
    <row r="182" customHeight="1" spans="1:29">
      <c r="A182" s="3">
        <f>IFERROR(__xludf.DUMMYFUNCTION("""COMPUTED_VALUE"""),46275)</f>
        <v>46275</v>
      </c>
      <c r="B182" s="1" t="str">
        <f>IFERROR(__xludf.DUMMYFUNCTION("""COMPUTED_VALUE"""),"SEPTEMBER")</f>
        <v>SEPTEMBER</v>
      </c>
      <c r="C182" s="1" t="str">
        <f>IFERROR(__xludf.DUMMYFUNCTION("""COMPUTED_VALUE"""),"MARY GRACE ESCARILLA ARGUSON")</f>
        <v>MARY GRACE ESCARILLA ARGUSON</v>
      </c>
      <c r="D182" s="1" t="str">
        <f>IFERROR(__xludf.DUMMYFUNCTION("""COMPUTED_VALUE"""),"RITM0309981")</f>
        <v>RITM0309981</v>
      </c>
      <c r="E182" s="1"/>
      <c r="F182" s="1" t="str">
        <f>IFERROR(__xludf.DUMMYFUNCTION("""COMPUTED_VALUE"""),"5314622572")</f>
        <v>5314622572</v>
      </c>
      <c r="G182" s="1" t="str">
        <f>IFERROR(__xludf.DUMMYFUNCTION("""COMPUTED_VALUE"""),"marygracearguson@gmail.com")</f>
        <v>marygracearguson@gmail.com</v>
      </c>
      <c r="H182" s="1" t="str">
        <f>IFERROR(__xludf.DUMMYFUNCTION("""COMPUTED_VALUE"""),"CLOSED")</f>
        <v>CLOSED</v>
      </c>
      <c r="I182" s="1"/>
      <c r="J182" s="1"/>
      <c r="K182" s="1" t="str">
        <f>IFERROR(__xludf.DUMMYFUNCTION("""COMPUTED_VALUE"""),"PAID THRU GCASH 772203486 SEP11")</f>
        <v>PAID THRU GCASH 772203486 SEP11</v>
      </c>
      <c r="L182" s="1" t="str">
        <f>IFERROR(__xludf.DUMMYFUNCTION("""COMPUTED_VALUE"""),"PAID")</f>
        <v>PAID</v>
      </c>
      <c r="M182" s="1" t="str">
        <f>IFERROR(__xludf.DUMMYFUNCTION("""COMPUTED_VALUE"""),"POSTED")</f>
        <v>POSTED</v>
      </c>
      <c r="N182" s="1" t="str">
        <f>IFERROR(__xludf.DUMMYFUNCTION("""COMPUTED_VALUE"""),"9/11/2026")</f>
        <v>9/11/2026</v>
      </c>
      <c r="O182" s="1" t="str">
        <f>IFERROR(__xludf.DUMMYFUNCTION("""COMPUTED_VALUE"""),"RED_RS_HH_CVE_25")</f>
        <v>RED_RS_HH_CVE_25</v>
      </c>
      <c r="P182" s="1" t="str">
        <f>IFERROR(__xludf.DUMMYFUNCTION("""COMPUTED_VALUE"""),"RED FIBR 1000")</f>
        <v>RED FIBR 1000</v>
      </c>
      <c r="Q182" s="1" t="str">
        <f>IFERROR(__xludf.DUMMYFUNCTION("""COMPUTED_VALUE"""),"MMM018709")</f>
        <v>MMM018709</v>
      </c>
      <c r="R182" s="1" t="str">
        <f>IFERROR(__xludf.DUMMYFUNCTION("""COMPUTED_VALUE"""),"KAWAUCHI, SHANE")</f>
        <v>KAWAUCHI, SHANE</v>
      </c>
      <c r="S182" s="1" t="str">
        <f>IFERROR(__xludf.DUMMYFUNCTION("""COMPUTED_VALUE"""),"GARCIA MICHAEL JETTS")</f>
        <v>GARCIA MICHAEL JETTS</v>
      </c>
      <c r="T182" s="1" t="str">
        <f>IFERROR(__xludf.DUMMYFUNCTION("""COMPUTED_VALUE"""),"ESPIRITU JULIE")</f>
        <v>ESPIRITU JULIE</v>
      </c>
      <c r="U182" s="1"/>
      <c r="V182" s="1">
        <f>IFERROR(__xludf.DUMMYFUNCTION("""COMPUTED_VALUE"""),9915762099)</f>
        <v>9915762099</v>
      </c>
      <c r="W182" s="1">
        <f>IFERROR(__xludf.DUMMYFUNCTION("""COMPUTED_VALUE"""),9278228860)</f>
        <v>9278228860</v>
      </c>
      <c r="X182" s="1" t="str">
        <f>IFERROR(__xludf.DUMMYFUNCTION("""COMPUTED_VALUE"""),"9054")</f>
        <v>9054</v>
      </c>
      <c r="Y182" s="1" t="str">
        <f>IFERROR(__xludf.DUMMYFUNCTION("""COMPUTED_VALUE"""),"VILLA MARCIANA 2 RD")</f>
        <v>VILLA MARCIANA 2 RD</v>
      </c>
      <c r="Z182" s="1" t="str">
        <f>IFERROR(__xludf.DUMMYFUNCTION("""COMPUTED_VALUE"""),"VILLA MARCIANA 2 SUBDIVISION")</f>
        <v>VILLA MARCIANA 2 SUBDIVISION</v>
      </c>
      <c r="AA182" s="1" t="str">
        <f>IFERROR(__xludf.DUMMYFUNCTION("""COMPUTED_VALUE"""),"MULAWIN")</f>
        <v>MULAWIN</v>
      </c>
      <c r="AB182" s="1" t="str">
        <f>IFERROR(__xludf.DUMMYFUNCTION("""COMPUTED_VALUE"""),"TANZA")</f>
        <v>TANZA</v>
      </c>
      <c r="AC182" s="1" t="str">
        <f>IFERROR(__xludf.DUMMYFUNCTION("""COMPUTED_VALUE"""),"CVT6LCP197NP1/2/3/4")</f>
        <v>CVT6LCP197NP1/2/3/4</v>
      </c>
    </row>
    <row r="183" customHeight="1" spans="1:29">
      <c r="A183" s="3">
        <f>IFERROR(__xludf.DUMMYFUNCTION("""COMPUTED_VALUE"""),46276)</f>
        <v>46276</v>
      </c>
      <c r="B183" s="1" t="str">
        <f>IFERROR(__xludf.DUMMYFUNCTION("""COMPUTED_VALUE"""),"SEPTEMBER")</f>
        <v>SEPTEMBER</v>
      </c>
      <c r="C183" s="1" t="str">
        <f>IFERROR(__xludf.DUMMYFUNCTION("""COMPUTED_VALUE"""),"VRINZ JOHN MAGNAYE PANICAN")</f>
        <v>VRINZ JOHN MAGNAYE PANICAN</v>
      </c>
      <c r="D183" s="1" t="str">
        <f>IFERROR(__xludf.DUMMYFUNCTION("""COMPUTED_VALUE"""),"RITM0310064")</f>
        <v>RITM0310064</v>
      </c>
      <c r="E183" s="1"/>
      <c r="F183" s="1" t="str">
        <f>IFERROR(__xludf.DUMMYFUNCTION("""COMPUTED_VALUE"""),"4788132746")</f>
        <v>4788132746</v>
      </c>
      <c r="G183" s="1" t="str">
        <f>IFERROR(__xludf.DUMMYFUNCTION("""COMPUTED_VALUE"""),"margiemagnaye01291984@gmail.com")</f>
        <v>margiemagnaye01291984@gmail.com</v>
      </c>
      <c r="H183" s="1" t="str">
        <f>IFERROR(__xludf.DUMMYFUNCTION("""COMPUTED_VALUE"""),"CLOSED")</f>
        <v>CLOSED</v>
      </c>
      <c r="I183" s="1"/>
      <c r="J183" s="1"/>
      <c r="K183" s="1" t="str">
        <f>IFERROR(__xludf.DUMMYFUNCTION("""COMPUTED_VALUE"""),"PAID VIA GCASH REF RAD123715Z6K35EO")</f>
        <v>PAID VIA GCASH REF RAD123715Z6K35EO</v>
      </c>
      <c r="L183" s="1" t="str">
        <f>IFERROR(__xludf.DUMMYFUNCTION("""COMPUTED_VALUE"""),"PAID")</f>
        <v>PAID</v>
      </c>
      <c r="M183" s="1" t="str">
        <f>IFERROR(__xludf.DUMMYFUNCTION("""COMPUTED_VALUE"""),"POSTED")</f>
        <v>POSTED</v>
      </c>
      <c r="N183" s="1" t="str">
        <f>IFERROR(__xludf.DUMMYFUNCTION("""COMPUTED_VALUE"""),"9/12/2026")</f>
        <v>9/12/2026</v>
      </c>
      <c r="O183" s="1" t="str">
        <f>IFERROR(__xludf.DUMMYFUNCTION("""COMPUTED_VALUE"""),"RED_RS_HH_CVE_25")</f>
        <v>RED_RS_HH_CVE_25</v>
      </c>
      <c r="P183" s="1" t="str">
        <f>IFERROR(__xludf.DUMMYFUNCTION("""COMPUTED_VALUE"""),"RED FIBR 1000")</f>
        <v>RED FIBR 1000</v>
      </c>
      <c r="Q183" s="1" t="str">
        <f>IFERROR(__xludf.DUMMYFUNCTION("""COMPUTED_VALUE"""),"MMM018709")</f>
        <v>MMM018709</v>
      </c>
      <c r="R183" s="1" t="str">
        <f>IFERROR(__xludf.DUMMYFUNCTION("""COMPUTED_VALUE"""),"GABAY MANUEL")</f>
        <v>GABAY MANUEL</v>
      </c>
      <c r="S183" s="1" t="str">
        <f>IFERROR(__xludf.DUMMYFUNCTION("""COMPUTED_VALUE"""),"GARCIA MICHAEL JETTS")</f>
        <v>GARCIA MICHAEL JETTS</v>
      </c>
      <c r="T183" s="1" t="str">
        <f>IFERROR(__xludf.DUMMYFUNCTION("""COMPUTED_VALUE"""),"SALIOA JB")</f>
        <v>SALIOA JB</v>
      </c>
      <c r="U183" s="1"/>
      <c r="V183" s="1">
        <f>IFERROR(__xludf.DUMMYFUNCTION("""COMPUTED_VALUE"""),9083384605)</f>
        <v>9083384605</v>
      </c>
      <c r="W183" s="1">
        <f>IFERROR(__xludf.DUMMYFUNCTION("""COMPUTED_VALUE"""),9665976655)</f>
        <v>9665976655</v>
      </c>
      <c r="X183" s="1" t="str">
        <f>IFERROR(__xludf.DUMMYFUNCTION("""COMPUTED_VALUE"""),"4000")</f>
        <v>4000</v>
      </c>
      <c r="Y183" s="1" t="str">
        <f>IFERROR(__xludf.DUMMYFUNCTION("""COMPUTED_VALUE"""),"CITRONELLA ST")</f>
        <v>CITRONELLA ST</v>
      </c>
      <c r="Z183" s="1" t="str">
        <f>IFERROR(__xludf.DUMMYFUNCTION("""COMPUTED_VALUE"""),"PUROK 6")</f>
        <v>PUROK 6</v>
      </c>
      <c r="AA183" s="1" t="str">
        <f>IFERROR(__xludf.DUMMYFUNCTION("""COMPUTED_VALUE"""),"ULAT")</f>
        <v>ULAT</v>
      </c>
      <c r="AB183" s="1" t="str">
        <f>IFERROR(__xludf.DUMMYFUNCTION("""COMPUTED_VALUE"""),"SILANG")</f>
        <v>SILANG</v>
      </c>
      <c r="AC183" s="1"/>
    </row>
    <row r="184" customHeight="1" spans="1:29">
      <c r="A184" s="3">
        <f>IFERROR(__xludf.DUMMYFUNCTION("""COMPUTED_VALUE"""),46276)</f>
        <v>46276</v>
      </c>
      <c r="B184" s="1" t="str">
        <f>IFERROR(__xludf.DUMMYFUNCTION("""COMPUTED_VALUE"""),"SEPTEMBER")</f>
        <v>SEPTEMBER</v>
      </c>
      <c r="C184" s="1" t="str">
        <f>IFERROR(__xludf.DUMMYFUNCTION("""COMPUTED_VALUE"""),"JOEVIN MIRAS DOMINGUEZ")</f>
        <v>JOEVIN MIRAS DOMINGUEZ</v>
      </c>
      <c r="D184" s="1" t="str">
        <f>IFERROR(__xludf.DUMMYFUNCTION("""COMPUTED_VALUE"""),"RITM0310098")</f>
        <v>RITM0310098</v>
      </c>
      <c r="E184" s="1"/>
      <c r="F184" s="1"/>
      <c r="G184" s="1" t="str">
        <f>IFERROR(__xludf.DUMMYFUNCTION("""COMPUTED_VALUE"""),"joevinmiras@gmail.com")</f>
        <v>joevinmiras@gmail.com</v>
      </c>
      <c r="H184" s="1" t="str">
        <f>IFERROR(__xludf.DUMMYFUNCTION("""COMPUTED_VALUE"""),"APPROVED")</f>
        <v>APPROVED</v>
      </c>
      <c r="I184" s="1"/>
      <c r="J184" s="1"/>
      <c r="K184" s="1"/>
      <c r="L184" s="1"/>
      <c r="M184" s="1" t="str">
        <f>IFERROR(__xludf.DUMMYFUNCTION("""COMPUTED_VALUE"""),"CANCEL RECREATE - FOR CHANGE EMAIL")</f>
        <v>CANCEL RECREATE - FOR CHANGE EMAIL</v>
      </c>
      <c r="N184" s="1"/>
      <c r="O184" s="1" t="str">
        <f>IFERROR(__xludf.DUMMYFUNCTION("""COMPUTED_VALUE"""),"RED_RS_ONL_CVE_25")</f>
        <v>RED_RS_ONL_CVE_25</v>
      </c>
      <c r="P184" s="1" t="str">
        <f>IFERROR(__xludf.DUMMYFUNCTION("""COMPUTED_VALUE"""),"RED FIBR 1000")</f>
        <v>RED FIBR 1000</v>
      </c>
      <c r="Q184" s="1" t="str">
        <f>IFERROR(__xludf.DUMMYFUNCTION("""COMPUTED_VALUE"""),"MMM018713")</f>
        <v>MMM018713</v>
      </c>
      <c r="R184" s="1" t="str">
        <f>IFERROR(__xludf.DUMMYFUNCTION("""COMPUTED_VALUE"""),"MORADOS, MARVIN")</f>
        <v>MORADOS, MARVIN</v>
      </c>
      <c r="S184" s="1" t="str">
        <f>IFERROR(__xludf.DUMMYFUNCTION("""COMPUTED_VALUE"""),"GARCIA MICHAEL JETTS")</f>
        <v>GARCIA MICHAEL JETTS</v>
      </c>
      <c r="T184" s="1" t="str">
        <f>IFERROR(__xludf.DUMMYFUNCTION("""COMPUTED_VALUE"""),"SALIOA JB")</f>
        <v>SALIOA JB</v>
      </c>
      <c r="U184" s="1"/>
      <c r="V184" s="1">
        <f>IFERROR(__xludf.DUMMYFUNCTION("""COMPUTED_VALUE"""),9295661698)</f>
        <v>9295661698</v>
      </c>
      <c r="W184" s="1"/>
      <c r="X184" s="1" t="str">
        <f>IFERROR(__xludf.DUMMYFUNCTION("""COMPUTED_VALUE"""),"005-BL-007")</f>
        <v>005-BL-007</v>
      </c>
      <c r="Y184" s="1" t="str">
        <f>IFERROR(__xludf.DUMMYFUNCTION("""COMPUTED_VALUE"""),"PHASE A ST")</f>
        <v>PHASE A ST</v>
      </c>
      <c r="Z184" s="1" t="str">
        <f>IFERROR(__xludf.DUMMYFUNCTION("""COMPUTED_VALUE"""),"PEARL RESIDENCES")</f>
        <v>PEARL RESIDENCES</v>
      </c>
      <c r="AA184" s="1" t="str">
        <f>IFERROR(__xludf.DUMMYFUNCTION("""COMPUTED_VALUE"""),"CAPIPISA")</f>
        <v>CAPIPISA</v>
      </c>
      <c r="AB184" s="1" t="str">
        <f>IFERROR(__xludf.DUMMYFUNCTION("""COMPUTED_VALUE"""),"TANZA")</f>
        <v>TANZA</v>
      </c>
      <c r="AC184" s="1"/>
    </row>
    <row r="185" customHeight="1" spans="1:29">
      <c r="A185" s="3">
        <f>IFERROR(__xludf.DUMMYFUNCTION("""COMPUTED_VALUE"""),46276)</f>
        <v>46276</v>
      </c>
      <c r="B185" s="1" t="str">
        <f>IFERROR(__xludf.DUMMYFUNCTION("""COMPUTED_VALUE"""),"SEPTEMBER")</f>
        <v>SEPTEMBER</v>
      </c>
      <c r="C185" s="1" t="str">
        <f>IFERROR(__xludf.DUMMYFUNCTION("""COMPUTED_VALUE"""),"JOEVIN MIRAS DOMINGUEZ")</f>
        <v>JOEVIN MIRAS DOMINGUEZ</v>
      </c>
      <c r="D185" s="1" t="str">
        <f>IFERROR(__xludf.DUMMYFUNCTION("""COMPUTED_VALUE"""),"RITM0310107")</f>
        <v>RITM0310107</v>
      </c>
      <c r="E185" s="1"/>
      <c r="F185" s="1" t="str">
        <f>IFERROR(__xludf.DUMMYFUNCTION("""COMPUTED_VALUE"""),"6629765235")</f>
        <v>6629765235</v>
      </c>
      <c r="G185" s="1" t="str">
        <f>IFERROR(__xludf.DUMMYFUNCTION("""COMPUTED_VALUE"""),"joevindominguez172@gmail.com")</f>
        <v>joevindominguez172@gmail.com</v>
      </c>
      <c r="H185" s="1" t="str">
        <f>IFERROR(__xludf.DUMMYFUNCTION("""COMPUTED_VALUE"""),"CLOSED")</f>
        <v>CLOSED</v>
      </c>
      <c r="I185" s="1"/>
      <c r="J185" s="1"/>
      <c r="K185" s="1" t="str">
        <f>IFERROR(__xludf.DUMMYFUNCTION("""COMPUTED_VALUE"""),"PAID THRU RED 26254ETQPIGL8XEWY SEP 11")</f>
        <v>PAID THRU RED 26254ETQPIGL8XEWY SEP 11</v>
      </c>
      <c r="L185" s="1" t="str">
        <f>IFERROR(__xludf.DUMMYFUNCTION("""COMPUTED_VALUE"""),"PAID")</f>
        <v>PAID</v>
      </c>
      <c r="M185" s="1" t="str">
        <f>IFERROR(__xludf.DUMMYFUNCTION("""COMPUTED_VALUE"""),"POSTED")</f>
        <v>POSTED</v>
      </c>
      <c r="N185" s="1" t="str">
        <f>IFERROR(__xludf.DUMMYFUNCTION("""COMPUTED_VALUE"""),"9/12/2026")</f>
        <v>9/12/2026</v>
      </c>
      <c r="O185" s="1" t="str">
        <f>IFERROR(__xludf.DUMMYFUNCTION("""COMPUTED_VALUE"""),"RED_RS_ONL_CVE_25")</f>
        <v>RED_RS_ONL_CVE_25</v>
      </c>
      <c r="P185" s="1" t="str">
        <f>IFERROR(__xludf.DUMMYFUNCTION("""COMPUTED_VALUE"""),"RED FIBR 1000")</f>
        <v>RED FIBR 1000</v>
      </c>
      <c r="Q185" s="1" t="str">
        <f>IFERROR(__xludf.DUMMYFUNCTION("""COMPUTED_VALUE"""),"MMM018713")</f>
        <v>MMM018713</v>
      </c>
      <c r="R185" s="1" t="str">
        <f>IFERROR(__xludf.DUMMYFUNCTION("""COMPUTED_VALUE"""),"MORADOS, MARVIN")</f>
        <v>MORADOS, MARVIN</v>
      </c>
      <c r="S185" s="1" t="str">
        <f>IFERROR(__xludf.DUMMYFUNCTION("""COMPUTED_VALUE"""),"GARCIA MICHAEL JETTS")</f>
        <v>GARCIA MICHAEL JETTS</v>
      </c>
      <c r="T185" s="1" t="str">
        <f>IFERROR(__xludf.DUMMYFUNCTION("""COMPUTED_VALUE"""),"SALIOA JB")</f>
        <v>SALIOA JB</v>
      </c>
      <c r="U185" s="1"/>
      <c r="V185" s="1">
        <f>IFERROR(__xludf.DUMMYFUNCTION("""COMPUTED_VALUE"""),9295661698)</f>
        <v>9295661698</v>
      </c>
      <c r="W185" s="1"/>
      <c r="X185" s="1" t="str">
        <f>IFERROR(__xludf.DUMMYFUNCTION("""COMPUTED_VALUE"""),"005-BL-007")</f>
        <v>005-BL-007</v>
      </c>
      <c r="Y185" s="1" t="str">
        <f>IFERROR(__xludf.DUMMYFUNCTION("""COMPUTED_VALUE"""),"PHASE A ST")</f>
        <v>PHASE A ST</v>
      </c>
      <c r="Z185" s="1" t="str">
        <f>IFERROR(__xludf.DUMMYFUNCTION("""COMPUTED_VALUE"""),"PEARL RESIDENCES")</f>
        <v>PEARL RESIDENCES</v>
      </c>
      <c r="AA185" s="1" t="str">
        <f>IFERROR(__xludf.DUMMYFUNCTION("""COMPUTED_VALUE"""),"CAPIPISA")</f>
        <v>CAPIPISA</v>
      </c>
      <c r="AB185" s="1" t="str">
        <f>IFERROR(__xludf.DUMMYFUNCTION("""COMPUTED_VALUE"""),"TANZA")</f>
        <v>TANZA</v>
      </c>
      <c r="AC185" s="1"/>
    </row>
    <row r="186" customHeight="1" spans="1:29">
      <c r="A186" s="3">
        <f>IFERROR(__xludf.DUMMYFUNCTION("""COMPUTED_VALUE"""),46277)</f>
        <v>46277</v>
      </c>
      <c r="B186" s="1" t="str">
        <f>IFERROR(__xludf.DUMMYFUNCTION("""COMPUTED_VALUE"""),"SEPTEMBER")</f>
        <v>SEPTEMBER</v>
      </c>
      <c r="C186" s="1" t="str">
        <f>IFERROR(__xludf.DUMMYFUNCTION("""COMPUTED_VALUE"""),"STATIC CREW CARS AND COFFEE")</f>
        <v>STATIC CREW CARS AND COFFEE</v>
      </c>
      <c r="D186" s="1" t="str">
        <f>IFERROR(__xludf.DUMMYFUNCTION("""COMPUTED_VALUE"""),"RITM0310163")</f>
        <v>RITM0310163</v>
      </c>
      <c r="E186" s="1"/>
      <c r="F186" s="1"/>
      <c r="G186" s="1" t="str">
        <f>IFERROR(__xludf.DUMMYFUNCTION("""COMPUTED_VALUE"""),"mrchugaming@gmail.com")</f>
        <v>mrchugaming@gmail.com</v>
      </c>
      <c r="H186" s="1" t="str">
        <f>IFERROR(__xludf.DUMMYFUNCTION("""COMPUTED_VALUE"""),"APPROVED")</f>
        <v>APPROVED</v>
      </c>
      <c r="I186" s="1"/>
      <c r="J186" s="1" t="str">
        <f>IFERROR(__xludf.DUMMYFUNCTION("""COMPUTED_VALUE"""),"CBR Ringing only - as per agent wala na rin pong update sa kanya. Nagkaron po ng system error natanggalan sa process")</f>
        <v>CBR Ringing only - as per agent wala na rin pong update sa kanya. Nagkaron po ng system error natanggalan sa process</v>
      </c>
      <c r="K186" s="1"/>
      <c r="L186" s="1"/>
      <c r="M186" s="1" t="str">
        <f>IFERROR(__xludf.DUMMYFUNCTION("""COMPUTED_VALUE"""),"CANCELLED")</f>
        <v>CANCELLED</v>
      </c>
      <c r="N186" s="1"/>
      <c r="O186" s="1" t="str">
        <f>IFERROR(__xludf.DUMMYFUNCTION("""COMPUTED_VALUE"""),"BKRED_RS_HH_CVE_26")</f>
        <v>BKRED_RS_HH_CVE_26</v>
      </c>
      <c r="P186" s="1" t="str">
        <f>IFERROR(__xludf.DUMMYFUNCTION("""COMPUTED_VALUE"""),"RED FIBR 1000")</f>
        <v>RED FIBR 1000</v>
      </c>
      <c r="Q186" s="1" t="str">
        <f>IFERROR(__xludf.DUMMYFUNCTION("""COMPUTED_VALUE"""),"MMM018713")</f>
        <v>MMM018713</v>
      </c>
      <c r="R186" s="1" t="str">
        <f>IFERROR(__xludf.DUMMYFUNCTION("""COMPUTED_VALUE"""),"YOLANGCO, MARVIN")</f>
        <v>YOLANGCO, MARVIN</v>
      </c>
      <c r="S186" s="1" t="str">
        <f>IFERROR(__xludf.DUMMYFUNCTION("""COMPUTED_VALUE"""),"GARCIA MICHAEL JETTS")</f>
        <v>GARCIA MICHAEL JETTS</v>
      </c>
      <c r="T186" s="1" t="str">
        <f>IFERROR(__xludf.DUMMYFUNCTION("""COMPUTED_VALUE"""),"ESPIRITU JULIE")</f>
        <v>ESPIRITU JULIE</v>
      </c>
      <c r="U186" s="1"/>
      <c r="V186" s="1">
        <f>IFERROR(__xludf.DUMMYFUNCTION("""COMPUTED_VALUE"""),9762407684)</f>
        <v>9762407684</v>
      </c>
      <c r="W186" s="1"/>
      <c r="X186" s="1" t="str">
        <f>IFERROR(__xludf.DUMMYFUNCTION("""COMPUTED_VALUE"""),"2ND FLOOR")</f>
        <v>2ND FLOOR</v>
      </c>
      <c r="Y186" s="1" t="str">
        <f>IFERROR(__xludf.DUMMYFUNCTION("""COMPUTED_VALUE"""),"ANTERO SORIANO HWY")</f>
        <v>ANTERO SORIANO HWY</v>
      </c>
      <c r="Z186" s="1" t="str">
        <f>IFERROR(__xludf.DUMMYFUNCTION("""COMPUTED_VALUE"""),"STATIC CREW CARS AND COFFEE")</f>
        <v>STATIC CREW CARS AND COFFEE</v>
      </c>
      <c r="AA186" s="1" t="str">
        <f>IFERROR(__xludf.DUMMYFUNCTION("""COMPUTED_VALUE"""),"AMAYA I")</f>
        <v>AMAYA I</v>
      </c>
      <c r="AB186" s="1" t="str">
        <f>IFERROR(__xludf.DUMMYFUNCTION("""COMPUTED_VALUE"""),"TANZA")</f>
        <v>TANZA</v>
      </c>
      <c r="AC186" s="1"/>
    </row>
    <row r="187" customHeight="1" spans="1:29">
      <c r="A187" s="3">
        <f>IFERROR(__xludf.DUMMYFUNCTION("""COMPUTED_VALUE"""),46277)</f>
        <v>46277</v>
      </c>
      <c r="B187" s="1" t="str">
        <f>IFERROR(__xludf.DUMMYFUNCTION("""COMPUTED_VALUE"""),"SEPTEMBER")</f>
        <v>SEPTEMBER</v>
      </c>
      <c r="C187" s="1" t="str">
        <f>IFERROR(__xludf.DUMMYFUNCTION("""COMPUTED_VALUE"""),"ERISE LAKANDILI ARCAIRA")</f>
        <v>ERISE LAKANDILI ARCAIRA</v>
      </c>
      <c r="D187" s="1" t="str">
        <f>IFERROR(__xludf.DUMMYFUNCTION("""COMPUTED_VALUE"""),"RITM0310168")</f>
        <v>RITM0310168</v>
      </c>
      <c r="E187" s="1"/>
      <c r="F187" s="1" t="str">
        <f>IFERROR(__xludf.DUMMYFUNCTION("""COMPUTED_VALUE"""),"1645511795")</f>
        <v>1645511795</v>
      </c>
      <c r="G187" s="1" t="str">
        <f>IFERROR(__xludf.DUMMYFUNCTION("""COMPUTED_VALUE"""),"arcairaerise11@gmail.com")</f>
        <v>arcairaerise11@gmail.com</v>
      </c>
      <c r="H187" s="1" t="str">
        <f>IFERROR(__xludf.DUMMYFUNCTION("""COMPUTED_VALUE"""),"APPROVED")</f>
        <v>APPROVED</v>
      </c>
      <c r="I187" s="1" t="str">
        <f>IFERROR(__xludf.DUMMYFUNCTION("""COMPUTED_VALUE"""),"RWO-OVERSPAN")</f>
        <v>RWO-OVERSPAN</v>
      </c>
      <c r="J187" s="1" t="str">
        <f>IFERROR(__xludf.DUMMYFUNCTION("""COMPUTED_VALUE"""),"FOR REFUND")</f>
        <v>FOR REFUND</v>
      </c>
      <c r="K187" s="1" t="str">
        <f>IFERROR(__xludf.DUMMYFUNCTION("""COMPUTED_VALUE"""),"PAID THRU 7/11 KIOSK REF 266550177950 SEP 12")</f>
        <v>PAID THRU 7/11 KIOSK REF 266550177950 SEP 12</v>
      </c>
      <c r="L187" s="1" t="str">
        <f>IFERROR(__xludf.DUMMYFUNCTION("""COMPUTED_VALUE"""),"PAID")</f>
        <v>PAID</v>
      </c>
      <c r="M187" s="1" t="str">
        <f>IFERROR(__xludf.DUMMYFUNCTION("""COMPUTED_VALUE"""),"CANCELLED - RPR")</f>
        <v>CANCELLED - RPR</v>
      </c>
      <c r="N187" s="1"/>
      <c r="O187" s="1" t="str">
        <f>IFERROR(__xludf.DUMMYFUNCTION("""COMPUTED_VALUE"""),"BKRED_RS_HH_CVE_26")</f>
        <v>BKRED_RS_HH_CVE_26</v>
      </c>
      <c r="P187" s="1" t="str">
        <f>IFERROR(__xludf.DUMMYFUNCTION("""COMPUTED_VALUE"""),"RED FIBR 1000")</f>
        <v>RED FIBR 1000</v>
      </c>
      <c r="Q187" s="1" t="str">
        <f>IFERROR(__xludf.DUMMYFUNCTION("""COMPUTED_VALUE"""),"MMM018711")</f>
        <v>MMM018711</v>
      </c>
      <c r="R187" s="1" t="str">
        <f>IFERROR(__xludf.DUMMYFUNCTION("""COMPUTED_VALUE"""),"DEL ROSARIO. MIGGY LENARD")</f>
        <v>DEL ROSARIO. MIGGY LENARD</v>
      </c>
      <c r="S187" s="1" t="str">
        <f>IFERROR(__xludf.DUMMYFUNCTION("""COMPUTED_VALUE"""),"GARCIA MICHAEL JETTS")</f>
        <v>GARCIA MICHAEL JETTS</v>
      </c>
      <c r="T187" s="1" t="str">
        <f>IFERROR(__xludf.DUMMYFUNCTION("""COMPUTED_VALUE"""),"ESPIRITU JULIE")</f>
        <v>ESPIRITU JULIE</v>
      </c>
      <c r="U187" s="1"/>
      <c r="V187" s="1">
        <f>IFERROR(__xludf.DUMMYFUNCTION("""COMPUTED_VALUE"""),9244188737)</f>
        <v>9244188737</v>
      </c>
      <c r="W187" s="1">
        <f>IFERROR(__xludf.DUMMYFUNCTION("""COMPUTED_VALUE"""),9264921071)</f>
        <v>9264921071</v>
      </c>
      <c r="X187" s="1" t="str">
        <f>IFERROR(__xludf.DUMMYFUNCTION("""COMPUTED_VALUE"""),"225")</f>
        <v>225</v>
      </c>
      <c r="Y187" s="1" t="str">
        <f>IFERROR(__xludf.DUMMYFUNCTION("""COMPUTED_VALUE"""),"ROSE ST")</f>
        <v>ROSE ST</v>
      </c>
      <c r="Z187" s="1"/>
      <c r="AA187" s="1" t="str">
        <f>IFERROR(__xludf.DUMMYFUNCTION("""COMPUTED_VALUE"""),"JULUGAN IV")</f>
        <v>JULUGAN IV</v>
      </c>
      <c r="AB187" s="1" t="str">
        <f>IFERROR(__xludf.DUMMYFUNCTION("""COMPUTED_VALUE"""),"TANZA")</f>
        <v>TANZA</v>
      </c>
      <c r="AC187" s="1" t="str">
        <f>IFERROR(__xludf.DUMMYFUNCTION("""COMPUTED_VALUE"""),"CVT6LCP214NP5/6 / CT6 LCP205 NP3/4")</f>
        <v>CVT6LCP214NP5/6 / CT6 LCP205 NP3/4</v>
      </c>
    </row>
    <row r="188" customHeight="1" spans="1:29">
      <c r="A188" s="3">
        <f>IFERROR(__xludf.DUMMYFUNCTION("""COMPUTED_VALUE"""),46277)</f>
        <v>46277</v>
      </c>
      <c r="B188" s="1" t="str">
        <f>IFERROR(__xludf.DUMMYFUNCTION("""COMPUTED_VALUE"""),"SEPTEMBER")</f>
        <v>SEPTEMBER</v>
      </c>
      <c r="C188" s="1" t="str">
        <f>IFERROR(__xludf.DUMMYFUNCTION("""COMPUTED_VALUE"""),"MICHAEL GARCIA RABANG")</f>
        <v>MICHAEL GARCIA RABANG</v>
      </c>
      <c r="D188" s="1" t="str">
        <f>IFERROR(__xludf.DUMMYFUNCTION("""COMPUTED_VALUE"""),"RITM0310180")</f>
        <v>RITM0310180</v>
      </c>
      <c r="E188" s="1"/>
      <c r="F188" s="1"/>
      <c r="G188" s="1" t="str">
        <f>IFERROR(__xludf.DUMMYFUNCTION("""COMPUTED_VALUE"""),"garciamikee13@gmail.com")</f>
        <v>garciamikee13@gmail.com</v>
      </c>
      <c r="H188" s="1" t="str">
        <f>IFERROR(__xludf.DUMMYFUNCTION("""COMPUTED_VALUE"""),"APPROVED")</f>
        <v>APPROVED</v>
      </c>
      <c r="I188" s="1"/>
      <c r="J188" s="1" t="str">
        <f>IFERROR(__xludf.DUMMYFUNCTION("""COMPUTED_VALUE"""),"Nagbago isip ng kasama sa bahay 9/13")</f>
        <v>Nagbago isip ng kasama sa bahay 9/13</v>
      </c>
      <c r="K188" s="1"/>
      <c r="L188" s="1"/>
      <c r="M188" s="1" t="str">
        <f>IFERROR(__xludf.DUMMYFUNCTION("""COMPUTED_VALUE"""),"CANCELLED - SUBS CANCEL REQUEST")</f>
        <v>CANCELLED - SUBS CANCEL REQUEST</v>
      </c>
      <c r="N188" s="1"/>
      <c r="O188" s="1" t="str">
        <f>IFERROR(__xludf.DUMMYFUNCTION("""COMPUTED_VALUE"""),"RED_RS_ONL_CVE_25")</f>
        <v>RED_RS_ONL_CVE_25</v>
      </c>
      <c r="P188" s="1" t="str">
        <f>IFERROR(__xludf.DUMMYFUNCTION("""COMPUTED_VALUE"""),"RED FIBR 1400")</f>
        <v>RED FIBR 1400</v>
      </c>
      <c r="Q188" s="1" t="str">
        <f>IFERROR(__xludf.DUMMYFUNCTION("""COMPUTED_VALUE"""),"MMM018711")</f>
        <v>MMM018711</v>
      </c>
      <c r="R188" s="1" t="str">
        <f>IFERROR(__xludf.DUMMYFUNCTION("""COMPUTED_VALUE"""),"YOLANGCO, JOJO")</f>
        <v>YOLANGCO, JOJO</v>
      </c>
      <c r="S188" s="1" t="str">
        <f>IFERROR(__xludf.DUMMYFUNCTION("""COMPUTED_VALUE"""),"GARCIA MICHAEL JETTS")</f>
        <v>GARCIA MICHAEL JETTS</v>
      </c>
      <c r="T188" s="1" t="str">
        <f>IFERROR(__xludf.DUMMYFUNCTION("""COMPUTED_VALUE"""),"ESPIRITU JULIE")</f>
        <v>ESPIRITU JULIE</v>
      </c>
      <c r="U188" s="1"/>
      <c r="V188" s="1">
        <f>IFERROR(__xludf.DUMMYFUNCTION("""COMPUTED_VALUE"""),9935571886)</f>
        <v>9935571886</v>
      </c>
      <c r="W188" s="1">
        <f>IFERROR(__xludf.DUMMYFUNCTION("""COMPUTED_VALUE"""),9625195510)</f>
        <v>9625195510</v>
      </c>
      <c r="X188" s="1" t="str">
        <f>IFERROR(__xludf.DUMMYFUNCTION("""COMPUTED_VALUE"""),"BLK 19 LOT 52")</f>
        <v>BLK 19 LOT 52</v>
      </c>
      <c r="Y188" s="1" t="str">
        <f>IFERROR(__xludf.DUMMYFUNCTION("""COMPUTED_VALUE"""),"PHASE 3")</f>
        <v>PHASE 3</v>
      </c>
      <c r="Z188" s="1" t="str">
        <f>IFERROR(__xludf.DUMMYFUNCTION("""COMPUTED_VALUE"""),"KAIA HOMES SUBDIVISION")</f>
        <v>KAIA HOMES SUBDIVISION</v>
      </c>
      <c r="AA188" s="1" t="str">
        <f>IFERROR(__xludf.DUMMYFUNCTION("""COMPUTED_VALUE"""),"PASONG KAWAYAN II")</f>
        <v>PASONG KAWAYAN II</v>
      </c>
      <c r="AB188" s="1" t="str">
        <f>IFERROR(__xludf.DUMMYFUNCTION("""COMPUTED_VALUE"""),"GENERAL TRIAS")</f>
        <v>GENERAL TRIAS</v>
      </c>
      <c r="AC188" s="1" t="str">
        <f>IFERROR(__xludf.DUMMYFUNCTION("""COMPUTED_VALUE"""),"CVT6 LCP146NP1-6 CVT6 LCP147NP1-6 CVT6")</f>
        <v>CVT6 LCP146NP1-6 CVT6 LCP147NP1-6 CVT6</v>
      </c>
    </row>
    <row r="189" customHeight="1" spans="1:29">
      <c r="A189" s="3">
        <f>IFERROR(__xludf.DUMMYFUNCTION("""COMPUTED_VALUE"""),46277)</f>
        <v>46277</v>
      </c>
      <c r="B189" s="1" t="str">
        <f>IFERROR(__xludf.DUMMYFUNCTION("""COMPUTED_VALUE"""),"SEPTEMBER")</f>
        <v>SEPTEMBER</v>
      </c>
      <c r="C189" s="1" t="str">
        <f>IFERROR(__xludf.DUMMYFUNCTION("""COMPUTED_VALUE"""),"MHORRIENE CARDINAL")</f>
        <v>MHORRIENE CARDINAL</v>
      </c>
      <c r="D189" s="1" t="str">
        <f>IFERROR(__xludf.DUMMYFUNCTION("""COMPUTED_VALUE"""),"RITM0310185")</f>
        <v>RITM0310185</v>
      </c>
      <c r="E189" s="1"/>
      <c r="F189" s="1" t="str">
        <f>IFERROR(__xludf.DUMMYFUNCTION("""COMPUTED_VALUE"""),"9347926988")</f>
        <v>9347926988</v>
      </c>
      <c r="G189" s="1" t="str">
        <f>IFERROR(__xludf.DUMMYFUNCTION("""COMPUTED_VALUE"""),"mhorrienecardinal2015@gmail.com")</f>
        <v>mhorrienecardinal2015@gmail.com</v>
      </c>
      <c r="H189" s="1" t="str">
        <f>IFERROR(__xludf.DUMMYFUNCTION("""COMPUTED_VALUE"""),"CLOSED")</f>
        <v>CLOSED</v>
      </c>
      <c r="I189" s="1"/>
      <c r="J189" s="1"/>
      <c r="K189" s="1" t="str">
        <f>IFERROR(__xludf.DUMMYFUNCTION("""COMPUTED_VALUE"""),"PAID VIA GGCASH REF 578231940 SEP 12")</f>
        <v>PAID VIA GGCASH REF 578231940 SEP 12</v>
      </c>
      <c r="L189" s="1" t="str">
        <f>IFERROR(__xludf.DUMMYFUNCTION("""COMPUTED_VALUE"""),"PAID")</f>
        <v>PAID</v>
      </c>
      <c r="M189" s="1" t="str">
        <f>IFERROR(__xludf.DUMMYFUNCTION("""COMPUTED_VALUE"""),"POSTED")</f>
        <v>POSTED</v>
      </c>
      <c r="N189" s="1" t="str">
        <f>IFERROR(__xludf.DUMMYFUNCTION("""COMPUTED_VALUE"""),"9/13/2026")</f>
        <v>9/13/2026</v>
      </c>
      <c r="O189" s="1" t="str">
        <f>IFERROR(__xludf.DUMMYFUNCTION("""COMPUTED_VALUE"""),"BKRED_RS_HH_CVE_26")</f>
        <v>BKRED_RS_HH_CVE_26</v>
      </c>
      <c r="P189" s="1" t="str">
        <f>IFERROR(__xludf.DUMMYFUNCTION("""COMPUTED_VALUE"""),"RED FIBR 1400")</f>
        <v>RED FIBR 1400</v>
      </c>
      <c r="Q189" s="1" t="str">
        <f>IFERROR(__xludf.DUMMYFUNCTION("""COMPUTED_VALUE"""),"MMM018711")</f>
        <v>MMM018711</v>
      </c>
      <c r="R189" s="1" t="str">
        <f>IFERROR(__xludf.DUMMYFUNCTION("""COMPUTED_VALUE"""),"DEL ROSARIO. MIGGY LENARD")</f>
        <v>DEL ROSARIO. MIGGY LENARD</v>
      </c>
      <c r="S189" s="1" t="str">
        <f>IFERROR(__xludf.DUMMYFUNCTION("""COMPUTED_VALUE"""),"GARCIA MICHAEL JETTS")</f>
        <v>GARCIA MICHAEL JETTS</v>
      </c>
      <c r="T189" s="1" t="str">
        <f>IFERROR(__xludf.DUMMYFUNCTION("""COMPUTED_VALUE"""),"ESPIRITU JULIE")</f>
        <v>ESPIRITU JULIE</v>
      </c>
      <c r="U189" s="1"/>
      <c r="V189" s="1">
        <f>IFERROR(__xludf.DUMMYFUNCTION("""COMPUTED_VALUE"""),9190743499)</f>
        <v>9190743499</v>
      </c>
      <c r="W189" s="1">
        <f>IFERROR(__xludf.DUMMYFUNCTION("""COMPUTED_VALUE"""),9189628179)</f>
        <v>9189628179</v>
      </c>
      <c r="X189" s="1" t="str">
        <f>IFERROR(__xludf.DUMMYFUNCTION("""COMPUTED_VALUE"""),"BLK 5 LOT 2")</f>
        <v>BLK 5 LOT 2</v>
      </c>
      <c r="Y189" s="1" t="str">
        <f>IFERROR(__xludf.DUMMYFUNCTION("""COMPUTED_VALUE"""),"PHASE B")</f>
        <v>PHASE B</v>
      </c>
      <c r="Z189" s="1" t="str">
        <f>IFERROR(__xludf.DUMMYFUNCTION("""COMPUTED_VALUE"""),"PEARL RESIDENCES")</f>
        <v>PEARL RESIDENCES</v>
      </c>
      <c r="AA189" s="1" t="str">
        <f>IFERROR(__xludf.DUMMYFUNCTION("""COMPUTED_VALUE"""),"CAPIPISA")</f>
        <v>CAPIPISA</v>
      </c>
      <c r="AB189" s="1" t="str">
        <f>IFERROR(__xludf.DUMMYFUNCTION("""COMPUTED_VALUE"""),"TANZA")</f>
        <v>TANZA</v>
      </c>
      <c r="AC189" s="1" t="str">
        <f>IFERROR(__xludf.DUMMYFUNCTION("""COMPUTED_VALUE""")," ")</f>
        <v> </v>
      </c>
    </row>
    <row r="190" customHeight="1" spans="1:29">
      <c r="A190" s="3">
        <f>IFERROR(__xludf.DUMMYFUNCTION("""COMPUTED_VALUE"""),46278)</f>
        <v>46278</v>
      </c>
      <c r="B190" s="1" t="str">
        <f>IFERROR(__xludf.DUMMYFUNCTION("""COMPUTED_VALUE"""),"SEPTEMBER")</f>
        <v>SEPTEMBER</v>
      </c>
      <c r="C190" s="1" t="str">
        <f>IFERROR(__xludf.DUMMYFUNCTION("""COMPUTED_VALUE"""),"LOURAINE ARMIJO LIMPIADO")</f>
        <v>LOURAINE ARMIJO LIMPIADO</v>
      </c>
      <c r="D190" s="1" t="str">
        <f>IFERROR(__xludf.DUMMYFUNCTION("""COMPUTED_VALUE"""),"RITM0310259")</f>
        <v>RITM0310259</v>
      </c>
      <c r="E190" s="1"/>
      <c r="F190" s="1" t="str">
        <f>IFERROR(__xludf.DUMMYFUNCTION("""COMPUTED_VALUE"""),"4537855766")</f>
        <v>4537855766</v>
      </c>
      <c r="G190" s="1" t="str">
        <f>IFERROR(__xludf.DUMMYFUNCTION("""COMPUTED_VALUE"""),"rainearmijo8@gmail.com")</f>
        <v>rainearmijo8@gmail.com</v>
      </c>
      <c r="H190" s="1" t="str">
        <f>IFERROR(__xludf.DUMMYFUNCTION("""COMPUTED_VALUE"""),"CLOSED")</f>
        <v>CLOSED</v>
      </c>
      <c r="I190" s="1"/>
      <c r="J190" s="1"/>
      <c r="K190" s="1" t="str">
        <f>IFERROR(__xludf.DUMMYFUNCTION("""COMPUTED_VALUE"""),"PAID VIA GCASH REF 081760859 SEP 13")</f>
        <v>PAID VIA GCASH REF 081760859 SEP 13</v>
      </c>
      <c r="L190" s="1" t="str">
        <f>IFERROR(__xludf.DUMMYFUNCTION("""COMPUTED_VALUE"""),"PAID")</f>
        <v>PAID</v>
      </c>
      <c r="M190" s="1" t="str">
        <f>IFERROR(__xludf.DUMMYFUNCTION("""COMPUTED_VALUE"""),"POSTED")</f>
        <v>POSTED</v>
      </c>
      <c r="N190" s="1" t="str">
        <f>IFERROR(__xludf.DUMMYFUNCTION("""COMPUTED_VALUE"""),"9/13/2026")</f>
        <v>9/13/2026</v>
      </c>
      <c r="O190" s="1" t="str">
        <f>IFERROR(__xludf.DUMMYFUNCTION("""COMPUTED_VALUE"""),"BKRED_RS_HH_CVE_26")</f>
        <v>BKRED_RS_HH_CVE_26</v>
      </c>
      <c r="P190" s="1" t="str">
        <f>IFERROR(__xludf.DUMMYFUNCTION("""COMPUTED_VALUE"""),"SWITCHER PLAN 1400")</f>
        <v>SWITCHER PLAN 1400</v>
      </c>
      <c r="Q190" s="1" t="str">
        <f>IFERROR(__xludf.DUMMYFUNCTION("""COMPUTED_VALUE"""),"MMM018712")</f>
        <v>MMM018712</v>
      </c>
      <c r="R190" s="1" t="str">
        <f>IFERROR(__xludf.DUMMYFUNCTION("""COMPUTED_VALUE"""),"ARMIJO, LOUEI JAY")</f>
        <v>ARMIJO, LOUEI JAY</v>
      </c>
      <c r="S190" s="1" t="str">
        <f>IFERROR(__xludf.DUMMYFUNCTION("""COMPUTED_VALUE"""),"GARCIA MICHAEL JETTS")</f>
        <v>GARCIA MICHAEL JETTS</v>
      </c>
      <c r="T190" s="1" t="str">
        <f>IFERROR(__xludf.DUMMYFUNCTION("""COMPUTED_VALUE"""),"ESPIRITU JULIE")</f>
        <v>ESPIRITU JULIE</v>
      </c>
      <c r="U190" s="1"/>
      <c r="V190" s="1">
        <f>IFERROR(__xludf.DUMMYFUNCTION("""COMPUTED_VALUE"""),9686174350)</f>
        <v>9686174350</v>
      </c>
      <c r="W190" s="1">
        <f>IFERROR(__xludf.DUMMYFUNCTION("""COMPUTED_VALUE"""),9481751230)</f>
        <v>9481751230</v>
      </c>
      <c r="X190" s="1" t="str">
        <f>IFERROR(__xludf.DUMMYFUNCTION("""COMPUTED_VALUE"""),"BLK 1 LOT 4-5")</f>
        <v>BLK 1 LOT 4-5</v>
      </c>
      <c r="Y190" s="1" t="str">
        <f>IFERROR(__xludf.DUMMYFUNCTION("""COMPUTED_VALUE"""),"HEAR FOUNDATION RD")</f>
        <v>HEAR FOUNDATION RD</v>
      </c>
      <c r="Z190" s="1" t="str">
        <f>IFERROR(__xludf.DUMMYFUNCTION("""COMPUTED_VALUE"""),"HEAR FOUNDATION ")</f>
        <v>HEAR FOUNDATION </v>
      </c>
      <c r="AA190" s="1" t="str">
        <f>IFERROR(__xludf.DUMMYFUNCTION("""COMPUTED_VALUE"""),"AMAYA I")</f>
        <v>AMAYA I</v>
      </c>
      <c r="AB190" s="1" t="str">
        <f>IFERROR(__xludf.DUMMYFUNCTION("""COMPUTED_VALUE"""),"TANZA")</f>
        <v>TANZA</v>
      </c>
      <c r="AC190" s="1" t="str">
        <f>IFERROR(__xludf.DUMMYFUNCTION("""COMPUTED_VALUE"""),"CVT6 LCP222 NP3/4")</f>
        <v>CVT6 LCP222 NP3/4</v>
      </c>
    </row>
    <row r="191" customHeight="1" spans="1:29">
      <c r="A191" s="3">
        <f>IFERROR(__xludf.DUMMYFUNCTION("""COMPUTED_VALUE"""),46279)</f>
        <v>46279</v>
      </c>
      <c r="B191" s="1" t="str">
        <f>IFERROR(__xludf.DUMMYFUNCTION("""COMPUTED_VALUE"""),"SEPTEMBER")</f>
        <v>SEPTEMBER</v>
      </c>
      <c r="C191" s="1" t="str">
        <f>IFERROR(__xludf.DUMMYFUNCTION("""COMPUTED_VALUE"""),"DELMARK BERCHES VELASCO")</f>
        <v>DELMARK BERCHES VELASCO</v>
      </c>
      <c r="D191" s="1" t="str">
        <f>IFERROR(__xludf.DUMMYFUNCTION("""COMPUTED_VALUE"""),"RITM0310344")</f>
        <v>RITM0310344</v>
      </c>
      <c r="E191" s="1"/>
      <c r="F191" s="1" t="str">
        <f>IFERROR(__xludf.DUMMYFUNCTION("""COMPUTED_VALUE"""),"3448411879")</f>
        <v>3448411879</v>
      </c>
      <c r="G191" s="1" t="str">
        <f>IFERROR(__xludf.DUMMYFUNCTION("""COMPUTED_VALUE"""),"deyvelascov21@gmail.com")</f>
        <v>deyvelascov21@gmail.com</v>
      </c>
      <c r="H191" s="1" t="str">
        <f>IFERROR(__xludf.DUMMYFUNCTION("""COMPUTED_VALUE"""),"CLOSED")</f>
        <v>CLOSED</v>
      </c>
      <c r="I191" s="1"/>
      <c r="J191" s="1"/>
      <c r="K191" s="1" t="str">
        <f>IFERROR(__xludf.DUMMYFUNCTION("""COMPUTED_VALUE"""),"PAID THRU BAYAD CENTER REF - RADI23718C3N0AFZ SEP 14")</f>
        <v>PAID THRU BAYAD CENTER REF - RADI23718C3N0AFZ SEP 14</v>
      </c>
      <c r="L191" s="1" t="str">
        <f>IFERROR(__xludf.DUMMYFUNCTION("""COMPUTED_VALUE"""),"PAID")</f>
        <v>PAID</v>
      </c>
      <c r="M191" s="1" t="str">
        <f>IFERROR(__xludf.DUMMYFUNCTION("""COMPUTED_VALUE"""),"POSTED")</f>
        <v>POSTED</v>
      </c>
      <c r="N191" s="1" t="str">
        <f>IFERROR(__xludf.DUMMYFUNCTION("""COMPUTED_VALUE"""),"9/14/2026")</f>
        <v>9/14/2026</v>
      </c>
      <c r="O191" s="1" t="str">
        <f>IFERROR(__xludf.DUMMYFUNCTION("""COMPUTED_VALUE"""),"BKRED_RS_HH_CVE_26")</f>
        <v>BKRED_RS_HH_CVE_26</v>
      </c>
      <c r="P191" s="1" t="str">
        <f>IFERROR(__xludf.DUMMYFUNCTION("""COMPUTED_VALUE"""),"RED FIBR 1000")</f>
        <v>RED FIBR 1000</v>
      </c>
      <c r="Q191" s="1" t="str">
        <f>IFERROR(__xludf.DUMMYFUNCTION("""COMPUTED_VALUE"""),"MMM018709")</f>
        <v>MMM018709</v>
      </c>
      <c r="R191" s="1" t="str">
        <f>IFERROR(__xludf.DUMMYFUNCTION("""COMPUTED_VALUE"""),"KAWAUCHI, SHANE")</f>
        <v>KAWAUCHI, SHANE</v>
      </c>
      <c r="S191" s="1" t="str">
        <f>IFERROR(__xludf.DUMMYFUNCTION("""COMPUTED_VALUE"""),"GARCIA MICHAEL JETTS")</f>
        <v>GARCIA MICHAEL JETTS</v>
      </c>
      <c r="T191" s="1" t="str">
        <f>IFERROR(__xludf.DUMMYFUNCTION("""COMPUTED_VALUE"""),"ESPIRITU JULIE")</f>
        <v>ESPIRITU JULIE</v>
      </c>
      <c r="U191" s="1"/>
      <c r="V191" s="1">
        <f>IFERROR(__xludf.DUMMYFUNCTION("""COMPUTED_VALUE"""),9949402885)</f>
        <v>9949402885</v>
      </c>
      <c r="W191" s="1">
        <f>IFERROR(__xludf.DUMMYFUNCTION("""COMPUTED_VALUE"""),9919187145)</f>
        <v>9919187145</v>
      </c>
      <c r="X191" s="1" t="str">
        <f>IFERROR(__xludf.DUMMYFUNCTION("""COMPUTED_VALUE"""),"360")</f>
        <v>360</v>
      </c>
      <c r="Y191" s="1" t="str">
        <f>IFERROR(__xludf.DUMMYFUNCTION("""COMPUTED_VALUE"""),"BANANA ISLAND ST")</f>
        <v>BANANA ISLAND ST</v>
      </c>
      <c r="Z191" s="1"/>
      <c r="AA191" s="1" t="str">
        <f>IFERROR(__xludf.DUMMYFUNCTION("""COMPUTED_VALUE"""),"DAANG AMAYA II")</f>
        <v>DAANG AMAYA II</v>
      </c>
      <c r="AB191" s="1" t="str">
        <f>IFERROR(__xludf.DUMMYFUNCTION("""COMPUTED_VALUE"""),"TANZA")</f>
        <v>TANZA</v>
      </c>
      <c r="AC191" s="1" t="str">
        <f>IFERROR(__xludf.DUMMYFUNCTION("""COMPUTED_VALUE"""),"CVT6LCP218NP1/2/3/4")</f>
        <v>CVT6LCP218NP1/2/3/4</v>
      </c>
    </row>
    <row r="192" customHeight="1" spans="1:29">
      <c r="A192" s="3">
        <f>IFERROR(__xludf.DUMMYFUNCTION("""COMPUTED_VALUE"""),46279)</f>
        <v>46279</v>
      </c>
      <c r="B192" s="1" t="str">
        <f>IFERROR(__xludf.DUMMYFUNCTION("""COMPUTED_VALUE"""),"SEPTEMBER")</f>
        <v>SEPTEMBER</v>
      </c>
      <c r="C192" s="1" t="str">
        <f>IFERROR(__xludf.DUMMYFUNCTION("""COMPUTED_VALUE"""),"JERRICK PAMINTEL POYO")</f>
        <v>JERRICK PAMINTEL POYO</v>
      </c>
      <c r="D192" s="1" t="str">
        <f>IFERROR(__xludf.DUMMYFUNCTION("""COMPUTED_VALUE"""),"RITM0310389")</f>
        <v>RITM0310389</v>
      </c>
      <c r="E192" s="1"/>
      <c r="F192" s="1" t="str">
        <f>IFERROR(__xludf.DUMMYFUNCTION("""COMPUTED_VALUE"""),"7665589183")</f>
        <v>7665589183</v>
      </c>
      <c r="G192" s="1" t="str">
        <f>IFERROR(__xludf.DUMMYFUNCTION("""COMPUTED_VALUE"""),"ahramjhe@gmail.com")</f>
        <v>ahramjhe@gmail.com</v>
      </c>
      <c r="H192" s="1" t="str">
        <f>IFERROR(__xludf.DUMMYFUNCTION("""COMPUTED_VALUE"""),"CLOSED")</f>
        <v>CLOSED</v>
      </c>
      <c r="I192" s="1"/>
      <c r="J192" s="1"/>
      <c r="K192" s="1" t="str">
        <f>IFERROR(__xludf.DUMMYFUNCTION("""COMPUTED_VALUE"""),"PAID VIA GCASH REF 26257ETQP1DAF79F SEP 14")</f>
        <v>PAID VIA GCASH REF 26257ETQP1DAF79F SEP 14</v>
      </c>
      <c r="L192" s="1" t="str">
        <f>IFERROR(__xludf.DUMMYFUNCTION("""COMPUTED_VALUE"""),"PAID")</f>
        <v>PAID</v>
      </c>
      <c r="M192" s="1" t="str">
        <f>IFERROR(__xludf.DUMMYFUNCTION("""COMPUTED_VALUE"""),"POSTED")</f>
        <v>POSTED</v>
      </c>
      <c r="N192" s="1" t="str">
        <f>IFERROR(__xludf.DUMMYFUNCTION("""COMPUTED_VALUE"""),"9/16/2026")</f>
        <v>9/16/2026</v>
      </c>
      <c r="O192" s="1" t="str">
        <f>IFERROR(__xludf.DUMMYFUNCTION("""COMPUTED_VALUE"""),"BKRED_RS_HH_CVE_26")</f>
        <v>BKRED_RS_HH_CVE_26</v>
      </c>
      <c r="P192" s="1" t="str">
        <f>IFERROR(__xludf.DUMMYFUNCTION("""COMPUTED_VALUE"""),"RED FIBR 1400")</f>
        <v>RED FIBR 1400</v>
      </c>
      <c r="Q192" s="1" t="str">
        <f>IFERROR(__xludf.DUMMYFUNCTION("""COMPUTED_VALUE"""),"MMM018711")</f>
        <v>MMM018711</v>
      </c>
      <c r="R192" s="1" t="str">
        <f>IFERROR(__xludf.DUMMYFUNCTION("""COMPUTED_VALUE"""),"SANTOS, FRANZ IVAN")</f>
        <v>SANTOS, FRANZ IVAN</v>
      </c>
      <c r="S192" s="1" t="str">
        <f>IFERROR(__xludf.DUMMYFUNCTION("""COMPUTED_VALUE"""),"GARCIA MICHAEL JETTS")</f>
        <v>GARCIA MICHAEL JETTS</v>
      </c>
      <c r="T192" s="1" t="str">
        <f>IFERROR(__xludf.DUMMYFUNCTION("""COMPUTED_VALUE"""),"ESPIRITU JULIE")</f>
        <v>ESPIRITU JULIE</v>
      </c>
      <c r="U192" s="1"/>
      <c r="V192" s="1">
        <f>IFERROR(__xludf.DUMMYFUNCTION("""COMPUTED_VALUE"""),9561474317)</f>
        <v>9561474317</v>
      </c>
      <c r="W192" s="1"/>
      <c r="X192" s="1" t="str">
        <f>IFERROR(__xludf.DUMMYFUNCTION("""COMPUTED_VALUE"""),"10")</f>
        <v>10</v>
      </c>
      <c r="Y192" s="1" t="str">
        <f>IFERROR(__xludf.DUMMYFUNCTION("""COMPUTED_VALUE"""),"MABINI ST")</f>
        <v>MABINI ST</v>
      </c>
      <c r="Z192" s="1"/>
      <c r="AA192" s="1" t="str">
        <f>IFERROR(__xludf.DUMMYFUNCTION("""COMPUTED_VALUE"""),"AMAYA II")</f>
        <v>AMAYA II</v>
      </c>
      <c r="AB192" s="1" t="str">
        <f>IFERROR(__xludf.DUMMYFUNCTION("""COMPUTED_VALUE"""),"TANZA")</f>
        <v>TANZA</v>
      </c>
      <c r="AC192" s="1" t="str">
        <f>IFERROR(__xludf.DUMMYFUNCTION("""COMPUTED_VALUE"""),"CVT6LCP221NP1-6")</f>
        <v>CVT6LCP221NP1-6</v>
      </c>
    </row>
    <row r="193" customHeight="1" spans="1:29">
      <c r="A193" s="3">
        <f>IFERROR(__xludf.DUMMYFUNCTION("""COMPUTED_VALUE"""),46279)</f>
        <v>46279</v>
      </c>
      <c r="B193" s="1" t="str">
        <f>IFERROR(__xludf.DUMMYFUNCTION("""COMPUTED_VALUE"""),"SEPTEMBER")</f>
        <v>SEPTEMBER</v>
      </c>
      <c r="C193" s="1" t="str">
        <f>IFERROR(__xludf.DUMMYFUNCTION("""COMPUTED_VALUE"""),"RENATO ARBIS MAYUYO JR")</f>
        <v>RENATO ARBIS MAYUYO JR</v>
      </c>
      <c r="D193" s="1" t="str">
        <f>IFERROR(__xludf.DUMMYFUNCTION("""COMPUTED_VALUE"""),"RITM0310397")</f>
        <v>RITM0310397</v>
      </c>
      <c r="E193" s="1"/>
      <c r="F193" s="1"/>
      <c r="G193" s="1" t="str">
        <f>IFERROR(__xludf.DUMMYFUNCTION("""COMPUTED_VALUE"""),"mayuyojrr@gmail.com")</f>
        <v>mayuyojrr@gmail.com</v>
      </c>
      <c r="H193" s="1" t="str">
        <f>IFERROR(__xludf.DUMMYFUNCTION("""COMPUTED_VALUE"""),"APPROVED")</f>
        <v>APPROVED</v>
      </c>
      <c r="I193" s="1"/>
      <c r="J193" s="1" t="str">
        <f>IFERROR(__xludf.DUMMYFUNCTION("""COMPUTED_VALUE"""),"As per agent ayaw pa daw pong mag bayad kase di pa daw start sa work from home inaantay lang daw para di sayang. 9/19")</f>
        <v>As per agent ayaw pa daw pong mag bayad kase di pa daw start sa work from home inaantay lang daw para di sayang. 9/19</v>
      </c>
      <c r="K193" s="1"/>
      <c r="L193" s="1"/>
      <c r="M193" s="1" t="str">
        <f>IFERROR(__xludf.DUMMYFUNCTION("""COMPUTED_VALUE"""),"CANCELLED")</f>
        <v>CANCELLED</v>
      </c>
      <c r="N193" s="1"/>
      <c r="O193" s="1" t="str">
        <f>IFERROR(__xludf.DUMMYFUNCTION("""COMPUTED_VALUE"""),"BKRED_RS_HH_CVE_26")</f>
        <v>BKRED_RS_HH_CVE_26</v>
      </c>
      <c r="P193" s="1" t="str">
        <f>IFERROR(__xludf.DUMMYFUNCTION("""COMPUTED_VALUE"""),"RED FIBR 1000")</f>
        <v>RED FIBR 1000</v>
      </c>
      <c r="Q193" s="1" t="str">
        <f>IFERROR(__xludf.DUMMYFUNCTION("""COMPUTED_VALUE"""),"MMM018709")</f>
        <v>MMM018709</v>
      </c>
      <c r="R193" s="1" t="str">
        <f>IFERROR(__xludf.DUMMYFUNCTION("""COMPUTED_VALUE"""),"KAWAUCHI, SHANE")</f>
        <v>KAWAUCHI, SHANE</v>
      </c>
      <c r="S193" s="1" t="str">
        <f>IFERROR(__xludf.DUMMYFUNCTION("""COMPUTED_VALUE"""),"GARCIA MICHAEL JETTS")</f>
        <v>GARCIA MICHAEL JETTS</v>
      </c>
      <c r="T193" s="1" t="str">
        <f>IFERROR(__xludf.DUMMYFUNCTION("""COMPUTED_VALUE"""),"ESPIRITU JULIE")</f>
        <v>ESPIRITU JULIE</v>
      </c>
      <c r="U193" s="1"/>
      <c r="V193" s="1">
        <f>IFERROR(__xludf.DUMMYFUNCTION("""COMPUTED_VALUE"""),9920625965)</f>
        <v>9920625965</v>
      </c>
      <c r="W193" s="1"/>
      <c r="X193" s="1" t="str">
        <f>IFERROR(__xludf.DUMMYFUNCTION("""COMPUTED_VALUE"""),"243")</f>
        <v>243</v>
      </c>
      <c r="Y193" s="1" t="str">
        <f>IFERROR(__xludf.DUMMYFUNCTION("""COMPUTED_VALUE"""),"CALLEJON 13 ST")</f>
        <v>CALLEJON 13 ST</v>
      </c>
      <c r="Z193" s="1"/>
      <c r="AA193" s="1" t="str">
        <f>IFERROR(__xludf.DUMMYFUNCTION("""COMPUTED_VALUE"""),"JULUGAN I")</f>
        <v>JULUGAN I</v>
      </c>
      <c r="AB193" s="1" t="str">
        <f>IFERROR(__xludf.DUMMYFUNCTION("""COMPUTED_VALUE"""),"TANZA")</f>
        <v>TANZA</v>
      </c>
      <c r="AC193" s="1" t="str">
        <f>IFERROR(__xludf.DUMMYFUNCTION("""COMPUTED_VALUE"""),"CVT6-L213N5-7")</f>
        <v>CVT6-L213N5-7</v>
      </c>
    </row>
    <row r="194" customHeight="1" spans="1:29">
      <c r="A194" s="3">
        <f>IFERROR(__xludf.DUMMYFUNCTION("""COMPUTED_VALUE"""),46280)</f>
        <v>46280</v>
      </c>
      <c r="B194" s="1" t="str">
        <f>IFERROR(__xludf.DUMMYFUNCTION("""COMPUTED_VALUE"""),"SEPTEMBER")</f>
        <v>SEPTEMBER</v>
      </c>
      <c r="C194" s="1" t="str">
        <f>IFERROR(__xludf.DUMMYFUNCTION("""COMPUTED_VALUE"""),"DANNICA ABDON TALARO")</f>
        <v>DANNICA ABDON TALARO</v>
      </c>
      <c r="D194" s="1" t="str">
        <f>IFERROR(__xludf.DUMMYFUNCTION("""COMPUTED_VALUE"""),"RITM0310476")</f>
        <v>RITM0310476</v>
      </c>
      <c r="E194" s="1"/>
      <c r="F194" s="1"/>
      <c r="G194" s="1" t="str">
        <f>IFERROR(__xludf.DUMMYFUNCTION("""COMPUTED_VALUE"""),"talarodannica@gmail.com")</f>
        <v>talarodannica@gmail.com</v>
      </c>
      <c r="H194" s="1" t="str">
        <f>IFERROR(__xludf.DUMMYFUNCTION("""COMPUTED_VALUE"""),"APPROVED")</f>
        <v>APPROVED</v>
      </c>
      <c r="I194" s="1"/>
      <c r="J194" s="1" t="str">
        <f>IFERROR(__xludf.DUMMYFUNCTION("""COMPUTED_VALUE"""),"NO EMAIL RECEIVE FROM RED FIBER")</f>
        <v>NO EMAIL RECEIVE FROM RED FIBER</v>
      </c>
      <c r="K194" s="1"/>
      <c r="L194" s="1"/>
      <c r="M194" s="1" t="str">
        <f>IFERROR(__xludf.DUMMYFUNCTION("""COMPUTED_VALUE"""),"CANCEL RECREATE - FOR CHANGE EMAIL")</f>
        <v>CANCEL RECREATE - FOR CHANGE EMAIL</v>
      </c>
      <c r="N194" s="1"/>
      <c r="O194" s="1" t="str">
        <f>IFERROR(__xludf.DUMMYFUNCTION("""COMPUTED_VALUE"""),"BKRED_RS_HH_CVE_26")</f>
        <v>BKRED_RS_HH_CVE_26</v>
      </c>
      <c r="P194" s="1" t="str">
        <f>IFERROR(__xludf.DUMMYFUNCTION("""COMPUTED_VALUE"""),"RED FIBR 1000")</f>
        <v>RED FIBR 1000</v>
      </c>
      <c r="Q194" s="1" t="str">
        <f>IFERROR(__xludf.DUMMYFUNCTION("""COMPUTED_VALUE"""),"MMM018711")</f>
        <v>MMM018711</v>
      </c>
      <c r="R194" s="1" t="str">
        <f>IFERROR(__xludf.DUMMYFUNCTION("""COMPUTED_VALUE"""),"SANTOS, FRANZ IVAN")</f>
        <v>SANTOS, FRANZ IVAN</v>
      </c>
      <c r="S194" s="1" t="str">
        <f>IFERROR(__xludf.DUMMYFUNCTION("""COMPUTED_VALUE"""),"GARCIA MICHAEL JETTS")</f>
        <v>GARCIA MICHAEL JETTS</v>
      </c>
      <c r="T194" s="1" t="str">
        <f>IFERROR(__xludf.DUMMYFUNCTION("""COMPUTED_VALUE"""),"ESPIRITU JULIE")</f>
        <v>ESPIRITU JULIE</v>
      </c>
      <c r="U194" s="1"/>
      <c r="V194" s="1">
        <f>IFERROR(__xludf.DUMMYFUNCTION("""COMPUTED_VALUE"""),9625422360)</f>
        <v>9625422360</v>
      </c>
      <c r="W194" s="1"/>
      <c r="X194" s="1" t="str">
        <f>IFERROR(__xludf.DUMMYFUNCTION("""COMPUTED_VALUE"""),"635")</f>
        <v>635</v>
      </c>
      <c r="Y194" s="1" t="str">
        <f>IFERROR(__xludf.DUMMYFUNCTION("""COMPUTED_VALUE"""),"TRAMO SILANGAN")</f>
        <v>TRAMO SILANGAN</v>
      </c>
      <c r="Z194" s="1"/>
      <c r="AA194" s="1" t="str">
        <f>IFERROR(__xludf.DUMMYFUNCTION("""COMPUTED_VALUE"""),"HALAYHAY")</f>
        <v>HALAYHAY</v>
      </c>
      <c r="AB194" s="1" t="str">
        <f>IFERROR(__xludf.DUMMYFUNCTION("""COMPUTED_VALUE"""),"TANZA")</f>
        <v>TANZA</v>
      </c>
      <c r="AC194" s="1" t="str">
        <f>IFERROR(__xludf.DUMMYFUNCTION("""COMPUTED_VALUE"""),"CVT6LCP229NP5/6/7/8")</f>
        <v>CVT6LCP229NP5/6/7/8</v>
      </c>
    </row>
    <row r="195" customHeight="1" spans="1:29">
      <c r="A195" s="3">
        <f>IFERROR(__xludf.DUMMYFUNCTION("""COMPUTED_VALUE"""),46280)</f>
        <v>46280</v>
      </c>
      <c r="B195" s="1" t="str">
        <f>IFERROR(__xludf.DUMMYFUNCTION("""COMPUTED_VALUE"""),"SEPTEMBER")</f>
        <v>SEPTEMBER</v>
      </c>
      <c r="C195" s="1" t="str">
        <f>IFERROR(__xludf.DUMMYFUNCTION("""COMPUTED_VALUE"""),"JOHN ACE COLLADO BERNARTE")</f>
        <v>JOHN ACE COLLADO BERNARTE</v>
      </c>
      <c r="D195" s="1" t="str">
        <f>IFERROR(__xludf.DUMMYFUNCTION("""COMPUTED_VALUE"""),"RITM0310491")</f>
        <v>RITM0310491</v>
      </c>
      <c r="E195" s="1"/>
      <c r="F195" s="1"/>
      <c r="G195" s="1" t="str">
        <f>IFERROR(__xludf.DUMMYFUNCTION("""COMPUTED_VALUE"""),"gagambangbotete028@gmail.com")</f>
        <v>gagambangbotete028@gmail.com</v>
      </c>
      <c r="H195" s="1" t="str">
        <f>IFERROR(__xludf.DUMMYFUNCTION("""COMPUTED_VALUE"""),"APPROVED")</f>
        <v>APPROVED</v>
      </c>
      <c r="I195" s="1"/>
      <c r="J195" s="1" t="str">
        <f>IFERROR(__xludf.DUMMYFUNCTION("""COMPUTED_VALUE"""),"Checking palang po si subs if may nareceive na email 9/19 - CANNOT BE REACHED 9/25")</f>
        <v>Checking palang po si subs if may nareceive na email 9/19 - CANNOT BE REACHED 9/25</v>
      </c>
      <c r="K195" s="1"/>
      <c r="L195" s="1"/>
      <c r="M195" s="1" t="str">
        <f>IFERROR(__xludf.DUMMYFUNCTION("""COMPUTED_VALUE"""),"CANCELLED - SUBS CANCEL REQUEST")</f>
        <v>CANCELLED - SUBS CANCEL REQUEST</v>
      </c>
      <c r="N195" s="1"/>
      <c r="O195" s="1" t="str">
        <f>IFERROR(__xludf.DUMMYFUNCTION("""COMPUTED_VALUE"""),"BKRED_RS_HH_CVE_26")</f>
        <v>BKRED_RS_HH_CVE_26</v>
      </c>
      <c r="P195" s="1" t="str">
        <f>IFERROR(__xludf.DUMMYFUNCTION("""COMPUTED_VALUE"""),"RED FIBR 1000")</f>
        <v>RED FIBR 1000</v>
      </c>
      <c r="Q195" s="1" t="str">
        <f>IFERROR(__xludf.DUMMYFUNCTION("""COMPUTED_VALUE"""),"MMM018711")</f>
        <v>MMM018711</v>
      </c>
      <c r="R195" s="1" t="str">
        <f>IFERROR(__xludf.DUMMYFUNCTION("""COMPUTED_VALUE"""),"YOLANGCO, JOJO")</f>
        <v>YOLANGCO, JOJO</v>
      </c>
      <c r="S195" s="1" t="str">
        <f>IFERROR(__xludf.DUMMYFUNCTION("""COMPUTED_VALUE"""),"GARCIA MICHAEL JETTS")</f>
        <v>GARCIA MICHAEL JETTS</v>
      </c>
      <c r="T195" s="1" t="str">
        <f>IFERROR(__xludf.DUMMYFUNCTION("""COMPUTED_VALUE"""),"ESPIRITU JULIE")</f>
        <v>ESPIRITU JULIE</v>
      </c>
      <c r="U195" s="1"/>
      <c r="V195" s="1">
        <f>IFERROR(__xludf.DUMMYFUNCTION("""COMPUTED_VALUE"""),9530965900)</f>
        <v>9530965900</v>
      </c>
      <c r="W195" s="1"/>
      <c r="X195" s="1" t="str">
        <f>IFERROR(__xludf.DUMMYFUNCTION("""COMPUTED_VALUE"""),"31")</f>
        <v>31</v>
      </c>
      <c r="Y195" s="1" t="str">
        <f>IFERROR(__xludf.DUMMYFUNCTION("""COMPUTED_VALUE"""),"POSTEMA TRAMONG BABA")</f>
        <v>POSTEMA TRAMONG BABA</v>
      </c>
      <c r="Z195" s="1"/>
      <c r="AA195" s="1" t="str">
        <f>IFERROR(__xludf.DUMMYFUNCTION("""COMPUTED_VALUE"""),"SAHUD ULAN")</f>
        <v>SAHUD ULAN</v>
      </c>
      <c r="AB195" s="1" t="str">
        <f>IFERROR(__xludf.DUMMYFUNCTION("""COMPUTED_VALUE"""),"TANZA")</f>
        <v>TANZA</v>
      </c>
      <c r="AC195" s="1" t="str">
        <f>IFERROR(__xludf.DUMMYFUNCTION("""COMPUTED_VALUE"""),"CVT6LCP22NP7/8")</f>
        <v>CVT6LCP22NP7/8</v>
      </c>
    </row>
    <row r="196" customHeight="1" spans="1:29">
      <c r="A196" s="3">
        <f>IFERROR(__xludf.DUMMYFUNCTION("""COMPUTED_VALUE"""),46280)</f>
        <v>46280</v>
      </c>
      <c r="B196" s="1" t="str">
        <f>IFERROR(__xludf.DUMMYFUNCTION("""COMPUTED_VALUE"""),"SEPTEMBER")</f>
        <v>SEPTEMBER</v>
      </c>
      <c r="C196" s="1" t="str">
        <f>IFERROR(__xludf.DUMMYFUNCTION("""COMPUTED_VALUE"""),"DANNICA ABDON TALARO")</f>
        <v>DANNICA ABDON TALARO</v>
      </c>
      <c r="D196" s="1" t="str">
        <f>IFERROR(__xludf.DUMMYFUNCTION("""COMPUTED_VALUE"""),"RITM0310516")</f>
        <v>RITM0310516</v>
      </c>
      <c r="E196" s="1"/>
      <c r="F196" s="1"/>
      <c r="G196" s="1" t="str">
        <f>IFERROR(__xludf.DUMMYFUNCTION("""COMPUTED_VALUE"""),"talarodanica19@gmail.com")</f>
        <v>talarodanica19@gmail.com</v>
      </c>
      <c r="H196" s="1" t="str">
        <f>IFERROR(__xludf.DUMMYFUNCTION("""COMPUTED_VALUE"""),"APPROVED")</f>
        <v>APPROVED</v>
      </c>
      <c r="I196" s="1"/>
      <c r="J196" s="1" t="str">
        <f>IFERROR(__xludf.DUMMYFUNCTION("""COMPUTED_VALUE"""),"NO EMAIL RECEIVE FROM RED FIBER - DONE ENDORSED TO IT - FOR REENCODE W/UNIQUE EMAIL")</f>
        <v>NO EMAIL RECEIVE FROM RED FIBER - DONE ENDORSED TO IT - FOR REENCODE W/UNIQUE EMAIL</v>
      </c>
      <c r="K196" s="1"/>
      <c r="L196" s="1"/>
      <c r="M196" s="1" t="str">
        <f>IFERROR(__xludf.DUMMYFUNCTION("""COMPUTED_VALUE"""),"CANCEL RECREATE - FOR CHANGE EMAIL")</f>
        <v>CANCEL RECREATE - FOR CHANGE EMAIL</v>
      </c>
      <c r="N196" s="1"/>
      <c r="O196" s="1" t="str">
        <f>IFERROR(__xludf.DUMMYFUNCTION("""COMPUTED_VALUE"""),"BKRED_RS_HH_CVE_26")</f>
        <v>BKRED_RS_HH_CVE_26</v>
      </c>
      <c r="P196" s="1" t="str">
        <f>IFERROR(__xludf.DUMMYFUNCTION("""COMPUTED_VALUE"""),"RED FIBR 1000")</f>
        <v>RED FIBR 1000</v>
      </c>
      <c r="Q196" s="1" t="str">
        <f>IFERROR(__xludf.DUMMYFUNCTION("""COMPUTED_VALUE"""),"MMM018711")</f>
        <v>MMM018711</v>
      </c>
      <c r="R196" s="1" t="str">
        <f>IFERROR(__xludf.DUMMYFUNCTION("""COMPUTED_VALUE"""),"SANTOS, FRANZ IVAN")</f>
        <v>SANTOS, FRANZ IVAN</v>
      </c>
      <c r="S196" s="1" t="str">
        <f>IFERROR(__xludf.DUMMYFUNCTION("""COMPUTED_VALUE"""),"GARCIA MICHAEL JETTS")</f>
        <v>GARCIA MICHAEL JETTS</v>
      </c>
      <c r="T196" s="1" t="str">
        <f>IFERROR(__xludf.DUMMYFUNCTION("""COMPUTED_VALUE"""),"ESPIRITU JULIE")</f>
        <v>ESPIRITU JULIE</v>
      </c>
      <c r="U196" s="1"/>
      <c r="V196" s="1">
        <f>IFERROR(__xludf.DUMMYFUNCTION("""COMPUTED_VALUE"""),9625422360)</f>
        <v>9625422360</v>
      </c>
      <c r="W196" s="1"/>
      <c r="X196" s="1" t="str">
        <f>IFERROR(__xludf.DUMMYFUNCTION("""COMPUTED_VALUE"""),"635")</f>
        <v>635</v>
      </c>
      <c r="Y196" s="1" t="str">
        <f>IFERROR(__xludf.DUMMYFUNCTION("""COMPUTED_VALUE"""),"TRAMO SILANGAN")</f>
        <v>TRAMO SILANGAN</v>
      </c>
      <c r="Z196" s="1"/>
      <c r="AA196" s="1" t="str">
        <f>IFERROR(__xludf.DUMMYFUNCTION("""COMPUTED_VALUE"""),"HALAYHAY")</f>
        <v>HALAYHAY</v>
      </c>
      <c r="AB196" s="1" t="str">
        <f>IFERROR(__xludf.DUMMYFUNCTION("""COMPUTED_VALUE"""),"TANZA")</f>
        <v>TANZA</v>
      </c>
      <c r="AC196" s="1" t="str">
        <f>IFERROR(__xludf.DUMMYFUNCTION("""COMPUTED_VALUE"""),"CVT6LCP229NP5/6/7/8")</f>
        <v>CVT6LCP229NP5/6/7/8</v>
      </c>
    </row>
    <row r="197" customHeight="1" spans="1:29">
      <c r="A197" s="3">
        <f>IFERROR(__xludf.DUMMYFUNCTION("""COMPUTED_VALUE"""),46281)</f>
        <v>46281</v>
      </c>
      <c r="B197" s="1" t="str">
        <f>IFERROR(__xludf.DUMMYFUNCTION("""COMPUTED_VALUE"""),"SEPTEMBER")</f>
        <v>SEPTEMBER</v>
      </c>
      <c r="C197" s="1" t="str">
        <f>IFERROR(__xludf.DUMMYFUNCTION("""COMPUTED_VALUE"""),"CARMELO OCAMPO ESPINOSA")</f>
        <v>CARMELO OCAMPO ESPINOSA</v>
      </c>
      <c r="D197" s="1" t="str">
        <f>IFERROR(__xludf.DUMMYFUNCTION("""COMPUTED_VALUE"""),"RITM0310671")</f>
        <v>RITM0310671</v>
      </c>
      <c r="E197" s="1"/>
      <c r="F197" s="1" t="str">
        <f>IFERROR(__xludf.DUMMYFUNCTION("""COMPUTED_VALUE"""),"4716459161")</f>
        <v>4716459161</v>
      </c>
      <c r="G197" s="1" t="str">
        <f>IFERROR(__xludf.DUMMYFUNCTION("""COMPUTED_VALUE"""),"renzjosephespinosa@gmail.com")</f>
        <v>renzjosephespinosa@gmail.com</v>
      </c>
      <c r="H197" s="1" t="str">
        <f>IFERROR(__xludf.DUMMYFUNCTION("""COMPUTED_VALUE"""),"APPROVED")</f>
        <v>APPROVED</v>
      </c>
      <c r="I197" s="1" t="str">
        <f>IFERROR(__xludf.DUMMYFUNCTION("""COMPUTED_VALUE"""),"RWO - NO POLE ATTACHMENT")</f>
        <v>RWO - NO POLE ATTACHMENT</v>
      </c>
      <c r="J197" s="1" t="str">
        <f>IFERROR(__xludf.DUMMYFUNCTION("""COMPUTED_VALUE"""),"FOR REFUND")</f>
        <v>FOR REFUND</v>
      </c>
      <c r="K197" s="1" t="str">
        <f>IFERROR(__xludf.DUMMYFUNCTION("""COMPUTED_VALUE"""),"PAID VIA GCASH REF492902582 SEP 16")</f>
        <v>PAID VIA GCASH REF492902582 SEP 16</v>
      </c>
      <c r="L197" s="1" t="str">
        <f>IFERROR(__xludf.DUMMYFUNCTION("""COMPUTED_VALUE"""),"PAID")</f>
        <v>PAID</v>
      </c>
      <c r="M197" s="1" t="str">
        <f>IFERROR(__xludf.DUMMYFUNCTION("""COMPUTED_VALUE"""),"RPR - UNMAINTAINABLE")</f>
        <v>RPR - UNMAINTAINABLE</v>
      </c>
      <c r="N197" s="1"/>
      <c r="O197" s="1" t="str">
        <f>IFERROR(__xludf.DUMMYFUNCTION("""COMPUTED_VALUE"""),"RED_RS_ONL_CVE_25")</f>
        <v>RED_RS_ONL_CVE_25</v>
      </c>
      <c r="P197" s="1" t="str">
        <f>IFERROR(__xludf.DUMMYFUNCTION("""COMPUTED_VALUE"""),"RED FIBR 1000")</f>
        <v>RED FIBR 1000</v>
      </c>
      <c r="Q197" s="1" t="str">
        <f>IFERROR(__xludf.DUMMYFUNCTION("""COMPUTED_VALUE"""),"MMM018712")</f>
        <v>MMM018712</v>
      </c>
      <c r="R197" s="1" t="str">
        <f>IFERROR(__xludf.DUMMYFUNCTION("""COMPUTED_VALUE"""),"YOLANGCO, MARVIN")</f>
        <v>YOLANGCO, MARVIN</v>
      </c>
      <c r="S197" s="1" t="str">
        <f>IFERROR(__xludf.DUMMYFUNCTION("""COMPUTED_VALUE"""),"GARCIA MICHAEL JETTS")</f>
        <v>GARCIA MICHAEL JETTS</v>
      </c>
      <c r="T197" s="1" t="str">
        <f>IFERROR(__xludf.DUMMYFUNCTION("""COMPUTED_VALUE"""),"SALIOA JB")</f>
        <v>SALIOA JB</v>
      </c>
      <c r="U197" s="1"/>
      <c r="V197" s="1">
        <f>IFERROR(__xludf.DUMMYFUNCTION("""COMPUTED_VALUE"""),9091468178)</f>
        <v>9091468178</v>
      </c>
      <c r="W197" s="1"/>
      <c r="X197" s="1" t="str">
        <f>IFERROR(__xludf.DUMMYFUNCTION("""COMPUTED_VALUE"""),"405")</f>
        <v>405</v>
      </c>
      <c r="Y197" s="1" t="str">
        <f>IFERROR(__xludf.DUMMYFUNCTION("""COMPUTED_VALUE"""),"JP RIZAL ST")</f>
        <v>JP RIZAL ST</v>
      </c>
      <c r="Z197" s="1" t="str">
        <f>IFERROR(__xludf.DUMMYFUNCTION("""COMPUTED_VALUE"""),"OLD SABUNGAN")</f>
        <v>OLD SABUNGAN</v>
      </c>
      <c r="AA197" s="1" t="str">
        <f>IFERROR(__xludf.DUMMYFUNCTION("""COMPUTED_VALUE"""),"GALICIA III")</f>
        <v>GALICIA III</v>
      </c>
      <c r="AB197" s="1" t="str">
        <f>IFERROR(__xludf.DUMMYFUNCTION("""COMPUTED_VALUE"""),"MENDEZ")</f>
        <v>MENDEZ</v>
      </c>
      <c r="AC197" s="1"/>
    </row>
    <row r="198" customHeight="1" spans="1:29">
      <c r="A198" s="3">
        <f>IFERROR(__xludf.DUMMYFUNCTION("""COMPUTED_VALUE"""),46281)</f>
        <v>46281</v>
      </c>
      <c r="B198" s="1" t="str">
        <f>IFERROR(__xludf.DUMMYFUNCTION("""COMPUTED_VALUE"""),"SEPTEMBER")</f>
        <v>SEPTEMBER</v>
      </c>
      <c r="C198" s="1" t="str">
        <f>IFERROR(__xludf.DUMMYFUNCTION("""COMPUTED_VALUE"""),"CHRISTINE MAE GRESOLA GACIAS")</f>
        <v>CHRISTINE MAE GRESOLA GACIAS</v>
      </c>
      <c r="D198" s="1" t="str">
        <f>IFERROR(__xludf.DUMMYFUNCTION("""COMPUTED_VALUE"""),"RITM0310676")</f>
        <v>RITM0310676</v>
      </c>
      <c r="E198" s="1"/>
      <c r="F198" s="1" t="str">
        <f>IFERROR(__xludf.DUMMYFUNCTION("""COMPUTED_VALUE"""),"3879385129")</f>
        <v>3879385129</v>
      </c>
      <c r="G198" s="1" t="str">
        <f>IFERROR(__xludf.DUMMYFUNCTION("""COMPUTED_VALUE"""),"maegacias87@gmail.com")</f>
        <v>maegacias87@gmail.com</v>
      </c>
      <c r="H198" s="1" t="str">
        <f>IFERROR(__xludf.DUMMYFUNCTION("""COMPUTED_VALUE"""),"CLOSED")</f>
        <v>CLOSED</v>
      </c>
      <c r="I198" s="1"/>
      <c r="J198" s="1"/>
      <c r="K198" s="1" t="str">
        <f>IFERROR(__xludf.DUMMYFUNCTION("""COMPUTED_VALUE"""),"PAID VIA GCASH RADI23720BVRRJ8 SEP 16")</f>
        <v>PAID VIA GCASH RADI23720BVRRJ8 SEP 16</v>
      </c>
      <c r="L198" s="1" t="str">
        <f>IFERROR(__xludf.DUMMYFUNCTION("""COMPUTED_VALUE"""),"PAID")</f>
        <v>PAID</v>
      </c>
      <c r="M198" s="1" t="str">
        <f>IFERROR(__xludf.DUMMYFUNCTION("""COMPUTED_VALUE"""),"POSTED")</f>
        <v>POSTED</v>
      </c>
      <c r="N198" s="1" t="str">
        <f>IFERROR(__xludf.DUMMYFUNCTION("""COMPUTED_VALUE"""),"9/18/2026")</f>
        <v>9/18/2026</v>
      </c>
      <c r="O198" s="1" t="str">
        <f>IFERROR(__xludf.DUMMYFUNCTION("""COMPUTED_VALUE"""),"BKRED_RS_HH_CVE_26")</f>
        <v>BKRED_RS_HH_CVE_26</v>
      </c>
      <c r="P198" s="1" t="str">
        <f>IFERROR(__xludf.DUMMYFUNCTION("""COMPUTED_VALUE"""),"RED FIBR 1000")</f>
        <v>RED FIBR 1000</v>
      </c>
      <c r="Q198" s="1" t="str">
        <f>IFERROR(__xludf.DUMMYFUNCTION("""COMPUTED_VALUE"""),"MMM018713")</f>
        <v>MMM018713</v>
      </c>
      <c r="R198" s="1" t="str">
        <f>IFERROR(__xludf.DUMMYFUNCTION("""COMPUTED_VALUE"""),"MORADOS, MARVIN")</f>
        <v>MORADOS, MARVIN</v>
      </c>
      <c r="S198" s="1" t="str">
        <f>IFERROR(__xludf.DUMMYFUNCTION("""COMPUTED_VALUE"""),"GARCIA MICHAEL JETTS")</f>
        <v>GARCIA MICHAEL JETTS</v>
      </c>
      <c r="T198" s="1" t="str">
        <f>IFERROR(__xludf.DUMMYFUNCTION("""COMPUTED_VALUE"""),"SALIOA JB")</f>
        <v>SALIOA JB</v>
      </c>
      <c r="U198" s="1"/>
      <c r="V198" s="1">
        <f>IFERROR(__xludf.DUMMYFUNCTION("""COMPUTED_VALUE"""),9361954179)</f>
        <v>9361954179</v>
      </c>
      <c r="W198" s="1"/>
      <c r="X198" s="1" t="str">
        <f>IFERROR(__xludf.DUMMYFUNCTION("""COMPUTED_VALUE"""),"014-BL-034")</f>
        <v>014-BL-034</v>
      </c>
      <c r="Y198" s="1" t="str">
        <f>IFERROR(__xludf.DUMMYFUNCTION("""COMPUTED_VALUE"""),"15TH ST")</f>
        <v>15TH ST</v>
      </c>
      <c r="Z198" s="1" t="str">
        <f>IFERROR(__xludf.DUMMYFUNCTION("""COMPUTED_VALUE"""),"PEARL RESIDENCES")</f>
        <v>PEARL RESIDENCES</v>
      </c>
      <c r="AA198" s="1" t="str">
        <f>IFERROR(__xludf.DUMMYFUNCTION("""COMPUTED_VALUE"""),"CAPIPISA")</f>
        <v>CAPIPISA</v>
      </c>
      <c r="AB198" s="1" t="str">
        <f>IFERROR(__xludf.DUMMYFUNCTION("""COMPUTED_VALUE"""),"TANZA")</f>
        <v>TANZA</v>
      </c>
      <c r="AC198" s="1"/>
    </row>
    <row r="199" customHeight="1" spans="1:29">
      <c r="A199" s="3">
        <f>IFERROR(__xludf.DUMMYFUNCTION("""COMPUTED_VALUE"""),46281)</f>
        <v>46281</v>
      </c>
      <c r="B199" s="1" t="str">
        <f>IFERROR(__xludf.DUMMYFUNCTION("""COMPUTED_VALUE"""),"SEPTEMBER")</f>
        <v>SEPTEMBER</v>
      </c>
      <c r="C199" s="1" t="str">
        <f>IFERROR(__xludf.DUMMYFUNCTION("""COMPUTED_VALUE"""),"ELENA ANYAYAHAN BENITEZ")</f>
        <v>ELENA ANYAYAHAN BENITEZ</v>
      </c>
      <c r="D199" s="1" t="str">
        <f>IFERROR(__xludf.DUMMYFUNCTION("""COMPUTED_VALUE"""),"RITM0310708")</f>
        <v>RITM0310708</v>
      </c>
      <c r="E199" s="1"/>
      <c r="F199" s="1" t="str">
        <f>IFERROR(__xludf.DUMMYFUNCTION("""COMPUTED_VALUE"""),"3469211468")</f>
        <v>3469211468</v>
      </c>
      <c r="G199" s="1" t="str">
        <f>IFERROR(__xludf.DUMMYFUNCTION("""COMPUTED_VALUE"""),"eb8289314@gmail.com")</f>
        <v>eb8289314@gmail.com</v>
      </c>
      <c r="H199" s="1" t="str">
        <f>IFERROR(__xludf.DUMMYFUNCTION("""COMPUTED_VALUE"""),"CLOSED")</f>
        <v>CLOSED</v>
      </c>
      <c r="I199" s="1"/>
      <c r="J199" s="1"/>
      <c r="K199" s="1" t="str">
        <f>IFERROR(__xludf.DUMMYFUNCTION("""COMPUTED_VALUE"""),"PAID VIA GCASH REF 390989001 SEP 17")</f>
        <v>PAID VIA GCASH REF 390989001 SEP 17</v>
      </c>
      <c r="L199" s="1" t="str">
        <f>IFERROR(__xludf.DUMMYFUNCTION("""COMPUTED_VALUE"""),"PAID")</f>
        <v>PAID</v>
      </c>
      <c r="M199" s="1" t="str">
        <f>IFERROR(__xludf.DUMMYFUNCTION("""COMPUTED_VALUE"""),"POSTED")</f>
        <v>POSTED</v>
      </c>
      <c r="N199" s="1" t="str">
        <f>IFERROR(__xludf.DUMMYFUNCTION("""COMPUTED_VALUE"""),"9/30/2026")</f>
        <v>9/30/2026</v>
      </c>
      <c r="O199" s="1" t="str">
        <f>IFERROR(__xludf.DUMMYFUNCTION("""COMPUTED_VALUE"""),"RED_RS_ONL_CVE_25")</f>
        <v>RED_RS_ONL_CVE_25</v>
      </c>
      <c r="P199" s="1" t="str">
        <f>IFERROR(__xludf.DUMMYFUNCTION("""COMPUTED_VALUE"""),"RED FIBR 1000")</f>
        <v>RED FIBR 1000</v>
      </c>
      <c r="Q199" s="1" t="str">
        <f>IFERROR(__xludf.DUMMYFUNCTION("""COMPUTED_VALUE"""),"MMM018709")</f>
        <v>MMM018709</v>
      </c>
      <c r="R199" s="1" t="str">
        <f>IFERROR(__xludf.DUMMYFUNCTION("""COMPUTED_VALUE"""),"FALLARNA, CLEAR - BATANGAS")</f>
        <v>FALLARNA, CLEAR - BATANGAS</v>
      </c>
      <c r="S199" s="1" t="str">
        <f>IFERROR(__xludf.DUMMYFUNCTION("""COMPUTED_VALUE"""),"CLARETE, GLIZIEL")</f>
        <v>CLARETE, GLIZIEL</v>
      </c>
      <c r="T199" s="1" t="str">
        <f>IFERROR(__xludf.DUMMYFUNCTION("""COMPUTED_VALUE"""),"SALIOA JB")</f>
        <v>SALIOA JB</v>
      </c>
      <c r="U199" s="1"/>
      <c r="V199" s="1">
        <f>IFERROR(__xludf.DUMMYFUNCTION("""COMPUTED_VALUE"""),9695021485)</f>
        <v>9695021485</v>
      </c>
      <c r="W199" s="1"/>
      <c r="X199" s="1" t="str">
        <f>IFERROR(__xludf.DUMMYFUNCTION("""COMPUTED_VALUE"""),"ROAD 3")</f>
        <v>ROAD 3</v>
      </c>
      <c r="Y199" s="1" t="str">
        <f>IFERROR(__xludf.DUMMYFUNCTION("""COMPUTED_VALUE"""),"TINGA LABAK ST")</f>
        <v>TINGA LABAK ST</v>
      </c>
      <c r="Z199" s="1"/>
      <c r="AA199" s="1" t="str">
        <f>IFERROR(__xludf.DUMMYFUNCTION("""COMPUTED_VALUE"""),"TINGA LABAK")</f>
        <v>TINGA LABAK</v>
      </c>
      <c r="AB199" s="1" t="str">
        <f>IFERROR(__xludf.DUMMYFUNCTION("""COMPUTED_VALUE"""),"BATANGAS ")</f>
        <v>BATANGAS </v>
      </c>
      <c r="AC199" s="1" t="str">
        <f>IFERROR(__xludf.DUMMYFUNCTION("""COMPUTED_VALUE"""),"BCYLCP98 NAP3/4")</f>
        <v>BCYLCP98 NAP3/4</v>
      </c>
    </row>
    <row r="200" customHeight="1" spans="1:29">
      <c r="A200" s="3">
        <f>IFERROR(__xludf.DUMMYFUNCTION("""COMPUTED_VALUE"""),46282)</f>
        <v>46282</v>
      </c>
      <c r="B200" s="1" t="str">
        <f>IFERROR(__xludf.DUMMYFUNCTION("""COMPUTED_VALUE"""),"SEPTEMBER")</f>
        <v>SEPTEMBER</v>
      </c>
      <c r="C200" s="1" t="str">
        <f>IFERROR(__xludf.DUMMYFUNCTION("""COMPUTED_VALUE"""),"CAROLYN ALMAZAN RIVERA")</f>
        <v>CAROLYN ALMAZAN RIVERA</v>
      </c>
      <c r="D200" s="1" t="str">
        <f>IFERROR(__xludf.DUMMYFUNCTION("""COMPUTED_VALUE"""),"RITM0310771")</f>
        <v>RITM0310771</v>
      </c>
      <c r="E200" s="1"/>
      <c r="F200" s="1" t="str">
        <f>IFERROR(__xludf.DUMMYFUNCTION("""COMPUTED_VALUE"""),"1378869444")</f>
        <v>1378869444</v>
      </c>
      <c r="G200" s="1" t="str">
        <f>IFERROR(__xludf.DUMMYFUNCTION("""COMPUTED_VALUE"""),"marlonrosima23@gmail.com")</f>
        <v>marlonrosima23@gmail.com</v>
      </c>
      <c r="H200" s="1" t="str">
        <f>IFERROR(__xludf.DUMMYFUNCTION("""COMPUTED_VALUE"""),"CLOSED")</f>
        <v>CLOSED</v>
      </c>
      <c r="I200" s="1"/>
      <c r="J200" s="1"/>
      <c r="K200" s="1" t="str">
        <f>IFERROR(__xludf.DUMMYFUNCTION("""COMPUTED_VALUE"""),"PAID VIA GCASH REF 496380479 SEP 17")</f>
        <v>PAID VIA GCASH REF 496380479 SEP 17</v>
      </c>
      <c r="L200" s="1" t="str">
        <f>IFERROR(__xludf.DUMMYFUNCTION("""COMPUTED_VALUE"""),"PAID")</f>
        <v>PAID</v>
      </c>
      <c r="M200" s="1" t="str">
        <f>IFERROR(__xludf.DUMMYFUNCTION("""COMPUTED_VALUE"""),"POSTED")</f>
        <v>POSTED</v>
      </c>
      <c r="N200" s="1" t="str">
        <f>IFERROR(__xludf.DUMMYFUNCTION("""COMPUTED_VALUE"""),"9/20/2026")</f>
        <v>9/20/2026</v>
      </c>
      <c r="O200" s="1" t="str">
        <f>IFERROR(__xludf.DUMMYFUNCTION("""COMPUTED_VALUE"""),"RED_RS_HH_CVE_26")</f>
        <v>RED_RS_HH_CVE_26</v>
      </c>
      <c r="P200" s="1" t="str">
        <f>IFERROR(__xludf.DUMMYFUNCTION("""COMPUTED_VALUE"""),"RED FIBR 1000")</f>
        <v>RED FIBR 1000</v>
      </c>
      <c r="Q200" s="1" t="str">
        <f>IFERROR(__xludf.DUMMYFUNCTION("""COMPUTED_VALUE"""),"MMM018713")</f>
        <v>MMM018713</v>
      </c>
      <c r="R200" s="1" t="str">
        <f>IFERROR(__xludf.DUMMYFUNCTION("""COMPUTED_VALUE"""),"ESCARCHA, ALMA")</f>
        <v>ESCARCHA, ALMA</v>
      </c>
      <c r="S200" s="1" t="str">
        <f>IFERROR(__xludf.DUMMYFUNCTION("""COMPUTED_VALUE"""),"REMOLLO LEA")</f>
        <v>REMOLLO LEA</v>
      </c>
      <c r="T200" s="1" t="str">
        <f>IFERROR(__xludf.DUMMYFUNCTION("""COMPUTED_VALUE"""),"ESPIRITU JULIE")</f>
        <v>ESPIRITU JULIE</v>
      </c>
      <c r="U200" s="1"/>
      <c r="V200" s="1">
        <f>IFERROR(__xludf.DUMMYFUNCTION("""COMPUTED_VALUE"""),9817553122)</f>
        <v>9817553122</v>
      </c>
      <c r="W200" s="1"/>
      <c r="X200" s="1" t="str">
        <f>IFERROR(__xludf.DUMMYFUNCTION("""COMPUTED_VALUE"""),"5845")</f>
        <v>5845</v>
      </c>
      <c r="Y200" s="1" t="str">
        <f>IFERROR(__xludf.DUMMYFUNCTION("""COMPUTED_VALUE"""),"ULAT RD")</f>
        <v>ULAT RD</v>
      </c>
      <c r="Z200" s="1"/>
      <c r="AA200" s="1" t="str">
        <f>IFERROR(__xludf.DUMMYFUNCTION("""COMPUTED_VALUE"""),"ULAT ")</f>
        <v>ULAT </v>
      </c>
      <c r="AB200" s="1" t="str">
        <f>IFERROR(__xludf.DUMMYFUNCTION("""COMPUTED_VALUE"""),"SILANG")</f>
        <v>SILANG</v>
      </c>
      <c r="AC200" s="1" t="str">
        <f>IFERROR(__xludf.DUMMYFUNCTION("""COMPUTED_VALUE"""),"CVT2LCP37NP1/2")</f>
        <v>CVT2LCP37NP1/2</v>
      </c>
    </row>
    <row r="201" customHeight="1" spans="1:29">
      <c r="A201" s="3">
        <f>IFERROR(__xludf.DUMMYFUNCTION("""COMPUTED_VALUE"""),46282)</f>
        <v>46282</v>
      </c>
      <c r="B201" s="1" t="str">
        <f>IFERROR(__xludf.DUMMYFUNCTION("""COMPUTED_VALUE"""),"SEPTEMBER")</f>
        <v>SEPTEMBER</v>
      </c>
      <c r="C201" s="1" t="str">
        <f>IFERROR(__xludf.DUMMYFUNCTION("""COMPUTED_VALUE"""),"MARICEL TINDAY GAMILLA")</f>
        <v>MARICEL TINDAY GAMILLA</v>
      </c>
      <c r="D201" s="1" t="str">
        <f>IFERROR(__xludf.DUMMYFUNCTION("""COMPUTED_VALUE"""),"RITM0310789")</f>
        <v>RITM0310789</v>
      </c>
      <c r="E201" s="1"/>
      <c r="F201" s="1" t="str">
        <f>IFERROR(__xludf.DUMMYFUNCTION("""COMPUTED_VALUE"""),"1597262343")</f>
        <v>1597262343</v>
      </c>
      <c r="G201" s="1" t="str">
        <f>IFERROR(__xludf.DUMMYFUNCTION("""COMPUTED_VALUE"""),"icelgamilla28@gmail.com")</f>
        <v>icelgamilla28@gmail.com</v>
      </c>
      <c r="H201" s="1" t="str">
        <f>IFERROR(__xludf.DUMMYFUNCTION("""COMPUTED_VALUE"""),"CLOSED")</f>
        <v>CLOSED</v>
      </c>
      <c r="I201" s="1"/>
      <c r="J201" s="1"/>
      <c r="K201" s="1" t="str">
        <f>IFERROR(__xludf.DUMMYFUNCTION("""COMPUTED_VALUE"""),"PAID VIA GCASH REF 637207844 SEP 17")</f>
        <v>PAID VIA GCASH REF 637207844 SEP 17</v>
      </c>
      <c r="L201" s="1" t="str">
        <f>IFERROR(__xludf.DUMMYFUNCTION("""COMPUTED_VALUE"""),"PAID")</f>
        <v>PAID</v>
      </c>
      <c r="M201" s="1" t="str">
        <f>IFERROR(__xludf.DUMMYFUNCTION("""COMPUTED_VALUE"""),"POSTED")</f>
        <v>POSTED</v>
      </c>
      <c r="N201" s="1" t="str">
        <f>IFERROR(__xludf.DUMMYFUNCTION("""COMPUTED_VALUE"""),"9/19/2026")</f>
        <v>9/19/2026</v>
      </c>
      <c r="O201" s="1" t="str">
        <f>IFERROR(__xludf.DUMMYFUNCTION("""COMPUTED_VALUE"""),"BKRED_RS_HH_CVE_26")</f>
        <v>BKRED_RS_HH_CVE_26</v>
      </c>
      <c r="P201" s="1" t="str">
        <f>IFERROR(__xludf.DUMMYFUNCTION("""COMPUTED_VALUE"""),"RED FIBR 1000")</f>
        <v>RED FIBR 1000</v>
      </c>
      <c r="Q201" s="1" t="str">
        <f>IFERROR(__xludf.DUMMYFUNCTION("""COMPUTED_VALUE"""),"MMM018712")</f>
        <v>MMM018712</v>
      </c>
      <c r="R201" s="1" t="str">
        <f>IFERROR(__xludf.DUMMYFUNCTION("""COMPUTED_VALUE"""),"PEREZ. RONELL ")</f>
        <v>PEREZ. RONELL </v>
      </c>
      <c r="S201" s="1" t="str">
        <f>IFERROR(__xludf.DUMMYFUNCTION("""COMPUTED_VALUE"""),"GARCIA MICHAEL JETTS")</f>
        <v>GARCIA MICHAEL JETTS</v>
      </c>
      <c r="T201" s="1" t="str">
        <f>IFERROR(__xludf.DUMMYFUNCTION("""COMPUTED_VALUE"""),"ESPIRITU JULIE")</f>
        <v>ESPIRITU JULIE</v>
      </c>
      <c r="U201" s="1"/>
      <c r="V201" s="1">
        <f>IFERROR(__xludf.DUMMYFUNCTION("""COMPUTED_VALUE"""),9955204258)</f>
        <v>9955204258</v>
      </c>
      <c r="W201" s="1">
        <f>IFERROR(__xludf.DUMMYFUNCTION("""COMPUTED_VALUE"""),9947903848)</f>
        <v>9947903848</v>
      </c>
      <c r="X201" s="1" t="str">
        <f>IFERROR(__xludf.DUMMYFUNCTION("""COMPUTED_VALUE"""),"BLK 9 LOT 3")</f>
        <v>BLK 9 LOT 3</v>
      </c>
      <c r="Y201" s="1" t="str">
        <f>IFERROR(__xludf.DUMMYFUNCTION("""COMPUTED_VALUE"""),"PHASE A")</f>
        <v>PHASE A</v>
      </c>
      <c r="Z201" s="1" t="str">
        <f>IFERROR(__xludf.DUMMYFUNCTION("""COMPUTED_VALUE"""),"PEARL RESIDENCES")</f>
        <v>PEARL RESIDENCES</v>
      </c>
      <c r="AA201" s="1" t="str">
        <f>IFERROR(__xludf.DUMMYFUNCTION("""COMPUTED_VALUE"""),"CAPIPISA")</f>
        <v>CAPIPISA</v>
      </c>
      <c r="AB201" s="1" t="str">
        <f>IFERROR(__xludf.DUMMYFUNCTION("""COMPUTED_VALUE"""),"TANZA")</f>
        <v>TANZA</v>
      </c>
      <c r="AC201" s="1"/>
    </row>
    <row r="202" customHeight="1" spans="1:29">
      <c r="A202" s="3">
        <f>IFERROR(__xludf.DUMMYFUNCTION("""COMPUTED_VALUE"""),46282)</f>
        <v>46282</v>
      </c>
      <c r="B202" s="1" t="str">
        <f>IFERROR(__xludf.DUMMYFUNCTION("""COMPUTED_VALUE"""),"SEPTEMBER")</f>
        <v>SEPTEMBER</v>
      </c>
      <c r="C202" s="1" t="str">
        <f>IFERROR(__xludf.DUMMYFUNCTION("""COMPUTED_VALUE"""),"JAYPIE BUIZA PANGILINAN")</f>
        <v>JAYPIE BUIZA PANGILINAN</v>
      </c>
      <c r="D202" s="1" t="str">
        <f>IFERROR(__xludf.DUMMYFUNCTION("""COMPUTED_VALUE"""),"RITM0310806")</f>
        <v>RITM0310806</v>
      </c>
      <c r="E202" s="1"/>
      <c r="F202" s="1"/>
      <c r="G202" s="1" t="str">
        <f>IFERROR(__xludf.DUMMYFUNCTION("""COMPUTED_VALUE"""),"pangilinanjaypie1998@gmail.com")</f>
        <v>pangilinanjaypie1998@gmail.com</v>
      </c>
      <c r="H202" s="1" t="str">
        <f>IFERROR(__xludf.DUMMYFUNCTION("""COMPUTED_VALUE"""),"REJECTED")</f>
        <v>REJECTED</v>
      </c>
      <c r="I202" s="1" t="str">
        <f>IFERROR(__xludf.DUMMYFUNCTION("""COMPUTED_VALUE"""),"REJECTED FOUND BL ACCT. 6592579650 AMOUNTING TO (6,954.84) KINDLY SETTLE FIRST BEFORE PROCEED APPLICATION")</f>
        <v>REJECTED FOUND BL ACCT. 6592579650 AMOUNTING TO (6,954.84) KINDLY SETTLE FIRST BEFORE PROCEED APPLICATION</v>
      </c>
      <c r="J202" s="1"/>
      <c r="K202" s="1"/>
      <c r="L202" s="1"/>
      <c r="M202" s="1" t="str">
        <f>IFERROR(__xludf.DUMMYFUNCTION("""COMPUTED_VALUE"""),"CANCELLED - WITH OB")</f>
        <v>CANCELLED - WITH OB</v>
      </c>
      <c r="N202" s="1"/>
      <c r="O202" s="1" t="str">
        <f>IFERROR(__xludf.DUMMYFUNCTION("""COMPUTED_VALUE"""),"BKRED_RS_HH_CVE_26")</f>
        <v>BKRED_RS_HH_CVE_26</v>
      </c>
      <c r="P202" s="1" t="str">
        <f>IFERROR(__xludf.DUMMYFUNCTION("""COMPUTED_VALUE"""),"RED FIBR 1400")</f>
        <v>RED FIBR 1400</v>
      </c>
      <c r="Q202" s="1" t="str">
        <f>IFERROR(__xludf.DUMMYFUNCTION("""COMPUTED_VALUE"""),"MMM018712")</f>
        <v>MMM018712</v>
      </c>
      <c r="R202" s="1" t="str">
        <f>IFERROR(__xludf.DUMMYFUNCTION("""COMPUTED_VALUE"""),"MORADOS, MARVIN")</f>
        <v>MORADOS, MARVIN</v>
      </c>
      <c r="S202" s="1" t="str">
        <f>IFERROR(__xludf.DUMMYFUNCTION("""COMPUTED_VALUE"""),"GARCIA MICHAEL JETTS")</f>
        <v>GARCIA MICHAEL JETTS</v>
      </c>
      <c r="T202" s="1" t="str">
        <f>IFERROR(__xludf.DUMMYFUNCTION("""COMPUTED_VALUE"""),"ESPIRITU JULIE")</f>
        <v>ESPIRITU JULIE</v>
      </c>
      <c r="U202" s="1"/>
      <c r="V202" s="1">
        <f>IFERROR(__xludf.DUMMYFUNCTION("""COMPUTED_VALUE"""),9756245434)</f>
        <v>9756245434</v>
      </c>
      <c r="W202" s="1"/>
      <c r="X202" s="1" t="str">
        <f>IFERROR(__xludf.DUMMYFUNCTION("""COMPUTED_VALUE"""),"-")</f>
        <v>-</v>
      </c>
      <c r="Y202" s="1" t="str">
        <f>IFERROR(__xludf.DUMMYFUNCTION("""COMPUTED_VALUE"""),"GITNANG ITAAS")</f>
        <v>GITNANG ITAAS</v>
      </c>
      <c r="Z202" s="1"/>
      <c r="AA202" s="1" t="str">
        <f>IFERROR(__xludf.DUMMYFUNCTION("""COMPUTED_VALUE"""),"CAPIPISA")</f>
        <v>CAPIPISA</v>
      </c>
      <c r="AB202" s="1" t="str">
        <f>IFERROR(__xludf.DUMMYFUNCTION("""COMPUTED_VALUE"""),"TANZA")</f>
        <v>TANZA</v>
      </c>
      <c r="AC202" s="1" t="str">
        <f>IFERROR(__xludf.DUMMYFUNCTION("""COMPUTED_VALUE"""),"CVT6LCP234NP5/6")</f>
        <v>CVT6LCP234NP5/6</v>
      </c>
    </row>
    <row r="203" customHeight="1" spans="1:29">
      <c r="A203" s="3">
        <f>IFERROR(__xludf.DUMMYFUNCTION("""COMPUTED_VALUE"""),46283)</f>
        <v>46283</v>
      </c>
      <c r="B203" s="1" t="str">
        <f>IFERROR(__xludf.DUMMYFUNCTION("""COMPUTED_VALUE"""),"SEPTEMBER")</f>
        <v>SEPTEMBER</v>
      </c>
      <c r="C203" s="1" t="str">
        <f>IFERROR(__xludf.DUMMYFUNCTION("""COMPUTED_VALUE"""),"EMELITO MANABAT BAWAR")</f>
        <v>EMELITO MANABAT BAWAR</v>
      </c>
      <c r="D203" s="1" t="str">
        <f>IFERROR(__xludf.DUMMYFUNCTION("""COMPUTED_VALUE"""),"RITM0310890")</f>
        <v>RITM0310890</v>
      </c>
      <c r="E203" s="1"/>
      <c r="F203" s="1"/>
      <c r="G203" s="1" t="str">
        <f>IFERROR(__xludf.DUMMYFUNCTION("""COMPUTED_VALUE"""),"emelitobawar08@gmail.com")</f>
        <v>emelitobawar08@gmail.com</v>
      </c>
      <c r="H203" s="1" t="str">
        <f>IFERROR(__xludf.DUMMYFUNCTION("""COMPUTED_VALUE"""),"APPROVED")</f>
        <v>APPROVED</v>
      </c>
      <c r="I203" s="1"/>
      <c r="J203" s="1" t="str">
        <f>IFERROR(__xludf.DUMMYFUNCTION("""COMPUTED_VALUE"""),"UNCONTACTABLE CBR ")</f>
        <v>UNCONTACTABLE CBR </v>
      </c>
      <c r="K203" s="1"/>
      <c r="L203" s="1"/>
      <c r="M203" s="1" t="str">
        <f>IFERROR(__xludf.DUMMYFUNCTION("""COMPUTED_VALUE"""),"CANCELLED")</f>
        <v>CANCELLED</v>
      </c>
      <c r="N203" s="1"/>
      <c r="O203" s="1" t="str">
        <f>IFERROR(__xludf.DUMMYFUNCTION("""COMPUTED_VALUE"""),"RED_RS_HH_CVE_26")</f>
        <v>RED_RS_HH_CVE_26</v>
      </c>
      <c r="P203" s="1" t="str">
        <f>IFERROR(__xludf.DUMMYFUNCTION("""COMPUTED_VALUE"""),"RED FIBR 1000")</f>
        <v>RED FIBR 1000</v>
      </c>
      <c r="Q203" s="1" t="str">
        <f>IFERROR(__xludf.DUMMYFUNCTION("""COMPUTED_VALUE"""),"MMM018713")</f>
        <v>MMM018713</v>
      </c>
      <c r="R203" s="1" t="str">
        <f>IFERROR(__xludf.DUMMYFUNCTION("""COMPUTED_VALUE"""),"FRANCISCO, ROSELYN")</f>
        <v>FRANCISCO, ROSELYN</v>
      </c>
      <c r="S203" s="1" t="str">
        <f>IFERROR(__xludf.DUMMYFUNCTION("""COMPUTED_VALUE"""),"REMOLLO LEA")</f>
        <v>REMOLLO LEA</v>
      </c>
      <c r="T203" s="1" t="str">
        <f>IFERROR(__xludf.DUMMYFUNCTION("""COMPUTED_VALUE"""),"ESPIRITU JULIE")</f>
        <v>ESPIRITU JULIE</v>
      </c>
      <c r="U203" s="1"/>
      <c r="V203" s="1">
        <f>IFERROR(__xludf.DUMMYFUNCTION("""COMPUTED_VALUE"""),9369706224)</f>
        <v>9369706224</v>
      </c>
      <c r="W203" s="1"/>
      <c r="X203" s="1" t="str">
        <f>IFERROR(__xludf.DUMMYFUNCTION("""COMPUTED_VALUE"""),"223")</f>
        <v>223</v>
      </c>
      <c r="Y203" s="1" t="str">
        <f>IFERROR(__xludf.DUMMYFUNCTION("""COMPUTED_VALUE"""),"PULONG BUNGA RD")</f>
        <v>PULONG BUNGA RD</v>
      </c>
      <c r="Z203" s="1" t="str">
        <f>IFERROR(__xludf.DUMMYFUNCTION("""COMPUTED_VALUE"""),"VERDANTVILLE SUBDIVISION")</f>
        <v>VERDANTVILLE SUBDIVISION</v>
      </c>
      <c r="AA203" s="1" t="str">
        <f>IFERROR(__xludf.DUMMYFUNCTION("""COMPUTED_VALUE"""),"PULONG BUNGA")</f>
        <v>PULONG BUNGA</v>
      </c>
      <c r="AB203" s="1" t="str">
        <f>IFERROR(__xludf.DUMMYFUNCTION("""COMPUTED_VALUE"""),"SILANG")</f>
        <v>SILANG</v>
      </c>
      <c r="AC203" s="1" t="str">
        <f>IFERROR(__xludf.DUMMYFUNCTION("""COMPUTED_VALUE"""),"CVT2LCP37NP5")</f>
        <v>CVT2LCP37NP5</v>
      </c>
    </row>
    <row r="204" customHeight="1" spans="1:29">
      <c r="A204" s="3">
        <f>IFERROR(__xludf.DUMMYFUNCTION("""COMPUTED_VALUE"""),46283)</f>
        <v>46283</v>
      </c>
      <c r="B204" s="1" t="str">
        <f>IFERROR(__xludf.DUMMYFUNCTION("""COMPUTED_VALUE"""),"SEPTEMBER")</f>
        <v>SEPTEMBER</v>
      </c>
      <c r="C204" s="1" t="str">
        <f>IFERROR(__xludf.DUMMYFUNCTION("""COMPUTED_VALUE"""),"DANNICA ABDON TALARO")</f>
        <v>DANNICA ABDON TALARO</v>
      </c>
      <c r="D204" s="1" t="str">
        <f>IFERROR(__xludf.DUMMYFUNCTION("""COMPUTED_VALUE"""),"RITM0310905")</f>
        <v>RITM0310905</v>
      </c>
      <c r="E204" s="1"/>
      <c r="F204" s="1" t="str">
        <f>IFERROR(__xludf.DUMMYFUNCTION("""COMPUTED_VALUE"""),"6437757893")</f>
        <v>6437757893</v>
      </c>
      <c r="G204" s="1" t="str">
        <f>IFERROR(__xludf.DUMMYFUNCTION("""COMPUTED_VALUE"""),"dannica340@gmail.com")</f>
        <v>dannica340@gmail.com</v>
      </c>
      <c r="H204" s="1" t="str">
        <f>IFERROR(__xludf.DUMMYFUNCTION("""COMPUTED_VALUE"""),"CLOSED")</f>
        <v>CLOSED</v>
      </c>
      <c r="I204" s="1"/>
      <c r="J204" s="1"/>
      <c r="K204" s="1" t="str">
        <f>IFERROR(__xludf.DUMMYFUNCTION("""COMPUTED_VALUE"""),"PAID VIA GCASH REF 26261ETQP1NRLF8R SEP 18")</f>
        <v>PAID VIA GCASH REF 26261ETQP1NRLF8R SEP 18</v>
      </c>
      <c r="L204" s="1" t="str">
        <f>IFERROR(__xludf.DUMMYFUNCTION("""COMPUTED_VALUE"""),"PAID")</f>
        <v>PAID</v>
      </c>
      <c r="M204" s="1" t="str">
        <f>IFERROR(__xludf.DUMMYFUNCTION("""COMPUTED_VALUE"""),"POSTED")</f>
        <v>POSTED</v>
      </c>
      <c r="N204" s="1" t="str">
        <f>IFERROR(__xludf.DUMMYFUNCTION("""COMPUTED_VALUE"""),"9/19/2026")</f>
        <v>9/19/2026</v>
      </c>
      <c r="O204" s="1" t="str">
        <f>IFERROR(__xludf.DUMMYFUNCTION("""COMPUTED_VALUE"""),"BKRED_RS_HH_CVE_26")</f>
        <v>BKRED_RS_HH_CVE_26</v>
      </c>
      <c r="P204" s="1" t="str">
        <f>IFERROR(__xludf.DUMMYFUNCTION("""COMPUTED_VALUE"""),"RED FIBR 1000")</f>
        <v>RED FIBR 1000</v>
      </c>
      <c r="Q204" s="1" t="str">
        <f>IFERROR(__xludf.DUMMYFUNCTION("""COMPUTED_VALUE"""),"MMM018711")</f>
        <v>MMM018711</v>
      </c>
      <c r="R204" s="1" t="str">
        <f>IFERROR(__xludf.DUMMYFUNCTION("""COMPUTED_VALUE"""),"SANTOS, FRANZ IVAN")</f>
        <v>SANTOS, FRANZ IVAN</v>
      </c>
      <c r="S204" s="1" t="str">
        <f>IFERROR(__xludf.DUMMYFUNCTION("""COMPUTED_VALUE"""),"GARCIA MICHAEL JETTS")</f>
        <v>GARCIA MICHAEL JETTS</v>
      </c>
      <c r="T204" s="1" t="str">
        <f>IFERROR(__xludf.DUMMYFUNCTION("""COMPUTED_VALUE"""),"ESPIRITU JULIE")</f>
        <v>ESPIRITU JULIE</v>
      </c>
      <c r="U204" s="1"/>
      <c r="V204" s="1">
        <f>IFERROR(__xludf.DUMMYFUNCTION("""COMPUTED_VALUE"""),9625422360)</f>
        <v>9625422360</v>
      </c>
      <c r="W204" s="1"/>
      <c r="X204" s="1" t="str">
        <f>IFERROR(__xludf.DUMMYFUNCTION("""COMPUTED_VALUE"""),"635")</f>
        <v>635</v>
      </c>
      <c r="Y204" s="1" t="str">
        <f>IFERROR(__xludf.DUMMYFUNCTION("""COMPUTED_VALUE"""),"TRAMO SILANGAN")</f>
        <v>TRAMO SILANGAN</v>
      </c>
      <c r="Z204" s="1"/>
      <c r="AA204" s="1" t="str">
        <f>IFERROR(__xludf.DUMMYFUNCTION("""COMPUTED_VALUE"""),"HALAYHAY")</f>
        <v>HALAYHAY</v>
      </c>
      <c r="AB204" s="1" t="str">
        <f>IFERROR(__xludf.DUMMYFUNCTION("""COMPUTED_VALUE"""),"TANZA")</f>
        <v>TANZA</v>
      </c>
      <c r="AC204" s="1" t="str">
        <f>IFERROR(__xludf.DUMMYFUNCTION("""COMPUTED_VALUE"""),"CVT6LCP229NP5/6/7/8")</f>
        <v>CVT6LCP229NP5/6/7/8</v>
      </c>
    </row>
    <row r="205" customHeight="1" spans="1:29">
      <c r="A205" s="3">
        <f>IFERROR(__xludf.DUMMYFUNCTION("""COMPUTED_VALUE"""),46283)</f>
        <v>46283</v>
      </c>
      <c r="B205" s="1" t="str">
        <f>IFERROR(__xludf.DUMMYFUNCTION("""COMPUTED_VALUE"""),"SEPTEMBER")</f>
        <v>SEPTEMBER</v>
      </c>
      <c r="C205" s="1" t="str">
        <f>IFERROR(__xludf.DUMMYFUNCTION("""COMPUTED_VALUE"""),"KENNETH ASHLY ERNI LICUP")</f>
        <v>KENNETH ASHLY ERNI LICUP</v>
      </c>
      <c r="D205" s="1" t="str">
        <f>IFERROR(__xludf.DUMMYFUNCTION("""COMPUTED_VALUE"""),"RITM0310910")</f>
        <v>RITM0310910</v>
      </c>
      <c r="E205" s="1"/>
      <c r="F205" s="1"/>
      <c r="G205" s="1" t="str">
        <f>IFERROR(__xludf.DUMMYFUNCTION("""COMPUTED_VALUE"""),"kennethashly10@gmail.com")</f>
        <v>kennethashly10@gmail.com</v>
      </c>
      <c r="H205" s="1" t="str">
        <f>IFERROR(__xludf.DUMMYFUNCTION("""COMPUTED_VALUE"""),"APPROVED")</f>
        <v>APPROVED</v>
      </c>
      <c r="I205" s="1"/>
      <c r="J205" s="1" t="str">
        <f>IFERROR(__xludf.DUMMYFUNCTION("""COMPUTED_VALUE"""),"NO EMAIL RECEIVED FROM RED FIBER 9/19")</f>
        <v>NO EMAIL RECEIVED FROM RED FIBER 9/19</v>
      </c>
      <c r="K205" s="1"/>
      <c r="L205" s="1"/>
      <c r="M205" s="1" t="str">
        <f>IFERROR(__xludf.DUMMYFUNCTION("""COMPUTED_VALUE"""),"CANCEL RECREATE - FOR CHANGE EMAIL")</f>
        <v>CANCEL RECREATE - FOR CHANGE EMAIL</v>
      </c>
      <c r="N205" s="1"/>
      <c r="O205" s="1" t="str">
        <f>IFERROR(__xludf.DUMMYFUNCTION("""COMPUTED_VALUE"""),"RED_RS_HH_CVE_26")</f>
        <v>RED_RS_HH_CVE_26</v>
      </c>
      <c r="P205" s="1" t="str">
        <f>IFERROR(__xludf.DUMMYFUNCTION("""COMPUTED_VALUE"""),"RED FIBR 1400")</f>
        <v>RED FIBR 1400</v>
      </c>
      <c r="Q205" s="1" t="str">
        <f>IFERROR(__xludf.DUMMYFUNCTION("""COMPUTED_VALUE"""),"MMM018709")</f>
        <v>MMM018709</v>
      </c>
      <c r="R205" s="1" t="str">
        <f>IFERROR(__xludf.DUMMYFUNCTION("""COMPUTED_VALUE"""),"FRANCISCO, ROSELYN")</f>
        <v>FRANCISCO, ROSELYN</v>
      </c>
      <c r="S205" s="1" t="str">
        <f>IFERROR(__xludf.DUMMYFUNCTION("""COMPUTED_VALUE"""),"REMOLLO LEA")</f>
        <v>REMOLLO LEA</v>
      </c>
      <c r="T205" s="1" t="str">
        <f>IFERROR(__xludf.DUMMYFUNCTION("""COMPUTED_VALUE"""),"ESPIRITU JULIE")</f>
        <v>ESPIRITU JULIE</v>
      </c>
      <c r="U205" s="1"/>
      <c r="V205" s="1">
        <f>IFERROR(__xludf.DUMMYFUNCTION("""COMPUTED_VALUE"""),9214578391)</f>
        <v>9214578391</v>
      </c>
      <c r="W205" s="1"/>
      <c r="X205" s="1" t="str">
        <f>IFERROR(__xludf.DUMMYFUNCTION("""COMPUTED_VALUE"""),"24")</f>
        <v>24</v>
      </c>
      <c r="Y205" s="1" t="str">
        <f>IFERROR(__xludf.DUMMYFUNCTION("""COMPUTED_VALUE"""),"PUROK 1")</f>
        <v>PUROK 1</v>
      </c>
      <c r="Z205" s="1"/>
      <c r="AA205" s="1" t="str">
        <f>IFERROR(__xludf.DUMMYFUNCTION("""COMPUTED_VALUE"""),"PASONG LANGKA")</f>
        <v>PASONG LANGKA</v>
      </c>
      <c r="AB205" s="1" t="str">
        <f>IFERROR(__xludf.DUMMYFUNCTION("""COMPUTED_VALUE"""),"SILANG")</f>
        <v>SILANG</v>
      </c>
      <c r="AC205" s="1" t="str">
        <f>IFERROR(__xludf.DUMMYFUNCTION("""COMPUTED_VALUE"""),"CVT2LCP89NP1TO4")</f>
        <v>CVT2LCP89NP1TO4</v>
      </c>
    </row>
    <row r="206" customHeight="1" spans="1:29">
      <c r="A206" s="3">
        <f>IFERROR(__xludf.DUMMYFUNCTION("""COMPUTED_VALUE"""),46284)</f>
        <v>46284</v>
      </c>
      <c r="B206" s="1" t="str">
        <f>IFERROR(__xludf.DUMMYFUNCTION("""COMPUTED_VALUE"""),"SEPTEMBER")</f>
        <v>SEPTEMBER</v>
      </c>
      <c r="C206" s="1" t="str">
        <f>IFERROR(__xludf.DUMMYFUNCTION("""COMPUTED_VALUE"""),"KENNETH ASHLY ERNI LICUP")</f>
        <v>KENNETH ASHLY ERNI LICUP</v>
      </c>
      <c r="D206" s="1" t="str">
        <f>IFERROR(__xludf.DUMMYFUNCTION("""COMPUTED_VALUE"""),"RITM0310985")</f>
        <v>RITM0310985</v>
      </c>
      <c r="E206" s="1"/>
      <c r="F206" s="1" t="str">
        <f>IFERROR(__xludf.DUMMYFUNCTION("""COMPUTED_VALUE"""),"6422894190")</f>
        <v>6422894190</v>
      </c>
      <c r="G206" s="1" t="str">
        <f>IFERROR(__xludf.DUMMYFUNCTION("""COMPUTED_VALUE"""),"shawkenn02@gmail.com")</f>
        <v>shawkenn02@gmail.com</v>
      </c>
      <c r="H206" s="1" t="str">
        <f>IFERROR(__xludf.DUMMYFUNCTION("""COMPUTED_VALUE"""),"CLOSED")</f>
        <v>CLOSED</v>
      </c>
      <c r="I206" s="1"/>
      <c r="J206" s="1"/>
      <c r="K206" s="1" t="str">
        <f>IFERROR(__xludf.DUMMYFUNCTION("""COMPUTED_VALUE"""),"PAID VIA GCASH REF 500439715 SEP 19")</f>
        <v>PAID VIA GCASH REF 500439715 SEP 19</v>
      </c>
      <c r="L206" s="1" t="str">
        <f>IFERROR(__xludf.DUMMYFUNCTION("""COMPUTED_VALUE"""),"PAID")</f>
        <v>PAID</v>
      </c>
      <c r="M206" s="1" t="str">
        <f>IFERROR(__xludf.DUMMYFUNCTION("""COMPUTED_VALUE"""),"POSTED")</f>
        <v>POSTED</v>
      </c>
      <c r="N206" s="1" t="str">
        <f>IFERROR(__xludf.DUMMYFUNCTION("""COMPUTED_VALUE"""),"2026")</f>
        <v>2026</v>
      </c>
      <c r="O206" s="1" t="str">
        <f>IFERROR(__xludf.DUMMYFUNCTION("""COMPUTED_VALUE"""),"RED_RS_HH_CVE_26")</f>
        <v>RED_RS_HH_CVE_26</v>
      </c>
      <c r="P206" s="1" t="str">
        <f>IFERROR(__xludf.DUMMYFUNCTION("""COMPUTED_VALUE"""),"RED FIBR 1400")</f>
        <v>RED FIBR 1400</v>
      </c>
      <c r="Q206" s="1" t="str">
        <f>IFERROR(__xludf.DUMMYFUNCTION("""COMPUTED_VALUE"""),"MMM018709")</f>
        <v>MMM018709</v>
      </c>
      <c r="R206" s="1" t="str">
        <f>IFERROR(__xludf.DUMMYFUNCTION("""COMPUTED_VALUE"""),"FRANCISCO, ROSELYN")</f>
        <v>FRANCISCO, ROSELYN</v>
      </c>
      <c r="S206" s="1" t="str">
        <f>IFERROR(__xludf.DUMMYFUNCTION("""COMPUTED_VALUE"""),"REMOLLO LEA")</f>
        <v>REMOLLO LEA</v>
      </c>
      <c r="T206" s="1" t="str">
        <f>IFERROR(__xludf.DUMMYFUNCTION("""COMPUTED_VALUE"""),"ESPIRITU JULIE")</f>
        <v>ESPIRITU JULIE</v>
      </c>
      <c r="U206" s="1"/>
      <c r="V206" s="1">
        <f>IFERROR(__xludf.DUMMYFUNCTION("""COMPUTED_VALUE"""),9214578391)</f>
        <v>9214578391</v>
      </c>
      <c r="W206" s="1"/>
      <c r="X206" s="1" t="str">
        <f>IFERROR(__xludf.DUMMYFUNCTION("""COMPUTED_VALUE"""),"24")</f>
        <v>24</v>
      </c>
      <c r="Y206" s="1" t="str">
        <f>IFERROR(__xludf.DUMMYFUNCTION("""COMPUTED_VALUE"""),"PUROK 1")</f>
        <v>PUROK 1</v>
      </c>
      <c r="Z206" s="1"/>
      <c r="AA206" s="1" t="str">
        <f>IFERROR(__xludf.DUMMYFUNCTION("""COMPUTED_VALUE"""),"PASONG LANGKA")</f>
        <v>PASONG LANGKA</v>
      </c>
      <c r="AB206" s="1" t="str">
        <f>IFERROR(__xludf.DUMMYFUNCTION("""COMPUTED_VALUE"""),"SILANG")</f>
        <v>SILANG</v>
      </c>
      <c r="AC206" s="1" t="str">
        <f>IFERROR(__xludf.DUMMYFUNCTION("""COMPUTED_VALUE"""),"CVT2LCP89NP1TO4")</f>
        <v>CVT2LCP89NP1TO4</v>
      </c>
    </row>
    <row r="207" customHeight="1" spans="1:29">
      <c r="A207" s="3">
        <f>IFERROR(__xludf.DUMMYFUNCTION("""COMPUTED_VALUE"""),46285)</f>
        <v>46285</v>
      </c>
      <c r="B207" s="1" t="str">
        <f>IFERROR(__xludf.DUMMYFUNCTION("""COMPUTED_VALUE"""),"SEPTEMBER")</f>
        <v>SEPTEMBER</v>
      </c>
      <c r="C207" s="1" t="str">
        <f>IFERROR(__xludf.DUMMYFUNCTION("""COMPUTED_VALUE"""),"JENNIFER GONZALES MARANO")</f>
        <v>JENNIFER GONZALES MARANO</v>
      </c>
      <c r="D207" s="1" t="str">
        <f>IFERROR(__xludf.DUMMYFUNCTION("""COMPUTED_VALUE"""),"RITM0311083")</f>
        <v>RITM0311083</v>
      </c>
      <c r="E207" s="1"/>
      <c r="F207" s="1" t="str">
        <f>IFERROR(__xludf.DUMMYFUNCTION("""COMPUTED_VALUE"""),"6337621895")</f>
        <v>6337621895</v>
      </c>
      <c r="G207" s="1" t="str">
        <f>IFERROR(__xludf.DUMMYFUNCTION("""COMPUTED_VALUE"""),"jboymarano091188@gmail.com")</f>
        <v>jboymarano091188@gmail.com</v>
      </c>
      <c r="H207" s="1" t="str">
        <f>IFERROR(__xludf.DUMMYFUNCTION("""COMPUTED_VALUE"""),"CLOSED")</f>
        <v>CLOSED</v>
      </c>
      <c r="I207" s="1"/>
      <c r="J207" s="1"/>
      <c r="K207" s="1" t="str">
        <f>IFERROR(__xludf.DUMMYFUNCTION("""COMPUTED_VALUE"""),"PAID VIA GCASH REF 899742062 SEP 20")</f>
        <v>PAID VIA GCASH REF 899742062 SEP 20</v>
      </c>
      <c r="L207" s="1" t="str">
        <f>IFERROR(__xludf.DUMMYFUNCTION("""COMPUTED_VALUE"""),"PAID")</f>
        <v>PAID</v>
      </c>
      <c r="M207" s="1" t="str">
        <f>IFERROR(__xludf.DUMMYFUNCTION("""COMPUTED_VALUE"""),"POSTED")</f>
        <v>POSTED</v>
      </c>
      <c r="N207" s="1" t="str">
        <f>IFERROR(__xludf.DUMMYFUNCTION("""COMPUTED_VALUE"""),"9/21/2026")</f>
        <v>9/21/2026</v>
      </c>
      <c r="O207" s="1" t="str">
        <f>IFERROR(__xludf.DUMMYFUNCTION("""COMPUTED_VALUE"""),"RED_RS_HH_CVE_26")</f>
        <v>RED_RS_HH_CVE_26</v>
      </c>
      <c r="P207" s="1" t="str">
        <f>IFERROR(__xludf.DUMMYFUNCTION("""COMPUTED_VALUE"""),"RED FIBR 1000")</f>
        <v>RED FIBR 1000</v>
      </c>
      <c r="Q207" s="1" t="str">
        <f>IFERROR(__xludf.DUMMYFUNCTION("""COMPUTED_VALUE"""),"MMM018709")</f>
        <v>MMM018709</v>
      </c>
      <c r="R207" s="1" t="str">
        <f>IFERROR(__xludf.DUMMYFUNCTION("""COMPUTED_VALUE"""),"FRANCISCO, ROSELYN")</f>
        <v>FRANCISCO, ROSELYN</v>
      </c>
      <c r="S207" s="1" t="str">
        <f>IFERROR(__xludf.DUMMYFUNCTION("""COMPUTED_VALUE"""),"REMOLLO LEA")</f>
        <v>REMOLLO LEA</v>
      </c>
      <c r="T207" s="1" t="str">
        <f>IFERROR(__xludf.DUMMYFUNCTION("""COMPUTED_VALUE"""),"SALIOA JB")</f>
        <v>SALIOA JB</v>
      </c>
      <c r="U207" s="1"/>
      <c r="V207" s="1">
        <f>IFERROR(__xludf.DUMMYFUNCTION("""COMPUTED_VALUE"""),9508419117)</f>
        <v>9508419117</v>
      </c>
      <c r="W207" s="1"/>
      <c r="X207" s="1" t="str">
        <f>IFERROR(__xludf.DUMMYFUNCTION("""COMPUTED_VALUE"""),"33")</f>
        <v>33</v>
      </c>
      <c r="Y207" s="1" t="str">
        <f>IFERROR(__xludf.DUMMYFUNCTION("""COMPUTED_VALUE"""),"A. KALUBKOB ST")</f>
        <v>A. KALUBKOB ST</v>
      </c>
      <c r="Z207" s="1"/>
      <c r="AA207" s="1" t="str">
        <f>IFERROR(__xludf.DUMMYFUNCTION("""COMPUTED_VALUE"""),"ASIS I")</f>
        <v>ASIS I</v>
      </c>
      <c r="AB207" s="1" t="str">
        <f>IFERROR(__xludf.DUMMYFUNCTION("""COMPUTED_VALUE"""),"MENDEZ")</f>
        <v>MENDEZ</v>
      </c>
      <c r="AC207" s="1" t="str">
        <f>IFERROR(__xludf.DUMMYFUNCTION("""COMPUTED_VALUE"""),"CVT2 LCP60 NAP4")</f>
        <v>CVT2 LCP60 NAP4</v>
      </c>
    </row>
    <row r="208" customHeight="1" spans="1:29">
      <c r="A208" s="3">
        <f>IFERROR(__xludf.DUMMYFUNCTION("""COMPUTED_VALUE"""),46286)</f>
        <v>46286</v>
      </c>
      <c r="B208" s="1" t="str">
        <f>IFERROR(__xludf.DUMMYFUNCTION("""COMPUTED_VALUE"""),"SEPTEMBER")</f>
        <v>SEPTEMBER</v>
      </c>
      <c r="C208" s="1" t="str">
        <f>IFERROR(__xludf.DUMMYFUNCTION("""COMPUTED_VALUE"""),"MA DESSA DESIDERIO REDICIO")</f>
        <v>MA DESSA DESIDERIO REDICIO</v>
      </c>
      <c r="D208" s="1" t="str">
        <f>IFERROR(__xludf.DUMMYFUNCTION("""COMPUTED_VALUE"""),"RITM0311151")</f>
        <v>RITM0311151</v>
      </c>
      <c r="E208" s="1"/>
      <c r="F208" s="1"/>
      <c r="G208" s="1" t="str">
        <f>IFERROR(__xludf.DUMMYFUNCTION("""COMPUTED_VALUE"""),"madessaredicio05@gmail.com")</f>
        <v>madessaredicio05@gmail.com</v>
      </c>
      <c r="H208" s="1" t="str">
        <f>IFERROR(__xludf.DUMMYFUNCTION("""COMPUTED_VALUE"""),"APPROVED")</f>
        <v>APPROVED</v>
      </c>
      <c r="I208" s="1"/>
      <c r="J208" s="1" t="str">
        <f>IFERROR(__xludf.DUMMYFUNCTION("""COMPUTED_VALUE""")," nagbago isip dahil sa asawa, akala daw install muna. Inform nalang daw niya si agent pag napag kasunduan na nila. 9/24")</f>
        <v> nagbago isip dahil sa asawa, akala daw install muna. Inform nalang daw niya si agent pag napag kasunduan na nila. 9/24</v>
      </c>
      <c r="K208" s="1"/>
      <c r="L208" s="1"/>
      <c r="M208" s="1" t="str">
        <f>IFERROR(__xludf.DUMMYFUNCTION("""COMPUTED_VALUE"""),"CANCELLED - SUBS CANCEL REQUEST")</f>
        <v>CANCELLED - SUBS CANCEL REQUEST</v>
      </c>
      <c r="N208" s="1"/>
      <c r="O208" s="1" t="str">
        <f>IFERROR(__xludf.DUMMYFUNCTION("""COMPUTED_VALUE"""),"RED_RS_HH_CVE_26")</f>
        <v>RED_RS_HH_CVE_26</v>
      </c>
      <c r="P208" s="1" t="str">
        <f>IFERROR(__xludf.DUMMYFUNCTION("""COMPUTED_VALUE"""),"RED FIBR 1000")</f>
        <v>RED FIBR 1000</v>
      </c>
      <c r="Q208" s="1" t="str">
        <f>IFERROR(__xludf.DUMMYFUNCTION("""COMPUTED_VALUE"""),"MMM018709")</f>
        <v>MMM018709</v>
      </c>
      <c r="R208" s="1" t="str">
        <f>IFERROR(__xludf.DUMMYFUNCTION("""COMPUTED_VALUE"""),"TAMAYO, MARY ROSE")</f>
        <v>TAMAYO, MARY ROSE</v>
      </c>
      <c r="S208" s="1" t="str">
        <f>IFERROR(__xludf.DUMMYFUNCTION("""COMPUTED_VALUE"""),"REMOLLO LEA")</f>
        <v>REMOLLO LEA</v>
      </c>
      <c r="T208" s="1" t="str">
        <f>IFERROR(__xludf.DUMMYFUNCTION("""COMPUTED_VALUE"""),"ESPIRITU JULIE")</f>
        <v>ESPIRITU JULIE</v>
      </c>
      <c r="U208" s="1"/>
      <c r="V208" s="1">
        <f>IFERROR(__xludf.DUMMYFUNCTION("""COMPUTED_VALUE"""),9666755926)</f>
        <v>9666755926</v>
      </c>
      <c r="W208" s="1"/>
      <c r="X208" s="1" t="str">
        <f>IFERROR(__xludf.DUMMYFUNCTION("""COMPUTED_VALUE"""),"483")</f>
        <v>483</v>
      </c>
      <c r="Y208" s="1" t="str">
        <f>IFERROR(__xludf.DUMMYFUNCTION("""COMPUTED_VALUE"""),"PUROK 1")</f>
        <v>PUROK 1</v>
      </c>
      <c r="Z208" s="1"/>
      <c r="AA208" s="1" t="str">
        <f>IFERROR(__xludf.DUMMYFUNCTION("""COMPUTED_VALUE"""),"PASONG LANGKA")</f>
        <v>PASONG LANGKA</v>
      </c>
      <c r="AB208" s="1" t="str">
        <f>IFERROR(__xludf.DUMMYFUNCTION("""COMPUTED_VALUE"""),"SILANG")</f>
        <v>SILANG</v>
      </c>
      <c r="AC208" s="1" t="str">
        <f>IFERROR(__xludf.DUMMYFUNCTION("""COMPUTED_VALUE"""),"CVT2LCP89NP1TO4")</f>
        <v>CVT2LCP89NP1TO4</v>
      </c>
    </row>
    <row r="209" customHeight="1" spans="1:29">
      <c r="A209" s="3">
        <f>IFERROR(__xludf.DUMMYFUNCTION("""COMPUTED_VALUE"""),46286)</f>
        <v>46286</v>
      </c>
      <c r="B209" s="1" t="str">
        <f>IFERROR(__xludf.DUMMYFUNCTION("""COMPUTED_VALUE"""),"SEPTEMBER")</f>
        <v>SEPTEMBER</v>
      </c>
      <c r="C209" s="1" t="str">
        <f>IFERROR(__xludf.DUMMYFUNCTION("""COMPUTED_VALUE"""),"FELICIANO GUBATON BALINADO")</f>
        <v>FELICIANO GUBATON BALINADO</v>
      </c>
      <c r="D209" s="1" t="str">
        <f>IFERROR(__xludf.DUMMYFUNCTION("""COMPUTED_VALUE"""),"RITM0311182")</f>
        <v>RITM0311182</v>
      </c>
      <c r="E209" s="1"/>
      <c r="F209" s="1"/>
      <c r="G209" s="1" t="str">
        <f>IFERROR(__xludf.DUMMYFUNCTION("""COMPUTED_VALUE"""),"felicianobalinado18@gmail.com")</f>
        <v>felicianobalinado18@gmail.com</v>
      </c>
      <c r="H209" s="1" t="str">
        <f>IFERROR(__xludf.DUMMYFUNCTION("""COMPUTED_VALUE"""),"APPROVED")</f>
        <v>APPROVED</v>
      </c>
      <c r="I209" s="1"/>
      <c r="J209" s="1" t="str">
        <f>IFERROR(__xludf.DUMMYFUNCTION("""COMPUTED_VALUE"""),"CBR RINGING ONLY 9/28")</f>
        <v>CBR RINGING ONLY 9/28</v>
      </c>
      <c r="K209" s="1"/>
      <c r="L209" s="1"/>
      <c r="M209" s="1" t="str">
        <f>IFERROR(__xludf.DUMMYFUNCTION("""COMPUTED_VALUE"""),"CANCELLED - SUBS CANCEL REQUEST")</f>
        <v>CANCELLED - SUBS CANCEL REQUEST</v>
      </c>
      <c r="N209" s="1"/>
      <c r="O209" s="1" t="str">
        <f>IFERROR(__xludf.DUMMYFUNCTION("""COMPUTED_VALUE"""),"RED_RS_HH_CVE_26")</f>
        <v>RED_RS_HH_CVE_26</v>
      </c>
      <c r="P209" s="1" t="str">
        <f>IFERROR(__xludf.DUMMYFUNCTION("""COMPUTED_VALUE"""),"RED FIBR 1000")</f>
        <v>RED FIBR 1000</v>
      </c>
      <c r="Q209" s="1" t="str">
        <f>IFERROR(__xludf.DUMMYFUNCTION("""COMPUTED_VALUE"""),"MMM018713")</f>
        <v>MMM018713</v>
      </c>
      <c r="R209" s="1" t="str">
        <f>IFERROR(__xludf.DUMMYFUNCTION("""COMPUTED_VALUE"""),"GABAY MANUEL")</f>
        <v>GABAY MANUEL</v>
      </c>
      <c r="S209" s="1" t="str">
        <f>IFERROR(__xludf.DUMMYFUNCTION("""COMPUTED_VALUE"""),"REMOLLO LEA")</f>
        <v>REMOLLO LEA</v>
      </c>
      <c r="T209" s="1" t="str">
        <f>IFERROR(__xludf.DUMMYFUNCTION("""COMPUTED_VALUE"""),"ESPIRITU JULIE")</f>
        <v>ESPIRITU JULIE</v>
      </c>
      <c r="U209" s="1"/>
      <c r="V209" s="1">
        <f>IFERROR(__xludf.DUMMYFUNCTION("""COMPUTED_VALUE"""),9914357996)</f>
        <v>9914357996</v>
      </c>
      <c r="W209" s="1">
        <f>IFERROR(__xludf.DUMMYFUNCTION("""COMPUTED_VALUE"""),9260263195)</f>
        <v>9260263195</v>
      </c>
      <c r="X209" s="1" t="str">
        <f>IFERROR(__xludf.DUMMYFUNCTION("""COMPUTED_VALUE"""),"6C")</f>
        <v>6C</v>
      </c>
      <c r="Y209" s="1" t="str">
        <f>IFERROR(__xludf.DUMMYFUNCTION("""COMPUTED_VALUE"""),"LLAMADO ST")</f>
        <v>LLAMADO ST</v>
      </c>
      <c r="Z209" s="1"/>
      <c r="AA209" s="1" t="str">
        <f>IFERROR(__xludf.DUMMYFUNCTION("""COMPUTED_VALUE"""),"POBLACION IV (BARANGAY IV)")</f>
        <v>POBLACION IV (BARANGAY IV)</v>
      </c>
      <c r="AB209" s="1" t="str">
        <f>IFERROR(__xludf.DUMMYFUNCTION("""COMPUTED_VALUE"""),"MENDEZ")</f>
        <v>MENDEZ</v>
      </c>
      <c r="AC209" s="1" t="str">
        <f>IFERROR(__xludf.DUMMYFUNCTION("""COMPUTED_VALUE"""),"CVT2LCP59NP3")</f>
        <v>CVT2LCP59NP3</v>
      </c>
    </row>
    <row r="210" customHeight="1" spans="1:29">
      <c r="A210" s="3">
        <f>IFERROR(__xludf.DUMMYFUNCTION("""COMPUTED_VALUE"""),46286)</f>
        <v>46286</v>
      </c>
      <c r="B210" s="1" t="str">
        <f>IFERROR(__xludf.DUMMYFUNCTION("""COMPUTED_VALUE"""),"SEPTEMBER")</f>
        <v>SEPTEMBER</v>
      </c>
      <c r="C210" s="1" t="str">
        <f>IFERROR(__xludf.DUMMYFUNCTION("""COMPUTED_VALUE"""),"JEREMIE DIZON GERANI")</f>
        <v>JEREMIE DIZON GERANI</v>
      </c>
      <c r="D210" s="1" t="str">
        <f>IFERROR(__xludf.DUMMYFUNCTION("""COMPUTED_VALUE"""),"RITM0311190")</f>
        <v>RITM0311190</v>
      </c>
      <c r="E210" s="1"/>
      <c r="F210" s="1" t="str">
        <f>IFERROR(__xludf.DUMMYFUNCTION("""COMPUTED_VALUE"""),"1583931167")</f>
        <v>1583931167</v>
      </c>
      <c r="G210" s="1" t="str">
        <f>IFERROR(__xludf.DUMMYFUNCTION("""COMPUTED_VALUE"""),"ehmgerani@gmail.com")</f>
        <v>ehmgerani@gmail.com</v>
      </c>
      <c r="H210" s="1" t="str">
        <f>IFERROR(__xludf.DUMMYFUNCTION("""COMPUTED_VALUE"""),"CLOSED")</f>
        <v>CLOSED</v>
      </c>
      <c r="I210" s="1"/>
      <c r="J210" s="1"/>
      <c r="K210" s="1" t="str">
        <f>IFERROR(__xludf.DUMMYFUNCTION("""COMPUTED_VALUE"""),"PAID THRU BAYAD CENTER 773800622D49 SEP 21")</f>
        <v>PAID THRU BAYAD CENTER 773800622D49 SEP 21</v>
      </c>
      <c r="L210" s="1" t="str">
        <f>IFERROR(__xludf.DUMMYFUNCTION("""COMPUTED_VALUE"""),"PAID")</f>
        <v>PAID</v>
      </c>
      <c r="M210" s="1" t="str">
        <f>IFERROR(__xludf.DUMMYFUNCTION("""COMPUTED_VALUE"""),"POSTED")</f>
        <v>POSTED</v>
      </c>
      <c r="N210" s="1" t="str">
        <f>IFERROR(__xludf.DUMMYFUNCTION("""COMPUTED_VALUE"""),"2026")</f>
        <v>2026</v>
      </c>
      <c r="O210" s="1" t="str">
        <f>IFERROR(__xludf.DUMMYFUNCTION("""COMPUTED_VALUE"""),"RED_RS_HH_CVE_26")</f>
        <v>RED_RS_HH_CVE_26</v>
      </c>
      <c r="P210" s="1" t="str">
        <f>IFERROR(__xludf.DUMMYFUNCTION("""COMPUTED_VALUE"""),"RED FIBR 1400")</f>
        <v>RED FIBR 1400</v>
      </c>
      <c r="Q210" s="1" t="str">
        <f>IFERROR(__xludf.DUMMYFUNCTION("""COMPUTED_VALUE"""),"MMM018711")</f>
        <v>MMM018711</v>
      </c>
      <c r="R210" s="1" t="str">
        <f>IFERROR(__xludf.DUMMYFUNCTION("""COMPUTED_VALUE"""),"MAGDARAOG, KENNETH")</f>
        <v>MAGDARAOG, KENNETH</v>
      </c>
      <c r="S210" s="1" t="str">
        <f>IFERROR(__xludf.DUMMYFUNCTION("""COMPUTED_VALUE"""),"REMOLLO LEA")</f>
        <v>REMOLLO LEA</v>
      </c>
      <c r="T210" s="1" t="str">
        <f>IFERROR(__xludf.DUMMYFUNCTION("""COMPUTED_VALUE"""),"ESPIRITU JULIE")</f>
        <v>ESPIRITU JULIE</v>
      </c>
      <c r="U210" s="1"/>
      <c r="V210" s="1">
        <f>IFERROR(__xludf.DUMMYFUNCTION("""COMPUTED_VALUE"""),9761138590)</f>
        <v>9761138590</v>
      </c>
      <c r="W210" s="1">
        <f>IFERROR(__xludf.DUMMYFUNCTION("""COMPUTED_VALUE"""),9911762959)</f>
        <v>9911762959</v>
      </c>
      <c r="X210" s="1" t="str">
        <f>IFERROR(__xludf.DUMMYFUNCTION("""COMPUTED_VALUE"""),"349")</f>
        <v>349</v>
      </c>
      <c r="Y210" s="1" t="str">
        <f>IFERROR(__xludf.DUMMYFUNCTION("""COMPUTED_VALUE"""),"JP RIZAL ST")</f>
        <v>JP RIZAL ST</v>
      </c>
      <c r="Z210" s="1"/>
      <c r="AA210" s="1" t="str">
        <f>IFERROR(__xludf.DUMMYFUNCTION("""COMPUTED_VALUE"""),"GALICIA III")</f>
        <v>GALICIA III</v>
      </c>
      <c r="AB210" s="1" t="str">
        <f>IFERROR(__xludf.DUMMYFUNCTION("""COMPUTED_VALUE"""),"MENDEZ")</f>
        <v>MENDEZ</v>
      </c>
      <c r="AC210" s="1" t="str">
        <f>IFERROR(__xludf.DUMMYFUNCTION("""COMPUTED_VALUE"""),"CVT2LCP54NP1")</f>
        <v>CVT2LCP54NP1</v>
      </c>
    </row>
    <row r="211" customHeight="1" spans="1:29">
      <c r="A211" s="3">
        <f>IFERROR(__xludf.DUMMYFUNCTION("""COMPUTED_VALUE"""),46286)</f>
        <v>46286</v>
      </c>
      <c r="B211" s="1" t="str">
        <f>IFERROR(__xludf.DUMMYFUNCTION("""COMPUTED_VALUE"""),"SEPTEMBER")</f>
        <v>SEPTEMBER</v>
      </c>
      <c r="C211" s="1" t="str">
        <f>IFERROR(__xludf.DUMMYFUNCTION("""COMPUTED_VALUE"""),"SHERRYL CASIDE BITANCOR")</f>
        <v>SHERRYL CASIDE BITANCOR</v>
      </c>
      <c r="D211" s="1" t="str">
        <f>IFERROR(__xludf.DUMMYFUNCTION("""COMPUTED_VALUE"""),"RITM0311195")</f>
        <v>RITM0311195</v>
      </c>
      <c r="E211" s="1"/>
      <c r="F211" s="1" t="str">
        <f>IFERROR(__xludf.DUMMYFUNCTION("""COMPUTED_VALUE"""),"3679197354")</f>
        <v>3679197354</v>
      </c>
      <c r="G211" s="1" t="str">
        <f>IFERROR(__xludf.DUMMYFUNCTION("""COMPUTED_VALUE"""),"sherrylbitancor@gmail.com")</f>
        <v>sherrylbitancor@gmail.com</v>
      </c>
      <c r="H211" s="1" t="str">
        <f>IFERROR(__xludf.DUMMYFUNCTION("""COMPUTED_VALUE"""),"CLOSED")</f>
        <v>CLOSED</v>
      </c>
      <c r="I211" s="1"/>
      <c r="J211" s="1"/>
      <c r="K211" s="1" t="str">
        <f>IFERROR(__xludf.DUMMYFUNCTION("""COMPUTED_VALUE"""),"PAID THRU BAYAD CENTER 316BB5B08D4C SEP 21")</f>
        <v>PAID THRU BAYAD CENTER 316BB5B08D4C SEP 21</v>
      </c>
      <c r="L211" s="1" t="str">
        <f>IFERROR(__xludf.DUMMYFUNCTION("""COMPUTED_VALUE"""),"PAID")</f>
        <v>PAID</v>
      </c>
      <c r="M211" s="1" t="str">
        <f>IFERROR(__xludf.DUMMYFUNCTION("""COMPUTED_VALUE"""),"POSTED")</f>
        <v>POSTED</v>
      </c>
      <c r="N211" s="1" t="str">
        <f>IFERROR(__xludf.DUMMYFUNCTION("""COMPUTED_VALUE"""),"2026")</f>
        <v>2026</v>
      </c>
      <c r="O211" s="1" t="str">
        <f>IFERROR(__xludf.DUMMYFUNCTION("""COMPUTED_VALUE"""),"RED_RS_HH_CVE_26")</f>
        <v>RED_RS_HH_CVE_26</v>
      </c>
      <c r="P211" s="1" t="str">
        <f>IFERROR(__xludf.DUMMYFUNCTION("""COMPUTED_VALUE"""),"RED FIBR 1000")</f>
        <v>RED FIBR 1000</v>
      </c>
      <c r="Q211" s="1" t="str">
        <f>IFERROR(__xludf.DUMMYFUNCTION("""COMPUTED_VALUE"""),"MMM018711")</f>
        <v>MMM018711</v>
      </c>
      <c r="R211" s="1" t="str">
        <f>IFERROR(__xludf.DUMMYFUNCTION("""COMPUTED_VALUE"""),"MAGDARAOG, KENNETH")</f>
        <v>MAGDARAOG, KENNETH</v>
      </c>
      <c r="S211" s="1" t="str">
        <f>IFERROR(__xludf.DUMMYFUNCTION("""COMPUTED_VALUE"""),"REMOLLO LEA")</f>
        <v>REMOLLO LEA</v>
      </c>
      <c r="T211" s="1" t="str">
        <f>IFERROR(__xludf.DUMMYFUNCTION("""COMPUTED_VALUE"""),"ESPIRITU JULIE")</f>
        <v>ESPIRITU JULIE</v>
      </c>
      <c r="U211" s="1"/>
      <c r="V211" s="1">
        <f>IFERROR(__xludf.DUMMYFUNCTION("""COMPUTED_VALUE"""),9982641103)</f>
        <v>9982641103</v>
      </c>
      <c r="W211" s="1"/>
      <c r="X211" s="1" t="str">
        <f>IFERROR(__xludf.DUMMYFUNCTION("""COMPUTED_VALUE"""),"375")</f>
        <v>375</v>
      </c>
      <c r="Y211" s="1" t="str">
        <f>IFERROR(__xludf.DUMMYFUNCTION("""COMPUTED_VALUE"""),"JP RIZAL ST")</f>
        <v>JP RIZAL ST</v>
      </c>
      <c r="Z211" s="1"/>
      <c r="AA211" s="1" t="str">
        <f>IFERROR(__xludf.DUMMYFUNCTION("""COMPUTED_VALUE"""),"GALICIA III")</f>
        <v>GALICIA III</v>
      </c>
      <c r="AB211" s="1" t="str">
        <f>IFERROR(__xludf.DUMMYFUNCTION("""COMPUTED_VALUE"""),"MENDEZ")</f>
        <v>MENDEZ</v>
      </c>
      <c r="AC211" s="1" t="str">
        <f>IFERROR(__xludf.DUMMYFUNCTION("""COMPUTED_VALUE"""),"CVT2LCP54NP1")</f>
        <v>CVT2LCP54NP1</v>
      </c>
    </row>
    <row r="212" customHeight="1" spans="1:29">
      <c r="A212" s="3">
        <f>IFERROR(__xludf.DUMMYFUNCTION("""COMPUTED_VALUE"""),46286)</f>
        <v>46286</v>
      </c>
      <c r="B212" s="1" t="str">
        <f>IFERROR(__xludf.DUMMYFUNCTION("""COMPUTED_VALUE"""),"SEPTEMBER")</f>
        <v>SEPTEMBER</v>
      </c>
      <c r="C212" s="1" t="str">
        <f>IFERROR(__xludf.DUMMYFUNCTION("""COMPUTED_VALUE""")," ALJON MAGTUPA CARPILA")</f>
        <v> ALJON MAGTUPA CARPILA</v>
      </c>
      <c r="D212" s="1" t="str">
        <f>IFERROR(__xludf.DUMMYFUNCTION("""COMPUTED_VALUE"""),"RITM0311198")</f>
        <v>RITM0311198</v>
      </c>
      <c r="E212" s="1"/>
      <c r="F212" s="1"/>
      <c r="G212" s="1" t="str">
        <f>IFERROR(__xludf.DUMMYFUNCTION("""COMPUTED_VALUE"""),"carpilaaljon8@gmail.com")</f>
        <v>carpilaaljon8@gmail.com</v>
      </c>
      <c r="H212" s="1" t="str">
        <f>IFERROR(__xludf.DUMMYFUNCTION("""COMPUTED_VALUE"""),"APPROVED")</f>
        <v>APPROVED</v>
      </c>
      <c r="I212" s="1"/>
      <c r="J212" s="1" t="str">
        <f>IFERROR(__xludf.DUMMYFUNCTION("""COMPUTED_VALUE"""),"CBR RINGING ONLY 9/28")</f>
        <v>CBR RINGING ONLY 9/28</v>
      </c>
      <c r="K212" s="1"/>
      <c r="L212" s="1"/>
      <c r="M212" s="1" t="str">
        <f>IFERROR(__xludf.DUMMYFUNCTION("""COMPUTED_VALUE"""),"CANCELLED - SUBS CANCEL REQUEST")</f>
        <v>CANCELLED - SUBS CANCEL REQUEST</v>
      </c>
      <c r="N212" s="1"/>
      <c r="O212" s="1" t="str">
        <f>IFERROR(__xludf.DUMMYFUNCTION("""COMPUTED_VALUE"""),"RED_RS_HH_CVE_26")</f>
        <v>RED_RS_HH_CVE_26</v>
      </c>
      <c r="P212" s="1" t="str">
        <f>IFERROR(__xludf.DUMMYFUNCTION("""COMPUTED_VALUE"""),"RED FIBR 1000")</f>
        <v>RED FIBR 1000</v>
      </c>
      <c r="Q212" s="1" t="str">
        <f>IFERROR(__xludf.DUMMYFUNCTION("""COMPUTED_VALUE"""),"MMM018712")</f>
        <v>MMM018712</v>
      </c>
      <c r="R212" s="1" t="str">
        <f>IFERROR(__xludf.DUMMYFUNCTION("""COMPUTED_VALUE"""),"DACLAN, IVY")</f>
        <v>DACLAN, IVY</v>
      </c>
      <c r="S212" s="1" t="str">
        <f>IFERROR(__xludf.DUMMYFUNCTION("""COMPUTED_VALUE"""),"REMOLLO LEA")</f>
        <v>REMOLLO LEA</v>
      </c>
      <c r="T212" s="1" t="str">
        <f>IFERROR(__xludf.DUMMYFUNCTION("""COMPUTED_VALUE"""),"ESPIRITU JULIE")</f>
        <v>ESPIRITU JULIE</v>
      </c>
      <c r="U212" s="1"/>
      <c r="V212" s="1">
        <f>IFERROR(__xludf.DUMMYFUNCTION("""COMPUTED_VALUE"""),9539226597)</f>
        <v>9539226597</v>
      </c>
      <c r="W212" s="1"/>
      <c r="X212" s="1" t="str">
        <f>IFERROR(__xludf.DUMMYFUNCTION("""COMPUTED_VALUE"""),"31")</f>
        <v>31</v>
      </c>
      <c r="Y212" s="1" t="str">
        <f>IFERROR(__xludf.DUMMYFUNCTION("""COMPUTED_VALUE"""),"JP RIZAL ST")</f>
        <v>JP RIZAL ST</v>
      </c>
      <c r="Z212" s="1"/>
      <c r="AA212" s="1" t="str">
        <f>IFERROR(__xludf.DUMMYFUNCTION("""COMPUTED_VALUE"""),"GALICIA III")</f>
        <v>GALICIA III</v>
      </c>
      <c r="AB212" s="1" t="str">
        <f>IFERROR(__xludf.DUMMYFUNCTION("""COMPUTED_VALUE"""),"MENDEZ")</f>
        <v>MENDEZ</v>
      </c>
      <c r="AC212" s="1" t="str">
        <f>IFERROR(__xludf.DUMMYFUNCTION("""COMPUTED_VALUE"""),"CVT2LCP54NP1")</f>
        <v>CVT2LCP54NP1</v>
      </c>
    </row>
    <row r="213" customHeight="1" spans="1:29">
      <c r="A213" s="3">
        <f>IFERROR(__xludf.DUMMYFUNCTION("""COMPUTED_VALUE"""),46286)</f>
        <v>46286</v>
      </c>
      <c r="B213" s="1" t="str">
        <f>IFERROR(__xludf.DUMMYFUNCTION("""COMPUTED_VALUE"""),"SEPTEMBER")</f>
        <v>SEPTEMBER</v>
      </c>
      <c r="C213" s="1" t="str">
        <f>IFERROR(__xludf.DUMMYFUNCTION("""COMPUTED_VALUE"""),"REYNOLD PINANGANG ABENDANTE")</f>
        <v>REYNOLD PINANGANG ABENDANTE</v>
      </c>
      <c r="D213" s="1" t="str">
        <f>IFERROR(__xludf.DUMMYFUNCTION("""COMPUTED_VALUE"""),"RITM0311206")</f>
        <v>RITM0311206</v>
      </c>
      <c r="E213" s="1"/>
      <c r="F213" s="1" t="str">
        <f>IFERROR(__xludf.DUMMYFUNCTION("""COMPUTED_VALUE"""),"6675567835")</f>
        <v>6675567835</v>
      </c>
      <c r="G213" s="1" t="str">
        <f>IFERROR(__xludf.DUMMYFUNCTION("""COMPUTED_VALUE"""),"Reypinangang7@gmail.com")</f>
        <v>Reypinangang7@gmail.com</v>
      </c>
      <c r="H213" s="1" t="str">
        <f>IFERROR(__xludf.DUMMYFUNCTION("""COMPUTED_VALUE"""),"CLOSED")</f>
        <v>CLOSED</v>
      </c>
      <c r="I213" s="1"/>
      <c r="J213" s="1"/>
      <c r="K213" s="1" t="str">
        <f>IFERROR(__xludf.DUMMYFUNCTION("""COMPUTED_VALUE"""),"PAID THRU GCASH REF# 710924423 9/23")</f>
        <v>PAID THRU GCASH REF# 710924423 9/23</v>
      </c>
      <c r="L213" s="1" t="str">
        <f>IFERROR(__xludf.DUMMYFUNCTION("""COMPUTED_VALUE"""),"PAID")</f>
        <v>PAID</v>
      </c>
      <c r="M213" s="1" t="str">
        <f>IFERROR(__xludf.DUMMYFUNCTION("""COMPUTED_VALUE"""),"POSTED")</f>
        <v>POSTED</v>
      </c>
      <c r="N213" s="1" t="str">
        <f>IFERROR(__xludf.DUMMYFUNCTION("""COMPUTED_VALUE"""),"2026")</f>
        <v>2026</v>
      </c>
      <c r="O213" s="1" t="str">
        <f>IFERROR(__xludf.DUMMYFUNCTION("""COMPUTED_VALUE"""),"RED_RS_HH_CVE_26")</f>
        <v>RED_RS_HH_CVE_26</v>
      </c>
      <c r="P213" s="1" t="str">
        <f>IFERROR(__xludf.DUMMYFUNCTION("""COMPUTED_VALUE"""),"RED FIBR 1000")</f>
        <v>RED FIBR 1000</v>
      </c>
      <c r="Q213" s="1" t="str">
        <f>IFERROR(__xludf.DUMMYFUNCTION("""COMPUTED_VALUE"""),"MMM018713")</f>
        <v>MMM018713</v>
      </c>
      <c r="R213" s="1" t="str">
        <f>IFERROR(__xludf.DUMMYFUNCTION("""COMPUTED_VALUE"""),"FRANCISCO, ROSELYN")</f>
        <v>FRANCISCO, ROSELYN</v>
      </c>
      <c r="S213" s="1" t="str">
        <f>IFERROR(__xludf.DUMMYFUNCTION("""COMPUTED_VALUE"""),"REMOLLO LEA")</f>
        <v>REMOLLO LEA</v>
      </c>
      <c r="T213" s="1" t="str">
        <f>IFERROR(__xludf.DUMMYFUNCTION("""COMPUTED_VALUE"""),"ESPIRITU JULIE")</f>
        <v>ESPIRITU JULIE</v>
      </c>
      <c r="U213" s="1"/>
      <c r="V213" s="1">
        <f>IFERROR(__xludf.DUMMYFUNCTION("""COMPUTED_VALUE"""),9338570554)</f>
        <v>9338570554</v>
      </c>
      <c r="W213" s="1"/>
      <c r="X213" s="1" t="str">
        <f>IFERROR(__xludf.DUMMYFUNCTION("""COMPUTED_VALUE"""),"84")</f>
        <v>84</v>
      </c>
      <c r="Y213" s="1" t="str">
        <f>IFERROR(__xludf.DUMMYFUNCTION("""COMPUTED_VALUE"""),"LUCSUHIN IBABA RD")</f>
        <v>LUCSUHIN IBABA RD</v>
      </c>
      <c r="Z213" s="1"/>
      <c r="AA213" s="1" t="str">
        <f>IFERROR(__xludf.DUMMYFUNCTION("""COMPUTED_VALUE"""),"LUKSUHIN")</f>
        <v>LUKSUHIN</v>
      </c>
      <c r="AB213" s="1" t="str">
        <f>IFERROR(__xludf.DUMMYFUNCTION("""COMPUTED_VALUE"""),"ALFONSO")</f>
        <v>ALFONSO</v>
      </c>
      <c r="AC213" s="1" t="str">
        <f>IFERROR(__xludf.DUMMYFUNCTION("""COMPUTED_VALUE"""),"CVT2LCP48NP4")</f>
        <v>CVT2LCP48NP4</v>
      </c>
    </row>
    <row r="214" customHeight="1" spans="1:29">
      <c r="A214" s="3">
        <f>IFERROR(__xludf.DUMMYFUNCTION("""COMPUTED_VALUE"""),46287)</f>
        <v>46287</v>
      </c>
      <c r="B214" s="1" t="str">
        <f>IFERROR(__xludf.DUMMYFUNCTION("""COMPUTED_VALUE"""),"SEPTEMBER")</f>
        <v>SEPTEMBER</v>
      </c>
      <c r="C214" s="1" t="str">
        <f>IFERROR(__xludf.DUMMYFUNCTION("""COMPUTED_VALUE"""),"REDELYN GRIGO ABAD")</f>
        <v>REDELYN GRIGO ABAD</v>
      </c>
      <c r="D214" s="1" t="str">
        <f>IFERROR(__xludf.DUMMYFUNCTION("""COMPUTED_VALUE"""),"RITM0311280")</f>
        <v>RITM0311280</v>
      </c>
      <c r="E214" s="1"/>
      <c r="F214" s="1" t="str">
        <f>IFERROR(__xludf.DUMMYFUNCTION("""COMPUTED_VALUE"""),"6758419693")</f>
        <v>6758419693</v>
      </c>
      <c r="G214" s="1" t="str">
        <f>IFERROR(__xludf.DUMMYFUNCTION("""COMPUTED_VALUE"""),"redelynabad@gmail.com")</f>
        <v>redelynabad@gmail.com</v>
      </c>
      <c r="H214" s="1" t="str">
        <f>IFERROR(__xludf.DUMMYFUNCTION("""COMPUTED_VALUE"""),"CLOSED")</f>
        <v>CLOSED</v>
      </c>
      <c r="I214" s="1"/>
      <c r="J214" s="1"/>
      <c r="K214" s="1" t="str">
        <f>IFERROR(__xludf.DUMMYFUNCTION("""COMPUTED_VALUE"""),"PAID THRU GCASH REF 031337476 SEP 24")</f>
        <v>PAID THRU GCASH REF 031337476 SEP 24</v>
      </c>
      <c r="L214" s="1" t="str">
        <f>IFERROR(__xludf.DUMMYFUNCTION("""COMPUTED_VALUE"""),"PAID")</f>
        <v>PAID</v>
      </c>
      <c r="M214" s="1" t="str">
        <f>IFERROR(__xludf.DUMMYFUNCTION("""COMPUTED_VALUE"""),"POSTED")</f>
        <v>POSTED</v>
      </c>
      <c r="N214" s="1" t="str">
        <f>IFERROR(__xludf.DUMMYFUNCTION("""COMPUTED_VALUE"""),"2026")</f>
        <v>2026</v>
      </c>
      <c r="O214" s="1" t="str">
        <f>IFERROR(__xludf.DUMMYFUNCTION("""COMPUTED_VALUE"""),"RFBF_CVEU_2026")</f>
        <v>RFBF_CVEU_2026</v>
      </c>
      <c r="P214" s="1" t="str">
        <f>IFERROR(__xludf.DUMMYFUNCTION("""COMPUTED_VALUE"""),"SWITCHER PLAN 1400")</f>
        <v>SWITCHER PLAN 1400</v>
      </c>
      <c r="Q214" s="1" t="str">
        <f>IFERROR(__xludf.DUMMYFUNCTION("""COMPUTED_VALUE"""),"MMM018712")</f>
        <v>MMM018712</v>
      </c>
      <c r="R214" s="1" t="str">
        <f>IFERROR(__xludf.DUMMYFUNCTION("""COMPUTED_VALUE"""),"PEREZ. RONELL ")</f>
        <v>PEREZ. RONELL </v>
      </c>
      <c r="S214" s="1" t="str">
        <f>IFERROR(__xludf.DUMMYFUNCTION("""COMPUTED_VALUE"""),"GARCIA MICHAEL JETTS")</f>
        <v>GARCIA MICHAEL JETTS</v>
      </c>
      <c r="T214" s="1" t="str">
        <f>IFERROR(__xludf.DUMMYFUNCTION("""COMPUTED_VALUE"""),"ESPIRITU JULIE")</f>
        <v>ESPIRITU JULIE</v>
      </c>
      <c r="U214" s="1"/>
      <c r="V214" s="1">
        <f>IFERROR(__xludf.DUMMYFUNCTION("""COMPUTED_VALUE"""),9758965996)</f>
        <v>9758965996</v>
      </c>
      <c r="W214" s="1"/>
      <c r="X214" s="1" t="str">
        <f>IFERROR(__xludf.DUMMYFUNCTION("""COMPUTED_VALUE"""),"214")</f>
        <v>214</v>
      </c>
      <c r="Y214" s="1" t="str">
        <f>IFERROR(__xludf.DUMMYFUNCTION("""COMPUTED_VALUE"""),"JB ST")</f>
        <v>JB ST</v>
      </c>
      <c r="Z214" s="1"/>
      <c r="AA214" s="1" t="str">
        <f>IFERROR(__xludf.DUMMYFUNCTION("""COMPUTED_VALUE"""),"AMAYA VII")</f>
        <v>AMAYA VII</v>
      </c>
      <c r="AB214" s="1" t="str">
        <f>IFERROR(__xludf.DUMMYFUNCTION("""COMPUTED_VALUE"""),"TANZA")</f>
        <v>TANZA</v>
      </c>
      <c r="AC214" s="1" t="str">
        <f>IFERROR(__xludf.DUMMYFUNCTION("""COMPUTED_VALUE"""),"CVT6-L224N5-8")</f>
        <v>CVT6-L224N5-8</v>
      </c>
    </row>
    <row r="215" customHeight="1" spans="1:29">
      <c r="A215" s="3">
        <f>IFERROR(__xludf.DUMMYFUNCTION("""COMPUTED_VALUE"""),46287)</f>
        <v>46287</v>
      </c>
      <c r="B215" s="1" t="str">
        <f>IFERROR(__xludf.DUMMYFUNCTION("""COMPUTED_VALUE"""),"SEPTEMBER")</f>
        <v>SEPTEMBER</v>
      </c>
      <c r="C215" s="1" t="str">
        <f>IFERROR(__xludf.DUMMYFUNCTION("""COMPUTED_VALUE"""),"ANGELITA PEREY PERIDO")</f>
        <v>ANGELITA PEREY PERIDO</v>
      </c>
      <c r="D215" s="1" t="str">
        <f>IFERROR(__xludf.DUMMYFUNCTION("""COMPUTED_VALUE"""),"RITM0311297")</f>
        <v>RITM0311297</v>
      </c>
      <c r="E215" s="1"/>
      <c r="F215" s="1" t="str">
        <f>IFERROR(__xludf.DUMMYFUNCTION("""COMPUTED_VALUE"""),"3545435999")</f>
        <v>3545435999</v>
      </c>
      <c r="G215" s="1" t="str">
        <f>IFERROR(__xludf.DUMMYFUNCTION("""COMPUTED_VALUE"""),"mariebasco929@gmail.com")</f>
        <v>mariebasco929@gmail.com</v>
      </c>
      <c r="H215" s="1" t="str">
        <f>IFERROR(__xludf.DUMMYFUNCTION("""COMPUTED_VALUE"""),"APPROVED")</f>
        <v>APPROVED</v>
      </c>
      <c r="I215" s="1" t="str">
        <f>IFERROR(__xludf.DUMMYFUNCTION("""COMPUTED_VALUE"""),"CLOSED INCOMPLETE // NO POLE ATTACHMENT")</f>
        <v>CLOSED INCOMPLETE // NO POLE ATTACHMENT</v>
      </c>
      <c r="J215" s="1" t="str">
        <f>IFERROR(__xludf.DUMMYFUNCTION("""COMPUTED_VALUE"""),"FOR REFUND")</f>
        <v>FOR REFUND</v>
      </c>
      <c r="K215" s="1" t="str">
        <f>IFERROR(__xludf.DUMMYFUNCTION("""COMPUTED_VALUE"""),"PAID THRU GCASH REF#121039058 9/26")</f>
        <v>PAID THRU GCASH REF#121039058 9/26</v>
      </c>
      <c r="L215" s="1" t="str">
        <f>IFERROR(__xludf.DUMMYFUNCTION("""COMPUTED_VALUE"""),"PAID")</f>
        <v>PAID</v>
      </c>
      <c r="M215" s="1" t="str">
        <f>IFERROR(__xludf.DUMMYFUNCTION("""COMPUTED_VALUE"""),"PAID - FOR INSTALLATION")</f>
        <v>PAID - FOR INSTALLATION</v>
      </c>
      <c r="N215" s="1"/>
      <c r="O215" s="1" t="str">
        <f>IFERROR(__xludf.DUMMYFUNCTION("""COMPUTED_VALUE"""),"RED_RS_HH_CVE_26")</f>
        <v>RED_RS_HH_CVE_26</v>
      </c>
      <c r="P215" s="1" t="str">
        <f>IFERROR(__xludf.DUMMYFUNCTION("""COMPUTED_VALUE"""),"RED FIBR 1000")</f>
        <v>RED FIBR 1000</v>
      </c>
      <c r="Q215" s="1" t="str">
        <f>IFERROR(__xludf.DUMMYFUNCTION("""COMPUTED_VALUE"""),"MMM018709")</f>
        <v>MMM018709</v>
      </c>
      <c r="R215" s="1" t="str">
        <f>IFERROR(__xludf.DUMMYFUNCTION("""COMPUTED_VALUE"""),"BALANLAYOS, ANDREI")</f>
        <v>BALANLAYOS, ANDREI</v>
      </c>
      <c r="S215" s="1" t="str">
        <f>IFERROR(__xludf.DUMMYFUNCTION("""COMPUTED_VALUE"""),"REMOLLO LEA")</f>
        <v>REMOLLO LEA</v>
      </c>
      <c r="T215" s="1" t="str">
        <f>IFERROR(__xludf.DUMMYFUNCTION("""COMPUTED_VALUE"""),"ESPIRITU JULIE")</f>
        <v>ESPIRITU JULIE</v>
      </c>
      <c r="U215" s="1"/>
      <c r="V215" s="1">
        <f>IFERROR(__xludf.DUMMYFUNCTION("""COMPUTED_VALUE"""),9958247812)</f>
        <v>9958247812</v>
      </c>
      <c r="W215" s="1"/>
      <c r="X215" s="1" t="str">
        <f>IFERROR(__xludf.DUMMYFUNCTION("""COMPUTED_VALUE"""),"44")</f>
        <v>44</v>
      </c>
      <c r="Y215" s="1" t="str">
        <f>IFERROR(__xludf.DUMMYFUNCTION("""COMPUTED_VALUE"""),"JP RIZAL")</f>
        <v>JP RIZAL</v>
      </c>
      <c r="Z215" s="1"/>
      <c r="AA215" s="1" t="str">
        <f>IFERROR(__xludf.DUMMYFUNCTION("""COMPUTED_VALUE"""),"GALICIA III")</f>
        <v>GALICIA III</v>
      </c>
      <c r="AB215" s="1" t="str">
        <f>IFERROR(__xludf.DUMMYFUNCTION("""COMPUTED_VALUE"""),"MENDEZ")</f>
        <v>MENDEZ</v>
      </c>
      <c r="AC215" s="1" t="str">
        <f>IFERROR(__xludf.DUMMYFUNCTION("""COMPUTED_VALUE"""),"CVT2LCP54NP1")</f>
        <v>CVT2LCP54NP1</v>
      </c>
    </row>
    <row r="216" customHeight="1" spans="1:29">
      <c r="A216" s="3">
        <f>IFERROR(__xludf.DUMMYFUNCTION("""COMPUTED_VALUE"""),46288)</f>
        <v>46288</v>
      </c>
      <c r="B216" s="1" t="str">
        <f>IFERROR(__xludf.DUMMYFUNCTION("""COMPUTED_VALUE"""),"SEPTEMBER")</f>
        <v>SEPTEMBER</v>
      </c>
      <c r="C216" s="1" t="str">
        <f>IFERROR(__xludf.DUMMYFUNCTION("""COMPUTED_VALUE"""),"WILSON GOTIZA JORDAN")</f>
        <v>WILSON GOTIZA JORDAN</v>
      </c>
      <c r="D216" s="1" t="str">
        <f>IFERROR(__xludf.DUMMYFUNCTION("""COMPUTED_VALUE"""),"RITM0311448 ")</f>
        <v>RITM0311448 </v>
      </c>
      <c r="E216" s="1"/>
      <c r="F216" s="1" t="str">
        <f>IFERROR(__xludf.DUMMYFUNCTION("""COMPUTED_VALUE"""),"1776932932")</f>
        <v>1776932932</v>
      </c>
      <c r="G216" s="1" t="str">
        <f>IFERROR(__xludf.DUMMYFUNCTION("""COMPUTED_VALUE"""),"wilsonjordan146@gmail.com")</f>
        <v>wilsonjordan146@gmail.com</v>
      </c>
      <c r="H216" s="1" t="str">
        <f>IFERROR(__xludf.DUMMYFUNCTION("""COMPUTED_VALUE"""),"CLOSED")</f>
        <v>CLOSED</v>
      </c>
      <c r="I216" s="1"/>
      <c r="J216" s="1"/>
      <c r="K216" s="1" t="str">
        <f>IFERROR(__xludf.DUMMYFUNCTION("""COMPUTED_VALUE"""),"PAID REF 26267ETQP1E3HWEKN SEP 24")</f>
        <v>PAID REF 26267ETQP1E3HWEKN SEP 24</v>
      </c>
      <c r="L216" s="1" t="str">
        <f>IFERROR(__xludf.DUMMYFUNCTION("""COMPUTED_VALUE"""),"PAID")</f>
        <v>PAID</v>
      </c>
      <c r="M216" s="1" t="str">
        <f>IFERROR(__xludf.DUMMYFUNCTION("""COMPUTED_VALUE"""),"POSTED")</f>
        <v>POSTED</v>
      </c>
      <c r="N216" s="1" t="str">
        <f>IFERROR(__xludf.DUMMYFUNCTION("""COMPUTED_VALUE"""),"9/26/2026")</f>
        <v>9/26/2026</v>
      </c>
      <c r="O216" s="1" t="str">
        <f>IFERROR(__xludf.DUMMYFUNCTION("""COMPUTED_VALUE"""),"BKRED_RS_HH_CVE_26")</f>
        <v>BKRED_RS_HH_CVE_26</v>
      </c>
      <c r="P216" s="1" t="str">
        <f>IFERROR(__xludf.DUMMYFUNCTION("""COMPUTED_VALUE"""),"RED FIBR 1000")</f>
        <v>RED FIBR 1000</v>
      </c>
      <c r="Q216" s="1" t="str">
        <f>IFERROR(__xludf.DUMMYFUNCTION("""COMPUTED_VALUE"""),"MMM018709")</f>
        <v>MMM018709</v>
      </c>
      <c r="R216" s="1" t="str">
        <f>IFERROR(__xludf.DUMMYFUNCTION("""COMPUTED_VALUE"""),"MORADOS, MARVIN")</f>
        <v>MORADOS, MARVIN</v>
      </c>
      <c r="S216" s="1" t="str">
        <f>IFERROR(__xludf.DUMMYFUNCTION("""COMPUTED_VALUE"""),"GARCIA MICHAEL JETTS")</f>
        <v>GARCIA MICHAEL JETTS</v>
      </c>
      <c r="T216" s="1" t="str">
        <f>IFERROR(__xludf.DUMMYFUNCTION("""COMPUTED_VALUE"""),"SALIOA JB")</f>
        <v>SALIOA JB</v>
      </c>
      <c r="U216" s="1"/>
      <c r="V216" s="1">
        <f>IFERROR(__xludf.DUMMYFUNCTION("""COMPUTED_VALUE"""),9756938508)</f>
        <v>9756938508</v>
      </c>
      <c r="W216" s="1"/>
      <c r="X216" s="1" t="str">
        <f>IFERROR(__xludf.DUMMYFUNCTION("""COMPUTED_VALUE"""),"203")</f>
        <v>203</v>
      </c>
      <c r="Y216" s="1" t="str">
        <f>IFERROR(__xludf.DUMMYFUNCTION("""COMPUTED_VALUE"""),"SILANGAN ST")</f>
        <v>SILANGAN ST</v>
      </c>
      <c r="Z216" s="1"/>
      <c r="AA216" s="1" t="str">
        <f>IFERROR(__xludf.DUMMYFUNCTION("""COMPUTED_VALUE"""),"HALAYHAY")</f>
        <v>HALAYHAY</v>
      </c>
      <c r="AB216" s="1" t="str">
        <f>IFERROR(__xludf.DUMMYFUNCTION("""COMPUTED_VALUE"""),"TANZA")</f>
        <v>TANZA</v>
      </c>
      <c r="AC216" s="1"/>
    </row>
    <row r="217" customHeight="1" spans="1:29">
      <c r="A217" s="3">
        <f>IFERROR(__xludf.DUMMYFUNCTION("""COMPUTED_VALUE"""),46289)</f>
        <v>46289</v>
      </c>
      <c r="B217" s="1" t="str">
        <f>IFERROR(__xludf.DUMMYFUNCTION("""COMPUTED_VALUE"""),"SEPTEMBER")</f>
        <v>SEPTEMBER</v>
      </c>
      <c r="C217" s="1" t="str">
        <f>IFERROR(__xludf.DUMMYFUNCTION("""COMPUTED_VALUE"""),"NANCY CORDERO TAMAYO")</f>
        <v>NANCY CORDERO TAMAYO</v>
      </c>
      <c r="D217" s="1" t="str">
        <f>IFERROR(__xludf.DUMMYFUNCTION("""COMPUTED_VALUE"""),"RITM0311494")</f>
        <v>RITM0311494</v>
      </c>
      <c r="E217" s="1"/>
      <c r="F217" s="1"/>
      <c r="G217" s="1" t="str">
        <f>IFERROR(__xludf.DUMMYFUNCTION("""COMPUTED_VALUE"""),"tamayonancy352@gmail.com")</f>
        <v>tamayonancy352@gmail.com</v>
      </c>
      <c r="H217" s="1" t="str">
        <f>IFERROR(__xludf.DUMMYFUNCTION("""COMPUTED_VALUE"""),"APPROVED")</f>
        <v>APPROVED</v>
      </c>
      <c r="I217" s="1"/>
      <c r="J217" s="1"/>
      <c r="K217" s="1"/>
      <c r="L217" s="1"/>
      <c r="M217" s="1" t="str">
        <f>IFERROR(__xludf.DUMMYFUNCTION("""COMPUTED_VALUE"""),"CANCEL RECREATE - FOR CHANGE EMAIL")</f>
        <v>CANCEL RECREATE - FOR CHANGE EMAIL</v>
      </c>
      <c r="N217" s="1"/>
      <c r="O217" s="1" t="str">
        <f>IFERROR(__xludf.DUMMYFUNCTION("""COMPUTED_VALUE"""),"RFBF_CVEU_2026")</f>
        <v>RFBF_CVEU_2026</v>
      </c>
      <c r="P217" s="1" t="str">
        <f>IFERROR(__xludf.DUMMYFUNCTION("""COMPUTED_VALUE"""),"RED FIBR 1400")</f>
        <v>RED FIBR 1400</v>
      </c>
      <c r="Q217" s="1" t="str">
        <f>IFERROR(__xludf.DUMMYFUNCTION("""COMPUTED_VALUE"""),"MMM018713")</f>
        <v>MMM018713</v>
      </c>
      <c r="R217" s="1" t="str">
        <f>IFERROR(__xludf.DUMMYFUNCTION("""COMPUTED_VALUE"""),"MAGDARAOG, KENNETH")</f>
        <v>MAGDARAOG, KENNETH</v>
      </c>
      <c r="S217" s="1" t="str">
        <f>IFERROR(__xludf.DUMMYFUNCTION("""COMPUTED_VALUE"""),"REMOLLO LEA")</f>
        <v>REMOLLO LEA</v>
      </c>
      <c r="T217" s="1" t="str">
        <f>IFERROR(__xludf.DUMMYFUNCTION("""COMPUTED_VALUE"""),"ESPIRITU JULIE")</f>
        <v>ESPIRITU JULIE</v>
      </c>
      <c r="U217" s="1"/>
      <c r="V217" s="1">
        <f>IFERROR(__xludf.DUMMYFUNCTION("""COMPUTED_VALUE"""),9083276798)</f>
        <v>9083276798</v>
      </c>
      <c r="W217" s="1"/>
      <c r="X217" s="1" t="str">
        <f>IFERROR(__xludf.DUMMYFUNCTION("""COMPUTED_VALUE"""),"BLK 8 LOT 45")</f>
        <v>BLK 8 LOT 45</v>
      </c>
      <c r="Y217" s="1" t="str">
        <f>IFERROR(__xludf.DUMMYFUNCTION("""COMPUTED_VALUE"""),"PHASE A")</f>
        <v>PHASE A</v>
      </c>
      <c r="Z217" s="1" t="str">
        <f>IFERROR(__xludf.DUMMYFUNCTION("""COMPUTED_VALUE"""),"PEARL RESIDENCES")</f>
        <v>PEARL RESIDENCES</v>
      </c>
      <c r="AA217" s="1" t="str">
        <f>IFERROR(__xludf.DUMMYFUNCTION("""COMPUTED_VALUE"""),"CAPIPISA")</f>
        <v>CAPIPISA</v>
      </c>
      <c r="AB217" s="1" t="str">
        <f>IFERROR(__xludf.DUMMYFUNCTION("""COMPUTED_VALUE"""),"TANZA")</f>
        <v>TANZA</v>
      </c>
      <c r="AC217" s="1" t="str">
        <f>IFERROR(__xludf.DUMMYFUNCTION("""COMPUTED_VALUE"""),"CVT6LCP135NP5/6")</f>
        <v>CVT6LCP135NP5/6</v>
      </c>
    </row>
    <row r="218" customHeight="1" spans="1:29">
      <c r="A218" s="3">
        <f>IFERROR(__xludf.DUMMYFUNCTION("""COMPUTED_VALUE"""),46290)</f>
        <v>46290</v>
      </c>
      <c r="B218" s="1" t="str">
        <f>IFERROR(__xludf.DUMMYFUNCTION("""COMPUTED_VALUE"""),"SEPTEMBER")</f>
        <v>SEPTEMBER</v>
      </c>
      <c r="C218" s="1" t="str">
        <f>IFERROR(__xludf.DUMMYFUNCTION("""COMPUTED_VALUE"""),"F-JAY BUIZA PANGILINAN")</f>
        <v>F-JAY BUIZA PANGILINAN</v>
      </c>
      <c r="D218" s="1" t="str">
        <f>IFERROR(__xludf.DUMMYFUNCTION("""COMPUTED_VALUE"""),"RITM0311609")</f>
        <v>RITM0311609</v>
      </c>
      <c r="E218" s="1"/>
      <c r="F218" s="1" t="str">
        <f>IFERROR(__xludf.DUMMYFUNCTION("""COMPUTED_VALUE"""),"4174821868")</f>
        <v>4174821868</v>
      </c>
      <c r="G218" s="1" t="str">
        <f>IFERROR(__xludf.DUMMYFUNCTION("""COMPUTED_VALUE"""),"fjaypangilinan25@gmail.com")</f>
        <v>fjaypangilinan25@gmail.com</v>
      </c>
      <c r="H218" s="1" t="str">
        <f>IFERROR(__xludf.DUMMYFUNCTION("""COMPUTED_VALUE"""),"CLOSED")</f>
        <v>CLOSED</v>
      </c>
      <c r="I218" s="1"/>
      <c r="J218" s="1"/>
      <c r="K218" s="1" t="str">
        <f>IFERROR(__xludf.DUMMYFUNCTION("""COMPUTED_VALUE"""),"PAID VIA GCASH REF 044493743 SEP 27")</f>
        <v>PAID VIA GCASH REF 044493743 SEP 27</v>
      </c>
      <c r="L218" s="1" t="str">
        <f>IFERROR(__xludf.DUMMYFUNCTION("""COMPUTED_VALUE"""),"PAID")</f>
        <v>PAID</v>
      </c>
      <c r="M218" s="1" t="str">
        <f>IFERROR(__xludf.DUMMYFUNCTION("""COMPUTED_VALUE"""),"POSTED")</f>
        <v>POSTED</v>
      </c>
      <c r="N218" s="1" t="str">
        <f>IFERROR(__xludf.DUMMYFUNCTION("""COMPUTED_VALUE"""),"10/1/2026")</f>
        <v>10/1/2026</v>
      </c>
      <c r="O218" s="1" t="str">
        <f>IFERROR(__xludf.DUMMYFUNCTION("""COMPUTED_VALUE"""),"RFBF_CVEU_2026")</f>
        <v>RFBF_CVEU_2026</v>
      </c>
      <c r="P218" s="1" t="str">
        <f>IFERROR(__xludf.DUMMYFUNCTION("""COMPUTED_VALUE"""),"RED FIBR 1000")</f>
        <v>RED FIBR 1000</v>
      </c>
      <c r="Q218" s="1" t="str">
        <f>IFERROR(__xludf.DUMMYFUNCTION("""COMPUTED_VALUE"""),"MMM018713")</f>
        <v>MMM018713</v>
      </c>
      <c r="R218" s="1" t="str">
        <f>IFERROR(__xludf.DUMMYFUNCTION("""COMPUTED_VALUE"""),"BONZA, LEE VINCENT")</f>
        <v>BONZA, LEE VINCENT</v>
      </c>
      <c r="S218" s="1" t="str">
        <f>IFERROR(__xludf.DUMMYFUNCTION("""COMPUTED_VALUE"""),"GARCIA MICHAEL JETTS")</f>
        <v>GARCIA MICHAEL JETTS</v>
      </c>
      <c r="T218" s="1" t="str">
        <f>IFERROR(__xludf.DUMMYFUNCTION("""COMPUTED_VALUE"""),"ESPIRITU JULIE")</f>
        <v>ESPIRITU JULIE</v>
      </c>
      <c r="U218" s="1"/>
      <c r="V218" s="1">
        <f>IFERROR(__xludf.DUMMYFUNCTION("""COMPUTED_VALUE"""),9066711253)</f>
        <v>9066711253</v>
      </c>
      <c r="W218" s="1"/>
      <c r="X218" s="1" t="str">
        <f>IFERROR(__xludf.DUMMYFUNCTION("""COMPUTED_VALUE"""),"1465")</f>
        <v>1465</v>
      </c>
      <c r="Y218" s="1" t="str">
        <f>IFERROR(__xludf.DUMMYFUNCTION("""COMPUTED_VALUE"""),"GITNANG SILANGAN")</f>
        <v>GITNANG SILANGAN</v>
      </c>
      <c r="Z218" s="1"/>
      <c r="AA218" s="1" t="str">
        <f>IFERROR(__xludf.DUMMYFUNCTION("""COMPUTED_VALUE"""),"CAPIPISA")</f>
        <v>CAPIPISA</v>
      </c>
      <c r="AB218" s="1" t="str">
        <f>IFERROR(__xludf.DUMMYFUNCTION("""COMPUTED_VALUE"""),"TANZA")</f>
        <v>TANZA</v>
      </c>
      <c r="AC218" s="1"/>
    </row>
    <row r="219" customHeight="1" spans="1:29">
      <c r="A219" s="3">
        <f>IFERROR(__xludf.DUMMYFUNCTION("""COMPUTED_VALUE"""),46290)</f>
        <v>46290</v>
      </c>
      <c r="B219" s="1" t="str">
        <f>IFERROR(__xludf.DUMMYFUNCTION("""COMPUTED_VALUE"""),"SEPTEMBER")</f>
        <v>SEPTEMBER</v>
      </c>
      <c r="C219" s="1" t="str">
        <f>IFERROR(__xludf.DUMMYFUNCTION("""COMPUTED_VALUE"""),"MARIAH LYN ARBUES VARGAS")</f>
        <v>MARIAH LYN ARBUES VARGAS</v>
      </c>
      <c r="D219" s="1" t="str">
        <f>IFERROR(__xludf.DUMMYFUNCTION("""COMPUTED_VALUE"""),"RITM0311627")</f>
        <v>RITM0311627</v>
      </c>
      <c r="E219" s="1"/>
      <c r="F219" s="1" t="str">
        <f>IFERROR(__xludf.DUMMYFUNCTION("""COMPUTED_VALUE"""),"7793443271")</f>
        <v>7793443271</v>
      </c>
      <c r="G219" s="1" t="str">
        <f>IFERROR(__xludf.DUMMYFUNCTION("""COMPUTED_VALUE"""),"vargasaya74@gmail.com")</f>
        <v>vargasaya74@gmail.com</v>
      </c>
      <c r="H219" s="1" t="str">
        <f>IFERROR(__xludf.DUMMYFUNCTION("""COMPUTED_VALUE"""),"CLOSED")</f>
        <v>CLOSED</v>
      </c>
      <c r="I219" s="1"/>
      <c r="J219" s="1"/>
      <c r="K219" s="1" t="str">
        <f>IFERROR(__xludf.DUMMYFUNCTION("""COMPUTED_VALUE"""),"PAID THRU GCASH REF 217110034 SEP 25")</f>
        <v>PAID THRU GCASH REF 217110034 SEP 25</v>
      </c>
      <c r="L219" s="1" t="str">
        <f>IFERROR(__xludf.DUMMYFUNCTION("""COMPUTED_VALUE"""),"PAID")</f>
        <v>PAID</v>
      </c>
      <c r="M219" s="1" t="str">
        <f>IFERROR(__xludf.DUMMYFUNCTION("""COMPUTED_VALUE"""),"POSTED")</f>
        <v>POSTED</v>
      </c>
      <c r="N219" s="1" t="str">
        <f>IFERROR(__xludf.DUMMYFUNCTION("""COMPUTED_VALUE"""),"9/26/2026")</f>
        <v>9/26/2026</v>
      </c>
      <c r="O219" s="1" t="str">
        <f>IFERROR(__xludf.DUMMYFUNCTION("""COMPUTED_VALUE"""),"RFBF_CVEU_2026")</f>
        <v>RFBF_CVEU_2026</v>
      </c>
      <c r="P219" s="1" t="str">
        <f>IFERROR(__xludf.DUMMYFUNCTION("""COMPUTED_VALUE"""),"RED FIBR 1000")</f>
        <v>RED FIBR 1000</v>
      </c>
      <c r="Q219" s="1" t="str">
        <f>IFERROR(__xludf.DUMMYFUNCTION("""COMPUTED_VALUE"""),"MMM018709")</f>
        <v>MMM018709</v>
      </c>
      <c r="R219" s="1" t="str">
        <f>IFERROR(__xludf.DUMMYFUNCTION("""COMPUTED_VALUE"""),"ALDIENTE , ANGEL")</f>
        <v>ALDIENTE , ANGEL</v>
      </c>
      <c r="S219" s="1" t="str">
        <f>IFERROR(__xludf.DUMMYFUNCTION("""COMPUTED_VALUE"""),"GARCIA MICHAEL JETTS")</f>
        <v>GARCIA MICHAEL JETTS</v>
      </c>
      <c r="T219" s="1" t="str">
        <f>IFERROR(__xludf.DUMMYFUNCTION("""COMPUTED_VALUE"""),"ESPIRITU JULIE")</f>
        <v>ESPIRITU JULIE</v>
      </c>
      <c r="U219" s="1"/>
      <c r="V219" s="1">
        <f>IFERROR(__xludf.DUMMYFUNCTION("""COMPUTED_VALUE"""),9169361574)</f>
        <v>9169361574</v>
      </c>
      <c r="W219" s="1">
        <f>IFERROR(__xludf.DUMMYFUNCTION("""COMPUTED_VALUE"""),9074892081)</f>
        <v>9074892081</v>
      </c>
      <c r="X219" s="1" t="str">
        <f>IFERROR(__xludf.DUMMYFUNCTION("""COMPUTED_VALUE"""),"1017")</f>
        <v>1017</v>
      </c>
      <c r="Y219" s="1" t="str">
        <f>IFERROR(__xludf.DUMMYFUNCTION("""COMPUTED_VALUE"""),"SAMPALUCAN ST")</f>
        <v>SAMPALUCAN ST</v>
      </c>
      <c r="Z219" s="1"/>
      <c r="AA219" s="1" t="str">
        <f>IFERROR(__xludf.DUMMYFUNCTION("""COMPUTED_VALUE"""),"BIWAS")</f>
        <v>BIWAS</v>
      </c>
      <c r="AB219" s="1" t="str">
        <f>IFERROR(__xludf.DUMMYFUNCTION("""COMPUTED_VALUE"""),"TANZA")</f>
        <v>TANZA</v>
      </c>
      <c r="AC219" s="1" t="str">
        <f>IFERROR(__xludf.DUMMYFUNCTION("""COMPUTED_VALUE"""),"CVT6-L209N3-8")</f>
        <v>CVT6-L209N3-8</v>
      </c>
    </row>
    <row r="220" customHeight="1" spans="1:29">
      <c r="A220" s="3">
        <f>IFERROR(__xludf.DUMMYFUNCTION("""COMPUTED_VALUE"""),46290)</f>
        <v>46290</v>
      </c>
      <c r="B220" s="1" t="str">
        <f>IFERROR(__xludf.DUMMYFUNCTION("""COMPUTED_VALUE"""),"SEPTEMBER")</f>
        <v>SEPTEMBER</v>
      </c>
      <c r="C220" s="1" t="str">
        <f>IFERROR(__xludf.DUMMYFUNCTION("""COMPUTED_VALUE"""),"ANGELET CANDADO NOVICIO")</f>
        <v>ANGELET CANDADO NOVICIO</v>
      </c>
      <c r="D220" s="1" t="str">
        <f>IFERROR(__xludf.DUMMYFUNCTION("""COMPUTED_VALUE"""),"RITM0311667")</f>
        <v>RITM0311667</v>
      </c>
      <c r="E220" s="1"/>
      <c r="F220" s="1"/>
      <c r="G220" s="1" t="str">
        <f>IFERROR(__xludf.DUMMYFUNCTION("""COMPUTED_VALUE"""),"novicioali@gmail.com")</f>
        <v>novicioali@gmail.com</v>
      </c>
      <c r="H220" s="1" t="str">
        <f>IFERROR(__xludf.DUMMYFUNCTION("""COMPUTED_VALUE"""),"APPROVED")</f>
        <v>APPROVED</v>
      </c>
      <c r="I220" s="1"/>
      <c r="J220" s="1" t="str">
        <f>IFERROR(__xludf.DUMMYFUNCTION("""COMPUTED_VALUE"""),"Busy pa daw po si subs hindi pa maasikaso, inform nalang daw si agent once magbabayad na 10/2")</f>
        <v>Busy pa daw po si subs hindi pa maasikaso, inform nalang daw si agent once magbabayad na 10/2</v>
      </c>
      <c r="K220" s="1"/>
      <c r="L220" s="1"/>
      <c r="M220" s="1" t="str">
        <f>IFERROR(__xludf.DUMMYFUNCTION("""COMPUTED_VALUE"""),"CANCELLED - SUBS CANCEL REQUEST")</f>
        <v>CANCELLED - SUBS CANCEL REQUEST</v>
      </c>
      <c r="N220" s="1"/>
      <c r="O220" s="1" t="str">
        <f>IFERROR(__xludf.DUMMYFUNCTION("""COMPUTED_VALUE"""),"RED_RS_HH_CVE_26")</f>
        <v>RED_RS_HH_CVE_26</v>
      </c>
      <c r="P220" s="1" t="str">
        <f>IFERROR(__xludf.DUMMYFUNCTION("""COMPUTED_VALUE"""),"RED FIBR 1000")</f>
        <v>RED FIBR 1000</v>
      </c>
      <c r="Q220" s="1" t="str">
        <f>IFERROR(__xludf.DUMMYFUNCTION("""COMPUTED_VALUE"""),"MMM018709")</f>
        <v>MMM018709</v>
      </c>
      <c r="R220" s="1" t="str">
        <f>IFERROR(__xludf.DUMMYFUNCTION("""COMPUTED_VALUE"""),"FRANCISCO, ROSELYN")</f>
        <v>FRANCISCO, ROSELYN</v>
      </c>
      <c r="S220" s="1" t="str">
        <f>IFERROR(__xludf.DUMMYFUNCTION("""COMPUTED_VALUE"""),"REMOLLO LEA")</f>
        <v>REMOLLO LEA</v>
      </c>
      <c r="T220" s="1" t="str">
        <f>IFERROR(__xludf.DUMMYFUNCTION("""COMPUTED_VALUE"""),"ESPIRITU JULIE")</f>
        <v>ESPIRITU JULIE</v>
      </c>
      <c r="U220" s="1"/>
      <c r="V220" s="1">
        <f>IFERROR(__xludf.DUMMYFUNCTION("""COMPUTED_VALUE"""),9243958738)</f>
        <v>9243958738</v>
      </c>
      <c r="W220" s="1"/>
      <c r="X220" s="1" t="str">
        <f>IFERROR(__xludf.DUMMYFUNCTION("""COMPUTED_VALUE"""),"1148")</f>
        <v>1148</v>
      </c>
      <c r="Y220" s="1" t="str">
        <f>IFERROR(__xludf.DUMMYFUNCTION("""COMPUTED_VALUE"""),"MARAAN ST")</f>
        <v>MARAAN ST</v>
      </c>
      <c r="Z220" s="1" t="str">
        <f>IFERROR(__xludf.DUMMYFUNCTION("""COMPUTED_VALUE"""),"PHASE 2")</f>
        <v>PHASE 2</v>
      </c>
      <c r="AA220" s="1" t="str">
        <f>IFERROR(__xludf.DUMMYFUNCTION("""COMPUTED_VALUE"""),"GALICIA II")</f>
        <v>GALICIA II</v>
      </c>
      <c r="AB220" s="1" t="str">
        <f>IFERROR(__xludf.DUMMYFUNCTION("""COMPUTED_VALUE"""),"MENDEZ")</f>
        <v>MENDEZ</v>
      </c>
      <c r="AC220" s="1" t="str">
        <f>IFERROR(__xludf.DUMMYFUNCTION("""COMPUTED_VALUE"""),"CVT2LCP56NP1")</f>
        <v>CVT2LCP56NP1</v>
      </c>
    </row>
    <row r="221" customHeight="1" spans="1:29">
      <c r="A221" s="3">
        <f>IFERROR(__xludf.DUMMYFUNCTION("""COMPUTED_VALUE"""),46291)</f>
        <v>46291</v>
      </c>
      <c r="B221" s="1" t="str">
        <f>IFERROR(__xludf.DUMMYFUNCTION("""COMPUTED_VALUE"""),"SEPTEMBER")</f>
        <v>SEPTEMBER</v>
      </c>
      <c r="C221" s="1" t="str">
        <f>IFERROR(__xludf.DUMMYFUNCTION("""COMPUTED_VALUE"""),"NANCY CORDERO TAMAYO")</f>
        <v>NANCY CORDERO TAMAYO</v>
      </c>
      <c r="D221" s="1" t="str">
        <f>IFERROR(__xludf.DUMMYFUNCTION("""COMPUTED_VALUE"""),"RITM0311752")</f>
        <v>RITM0311752</v>
      </c>
      <c r="E221" s="1"/>
      <c r="F221" s="1" t="str">
        <f>IFERROR(__xludf.DUMMYFUNCTION("""COMPUTED_VALUE"""),"1147192147")</f>
        <v>1147192147</v>
      </c>
      <c r="G221" s="1" t="str">
        <f>IFERROR(__xludf.DUMMYFUNCTION("""COMPUTED_VALUE"""),"art.tamayo.1013@gmail.com")</f>
        <v>art.tamayo.1013@gmail.com</v>
      </c>
      <c r="H221" s="1" t="str">
        <f>IFERROR(__xludf.DUMMYFUNCTION("""COMPUTED_VALUE"""),"CLOSED")</f>
        <v>CLOSED</v>
      </c>
      <c r="I221" s="1"/>
      <c r="J221" s="1"/>
      <c r="K221" s="1" t="str">
        <f>IFERROR(__xludf.DUMMYFUNCTION("""COMPUTED_VALUE"""),"PAID REF RADI2373017APFBL SEP 26")</f>
        <v>PAID REF RADI2373017APFBL SEP 26</v>
      </c>
      <c r="L221" s="1" t="str">
        <f>IFERROR(__xludf.DUMMYFUNCTION("""COMPUTED_VALUE"""),"PAID")</f>
        <v>PAID</v>
      </c>
      <c r="M221" s="1" t="str">
        <f>IFERROR(__xludf.DUMMYFUNCTION("""COMPUTED_VALUE"""),"POSTED")</f>
        <v>POSTED</v>
      </c>
      <c r="N221" s="1" t="str">
        <f>IFERROR(__xludf.DUMMYFUNCTION("""COMPUTED_VALUE"""),"9/27/2026")</f>
        <v>9/27/2026</v>
      </c>
      <c r="O221" s="1" t="str">
        <f>IFERROR(__xludf.DUMMYFUNCTION("""COMPUTED_VALUE"""),"RFBF_CVEU_2026")</f>
        <v>RFBF_CVEU_2026</v>
      </c>
      <c r="P221" s="1" t="str">
        <f>IFERROR(__xludf.DUMMYFUNCTION("""COMPUTED_VALUE"""),"RED FIBR 1400")</f>
        <v>RED FIBR 1400</v>
      </c>
      <c r="Q221" s="1" t="str">
        <f>IFERROR(__xludf.DUMMYFUNCTION("""COMPUTED_VALUE"""),"MMM018713")</f>
        <v>MMM018713</v>
      </c>
      <c r="R221" s="1" t="str">
        <f>IFERROR(__xludf.DUMMYFUNCTION("""COMPUTED_VALUE"""),"MAGDARAOG, KENNETH")</f>
        <v>MAGDARAOG, KENNETH</v>
      </c>
      <c r="S221" s="1" t="str">
        <f>IFERROR(__xludf.DUMMYFUNCTION("""COMPUTED_VALUE"""),"REMOLLO LEA")</f>
        <v>REMOLLO LEA</v>
      </c>
      <c r="T221" s="1" t="str">
        <f>IFERROR(__xludf.DUMMYFUNCTION("""COMPUTED_VALUE"""),"ESPIRITU JULIE")</f>
        <v>ESPIRITU JULIE</v>
      </c>
      <c r="U221" s="1"/>
      <c r="V221" s="1">
        <f>IFERROR(__xludf.DUMMYFUNCTION("""COMPUTED_VALUE"""),9083276798)</f>
        <v>9083276798</v>
      </c>
      <c r="W221" s="1"/>
      <c r="X221" s="1" t="str">
        <f>IFERROR(__xludf.DUMMYFUNCTION("""COMPUTED_VALUE"""),"BLK 8 LOT 45")</f>
        <v>BLK 8 LOT 45</v>
      </c>
      <c r="Y221" s="1" t="str">
        <f>IFERROR(__xludf.DUMMYFUNCTION("""COMPUTED_VALUE"""),"PHASE A")</f>
        <v>PHASE A</v>
      </c>
      <c r="Z221" s="1" t="str">
        <f>IFERROR(__xludf.DUMMYFUNCTION("""COMPUTED_VALUE"""),"PEARL RESIDENCES")</f>
        <v>PEARL RESIDENCES</v>
      </c>
      <c r="AA221" s="1" t="str">
        <f>IFERROR(__xludf.DUMMYFUNCTION("""COMPUTED_VALUE"""),"CAPIPISA")</f>
        <v>CAPIPISA</v>
      </c>
      <c r="AB221" s="1" t="str">
        <f>IFERROR(__xludf.DUMMYFUNCTION("""COMPUTED_VALUE"""),"TANZA")</f>
        <v>TANZA</v>
      </c>
      <c r="AC221" s="1" t="str">
        <f>IFERROR(__xludf.DUMMYFUNCTION("""COMPUTED_VALUE"""),"CVT6LCP135NP5/6")</f>
        <v>CVT6LCP135NP5/6</v>
      </c>
    </row>
    <row r="222" customHeight="1" spans="1:29">
      <c r="A222" s="3">
        <f>IFERROR(__xludf.DUMMYFUNCTION("""COMPUTED_VALUE"""),46291)</f>
        <v>46291</v>
      </c>
      <c r="B222" s="1" t="str">
        <f>IFERROR(__xludf.DUMMYFUNCTION("""COMPUTED_VALUE"""),"SEPTEMBER")</f>
        <v>SEPTEMBER</v>
      </c>
      <c r="C222" s="1" t="str">
        <f>IFERROR(__xludf.DUMMYFUNCTION("""COMPUTED_VALUE"""),"LEONARDO CARIÑO MOJICA JR")</f>
        <v>LEONARDO CARIÑO MOJICA JR</v>
      </c>
      <c r="D222" s="1" t="str">
        <f>IFERROR(__xludf.DUMMYFUNCTION("""COMPUTED_VALUE"""),"RITM0311789")</f>
        <v>RITM0311789</v>
      </c>
      <c r="E222" s="1"/>
      <c r="F222" s="1" t="str">
        <f>IFERROR(__xludf.DUMMYFUNCTION("""COMPUTED_VALUE"""),"2782296720")</f>
        <v>2782296720</v>
      </c>
      <c r="G222" s="1" t="str">
        <f>IFERROR(__xludf.DUMMYFUNCTION("""COMPUTED_VALUE"""),"zyrzaerni@gmail.com")</f>
        <v>zyrzaerni@gmail.com</v>
      </c>
      <c r="H222" s="1" t="str">
        <f>IFERROR(__xludf.DUMMYFUNCTION("""COMPUTED_VALUE"""),"CLOSED")</f>
        <v>CLOSED</v>
      </c>
      <c r="I222" s="1"/>
      <c r="J222" s="1"/>
      <c r="K222" s="1" t="str">
        <f>IFERROR(__xludf.DUMMYFUNCTION("""COMPUTED_VALUE"""),"PAID VIA GCASH REF 721025533 SEP 26")</f>
        <v>PAID VIA GCASH REF 721025533 SEP 26</v>
      </c>
      <c r="L222" s="1" t="str">
        <f>IFERROR(__xludf.DUMMYFUNCTION("""COMPUTED_VALUE"""),"PAID")</f>
        <v>PAID</v>
      </c>
      <c r="M222" s="1" t="str">
        <f>IFERROR(__xludf.DUMMYFUNCTION("""COMPUTED_VALUE"""),"POSTED")</f>
        <v>POSTED</v>
      </c>
      <c r="N222" s="1" t="str">
        <f>IFERROR(__xludf.DUMMYFUNCTION("""COMPUTED_VALUE"""),"9/27/2026")</f>
        <v>9/27/2026</v>
      </c>
      <c r="O222" s="1" t="str">
        <f>IFERROR(__xludf.DUMMYFUNCTION("""COMPUTED_VALUE"""),"RED_RS_HH_CVE_26")</f>
        <v>RED_RS_HH_CVE_26</v>
      </c>
      <c r="P222" s="1" t="str">
        <f>IFERROR(__xludf.DUMMYFUNCTION("""COMPUTED_VALUE"""),"RED FIBR 1000")</f>
        <v>RED FIBR 1000</v>
      </c>
      <c r="Q222" s="1" t="str">
        <f>IFERROR(__xludf.DUMMYFUNCTION("""COMPUTED_VALUE"""),"MMM018713")</f>
        <v>MMM018713</v>
      </c>
      <c r="R222" s="1" t="str">
        <f>IFERROR(__xludf.DUMMYFUNCTION("""COMPUTED_VALUE"""),"GABAY MANUEL")</f>
        <v>GABAY MANUEL</v>
      </c>
      <c r="S222" s="1" t="str">
        <f>IFERROR(__xludf.DUMMYFUNCTION("""COMPUTED_VALUE"""),"REMOLLO LEA")</f>
        <v>REMOLLO LEA</v>
      </c>
      <c r="T222" s="1" t="str">
        <f>IFERROR(__xludf.DUMMYFUNCTION("""COMPUTED_VALUE"""),"ESPIRITU JULIE")</f>
        <v>ESPIRITU JULIE</v>
      </c>
      <c r="U222" s="1"/>
      <c r="V222" s="1">
        <f>IFERROR(__xludf.DUMMYFUNCTION("""COMPUTED_VALUE"""),9985338916)</f>
        <v>9985338916</v>
      </c>
      <c r="W222" s="1">
        <f>IFERROR(__xludf.DUMMYFUNCTION("""COMPUTED_VALUE"""),9989937204)</f>
        <v>9989937204</v>
      </c>
      <c r="X222" s="1" t="str">
        <f>IFERROR(__xludf.DUMMYFUNCTION("""COMPUTED_VALUE"""),"89")</f>
        <v>89</v>
      </c>
      <c r="Y222" s="1" t="str">
        <f>IFERROR(__xludf.DUMMYFUNCTION("""COMPUTED_VALUE"""),"ZAMORA ST")</f>
        <v>ZAMORA ST</v>
      </c>
      <c r="Z222" s="1"/>
      <c r="AA222" s="1" t="str">
        <f>IFERROR(__xludf.DUMMYFUNCTION("""COMPUTED_VALUE"""),"ASIS I")</f>
        <v>ASIS I</v>
      </c>
      <c r="AB222" s="1" t="str">
        <f>IFERROR(__xludf.DUMMYFUNCTION("""COMPUTED_VALUE"""),"MENDEZ")</f>
        <v>MENDEZ</v>
      </c>
      <c r="AC222" s="1" t="str">
        <f>IFERROR(__xludf.DUMMYFUNCTION("""COMPUTED_VALUE"""),"CVT2LCP61NP1")</f>
        <v>CVT2LCP61NP1</v>
      </c>
    </row>
    <row r="223" customHeight="1" spans="1:29">
      <c r="A223" s="3">
        <f>IFERROR(__xludf.DUMMYFUNCTION("""COMPUTED_VALUE"""),46291)</f>
        <v>46291</v>
      </c>
      <c r="B223" s="1" t="str">
        <f>IFERROR(__xludf.DUMMYFUNCTION("""COMPUTED_VALUE"""),"SEPTEMBER")</f>
        <v>SEPTEMBER</v>
      </c>
      <c r="C223" s="1" t="str">
        <f>IFERROR(__xludf.DUMMYFUNCTION("""COMPUTED_VALUE"""),"ADRIAN BANAL PANGILINAN")</f>
        <v>ADRIAN BANAL PANGILINAN</v>
      </c>
      <c r="D223" s="1" t="str">
        <f>IFERROR(__xludf.DUMMYFUNCTION("""COMPUTED_VALUE"""),"RITM0311804")</f>
        <v>RITM0311804</v>
      </c>
      <c r="E223" s="1"/>
      <c r="F223" s="1" t="str">
        <f>IFERROR(__xludf.DUMMYFUNCTION("""COMPUTED_VALUE"""),"7477958924")</f>
        <v>7477958924</v>
      </c>
      <c r="G223" s="1" t="str">
        <f>IFERROR(__xludf.DUMMYFUNCTION("""COMPUTED_VALUE"""),"ashpangilinan41@gmail.com")</f>
        <v>ashpangilinan41@gmail.com</v>
      </c>
      <c r="H223" s="1" t="str">
        <f>IFERROR(__xludf.DUMMYFUNCTION("""COMPUTED_VALUE"""),"CLOSED")</f>
        <v>CLOSED</v>
      </c>
      <c r="I223" s="1"/>
      <c r="J223" s="1"/>
      <c r="K223" s="1" t="str">
        <f>IFERROR(__xludf.DUMMYFUNCTION("""COMPUTED_VALUE"""),"PAID BVIA GCASH REF 530169196 SEP 29")</f>
        <v>PAID BVIA GCASH REF 530169196 SEP 29</v>
      </c>
      <c r="L223" s="1" t="str">
        <f>IFERROR(__xludf.DUMMYFUNCTION("""COMPUTED_VALUE"""),"PAID")</f>
        <v>PAID</v>
      </c>
      <c r="M223" s="1" t="str">
        <f>IFERROR(__xludf.DUMMYFUNCTION("""COMPUTED_VALUE"""),"POSTED")</f>
        <v>POSTED</v>
      </c>
      <c r="N223" s="1" t="str">
        <f>IFERROR(__xludf.DUMMYFUNCTION("""COMPUTED_VALUE"""),"9/30/2026")</f>
        <v>9/30/2026</v>
      </c>
      <c r="O223" s="1" t="str">
        <f>IFERROR(__xludf.DUMMYFUNCTION("""COMPUTED_VALUE"""),"RFBF_CVEU_2026")</f>
        <v>RFBF_CVEU_2026</v>
      </c>
      <c r="P223" s="1" t="str">
        <f>IFERROR(__xludf.DUMMYFUNCTION("""COMPUTED_VALUE"""),"RED FIBR 1000")</f>
        <v>RED FIBR 1000</v>
      </c>
      <c r="Q223" s="1" t="str">
        <f>IFERROR(__xludf.DUMMYFUNCTION("""COMPUTED_VALUE"""),"MMM018709")</f>
        <v>MMM018709</v>
      </c>
      <c r="R223" s="1" t="str">
        <f>IFERROR(__xludf.DUMMYFUNCTION("""COMPUTED_VALUE"""),"ALDIENTE , ANGEL")</f>
        <v>ALDIENTE , ANGEL</v>
      </c>
      <c r="S223" s="1" t="str">
        <f>IFERROR(__xludf.DUMMYFUNCTION("""COMPUTED_VALUE"""),"GARCIA MICHAEL JETTS")</f>
        <v>GARCIA MICHAEL JETTS</v>
      </c>
      <c r="T223" s="1" t="str">
        <f>IFERROR(__xludf.DUMMYFUNCTION("""COMPUTED_VALUE"""),"ESPIRITU JULIE")</f>
        <v>ESPIRITU JULIE</v>
      </c>
      <c r="U223" s="1"/>
      <c r="V223" s="1">
        <f>IFERROR(__xludf.DUMMYFUNCTION("""COMPUTED_VALUE"""),9567191873)</f>
        <v>9567191873</v>
      </c>
      <c r="W223" s="1">
        <f>IFERROR(__xludf.DUMMYFUNCTION("""COMPUTED_VALUE"""),9656425584)</f>
        <v>9656425584</v>
      </c>
      <c r="X223" s="1" t="str">
        <f>IFERROR(__xludf.DUMMYFUNCTION("""COMPUTED_VALUE"""),"BLK 17 LOT 2")</f>
        <v>BLK 17 LOT 2</v>
      </c>
      <c r="Y223" s="1" t="str">
        <f>IFERROR(__xludf.DUMMYFUNCTION("""COMPUTED_VALUE"""),"PHASE A")</f>
        <v>PHASE A</v>
      </c>
      <c r="Z223" s="1" t="str">
        <f>IFERROR(__xludf.DUMMYFUNCTION("""COMPUTED_VALUE"""),"PEARL RESIDENCES")</f>
        <v>PEARL RESIDENCES</v>
      </c>
      <c r="AA223" s="1" t="str">
        <f>IFERROR(__xludf.DUMMYFUNCTION("""COMPUTED_VALUE"""),"CAPIPISA")</f>
        <v>CAPIPISA</v>
      </c>
      <c r="AB223" s="1" t="str">
        <f>IFERROR(__xludf.DUMMYFUNCTION("""COMPUTED_VALUE"""),"TANZA")</f>
        <v>TANZA</v>
      </c>
      <c r="AC223" s="1" t="str">
        <f>IFERROR(__xludf.DUMMYFUNCTION("""COMPUTED_VALUE"""),"CVT6 LCP135 NP5/6")</f>
        <v>CVT6 LCP135 NP5/6</v>
      </c>
    </row>
    <row r="224" customHeight="1" spans="1:29">
      <c r="A224" s="3">
        <f>IFERROR(__xludf.DUMMYFUNCTION("""COMPUTED_VALUE"""),46291)</f>
        <v>46291</v>
      </c>
      <c r="B224" s="1" t="str">
        <f>IFERROR(__xludf.DUMMYFUNCTION("""COMPUTED_VALUE"""),"SEPTEMBER")</f>
        <v>SEPTEMBER</v>
      </c>
      <c r="C224" s="1" t="str">
        <f>IFERROR(__xludf.DUMMYFUNCTION("""COMPUTED_VALUE"""),"ALAN TALDE MAROLLANO")</f>
        <v>ALAN TALDE MAROLLANO</v>
      </c>
      <c r="D224" s="1" t="str">
        <f>IFERROR(__xludf.DUMMYFUNCTION("""COMPUTED_VALUE"""),"RITM0311815")</f>
        <v>RITM0311815</v>
      </c>
      <c r="E224" s="1"/>
      <c r="F224" s="1"/>
      <c r="G224" s="1" t="str">
        <f>IFERROR(__xludf.DUMMYFUNCTION("""COMPUTED_VALUE"""),"alanmarollano16@gmail.com")</f>
        <v>alanmarollano16@gmail.com</v>
      </c>
      <c r="H224" s="1" t="str">
        <f>IFERROR(__xludf.DUMMYFUNCTION("""COMPUTED_VALUE"""),"APPROVED")</f>
        <v>APPROVED</v>
      </c>
      <c r="I224" s="1"/>
      <c r="J224" s="1" t="str">
        <f>IFERROR(__xludf.DUMMYFUNCTION("""COMPUTED_VALUE"""),"Balikan nalang daw bukas ng team hindi nasagot sa call 10/8")</f>
        <v>Balikan nalang daw bukas ng team hindi nasagot sa call 10/8</v>
      </c>
      <c r="K224" s="1"/>
      <c r="L224" s="1"/>
      <c r="M224" s="1" t="str">
        <f>IFERROR(__xludf.DUMMYFUNCTION("""COMPUTED_VALUE"""),"CANCELLED - SUBS CANCEL REQUEST")</f>
        <v>CANCELLED - SUBS CANCEL REQUEST</v>
      </c>
      <c r="N224" s="1"/>
      <c r="O224" s="1" t="str">
        <f>IFERROR(__xludf.DUMMYFUNCTION("""COMPUTED_VALUE"""),"RFBF_CVEU_2026")</f>
        <v>RFBF_CVEU_2026</v>
      </c>
      <c r="P224" s="1" t="str">
        <f>IFERROR(__xludf.DUMMYFUNCTION("""COMPUTED_VALUE"""),"RED FIBR 1000")</f>
        <v>RED FIBR 1000</v>
      </c>
      <c r="Q224" s="1" t="str">
        <f>IFERROR(__xludf.DUMMYFUNCTION("""COMPUTED_VALUE"""),"MMM018709")</f>
        <v>MMM018709</v>
      </c>
      <c r="R224" s="1" t="str">
        <f>IFERROR(__xludf.DUMMYFUNCTION("""COMPUTED_VALUE"""),"ALDIENTE , ANGEL")</f>
        <v>ALDIENTE , ANGEL</v>
      </c>
      <c r="S224" s="1" t="str">
        <f>IFERROR(__xludf.DUMMYFUNCTION("""COMPUTED_VALUE"""),"GARCIA MICHAEL JETTS")</f>
        <v>GARCIA MICHAEL JETTS</v>
      </c>
      <c r="T224" s="1" t="str">
        <f>IFERROR(__xludf.DUMMYFUNCTION("""COMPUTED_VALUE"""),"ESPIRITU JULIE")</f>
        <v>ESPIRITU JULIE</v>
      </c>
      <c r="U224" s="1"/>
      <c r="V224" s="1">
        <f>IFERROR(__xludf.DUMMYFUNCTION("""COMPUTED_VALUE"""),9984457012)</f>
        <v>9984457012</v>
      </c>
      <c r="W224" s="1">
        <f>IFERROR(__xludf.DUMMYFUNCTION("""COMPUTED_VALUE"""),9945538009)</f>
        <v>9945538009</v>
      </c>
      <c r="X224" s="1" t="str">
        <f>IFERROR(__xludf.DUMMYFUNCTION("""COMPUTED_VALUE"""),"BLK 14 LOT 66")</f>
        <v>BLK 14 LOT 66</v>
      </c>
      <c r="Y224" s="1" t="str">
        <f>IFERROR(__xludf.DUMMYFUNCTION("""COMPUTED_VALUE"""),"PHASE B")</f>
        <v>PHASE B</v>
      </c>
      <c r="Z224" s="1" t="str">
        <f>IFERROR(__xludf.DUMMYFUNCTION("""COMPUTED_VALUE"""),"PEARL RESIDENCES")</f>
        <v>PEARL RESIDENCES</v>
      </c>
      <c r="AA224" s="1" t="str">
        <f>IFERROR(__xludf.DUMMYFUNCTION("""COMPUTED_VALUE"""),"CAPIPISA")</f>
        <v>CAPIPISA</v>
      </c>
      <c r="AB224" s="1" t="str">
        <f>IFERROR(__xludf.DUMMYFUNCTION("""COMPUTED_VALUE"""),"TANZA")</f>
        <v>TANZA</v>
      </c>
      <c r="AC224" s="1" t="str">
        <f>IFERROR(__xludf.DUMMYFUNCTION("""COMPUTED_VALUE""")," ")</f>
        <v> </v>
      </c>
    </row>
    <row r="225" customHeight="1" spans="1:29">
      <c r="A225" s="3">
        <f>IFERROR(__xludf.DUMMYFUNCTION("""COMPUTED_VALUE"""),46292)</f>
        <v>46292</v>
      </c>
      <c r="B225" s="1" t="str">
        <f>IFERROR(__xludf.DUMMYFUNCTION("""COMPUTED_VALUE"""),"SEPTEMBER")</f>
        <v>SEPTEMBER</v>
      </c>
      <c r="C225" s="1" t="str">
        <f>IFERROR(__xludf.DUMMYFUNCTION("""COMPUTED_VALUE"""),"FEIHL PELLAZAR JOCSON")</f>
        <v>FEIHL PELLAZAR JOCSON</v>
      </c>
      <c r="D225" s="1" t="str">
        <f>IFERROR(__xludf.DUMMYFUNCTION("""COMPUTED_VALUE"""),"RITM0311881")</f>
        <v>RITM0311881</v>
      </c>
      <c r="E225" s="1"/>
      <c r="F225" s="1" t="str">
        <f>IFERROR(__xludf.DUMMYFUNCTION("""COMPUTED_VALUE"""),"3758576322")</f>
        <v>3758576322</v>
      </c>
      <c r="G225" s="1" t="str">
        <f>IFERROR(__xludf.DUMMYFUNCTION("""COMPUTED_VALUE"""),"kuperrrfeihl@gmail.com")</f>
        <v>kuperrrfeihl@gmail.com</v>
      </c>
      <c r="H225" s="1" t="str">
        <f>IFERROR(__xludf.DUMMYFUNCTION("""COMPUTED_VALUE"""),"CLOSED")</f>
        <v>CLOSED</v>
      </c>
      <c r="I225" s="1"/>
      <c r="J225" s="1"/>
      <c r="K225" s="1" t="str">
        <f>IFERROR(__xludf.DUMMYFUNCTION("""COMPUTED_VALUE"""),"PAID VIA GCASH REF 222563314 SEP 27")</f>
        <v>PAID VIA GCASH REF 222563314 SEP 27</v>
      </c>
      <c r="L225" s="1" t="str">
        <f>IFERROR(__xludf.DUMMYFUNCTION("""COMPUTED_VALUE"""),"PAID")</f>
        <v>PAID</v>
      </c>
      <c r="M225" s="1" t="str">
        <f>IFERROR(__xludf.DUMMYFUNCTION("""COMPUTED_VALUE"""),"POSTED")</f>
        <v>POSTED</v>
      </c>
      <c r="N225" s="1" t="str">
        <f>IFERROR(__xludf.DUMMYFUNCTION("""COMPUTED_VALUE"""),"9/30/2026")</f>
        <v>9/30/2026</v>
      </c>
      <c r="O225" s="1" t="str">
        <f>IFERROR(__xludf.DUMMYFUNCTION("""COMPUTED_VALUE"""),"RFBF_CVEU_2026")</f>
        <v>RFBF_CVEU_2026</v>
      </c>
      <c r="P225" s="1" t="str">
        <f>IFERROR(__xludf.DUMMYFUNCTION("""COMPUTED_VALUE"""),"RED FIBR 1000")</f>
        <v>RED FIBR 1000</v>
      </c>
      <c r="Q225" s="1" t="str">
        <f>IFERROR(__xludf.DUMMYFUNCTION("""COMPUTED_VALUE"""),"MMM018709")</f>
        <v>MMM018709</v>
      </c>
      <c r="R225" s="1" t="str">
        <f>IFERROR(__xludf.DUMMYFUNCTION("""COMPUTED_VALUE"""),"ALDIENTE , ANGEL")</f>
        <v>ALDIENTE , ANGEL</v>
      </c>
      <c r="S225" s="1" t="str">
        <f>IFERROR(__xludf.DUMMYFUNCTION("""COMPUTED_VALUE"""),"GARCIA MICHAEL JETTS")</f>
        <v>GARCIA MICHAEL JETTS</v>
      </c>
      <c r="T225" s="1" t="str">
        <f>IFERROR(__xludf.DUMMYFUNCTION("""COMPUTED_VALUE"""),"ESPIRITU JULIE")</f>
        <v>ESPIRITU JULIE</v>
      </c>
      <c r="U225" s="1"/>
      <c r="V225" s="1">
        <f>IFERROR(__xludf.DUMMYFUNCTION("""COMPUTED_VALUE"""),9672350415)</f>
        <v>9672350415</v>
      </c>
      <c r="W225" s="1"/>
      <c r="X225" s="1" t="str">
        <f>IFERROR(__xludf.DUMMYFUNCTION("""COMPUTED_VALUE"""),"1031")</f>
        <v>1031</v>
      </c>
      <c r="Y225" s="1" t="str">
        <f>IFERROR(__xludf.DUMMYFUNCTION("""COMPUTED_VALUE"""),"SAMPALUCAN ST")</f>
        <v>SAMPALUCAN ST</v>
      </c>
      <c r="Z225" s="1"/>
      <c r="AA225" s="1" t="str">
        <f>IFERROR(__xludf.DUMMYFUNCTION("""COMPUTED_VALUE"""),"BIWAS")</f>
        <v>BIWAS</v>
      </c>
      <c r="AB225" s="1" t="str">
        <f>IFERROR(__xludf.DUMMYFUNCTION("""COMPUTED_VALUE"""),"TANZA")</f>
        <v>TANZA</v>
      </c>
      <c r="AC225" s="1" t="str">
        <f>IFERROR(__xludf.DUMMYFUNCTION("""COMPUTED_VALUE"""),"CVT6-L209N3-8")</f>
        <v>CVT6-L209N3-8</v>
      </c>
    </row>
    <row r="226" customHeight="1" spans="1:29">
      <c r="A226" s="3">
        <f>IFERROR(__xludf.DUMMYFUNCTION("""COMPUTED_VALUE"""),46292)</f>
        <v>46292</v>
      </c>
      <c r="B226" s="1" t="str">
        <f>IFERROR(__xludf.DUMMYFUNCTION("""COMPUTED_VALUE"""),"SEPTEMBER")</f>
        <v>SEPTEMBER</v>
      </c>
      <c r="C226" s="1" t="str">
        <f>IFERROR(__xludf.DUMMYFUNCTION("""COMPUTED_VALUE"""),"MAYCHELL GERON TUMOGSOC")</f>
        <v>MAYCHELL GERON TUMOGSOC</v>
      </c>
      <c r="D226" s="1" t="str">
        <f>IFERROR(__xludf.DUMMYFUNCTION("""COMPUTED_VALUE"""),"RITM0311910")</f>
        <v>RITM0311910</v>
      </c>
      <c r="E226" s="1"/>
      <c r="F226" s="1" t="str">
        <f>IFERROR(__xludf.DUMMYFUNCTION("""COMPUTED_VALUE"""),"2284627623")</f>
        <v>2284627623</v>
      </c>
      <c r="G226" s="1" t="str">
        <f>IFERROR(__xludf.DUMMYFUNCTION("""COMPUTED_VALUE"""),"maychellguaso@gmail.com")</f>
        <v>maychellguaso@gmail.com</v>
      </c>
      <c r="H226" s="1" t="str">
        <f>IFERROR(__xludf.DUMMYFUNCTION("""COMPUTED_VALUE"""),"CLOSED")</f>
        <v>CLOSED</v>
      </c>
      <c r="I226" s="1"/>
      <c r="J226" s="1"/>
      <c r="K226" s="1" t="str">
        <f>IFERROR(__xludf.DUMMYFUNCTION("""COMPUTED_VALUE"""),"PAID VIA CREDIT CARD SEP 27")</f>
        <v>PAID VIA CREDIT CARD SEP 27</v>
      </c>
      <c r="L226" s="1" t="str">
        <f>IFERROR(__xludf.DUMMYFUNCTION("""COMPUTED_VALUE"""),"PAID")</f>
        <v>PAID</v>
      </c>
      <c r="M226" s="1" t="str">
        <f>IFERROR(__xludf.DUMMYFUNCTION("""COMPUTED_VALUE"""),"POSTED")</f>
        <v>POSTED</v>
      </c>
      <c r="N226" s="1" t="str">
        <f>IFERROR(__xludf.DUMMYFUNCTION("""COMPUTED_VALUE"""),"9/28/2026")</f>
        <v>9/28/2026</v>
      </c>
      <c r="O226" s="1" t="str">
        <f>IFERROR(__xludf.DUMMYFUNCTION("""COMPUTED_VALUE"""),"RFBF_CVEU_2026")</f>
        <v>RFBF_CVEU_2026</v>
      </c>
      <c r="P226" s="1" t="str">
        <f>IFERROR(__xludf.DUMMYFUNCTION("""COMPUTED_VALUE"""),"SWITCHER PLAN 1400")</f>
        <v>SWITCHER PLAN 1400</v>
      </c>
      <c r="Q226" s="1" t="str">
        <f>IFERROR(__xludf.DUMMYFUNCTION("""COMPUTED_VALUE"""),"MMM018713")</f>
        <v>MMM018713</v>
      </c>
      <c r="R226" s="1" t="str">
        <f>IFERROR(__xludf.DUMMYFUNCTION("""COMPUTED_VALUE"""),"BONZA, LEE VINCENT")</f>
        <v>BONZA, LEE VINCENT</v>
      </c>
      <c r="S226" s="1" t="str">
        <f>IFERROR(__xludf.DUMMYFUNCTION("""COMPUTED_VALUE"""),"GARCIA MICHAEL JETTS")</f>
        <v>GARCIA MICHAEL JETTS</v>
      </c>
      <c r="T226" s="1" t="str">
        <f>IFERROR(__xludf.DUMMYFUNCTION("""COMPUTED_VALUE"""),"ESPIRITU JULIE")</f>
        <v>ESPIRITU JULIE</v>
      </c>
      <c r="U226" s="1"/>
      <c r="V226" s="1">
        <f>IFERROR(__xludf.DUMMYFUNCTION("""COMPUTED_VALUE"""),9472365842)</f>
        <v>9472365842</v>
      </c>
      <c r="W226" s="1"/>
      <c r="X226" s="1" t="str">
        <f>IFERROR(__xludf.DUMMYFUNCTION("""COMPUTED_VALUE"""),"BLK 2 LOT 6")</f>
        <v>BLK 2 LOT 6</v>
      </c>
      <c r="Y226" s="1" t="str">
        <f>IFERROR(__xludf.DUMMYFUNCTION("""COMPUTED_VALUE"""),"PHASE B")</f>
        <v>PHASE B</v>
      </c>
      <c r="Z226" s="1" t="str">
        <f>IFERROR(__xludf.DUMMYFUNCTION("""COMPUTED_VALUE"""),"PEARL RESIDENCES")</f>
        <v>PEARL RESIDENCES</v>
      </c>
      <c r="AA226" s="1" t="str">
        <f>IFERROR(__xludf.DUMMYFUNCTION("""COMPUTED_VALUE"""),"CAPIPISA")</f>
        <v>CAPIPISA</v>
      </c>
      <c r="AB226" s="1" t="str">
        <f>IFERROR(__xludf.DUMMYFUNCTION("""COMPUTED_VALUE"""),"TANZA")</f>
        <v>TANZA</v>
      </c>
      <c r="AC226" s="1"/>
    </row>
    <row r="227" customHeight="1" spans="1:29">
      <c r="A227" s="3">
        <f>IFERROR(__xludf.DUMMYFUNCTION("""COMPUTED_VALUE"""),46292)</f>
        <v>46292</v>
      </c>
      <c r="B227" s="1" t="str">
        <f>IFERROR(__xludf.DUMMYFUNCTION("""COMPUTED_VALUE"""),"SEPTEMBER")</f>
        <v>SEPTEMBER</v>
      </c>
      <c r="C227" s="1" t="str">
        <f>IFERROR(__xludf.DUMMYFUNCTION("""COMPUTED_VALUE"""),"REGINA DONEZA SALE")</f>
        <v>REGINA DONEZA SALE</v>
      </c>
      <c r="D227" s="1" t="str">
        <f>IFERROR(__xludf.DUMMYFUNCTION("""COMPUTED_VALUE"""),"RITM0311924")</f>
        <v>RITM0311924</v>
      </c>
      <c r="E227" s="1"/>
      <c r="F227" s="1" t="str">
        <f>IFERROR(__xludf.DUMMYFUNCTION("""COMPUTED_VALUE"""),"5786384323")</f>
        <v>5786384323</v>
      </c>
      <c r="G227" s="1" t="str">
        <f>IFERROR(__xludf.DUMMYFUNCTION("""COMPUTED_VALUE"""),"reginadoneza@gmail.com")</f>
        <v>reginadoneza@gmail.com</v>
      </c>
      <c r="H227" s="1" t="str">
        <f>IFERROR(__xludf.DUMMYFUNCTION("""COMPUTED_VALUE"""),"APPROVED")</f>
        <v>APPROVED</v>
      </c>
      <c r="I227" s="1"/>
      <c r="J227" s="1" t="str">
        <f>IFERROR(__xludf.DUMMYFUNCTION("""COMPUTED_VALUE"""),"Hinihintay lang daw po ang sahod ng asawa at magbabayad na as per Agent 10/5")</f>
        <v>Hinihintay lang daw po ang sahod ng asawa at magbabayad na as per Agent 10/5</v>
      </c>
      <c r="K227" s="1"/>
      <c r="L227" s="1"/>
      <c r="M227" s="1" t="str">
        <f>IFERROR(__xludf.DUMMYFUNCTION("""COMPUTED_VALUE"""),"CANCELLED - SUBS CANCEL REQUEST")</f>
        <v>CANCELLED - SUBS CANCEL REQUEST</v>
      </c>
      <c r="N227" s="1"/>
      <c r="O227" s="1" t="str">
        <f>IFERROR(__xludf.DUMMYFUNCTION("""COMPUTED_VALUE"""),"RFBF_CVEU_2026")</f>
        <v>RFBF_CVEU_2026</v>
      </c>
      <c r="P227" s="1" t="str">
        <f>IFERROR(__xludf.DUMMYFUNCTION("""COMPUTED_VALUE"""),"RED FIBR 1000")</f>
        <v>RED FIBR 1000</v>
      </c>
      <c r="Q227" s="1" t="str">
        <f>IFERROR(__xludf.DUMMYFUNCTION("""COMPUTED_VALUE"""),"MMM018709")</f>
        <v>MMM018709</v>
      </c>
      <c r="R227" s="1" t="str">
        <f>IFERROR(__xludf.DUMMYFUNCTION("""COMPUTED_VALUE"""),"KAWAUCHI, SHANE")</f>
        <v>KAWAUCHI, SHANE</v>
      </c>
      <c r="S227" s="1" t="str">
        <f>IFERROR(__xludf.DUMMYFUNCTION("""COMPUTED_VALUE"""),"GARCIA MICHAEL JETTS")</f>
        <v>GARCIA MICHAEL JETTS</v>
      </c>
      <c r="T227" s="1" t="str">
        <f>IFERROR(__xludf.DUMMYFUNCTION("""COMPUTED_VALUE"""),"ESPIRITU JULIE")</f>
        <v>ESPIRITU JULIE</v>
      </c>
      <c r="U227" s="1"/>
      <c r="V227" s="1">
        <f>IFERROR(__xludf.DUMMYFUNCTION("""COMPUTED_VALUE"""),9519054869)</f>
        <v>9519054869</v>
      </c>
      <c r="W227" s="1"/>
      <c r="X227" s="1" t="str">
        <f>IFERROR(__xludf.DUMMYFUNCTION("""COMPUTED_VALUE"""),"243")</f>
        <v>243</v>
      </c>
      <c r="Y227" s="1" t="str">
        <f>IFERROR(__xludf.DUMMYFUNCTION("""COMPUTED_VALUE"""),"CALLEJON 13 ST")</f>
        <v>CALLEJON 13 ST</v>
      </c>
      <c r="Z227" s="1"/>
      <c r="AA227" s="1" t="str">
        <f>IFERROR(__xludf.DUMMYFUNCTION("""COMPUTED_VALUE"""),"JULUGAN I")</f>
        <v>JULUGAN I</v>
      </c>
      <c r="AB227" s="1" t="str">
        <f>IFERROR(__xludf.DUMMYFUNCTION("""COMPUTED_VALUE"""),"TANZA")</f>
        <v>TANZA</v>
      </c>
      <c r="AC227" s="1" t="str">
        <f>IFERROR(__xludf.DUMMYFUNCTION("""COMPUTED_VALUE"""),"CVT6-L213N5-7")</f>
        <v>CVT6-L213N5-7</v>
      </c>
    </row>
    <row r="228" customHeight="1" spans="1:29">
      <c r="A228" s="3">
        <f>IFERROR(__xludf.DUMMYFUNCTION("""COMPUTED_VALUE"""),46292)</f>
        <v>46292</v>
      </c>
      <c r="B228" s="1" t="str">
        <f>IFERROR(__xludf.DUMMYFUNCTION("""COMPUTED_VALUE"""),"SEPTEMBER")</f>
        <v>SEPTEMBER</v>
      </c>
      <c r="C228" s="1" t="str">
        <f>IFERROR(__xludf.DUMMYFUNCTION("""COMPUTED_VALUE"""),"CHRISTINE SHANE MAGRACIA")</f>
        <v>CHRISTINE SHANE MAGRACIA</v>
      </c>
      <c r="D228" s="1" t="str">
        <f>IFERROR(__xludf.DUMMYFUNCTION("""COMPUTED_VALUE"""),"RITM0311933")</f>
        <v>RITM0311933</v>
      </c>
      <c r="E228" s="1"/>
      <c r="F228" s="1" t="str">
        <f>IFERROR(__xludf.DUMMYFUNCTION("""COMPUTED_VALUE"""),"1573245377")</f>
        <v>1573245377</v>
      </c>
      <c r="G228" s="1" t="str">
        <f>IFERROR(__xludf.DUMMYFUNCTION("""COMPUTED_VALUE"""),"christineshane.magracia1@gmail.com")</f>
        <v>christineshane.magracia1@gmail.com</v>
      </c>
      <c r="H228" s="1" t="str">
        <f>IFERROR(__xludf.DUMMYFUNCTION("""COMPUTED_VALUE"""),"CLOSED")</f>
        <v>CLOSED</v>
      </c>
      <c r="I228" s="1"/>
      <c r="J228" s="1"/>
      <c r="K228" s="1" t="str">
        <f>IFERROR(__xludf.DUMMYFUNCTION("""COMPUTED_VALUE"""),"PAID VIA GCASH REF RADI237316F7GF0W SEP 27")</f>
        <v>PAID VIA GCASH REF RADI237316F7GF0W SEP 27</v>
      </c>
      <c r="L228" s="1" t="str">
        <f>IFERROR(__xludf.DUMMYFUNCTION("""COMPUTED_VALUE"""),"PAID")</f>
        <v>PAID</v>
      </c>
      <c r="M228" s="1" t="str">
        <f>IFERROR(__xludf.DUMMYFUNCTION("""COMPUTED_VALUE"""),"POSTED")</f>
        <v>POSTED</v>
      </c>
      <c r="N228" s="1" t="str">
        <f>IFERROR(__xludf.DUMMYFUNCTION("""COMPUTED_VALUE"""),"2026")</f>
        <v>2026</v>
      </c>
      <c r="O228" s="1" t="str">
        <f>IFERROR(__xludf.DUMMYFUNCTION("""COMPUTED_VALUE"""),"RED_RS_ONL_CVE_25")</f>
        <v>RED_RS_ONL_CVE_25</v>
      </c>
      <c r="P228" s="1" t="str">
        <f>IFERROR(__xludf.DUMMYFUNCTION("""COMPUTED_VALUE"""),"RED FIBR 1000")</f>
        <v>RED FIBR 1000</v>
      </c>
      <c r="Q228" s="1" t="str">
        <f>IFERROR(__xludf.DUMMYFUNCTION("""COMPUTED_VALUE"""),"MMM018711")</f>
        <v>MMM018711</v>
      </c>
      <c r="R228" s="1" t="str">
        <f>IFERROR(__xludf.DUMMYFUNCTION("""COMPUTED_VALUE"""),"MORADOS, MARVIN")</f>
        <v>MORADOS, MARVIN</v>
      </c>
      <c r="S228" s="1" t="str">
        <f>IFERROR(__xludf.DUMMYFUNCTION("""COMPUTED_VALUE"""),"GARCIA MICHAEL JETTS")</f>
        <v>GARCIA MICHAEL JETTS</v>
      </c>
      <c r="T228" s="1" t="str">
        <f>IFERROR(__xludf.DUMMYFUNCTION("""COMPUTED_VALUE"""),"ESPIRITU JULIE")</f>
        <v>ESPIRITU JULIE</v>
      </c>
      <c r="U228" s="1"/>
      <c r="V228" s="1">
        <f>IFERROR(__xludf.DUMMYFUNCTION("""COMPUTED_VALUE"""),9949818849)</f>
        <v>9949818849</v>
      </c>
      <c r="W228" s="1"/>
      <c r="X228" s="1" t="str">
        <f>IFERROR(__xludf.DUMMYFUNCTION("""COMPUTED_VALUE"""),"BLK 99 LOT 14")</f>
        <v>BLK 99 LOT 14</v>
      </c>
      <c r="Y228" s="1" t="str">
        <f>IFERROR(__xludf.DUMMYFUNCTION("""COMPUTED_VALUE"""),"MADRID ST")</f>
        <v>MADRID ST</v>
      </c>
      <c r="Z228" s="1" t="str">
        <f>IFERROR(__xludf.DUMMYFUNCTION("""COMPUTED_VALUE"""),"GOLDEN HORIZON VILLAS PHASE 2")</f>
        <v>GOLDEN HORIZON VILLAS PHASE 2</v>
      </c>
      <c r="AA228" s="1" t="str">
        <f>IFERROR(__xludf.DUMMYFUNCTION("""COMPUTED_VALUE"""),"PEREZ (LUCBANAN)")</f>
        <v>PEREZ (LUCBANAN)</v>
      </c>
      <c r="AB228" s="1" t="str">
        <f>IFERROR(__xludf.DUMMYFUNCTION("""COMPUTED_VALUE"""),"TRECE MARTIRES")</f>
        <v>TRECE MARTIRES</v>
      </c>
      <c r="AC228" s="1" t="str">
        <f>IFERROR(__xludf.DUMMYFUNCTION("""COMPUTED_VALUE"""),"CVT4LCP6NP1-6 CVT4LCP5NP1-6")</f>
        <v>CVT4LCP6NP1-6 CVT4LCP5NP1-6</v>
      </c>
    </row>
    <row r="229" customHeight="1" spans="1:29">
      <c r="A229" s="3">
        <f>IFERROR(__xludf.DUMMYFUNCTION("""COMPUTED_VALUE"""),46292)</f>
        <v>46292</v>
      </c>
      <c r="B229" s="1" t="str">
        <f>IFERROR(__xludf.DUMMYFUNCTION("""COMPUTED_VALUE"""),"SEPTEMBER")</f>
        <v>SEPTEMBER</v>
      </c>
      <c r="C229" s="1" t="str">
        <f>IFERROR(__xludf.DUMMYFUNCTION("""COMPUTED_VALUE"""),"EDRALYN DAGASDAS VALPARAISO")</f>
        <v>EDRALYN DAGASDAS VALPARAISO</v>
      </c>
      <c r="D229" s="1" t="str">
        <f>IFERROR(__xludf.DUMMYFUNCTION("""COMPUTED_VALUE"""),"RITM0311937")</f>
        <v>RITM0311937</v>
      </c>
      <c r="E229" s="1"/>
      <c r="F229" s="1" t="str">
        <f>IFERROR(__xludf.DUMMYFUNCTION("""COMPUTED_VALUE"""),"8419735792")</f>
        <v>8419735792</v>
      </c>
      <c r="G229" s="1" t="str">
        <f>IFERROR(__xludf.DUMMYFUNCTION("""COMPUTED_VALUE"""),"dagasdasedralyn@gmail.com")</f>
        <v>dagasdasedralyn@gmail.com</v>
      </c>
      <c r="H229" s="1" t="str">
        <f>IFERROR(__xludf.DUMMYFUNCTION("""COMPUTED_VALUE"""),"CLOSED")</f>
        <v>CLOSED</v>
      </c>
      <c r="I229" s="1"/>
      <c r="J229" s="1"/>
      <c r="K229" s="1" t="str">
        <f>IFERROR(__xludf.DUMMYFUNCTION("""COMPUTED_VALUE"""),"PAID VIA GCASH REF 045913850 SEP 27")</f>
        <v>PAID VIA GCASH REF 045913850 SEP 27</v>
      </c>
      <c r="L229" s="1" t="str">
        <f>IFERROR(__xludf.DUMMYFUNCTION("""COMPUTED_VALUE"""),"PAID")</f>
        <v>PAID</v>
      </c>
      <c r="M229" s="1" t="str">
        <f>IFERROR(__xludf.DUMMYFUNCTION("""COMPUTED_VALUE"""),"POSTED")</f>
        <v>POSTED</v>
      </c>
      <c r="N229" s="1" t="str">
        <f>IFERROR(__xludf.DUMMYFUNCTION("""COMPUTED_VALUE"""),"9/29/2026")</f>
        <v>9/29/2026</v>
      </c>
      <c r="O229" s="1" t="str">
        <f>IFERROR(__xludf.DUMMYFUNCTION("""COMPUTED_VALUE"""),"RFBF_CVEU_2026")</f>
        <v>RFBF_CVEU_2026</v>
      </c>
      <c r="P229" s="1" t="str">
        <f>IFERROR(__xludf.DUMMYFUNCTION("""COMPUTED_VALUE"""),"RED FIBR 1000")</f>
        <v>RED FIBR 1000</v>
      </c>
      <c r="Q229" s="1" t="str">
        <f>IFERROR(__xludf.DUMMYFUNCTION("""COMPUTED_VALUE"""),"MMM018711")</f>
        <v>MMM018711</v>
      </c>
      <c r="R229" s="1" t="str">
        <f>IFERROR(__xludf.DUMMYFUNCTION("""COMPUTED_VALUE"""),"MORADOS, MARVIN")</f>
        <v>MORADOS, MARVIN</v>
      </c>
      <c r="S229" s="1" t="str">
        <f>IFERROR(__xludf.DUMMYFUNCTION("""COMPUTED_VALUE"""),"GARCIA MICHAEL JETTS")</f>
        <v>GARCIA MICHAEL JETTS</v>
      </c>
      <c r="T229" s="1" t="str">
        <f>IFERROR(__xludf.DUMMYFUNCTION("""COMPUTED_VALUE"""),"ESPIRITU JULIE")</f>
        <v>ESPIRITU JULIE</v>
      </c>
      <c r="U229" s="1"/>
      <c r="V229" s="1">
        <f>IFERROR(__xludf.DUMMYFUNCTION("""COMPUTED_VALUE"""),9051915376)</f>
        <v>9051915376</v>
      </c>
      <c r="W229" s="1"/>
      <c r="X229" s="1" t="str">
        <f>IFERROR(__xludf.DUMMYFUNCTION("""COMPUTED_VALUE"""),"BLK 16 LOT 28")</f>
        <v>BLK 16 LOT 28</v>
      </c>
      <c r="Y229" s="1" t="str">
        <f>IFERROR(__xludf.DUMMYFUNCTION("""COMPUTED_VALUE"""),"PHASE B")</f>
        <v>PHASE B</v>
      </c>
      <c r="Z229" s="1" t="str">
        <f>IFERROR(__xludf.DUMMYFUNCTION("""COMPUTED_VALUE"""),"ISTANA SUBDIVISION")</f>
        <v>ISTANA SUBDIVISION</v>
      </c>
      <c r="AA229" s="1" t="str">
        <f>IFERROR(__xludf.DUMMYFUNCTION("""COMPUTED_VALUE"""),"BIGA")</f>
        <v>BIGA</v>
      </c>
      <c r="AB229" s="1" t="str">
        <f>IFERROR(__xludf.DUMMYFUNCTION("""COMPUTED_VALUE"""),"TANZA")</f>
        <v>TANZA</v>
      </c>
      <c r="AC229" s="1"/>
    </row>
    <row r="230" customHeight="1" spans="1:29">
      <c r="A230" s="3">
        <f>IFERROR(__xludf.DUMMYFUNCTION("""COMPUTED_VALUE"""),46292)</f>
        <v>46292</v>
      </c>
      <c r="B230" s="1" t="str">
        <f>IFERROR(__xludf.DUMMYFUNCTION("""COMPUTED_VALUE"""),"SEPTEMBER")</f>
        <v>SEPTEMBER</v>
      </c>
      <c r="C230" s="1" t="str">
        <f>IFERROR(__xludf.DUMMYFUNCTION("""COMPUTED_VALUE""")," MARY JEAN GATINA GUMOBAL")</f>
        <v> MARY JEAN GATINA GUMOBAL</v>
      </c>
      <c r="D230" s="1" t="str">
        <f>IFERROR(__xludf.DUMMYFUNCTION("""COMPUTED_VALUE"""),"RITM0311939")</f>
        <v>RITM0311939</v>
      </c>
      <c r="E230" s="1"/>
      <c r="F230" s="1" t="str">
        <f>IFERROR(__xludf.DUMMYFUNCTION("""COMPUTED_VALUE"""),"1885291970")</f>
        <v>1885291970</v>
      </c>
      <c r="G230" s="1" t="str">
        <f>IFERROR(__xludf.DUMMYFUNCTION("""COMPUTED_VALUE"""),"gumobalmaryjean1@gmail.com")</f>
        <v>gumobalmaryjean1@gmail.com</v>
      </c>
      <c r="H230" s="1" t="str">
        <f>IFERROR(__xludf.DUMMYFUNCTION("""COMPUTED_VALUE"""),"CLOSED")</f>
        <v>CLOSED</v>
      </c>
      <c r="I230" s="1"/>
      <c r="J230" s="1"/>
      <c r="K230" s="1" t="str">
        <f>IFERROR(__xludf.DUMMYFUNCTION("""COMPUTED_VALUE"""),"PAID VIA GCASH REF 324585523 SEP 28")</f>
        <v>PAID VIA GCASH REF 324585523 SEP 28</v>
      </c>
      <c r="L230" s="1" t="str">
        <f>IFERROR(__xludf.DUMMYFUNCTION("""COMPUTED_VALUE"""),"PAID")</f>
        <v>PAID</v>
      </c>
      <c r="M230" s="1" t="str">
        <f>IFERROR(__xludf.DUMMYFUNCTION("""COMPUTED_VALUE"""),"POSTED")</f>
        <v>POSTED</v>
      </c>
      <c r="N230" s="1" t="str">
        <f>IFERROR(__xludf.DUMMYFUNCTION("""COMPUTED_VALUE"""),"9/30/2026")</f>
        <v>9/30/2026</v>
      </c>
      <c r="O230" s="1" t="str">
        <f>IFERROR(__xludf.DUMMYFUNCTION("""COMPUTED_VALUE"""),"RED_RS_ONL_CVE_25")</f>
        <v>RED_RS_ONL_CVE_25</v>
      </c>
      <c r="P230" s="1" t="str">
        <f>IFERROR(__xludf.DUMMYFUNCTION("""COMPUTED_VALUE"""),"RED FIBR 1400")</f>
        <v>RED FIBR 1400</v>
      </c>
      <c r="Q230" s="1" t="str">
        <f>IFERROR(__xludf.DUMMYFUNCTION("""COMPUTED_VALUE"""),"MMM018713")</f>
        <v>MMM018713</v>
      </c>
      <c r="R230" s="1" t="str">
        <f>IFERROR(__xludf.DUMMYFUNCTION("""COMPUTED_VALUE"""),"FRANCISCO, ROSELYN")</f>
        <v>FRANCISCO, ROSELYN</v>
      </c>
      <c r="S230" s="1" t="str">
        <f>IFERROR(__xludf.DUMMYFUNCTION("""COMPUTED_VALUE"""),"REMOLLO LEA")</f>
        <v>REMOLLO LEA</v>
      </c>
      <c r="T230" s="1" t="str">
        <f>IFERROR(__xludf.DUMMYFUNCTION("""COMPUTED_VALUE"""),"ESPIRITU JULIE")</f>
        <v>ESPIRITU JULIE</v>
      </c>
      <c r="U230" s="1"/>
      <c r="V230" s="1">
        <f>IFERROR(__xludf.DUMMYFUNCTION("""COMPUTED_VALUE"""),9674724411)</f>
        <v>9674724411</v>
      </c>
      <c r="W230" s="1"/>
      <c r="X230" s="1" t="str">
        <f>IFERROR(__xludf.DUMMYFUNCTION("""COMPUTED_VALUE"""),"163")</f>
        <v>163</v>
      </c>
      <c r="Y230" s="1" t="str">
        <f>IFERROR(__xludf.DUMMYFUNCTION("""COMPUTED_VALUE"""),"PUROK 6 ST")</f>
        <v>PUROK 6 ST</v>
      </c>
      <c r="Z230" s="1"/>
      <c r="AA230" s="1" t="str">
        <f>IFERROR(__xludf.DUMMYFUNCTION("""COMPUTED_VALUE"""),"ULAT")</f>
        <v>ULAT</v>
      </c>
      <c r="AB230" s="1" t="str">
        <f>IFERROR(__xludf.DUMMYFUNCTION("""COMPUTED_VALUE"""),"SILANG")</f>
        <v>SILANG</v>
      </c>
      <c r="AC230" s="1" t="str">
        <f>IFERROR(__xludf.DUMMYFUNCTION("""COMPUTED_VALUE"""),"CVT2LCP37NP1")</f>
        <v>CVT2LCP37NP1</v>
      </c>
    </row>
    <row r="231" customHeight="1" spans="1:29">
      <c r="A231" s="3">
        <f>IFERROR(__xludf.DUMMYFUNCTION("""COMPUTED_VALUE"""),46293)</f>
        <v>46293</v>
      </c>
      <c r="B231" s="1" t="str">
        <f>IFERROR(__xludf.DUMMYFUNCTION("""COMPUTED_VALUE"""),"SEPTEMBER")</f>
        <v>SEPTEMBER</v>
      </c>
      <c r="C231" s="1" t="str">
        <f>IFERROR(__xludf.DUMMYFUNCTION("""COMPUTED_VALUE"""),"GEMMA MENDOZA ESGUERRA")</f>
        <v>GEMMA MENDOZA ESGUERRA</v>
      </c>
      <c r="D231" s="1" t="str">
        <f>IFERROR(__xludf.DUMMYFUNCTION("""COMPUTED_VALUE"""),"RITM0311992")</f>
        <v>RITM0311992</v>
      </c>
      <c r="E231" s="1"/>
      <c r="F231" s="1" t="str">
        <f>IFERROR(__xludf.DUMMYFUNCTION("""COMPUTED_VALUE"""),"5676246430")</f>
        <v>5676246430</v>
      </c>
      <c r="G231" s="1" t="str">
        <f>IFERROR(__xludf.DUMMYFUNCTION("""COMPUTED_VALUE"""),"gemmaesguerra487@gmail.com")</f>
        <v>gemmaesguerra487@gmail.com</v>
      </c>
      <c r="H231" s="1" t="str">
        <f>IFERROR(__xludf.DUMMYFUNCTION("""COMPUTED_VALUE"""),"CLOSED")</f>
        <v>CLOSED</v>
      </c>
      <c r="I231" s="1"/>
      <c r="J231" s="1"/>
      <c r="K231" s="1" t="str">
        <f>IFERROR(__xludf.DUMMYFUNCTION("""COMPUTED_VALUE"""),"PAID REF 627108323582 SEP 28")</f>
        <v>PAID REF 627108323582 SEP 28</v>
      </c>
      <c r="L231" s="1" t="str">
        <f>IFERROR(__xludf.DUMMYFUNCTION("""COMPUTED_VALUE"""),"PAID")</f>
        <v>PAID</v>
      </c>
      <c r="M231" s="1" t="str">
        <f>IFERROR(__xludf.DUMMYFUNCTION("""COMPUTED_VALUE"""),"POSTED")</f>
        <v>POSTED</v>
      </c>
      <c r="N231" s="1" t="str">
        <f>IFERROR(__xludf.DUMMYFUNCTION("""COMPUTED_VALUE"""),"2026")</f>
        <v>2026</v>
      </c>
      <c r="O231" s="1" t="str">
        <f>IFERROR(__xludf.DUMMYFUNCTION("""COMPUTED_VALUE"""),"RED_RS_HH_CVE_26")</f>
        <v>RED_RS_HH_CVE_26</v>
      </c>
      <c r="P231" s="1" t="str">
        <f>IFERROR(__xludf.DUMMYFUNCTION("""COMPUTED_VALUE"""),"RED FIBR 1000")</f>
        <v>RED FIBR 1000</v>
      </c>
      <c r="Q231" s="1" t="str">
        <f>IFERROR(__xludf.DUMMYFUNCTION("""COMPUTED_VALUE"""),"MMM018709")</f>
        <v>MMM018709</v>
      </c>
      <c r="R231" s="1" t="str">
        <f>IFERROR(__xludf.DUMMYFUNCTION("""COMPUTED_VALUE"""),"GABAY MANUEL")</f>
        <v>GABAY MANUEL</v>
      </c>
      <c r="S231" s="1" t="str">
        <f>IFERROR(__xludf.DUMMYFUNCTION("""COMPUTED_VALUE"""),"REMOLLO LEA")</f>
        <v>REMOLLO LEA</v>
      </c>
      <c r="T231" s="1" t="str">
        <f>IFERROR(__xludf.DUMMYFUNCTION("""COMPUTED_VALUE"""),"ESPIRITU JULIE")</f>
        <v>ESPIRITU JULIE</v>
      </c>
      <c r="U231" s="1"/>
      <c r="V231" s="1">
        <f>IFERROR(__xludf.DUMMYFUNCTION("""COMPUTED_VALUE"""),9770736984)</f>
        <v>9770736984</v>
      </c>
      <c r="W231" s="1">
        <f>IFERROR(__xludf.DUMMYFUNCTION("""COMPUTED_VALUE"""),9679473868)</f>
        <v>9679473868</v>
      </c>
      <c r="X231" s="1" t="str">
        <f>IFERROR(__xludf.DUMMYFUNCTION("""COMPUTED_VALUE"""),"3A")</f>
        <v>3A</v>
      </c>
      <c r="Y231" s="1" t="str">
        <f>IFERROR(__xludf.DUMMYFUNCTION("""COMPUTED_VALUE"""),"BONIFACIO ST")</f>
        <v>BONIFACIO ST</v>
      </c>
      <c r="Z231" s="1"/>
      <c r="AA231" s="1" t="str">
        <f>IFERROR(__xludf.DUMMYFUNCTION("""COMPUTED_VALUE"""),"POBLACION V (BARANGAY V)")</f>
        <v>POBLACION V (BARANGAY V)</v>
      </c>
      <c r="AB231" s="1" t="str">
        <f>IFERROR(__xludf.DUMMYFUNCTION("""COMPUTED_VALUE"""),"MENDEZ")</f>
        <v>MENDEZ</v>
      </c>
      <c r="AC231" s="1" t="str">
        <f>IFERROR(__xludf.DUMMYFUNCTION("""COMPUTED_VALUE"""),"CVT2LCP61NP1")</f>
        <v>CVT2LCP61NP1</v>
      </c>
    </row>
    <row r="232" customHeight="1" spans="1:29">
      <c r="A232" s="3">
        <f>IFERROR(__xludf.DUMMYFUNCTION("""COMPUTED_VALUE"""),46293)</f>
        <v>46293</v>
      </c>
      <c r="B232" s="1" t="str">
        <f>IFERROR(__xludf.DUMMYFUNCTION("""COMPUTED_VALUE"""),"SEPTEMBER")</f>
        <v>SEPTEMBER</v>
      </c>
      <c r="C232" s="1" t="str">
        <f>IFERROR(__xludf.DUMMYFUNCTION("""COMPUTED_VALUE"""),"ROVELYN TABOR CARDENAS")</f>
        <v>ROVELYN TABOR CARDENAS</v>
      </c>
      <c r="D232" s="1" t="str">
        <f>IFERROR(__xludf.DUMMYFUNCTION("""COMPUTED_VALUE"""),"RITM0312025")</f>
        <v>RITM0312025</v>
      </c>
      <c r="E232" s="1"/>
      <c r="F232" s="1" t="str">
        <f>IFERROR(__xludf.DUMMYFUNCTION("""COMPUTED_VALUE"""),"9916667497")</f>
        <v>9916667497</v>
      </c>
      <c r="G232" s="1" t="str">
        <f>IFERROR(__xludf.DUMMYFUNCTION("""COMPUTED_VALUE"""),"rovelyncardenas17@gmail.com")</f>
        <v>rovelyncardenas17@gmail.com</v>
      </c>
      <c r="H232" s="1" t="str">
        <f>IFERROR(__xludf.DUMMYFUNCTION("""COMPUTED_VALUE"""),"APPROVED")</f>
        <v>APPROVED</v>
      </c>
      <c r="I232" s="1" t="str">
        <f>IFERROR(__xludf.DUMMYFUNCTION("""COMPUTED_VALUE"""),"RWO PASSING PRIVATE PROPERTY / OVER SPAN - FOR REFUND")</f>
        <v>RWO PASSING PRIVATE PROPERTY / OVER SPAN - FOR REFUND</v>
      </c>
      <c r="J232" s="1" t="str">
        <f>IFERROR(__xludf.DUMMYFUNCTION("""COMPUTED_VALUE"""),"FOR REFUND")</f>
        <v>FOR REFUND</v>
      </c>
      <c r="K232" s="1" t="str">
        <f>IFERROR(__xludf.DUMMYFUNCTION("""COMPUTED_VALUE"""),"PAID VIA GCASH REF 226195529 SEP 28")</f>
        <v>PAID VIA GCASH REF 226195529 SEP 28</v>
      </c>
      <c r="L232" s="1" t="str">
        <f>IFERROR(__xludf.DUMMYFUNCTION("""COMPUTED_VALUE"""),"PAID")</f>
        <v>PAID</v>
      </c>
      <c r="M232" s="1" t="str">
        <f>IFERROR(__xludf.DUMMYFUNCTION("""COMPUTED_VALUE"""),"PAID - FOR INSTALLATION")</f>
        <v>PAID - FOR INSTALLATION</v>
      </c>
      <c r="N232" s="1"/>
      <c r="O232" s="1" t="str">
        <f>IFERROR(__xludf.DUMMYFUNCTION("""COMPUTED_VALUE"""),"RFBF_CVEU_2026")</f>
        <v>RFBF_CVEU_2026</v>
      </c>
      <c r="P232" s="1" t="str">
        <f>IFERROR(__xludf.DUMMYFUNCTION("""COMPUTED_VALUE"""),"RED FIBR 1000")</f>
        <v>RED FIBR 1000</v>
      </c>
      <c r="Q232" s="1" t="str">
        <f>IFERROR(__xludf.DUMMYFUNCTION("""COMPUTED_VALUE"""),"MMM018711")</f>
        <v>MMM018711</v>
      </c>
      <c r="R232" s="1" t="str">
        <f>IFERROR(__xludf.DUMMYFUNCTION("""COMPUTED_VALUE"""),"MORADOS, MARVIN")</f>
        <v>MORADOS, MARVIN</v>
      </c>
      <c r="S232" s="1" t="str">
        <f>IFERROR(__xludf.DUMMYFUNCTION("""COMPUTED_VALUE"""),"GARCIA MICHAEL JETTS")</f>
        <v>GARCIA MICHAEL JETTS</v>
      </c>
      <c r="T232" s="1" t="str">
        <f>IFERROR(__xludf.DUMMYFUNCTION("""COMPUTED_VALUE"""),"ESPIRITU JULIE")</f>
        <v>ESPIRITU JULIE</v>
      </c>
      <c r="U232" s="1"/>
      <c r="V232" s="1">
        <f>IFERROR(__xludf.DUMMYFUNCTION("""COMPUTED_VALUE"""),9460471460)</f>
        <v>9460471460</v>
      </c>
      <c r="W232" s="1"/>
      <c r="X232" s="1" t="str">
        <f>IFERROR(__xludf.DUMMYFUNCTION("""COMPUTED_VALUE"""),"127")</f>
        <v>127</v>
      </c>
      <c r="Y232" s="1" t="str">
        <f>IFERROR(__xludf.DUMMYFUNCTION("""COMPUTED_VALUE"""),"NIA RD")</f>
        <v>NIA RD</v>
      </c>
      <c r="Z232" s="1"/>
      <c r="AA232" s="1" t="str">
        <f>IFERROR(__xludf.DUMMYFUNCTION("""COMPUTED_VALUE"""),"MULAWIN")</f>
        <v>MULAWIN</v>
      </c>
      <c r="AB232" s="1" t="str">
        <f>IFERROR(__xludf.DUMMYFUNCTION("""COMPUTED_VALUE"""),"TANZA")</f>
        <v>TANZA</v>
      </c>
      <c r="AC232" s="1" t="str">
        <f>IFERROR(__xludf.DUMMYFUNCTION("""COMPUTED_VALUE"""),"CVT6-L197N5-5")</f>
        <v>CVT6-L197N5-5</v>
      </c>
    </row>
    <row r="233" customHeight="1" spans="1:29">
      <c r="A233" s="3">
        <f>IFERROR(__xludf.DUMMYFUNCTION("""COMPUTED_VALUE"""),46293)</f>
        <v>46293</v>
      </c>
      <c r="B233" s="1" t="str">
        <f>IFERROR(__xludf.DUMMYFUNCTION("""COMPUTED_VALUE"""),"SEPTEMBER")</f>
        <v>SEPTEMBER</v>
      </c>
      <c r="C233" s="1" t="str">
        <f>IFERROR(__xludf.DUMMYFUNCTION("""COMPUTED_VALUE"""),"CECILIA PRENDON MAGAT")</f>
        <v>CECILIA PRENDON MAGAT</v>
      </c>
      <c r="D233" s="1" t="str">
        <f>IFERROR(__xludf.DUMMYFUNCTION("""COMPUTED_VALUE"""),"RITM0312057")</f>
        <v>RITM0312057</v>
      </c>
      <c r="E233" s="1"/>
      <c r="F233" s="1" t="str">
        <f>IFERROR(__xludf.DUMMYFUNCTION("""COMPUTED_VALUE"""),"2191745798")</f>
        <v>2191745798</v>
      </c>
      <c r="G233" s="1" t="str">
        <f>IFERROR(__xludf.DUMMYFUNCTION("""COMPUTED_VALUE"""),"magatcecilia69@gmail.com")</f>
        <v>magatcecilia69@gmail.com</v>
      </c>
      <c r="H233" s="1" t="str">
        <f>IFERROR(__xludf.DUMMYFUNCTION("""COMPUTED_VALUE"""),"CLOSED")</f>
        <v>CLOSED</v>
      </c>
      <c r="I233" s="1"/>
      <c r="J233" s="1"/>
      <c r="K233" s="1" t="str">
        <f>IFERROR(__xludf.DUMMYFUNCTION("""COMPUTED_VALUE"""),"PAID VIA GCASH REF 26274EQR01DN5NRKG OCT 1")</f>
        <v>PAID VIA GCASH REF 26274EQR01DN5NRKG OCT 1</v>
      </c>
      <c r="L233" s="1" t="str">
        <f>IFERROR(__xludf.DUMMYFUNCTION("""COMPUTED_VALUE"""),"PAID")</f>
        <v>PAID</v>
      </c>
      <c r="M233" s="1" t="str">
        <f>IFERROR(__xludf.DUMMYFUNCTION("""COMPUTED_VALUE"""),"POSTED")</f>
        <v>POSTED</v>
      </c>
      <c r="N233" s="1" t="str">
        <f>IFERROR(__xludf.DUMMYFUNCTION("""COMPUTED_VALUE"""),"10/2/2026")</f>
        <v>10/2/2026</v>
      </c>
      <c r="O233" s="1" t="str">
        <f>IFERROR(__xludf.DUMMYFUNCTION("""COMPUTED_VALUE"""),"RFBF_CVEU_2026")</f>
        <v>RFBF_CVEU_2026</v>
      </c>
      <c r="P233" s="1" t="str">
        <f>IFERROR(__xludf.DUMMYFUNCTION("""COMPUTED_VALUE"""),"RED FIBR 1400")</f>
        <v>RED FIBR 1400</v>
      </c>
      <c r="Q233" s="1" t="str">
        <f>IFERROR(__xludf.DUMMYFUNCTION("""COMPUTED_VALUE"""),"MMM018711")</f>
        <v>MMM018711</v>
      </c>
      <c r="R233" s="1" t="str">
        <f>IFERROR(__xludf.DUMMYFUNCTION("""COMPUTED_VALUE"""),"MORADOS, MARVIN")</f>
        <v>MORADOS, MARVIN</v>
      </c>
      <c r="S233" s="1" t="str">
        <f>IFERROR(__xludf.DUMMYFUNCTION("""COMPUTED_VALUE"""),"GARCIA MICHAEL JETTS")</f>
        <v>GARCIA MICHAEL JETTS</v>
      </c>
      <c r="T233" s="1" t="str">
        <f>IFERROR(__xludf.DUMMYFUNCTION("""COMPUTED_VALUE"""),"ESPIRITU JULIE")</f>
        <v>ESPIRITU JULIE</v>
      </c>
      <c r="U233" s="1"/>
      <c r="V233" s="1">
        <f>IFERROR(__xludf.DUMMYFUNCTION("""COMPUTED_VALUE"""),9681257487)</f>
        <v>9681257487</v>
      </c>
      <c r="W233" s="1"/>
      <c r="X233" s="1" t="str">
        <f>IFERROR(__xludf.DUMMYFUNCTION("""COMPUTED_VALUE"""),"BLK 20 LOT 46")</f>
        <v>BLK 20 LOT 46</v>
      </c>
      <c r="Y233" s="1" t="str">
        <f>IFERROR(__xludf.DUMMYFUNCTION("""COMPUTED_VALUE"""),"PHASE B")</f>
        <v>PHASE B</v>
      </c>
      <c r="Z233" s="1" t="str">
        <f>IFERROR(__xludf.DUMMYFUNCTION("""COMPUTED_VALUE"""),"ISTANA SUBDIVISION")</f>
        <v>ISTANA SUBDIVISION</v>
      </c>
      <c r="AA233" s="1" t="str">
        <f>IFERROR(__xludf.DUMMYFUNCTION("""COMPUTED_VALUE"""),"BIGA")</f>
        <v>BIGA</v>
      </c>
      <c r="AB233" s="1" t="str">
        <f>IFERROR(__xludf.DUMMYFUNCTION("""COMPUTED_VALUE"""),"TANZA")</f>
        <v>TANZA</v>
      </c>
      <c r="AC233" s="1"/>
    </row>
    <row r="234" customHeight="1" spans="1:29">
      <c r="A234" s="3">
        <f>IFERROR(__xludf.DUMMYFUNCTION("""COMPUTED_VALUE"""),46294)</f>
        <v>46294</v>
      </c>
      <c r="B234" s="1" t="str">
        <f>IFERROR(__xludf.DUMMYFUNCTION("""COMPUTED_VALUE"""),"SEPTEMBER")</f>
        <v>SEPTEMBER</v>
      </c>
      <c r="C234" s="1" t="str">
        <f>IFERROR(__xludf.DUMMYFUNCTION("""COMPUTED_VALUE"""),"CRISTINE MAY MARQUEZ SILVESTRE")</f>
        <v>CRISTINE MAY MARQUEZ SILVESTRE</v>
      </c>
      <c r="D234" s="1" t="str">
        <f>IFERROR(__xludf.DUMMYFUNCTION("""COMPUTED_VALUE"""),"RITM0312086")</f>
        <v>RITM0312086</v>
      </c>
      <c r="E234" s="1"/>
      <c r="F234" s="1"/>
      <c r="G234" s="1" t="str">
        <f>IFERROR(__xludf.DUMMYFUNCTION("""COMPUTED_VALUE"""),"methoysilvestre@gmail.com")</f>
        <v>methoysilvestre@gmail.com</v>
      </c>
      <c r="H234" s="1" t="str">
        <f>IFERROR(__xludf.DUMMYFUNCTION("""COMPUTED_VALUE"""),"REJECTED")</f>
        <v>REJECTED</v>
      </c>
      <c r="I234" s="1"/>
      <c r="J234" s="1" t="str">
        <f>IFERROR(__xludf.DUMMYFUNCTION("""COMPUTED_VALUE"""),"FOUND ATTACHED SOA IS NOT VALID (BLUR) // KINDLY ATTACH CORRECT AND UPDATED SOA WITH SAME SUBS NAME AND ADDRESS TO AVAIL THE PROMO //")</f>
        <v>FOUND ATTACHED SOA IS NOT VALID (BLUR) // KINDLY ATTACH CORRECT AND UPDATED SOA WITH SAME SUBS NAME AND ADDRESS TO AVAIL THE PROMO //</v>
      </c>
      <c r="K234" s="1"/>
      <c r="L234" s="1"/>
      <c r="M234" s="1" t="str">
        <f>IFERROR(__xludf.DUMMYFUNCTION("""COMPUTED_VALUE"""),"REENCODED")</f>
        <v>REENCODED</v>
      </c>
      <c r="N234" s="1"/>
      <c r="O234" s="1" t="str">
        <f>IFERROR(__xludf.DUMMYFUNCTION("""COMPUTED_VALUE"""),"RFBF_CVEU_2026")</f>
        <v>RFBF_CVEU_2026</v>
      </c>
      <c r="P234" s="1" t="str">
        <f>IFERROR(__xludf.DUMMYFUNCTION("""COMPUTED_VALUE"""),"SWITCHER PLAN 900")</f>
        <v>SWITCHER PLAN 900</v>
      </c>
      <c r="Q234" s="1" t="str">
        <f>IFERROR(__xludf.DUMMYFUNCTION("""COMPUTED_VALUE"""),"MMM018712")</f>
        <v>MMM018712</v>
      </c>
      <c r="R234" s="1" t="str">
        <f>IFERROR(__xludf.DUMMYFUNCTION("""COMPUTED_VALUE"""),"PEREZ. RONELL ")</f>
        <v>PEREZ. RONELL </v>
      </c>
      <c r="S234" s="1" t="str">
        <f>IFERROR(__xludf.DUMMYFUNCTION("""COMPUTED_VALUE"""),"GARCIA MICHAEL JETTS")</f>
        <v>GARCIA MICHAEL JETTS</v>
      </c>
      <c r="T234" s="1" t="str">
        <f>IFERROR(__xludf.DUMMYFUNCTION("""COMPUTED_VALUE"""),"ESPIRITU JULIE")</f>
        <v>ESPIRITU JULIE</v>
      </c>
      <c r="U234" s="1"/>
      <c r="V234" s="1">
        <f>IFERROR(__xludf.DUMMYFUNCTION("""COMPUTED_VALUE"""),9319114584)</f>
        <v>9319114584</v>
      </c>
      <c r="W234" s="1">
        <f>IFERROR(__xludf.DUMMYFUNCTION("""COMPUTED_VALUE"""),9127002781)</f>
        <v>9127002781</v>
      </c>
      <c r="X234" s="1" t="str">
        <f>IFERROR(__xludf.DUMMYFUNCTION("""COMPUTED_VALUE"""),"N/A")</f>
        <v>N/A</v>
      </c>
      <c r="Y234" s="1" t="str">
        <f>IFERROR(__xludf.DUMMYFUNCTION("""COMPUTED_VALUE"""),"TRAMO SILANGAN RD")</f>
        <v>TRAMO SILANGAN RD</v>
      </c>
      <c r="Z234" s="1"/>
      <c r="AA234" s="1" t="str">
        <f>IFERROR(__xludf.DUMMYFUNCTION("""COMPUTED_VALUE"""),"HALAYHAY")</f>
        <v>HALAYHAY</v>
      </c>
      <c r="AB234" s="1" t="str">
        <f>IFERROR(__xludf.DUMMYFUNCTION("""COMPUTED_VALUE"""),"TANZA")</f>
        <v>TANZA</v>
      </c>
      <c r="AC234" s="1" t="str">
        <f>IFERROR(__xludf.DUMMYFUNCTION("""COMPUTED_VALUE"""),"CVT6LCP229NP5/6/7/8")</f>
        <v>CVT6LCP229NP5/6/7/8</v>
      </c>
    </row>
    <row r="235" customHeight="1" spans="1:29">
      <c r="A235" s="3">
        <f>IFERROR(__xludf.DUMMYFUNCTION("""COMPUTED_VALUE"""),46294)</f>
        <v>46294</v>
      </c>
      <c r="B235" s="1" t="str">
        <f>IFERROR(__xludf.DUMMYFUNCTION("""COMPUTED_VALUE"""),"SEPTEMBER")</f>
        <v>SEPTEMBER</v>
      </c>
      <c r="C235" s="1" t="str">
        <f>IFERROR(__xludf.DUMMYFUNCTION("""COMPUTED_VALUE"""),"CRISTINE MAY MARQUEZ SILVESTRE")</f>
        <v>CRISTINE MAY MARQUEZ SILVESTRE</v>
      </c>
      <c r="D235" s="1" t="str">
        <f>IFERROR(__xludf.DUMMYFUNCTION("""COMPUTED_VALUE"""),"RITM0312106")</f>
        <v>RITM0312106</v>
      </c>
      <c r="E235" s="1"/>
      <c r="F235" s="1"/>
      <c r="G235" s="1" t="str">
        <f>IFERROR(__xludf.DUMMYFUNCTION("""COMPUTED_VALUE"""),"methoysilvestre@gmail.com")</f>
        <v>methoysilvestre@gmail.com</v>
      </c>
      <c r="H235" s="1" t="str">
        <f>IFERROR(__xludf.DUMMYFUNCTION("""COMPUTED_VALUE"""),"REJECTED")</f>
        <v>REJECTED</v>
      </c>
      <c r="I235" s="1"/>
      <c r="J235" s="1" t="str">
        <f>IFERROR(__xludf.DUMMYFUNCTION("""COMPUTED_VALUE"""),"INVALID SOA NOT APPLICABLE FOR SWITCHER PROMO")</f>
        <v>INVALID SOA NOT APPLICABLE FOR SWITCHER PROMO</v>
      </c>
      <c r="K235" s="1"/>
      <c r="L235" s="1"/>
      <c r="M235" s="1" t="str">
        <f>IFERROR(__xludf.DUMMYFUNCTION("""COMPUTED_VALUE"""),"CANCEL RECREATE - CHANGE PLAN")</f>
        <v>CANCEL RECREATE - CHANGE PLAN</v>
      </c>
      <c r="N235" s="1"/>
      <c r="O235" s="1" t="str">
        <f>IFERROR(__xludf.DUMMYFUNCTION("""COMPUTED_VALUE"""),"RFBF_CVEU_2026")</f>
        <v>RFBF_CVEU_2026</v>
      </c>
      <c r="P235" s="1" t="str">
        <f>IFERROR(__xludf.DUMMYFUNCTION("""COMPUTED_VALUE"""),"SWITCHER PLAN 900")</f>
        <v>SWITCHER PLAN 900</v>
      </c>
      <c r="Q235" s="1" t="str">
        <f>IFERROR(__xludf.DUMMYFUNCTION("""COMPUTED_VALUE"""),"MMM018712")</f>
        <v>MMM018712</v>
      </c>
      <c r="R235" s="1" t="str">
        <f>IFERROR(__xludf.DUMMYFUNCTION("""COMPUTED_VALUE"""),"PEREZ. RONELL ")</f>
        <v>PEREZ. RONELL </v>
      </c>
      <c r="S235" s="1" t="str">
        <f>IFERROR(__xludf.DUMMYFUNCTION("""COMPUTED_VALUE"""),"GARCIA MICHAEL JETTS")</f>
        <v>GARCIA MICHAEL JETTS</v>
      </c>
      <c r="T235" s="1" t="str">
        <f>IFERROR(__xludf.DUMMYFUNCTION("""COMPUTED_VALUE"""),"ESPIRITU JULIE")</f>
        <v>ESPIRITU JULIE</v>
      </c>
      <c r="U235" s="1"/>
      <c r="V235" s="1">
        <f>IFERROR(__xludf.DUMMYFUNCTION("""COMPUTED_VALUE"""),9319114584)</f>
        <v>9319114584</v>
      </c>
      <c r="W235" s="1">
        <f>IFERROR(__xludf.DUMMYFUNCTION("""COMPUTED_VALUE"""),9127002781)</f>
        <v>9127002781</v>
      </c>
      <c r="X235" s="1" t="str">
        <f>IFERROR(__xludf.DUMMYFUNCTION("""COMPUTED_VALUE"""),"N/A")</f>
        <v>N/A</v>
      </c>
      <c r="Y235" s="1" t="str">
        <f>IFERROR(__xludf.DUMMYFUNCTION("""COMPUTED_VALUE"""),"TRAMO SILANGAN RD")</f>
        <v>TRAMO SILANGAN RD</v>
      </c>
      <c r="Z235" s="1"/>
      <c r="AA235" s="1" t="str">
        <f>IFERROR(__xludf.DUMMYFUNCTION("""COMPUTED_VALUE"""),"HALAYHAY")</f>
        <v>HALAYHAY</v>
      </c>
      <c r="AB235" s="1" t="str">
        <f>IFERROR(__xludf.DUMMYFUNCTION("""COMPUTED_VALUE"""),"TANZA")</f>
        <v>TANZA</v>
      </c>
      <c r="AC235" s="1" t="str">
        <f>IFERROR(__xludf.DUMMYFUNCTION("""COMPUTED_VALUE"""),"CVT6LCP229NP5/6/7/8")</f>
        <v>CVT6LCP229NP5/6/7/8</v>
      </c>
    </row>
    <row r="236" customHeight="1" spans="1:29">
      <c r="A236" s="3">
        <f>IFERROR(__xludf.DUMMYFUNCTION("""COMPUTED_VALUE"""),46294)</f>
        <v>46294</v>
      </c>
      <c r="B236" s="1" t="str">
        <f>IFERROR(__xludf.DUMMYFUNCTION("""COMPUTED_VALUE"""),"SEPTEMBER")</f>
        <v>SEPTEMBER</v>
      </c>
      <c r="C236" s="1" t="str">
        <f>IFERROR(__xludf.DUMMYFUNCTION("""COMPUTED_VALUE"""),"MARCELINA MONTEMAYOR ESCABARTE")</f>
        <v>MARCELINA MONTEMAYOR ESCABARTE</v>
      </c>
      <c r="D236" s="1" t="str">
        <f>IFERROR(__xludf.DUMMYFUNCTION("""COMPUTED_VALUE"""),"RITM0312111")</f>
        <v>RITM0312111</v>
      </c>
      <c r="E236" s="1"/>
      <c r="F236" s="1"/>
      <c r="G236" s="1" t="str">
        <f>IFERROR(__xludf.DUMMYFUNCTION("""COMPUTED_VALUE"""),"takagisai45@gmail.com")</f>
        <v>takagisai45@gmail.com</v>
      </c>
      <c r="H236" s="1" t="str">
        <f>IFERROR(__xludf.DUMMYFUNCTION("""COMPUTED_VALUE"""),"APPROVED")</f>
        <v>APPROVED</v>
      </c>
      <c r="I236" s="1"/>
      <c r="J236" s="1" t="str">
        <f>IFERROR(__xludf.DUMMYFUNCTION("""COMPUTED_VALUE"""),"Nag apply din daw po ng PLDT as per Agent installed na din po 10/5")</f>
        <v>Nag apply din daw po ng PLDT as per Agent installed na din po 10/5</v>
      </c>
      <c r="K236" s="1"/>
      <c r="L236" s="1"/>
      <c r="M236" s="1" t="str">
        <f>IFERROR(__xludf.DUMMYFUNCTION("""COMPUTED_VALUE"""),"CANCELLED - SUBS CANCEL REQUEST")</f>
        <v>CANCELLED - SUBS CANCEL REQUEST</v>
      </c>
      <c r="N236" s="1"/>
      <c r="O236" s="1" t="str">
        <f>IFERROR(__xludf.DUMMYFUNCTION("""COMPUTED_VALUE"""),"RED_RS_ONL_CVE_25")</f>
        <v>RED_RS_ONL_CVE_25</v>
      </c>
      <c r="P236" s="1" t="str">
        <f>IFERROR(__xludf.DUMMYFUNCTION("""COMPUTED_VALUE"""),"RED FIBR 1000")</f>
        <v>RED FIBR 1000</v>
      </c>
      <c r="Q236" s="1" t="str">
        <f>IFERROR(__xludf.DUMMYFUNCTION("""COMPUTED_VALUE"""),"MMM018713")</f>
        <v>MMM018713</v>
      </c>
      <c r="R236" s="1" t="str">
        <f>IFERROR(__xludf.DUMMYFUNCTION("""COMPUTED_VALUE"""),"SALONGA, WILFREDO")</f>
        <v>SALONGA, WILFREDO</v>
      </c>
      <c r="S236" s="1" t="str">
        <f>IFERROR(__xludf.DUMMYFUNCTION("""COMPUTED_VALUE"""),"CLARETE, GLIZIEL")</f>
        <v>CLARETE, GLIZIEL</v>
      </c>
      <c r="T236" s="1" t="str">
        <f>IFERROR(__xludf.DUMMYFUNCTION("""COMPUTED_VALUE"""),"ESPIRITU JULIE")</f>
        <v>ESPIRITU JULIE</v>
      </c>
      <c r="U236" s="1"/>
      <c r="V236" s="1">
        <f>IFERROR(__xludf.DUMMYFUNCTION("""COMPUTED_VALUE"""),9516793203)</f>
        <v>9516793203</v>
      </c>
      <c r="W236" s="1"/>
      <c r="X236" s="1" t="str">
        <f>IFERROR(__xludf.DUMMYFUNCTION("""COMPUTED_VALUE"""),"73")</f>
        <v>73</v>
      </c>
      <c r="Y236" s="1" t="str">
        <f>IFERROR(__xludf.DUMMYFUNCTION("""COMPUTED_VALUE"""),"SITIO 3 TRAMO")</f>
        <v>SITIO 3 TRAMO</v>
      </c>
      <c r="Z236" s="1"/>
      <c r="AA236" s="1" t="str">
        <f>IFERROR(__xludf.DUMMYFUNCTION("""COMPUTED_VALUE"""),"BALAGTAS")</f>
        <v>BALAGTAS</v>
      </c>
      <c r="AB236" s="1" t="str">
        <f>IFERROR(__xludf.DUMMYFUNCTION("""COMPUTED_VALUE"""),"BATANGAS ")</f>
        <v>BATANGAS </v>
      </c>
      <c r="AC236" s="1" t="str">
        <f>IFERROR(__xludf.DUMMYFUNCTION("""COMPUTED_VALUE"""),"BCY-L100N03-8 / BCYLCP101NP1")</f>
        <v>BCY-L100N03-8 / BCYLCP101NP1</v>
      </c>
    </row>
    <row r="237" customHeight="1" spans="1:29">
      <c r="A237" s="3">
        <f>IFERROR(__xludf.DUMMYFUNCTION("""COMPUTED_VALUE"""),46294)</f>
        <v>46294</v>
      </c>
      <c r="B237" s="1" t="str">
        <f>IFERROR(__xludf.DUMMYFUNCTION("""COMPUTED_VALUE"""),"SEPTEMBER")</f>
        <v>SEPTEMBER</v>
      </c>
      <c r="C237" s="1" t="str">
        <f>IFERROR(__xludf.DUMMYFUNCTION("""COMPUTED_VALUE"""),"CRISTINE MAY MARQUEZ SILVESTRE")</f>
        <v>CRISTINE MAY MARQUEZ SILVESTRE</v>
      </c>
      <c r="D237" s="1" t="str">
        <f>IFERROR(__xludf.DUMMYFUNCTION("""COMPUTED_VALUE"""),"RITM0312112")</f>
        <v>RITM0312112</v>
      </c>
      <c r="E237" s="1"/>
      <c r="F237" s="1" t="str">
        <f>IFERROR(__xludf.DUMMYFUNCTION("""COMPUTED_VALUE"""),"7744533313")</f>
        <v>7744533313</v>
      </c>
      <c r="G237" s="1" t="str">
        <f>IFERROR(__xludf.DUMMYFUNCTION("""COMPUTED_VALUE"""),"methoysilvestre@gmail.com")</f>
        <v>methoysilvestre@gmail.com</v>
      </c>
      <c r="H237" s="1" t="str">
        <f>IFERROR(__xludf.DUMMYFUNCTION("""COMPUTED_VALUE"""),"CLOSED")</f>
        <v>CLOSED</v>
      </c>
      <c r="I237" s="1"/>
      <c r="J237" s="1"/>
      <c r="K237" s="1" t="str">
        <f>IFERROR(__xludf.DUMMYFUNCTION("""COMPUTED_VALUE"""),"PAID VIA GCASH REF 130993444 SEP 29")</f>
        <v>PAID VIA GCASH REF 130993444 SEP 29</v>
      </c>
      <c r="L237" s="1" t="str">
        <f>IFERROR(__xludf.DUMMYFUNCTION("""COMPUTED_VALUE"""),"PAID")</f>
        <v>PAID</v>
      </c>
      <c r="M237" s="1" t="str">
        <f>IFERROR(__xludf.DUMMYFUNCTION("""COMPUTED_VALUE"""),"POSTED")</f>
        <v>POSTED</v>
      </c>
      <c r="N237" s="1" t="str">
        <f>IFERROR(__xludf.DUMMYFUNCTION("""COMPUTED_VALUE"""),"9/30/2026")</f>
        <v>9/30/2026</v>
      </c>
      <c r="O237" s="1" t="str">
        <f>IFERROR(__xludf.DUMMYFUNCTION("""COMPUTED_VALUE"""),"RFBF_CVEU_2026")</f>
        <v>RFBF_CVEU_2026</v>
      </c>
      <c r="P237" s="1" t="str">
        <f>IFERROR(__xludf.DUMMYFUNCTION("""COMPUTED_VALUE"""),"RED FIBR 1000")</f>
        <v>RED FIBR 1000</v>
      </c>
      <c r="Q237" s="1" t="str">
        <f>IFERROR(__xludf.DUMMYFUNCTION("""COMPUTED_VALUE"""),"MMM018712")</f>
        <v>MMM018712</v>
      </c>
      <c r="R237" s="1" t="str">
        <f>IFERROR(__xludf.DUMMYFUNCTION("""COMPUTED_VALUE"""),"PEREZ. RONELL ")</f>
        <v>PEREZ. RONELL </v>
      </c>
      <c r="S237" s="1" t="str">
        <f>IFERROR(__xludf.DUMMYFUNCTION("""COMPUTED_VALUE"""),"GARCIA MICHAEL JETTS")</f>
        <v>GARCIA MICHAEL JETTS</v>
      </c>
      <c r="T237" s="1" t="str">
        <f>IFERROR(__xludf.DUMMYFUNCTION("""COMPUTED_VALUE"""),"ESPIRITU JULIE")</f>
        <v>ESPIRITU JULIE</v>
      </c>
      <c r="U237" s="1"/>
      <c r="V237" s="1">
        <f>IFERROR(__xludf.DUMMYFUNCTION("""COMPUTED_VALUE"""),9319114584)</f>
        <v>9319114584</v>
      </c>
      <c r="W237" s="1">
        <f>IFERROR(__xludf.DUMMYFUNCTION("""COMPUTED_VALUE"""),9127002781)</f>
        <v>9127002781</v>
      </c>
      <c r="X237" s="1" t="str">
        <f>IFERROR(__xludf.DUMMYFUNCTION("""COMPUTED_VALUE"""),"N/A")</f>
        <v>N/A</v>
      </c>
      <c r="Y237" s="1" t="str">
        <f>IFERROR(__xludf.DUMMYFUNCTION("""COMPUTED_VALUE"""),"TRAMO SILANGAN RD")</f>
        <v>TRAMO SILANGAN RD</v>
      </c>
      <c r="Z237" s="1"/>
      <c r="AA237" s="1" t="str">
        <f>IFERROR(__xludf.DUMMYFUNCTION("""COMPUTED_VALUE"""),"HALAYHAY")</f>
        <v>HALAYHAY</v>
      </c>
      <c r="AB237" s="1" t="str">
        <f>IFERROR(__xludf.DUMMYFUNCTION("""COMPUTED_VALUE"""),"TANZA")</f>
        <v>TANZA</v>
      </c>
      <c r="AC237" s="1" t="str">
        <f>IFERROR(__xludf.DUMMYFUNCTION("""COMPUTED_VALUE"""),"CVT6LCP229NP5/6/7/8")</f>
        <v>CVT6LCP229NP5/6/7/8</v>
      </c>
    </row>
    <row r="238" customHeight="1" spans="1:29">
      <c r="A238" s="3">
        <f>IFERROR(__xludf.DUMMYFUNCTION("""COMPUTED_VALUE"""),46295)</f>
        <v>46295</v>
      </c>
      <c r="B238" s="1" t="str">
        <f>IFERROR(__xludf.DUMMYFUNCTION("""COMPUTED_VALUE"""),"SEPTEMBER")</f>
        <v>SEPTEMBER</v>
      </c>
      <c r="C238" s="1" t="str">
        <f>IFERROR(__xludf.DUMMYFUNCTION("""COMPUTED_VALUE"""),"SHANE NICOLE LIWAG FAGELA")</f>
        <v>SHANE NICOLE LIWAG FAGELA</v>
      </c>
      <c r="D238" s="1" t="str">
        <f>IFERROR(__xludf.DUMMYFUNCTION("""COMPUTED_VALUE"""),"RITM0312228")</f>
        <v>RITM0312228</v>
      </c>
      <c r="E238" s="1"/>
      <c r="F238" s="1"/>
      <c r="G238" s="1" t="str">
        <f>IFERROR(__xludf.DUMMYFUNCTION("""COMPUTED_VALUE"""),"shaunfagela96@gmail.com")</f>
        <v>shaunfagela96@gmail.com</v>
      </c>
      <c r="H238" s="1" t="str">
        <f>IFERROR(__xludf.DUMMYFUNCTION("""COMPUTED_VALUE"""),"APPROVED")</f>
        <v>APPROVED</v>
      </c>
      <c r="I238" s="1"/>
      <c r="J238" s="1" t="str">
        <f>IFERROR(__xludf.DUMMYFUNCTION("""COMPUTED_VALUE"""),"Wala na rin update kay Agent uncontactable")</f>
        <v>Wala na rin update kay Agent uncontactable</v>
      </c>
      <c r="K238" s="1"/>
      <c r="L238" s="1"/>
      <c r="M238" s="1" t="str">
        <f>IFERROR(__xludf.DUMMYFUNCTION("""COMPUTED_VALUE"""),"CANCELLED - SUBS CANCEL REQUEST")</f>
        <v>CANCELLED - SUBS CANCEL REQUEST</v>
      </c>
      <c r="N238" s="1"/>
      <c r="O238" s="1" t="str">
        <f>IFERROR(__xludf.DUMMYFUNCTION("""COMPUTED_VALUE"""),"RFBF_CVEU_2026")</f>
        <v>RFBF_CVEU_2026</v>
      </c>
      <c r="P238" s="1" t="str">
        <f>IFERROR(__xludf.DUMMYFUNCTION("""COMPUTED_VALUE"""),"RED FIBR 1000")</f>
        <v>RED FIBR 1000</v>
      </c>
      <c r="Q238" s="1" t="str">
        <f>IFERROR(__xludf.DUMMYFUNCTION("""COMPUTED_VALUE"""),"MMM018709")</f>
        <v>MMM018709</v>
      </c>
      <c r="R238" s="1" t="str">
        <f>IFERROR(__xludf.DUMMYFUNCTION("""COMPUTED_VALUE"""),"KAWAUCHI, SHANE")</f>
        <v>KAWAUCHI, SHANE</v>
      </c>
      <c r="S238" s="1" t="str">
        <f>IFERROR(__xludf.DUMMYFUNCTION("""COMPUTED_VALUE"""),"GARCIA MICHAEL JETTS")</f>
        <v>GARCIA MICHAEL JETTS</v>
      </c>
      <c r="T238" s="1" t="str">
        <f>IFERROR(__xludf.DUMMYFUNCTION("""COMPUTED_VALUE"""),"MALIWAT MARK")</f>
        <v>MALIWAT MARK</v>
      </c>
      <c r="U238" s="1"/>
      <c r="V238" s="1">
        <f>IFERROR(__xludf.DUMMYFUNCTION("""COMPUTED_VALUE"""),9465150290)</f>
        <v>9465150290</v>
      </c>
      <c r="W238" s="1">
        <f>IFERROR(__xludf.DUMMYFUNCTION("""COMPUTED_VALUE"""),9478864218)</f>
        <v>9478864218</v>
      </c>
      <c r="X238" s="1" t="str">
        <f>IFERROR(__xludf.DUMMYFUNCTION("""COMPUTED_VALUE"""),"BLK 10 LOT 54
")</f>
        <v>BLK 10 LOT 54
</v>
      </c>
      <c r="Y238" s="1" t="str">
        <f>IFERROR(__xludf.DUMMYFUNCTION("""COMPUTED_VALUE"""),"14TH ST")</f>
        <v>14TH ST</v>
      </c>
      <c r="Z238" s="1" t="str">
        <f>IFERROR(__xludf.DUMMYFUNCTION("""COMPUTED_VALUE"""),"PEARL RESIDENCES PHASE B")</f>
        <v>PEARL RESIDENCES PHASE B</v>
      </c>
      <c r="AA238" s="1" t="str">
        <f>IFERROR(__xludf.DUMMYFUNCTION("""COMPUTED_VALUE"""),"CAPIPISA")</f>
        <v>CAPIPISA</v>
      </c>
      <c r="AB238" s="1" t="str">
        <f>IFERROR(__xludf.DUMMYFUNCTION("""COMPUTED_VALUE"""),"TANZA")</f>
        <v>TANZA</v>
      </c>
      <c r="AC238" s="1"/>
    </row>
    <row r="239" customHeight="1" spans="1:29">
      <c r="A239" s="3">
        <f>IFERROR(__xludf.DUMMYFUNCTION("""COMPUTED_VALUE"""),46296)</f>
        <v>46296</v>
      </c>
      <c r="B239" s="1" t="str">
        <f>IFERROR(__xludf.DUMMYFUNCTION("""COMPUTED_VALUE"""),"OCTOBER")</f>
        <v>OCTOBER</v>
      </c>
      <c r="C239" s="1" t="str">
        <f>IFERROR(__xludf.DUMMYFUNCTION("""COMPUTED_VALUE"""),"MARY GRACE CORDOVES LAO")</f>
        <v>MARY GRACE CORDOVES LAO</v>
      </c>
      <c r="D239" s="1" t="str">
        <f>IFERROR(__xludf.DUMMYFUNCTION("""COMPUTED_VALUE"""),"RITM0312330")</f>
        <v>RITM0312330</v>
      </c>
      <c r="E239" s="1"/>
      <c r="F239" s="1" t="str">
        <f>IFERROR(__xludf.DUMMYFUNCTION("""COMPUTED_VALUE"""),"1748482148")</f>
        <v>1748482148</v>
      </c>
      <c r="G239" s="1" t="str">
        <f>IFERROR(__xludf.DUMMYFUNCTION("""COMPUTED_VALUE"""),"grace.lao32@gmail.com")</f>
        <v>grace.lao32@gmail.com</v>
      </c>
      <c r="H239" s="1" t="str">
        <f>IFERROR(__xludf.DUMMYFUNCTION("""COMPUTED_VALUE"""),"CLOSED")</f>
        <v>CLOSED</v>
      </c>
      <c r="I239" s="1"/>
      <c r="J239" s="1"/>
      <c r="K239" s="1" t="str">
        <f>IFERROR(__xludf.DUMMYFUNCTION("""COMPUTED_VALUE"""),"PAID VIA GCASH REF 063145411 OCT 1")</f>
        <v>PAID VIA GCASH REF 063145411 OCT 1</v>
      </c>
      <c r="L239" s="1" t="str">
        <f>IFERROR(__xludf.DUMMYFUNCTION("""COMPUTED_VALUE"""),"PAID")</f>
        <v>PAID</v>
      </c>
      <c r="M239" s="1" t="str">
        <f>IFERROR(__xludf.DUMMYFUNCTION("""COMPUTED_VALUE"""),"POSTED")</f>
        <v>POSTED</v>
      </c>
      <c r="N239" s="1" t="str">
        <f>IFERROR(__xludf.DUMMYFUNCTION("""COMPUTED_VALUE"""),"10/2/2026")</f>
        <v>10/2/2026</v>
      </c>
      <c r="O239" s="1" t="str">
        <f>IFERROR(__xludf.DUMMYFUNCTION("""COMPUTED_VALUE"""),"RFBF_CVEU_2026")</f>
        <v>RFBF_CVEU_2026</v>
      </c>
      <c r="P239" s="1" t="str">
        <f>IFERROR(__xludf.DUMMYFUNCTION("""COMPUTED_VALUE"""),"RED FIBR 1000")</f>
        <v>RED FIBR 1000</v>
      </c>
      <c r="Q239" s="1" t="str">
        <f>IFERROR(__xludf.DUMMYFUNCTION("""COMPUTED_VALUE"""),"MMM018712")</f>
        <v>MMM018712</v>
      </c>
      <c r="R239" s="1" t="str">
        <f>IFERROR(__xludf.DUMMYFUNCTION("""COMPUTED_VALUE"""),"BONZA, LEE VINCENT")</f>
        <v>BONZA, LEE VINCENT</v>
      </c>
      <c r="S239" s="1" t="str">
        <f>IFERROR(__xludf.DUMMYFUNCTION("""COMPUTED_VALUE"""),"GARCIA MICHAEL JETTS")</f>
        <v>GARCIA MICHAEL JETTS</v>
      </c>
      <c r="T239" s="1" t="str">
        <f>IFERROR(__xludf.DUMMYFUNCTION("""COMPUTED_VALUE"""),"ESPIRITU JULIE")</f>
        <v>ESPIRITU JULIE</v>
      </c>
      <c r="U239" s="1"/>
      <c r="V239" s="1">
        <f>IFERROR(__xludf.DUMMYFUNCTION("""COMPUTED_VALUE"""),9453315564)</f>
        <v>9453315564</v>
      </c>
      <c r="W239" s="1"/>
      <c r="X239" s="1" t="str">
        <f>IFERROR(__xludf.DUMMYFUNCTION("""COMPUTED_VALUE"""),"BLK 4 LOT 13")</f>
        <v>BLK 4 LOT 13</v>
      </c>
      <c r="Y239" s="1" t="str">
        <f>IFERROR(__xludf.DUMMYFUNCTION("""COMPUTED_VALUE"""),"PHASE B")</f>
        <v>PHASE B</v>
      </c>
      <c r="Z239" s="1" t="str">
        <f>IFERROR(__xludf.DUMMYFUNCTION("""COMPUTED_VALUE"""),"PEARL RESIDENCES")</f>
        <v>PEARL RESIDENCES</v>
      </c>
      <c r="AA239" s="1" t="str">
        <f>IFERROR(__xludf.DUMMYFUNCTION("""COMPUTED_VALUE"""),"CAPIPISA")</f>
        <v>CAPIPISA</v>
      </c>
      <c r="AB239" s="1" t="str">
        <f>IFERROR(__xludf.DUMMYFUNCTION("""COMPUTED_VALUE"""),"TANZA")</f>
        <v>TANZA</v>
      </c>
      <c r="AC239" s="1"/>
    </row>
    <row r="240" customHeight="1" spans="1:29">
      <c r="A240" s="3">
        <f>IFERROR(__xludf.DUMMYFUNCTION("""COMPUTED_VALUE"""),46297)</f>
        <v>46297</v>
      </c>
      <c r="B240" s="1" t="str">
        <f>IFERROR(__xludf.DUMMYFUNCTION("""COMPUTED_VALUE"""),"OCTOBER")</f>
        <v>OCTOBER</v>
      </c>
      <c r="C240" s="1" t="str">
        <f>IFERROR(__xludf.DUMMYFUNCTION("""COMPUTED_VALUE"""),"LOUIE BHOY QUIRAS CINCO")</f>
        <v>LOUIE BHOY QUIRAS CINCO</v>
      </c>
      <c r="D240" s="1" t="str">
        <f>IFERROR(__xludf.DUMMYFUNCTION("""COMPUTED_VALUE"""),"RITM0312485")</f>
        <v>RITM0312485</v>
      </c>
      <c r="E240" s="1"/>
      <c r="F240" s="1" t="str">
        <f>IFERROR(__xludf.DUMMYFUNCTION("""COMPUTED_VALUE"""),"5613973164")</f>
        <v>5613973164</v>
      </c>
      <c r="G240" s="1" t="str">
        <f>IFERROR(__xludf.DUMMYFUNCTION("""COMPUTED_VALUE"""),"louiecinco00000@gmail.com")</f>
        <v>louiecinco00000@gmail.com</v>
      </c>
      <c r="H240" s="1" t="str">
        <f>IFERROR(__xludf.DUMMYFUNCTION("""COMPUTED_VALUE"""),"CLOSED")</f>
        <v>CLOSED</v>
      </c>
      <c r="I240" s="1"/>
      <c r="J240" s="1"/>
      <c r="K240" s="1" t="str">
        <f>IFERROR(__xludf.DUMMYFUNCTION("""COMPUTED_VALUE"""),"PAID VIA GACSH REF 555049415 OCT 6")</f>
        <v>PAID VIA GACSH REF 555049415 OCT 6</v>
      </c>
      <c r="L240" s="1" t="str">
        <f>IFERROR(__xludf.DUMMYFUNCTION("""COMPUTED_VALUE"""),"PAID")</f>
        <v>PAID</v>
      </c>
      <c r="M240" s="1" t="str">
        <f>IFERROR(__xludf.DUMMYFUNCTION("""COMPUTED_VALUE"""),"POSTED")</f>
        <v>POSTED</v>
      </c>
      <c r="N240" s="1" t="str">
        <f>IFERROR(__xludf.DUMMYFUNCTION("""COMPUTED_VALUE"""),"10/6/2026")</f>
        <v>10/6/2026</v>
      </c>
      <c r="O240" s="1" t="str">
        <f>IFERROR(__xludf.DUMMYFUNCTION("""COMPUTED_VALUE"""),"RFBF_CVEU_2026")</f>
        <v>RFBF_CVEU_2026</v>
      </c>
      <c r="P240" s="1" t="str">
        <f>IFERROR(__xludf.DUMMYFUNCTION("""COMPUTED_VALUE"""),"RED FIBR 1000")</f>
        <v>RED FIBR 1000</v>
      </c>
      <c r="Q240" s="1" t="str">
        <f>IFERROR(__xludf.DUMMYFUNCTION("""COMPUTED_VALUE"""),"MMM018709")</f>
        <v>MMM018709</v>
      </c>
      <c r="R240" s="1" t="str">
        <f>IFERROR(__xludf.DUMMYFUNCTION("""COMPUTED_VALUE"""),"ALDIENTE , ANGEL")</f>
        <v>ALDIENTE , ANGEL</v>
      </c>
      <c r="S240" s="1" t="str">
        <f>IFERROR(__xludf.DUMMYFUNCTION("""COMPUTED_VALUE"""),"GARCIA MICHAEL JETTS")</f>
        <v>GARCIA MICHAEL JETTS</v>
      </c>
      <c r="T240" s="1" t="str">
        <f>IFERROR(__xludf.DUMMYFUNCTION("""COMPUTED_VALUE"""),"ESPIRITU JULIE")</f>
        <v>ESPIRITU JULIE</v>
      </c>
      <c r="U240" s="1"/>
      <c r="V240" s="1">
        <f>IFERROR(__xludf.DUMMYFUNCTION("""COMPUTED_VALUE"""),9380499990)</f>
        <v>9380499990</v>
      </c>
      <c r="W240" s="1"/>
      <c r="X240" s="1" t="str">
        <f>IFERROR(__xludf.DUMMYFUNCTION("""COMPUTED_VALUE"""),"152")</f>
        <v>152</v>
      </c>
      <c r="Y240" s="1" t="str">
        <f>IFERROR(__xludf.DUMMYFUNCTION("""COMPUTED_VALUE"""),"LLAMADO ST")</f>
        <v>LLAMADO ST</v>
      </c>
      <c r="Z240" s="1"/>
      <c r="AA240" s="1" t="str">
        <f>IFERROR(__xludf.DUMMYFUNCTION("""COMPUTED_VALUE"""),"ASIS I")</f>
        <v>ASIS I</v>
      </c>
      <c r="AB240" s="1" t="str">
        <f>IFERROR(__xludf.DUMMYFUNCTION("""COMPUTED_VALUE"""),"MENDEZ")</f>
        <v>MENDEZ</v>
      </c>
      <c r="AC240" s="1" t="str">
        <f>IFERROR(__xludf.DUMMYFUNCTION("""COMPUTED_VALUE"""),"CVT2-L58N4-9")</f>
        <v>CVT2-L58N4-9</v>
      </c>
    </row>
    <row r="241" customHeight="1" spans="1:29">
      <c r="A241" s="3">
        <f>IFERROR(__xludf.DUMMYFUNCTION("""COMPUTED_VALUE"""),46297)</f>
        <v>46297</v>
      </c>
      <c r="B241" s="1" t="str">
        <f>IFERROR(__xludf.DUMMYFUNCTION("""COMPUTED_VALUE"""),"OCTOBER")</f>
        <v>OCTOBER</v>
      </c>
      <c r="C241" s="1" t="str">
        <f>IFERROR(__xludf.DUMMYFUNCTION("""COMPUTED_VALUE"""),"MELODY HALAYHAY REYES")</f>
        <v>MELODY HALAYHAY REYES</v>
      </c>
      <c r="D241" s="1" t="str">
        <f>IFERROR(__xludf.DUMMYFUNCTION("""COMPUTED_VALUE"""),"RITM0312499")</f>
        <v>RITM0312499</v>
      </c>
      <c r="E241" s="1"/>
      <c r="F241" s="1" t="str">
        <f>IFERROR(__xludf.DUMMYFUNCTION("""COMPUTED_VALUE"""),"5518469346")</f>
        <v>5518469346</v>
      </c>
      <c r="G241" s="1" t="str">
        <f>IFERROR(__xludf.DUMMYFUNCTION("""COMPUTED_VALUE"""),"seyerdeemzkie@gmail.com")</f>
        <v>seyerdeemzkie@gmail.com</v>
      </c>
      <c r="H241" s="1" t="str">
        <f>IFERROR(__xludf.DUMMYFUNCTION("""COMPUTED_VALUE"""),"CLOSED")</f>
        <v>CLOSED</v>
      </c>
      <c r="I241" s="1"/>
      <c r="J241" s="1"/>
      <c r="K241" s="1" t="str">
        <f>IFERROR(__xludf.DUMMYFUNCTION("""COMPUTED_VALUE"""),"PAID VIA GCASH REF 072841647 OCT 3 ")</f>
        <v>PAID VIA GCASH REF 072841647 OCT 3 </v>
      </c>
      <c r="L241" s="1" t="str">
        <f>IFERROR(__xludf.DUMMYFUNCTION("""COMPUTED_VALUE"""),"PAID")</f>
        <v>PAID</v>
      </c>
      <c r="M241" s="1" t="str">
        <f>IFERROR(__xludf.DUMMYFUNCTION("""COMPUTED_VALUE"""),"POSTED")</f>
        <v>POSTED</v>
      </c>
      <c r="N241" s="1" t="str">
        <f>IFERROR(__xludf.DUMMYFUNCTION("""COMPUTED_VALUE"""),"10/3/2026")</f>
        <v>10/3/2026</v>
      </c>
      <c r="O241" s="1" t="str">
        <f>IFERROR(__xludf.DUMMYFUNCTION("""COMPUTED_VALUE"""),"RFBF_CVEU_2026")</f>
        <v>RFBF_CVEU_2026</v>
      </c>
      <c r="P241" s="1" t="str">
        <f>IFERROR(__xludf.DUMMYFUNCTION("""COMPUTED_VALUE"""),"RED FIBR 1000")</f>
        <v>RED FIBR 1000</v>
      </c>
      <c r="Q241" s="1" t="str">
        <f>IFERROR(__xludf.DUMMYFUNCTION("""COMPUTED_VALUE"""),"MMM018711")</f>
        <v>MMM018711</v>
      </c>
      <c r="R241" s="1" t="str">
        <f>IFERROR(__xludf.DUMMYFUNCTION("""COMPUTED_VALUE"""),"DEL ROSARIO. MIGGY LENARD")</f>
        <v>DEL ROSARIO. MIGGY LENARD</v>
      </c>
      <c r="S241" s="1" t="str">
        <f>IFERROR(__xludf.DUMMYFUNCTION("""COMPUTED_VALUE"""),"GARCIA MICHAEL JETTS")</f>
        <v>GARCIA MICHAEL JETTS</v>
      </c>
      <c r="T241" s="1" t="str">
        <f>IFERROR(__xludf.DUMMYFUNCTION("""COMPUTED_VALUE"""),"ESPIRITU JULIE")</f>
        <v>ESPIRITU JULIE</v>
      </c>
      <c r="U241" s="1"/>
      <c r="V241" s="1">
        <f>IFERROR(__xludf.DUMMYFUNCTION("""COMPUTED_VALUE"""),9166057899)</f>
        <v>9166057899</v>
      </c>
      <c r="W241" s="1">
        <f>IFERROR(__xludf.DUMMYFUNCTION("""COMPUTED_VALUE"""),9164912084)</f>
        <v>9164912084</v>
      </c>
      <c r="X241" s="1" t="str">
        <f>IFERROR(__xludf.DUMMYFUNCTION("""COMPUTED_VALUE"""),"BLK 14 LOT 8")</f>
        <v>BLK 14 LOT 8</v>
      </c>
      <c r="Y241" s="1" t="str">
        <f>IFERROR(__xludf.DUMMYFUNCTION("""COMPUTED_VALUE"""),"PHASE B")</f>
        <v>PHASE B</v>
      </c>
      <c r="Z241" s="1" t="str">
        <f>IFERROR(__xludf.DUMMYFUNCTION("""COMPUTED_VALUE"""),"PEARL RESIDENCES")</f>
        <v>PEARL RESIDENCES</v>
      </c>
      <c r="AA241" s="1" t="str">
        <f>IFERROR(__xludf.DUMMYFUNCTION("""COMPUTED_VALUE"""),"CAPIPISA")</f>
        <v>CAPIPISA</v>
      </c>
      <c r="AB241" s="1" t="str">
        <f>IFERROR(__xludf.DUMMYFUNCTION("""COMPUTED_VALUE"""),"TANZA")</f>
        <v>TANZA</v>
      </c>
      <c r="AC241" s="1"/>
    </row>
    <row r="242" customHeight="1" spans="1:29">
      <c r="A242" s="3">
        <f>IFERROR(__xludf.DUMMYFUNCTION("""COMPUTED_VALUE"""),46297)</f>
        <v>46297</v>
      </c>
      <c r="B242" s="1" t="str">
        <f>IFERROR(__xludf.DUMMYFUNCTION("""COMPUTED_VALUE"""),"OCTOBER")</f>
        <v>OCTOBER</v>
      </c>
      <c r="C242" s="1" t="str">
        <f>IFERROR(__xludf.DUMMYFUNCTION("""COMPUTED_VALUE"""),"JANINE KATE DELGADO AMORAO")</f>
        <v>JANINE KATE DELGADO AMORAO</v>
      </c>
      <c r="D242" s="1" t="str">
        <f>IFERROR(__xludf.DUMMYFUNCTION("""COMPUTED_VALUE"""),"RITM0312502")</f>
        <v>RITM0312502</v>
      </c>
      <c r="E242" s="1"/>
      <c r="F242" s="1" t="str">
        <f>IFERROR(__xludf.DUMMYFUNCTION("""COMPUTED_VALUE"""),"1242436270")</f>
        <v>1242436270</v>
      </c>
      <c r="G242" s="1" t="str">
        <f>IFERROR(__xludf.DUMMYFUNCTION("""COMPUTED_VALUE"""),"TCHARLESKELVIN@GMAIL.COM")</f>
        <v>TCHARLESKELVIN@GMAIL.COM</v>
      </c>
      <c r="H242" s="1" t="str">
        <f>IFERROR(__xludf.DUMMYFUNCTION("""COMPUTED_VALUE"""),"CLOSED")</f>
        <v>CLOSED</v>
      </c>
      <c r="I242" s="1"/>
      <c r="J242" s="1"/>
      <c r="K242" s="1" t="str">
        <f>IFERROR(__xludf.DUMMYFUNCTION("""COMPUTED_VALUE"""),"PAID - OCT 2")</f>
        <v>PAID - OCT 2</v>
      </c>
      <c r="L242" s="1" t="str">
        <f>IFERROR(__xludf.DUMMYFUNCTION("""COMPUTED_VALUE"""),"PAID")</f>
        <v>PAID</v>
      </c>
      <c r="M242" s="1" t="str">
        <f>IFERROR(__xludf.DUMMYFUNCTION("""COMPUTED_VALUE"""),"POSTED")</f>
        <v>POSTED</v>
      </c>
      <c r="N242" s="1" t="str">
        <f>IFERROR(__xludf.DUMMYFUNCTION("""COMPUTED_VALUE"""),"10/4/2026")</f>
        <v>10/4/2026</v>
      </c>
      <c r="O242" s="1" t="str">
        <f>IFERROR(__xludf.DUMMYFUNCTION("""COMPUTED_VALUE"""),"RFBF_CVEU_2026")</f>
        <v>RFBF_CVEU_2026</v>
      </c>
      <c r="P242" s="1" t="str">
        <f>IFERROR(__xludf.DUMMYFUNCTION("""COMPUTED_VALUE"""),"RED FIBR 1000")</f>
        <v>RED FIBR 1000</v>
      </c>
      <c r="Q242" s="1" t="str">
        <f>IFERROR(__xludf.DUMMYFUNCTION("""COMPUTED_VALUE"""),"MMM018713")</f>
        <v>MMM018713</v>
      </c>
      <c r="R242" s="1" t="str">
        <f>IFERROR(__xludf.DUMMYFUNCTION("""COMPUTED_VALUE"""),"PUJANES, CHOLO")</f>
        <v>PUJANES, CHOLO</v>
      </c>
      <c r="S242" s="1" t="str">
        <f>IFERROR(__xludf.DUMMYFUNCTION("""COMPUTED_VALUE"""),"GARCIA MICHAEL JETTS")</f>
        <v>GARCIA MICHAEL JETTS</v>
      </c>
      <c r="T242" s="1" t="str">
        <f>IFERROR(__xludf.DUMMYFUNCTION("""COMPUTED_VALUE"""),"ESPIRITU JULIE")</f>
        <v>ESPIRITU JULIE</v>
      </c>
      <c r="U242" s="1"/>
      <c r="V242" s="1">
        <f>IFERROR(__xludf.DUMMYFUNCTION("""COMPUTED_VALUE"""),9918784117)</f>
        <v>9918784117</v>
      </c>
      <c r="W242" s="1">
        <f>IFERROR(__xludf.DUMMYFUNCTION("""COMPUTED_VALUE"""),9274237719)</f>
        <v>9274237719</v>
      </c>
      <c r="X242" s="1" t="str">
        <f>IFERROR(__xludf.DUMMYFUNCTION("""COMPUTED_VALUE"""),"225")</f>
        <v>225</v>
      </c>
      <c r="Y242" s="1" t="str">
        <f>IFERROR(__xludf.DUMMYFUNCTION("""COMPUTED_VALUE"""),"ALFONSO ROAD")</f>
        <v>ALFONSO ROAD</v>
      </c>
      <c r="Z242" s="1" t="str">
        <f>IFERROR(__xludf.DUMMYFUNCTION("""COMPUTED_VALUE"""),"DAANG PANUNGYAN")</f>
        <v>DAANG PANUNGYAN</v>
      </c>
      <c r="AA242" s="1" t="str">
        <f>IFERROR(__xludf.DUMMYFUNCTION("""COMPUTED_VALUE"""),"GALICIA II")</f>
        <v>GALICIA II</v>
      </c>
      <c r="AB242" s="1" t="str">
        <f>IFERROR(__xludf.DUMMYFUNCTION("""COMPUTED_VALUE"""),"MENDEZ")</f>
        <v>MENDEZ</v>
      </c>
      <c r="AC242" s="1" t="str">
        <f>IFERROR(__xludf.DUMMYFUNCTION("""COMPUTED_VALUE"""),"CVT2-L55N3-8")</f>
        <v>CVT2-L55N3-8</v>
      </c>
    </row>
    <row r="243" customHeight="1" spans="1:29">
      <c r="A243" s="3">
        <f>IFERROR(__xludf.DUMMYFUNCTION("""COMPUTED_VALUE"""),46297)</f>
        <v>46297</v>
      </c>
      <c r="B243" s="1" t="str">
        <f>IFERROR(__xludf.DUMMYFUNCTION("""COMPUTED_VALUE"""),"OCTOBER")</f>
        <v>OCTOBER</v>
      </c>
      <c r="C243" s="1" t="str">
        <f>IFERROR(__xludf.DUMMYFUNCTION("""COMPUTED_VALUE"""),"KIMBERLY DEPAZ KAHANO")</f>
        <v>KIMBERLY DEPAZ KAHANO</v>
      </c>
      <c r="D243" s="1" t="str">
        <f>IFERROR(__xludf.DUMMYFUNCTION("""COMPUTED_VALUE"""),"RITM0312523")</f>
        <v>RITM0312523</v>
      </c>
      <c r="E243" s="1"/>
      <c r="F243" s="1" t="str">
        <f>IFERROR(__xludf.DUMMYFUNCTION("""COMPUTED_VALUE"""),"8513147875")</f>
        <v>8513147875</v>
      </c>
      <c r="G243" s="1" t="str">
        <f>IFERROR(__xludf.DUMMYFUNCTION("""COMPUTED_VALUE"""),"kahanokim17@gmail.com")</f>
        <v>kahanokim17@gmail.com</v>
      </c>
      <c r="H243" s="1" t="str">
        <f>IFERROR(__xludf.DUMMYFUNCTION("""COMPUTED_VALUE"""),"CLOSED")</f>
        <v>CLOSED</v>
      </c>
      <c r="I243" s="1"/>
      <c r="J243" s="1"/>
      <c r="K243" s="1" t="str">
        <f>IFERROR(__xludf.DUMMYFUNCTION("""COMPUTED_VALUE"""),"PAID THRU GCASH REF RADI23738519VD3H OCT 4")</f>
        <v>PAID THRU GCASH REF RADI23738519VD3H OCT 4</v>
      </c>
      <c r="L243" s="1" t="str">
        <f>IFERROR(__xludf.DUMMYFUNCTION("""COMPUTED_VALUE"""),"PAID")</f>
        <v>PAID</v>
      </c>
      <c r="M243" s="1" t="str">
        <f>IFERROR(__xludf.DUMMYFUNCTION("""COMPUTED_VALUE"""),"POSTED")</f>
        <v>POSTED</v>
      </c>
      <c r="N243" s="1" t="str">
        <f>IFERROR(__xludf.DUMMYFUNCTION("""COMPUTED_VALUE"""),"10/5/2026")</f>
        <v>10/5/2026</v>
      </c>
      <c r="O243" s="1" t="str">
        <f>IFERROR(__xludf.DUMMYFUNCTION("""COMPUTED_VALUE"""),"RFBF_CVEU_2026")</f>
        <v>RFBF_CVEU_2026</v>
      </c>
      <c r="P243" s="1" t="str">
        <f>IFERROR(__xludf.DUMMYFUNCTION("""COMPUTED_VALUE"""),"RED FIBR 1900")</f>
        <v>RED FIBR 1900</v>
      </c>
      <c r="Q243" s="1" t="str">
        <f>IFERROR(__xludf.DUMMYFUNCTION("""COMPUTED_VALUE"""),"MMM018709")</f>
        <v>MMM018709</v>
      </c>
      <c r="R243" s="1" t="str">
        <f>IFERROR(__xludf.DUMMYFUNCTION("""COMPUTED_VALUE"""),"KAWAUCHI, SHANE")</f>
        <v>KAWAUCHI, SHANE</v>
      </c>
      <c r="S243" s="1" t="str">
        <f>IFERROR(__xludf.DUMMYFUNCTION("""COMPUTED_VALUE"""),"GARCIA MICHAEL JETTS")</f>
        <v>GARCIA MICHAEL JETTS</v>
      </c>
      <c r="T243" s="1" t="str">
        <f>IFERROR(__xludf.DUMMYFUNCTION("""COMPUTED_VALUE"""),"ESPIRITU JULIE")</f>
        <v>ESPIRITU JULIE</v>
      </c>
      <c r="U243" s="1"/>
      <c r="V243" s="1">
        <f>IFERROR(__xludf.DUMMYFUNCTION("""COMPUTED_VALUE"""),9923270700)</f>
        <v>9923270700</v>
      </c>
      <c r="W243" s="1"/>
      <c r="X243" s="1" t="str">
        <f>IFERROR(__xludf.DUMMYFUNCTION("""COMPUTED_VALUE"""),"-")</f>
        <v>-</v>
      </c>
      <c r="Y243" s="1" t="str">
        <f>IFERROR(__xludf.DUMMYFUNCTION("""COMPUTED_VALUE"""),"A SORIANO HIGHWAY")</f>
        <v>A SORIANO HIGHWAY</v>
      </c>
      <c r="Z243" s="1" t="str">
        <f>IFERROR(__xludf.DUMMYFUNCTION("""COMPUTED_VALUE"""),"CA SPACE RENTAL")</f>
        <v>CA SPACE RENTAL</v>
      </c>
      <c r="AA243" s="1" t="str">
        <f>IFERROR(__xludf.DUMMYFUNCTION("""COMPUTED_VALUE"""),"AMAYA I")</f>
        <v>AMAYA I</v>
      </c>
      <c r="AB243" s="1" t="str">
        <f>IFERROR(__xludf.DUMMYFUNCTION("""COMPUTED_VALUE"""),"TANZA")</f>
        <v>TANZA</v>
      </c>
      <c r="AC243" s="1" t="str">
        <f>IFERROR(__xludf.DUMMYFUNCTION("""COMPUTED_VALUE"""),"CVT6LCP220NP1")</f>
        <v>CVT6LCP220NP1</v>
      </c>
    </row>
    <row r="244" customHeight="1" spans="1:29">
      <c r="A244" s="3">
        <f>IFERROR(__xludf.DUMMYFUNCTION("""COMPUTED_VALUE"""),46297)</f>
        <v>46297</v>
      </c>
      <c r="B244" s="1" t="str">
        <f>IFERROR(__xludf.DUMMYFUNCTION("""COMPUTED_VALUE"""),"OCTOBER")</f>
        <v>OCTOBER</v>
      </c>
      <c r="C244" s="1" t="str">
        <f>IFERROR(__xludf.DUMMYFUNCTION("""COMPUTED_VALUE"""),"KENNETH NOVELO DELA TORRE")</f>
        <v>KENNETH NOVELO DELA TORRE</v>
      </c>
      <c r="D244" s="1" t="str">
        <f>IFERROR(__xludf.DUMMYFUNCTION("""COMPUTED_VALUE"""),"RITM0312540")</f>
        <v>RITM0312540</v>
      </c>
      <c r="E244" s="1"/>
      <c r="F244" s="1" t="str">
        <f>IFERROR(__xludf.DUMMYFUNCTION("""COMPUTED_VALUE"""),"7938682315")</f>
        <v>7938682315</v>
      </c>
      <c r="G244" s="1" t="str">
        <f>IFERROR(__xludf.DUMMYFUNCTION("""COMPUTED_VALUE"""),"kennethdelatorre117@gmail.com")</f>
        <v>kennethdelatorre117@gmail.com</v>
      </c>
      <c r="H244" s="1" t="str">
        <f>IFERROR(__xludf.DUMMYFUNCTION("""COMPUTED_VALUE"""),"APPROVED")</f>
        <v>APPROVED</v>
      </c>
      <c r="I244" s="1"/>
      <c r="J244" s="1" t="str">
        <f>IFERROR(__xludf.DUMMYFUNCTION("""COMPUTED_VALUE"""),"NO NEAREST NAP AS PER FSV")</f>
        <v>NO NEAREST NAP AS PER FSV</v>
      </c>
      <c r="K244" s="1"/>
      <c r="L244" s="1"/>
      <c r="M244" s="1" t="str">
        <f>IFERROR(__xludf.DUMMYFUNCTION("""COMPUTED_VALUE"""),"CANCELLED")</f>
        <v>CANCELLED</v>
      </c>
      <c r="N244" s="1"/>
      <c r="O244" s="1" t="str">
        <f>IFERROR(__xludf.DUMMYFUNCTION("""COMPUTED_VALUE"""),"RFBF_CVEU_2026")</f>
        <v>RFBF_CVEU_2026</v>
      </c>
      <c r="P244" s="1" t="str">
        <f>IFERROR(__xludf.DUMMYFUNCTION("""COMPUTED_VALUE"""),"RED FIBR 1000")</f>
        <v>RED FIBR 1000</v>
      </c>
      <c r="Q244" s="1" t="str">
        <f>IFERROR(__xludf.DUMMYFUNCTION("""COMPUTED_VALUE"""),"MMM018712")</f>
        <v>MMM018712</v>
      </c>
      <c r="R244" s="1" t="str">
        <f>IFERROR(__xludf.DUMMYFUNCTION("""COMPUTED_VALUE"""),"PEREZ. RONELL ")</f>
        <v>PEREZ. RONELL </v>
      </c>
      <c r="S244" s="1" t="str">
        <f>IFERROR(__xludf.DUMMYFUNCTION("""COMPUTED_VALUE"""),"GARCIA MICHAEL JETTS")</f>
        <v>GARCIA MICHAEL JETTS</v>
      </c>
      <c r="T244" s="1" t="str">
        <f>IFERROR(__xludf.DUMMYFUNCTION("""COMPUTED_VALUE"""),"ESPIRITU JULIE")</f>
        <v>ESPIRITU JULIE</v>
      </c>
      <c r="U244" s="1"/>
      <c r="V244" s="1">
        <f>IFERROR(__xludf.DUMMYFUNCTION("""COMPUTED_VALUE"""),9634063793)</f>
        <v>9634063793</v>
      </c>
      <c r="W244" s="1"/>
      <c r="X244" s="1" t="str">
        <f>IFERROR(__xludf.DUMMYFUNCTION("""COMPUTED_VALUE"""),"TORRES 2")</f>
        <v>TORRES 2</v>
      </c>
      <c r="Y244" s="1" t="str">
        <f>IFERROR(__xludf.DUMMYFUNCTION("""COMPUTED_VALUE"""),"HALAYHAY RD")</f>
        <v>HALAYHAY RD</v>
      </c>
      <c r="Z244" s="1" t="str">
        <f>IFERROR(__xludf.DUMMYFUNCTION("""COMPUTED_VALUE"""),"CA SPACE RENTAL")</f>
        <v>CA SPACE RENTAL</v>
      </c>
      <c r="AA244" s="1" t="str">
        <f>IFERROR(__xludf.DUMMYFUNCTION("""COMPUTED_VALUE"""),"HALAYHAY")</f>
        <v>HALAYHAY</v>
      </c>
      <c r="AB244" s="1" t="str">
        <f>IFERROR(__xludf.DUMMYFUNCTION("""COMPUTED_VALUE"""),"TANZA")</f>
        <v>TANZA</v>
      </c>
      <c r="AC244" s="1" t="str">
        <f>IFERROR(__xludf.DUMMYFUNCTION("""COMPUTED_VALUE"""),"CVT2-L58N4-9")</f>
        <v>CVT2-L58N4-9</v>
      </c>
    </row>
    <row r="245" customHeight="1" spans="1:29">
      <c r="A245" s="3">
        <f>IFERROR(__xludf.DUMMYFUNCTION("""COMPUTED_VALUE"""),46298)</f>
        <v>46298</v>
      </c>
      <c r="B245" s="1" t="str">
        <f>IFERROR(__xludf.DUMMYFUNCTION("""COMPUTED_VALUE"""),"OCTOBER")</f>
        <v>OCTOBER</v>
      </c>
      <c r="C245" s="1" t="str">
        <f>IFERROR(__xludf.DUMMYFUNCTION("""COMPUTED_VALUE"""),"PAUL JOHN MICHAEL DIAO ALFONSO")</f>
        <v>PAUL JOHN MICHAEL DIAO ALFONSO</v>
      </c>
      <c r="D245" s="1" t="str">
        <f>IFERROR(__xludf.DUMMYFUNCTION("""COMPUTED_VALUE"""),"RITM0312584")</f>
        <v>RITM0312584</v>
      </c>
      <c r="E245" s="1"/>
      <c r="F245" s="1" t="str">
        <f>IFERROR(__xludf.DUMMYFUNCTION("""COMPUTED_VALUE"""),"8829465188")</f>
        <v>8829465188</v>
      </c>
      <c r="G245" s="1" t="str">
        <f>IFERROR(__xludf.DUMMYFUNCTION("""COMPUTED_VALUE"""),"pauljohnalfonso29@gmail.com")</f>
        <v>pauljohnalfonso29@gmail.com</v>
      </c>
      <c r="H245" s="1" t="str">
        <f>IFERROR(__xludf.DUMMYFUNCTION("""COMPUTED_VALUE"""),"CLOSED")</f>
        <v>CLOSED</v>
      </c>
      <c r="I245" s="1"/>
      <c r="J245" s="1"/>
      <c r="K245" s="1" t="str">
        <f>IFERROR(__xludf.DUMMYFUNCTION("""COMPUTED_VALUE"""),"PAID VIA GCASH REF RADI23737RSK04XR OCT 3")</f>
        <v>PAID VIA GCASH REF RADI23737RSK04XR OCT 3</v>
      </c>
      <c r="L245" s="1" t="str">
        <f>IFERROR(__xludf.DUMMYFUNCTION("""COMPUTED_VALUE"""),"PAID")</f>
        <v>PAID</v>
      </c>
      <c r="M245" s="1" t="str">
        <f>IFERROR(__xludf.DUMMYFUNCTION("""COMPUTED_VALUE"""),"POSTED")</f>
        <v>POSTED</v>
      </c>
      <c r="N245" s="1" t="str">
        <f>IFERROR(__xludf.DUMMYFUNCTION("""COMPUTED_VALUE"""),"10/4/2026")</f>
        <v>10/4/2026</v>
      </c>
      <c r="O245" s="1" t="str">
        <f>IFERROR(__xludf.DUMMYFUNCTION("""COMPUTED_VALUE"""),"RFBF_CVEU_2026")</f>
        <v>RFBF_CVEU_2026</v>
      </c>
      <c r="P245" s="1" t="str">
        <f>IFERROR(__xludf.DUMMYFUNCTION("""COMPUTED_VALUE"""),"RED FIBR 1400")</f>
        <v>RED FIBR 1400</v>
      </c>
      <c r="Q245" s="1" t="str">
        <f>IFERROR(__xludf.DUMMYFUNCTION("""COMPUTED_VALUE"""),"MMM018713")</f>
        <v>MMM018713</v>
      </c>
      <c r="R245" s="1" t="str">
        <f>IFERROR(__xludf.DUMMYFUNCTION("""COMPUTED_VALUE"""),"AYON, MANUEL")</f>
        <v>AYON, MANUEL</v>
      </c>
      <c r="S245" s="1" t="str">
        <f>IFERROR(__xludf.DUMMYFUNCTION("""COMPUTED_VALUE"""),"NAVARRO JERIC")</f>
        <v>NAVARRO JERIC</v>
      </c>
      <c r="T245" s="1" t="str">
        <f>IFERROR(__xludf.DUMMYFUNCTION("""COMPUTED_VALUE"""),"ESPIRITU JULIE")</f>
        <v>ESPIRITU JULIE</v>
      </c>
      <c r="U245" s="1"/>
      <c r="V245" s="1">
        <f>IFERROR(__xludf.DUMMYFUNCTION("""COMPUTED_VALUE"""),9338629385)</f>
        <v>9338629385</v>
      </c>
      <c r="W245" s="1">
        <f>IFERROR(__xludf.DUMMYFUNCTION("""COMPUTED_VALUE"""),9939241393)</f>
        <v>9939241393</v>
      </c>
      <c r="X245" s="1" t="str">
        <f>IFERROR(__xludf.DUMMYFUNCTION("""COMPUTED_VALUE"""),"2925")</f>
        <v>2925</v>
      </c>
      <c r="Y245" s="1" t="str">
        <f>IFERROR(__xludf.DUMMYFUNCTION("""COMPUTED_VALUE"""),"BYPASS ROAD")</f>
        <v>BYPASS ROAD</v>
      </c>
      <c r="Z245" s="1"/>
      <c r="AA245" s="1" t="str">
        <f>IFERROR(__xludf.DUMMYFUNCTION("""COMPUTED_VALUE"""),"PATUTONG MALAKI NORTH")</f>
        <v>PATUTONG MALAKI NORTH</v>
      </c>
      <c r="AB245" s="1" t="str">
        <f>IFERROR(__xludf.DUMMYFUNCTION("""COMPUTED_VALUE"""),"TAGAYTAY")</f>
        <v>TAGAYTAY</v>
      </c>
      <c r="AC245" s="1" t="str">
        <f>IFERROR(__xludf.DUMMYFUNCTION("""COMPUTED_VALUE"""),"CVT2LCP53NP1")</f>
        <v>CVT2LCP53NP1</v>
      </c>
    </row>
    <row r="246" customHeight="1" spans="1:29">
      <c r="A246" s="3">
        <f>IFERROR(__xludf.DUMMYFUNCTION("""COMPUTED_VALUE"""),46298)</f>
        <v>46298</v>
      </c>
      <c r="B246" s="1" t="str">
        <f>IFERROR(__xludf.DUMMYFUNCTION("""COMPUTED_VALUE"""),"OCTOBER")</f>
        <v>OCTOBER</v>
      </c>
      <c r="C246" s="1" t="str">
        <f>IFERROR(__xludf.DUMMYFUNCTION("""COMPUTED_VALUE"""),"BONIFACIO LAGAN DELARMENTE")</f>
        <v>BONIFACIO LAGAN DELARMENTE</v>
      </c>
      <c r="D246" s="1" t="str">
        <f>IFERROR(__xludf.DUMMYFUNCTION("""COMPUTED_VALUE"""),"RITM0312591")</f>
        <v>RITM0312591</v>
      </c>
      <c r="E246" s="1"/>
      <c r="F246" s="1" t="str">
        <f>IFERROR(__xludf.DUMMYFUNCTION("""COMPUTED_VALUE"""),"2734332116")</f>
        <v>2734332116</v>
      </c>
      <c r="G246" s="1" t="str">
        <f>IFERROR(__xludf.DUMMYFUNCTION("""COMPUTED_VALUE"""),"kingjust597@gmail.com")</f>
        <v>kingjust597@gmail.com</v>
      </c>
      <c r="H246" s="1" t="str">
        <f>IFERROR(__xludf.DUMMYFUNCTION("""COMPUTED_VALUE"""),"CLOSED")</f>
        <v>CLOSED</v>
      </c>
      <c r="I246" s="1"/>
      <c r="J246" s="1"/>
      <c r="K246" s="1" t="str">
        <f>IFERROR(__xludf.DUMMYFUNCTION("""COMPUTED_VALUE"""),"PAID VIA GCASH REF 26276ETQP1MN9NKZG OCT 3")</f>
        <v>PAID VIA GCASH REF 26276ETQP1MN9NKZG OCT 3</v>
      </c>
      <c r="L246" s="1" t="str">
        <f>IFERROR(__xludf.DUMMYFUNCTION("""COMPUTED_VALUE"""),"PAID")</f>
        <v>PAID</v>
      </c>
      <c r="M246" s="1" t="str">
        <f>IFERROR(__xludf.DUMMYFUNCTION("""COMPUTED_VALUE"""),"POSTED")</f>
        <v>POSTED</v>
      </c>
      <c r="N246" s="1" t="str">
        <f>IFERROR(__xludf.DUMMYFUNCTION("""COMPUTED_VALUE"""),"10/4/2026")</f>
        <v>10/4/2026</v>
      </c>
      <c r="O246" s="1" t="str">
        <f>IFERROR(__xludf.DUMMYFUNCTION("""COMPUTED_VALUE"""),"RFBF_CVEU_2026")</f>
        <v>RFBF_CVEU_2026</v>
      </c>
      <c r="P246" s="1" t="str">
        <f>IFERROR(__xludf.DUMMYFUNCTION("""COMPUTED_VALUE"""),"RED FIBR 1000")</f>
        <v>RED FIBR 1000</v>
      </c>
      <c r="Q246" s="1" t="str">
        <f>IFERROR(__xludf.DUMMYFUNCTION("""COMPUTED_VALUE"""),"MMM018712")</f>
        <v>MMM018712</v>
      </c>
      <c r="R246" s="1" t="str">
        <f>IFERROR(__xludf.DUMMYFUNCTION("""COMPUTED_VALUE"""),"PEREZ. RONELL ")</f>
        <v>PEREZ. RONELL </v>
      </c>
      <c r="S246" s="1" t="str">
        <f>IFERROR(__xludf.DUMMYFUNCTION("""COMPUTED_VALUE"""),"GARCIA MICHAEL JETTS")</f>
        <v>GARCIA MICHAEL JETTS</v>
      </c>
      <c r="T246" s="1" t="str">
        <f>IFERROR(__xludf.DUMMYFUNCTION("""COMPUTED_VALUE"""),"ESPIRITU JULIE")</f>
        <v>ESPIRITU JULIE</v>
      </c>
      <c r="U246" s="1"/>
      <c r="V246" s="1">
        <f>IFERROR(__xludf.DUMMYFUNCTION("""COMPUTED_VALUE"""),9244028433)</f>
        <v>9244028433</v>
      </c>
      <c r="W246" s="1"/>
      <c r="X246" s="1" t="str">
        <f>IFERROR(__xludf.DUMMYFUNCTION("""COMPUTED_VALUE"""),"BLK 12 LOT 46")</f>
        <v>BLK 12 LOT 46</v>
      </c>
      <c r="Y246" s="1" t="str">
        <f>IFERROR(__xludf.DUMMYFUNCTION("""COMPUTED_VALUE"""),"ROAD 16")</f>
        <v>ROAD 16</v>
      </c>
      <c r="Z246" s="1" t="str">
        <f>IFERROR(__xludf.DUMMYFUNCTION("""COMPUTED_VALUE"""),"PEARL RESIDENCES PHASE B")</f>
        <v>PEARL RESIDENCES PHASE B</v>
      </c>
      <c r="AA246" s="1" t="str">
        <f>IFERROR(__xludf.DUMMYFUNCTION("""COMPUTED_VALUE"""),"CAPIPISA")</f>
        <v>CAPIPISA</v>
      </c>
      <c r="AB246" s="1" t="str">
        <f>IFERROR(__xludf.DUMMYFUNCTION("""COMPUTED_VALUE"""),"TANZA")</f>
        <v>TANZA</v>
      </c>
      <c r="AC246" s="1" t="str">
        <f>IFERROR(__xludf.DUMMYFUNCTION("""COMPUTED_VALUE""")," ")</f>
        <v> </v>
      </c>
    </row>
    <row r="247" customHeight="1" spans="1:29">
      <c r="A247" s="3">
        <f>IFERROR(__xludf.DUMMYFUNCTION("""COMPUTED_VALUE"""),46298)</f>
        <v>46298</v>
      </c>
      <c r="B247" s="1" t="str">
        <f>IFERROR(__xludf.DUMMYFUNCTION("""COMPUTED_VALUE"""),"OCTOBER")</f>
        <v>OCTOBER</v>
      </c>
      <c r="C247" s="1" t="str">
        <f>IFERROR(__xludf.DUMMYFUNCTION("""COMPUTED_VALUE"""),"CELWYN SULIMA AURE")</f>
        <v>CELWYN SULIMA AURE</v>
      </c>
      <c r="D247" s="1" t="str">
        <f>IFERROR(__xludf.DUMMYFUNCTION("""COMPUTED_VALUE"""),"RITM0312598")</f>
        <v>RITM0312598</v>
      </c>
      <c r="E247" s="1"/>
      <c r="F247" s="1" t="str">
        <f>IFERROR(__xludf.DUMMYFUNCTION("""COMPUTED_VALUE"""),"8833926551")</f>
        <v>8833926551</v>
      </c>
      <c r="G247" s="1" t="str">
        <f>IFERROR(__xludf.DUMMYFUNCTION("""COMPUTED_VALUE"""),"aurecelwyn@gmail.com")</f>
        <v>aurecelwyn@gmail.com</v>
      </c>
      <c r="H247" s="1" t="str">
        <f>IFERROR(__xludf.DUMMYFUNCTION("""COMPUTED_VALUE"""),"APPROVED")</f>
        <v>APPROVED</v>
      </c>
      <c r="I247" s="1"/>
      <c r="J247" s="1" t="str">
        <f>IFERROR(__xludf.DUMMYFUNCTION("""COMPUTED_VALUE"""),"NO ANSWER SA CALL SI SUBS SAME KAY AGENT 10/11")</f>
        <v>NO ANSWER SA CALL SI SUBS SAME KAY AGENT 10/11</v>
      </c>
      <c r="K247" s="1"/>
      <c r="L247" s="1"/>
      <c r="M247" s="1" t="str">
        <f>IFERROR(__xludf.DUMMYFUNCTION("""COMPUTED_VALUE"""),"CANCELLED - SUBS CANCEL REQUEST")</f>
        <v>CANCELLED - SUBS CANCEL REQUEST</v>
      </c>
      <c r="N247" s="1"/>
      <c r="O247" s="1" t="str">
        <f>IFERROR(__xludf.DUMMYFUNCTION("""COMPUTED_VALUE"""),"RFBF_CVEU_2026")</f>
        <v>RFBF_CVEU_2026</v>
      </c>
      <c r="P247" s="1" t="str">
        <f>IFERROR(__xludf.DUMMYFUNCTION("""COMPUTED_VALUE"""),"RED FIBR 1400")</f>
        <v>RED FIBR 1400</v>
      </c>
      <c r="Q247" s="1" t="str">
        <f>IFERROR(__xludf.DUMMYFUNCTION("""COMPUTED_VALUE"""),"MMM018711")</f>
        <v>MMM018711</v>
      </c>
      <c r="R247" s="1" t="str">
        <f>IFERROR(__xludf.DUMMYFUNCTION("""COMPUTED_VALUE"""),"FAUSTINO, KIM")</f>
        <v>FAUSTINO, KIM</v>
      </c>
      <c r="S247" s="1" t="str">
        <f>IFERROR(__xludf.DUMMYFUNCTION("""COMPUTED_VALUE"""),"GARCIA MICHAEL JETTS")</f>
        <v>GARCIA MICHAEL JETTS</v>
      </c>
      <c r="T247" s="1" t="str">
        <f>IFERROR(__xludf.DUMMYFUNCTION("""COMPUTED_VALUE"""),"ESPIRITU JULIE")</f>
        <v>ESPIRITU JULIE</v>
      </c>
      <c r="U247" s="1"/>
      <c r="V247" s="1">
        <f>IFERROR(__xludf.DUMMYFUNCTION("""COMPUTED_VALUE"""),9763246126)</f>
        <v>9763246126</v>
      </c>
      <c r="W247" s="1">
        <f>IFERROR(__xludf.DUMMYFUNCTION("""COMPUTED_VALUE"""),9367001951)</f>
        <v>9367001951</v>
      </c>
      <c r="X247" s="1" t="str">
        <f>IFERROR(__xludf.DUMMYFUNCTION("""COMPUTED_VALUE"""),"352")</f>
        <v>352</v>
      </c>
      <c r="Y247" s="1" t="str">
        <f>IFERROR(__xludf.DUMMYFUNCTION("""COMPUTED_VALUE"""),"MABINI ST")</f>
        <v>MABINI ST</v>
      </c>
      <c r="Z247" s="1"/>
      <c r="AA247" s="1" t="str">
        <f>IFERROR(__xludf.DUMMYFUNCTION("""COMPUTED_VALUE"""),"POBLACION III (BARANGAY III)")</f>
        <v>POBLACION III (BARANGAY III)</v>
      </c>
      <c r="AB247" s="1" t="str">
        <f>IFERROR(__xludf.DUMMYFUNCTION("""COMPUTED_VALUE"""),"MENDEZ")</f>
        <v>MENDEZ</v>
      </c>
      <c r="AC247" s="1" t="str">
        <f>IFERROR(__xludf.DUMMYFUNCTION("""COMPUTED_VALUE"""),"CVT2LCP58NP1-8")</f>
        <v>CVT2LCP58NP1-8</v>
      </c>
    </row>
    <row r="248" customHeight="1" spans="1:29">
      <c r="A248" s="3">
        <f>IFERROR(__xludf.DUMMYFUNCTION("""COMPUTED_VALUE"""),46298)</f>
        <v>46298</v>
      </c>
      <c r="B248" s="1" t="str">
        <f>IFERROR(__xludf.DUMMYFUNCTION("""COMPUTED_VALUE"""),"OCTOBER")</f>
        <v>OCTOBER</v>
      </c>
      <c r="C248" s="1" t="str">
        <f>IFERROR(__xludf.DUMMYFUNCTION("""COMPUTED_VALUE"""),"MINA ROSE CARREON PELLO")</f>
        <v>MINA ROSE CARREON PELLO</v>
      </c>
      <c r="D248" s="1" t="str">
        <f>IFERROR(__xludf.DUMMYFUNCTION("""COMPUTED_VALUE"""),"RITM0312602")</f>
        <v>RITM0312602</v>
      </c>
      <c r="E248" s="1"/>
      <c r="F248" s="1" t="str">
        <f>IFERROR(__xludf.DUMMYFUNCTION("""COMPUTED_VALUE"""),"1866455580")</f>
        <v>1866455580</v>
      </c>
      <c r="G248" s="1" t="str">
        <f>IFERROR(__xludf.DUMMYFUNCTION("""COMPUTED_VALUE"""),"lalabsmanuel@gmail.com")</f>
        <v>lalabsmanuel@gmail.com</v>
      </c>
      <c r="H248" s="1" t="str">
        <f>IFERROR(__xludf.DUMMYFUNCTION("""COMPUTED_VALUE"""),"CLOSED")</f>
        <v>CLOSED</v>
      </c>
      <c r="I248" s="1"/>
      <c r="J248" s="1" t="str">
        <f>IFERROR(__xludf.DUMMYFUNCTION("""COMPUTED_VALUE"""),"QUALIFIED 10/9")</f>
        <v>QUALIFIED 10/9</v>
      </c>
      <c r="K248" s="1" t="str">
        <f>IFERROR(__xludf.DUMMYFUNCTION("""COMPUTED_VALUE"""),"PAID VIA GCASH REF 26281ETQP103C76JM OCT 8")</f>
        <v>PAID VIA GCASH REF 26281ETQP103C76JM OCT 8</v>
      </c>
      <c r="L248" s="1" t="str">
        <f>IFERROR(__xludf.DUMMYFUNCTION("""COMPUTED_VALUE"""),"PAID")</f>
        <v>PAID</v>
      </c>
      <c r="M248" s="1" t="str">
        <f>IFERROR(__xludf.DUMMYFUNCTION("""COMPUTED_VALUE"""),"POSTED")</f>
        <v>POSTED</v>
      </c>
      <c r="N248" s="1" t="str">
        <f>IFERROR(__xludf.DUMMYFUNCTION("""COMPUTED_VALUE"""),"10/9/2026")</f>
        <v>10/9/2026</v>
      </c>
      <c r="O248" s="1" t="str">
        <f>IFERROR(__xludf.DUMMYFUNCTION("""COMPUTED_VALUE"""),"RFBF_CVEU_2026")</f>
        <v>RFBF_CVEU_2026</v>
      </c>
      <c r="P248" s="1" t="str">
        <f>IFERROR(__xludf.DUMMYFUNCTION("""COMPUTED_VALUE"""),"RED FIBR 1000")</f>
        <v>RED FIBR 1000</v>
      </c>
      <c r="Q248" s="1" t="str">
        <f>IFERROR(__xludf.DUMMYFUNCTION("""COMPUTED_VALUE"""),"MMM018709")</f>
        <v>MMM018709</v>
      </c>
      <c r="R248" s="1" t="str">
        <f>IFERROR(__xludf.DUMMYFUNCTION("""COMPUTED_VALUE"""),"ALDIENTE , ANGEL")</f>
        <v>ALDIENTE , ANGEL</v>
      </c>
      <c r="S248" s="1" t="str">
        <f>IFERROR(__xludf.DUMMYFUNCTION("""COMPUTED_VALUE"""),"GARCIA MICHAEL JETTS")</f>
        <v>GARCIA MICHAEL JETTS</v>
      </c>
      <c r="T248" s="1" t="str">
        <f>IFERROR(__xludf.DUMMYFUNCTION("""COMPUTED_VALUE"""),"ESPIRITU JULIE")</f>
        <v>ESPIRITU JULIE</v>
      </c>
      <c r="U248" s="1"/>
      <c r="V248" s="1">
        <f>IFERROR(__xludf.DUMMYFUNCTION("""COMPUTED_VALUE"""),9703239407)</f>
        <v>9703239407</v>
      </c>
      <c r="W248" s="1">
        <f>IFERROR(__xludf.DUMMYFUNCTION("""COMPUTED_VALUE"""),9368538628)</f>
        <v>9368538628</v>
      </c>
      <c r="X248" s="1" t="str">
        <f>IFERROR(__xludf.DUMMYFUNCTION("""COMPUTED_VALUE"""),"91A")</f>
        <v>91A</v>
      </c>
      <c r="Y248" s="1" t="str">
        <f>IFERROR(__xludf.DUMMYFUNCTION("""COMPUTED_VALUE"""),"GENERAL LUNA ST")</f>
        <v>GENERAL LUNA ST</v>
      </c>
      <c r="Z248" s="1"/>
      <c r="AA248" s="1" t="str">
        <f>IFERROR(__xludf.DUMMYFUNCTION("""COMPUTED_VALUE"""),"GALICIA I")</f>
        <v>GALICIA I</v>
      </c>
      <c r="AB248" s="1" t="str">
        <f>IFERROR(__xludf.DUMMYFUNCTION("""COMPUTED_VALUE"""),"MENDEZ")</f>
        <v>MENDEZ</v>
      </c>
      <c r="AC248" s="1"/>
    </row>
    <row r="249" customHeight="1" spans="1:29">
      <c r="A249" s="3">
        <f>IFERROR(__xludf.DUMMYFUNCTION("""COMPUTED_VALUE"""),46298)</f>
        <v>46298</v>
      </c>
      <c r="B249" s="1" t="str">
        <f>IFERROR(__xludf.DUMMYFUNCTION("""COMPUTED_VALUE"""),"OCTOBER")</f>
        <v>OCTOBER</v>
      </c>
      <c r="C249" s="1" t="str">
        <f>IFERROR(__xludf.DUMMYFUNCTION("""COMPUTED_VALUE"""),"MERLITO RODRIGO PENDON")</f>
        <v>MERLITO RODRIGO PENDON</v>
      </c>
      <c r="D249" s="1" t="str">
        <f>IFERROR(__xludf.DUMMYFUNCTION("""COMPUTED_VALUE"""),"RITM0312620")</f>
        <v>RITM0312620</v>
      </c>
      <c r="E249" s="1"/>
      <c r="F249" s="1"/>
      <c r="G249" s="1" t="str">
        <f>IFERROR(__xludf.DUMMYFUNCTION("""COMPUTED_VALUE"""),"merlitopendon446@gmail.com")</f>
        <v>merlitopendon446@gmail.com</v>
      </c>
      <c r="H249" s="1" t="str">
        <f>IFERROR(__xludf.DUMMYFUNCTION("""COMPUTED_VALUE"""),"APPROVED")</f>
        <v>APPROVED</v>
      </c>
      <c r="I249" s="1"/>
      <c r="J249" s="1" t="str">
        <f>IFERROR(__xludf.DUMMYFUNCTION("""COMPUTED_VALUE"""),"UNCONTACTABLE NO REPLY KAY AGENT 10/19")</f>
        <v>UNCONTACTABLE NO REPLY KAY AGENT 10/19</v>
      </c>
      <c r="K249" s="1"/>
      <c r="L249" s="1"/>
      <c r="M249" s="1" t="str">
        <f>IFERROR(__xludf.DUMMYFUNCTION("""COMPUTED_VALUE"""),"CANCELLED")</f>
        <v>CANCELLED</v>
      </c>
      <c r="N249" s="1"/>
      <c r="O249" s="1" t="str">
        <f>IFERROR(__xludf.DUMMYFUNCTION("""COMPUTED_VALUE"""),"RFBF_CVEU_2026")</f>
        <v>RFBF_CVEU_2026</v>
      </c>
      <c r="P249" s="1" t="str">
        <f>IFERROR(__xludf.DUMMYFUNCTION("""COMPUTED_VALUE"""),"RED FIBR 1000")</f>
        <v>RED FIBR 1000</v>
      </c>
      <c r="Q249" s="1" t="str">
        <f>IFERROR(__xludf.DUMMYFUNCTION("""COMPUTED_VALUE"""),"MMM018711")</f>
        <v>MMM018711</v>
      </c>
      <c r="R249" s="1" t="str">
        <f>IFERROR(__xludf.DUMMYFUNCTION("""COMPUTED_VALUE"""),"SUGATAN, KELVIN")</f>
        <v>SUGATAN, KELVIN</v>
      </c>
      <c r="S249" s="1" t="str">
        <f>IFERROR(__xludf.DUMMYFUNCTION("""COMPUTED_VALUE"""),"GARCIA MICHAEL JETTS")</f>
        <v>GARCIA MICHAEL JETTS</v>
      </c>
      <c r="T249" s="1" t="str">
        <f>IFERROR(__xludf.DUMMYFUNCTION("""COMPUTED_VALUE"""),"ESPIRITU JULIE")</f>
        <v>ESPIRITU JULIE</v>
      </c>
      <c r="U249" s="1"/>
      <c r="V249" s="1">
        <f>IFERROR(__xludf.DUMMYFUNCTION("""COMPUTED_VALUE"""),9709426945)</f>
        <v>9709426945</v>
      </c>
      <c r="W249" s="1"/>
      <c r="X249" s="1" t="str">
        <f>IFERROR(__xludf.DUMMYFUNCTION("""COMPUTED_VALUE"""),"84")</f>
        <v>84</v>
      </c>
      <c r="Y249" s="1" t="str">
        <f>IFERROR(__xludf.DUMMYFUNCTION("""COMPUTED_VALUE"""),"MABINI ST")</f>
        <v>MABINI ST</v>
      </c>
      <c r="Z249" s="1"/>
      <c r="AA249" s="1" t="str">
        <f>IFERROR(__xludf.DUMMYFUNCTION("""COMPUTED_VALUE"""),"POBLACION VI (BARANGAY VI)")</f>
        <v>POBLACION VI (BARANGAY VI)</v>
      </c>
      <c r="AB249" s="1" t="str">
        <f>IFERROR(__xludf.DUMMYFUNCTION("""COMPUTED_VALUE"""),"MENDEZ")</f>
        <v>MENDEZ</v>
      </c>
      <c r="AC249" s="1" t="str">
        <f>IFERROR(__xludf.DUMMYFUNCTION("""COMPUTED_VALUE"""),"CVT2LCP59NP1-8")</f>
        <v>CVT2LCP59NP1-8</v>
      </c>
    </row>
    <row r="250" customHeight="1" spans="1:29">
      <c r="A250" s="3">
        <f>IFERROR(__xludf.DUMMYFUNCTION("""COMPUTED_VALUE"""),46298)</f>
        <v>46298</v>
      </c>
      <c r="B250" s="1" t="str">
        <f>IFERROR(__xludf.DUMMYFUNCTION("""COMPUTED_VALUE"""),"OCTOBER")</f>
        <v>OCTOBER</v>
      </c>
      <c r="C250" s="1" t="str">
        <f>IFERROR(__xludf.DUMMYFUNCTION("""COMPUTED_VALUE"""),"FRESCO VILLAREZ MONTECINO JR")</f>
        <v>FRESCO VILLAREZ MONTECINO JR</v>
      </c>
      <c r="D250" s="1" t="str">
        <f>IFERROR(__xludf.DUMMYFUNCTION("""COMPUTED_VALUE"""),"RITM0312628")</f>
        <v>RITM0312628</v>
      </c>
      <c r="E250" s="1"/>
      <c r="F250" s="1" t="str">
        <f>IFERROR(__xludf.DUMMYFUNCTION("""COMPUTED_VALUE"""),"7513675467")</f>
        <v>7513675467</v>
      </c>
      <c r="G250" s="1" t="str">
        <f>IFERROR(__xludf.DUMMYFUNCTION("""COMPUTED_VALUE"""),"kurtmathewmontecino@gmail.com")</f>
        <v>kurtmathewmontecino@gmail.com</v>
      </c>
      <c r="H250" s="1" t="str">
        <f>IFERROR(__xludf.DUMMYFUNCTION("""COMPUTED_VALUE"""),"CLOSED")</f>
        <v>CLOSED</v>
      </c>
      <c r="I250" s="1"/>
      <c r="J250" s="1"/>
      <c r="K250" s="1" t="str">
        <f>IFERROR(__xludf.DUMMYFUNCTION("""COMPUTED_VALUE"""),"PAID - OCT 3 ")</f>
        <v>PAID - OCT 3 </v>
      </c>
      <c r="L250" s="1" t="str">
        <f>IFERROR(__xludf.DUMMYFUNCTION("""COMPUTED_VALUE"""),"PAID")</f>
        <v>PAID</v>
      </c>
      <c r="M250" s="1" t="str">
        <f>IFERROR(__xludf.DUMMYFUNCTION("""COMPUTED_VALUE"""),"POSTED")</f>
        <v>POSTED</v>
      </c>
      <c r="N250" s="1" t="str">
        <f>IFERROR(__xludf.DUMMYFUNCTION("""COMPUTED_VALUE"""),"10/4/2026")</f>
        <v>10/4/2026</v>
      </c>
      <c r="O250" s="1" t="str">
        <f>IFERROR(__xludf.DUMMYFUNCTION("""COMPUTED_VALUE"""),"RFBF_CVEU_2026")</f>
        <v>RFBF_CVEU_2026</v>
      </c>
      <c r="P250" s="1" t="str">
        <f>IFERROR(__xludf.DUMMYFUNCTION("""COMPUTED_VALUE"""),"RED FIBR 1000")</f>
        <v>RED FIBR 1000</v>
      </c>
      <c r="Q250" s="1" t="str">
        <f>IFERROR(__xludf.DUMMYFUNCTION("""COMPUTED_VALUE"""),"MMM018709")</f>
        <v>MMM018709</v>
      </c>
      <c r="R250" s="1" t="str">
        <f>IFERROR(__xludf.DUMMYFUNCTION("""COMPUTED_VALUE"""),"ALDIENTE , ANGEL")</f>
        <v>ALDIENTE , ANGEL</v>
      </c>
      <c r="S250" s="1" t="str">
        <f>IFERROR(__xludf.DUMMYFUNCTION("""COMPUTED_VALUE"""),"GARCIA MICHAEL JETTS")</f>
        <v>GARCIA MICHAEL JETTS</v>
      </c>
      <c r="T250" s="1" t="str">
        <f>IFERROR(__xludf.DUMMYFUNCTION("""COMPUTED_VALUE"""),"ESPIRITU JULIE")</f>
        <v>ESPIRITU JULIE</v>
      </c>
      <c r="U250" s="1"/>
      <c r="V250" s="1">
        <f>IFERROR(__xludf.DUMMYFUNCTION("""COMPUTED_VALUE"""),9947980383)</f>
        <v>9947980383</v>
      </c>
      <c r="W250" s="1"/>
      <c r="X250" s="1" t="str">
        <f>IFERROR(__xludf.DUMMYFUNCTION("""COMPUTED_VALUE"""),"45")</f>
        <v>45</v>
      </c>
      <c r="Y250" s="1" t="str">
        <f>IFERROR(__xludf.DUMMYFUNCTION("""COMPUTED_VALUE"""),"GEN TRIAS ST")</f>
        <v>GEN TRIAS ST</v>
      </c>
      <c r="Z250" s="1"/>
      <c r="AA250" s="1" t="str">
        <f>IFERROR(__xludf.DUMMYFUNCTION("""COMPUTED_VALUE"""),"POBLACION II (BARANGAY II)")</f>
        <v>POBLACION II (BARANGAY II)</v>
      </c>
      <c r="AB250" s="1" t="str">
        <f>IFERROR(__xludf.DUMMYFUNCTION("""COMPUTED_VALUE"""),"MENDEZ")</f>
        <v>MENDEZ</v>
      </c>
      <c r="AC250" s="1" t="str">
        <f>IFERROR(__xludf.DUMMYFUNCTION("""COMPUTED_VALUE"""),"CVT2LCP57NP4")</f>
        <v>CVT2LCP57NP4</v>
      </c>
    </row>
    <row r="251" customHeight="1" spans="1:29">
      <c r="A251" s="3">
        <f>IFERROR(__xludf.DUMMYFUNCTION("""COMPUTED_VALUE"""),46298)</f>
        <v>46298</v>
      </c>
      <c r="B251" s="1" t="str">
        <f>IFERROR(__xludf.DUMMYFUNCTION("""COMPUTED_VALUE"""),"OCTOBER")</f>
        <v>OCTOBER</v>
      </c>
      <c r="C251" s="1" t="str">
        <f>IFERROR(__xludf.DUMMYFUNCTION("""COMPUTED_VALUE"""),"SOFIA AQUINO BAYAWA")</f>
        <v>SOFIA AQUINO BAYAWA</v>
      </c>
      <c r="D251" s="1" t="str">
        <f>IFERROR(__xludf.DUMMYFUNCTION("""COMPUTED_VALUE"""),"RITM0312635")</f>
        <v>RITM0312635</v>
      </c>
      <c r="E251" s="1"/>
      <c r="F251" s="1" t="str">
        <f>IFERROR(__xludf.DUMMYFUNCTION("""COMPUTED_VALUE"""),"9194171691")</f>
        <v>9194171691</v>
      </c>
      <c r="G251" s="1" t="str">
        <f>IFERROR(__xludf.DUMMYFUNCTION("""COMPUTED_VALUE"""),"arenasgeron7@gmail.com")</f>
        <v>arenasgeron7@gmail.com</v>
      </c>
      <c r="H251" s="1" t="str">
        <f>IFERROR(__xludf.DUMMYFUNCTION("""COMPUTED_VALUE"""),"APPROVED")</f>
        <v>APPROVED</v>
      </c>
      <c r="I251" s="1" t="str">
        <f>IFERROR(__xludf.DUMMYFUNCTION("""COMPUTED_VALUE"""),"CLOSED INCOMPLETE // RWO- NAP AUGMENTATION")</f>
        <v>CLOSED INCOMPLETE // RWO- NAP AUGMENTATION</v>
      </c>
      <c r="J251" s="1" t="str">
        <f>IFERROR(__xludf.DUMMYFUNCTION("""COMPUTED_VALUE"""),"FOR REFUND")</f>
        <v>FOR REFUND</v>
      </c>
      <c r="K251" s="1" t="str">
        <f>IFERROR(__xludf.DUMMYFUNCTION("""COMPUTED_VALUE"""),"PAID VIA GCASH REF 155912862 OCT 7")</f>
        <v>PAID VIA GCASH REF 155912862 OCT 7</v>
      </c>
      <c r="L251" s="1" t="str">
        <f>IFERROR(__xludf.DUMMYFUNCTION("""COMPUTED_VALUE"""),"PAID")</f>
        <v>PAID</v>
      </c>
      <c r="M251" s="1" t="str">
        <f>IFERROR(__xludf.DUMMYFUNCTION("""COMPUTED_VALUE"""),"PAID - FOR INSTALLATION")</f>
        <v>PAID - FOR INSTALLATION</v>
      </c>
      <c r="N251" s="1"/>
      <c r="O251" s="1" t="str">
        <f>IFERROR(__xludf.DUMMYFUNCTION("""COMPUTED_VALUE"""),"RFBF_CVEU_2026")</f>
        <v>RFBF_CVEU_2026</v>
      </c>
      <c r="P251" s="1" t="str">
        <f>IFERROR(__xludf.DUMMYFUNCTION("""COMPUTED_VALUE"""),"RED FIBR 1000")</f>
        <v>RED FIBR 1000</v>
      </c>
      <c r="Q251" s="1" t="str">
        <f>IFERROR(__xludf.DUMMYFUNCTION("""COMPUTED_VALUE"""),"MMM018713")</f>
        <v>MMM018713</v>
      </c>
      <c r="R251" s="1" t="str">
        <f>IFERROR(__xludf.DUMMYFUNCTION("""COMPUTED_VALUE"""),"FRANCISCO, ROSELYN")</f>
        <v>FRANCISCO, ROSELYN</v>
      </c>
      <c r="S251" s="1" t="str">
        <f>IFERROR(__xludf.DUMMYFUNCTION("""COMPUTED_VALUE"""),"REMOLLO LEA")</f>
        <v>REMOLLO LEA</v>
      </c>
      <c r="T251" s="1" t="str">
        <f>IFERROR(__xludf.DUMMYFUNCTION("""COMPUTED_VALUE"""),"ESPIRITU JULIE")</f>
        <v>ESPIRITU JULIE</v>
      </c>
      <c r="U251" s="1"/>
      <c r="V251" s="1">
        <f>IFERROR(__xludf.DUMMYFUNCTION("""COMPUTED_VALUE"""),9972207131)</f>
        <v>9972207131</v>
      </c>
      <c r="W251" s="1"/>
      <c r="X251" s="1" t="str">
        <f>IFERROR(__xludf.DUMMYFUNCTION("""COMPUTED_VALUE"""),"205")</f>
        <v>205</v>
      </c>
      <c r="Y251" s="1" t="str">
        <f>IFERROR(__xludf.DUMMYFUNCTION("""COMPUTED_VALUE"""),"PUROK 5")</f>
        <v>PUROK 5</v>
      </c>
      <c r="Z251" s="1"/>
      <c r="AA251" s="1" t="str">
        <f>IFERROR(__xludf.DUMMYFUNCTION("""COMPUTED_VALUE"""),"ULAT")</f>
        <v>ULAT</v>
      </c>
      <c r="AB251" s="1" t="str">
        <f>IFERROR(__xludf.DUMMYFUNCTION("""COMPUTED_VALUE"""),"SILANG")</f>
        <v>SILANG</v>
      </c>
      <c r="AC251" s="1" t="str">
        <f>IFERROR(__xludf.DUMMYFUNCTION("""COMPUTED_VALUE"""),"CVT2 LCP37 NP1")</f>
        <v>CVT2 LCP37 NP1</v>
      </c>
    </row>
    <row r="252" customHeight="1" spans="1:29">
      <c r="A252" s="3">
        <f>IFERROR(__xludf.DUMMYFUNCTION("""COMPUTED_VALUE"""),46299)</f>
        <v>46299</v>
      </c>
      <c r="B252" s="1" t="str">
        <f>IFERROR(__xludf.DUMMYFUNCTION("""COMPUTED_VALUE"""),"OCTOBER")</f>
        <v>OCTOBER</v>
      </c>
      <c r="C252" s="1" t="str">
        <f>IFERROR(__xludf.DUMMYFUNCTION("""COMPUTED_VALUE"""),"DIETER GERNOTH RUDOLF KRUTIL")</f>
        <v>DIETER GERNOTH RUDOLF KRUTIL</v>
      </c>
      <c r="D252" s="1" t="str">
        <f>IFERROR(__xludf.DUMMYFUNCTION("""COMPUTED_VALUE"""),"RITM0312694")</f>
        <v>RITM0312694</v>
      </c>
      <c r="E252" s="1"/>
      <c r="F252" s="1"/>
      <c r="G252" s="1" t="str">
        <f>IFERROR(__xludf.DUMMYFUNCTION("""COMPUTED_VALUE"""),"gkrutil@gmx.de")</f>
        <v>gkrutil@gmx.de</v>
      </c>
      <c r="H252" s="1" t="str">
        <f>IFERROR(__xludf.DUMMYFUNCTION("""COMPUTED_VALUE"""),"REJECTED")</f>
        <v>REJECTED</v>
      </c>
      <c r="I252" s="1"/>
      <c r="J252" s="1" t="str">
        <f>IFERROR(__xludf.DUMMYFUNCTION("""COMPUTED_VALUE"""),"REJECTED: FOUND NO POID CERTIFICATION // KINDLY ADVISE SUBS TO SETTLE 3xMSF PLUS Outright Payment Amount")</f>
        <v>REJECTED: FOUND NO POID CERTIFICATION // KINDLY ADVISE SUBS TO SETTLE 3xMSF PLUS Outright Payment Amount</v>
      </c>
      <c r="K252" s="1"/>
      <c r="L252" s="1"/>
      <c r="M252" s="1" t="str">
        <f>IFERROR(__xludf.DUMMYFUNCTION("""COMPUTED_VALUE"""),"CANCELLED")</f>
        <v>CANCELLED</v>
      </c>
      <c r="N252" s="1"/>
      <c r="O252" s="1" t="str">
        <f>IFERROR(__xludf.DUMMYFUNCTION("""COMPUTED_VALUE"""),"RFBF_CVEU_2026")</f>
        <v>RFBF_CVEU_2026</v>
      </c>
      <c r="P252" s="1" t="str">
        <f>IFERROR(__xludf.DUMMYFUNCTION("""COMPUTED_VALUE"""),"RED FIBR 1400")</f>
        <v>RED FIBR 1400</v>
      </c>
      <c r="Q252" s="1" t="str">
        <f>IFERROR(__xludf.DUMMYFUNCTION("""COMPUTED_VALUE"""),"MMM018709")</f>
        <v>MMM018709</v>
      </c>
      <c r="R252" s="1" t="str">
        <f>IFERROR(__xludf.DUMMYFUNCTION("""COMPUTED_VALUE"""),"MAGDARAOG, KENNETH")</f>
        <v>MAGDARAOG, KENNETH</v>
      </c>
      <c r="S252" s="1" t="str">
        <f>IFERROR(__xludf.DUMMYFUNCTION("""COMPUTED_VALUE"""),"REMOLLO LEA")</f>
        <v>REMOLLO LEA</v>
      </c>
      <c r="T252" s="1" t="str">
        <f>IFERROR(__xludf.DUMMYFUNCTION("""COMPUTED_VALUE"""),"SALIOA JB")</f>
        <v>SALIOA JB</v>
      </c>
      <c r="U252" s="1"/>
      <c r="V252" s="1">
        <f>IFERROR(__xludf.DUMMYFUNCTION("""COMPUTED_VALUE"""),9919620139)</f>
        <v>9919620139</v>
      </c>
      <c r="W252" s="1">
        <f>IFERROR(__xludf.DUMMYFUNCTION("""COMPUTED_VALUE"""),9996748399)</f>
        <v>9996748399</v>
      </c>
      <c r="X252" s="1" t="str">
        <f>IFERROR(__xludf.DUMMYFUNCTION("""COMPUTED_VALUE"""),"74")</f>
        <v>74</v>
      </c>
      <c r="Y252" s="1" t="str">
        <f>IFERROR(__xludf.DUMMYFUNCTION("""COMPUTED_VALUE"""),"SAN PEDRO ST")</f>
        <v>SAN PEDRO ST</v>
      </c>
      <c r="Z252" s="1"/>
      <c r="AA252" s="1" t="str">
        <f>IFERROR(__xludf.DUMMYFUNCTION("""COMPUTED_VALUE"""),"ASIS II")</f>
        <v>ASIS II</v>
      </c>
      <c r="AB252" s="1" t="str">
        <f>IFERROR(__xludf.DUMMYFUNCTION("""COMPUTED_VALUE"""),"MENDEZ")</f>
        <v>MENDEZ</v>
      </c>
      <c r="AC252" s="1"/>
    </row>
    <row r="253" customHeight="1" spans="1:29">
      <c r="A253" s="3">
        <f>IFERROR(__xludf.DUMMYFUNCTION("""COMPUTED_VALUE"""),46299)</f>
        <v>46299</v>
      </c>
      <c r="B253" s="1" t="str">
        <f>IFERROR(__xludf.DUMMYFUNCTION("""COMPUTED_VALUE"""),"OCTOBER")</f>
        <v>OCTOBER</v>
      </c>
      <c r="C253" s="1" t="str">
        <f>IFERROR(__xludf.DUMMYFUNCTION("""COMPUTED_VALUE"""),"JENICAR BAUTISTA HACHASO")</f>
        <v>JENICAR BAUTISTA HACHASO</v>
      </c>
      <c r="D253" s="1" t="str">
        <f>IFERROR(__xludf.DUMMYFUNCTION("""COMPUTED_VALUE"""),"RITM0312710")</f>
        <v>RITM0312710</v>
      </c>
      <c r="E253" s="1"/>
      <c r="F253" s="1"/>
      <c r="G253" s="1" t="str">
        <f>IFERROR(__xludf.DUMMYFUNCTION("""COMPUTED_VALUE"""),"jenicarhachaso@gmail.com")</f>
        <v>jenicarhachaso@gmail.com</v>
      </c>
      <c r="H253" s="1" t="str">
        <f>IFERROR(__xludf.DUMMYFUNCTION("""COMPUTED_VALUE"""),"REJECTED")</f>
        <v>REJECTED</v>
      </c>
      <c r="I253" s="1"/>
      <c r="J253" s="1" t="str">
        <f>IFERROR(__xludf.DUMMYFUNCTION("""COMPUTED_VALUE""")," REJECTED: NO SELFIE PHOTO WITH SOA //")</f>
        <v> REJECTED: NO SELFIE PHOTO WITH SOA //</v>
      </c>
      <c r="K253" s="1"/>
      <c r="L253" s="1"/>
      <c r="M253" s="1" t="str">
        <f>IFERROR(__xludf.DUMMYFUNCTION("""COMPUTED_VALUE"""),"REENCODED")</f>
        <v>REENCODED</v>
      </c>
      <c r="N253" s="1"/>
      <c r="O253" s="1" t="str">
        <f>IFERROR(__xludf.DUMMYFUNCTION("""COMPUTED_VALUE"""),"RFBF_CVEU_2026")</f>
        <v>RFBF_CVEU_2026</v>
      </c>
      <c r="P253" s="1" t="str">
        <f>IFERROR(__xludf.DUMMYFUNCTION("""COMPUTED_VALUE"""),"SWITCHER PLAN 900")</f>
        <v>SWITCHER PLAN 900</v>
      </c>
      <c r="Q253" s="1" t="str">
        <f>IFERROR(__xludf.DUMMYFUNCTION("""COMPUTED_VALUE"""),"MMM018712")</f>
        <v>MMM018712</v>
      </c>
      <c r="R253" s="1" t="str">
        <f>IFERROR(__xludf.DUMMYFUNCTION("""COMPUTED_VALUE"""),"PEREZ. RONELL ")</f>
        <v>PEREZ. RONELL </v>
      </c>
      <c r="S253" s="1" t="str">
        <f>IFERROR(__xludf.DUMMYFUNCTION("""COMPUTED_VALUE"""),"GARCIA MICHAEL JETTS")</f>
        <v>GARCIA MICHAEL JETTS</v>
      </c>
      <c r="T253" s="1" t="str">
        <f>IFERROR(__xludf.DUMMYFUNCTION("""COMPUTED_VALUE"""),"SALIOA JB")</f>
        <v>SALIOA JB</v>
      </c>
      <c r="U253" s="1"/>
      <c r="V253" s="1">
        <f>IFERROR(__xludf.DUMMYFUNCTION("""COMPUTED_VALUE"""),9368353912)</f>
        <v>9368353912</v>
      </c>
      <c r="W253" s="1"/>
      <c r="X253" s="1" t="str">
        <f>IFERROR(__xludf.DUMMYFUNCTION("""COMPUTED_VALUE"""),"387")</f>
        <v>387</v>
      </c>
      <c r="Y253" s="1" t="str">
        <f>IFERROR(__xludf.DUMMYFUNCTION("""COMPUTED_VALUE"""),"HALAYHAY RD")</f>
        <v>HALAYHAY RD</v>
      </c>
      <c r="Z253" s="1"/>
      <c r="AA253" s="1" t="str">
        <f>IFERROR(__xludf.DUMMYFUNCTION("""COMPUTED_VALUE"""),"HALAYHAY")</f>
        <v>HALAYHAY</v>
      </c>
      <c r="AB253" s="1" t="str">
        <f>IFERROR(__xludf.DUMMYFUNCTION("""COMPUTED_VALUE"""),"TANZA")</f>
        <v>TANZA</v>
      </c>
      <c r="AC253" s="1"/>
    </row>
    <row r="254" customHeight="1" spans="1:29">
      <c r="A254" s="3">
        <f>IFERROR(__xludf.DUMMYFUNCTION("""COMPUTED_VALUE"""),46300)</f>
        <v>46300</v>
      </c>
      <c r="B254" s="1" t="str">
        <f>IFERROR(__xludf.DUMMYFUNCTION("""COMPUTED_VALUE"""),"OCTOBER")</f>
        <v>OCTOBER</v>
      </c>
      <c r="C254" s="1" t="str">
        <f>IFERROR(__xludf.DUMMYFUNCTION("""COMPUTED_VALUE"""),"JENICAR BAUTISTA HACHASO")</f>
        <v>JENICAR BAUTISTA HACHASO</v>
      </c>
      <c r="D254" s="1" t="str">
        <f>IFERROR(__xludf.DUMMYFUNCTION("""COMPUTED_VALUE"""),"RITM0312760")</f>
        <v>RITM0312760</v>
      </c>
      <c r="E254" s="1"/>
      <c r="F254" s="1" t="str">
        <f>IFERROR(__xludf.DUMMYFUNCTION("""COMPUTED_VALUE"""),"5691548788")</f>
        <v>5691548788</v>
      </c>
      <c r="G254" s="1" t="str">
        <f>IFERROR(__xludf.DUMMYFUNCTION("""COMPUTED_VALUE"""),"jenicarhachaso@gmail.com")</f>
        <v>jenicarhachaso@gmail.com</v>
      </c>
      <c r="H254" s="1" t="str">
        <f>IFERROR(__xludf.DUMMYFUNCTION("""COMPUTED_VALUE"""),"APPROVED")</f>
        <v>APPROVED</v>
      </c>
      <c r="I254" s="1"/>
      <c r="J254" s="1" t="str">
        <f>IFERROR(__xludf.DUMMYFUNCTION("""COMPUTED_VALUE"""),"Nagbago isip dahil sa advance payment as per agent 10/11")</f>
        <v>Nagbago isip dahil sa advance payment as per agent 10/11</v>
      </c>
      <c r="K254" s="1"/>
      <c r="L254" s="1"/>
      <c r="M254" s="1" t="str">
        <f>IFERROR(__xludf.DUMMYFUNCTION("""COMPUTED_VALUE"""),"CANCELLED - SUBS CANCEL REQUEST")</f>
        <v>CANCELLED - SUBS CANCEL REQUEST</v>
      </c>
      <c r="N254" s="1"/>
      <c r="O254" s="1" t="str">
        <f>IFERROR(__xludf.DUMMYFUNCTION("""COMPUTED_VALUE"""),"RFBF_CVEU_2026")</f>
        <v>RFBF_CVEU_2026</v>
      </c>
      <c r="P254" s="1" t="str">
        <f>IFERROR(__xludf.DUMMYFUNCTION("""COMPUTED_VALUE"""),"SWITCHER PLAN 900")</f>
        <v>SWITCHER PLAN 900</v>
      </c>
      <c r="Q254" s="1" t="str">
        <f>IFERROR(__xludf.DUMMYFUNCTION("""COMPUTED_VALUE"""),"MMM018712")</f>
        <v>MMM018712</v>
      </c>
      <c r="R254" s="1" t="str">
        <f>IFERROR(__xludf.DUMMYFUNCTION("""COMPUTED_VALUE"""),"PEREZ. RONELL ")</f>
        <v>PEREZ. RONELL </v>
      </c>
      <c r="S254" s="1" t="str">
        <f>IFERROR(__xludf.DUMMYFUNCTION("""COMPUTED_VALUE"""),"GARCIA MICHAEL JETTS")</f>
        <v>GARCIA MICHAEL JETTS</v>
      </c>
      <c r="T254" s="1" t="str">
        <f>IFERROR(__xludf.DUMMYFUNCTION("""COMPUTED_VALUE"""),"ESPIRITU JULIE")</f>
        <v>ESPIRITU JULIE</v>
      </c>
      <c r="U254" s="1"/>
      <c r="V254" s="1">
        <f>IFERROR(__xludf.DUMMYFUNCTION("""COMPUTED_VALUE"""),9368353912)</f>
        <v>9368353912</v>
      </c>
      <c r="W254" s="1"/>
      <c r="X254" s="1" t="str">
        <f>IFERROR(__xludf.DUMMYFUNCTION("""COMPUTED_VALUE"""),"387")</f>
        <v>387</v>
      </c>
      <c r="Y254" s="1" t="str">
        <f>IFERROR(__xludf.DUMMYFUNCTION("""COMPUTED_VALUE"""),"HALAYHAY RD")</f>
        <v>HALAYHAY RD</v>
      </c>
      <c r="Z254" s="1"/>
      <c r="AA254" s="1" t="str">
        <f>IFERROR(__xludf.DUMMYFUNCTION("""COMPUTED_VALUE"""),"HALAYHAY")</f>
        <v>HALAYHAY</v>
      </c>
      <c r="AB254" s="1" t="str">
        <f>IFERROR(__xludf.DUMMYFUNCTION("""COMPUTED_VALUE"""),"TANZA")</f>
        <v>TANZA</v>
      </c>
      <c r="AC254" s="1" t="str">
        <f>IFERROR(__xludf.DUMMYFUNCTION("""COMPUTED_VALUE"""),"CVTLCP79NP1-4 CVTLCP78NP3-4")</f>
        <v>CVTLCP79NP1-4 CVTLCP78NP3-4</v>
      </c>
    </row>
    <row r="255" customHeight="1" spans="1:29">
      <c r="A255" s="3">
        <f>IFERROR(__xludf.DUMMYFUNCTION("""COMPUTED_VALUE"""),46300)</f>
        <v>46300</v>
      </c>
      <c r="B255" s="1" t="str">
        <f>IFERROR(__xludf.DUMMYFUNCTION("""COMPUTED_VALUE"""),"OCTOBER")</f>
        <v>OCTOBER</v>
      </c>
      <c r="C255" s="1" t="str">
        <f>IFERROR(__xludf.DUMMYFUNCTION("""COMPUTED_VALUE"""),"MARIA LYN RAMOS NEZORTADO")</f>
        <v>MARIA LYN RAMOS NEZORTADO</v>
      </c>
      <c r="D255" s="1" t="str">
        <f>IFERROR(__xludf.DUMMYFUNCTION("""COMPUTED_VALUE"""),"RITM0312784")</f>
        <v>RITM0312784</v>
      </c>
      <c r="E255" s="1"/>
      <c r="F255" s="1" t="str">
        <f>IFERROR(__xludf.DUMMYFUNCTION("""COMPUTED_VALUE"""),"8322679573")</f>
        <v>8322679573</v>
      </c>
      <c r="G255" s="1" t="str">
        <f>IFERROR(__xludf.DUMMYFUNCTION("""COMPUTED_VALUE"""),"marialynnezortado204@gmail.com")</f>
        <v>marialynnezortado204@gmail.com</v>
      </c>
      <c r="H255" s="1" t="str">
        <f>IFERROR(__xludf.DUMMYFUNCTION("""COMPUTED_VALUE"""),"APPROVED")</f>
        <v>APPROVED</v>
      </c>
      <c r="I255" s="1" t="str">
        <f>IFERROR(__xludf.DUMMYFUNCTION("""COMPUTED_VALUE"""),"RWO-OVERSPAN")</f>
        <v>RWO-OVERSPAN</v>
      </c>
      <c r="J255" s="1" t="str">
        <f>IFERROR(__xludf.DUMMYFUNCTION("""COMPUTED_VALUE"""),"FOR REFUND")</f>
        <v>FOR REFUND</v>
      </c>
      <c r="K255" s="1" t="str">
        <f>IFERROR(__xludf.DUMMYFUNCTION("""COMPUTED_VALUE"""),"PAID THRU GCASH REF RADI23739PNLU5EF OCT 5")</f>
        <v>PAID THRU GCASH REF RADI23739PNLU5EF OCT 5</v>
      </c>
      <c r="L255" s="1" t="str">
        <f>IFERROR(__xludf.DUMMYFUNCTION("""COMPUTED_VALUE"""),"PAID")</f>
        <v>PAID</v>
      </c>
      <c r="M255" s="1" t="str">
        <f>IFERROR(__xludf.DUMMYFUNCTION("""COMPUTED_VALUE"""),"PAID - FOR INSTALLATION")</f>
        <v>PAID - FOR INSTALLATION</v>
      </c>
      <c r="N255" s="1"/>
      <c r="O255" s="1" t="str">
        <f>IFERROR(__xludf.DUMMYFUNCTION("""COMPUTED_VALUE"""),"RED_RS_ONL_CVE_25")</f>
        <v>RED_RS_ONL_CVE_25</v>
      </c>
      <c r="P255" s="1" t="str">
        <f>IFERROR(__xludf.DUMMYFUNCTION("""COMPUTED_VALUE"""),"RED FIBR 1000")</f>
        <v>RED FIBR 1000</v>
      </c>
      <c r="Q255" s="1" t="str">
        <f>IFERROR(__xludf.DUMMYFUNCTION("""COMPUTED_VALUE"""),"MMM018712")</f>
        <v>MMM018712</v>
      </c>
      <c r="R255" s="1" t="str">
        <f>IFERROR(__xludf.DUMMYFUNCTION("""COMPUTED_VALUE"""),"PEREZ. RONELL ")</f>
        <v>PEREZ. RONELL </v>
      </c>
      <c r="S255" s="1" t="str">
        <f>IFERROR(__xludf.DUMMYFUNCTION("""COMPUTED_VALUE"""),"GARCIA MICHAEL JETTS")</f>
        <v>GARCIA MICHAEL JETTS</v>
      </c>
      <c r="T255" s="1" t="str">
        <f>IFERROR(__xludf.DUMMYFUNCTION("""COMPUTED_VALUE"""),"ESPIRITU JULIE")</f>
        <v>ESPIRITU JULIE</v>
      </c>
      <c r="U255" s="1"/>
      <c r="V255" s="1">
        <f>IFERROR(__xludf.DUMMYFUNCTION("""COMPUTED_VALUE"""),9606821147)</f>
        <v>9606821147</v>
      </c>
      <c r="W255" s="1"/>
      <c r="X255" s="1" t="str">
        <f>IFERROR(__xludf.DUMMYFUNCTION("""COMPUTED_VALUE"""),"296")</f>
        <v>296</v>
      </c>
      <c r="Y255" s="1" t="str">
        <f>IFERROR(__xludf.DUMMYFUNCTION("""COMPUTED_VALUE"""),"ANDREA AVE")</f>
        <v>ANDREA AVE</v>
      </c>
      <c r="Z255" s="1" t="str">
        <f>IFERROR(__xludf.DUMMYFUNCTION("""COMPUTED_VALUE"""),"ANDREA VILLAGE 2")</f>
        <v>ANDREA VILLAGE 2</v>
      </c>
      <c r="AA255" s="1" t="str">
        <f>IFERROR(__xludf.DUMMYFUNCTION("""COMPUTED_VALUE"""),"P.F. ESPIRITU V")</f>
        <v>P.F. ESPIRITU V</v>
      </c>
      <c r="AB255" s="1" t="str">
        <f>IFERROR(__xludf.DUMMYFUNCTION("""COMPUTED_VALUE"""),"BACOOR")</f>
        <v>BACOOR</v>
      </c>
      <c r="AC255" s="1" t="str">
        <f>IFERROR(__xludf.DUMMYFUNCTION("""COMPUTED_VALUE"""),"CVT-L98N1")</f>
        <v>CVT-L98N1</v>
      </c>
    </row>
    <row r="256" customHeight="1" spans="1:29">
      <c r="A256" s="3">
        <f>IFERROR(__xludf.DUMMYFUNCTION("""COMPUTED_VALUE"""),46300)</f>
        <v>46300</v>
      </c>
      <c r="B256" s="1" t="str">
        <f>IFERROR(__xludf.DUMMYFUNCTION("""COMPUTED_VALUE"""),"OCTOBER")</f>
        <v>OCTOBER</v>
      </c>
      <c r="C256" s="1" t="str">
        <f>IFERROR(__xludf.DUMMYFUNCTION("""COMPUTED_VALUE"""),"BIENVENIDO JR MATIBAG DEL ROSARIO")</f>
        <v>BIENVENIDO JR MATIBAG DEL ROSARIO</v>
      </c>
      <c r="D256" s="1" t="str">
        <f>IFERROR(__xludf.DUMMYFUNCTION("""COMPUTED_VALUE"""),"RITM0312792")</f>
        <v>RITM0312792</v>
      </c>
      <c r="E256" s="1"/>
      <c r="F256" s="1" t="str">
        <f>IFERROR(__xludf.DUMMYFUNCTION("""COMPUTED_VALUE"""),"6858689344")</f>
        <v>6858689344</v>
      </c>
      <c r="G256" s="1" t="str">
        <f>IFERROR(__xludf.DUMMYFUNCTION("""COMPUTED_VALUE"""),"djoey7716@gmail.com")</f>
        <v>djoey7716@gmail.com</v>
      </c>
      <c r="H256" s="1" t="str">
        <f>IFERROR(__xludf.DUMMYFUNCTION("""COMPUTED_VALUE"""),"APPROVED")</f>
        <v>APPROVED</v>
      </c>
      <c r="I256" s="1" t="str">
        <f>IFERROR(__xludf.DUMMYFUNCTION("""COMPUTED_VALUE"""),"Closed Incomplete( NO POLE ATTACHMENT)")</f>
        <v>Closed Incomplete( NO POLE ATTACHMENT)</v>
      </c>
      <c r="J256" s="1" t="str">
        <f>IFERROR(__xludf.DUMMYFUNCTION("""COMPUTED_VALUE"""),"FOR REFUND")</f>
        <v>FOR REFUND</v>
      </c>
      <c r="K256" s="1" t="str">
        <f>IFERROR(__xludf.DUMMYFUNCTION("""COMPUTED_VALUE"""),"PAID VIA GCASH REF 607614662 OCT 9")</f>
        <v>PAID VIA GCASH REF 607614662 OCT 9</v>
      </c>
      <c r="L256" s="1" t="str">
        <f>IFERROR(__xludf.DUMMYFUNCTION("""COMPUTED_VALUE"""),"PAID")</f>
        <v>PAID</v>
      </c>
      <c r="M256" s="1" t="str">
        <f>IFERROR(__xludf.DUMMYFUNCTION("""COMPUTED_VALUE"""),"PAID - FOR INSTALLATION")</f>
        <v>PAID - FOR INSTALLATION</v>
      </c>
      <c r="N256" s="1"/>
      <c r="O256" s="1" t="str">
        <f>IFERROR(__xludf.DUMMYFUNCTION("""COMPUTED_VALUE"""),"RFBF_CVEU_2026")</f>
        <v>RFBF_CVEU_2026</v>
      </c>
      <c r="P256" s="1" t="str">
        <f>IFERROR(__xludf.DUMMYFUNCTION("""COMPUTED_VALUE"""),"RED FIBR 1000")</f>
        <v>RED FIBR 1000</v>
      </c>
      <c r="Q256" s="1" t="str">
        <f>IFERROR(__xludf.DUMMYFUNCTION("""COMPUTED_VALUE"""),"MMM018711")</f>
        <v>MMM018711</v>
      </c>
      <c r="R256" s="1" t="str">
        <f>IFERROR(__xludf.DUMMYFUNCTION("""COMPUTED_VALUE"""),"FAUSTINO, KIM")</f>
        <v>FAUSTINO, KIM</v>
      </c>
      <c r="S256" s="1" t="str">
        <f>IFERROR(__xludf.DUMMYFUNCTION("""COMPUTED_VALUE"""),"GARCIA MICHAEL JETTS")</f>
        <v>GARCIA MICHAEL JETTS</v>
      </c>
      <c r="T256" s="1" t="str">
        <f>IFERROR(__xludf.DUMMYFUNCTION("""COMPUTED_VALUE"""),"ESPIRITU JULIE")</f>
        <v>ESPIRITU JULIE</v>
      </c>
      <c r="U256" s="1"/>
      <c r="V256" s="1">
        <f>IFERROR(__xludf.DUMMYFUNCTION("""COMPUTED_VALUE"""),9567510878)</f>
        <v>9567510878</v>
      </c>
      <c r="W256" s="1">
        <f>IFERROR(__xludf.DUMMYFUNCTION("""COMPUTED_VALUE"""),9452772863)</f>
        <v>9452772863</v>
      </c>
      <c r="X256" s="1" t="str">
        <f>IFERROR(__xludf.DUMMYFUNCTION("""COMPUTED_VALUE"""),"1")</f>
        <v>1</v>
      </c>
      <c r="Y256" s="1" t="str">
        <f>IFERROR(__xludf.DUMMYFUNCTION("""COMPUTED_VALUE"""),"CAMERINO DRV")</f>
        <v>CAMERINO DRV</v>
      </c>
      <c r="Z256" s="1" t="str">
        <f>IFERROR(__xludf.DUMMYFUNCTION("""COMPUTED_VALUE"""),"PUROK ")</f>
        <v>PUROK </v>
      </c>
      <c r="AA256" s="1" t="str">
        <f>IFERROR(__xludf.DUMMYFUNCTION("""COMPUTED_VALUE"""),"BUHO")</f>
        <v>BUHO</v>
      </c>
      <c r="AB256" s="1" t="str">
        <f>IFERROR(__xludf.DUMMYFUNCTION("""COMPUTED_VALUE"""),"SILANG")</f>
        <v>SILANG</v>
      </c>
      <c r="AC256" s="1" t="str">
        <f>IFERROR(__xludf.DUMMYFUNCTION("""COMPUTED_VALUE"""),"CVT2LCP81NP1-4")</f>
        <v>CVT2LCP81NP1-4</v>
      </c>
    </row>
    <row r="257" customHeight="1" spans="1:29">
      <c r="A257" s="3">
        <f>IFERROR(__xludf.DUMMYFUNCTION("""COMPUTED_VALUE"""),46301)</f>
        <v>46301</v>
      </c>
      <c r="B257" s="1" t="str">
        <f>IFERROR(__xludf.DUMMYFUNCTION("""COMPUTED_VALUE"""),"OCTOBER")</f>
        <v>OCTOBER</v>
      </c>
      <c r="C257" s="1" t="str">
        <f>IFERROR(__xludf.DUMMYFUNCTION("""COMPUTED_VALUE"""),"JOCELYN GARCIA ESTABILLO")</f>
        <v>JOCELYN GARCIA ESTABILLO</v>
      </c>
      <c r="D257" s="1" t="str">
        <f>IFERROR(__xludf.DUMMYFUNCTION("""COMPUTED_VALUE"""),"RITM0312876")</f>
        <v>RITM0312876</v>
      </c>
      <c r="E257" s="1"/>
      <c r="F257" s="1" t="str">
        <f>IFERROR(__xludf.DUMMYFUNCTION("""COMPUTED_VALUE"""),"7288169143")</f>
        <v>7288169143</v>
      </c>
      <c r="G257" s="1" t="str">
        <f>IFERROR(__xludf.DUMMYFUNCTION("""COMPUTED_VALUE"""),"jocelynestabillo37@gmail.com")</f>
        <v>jocelynestabillo37@gmail.com</v>
      </c>
      <c r="H257" s="1" t="str">
        <f>IFERROR(__xludf.DUMMYFUNCTION("""COMPUTED_VALUE"""),"APPROVED")</f>
        <v>APPROVED</v>
      </c>
      <c r="I257" s="1" t="str">
        <f>IFERROR(__xludf.DUMMYFUNCTION("""COMPUTED_VALUE"""),"Closed Incomplete (NO FACILITY)")</f>
        <v>Closed Incomplete (NO FACILITY)</v>
      </c>
      <c r="J257" s="1" t="str">
        <f>IFERROR(__xludf.DUMMYFUNCTION("""COMPUTED_VALUE"""),"FOR REFUND")</f>
        <v>FOR REFUND</v>
      </c>
      <c r="K257" s="1" t="str">
        <f>IFERROR(__xludf.DUMMYFUNCTION("""COMPUTED_VALUE"""),"PAID THRU GCASH REF 553693393 OCT 6")</f>
        <v>PAID THRU GCASH REF 553693393 OCT 6</v>
      </c>
      <c r="L257" s="1" t="str">
        <f>IFERROR(__xludf.DUMMYFUNCTION("""COMPUTED_VALUE"""),"PAID")</f>
        <v>PAID</v>
      </c>
      <c r="M257" s="1" t="str">
        <f>IFERROR(__xludf.DUMMYFUNCTION("""COMPUTED_VALUE"""),"PAID - FOR INSTALLATION")</f>
        <v>PAID - FOR INSTALLATION</v>
      </c>
      <c r="N257" s="1"/>
      <c r="O257" s="1" t="str">
        <f>IFERROR(__xludf.DUMMYFUNCTION("""COMPUTED_VALUE"""),"RFBF_CVEU_2026")</f>
        <v>RFBF_CVEU_2026</v>
      </c>
      <c r="P257" s="1" t="str">
        <f>IFERROR(__xludf.DUMMYFUNCTION("""COMPUTED_VALUE"""),"RED FIBR 1400")</f>
        <v>RED FIBR 1400</v>
      </c>
      <c r="Q257" s="1" t="str">
        <f>IFERROR(__xludf.DUMMYFUNCTION("""COMPUTED_VALUE"""),"MMM018713")</f>
        <v>MMM018713</v>
      </c>
      <c r="R257" s="1" t="str">
        <f>IFERROR(__xludf.DUMMYFUNCTION("""COMPUTED_VALUE"""),"MAGDARAOG, KENNETH")</f>
        <v>MAGDARAOG, KENNETH</v>
      </c>
      <c r="S257" s="1" t="str">
        <f>IFERROR(__xludf.DUMMYFUNCTION("""COMPUTED_VALUE"""),"REMOLLO LEA")</f>
        <v>REMOLLO LEA</v>
      </c>
      <c r="T257" s="1" t="str">
        <f>IFERROR(__xludf.DUMMYFUNCTION("""COMPUTED_VALUE"""),"ESPIRITU JULIE")</f>
        <v>ESPIRITU JULIE</v>
      </c>
      <c r="U257" s="1"/>
      <c r="V257" s="1">
        <f>IFERROR(__xludf.DUMMYFUNCTION("""COMPUTED_VALUE"""),9996748399)</f>
        <v>9996748399</v>
      </c>
      <c r="W257" s="1"/>
      <c r="X257" s="1" t="str">
        <f>IFERROR(__xludf.DUMMYFUNCTION("""COMPUTED_VALUE"""),"74")</f>
        <v>74</v>
      </c>
      <c r="Y257" s="1" t="str">
        <f>IFERROR(__xludf.DUMMYFUNCTION("""COMPUTED_VALUE"""),"SAN PEDRO ST")</f>
        <v>SAN PEDRO ST</v>
      </c>
      <c r="Z257" s="1"/>
      <c r="AA257" s="1" t="str">
        <f>IFERROR(__xludf.DUMMYFUNCTION("""COMPUTED_VALUE"""),"ASIS II")</f>
        <v>ASIS II</v>
      </c>
      <c r="AB257" s="1" t="str">
        <f>IFERROR(__xludf.DUMMYFUNCTION("""COMPUTED_VALUE"""),"MENDEZ")</f>
        <v>MENDEZ</v>
      </c>
      <c r="AC257" s="1" t="str">
        <f>IFERROR(__xludf.DUMMYFUNCTION("""COMPUTED_VALUE"""),"CVT2 LCP61 NP1-2")</f>
        <v>CVT2 LCP61 NP1-2</v>
      </c>
    </row>
    <row r="258" customHeight="1" spans="1:29">
      <c r="A258" s="3">
        <f>IFERROR(__xludf.DUMMYFUNCTION("""COMPUTED_VALUE"""),46301)</f>
        <v>46301</v>
      </c>
      <c r="B258" s="1" t="str">
        <f>IFERROR(__xludf.DUMMYFUNCTION("""COMPUTED_VALUE"""),"OCTOBER")</f>
        <v>OCTOBER</v>
      </c>
      <c r="C258" s="1" t="str">
        <f>IFERROR(__xludf.DUMMYFUNCTION("""COMPUTED_VALUE"""),"CARLO ALCALA SANZ")</f>
        <v>CARLO ALCALA SANZ</v>
      </c>
      <c r="D258" s="1" t="str">
        <f>IFERROR(__xludf.DUMMYFUNCTION("""COMPUTED_VALUE"""),"RITM0312903")</f>
        <v>RITM0312903</v>
      </c>
      <c r="E258" s="1"/>
      <c r="F258" s="1" t="str">
        <f>IFERROR(__xludf.DUMMYFUNCTION("""COMPUTED_VALUE"""),"5688951287")</f>
        <v>5688951287</v>
      </c>
      <c r="G258" s="1" t="str">
        <f>IFERROR(__xludf.DUMMYFUNCTION("""COMPUTED_VALUE"""),"carlosanzalcala77@gmail.com")</f>
        <v>carlosanzalcala77@gmail.com</v>
      </c>
      <c r="H258" s="1" t="str">
        <f>IFERROR(__xludf.DUMMYFUNCTION("""COMPUTED_VALUE"""),"CLOSED")</f>
        <v>CLOSED</v>
      </c>
      <c r="I258" s="1"/>
      <c r="J258" s="1"/>
      <c r="K258" s="1" t="str">
        <f>IFERROR(__xludf.DUMMYFUNCTION("""COMPUTED_VALUE"""),"PAID VIA GACSH REF 26280 OCT 6")</f>
        <v>PAID VIA GACSH REF 26280 OCT 6</v>
      </c>
      <c r="L258" s="1" t="str">
        <f>IFERROR(__xludf.DUMMYFUNCTION("""COMPUTED_VALUE"""),"PAID")</f>
        <v>PAID</v>
      </c>
      <c r="M258" s="1" t="str">
        <f>IFERROR(__xludf.DUMMYFUNCTION("""COMPUTED_VALUE"""),"POSTED")</f>
        <v>POSTED</v>
      </c>
      <c r="N258" s="1" t="str">
        <f>IFERROR(__xludf.DUMMYFUNCTION("""COMPUTED_VALUE"""),"10/10/2026")</f>
        <v>10/10/2026</v>
      </c>
      <c r="O258" s="1" t="str">
        <f>IFERROR(__xludf.DUMMYFUNCTION("""COMPUTED_VALUE"""),"RFBF_CVEU_2026")</f>
        <v>RFBF_CVEU_2026</v>
      </c>
      <c r="P258" s="1" t="str">
        <f>IFERROR(__xludf.DUMMYFUNCTION("""COMPUTED_VALUE"""),"RED FIBR 1000")</f>
        <v>RED FIBR 1000</v>
      </c>
      <c r="Q258" s="1" t="str">
        <f>IFERROR(__xludf.DUMMYFUNCTION("""COMPUTED_VALUE"""),"MMM018711")</f>
        <v>MMM018711</v>
      </c>
      <c r="R258" s="1" t="str">
        <f>IFERROR(__xludf.DUMMYFUNCTION("""COMPUTED_VALUE"""),"FAUSTINO, KIM")</f>
        <v>FAUSTINO, KIM</v>
      </c>
      <c r="S258" s="1" t="str">
        <f>IFERROR(__xludf.DUMMYFUNCTION("""COMPUTED_VALUE"""),"GARCIA MICHAEL JETTS")</f>
        <v>GARCIA MICHAEL JETTS</v>
      </c>
      <c r="T258" s="1" t="str">
        <f>IFERROR(__xludf.DUMMYFUNCTION("""COMPUTED_VALUE"""),"ESPIRITU JULIE")</f>
        <v>ESPIRITU JULIE</v>
      </c>
      <c r="U258" s="1"/>
      <c r="V258" s="1">
        <f>IFERROR(__xludf.DUMMYFUNCTION("""COMPUTED_VALUE"""),9458019386)</f>
        <v>9458019386</v>
      </c>
      <c r="W258" s="1">
        <f>IFERROR(__xludf.DUMMYFUNCTION("""COMPUTED_VALUE"""),9564001324)</f>
        <v>9564001324</v>
      </c>
      <c r="X258" s="1" t="str">
        <f>IFERROR(__xludf.DUMMYFUNCTION("""COMPUTED_VALUE"""),"UNIT F")</f>
        <v>UNIT F</v>
      </c>
      <c r="Y258" s="1" t="str">
        <f>IFERROR(__xludf.DUMMYFUNCTION("""COMPUTED_VALUE"""),"PUBLIC MARKET RD")</f>
        <v>PUBLIC MARKET RD</v>
      </c>
      <c r="Z258" s="1" t="str">
        <f>IFERROR(__xludf.DUMMYFUNCTION("""COMPUTED_VALUE"""),"FARMERS AGRICULTURE COOPERATIVE")</f>
        <v>FARMERS AGRICULTURE COOPERATIVE</v>
      </c>
      <c r="AA258" s="1" t="str">
        <f>IFERROR(__xludf.DUMMYFUNCTION("""COMPUTED_VALUE"""),"GALICIA III")</f>
        <v>GALICIA III</v>
      </c>
      <c r="AB258" s="1" t="str">
        <f>IFERROR(__xludf.DUMMYFUNCTION("""COMPUTED_VALUE"""),"MENDEZ")</f>
        <v>MENDEZ</v>
      </c>
      <c r="AC258" s="1" t="str">
        <f>IFERROR(__xludf.DUMMYFUNCTION("""COMPUTED_VALUE"""),"CVT2 LCP55 NP3/4")</f>
        <v>CVT2 LCP55 NP3/4</v>
      </c>
    </row>
    <row r="259" customHeight="1" spans="1:29">
      <c r="A259" s="3">
        <f>IFERROR(__xludf.DUMMYFUNCTION("""COMPUTED_VALUE"""),46302)</f>
        <v>46302</v>
      </c>
      <c r="B259" s="1" t="str">
        <f>IFERROR(__xludf.DUMMYFUNCTION("""COMPUTED_VALUE"""),"OCTOBER")</f>
        <v>OCTOBER</v>
      </c>
      <c r="C259" s="1" t="str">
        <f>IFERROR(__xludf.DUMMYFUNCTION("""COMPUTED_VALUE"""),"STEPHEN LOUISE ISON RAMIREZ")</f>
        <v>STEPHEN LOUISE ISON RAMIREZ</v>
      </c>
      <c r="D259" s="1" t="str">
        <f>IFERROR(__xludf.DUMMYFUNCTION("""COMPUTED_VALUE"""),"RITM0312992 ")</f>
        <v>RITM0312992 </v>
      </c>
      <c r="E259" s="1"/>
      <c r="F259" s="1" t="str">
        <f>IFERROR(__xludf.DUMMYFUNCTION("""COMPUTED_VALUE"""),"4464466941")</f>
        <v>4464466941</v>
      </c>
      <c r="G259" s="1" t="str">
        <f>IFERROR(__xludf.DUMMYFUNCTION("""COMPUTED_VALUE"""),"crystalramirez.143wiz@gmail.com")</f>
        <v>crystalramirez.143wiz@gmail.com</v>
      </c>
      <c r="H259" s="1" t="str">
        <f>IFERROR(__xludf.DUMMYFUNCTION("""COMPUTED_VALUE"""),"CLOSED")</f>
        <v>CLOSED</v>
      </c>
      <c r="I259" s="1"/>
      <c r="J259" s="1"/>
      <c r="K259" s="1" t="str">
        <f>IFERROR(__xludf.DUMMYFUNCTION("""COMPUTED_VALUE"""),"PAID VIA ATOME REF 26280 EU OCT 6")</f>
        <v>PAID VIA ATOME REF 26280 EU OCT 6</v>
      </c>
      <c r="L259" s="1" t="str">
        <f>IFERROR(__xludf.DUMMYFUNCTION("""COMPUTED_VALUE"""),"PAID")</f>
        <v>PAID</v>
      </c>
      <c r="M259" s="1" t="str">
        <f>IFERROR(__xludf.DUMMYFUNCTION("""COMPUTED_VALUE"""),"POSTED")</f>
        <v>POSTED</v>
      </c>
      <c r="N259" s="1" t="str">
        <f>IFERROR(__xludf.DUMMYFUNCTION("""COMPUTED_VALUE"""),"10/8/2026")</f>
        <v>10/8/2026</v>
      </c>
      <c r="O259" s="1" t="str">
        <f>IFERROR(__xludf.DUMMYFUNCTION("""COMPUTED_VALUE"""),"RFBF_CVEU_2026")</f>
        <v>RFBF_CVEU_2026</v>
      </c>
      <c r="P259" s="1" t="str">
        <f>IFERROR(__xludf.DUMMYFUNCTION("""COMPUTED_VALUE"""),"RED FIBR 1000")</f>
        <v>RED FIBR 1000</v>
      </c>
      <c r="Q259" s="1" t="str">
        <f>IFERROR(__xludf.DUMMYFUNCTION("""COMPUTED_VALUE"""),"MMM018712")</f>
        <v>MMM018712</v>
      </c>
      <c r="R259" s="1" t="str">
        <f>IFERROR(__xludf.DUMMYFUNCTION("""COMPUTED_VALUE"""),"PEREZ. RONELL ")</f>
        <v>PEREZ. RONELL </v>
      </c>
      <c r="S259" s="1" t="str">
        <f>IFERROR(__xludf.DUMMYFUNCTION("""COMPUTED_VALUE"""),"GARCIA MICHAEL JETTS")</f>
        <v>GARCIA MICHAEL JETTS</v>
      </c>
      <c r="T259" s="1" t="str">
        <f>IFERROR(__xludf.DUMMYFUNCTION("""COMPUTED_VALUE"""),"SALIOA JB")</f>
        <v>SALIOA JB</v>
      </c>
      <c r="U259" s="1"/>
      <c r="V259" s="1">
        <f>IFERROR(__xludf.DUMMYFUNCTION("""COMPUTED_VALUE"""),9369837553)</f>
        <v>9369837553</v>
      </c>
      <c r="W259" s="1"/>
      <c r="X259" s="1" t="str">
        <f>IFERROR(__xludf.DUMMYFUNCTION("""COMPUTED_VALUE"""),"004-BL-017")</f>
        <v>004-BL-017</v>
      </c>
      <c r="Y259" s="1" t="str">
        <f>IFERROR(__xludf.DUMMYFUNCTION("""COMPUTED_VALUE"""),"ROAD 6TH ST")</f>
        <v>ROAD 6TH ST</v>
      </c>
      <c r="Z259" s="1"/>
      <c r="AA259" s="1" t="str">
        <f>IFERROR(__xludf.DUMMYFUNCTION("""COMPUTED_VALUE"""),"CAPIPISA")</f>
        <v>CAPIPISA</v>
      </c>
      <c r="AB259" s="1" t="str">
        <f>IFERROR(__xludf.DUMMYFUNCTION("""COMPUTED_VALUE"""),"TANZA")</f>
        <v>TANZA</v>
      </c>
      <c r="AC259" s="1"/>
    </row>
    <row r="260" customHeight="1" spans="1:29">
      <c r="A260" s="3">
        <f>IFERROR(__xludf.DUMMYFUNCTION("""COMPUTED_VALUE"""),46302)</f>
        <v>46302</v>
      </c>
      <c r="B260" s="1" t="str">
        <f>IFERROR(__xludf.DUMMYFUNCTION("""COMPUTED_VALUE"""),"OCTOBER")</f>
        <v>OCTOBER</v>
      </c>
      <c r="C260" s="1" t="str">
        <f>IFERROR(__xludf.DUMMYFUNCTION("""COMPUTED_VALUE"""),"MITCHELLE ANNE ACUDESIN CERNIO")</f>
        <v>MITCHELLE ANNE ACUDESIN CERNIO</v>
      </c>
      <c r="D260" s="1" t="str">
        <f>IFERROR(__xludf.DUMMYFUNCTION("""COMPUTED_VALUE"""),"RITM0312997")</f>
        <v>RITM0312997</v>
      </c>
      <c r="E260" s="1"/>
      <c r="F260" s="1" t="str">
        <f>IFERROR(__xludf.DUMMYFUNCTION("""COMPUTED_VALUE"""),"8569799633")</f>
        <v>8569799633</v>
      </c>
      <c r="G260" s="1" t="str">
        <f>IFERROR(__xludf.DUMMYFUNCTION("""COMPUTED_VALUE"""),"mitchellecernio23@gmail.com")</f>
        <v>mitchellecernio23@gmail.com</v>
      </c>
      <c r="H260" s="1" t="str">
        <f>IFERROR(__xludf.DUMMYFUNCTION("""COMPUTED_VALUE"""),"CLOSED")</f>
        <v>CLOSED</v>
      </c>
      <c r="I260" s="1"/>
      <c r="J260" s="1"/>
      <c r="K260" s="1" t="str">
        <f>IFERROR(__xludf.DUMMYFUNCTION("""COMPUTED_VALUE"""),"PAID VIA GCASH REF 26280ETQP1EDQKV4Z OCT 7")</f>
        <v>PAID VIA GCASH REF 26280ETQP1EDQKV4Z OCT 7</v>
      </c>
      <c r="L260" s="1" t="str">
        <f>IFERROR(__xludf.DUMMYFUNCTION("""COMPUTED_VALUE"""),"PAID")</f>
        <v>PAID</v>
      </c>
      <c r="M260" s="1" t="str">
        <f>IFERROR(__xludf.DUMMYFUNCTION("""COMPUTED_VALUE"""),"POSTED")</f>
        <v>POSTED</v>
      </c>
      <c r="N260" s="1" t="str">
        <f>IFERROR(__xludf.DUMMYFUNCTION("""COMPUTED_VALUE"""),"10/8/2026")</f>
        <v>10/8/2026</v>
      </c>
      <c r="O260" s="1" t="str">
        <f>IFERROR(__xludf.DUMMYFUNCTION("""COMPUTED_VALUE"""),"RFBF_CVEU_2026")</f>
        <v>RFBF_CVEU_2026</v>
      </c>
      <c r="P260" s="1" t="str">
        <f>IFERROR(__xludf.DUMMYFUNCTION("""COMPUTED_VALUE"""),"SWITCHER PLAN 900")</f>
        <v>SWITCHER PLAN 900</v>
      </c>
      <c r="Q260" s="1" t="str">
        <f>IFERROR(__xludf.DUMMYFUNCTION("""COMPUTED_VALUE"""),"MMM018712")</f>
        <v>MMM018712</v>
      </c>
      <c r="R260" s="1" t="str">
        <f>IFERROR(__xludf.DUMMYFUNCTION("""COMPUTED_VALUE"""),"BONZA, LEE VINCENT")</f>
        <v>BONZA, LEE VINCENT</v>
      </c>
      <c r="S260" s="1" t="str">
        <f>IFERROR(__xludf.DUMMYFUNCTION("""COMPUTED_VALUE"""),"GARCIA MICHAEL JETTS")</f>
        <v>GARCIA MICHAEL JETTS</v>
      </c>
      <c r="T260" s="1" t="str">
        <f>IFERROR(__xludf.DUMMYFUNCTION("""COMPUTED_VALUE"""),"SALIOA JB")</f>
        <v>SALIOA JB</v>
      </c>
      <c r="U260" s="1"/>
      <c r="V260" s="1">
        <f>IFERROR(__xludf.DUMMYFUNCTION("""COMPUTED_VALUE"""),9052519672)</f>
        <v>9052519672</v>
      </c>
      <c r="W260" s="1"/>
      <c r="X260" s="1" t="str">
        <f>IFERROR(__xludf.DUMMYFUNCTION("""COMPUTED_VALUE"""),"011-BL-058")</f>
        <v>011-BL-058</v>
      </c>
      <c r="Y260" s="1" t="str">
        <f>IFERROR(__xludf.DUMMYFUNCTION("""COMPUTED_VALUE"""),"PHASE A ST")</f>
        <v>PHASE A ST</v>
      </c>
      <c r="Z260" s="1" t="str">
        <f>IFERROR(__xludf.DUMMYFUNCTION("""COMPUTED_VALUE"""),"PEARL RESIDENCES")</f>
        <v>PEARL RESIDENCES</v>
      </c>
      <c r="AA260" s="1" t="str">
        <f>IFERROR(__xludf.DUMMYFUNCTION("""COMPUTED_VALUE"""),"CAPIPISA")</f>
        <v>CAPIPISA</v>
      </c>
      <c r="AB260" s="1" t="str">
        <f>IFERROR(__xludf.DUMMYFUNCTION("""COMPUTED_VALUE"""),"TANZA")</f>
        <v>TANZA</v>
      </c>
      <c r="AC260" s="1"/>
    </row>
    <row r="261" customHeight="1" spans="1:29">
      <c r="A261" s="3">
        <f>IFERROR(__xludf.DUMMYFUNCTION("""COMPUTED_VALUE"""),46302)</f>
        <v>46302</v>
      </c>
      <c r="B261" s="1" t="str">
        <f>IFERROR(__xludf.DUMMYFUNCTION("""COMPUTED_VALUE"""),"OCTOBER")</f>
        <v>OCTOBER</v>
      </c>
      <c r="C261" s="1" t="str">
        <f>IFERROR(__xludf.DUMMYFUNCTION("""COMPUTED_VALUE"""),"RAFAEL CABELLO MANLAPAZ")</f>
        <v>RAFAEL CABELLO MANLAPAZ</v>
      </c>
      <c r="D261" s="1" t="str">
        <f>IFERROR(__xludf.DUMMYFUNCTION("""COMPUTED_VALUE"""),"RITM0313034")</f>
        <v>RITM0313034</v>
      </c>
      <c r="E261" s="1"/>
      <c r="F261" s="1" t="str">
        <f>IFERROR(__xludf.DUMMYFUNCTION("""COMPUTED_VALUE"""),"4375219675")</f>
        <v>4375219675</v>
      </c>
      <c r="G261" s="1" t="str">
        <f>IFERROR(__xludf.DUMMYFUNCTION("""COMPUTED_VALUE"""),"ralphdeinielmanlapaz@gmail.com")</f>
        <v>ralphdeinielmanlapaz@gmail.com</v>
      </c>
      <c r="H261" s="1" t="str">
        <f>IFERROR(__xludf.DUMMYFUNCTION("""COMPUTED_VALUE"""),"CLOSED")</f>
        <v>CLOSED</v>
      </c>
      <c r="I261" s="1"/>
      <c r="J261" s="1"/>
      <c r="K261" s="1" t="str">
        <f>IFERROR(__xludf.DUMMYFUNCTION("""COMPUTED_VALUE"""),"PAID VIA GCASH REF 957652273 OCT 7")</f>
        <v>PAID VIA GCASH REF 957652273 OCT 7</v>
      </c>
      <c r="L261" s="1" t="str">
        <f>IFERROR(__xludf.DUMMYFUNCTION("""COMPUTED_VALUE"""),"PAID")</f>
        <v>PAID</v>
      </c>
      <c r="M261" s="1" t="str">
        <f>IFERROR(__xludf.DUMMYFUNCTION("""COMPUTED_VALUE"""),"POSTED")</f>
        <v>POSTED</v>
      </c>
      <c r="N261" s="1" t="str">
        <f>IFERROR(__xludf.DUMMYFUNCTION("""COMPUTED_VALUE"""),"10/10/2026")</f>
        <v>10/10/2026</v>
      </c>
      <c r="O261" s="1" t="str">
        <f>IFERROR(__xludf.DUMMYFUNCTION("""COMPUTED_VALUE"""),"RFBF_CVEU_2026")</f>
        <v>RFBF_CVEU_2026</v>
      </c>
      <c r="P261" s="1" t="str">
        <f>IFERROR(__xludf.DUMMYFUNCTION("""COMPUTED_VALUE"""),"RED FIBR 1000")</f>
        <v>RED FIBR 1000</v>
      </c>
      <c r="Q261" s="1" t="str">
        <f>IFERROR(__xludf.DUMMYFUNCTION("""COMPUTED_VALUE"""),"MMM018709")</f>
        <v>MMM018709</v>
      </c>
      <c r="R261" s="1" t="str">
        <f>IFERROR(__xludf.DUMMYFUNCTION("""COMPUTED_VALUE"""),"KAWAUCHI, SHANE")</f>
        <v>KAWAUCHI, SHANE</v>
      </c>
      <c r="S261" s="1" t="str">
        <f>IFERROR(__xludf.DUMMYFUNCTION("""COMPUTED_VALUE"""),"GARCIA MICHAEL JETTS")</f>
        <v>GARCIA MICHAEL JETTS</v>
      </c>
      <c r="T261" s="1" t="str">
        <f>IFERROR(__xludf.DUMMYFUNCTION("""COMPUTED_VALUE"""),"SALIOA JB")</f>
        <v>SALIOA JB</v>
      </c>
      <c r="U261" s="1"/>
      <c r="V261" s="1">
        <f>IFERROR(__xludf.DUMMYFUNCTION("""COMPUTED_VALUE"""),9604700455)</f>
        <v>9604700455</v>
      </c>
      <c r="W261" s="1">
        <f>IFERROR(__xludf.DUMMYFUNCTION("""COMPUTED_VALUE"""),9615335377)</f>
        <v>9615335377</v>
      </c>
      <c r="X261" s="1" t="str">
        <f>IFERROR(__xludf.DUMMYFUNCTION("""COMPUTED_VALUE"""),"005-BL-002")</f>
        <v>005-BL-002</v>
      </c>
      <c r="Y261" s="1" t="str">
        <f>IFERROR(__xludf.DUMMYFUNCTION("""COMPUTED_VALUE"""),"LLAMADO ST")</f>
        <v>LLAMADO ST</v>
      </c>
      <c r="Z261" s="1"/>
      <c r="AA261" s="1" t="str">
        <f>IFERROR(__xludf.DUMMYFUNCTION("""COMPUTED_VALUE"""),"ASIS 3 ")</f>
        <v>ASIS 3 </v>
      </c>
      <c r="AB261" s="1" t="str">
        <f>IFERROR(__xludf.DUMMYFUNCTION("""COMPUTED_VALUE"""),"MENDEZ")</f>
        <v>MENDEZ</v>
      </c>
      <c r="AC261" s="1"/>
    </row>
    <row r="262" customHeight="1" spans="1:29">
      <c r="A262" s="3">
        <f>IFERROR(__xludf.DUMMYFUNCTION("""COMPUTED_VALUE"""),46304)</f>
        <v>46304</v>
      </c>
      <c r="B262" s="1" t="str">
        <f>IFERROR(__xludf.DUMMYFUNCTION("""COMPUTED_VALUE"""),"OCTOBER")</f>
        <v>OCTOBER</v>
      </c>
      <c r="C262" s="1" t="str">
        <f>IFERROR(__xludf.DUMMYFUNCTION("""COMPUTED_VALUE"""),"EDMUNDO VILLAROSA SANTOS")</f>
        <v>EDMUNDO VILLAROSA SANTOS</v>
      </c>
      <c r="D262" s="1" t="str">
        <f>IFERROR(__xludf.DUMMYFUNCTION("""COMPUTED_VALUE"""),"RITM0313171")</f>
        <v>RITM0313171</v>
      </c>
      <c r="E262" s="1"/>
      <c r="F262" s="1" t="str">
        <f>IFERROR(__xludf.DUMMYFUNCTION("""COMPUTED_VALUE"""),"9244732654")</f>
        <v>9244732654</v>
      </c>
      <c r="G262" s="1" t="str">
        <f>IFERROR(__xludf.DUMMYFUNCTION("""COMPUTED_VALUE"""),"dianaoyad251@gmail.com")</f>
        <v>dianaoyad251@gmail.com</v>
      </c>
      <c r="H262" s="1" t="str">
        <f>IFERROR(__xludf.DUMMYFUNCTION("""COMPUTED_VALUE"""),"CLOSED")</f>
        <v>CLOSED</v>
      </c>
      <c r="I262" s="1"/>
      <c r="J262" s="1"/>
      <c r="K262" s="1" t="str">
        <f>IFERROR(__xludf.DUMMYFUNCTION("""COMPUTED_VALUE"""),"PAID VIA GCASH REF 608776218 OCT 9")</f>
        <v>PAID VIA GCASH REF 608776218 OCT 9</v>
      </c>
      <c r="L262" s="1" t="str">
        <f>IFERROR(__xludf.DUMMYFUNCTION("""COMPUTED_VALUE"""),"PAID")</f>
        <v>PAID</v>
      </c>
      <c r="M262" s="1" t="str">
        <f>IFERROR(__xludf.DUMMYFUNCTION("""COMPUTED_VALUE"""),"POSTED")</f>
        <v>POSTED</v>
      </c>
      <c r="N262" s="1" t="str">
        <f>IFERROR(__xludf.DUMMYFUNCTION("""COMPUTED_VALUE"""),"10/10/2026")</f>
        <v>10/10/2026</v>
      </c>
      <c r="O262" s="1" t="str">
        <f>IFERROR(__xludf.DUMMYFUNCTION("""COMPUTED_VALUE"""),"RFBF_CVEU_2026")</f>
        <v>RFBF_CVEU_2026</v>
      </c>
      <c r="P262" s="1" t="str">
        <f>IFERROR(__xludf.DUMMYFUNCTION("""COMPUTED_VALUE"""),"RED FIBR 1000")</f>
        <v>RED FIBR 1000</v>
      </c>
      <c r="Q262" s="1" t="str">
        <f>IFERROR(__xludf.DUMMYFUNCTION("""COMPUTED_VALUE"""),"MMM018711")</f>
        <v>MMM018711</v>
      </c>
      <c r="R262" s="1" t="str">
        <f>IFERROR(__xludf.DUMMYFUNCTION("""COMPUTED_VALUE"""),"FAUSTINO, KIM")</f>
        <v>FAUSTINO, KIM</v>
      </c>
      <c r="S262" s="1" t="str">
        <f>IFERROR(__xludf.DUMMYFUNCTION("""COMPUTED_VALUE"""),"GARCIA MICHAEL JETTS")</f>
        <v>GARCIA MICHAEL JETTS</v>
      </c>
      <c r="T262" s="1" t="str">
        <f>IFERROR(__xludf.DUMMYFUNCTION("""COMPUTED_VALUE"""),"ESPIRITU JULIE")</f>
        <v>ESPIRITU JULIE</v>
      </c>
      <c r="U262" s="1"/>
      <c r="V262" s="1">
        <f>IFERROR(__xludf.DUMMYFUNCTION("""COMPUTED_VALUE"""),9692140363)</f>
        <v>9692140363</v>
      </c>
      <c r="W262" s="1">
        <f>IFERROR(__xludf.DUMMYFUNCTION("""COMPUTED_VALUE"""),9694442315)</f>
        <v>9694442315</v>
      </c>
      <c r="X262" s="1" t="str">
        <f>IFERROR(__xludf.DUMMYFUNCTION("""COMPUTED_VALUE"""),"193")</f>
        <v>193</v>
      </c>
      <c r="Y262" s="1" t="str">
        <f>IFERROR(__xludf.DUMMYFUNCTION("""COMPUTED_VALUE"""),"DAANG MALABAG CAMERINO DRIVE")</f>
        <v>DAANG MALABAG CAMERINO DRIVE</v>
      </c>
      <c r="Z262" s="1"/>
      <c r="AA262" s="1" t="str">
        <f>IFERROR(__xludf.DUMMYFUNCTION("""COMPUTED_VALUE"""),"BUHO")</f>
        <v>BUHO</v>
      </c>
      <c r="AB262" s="1" t="str">
        <f>IFERROR(__xludf.DUMMYFUNCTION("""COMPUTED_VALUE"""),"SILANG")</f>
        <v>SILANG</v>
      </c>
      <c r="AC262" s="1" t="str">
        <f>IFERROR(__xludf.DUMMYFUNCTION("""COMPUTED_VALUE"""),"CVTLCP81NP1-3")</f>
        <v>CVTLCP81NP1-3</v>
      </c>
    </row>
    <row r="263" customHeight="1" spans="1:29">
      <c r="A263" s="3">
        <f>IFERROR(__xludf.DUMMYFUNCTION("""COMPUTED_VALUE"""),46304)</f>
        <v>46304</v>
      </c>
      <c r="B263" s="1" t="str">
        <f>IFERROR(__xludf.DUMMYFUNCTION("""COMPUTED_VALUE"""),"OCTOBER")</f>
        <v>OCTOBER</v>
      </c>
      <c r="C263" s="1" t="str">
        <f>IFERROR(__xludf.DUMMYFUNCTION("""COMPUTED_VALUE"""),"RUPERTO JR BAUTISTA MONTANO")</f>
        <v>RUPERTO JR BAUTISTA MONTANO</v>
      </c>
      <c r="D263" s="1" t="str">
        <f>IFERROR(__xludf.DUMMYFUNCTION("""COMPUTED_VALUE"""),"RITM0313174")</f>
        <v>RITM0313174</v>
      </c>
      <c r="E263" s="1"/>
      <c r="F263" s="1"/>
      <c r="G263" s="1" t="str">
        <f>IFERROR(__xludf.DUMMYFUNCTION("""COMPUTED_VALUE"""),"montanorupert@gmail.com")</f>
        <v>montanorupert@gmail.com</v>
      </c>
      <c r="H263" s="1" t="str">
        <f>IFERROR(__xludf.DUMMYFUNCTION("""COMPUTED_VALUE"""),"APPROVED")</f>
        <v>APPROVED</v>
      </c>
      <c r="I263" s="1"/>
      <c r="J263" s="1" t="str">
        <f>IFERROR(__xludf.DUMMYFUNCTION("""COMPUTED_VALUE"""),"As per anak ni subs cancel nalang daw po hindi na daw need ng internet 10/19")</f>
        <v>As per anak ni subs cancel nalang daw po hindi na daw need ng internet 10/19</v>
      </c>
      <c r="K263" s="1"/>
      <c r="L263" s="1"/>
      <c r="M263" s="1" t="str">
        <f>IFERROR(__xludf.DUMMYFUNCTION("""COMPUTED_VALUE"""),"CANCELLED - SUBS CANCEL REQUEST")</f>
        <v>CANCELLED - SUBS CANCEL REQUEST</v>
      </c>
      <c r="N263" s="1"/>
      <c r="O263" s="1" t="str">
        <f>IFERROR(__xludf.DUMMYFUNCTION("""COMPUTED_VALUE"""),"RFBF_CVEU_2026")</f>
        <v>RFBF_CVEU_2026</v>
      </c>
      <c r="P263" s="1" t="str">
        <f>IFERROR(__xludf.DUMMYFUNCTION("""COMPUTED_VALUE"""),"RED FIBR 1000")</f>
        <v>RED FIBR 1000</v>
      </c>
      <c r="Q263" s="1" t="str">
        <f>IFERROR(__xludf.DUMMYFUNCTION("""COMPUTED_VALUE"""),"MMM018709")</f>
        <v>MMM018709</v>
      </c>
      <c r="R263" s="1" t="str">
        <f>IFERROR(__xludf.DUMMYFUNCTION("""COMPUTED_VALUE"""),"ALDIENTE , ANGEL")</f>
        <v>ALDIENTE , ANGEL</v>
      </c>
      <c r="S263" s="1" t="str">
        <f>IFERROR(__xludf.DUMMYFUNCTION("""COMPUTED_VALUE"""),"GARCIA MICHAEL JETTS")</f>
        <v>GARCIA MICHAEL JETTS</v>
      </c>
      <c r="T263" s="1" t="str">
        <f>IFERROR(__xludf.DUMMYFUNCTION("""COMPUTED_VALUE"""),"ESPIRITU JULIE")</f>
        <v>ESPIRITU JULIE</v>
      </c>
      <c r="U263" s="1"/>
      <c r="V263" s="1">
        <f>IFERROR(__xludf.DUMMYFUNCTION("""COMPUTED_VALUE"""),9622010085)</f>
        <v>9622010085</v>
      </c>
      <c r="W263" s="1">
        <f>IFERROR(__xludf.DUMMYFUNCTION("""COMPUTED_VALUE"""),9462695992)</f>
        <v>9462695992</v>
      </c>
      <c r="X263" s="1" t="str">
        <f>IFERROR(__xludf.DUMMYFUNCTION("""COMPUTED_VALUE"""),"3885")</f>
        <v>3885</v>
      </c>
      <c r="Y263" s="1" t="str">
        <f>IFERROR(__xludf.DUMMYFUNCTION("""COMPUTED_VALUE"""),"SAN JOSE ST")</f>
        <v>SAN JOSE ST</v>
      </c>
      <c r="Z263" s="1"/>
      <c r="AA263" s="1" t="str">
        <f>IFERROR(__xludf.DUMMYFUNCTION("""COMPUTED_VALUE"""),"BARANGAY I (POB.)")</f>
        <v>BARANGAY I (POB.)</v>
      </c>
      <c r="AB263" s="1" t="str">
        <f>IFERROR(__xludf.DUMMYFUNCTION("""COMPUTED_VALUE"""),"TANZA")</f>
        <v>TANZA</v>
      </c>
      <c r="AC263" s="1" t="str">
        <f>IFERROR(__xludf.DUMMYFUNCTION("""COMPUTED_VALUE"""),"CVT6LCP205NP1-4")</f>
        <v>CVT6LCP205NP1-4</v>
      </c>
    </row>
    <row r="264" customHeight="1" spans="1:29">
      <c r="A264" s="3">
        <f>IFERROR(__xludf.DUMMYFUNCTION("""COMPUTED_VALUE"""),46304)</f>
        <v>46304</v>
      </c>
      <c r="B264" s="1" t="str">
        <f>IFERROR(__xludf.DUMMYFUNCTION("""COMPUTED_VALUE"""),"OCTOBER")</f>
        <v>OCTOBER</v>
      </c>
      <c r="C264" s="1" t="str">
        <f>IFERROR(__xludf.DUMMYFUNCTION("""COMPUTED_VALUE"""),"EDGAR CHAVEZ CAYETANO")</f>
        <v>EDGAR CHAVEZ CAYETANO</v>
      </c>
      <c r="D264" s="1" t="str">
        <f>IFERROR(__xludf.DUMMYFUNCTION("""COMPUTED_VALUE"""),"RITM0313209")</f>
        <v>RITM0313209</v>
      </c>
      <c r="E264" s="1"/>
      <c r="F264" s="1" t="str">
        <f>IFERROR(__xludf.DUMMYFUNCTION("""COMPUTED_VALUE"""),"4318793854")</f>
        <v>4318793854</v>
      </c>
      <c r="G264" s="1" t="str">
        <f>IFERROR(__xludf.DUMMYFUNCTION("""COMPUTED_VALUE"""),"egli92816@gmail.com")</f>
        <v>egli92816@gmail.com</v>
      </c>
      <c r="H264" s="1" t="str">
        <f>IFERROR(__xludf.DUMMYFUNCTION("""COMPUTED_VALUE"""),"APPROVED")</f>
        <v>APPROVED</v>
      </c>
      <c r="I264" s="1"/>
      <c r="J264" s="1" t="str">
        <f>IFERROR(__xludf.DUMMYFUNCTION("""COMPUTED_VALUE"""),"MAG PAYMENT WITHIN THIS WEEK AS PER SUBS 10/13")</f>
        <v>MAG PAYMENT WITHIN THIS WEEK AS PER SUBS 10/13</v>
      </c>
      <c r="K264" s="1"/>
      <c r="L264" s="1"/>
      <c r="M264" s="1" t="str">
        <f>IFERROR(__xludf.DUMMYFUNCTION("""COMPUTED_VALUE"""),"FOR PAYMENT - FOR CALL OUT")</f>
        <v>FOR PAYMENT - FOR CALL OUT</v>
      </c>
      <c r="N264" s="1"/>
      <c r="O264" s="1" t="str">
        <f>IFERROR(__xludf.DUMMYFUNCTION("""COMPUTED_VALUE"""),"RFBF_CVEU_2026")</f>
        <v>RFBF_CVEU_2026</v>
      </c>
      <c r="P264" s="1" t="str">
        <f>IFERROR(__xludf.DUMMYFUNCTION("""COMPUTED_VALUE"""),"RED FIBR 1000")</f>
        <v>RED FIBR 1000</v>
      </c>
      <c r="Q264" s="1" t="str">
        <f>IFERROR(__xludf.DUMMYFUNCTION("""COMPUTED_VALUE"""),"MMM018711")</f>
        <v>MMM018711</v>
      </c>
      <c r="R264" s="1" t="str">
        <f>IFERROR(__xludf.DUMMYFUNCTION("""COMPUTED_VALUE"""),"YOLANGCO, MARVIN")</f>
        <v>YOLANGCO, MARVIN</v>
      </c>
      <c r="S264" s="1" t="str">
        <f>IFERROR(__xludf.DUMMYFUNCTION("""COMPUTED_VALUE"""),"GARCIA MICHAEL JETTS")</f>
        <v>GARCIA MICHAEL JETTS</v>
      </c>
      <c r="T264" s="1" t="str">
        <f>IFERROR(__xludf.DUMMYFUNCTION("""COMPUTED_VALUE"""),"ESPIRITU JULIE")</f>
        <v>ESPIRITU JULIE</v>
      </c>
      <c r="U264" s="1"/>
      <c r="V264" s="1">
        <f>IFERROR(__xludf.DUMMYFUNCTION("""COMPUTED_VALUE"""),9677144078)</f>
        <v>9677144078</v>
      </c>
      <c r="W264" s="1"/>
      <c r="X264" s="1" t="str">
        <f>IFERROR(__xludf.DUMMYFUNCTION("""COMPUTED_VALUE"""),"1070")</f>
        <v>1070</v>
      </c>
      <c r="Y264" s="1" t="str">
        <f>IFERROR(__xludf.DUMMYFUNCTION("""COMPUTED_VALUE"""),"MALIGAYA ST")</f>
        <v>MALIGAYA ST</v>
      </c>
      <c r="Z264" s="1"/>
      <c r="AA264" s="1" t="str">
        <f>IFERROR(__xludf.DUMMYFUNCTION("""COMPUTED_VALUE"""),"BIWAS")</f>
        <v>BIWAS</v>
      </c>
      <c r="AB264" s="1" t="str">
        <f>IFERROR(__xludf.DUMMYFUNCTION("""COMPUTED_VALUE"""),"TANZA")</f>
        <v>TANZA</v>
      </c>
      <c r="AC264" s="1"/>
    </row>
    <row r="265" customHeight="1" spans="1:29">
      <c r="A265" s="3">
        <f>IFERROR(__xludf.DUMMYFUNCTION("""COMPUTED_VALUE"""),46304)</f>
        <v>46304</v>
      </c>
      <c r="B265" s="1" t="str">
        <f>IFERROR(__xludf.DUMMYFUNCTION("""COMPUTED_VALUE"""),"OCTOBER")</f>
        <v>OCTOBER</v>
      </c>
      <c r="C265" s="1" t="str">
        <f>IFERROR(__xludf.DUMMYFUNCTION("""COMPUTED_VALUE"""),"MANILYN ALCANTARA OMBAO")</f>
        <v>MANILYN ALCANTARA OMBAO</v>
      </c>
      <c r="D265" s="1" t="str">
        <f>IFERROR(__xludf.DUMMYFUNCTION("""COMPUTED_VALUE"""),"RITM0313218")</f>
        <v>RITM0313218</v>
      </c>
      <c r="E265" s="1"/>
      <c r="F265" s="1" t="str">
        <f>IFERROR(__xludf.DUMMYFUNCTION("""COMPUTED_VALUE"""),"6375931732")</f>
        <v>6375931732</v>
      </c>
      <c r="G265" s="1" t="str">
        <f>IFERROR(__xludf.DUMMYFUNCTION("""COMPUTED_VALUE"""),"emjhayalcantara04@gmail.com")</f>
        <v>emjhayalcantara04@gmail.com</v>
      </c>
      <c r="H265" s="1" t="str">
        <f>IFERROR(__xludf.DUMMYFUNCTION("""COMPUTED_VALUE"""),"CLOSED")</f>
        <v>CLOSED</v>
      </c>
      <c r="I265" s="1"/>
      <c r="J265" s="1"/>
      <c r="K265" s="1" t="str">
        <f>IFERROR(__xludf.DUMMYFUNCTION("""COMPUTED_VALUE"""),"PAID VIA GASH REF 563131287 OCT 9 ")</f>
        <v>PAID VIA GASH REF 563131287 OCT 9 </v>
      </c>
      <c r="L265" s="1" t="str">
        <f>IFERROR(__xludf.DUMMYFUNCTION("""COMPUTED_VALUE"""),"PAID")</f>
        <v>PAID</v>
      </c>
      <c r="M265" s="1" t="str">
        <f>IFERROR(__xludf.DUMMYFUNCTION("""COMPUTED_VALUE"""),"POSTED")</f>
        <v>POSTED</v>
      </c>
      <c r="N265" s="1" t="str">
        <f>IFERROR(__xludf.DUMMYFUNCTION("""COMPUTED_VALUE"""),"10/11/2026")</f>
        <v>10/11/2026</v>
      </c>
      <c r="O265" s="1" t="str">
        <f>IFERROR(__xludf.DUMMYFUNCTION("""COMPUTED_VALUE"""),"RFBF_CVEU_2026")</f>
        <v>RFBF_CVEU_2026</v>
      </c>
      <c r="P265" s="1" t="str">
        <f>IFERROR(__xludf.DUMMYFUNCTION("""COMPUTED_VALUE"""),"RED FIBR 1000")</f>
        <v>RED FIBR 1000</v>
      </c>
      <c r="Q265" s="1" t="str">
        <f>IFERROR(__xludf.DUMMYFUNCTION("""COMPUTED_VALUE"""),"MMM018713")</f>
        <v>MMM018713</v>
      </c>
      <c r="R265" s="1" t="str">
        <f>IFERROR(__xludf.DUMMYFUNCTION("""COMPUTED_VALUE"""),"MALIWAT MARK")</f>
        <v>MALIWAT MARK</v>
      </c>
      <c r="S265" s="1" t="str">
        <f>IFERROR(__xludf.DUMMYFUNCTION("""COMPUTED_VALUE"""),"NAVARRO JERIC")</f>
        <v>NAVARRO JERIC</v>
      </c>
      <c r="T265" s="1" t="str">
        <f>IFERROR(__xludf.DUMMYFUNCTION("""COMPUTED_VALUE"""),"ESPIRITU JULIE")</f>
        <v>ESPIRITU JULIE</v>
      </c>
      <c r="U265" s="1"/>
      <c r="V265" s="1">
        <f>IFERROR(__xludf.DUMMYFUNCTION("""COMPUTED_VALUE"""),9086231267)</f>
        <v>9086231267</v>
      </c>
      <c r="W265" s="1">
        <f>IFERROR(__xludf.DUMMYFUNCTION("""COMPUTED_VALUE"""),9271567571)</f>
        <v>9271567571</v>
      </c>
      <c r="X265" s="1" t="str">
        <f>IFERROR(__xludf.DUMMYFUNCTION("""COMPUTED_VALUE"""),"124")</f>
        <v>124</v>
      </c>
      <c r="Y265" s="1" t="str">
        <f>IFERROR(__xludf.DUMMYFUNCTION("""COMPUTED_VALUE"""),"LLAMADO ST")</f>
        <v>LLAMADO ST</v>
      </c>
      <c r="Z265" s="1"/>
      <c r="AA265" s="1" t="str">
        <f>IFERROR(__xludf.DUMMYFUNCTION("""COMPUTED_VALUE"""),"ASIS 1")</f>
        <v>ASIS 1</v>
      </c>
      <c r="AB265" s="1" t="str">
        <f>IFERROR(__xludf.DUMMYFUNCTION("""COMPUTED_VALUE"""),"MENDEZ")</f>
        <v>MENDEZ</v>
      </c>
      <c r="AC265" s="1" t="str">
        <f>IFERROR(__xludf.DUMMYFUNCTION("""COMPUTED_VALUE"""),"CVT2LCP60NP3-9")</f>
        <v>CVT2LCP60NP3-9</v>
      </c>
    </row>
    <row r="266" customHeight="1" spans="1:29">
      <c r="A266" s="3">
        <f>IFERROR(__xludf.DUMMYFUNCTION("""COMPUTED_VALUE"""),46305)</f>
        <v>46305</v>
      </c>
      <c r="B266" s="1" t="str">
        <f>IFERROR(__xludf.DUMMYFUNCTION("""COMPUTED_VALUE"""),"OCTOBER")</f>
        <v>OCTOBER</v>
      </c>
      <c r="C266" s="1" t="str">
        <f>IFERROR(__xludf.DUMMYFUNCTION("""COMPUTED_VALUE"""),"ALPRENCE GIGANTO ABELITA")</f>
        <v>ALPRENCE GIGANTO ABELITA</v>
      </c>
      <c r="D266" s="1" t="str">
        <f>IFERROR(__xludf.DUMMYFUNCTION("""COMPUTED_VALUE"""),"RITM0313288")</f>
        <v>RITM0313288</v>
      </c>
      <c r="E266" s="1"/>
      <c r="F266" s="1" t="str">
        <f>IFERROR(__xludf.DUMMYFUNCTION("""COMPUTED_VALUE"""),"7311397520")</f>
        <v>7311397520</v>
      </c>
      <c r="G266" s="1" t="str">
        <f>IFERROR(__xludf.DUMMYFUNCTION("""COMPUTED_VALUE"""),"alprenceabelita@gmail.com")</f>
        <v>alprenceabelita@gmail.com</v>
      </c>
      <c r="H266" s="1" t="str">
        <f>IFERROR(__xludf.DUMMYFUNCTION("""COMPUTED_VALUE"""),"CLOSED")</f>
        <v>CLOSED</v>
      </c>
      <c r="I266" s="1"/>
      <c r="J266" s="1"/>
      <c r="K266" s="1" t="str">
        <f>IFERROR(__xludf.DUMMYFUNCTION("""COMPUTED_VALUE"""),"PAID - OCT 11")</f>
        <v>PAID - OCT 11</v>
      </c>
      <c r="L266" s="1" t="str">
        <f>IFERROR(__xludf.DUMMYFUNCTION("""COMPUTED_VALUE"""),"PAID")</f>
        <v>PAID</v>
      </c>
      <c r="M266" s="1" t="str">
        <f>IFERROR(__xludf.DUMMYFUNCTION("""COMPUTED_VALUE"""),"POSTED")</f>
        <v>POSTED</v>
      </c>
      <c r="N266" s="1" t="str">
        <f>IFERROR(__xludf.DUMMYFUNCTION("""COMPUTED_VALUE"""),"10/11/2026")</f>
        <v>10/11/2026</v>
      </c>
      <c r="O266" s="1" t="str">
        <f>IFERROR(__xludf.DUMMYFUNCTION("""COMPUTED_VALUE"""),"RFBF_CVEU_2026")</f>
        <v>RFBF_CVEU_2026</v>
      </c>
      <c r="P266" s="1" t="str">
        <f>IFERROR(__xludf.DUMMYFUNCTION("""COMPUTED_VALUE"""),"RED FIBR 1000")</f>
        <v>RED FIBR 1000</v>
      </c>
      <c r="Q266" s="1" t="str">
        <f>IFERROR(__xludf.DUMMYFUNCTION("""COMPUTED_VALUE"""),"MMM018713")</f>
        <v>MMM018713</v>
      </c>
      <c r="R266" s="1" t="str">
        <f>IFERROR(__xludf.DUMMYFUNCTION("""COMPUTED_VALUE"""),"PEREZ. RONELL ")</f>
        <v>PEREZ. RONELL </v>
      </c>
      <c r="S266" s="1" t="str">
        <f>IFERROR(__xludf.DUMMYFUNCTION("""COMPUTED_VALUE"""),"GARCIA MICHAEL JETTS")</f>
        <v>GARCIA MICHAEL JETTS</v>
      </c>
      <c r="T266" s="1" t="str">
        <f>IFERROR(__xludf.DUMMYFUNCTION("""COMPUTED_VALUE"""),"MALIWAT MARK")</f>
        <v>MALIWAT MARK</v>
      </c>
      <c r="U266" s="1"/>
      <c r="V266" s="1">
        <f>IFERROR(__xludf.DUMMYFUNCTION("""COMPUTED_VALUE"""),9940432960)</f>
        <v>9940432960</v>
      </c>
      <c r="W266" s="1">
        <f>IFERROR(__xludf.DUMMYFUNCTION("""COMPUTED_VALUE"""),9940432960)</f>
        <v>9940432960</v>
      </c>
      <c r="X266" s="1" t="str">
        <f>IFERROR(__xludf.DUMMYFUNCTION("""COMPUTED_VALUE"""),"BLK 7 LOT 18")</f>
        <v>BLK 7 LOT 18</v>
      </c>
      <c r="Y266" s="1" t="str">
        <f>IFERROR(__xludf.DUMMYFUNCTION("""COMPUTED_VALUE"""),"PEARL RESIDENCES PHASE A RD")</f>
        <v>PEARL RESIDENCES PHASE A RD</v>
      </c>
      <c r="Z266" s="1" t="str">
        <f>IFERROR(__xludf.DUMMYFUNCTION("""COMPUTED_VALUE"""),"PEARL RESIDENCES PHASE A ")</f>
        <v>PEARL RESIDENCES PHASE A </v>
      </c>
      <c r="AA266" s="1" t="str">
        <f>IFERROR(__xludf.DUMMYFUNCTION("""COMPUTED_VALUE"""),"CAPIPISA")</f>
        <v>CAPIPISA</v>
      </c>
      <c r="AB266" s="1" t="str">
        <f>IFERROR(__xludf.DUMMYFUNCTION("""COMPUTED_VALUE"""),"TANZA")</f>
        <v>TANZA</v>
      </c>
      <c r="AC266" s="1"/>
    </row>
    <row r="267" customHeight="1" spans="1:29">
      <c r="A267" s="3">
        <f>IFERROR(__xludf.DUMMYFUNCTION("""COMPUTED_VALUE"""),46305)</f>
        <v>46305</v>
      </c>
      <c r="B267" s="1" t="str">
        <f>IFERROR(__xludf.DUMMYFUNCTION("""COMPUTED_VALUE"""),"OCTOBER")</f>
        <v>OCTOBER</v>
      </c>
      <c r="C267" s="1" t="str">
        <f>IFERROR(__xludf.DUMMYFUNCTION("""COMPUTED_VALUE"""),"VICENTA ALCARAZ REYES")</f>
        <v>VICENTA ALCARAZ REYES</v>
      </c>
      <c r="D267" s="1" t="str">
        <f>IFERROR(__xludf.DUMMYFUNCTION("""COMPUTED_VALUE"""),"RITM0313293")</f>
        <v>RITM0313293</v>
      </c>
      <c r="E267" s="1"/>
      <c r="F267" s="1"/>
      <c r="G267" s="1" t="str">
        <f>IFERROR(__xludf.DUMMYFUNCTION("""COMPUTED_VALUE"""),"raymartreyes2025@gmail.com")</f>
        <v>raymartreyes2025@gmail.com</v>
      </c>
      <c r="H267" s="1" t="str">
        <f>IFERROR(__xludf.DUMMYFUNCTION("""COMPUTED_VALUE"""),"REJECTED")</f>
        <v>REJECTED</v>
      </c>
      <c r="I267" s="1"/>
      <c r="J267" s="1"/>
      <c r="K267" s="1"/>
      <c r="L267" s="1"/>
      <c r="M267" s="1" t="str">
        <f>IFERROR(__xludf.DUMMYFUNCTION("""COMPUTED_VALUE"""),"REENCODED")</f>
        <v>REENCODED</v>
      </c>
      <c r="N267" s="1"/>
      <c r="O267" s="1" t="str">
        <f>IFERROR(__xludf.DUMMYFUNCTION("""COMPUTED_VALUE"""),"RFBF_CVEU_2026")</f>
        <v>RFBF_CVEU_2026</v>
      </c>
      <c r="P267" s="1" t="str">
        <f>IFERROR(__xludf.DUMMYFUNCTION("""COMPUTED_VALUE"""),"RED FIBR 1000")</f>
        <v>RED FIBR 1000</v>
      </c>
      <c r="Q267" s="1" t="str">
        <f>IFERROR(__xludf.DUMMYFUNCTION("""COMPUTED_VALUE"""),"MMM018709")</f>
        <v>MMM018709</v>
      </c>
      <c r="R267" s="1" t="str">
        <f>IFERROR(__xludf.DUMMYFUNCTION("""COMPUTED_VALUE"""),"AYON, MANUEL")</f>
        <v>AYON, MANUEL</v>
      </c>
      <c r="S267" s="1" t="str">
        <f>IFERROR(__xludf.DUMMYFUNCTION("""COMPUTED_VALUE"""),"NAVARRO JERIC")</f>
        <v>NAVARRO JERIC</v>
      </c>
      <c r="T267" s="1" t="str">
        <f>IFERROR(__xludf.DUMMYFUNCTION("""COMPUTED_VALUE"""),"MALIWAT MARK")</f>
        <v>MALIWAT MARK</v>
      </c>
      <c r="U267" s="1"/>
      <c r="V267" s="1">
        <f>IFERROR(__xludf.DUMMYFUNCTION("""COMPUTED_VALUE"""),9166843829)</f>
        <v>9166843829</v>
      </c>
      <c r="W267" s="1">
        <f>IFERROR(__xludf.DUMMYFUNCTION("""COMPUTED_VALUE"""),9166843829)</f>
        <v>9166843829</v>
      </c>
      <c r="X267" s="1" t="str">
        <f>IFERROR(__xludf.DUMMYFUNCTION("""COMPUTED_VALUE"""),"73")</f>
        <v>73</v>
      </c>
      <c r="Y267" s="1" t="str">
        <f>IFERROR(__xludf.DUMMYFUNCTION("""COMPUTED_VALUE"""),"PALIGAWAN RD
")</f>
        <v>PALIGAWAN RD
</v>
      </c>
      <c r="Z267" s="1"/>
      <c r="AA267" s="1" t="str">
        <f>IFERROR(__xludf.DUMMYFUNCTION("""COMPUTED_VALUE"""),"PALIGAWAN ")</f>
        <v>PALIGAWAN </v>
      </c>
      <c r="AB267" s="1" t="str">
        <f>IFERROR(__xludf.DUMMYFUNCTION("""COMPUTED_VALUE"""),"SILANG")</f>
        <v>SILANG</v>
      </c>
      <c r="AC267" s="1"/>
    </row>
    <row r="268" customHeight="1" spans="1:29">
      <c r="A268" s="3">
        <f>IFERROR(__xludf.DUMMYFUNCTION("""COMPUTED_VALUE"""),46305)</f>
        <v>46305</v>
      </c>
      <c r="B268" s="1" t="str">
        <f>IFERROR(__xludf.DUMMYFUNCTION("""COMPUTED_VALUE"""),"OCTOBER")</f>
        <v>OCTOBER</v>
      </c>
      <c r="C268" s="1" t="str">
        <f>IFERROR(__xludf.DUMMYFUNCTION("""COMPUTED_VALUE"""),"VICENTA ALCARAZ REYES")</f>
        <v>VICENTA ALCARAZ REYES</v>
      </c>
      <c r="D268" s="1" t="str">
        <f>IFERROR(__xludf.DUMMYFUNCTION("""COMPUTED_VALUE"""),"RITM0313297")</f>
        <v>RITM0313297</v>
      </c>
      <c r="E268" s="1"/>
      <c r="F268" s="1" t="str">
        <f>IFERROR(__xludf.DUMMYFUNCTION("""COMPUTED_VALUE"""),"1841867580")</f>
        <v>1841867580</v>
      </c>
      <c r="G268" s="1" t="str">
        <f>IFERROR(__xludf.DUMMYFUNCTION("""COMPUTED_VALUE"""),"raymartreyes2025@gmail.com")</f>
        <v>raymartreyes2025@gmail.com</v>
      </c>
      <c r="H268" s="1" t="str">
        <f>IFERROR(__xludf.DUMMYFUNCTION("""COMPUTED_VALUE"""),"CLOSED")</f>
        <v>CLOSED</v>
      </c>
      <c r="I268" s="1"/>
      <c r="J268" s="1"/>
      <c r="K268" s="1" t="str">
        <f>IFERROR(__xludf.DUMMYFUNCTION("""COMPUTED_VALUE"""),"PAID VIA GCASH REF 473782262")</f>
        <v>PAID VIA GCASH REF 473782262</v>
      </c>
      <c r="L268" s="1" t="str">
        <f>IFERROR(__xludf.DUMMYFUNCTION("""COMPUTED_VALUE"""),"PAID")</f>
        <v>PAID</v>
      </c>
      <c r="M268" s="1" t="str">
        <f>IFERROR(__xludf.DUMMYFUNCTION("""COMPUTED_VALUE"""),"POSTED")</f>
        <v>POSTED</v>
      </c>
      <c r="N268" s="1" t="str">
        <f>IFERROR(__xludf.DUMMYFUNCTION("""COMPUTED_VALUE"""),"10/12/2026")</f>
        <v>10/12/2026</v>
      </c>
      <c r="O268" s="1" t="str">
        <f>IFERROR(__xludf.DUMMYFUNCTION("""COMPUTED_VALUE"""),"RFBF_CVEU_2026")</f>
        <v>RFBF_CVEU_2026</v>
      </c>
      <c r="P268" s="1" t="str">
        <f>IFERROR(__xludf.DUMMYFUNCTION("""COMPUTED_VALUE"""),"RED FIBR 1000")</f>
        <v>RED FIBR 1000</v>
      </c>
      <c r="Q268" s="1" t="str">
        <f>IFERROR(__xludf.DUMMYFUNCTION("""COMPUTED_VALUE"""),"MMM018709")</f>
        <v>MMM018709</v>
      </c>
      <c r="R268" s="1" t="str">
        <f>IFERROR(__xludf.DUMMYFUNCTION("""COMPUTED_VALUE"""),"AYON, MANUEL")</f>
        <v>AYON, MANUEL</v>
      </c>
      <c r="S268" s="1" t="str">
        <f>IFERROR(__xludf.DUMMYFUNCTION("""COMPUTED_VALUE"""),"NAVARRO JERIC")</f>
        <v>NAVARRO JERIC</v>
      </c>
      <c r="T268" s="1" t="str">
        <f>IFERROR(__xludf.DUMMYFUNCTION("""COMPUTED_VALUE"""),"MALIWAT MARK")</f>
        <v>MALIWAT MARK</v>
      </c>
      <c r="U268" s="1"/>
      <c r="V268" s="1">
        <f>IFERROR(__xludf.DUMMYFUNCTION("""COMPUTED_VALUE"""),9166843829)</f>
        <v>9166843829</v>
      </c>
      <c r="W268" s="1">
        <f>IFERROR(__xludf.DUMMYFUNCTION("""COMPUTED_VALUE"""),9166843829)</f>
        <v>9166843829</v>
      </c>
      <c r="X268" s="1" t="str">
        <f>IFERROR(__xludf.DUMMYFUNCTION("""COMPUTED_VALUE"""),"73")</f>
        <v>73</v>
      </c>
      <c r="Y268" s="1" t="str">
        <f>IFERROR(__xludf.DUMMYFUNCTION("""COMPUTED_VALUE"""),"PALIGAWAN RD
")</f>
        <v>PALIGAWAN RD
</v>
      </c>
      <c r="Z268" s="1"/>
      <c r="AA268" s="1" t="str">
        <f>IFERROR(__xludf.DUMMYFUNCTION("""COMPUTED_VALUE"""),"PALIGAWAN ")</f>
        <v>PALIGAWAN </v>
      </c>
      <c r="AB268" s="1" t="str">
        <f>IFERROR(__xludf.DUMMYFUNCTION("""COMPUTED_VALUE"""),"SILANG")</f>
        <v>SILANG</v>
      </c>
      <c r="AC268" s="1"/>
    </row>
    <row r="269" customHeight="1" spans="1:29">
      <c r="A269" s="3">
        <f>IFERROR(__xludf.DUMMYFUNCTION("""COMPUTED_VALUE"""),46305)</f>
        <v>46305</v>
      </c>
      <c r="B269" s="1" t="str">
        <f>IFERROR(__xludf.DUMMYFUNCTION("""COMPUTED_VALUE"""),"OCTOBER")</f>
        <v>OCTOBER</v>
      </c>
      <c r="C269" s="1" t="str">
        <f>IFERROR(__xludf.DUMMYFUNCTION("""COMPUTED_VALUE"""),"MARCELA ARTISTA DELICANA")</f>
        <v>MARCELA ARTISTA DELICANA</v>
      </c>
      <c r="D269" s="1" t="str">
        <f>IFERROR(__xludf.DUMMYFUNCTION("""COMPUTED_VALUE"""),"RITM0313301")</f>
        <v>RITM0313301</v>
      </c>
      <c r="E269" s="1"/>
      <c r="F269" s="1"/>
      <c r="G269" s="1" t="str">
        <f>IFERROR(__xludf.DUMMYFUNCTION("""COMPUTED_VALUE"""),"marceladelicana@gmail.com")</f>
        <v>marceladelicana@gmail.com</v>
      </c>
      <c r="H269" s="1" t="str">
        <f>IFERROR(__xludf.DUMMYFUNCTION("""COMPUTED_VALUE"""),"REJECTED")</f>
        <v>REJECTED</v>
      </c>
      <c r="I269" s="1"/>
      <c r="J269" s="1"/>
      <c r="K269" s="1"/>
      <c r="L269" s="1"/>
      <c r="M269" s="1" t="str">
        <f>IFERROR(__xludf.DUMMYFUNCTION("""COMPUTED_VALUE"""),"REENCODED")</f>
        <v>REENCODED</v>
      </c>
      <c r="N269" s="1"/>
      <c r="O269" s="1" t="str">
        <f>IFERROR(__xludf.DUMMYFUNCTION("""COMPUTED_VALUE"""),"RFBF_CVEU_2026")</f>
        <v>RFBF_CVEU_2026</v>
      </c>
      <c r="P269" s="1" t="str">
        <f>IFERROR(__xludf.DUMMYFUNCTION("""COMPUTED_VALUE"""),"RED FIBR 1400")</f>
        <v>RED FIBR 1400</v>
      </c>
      <c r="Q269" s="1" t="str">
        <f>IFERROR(__xludf.DUMMYFUNCTION("""COMPUTED_VALUE"""),"MMM018709")</f>
        <v>MMM018709</v>
      </c>
      <c r="R269" s="1" t="str">
        <f>IFERROR(__xludf.DUMMYFUNCTION("""COMPUTED_VALUE"""),"AYON, MANUEL")</f>
        <v>AYON, MANUEL</v>
      </c>
      <c r="S269" s="1" t="str">
        <f>IFERROR(__xludf.DUMMYFUNCTION("""COMPUTED_VALUE"""),"NAVARRO JERIC")</f>
        <v>NAVARRO JERIC</v>
      </c>
      <c r="T269" s="1" t="str">
        <f>IFERROR(__xludf.DUMMYFUNCTION("""COMPUTED_VALUE"""),"MALIWAT MARK")</f>
        <v>MALIWAT MARK</v>
      </c>
      <c r="U269" s="1"/>
      <c r="V269" s="1">
        <f>IFERROR(__xludf.DUMMYFUNCTION("""COMPUTED_VALUE"""),9758108489)</f>
        <v>9758108489</v>
      </c>
      <c r="W269" s="1">
        <f>IFERROR(__xludf.DUMMYFUNCTION("""COMPUTED_VALUE"""),9569631214)</f>
        <v>9569631214</v>
      </c>
      <c r="X269" s="1" t="str">
        <f>IFERROR(__xludf.DUMMYFUNCTION("""COMPUTED_VALUE"""),"88")</f>
        <v>88</v>
      </c>
      <c r="Y269" s="1" t="str">
        <f>IFERROR(__xludf.DUMMYFUNCTION("""COMPUTED_VALUE"""),"PALIGAWAN RD
")</f>
        <v>PALIGAWAN RD
</v>
      </c>
      <c r="Z269" s="1"/>
      <c r="AA269" s="1" t="str">
        <f>IFERROR(__xludf.DUMMYFUNCTION("""COMPUTED_VALUE"""),"PALIGAWAN ")</f>
        <v>PALIGAWAN </v>
      </c>
      <c r="AB269" s="1" t="str">
        <f>IFERROR(__xludf.DUMMYFUNCTION("""COMPUTED_VALUE"""),"SILANG")</f>
        <v>SILANG</v>
      </c>
      <c r="AC269" s="1"/>
    </row>
    <row r="270" customHeight="1" spans="1:29">
      <c r="A270" s="3">
        <f>IFERROR(__xludf.DUMMYFUNCTION("""COMPUTED_VALUE"""),46305)</f>
        <v>46305</v>
      </c>
      <c r="B270" s="1" t="str">
        <f>IFERROR(__xludf.DUMMYFUNCTION("""COMPUTED_VALUE"""),"OCTOBER")</f>
        <v>OCTOBER</v>
      </c>
      <c r="C270" s="1" t="str">
        <f>IFERROR(__xludf.DUMMYFUNCTION("""COMPUTED_VALUE"""),"MARCELA ARTISTA DELICANA")</f>
        <v>MARCELA ARTISTA DELICANA</v>
      </c>
      <c r="D270" s="1" t="str">
        <f>IFERROR(__xludf.DUMMYFUNCTION("""COMPUTED_VALUE"""),"RITM0313309")</f>
        <v>RITM0313309</v>
      </c>
      <c r="E270" s="1"/>
      <c r="F270" s="1" t="str">
        <f>IFERROR(__xludf.DUMMYFUNCTION("""COMPUTED_VALUE"""),"4637957497")</f>
        <v>4637957497</v>
      </c>
      <c r="G270" s="1" t="str">
        <f>IFERROR(__xludf.DUMMYFUNCTION("""COMPUTED_VALUE"""),"marceladelicana@gmail.com")</f>
        <v>marceladelicana@gmail.com</v>
      </c>
      <c r="H270" s="1" t="str">
        <f>IFERROR(__xludf.DUMMYFUNCTION("""COMPUTED_VALUE"""),"CLOSED")</f>
        <v>CLOSED</v>
      </c>
      <c r="I270" s="1"/>
      <c r="J270" s="1"/>
      <c r="K270" s="1" t="str">
        <f>IFERROR(__xludf.DUMMYFUNCTION("""COMPUTED_VALUE"""),"PAID VIA GCASH REF 009629806 OCT 12 ")</f>
        <v>PAID VIA GCASH REF 009629806 OCT 12 </v>
      </c>
      <c r="L270" s="1" t="str">
        <f>IFERROR(__xludf.DUMMYFUNCTION("""COMPUTED_VALUE"""),"PAID")</f>
        <v>PAID</v>
      </c>
      <c r="M270" s="1" t="str">
        <f>IFERROR(__xludf.DUMMYFUNCTION("""COMPUTED_VALUE"""),"POSTED")</f>
        <v>POSTED</v>
      </c>
      <c r="N270" s="1" t="str">
        <f>IFERROR(__xludf.DUMMYFUNCTION("""COMPUTED_VALUE"""),"10/12/2026")</f>
        <v>10/12/2026</v>
      </c>
      <c r="O270" s="1" t="str">
        <f>IFERROR(__xludf.DUMMYFUNCTION("""COMPUTED_VALUE"""),"RFBF_CVEU_2026")</f>
        <v>RFBF_CVEU_2026</v>
      </c>
      <c r="P270" s="1" t="str">
        <f>IFERROR(__xludf.DUMMYFUNCTION("""COMPUTED_VALUE"""),"RED FIBR 1400")</f>
        <v>RED FIBR 1400</v>
      </c>
      <c r="Q270" s="1" t="str">
        <f>IFERROR(__xludf.DUMMYFUNCTION("""COMPUTED_VALUE"""),"MMM018709")</f>
        <v>MMM018709</v>
      </c>
      <c r="R270" s="1" t="str">
        <f>IFERROR(__xludf.DUMMYFUNCTION("""COMPUTED_VALUE"""),"AYON, MANUEL")</f>
        <v>AYON, MANUEL</v>
      </c>
      <c r="S270" s="1" t="str">
        <f>IFERROR(__xludf.DUMMYFUNCTION("""COMPUTED_VALUE"""),"NAVARRO JERIC")</f>
        <v>NAVARRO JERIC</v>
      </c>
      <c r="T270" s="1" t="str">
        <f>IFERROR(__xludf.DUMMYFUNCTION("""COMPUTED_VALUE"""),"MALIWAT MARK")</f>
        <v>MALIWAT MARK</v>
      </c>
      <c r="U270" s="1"/>
      <c r="V270" s="1">
        <f>IFERROR(__xludf.DUMMYFUNCTION("""COMPUTED_VALUE"""),9758108489)</f>
        <v>9758108489</v>
      </c>
      <c r="W270" s="1">
        <f>IFERROR(__xludf.DUMMYFUNCTION("""COMPUTED_VALUE"""),9569631214)</f>
        <v>9569631214</v>
      </c>
      <c r="X270" s="1" t="str">
        <f>IFERROR(__xludf.DUMMYFUNCTION("""COMPUTED_VALUE"""),"88")</f>
        <v>88</v>
      </c>
      <c r="Y270" s="1" t="str">
        <f>IFERROR(__xludf.DUMMYFUNCTION("""COMPUTED_VALUE"""),"PALIGAWAN RD
")</f>
        <v>PALIGAWAN RD
</v>
      </c>
      <c r="Z270" s="1"/>
      <c r="AA270" s="1" t="str">
        <f>IFERROR(__xludf.DUMMYFUNCTION("""COMPUTED_VALUE"""),"PALIGAWAN ")</f>
        <v>PALIGAWAN </v>
      </c>
      <c r="AB270" s="1" t="str">
        <f>IFERROR(__xludf.DUMMYFUNCTION("""COMPUTED_VALUE"""),"SILANG")</f>
        <v>SILANG</v>
      </c>
      <c r="AC270" s="1"/>
    </row>
    <row r="271" customHeight="1" spans="1:29">
      <c r="A271" s="3">
        <f>IFERROR(__xludf.DUMMYFUNCTION("""COMPUTED_VALUE"""),46305)</f>
        <v>46305</v>
      </c>
      <c r="B271" s="1" t="str">
        <f>IFERROR(__xludf.DUMMYFUNCTION("""COMPUTED_VALUE"""),"OCTOBER")</f>
        <v>OCTOBER</v>
      </c>
      <c r="C271" s="1" t="str">
        <f>IFERROR(__xludf.DUMMYFUNCTION("""COMPUTED_VALUE"""),"JOVY REPOLLO TENORIO")</f>
        <v>JOVY REPOLLO TENORIO</v>
      </c>
      <c r="D271" s="1" t="str">
        <f>IFERROR(__xludf.DUMMYFUNCTION("""COMPUTED_VALUE"""),"RITM0313307")</f>
        <v>RITM0313307</v>
      </c>
      <c r="E271" s="1"/>
      <c r="F271" s="1"/>
      <c r="G271" s="1" t="str">
        <f>IFERROR(__xludf.DUMMYFUNCTION("""COMPUTED_VALUE"""),"joy.repollo003@deped.gov.ph")</f>
        <v>joy.repollo003@deped.gov.ph</v>
      </c>
      <c r="H271" s="1" t="str">
        <f>IFERROR(__xludf.DUMMYFUNCTION("""COMPUTED_VALUE"""),"APPROVED")</f>
        <v>APPROVED</v>
      </c>
      <c r="I271" s="1"/>
      <c r="J271" s="1"/>
      <c r="K271" s="1"/>
      <c r="L271" s="1"/>
      <c r="M271" s="1" t="str">
        <f>IFERROR(__xludf.DUMMYFUNCTION("""COMPUTED_VALUE"""),"CANCEL RECREATE - FOR CHANGE EMAIL")</f>
        <v>CANCEL RECREATE - FOR CHANGE EMAIL</v>
      </c>
      <c r="N271" s="1"/>
      <c r="O271" s="1" t="str">
        <f>IFERROR(__xludf.DUMMYFUNCTION("""COMPUTED_VALUE"""),"RFBF_CVEU_2026")</f>
        <v>RFBF_CVEU_2026</v>
      </c>
      <c r="P271" s="1" t="str">
        <f>IFERROR(__xludf.DUMMYFUNCTION("""COMPUTED_VALUE"""),"RED FIBR 1000")</f>
        <v>RED FIBR 1000</v>
      </c>
      <c r="Q271" s="1" t="str">
        <f>IFERROR(__xludf.DUMMYFUNCTION("""COMPUTED_VALUE"""),"MMM018709")</f>
        <v>MMM018709</v>
      </c>
      <c r="R271" s="1" t="str">
        <f>IFERROR(__xludf.DUMMYFUNCTION("""COMPUTED_VALUE"""),"AYON, MANUEL")</f>
        <v>AYON, MANUEL</v>
      </c>
      <c r="S271" s="1" t="str">
        <f>IFERROR(__xludf.DUMMYFUNCTION("""COMPUTED_VALUE"""),"NAVARRO JERIC")</f>
        <v>NAVARRO JERIC</v>
      </c>
      <c r="T271" s="1" t="str">
        <f>IFERROR(__xludf.DUMMYFUNCTION("""COMPUTED_VALUE"""),"MALIWAT MARK")</f>
        <v>MALIWAT MARK</v>
      </c>
      <c r="U271" s="1"/>
      <c r="V271" s="1">
        <f>IFERROR(__xludf.DUMMYFUNCTION("""COMPUTED_VALUE"""),9166843829)</f>
        <v>9166843829</v>
      </c>
      <c r="W271" s="1">
        <f>IFERROR(__xludf.DUMMYFUNCTION("""COMPUTED_VALUE"""),9166843829)</f>
        <v>9166843829</v>
      </c>
      <c r="X271" s="1" t="str">
        <f>IFERROR(__xludf.DUMMYFUNCTION("""COMPUTED_VALUE"""),"73")</f>
        <v>73</v>
      </c>
      <c r="Y271" s="1" t="str">
        <f>IFERROR(__xludf.DUMMYFUNCTION("""COMPUTED_VALUE"""),"PALIGAWAN RD
")</f>
        <v>PALIGAWAN RD
</v>
      </c>
      <c r="Z271" s="1"/>
      <c r="AA271" s="1" t="str">
        <f>IFERROR(__xludf.DUMMYFUNCTION("""COMPUTED_VALUE"""),"PALIGAWAN ")</f>
        <v>PALIGAWAN </v>
      </c>
      <c r="AB271" s="1" t="str">
        <f>IFERROR(__xludf.DUMMYFUNCTION("""COMPUTED_VALUE"""),"SILANG")</f>
        <v>SILANG</v>
      </c>
      <c r="AC271" s="1"/>
    </row>
    <row r="272" customHeight="1" spans="1:29">
      <c r="A272" s="3">
        <f>IFERROR(__xludf.DUMMYFUNCTION("""COMPUTED_VALUE"""),46306)</f>
        <v>46306</v>
      </c>
      <c r="B272" s="1" t="str">
        <f>IFERROR(__xludf.DUMMYFUNCTION("""COMPUTED_VALUE"""),"OCTOBER")</f>
        <v>OCTOBER</v>
      </c>
      <c r="C272" s="1" t="str">
        <f>IFERROR(__xludf.DUMMYFUNCTION("""COMPUTED_VALUE"""),"MICAELA SUPLITO DIMAPILIS")</f>
        <v>MICAELA SUPLITO DIMAPILIS</v>
      </c>
      <c r="D272" s="1" t="str">
        <f>IFERROR(__xludf.DUMMYFUNCTION("""COMPUTED_VALUE"""),"RITM0313392")</f>
        <v>RITM0313392</v>
      </c>
      <c r="E272" s="1"/>
      <c r="F272" s="1"/>
      <c r="G272" s="1" t="str">
        <f>IFERROR(__xludf.DUMMYFUNCTION("""COMPUTED_VALUE"""),"micaeladimapilis@gmail.com")</f>
        <v>micaeladimapilis@gmail.com</v>
      </c>
      <c r="H272" s="1" t="str">
        <f>IFERROR(__xludf.DUMMYFUNCTION("""COMPUTED_VALUE"""),"APPROVED")</f>
        <v>APPROVED</v>
      </c>
      <c r="I272" s="1"/>
      <c r="J272" s="1" t="str">
        <f>IFERROR(__xludf.DUMMYFUNCTION("""COMPUTED_VALUE"""),"As per agent no reply sa kanya si subs 10/25")</f>
        <v>As per agent no reply sa kanya si subs 10/25</v>
      </c>
      <c r="K272" s="1"/>
      <c r="L272" s="1"/>
      <c r="M272" s="1" t="str">
        <f>IFERROR(__xludf.DUMMYFUNCTION("""COMPUTED_VALUE"""),"CANCELLED")</f>
        <v>CANCELLED</v>
      </c>
      <c r="N272" s="1"/>
      <c r="O272" s="1" t="str">
        <f>IFERROR(__xludf.DUMMYFUNCTION("""COMPUTED_VALUE"""),"RFBF_CVEU_2026")</f>
        <v>RFBF_CVEU_2026</v>
      </c>
      <c r="P272" s="1" t="str">
        <f>IFERROR(__xludf.DUMMYFUNCTION("""COMPUTED_VALUE"""),"RED FIBR 1000")</f>
        <v>RED FIBR 1000</v>
      </c>
      <c r="Q272" s="1" t="str">
        <f>IFERROR(__xludf.DUMMYFUNCTION("""COMPUTED_VALUE"""),"MMM018711")</f>
        <v>MMM018711</v>
      </c>
      <c r="R272" s="1" t="str">
        <f>IFERROR(__xludf.DUMMYFUNCTION("""COMPUTED_VALUE"""),"FAUSTINO, KIM")</f>
        <v>FAUSTINO, KIM</v>
      </c>
      <c r="S272" s="1" t="str">
        <f>IFERROR(__xludf.DUMMYFUNCTION("""COMPUTED_VALUE"""),"GARCIA MICHAEL JETTS")</f>
        <v>GARCIA MICHAEL JETTS</v>
      </c>
      <c r="T272" s="1" t="str">
        <f>IFERROR(__xludf.DUMMYFUNCTION("""COMPUTED_VALUE"""),"ESPIRITU JULIE")</f>
        <v>ESPIRITU JULIE</v>
      </c>
      <c r="U272" s="1"/>
      <c r="V272" s="1">
        <f>IFERROR(__xludf.DUMMYFUNCTION("""COMPUTED_VALUE"""),9568112315)</f>
        <v>9568112315</v>
      </c>
      <c r="W272" s="1">
        <f>IFERROR(__xludf.DUMMYFUNCTION("""COMPUTED_VALUE"""),9957418346)</f>
        <v>9957418346</v>
      </c>
      <c r="X272" s="1" t="str">
        <f>IFERROR(__xludf.DUMMYFUNCTION("""COMPUTED_VALUE"""),"UNIT B")</f>
        <v>UNIT B</v>
      </c>
      <c r="Y272" s="1" t="str">
        <f>IFERROR(__xludf.DUMMYFUNCTION("""COMPUTED_VALUE"""),"DAANG MALABAG")</f>
        <v>DAANG MALABAG</v>
      </c>
      <c r="Z272" s="1" t="str">
        <f>IFERROR(__xludf.DUMMYFUNCTION("""COMPUTED_VALUE"""),"IVYINIALMA APARTMENT")</f>
        <v>IVYINIALMA APARTMENT</v>
      </c>
      <c r="AA272" s="1" t="str">
        <f>IFERROR(__xludf.DUMMYFUNCTION("""COMPUTED_VALUE"""),"BUHO")</f>
        <v>BUHO</v>
      </c>
      <c r="AB272" s="1" t="str">
        <f>IFERROR(__xludf.DUMMYFUNCTION("""COMPUTED_VALUE"""),"SILANG")</f>
        <v>SILANG</v>
      </c>
      <c r="AC272" s="1" t="str">
        <f>IFERROR(__xludf.DUMMYFUNCTION("""COMPUTED_VALUE"""),"CVT2LCP81NP2")</f>
        <v>CVT2LCP81NP2</v>
      </c>
    </row>
    <row r="273" customHeight="1" spans="1:29">
      <c r="A273" s="3">
        <f>IFERROR(__xludf.DUMMYFUNCTION("""COMPUTED_VALUE"""),46307)</f>
        <v>46307</v>
      </c>
      <c r="B273" s="1" t="str">
        <f>IFERROR(__xludf.DUMMYFUNCTION("""COMPUTED_VALUE"""),"OCTOBER")</f>
        <v>OCTOBER</v>
      </c>
      <c r="C273" s="1" t="str">
        <f>IFERROR(__xludf.DUMMYFUNCTION("""COMPUTED_VALUE"""),"JOVY REPOLLO TENORIO")</f>
        <v>JOVY REPOLLO TENORIO</v>
      </c>
      <c r="D273" s="1" t="str">
        <f>IFERROR(__xludf.DUMMYFUNCTION("""COMPUTED_VALUE"""),"RITM0313428")</f>
        <v>RITM0313428</v>
      </c>
      <c r="E273" s="1"/>
      <c r="F273" s="1" t="str">
        <f>IFERROR(__xludf.DUMMYFUNCTION("""COMPUTED_VALUE"""),"9988757336")</f>
        <v>9988757336</v>
      </c>
      <c r="G273" s="1" t="str">
        <f>IFERROR(__xludf.DUMMYFUNCTION("""COMPUTED_VALUE"""),"jovy.repollo003@deped.gov.ph")</f>
        <v>jovy.repollo003@deped.gov.ph</v>
      </c>
      <c r="H273" s="1" t="str">
        <f>IFERROR(__xludf.DUMMYFUNCTION("""COMPUTED_VALUE"""),"CLOSED")</f>
        <v>CLOSED</v>
      </c>
      <c r="I273" s="1"/>
      <c r="J273" s="1"/>
      <c r="K273" s="1" t="str">
        <f>IFERROR(__xludf.DUMMYFUNCTION("""COMPUTED_VALUE"""),"PAID VIA GCASH REF 26287ETQP1JV5QB2J OCT 14")</f>
        <v>PAID VIA GCASH REF 26287ETQP1JV5QB2J OCT 14</v>
      </c>
      <c r="L273" s="1" t="str">
        <f>IFERROR(__xludf.DUMMYFUNCTION("""COMPUTED_VALUE"""),"PAID")</f>
        <v>PAID</v>
      </c>
      <c r="M273" s="1" t="str">
        <f>IFERROR(__xludf.DUMMYFUNCTION("""COMPUTED_VALUE"""),"POSTED")</f>
        <v>POSTED</v>
      </c>
      <c r="N273" s="1" t="str">
        <f>IFERROR(__xludf.DUMMYFUNCTION("""COMPUTED_VALUE"""),"10/15/2026")</f>
        <v>10/15/2026</v>
      </c>
      <c r="O273" s="1" t="str">
        <f>IFERROR(__xludf.DUMMYFUNCTION("""COMPUTED_VALUE"""),"RFBF_CVEU_2026")</f>
        <v>RFBF_CVEU_2026</v>
      </c>
      <c r="P273" s="1" t="str">
        <f>IFERROR(__xludf.DUMMYFUNCTION("""COMPUTED_VALUE"""),"RED FIBR 1000")</f>
        <v>RED FIBR 1000</v>
      </c>
      <c r="Q273" s="1" t="str">
        <f>IFERROR(__xludf.DUMMYFUNCTION("""COMPUTED_VALUE"""),"MMM018709")</f>
        <v>MMM018709</v>
      </c>
      <c r="R273" s="1" t="str">
        <f>IFERROR(__xludf.DUMMYFUNCTION("""COMPUTED_VALUE"""),"AYON, MANUEL")</f>
        <v>AYON, MANUEL</v>
      </c>
      <c r="S273" s="1" t="str">
        <f>IFERROR(__xludf.DUMMYFUNCTION("""COMPUTED_VALUE"""),"NAVARRO JERIC")</f>
        <v>NAVARRO JERIC</v>
      </c>
      <c r="T273" s="1" t="str">
        <f>IFERROR(__xludf.DUMMYFUNCTION("""COMPUTED_VALUE"""),"ESPIRITU JULIE")</f>
        <v>ESPIRITU JULIE</v>
      </c>
      <c r="U273" s="1"/>
      <c r="V273" s="1">
        <f>IFERROR(__xludf.DUMMYFUNCTION("""COMPUTED_VALUE"""),9166843829)</f>
        <v>9166843829</v>
      </c>
      <c r="W273" s="1">
        <f>IFERROR(__xludf.DUMMYFUNCTION("""COMPUTED_VALUE"""),9166843829)</f>
        <v>9166843829</v>
      </c>
      <c r="X273" s="1" t="str">
        <f>IFERROR(__xludf.DUMMYFUNCTION("""COMPUTED_VALUE"""),"73")</f>
        <v>73</v>
      </c>
      <c r="Y273" s="1" t="str">
        <f>IFERROR(__xludf.DUMMYFUNCTION("""COMPUTED_VALUE"""),"PALIGAWAN RD
")</f>
        <v>PALIGAWAN RD
</v>
      </c>
      <c r="Z273" s="1"/>
      <c r="AA273" s="1" t="str">
        <f>IFERROR(__xludf.DUMMYFUNCTION("""COMPUTED_VALUE"""),"PALIGAWAN ")</f>
        <v>PALIGAWAN </v>
      </c>
      <c r="AB273" s="1" t="str">
        <f>IFERROR(__xludf.DUMMYFUNCTION("""COMPUTED_VALUE"""),"SILANG")</f>
        <v>SILANG</v>
      </c>
      <c r="AC273" s="1"/>
    </row>
    <row r="274" customHeight="1" spans="1:29">
      <c r="A274" s="3">
        <f>IFERROR(__xludf.DUMMYFUNCTION("""COMPUTED_VALUE"""),46307)</f>
        <v>46307</v>
      </c>
      <c r="B274" s="1" t="str">
        <f>IFERROR(__xludf.DUMMYFUNCTION("""COMPUTED_VALUE"""),"OCTOBER")</f>
        <v>OCTOBER</v>
      </c>
      <c r="C274" s="1" t="str">
        <f>IFERROR(__xludf.DUMMYFUNCTION("""COMPUTED_VALUE"""),"RAFAEL ROLDAN CUAYCONG")</f>
        <v>RAFAEL ROLDAN CUAYCONG</v>
      </c>
      <c r="D274" s="1" t="str">
        <f>IFERROR(__xludf.DUMMYFUNCTION("""COMPUTED_VALUE"""),"RITM0313459")</f>
        <v>RITM0313459</v>
      </c>
      <c r="E274" s="1"/>
      <c r="F274" s="1"/>
      <c r="G274" s="1" t="str">
        <f>IFERROR(__xludf.DUMMYFUNCTION("""COMPUTED_VALUE"""),"cuaycongrafaelroldan9@gmail.com")</f>
        <v>cuaycongrafaelroldan9@gmail.com</v>
      </c>
      <c r="H274" s="1" t="str">
        <f>IFERROR(__xludf.DUMMYFUNCTION("""COMPUTED_VALUE"""),"REJECTED")</f>
        <v>REJECTED</v>
      </c>
      <c r="I274" s="1"/>
      <c r="J274" s="1" t="str">
        <f>IFERROR(__xludf.DUMMYFUNCTION("""COMPUTED_VALUE"""),"FOUND SAME ADDRESS WITH FOR TEMP. DISCONNECTION ACCT // ACCT NO.:7117345235 OB P2,000 // KINDLY ATTACH ANY PROOF OF ADDRESS WITH SAME SUBS NAME AND ADDRESS TO PROCEED THE APPLICATION //")</f>
        <v>FOUND SAME ADDRESS WITH FOR TEMP. DISCONNECTION ACCT // ACCT NO.:7117345235 OB P2,000 // KINDLY ATTACH ANY PROOF OF ADDRESS WITH SAME SUBS NAME AND ADDRESS TO PROCEED THE APPLICATION //</v>
      </c>
      <c r="K274" s="1"/>
      <c r="L274" s="1"/>
      <c r="M274" s="1" t="str">
        <f>IFERROR(__xludf.DUMMYFUNCTION("""COMPUTED_VALUE"""),"CANCELLED")</f>
        <v>CANCELLED</v>
      </c>
      <c r="N274" s="1"/>
      <c r="O274" s="1" t="str">
        <f>IFERROR(__xludf.DUMMYFUNCTION("""COMPUTED_VALUE"""),"RFBF_CVEU_2026")</f>
        <v>RFBF_CVEU_2026</v>
      </c>
      <c r="P274" s="1" t="str">
        <f>IFERROR(__xludf.DUMMYFUNCTION("""COMPUTED_VALUE"""),"RED FIBR 1000")</f>
        <v>RED FIBR 1000</v>
      </c>
      <c r="Q274" s="1" t="str">
        <f>IFERROR(__xludf.DUMMYFUNCTION("""COMPUTED_VALUE"""),"MMM018709")</f>
        <v>MMM018709</v>
      </c>
      <c r="R274" s="1" t="str">
        <f>IFERROR(__xludf.DUMMYFUNCTION("""COMPUTED_VALUE"""),"KAWAUCHI, SHANE")</f>
        <v>KAWAUCHI, SHANE</v>
      </c>
      <c r="S274" s="1" t="str">
        <f>IFERROR(__xludf.DUMMYFUNCTION("""COMPUTED_VALUE"""),"GARCIA MICHAEL JETTS")</f>
        <v>GARCIA MICHAEL JETTS</v>
      </c>
      <c r="T274" s="1" t="str">
        <f>IFERROR(__xludf.DUMMYFUNCTION("""COMPUTED_VALUE"""),"ESPIRITU JULIE")</f>
        <v>ESPIRITU JULIE</v>
      </c>
      <c r="U274" s="1"/>
      <c r="V274" s="1">
        <f>IFERROR(__xludf.DUMMYFUNCTION("""COMPUTED_VALUE"""),9938295590)</f>
        <v>9938295590</v>
      </c>
      <c r="W274" s="1">
        <f>IFERROR(__xludf.DUMMYFUNCTION("""COMPUTED_VALUE"""),9068761447)</f>
        <v>9068761447</v>
      </c>
      <c r="X274" s="1" t="str">
        <f>IFERROR(__xludf.DUMMYFUNCTION("""COMPUTED_VALUE"""),"179")</f>
        <v>179</v>
      </c>
      <c r="Y274" s="1" t="str">
        <f>IFERROR(__xludf.DUMMYFUNCTION("""COMPUTED_VALUE"""),"MULAWIN RD")</f>
        <v>MULAWIN RD</v>
      </c>
      <c r="Z274" s="1"/>
      <c r="AA274" s="1" t="str">
        <f>IFERROR(__xludf.DUMMYFUNCTION("""COMPUTED_VALUE"""),"MULAWIN")</f>
        <v>MULAWIN</v>
      </c>
      <c r="AB274" s="1" t="str">
        <f>IFERROR(__xludf.DUMMYFUNCTION("""COMPUTED_VALUE"""),"TANZA")</f>
        <v>TANZA</v>
      </c>
      <c r="AC274" s="1"/>
    </row>
    <row r="275" customHeight="1" spans="1:29">
      <c r="A275" s="3">
        <f>IFERROR(__xludf.DUMMYFUNCTION("""COMPUTED_VALUE"""),46307)</f>
        <v>46307</v>
      </c>
      <c r="B275" s="1" t="str">
        <f>IFERROR(__xludf.DUMMYFUNCTION("""COMPUTED_VALUE"""),"OCTOBER")</f>
        <v>OCTOBER</v>
      </c>
      <c r="C275" s="1" t="str">
        <f>IFERROR(__xludf.DUMMYFUNCTION("""COMPUTED_VALUE"""),"RAFAEL ROLDAN CUAYCONG")</f>
        <v>RAFAEL ROLDAN CUAYCONG</v>
      </c>
      <c r="D275" s="1" t="str">
        <f>IFERROR(__xludf.DUMMYFUNCTION("""COMPUTED_VALUE"""),"RITM0313474")</f>
        <v>RITM0313474</v>
      </c>
      <c r="E275" s="1"/>
      <c r="F275" s="1" t="str">
        <f>IFERROR(__xludf.DUMMYFUNCTION("""COMPUTED_VALUE"""),"1145754696")</f>
        <v>1145754696</v>
      </c>
      <c r="G275" s="1" t="str">
        <f>IFERROR(__xludf.DUMMYFUNCTION("""COMPUTED_VALUE"""),"cuaycongrafaelroldan9@gmail.com")</f>
        <v>cuaycongrafaelroldan9@gmail.com</v>
      </c>
      <c r="H275" s="1" t="str">
        <f>IFERROR(__xludf.DUMMYFUNCTION("""COMPUTED_VALUE"""),"CLOSED")</f>
        <v>CLOSED</v>
      </c>
      <c r="I275" s="1"/>
      <c r="J275" s="1" t="str">
        <f>IFERROR(__xludf.DUMMYFUNCTION("""COMPUTED_VALUE"""),"Reschedule today as per subs 10/19")</f>
        <v>Reschedule today as per subs 10/19</v>
      </c>
      <c r="K275" s="1" t="str">
        <f>IFERROR(__xludf.DUMMYFUNCTION("""COMPUTED_VALUE"""),"PAID VIA GCASH REF 020073426 OCT 13")</f>
        <v>PAID VIA GCASH REF 020073426 OCT 13</v>
      </c>
      <c r="L275" s="1" t="str">
        <f>IFERROR(__xludf.DUMMYFUNCTION("""COMPUTED_VALUE"""),"PAID")</f>
        <v>PAID</v>
      </c>
      <c r="M275" s="1" t="str">
        <f>IFERROR(__xludf.DUMMYFUNCTION("""COMPUTED_VALUE"""),"POSTED")</f>
        <v>POSTED</v>
      </c>
      <c r="N275" s="1" t="str">
        <f>IFERROR(__xludf.DUMMYFUNCTION("""COMPUTED_VALUE"""),"10/19/2026")</f>
        <v>10/19/2026</v>
      </c>
      <c r="O275" s="1" t="str">
        <f>IFERROR(__xludf.DUMMYFUNCTION("""COMPUTED_VALUE"""),"RFBF_CVEU_2026")</f>
        <v>RFBF_CVEU_2026</v>
      </c>
      <c r="P275" s="1" t="str">
        <f>IFERROR(__xludf.DUMMYFUNCTION("""COMPUTED_VALUE"""),"RED FIBR 1000")</f>
        <v>RED FIBR 1000</v>
      </c>
      <c r="Q275" s="1" t="str">
        <f>IFERROR(__xludf.DUMMYFUNCTION("""COMPUTED_VALUE"""),"MMM018709")</f>
        <v>MMM018709</v>
      </c>
      <c r="R275" s="1" t="str">
        <f>IFERROR(__xludf.DUMMYFUNCTION("""COMPUTED_VALUE"""),"KAWAUCHI, SHANE")</f>
        <v>KAWAUCHI, SHANE</v>
      </c>
      <c r="S275" s="1" t="str">
        <f>IFERROR(__xludf.DUMMYFUNCTION("""COMPUTED_VALUE"""),"GARCIA MICHAEL JETTS")</f>
        <v>GARCIA MICHAEL JETTS</v>
      </c>
      <c r="T275" s="1" t="str">
        <f>IFERROR(__xludf.DUMMYFUNCTION("""COMPUTED_VALUE"""),"ESPIRITU JULIE")</f>
        <v>ESPIRITU JULIE</v>
      </c>
      <c r="U275" s="1"/>
      <c r="V275" s="1">
        <f>IFERROR(__xludf.DUMMYFUNCTION("""COMPUTED_VALUE"""),9938295590)</f>
        <v>9938295590</v>
      </c>
      <c r="W275" s="1">
        <f>IFERROR(__xludf.DUMMYFUNCTION("""COMPUTED_VALUE"""),9068761447)</f>
        <v>9068761447</v>
      </c>
      <c r="X275" s="1" t="str">
        <f>IFERROR(__xludf.DUMMYFUNCTION("""COMPUTED_VALUE"""),"179")</f>
        <v>179</v>
      </c>
      <c r="Y275" s="1" t="str">
        <f>IFERROR(__xludf.DUMMYFUNCTION("""COMPUTED_VALUE"""),"MULAWIN RD")</f>
        <v>MULAWIN RD</v>
      </c>
      <c r="Z275" s="1"/>
      <c r="AA275" s="1" t="str">
        <f>IFERROR(__xludf.DUMMYFUNCTION("""COMPUTED_VALUE"""),"MULAWIN")</f>
        <v>MULAWIN</v>
      </c>
      <c r="AB275" s="1" t="str">
        <f>IFERROR(__xludf.DUMMYFUNCTION("""COMPUTED_VALUE"""),"TANZA")</f>
        <v>TANZA</v>
      </c>
      <c r="AC275" s="1"/>
    </row>
    <row r="276" customHeight="1" spans="1:29">
      <c r="A276" s="3">
        <f>IFERROR(__xludf.DUMMYFUNCTION("""COMPUTED_VALUE"""),46308)</f>
        <v>46308</v>
      </c>
      <c r="B276" s="1" t="str">
        <f>IFERROR(__xludf.DUMMYFUNCTION("""COMPUTED_VALUE"""),"OCTOBER")</f>
        <v>OCTOBER</v>
      </c>
      <c r="C276" s="1" t="str">
        <f>IFERROR(__xludf.DUMMYFUNCTION("""COMPUTED_VALUE"""),"KAREN AMBIDA PRODIGALIDAD")</f>
        <v>KAREN AMBIDA PRODIGALIDAD</v>
      </c>
      <c r="D276" s="1" t="str">
        <f>IFERROR(__xludf.DUMMYFUNCTION("""COMPUTED_VALUE"""),"RITM0313506")</f>
        <v>RITM0313506</v>
      </c>
      <c r="E276" s="1"/>
      <c r="F276" s="1" t="str">
        <f>IFERROR(__xludf.DUMMYFUNCTION("""COMPUTED_VALUE"""),"5582929360")</f>
        <v>5582929360</v>
      </c>
      <c r="G276" s="1" t="str">
        <f>IFERROR(__xludf.DUMMYFUNCTION("""COMPUTED_VALUE"""),"karenambida3@gmail.com")</f>
        <v>karenambida3@gmail.com</v>
      </c>
      <c r="H276" s="1" t="str">
        <f>IFERROR(__xludf.DUMMYFUNCTION("""COMPUTED_VALUE"""),"CLOSED")</f>
        <v>CLOSED</v>
      </c>
      <c r="I276" s="1"/>
      <c r="J276" s="1"/>
      <c r="K276" s="1" t="str">
        <f>IFERROR(__xludf.DUMMYFUNCTION("""COMPUTED_VALUE"""),"PAID VIA GCASH REF 978405806 OCT 14")</f>
        <v>PAID VIA GCASH REF 978405806 OCT 14</v>
      </c>
      <c r="L276" s="1" t="str">
        <f>IFERROR(__xludf.DUMMYFUNCTION("""COMPUTED_VALUE"""),"PAID")</f>
        <v>PAID</v>
      </c>
      <c r="M276" s="1" t="str">
        <f>IFERROR(__xludf.DUMMYFUNCTION("""COMPUTED_VALUE"""),"POSTED")</f>
        <v>POSTED</v>
      </c>
      <c r="N276" s="1" t="str">
        <f>IFERROR(__xludf.DUMMYFUNCTION("""COMPUTED_VALUE"""),"10/15/2026")</f>
        <v>10/15/2026</v>
      </c>
      <c r="O276" s="1" t="str">
        <f>IFERROR(__xludf.DUMMYFUNCTION("""COMPUTED_VALUE"""),"RFBF_CVEU_2026")</f>
        <v>RFBF_CVEU_2026</v>
      </c>
      <c r="P276" s="1" t="str">
        <f>IFERROR(__xludf.DUMMYFUNCTION("""COMPUTED_VALUE"""),"RED FIBR 1000")</f>
        <v>RED FIBR 1000</v>
      </c>
      <c r="Q276" s="1" t="str">
        <f>IFERROR(__xludf.DUMMYFUNCTION("""COMPUTED_VALUE"""),"MMM018711")</f>
        <v>MMM018711</v>
      </c>
      <c r="R276" s="1" t="str">
        <f>IFERROR(__xludf.DUMMYFUNCTION("""COMPUTED_VALUE"""),"SUGATAN, KELVIN")</f>
        <v>SUGATAN, KELVIN</v>
      </c>
      <c r="S276" s="1" t="str">
        <f>IFERROR(__xludf.DUMMYFUNCTION("""COMPUTED_VALUE"""),"GARCIA MICHAEL JETTS")</f>
        <v>GARCIA MICHAEL JETTS</v>
      </c>
      <c r="T276" s="1" t="str">
        <f>IFERROR(__xludf.DUMMYFUNCTION("""COMPUTED_VALUE"""),"ESPIRITU JULIE")</f>
        <v>ESPIRITU JULIE</v>
      </c>
      <c r="U276" s="1"/>
      <c r="V276" s="1">
        <f>IFERROR(__xludf.DUMMYFUNCTION("""COMPUTED_VALUE"""),9929108297)</f>
        <v>9929108297</v>
      </c>
      <c r="W276" s="1">
        <f>IFERROR(__xludf.DUMMYFUNCTION("""COMPUTED_VALUE"""),9659062990)</f>
        <v>9659062990</v>
      </c>
      <c r="X276" s="1" t="str">
        <f>IFERROR(__xludf.DUMMYFUNCTION("""COMPUTED_VALUE"""),"209")</f>
        <v>209</v>
      </c>
      <c r="Y276" s="1" t="str">
        <f>IFERROR(__xludf.DUMMYFUNCTION("""COMPUTED_VALUE"""),"SM ROAD")</f>
        <v>SM ROAD</v>
      </c>
      <c r="Z276" s="1" t="str">
        <f>IFERROR(__xludf.DUMMYFUNCTION("""COMPUTED_VALUE"""),"GITNANG SILANGAN")</f>
        <v>GITNANG SILANGAN</v>
      </c>
      <c r="AA276" s="1" t="str">
        <f>IFERROR(__xludf.DUMMYFUNCTION("""COMPUTED_VALUE"""),"CAPIPISA")</f>
        <v>CAPIPISA</v>
      </c>
      <c r="AB276" s="1" t="str">
        <f>IFERROR(__xludf.DUMMYFUNCTION("""COMPUTED_VALUE"""),"TANZA")</f>
        <v>TANZA</v>
      </c>
      <c r="AC276" s="1" t="str">
        <f>IFERROR(__xludf.DUMMYFUNCTION("""COMPUTED_VALUE"""),"CVT6-L235N5")</f>
        <v>CVT6-L235N5</v>
      </c>
    </row>
    <row r="277" customHeight="1" spans="1:29">
      <c r="A277" s="3">
        <f>IFERROR(__xludf.DUMMYFUNCTION("""COMPUTED_VALUE"""),46308)</f>
        <v>46308</v>
      </c>
      <c r="B277" s="1" t="str">
        <f>IFERROR(__xludf.DUMMYFUNCTION("""COMPUTED_VALUE"""),"OCTOBER")</f>
        <v>OCTOBER</v>
      </c>
      <c r="C277" s="1" t="str">
        <f>IFERROR(__xludf.DUMMYFUNCTION("""COMPUTED_VALUE"""),"MARILYN BAUTISTA CENIA")</f>
        <v>MARILYN BAUTISTA CENIA</v>
      </c>
      <c r="D277" s="1" t="str">
        <f>IFERROR(__xludf.DUMMYFUNCTION("""COMPUTED_VALUE"""),"RITM0313532")</f>
        <v>RITM0313532</v>
      </c>
      <c r="E277" s="1"/>
      <c r="F277" s="1" t="str">
        <f>IFERROR(__xludf.DUMMYFUNCTION("""COMPUTED_VALUE"""),"8564794571")</f>
        <v>8564794571</v>
      </c>
      <c r="G277" s="1" t="str">
        <f>IFERROR(__xludf.DUMMYFUNCTION("""COMPUTED_VALUE"""),"malencenia1985@gmail.com")</f>
        <v>malencenia1985@gmail.com</v>
      </c>
      <c r="H277" s="1" t="str">
        <f>IFERROR(__xludf.DUMMYFUNCTION("""COMPUTED_VALUE"""),"CLOSED")</f>
        <v>CLOSED</v>
      </c>
      <c r="I277" s="1"/>
      <c r="J277" s="1"/>
      <c r="K277" s="1" t="str">
        <f>IFERROR(__xludf.DUMMYFUNCTION("""COMPUTED_VALUE"""),"PAID VIA GCASH REF RADI23747WF34HJO OCT 13")</f>
        <v>PAID VIA GCASH REF RADI23747WF34HJO OCT 13</v>
      </c>
      <c r="L277" s="1" t="str">
        <f>IFERROR(__xludf.DUMMYFUNCTION("""COMPUTED_VALUE"""),"PAID")</f>
        <v>PAID</v>
      </c>
      <c r="M277" s="1" t="str">
        <f>IFERROR(__xludf.DUMMYFUNCTION("""COMPUTED_VALUE"""),"POSTED")</f>
        <v>POSTED</v>
      </c>
      <c r="N277" s="1" t="str">
        <f>IFERROR(__xludf.DUMMYFUNCTION("""COMPUTED_VALUE"""),"10/13/2026")</f>
        <v>10/13/2026</v>
      </c>
      <c r="O277" s="1" t="str">
        <f>IFERROR(__xludf.DUMMYFUNCTION("""COMPUTED_VALUE"""),"RFBF_CVEU_2026")</f>
        <v>RFBF_CVEU_2026</v>
      </c>
      <c r="P277" s="1" t="str">
        <f>IFERROR(__xludf.DUMMYFUNCTION("""COMPUTED_VALUE"""),"RED FIBR 1000")</f>
        <v>RED FIBR 1000</v>
      </c>
      <c r="Q277" s="1" t="str">
        <f>IFERROR(__xludf.DUMMYFUNCTION("""COMPUTED_VALUE"""),"MMM018709")</f>
        <v>MMM018709</v>
      </c>
      <c r="R277" s="1" t="str">
        <f>IFERROR(__xludf.DUMMYFUNCTION("""COMPUTED_VALUE"""),"KAWAUCHI, SHANE")</f>
        <v>KAWAUCHI, SHANE</v>
      </c>
      <c r="S277" s="1" t="str">
        <f>IFERROR(__xludf.DUMMYFUNCTION("""COMPUTED_VALUE"""),"GARCIA MICHAEL JETTS")</f>
        <v>GARCIA MICHAEL JETTS</v>
      </c>
      <c r="T277" s="1" t="str">
        <f>IFERROR(__xludf.DUMMYFUNCTION("""COMPUTED_VALUE"""),"ESPIRITU JULIE")</f>
        <v>ESPIRITU JULIE</v>
      </c>
      <c r="U277" s="1"/>
      <c r="V277" s="1">
        <f>IFERROR(__xludf.DUMMYFUNCTION("""COMPUTED_VALUE"""),9953170692)</f>
        <v>9953170692</v>
      </c>
      <c r="W277" s="1">
        <f>IFERROR(__xludf.DUMMYFUNCTION("""COMPUTED_VALUE"""),9277209097)</f>
        <v>9277209097</v>
      </c>
      <c r="X277" s="1" t="str">
        <f>IFERROR(__xludf.DUMMYFUNCTION("""COMPUTED_VALUE"""),"BLK 17 LOT 26")</f>
        <v>BLK 17 LOT 26</v>
      </c>
      <c r="Y277" s="1" t="str">
        <f>IFERROR(__xludf.DUMMYFUNCTION("""COMPUTED_VALUE"""),"18TH ST")</f>
        <v>18TH ST</v>
      </c>
      <c r="Z277" s="1" t="str">
        <f>IFERROR(__xludf.DUMMYFUNCTION("""COMPUTED_VALUE"""),"PEARL RESIDENCES PHASE A")</f>
        <v>PEARL RESIDENCES PHASE A</v>
      </c>
      <c r="AA277" s="1" t="str">
        <f>IFERROR(__xludf.DUMMYFUNCTION("""COMPUTED_VALUE"""),"CAPIPISA")</f>
        <v>CAPIPISA</v>
      </c>
      <c r="AB277" s="1" t="str">
        <f>IFERROR(__xludf.DUMMYFUNCTION("""COMPUTED_VALUE"""),"TANZA")</f>
        <v>TANZA</v>
      </c>
      <c r="AC277" s="1"/>
    </row>
    <row r="278" customHeight="1" spans="1:29">
      <c r="A278" s="3">
        <f>IFERROR(__xludf.DUMMYFUNCTION("""COMPUTED_VALUE"""),46308)</f>
        <v>46308</v>
      </c>
      <c r="B278" s="1" t="str">
        <f>IFERROR(__xludf.DUMMYFUNCTION("""COMPUTED_VALUE"""),"OCTOBER")</f>
        <v>OCTOBER</v>
      </c>
      <c r="C278" s="1" t="str">
        <f>IFERROR(__xludf.DUMMYFUNCTION("""COMPUTED_VALUE"""),"JOANNE SISON CASTRO")</f>
        <v>JOANNE SISON CASTRO</v>
      </c>
      <c r="D278" s="1" t="str">
        <f>IFERROR(__xludf.DUMMYFUNCTION("""COMPUTED_VALUE"""),"RITM0313570")</f>
        <v>RITM0313570</v>
      </c>
      <c r="E278" s="1"/>
      <c r="F278" s="1" t="str">
        <f>IFERROR(__xludf.DUMMYFUNCTION("""COMPUTED_VALUE"""),"9944761630")</f>
        <v>9944761630</v>
      </c>
      <c r="G278" s="1" t="str">
        <f>IFERROR(__xludf.DUMMYFUNCTION("""COMPUTED_VALUE"""),"joannesison10@gmail.com")</f>
        <v>joannesison10@gmail.com</v>
      </c>
      <c r="H278" s="1" t="str">
        <f>IFERROR(__xludf.DUMMYFUNCTION("""COMPUTED_VALUE"""),"CLOSED")</f>
        <v>CLOSED</v>
      </c>
      <c r="I278" s="1"/>
      <c r="J278" s="1"/>
      <c r="K278" s="1" t="str">
        <f>IFERROR(__xludf.DUMMYFUNCTION("""COMPUTED_VALUE"""),"PAID VIA GCASH REF 021109328 OCT 13")</f>
        <v>PAID VIA GCASH REF 021109328 OCT 13</v>
      </c>
      <c r="L278" s="1" t="str">
        <f>IFERROR(__xludf.DUMMYFUNCTION("""COMPUTED_VALUE"""),"PAID")</f>
        <v>PAID</v>
      </c>
      <c r="M278" s="1" t="str">
        <f>IFERROR(__xludf.DUMMYFUNCTION("""COMPUTED_VALUE"""),"POSTED")</f>
        <v>POSTED</v>
      </c>
      <c r="N278" s="1" t="str">
        <f>IFERROR(__xludf.DUMMYFUNCTION("""COMPUTED_VALUE"""),"10/14/2026")</f>
        <v>10/14/2026</v>
      </c>
      <c r="O278" s="1" t="str">
        <f>IFERROR(__xludf.DUMMYFUNCTION("""COMPUTED_VALUE"""),"RFBF_CVEU_2026")</f>
        <v>RFBF_CVEU_2026</v>
      </c>
      <c r="P278" s="1" t="str">
        <f>IFERROR(__xludf.DUMMYFUNCTION("""COMPUTED_VALUE"""),"RED FIBR 1000")</f>
        <v>RED FIBR 1000</v>
      </c>
      <c r="Q278" s="1" t="str">
        <f>IFERROR(__xludf.DUMMYFUNCTION("""COMPUTED_VALUE"""),"MMM018713")</f>
        <v>MMM018713</v>
      </c>
      <c r="R278" s="1" t="str">
        <f>IFERROR(__xludf.DUMMYFUNCTION("""COMPUTED_VALUE"""),"MALIWAT MARK")</f>
        <v>MALIWAT MARK</v>
      </c>
      <c r="S278" s="1" t="str">
        <f>IFERROR(__xludf.DUMMYFUNCTION("""COMPUTED_VALUE"""),"NAVARRO JERIC")</f>
        <v>NAVARRO JERIC</v>
      </c>
      <c r="T278" s="1" t="str">
        <f>IFERROR(__xludf.DUMMYFUNCTION("""COMPUTED_VALUE"""),"ESPIRITU JULIE")</f>
        <v>ESPIRITU JULIE</v>
      </c>
      <c r="U278" s="1"/>
      <c r="V278" s="1">
        <f>IFERROR(__xludf.DUMMYFUNCTION("""COMPUTED_VALUE"""),9611266720)</f>
        <v>9611266720</v>
      </c>
      <c r="W278" s="1">
        <f>IFERROR(__xludf.DUMMYFUNCTION("""COMPUTED_VALUE"""),9279284198)</f>
        <v>9279284198</v>
      </c>
      <c r="X278" s="1" t="str">
        <f>IFERROR(__xludf.DUMMYFUNCTION("""COMPUTED_VALUE"""),"65 ROOM B")</f>
        <v>65 ROOM B</v>
      </c>
      <c r="Y278" s="1" t="str">
        <f>IFERROR(__xludf.DUMMYFUNCTION("""COMPUTED_VALUE"""),"PEREY ST")</f>
        <v>PEREY ST</v>
      </c>
      <c r="Z278" s="1"/>
      <c r="AA278" s="1" t="str">
        <f>IFERROR(__xludf.DUMMYFUNCTION("""COMPUTED_VALUE"""),"POBLACION VI (BARANGAY VI)")</f>
        <v>POBLACION VI (BARANGAY VI)</v>
      </c>
      <c r="AB278" s="1" t="str">
        <f>IFERROR(__xludf.DUMMYFUNCTION("""COMPUTED_VALUE"""),"MENDEZ")</f>
        <v>MENDEZ</v>
      </c>
      <c r="AC278" s="1" t="str">
        <f>IFERROR(__xludf.DUMMYFUNCTION("""COMPUTED_VALUE"""),"CVT2-L60N3-9")</f>
        <v>CVT2-L60N3-9</v>
      </c>
    </row>
    <row r="279" customHeight="1" spans="1:29">
      <c r="A279" s="3">
        <f>IFERROR(__xludf.DUMMYFUNCTION("""COMPUTED_VALUE"""),46308)</f>
        <v>46308</v>
      </c>
      <c r="B279" s="1" t="str">
        <f>IFERROR(__xludf.DUMMYFUNCTION("""COMPUTED_VALUE"""),"OCTOBER")</f>
        <v>OCTOBER</v>
      </c>
      <c r="C279" s="1" t="str">
        <f>IFERROR(__xludf.DUMMYFUNCTION("""COMPUTED_VALUE"""),"DONNA MAY ARON BOCALAN")</f>
        <v>DONNA MAY ARON BOCALAN</v>
      </c>
      <c r="D279" s="1" t="str">
        <f>IFERROR(__xludf.DUMMYFUNCTION("""COMPUTED_VALUE"""),"RITM0313572")</f>
        <v>RITM0313572</v>
      </c>
      <c r="E279" s="1"/>
      <c r="F279" s="1" t="str">
        <f>IFERROR(__xludf.DUMMYFUNCTION("""COMPUTED_VALUE"""),"5739619444")</f>
        <v>5739619444</v>
      </c>
      <c r="G279" s="1" t="str">
        <f>IFERROR(__xludf.DUMMYFUNCTION("""COMPUTED_VALUE"""),"ranildonna@gmail.com")</f>
        <v>ranildonna@gmail.com</v>
      </c>
      <c r="H279" s="1" t="str">
        <f>IFERROR(__xludf.DUMMYFUNCTION("""COMPUTED_VALUE"""),"CLOSED")</f>
        <v>CLOSED</v>
      </c>
      <c r="I279" s="1"/>
      <c r="J279" s="1"/>
      <c r="K279" s="1" t="str">
        <f>IFERROR(__xludf.DUMMYFUNCTION("""COMPUTED_VALUE"""),"PAID VIA GCASH REF 886784672 OCT 18")</f>
        <v>PAID VIA GCASH REF 886784672 OCT 18</v>
      </c>
      <c r="L279" s="1" t="str">
        <f>IFERROR(__xludf.DUMMYFUNCTION("""COMPUTED_VALUE"""),"PAID")</f>
        <v>PAID</v>
      </c>
      <c r="M279" s="1" t="str">
        <f>IFERROR(__xludf.DUMMYFUNCTION("""COMPUTED_VALUE"""),"POSTED")</f>
        <v>POSTED</v>
      </c>
      <c r="N279" s="1" t="str">
        <f>IFERROR(__xludf.DUMMYFUNCTION("""COMPUTED_VALUE"""),"10/19/2026")</f>
        <v>10/19/2026</v>
      </c>
      <c r="O279" s="1" t="str">
        <f>IFERROR(__xludf.DUMMYFUNCTION("""COMPUTED_VALUE"""),"BKRED_RS_HH_CVE_26")</f>
        <v>BKRED_RS_HH_CVE_26</v>
      </c>
      <c r="P279" s="1" t="str">
        <f>IFERROR(__xludf.DUMMYFUNCTION("""COMPUTED_VALUE"""),"RED FIBR 1000")</f>
        <v>RED FIBR 1000</v>
      </c>
      <c r="Q279" s="1" t="str">
        <f>IFERROR(__xludf.DUMMYFUNCTION("""COMPUTED_VALUE"""),"MMM018712")</f>
        <v>MMM018712</v>
      </c>
      <c r="R279" s="1" t="str">
        <f>IFERROR(__xludf.DUMMYFUNCTION("""COMPUTED_VALUE"""),"LUPENA. KARL ANGELO")</f>
        <v>LUPENA. KARL ANGELO</v>
      </c>
      <c r="S279" s="1" t="str">
        <f>IFERROR(__xludf.DUMMYFUNCTION("""COMPUTED_VALUE"""),"NAVARRO JERIC")</f>
        <v>NAVARRO JERIC</v>
      </c>
      <c r="T279" s="1" t="str">
        <f>IFERROR(__xludf.DUMMYFUNCTION("""COMPUTED_VALUE"""),"ESPIRITU JULIE")</f>
        <v>ESPIRITU JULIE</v>
      </c>
      <c r="U279" s="1"/>
      <c r="V279" s="1">
        <f>IFERROR(__xludf.DUMMYFUNCTION("""COMPUTED_VALUE"""),9203733273)</f>
        <v>9203733273</v>
      </c>
      <c r="W279" s="1"/>
      <c r="X279" s="1" t="str">
        <f>IFERROR(__xludf.DUMMYFUNCTION("""COMPUTED_VALUE"""),"BLK 7 LOT 2")</f>
        <v>BLK 7 LOT 2</v>
      </c>
      <c r="Y279" s="1" t="str">
        <f>IFERROR(__xludf.DUMMYFUNCTION("""COMPUTED_VALUE"""),"PHASE A")</f>
        <v>PHASE A</v>
      </c>
      <c r="Z279" s="1" t="str">
        <f>IFERROR(__xludf.DUMMYFUNCTION("""COMPUTED_VALUE"""),"ISTANA SUBDIVISION")</f>
        <v>ISTANA SUBDIVISION</v>
      </c>
      <c r="AA279" s="1" t="str">
        <f>IFERROR(__xludf.DUMMYFUNCTION("""COMPUTED_VALUE"""),"AMAYA II")</f>
        <v>AMAYA II</v>
      </c>
      <c r="AB279" s="1" t="str">
        <f>IFERROR(__xludf.DUMMYFUNCTION("""COMPUTED_VALUE"""),"TANZA")</f>
        <v>TANZA</v>
      </c>
      <c r="AC279" s="1"/>
    </row>
    <row r="280" customHeight="1" spans="1:29">
      <c r="A280" s="3">
        <f>IFERROR(__xludf.DUMMYFUNCTION("""COMPUTED_VALUE"""),46309)</f>
        <v>46309</v>
      </c>
      <c r="B280" s="1" t="str">
        <f>IFERROR(__xludf.DUMMYFUNCTION("""COMPUTED_VALUE"""),"OCTOBER")</f>
        <v>OCTOBER</v>
      </c>
      <c r="C280" s="1" t="str">
        <f>IFERROR(__xludf.DUMMYFUNCTION("""COMPUTED_VALUE"""),"REMY LYN TEODOCIO PAREJA")</f>
        <v>REMY LYN TEODOCIO PAREJA</v>
      </c>
      <c r="D280" s="1" t="str">
        <f>IFERROR(__xludf.DUMMYFUNCTION("""COMPUTED_VALUE"""),"RITM0313626")</f>
        <v>RITM0313626</v>
      </c>
      <c r="E280" s="1"/>
      <c r="F280" s="1"/>
      <c r="G280" s="1" t="str">
        <f>IFERROR(__xludf.DUMMYFUNCTION("""COMPUTED_VALUE"""),"rltpareja@gmail.com")</f>
        <v>rltpareja@gmail.com</v>
      </c>
      <c r="H280" s="1" t="str">
        <f>IFERROR(__xludf.DUMMYFUNCTION("""COMPUTED_VALUE"""),"REJECTED")</f>
        <v>REJECTED</v>
      </c>
      <c r="I280" s="1"/>
      <c r="J280" s="1"/>
      <c r="K280" s="1"/>
      <c r="L280" s="1"/>
      <c r="M280" s="1" t="str">
        <f>IFERROR(__xludf.DUMMYFUNCTION("""COMPUTED_VALUE"""),"REENCODED")</f>
        <v>REENCODED</v>
      </c>
      <c r="N280" s="1"/>
      <c r="O280" s="1" t="str">
        <f>IFERROR(__xludf.DUMMYFUNCTION("""COMPUTED_VALUE"""),"RFBF_CVEU_2026")</f>
        <v>RFBF_CVEU_2026</v>
      </c>
      <c r="P280" s="1" t="str">
        <f>IFERROR(__xludf.DUMMYFUNCTION("""COMPUTED_VALUE"""),"RED FIBR 1400")</f>
        <v>RED FIBR 1400</v>
      </c>
      <c r="Q280" s="1" t="str">
        <f>IFERROR(__xludf.DUMMYFUNCTION("""COMPUTED_VALUE"""),"MMM018711")</f>
        <v>MMM018711</v>
      </c>
      <c r="R280" s="1" t="str">
        <f>IFERROR(__xludf.DUMMYFUNCTION("""COMPUTED_VALUE"""),"DEL ROSARIO. MIGGY LENARD")</f>
        <v>DEL ROSARIO. MIGGY LENARD</v>
      </c>
      <c r="S280" s="1" t="str">
        <f>IFERROR(__xludf.DUMMYFUNCTION("""COMPUTED_VALUE"""),"GARCIA MICHAEL JETTS")</f>
        <v>GARCIA MICHAEL JETTS</v>
      </c>
      <c r="T280" s="1" t="str">
        <f>IFERROR(__xludf.DUMMYFUNCTION("""COMPUTED_VALUE"""),"MALIWAT MARK")</f>
        <v>MALIWAT MARK</v>
      </c>
      <c r="U280" s="1"/>
      <c r="V280" s="1">
        <f>IFERROR(__xludf.DUMMYFUNCTION("""COMPUTED_VALUE"""),9681950819)</f>
        <v>9681950819</v>
      </c>
      <c r="W280" s="1">
        <f>IFERROR(__xludf.DUMMYFUNCTION("""COMPUTED_VALUE"""),9681950819)</f>
        <v>9681950819</v>
      </c>
      <c r="X280" s="1" t="str">
        <f>IFERROR(__xludf.DUMMYFUNCTION("""COMPUTED_VALUE"""),"UNIT 108 NO 481 B
")</f>
        <v>UNIT 108 NO 481 B
</v>
      </c>
      <c r="Y280" s="1" t="str">
        <f>IFERROR(__xludf.DUMMYFUNCTION("""COMPUTED_VALUE"""),"ALABANG-ZAPOTE ")</f>
        <v>ALABANG-ZAPOTE </v>
      </c>
      <c r="Z280" s="1" t="str">
        <f>IFERROR(__xludf.DUMMYFUNCTION("""COMPUTED_VALUE"""),"SANDEZ PLACE")</f>
        <v>SANDEZ PLACE</v>
      </c>
      <c r="AA280" s="1" t="str">
        <f>IFERROR(__xludf.DUMMYFUNCTION("""COMPUTED_VALUE"""),"LAS PIÑAS CITY")</f>
        <v>LAS PIÑAS CITY</v>
      </c>
      <c r="AB280" s="1" t="str">
        <f>IFERROR(__xludf.DUMMYFUNCTION("""COMPUTED_VALUE"""),"LAS PINAS")</f>
        <v>LAS PINAS</v>
      </c>
      <c r="AC280" s="1"/>
    </row>
    <row r="281" customHeight="1" spans="1:29">
      <c r="A281" s="3">
        <f>IFERROR(__xludf.DUMMYFUNCTION("""COMPUTED_VALUE"""),46309)</f>
        <v>46309</v>
      </c>
      <c r="B281" s="1" t="str">
        <f>IFERROR(__xludf.DUMMYFUNCTION("""COMPUTED_VALUE"""),"OCTOBER")</f>
        <v>OCTOBER</v>
      </c>
      <c r="C281" s="1" t="str">
        <f>IFERROR(__xludf.DUMMYFUNCTION("""COMPUTED_VALUE"""),"REMY LYN TEODOCIO PAREJA")</f>
        <v>REMY LYN TEODOCIO PAREJA</v>
      </c>
      <c r="D281" s="1" t="str">
        <f>IFERROR(__xludf.DUMMYFUNCTION("""COMPUTED_VALUE"""),"RITM0313627")</f>
        <v>RITM0313627</v>
      </c>
      <c r="E281" s="1"/>
      <c r="F281" s="1" t="str">
        <f>IFERROR(__xludf.DUMMYFUNCTION("""COMPUTED_VALUE"""),"8939831923")</f>
        <v>8939831923</v>
      </c>
      <c r="G281" s="1" t="str">
        <f>IFERROR(__xludf.DUMMYFUNCTION("""COMPUTED_VALUE"""),"rltpareja@gmail.com")</f>
        <v>rltpareja@gmail.com</v>
      </c>
      <c r="H281" s="1" t="str">
        <f>IFERROR(__xludf.DUMMYFUNCTION("""COMPUTED_VALUE"""),"CLOSED")</f>
        <v>CLOSED</v>
      </c>
      <c r="I281" s="1"/>
      <c r="J281" s="1"/>
      <c r="K281" s="1" t="str">
        <f>IFERROR(__xludf.DUMMYFUNCTION("""COMPUTED_VALUE"""),"PAID VIA GCASH REF 779000327 OCT 14")</f>
        <v>PAID VIA GCASH REF 779000327 OCT 14</v>
      </c>
      <c r="L281" s="1" t="str">
        <f>IFERROR(__xludf.DUMMYFUNCTION("""COMPUTED_VALUE"""),"PAID")</f>
        <v>PAID</v>
      </c>
      <c r="M281" s="1" t="str">
        <f>IFERROR(__xludf.DUMMYFUNCTION("""COMPUTED_VALUE"""),"POSTED")</f>
        <v>POSTED</v>
      </c>
      <c r="N281" s="1" t="str">
        <f>IFERROR(__xludf.DUMMYFUNCTION("""COMPUTED_VALUE"""),"10/15/2026")</f>
        <v>10/15/2026</v>
      </c>
      <c r="O281" s="1" t="str">
        <f>IFERROR(__xludf.DUMMYFUNCTION("""COMPUTED_VALUE"""),"RFBF_CVEU_2026")</f>
        <v>RFBF_CVEU_2026</v>
      </c>
      <c r="P281" s="1" t="str">
        <f>IFERROR(__xludf.DUMMYFUNCTION("""COMPUTED_VALUE"""),"RED FIBR 1400")</f>
        <v>RED FIBR 1400</v>
      </c>
      <c r="Q281" s="1" t="str">
        <f>IFERROR(__xludf.DUMMYFUNCTION("""COMPUTED_VALUE"""),"MMM018711")</f>
        <v>MMM018711</v>
      </c>
      <c r="R281" s="1" t="str">
        <f>IFERROR(__xludf.DUMMYFUNCTION("""COMPUTED_VALUE"""),"DEL ROSARIO. MIGGY LENARD")</f>
        <v>DEL ROSARIO. MIGGY LENARD</v>
      </c>
      <c r="S281" s="1" t="str">
        <f>IFERROR(__xludf.DUMMYFUNCTION("""COMPUTED_VALUE"""),"GARCIA MICHAEL JETTS")</f>
        <v>GARCIA MICHAEL JETTS</v>
      </c>
      <c r="T281" s="1" t="str">
        <f>IFERROR(__xludf.DUMMYFUNCTION("""COMPUTED_VALUE"""),"MALIWAT MARK")</f>
        <v>MALIWAT MARK</v>
      </c>
      <c r="U281" s="1"/>
      <c r="V281" s="1">
        <f>IFERROR(__xludf.DUMMYFUNCTION("""COMPUTED_VALUE"""),9681950819)</f>
        <v>9681950819</v>
      </c>
      <c r="W281" s="1">
        <f>IFERROR(__xludf.DUMMYFUNCTION("""COMPUTED_VALUE"""),9681950819)</f>
        <v>9681950819</v>
      </c>
      <c r="X281" s="1" t="str">
        <f>IFERROR(__xludf.DUMMYFUNCTION("""COMPUTED_VALUE"""),"UNIT 108 NO 481 B
")</f>
        <v>UNIT 108 NO 481 B
</v>
      </c>
      <c r="Y281" s="1" t="str">
        <f>IFERROR(__xludf.DUMMYFUNCTION("""COMPUTED_VALUE"""),"ALABANG-ZAPOTE ")</f>
        <v>ALABANG-ZAPOTE </v>
      </c>
      <c r="Z281" s="1" t="str">
        <f>IFERROR(__xludf.DUMMYFUNCTION("""COMPUTED_VALUE"""),"SANDEZ PLACE")</f>
        <v>SANDEZ PLACE</v>
      </c>
      <c r="AA281" s="1" t="str">
        <f>IFERROR(__xludf.DUMMYFUNCTION("""COMPUTED_VALUE"""),"LAS PIÑAS CITY")</f>
        <v>LAS PIÑAS CITY</v>
      </c>
      <c r="AB281" s="1" t="str">
        <f>IFERROR(__xludf.DUMMYFUNCTION("""COMPUTED_VALUE"""),"LAS PINAS")</f>
        <v>LAS PINAS</v>
      </c>
      <c r="AC281" s="1"/>
    </row>
    <row r="282" customHeight="1" spans="1:29">
      <c r="A282" s="3">
        <f>IFERROR(__xludf.DUMMYFUNCTION("""COMPUTED_VALUE"""),46310)</f>
        <v>46310</v>
      </c>
      <c r="B282" s="1" t="str">
        <f>IFERROR(__xludf.DUMMYFUNCTION("""COMPUTED_VALUE"""),"OCTOBER")</f>
        <v>OCTOBER</v>
      </c>
      <c r="C282" s="1" t="str">
        <f>IFERROR(__xludf.DUMMYFUNCTION("""COMPUTED_VALUE"""),"SHARON VILLANUEVA BANTOLO")</f>
        <v>SHARON VILLANUEVA BANTOLO</v>
      </c>
      <c r="D282" s="1" t="str">
        <f>IFERROR(__xludf.DUMMYFUNCTION("""COMPUTED_VALUE"""),"RITM0313667")</f>
        <v>RITM0313667</v>
      </c>
      <c r="E282" s="1"/>
      <c r="F282" s="1"/>
      <c r="G282" s="1" t="str">
        <f>IFERROR(__xludf.DUMMYFUNCTION("""COMPUTED_VALUE"""),"georgeliwat460@gmail.com")</f>
        <v>georgeliwat460@gmail.com</v>
      </c>
      <c r="H282" s="1" t="str">
        <f>IFERROR(__xludf.DUMMYFUNCTION("""COMPUTED_VALUE"""),"APPROVED")</f>
        <v>APPROVED</v>
      </c>
      <c r="I282" s="1"/>
      <c r="J282" s="1"/>
      <c r="K282" s="1"/>
      <c r="L282" s="1"/>
      <c r="M282" s="1" t="str">
        <f>IFERROR(__xludf.DUMMYFUNCTION("""COMPUTED_VALUE"""),"CANCEL RECREATE - FOR CHANGE EMAIL")</f>
        <v>CANCEL RECREATE - FOR CHANGE EMAIL</v>
      </c>
      <c r="N282" s="1"/>
      <c r="O282" s="1" t="str">
        <f>IFERROR(__xludf.DUMMYFUNCTION("""COMPUTED_VALUE"""),"BKRED_RS_HH_CVE_26")</f>
        <v>BKRED_RS_HH_CVE_26</v>
      </c>
      <c r="P282" s="1" t="str">
        <f>IFERROR(__xludf.DUMMYFUNCTION("""COMPUTED_VALUE"""),"RED FIBR 1400")</f>
        <v>RED FIBR 1400</v>
      </c>
      <c r="Q282" s="1" t="str">
        <f>IFERROR(__xludf.DUMMYFUNCTION("""COMPUTED_VALUE"""),"MMM018713")</f>
        <v>MMM018713</v>
      </c>
      <c r="R282" s="1" t="str">
        <f>IFERROR(__xludf.DUMMYFUNCTION("""COMPUTED_VALUE"""),"LUCELLE, FRIAS - BATANGAS")</f>
        <v>LUCELLE, FRIAS - BATANGAS</v>
      </c>
      <c r="S282" s="1" t="str">
        <f>IFERROR(__xludf.DUMMYFUNCTION("""COMPUTED_VALUE"""),"CLARETE, GLIZIEL")</f>
        <v>CLARETE, GLIZIEL</v>
      </c>
      <c r="T282" s="1" t="str">
        <f>IFERROR(__xludf.DUMMYFUNCTION("""COMPUTED_VALUE"""),"ESPIRITU JULIE")</f>
        <v>ESPIRITU JULIE</v>
      </c>
      <c r="U282" s="1"/>
      <c r="V282" s="1">
        <f>IFERROR(__xludf.DUMMYFUNCTION("""COMPUTED_VALUE"""),9164770365)</f>
        <v>9164770365</v>
      </c>
      <c r="W282" s="1">
        <f>IFERROR(__xludf.DUMMYFUNCTION("""COMPUTED_VALUE"""),9567154609)</f>
        <v>9567154609</v>
      </c>
      <c r="X282" s="1" t="str">
        <f>IFERROR(__xludf.DUMMYFUNCTION("""COMPUTED_VALUE"""),"121")</f>
        <v>121</v>
      </c>
      <c r="Y282" s="1" t="str">
        <f>IFERROR(__xludf.DUMMYFUNCTION("""COMPUTED_VALUE"""),"SITIO TRAMO 3")</f>
        <v>SITIO TRAMO 3</v>
      </c>
      <c r="Z282" s="1"/>
      <c r="AA282" s="1" t="str">
        <f>IFERROR(__xludf.DUMMYFUNCTION("""COMPUTED_VALUE"""),"BALAGTAS")</f>
        <v>BALAGTAS</v>
      </c>
      <c r="AB282" s="1" t="str">
        <f>IFERROR(__xludf.DUMMYFUNCTION("""COMPUTED_VALUE"""),"BATANGAS ")</f>
        <v>BATANGAS </v>
      </c>
      <c r="AC282" s="1" t="str">
        <f>IFERROR(__xludf.DUMMYFUNCTION("""COMPUTED_VALUE"""),"BCYLCP101NP1")</f>
        <v>BCYLCP101NP1</v>
      </c>
    </row>
    <row r="283" customHeight="1" spans="1:29">
      <c r="A283" s="3">
        <f>IFERROR(__xludf.DUMMYFUNCTION("""COMPUTED_VALUE"""),46310)</f>
        <v>46310</v>
      </c>
      <c r="B283" s="1" t="str">
        <f>IFERROR(__xludf.DUMMYFUNCTION("""COMPUTED_VALUE"""),"OCTOBER")</f>
        <v>OCTOBER</v>
      </c>
      <c r="C283" s="1" t="str">
        <f>IFERROR(__xludf.DUMMYFUNCTION("""COMPUTED_VALUE"""),"CHARITY PALOMARES TABILIRAN")</f>
        <v>CHARITY PALOMARES TABILIRAN</v>
      </c>
      <c r="D283" s="1" t="str">
        <f>IFERROR(__xludf.DUMMYFUNCTION("""COMPUTED_VALUE"""),"RITM0313711")</f>
        <v>RITM0313711</v>
      </c>
      <c r="E283" s="1"/>
      <c r="F283" s="1"/>
      <c r="G283" s="1" t="str">
        <f>IFERROR(__xludf.DUMMYFUNCTION("""COMPUTED_VALUE"""),"tabilirancharity@gmail.com")</f>
        <v>tabilirancharity@gmail.com</v>
      </c>
      <c r="H283" s="1" t="str">
        <f>IFERROR(__xludf.DUMMYFUNCTION("""COMPUTED_VALUE"""),"APPROVED")</f>
        <v>APPROVED</v>
      </c>
      <c r="I283" s="1"/>
      <c r="J283" s="1"/>
      <c r="K283" s="1"/>
      <c r="L283" s="1"/>
      <c r="M283" s="1" t="str">
        <f>IFERROR(__xludf.DUMMYFUNCTION("""COMPUTED_VALUE"""),"CANCEL RECREATE - FOR CHANGE EMAIL")</f>
        <v>CANCEL RECREATE - FOR CHANGE EMAIL</v>
      </c>
      <c r="N283" s="1"/>
      <c r="O283" s="1" t="str">
        <f>IFERROR(__xludf.DUMMYFUNCTION("""COMPUTED_VALUE"""),"BKRED_RS_HH_CVE_26")</f>
        <v>BKRED_RS_HH_CVE_26</v>
      </c>
      <c r="P283" s="1" t="str">
        <f>IFERROR(__xludf.DUMMYFUNCTION("""COMPUTED_VALUE"""),"RED FIBR 1000")</f>
        <v>RED FIBR 1000</v>
      </c>
      <c r="Q283" s="1" t="str">
        <f>IFERROR(__xludf.DUMMYFUNCTION("""COMPUTED_VALUE"""),"MMM018712")</f>
        <v>MMM018712</v>
      </c>
      <c r="R283" s="1" t="str">
        <f>IFERROR(__xludf.DUMMYFUNCTION("""COMPUTED_VALUE"""),"LUPENA. KARL ANGELO")</f>
        <v>LUPENA. KARL ANGELO</v>
      </c>
      <c r="S283" s="1" t="str">
        <f>IFERROR(__xludf.DUMMYFUNCTION("""COMPUTED_VALUE"""),"NAVARRO JERIC")</f>
        <v>NAVARRO JERIC</v>
      </c>
      <c r="T283" s="1" t="str">
        <f>IFERROR(__xludf.DUMMYFUNCTION("""COMPUTED_VALUE"""),"ESPIRITU JULIE")</f>
        <v>ESPIRITU JULIE</v>
      </c>
      <c r="U283" s="1"/>
      <c r="V283" s="1">
        <f>IFERROR(__xludf.DUMMYFUNCTION("""COMPUTED_VALUE"""),9166740633)</f>
        <v>9166740633</v>
      </c>
      <c r="W283" s="1"/>
      <c r="X283" s="1" t="str">
        <f>IFERROR(__xludf.DUMMYFUNCTION("""COMPUTED_VALUE"""),"BLK 14 LOT 61")</f>
        <v>BLK 14 LOT 61</v>
      </c>
      <c r="Y283" s="1" t="str">
        <f>IFERROR(__xludf.DUMMYFUNCTION("""COMPUTED_VALUE"""),"14TH ST")</f>
        <v>14TH ST</v>
      </c>
      <c r="Z283" s="1" t="str">
        <f>IFERROR(__xludf.DUMMYFUNCTION("""COMPUTED_VALUE"""),"PEARL RESIDENCES PHASE A")</f>
        <v>PEARL RESIDENCES PHASE A</v>
      </c>
      <c r="AA283" s="1" t="str">
        <f>IFERROR(__xludf.DUMMYFUNCTION("""COMPUTED_VALUE"""),"CAPIPISA")</f>
        <v>CAPIPISA</v>
      </c>
      <c r="AB283" s="1" t="str">
        <f>IFERROR(__xludf.DUMMYFUNCTION("""COMPUTED_VALUE"""),"TANZA")</f>
        <v>TANZA</v>
      </c>
      <c r="AC283" s="1"/>
    </row>
    <row r="284" customHeight="1" spans="1:29">
      <c r="A284" s="3">
        <f>IFERROR(__xludf.DUMMYFUNCTION("""COMPUTED_VALUE"""),46310)</f>
        <v>46310</v>
      </c>
      <c r="B284" s="1" t="str">
        <f>IFERROR(__xludf.DUMMYFUNCTION("""COMPUTED_VALUE"""),"OCTOBER")</f>
        <v>OCTOBER</v>
      </c>
      <c r="C284" s="1" t="str">
        <f>IFERROR(__xludf.DUMMYFUNCTION("""COMPUTED_VALUE"""),"MANILYN DATO-ON DEFENSOR")</f>
        <v>MANILYN DATO-ON DEFENSOR</v>
      </c>
      <c r="D284" s="1" t="str">
        <f>IFERROR(__xludf.DUMMYFUNCTION("""COMPUTED_VALUE"""),"RITM0313761")</f>
        <v>RITM0313761</v>
      </c>
      <c r="E284" s="1"/>
      <c r="F284" s="1"/>
      <c r="G284" s="1" t="str">
        <f>IFERROR(__xludf.DUMMYFUNCTION("""COMPUTED_VALUE"""),"manilyndefensor14@gmail.com")</f>
        <v>manilyndefensor14@gmail.com</v>
      </c>
      <c r="H284" s="1" t="str">
        <f>IFERROR(__xludf.DUMMYFUNCTION("""COMPUTED_VALUE"""),"REJECTED")</f>
        <v>REJECTED</v>
      </c>
      <c r="I284" s="1"/>
      <c r="J284" s="1" t="str">
        <f>IFERROR(__xludf.DUMMYFUNCTION("""COMPUTED_VALUE""")," FOUND SAME ADDRESS WITH DEACTIVATED ACCT // ACCT NO.:3964881575 OB P 7,466.51 // KINDLY ATTACH ANY PROOF OF ADDRESS WITH SAME SUBS NAME TO PROCEED THE APPLICATION ")</f>
        <v> FOUND SAME ADDRESS WITH DEACTIVATED ACCT // ACCT NO.:3964881575 OB P 7,466.51 // KINDLY ATTACH ANY PROOF OF ADDRESS WITH SAME SUBS NAME TO PROCEED THE APPLICATION </v>
      </c>
      <c r="K284" s="1"/>
      <c r="L284" s="1"/>
      <c r="M284" s="1" t="str">
        <f>IFERROR(__xludf.DUMMYFUNCTION("""COMPUTED_VALUE"""),"CANCELLED - RE ENCODE")</f>
        <v>CANCELLED - RE ENCODE</v>
      </c>
      <c r="N284" s="1"/>
      <c r="O284" s="1" t="str">
        <f>IFERROR(__xludf.DUMMYFUNCTION("""COMPUTED_VALUE"""),"BKRED_RS_HH_CVE_26")</f>
        <v>BKRED_RS_HH_CVE_26</v>
      </c>
      <c r="P284" s="1" t="str">
        <f>IFERROR(__xludf.DUMMYFUNCTION("""COMPUTED_VALUE"""),"RED FIBR 1000")</f>
        <v>RED FIBR 1000</v>
      </c>
      <c r="Q284" s="1" t="str">
        <f>IFERROR(__xludf.DUMMYFUNCTION("""COMPUTED_VALUE"""),"MMM018712")</f>
        <v>MMM018712</v>
      </c>
      <c r="R284" s="1" t="str">
        <f>IFERROR(__xludf.DUMMYFUNCTION("""COMPUTED_VALUE"""),"PEREZ. RONELL ")</f>
        <v>PEREZ. RONELL </v>
      </c>
      <c r="S284" s="1" t="str">
        <f>IFERROR(__xludf.DUMMYFUNCTION("""COMPUTED_VALUE"""),"GARCIA MICHAEL JETTS")</f>
        <v>GARCIA MICHAEL JETTS</v>
      </c>
      <c r="T284" s="1" t="str">
        <f>IFERROR(__xludf.DUMMYFUNCTION("""COMPUTED_VALUE"""),"ESPIRITU JULIE")</f>
        <v>ESPIRITU JULIE</v>
      </c>
      <c r="U284" s="1"/>
      <c r="V284" s="1">
        <f>IFERROR(__xludf.DUMMYFUNCTION("""COMPUTED_VALUE"""),9539388257)</f>
        <v>9539388257</v>
      </c>
      <c r="W284" s="1"/>
      <c r="X284" s="1" t="str">
        <f>IFERROR(__xludf.DUMMYFUNCTION("""COMPUTED_VALUE"""),"BLK 2 LOT 28")</f>
        <v>BLK 2 LOT 28</v>
      </c>
      <c r="Y284" s="1" t="str">
        <f>IFERROR(__xludf.DUMMYFUNCTION("""COMPUTED_VALUE"""),"PHASE B")</f>
        <v>PHASE B</v>
      </c>
      <c r="Z284" s="1" t="str">
        <f>IFERROR(__xludf.DUMMYFUNCTION("""COMPUTED_VALUE"""),"PEARL RESIDENCES")</f>
        <v>PEARL RESIDENCES</v>
      </c>
      <c r="AA284" s="1" t="str">
        <f>IFERROR(__xludf.DUMMYFUNCTION("""COMPUTED_VALUE"""),"CAPIPISA")</f>
        <v>CAPIPISA</v>
      </c>
      <c r="AB284" s="1" t="str">
        <f>IFERROR(__xludf.DUMMYFUNCTION("""COMPUTED_VALUE"""),"TANZA")</f>
        <v>TANZA</v>
      </c>
      <c r="AC284" s="1"/>
    </row>
    <row r="285" customHeight="1" spans="1:29">
      <c r="A285" s="3">
        <f>IFERROR(__xludf.DUMMYFUNCTION("""COMPUTED_VALUE"""),46311)</f>
        <v>46311</v>
      </c>
      <c r="B285" s="1" t="str">
        <f>IFERROR(__xludf.DUMMYFUNCTION("""COMPUTED_VALUE"""),"OCTOBER")</f>
        <v>OCTOBER</v>
      </c>
      <c r="C285" s="1" t="str">
        <f>IFERROR(__xludf.DUMMYFUNCTION("""COMPUTED_VALUE"""),"MANILYN DATO-ON DEFENSOR")</f>
        <v>MANILYN DATO-ON DEFENSOR</v>
      </c>
      <c r="D285" s="1" t="str">
        <f>IFERROR(__xludf.DUMMYFUNCTION("""COMPUTED_VALUE"""),"RITM0313778")</f>
        <v>RITM0313778</v>
      </c>
      <c r="E285" s="1"/>
      <c r="F285" s="1" t="str">
        <f>IFERROR(__xludf.DUMMYFUNCTION("""COMPUTED_VALUE"""),"3372981319")</f>
        <v>3372981319</v>
      </c>
      <c r="G285" s="1" t="str">
        <f>IFERROR(__xludf.DUMMYFUNCTION("""COMPUTED_VALUE"""),"manilyndefensor14@gmail.com")</f>
        <v>manilyndefensor14@gmail.com</v>
      </c>
      <c r="H285" s="1" t="str">
        <f>IFERROR(__xludf.DUMMYFUNCTION("""COMPUTED_VALUE"""),"CLOSED")</f>
        <v>CLOSED</v>
      </c>
      <c r="I285" s="1"/>
      <c r="J285" s="1"/>
      <c r="K285" s="1" t="str">
        <f>IFERROR(__xludf.DUMMYFUNCTION("""COMPUTED_VALUE"""),"PAID VIA GCASH REF 985462188 OCT 16")</f>
        <v>PAID VIA GCASH REF 985462188 OCT 16</v>
      </c>
      <c r="L285" s="1" t="str">
        <f>IFERROR(__xludf.DUMMYFUNCTION("""COMPUTED_VALUE"""),"PAID")</f>
        <v>PAID</v>
      </c>
      <c r="M285" s="1" t="str">
        <f>IFERROR(__xludf.DUMMYFUNCTION("""COMPUTED_VALUE"""),"POSTED")</f>
        <v>POSTED</v>
      </c>
      <c r="N285" s="1" t="str">
        <f>IFERROR(__xludf.DUMMYFUNCTION("""COMPUTED_VALUE"""),"10/17/2026")</f>
        <v>10/17/2026</v>
      </c>
      <c r="O285" s="1" t="str">
        <f>IFERROR(__xludf.DUMMYFUNCTION("""COMPUTED_VALUE"""),"BKRED_RS_HH_CVE_26")</f>
        <v>BKRED_RS_HH_CVE_26</v>
      </c>
      <c r="P285" s="1" t="str">
        <f>IFERROR(__xludf.DUMMYFUNCTION("""COMPUTED_VALUE"""),"RED FIBR 1000")</f>
        <v>RED FIBR 1000</v>
      </c>
      <c r="Q285" s="1" t="str">
        <f>IFERROR(__xludf.DUMMYFUNCTION("""COMPUTED_VALUE"""),"MMM018712")</f>
        <v>MMM018712</v>
      </c>
      <c r="R285" s="1" t="str">
        <f>IFERROR(__xludf.DUMMYFUNCTION("""COMPUTED_VALUE"""),"PEREZ. RONELL ")</f>
        <v>PEREZ. RONELL </v>
      </c>
      <c r="S285" s="1" t="str">
        <f>IFERROR(__xludf.DUMMYFUNCTION("""COMPUTED_VALUE"""),"GARCIA MICHAEL JETTS")</f>
        <v>GARCIA MICHAEL JETTS</v>
      </c>
      <c r="T285" s="1" t="str">
        <f>IFERROR(__xludf.DUMMYFUNCTION("""COMPUTED_VALUE"""),"ESPIRITU JULIE")</f>
        <v>ESPIRITU JULIE</v>
      </c>
      <c r="U285" s="1"/>
      <c r="V285" s="1">
        <f>IFERROR(__xludf.DUMMYFUNCTION("""COMPUTED_VALUE"""),9539388257)</f>
        <v>9539388257</v>
      </c>
      <c r="W285" s="1"/>
      <c r="X285" s="1" t="str">
        <f>IFERROR(__xludf.DUMMYFUNCTION("""COMPUTED_VALUE"""),"BLK 2 LOT 28")</f>
        <v>BLK 2 LOT 28</v>
      </c>
      <c r="Y285" s="1" t="str">
        <f>IFERROR(__xludf.DUMMYFUNCTION("""COMPUTED_VALUE"""),"PHASE B")</f>
        <v>PHASE B</v>
      </c>
      <c r="Z285" s="1" t="str">
        <f>IFERROR(__xludf.DUMMYFUNCTION("""COMPUTED_VALUE"""),"PEARL RESIDENCES")</f>
        <v>PEARL RESIDENCES</v>
      </c>
      <c r="AA285" s="1" t="str">
        <f>IFERROR(__xludf.DUMMYFUNCTION("""COMPUTED_VALUE"""),"CAPIPISA")</f>
        <v>CAPIPISA</v>
      </c>
      <c r="AB285" s="1" t="str">
        <f>IFERROR(__xludf.DUMMYFUNCTION("""COMPUTED_VALUE"""),"TANZA")</f>
        <v>TANZA</v>
      </c>
      <c r="AC285" s="1"/>
    </row>
    <row r="286" customHeight="1" spans="1:29">
      <c r="A286" s="3">
        <f>IFERROR(__xludf.DUMMYFUNCTION("""COMPUTED_VALUE"""),46311)</f>
        <v>46311</v>
      </c>
      <c r="B286" s="1" t="str">
        <f>IFERROR(__xludf.DUMMYFUNCTION("""COMPUTED_VALUE"""),"OCTOBER")</f>
        <v>OCTOBER</v>
      </c>
      <c r="C286" s="1" t="str">
        <f>IFERROR(__xludf.DUMMYFUNCTION("""COMPUTED_VALUE"""),"CHARITY PALOMARES TABILIRAN")</f>
        <v>CHARITY PALOMARES TABILIRAN</v>
      </c>
      <c r="D286" s="1" t="str">
        <f>IFERROR(__xludf.DUMMYFUNCTION("""COMPUTED_VALUE"""),"RITM0313806")</f>
        <v>RITM0313806</v>
      </c>
      <c r="E286" s="1"/>
      <c r="F286" s="1" t="str">
        <f>IFERROR(__xludf.DUMMYFUNCTION("""COMPUTED_VALUE"""),"1617161962")</f>
        <v>1617161962</v>
      </c>
      <c r="G286" s="1" t="str">
        <f>IFERROR(__xludf.DUMMYFUNCTION("""COMPUTED_VALUE"""),"charitytabiliran76@gmail.com")</f>
        <v>charitytabiliran76@gmail.com</v>
      </c>
      <c r="H286" s="1" t="str">
        <f>IFERROR(__xludf.DUMMYFUNCTION("""COMPUTED_VALUE"""),"CLOSED")</f>
        <v>CLOSED</v>
      </c>
      <c r="I286" s="1"/>
      <c r="J286" s="1"/>
      <c r="K286" s="1" t="str">
        <f>IFERROR(__xludf.DUMMYFUNCTION("""COMPUTED_VALUE"""),"PAID VIA GCASH REF 26289ETQP11WB1X55 OCT 16")</f>
        <v>PAID VIA GCASH REF 26289ETQP11WB1X55 OCT 16</v>
      </c>
      <c r="L286" s="1" t="str">
        <f>IFERROR(__xludf.DUMMYFUNCTION("""COMPUTED_VALUE"""),"PAID")</f>
        <v>PAID</v>
      </c>
      <c r="M286" s="1" t="str">
        <f>IFERROR(__xludf.DUMMYFUNCTION("""COMPUTED_VALUE"""),"POSTED")</f>
        <v>POSTED</v>
      </c>
      <c r="N286" s="1" t="str">
        <f>IFERROR(__xludf.DUMMYFUNCTION("""COMPUTED_VALUE"""),"10/16/2026")</f>
        <v>10/16/2026</v>
      </c>
      <c r="O286" s="1" t="str">
        <f>IFERROR(__xludf.DUMMYFUNCTION("""COMPUTED_VALUE"""),"BKRED_RS_HH_CVE_26")</f>
        <v>BKRED_RS_HH_CVE_26</v>
      </c>
      <c r="P286" s="1" t="str">
        <f>IFERROR(__xludf.DUMMYFUNCTION("""COMPUTED_VALUE"""),"RED FIBR 1000")</f>
        <v>RED FIBR 1000</v>
      </c>
      <c r="Q286" s="1" t="str">
        <f>IFERROR(__xludf.DUMMYFUNCTION("""COMPUTED_VALUE"""),"MMM018712")</f>
        <v>MMM018712</v>
      </c>
      <c r="R286" s="1" t="str">
        <f>IFERROR(__xludf.DUMMYFUNCTION("""COMPUTED_VALUE"""),"LUPENA. KARL ANGELO")</f>
        <v>LUPENA. KARL ANGELO</v>
      </c>
      <c r="S286" s="1" t="str">
        <f>IFERROR(__xludf.DUMMYFUNCTION("""COMPUTED_VALUE"""),"GARCIA MICHAEL JETTS")</f>
        <v>GARCIA MICHAEL JETTS</v>
      </c>
      <c r="T286" s="1" t="str">
        <f>IFERROR(__xludf.DUMMYFUNCTION("""COMPUTED_VALUE"""),"ESPIRITU JULIE")</f>
        <v>ESPIRITU JULIE</v>
      </c>
      <c r="U286" s="1"/>
      <c r="V286" s="1">
        <f>IFERROR(__xludf.DUMMYFUNCTION("""COMPUTED_VALUE"""),9166740633)</f>
        <v>9166740633</v>
      </c>
      <c r="W286" s="1"/>
      <c r="X286" s="1" t="str">
        <f>IFERROR(__xludf.DUMMYFUNCTION("""COMPUTED_VALUE"""),"BLK 14 LOT 61")</f>
        <v>BLK 14 LOT 61</v>
      </c>
      <c r="Y286" s="1" t="str">
        <f>IFERROR(__xludf.DUMMYFUNCTION("""COMPUTED_VALUE"""),"14TH ST")</f>
        <v>14TH ST</v>
      </c>
      <c r="Z286" s="1" t="str">
        <f>IFERROR(__xludf.DUMMYFUNCTION("""COMPUTED_VALUE"""),"PEARL RESIDENCES PHASE A")</f>
        <v>PEARL RESIDENCES PHASE A</v>
      </c>
      <c r="AA286" s="1" t="str">
        <f>IFERROR(__xludf.DUMMYFUNCTION("""COMPUTED_VALUE"""),"CAPIPISA")</f>
        <v>CAPIPISA</v>
      </c>
      <c r="AB286" s="1" t="str">
        <f>IFERROR(__xludf.DUMMYFUNCTION("""COMPUTED_VALUE"""),"TANZA")</f>
        <v>TANZA</v>
      </c>
      <c r="AC286" s="1"/>
    </row>
    <row r="287" customHeight="1" spans="1:29">
      <c r="A287" s="3">
        <f>IFERROR(__xludf.DUMMYFUNCTION("""COMPUTED_VALUE"""),46311)</f>
        <v>46311</v>
      </c>
      <c r="B287" s="1" t="str">
        <f>IFERROR(__xludf.DUMMYFUNCTION("""COMPUTED_VALUE"""),"OCTOBER")</f>
        <v>OCTOBER</v>
      </c>
      <c r="C287" s="1" t="str">
        <f>IFERROR(__xludf.DUMMYFUNCTION("""COMPUTED_VALUE"""),"MARK ANGELO CARREON VIDAMO")</f>
        <v>MARK ANGELO CARREON VIDAMO</v>
      </c>
      <c r="D287" s="1" t="str">
        <f>IFERROR(__xludf.DUMMYFUNCTION("""COMPUTED_VALUE"""),"RITM0313815")</f>
        <v>RITM0313815</v>
      </c>
      <c r="E287" s="1"/>
      <c r="F287" s="1"/>
      <c r="G287" s="1" t="str">
        <f>IFERROR(__xludf.DUMMYFUNCTION("""COMPUTED_VALUE"""),"mikkolovidamo10@gmail.com")</f>
        <v>mikkolovidamo10@gmail.com</v>
      </c>
      <c r="H287" s="1" t="str">
        <f>IFERROR(__xludf.DUMMYFUNCTION("""COMPUTED_VALUE"""),"REJECTED")</f>
        <v>REJECTED</v>
      </c>
      <c r="I287" s="1"/>
      <c r="J287" s="1" t="str">
        <f>IFERROR(__xludf.DUMMYFUNCTION("""COMPUTED_VALUE"""),"FOUND SAME ADDRESS WITH DEACTIVATED ACCT // ACCT NO.: 1127456666 OB P3,848 // KINDLY ATTACH ANY PROOF OF ADDRESS WITH SAME SUBS NAME TO PROCEED THE APPLICATION //")</f>
        <v>FOUND SAME ADDRESS WITH DEACTIVATED ACCT // ACCT NO.: 1127456666 OB P3,848 // KINDLY ATTACH ANY PROOF OF ADDRESS WITH SAME SUBS NAME TO PROCEED THE APPLICATION //</v>
      </c>
      <c r="K287" s="1"/>
      <c r="L287" s="1"/>
      <c r="M287" s="1" t="str">
        <f>IFERROR(__xludf.DUMMYFUNCTION("""COMPUTED_VALUE"""),"CANCELLED - RE ENCODE")</f>
        <v>CANCELLED - RE ENCODE</v>
      </c>
      <c r="N287" s="1"/>
      <c r="O287" s="1" t="str">
        <f>IFERROR(__xludf.DUMMYFUNCTION("""COMPUTED_VALUE"""),"RFBF_CVEU_2026")</f>
        <v>RFBF_CVEU_2026</v>
      </c>
      <c r="P287" s="1" t="str">
        <f>IFERROR(__xludf.DUMMYFUNCTION("""COMPUTED_VALUE"""),"RED FIBR 1400")</f>
        <v>RED FIBR 1400</v>
      </c>
      <c r="Q287" s="1" t="str">
        <f>IFERROR(__xludf.DUMMYFUNCTION("""COMPUTED_VALUE"""),"MMM018711")</f>
        <v>MMM018711</v>
      </c>
      <c r="R287" s="1" t="str">
        <f>IFERROR(__xludf.DUMMYFUNCTION("""COMPUTED_VALUE"""),"FAUSTINO, KIM")</f>
        <v>FAUSTINO, KIM</v>
      </c>
      <c r="S287" s="1" t="str">
        <f>IFERROR(__xludf.DUMMYFUNCTION("""COMPUTED_VALUE"""),"GARCIA MICHAEL JETTS")</f>
        <v>GARCIA MICHAEL JETTS</v>
      </c>
      <c r="T287" s="1" t="str">
        <f>IFERROR(__xludf.DUMMYFUNCTION("""COMPUTED_VALUE"""),"ESPIRITU JULIE")</f>
        <v>ESPIRITU JULIE</v>
      </c>
      <c r="U287" s="1"/>
      <c r="V287" s="1">
        <f>IFERROR(__xludf.DUMMYFUNCTION("""COMPUTED_VALUE"""),9914864793)</f>
        <v>9914864793</v>
      </c>
      <c r="W287" s="1">
        <f>IFERROR(__xludf.DUMMYFUNCTION("""COMPUTED_VALUE"""),9912677580)</f>
        <v>9912677580</v>
      </c>
      <c r="X287" s="1" t="str">
        <f>IFERROR(__xludf.DUMMYFUNCTION("""COMPUTED_VALUE"""),"43")</f>
        <v>43</v>
      </c>
      <c r="Y287" s="1" t="str">
        <f>IFERROR(__xludf.DUMMYFUNCTION("""COMPUTED_VALUE"""),"MABINI ST")</f>
        <v>MABINI ST</v>
      </c>
      <c r="Z287" s="1"/>
      <c r="AA287" s="1" t="str">
        <f>IFERROR(__xludf.DUMMYFUNCTION("""COMPUTED_VALUE"""),"POBLACION III (BARANGAY III)")</f>
        <v>POBLACION III (BARANGAY III)</v>
      </c>
      <c r="AB287" s="1" t="str">
        <f>IFERROR(__xludf.DUMMYFUNCTION("""COMPUTED_VALUE"""),"MENDEZ")</f>
        <v>MENDEZ</v>
      </c>
      <c r="AC287" s="1"/>
    </row>
    <row r="288" customHeight="1" spans="1:29">
      <c r="A288" s="3">
        <f>IFERROR(__xludf.DUMMYFUNCTION("""COMPUTED_VALUE"""),46311)</f>
        <v>46311</v>
      </c>
      <c r="B288" s="1" t="str">
        <f>IFERROR(__xludf.DUMMYFUNCTION("""COMPUTED_VALUE"""),"OCTOBER")</f>
        <v>OCTOBER</v>
      </c>
      <c r="C288" s="1" t="str">
        <f>IFERROR(__xludf.DUMMYFUNCTION("""COMPUTED_VALUE"""),"SHARON VILLANUEVA BANTOLO")</f>
        <v>SHARON VILLANUEVA BANTOLO</v>
      </c>
      <c r="D288" s="1" t="str">
        <f>IFERROR(__xludf.DUMMYFUNCTION("""COMPUTED_VALUE"""),"RITM0313857")</f>
        <v>RITM0313857</v>
      </c>
      <c r="E288" s="1"/>
      <c r="F288" s="1" t="str">
        <f>IFERROR(__xludf.DUMMYFUNCTION("""COMPUTED_VALUE"""),"2564656934")</f>
        <v>2564656934</v>
      </c>
      <c r="G288" s="1" t="str">
        <f>IFERROR(__xludf.DUMMYFUNCTION("""COMPUTED_VALUE"""),"georgeliwat11@gmail.com")</f>
        <v>georgeliwat11@gmail.com</v>
      </c>
      <c r="H288" s="1" t="str">
        <f>IFERROR(__xludf.DUMMYFUNCTION("""COMPUTED_VALUE"""),"APPROVED")</f>
        <v>APPROVED</v>
      </c>
      <c r="I288" s="1"/>
      <c r="J288" s="1" t="str">
        <f>IFERROR(__xludf.DUMMYFUNCTION("""COMPUTED_VALUE"""),"QUALIFIED 10/19")</f>
        <v>QUALIFIED 10/19</v>
      </c>
      <c r="K288" s="1" t="str">
        <f>IFERROR(__xludf.DUMMYFUNCTION("""COMPUTED_VALUE"""),"PAID VIA GCASH REF 789274892 OCT 17")</f>
        <v>PAID VIA GCASH REF 789274892 OCT 17</v>
      </c>
      <c r="L288" s="1" t="str">
        <f>IFERROR(__xludf.DUMMYFUNCTION("""COMPUTED_VALUE"""),"PAID")</f>
        <v>PAID</v>
      </c>
      <c r="M288" s="1" t="str">
        <f>IFERROR(__xludf.DUMMYFUNCTION("""COMPUTED_VALUE"""),"PAID - FOR INSTALLATION")</f>
        <v>PAID - FOR INSTALLATION</v>
      </c>
      <c r="N288" s="1"/>
      <c r="O288" s="1" t="str">
        <f>IFERROR(__xludf.DUMMYFUNCTION("""COMPUTED_VALUE"""),"BKRED_RS_HH_CVE_26")</f>
        <v>BKRED_RS_HH_CVE_26</v>
      </c>
      <c r="P288" s="1" t="str">
        <f>IFERROR(__xludf.DUMMYFUNCTION("""COMPUTED_VALUE"""),"RED FIBR 1400")</f>
        <v>RED FIBR 1400</v>
      </c>
      <c r="Q288" s="1" t="str">
        <f>IFERROR(__xludf.DUMMYFUNCTION("""COMPUTED_VALUE"""),"MMM018713")</f>
        <v>MMM018713</v>
      </c>
      <c r="R288" s="1" t="str">
        <f>IFERROR(__xludf.DUMMYFUNCTION("""COMPUTED_VALUE"""),"LUCELLE, FRIAS - BATANGAS")</f>
        <v>LUCELLE, FRIAS - BATANGAS</v>
      </c>
      <c r="S288" s="1" t="str">
        <f>IFERROR(__xludf.DUMMYFUNCTION("""COMPUTED_VALUE"""),"CLARETE, GLIZIEL")</f>
        <v>CLARETE, GLIZIEL</v>
      </c>
      <c r="T288" s="1" t="str">
        <f>IFERROR(__xludf.DUMMYFUNCTION("""COMPUTED_VALUE"""),"ESPIRITU JULIE")</f>
        <v>ESPIRITU JULIE</v>
      </c>
      <c r="U288" s="1"/>
      <c r="V288" s="1">
        <f>IFERROR(__xludf.DUMMYFUNCTION("""COMPUTED_VALUE"""),9164770365)</f>
        <v>9164770365</v>
      </c>
      <c r="W288" s="1">
        <f>IFERROR(__xludf.DUMMYFUNCTION("""COMPUTED_VALUE"""),9567154609)</f>
        <v>9567154609</v>
      </c>
      <c r="X288" s="1" t="str">
        <f>IFERROR(__xludf.DUMMYFUNCTION("""COMPUTED_VALUE"""),"121")</f>
        <v>121</v>
      </c>
      <c r="Y288" s="1" t="str">
        <f>IFERROR(__xludf.DUMMYFUNCTION("""COMPUTED_VALUE"""),"SITIO TRAMO 3")</f>
        <v>SITIO TRAMO 3</v>
      </c>
      <c r="Z288" s="1"/>
      <c r="AA288" s="1" t="str">
        <f>IFERROR(__xludf.DUMMYFUNCTION("""COMPUTED_VALUE"""),"BALAGTAS")</f>
        <v>BALAGTAS</v>
      </c>
      <c r="AB288" s="1" t="str">
        <f>IFERROR(__xludf.DUMMYFUNCTION("""COMPUTED_VALUE"""),"BATANGAS ")</f>
        <v>BATANGAS </v>
      </c>
      <c r="AC288" s="1" t="str">
        <f>IFERROR(__xludf.DUMMYFUNCTION("""COMPUTED_VALUE"""),"BCYLCP101NP1")</f>
        <v>BCYLCP101NP1</v>
      </c>
    </row>
    <row r="289" customHeight="1" spans="1:29">
      <c r="A289" s="3">
        <f>IFERROR(__xludf.DUMMYFUNCTION("""COMPUTED_VALUE"""),46311)</f>
        <v>46311</v>
      </c>
      <c r="B289" s="1" t="str">
        <f>IFERROR(__xludf.DUMMYFUNCTION("""COMPUTED_VALUE"""),"OCTOBER")</f>
        <v>OCTOBER</v>
      </c>
      <c r="C289" s="1" t="str">
        <f>IFERROR(__xludf.DUMMYFUNCTION("""COMPUTED_VALUE"""),"MARK ANGELO CARREON VIDAMO")</f>
        <v>MARK ANGELO CARREON VIDAMO</v>
      </c>
      <c r="D289" s="1" t="str">
        <f>IFERROR(__xludf.DUMMYFUNCTION("""COMPUTED_VALUE"""),"RITM0313863")</f>
        <v>RITM0313863</v>
      </c>
      <c r="E289" s="1"/>
      <c r="F289" s="1" t="str">
        <f>IFERROR(__xludf.DUMMYFUNCTION("""COMPUTED_VALUE"""),"6621196455")</f>
        <v>6621196455</v>
      </c>
      <c r="G289" s="1" t="str">
        <f>IFERROR(__xludf.DUMMYFUNCTION("""COMPUTED_VALUE"""),"mikkolovidamo10@gmail.com")</f>
        <v>mikkolovidamo10@gmail.com</v>
      </c>
      <c r="H289" s="1" t="str">
        <f>IFERROR(__xludf.DUMMYFUNCTION("""COMPUTED_VALUE"""),"CLOSED")</f>
        <v>CLOSED</v>
      </c>
      <c r="I289" s="1"/>
      <c r="J289" s="1"/>
      <c r="K289" s="1" t="str">
        <f>IFERROR(__xludf.DUMMYFUNCTION("""COMPUTED_VALUE"""),"PAID VIA GCASH OCT 16")</f>
        <v>PAID VIA GCASH OCT 16</v>
      </c>
      <c r="L289" s="1" t="str">
        <f>IFERROR(__xludf.DUMMYFUNCTION("""COMPUTED_VALUE"""),"PAID")</f>
        <v>PAID</v>
      </c>
      <c r="M289" s="1" t="str">
        <f>IFERROR(__xludf.DUMMYFUNCTION("""COMPUTED_VALUE"""),"POSTED")</f>
        <v>POSTED</v>
      </c>
      <c r="N289" s="1" t="str">
        <f>IFERROR(__xludf.DUMMYFUNCTION("""COMPUTED_VALUE"""),"10/17/2026")</f>
        <v>10/17/2026</v>
      </c>
      <c r="O289" s="1" t="str">
        <f>IFERROR(__xludf.DUMMYFUNCTION("""COMPUTED_VALUE"""),"RFBF_CVEU_2026")</f>
        <v>RFBF_CVEU_2026</v>
      </c>
      <c r="P289" s="1" t="str">
        <f>IFERROR(__xludf.DUMMYFUNCTION("""COMPUTED_VALUE"""),"RED FIBR 1400")</f>
        <v>RED FIBR 1400</v>
      </c>
      <c r="Q289" s="1" t="str">
        <f>IFERROR(__xludf.DUMMYFUNCTION("""COMPUTED_VALUE"""),"MMM018711")</f>
        <v>MMM018711</v>
      </c>
      <c r="R289" s="1" t="str">
        <f>IFERROR(__xludf.DUMMYFUNCTION("""COMPUTED_VALUE"""),"FAUSTINO, KIM")</f>
        <v>FAUSTINO, KIM</v>
      </c>
      <c r="S289" s="1" t="str">
        <f>IFERROR(__xludf.DUMMYFUNCTION("""COMPUTED_VALUE"""),"GARCIA MICHAEL JETTS")</f>
        <v>GARCIA MICHAEL JETTS</v>
      </c>
      <c r="T289" s="1" t="str">
        <f>IFERROR(__xludf.DUMMYFUNCTION("""COMPUTED_VALUE"""),"ESPIRITU JULIE")</f>
        <v>ESPIRITU JULIE</v>
      </c>
      <c r="U289" s="1"/>
      <c r="V289" s="1">
        <f>IFERROR(__xludf.DUMMYFUNCTION("""COMPUTED_VALUE"""),9914864793)</f>
        <v>9914864793</v>
      </c>
      <c r="W289" s="1">
        <f>IFERROR(__xludf.DUMMYFUNCTION("""COMPUTED_VALUE"""),9912677580)</f>
        <v>9912677580</v>
      </c>
      <c r="X289" s="1" t="str">
        <f>IFERROR(__xludf.DUMMYFUNCTION("""COMPUTED_VALUE"""),"43C")</f>
        <v>43C</v>
      </c>
      <c r="Y289" s="1" t="str">
        <f>IFERROR(__xludf.DUMMYFUNCTION("""COMPUTED_VALUE"""),"MABINI ST")</f>
        <v>MABINI ST</v>
      </c>
      <c r="Z289" s="1"/>
      <c r="AA289" s="1" t="str">
        <f>IFERROR(__xludf.DUMMYFUNCTION("""COMPUTED_VALUE"""),"POBLACION III (BARANGAY III)")</f>
        <v>POBLACION III (BARANGAY III)</v>
      </c>
      <c r="AB289" s="1" t="str">
        <f>IFERROR(__xludf.DUMMYFUNCTION("""COMPUTED_VALUE"""),"MENDEZ")</f>
        <v>MENDEZ</v>
      </c>
      <c r="AC289" s="1"/>
    </row>
    <row r="290" customHeight="1" spans="1:29">
      <c r="A290" s="3">
        <f>IFERROR(__xludf.DUMMYFUNCTION("""COMPUTED_VALUE"""),46312)</f>
        <v>46312</v>
      </c>
      <c r="B290" s="1" t="str">
        <f>IFERROR(__xludf.DUMMYFUNCTION("""COMPUTED_VALUE"""),"OCTOBER")</f>
        <v>OCTOBER</v>
      </c>
      <c r="C290" s="1" t="str">
        <f>IFERROR(__xludf.DUMMYFUNCTION("""COMPUTED_VALUE"""),"REYMARK ESTEVES MEJIA")</f>
        <v>REYMARK ESTEVES MEJIA</v>
      </c>
      <c r="D290" s="1" t="str">
        <f>IFERROR(__xludf.DUMMYFUNCTION("""COMPUTED_VALUE"""),"RITM0313919")</f>
        <v>RITM0313919</v>
      </c>
      <c r="E290" s="1"/>
      <c r="F290" s="1"/>
      <c r="G290" s="1" t="str">
        <f>IFERROR(__xludf.DUMMYFUNCTION("""COMPUTED_VALUE"""),"reymarkmejia24@gmail.com")</f>
        <v>reymarkmejia24@gmail.com</v>
      </c>
      <c r="H290" s="1" t="str">
        <f>IFERROR(__xludf.DUMMYFUNCTION("""COMPUTED_VALUE"""),"REJECTED")</f>
        <v>REJECTED</v>
      </c>
      <c r="I290" s="1"/>
      <c r="J290" s="1" t="str">
        <f>IFERROR(__xludf.DUMMYFUNCTION("""COMPUTED_VALUE"""),"NEED TO PROVIDE LONG LAT  / REJECTED//NO FACILITIES//KINDLY PROVIDE NAP")</f>
        <v>NEED TO PROVIDE LONG LAT  / REJECTED//NO FACILITIES//KINDLY PROVIDE NAP</v>
      </c>
      <c r="K290" s="1"/>
      <c r="L290" s="1"/>
      <c r="M290" s="1" t="str">
        <f>IFERROR(__xludf.DUMMYFUNCTION("""COMPUTED_VALUE"""),"CANCELLED")</f>
        <v>CANCELLED</v>
      </c>
      <c r="N290" s="1"/>
      <c r="O290" s="1" t="str">
        <f>IFERROR(__xludf.DUMMYFUNCTION("""COMPUTED_VALUE"""),"BKRED_RS_HH_CVE_26")</f>
        <v>BKRED_RS_HH_CVE_26</v>
      </c>
      <c r="P290" s="1" t="str">
        <f>IFERROR(__xludf.DUMMYFUNCTION("""COMPUTED_VALUE"""),"RED FIBR 1000")</f>
        <v>RED FIBR 1000</v>
      </c>
      <c r="Q290" s="1" t="str">
        <f>IFERROR(__xludf.DUMMYFUNCTION("""COMPUTED_VALUE"""),"MMM018713")</f>
        <v>MMM018713</v>
      </c>
      <c r="R290" s="1" t="str">
        <f>IFERROR(__xludf.DUMMYFUNCTION("""COMPUTED_VALUE"""),"AYON, MANUEL")</f>
        <v>AYON, MANUEL</v>
      </c>
      <c r="S290" s="1" t="str">
        <f>IFERROR(__xludf.DUMMYFUNCTION("""COMPUTED_VALUE"""),"NAVARRO JERIC")</f>
        <v>NAVARRO JERIC</v>
      </c>
      <c r="T290" s="1" t="str">
        <f>IFERROR(__xludf.DUMMYFUNCTION("""COMPUTED_VALUE"""),"ESPIRITU JULIE")</f>
        <v>ESPIRITU JULIE</v>
      </c>
      <c r="U290" s="1"/>
      <c r="V290" s="1">
        <f>IFERROR(__xludf.DUMMYFUNCTION("""COMPUTED_VALUE"""),9652171271)</f>
        <v>9652171271</v>
      </c>
      <c r="W290" s="1">
        <f>IFERROR(__xludf.DUMMYFUNCTION("""COMPUTED_VALUE"""),9530513370)</f>
        <v>9530513370</v>
      </c>
      <c r="X290" s="1" t="str">
        <f>IFERROR(__xludf.DUMMYFUNCTION("""COMPUTED_VALUE"""),"81")</f>
        <v>81</v>
      </c>
      <c r="Y290" s="1" t="str">
        <f>IFERROR(__xludf.DUMMYFUNCTION("""COMPUTED_VALUE"""),"PALIGAWAN RD")</f>
        <v>PALIGAWAN RD</v>
      </c>
      <c r="Z290" s="1"/>
      <c r="AA290" s="1" t="str">
        <f>IFERROR(__xludf.DUMMYFUNCTION("""COMPUTED_VALUE"""),"PALIGAWAN")</f>
        <v>PALIGAWAN</v>
      </c>
      <c r="AB290" s="1" t="str">
        <f>IFERROR(__xludf.DUMMYFUNCTION("""COMPUTED_VALUE"""),"SILANG")</f>
        <v>SILANG</v>
      </c>
      <c r="AC290" s="1" t="str">
        <f>IFERROR(__xludf.DUMMYFUNCTION("""COMPUTED_VALUE"""),"CVT2LCP37NP6")</f>
        <v>CVT2LCP37NP6</v>
      </c>
    </row>
    <row r="291" customHeight="1" spans="1:29">
      <c r="A291" s="3">
        <f>IFERROR(__xludf.DUMMYFUNCTION("""COMPUTED_VALUE"""),46312)</f>
        <v>46312</v>
      </c>
      <c r="B291" s="1" t="str">
        <f>IFERROR(__xludf.DUMMYFUNCTION("""COMPUTED_VALUE"""),"OCTOBER")</f>
        <v>OCTOBER</v>
      </c>
      <c r="C291" s="1" t="str">
        <f>IFERROR(__xludf.DUMMYFUNCTION("""COMPUTED_VALUE"""),"JESSICA FLORENTINO COPE")</f>
        <v>JESSICA FLORENTINO COPE</v>
      </c>
      <c r="D291" s="1" t="str">
        <f>IFERROR(__xludf.DUMMYFUNCTION("""COMPUTED_VALUE"""),"RITM0313949")</f>
        <v>RITM0313949</v>
      </c>
      <c r="E291" s="1"/>
      <c r="F291" s="1" t="str">
        <f>IFERROR(__xludf.DUMMYFUNCTION("""COMPUTED_VALUE"""),"8952442591")</f>
        <v>8952442591</v>
      </c>
      <c r="G291" s="1" t="str">
        <f>IFERROR(__xludf.DUMMYFUNCTION("""COMPUTED_VALUE"""),"jessicacope1234@gmail.com")</f>
        <v>jessicacope1234@gmail.com</v>
      </c>
      <c r="H291" s="1" t="str">
        <f>IFERROR(__xludf.DUMMYFUNCTION("""COMPUTED_VALUE"""),"CLOSED")</f>
        <v>CLOSED</v>
      </c>
      <c r="I291" s="1"/>
      <c r="J291" s="1"/>
      <c r="K291" s="1" t="str">
        <f>IFERROR(__xludf.DUMMYFUNCTION("""COMPUTED_VALUE"""),"PAID VIA GCASH REF 386515558 OCT 17")</f>
        <v>PAID VIA GCASH REF 386515558 OCT 17</v>
      </c>
      <c r="L291" s="1" t="str">
        <f>IFERROR(__xludf.DUMMYFUNCTION("""COMPUTED_VALUE"""),"PAID")</f>
        <v>PAID</v>
      </c>
      <c r="M291" s="1" t="str">
        <f>IFERROR(__xludf.DUMMYFUNCTION("""COMPUTED_VALUE"""),"POSTED")</f>
        <v>POSTED</v>
      </c>
      <c r="N291" s="1" t="str">
        <f>IFERROR(__xludf.DUMMYFUNCTION("""COMPUTED_VALUE"""),"10/21/2026")</f>
        <v>10/21/2026</v>
      </c>
      <c r="O291" s="1" t="str">
        <f>IFERROR(__xludf.DUMMYFUNCTION("""COMPUTED_VALUE"""),"RFBF_CVEU_2026")</f>
        <v>RFBF_CVEU_2026</v>
      </c>
      <c r="P291" s="1" t="str">
        <f>IFERROR(__xludf.DUMMYFUNCTION("""COMPUTED_VALUE"""),"RED FIBR 1400")</f>
        <v>RED FIBR 1400</v>
      </c>
      <c r="Q291" s="1" t="str">
        <f>IFERROR(__xludf.DUMMYFUNCTION("""COMPUTED_VALUE"""),"MMM018709")</f>
        <v>MMM018709</v>
      </c>
      <c r="R291" s="1" t="str">
        <f>IFERROR(__xludf.DUMMYFUNCTION("""COMPUTED_VALUE"""),"ALDIENTE , ANGEL")</f>
        <v>ALDIENTE , ANGEL</v>
      </c>
      <c r="S291" s="1" t="str">
        <f>IFERROR(__xludf.DUMMYFUNCTION("""COMPUTED_VALUE"""),"GARCIA MICHAEL JETTS")</f>
        <v>GARCIA MICHAEL JETTS</v>
      </c>
      <c r="T291" s="1" t="str">
        <f>IFERROR(__xludf.DUMMYFUNCTION("""COMPUTED_VALUE"""),"ESPIRITU JULIE")</f>
        <v>ESPIRITU JULIE</v>
      </c>
      <c r="U291" s="1"/>
      <c r="V291" s="1">
        <f>IFERROR(__xludf.DUMMYFUNCTION("""COMPUTED_VALUE"""),9695361340)</f>
        <v>9695361340</v>
      </c>
      <c r="W291" s="1">
        <f>IFERROR(__xludf.DUMMYFUNCTION("""COMPUTED_VALUE"""),9167774512)</f>
        <v>9167774512</v>
      </c>
      <c r="X291" s="1" t="str">
        <f>IFERROR(__xludf.DUMMYFUNCTION("""COMPUTED_VALUE"""),"BLK 1 LOT 127")</f>
        <v>BLK 1 LOT 127</v>
      </c>
      <c r="Y291" s="1" t="str">
        <f>IFERROR(__xludf.DUMMYFUNCTION("""COMPUTED_VALUE"""),"WHITE ST")</f>
        <v>WHITE ST</v>
      </c>
      <c r="Z291" s="1" t="str">
        <f>IFERROR(__xludf.DUMMYFUNCTION("""COMPUTED_VALUE"""),"KAIA HOMES SUBDIVISION")</f>
        <v>KAIA HOMES SUBDIVISION</v>
      </c>
      <c r="AA291" s="1" t="str">
        <f>IFERROR(__xludf.DUMMYFUNCTION("""COMPUTED_VALUE"""),"PASONG KAWAYAN II")</f>
        <v>PASONG KAWAYAN II</v>
      </c>
      <c r="AB291" s="1" t="str">
        <f>IFERROR(__xludf.DUMMYFUNCTION("""COMPUTED_VALUE"""),"GENERAL TRIAS")</f>
        <v>GENERAL TRIAS</v>
      </c>
      <c r="AC291" s="1"/>
    </row>
    <row r="292" customHeight="1" spans="1:29">
      <c r="A292" s="3">
        <f>IFERROR(__xludf.DUMMYFUNCTION("""COMPUTED_VALUE"""),46312)</f>
        <v>46312</v>
      </c>
      <c r="B292" s="1" t="str">
        <f>IFERROR(__xludf.DUMMYFUNCTION("""COMPUTED_VALUE"""),"OCTOBER")</f>
        <v>OCTOBER</v>
      </c>
      <c r="C292" s="1" t="str">
        <f>IFERROR(__xludf.DUMMYFUNCTION("""COMPUTED_VALUE"""),"JUSTINE PHILIPS GIRON GARCIA")</f>
        <v>JUSTINE PHILIPS GIRON GARCIA</v>
      </c>
      <c r="D292" s="1" t="str">
        <f>IFERROR(__xludf.DUMMYFUNCTION("""COMPUTED_VALUE"""),"RITM0313954")</f>
        <v>RITM0313954</v>
      </c>
      <c r="E292" s="1"/>
      <c r="F292" s="1" t="str">
        <f>IFERROR(__xludf.DUMMYFUNCTION("""COMPUTED_VALUE"""),"3416153814")</f>
        <v>3416153814</v>
      </c>
      <c r="G292" s="1" t="str">
        <f>IFERROR(__xludf.DUMMYFUNCTION("""COMPUTED_VALUE"""),"jepotsw@gmail.com")</f>
        <v>jepotsw@gmail.com</v>
      </c>
      <c r="H292" s="1" t="str">
        <f>IFERROR(__xludf.DUMMYFUNCTION("""COMPUTED_VALUE"""),"CLOSED")</f>
        <v>CLOSED</v>
      </c>
      <c r="I292" s="1"/>
      <c r="J292" s="1"/>
      <c r="K292" s="1" t="str">
        <f>IFERROR(__xludf.DUMMYFUNCTION("""COMPUTED_VALUE"""),"PAID VIA GCASH REF 639425453 OCT 18")</f>
        <v>PAID VIA GCASH REF 639425453 OCT 18</v>
      </c>
      <c r="L292" s="1" t="str">
        <f>IFERROR(__xludf.DUMMYFUNCTION("""COMPUTED_VALUE"""),"PAID")</f>
        <v>PAID</v>
      </c>
      <c r="M292" s="1" t="str">
        <f>IFERROR(__xludf.DUMMYFUNCTION("""COMPUTED_VALUE"""),"POSTED")</f>
        <v>POSTED</v>
      </c>
      <c r="N292" s="1" t="str">
        <f>IFERROR(__xludf.DUMMYFUNCTION("""COMPUTED_VALUE"""),"10/21/2026")</f>
        <v>10/21/2026</v>
      </c>
      <c r="O292" s="1" t="str">
        <f>IFERROR(__xludf.DUMMYFUNCTION("""COMPUTED_VALUE"""),"BKRED_RS_HH_CVE_26")</f>
        <v>BKRED_RS_HH_CVE_26</v>
      </c>
      <c r="P292" s="1" t="str">
        <f>IFERROR(__xludf.DUMMYFUNCTION("""COMPUTED_VALUE"""),"RED FIBR 1000")</f>
        <v>RED FIBR 1000</v>
      </c>
      <c r="Q292" s="1" t="str">
        <f>IFERROR(__xludf.DUMMYFUNCTION("""COMPUTED_VALUE"""),"MMM018709")</f>
        <v>MMM018709</v>
      </c>
      <c r="R292" s="1" t="str">
        <f>IFERROR(__xludf.DUMMYFUNCTION("""COMPUTED_VALUE"""),"ALDIENTE , ANGEL")</f>
        <v>ALDIENTE , ANGEL</v>
      </c>
      <c r="S292" s="1" t="str">
        <f>IFERROR(__xludf.DUMMYFUNCTION("""COMPUTED_VALUE"""),"GARCIA MICHAEL JETTS")</f>
        <v>GARCIA MICHAEL JETTS</v>
      </c>
      <c r="T292" s="1" t="str">
        <f>IFERROR(__xludf.DUMMYFUNCTION("""COMPUTED_VALUE"""),"ESPIRITU JULIE")</f>
        <v>ESPIRITU JULIE</v>
      </c>
      <c r="U292" s="1"/>
      <c r="V292" s="1">
        <f>IFERROR(__xludf.DUMMYFUNCTION("""COMPUTED_VALUE"""),9488097141)</f>
        <v>9488097141</v>
      </c>
      <c r="W292" s="1">
        <f>IFERROR(__xludf.DUMMYFUNCTION("""COMPUTED_VALUE"""),9488097077)</f>
        <v>9488097077</v>
      </c>
      <c r="X292" s="1" t="str">
        <f>IFERROR(__xludf.DUMMYFUNCTION("""COMPUTED_VALUE"""),"G258")</f>
        <v>G258</v>
      </c>
      <c r="Y292" s="1" t="str">
        <f>IFERROR(__xludf.DUMMYFUNCTION("""COMPUTED_VALUE"""),"CALLEJON 13TH ST")</f>
        <v>CALLEJON 13TH ST</v>
      </c>
      <c r="Z292" s="1"/>
      <c r="AA292" s="1" t="str">
        <f>IFERROR(__xludf.DUMMYFUNCTION("""COMPUTED_VALUE"""),"JULUGAN III")</f>
        <v>JULUGAN III</v>
      </c>
      <c r="AB292" s="1" t="str">
        <f>IFERROR(__xludf.DUMMYFUNCTION("""COMPUTED_VALUE"""),"TANZA")</f>
        <v>TANZA</v>
      </c>
      <c r="AC292" s="1"/>
    </row>
    <row r="293" customHeight="1" spans="1:29">
      <c r="A293" s="3">
        <f>IFERROR(__xludf.DUMMYFUNCTION("""COMPUTED_VALUE"""),46313)</f>
        <v>46313</v>
      </c>
      <c r="B293" s="1" t="str">
        <f>IFERROR(__xludf.DUMMYFUNCTION("""COMPUTED_VALUE"""),"OCTOBER")</f>
        <v>OCTOBER</v>
      </c>
      <c r="C293" s="1" t="str">
        <f>IFERROR(__xludf.DUMMYFUNCTION("""COMPUTED_VALUE"""),"REYMARK ESTEVES MEJIA")</f>
        <v>REYMARK ESTEVES MEJIA</v>
      </c>
      <c r="D293" s="1" t="str">
        <f>IFERROR(__xludf.DUMMYFUNCTION("""COMPUTED_VALUE"""),"RITM0313986")</f>
        <v>RITM0313986</v>
      </c>
      <c r="E293" s="1"/>
      <c r="F293" s="1" t="str">
        <f>IFERROR(__xludf.DUMMYFUNCTION("""COMPUTED_VALUE"""),"9218846184")</f>
        <v>9218846184</v>
      </c>
      <c r="G293" s="1" t="str">
        <f>IFERROR(__xludf.DUMMYFUNCTION("""COMPUTED_VALUE"""),"reymarkmejia24@gmail.com")</f>
        <v>reymarkmejia24@gmail.com</v>
      </c>
      <c r="H293" s="1" t="str">
        <f>IFERROR(__xludf.DUMMYFUNCTION("""COMPUTED_VALUE"""),"CLOSED")</f>
        <v>CLOSED</v>
      </c>
      <c r="I293" s="1"/>
      <c r="J293" s="1"/>
      <c r="K293" s="1" t="str">
        <f>IFERROR(__xludf.DUMMYFUNCTION("""COMPUTED_VALUE"""),"PAID VIA GCASH REF 19501311 OCT 19 ")</f>
        <v>PAID VIA GCASH REF 19501311 OCT 19 </v>
      </c>
      <c r="L293" s="1" t="str">
        <f>IFERROR(__xludf.DUMMYFUNCTION("""COMPUTED_VALUE"""),"PAID")</f>
        <v>PAID</v>
      </c>
      <c r="M293" s="1" t="str">
        <f>IFERROR(__xludf.DUMMYFUNCTION("""COMPUTED_VALUE"""),"POSTED")</f>
        <v>POSTED</v>
      </c>
      <c r="N293" s="1" t="str">
        <f>IFERROR(__xludf.DUMMYFUNCTION("""COMPUTED_VALUE"""),"10/21/2026")</f>
        <v>10/21/2026</v>
      </c>
      <c r="O293" s="1" t="str">
        <f>IFERROR(__xludf.DUMMYFUNCTION("""COMPUTED_VALUE"""),"BKRED_RS_HH_CVE_26")</f>
        <v>BKRED_RS_HH_CVE_26</v>
      </c>
      <c r="P293" s="1" t="str">
        <f>IFERROR(__xludf.DUMMYFUNCTION("""COMPUTED_VALUE"""),"RED FIBR 1000")</f>
        <v>RED FIBR 1000</v>
      </c>
      <c r="Q293" s="1" t="str">
        <f>IFERROR(__xludf.DUMMYFUNCTION("""COMPUTED_VALUE"""),"MMM018713")</f>
        <v>MMM018713</v>
      </c>
      <c r="R293" s="1" t="str">
        <f>IFERROR(__xludf.DUMMYFUNCTION("""COMPUTED_VALUE"""),"AYON, MANUEL")</f>
        <v>AYON, MANUEL</v>
      </c>
      <c r="S293" s="1" t="str">
        <f>IFERROR(__xludf.DUMMYFUNCTION("""COMPUTED_VALUE"""),"NAVARRO JERIC")</f>
        <v>NAVARRO JERIC</v>
      </c>
      <c r="T293" s="1" t="str">
        <f>IFERROR(__xludf.DUMMYFUNCTION("""COMPUTED_VALUE"""),"ESPIRITU JULIE")</f>
        <v>ESPIRITU JULIE</v>
      </c>
      <c r="U293" s="1"/>
      <c r="V293" s="1">
        <f>IFERROR(__xludf.DUMMYFUNCTION("""COMPUTED_VALUE"""),9652171271)</f>
        <v>9652171271</v>
      </c>
      <c r="W293" s="1">
        <f>IFERROR(__xludf.DUMMYFUNCTION("""COMPUTED_VALUE"""),9530513370)</f>
        <v>9530513370</v>
      </c>
      <c r="X293" s="1" t="str">
        <f>IFERROR(__xludf.DUMMYFUNCTION("""COMPUTED_VALUE"""),"81")</f>
        <v>81</v>
      </c>
      <c r="Y293" s="1" t="str">
        <f>IFERROR(__xludf.DUMMYFUNCTION("""COMPUTED_VALUE"""),"PALIGAWAN RD")</f>
        <v>PALIGAWAN RD</v>
      </c>
      <c r="Z293" s="1"/>
      <c r="AA293" s="1" t="str">
        <f>IFERROR(__xludf.DUMMYFUNCTION("""COMPUTED_VALUE"""),"PALIGAWAN")</f>
        <v>PALIGAWAN</v>
      </c>
      <c r="AB293" s="1" t="str">
        <f>IFERROR(__xludf.DUMMYFUNCTION("""COMPUTED_VALUE"""),"SILANG")</f>
        <v>SILANG</v>
      </c>
      <c r="AC293" s="1" t="str">
        <f>IFERROR(__xludf.DUMMYFUNCTION("""COMPUTED_VALUE"""),"CVT2LCP37NP6")</f>
        <v>CVT2LCP37NP6</v>
      </c>
    </row>
    <row r="294" customHeight="1" spans="1:29">
      <c r="A294" s="3">
        <f>IFERROR(__xludf.DUMMYFUNCTION("""COMPUTED_VALUE"""),46313)</f>
        <v>46313</v>
      </c>
      <c r="B294" s="1" t="str">
        <f>IFERROR(__xludf.DUMMYFUNCTION("""COMPUTED_VALUE"""),"OCTOBER")</f>
        <v>OCTOBER</v>
      </c>
      <c r="C294" s="1" t="str">
        <f>IFERROR(__xludf.DUMMYFUNCTION("""COMPUTED_VALUE"""),"ROLDAN PACION MERANTES")</f>
        <v>ROLDAN PACION MERANTES</v>
      </c>
      <c r="D294" s="1" t="str">
        <f>IFERROR(__xludf.DUMMYFUNCTION("""COMPUTED_VALUE"""),"RITM0314000")</f>
        <v>RITM0314000</v>
      </c>
      <c r="E294" s="1"/>
      <c r="F294" s="1"/>
      <c r="G294" s="1" t="str">
        <f>IFERROR(__xludf.DUMMYFUNCTION("""COMPUTED_VALUE"""),"ROLDANMERANTES@GMAIL.COM")</f>
        <v>ROLDANMERANTES@GMAIL.COM</v>
      </c>
      <c r="H294" s="1" t="str">
        <f>IFERROR(__xludf.DUMMYFUNCTION("""COMPUTED_VALUE"""),"APPROVED")</f>
        <v>APPROVED</v>
      </c>
      <c r="I294" s="1"/>
      <c r="J294" s="1"/>
      <c r="K294" s="1"/>
      <c r="L294" s="1"/>
      <c r="M294" s="1" t="str">
        <f>IFERROR(__xludf.DUMMYFUNCTION("""COMPUTED_VALUE"""),"PENDING EMAIL VERIFICATION")</f>
        <v>PENDING EMAIL VERIFICATION</v>
      </c>
      <c r="N294" s="1"/>
      <c r="O294" s="1" t="str">
        <f>IFERROR(__xludf.DUMMYFUNCTION("""COMPUTED_VALUE"""),"RFBF_CVEU_2026")</f>
        <v>RFBF_CVEU_2026</v>
      </c>
      <c r="P294" s="1" t="str">
        <f>IFERROR(__xludf.DUMMYFUNCTION("""COMPUTED_VALUE"""),"RED FIBR 1000")</f>
        <v>RED FIBR 1000</v>
      </c>
      <c r="Q294" s="1" t="str">
        <f>IFERROR(__xludf.DUMMYFUNCTION("""COMPUTED_VALUE"""),"MMM018711")</f>
        <v>MMM018711</v>
      </c>
      <c r="R294" s="1" t="str">
        <f>IFERROR(__xludf.DUMMYFUNCTION("""COMPUTED_VALUE"""),"SUGATAN, KELVIN")</f>
        <v>SUGATAN, KELVIN</v>
      </c>
      <c r="S294" s="1" t="str">
        <f>IFERROR(__xludf.DUMMYFUNCTION("""COMPUTED_VALUE"""),"GARCIA MICHAEL JETTS")</f>
        <v>GARCIA MICHAEL JETTS</v>
      </c>
      <c r="T294" s="1" t="str">
        <f>IFERROR(__xludf.DUMMYFUNCTION("""COMPUTED_VALUE"""),"ESPIRITU JULIE")</f>
        <v>ESPIRITU JULIE</v>
      </c>
      <c r="U294" s="1"/>
      <c r="V294" s="1">
        <f>IFERROR(__xludf.DUMMYFUNCTION("""COMPUTED_VALUE"""),9309843114)</f>
        <v>9309843114</v>
      </c>
      <c r="W294" s="1">
        <f>IFERROR(__xludf.DUMMYFUNCTION("""COMPUTED_VALUE"""),9703945210)</f>
        <v>9703945210</v>
      </c>
      <c r="X294" s="1" t="str">
        <f>IFERROR(__xludf.DUMMYFUNCTION("""COMPUTED_VALUE"""),"BLK 6 LOT 81")</f>
        <v>BLK 6 LOT 81</v>
      </c>
      <c r="Y294" s="1" t="str">
        <f>IFERROR(__xludf.DUMMYFUNCTION("""COMPUTED_VALUE"""),"GREEN ST")</f>
        <v>GREEN ST</v>
      </c>
      <c r="Z294" s="1" t="str">
        <f>IFERROR(__xludf.DUMMYFUNCTION("""COMPUTED_VALUE"""),"KAIA HOMES SUBDIVISION PHASE 2")</f>
        <v>KAIA HOMES SUBDIVISION PHASE 2</v>
      </c>
      <c r="AA294" s="1" t="str">
        <f>IFERROR(__xludf.DUMMYFUNCTION("""COMPUTED_VALUE"""),"PASONG KAWAYAN II")</f>
        <v>PASONG KAWAYAN II</v>
      </c>
      <c r="AB294" s="1" t="str">
        <f>IFERROR(__xludf.DUMMYFUNCTION("""COMPUTED_VALUE"""),"GENERAL TRIAS")</f>
        <v>GENERAL TRIAS</v>
      </c>
      <c r="AC294" s="1"/>
    </row>
    <row r="295" customHeight="1" spans="1:29">
      <c r="A295" s="3">
        <f>IFERROR(__xludf.DUMMYFUNCTION("""COMPUTED_VALUE"""),46314)</f>
        <v>46314</v>
      </c>
      <c r="B295" s="1" t="str">
        <f>IFERROR(__xludf.DUMMYFUNCTION("""COMPUTED_VALUE"""),"OCTOBER")</f>
        <v>OCTOBER</v>
      </c>
      <c r="C295" s="1" t="str">
        <f>IFERROR(__xludf.DUMMYFUNCTION("""COMPUTED_VALUE"""),"MARIANE VALLEJO COMENDADOR")</f>
        <v>MARIANE VALLEJO COMENDADOR</v>
      </c>
      <c r="D295" s="1" t="str">
        <f>IFERROR(__xludf.DUMMYFUNCTION("""COMPUTED_VALUE"""),"RITM0314056")</f>
        <v>RITM0314056</v>
      </c>
      <c r="E295" s="1"/>
      <c r="F295" s="1"/>
      <c r="G295" s="1" t="str">
        <f>IFERROR(__xludf.DUMMYFUNCTION("""COMPUTED_VALUE"""),"edencero6@gmail.com")</f>
        <v>edencero6@gmail.com</v>
      </c>
      <c r="H295" s="1" t="str">
        <f>IFERROR(__xludf.DUMMYFUNCTION("""COMPUTED_VALUE"""),"APPROVED")</f>
        <v>APPROVED</v>
      </c>
      <c r="I295" s="1"/>
      <c r="J295" s="1"/>
      <c r="K295" s="1"/>
      <c r="L295" s="1"/>
      <c r="M295" s="1" t="str">
        <f>IFERROR(__xludf.DUMMYFUNCTION("""COMPUTED_VALUE"""),"PENDING EMAIL VERIFICATION")</f>
        <v>PENDING EMAIL VERIFICATION</v>
      </c>
      <c r="N295" s="1"/>
      <c r="O295" s="1" t="str">
        <f>IFERROR(__xludf.DUMMYFUNCTION("""COMPUTED_VALUE"""),"RED_ONL_SS_CVE_26")</f>
        <v>RED_ONL_SS_CVE_26</v>
      </c>
      <c r="P295" s="1" t="str">
        <f>IFERROR(__xludf.DUMMYFUNCTION("""COMPUTED_VALUE"""),"RED FIBR 1000")</f>
        <v>RED FIBR 1000</v>
      </c>
      <c r="Q295" s="1" t="str">
        <f>IFERROR(__xludf.DUMMYFUNCTION("""COMPUTED_VALUE"""),"MMM018712")</f>
        <v>MMM018712</v>
      </c>
      <c r="R295" s="1" t="str">
        <f>IFERROR(__xludf.DUMMYFUNCTION("""COMPUTED_VALUE"""),"PEREZ. RONELL ")</f>
        <v>PEREZ. RONELL </v>
      </c>
      <c r="S295" s="1" t="str">
        <f>IFERROR(__xludf.DUMMYFUNCTION("""COMPUTED_VALUE"""),"GARCIA MICHAEL JETTS")</f>
        <v>GARCIA MICHAEL JETTS</v>
      </c>
      <c r="T295" s="1" t="str">
        <f>IFERROR(__xludf.DUMMYFUNCTION("""COMPUTED_VALUE"""),"ESPIRITU JULIE")</f>
        <v>ESPIRITU JULIE</v>
      </c>
      <c r="U295" s="1"/>
      <c r="V295" s="1">
        <f>IFERROR(__xludf.DUMMYFUNCTION("""COMPUTED_VALUE"""),9347670483)</f>
        <v>9347670483</v>
      </c>
      <c r="W295" s="1">
        <f>IFERROR(__xludf.DUMMYFUNCTION("""COMPUTED_VALUE"""),9695869881)</f>
        <v>9695869881</v>
      </c>
      <c r="X295" s="1" t="str">
        <f>IFERROR(__xludf.DUMMYFUNCTION("""COMPUTED_VALUE"""),"1661")</f>
        <v>1661</v>
      </c>
      <c r="Y295" s="1" t="str">
        <f>IFERROR(__xludf.DUMMYFUNCTION("""COMPUTED_VALUE"""),"ONYX ST")</f>
        <v>ONYX ST</v>
      </c>
      <c r="Z295" s="1"/>
      <c r="AA295" s="1" t="str">
        <f>IFERROR(__xludf.DUMMYFUNCTION("""COMPUTED_VALUE"""),"BARANGAY 775")</f>
        <v>BARANGAY 775</v>
      </c>
      <c r="AB295" s="1" t="str">
        <f>IFERROR(__xludf.DUMMYFUNCTION("""COMPUTED_VALUE"""),"MANILA")</f>
        <v>MANILA</v>
      </c>
      <c r="AC295" s="1" t="str">
        <f>IFERROR(__xludf.DUMMYFUNCTION("""COMPUTED_VALUE"""),"MLA3-L14N3-8")</f>
        <v>MLA3-L14N3-8</v>
      </c>
    </row>
    <row r="296" customHeight="1" spans="1:29">
      <c r="A296" s="3">
        <f>IFERROR(__xludf.DUMMYFUNCTION("""COMPUTED_VALUE"""),46315)</f>
        <v>46315</v>
      </c>
      <c r="B296" s="1" t="str">
        <f>IFERROR(__xludf.DUMMYFUNCTION("""COMPUTED_VALUE"""),"OCTOBER")</f>
        <v>OCTOBER</v>
      </c>
      <c r="C296" s="1" t="str">
        <f>IFERROR(__xludf.DUMMYFUNCTION("""COMPUTED_VALUE"""),"FRANKIE ESTEBAN")</f>
        <v>FRANKIE ESTEBAN</v>
      </c>
      <c r="D296" s="1" t="str">
        <f>IFERROR(__xludf.DUMMYFUNCTION("""COMPUTED_VALUE"""),"RITM0314201")</f>
        <v>RITM0314201</v>
      </c>
      <c r="E296" s="1"/>
      <c r="F296" s="1" t="str">
        <f>IFERROR(__xludf.DUMMYFUNCTION("""COMPUTED_VALUE"""),"6936674119")</f>
        <v>6936674119</v>
      </c>
      <c r="G296" s="1" t="str">
        <f>IFERROR(__xludf.DUMMYFUNCTION("""COMPUTED_VALUE"""),"vickyesteban0@gmail.com")</f>
        <v>vickyesteban0@gmail.com</v>
      </c>
      <c r="H296" s="1" t="str">
        <f>IFERROR(__xludf.DUMMYFUNCTION("""COMPUTED_VALUE"""),"APPROVED")</f>
        <v>APPROVED</v>
      </c>
      <c r="I296" s="1"/>
      <c r="J296" s="1" t="str">
        <f>IFERROR(__xludf.DUMMYFUNCTION("""COMPUTED_VALUE"""),"QUALIFIED 10/24")</f>
        <v>QUALIFIED 10/24</v>
      </c>
      <c r="K296" s="1" t="str">
        <f>IFERROR(__xludf.DUMMYFUNCTION("""COMPUTED_VALUE"""),"PAID VUA GCASH REF 805952179 OCT 24")</f>
        <v>PAID VUA GCASH REF 805952179 OCT 24</v>
      </c>
      <c r="L296" s="1" t="str">
        <f>IFERROR(__xludf.DUMMYFUNCTION("""COMPUTED_VALUE"""),"PAID")</f>
        <v>PAID</v>
      </c>
      <c r="M296" s="1" t="str">
        <f>IFERROR(__xludf.DUMMYFUNCTION("""COMPUTED_VALUE"""),"PAID - FOR INSTALLATION")</f>
        <v>PAID - FOR INSTALLATION</v>
      </c>
      <c r="N296" s="1"/>
      <c r="O296" s="1" t="str">
        <f>IFERROR(__xludf.DUMMYFUNCTION("""COMPUTED_VALUE"""),"BKRED_RS_HH_CVE_26")</f>
        <v>BKRED_RS_HH_CVE_26</v>
      </c>
      <c r="P296" s="1" t="str">
        <f>IFERROR(__xludf.DUMMYFUNCTION("""COMPUTED_VALUE"""),"RED FIBR 1000")</f>
        <v>RED FIBR 1000</v>
      </c>
      <c r="Q296" s="1" t="str">
        <f>IFERROR(__xludf.DUMMYFUNCTION("""COMPUTED_VALUE"""),"MMM018712")</f>
        <v>MMM018712</v>
      </c>
      <c r="R296" s="1" t="str">
        <f>IFERROR(__xludf.DUMMYFUNCTION("""COMPUTED_VALUE"""),"LUPENA. KARL ANGELO")</f>
        <v>LUPENA. KARL ANGELO</v>
      </c>
      <c r="S296" s="1" t="str">
        <f>IFERROR(__xludf.DUMMYFUNCTION("""COMPUTED_VALUE"""),"GARCIA MICHAEL JETTS")</f>
        <v>GARCIA MICHAEL JETTS</v>
      </c>
      <c r="T296" s="1" t="str">
        <f>IFERROR(__xludf.DUMMYFUNCTION("""COMPUTED_VALUE"""),"SALIOA JB")</f>
        <v>SALIOA JB</v>
      </c>
      <c r="U296" s="1"/>
      <c r="V296" s="1">
        <f>IFERROR(__xludf.DUMMYFUNCTION("""COMPUTED_VALUE"""),9667328958)</f>
        <v>9667328958</v>
      </c>
      <c r="W296" s="1"/>
      <c r="X296" s="1" t="str">
        <f>IFERROR(__xludf.DUMMYFUNCTION("""COMPUTED_VALUE"""),"019-BL-031")</f>
        <v>019-BL-031</v>
      </c>
      <c r="Y296" s="1" t="str">
        <f>IFERROR(__xludf.DUMMYFUNCTION("""COMPUTED_VALUE"""),"EXCELLENCE ST")</f>
        <v>EXCELLENCE ST</v>
      </c>
      <c r="Z296" s="1" t="str">
        <f>IFERROR(__xludf.DUMMYFUNCTION("""COMPUTED_VALUE"""),"PAGSIBOL SOUTH PHASE 3A")</f>
        <v>PAGSIBOL SOUTH PHASE 3A</v>
      </c>
      <c r="AA296" s="1" t="str">
        <f>IFERROR(__xludf.DUMMYFUNCTION("""COMPUTED_VALUE"""),"SABANG")</f>
        <v>SABANG</v>
      </c>
      <c r="AB296" s="1" t="str">
        <f>IFERROR(__xludf.DUMMYFUNCTION("""COMPUTED_VALUE"""),"NAIC")</f>
        <v>NAIC</v>
      </c>
      <c r="AC296" s="1"/>
    </row>
    <row r="297" customHeight="1" spans="1:29">
      <c r="A297" s="3">
        <f>IFERROR(__xludf.DUMMYFUNCTION("""COMPUTED_VALUE"""),46317)</f>
        <v>46317</v>
      </c>
      <c r="B297" s="1" t="str">
        <f>IFERROR(__xludf.DUMMYFUNCTION("""COMPUTED_VALUE"""),"OCTOBER")</f>
        <v>OCTOBER</v>
      </c>
      <c r="C297" s="1" t="str">
        <f>IFERROR(__xludf.DUMMYFUNCTION("""COMPUTED_VALUE"""),"EDGAR CHAVEZ CAYETANO")</f>
        <v>EDGAR CHAVEZ CAYETANO</v>
      </c>
      <c r="D297" s="1" t="str">
        <f>IFERROR(__xludf.DUMMYFUNCTION("""COMPUTED_VALUE"""),"RITM0314385")</f>
        <v>RITM0314385</v>
      </c>
      <c r="E297" s="1"/>
      <c r="F297" s="1" t="str">
        <f>IFERROR(__xludf.DUMMYFUNCTION("""COMPUTED_VALUE"""),"1693167657")</f>
        <v>1693167657</v>
      </c>
      <c r="G297" s="1" t="str">
        <f>IFERROR(__xludf.DUMMYFUNCTION("""COMPUTED_VALUE"""),"liliadetablan4@gmail.com")</f>
        <v>liliadetablan4@gmail.com</v>
      </c>
      <c r="H297" s="1" t="str">
        <f>IFERROR(__xludf.DUMMYFUNCTION("""COMPUTED_VALUE"""),"CLOSED")</f>
        <v>CLOSED</v>
      </c>
      <c r="I297" s="1"/>
      <c r="J297" s="1" t="str">
        <f>IFERROR(__xludf.DUMMYFUNCTION("""COMPUTED_VALUE"""),"QUALIFIED 10/22")</f>
        <v>QUALIFIED 10/22</v>
      </c>
      <c r="K297" s="1" t="str">
        <f>IFERROR(__xludf.DUMMYFUNCTION("""COMPUTED_VALUE"""),"PAID VIA GCASH OCT 22")</f>
        <v>PAID VIA GCASH OCT 22</v>
      </c>
      <c r="L297" s="1" t="str">
        <f>IFERROR(__xludf.DUMMYFUNCTION("""COMPUTED_VALUE"""),"PAID")</f>
        <v>PAID</v>
      </c>
      <c r="M297" s="1" t="str">
        <f>IFERROR(__xludf.DUMMYFUNCTION("""COMPUTED_VALUE"""),"POSTED")</f>
        <v>POSTED</v>
      </c>
      <c r="N297" s="1" t="str">
        <f>IFERROR(__xludf.DUMMYFUNCTION("""COMPUTED_VALUE"""),"10/23/2026")</f>
        <v>10/23/2026</v>
      </c>
      <c r="O297" s="1" t="str">
        <f>IFERROR(__xludf.DUMMYFUNCTION("""COMPUTED_VALUE"""),"RFBF_CVEU_2026")</f>
        <v>RFBF_CVEU_2026</v>
      </c>
      <c r="P297" s="1" t="str">
        <f>IFERROR(__xludf.DUMMYFUNCTION("""COMPUTED_VALUE"""),"RED FIBR 1000")</f>
        <v>RED FIBR 1000</v>
      </c>
      <c r="Q297" s="1" t="str">
        <f>IFERROR(__xludf.DUMMYFUNCTION("""COMPUTED_VALUE"""),"MMM018711")</f>
        <v>MMM018711</v>
      </c>
      <c r="R297" s="1" t="str">
        <f>IFERROR(__xludf.DUMMYFUNCTION("""COMPUTED_VALUE"""),"YOLANGCO, MARVIN")</f>
        <v>YOLANGCO, MARVIN</v>
      </c>
      <c r="S297" s="1" t="str">
        <f>IFERROR(__xludf.DUMMYFUNCTION("""COMPUTED_VALUE"""),"GARCIA MICHAEL JETTS")</f>
        <v>GARCIA MICHAEL JETTS</v>
      </c>
      <c r="T297" s="1" t="str">
        <f>IFERROR(__xludf.DUMMYFUNCTION("""COMPUTED_VALUE"""),"ESPIRITU JULIE")</f>
        <v>ESPIRITU JULIE</v>
      </c>
      <c r="U297" s="1"/>
      <c r="V297" s="1">
        <f>IFERROR(__xludf.DUMMYFUNCTION("""COMPUTED_VALUE"""),9677144078)</f>
        <v>9677144078</v>
      </c>
      <c r="W297" s="1"/>
      <c r="X297" s="1" t="str">
        <f>IFERROR(__xludf.DUMMYFUNCTION("""COMPUTED_VALUE"""),"1070")</f>
        <v>1070</v>
      </c>
      <c r="Y297" s="1" t="str">
        <f>IFERROR(__xludf.DUMMYFUNCTION("""COMPUTED_VALUE"""),"MALIGAYA ST")</f>
        <v>MALIGAYA ST</v>
      </c>
      <c r="Z297" s="1"/>
      <c r="AA297" s="1" t="str">
        <f>IFERROR(__xludf.DUMMYFUNCTION("""COMPUTED_VALUE"""),"BIWAS")</f>
        <v>BIWAS</v>
      </c>
      <c r="AB297" s="1" t="str">
        <f>IFERROR(__xludf.DUMMYFUNCTION("""COMPUTED_VALUE"""),"TANZA")</f>
        <v>TANZA</v>
      </c>
      <c r="AC297" s="1"/>
    </row>
    <row r="298" customHeight="1" spans="1:29">
      <c r="A298" s="3">
        <f>IFERROR(__xludf.DUMMYFUNCTION("""COMPUTED_VALUE"""),46319)</f>
        <v>46319</v>
      </c>
      <c r="B298" s="1" t="str">
        <f>IFERROR(__xludf.DUMMYFUNCTION("""COMPUTED_VALUE"""),"OCTOBER")</f>
        <v>OCTOBER</v>
      </c>
      <c r="C298" s="1" t="str">
        <f>IFERROR(__xludf.DUMMYFUNCTION("""COMPUTED_VALUE"""),"JEFFREY DIOSO GITAU")</f>
        <v>JEFFREY DIOSO GITAU</v>
      </c>
      <c r="D298" s="1" t="str">
        <f>IFERROR(__xludf.DUMMYFUNCTION("""COMPUTED_VALUE"""),"RITM0314543")</f>
        <v>RITM0314543</v>
      </c>
      <c r="E298" s="1"/>
      <c r="F298" s="1"/>
      <c r="G298" s="1" t="str">
        <f>IFERROR(__xludf.DUMMYFUNCTION("""COMPUTED_VALUE"""),"jeffrey_gitau@yahoo.com")</f>
        <v>jeffrey_gitau@yahoo.com</v>
      </c>
      <c r="H298" s="1" t="str">
        <f>IFERROR(__xludf.DUMMYFUNCTION("""COMPUTED_VALUE"""),"APPROVED")</f>
        <v>APPROVED</v>
      </c>
      <c r="I298" s="1"/>
      <c r="J298" s="1"/>
      <c r="K298" s="1"/>
      <c r="L298" s="1"/>
      <c r="M298" s="1" t="str">
        <f>IFERROR(__xludf.DUMMYFUNCTION("""COMPUTED_VALUE"""),"PENDING EMAIL VERIFICATION")</f>
        <v>PENDING EMAIL VERIFICATION</v>
      </c>
      <c r="N298" s="1"/>
      <c r="O298" s="1" t="str">
        <f>IFERROR(__xludf.DUMMYFUNCTION("""COMPUTED_VALUE"""),"RFBF_CVEU_2026")</f>
        <v>RFBF_CVEU_2026</v>
      </c>
      <c r="P298" s="1" t="str">
        <f>IFERROR(__xludf.DUMMYFUNCTION("""COMPUTED_VALUE"""),"RED FIBR 1000")</f>
        <v>RED FIBR 1000</v>
      </c>
      <c r="Q298" s="1" t="str">
        <f>IFERROR(__xludf.DUMMYFUNCTION("""COMPUTED_VALUE"""),"MMM018712")</f>
        <v>MMM018712</v>
      </c>
      <c r="R298" s="1" t="str">
        <f>IFERROR(__xludf.DUMMYFUNCTION("""COMPUTED_VALUE"""),"PEREZ. RONELL ")</f>
        <v>PEREZ. RONELL </v>
      </c>
      <c r="S298" s="1" t="str">
        <f>IFERROR(__xludf.DUMMYFUNCTION("""COMPUTED_VALUE"""),"GARCIA MICHAEL JETTS")</f>
        <v>GARCIA MICHAEL JETTS</v>
      </c>
      <c r="T298" s="1" t="str">
        <f>IFERROR(__xludf.DUMMYFUNCTION("""COMPUTED_VALUE"""),"ESPIRITU JULIE")</f>
        <v>ESPIRITU JULIE</v>
      </c>
      <c r="U298" s="1"/>
      <c r="V298" s="1">
        <f>IFERROR(__xludf.DUMMYFUNCTION("""COMPUTED_VALUE"""),9656308066)</f>
        <v>9656308066</v>
      </c>
      <c r="W298" s="1"/>
      <c r="X298" s="1" t="str">
        <f>IFERROR(__xludf.DUMMYFUNCTION("""COMPUTED_VALUE"""),"BLK 14 LOT 14")</f>
        <v>BLK 14 LOT 14</v>
      </c>
      <c r="Y298" s="1" t="str">
        <f>IFERROR(__xludf.DUMMYFUNCTION("""COMPUTED_VALUE"""),"PHASE B")</f>
        <v>PHASE B</v>
      </c>
      <c r="Z298" s="1" t="str">
        <f>IFERROR(__xludf.DUMMYFUNCTION("""COMPUTED_VALUE"""),"PEARL RESIDENCES")</f>
        <v>PEARL RESIDENCES</v>
      </c>
      <c r="AA298" s="1" t="str">
        <f>IFERROR(__xludf.DUMMYFUNCTION("""COMPUTED_VALUE"""),"CAPIPISA")</f>
        <v>CAPIPISA</v>
      </c>
      <c r="AB298" s="1" t="str">
        <f>IFERROR(__xludf.DUMMYFUNCTION("""COMPUTED_VALUE"""),"TANZA")</f>
        <v>TANZA</v>
      </c>
      <c r="AC298" s="1"/>
    </row>
    <row r="299" customHeight="1" spans="1:2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row>
    <row r="300" customHeight="1" spans="1:29">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row>
    <row r="301" customHeight="1" spans="1:29">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row>
    <row r="302" customHeight="1" spans="1:29">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row>
    <row r="303" customHeight="1" spans="1:29">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row>
    <row r="304" customHeight="1" spans="1:29">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row>
    <row r="305" customHeight="1" spans="1:29">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row>
    <row r="306" customHeight="1" spans="1:29">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row>
    <row r="307" customHeight="1" spans="1:29">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row>
    <row r="308" customHeight="1" spans="1:29">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row>
    <row r="309" customHeight="1" spans="1:2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row>
    <row r="310" customHeight="1" spans="1:29">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row>
    <row r="311" customHeight="1" spans="1:29">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row>
    <row r="312" customHeight="1" spans="1:29">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row>
    <row r="313" customHeight="1" spans="1:29">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row>
    <row r="314" customHeight="1" spans="1:29">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row>
    <row r="315" customHeight="1" spans="1:29">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row>
    <row r="316" customHeight="1" spans="1:29">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row>
    <row r="317" customHeight="1" spans="1:29">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row>
    <row r="318" customHeight="1" spans="1:29">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row>
    <row r="319" customHeight="1" spans="1:2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row>
    <row r="320" customHeight="1" spans="1:29">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row>
    <row r="321" customHeight="1" spans="1:29">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row>
    <row r="322" customHeight="1" spans="1:29">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row>
    <row r="323" customHeight="1" spans="1:29">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row>
    <row r="324" customHeight="1" spans="1:29">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row>
    <row r="325" customHeight="1" spans="1:29">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row>
    <row r="326" customHeight="1" spans="1:29">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row>
    <row r="327" customHeight="1" spans="1:29">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row>
    <row r="328" customHeight="1" spans="1:29">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row>
    <row r="329" customHeight="1" spans="1: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row>
    <row r="330" customHeight="1" spans="1:29">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row>
    <row r="331" customHeight="1" spans="1:29">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row>
    <row r="332" customHeight="1" spans="1:29">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row>
    <row r="333" customHeight="1" spans="1:29">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row>
    <row r="334" customHeight="1" spans="1:29">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row>
    <row r="335" customHeight="1" spans="1:29">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row>
    <row r="336" customHeight="1" spans="1:29">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row>
    <row r="337" customHeight="1" spans="1:29">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row>
    <row r="338" customHeight="1" spans="1:29">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row>
    <row r="339" customHeight="1" spans="1:2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row>
    <row r="340" customHeight="1" spans="1:29">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row>
    <row r="341" customHeight="1" spans="1:29">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row>
    <row r="342" customHeight="1" spans="1:29">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row>
    <row r="343" customHeight="1" spans="1:29">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row>
    <row r="344" customHeight="1" spans="1:29">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row>
    <row r="345" customHeight="1" spans="1:29">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row>
    <row r="346" customHeight="1" spans="1:29">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row>
    <row r="347" customHeight="1" spans="1:29">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row>
    <row r="348" customHeight="1" spans="1:29">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row>
    <row r="349" customHeight="1" spans="1:2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row>
    <row r="350" customHeight="1" spans="1:29">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row>
    <row r="351" customHeight="1" spans="1:29">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row>
    <row r="352" customHeight="1" spans="1:29">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row>
    <row r="353" customHeight="1" spans="1:29">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row>
    <row r="354" customHeight="1" spans="1:29">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row>
    <row r="355" customHeight="1" spans="1:29">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row>
    <row r="356" customHeight="1" spans="1:29">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row>
    <row r="357" customHeight="1" spans="1:29">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row>
    <row r="358" customHeight="1" spans="1:29">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row>
    <row r="359" customHeight="1" spans="1:2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row>
    <row r="360" customHeight="1" spans="1:29">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row>
    <row r="361" customHeight="1" spans="1:29">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row>
    <row r="362" customHeight="1" spans="1:29">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row>
    <row r="363" customHeight="1" spans="1:29">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row>
    <row r="364" customHeight="1" spans="1:29">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row>
    <row r="365" customHeight="1" spans="1:29">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row>
    <row r="366" customHeight="1" spans="1:29">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row>
    <row r="367" customHeight="1" spans="1:29">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row>
    <row r="368" customHeight="1" spans="1:29">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row>
    <row r="369" customHeight="1" spans="1:2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row>
    <row r="370" customHeight="1" spans="1:29">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row>
    <row r="371" customHeight="1" spans="1:29">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row>
    <row r="372" customHeight="1" spans="1:29">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row>
    <row r="373" customHeight="1" spans="1:29">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row>
    <row r="374" customHeight="1" spans="1:29">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row>
    <row r="375" customHeight="1" spans="1:29">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row>
    <row r="376" customHeight="1" spans="1:29">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row>
    <row r="377" customHeight="1" spans="1:29">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row>
    <row r="378" customHeight="1" spans="1:29">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row>
    <row r="379" customHeight="1" spans="1:2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row>
    <row r="380" customHeight="1" spans="1:29">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row>
    <row r="381" customHeight="1" spans="1:29">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row>
    <row r="382" customHeight="1" spans="1:29">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row>
    <row r="383" customHeight="1" spans="1:29">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row>
    <row r="384" customHeight="1" spans="1:29">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row>
    <row r="385" customHeight="1" spans="1:29">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row>
    <row r="386" customHeight="1" spans="1:29">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row>
    <row r="387" customHeight="1" spans="1:29">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row>
    <row r="388" customHeight="1" spans="1:29">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row>
    <row r="389" customHeight="1" spans="1:2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row>
    <row r="390" customHeight="1" spans="1:29">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row>
    <row r="391" customHeight="1" spans="1:29">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row>
    <row r="392" customHeight="1" spans="1:29">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row>
    <row r="393" customHeight="1" spans="1:29">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row>
    <row r="394" customHeight="1" spans="1:29">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row>
    <row r="395" customHeight="1" spans="1:29">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row>
    <row r="396" customHeight="1" spans="1:29">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row>
    <row r="397" customHeight="1" spans="1:29">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row>
    <row r="398" customHeight="1" spans="1:29">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row>
    <row r="399" customHeight="1" spans="1:2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row>
    <row r="400" customHeight="1" spans="1:29">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row>
    <row r="401" customHeight="1" spans="1:29">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row>
    <row r="402" customHeight="1" spans="1:29">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row>
    <row r="403" customHeight="1" spans="1:29">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row>
    <row r="404" customHeight="1" spans="1:29">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row>
    <row r="405" customHeight="1" spans="1:29">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row>
    <row r="406" customHeight="1" spans="1:29">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row>
    <row r="407" customHeight="1" spans="1:29">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row>
    <row r="408" customHeight="1" spans="1:29">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row>
    <row r="409" customHeight="1" spans="1:2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row>
    <row r="410" customHeight="1" spans="1:29">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row>
    <row r="411" customHeight="1" spans="1:29">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row>
    <row r="412" customHeight="1" spans="1:29">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row>
    <row r="413" customHeight="1" spans="1:29">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row>
    <row r="414" customHeight="1" spans="1:29">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row>
    <row r="415" customHeight="1" spans="1:29">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row>
    <row r="416" customHeight="1" spans="1:29">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row>
    <row r="417" customHeight="1" spans="1:29">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row>
    <row r="418" customHeight="1" spans="1:29">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row>
    <row r="419" customHeight="1" spans="1:2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row>
    <row r="420" customHeight="1" spans="1:29">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row>
    <row r="421" customHeight="1" spans="1:29">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row>
    <row r="422" customHeight="1" spans="1:29">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row>
    <row r="423" customHeight="1" spans="1:29">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row>
    <row r="424" customHeight="1" spans="1:29">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row>
    <row r="425" customHeight="1" spans="1:29">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row>
    <row r="426" customHeight="1" spans="1:29">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row>
    <row r="427" customHeight="1" spans="1:29">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row>
    <row r="428" customHeight="1" spans="1:29">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row>
    <row r="429" customHeight="1" spans="1: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row>
    <row r="430" customHeight="1" spans="1:29">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row>
    <row r="431" customHeight="1" spans="1:29">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row>
    <row r="432" customHeight="1" spans="1:29">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row>
    <row r="433" customHeight="1" spans="1:29">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row>
    <row r="434" customHeight="1" spans="1:29">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row>
    <row r="435" customHeight="1" spans="1:29">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row>
    <row r="436" customHeight="1" spans="1:29">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row>
    <row r="437" customHeight="1" spans="1:29">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row>
    <row r="438" customHeight="1" spans="1:29">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row>
    <row r="439" customHeight="1" spans="1:2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row>
    <row r="440" customHeight="1" spans="1:29">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row>
    <row r="441" customHeight="1" spans="1:29">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row>
    <row r="442" customHeight="1" spans="1:29">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row>
    <row r="443" customHeight="1" spans="1:29">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row>
    <row r="444" customHeight="1" spans="1:29">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row>
    <row r="445" customHeight="1" spans="1:29">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row>
    <row r="446" customHeight="1" spans="1:29">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row>
    <row r="447" customHeight="1" spans="1:29">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row>
    <row r="448" customHeight="1" spans="1:29">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row>
    <row r="449" customHeight="1" spans="1:2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row>
    <row r="450" customHeight="1" spans="1:29">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row>
    <row r="451" customHeight="1" spans="1:29">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row>
    <row r="452" customHeight="1" spans="1:29">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row>
    <row r="453" customHeight="1" spans="1:29">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row>
    <row r="454" customHeight="1" spans="1:29">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row>
    <row r="455" customHeight="1" spans="1:29">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row>
    <row r="456" customHeight="1" spans="1:29">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row>
    <row r="457" customHeight="1" spans="1:29">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row>
    <row r="458" customHeight="1" spans="1:29">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row>
    <row r="459" customHeight="1" spans="1:2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row>
    <row r="460" customHeight="1" spans="1:29">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row>
    <row r="461" customHeight="1" spans="1:29">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row>
    <row r="462" customHeight="1" spans="1:29">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row>
    <row r="463" customHeight="1" spans="1:29">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row>
    <row r="464" customHeight="1" spans="1:29">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row>
    <row r="465" customHeight="1" spans="1:29">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row>
    <row r="466" customHeight="1" spans="1:29">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row>
    <row r="467" customHeight="1" spans="1:29">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row>
    <row r="468" customHeight="1" spans="1:29">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row>
    <row r="469" customHeight="1" spans="1:2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row>
    <row r="470" customHeight="1" spans="1:29">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row>
    <row r="471" customHeight="1" spans="1:29">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row>
    <row r="472" customHeight="1" spans="1:29">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row>
    <row r="473" customHeight="1" spans="1:29">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row>
    <row r="474" customHeight="1" spans="1:29">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row>
    <row r="475" customHeight="1" spans="1:29">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row>
    <row r="476" customHeight="1" spans="1:29">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row>
    <row r="477" customHeight="1" spans="1:29">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row>
    <row r="478" customHeight="1" spans="1:29">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row>
    <row r="479" customHeight="1" spans="1:2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row>
    <row r="480" customHeight="1" spans="1:29">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row>
    <row r="481" customHeight="1" spans="1:29">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row>
    <row r="482" customHeight="1" spans="1:29">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row>
    <row r="483" customHeight="1" spans="1:29">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row>
    <row r="484" customHeight="1" spans="1:29">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row>
    <row r="485" customHeight="1" spans="1:29">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row>
    <row r="486" customHeight="1" spans="1:29">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row>
    <row r="487" customHeight="1" spans="1:29">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row>
    <row r="488" customHeight="1" spans="1:29">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row>
    <row r="489" customHeight="1" spans="1:2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row>
    <row r="490" customHeight="1" spans="1:29">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row>
    <row r="491" customHeight="1" spans="1:29">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row>
    <row r="492" customHeight="1" spans="1:29">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row>
    <row r="493" customHeight="1" spans="1:29">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row>
    <row r="494" customHeight="1" spans="1:29">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row>
    <row r="495" customHeight="1" spans="1:29">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row>
    <row r="496" customHeight="1" spans="1:29">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row>
    <row r="497" customHeight="1" spans="1:29">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row>
    <row r="498" customHeight="1" spans="1:29">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row>
    <row r="499" customHeight="1" spans="1:2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row>
    <row r="500" customHeight="1" spans="1:29">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row>
    <row r="501" customHeight="1" spans="1:29">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row>
    <row r="502" customHeight="1" spans="1:29">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row>
    <row r="503" customHeight="1" spans="1:29">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row>
    <row r="504" customHeight="1" spans="1:29">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row>
    <row r="505" customHeight="1" spans="1:29">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row>
    <row r="506" customHeight="1" spans="1:29">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row>
    <row r="507" customHeight="1" spans="1:29">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row>
    <row r="508" customHeight="1" spans="1:29">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row>
    <row r="509" customHeight="1" spans="1:2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row>
    <row r="510" customHeight="1" spans="1:29">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row>
    <row r="511" customHeight="1" spans="1:29">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row>
    <row r="512" customHeight="1" spans="1:29">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row>
    <row r="513" customHeight="1" spans="1:29">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row>
    <row r="514" customHeight="1" spans="1:29">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row>
    <row r="515" customHeight="1" spans="1:29">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row>
    <row r="516" customHeight="1" spans="1:29">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row>
    <row r="517" customHeight="1" spans="1:29">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row>
    <row r="518" customHeight="1" spans="1:29">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row>
    <row r="519" customHeight="1" spans="1:2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row>
    <row r="520" customHeight="1" spans="1:29">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row>
    <row r="521" customHeight="1" spans="1:29">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row>
    <row r="522" customHeight="1" spans="1:29">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row>
    <row r="523" customHeight="1" spans="1:29">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row>
    <row r="524" customHeight="1" spans="1:29">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row>
    <row r="525" customHeight="1" spans="1:29">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row>
    <row r="526" customHeight="1" spans="1:29">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row>
    <row r="527" customHeight="1" spans="1:29">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row>
    <row r="528" customHeight="1" spans="1:29">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row>
    <row r="529" customHeight="1" spans="1: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row>
    <row r="530" customHeight="1" spans="1:29">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row>
    <row r="531" customHeight="1" spans="1:29">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row>
    <row r="532" customHeight="1" spans="1:29">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row>
    <row r="533" customHeight="1" spans="1:29">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row>
    <row r="534" customHeight="1" spans="1:29">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row>
    <row r="535" customHeight="1" spans="1:29">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row>
    <row r="536" customHeight="1" spans="1:29">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row>
    <row r="537" customHeight="1" spans="1:29">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row>
    <row r="538" customHeight="1" spans="1:29">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row>
    <row r="539" customHeight="1" spans="1:2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row>
    <row r="540" customHeight="1" spans="1:29">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row>
    <row r="541" customHeight="1" spans="1:29">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row>
    <row r="542" customHeight="1" spans="1:29">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row>
    <row r="543" customHeight="1" spans="1:29">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row>
    <row r="544" customHeight="1" spans="1:29">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row>
    <row r="545" customHeight="1" spans="1:29">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row>
    <row r="546" customHeight="1" spans="1:29">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row>
    <row r="547" customHeight="1" spans="1:29">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row>
    <row r="548" customHeight="1" spans="1:29">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row>
    <row r="549" customHeight="1" spans="1:2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row>
    <row r="550" customHeight="1" spans="1:29">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row>
    <row r="551" customHeight="1" spans="1:29">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row>
    <row r="552" customHeight="1" spans="1:29">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row>
    <row r="553" customHeight="1" spans="1:29">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row>
    <row r="554" customHeight="1" spans="1:29">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row>
    <row r="555" customHeight="1" spans="1:29">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row>
    <row r="556" customHeight="1" spans="1:29">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row>
    <row r="557" customHeight="1" spans="1:29">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row>
    <row r="558" customHeight="1" spans="1:29">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row>
    <row r="559" customHeight="1" spans="1:2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row>
    <row r="560" customHeight="1" spans="1:29">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row>
    <row r="561" customHeight="1" spans="1:29">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row>
    <row r="562" customHeight="1" spans="1:29">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row>
    <row r="563" customHeight="1" spans="1:29">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row>
    <row r="564" customHeight="1" spans="1:29">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row>
    <row r="565" customHeight="1" spans="1:29">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row>
    <row r="566" customHeight="1" spans="1:29">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row>
    <row r="567" customHeight="1" spans="1:29">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row>
    <row r="568" customHeight="1" spans="1:29">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row>
    <row r="569" customHeight="1" spans="1:2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row>
    <row r="570" customHeight="1" spans="1:29">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row>
    <row r="571" customHeight="1" spans="1:29">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row>
    <row r="572" customHeight="1" spans="1:29">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row>
    <row r="573" customHeight="1" spans="1:29">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row>
    <row r="574" customHeight="1" spans="1:29">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row>
    <row r="575" customHeight="1" spans="1:29">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row>
    <row r="576" customHeight="1" spans="1:29">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row>
    <row r="577" customHeight="1" spans="1:29">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row>
    <row r="578" customHeight="1" spans="1:29">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row>
    <row r="579" customHeight="1" spans="1:2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row>
    <row r="580" customHeight="1" spans="1:29">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row>
    <row r="581" customHeight="1" spans="1:29">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row>
    <row r="582" customHeight="1" spans="1:29">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row>
    <row r="583" customHeight="1" spans="1:29">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row>
    <row r="584" customHeight="1" spans="1:29">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row>
    <row r="585" customHeight="1" spans="1:29">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row>
    <row r="586" customHeight="1" spans="1:29">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row>
    <row r="587" customHeight="1" spans="1:29">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row>
    <row r="588" customHeight="1" spans="1:29">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row>
    <row r="589" customHeight="1" spans="1:2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row>
    <row r="590" customHeight="1" spans="1:29">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row>
    <row r="591" customHeight="1" spans="1:29">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row>
    <row r="592" customHeight="1" spans="1:29">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row>
    <row r="593" customHeight="1" spans="1:29">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row>
    <row r="594" customHeight="1" spans="1:29">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row>
    <row r="595" customHeight="1" spans="1:29">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row>
    <row r="596" customHeight="1" spans="1:29">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row>
    <row r="597" customHeight="1" spans="1:29">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row>
    <row r="598" customHeight="1" spans="1:29">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row>
    <row r="599" customHeight="1" spans="1:2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row>
    <row r="600" customHeight="1" spans="1:29">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row>
    <row r="601" customHeight="1" spans="1:29">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row>
    <row r="602" customHeight="1" spans="1:29">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row>
    <row r="603" customHeight="1" spans="1:29">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row>
    <row r="604" customHeight="1" spans="1:29">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row>
    <row r="605" customHeight="1" spans="1:29">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row>
    <row r="606" customHeight="1" spans="1:29">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row>
    <row r="607" customHeight="1" spans="1:29">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row>
    <row r="608" customHeight="1" spans="1:29">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row>
    <row r="609" customHeight="1" spans="1:2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row>
    <row r="610" customHeight="1" spans="1:29">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row>
    <row r="611" customHeight="1" spans="1:29">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row>
    <row r="612" customHeight="1" spans="1:29">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row>
    <row r="613" customHeight="1" spans="1:29">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row>
    <row r="614" customHeight="1" spans="1:29">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row>
    <row r="615" customHeight="1" spans="1:29">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row>
    <row r="616" customHeight="1" spans="1:29">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row>
    <row r="617" customHeight="1" spans="1:29">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row>
    <row r="618" customHeight="1" spans="1:29">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row>
    <row r="619" customHeight="1" spans="1:2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row>
    <row r="620" customHeight="1" spans="1:29">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row>
    <row r="621" customHeight="1" spans="1:29">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row>
    <row r="622" customHeight="1" spans="1:29">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row>
    <row r="623" customHeight="1" spans="1:29">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row>
    <row r="624" customHeight="1" spans="1:29">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row>
    <row r="625" customHeight="1" spans="1:29">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row>
    <row r="626" customHeight="1" spans="1:29">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row>
    <row r="627" customHeight="1" spans="1:29">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row>
    <row r="628" customHeight="1" spans="1:29">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row>
    <row r="629" customHeight="1" spans="1: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row>
    <row r="630" customHeight="1" spans="1:29">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row>
    <row r="631" customHeight="1" spans="1:29">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row>
    <row r="632" customHeight="1" spans="1:29">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row>
    <row r="633" customHeight="1" spans="1:29">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row>
    <row r="634" customHeight="1" spans="1:29">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row>
    <row r="635" customHeight="1" spans="1:29">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row>
    <row r="636" customHeight="1" spans="1:29">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row>
    <row r="637" customHeight="1" spans="1:29">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row>
    <row r="638" customHeight="1" spans="1:29">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row>
    <row r="639" customHeight="1" spans="1:2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row>
    <row r="640" customHeight="1" spans="1:29">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row>
    <row r="641" customHeight="1" spans="1:29">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row>
    <row r="642" customHeight="1" spans="1:29">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row>
    <row r="643" customHeight="1" spans="1:29">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row>
    <row r="644" customHeight="1" spans="1:29">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row>
    <row r="645" customHeight="1" spans="1:29">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row>
    <row r="646" customHeight="1" spans="1:29">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row>
    <row r="647" customHeight="1" spans="1:29">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row>
    <row r="648" customHeight="1" spans="1:29">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row>
    <row r="649" customHeight="1" spans="1:2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row>
    <row r="650" customHeight="1" spans="1:29">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row>
    <row r="651" customHeight="1" spans="1:29">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row>
    <row r="652" customHeight="1" spans="1:29">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row>
    <row r="653" customHeight="1" spans="1:29">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row>
    <row r="654" customHeight="1" spans="1:29">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row>
    <row r="655" customHeight="1" spans="1:29">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row>
    <row r="656" customHeight="1" spans="1:29">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row>
    <row r="657" customHeight="1" spans="1:29">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row>
    <row r="658" customHeight="1" spans="1:29">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row>
    <row r="659" customHeight="1" spans="1:2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row>
    <row r="660" customHeight="1" spans="1:29">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row>
    <row r="661" customHeight="1" spans="1:29">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row>
    <row r="662" customHeight="1" spans="1:29">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row>
    <row r="663" customHeight="1" spans="1:29">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row>
    <row r="664" customHeight="1" spans="1:29">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row>
    <row r="665" customHeight="1" spans="1:29">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row>
    <row r="666" customHeight="1" spans="1:29">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row>
    <row r="667" customHeight="1" spans="1:29">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row>
    <row r="668" customHeight="1" spans="1:29">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row>
    <row r="669" customHeight="1" spans="1:2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row>
    <row r="670" customHeight="1" spans="1:29">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row>
    <row r="671" customHeight="1" spans="1:29">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row>
    <row r="672" customHeight="1" spans="1:29">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row>
    <row r="673" customHeight="1" spans="1:29">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row>
    <row r="674" customHeight="1" spans="1:29">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row>
    <row r="675" customHeight="1" spans="1:29">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row>
    <row r="676" customHeight="1" spans="1:29">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row>
    <row r="677" customHeight="1" spans="1:29">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row>
    <row r="678" customHeight="1" spans="1:29">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row>
    <row r="679" customHeight="1" spans="1:2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row>
    <row r="680" customHeight="1" spans="1:29">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row>
    <row r="681" customHeight="1" spans="1:29">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row>
    <row r="682" customHeight="1" spans="1:29">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row>
    <row r="683" customHeight="1" spans="1:29">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row>
    <row r="684" customHeight="1" spans="1:29">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row>
    <row r="685" customHeight="1" spans="1:29">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row>
    <row r="686" customHeight="1" spans="1:29">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row>
    <row r="687" customHeight="1" spans="1:29">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row>
    <row r="688" customHeight="1" spans="1:29">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row>
    <row r="689" customHeight="1" spans="1:2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row>
    <row r="690" customHeight="1" spans="1:29">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row>
    <row r="691" customHeight="1" spans="1:29">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row>
    <row r="692" customHeight="1" spans="1:29">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row>
    <row r="693" customHeight="1" spans="1:29">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row>
    <row r="694" customHeight="1" spans="1:29">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row>
    <row r="695" customHeight="1" spans="1:29">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row>
    <row r="696" customHeight="1" spans="1:29">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row>
    <row r="697" customHeight="1" spans="1:29">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row>
    <row r="698" customHeight="1" spans="1:29">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row>
    <row r="699" customHeight="1" spans="1:2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row>
    <row r="700" customHeight="1" spans="1:29">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row>
    <row r="701" customHeight="1" spans="1:29">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row>
    <row r="702" customHeight="1" spans="1:29">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row>
    <row r="703" customHeight="1" spans="1:29">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row>
    <row r="704" customHeight="1" spans="1:29">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row>
    <row r="705" customHeight="1" spans="1:29">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row>
    <row r="706" customHeight="1" spans="1:29">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row>
    <row r="707" customHeight="1" spans="1:29">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row>
    <row r="708" customHeight="1" spans="1:29">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row>
    <row r="709" customHeight="1" spans="1:2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row>
    <row r="710" customHeight="1" spans="1:29">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row>
    <row r="711" customHeight="1" spans="1:29">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row>
    <row r="712" customHeight="1" spans="1:29">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row>
    <row r="713" customHeight="1" spans="1:29">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row>
    <row r="714" customHeight="1" spans="1:29">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row>
    <row r="715" customHeight="1" spans="1:29">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row>
    <row r="716" customHeight="1" spans="1:29">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row>
    <row r="717" customHeight="1" spans="1:29">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row>
    <row r="718" customHeight="1" spans="1:29">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row>
    <row r="719" customHeight="1" spans="1:2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row>
    <row r="720" customHeight="1" spans="1:29">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row>
    <row r="721" customHeight="1" spans="1:29">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row>
    <row r="722" customHeight="1" spans="1:29">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row>
    <row r="723" customHeight="1" spans="1:29">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row>
    <row r="724" customHeight="1" spans="1:29">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row>
    <row r="725" customHeight="1" spans="1:29">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row>
    <row r="726" customHeight="1" spans="1:29">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row>
    <row r="727" customHeight="1" spans="1:29">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row>
    <row r="728" customHeight="1" spans="1:29">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row>
    <row r="729" customHeight="1" spans="1: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row>
    <row r="730" customHeight="1" spans="1:29">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row>
    <row r="731" customHeight="1" spans="1:29">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row>
    <row r="732" customHeight="1" spans="1:29">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row>
    <row r="733" customHeight="1" spans="1:29">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row>
    <row r="734" customHeight="1" spans="1:29">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row>
    <row r="735" customHeight="1" spans="1:29">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row>
    <row r="736" customHeight="1" spans="1:29">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row>
    <row r="737" customHeight="1" spans="1:29">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row>
    <row r="738" customHeight="1" spans="1:29">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row>
    <row r="739" customHeight="1" spans="1:2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row>
    <row r="740" customHeight="1" spans="1:29">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row>
    <row r="741" customHeight="1" spans="1:29">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row>
    <row r="742" customHeight="1" spans="1:29">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row>
    <row r="743" customHeight="1" spans="1:29">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row>
    <row r="744" customHeight="1" spans="1:29">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row>
    <row r="745" customHeight="1" spans="1:29">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row>
    <row r="746" customHeight="1" spans="1:29">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row>
    <row r="747" customHeight="1" spans="1:29">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row>
    <row r="748" customHeight="1" spans="1:29">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row>
    <row r="749" customHeight="1" spans="1:2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row>
    <row r="750" customHeight="1" spans="1:29">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row>
    <row r="751" customHeight="1" spans="1:29">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row>
    <row r="752" customHeight="1" spans="1:29">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row>
    <row r="753" customHeight="1" spans="1:29">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row>
    <row r="754" customHeight="1" spans="1:29">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row>
    <row r="755" customHeight="1" spans="1:29">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row>
    <row r="756" customHeight="1" spans="1:29">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row>
    <row r="757" customHeight="1" spans="1:29">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row>
    <row r="758" customHeight="1" spans="1:29">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row>
    <row r="759" customHeight="1" spans="1:2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row>
    <row r="760" customHeight="1" spans="1:29">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row>
    <row r="761" customHeight="1" spans="1:29">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row>
    <row r="762" customHeight="1" spans="1:29">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row>
    <row r="763" customHeight="1" spans="1:29">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row>
    <row r="764" customHeight="1" spans="1:29">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row>
    <row r="765" customHeight="1" spans="1:29">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row>
    <row r="766" customHeight="1" spans="1:29">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row>
    <row r="767" customHeight="1" spans="1:29">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row>
    <row r="768" customHeight="1" spans="1:29">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row>
    <row r="769" customHeight="1" spans="1:2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row>
    <row r="770" customHeight="1" spans="1:29">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row>
    <row r="771" customHeight="1" spans="1:29">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row>
    <row r="772" customHeight="1" spans="1:29">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row>
    <row r="773" customHeight="1" spans="1:29">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row>
    <row r="774" customHeight="1" spans="1:29">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row>
    <row r="775" customHeight="1" spans="1:29">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row>
    <row r="776" customHeight="1" spans="1:29">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row>
    <row r="777" customHeight="1" spans="1:29">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row>
    <row r="778" customHeight="1" spans="1:29">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row>
    <row r="779" customHeight="1" spans="1:2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row>
    <row r="780" customHeight="1" spans="1:29">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row>
    <row r="781" customHeight="1" spans="1:29">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row>
    <row r="782" customHeight="1" spans="1:29">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row>
    <row r="783" customHeight="1" spans="1:29">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row>
    <row r="784" customHeight="1" spans="1:29">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row>
    <row r="785" customHeight="1" spans="1:29">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row>
    <row r="786" customHeight="1" spans="1:29">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row>
    <row r="787" customHeight="1" spans="1:29">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row>
    <row r="788" customHeight="1" spans="1:29">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row>
    <row r="789" customHeight="1" spans="1:2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row>
    <row r="790" customHeight="1" spans="1:29">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row>
    <row r="791" customHeight="1" spans="1:29">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row>
    <row r="792" customHeight="1" spans="1:29">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row>
    <row r="793" customHeight="1" spans="1:29">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row>
    <row r="794" customHeight="1" spans="1:29">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row>
    <row r="795" customHeight="1" spans="1:29">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row>
    <row r="796" customHeight="1" spans="1:29">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row>
    <row r="797" customHeight="1" spans="1:29">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row>
    <row r="798" customHeight="1" spans="1:29">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row>
    <row r="799" customHeight="1" spans="1:2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row>
    <row r="800" customHeight="1" spans="1:29">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row>
    <row r="801" customHeight="1" spans="1:29">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row>
    <row r="802" customHeight="1" spans="1:29">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row>
    <row r="803" customHeight="1" spans="1:29">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row>
    <row r="804" customHeight="1" spans="1:29">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row>
    <row r="805" customHeight="1" spans="1:29">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row>
    <row r="806" customHeight="1" spans="1:29">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row>
    <row r="807" customHeight="1" spans="1:29">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row>
    <row r="808" customHeight="1" spans="1:29">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row>
    <row r="809" customHeight="1" spans="1:2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row>
    <row r="810" customHeight="1" spans="1:29">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row>
    <row r="811" customHeight="1" spans="1:29">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row>
    <row r="812" customHeight="1" spans="1:29">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row>
    <row r="813" customHeight="1" spans="1:29">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row>
    <row r="814" customHeight="1" spans="1:29">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row>
    <row r="815" customHeight="1" spans="1:29">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row>
    <row r="816" customHeight="1" spans="1:29">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row>
    <row r="817" customHeight="1" spans="1:29">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row>
    <row r="818" customHeight="1" spans="1:29">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row>
    <row r="819" customHeight="1" spans="1:2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row>
    <row r="820" customHeight="1" spans="1:29">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row>
    <row r="821" customHeight="1" spans="1:29">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row>
    <row r="822" customHeight="1" spans="1:29">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row>
    <row r="823" customHeight="1" spans="1:29">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row>
    <row r="824" customHeight="1" spans="1:29">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row>
    <row r="825" customHeight="1" spans="1:29">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row>
    <row r="826" customHeight="1" spans="1:29">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row>
    <row r="827" customHeight="1" spans="1:29">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row>
    <row r="828" customHeight="1" spans="1:29">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row>
    <row r="829" customHeight="1" spans="1: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row>
    <row r="830" customHeight="1" spans="1:29">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row>
    <row r="831" customHeight="1" spans="1:29">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row>
    <row r="832" customHeight="1" spans="1:29">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row>
    <row r="833" customHeight="1" spans="1:29">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row>
    <row r="834" customHeight="1" spans="1:29">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row>
    <row r="835" customHeight="1" spans="1:29">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row>
    <row r="836" customHeight="1" spans="1:29">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row>
    <row r="837" customHeight="1" spans="1:29">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row>
    <row r="838" customHeight="1" spans="1:29">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row>
    <row r="839" customHeight="1" spans="1:2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row>
    <row r="840" customHeight="1" spans="1:29">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row>
    <row r="841" customHeight="1" spans="1:29">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row>
    <row r="842" customHeight="1" spans="1:29">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row>
    <row r="843" customHeight="1" spans="1:29">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row>
    <row r="844" customHeight="1" spans="1:29">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row>
    <row r="845" customHeight="1" spans="1:29">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row>
    <row r="846" customHeight="1" spans="1:29">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row>
    <row r="847" customHeight="1" spans="1:29">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row>
    <row r="848" customHeight="1" spans="1:29">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row>
    <row r="849" customHeight="1" spans="1:2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row>
    <row r="850" customHeight="1" spans="1:29">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row>
    <row r="851" customHeight="1" spans="1:29">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row>
    <row r="852" customHeight="1" spans="1:29">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row>
    <row r="853" customHeight="1" spans="1:29">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row>
    <row r="854" customHeight="1" spans="1:29">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row>
    <row r="855" customHeight="1" spans="1:29">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row>
    <row r="856" customHeight="1" spans="1:29">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row>
    <row r="857" customHeight="1" spans="1:29">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row>
    <row r="858" customHeight="1" spans="1:29">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row>
    <row r="859" customHeight="1" spans="1:2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row>
    <row r="860" customHeight="1" spans="1:29">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row>
    <row r="861" customHeight="1" spans="1:29">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row>
    <row r="862" customHeight="1" spans="1:29">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row>
    <row r="863" customHeight="1" spans="1:29">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row>
    <row r="864" customHeight="1" spans="1:29">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row>
    <row r="865" customHeight="1" spans="1:29">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row>
    <row r="866" customHeight="1" spans="1:29">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row>
    <row r="867" customHeight="1" spans="1:29">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row>
    <row r="868" customHeight="1" spans="1:29">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row>
    <row r="869" customHeight="1" spans="1:2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row>
    <row r="870" customHeight="1" spans="1:29">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row>
    <row r="871" customHeight="1" spans="1:29">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row>
    <row r="872" customHeight="1" spans="1:29">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row>
    <row r="873" customHeight="1" spans="1:29">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row>
    <row r="874" customHeight="1" spans="1:29">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row>
    <row r="875" customHeight="1" spans="1:29">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row>
    <row r="876" customHeight="1" spans="1:29">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row>
    <row r="877" customHeight="1" spans="1:29">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row>
    <row r="878" customHeight="1" spans="1:29">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row>
    <row r="879" customHeight="1" spans="1:2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row>
    <row r="880" customHeight="1" spans="1:29">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row>
    <row r="881" customHeight="1" spans="1:29">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row>
    <row r="882" customHeight="1" spans="1:29">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row>
    <row r="883" customHeight="1" spans="1:29">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row>
    <row r="884" customHeight="1" spans="1:29">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row>
    <row r="885" customHeight="1" spans="1:29">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row>
    <row r="886" customHeight="1" spans="1:29">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row>
    <row r="887" customHeight="1" spans="1:29">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row>
    <row r="888" customHeight="1" spans="1:29">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row>
    <row r="889" customHeight="1" spans="1:2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row>
    <row r="890" customHeight="1" spans="1:29">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row>
    <row r="891" customHeight="1" spans="1:29">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row>
    <row r="892" customHeight="1" spans="1:29">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row>
    <row r="893" customHeight="1" spans="1:29">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row>
    <row r="894" customHeight="1" spans="1:29">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row>
    <row r="895" customHeight="1" spans="1:29">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row>
    <row r="896" customHeight="1" spans="1:29">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row>
    <row r="897" customHeight="1" spans="1:29">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row>
    <row r="898" customHeight="1" spans="1:29">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row>
    <row r="899" customHeight="1" spans="1:2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row>
    <row r="900" customHeight="1" spans="1:29">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row>
    <row r="901" customHeight="1" spans="1:29">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row>
    <row r="902" customHeight="1" spans="1:29">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row>
    <row r="903" customHeight="1" spans="1:29">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row>
    <row r="904" customHeight="1" spans="1:29">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row>
    <row r="905" customHeight="1" spans="1:29">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row>
    <row r="906" customHeight="1" spans="1:29">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row>
    <row r="907" customHeight="1" spans="1:29">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row>
    <row r="908" customHeight="1" spans="1:29">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row>
    <row r="909" customHeight="1" spans="1:2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row>
    <row r="910" customHeight="1" spans="1:29">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row>
    <row r="911" customHeight="1" spans="1:29">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row>
    <row r="912" customHeight="1" spans="1:29">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row>
    <row r="913" customHeight="1" spans="1:29">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row>
    <row r="914" customHeight="1" spans="1:29">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row>
    <row r="915" customHeight="1" spans="1:29">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row>
    <row r="916" customHeight="1" spans="1:29">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row>
    <row r="917" customHeight="1" spans="1:29">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row>
    <row r="918" customHeight="1" spans="1:29">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row>
    <row r="919" customHeight="1" spans="1:2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row>
    <row r="920" customHeight="1" spans="1:29">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row>
    <row r="921" customHeight="1" spans="1:29">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row>
    <row r="922" customHeight="1" spans="1:29">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row>
    <row r="923" customHeight="1" spans="1:29">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row>
    <row r="924" customHeight="1" spans="1:29">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row>
    <row r="925" customHeight="1" spans="1:29">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row>
    <row r="926" customHeight="1" spans="1:29">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row>
    <row r="927" customHeight="1" spans="1:29">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row>
    <row r="928" customHeight="1" spans="1:29">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row>
    <row r="929" customHeight="1" spans="1: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row>
    <row r="930" customHeight="1" spans="1:29">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row>
    <row r="931" customHeight="1" spans="1:29">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row>
    <row r="932" customHeight="1" spans="1:29">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row>
    <row r="933" customHeight="1" spans="1:29">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row>
    <row r="934" customHeight="1" spans="1:29">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row>
    <row r="935" customHeight="1" spans="1:29">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row>
    <row r="936" customHeight="1" spans="1:29">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row>
    <row r="937" customHeight="1" spans="1:29">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row>
    <row r="938" customHeight="1" spans="1:29">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row>
    <row r="939" customHeight="1" spans="1:2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row>
    <row r="940" customHeight="1" spans="1:29">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row>
    <row r="941" customHeight="1" spans="1:29">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row>
    <row r="942" customHeight="1" spans="1:29">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row>
    <row r="943" customHeight="1" spans="1:29">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row>
    <row r="944" customHeight="1" spans="1:29">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row>
    <row r="945" customHeight="1" spans="1:29">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row>
    <row r="946" customHeight="1" spans="1:29">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row>
    <row r="947" customHeight="1" spans="1:29">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row>
    <row r="948" customHeight="1" spans="1:29">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row>
    <row r="949" customHeight="1" spans="1:2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row>
    <row r="950" customHeight="1" spans="1:29">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row>
    <row r="951" customHeight="1" spans="1:29">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row>
    <row r="952" customHeight="1" spans="1:29">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row>
    <row r="953" customHeight="1" spans="1:29">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row>
    <row r="954" customHeight="1" spans="1:29">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row>
    <row r="955" customHeight="1" spans="1:29">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row>
    <row r="956" customHeight="1" spans="1:29">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row>
    <row r="957" customHeight="1" spans="1:29">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row>
    <row r="958" customHeight="1" spans="1:29">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row>
    <row r="959" customHeight="1" spans="1:2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row>
    <row r="960" customHeight="1" spans="1:29">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row>
    <row r="961" customHeight="1" spans="1:29">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row>
    <row r="962" customHeight="1" spans="1:29">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row>
    <row r="963" customHeight="1" spans="1:29">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row>
    <row r="964" customHeight="1" spans="1:29">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row>
    <row r="965" customHeight="1" spans="1:29">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row>
    <row r="966" customHeight="1" spans="1:29">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row>
    <row r="967" customHeight="1" spans="1:29">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row>
    <row r="968" customHeight="1" spans="1:29">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row>
    <row r="969" customHeight="1" spans="1:2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row>
    <row r="970" customHeight="1" spans="1:29">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row>
    <row r="971" customHeight="1" spans="1:29">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row>
    <row r="972" customHeight="1" spans="1:29">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row>
    <row r="973" customHeight="1" spans="1:29">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row>
    <row r="974" customHeight="1" spans="1:29">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row>
    <row r="975" customHeight="1" spans="1:29">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row>
    <row r="976" customHeight="1" spans="1:29">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row>
    <row r="977" customHeight="1" spans="1:29">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row>
    <row r="978" customHeight="1" spans="1:29">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row>
    <row r="979" customHeight="1" spans="1:2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row>
    <row r="980" customHeight="1" spans="1:29">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row>
    <row r="981" customHeight="1" spans="1:29">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row>
    <row r="982" customHeight="1" spans="1:29">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row>
    <row r="983" customHeight="1" spans="1:29">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row>
    <row r="984" customHeight="1" spans="1:29">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row>
    <row r="985" customHeight="1" spans="1:29">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row>
    <row r="986" customHeight="1" spans="1:29">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row>
    <row r="987" customHeight="1" spans="1:29">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row>
    <row r="988" customHeight="1" spans="1:29">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row>
    <row r="989" customHeight="1" spans="1:2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row>
    <row r="990" customHeight="1" spans="1:29">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row>
    <row r="991" customHeight="1" spans="1:29">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row>
    <row r="992" customHeight="1" spans="1:29">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row>
    <row r="993" customHeight="1" spans="1:29">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row>
    <row r="994" customHeight="1" spans="1:29">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row>
    <row r="995" customHeight="1" spans="1:29">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row>
    <row r="996" customHeight="1" spans="1:29">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row>
    <row r="997" customHeight="1" spans="1:29">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row>
    <row r="998" customHeight="1" spans="1:29">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row>
    <row r="999" customHeight="1" spans="1:2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row>
    <row r="1000" customHeight="1" spans="1:29">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W3939"/>
  <sheetViews>
    <sheetView workbookViewId="0">
      <selection activeCell="A1" sqref="A1"/>
    </sheetView>
  </sheetViews>
  <sheetFormatPr defaultColWidth="12.6296296296296" defaultRowHeight="15.75" customHeight="1"/>
  <sheetData>
    <row r="1" customHeight="1" spans="1:23">
      <c r="A1" s="1" t="str">
        <f>IFERROR(__xludf.DUMMYFUNCTION("IMPORTRANGE(""https://docs.google.com/spreadsheets/d/1tVh_YmeLDbQY-QGgTrI-TiBvoLTJBIc3xag1XG8XNzI/edit?gid=0#gid=0"",""MASTERLIST!A:w"")"),"DATE")</f>
        <v>DATE</v>
      </c>
      <c r="B1" s="1" t="str">
        <f>IFERROR(__xludf.DUMMYFUNCTION("""COMPUTED_VALUE"""),"AGENT")</f>
        <v>AGENT</v>
      </c>
      <c r="C1" s="1" t="str">
        <f>IFERROR(__xludf.DUMMYFUNCTION("""COMPUTED_VALUE"""),"DESIGNATION")</f>
        <v>DESIGNATION</v>
      </c>
      <c r="D1" s="1" t="str">
        <f>IFERROR(__xludf.DUMMYFUNCTION("""COMPUTED_VALUE"""),"TEAM LEADER")</f>
        <v>TEAM LEADER</v>
      </c>
      <c r="E1" s="1" t="str">
        <f>IFERROR(__xludf.DUMMYFUNCTION("""COMPUTED_VALUE"""),"SALES THRU")</f>
        <v>SALES THRU</v>
      </c>
      <c r="F1" s="1" t="str">
        <f>IFERROR(__xludf.DUMMYFUNCTION("""COMPUTED_VALUE"""),"SR")</f>
        <v>SR</v>
      </c>
      <c r="G1" s="1" t="str">
        <f>IFERROR(__xludf.DUMMYFUNCTION("""COMPUTED_VALUE"""),"SUBSCRIBERS NAME")</f>
        <v>SUBSCRIBERS NAME</v>
      </c>
      <c r="H1" s="1" t="str">
        <f>IFERROR(__xludf.DUMMYFUNCTION("""COMPUTED_VALUE"""),"CBR 1")</f>
        <v>CBR 1</v>
      </c>
      <c r="I1" s="1" t="str">
        <f>IFERROR(__xludf.DUMMYFUNCTION("""COMPUTED_VALUE"""),"CBR 2")</f>
        <v>CBR 2</v>
      </c>
      <c r="J1" s="1" t="str">
        <f>IFERROR(__xludf.DUMMYFUNCTION("""COMPUTED_VALUE"""),"EMAIL ADDRESS")</f>
        <v>EMAIL ADDRESS</v>
      </c>
      <c r="K1" s="1" t="str">
        <f>IFERROR(__xludf.DUMMYFUNCTION("""COMPUTED_VALUE"""),"HOUSE#/ UNIT / FLOOR")</f>
        <v>HOUSE#/ UNIT / FLOOR</v>
      </c>
      <c r="L1" s="1" t="str">
        <f>IFERROR(__xludf.DUMMYFUNCTION("""COMPUTED_VALUE"""),"ST NAME")</f>
        <v>ST NAME</v>
      </c>
      <c r="M1" s="1" t="str">
        <f>IFERROR(__xludf.DUMMYFUNCTION("""COMPUTED_VALUE"""),"SUBD")</f>
        <v>SUBD</v>
      </c>
      <c r="N1" s="1" t="str">
        <f>IFERROR(__xludf.DUMMYFUNCTION("""COMPUTED_VALUE"""),"BGY ")</f>
        <v>BGY </v>
      </c>
      <c r="O1" s="1" t="str">
        <f>IFERROR(__xludf.DUMMYFUNCTION("""COMPUTED_VALUE"""),"CITY")</f>
        <v>CITY</v>
      </c>
      <c r="P1" s="1" t="str">
        <f>IFERROR(__xludf.DUMMYFUNCTION("""COMPUTED_VALUE"""),"PROVINCE")</f>
        <v>PROVINCE</v>
      </c>
      <c r="Q1" s="1" t="str">
        <f>IFERROR(__xludf.DUMMYFUNCTION("""COMPUTED_VALUE"""),"PLAN AVAILED")</f>
        <v>PLAN AVAILED</v>
      </c>
      <c r="R1" s="1" t="str">
        <f>IFERROR(__xludf.DUMMYFUNCTION("""COMPUTED_VALUE"""),"STATUS")</f>
        <v>STATUS</v>
      </c>
      <c r="S1" s="1" t="str">
        <f>IFERROR(__xludf.DUMMYFUNCTION("""COMPUTED_VALUE"""),"REMARKS")</f>
        <v>REMARKS</v>
      </c>
      <c r="T1" s="1" t="str">
        <f>IFERROR(__xludf.DUMMYFUNCTION("""COMPUTED_VALUE"""),"ADMIN REMARKS")</f>
        <v>ADMIN REMARKS</v>
      </c>
      <c r="U1" s="1" t="str">
        <f>IFERROR(__xludf.DUMMYFUNCTION("""COMPUTED_VALUE"""),"FINAL REMARKS")</f>
        <v>FINAL REMARKS</v>
      </c>
      <c r="V1" s="1" t="str">
        <f>IFERROR(__xludf.DUMMYFUNCTION("""COMPUTED_VALUE"""),"")</f>
        <v/>
      </c>
      <c r="W1" s="1" t="str">
        <f>IFERROR(__xludf.DUMMYFUNCTION("""COMPUTED_VALUE"""),"")</f>
        <v/>
      </c>
    </row>
    <row r="2" customHeight="1" spans="1:23">
      <c r="A2" s="2">
        <f>IFERROR(__xludf.DUMMYFUNCTION("""COMPUTED_VALUE"""),46024)</f>
        <v>46024</v>
      </c>
      <c r="B2" s="1" t="str">
        <f>IFERROR(__xludf.DUMMYFUNCTION("""COMPUTED_VALUE"""),"FRANCISCO , ROSELYN")</f>
        <v>FRANCISCO , ROSELYN</v>
      </c>
      <c r="C2" s="1" t="str">
        <f>IFERROR(__xludf.DUMMYFUNCTION("""COMPUTED_VALUE"""),"ORGANIC")</f>
        <v>ORGANIC</v>
      </c>
      <c r="D2" s="1" t="str">
        <f>IFERROR(__xludf.DUMMYFUNCTION("""COMPUTED_VALUE"""),"ILANO MARK")</f>
        <v>ILANO MARK</v>
      </c>
      <c r="E2" s="1" t="str">
        <f>IFERROR(__xludf.DUMMYFUNCTION("""COMPUTED_VALUE"""),"PLDT")</f>
        <v>PLDT</v>
      </c>
      <c r="F2" s="1">
        <f>IFERROR(__xludf.DUMMYFUNCTION("""COMPUTED_VALUE"""),2305965892)</f>
        <v>2305965892</v>
      </c>
      <c r="G2" s="1"/>
      <c r="H2" s="1" t="str">
        <f>IFERROR(__xludf.DUMMYFUNCTION("""COMPUTED_VALUE"""),"9924946915")</f>
        <v>9924946915</v>
      </c>
      <c r="I2" s="1">
        <f>IFERROR(__xludf.DUMMYFUNCTION("""COMPUTED_VALUE"""),9071668102)</f>
        <v>9071668102</v>
      </c>
      <c r="J2" s="1"/>
      <c r="K2" s="1" t="str">
        <f>IFERROR(__xludf.DUMMYFUNCTION("""COMPUTED_VALUE"""),"337")</f>
        <v>337</v>
      </c>
      <c r="L2" s="1" t="str">
        <f>IFERROR(__xludf.DUMMYFUNCTION("""COMPUTED_VALUE"""),"TANZA RECE RD")</f>
        <v>TANZA RECE RD</v>
      </c>
      <c r="M2" s="1"/>
      <c r="N2" s="1" t="str">
        <f>IFERROR(__xludf.DUMMYFUNCTION("""COMPUTED_VALUE"""),"PUNTA I")</f>
        <v>PUNTA I</v>
      </c>
      <c r="O2" s="1" t="str">
        <f>IFERROR(__xludf.DUMMYFUNCTION("""COMPUTED_VALUE"""),"TANZA")</f>
        <v>TANZA</v>
      </c>
      <c r="P2" s="1" t="str">
        <f>IFERROR(__xludf.DUMMYFUNCTION("""COMPUTED_VALUE"""),"CAVITE")</f>
        <v>CAVITE</v>
      </c>
      <c r="Q2" s="1" t="str">
        <f>IFERROR(__xludf.DUMMYFUNCTION("""COMPUTED_VALUE"""),"FIBR PLAN 1399")</f>
        <v>FIBR PLAN 1399</v>
      </c>
      <c r="R2" s="1" t="str">
        <f>IFERROR(__xludf.DUMMYFUNCTION("""COMPUTED_VALUE"""),"APPROVED")</f>
        <v>APPROVED</v>
      </c>
      <c r="S2" s="1"/>
      <c r="T2" s="1"/>
      <c r="U2" s="1"/>
      <c r="V2" s="1"/>
      <c r="W2" s="1"/>
    </row>
    <row r="3" customHeight="1" spans="1:23">
      <c r="A3" s="3">
        <f>IFERROR(__xludf.DUMMYFUNCTION("""COMPUTED_VALUE"""),46024)</f>
        <v>46024</v>
      </c>
      <c r="B3" s="1" t="str">
        <f>IFERROR(__xludf.DUMMYFUNCTION("""COMPUTED_VALUE"""),"FRANCISCO , ROSELYN")</f>
        <v>FRANCISCO , ROSELYN</v>
      </c>
      <c r="C3" s="1" t="str">
        <f>IFERROR(__xludf.DUMMYFUNCTION("""COMPUTED_VALUE"""),"ORGANIC")</f>
        <v>ORGANIC</v>
      </c>
      <c r="D3" s="1" t="str">
        <f>IFERROR(__xludf.DUMMYFUNCTION("""COMPUTED_VALUE"""),"ILANO MARK")</f>
        <v>ILANO MARK</v>
      </c>
      <c r="E3" s="1" t="str">
        <f>IFERROR(__xludf.DUMMYFUNCTION("""COMPUTED_VALUE"""),"PLDT")</f>
        <v>PLDT</v>
      </c>
      <c r="F3" s="1">
        <f>IFERROR(__xludf.DUMMYFUNCTION("""COMPUTED_VALUE"""),2305966540)</f>
        <v>2305966540</v>
      </c>
      <c r="G3" s="1"/>
      <c r="H3" s="1" t="str">
        <f>IFERROR(__xludf.DUMMYFUNCTION("""COMPUTED_VALUE"""),"9687697816")</f>
        <v>9687697816</v>
      </c>
      <c r="I3" s="1">
        <f>IFERROR(__xludf.DUMMYFUNCTION("""COMPUTED_VALUE"""),9925425181)</f>
        <v>9925425181</v>
      </c>
      <c r="J3" s="1"/>
      <c r="K3" s="1" t="str">
        <f>IFERROR(__xludf.DUMMYFUNCTION("""COMPUTED_VALUE"""),"9033")</f>
        <v>9033</v>
      </c>
      <c r="L3" s="1" t="str">
        <f>IFERROR(__xludf.DUMMYFUNCTION("""COMPUTED_VALUE"""),"MABINI")</f>
        <v>MABINI</v>
      </c>
      <c r="M3" s="1"/>
      <c r="N3" s="1" t="str">
        <f>IFERROR(__xludf.DUMMYFUNCTION("""COMPUTED_VALUE"""),"BARANGAY 3 POBLACION")</f>
        <v>BARANGAY 3 POBLACION</v>
      </c>
      <c r="O3" s="1" t="str">
        <f>IFERROR(__xludf.DUMMYFUNCTION("""COMPUTED_VALUE"""),"MENDEZ")</f>
        <v>MENDEZ</v>
      </c>
      <c r="P3" s="1" t="str">
        <f>IFERROR(__xludf.DUMMYFUNCTION("""COMPUTED_VALUE"""),"CAVITE")</f>
        <v>CAVITE</v>
      </c>
      <c r="Q3" s="1" t="str">
        <f>IFERROR(__xludf.DUMMYFUNCTION("""COMPUTED_VALUE"""),"FIBR PLAN 1399")</f>
        <v>FIBR PLAN 1399</v>
      </c>
      <c r="R3" s="1" t="str">
        <f>IFERROR(__xludf.DUMMYFUNCTION("""COMPUTED_VALUE"""),"APPROVED")</f>
        <v>APPROVED</v>
      </c>
      <c r="S3" s="1"/>
      <c r="T3" s="1"/>
      <c r="U3" s="1"/>
      <c r="V3" s="1"/>
      <c r="W3" s="1"/>
    </row>
    <row r="4" customHeight="1" spans="1:23">
      <c r="A4" s="3">
        <f>IFERROR(__xludf.DUMMYFUNCTION("""COMPUTED_VALUE"""),46024)</f>
        <v>46024</v>
      </c>
      <c r="B4" s="1" t="str">
        <f>IFERROR(__xludf.DUMMYFUNCTION("""COMPUTED_VALUE"""),"ESCARCHA, MA ALMA  ESCOTO")</f>
        <v>ESCARCHA, MA ALMA  ESCOTO</v>
      </c>
      <c r="C4" s="1" t="str">
        <f>IFERROR(__xludf.DUMMYFUNCTION("""COMPUTED_VALUE"""),"ORGANIC")</f>
        <v>ORGANIC</v>
      </c>
      <c r="D4" s="1" t="str">
        <f>IFERROR(__xludf.DUMMYFUNCTION("""COMPUTED_VALUE"""),"ILANO MARK")</f>
        <v>ILANO MARK</v>
      </c>
      <c r="E4" s="1" t="str">
        <f>IFERROR(__xludf.DUMMYFUNCTION("""COMPUTED_VALUE"""),"RED FIBER")</f>
        <v>RED FIBER</v>
      </c>
      <c r="F4" s="1"/>
      <c r="G4" s="1"/>
      <c r="H4" s="1" t="str">
        <f>IFERROR(__xludf.DUMMYFUNCTION("""COMPUTED_VALUE"""),"9074719962")</f>
        <v>9074719962</v>
      </c>
      <c r="I4" s="1"/>
      <c r="J4" s="1"/>
      <c r="K4" s="1" t="str">
        <f>IFERROR(__xludf.DUMMYFUNCTION("""COMPUTED_VALUE"""),"55")</f>
        <v>55</v>
      </c>
      <c r="L4" s="1" t="str">
        <f>IFERROR(__xludf.DUMMYFUNCTION("""COMPUTED_VALUE"""),"BAGONG TUBIG")</f>
        <v>BAGONG TUBIG</v>
      </c>
      <c r="M4" s="1"/>
      <c r="N4" s="1" t="str">
        <f>IFERROR(__xludf.DUMMYFUNCTION("""COMPUTED_VALUE"""),"GALICIA II")</f>
        <v>GALICIA II</v>
      </c>
      <c r="O4" s="1" t="str">
        <f>IFERROR(__xludf.DUMMYFUNCTION("""COMPUTED_VALUE"""),"MENDEZ")</f>
        <v>MENDEZ</v>
      </c>
      <c r="P4" s="1" t="str">
        <f>IFERROR(__xludf.DUMMYFUNCTION("""COMPUTED_VALUE"""),"CAVITE")</f>
        <v>CAVITE</v>
      </c>
      <c r="Q4" s="1" t="str">
        <f>IFERROR(__xludf.DUMMYFUNCTION("""COMPUTED_VALUE"""),"RED FIBER PLAN 1000")</f>
        <v>RED FIBER PLAN 1000</v>
      </c>
      <c r="R4" s="1" t="str">
        <f>IFERROR(__xludf.DUMMYFUNCTION("""COMPUTED_VALUE"""),"APPROVED")</f>
        <v>APPROVED</v>
      </c>
      <c r="S4" s="1"/>
      <c r="T4" s="1"/>
      <c r="U4" s="1"/>
      <c r="V4" s="1"/>
      <c r="W4" s="1"/>
    </row>
    <row r="5" customHeight="1" spans="1:23">
      <c r="A5" s="3">
        <f>IFERROR(__xludf.DUMMYFUNCTION("""COMPUTED_VALUE"""),46024)</f>
        <v>46024</v>
      </c>
      <c r="B5" s="1" t="str">
        <f>IFERROR(__xludf.DUMMYFUNCTION("""COMPUTED_VALUE"""),"CADERAO, RONALD")</f>
        <v>CADERAO, RONALD</v>
      </c>
      <c r="C5" s="1" t="str">
        <f>IFERROR(__xludf.DUMMYFUNCTION("""COMPUTED_VALUE"""),"ORGANIC")</f>
        <v>ORGANIC</v>
      </c>
      <c r="D5" s="1" t="str">
        <f>IFERROR(__xludf.DUMMYFUNCTION("""COMPUTED_VALUE"""),"ILANO MARK")</f>
        <v>ILANO MARK</v>
      </c>
      <c r="E5" s="1" t="str">
        <f>IFERROR(__xludf.DUMMYFUNCTION("""COMPUTED_VALUE"""),"RED FIBER")</f>
        <v>RED FIBER</v>
      </c>
      <c r="F5" s="1"/>
      <c r="G5" s="1"/>
      <c r="H5" s="1" t="str">
        <f>IFERROR(__xludf.DUMMYFUNCTION("""COMPUTED_VALUE"""),"9915522826")</f>
        <v>9915522826</v>
      </c>
      <c r="I5" s="1">
        <f>IFERROR(__xludf.DUMMYFUNCTION("""COMPUTED_VALUE"""),9323401558)</f>
        <v>9323401558</v>
      </c>
      <c r="J5" s="1"/>
      <c r="K5" s="1" t="str">
        <f>IFERROR(__xludf.DUMMYFUNCTION("""COMPUTED_VALUE"""),"42")</f>
        <v>42</v>
      </c>
      <c r="L5" s="1" t="str">
        <f>IFERROR(__xludf.DUMMYFUNCTION("""COMPUTED_VALUE"""),"BAGONG TUBIG")</f>
        <v>BAGONG TUBIG</v>
      </c>
      <c r="M5" s="1"/>
      <c r="N5" s="1" t="str">
        <f>IFERROR(__xludf.DUMMYFUNCTION("""COMPUTED_VALUE"""),"GALICIA II")</f>
        <v>GALICIA II</v>
      </c>
      <c r="O5" s="1" t="str">
        <f>IFERROR(__xludf.DUMMYFUNCTION("""COMPUTED_VALUE"""),"MENDEZ")</f>
        <v>MENDEZ</v>
      </c>
      <c r="P5" s="1" t="str">
        <f>IFERROR(__xludf.DUMMYFUNCTION("""COMPUTED_VALUE"""),"CAVITE")</f>
        <v>CAVITE</v>
      </c>
      <c r="Q5" s="1" t="str">
        <f>IFERROR(__xludf.DUMMYFUNCTION("""COMPUTED_VALUE"""),"RED FIBER PLAN 1000")</f>
        <v>RED FIBER PLAN 1000</v>
      </c>
      <c r="R5" s="1" t="str">
        <f>IFERROR(__xludf.DUMMYFUNCTION("""COMPUTED_VALUE"""),"APPROVED")</f>
        <v>APPROVED</v>
      </c>
      <c r="S5" s="1"/>
      <c r="T5" s="1"/>
      <c r="U5" s="1"/>
      <c r="V5" s="1"/>
      <c r="W5" s="1"/>
    </row>
    <row r="6" customHeight="1" spans="1:23">
      <c r="A6" s="3">
        <f>IFERROR(__xludf.DUMMYFUNCTION("""COMPUTED_VALUE"""),46024)</f>
        <v>46024</v>
      </c>
      <c r="B6" s="1" t="str">
        <f>IFERROR(__xludf.DUMMYFUNCTION("""COMPUTED_VALUE"""),"CARPIO, STEPHANIE NICOLE")</f>
        <v>CARPIO, STEPHANIE NICOLE</v>
      </c>
      <c r="C6" s="1" t="str">
        <f>IFERROR(__xludf.DUMMYFUNCTION("""COMPUTED_VALUE"""),"FLA")</f>
        <v>FLA</v>
      </c>
      <c r="D6" s="1" t="str">
        <f>IFERROR(__xludf.DUMMYFUNCTION("""COMPUTED_VALUE"""),"JERIC NAVARRO")</f>
        <v>JERIC NAVARRO</v>
      </c>
      <c r="E6" s="1" t="str">
        <f>IFERROR(__xludf.DUMMYFUNCTION("""COMPUTED_VALUE"""),"PLDT")</f>
        <v>PLDT</v>
      </c>
      <c r="F6" s="1">
        <f>IFERROR(__xludf.DUMMYFUNCTION("""COMPUTED_VALUE"""),2305968044)</f>
        <v>2305968044</v>
      </c>
      <c r="G6" s="1"/>
      <c r="H6" s="1" t="str">
        <f>IFERROR(__xludf.DUMMYFUNCTION("""COMPUTED_VALUE"""),"9551618748")</f>
        <v>9551618748</v>
      </c>
      <c r="I6" s="1"/>
      <c r="J6" s="1"/>
      <c r="K6" s="1" t="str">
        <f>IFERROR(__xludf.DUMMYFUNCTION("""COMPUTED_VALUE"""),"BLK 22 LOT 6")</f>
        <v>BLK 22 LOT 6</v>
      </c>
      <c r="L6" s="1" t="str">
        <f>IFERROR(__xludf.DUMMYFUNCTION("""COMPUTED_VALUE"""),"BAY POINT NAGA ")</f>
        <v>BAY POINT NAGA </v>
      </c>
      <c r="M6" s="1" t="str">
        <f>IFERROR(__xludf.DUMMYFUNCTION("""COMPUTED_VALUE"""),"NAY POINT NAGA SUBDIVISION")</f>
        <v>NAY POINT NAGA SUBDIVISION</v>
      </c>
      <c r="N6" s="1" t="str">
        <f>IFERROR(__xludf.DUMMYFUNCTION("""COMPUTED_VALUE"""),"BARANGAY 61 (TALONG)")</f>
        <v>BARANGAY 61 (TALONG)</v>
      </c>
      <c r="O6" s="1" t="str">
        <f>IFERROR(__xludf.DUMMYFUNCTION("""COMPUTED_VALUE"""),"CAVITE CITY")</f>
        <v>CAVITE CITY</v>
      </c>
      <c r="P6" s="1" t="str">
        <f>IFERROR(__xludf.DUMMYFUNCTION("""COMPUTED_VALUE"""),"CAVITE")</f>
        <v>CAVITE</v>
      </c>
      <c r="Q6" s="1" t="str">
        <f>IFERROR(__xludf.DUMMYFUNCTION("""COMPUTED_VALUE"""),"FIBR PLAN 1299")</f>
        <v>FIBR PLAN 1299</v>
      </c>
      <c r="R6" s="1" t="str">
        <f>IFERROR(__xludf.DUMMYFUNCTION("""COMPUTED_VALUE"""),"APPROVED")</f>
        <v>APPROVED</v>
      </c>
      <c r="S6" s="1"/>
      <c r="T6" s="1"/>
      <c r="U6" s="1"/>
      <c r="V6" s="1"/>
      <c r="W6" s="1"/>
    </row>
    <row r="7" customHeight="1" spans="1:23">
      <c r="A7" s="3">
        <f>IFERROR(__xludf.DUMMYFUNCTION("""COMPUTED_VALUE"""),46024)</f>
        <v>46024</v>
      </c>
      <c r="B7" s="1" t="str">
        <f>IFERROR(__xludf.DUMMYFUNCTION("""COMPUTED_VALUE"""),"CADERAO, RONALD")</f>
        <v>CADERAO, RONALD</v>
      </c>
      <c r="C7" s="1" t="str">
        <f>IFERROR(__xludf.DUMMYFUNCTION("""COMPUTED_VALUE"""),"ORGANIC")</f>
        <v>ORGANIC</v>
      </c>
      <c r="D7" s="1" t="str">
        <f>IFERROR(__xludf.DUMMYFUNCTION("""COMPUTED_VALUE"""),"ILANO MARK")</f>
        <v>ILANO MARK</v>
      </c>
      <c r="E7" s="1" t="str">
        <f>IFERROR(__xludf.DUMMYFUNCTION("""COMPUTED_VALUE"""),"PLDT")</f>
        <v>PLDT</v>
      </c>
      <c r="F7" s="1">
        <f>IFERROR(__xludf.DUMMYFUNCTION("""COMPUTED_VALUE"""),2305969773)</f>
        <v>2305969773</v>
      </c>
      <c r="G7" s="1"/>
      <c r="H7" s="1" t="str">
        <f>IFERROR(__xludf.DUMMYFUNCTION("""COMPUTED_VALUE"""),"9194599960")</f>
        <v>9194599960</v>
      </c>
      <c r="I7" s="1"/>
      <c r="J7" s="1"/>
      <c r="K7" s="1" t="str">
        <f>IFERROR(__xludf.DUMMYFUNCTION("""COMPUTED_VALUE"""),"839")</f>
        <v>839</v>
      </c>
      <c r="L7" s="1" t="str">
        <f>IFERROR(__xludf.DUMMYFUNCTION("""COMPUTED_VALUE"""),"JP RIZAL")</f>
        <v>JP RIZAL</v>
      </c>
      <c r="M7" s="1"/>
      <c r="N7" s="1" t="str">
        <f>IFERROR(__xludf.DUMMYFUNCTION("""COMPUTED_VALUE"""),"GALICIA II")</f>
        <v>GALICIA II</v>
      </c>
      <c r="O7" s="1" t="str">
        <f>IFERROR(__xludf.DUMMYFUNCTION("""COMPUTED_VALUE"""),"MENDEZ")</f>
        <v>MENDEZ</v>
      </c>
      <c r="P7" s="1" t="str">
        <f>IFERROR(__xludf.DUMMYFUNCTION("""COMPUTED_VALUE"""),"CAVITE")</f>
        <v>CAVITE</v>
      </c>
      <c r="Q7" s="1" t="str">
        <f>IFERROR(__xludf.DUMMYFUNCTION("""COMPUTED_VALUE"""),"FIBR PLAN 1399")</f>
        <v>FIBR PLAN 1399</v>
      </c>
      <c r="R7" s="1" t="str">
        <f>IFERROR(__xludf.DUMMYFUNCTION("""COMPUTED_VALUE"""),"APPROVED")</f>
        <v>APPROVED</v>
      </c>
      <c r="S7" s="1" t="str">
        <f>IFERROR(__xludf.DUMMYFUNCTION("""COMPUTED_VALUE"""),"TOK TO SOR WILLING FOR 1AMSF / TAWAGAN NALANG KAPAG MAG BABAYAD NA")</f>
        <v>TOK TO SOR WILLING FOR 1AMSF / TAWAGAN NALANG KAPAG MAG BABAYAD NA</v>
      </c>
      <c r="T7" s="1"/>
      <c r="U7" s="1"/>
      <c r="V7" s="1"/>
      <c r="W7" s="1"/>
    </row>
    <row r="8" customHeight="1" spans="1:23">
      <c r="A8" s="3">
        <f>IFERROR(__xludf.DUMMYFUNCTION("""COMPUTED_VALUE"""),46024)</f>
        <v>46024</v>
      </c>
      <c r="B8" s="1" t="str">
        <f>IFERROR(__xludf.DUMMYFUNCTION("""COMPUTED_VALUE"""),"ESCARCHA, MA ALMA  ESCOTO")</f>
        <v>ESCARCHA, MA ALMA  ESCOTO</v>
      </c>
      <c r="C8" s="1" t="str">
        <f>IFERROR(__xludf.DUMMYFUNCTION("""COMPUTED_VALUE"""),"ORGANIC")</f>
        <v>ORGANIC</v>
      </c>
      <c r="D8" s="1" t="str">
        <f>IFERROR(__xludf.DUMMYFUNCTION("""COMPUTED_VALUE"""),"ILANO MARK")</f>
        <v>ILANO MARK</v>
      </c>
      <c r="E8" s="1" t="str">
        <f>IFERROR(__xludf.DUMMYFUNCTION("""COMPUTED_VALUE"""),"RED FIBER")</f>
        <v>RED FIBER</v>
      </c>
      <c r="F8" s="1"/>
      <c r="G8" s="1"/>
      <c r="H8" s="1" t="str">
        <f>IFERROR(__xludf.DUMMYFUNCTION("""COMPUTED_VALUE"""),"9162515549")</f>
        <v>9162515549</v>
      </c>
      <c r="I8" s="1">
        <f>IFERROR(__xludf.DUMMYFUNCTION("""COMPUTED_VALUE"""),9948693741)</f>
        <v>9948693741</v>
      </c>
      <c r="J8" s="1"/>
      <c r="K8" s="1" t="str">
        <f>IFERROR(__xludf.DUMMYFUNCTION("""COMPUTED_VALUE"""),"121")</f>
        <v>121</v>
      </c>
      <c r="L8" s="1" t="str">
        <f>IFERROR(__xludf.DUMMYFUNCTION("""COMPUTED_VALUE"""),"BAGONG TBUG")</f>
        <v>BAGONG TBUG</v>
      </c>
      <c r="M8" s="1"/>
      <c r="N8" s="1" t="str">
        <f>IFERROR(__xludf.DUMMYFUNCTION("""COMPUTED_VALUE"""),"GALICIA II")</f>
        <v>GALICIA II</v>
      </c>
      <c r="O8" s="1" t="str">
        <f>IFERROR(__xludf.DUMMYFUNCTION("""COMPUTED_VALUE"""),"MENDEZ")</f>
        <v>MENDEZ</v>
      </c>
      <c r="P8" s="1" t="str">
        <f>IFERROR(__xludf.DUMMYFUNCTION("""COMPUTED_VALUE"""),"CAVITE")</f>
        <v>CAVITE</v>
      </c>
      <c r="Q8" s="1" t="str">
        <f>IFERROR(__xludf.DUMMYFUNCTION("""COMPUTED_VALUE"""),"RED FIBER PLAN 1400")</f>
        <v>RED FIBER PLAN 1400</v>
      </c>
      <c r="R8" s="1" t="str">
        <f>IFERROR(__xludf.DUMMYFUNCTION("""COMPUTED_VALUE"""),"APPROVED")</f>
        <v>APPROVED</v>
      </c>
      <c r="S8" s="1"/>
      <c r="T8" s="1"/>
      <c r="U8" s="1"/>
      <c r="V8" s="1"/>
      <c r="W8" s="1"/>
    </row>
    <row r="9" customHeight="1" spans="1:23">
      <c r="A9" s="3">
        <f>IFERROR(__xludf.DUMMYFUNCTION("""COMPUTED_VALUE"""),46024)</f>
        <v>46024</v>
      </c>
      <c r="B9" s="1" t="str">
        <f>IFERROR(__xludf.DUMMYFUNCTION("""COMPUTED_VALUE"""),"GABAY, MANUEL")</f>
        <v>GABAY, MANUEL</v>
      </c>
      <c r="C9" s="1" t="str">
        <f>IFERROR(__xludf.DUMMYFUNCTION("""COMPUTED_VALUE"""),"FLA")</f>
        <v>FLA</v>
      </c>
      <c r="D9" s="1" t="str">
        <f>IFERROR(__xludf.DUMMYFUNCTION("""COMPUTED_VALUE"""),"JERIC NAVARRO")</f>
        <v>JERIC NAVARRO</v>
      </c>
      <c r="E9" s="1" t="str">
        <f>IFERROR(__xludf.DUMMYFUNCTION("""COMPUTED_VALUE"""),"PLDT")</f>
        <v>PLDT</v>
      </c>
      <c r="F9" s="1">
        <f>IFERROR(__xludf.DUMMYFUNCTION("""COMPUTED_VALUE"""),2305993227)</f>
        <v>2305993227</v>
      </c>
      <c r="G9" s="1"/>
      <c r="H9" s="1" t="str">
        <f>IFERROR(__xludf.DUMMYFUNCTION("""COMPUTED_VALUE"""),"9267328185")</f>
        <v>9267328185</v>
      </c>
      <c r="I9" s="1">
        <f>IFERROR(__xludf.DUMMYFUNCTION("""COMPUTED_VALUE"""),9911086031)</f>
        <v>9911086031</v>
      </c>
      <c r="J9" s="1"/>
      <c r="K9" s="1" t="str">
        <f>IFERROR(__xludf.DUMMYFUNCTION("""COMPUTED_VALUE"""),"9806")</f>
        <v>9806</v>
      </c>
      <c r="L9" s="1" t="str">
        <f>IFERROR(__xludf.DUMMYFUNCTION("""COMPUTED_VALUE"""),"ASUNCION")</f>
        <v>ASUNCION</v>
      </c>
      <c r="M9" s="1" t="str">
        <f>IFERROR(__xludf.DUMMYFUNCTION("""COMPUTED_VALUE"""),"VILLA ACACIA")</f>
        <v>VILLA ACACIA</v>
      </c>
      <c r="N9" s="1" t="str">
        <f>IFERROR(__xludf.DUMMYFUNCTION("""COMPUTED_VALUE"""),"TUBUAN I")</f>
        <v>TUBUAN I</v>
      </c>
      <c r="O9" s="1" t="str">
        <f>IFERROR(__xludf.DUMMYFUNCTION("""COMPUTED_VALUE"""),"SILANG")</f>
        <v>SILANG</v>
      </c>
      <c r="P9" s="1" t="str">
        <f>IFERROR(__xludf.DUMMYFUNCTION("""COMPUTED_VALUE"""),"CAVITE")</f>
        <v>CAVITE</v>
      </c>
      <c r="Q9" s="1" t="str">
        <f>IFERROR(__xludf.DUMMYFUNCTION("""COMPUTED_VALUE"""),"FIBR PLAN 1399")</f>
        <v>FIBR PLAN 1399</v>
      </c>
      <c r="R9" s="1" t="str">
        <f>IFERROR(__xludf.DUMMYFUNCTION("""COMPUTED_VALUE"""),"APPROVED")</f>
        <v>APPROVED</v>
      </c>
      <c r="S9" s="1"/>
      <c r="T9" s="1"/>
      <c r="U9" s="1"/>
      <c r="V9" s="1"/>
      <c r="W9" s="1"/>
    </row>
    <row r="10" customHeight="1" spans="1:23">
      <c r="A10" s="3">
        <f>IFERROR(__xludf.DUMMYFUNCTION("""COMPUTED_VALUE"""),46025)</f>
        <v>46025</v>
      </c>
      <c r="B10" s="1" t="str">
        <f>IFERROR(__xludf.DUMMYFUNCTION("""COMPUTED_VALUE"""),"ESCARCHA, MA ALMA  ESCOTO")</f>
        <v>ESCARCHA, MA ALMA  ESCOTO</v>
      </c>
      <c r="C10" s="1" t="str">
        <f>IFERROR(__xludf.DUMMYFUNCTION("""COMPUTED_VALUE"""),"ORGANIC")</f>
        <v>ORGANIC</v>
      </c>
      <c r="D10" s="1" t="str">
        <f>IFERROR(__xludf.DUMMYFUNCTION("""COMPUTED_VALUE"""),"ILANO MARK")</f>
        <v>ILANO MARK</v>
      </c>
      <c r="E10" s="1" t="str">
        <f>IFERROR(__xludf.DUMMYFUNCTION("""COMPUTED_VALUE"""),"PLDT")</f>
        <v>PLDT</v>
      </c>
      <c r="F10" s="1">
        <f>IFERROR(__xludf.DUMMYFUNCTION("""COMPUTED_VALUE"""),2305985286)</f>
        <v>2305985286</v>
      </c>
      <c r="G10" s="1"/>
      <c r="H10" s="1" t="str">
        <f>IFERROR(__xludf.DUMMYFUNCTION("""COMPUTED_VALUE"""),"9053376488")</f>
        <v>9053376488</v>
      </c>
      <c r="I10" s="1">
        <f>IFERROR(__xludf.DUMMYFUNCTION("""COMPUTED_VALUE"""),9560332341)</f>
        <v>9560332341</v>
      </c>
      <c r="J10" s="1"/>
      <c r="K10" s="1" t="str">
        <f>IFERROR(__xludf.DUMMYFUNCTION("""COMPUTED_VALUE"""),"BLK 45 LOT 5")</f>
        <v>BLK 45 LOT 5</v>
      </c>
      <c r="L10" s="1" t="str">
        <f>IFERROR(__xludf.DUMMYFUNCTION("""COMPUTED_VALUE"""),"PHASE 3")</f>
        <v>PHASE 3</v>
      </c>
      <c r="M10" s="1" t="str">
        <f>IFERROR(__xludf.DUMMYFUNCTION("""COMPUTED_VALUE"""),"TERRAVERDE RESIDENCES")</f>
        <v>TERRAVERDE RESIDENCES</v>
      </c>
      <c r="N10" s="1" t="str">
        <f>IFERROR(__xludf.DUMMYFUNCTION("""COMPUTED_VALUE"""),"BANCAL")</f>
        <v>BANCAL</v>
      </c>
      <c r="O10" s="1" t="str">
        <f>IFERROR(__xludf.DUMMYFUNCTION("""COMPUTED_VALUE"""),"CARMONA")</f>
        <v>CARMONA</v>
      </c>
      <c r="P10" s="1" t="str">
        <f>IFERROR(__xludf.DUMMYFUNCTION("""COMPUTED_VALUE"""),"CAVITE")</f>
        <v>CAVITE</v>
      </c>
      <c r="Q10" s="1" t="str">
        <f>IFERROR(__xludf.DUMMYFUNCTION("""COMPUTED_VALUE"""),"FIBR PLAN 1399")</f>
        <v>FIBR PLAN 1399</v>
      </c>
      <c r="R10" s="1" t="str">
        <f>IFERROR(__xludf.DUMMYFUNCTION("""COMPUTED_VALUE"""),"APPROVED")</f>
        <v>APPROVED</v>
      </c>
      <c r="S10" s="1"/>
      <c r="T10" s="1"/>
      <c r="U10" s="1"/>
      <c r="V10" s="1"/>
      <c r="W10" s="1"/>
    </row>
    <row r="11" customHeight="1" spans="1:23">
      <c r="A11" s="3">
        <f>IFERROR(__xludf.DUMMYFUNCTION("""COMPUTED_VALUE"""),46025)</f>
        <v>46025</v>
      </c>
      <c r="B11" s="1" t="str">
        <f>IFERROR(__xludf.DUMMYFUNCTION("""COMPUTED_VALUE"""),"FRANCISCO , ROSELYN")</f>
        <v>FRANCISCO , ROSELYN</v>
      </c>
      <c r="C11" s="1" t="str">
        <f>IFERROR(__xludf.DUMMYFUNCTION("""COMPUTED_VALUE"""),"ORGANIC")</f>
        <v>ORGANIC</v>
      </c>
      <c r="D11" s="1" t="str">
        <f>IFERROR(__xludf.DUMMYFUNCTION("""COMPUTED_VALUE"""),"ILANO MARK")</f>
        <v>ILANO MARK</v>
      </c>
      <c r="E11" s="1" t="str">
        <f>IFERROR(__xludf.DUMMYFUNCTION("""COMPUTED_VALUE"""),"PLDT")</f>
        <v>PLDT</v>
      </c>
      <c r="F11" s="1">
        <f>IFERROR(__xludf.DUMMYFUNCTION("""COMPUTED_VALUE"""),2305986035)</f>
        <v>2305986035</v>
      </c>
      <c r="G11" s="1"/>
      <c r="H11" s="1" t="str">
        <f>IFERROR(__xludf.DUMMYFUNCTION("""COMPUTED_VALUE"""),"9095131846")</f>
        <v>9095131846</v>
      </c>
      <c r="I11" s="1">
        <f>IFERROR(__xludf.DUMMYFUNCTION("""COMPUTED_VALUE"""),9054910715)</f>
        <v>9054910715</v>
      </c>
      <c r="J11" s="1"/>
      <c r="K11" s="1" t="str">
        <f>IFERROR(__xludf.DUMMYFUNCTION("""COMPUTED_VALUE"""),"BLK 72 LOT 26")</f>
        <v>BLK 72 LOT 26</v>
      </c>
      <c r="L11" s="1" t="str">
        <f>IFERROR(__xludf.DUMMYFUNCTION("""COMPUTED_VALUE"""),"BEL ALDEA ")</f>
        <v>BEL ALDEA </v>
      </c>
      <c r="M11" s="1"/>
      <c r="N11" s="1" t="str">
        <f>IFERROR(__xludf.DUMMYFUNCTION("""COMPUTED_VALUE"""),"SAN FRANCISCO")</f>
        <v>SAN FRANCISCO</v>
      </c>
      <c r="O11" s="1" t="str">
        <f>IFERROR(__xludf.DUMMYFUNCTION("""COMPUTED_VALUE"""),"GEN MARIANO ALVAREZ")</f>
        <v>GEN MARIANO ALVAREZ</v>
      </c>
      <c r="P11" s="1" t="str">
        <f>IFERROR(__xludf.DUMMYFUNCTION("""COMPUTED_VALUE"""),"CAVITE")</f>
        <v>CAVITE</v>
      </c>
      <c r="Q11" s="1" t="str">
        <f>IFERROR(__xludf.DUMMYFUNCTION("""COMPUTED_VALUE"""),"FIBR PLAN 1299")</f>
        <v>FIBR PLAN 1299</v>
      </c>
      <c r="R11" s="1" t="str">
        <f>IFERROR(__xludf.DUMMYFUNCTION("""COMPUTED_VALUE"""),"APPROVED")</f>
        <v>APPROVED</v>
      </c>
      <c r="S11" s="1"/>
      <c r="T11" s="1"/>
      <c r="U11" s="1"/>
      <c r="V11" s="1"/>
      <c r="W11" s="1"/>
    </row>
    <row r="12" customHeight="1" spans="1:23">
      <c r="A12" s="3">
        <f>IFERROR(__xludf.DUMMYFUNCTION("""COMPUTED_VALUE"""),46025)</f>
        <v>46025</v>
      </c>
      <c r="B12" s="1" t="str">
        <f>IFERROR(__xludf.DUMMYFUNCTION("""COMPUTED_VALUE"""),"ESCARCHA, MA ALMA  ESCOTO")</f>
        <v>ESCARCHA, MA ALMA  ESCOTO</v>
      </c>
      <c r="C12" s="1" t="str">
        <f>IFERROR(__xludf.DUMMYFUNCTION("""COMPUTED_VALUE"""),"ORGANIC")</f>
        <v>ORGANIC</v>
      </c>
      <c r="D12" s="1" t="str">
        <f>IFERROR(__xludf.DUMMYFUNCTION("""COMPUTED_VALUE"""),"ILANO MARK")</f>
        <v>ILANO MARK</v>
      </c>
      <c r="E12" s="1" t="str">
        <f>IFERROR(__xludf.DUMMYFUNCTION("""COMPUTED_VALUE"""),"PLDT")</f>
        <v>PLDT</v>
      </c>
      <c r="F12" s="1">
        <f>IFERROR(__xludf.DUMMYFUNCTION("""COMPUTED_VALUE"""),2305986721)</f>
        <v>2305986721</v>
      </c>
      <c r="G12" s="1"/>
      <c r="H12" s="1" t="str">
        <f>IFERROR(__xludf.DUMMYFUNCTION("""COMPUTED_VALUE"""),"9668517519")</f>
        <v>9668517519</v>
      </c>
      <c r="I12" s="1">
        <f>IFERROR(__xludf.DUMMYFUNCTION("""COMPUTED_VALUE"""),9539712462)</f>
        <v>9539712462</v>
      </c>
      <c r="J12" s="1"/>
      <c r="K12" s="1" t="str">
        <f>IFERROR(__xludf.DUMMYFUNCTION("""COMPUTED_VALUE"""),"BLK 214 LOT 8")</f>
        <v>BLK 214 LOT 8</v>
      </c>
      <c r="L12" s="1" t="str">
        <f>IFERROR(__xludf.DUMMYFUNCTION("""COMPUTED_VALUE"""),"ZONE 10")</f>
        <v>ZONE 10</v>
      </c>
      <c r="M12" s="1" t="str">
        <f>IFERROR(__xludf.DUMMYFUNCTION("""COMPUTED_VALUE"""),"AFP HOUSING")</f>
        <v>AFP HOUSING</v>
      </c>
      <c r="N12" s="1" t="str">
        <f>IFERROR(__xludf.DUMMYFUNCTION("""COMPUTED_VALUE"""),"BULIHAN")</f>
        <v>BULIHAN</v>
      </c>
      <c r="O12" s="1" t="str">
        <f>IFERROR(__xludf.DUMMYFUNCTION("""COMPUTED_VALUE"""),"SILANG")</f>
        <v>SILANG</v>
      </c>
      <c r="P12" s="1" t="str">
        <f>IFERROR(__xludf.DUMMYFUNCTION("""COMPUTED_VALUE"""),"CAVITE")</f>
        <v>CAVITE</v>
      </c>
      <c r="Q12" s="1" t="str">
        <f>IFERROR(__xludf.DUMMYFUNCTION("""COMPUTED_VALUE"""),"FIBR PLAN 1399")</f>
        <v>FIBR PLAN 1399</v>
      </c>
      <c r="R12" s="1" t="str">
        <f>IFERROR(__xludf.DUMMYFUNCTION("""COMPUTED_VALUE"""),"APPROVED")</f>
        <v>APPROVED</v>
      </c>
      <c r="S12" s="1"/>
      <c r="T12" s="1"/>
      <c r="U12" s="1"/>
      <c r="V12" s="1"/>
      <c r="W12" s="1"/>
    </row>
    <row r="13" customHeight="1" spans="1:23">
      <c r="A13" s="3">
        <f>IFERROR(__xludf.DUMMYFUNCTION("""COMPUTED_VALUE"""),46025)</f>
        <v>46025</v>
      </c>
      <c r="B13" s="1" t="str">
        <f>IFERROR(__xludf.DUMMYFUNCTION("""COMPUTED_VALUE"""),"CADERAO, RONALD")</f>
        <v>CADERAO, RONALD</v>
      </c>
      <c r="C13" s="1" t="str">
        <f>IFERROR(__xludf.DUMMYFUNCTION("""COMPUTED_VALUE"""),"ORGANIC")</f>
        <v>ORGANIC</v>
      </c>
      <c r="D13" s="1" t="str">
        <f>IFERROR(__xludf.DUMMYFUNCTION("""COMPUTED_VALUE"""),"ILANO MARK")</f>
        <v>ILANO MARK</v>
      </c>
      <c r="E13" s="1" t="str">
        <f>IFERROR(__xludf.DUMMYFUNCTION("""COMPUTED_VALUE"""),"PLDT")</f>
        <v>PLDT</v>
      </c>
      <c r="F13" s="1">
        <f>IFERROR(__xludf.DUMMYFUNCTION("""COMPUTED_VALUE"""),2305987350)</f>
        <v>2305987350</v>
      </c>
      <c r="G13" s="1"/>
      <c r="H13" s="1" t="str">
        <f>IFERROR(__xludf.DUMMYFUNCTION("""COMPUTED_VALUE"""),"9285059384")</f>
        <v>9285059384</v>
      </c>
      <c r="I13" s="1"/>
      <c r="J13" s="1"/>
      <c r="K13" s="1" t="str">
        <f>IFERROR(__xludf.DUMMYFUNCTION("""COMPUTED_VALUE"""),"BLK 6 LOT 48")</f>
        <v>BLK 6 LOT 48</v>
      </c>
      <c r="L13" s="1" t="str">
        <f>IFERROR(__xludf.DUMMYFUNCTION("""COMPUTED_VALUE"""),"PHASE 4")</f>
        <v>PHASE 4</v>
      </c>
      <c r="M13" s="1" t="str">
        <f>IFERROR(__xludf.DUMMYFUNCTION("""COMPUTED_VALUE"""),"TERRAVERDE RESIDENCES")</f>
        <v>TERRAVERDE RESIDENCES</v>
      </c>
      <c r="N13" s="1" t="str">
        <f>IFERROR(__xludf.DUMMYFUNCTION("""COMPUTED_VALUE"""),"BANCAL")</f>
        <v>BANCAL</v>
      </c>
      <c r="O13" s="1" t="str">
        <f>IFERROR(__xludf.DUMMYFUNCTION("""COMPUTED_VALUE"""),"CARMONA")</f>
        <v>CARMONA</v>
      </c>
      <c r="P13" s="1" t="str">
        <f>IFERROR(__xludf.DUMMYFUNCTION("""COMPUTED_VALUE"""),"CAVITE")</f>
        <v>CAVITE</v>
      </c>
      <c r="Q13" s="1" t="str">
        <f>IFERROR(__xludf.DUMMYFUNCTION("""COMPUTED_VALUE"""),"FIBR PLAN 1599")</f>
        <v>FIBR PLAN 1599</v>
      </c>
      <c r="R13" s="1" t="str">
        <f>IFERROR(__xludf.DUMMYFUNCTION("""COMPUTED_VALUE"""),"APPROVED")</f>
        <v>APPROVED</v>
      </c>
      <c r="S13" s="1"/>
      <c r="T13" s="1"/>
      <c r="U13" s="1"/>
      <c r="V13" s="1"/>
      <c r="W13" s="1"/>
    </row>
    <row r="14" customHeight="1" spans="1:23">
      <c r="A14" s="3">
        <f>IFERROR(__xludf.DUMMYFUNCTION("""COMPUTED_VALUE"""),46025)</f>
        <v>46025</v>
      </c>
      <c r="B14" s="1" t="str">
        <f>IFERROR(__xludf.DUMMYFUNCTION("""COMPUTED_VALUE"""),"FRANCISCO , ROSELYN")</f>
        <v>FRANCISCO , ROSELYN</v>
      </c>
      <c r="C14" s="1" t="str">
        <f>IFERROR(__xludf.DUMMYFUNCTION("""COMPUTED_VALUE"""),"ORGANIC")</f>
        <v>ORGANIC</v>
      </c>
      <c r="D14" s="1" t="str">
        <f>IFERROR(__xludf.DUMMYFUNCTION("""COMPUTED_VALUE"""),"ILANO MARK")</f>
        <v>ILANO MARK</v>
      </c>
      <c r="E14" s="1" t="str">
        <f>IFERROR(__xludf.DUMMYFUNCTION("""COMPUTED_VALUE"""),"PLDT")</f>
        <v>PLDT</v>
      </c>
      <c r="F14" s="1">
        <f>IFERROR(__xludf.DUMMYFUNCTION("""COMPUTED_VALUE"""),2305987878)</f>
        <v>2305987878</v>
      </c>
      <c r="G14" s="1"/>
      <c r="H14" s="1" t="str">
        <f>IFERROR(__xludf.DUMMYFUNCTION("""COMPUTED_VALUE"""),"9153694849")</f>
        <v>9153694849</v>
      </c>
      <c r="I14" s="1">
        <f>IFERROR(__xludf.DUMMYFUNCTION("""COMPUTED_VALUE"""),9454094866)</f>
        <v>9454094866</v>
      </c>
      <c r="J14" s="1"/>
      <c r="K14" s="1" t="str">
        <f>IFERROR(__xludf.DUMMYFUNCTION("""COMPUTED_VALUE"""),"BLK 29 LOT 26")</f>
        <v>BLK 29 LOT 26</v>
      </c>
      <c r="L14" s="1" t="str">
        <f>IFERROR(__xludf.DUMMYFUNCTION("""COMPUTED_VALUE"""),"PHASE 2")</f>
        <v>PHASE 2</v>
      </c>
      <c r="M14" s="1" t="str">
        <f>IFERROR(__xludf.DUMMYFUNCTION("""COMPUTED_VALUE"""),"TERRAVERDE RESIDENCES")</f>
        <v>TERRAVERDE RESIDENCES</v>
      </c>
      <c r="N14" s="1" t="str">
        <f>IFERROR(__xludf.DUMMYFUNCTION("""COMPUTED_VALUE"""),"BANCAL")</f>
        <v>BANCAL</v>
      </c>
      <c r="O14" s="1" t="str">
        <f>IFERROR(__xludf.DUMMYFUNCTION("""COMPUTED_VALUE"""),"CARMONA")</f>
        <v>CARMONA</v>
      </c>
      <c r="P14" s="1" t="str">
        <f>IFERROR(__xludf.DUMMYFUNCTION("""COMPUTED_VALUE"""),"CAVITE")</f>
        <v>CAVITE</v>
      </c>
      <c r="Q14" s="1" t="str">
        <f>IFERROR(__xludf.DUMMYFUNCTION("""COMPUTED_VALUE"""),"FIBR PLAN 1699")</f>
        <v>FIBR PLAN 1699</v>
      </c>
      <c r="R14" s="1" t="str">
        <f>IFERROR(__xludf.DUMMYFUNCTION("""COMPUTED_VALUE"""),"APPROVED")</f>
        <v>APPROVED</v>
      </c>
      <c r="S14" s="1"/>
      <c r="T14" s="1"/>
      <c r="U14" s="1"/>
      <c r="V14" s="1"/>
      <c r="W14" s="1"/>
    </row>
    <row r="15" customHeight="1" spans="1:23">
      <c r="A15" s="3">
        <f>IFERROR(__xludf.DUMMYFUNCTION("""COMPUTED_VALUE"""),46025)</f>
        <v>46025</v>
      </c>
      <c r="B15" s="1" t="str">
        <f>IFERROR(__xludf.DUMMYFUNCTION("""COMPUTED_VALUE"""),"FRANCISCO , ROSELYN")</f>
        <v>FRANCISCO , ROSELYN</v>
      </c>
      <c r="C15" s="1" t="str">
        <f>IFERROR(__xludf.DUMMYFUNCTION("""COMPUTED_VALUE"""),"ORGANIC")</f>
        <v>ORGANIC</v>
      </c>
      <c r="D15" s="1" t="str">
        <f>IFERROR(__xludf.DUMMYFUNCTION("""COMPUTED_VALUE"""),"ILANO MARK")</f>
        <v>ILANO MARK</v>
      </c>
      <c r="E15" s="1" t="str">
        <f>IFERROR(__xludf.DUMMYFUNCTION("""COMPUTED_VALUE"""),"PLDT")</f>
        <v>PLDT</v>
      </c>
      <c r="F15" s="1">
        <f>IFERROR(__xludf.DUMMYFUNCTION("""COMPUTED_VALUE"""),2305988343)</f>
        <v>2305988343</v>
      </c>
      <c r="G15" s="1"/>
      <c r="H15" s="1" t="str">
        <f>IFERROR(__xludf.DUMMYFUNCTION("""COMPUTED_VALUE"""),"9352175479")</f>
        <v>9352175479</v>
      </c>
      <c r="I15" s="1">
        <f>IFERROR(__xludf.DUMMYFUNCTION("""COMPUTED_VALUE"""),9178644410)</f>
        <v>9178644410</v>
      </c>
      <c r="J15" s="1"/>
      <c r="K15" s="1" t="str">
        <f>IFERROR(__xludf.DUMMYFUNCTION("""COMPUTED_VALUE"""),"BLK 9 LOT  34")</f>
        <v>BLK 9 LOT  34</v>
      </c>
      <c r="L15" s="1" t="str">
        <f>IFERROR(__xludf.DUMMYFUNCTION("""COMPUTED_VALUE"""),"PHASE 2")</f>
        <v>PHASE 2</v>
      </c>
      <c r="M15" s="1" t="str">
        <f>IFERROR(__xludf.DUMMYFUNCTION("""COMPUTED_VALUE"""),"TERRAVERDE RESIDENCES")</f>
        <v>TERRAVERDE RESIDENCES</v>
      </c>
      <c r="N15" s="1" t="str">
        <f>IFERROR(__xludf.DUMMYFUNCTION("""COMPUTED_VALUE"""),"BANCAL")</f>
        <v>BANCAL</v>
      </c>
      <c r="O15" s="1" t="str">
        <f>IFERROR(__xludf.DUMMYFUNCTION("""COMPUTED_VALUE"""),"CARMONA")</f>
        <v>CARMONA</v>
      </c>
      <c r="P15" s="1" t="str">
        <f>IFERROR(__xludf.DUMMYFUNCTION("""COMPUTED_VALUE"""),"CAVITE")</f>
        <v>CAVITE</v>
      </c>
      <c r="Q15" s="1" t="str">
        <f>IFERROR(__xludf.DUMMYFUNCTION("""COMPUTED_VALUE"""),"FIBR PLAN 1399")</f>
        <v>FIBR PLAN 1399</v>
      </c>
      <c r="R15" s="1" t="str">
        <f>IFERROR(__xludf.DUMMYFUNCTION("""COMPUTED_VALUE"""),"APPROVED")</f>
        <v>APPROVED</v>
      </c>
      <c r="S15" s="1"/>
      <c r="T15" s="1"/>
      <c r="U15" s="1"/>
      <c r="V15" s="1"/>
      <c r="W15" s="1"/>
    </row>
    <row r="16" customHeight="1" spans="1:23">
      <c r="A16" s="3">
        <f>IFERROR(__xludf.DUMMYFUNCTION("""COMPUTED_VALUE"""),46025)</f>
        <v>46025</v>
      </c>
      <c r="B16" s="1" t="str">
        <f>IFERROR(__xludf.DUMMYFUNCTION("""COMPUTED_VALUE"""),"AYON MANUEL")</f>
        <v>AYON MANUEL</v>
      </c>
      <c r="C16" s="1" t="str">
        <f>IFERROR(__xludf.DUMMYFUNCTION("""COMPUTED_VALUE"""),"FLA")</f>
        <v>FLA</v>
      </c>
      <c r="D16" s="1" t="str">
        <f>IFERROR(__xludf.DUMMYFUNCTION("""COMPUTED_VALUE"""),"JERIC NAVARRO")</f>
        <v>JERIC NAVARRO</v>
      </c>
      <c r="E16" s="1" t="str">
        <f>IFERROR(__xludf.DUMMYFUNCTION("""COMPUTED_VALUE"""),"PLDT")</f>
        <v>PLDT</v>
      </c>
      <c r="F16" s="1">
        <f>IFERROR(__xludf.DUMMYFUNCTION("""COMPUTED_VALUE"""),2305989933)</f>
        <v>2305989933</v>
      </c>
      <c r="G16" s="1"/>
      <c r="H16" s="1" t="str">
        <f>IFERROR(__xludf.DUMMYFUNCTION("""COMPUTED_VALUE"""),"9276358280")</f>
        <v>9276358280</v>
      </c>
      <c r="I16" s="1">
        <f>IFERROR(__xludf.DUMMYFUNCTION("""COMPUTED_VALUE"""),9539810675)</f>
        <v>9539810675</v>
      </c>
      <c r="J16" s="1"/>
      <c r="K16" s="1" t="str">
        <f>IFERROR(__xludf.DUMMYFUNCTION("""COMPUTED_VALUE"""),"48")</f>
        <v>48</v>
      </c>
      <c r="L16" s="1" t="str">
        <f>IFERROR(__xludf.DUMMYFUNCTION("""COMPUTED_VALUE"""),"MINANTOK RD")</f>
        <v>MINANTOK RD</v>
      </c>
      <c r="M16" s="1"/>
      <c r="N16" s="1" t="str">
        <f>IFERROR(__xludf.DUMMYFUNCTION("""COMPUTED_VALUE"""),"MINANTOK SILANGAN")</f>
        <v>MINANTOK SILANGAN</v>
      </c>
      <c r="O16" s="1" t="str">
        <f>IFERROR(__xludf.DUMMYFUNCTION("""COMPUTED_VALUE"""),"AMADEO")</f>
        <v>AMADEO</v>
      </c>
      <c r="P16" s="1" t="str">
        <f>IFERROR(__xludf.DUMMYFUNCTION("""COMPUTED_VALUE"""),"CAVITE")</f>
        <v>CAVITE</v>
      </c>
      <c r="Q16" s="1" t="str">
        <f>IFERROR(__xludf.DUMMYFUNCTION("""COMPUTED_VALUE"""),"FIBR PLAN 1399")</f>
        <v>FIBR PLAN 1399</v>
      </c>
      <c r="R16" s="1" t="str">
        <f>IFERROR(__xludf.DUMMYFUNCTION("""COMPUTED_VALUE"""),"APPROVED")</f>
        <v>APPROVED</v>
      </c>
      <c r="S16" s="1"/>
      <c r="T16" s="1"/>
      <c r="U16" s="1"/>
      <c r="V16" s="1"/>
      <c r="W16" s="1"/>
    </row>
    <row r="17" customHeight="1" spans="1:23">
      <c r="A17" s="3">
        <f>IFERROR(__xludf.DUMMYFUNCTION("""COMPUTED_VALUE"""),46025)</f>
        <v>46025</v>
      </c>
      <c r="B17" s="1" t="str">
        <f>IFERROR(__xludf.DUMMYFUNCTION("""COMPUTED_VALUE"""),"FRANCISCO , ROSELYN")</f>
        <v>FRANCISCO , ROSELYN</v>
      </c>
      <c r="C17" s="1" t="str">
        <f>IFERROR(__xludf.DUMMYFUNCTION("""COMPUTED_VALUE"""),"ORGANIC")</f>
        <v>ORGANIC</v>
      </c>
      <c r="D17" s="1" t="str">
        <f>IFERROR(__xludf.DUMMYFUNCTION("""COMPUTED_VALUE"""),"ILANO MARK")</f>
        <v>ILANO MARK</v>
      </c>
      <c r="E17" s="1" t="str">
        <f>IFERROR(__xludf.DUMMYFUNCTION("""COMPUTED_VALUE"""),"RED FIBER")</f>
        <v>RED FIBER</v>
      </c>
      <c r="F17" s="1"/>
      <c r="G17" s="1"/>
      <c r="H17" s="1" t="str">
        <f>IFERROR(__xludf.DUMMYFUNCTION("""COMPUTED_VALUE"""),"9933696703")</f>
        <v>9933696703</v>
      </c>
      <c r="I17" s="1"/>
      <c r="J17" s="1"/>
      <c r="K17" s="1" t="str">
        <f>IFERROR(__xludf.DUMMYFUNCTION("""COMPUTED_VALUE"""),"247")</f>
        <v>247</v>
      </c>
      <c r="L17" s="1" t="str">
        <f>IFERROR(__xludf.DUMMYFUNCTION("""COMPUTED_VALUE"""),"BAGONG TUBIG")</f>
        <v>BAGONG TUBIG</v>
      </c>
      <c r="M17" s="1"/>
      <c r="N17" s="1" t="str">
        <f>IFERROR(__xludf.DUMMYFUNCTION("""COMPUTED_VALUE"""),"GALICIA I")</f>
        <v>GALICIA I</v>
      </c>
      <c r="O17" s="1" t="str">
        <f>IFERROR(__xludf.DUMMYFUNCTION("""COMPUTED_VALUE"""),"MENDEZ")</f>
        <v>MENDEZ</v>
      </c>
      <c r="P17" s="1" t="str">
        <f>IFERROR(__xludf.DUMMYFUNCTION("""COMPUTED_VALUE"""),"CAVITE")</f>
        <v>CAVITE</v>
      </c>
      <c r="Q17" s="1" t="str">
        <f>IFERROR(__xludf.DUMMYFUNCTION("""COMPUTED_VALUE"""),"RED FIBER PLAN 1000")</f>
        <v>RED FIBER PLAN 1000</v>
      </c>
      <c r="R17" s="1" t="str">
        <f>IFERROR(__xludf.DUMMYFUNCTION("""COMPUTED_VALUE"""),"APPROVED")</f>
        <v>APPROVED</v>
      </c>
      <c r="S17" s="1"/>
      <c r="T17" s="1"/>
      <c r="U17" s="1"/>
      <c r="V17" s="1"/>
      <c r="W17" s="1"/>
    </row>
    <row r="18" customHeight="1" spans="1:23">
      <c r="A18" s="3">
        <f>IFERROR(__xludf.DUMMYFUNCTION("""COMPUTED_VALUE"""),46025)</f>
        <v>46025</v>
      </c>
      <c r="B18" s="1" t="str">
        <f>IFERROR(__xludf.DUMMYFUNCTION("""COMPUTED_VALUE"""),"CADERAO, RONALD")</f>
        <v>CADERAO, RONALD</v>
      </c>
      <c r="C18" s="1" t="str">
        <f>IFERROR(__xludf.DUMMYFUNCTION("""COMPUTED_VALUE"""),"ORGANIC")</f>
        <v>ORGANIC</v>
      </c>
      <c r="D18" s="1" t="str">
        <f>IFERROR(__xludf.DUMMYFUNCTION("""COMPUTED_VALUE"""),"ILANO MARK")</f>
        <v>ILANO MARK</v>
      </c>
      <c r="E18" s="1" t="str">
        <f>IFERROR(__xludf.DUMMYFUNCTION("""COMPUTED_VALUE"""),"RED FIBER")</f>
        <v>RED FIBER</v>
      </c>
      <c r="F18" s="1"/>
      <c r="G18" s="1"/>
      <c r="H18" s="1" t="str">
        <f>IFERROR(__xludf.DUMMYFUNCTION("""COMPUTED_VALUE"""),"9602949597")</f>
        <v>9602949597</v>
      </c>
      <c r="I18" s="1"/>
      <c r="J18" s="1"/>
      <c r="K18" s="1" t="str">
        <f>IFERROR(__xludf.DUMMYFUNCTION("""COMPUTED_VALUE"""),"657A")</f>
        <v>657A</v>
      </c>
      <c r="L18" s="1" t="str">
        <f>IFERROR(__xludf.DUMMYFUNCTION("""COMPUTED_VALUE"""),"MABINI ST")</f>
        <v>MABINI ST</v>
      </c>
      <c r="M18" s="1"/>
      <c r="N18" s="1" t="str">
        <f>IFERROR(__xludf.DUMMYFUNCTION("""COMPUTED_VALUE"""),"UPLI")</f>
        <v>UPLI</v>
      </c>
      <c r="O18" s="1" t="str">
        <f>IFERROR(__xludf.DUMMYFUNCTION("""COMPUTED_VALUE"""),"MENDEZ")</f>
        <v>MENDEZ</v>
      </c>
      <c r="P18" s="1" t="str">
        <f>IFERROR(__xludf.DUMMYFUNCTION("""COMPUTED_VALUE"""),"CAVITE")</f>
        <v>CAVITE</v>
      </c>
      <c r="Q18" s="1" t="str">
        <f>IFERROR(__xludf.DUMMYFUNCTION("""COMPUTED_VALUE"""),"RED FIBER PLAN 1000")</f>
        <v>RED FIBER PLAN 1000</v>
      </c>
      <c r="R18" s="1" t="str">
        <f>IFERROR(__xludf.DUMMYFUNCTION("""COMPUTED_VALUE"""),"APPROVED")</f>
        <v>APPROVED</v>
      </c>
      <c r="S18" s="1"/>
      <c r="T18" s="1"/>
      <c r="U18" s="1"/>
      <c r="V18" s="1"/>
      <c r="W18" s="1"/>
    </row>
    <row r="19" customHeight="1" spans="1:23">
      <c r="A19" s="3">
        <f>IFERROR(__xludf.DUMMYFUNCTION("""COMPUTED_VALUE"""),46025)</f>
        <v>46025</v>
      </c>
      <c r="B19" s="1" t="str">
        <f>IFERROR(__xludf.DUMMYFUNCTION("""COMPUTED_VALUE"""),"ESCARCHA, MA ALMA  ESCOTO")</f>
        <v>ESCARCHA, MA ALMA  ESCOTO</v>
      </c>
      <c r="C19" s="1" t="str">
        <f>IFERROR(__xludf.DUMMYFUNCTION("""COMPUTED_VALUE"""),"ORGANIC")</f>
        <v>ORGANIC</v>
      </c>
      <c r="D19" s="1" t="str">
        <f>IFERROR(__xludf.DUMMYFUNCTION("""COMPUTED_VALUE"""),"ILANO MARK")</f>
        <v>ILANO MARK</v>
      </c>
      <c r="E19" s="1" t="str">
        <f>IFERROR(__xludf.DUMMYFUNCTION("""COMPUTED_VALUE"""),"RED FIBER")</f>
        <v>RED FIBER</v>
      </c>
      <c r="F19" s="1"/>
      <c r="G19" s="1"/>
      <c r="H19" s="1" t="str">
        <f>IFERROR(__xludf.DUMMYFUNCTION("""COMPUTED_VALUE"""),"9753969755")</f>
        <v>9753969755</v>
      </c>
      <c r="I19" s="1"/>
      <c r="J19" s="1"/>
      <c r="K19" s="1" t="str">
        <f>IFERROR(__xludf.DUMMYFUNCTION("""COMPUTED_VALUE"""),"15")</f>
        <v>15</v>
      </c>
      <c r="L19" s="1" t="str">
        <f>IFERROR(__xludf.DUMMYFUNCTION("""COMPUTED_VALUE"""),"BAGONG TUBIG")</f>
        <v>BAGONG TUBIG</v>
      </c>
      <c r="M19" s="1"/>
      <c r="N19" s="1" t="str">
        <f>IFERROR(__xludf.DUMMYFUNCTION("""COMPUTED_VALUE"""),"GALICIA I")</f>
        <v>GALICIA I</v>
      </c>
      <c r="O19" s="1" t="str">
        <f>IFERROR(__xludf.DUMMYFUNCTION("""COMPUTED_VALUE"""),"MENDEZ")</f>
        <v>MENDEZ</v>
      </c>
      <c r="P19" s="1" t="str">
        <f>IFERROR(__xludf.DUMMYFUNCTION("""COMPUTED_VALUE"""),"CAVITE")</f>
        <v>CAVITE</v>
      </c>
      <c r="Q19" s="1" t="str">
        <f>IFERROR(__xludf.DUMMYFUNCTION("""COMPUTED_VALUE"""),"RED FIBER PLAN 1000")</f>
        <v>RED FIBER PLAN 1000</v>
      </c>
      <c r="R19" s="1" t="str">
        <f>IFERROR(__xludf.DUMMYFUNCTION("""COMPUTED_VALUE"""),"APPROVED")</f>
        <v>APPROVED</v>
      </c>
      <c r="S19" s="1"/>
      <c r="T19" s="1"/>
      <c r="U19" s="1"/>
      <c r="V19" s="1"/>
      <c r="W19" s="1"/>
    </row>
    <row r="20" customHeight="1" spans="1:23">
      <c r="A20" s="3">
        <f>IFERROR(__xludf.DUMMYFUNCTION("""COMPUTED_VALUE"""),46025)</f>
        <v>46025</v>
      </c>
      <c r="B20" s="1" t="str">
        <f>IFERROR(__xludf.DUMMYFUNCTION("""COMPUTED_VALUE"""),"GABAY, MANUEL")</f>
        <v>GABAY, MANUEL</v>
      </c>
      <c r="C20" s="1" t="str">
        <f>IFERROR(__xludf.DUMMYFUNCTION("""COMPUTED_VALUE"""),"FLA")</f>
        <v>FLA</v>
      </c>
      <c r="D20" s="1" t="str">
        <f>IFERROR(__xludf.DUMMYFUNCTION("""COMPUTED_VALUE"""),"JERIC NAVARRO")</f>
        <v>JERIC NAVARRO</v>
      </c>
      <c r="E20" s="1" t="str">
        <f>IFERROR(__xludf.DUMMYFUNCTION("""COMPUTED_VALUE"""),"PLDT")</f>
        <v>PLDT</v>
      </c>
      <c r="F20" s="1">
        <f>IFERROR(__xludf.DUMMYFUNCTION("""COMPUTED_VALUE"""),2305990312)</f>
        <v>2305990312</v>
      </c>
      <c r="G20" s="1"/>
      <c r="H20" s="1" t="str">
        <f>IFERROR(__xludf.DUMMYFUNCTION("""COMPUTED_VALUE"""),"9459647914")</f>
        <v>9459647914</v>
      </c>
      <c r="I20" s="1">
        <f>IFERROR(__xludf.DUMMYFUNCTION("""COMPUTED_VALUE"""),9458874568)</f>
        <v>9458874568</v>
      </c>
      <c r="J20" s="1"/>
      <c r="K20" s="1" t="str">
        <f>IFERROR(__xludf.DUMMYFUNCTION("""COMPUTED_VALUE"""),"BLK 6 LOT 7")</f>
        <v>BLK 6 LOT 7</v>
      </c>
      <c r="L20" s="1" t="str">
        <f>IFERROR(__xludf.DUMMYFUNCTION("""COMPUTED_VALUE"""),"POBLACION RD")</f>
        <v>POBLACION RD</v>
      </c>
      <c r="M20" s="1"/>
      <c r="N20" s="1" t="str">
        <f>IFERROR(__xludf.DUMMYFUNCTION("""COMPUTED_VALUE"""),"POBLACION II")</f>
        <v>POBLACION II</v>
      </c>
      <c r="O20" s="1" t="str">
        <f>IFERROR(__xludf.DUMMYFUNCTION("""COMPUTED_VALUE"""),"GEN MARIANO ALVAREZ")</f>
        <v>GEN MARIANO ALVAREZ</v>
      </c>
      <c r="P20" s="1" t="str">
        <f>IFERROR(__xludf.DUMMYFUNCTION("""COMPUTED_VALUE"""),"CAVITE")</f>
        <v>CAVITE</v>
      </c>
      <c r="Q20" s="1" t="str">
        <f>IFERROR(__xludf.DUMMYFUNCTION("""COMPUTED_VALUE"""),"FIBR PLAN 1399")</f>
        <v>FIBR PLAN 1399</v>
      </c>
      <c r="R20" s="1" t="str">
        <f>IFERROR(__xludf.DUMMYFUNCTION("""COMPUTED_VALUE"""),"APPROVED")</f>
        <v>APPROVED</v>
      </c>
      <c r="S20" s="1"/>
      <c r="T20" s="1"/>
      <c r="U20" s="1"/>
      <c r="V20" s="1"/>
      <c r="W20" s="1"/>
    </row>
    <row r="21" customHeight="1" spans="1:23">
      <c r="A21" s="3">
        <f>IFERROR(__xludf.DUMMYFUNCTION("""COMPUTED_VALUE"""),46025)</f>
        <v>46025</v>
      </c>
      <c r="B21" s="1" t="str">
        <f>IFERROR(__xludf.DUMMYFUNCTION("""COMPUTED_VALUE"""),"MAZO, EVA RICA")</f>
        <v>MAZO, EVA RICA</v>
      </c>
      <c r="C21" s="1" t="str">
        <f>IFERROR(__xludf.DUMMYFUNCTION("""COMPUTED_VALUE"""),"ORGANIC")</f>
        <v>ORGANIC</v>
      </c>
      <c r="D21" s="1" t="str">
        <f>IFERROR(__xludf.DUMMYFUNCTION("""COMPUTED_VALUE"""),"ILANO MARK")</f>
        <v>ILANO MARK</v>
      </c>
      <c r="E21" s="1" t="str">
        <f>IFERROR(__xludf.DUMMYFUNCTION("""COMPUTED_VALUE"""),"PLDT")</f>
        <v>PLDT</v>
      </c>
      <c r="F21" s="1"/>
      <c r="G21" s="1"/>
      <c r="H21" s="1" t="str">
        <f>IFERROR(__xludf.DUMMYFUNCTION("""COMPUTED_VALUE"""),"9351959882")</f>
        <v>9351959882</v>
      </c>
      <c r="I21" s="1"/>
      <c r="J21" s="1"/>
      <c r="K21" s="1" t="str">
        <f>IFERROR(__xludf.DUMMYFUNCTION("""COMPUTED_VALUE"""),"BLK 23 LOT 6")</f>
        <v>BLK 23 LOT 6</v>
      </c>
      <c r="L21" s="1" t="str">
        <f>IFERROR(__xludf.DUMMYFUNCTION("""COMPUTED_VALUE"""),"PHASE 4")</f>
        <v>PHASE 4</v>
      </c>
      <c r="M21" s="1" t="str">
        <f>IFERROR(__xludf.DUMMYFUNCTION("""COMPUTED_VALUE"""),"TERRAVERDE RESIDENCES")</f>
        <v>TERRAVERDE RESIDENCES</v>
      </c>
      <c r="N21" s="1" t="str">
        <f>IFERROR(__xludf.DUMMYFUNCTION("""COMPUTED_VALUE"""),"BANCAL")</f>
        <v>BANCAL</v>
      </c>
      <c r="O21" s="1" t="str">
        <f>IFERROR(__xludf.DUMMYFUNCTION("""COMPUTED_VALUE"""),"CARMONA")</f>
        <v>CARMONA</v>
      </c>
      <c r="P21" s="1" t="str">
        <f>IFERROR(__xludf.DUMMYFUNCTION("""COMPUTED_VALUE"""),"CAVITE")</f>
        <v>CAVITE</v>
      </c>
      <c r="Q21" s="1" t="str">
        <f>IFERROR(__xludf.DUMMYFUNCTION("""COMPUTED_VALUE"""),"FIBR PLAN 1399")</f>
        <v>FIBR PLAN 1399</v>
      </c>
      <c r="R21" s="1" t="str">
        <f>IFERROR(__xludf.DUMMYFUNCTION("""COMPUTED_VALUE"""),"HOLD")</f>
        <v>HOLD</v>
      </c>
      <c r="S21" s="1" t="str">
        <f>IFERROR(__xludf.DUMMYFUNCTION("""COMPUTED_VALUE"""),"PLS PROVIDE CAFAC")</f>
        <v>PLS PROVIDE CAFAC</v>
      </c>
      <c r="T21" s="1"/>
      <c r="U21" s="1"/>
      <c r="V21" s="1"/>
      <c r="W21" s="1"/>
    </row>
    <row r="22" customHeight="1" spans="1:23">
      <c r="A22" s="3">
        <f>IFERROR(__xludf.DUMMYFUNCTION("""COMPUTED_VALUE"""),46025)</f>
        <v>46025</v>
      </c>
      <c r="B22" s="1" t="str">
        <f>IFERROR(__xludf.DUMMYFUNCTION("""COMPUTED_VALUE"""),"FRANCISCO , ROSELYN")</f>
        <v>FRANCISCO , ROSELYN</v>
      </c>
      <c r="C22" s="1" t="str">
        <f>IFERROR(__xludf.DUMMYFUNCTION("""COMPUTED_VALUE"""),"ORGANIC")</f>
        <v>ORGANIC</v>
      </c>
      <c r="D22" s="1" t="str">
        <f>IFERROR(__xludf.DUMMYFUNCTION("""COMPUTED_VALUE"""),"ILANO MARK")</f>
        <v>ILANO MARK</v>
      </c>
      <c r="E22" s="1" t="str">
        <f>IFERROR(__xludf.DUMMYFUNCTION("""COMPUTED_VALUE"""),"PLDT")</f>
        <v>PLDT</v>
      </c>
      <c r="F22" s="1"/>
      <c r="G22" s="1"/>
      <c r="H22" s="1" t="str">
        <f>IFERROR(__xludf.DUMMYFUNCTION("""COMPUTED_VALUE"""),"9565700619")</f>
        <v>9565700619</v>
      </c>
      <c r="I22" s="1">
        <f>IFERROR(__xludf.DUMMYFUNCTION("""COMPUTED_VALUE"""),9947479740)</f>
        <v>9947479740</v>
      </c>
      <c r="J22" s="1"/>
      <c r="K22" s="1" t="str">
        <f>IFERROR(__xludf.DUMMYFUNCTION("""COMPUTED_VALUE"""),"BLK 11 LOT 5")</f>
        <v>BLK 11 LOT 5</v>
      </c>
      <c r="L22" s="1" t="str">
        <f>IFERROR(__xludf.DUMMYFUNCTION("""COMPUTED_VALUE"""),"PHASE 2")</f>
        <v>PHASE 2</v>
      </c>
      <c r="M22" s="1" t="str">
        <f>IFERROR(__xludf.DUMMYFUNCTION("""COMPUTED_VALUE"""),"TERRAVERDE RESIDENCES")</f>
        <v>TERRAVERDE RESIDENCES</v>
      </c>
      <c r="N22" s="1" t="str">
        <f>IFERROR(__xludf.DUMMYFUNCTION("""COMPUTED_VALUE"""),"BANCAL")</f>
        <v>BANCAL</v>
      </c>
      <c r="O22" s="1" t="str">
        <f>IFERROR(__xludf.DUMMYFUNCTION("""COMPUTED_VALUE"""),"CARMONA")</f>
        <v>CARMONA</v>
      </c>
      <c r="P22" s="1" t="str">
        <f>IFERROR(__xludf.DUMMYFUNCTION("""COMPUTED_VALUE"""),"CAVITE")</f>
        <v>CAVITE</v>
      </c>
      <c r="Q22" s="1" t="str">
        <f>IFERROR(__xludf.DUMMYFUNCTION("""COMPUTED_VALUE"""),"FIBR PLAN 1399")</f>
        <v>FIBR PLAN 1399</v>
      </c>
      <c r="R22" s="1" t="str">
        <f>IFERROR(__xludf.DUMMYFUNCTION("""COMPUTED_VALUE"""),"RETURN FOR COMPLIANCE - AGENT")</f>
        <v>RETURN FOR COMPLIANCE - AGENT</v>
      </c>
      <c r="S22" s="1" t="str">
        <f>IFERROR(__xludf.DUMMYFUNCTION("""COMPUTED_VALUE"""),"MAY APPLY NA TO ITO KAY KUYA ROGER")</f>
        <v>MAY APPLY NA TO ITO KAY KUYA ROGER</v>
      </c>
      <c r="T22" s="1"/>
      <c r="U22" s="1"/>
      <c r="V22" s="1"/>
      <c r="W22" s="1"/>
    </row>
    <row r="23" customHeight="1" spans="1:23">
      <c r="A23" s="3">
        <f>IFERROR(__xludf.DUMMYFUNCTION("""COMPUTED_VALUE"""),46025)</f>
        <v>46025</v>
      </c>
      <c r="B23" s="1" t="str">
        <f>IFERROR(__xludf.DUMMYFUNCTION("""COMPUTED_VALUE"""),"ESCARCHA, MA ALMA  ESCOTO")</f>
        <v>ESCARCHA, MA ALMA  ESCOTO</v>
      </c>
      <c r="C23" s="1" t="str">
        <f>IFERROR(__xludf.DUMMYFUNCTION("""COMPUTED_VALUE"""),"ORGANIC")</f>
        <v>ORGANIC</v>
      </c>
      <c r="D23" s="1" t="str">
        <f>IFERROR(__xludf.DUMMYFUNCTION("""COMPUTED_VALUE"""),"ILANO MARK")</f>
        <v>ILANO MARK</v>
      </c>
      <c r="E23" s="1" t="str">
        <f>IFERROR(__xludf.DUMMYFUNCTION("""COMPUTED_VALUE"""),"PLDT")</f>
        <v>PLDT</v>
      </c>
      <c r="F23" s="1"/>
      <c r="G23" s="1"/>
      <c r="H23" s="1" t="str">
        <f>IFERROR(__xludf.DUMMYFUNCTION("""COMPUTED_VALUE"""),"9672186467")</f>
        <v>9672186467</v>
      </c>
      <c r="I23" s="1">
        <f>IFERROR(__xludf.DUMMYFUNCTION("""COMPUTED_VALUE"""),9153087174)</f>
        <v>9153087174</v>
      </c>
      <c r="J23" s="1"/>
      <c r="K23" s="1" t="str">
        <f>IFERROR(__xludf.DUMMYFUNCTION("""COMPUTED_VALUE"""),"BLK 33 LOT 11")</f>
        <v>BLK 33 LOT 11</v>
      </c>
      <c r="L23" s="1" t="str">
        <f>IFERROR(__xludf.DUMMYFUNCTION("""COMPUTED_VALUE"""),"PHASE 2")</f>
        <v>PHASE 2</v>
      </c>
      <c r="M23" s="1" t="str">
        <f>IFERROR(__xludf.DUMMYFUNCTION("""COMPUTED_VALUE"""),"TERRAVERDE RESIDENCES")</f>
        <v>TERRAVERDE RESIDENCES</v>
      </c>
      <c r="N23" s="1" t="str">
        <f>IFERROR(__xludf.DUMMYFUNCTION("""COMPUTED_VALUE"""),"BANCAL")</f>
        <v>BANCAL</v>
      </c>
      <c r="O23" s="1" t="str">
        <f>IFERROR(__xludf.DUMMYFUNCTION("""COMPUTED_VALUE"""),"CARMONA")</f>
        <v>CARMONA</v>
      </c>
      <c r="P23" s="1" t="str">
        <f>IFERROR(__xludf.DUMMYFUNCTION("""COMPUTED_VALUE"""),"CAVITE")</f>
        <v>CAVITE</v>
      </c>
      <c r="Q23" s="1" t="str">
        <f>IFERROR(__xludf.DUMMYFUNCTION("""COMPUTED_VALUE"""),"FIBR PLAN 1399")</f>
        <v>FIBR PLAN 1399</v>
      </c>
      <c r="R23" s="1" t="str">
        <f>IFERROR(__xludf.DUMMYFUNCTION("""COMPUTED_VALUE"""),"HOLD")</f>
        <v>HOLD</v>
      </c>
      <c r="S23" s="1" t="str">
        <f>IFERROR(__xludf.DUMMYFUNCTION("""COMPUTED_VALUE"""),"PLS PROVIDE CAFAC")</f>
        <v>PLS PROVIDE CAFAC</v>
      </c>
      <c r="T23" s="1"/>
      <c r="U23" s="1"/>
      <c r="V23" s="1"/>
      <c r="W23" s="1"/>
    </row>
    <row r="24" customHeight="1" spans="1:23">
      <c r="A24" s="3">
        <f>IFERROR(__xludf.DUMMYFUNCTION("""COMPUTED_VALUE"""),46025)</f>
        <v>46025</v>
      </c>
      <c r="B24" s="1" t="str">
        <f>IFERROR(__xludf.DUMMYFUNCTION("""COMPUTED_VALUE"""),"CARPIO, STEPHANIE NICOLE")</f>
        <v>CARPIO, STEPHANIE NICOLE</v>
      </c>
      <c r="C24" s="1" t="str">
        <f>IFERROR(__xludf.DUMMYFUNCTION("""COMPUTED_VALUE"""),"FLA")</f>
        <v>FLA</v>
      </c>
      <c r="D24" s="1" t="str">
        <f>IFERROR(__xludf.DUMMYFUNCTION("""COMPUTED_VALUE"""),"JERIC NAVARRO")</f>
        <v>JERIC NAVARRO</v>
      </c>
      <c r="E24" s="1" t="str">
        <f>IFERROR(__xludf.DUMMYFUNCTION("""COMPUTED_VALUE"""),"PLDT")</f>
        <v>PLDT</v>
      </c>
      <c r="F24" s="1">
        <f>IFERROR(__xludf.DUMMYFUNCTION("""COMPUTED_VALUE"""),2306010538)</f>
        <v>2306010538</v>
      </c>
      <c r="G24" s="1"/>
      <c r="H24" s="1" t="str">
        <f>IFERROR(__xludf.DUMMYFUNCTION("""COMPUTED_VALUE"""),"9560730411")</f>
        <v>9560730411</v>
      </c>
      <c r="I24" s="1">
        <f>IFERROR(__xludf.DUMMYFUNCTION("""COMPUTED_VALUE"""),9266934499)</f>
        <v>9266934499</v>
      </c>
      <c r="J24" s="1"/>
      <c r="K24" s="1" t="str">
        <f>IFERROR(__xludf.DUMMYFUNCTION("""COMPUTED_VALUE"""),"103")</f>
        <v>103</v>
      </c>
      <c r="L24" s="1" t="str">
        <f>IFERROR(__xludf.DUMMYFUNCTION("""COMPUTED_VALUE"""),"LA JOYA")</f>
        <v>LA JOYA</v>
      </c>
      <c r="M24" s="1" t="str">
        <f>IFERROR(__xludf.DUMMYFUNCTION("""COMPUTED_VALUE"""),"QUEENIE ")</f>
        <v>QUEENIE </v>
      </c>
      <c r="N24" s="1" t="str">
        <f>IFERROR(__xludf.DUMMYFUNCTION("""COMPUTED_VALUE"""),"BUHAY NA TUBIG")</f>
        <v>BUHAY NA TUBIG</v>
      </c>
      <c r="O24" s="1" t="str">
        <f>IFERROR(__xludf.DUMMYFUNCTION("""COMPUTED_VALUE"""),"IMUS")</f>
        <v>IMUS</v>
      </c>
      <c r="P24" s="1" t="str">
        <f>IFERROR(__xludf.DUMMYFUNCTION("""COMPUTED_VALUE"""),"CAVITE")</f>
        <v>CAVITE</v>
      </c>
      <c r="Q24" s="1" t="str">
        <f>IFERROR(__xludf.DUMMYFUNCTION("""COMPUTED_VALUE"""),"FIBR PLAN 1399")</f>
        <v>FIBR PLAN 1399</v>
      </c>
      <c r="R24" s="1" t="str">
        <f>IFERROR(__xludf.DUMMYFUNCTION("""COMPUTED_VALUE"""),"APPROVED")</f>
        <v>APPROVED</v>
      </c>
      <c r="S24" s="1"/>
      <c r="T24" s="1"/>
      <c r="U24" s="1"/>
      <c r="V24" s="1"/>
      <c r="W24" s="1"/>
    </row>
    <row r="25" customHeight="1" spans="1:23">
      <c r="A25" s="3">
        <f>IFERROR(__xludf.DUMMYFUNCTION("""COMPUTED_VALUE"""),46026)</f>
        <v>46026</v>
      </c>
      <c r="B25" s="1" t="str">
        <f>IFERROR(__xludf.DUMMYFUNCTION("""COMPUTED_VALUE"""),"FRANCISCO , ROSELYN")</f>
        <v>FRANCISCO , ROSELYN</v>
      </c>
      <c r="C25" s="1" t="str">
        <f>IFERROR(__xludf.DUMMYFUNCTION("""COMPUTED_VALUE"""),"ORGANIC")</f>
        <v>ORGANIC</v>
      </c>
      <c r="D25" s="1" t="str">
        <f>IFERROR(__xludf.DUMMYFUNCTION("""COMPUTED_VALUE"""),"ILANO MARK")</f>
        <v>ILANO MARK</v>
      </c>
      <c r="E25" s="1" t="str">
        <f>IFERROR(__xludf.DUMMYFUNCTION("""COMPUTED_VALUE"""),"PLDT")</f>
        <v>PLDT</v>
      </c>
      <c r="F25" s="1">
        <f>IFERROR(__xludf.DUMMYFUNCTION("""COMPUTED_VALUE"""),2306003691)</f>
        <v>2306003691</v>
      </c>
      <c r="G25" s="1"/>
      <c r="H25" s="1" t="str">
        <f>IFERROR(__xludf.DUMMYFUNCTION("""COMPUTED_VALUE"""),"9338517988")</f>
        <v>9338517988</v>
      </c>
      <c r="I25" s="1">
        <f>IFERROR(__xludf.DUMMYFUNCTION("""COMPUTED_VALUE"""),9938517988)</f>
        <v>9938517988</v>
      </c>
      <c r="J25" s="1"/>
      <c r="K25" s="1" t="str">
        <f>IFERROR(__xludf.DUMMYFUNCTION("""COMPUTED_VALUE"""),"90080")</f>
        <v>90080</v>
      </c>
      <c r="L25" s="1" t="str">
        <f>IFERROR(__xludf.DUMMYFUNCTION("""COMPUTED_VALUE"""),"PANGANIBAN CMPOUND")</f>
        <v>PANGANIBAN CMPOUND</v>
      </c>
      <c r="M25" s="1"/>
      <c r="N25" s="1" t="str">
        <f>IFERROR(__xludf.DUMMYFUNCTION("""COMPUTED_VALUE"""),"MIGUEL MOJICA")</f>
        <v>MIGUEL MOJICA</v>
      </c>
      <c r="O25" s="1" t="str">
        <f>IFERROR(__xludf.DUMMYFUNCTION("""COMPUTED_VALUE"""),"MENDEZ")</f>
        <v>MENDEZ</v>
      </c>
      <c r="P25" s="1" t="str">
        <f>IFERROR(__xludf.DUMMYFUNCTION("""COMPUTED_VALUE"""),"CAVITE")</f>
        <v>CAVITE</v>
      </c>
      <c r="Q25" s="1" t="str">
        <f>IFERROR(__xludf.DUMMYFUNCTION("""COMPUTED_VALUE"""),"FIBR PLAN 1399")</f>
        <v>FIBR PLAN 1399</v>
      </c>
      <c r="R25" s="1" t="str">
        <f>IFERROR(__xludf.DUMMYFUNCTION("""COMPUTED_VALUE"""),"APPROVED")</f>
        <v>APPROVED</v>
      </c>
      <c r="S25" s="1"/>
      <c r="T25" s="1"/>
      <c r="U25" s="1"/>
      <c r="V25" s="1"/>
      <c r="W25" s="1"/>
    </row>
    <row r="26" customHeight="1" spans="1:23">
      <c r="A26" s="3">
        <f>IFERROR(__xludf.DUMMYFUNCTION("""COMPUTED_VALUE"""),46026)</f>
        <v>46026</v>
      </c>
      <c r="B26" s="1" t="str">
        <f>IFERROR(__xludf.DUMMYFUNCTION("""COMPUTED_VALUE"""),"GABAY, MANUEL")</f>
        <v>GABAY, MANUEL</v>
      </c>
      <c r="C26" s="1" t="str">
        <f>IFERROR(__xludf.DUMMYFUNCTION("""COMPUTED_VALUE"""),"FLA")</f>
        <v>FLA</v>
      </c>
      <c r="D26" s="1" t="str">
        <f>IFERROR(__xludf.DUMMYFUNCTION("""COMPUTED_VALUE"""),"JERIC NAVARRO")</f>
        <v>JERIC NAVARRO</v>
      </c>
      <c r="E26" s="1" t="str">
        <f>IFERROR(__xludf.DUMMYFUNCTION("""COMPUTED_VALUE"""),"PLDT")</f>
        <v>PLDT</v>
      </c>
      <c r="F26" s="1">
        <f>IFERROR(__xludf.DUMMYFUNCTION("""COMPUTED_VALUE"""),2306005081)</f>
        <v>2306005081</v>
      </c>
      <c r="G26" s="1"/>
      <c r="H26" s="1" t="str">
        <f>IFERROR(__xludf.DUMMYFUNCTION("""COMPUTED_VALUE"""),"9165933719")</f>
        <v>9165933719</v>
      </c>
      <c r="I26" s="1">
        <f>IFERROR(__xludf.DUMMYFUNCTION("""COMPUTED_VALUE"""),9157952166)</f>
        <v>9157952166</v>
      </c>
      <c r="J26" s="1"/>
      <c r="K26" s="1" t="str">
        <f>IFERROR(__xludf.DUMMYFUNCTION("""COMPUTED_VALUE"""),"83")</f>
        <v>83</v>
      </c>
      <c r="L26" s="1" t="str">
        <f>IFERROR(__xludf.DUMMYFUNCTION("""COMPUTED_VALUE"""),"PATUTONG RD")</f>
        <v>PATUTONG RD</v>
      </c>
      <c r="M26" s="1"/>
      <c r="N26" s="1" t="str">
        <f>IFERROR(__xludf.DUMMYFUNCTION("""COMPUTED_VALUE"""),"PATUTONG MALAKI NORTH")</f>
        <v>PATUTONG MALAKI NORTH</v>
      </c>
      <c r="O26" s="1" t="str">
        <f>IFERROR(__xludf.DUMMYFUNCTION("""COMPUTED_VALUE"""),"TAGAYTAY")</f>
        <v>TAGAYTAY</v>
      </c>
      <c r="P26" s="1" t="str">
        <f>IFERROR(__xludf.DUMMYFUNCTION("""COMPUTED_VALUE"""),"CAVITE")</f>
        <v>CAVITE</v>
      </c>
      <c r="Q26" s="1" t="str">
        <f>IFERROR(__xludf.DUMMYFUNCTION("""COMPUTED_VALUE"""),"FIBR PLAN 1599")</f>
        <v>FIBR PLAN 1599</v>
      </c>
      <c r="R26" s="1" t="str">
        <f>IFERROR(__xludf.DUMMYFUNCTION("""COMPUTED_VALUE"""),"APPROVED")</f>
        <v>APPROVED</v>
      </c>
      <c r="S26" s="1"/>
      <c r="T26" s="1"/>
      <c r="U26" s="1"/>
      <c r="V26" s="1"/>
      <c r="W26" s="1"/>
    </row>
    <row r="27" customHeight="1" spans="1:23">
      <c r="A27" s="3">
        <f>IFERROR(__xludf.DUMMYFUNCTION("""COMPUTED_VALUE"""),46026)</f>
        <v>46026</v>
      </c>
      <c r="B27" s="1" t="str">
        <f>IFERROR(__xludf.DUMMYFUNCTION("""COMPUTED_VALUE"""),"ESCARCHA, MA ALMA  ESCOTO")</f>
        <v>ESCARCHA, MA ALMA  ESCOTO</v>
      </c>
      <c r="C27" s="1" t="str">
        <f>IFERROR(__xludf.DUMMYFUNCTION("""COMPUTED_VALUE"""),"ORGANIC")</f>
        <v>ORGANIC</v>
      </c>
      <c r="D27" s="1" t="str">
        <f>IFERROR(__xludf.DUMMYFUNCTION("""COMPUTED_VALUE"""),"ILANO MARK")</f>
        <v>ILANO MARK</v>
      </c>
      <c r="E27" s="1" t="str">
        <f>IFERROR(__xludf.DUMMYFUNCTION("""COMPUTED_VALUE"""),"PLDT")</f>
        <v>PLDT</v>
      </c>
      <c r="F27" s="1">
        <f>IFERROR(__xludf.DUMMYFUNCTION("""COMPUTED_VALUE"""),2306007948)</f>
        <v>2306007948</v>
      </c>
      <c r="G27" s="1"/>
      <c r="H27" s="1" t="str">
        <f>IFERROR(__xludf.DUMMYFUNCTION("""COMPUTED_VALUE"""),"9214012285")</f>
        <v>9214012285</v>
      </c>
      <c r="I27" s="1">
        <f>IFERROR(__xludf.DUMMYFUNCTION("""COMPUTED_VALUE"""),9626461720)</f>
        <v>9626461720</v>
      </c>
      <c r="J27" s="1"/>
      <c r="K27" s="1" t="str">
        <f>IFERROR(__xludf.DUMMYFUNCTION("""COMPUTED_VALUE"""),"214")</f>
        <v>214</v>
      </c>
      <c r="L27" s="1" t="str">
        <f>IFERROR(__xludf.DUMMYFUNCTION("""COMPUTED_VALUE"""),"BIGA RD")</f>
        <v>BIGA RD</v>
      </c>
      <c r="M27" s="1"/>
      <c r="N27" s="1" t="str">
        <f>IFERROR(__xludf.DUMMYFUNCTION("""COMPUTED_VALUE"""),"BIGA I")</f>
        <v>BIGA I</v>
      </c>
      <c r="O27" s="1" t="str">
        <f>IFERROR(__xludf.DUMMYFUNCTION("""COMPUTED_VALUE"""),"SILANG")</f>
        <v>SILANG</v>
      </c>
      <c r="P27" s="1" t="str">
        <f>IFERROR(__xludf.DUMMYFUNCTION("""COMPUTED_VALUE"""),"CAVITE")</f>
        <v>CAVITE</v>
      </c>
      <c r="Q27" s="1" t="str">
        <f>IFERROR(__xludf.DUMMYFUNCTION("""COMPUTED_VALUE"""),"FIBR PLAN 1399")</f>
        <v>FIBR PLAN 1399</v>
      </c>
      <c r="R27" s="1" t="str">
        <f>IFERROR(__xludf.DUMMYFUNCTION("""COMPUTED_VALUE"""),"APPROVED")</f>
        <v>APPROVED</v>
      </c>
      <c r="S27" s="1"/>
      <c r="T27" s="1"/>
      <c r="U27" s="1"/>
      <c r="V27" s="1"/>
      <c r="W27" s="1"/>
    </row>
    <row r="28" customHeight="1" spans="1:23">
      <c r="A28" s="3">
        <f>IFERROR(__xludf.DUMMYFUNCTION("""COMPUTED_VALUE"""),46026)</f>
        <v>46026</v>
      </c>
      <c r="B28" s="1" t="str">
        <f>IFERROR(__xludf.DUMMYFUNCTION("""COMPUTED_VALUE"""),"FRANCISCO , ROSELYN")</f>
        <v>FRANCISCO , ROSELYN</v>
      </c>
      <c r="C28" s="1" t="str">
        <f>IFERROR(__xludf.DUMMYFUNCTION("""COMPUTED_VALUE"""),"ORGANIC")</f>
        <v>ORGANIC</v>
      </c>
      <c r="D28" s="1" t="str">
        <f>IFERROR(__xludf.DUMMYFUNCTION("""COMPUTED_VALUE"""),"ILANO MARK")</f>
        <v>ILANO MARK</v>
      </c>
      <c r="E28" s="1" t="str">
        <f>IFERROR(__xludf.DUMMYFUNCTION("""COMPUTED_VALUE"""),"PLDT")</f>
        <v>PLDT</v>
      </c>
      <c r="F28" s="1"/>
      <c r="G28" s="1"/>
      <c r="H28" s="1" t="str">
        <f>IFERROR(__xludf.DUMMYFUNCTION("""COMPUTED_VALUE"""),"9471816609")</f>
        <v>9471816609</v>
      </c>
      <c r="I28" s="1">
        <f>IFERROR(__xludf.DUMMYFUNCTION("""COMPUTED_VALUE"""),9153874533)</f>
        <v>9153874533</v>
      </c>
      <c r="J28" s="1"/>
      <c r="K28" s="1" t="str">
        <f>IFERROR(__xludf.DUMMYFUNCTION("""COMPUTED_VALUE"""),"2ND FLOOR")</f>
        <v>2ND FLOOR</v>
      </c>
      <c r="L28" s="1" t="str">
        <f>IFERROR(__xludf.DUMMYFUNCTION("""COMPUTED_VALUE"""),"INCREDIBLE BUILDING")</f>
        <v>INCREDIBLE BUILDING</v>
      </c>
      <c r="M28" s="1"/>
      <c r="N28" s="1" t="str">
        <f>IFERROR(__xludf.DUMMYFUNCTION("""COMPUTED_VALUE"""),"SAN GABRIEL (AREA K)")</f>
        <v>SAN GABRIEL (AREA K)</v>
      </c>
      <c r="O28" s="1" t="str">
        <f>IFERROR(__xludf.DUMMYFUNCTION("""COMPUTED_VALUE"""),"GEN MARIANO ALVAREZ")</f>
        <v>GEN MARIANO ALVAREZ</v>
      </c>
      <c r="P28" s="1" t="str">
        <f>IFERROR(__xludf.DUMMYFUNCTION("""COMPUTED_VALUE"""),"CAVITE")</f>
        <v>CAVITE</v>
      </c>
      <c r="Q28" s="1" t="str">
        <f>IFERROR(__xludf.DUMMYFUNCTION("""COMPUTED_VALUE"""),"FIBR PLAN 1699")</f>
        <v>FIBR PLAN 1699</v>
      </c>
      <c r="R28" s="1" t="str">
        <f>IFERROR(__xludf.DUMMYFUNCTION("""COMPUTED_VALUE"""),"RETURN FOR COMPLIANCE - AGENT")</f>
        <v>RETURN FOR COMPLIANCE - AGENT</v>
      </c>
      <c r="S28" s="1" t="str">
        <f>IFERROR(__xludf.DUMMYFUNCTION("""COMPUTED_VALUE"""),"FOR BUSINESS APPLICATION")</f>
        <v>FOR BUSINESS APPLICATION</v>
      </c>
      <c r="T28" s="1"/>
      <c r="U28" s="1"/>
      <c r="V28" s="1"/>
      <c r="W28" s="1"/>
    </row>
    <row r="29" customHeight="1" spans="1:23">
      <c r="A29" s="3">
        <f>IFERROR(__xludf.DUMMYFUNCTION("""COMPUTED_VALUE"""),46027)</f>
        <v>46027</v>
      </c>
      <c r="B29" s="1" t="str">
        <f>IFERROR(__xludf.DUMMYFUNCTION("""COMPUTED_VALUE"""),"MALIWAT MARK ELVIN")</f>
        <v>MALIWAT MARK ELVIN</v>
      </c>
      <c r="C29" s="1" t="str">
        <f>IFERROR(__xludf.DUMMYFUNCTION("""COMPUTED_VALUE"""),"FLA")</f>
        <v>FLA</v>
      </c>
      <c r="D29" s="1" t="str">
        <f>IFERROR(__xludf.DUMMYFUNCTION("""COMPUTED_VALUE"""),"JERIC NAVARRO")</f>
        <v>JERIC NAVARRO</v>
      </c>
      <c r="E29" s="1" t="str">
        <f>IFERROR(__xludf.DUMMYFUNCTION("""COMPUTED_VALUE"""),"PLDT")</f>
        <v>PLDT</v>
      </c>
      <c r="F29" s="1">
        <f>IFERROR(__xludf.DUMMYFUNCTION("""COMPUTED_VALUE"""),2306018343)</f>
        <v>2306018343</v>
      </c>
      <c r="G29" s="1"/>
      <c r="H29" s="1" t="str">
        <f>IFERROR(__xludf.DUMMYFUNCTION("""COMPUTED_VALUE"""),"9817925932")</f>
        <v>9817925932</v>
      </c>
      <c r="I29" s="1"/>
      <c r="J29" s="1"/>
      <c r="K29" s="1" t="str">
        <f>IFERROR(__xludf.DUMMYFUNCTION("""COMPUTED_VALUE"""),"BLK 1 LOT 15")</f>
        <v>BLK 1 LOT 15</v>
      </c>
      <c r="L29" s="1" t="str">
        <f>IFERROR(__xludf.DUMMYFUNCTION("""COMPUTED_VALUE"""),"BUKLURAN 3")</f>
        <v>BUKLURAN 3</v>
      </c>
      <c r="M29" s="1"/>
      <c r="N29" s="1" t="str">
        <f>IFERROR(__xludf.DUMMYFUNCTION("""COMPUTED_VALUE"""),"BULIHAN")</f>
        <v>BULIHAN</v>
      </c>
      <c r="O29" s="1" t="str">
        <f>IFERROR(__xludf.DUMMYFUNCTION("""COMPUTED_VALUE"""),"SILANG")</f>
        <v>SILANG</v>
      </c>
      <c r="P29" s="1" t="str">
        <f>IFERROR(__xludf.DUMMYFUNCTION("""COMPUTED_VALUE"""),"CAVITE")</f>
        <v>CAVITE</v>
      </c>
      <c r="Q29" s="1" t="str">
        <f>IFERROR(__xludf.DUMMYFUNCTION("""COMPUTED_VALUE"""),"PREPAID 999")</f>
        <v>PREPAID 999</v>
      </c>
      <c r="R29" s="1" t="str">
        <f>IFERROR(__xludf.DUMMYFUNCTION("""COMPUTED_VALUE"""),"APPROVED")</f>
        <v>APPROVED</v>
      </c>
      <c r="S29" s="1"/>
      <c r="T29" s="1"/>
      <c r="U29" s="1"/>
      <c r="V29" s="1"/>
      <c r="W29" s="1"/>
    </row>
    <row r="30" customHeight="1" spans="1:23">
      <c r="A30" s="3">
        <f>IFERROR(__xludf.DUMMYFUNCTION("""COMPUTED_VALUE"""),46027)</f>
        <v>46027</v>
      </c>
      <c r="B30" s="1" t="str">
        <f>IFERROR(__xludf.DUMMYFUNCTION("""COMPUTED_VALUE"""),"CARPIO, STEPHANIE NICOLE")</f>
        <v>CARPIO, STEPHANIE NICOLE</v>
      </c>
      <c r="C30" s="1" t="str">
        <f>IFERROR(__xludf.DUMMYFUNCTION("""COMPUTED_VALUE"""),"FLA")</f>
        <v>FLA</v>
      </c>
      <c r="D30" s="1" t="str">
        <f>IFERROR(__xludf.DUMMYFUNCTION("""COMPUTED_VALUE"""),"JERIC NAVARRO")</f>
        <v>JERIC NAVARRO</v>
      </c>
      <c r="E30" s="1" t="str">
        <f>IFERROR(__xludf.DUMMYFUNCTION("""COMPUTED_VALUE"""),"PLDT")</f>
        <v>PLDT</v>
      </c>
      <c r="F30" s="1">
        <f>IFERROR(__xludf.DUMMYFUNCTION("""COMPUTED_VALUE"""),2306022413)</f>
        <v>2306022413</v>
      </c>
      <c r="G30" s="1"/>
      <c r="H30" s="1" t="str">
        <f>IFERROR(__xludf.DUMMYFUNCTION("""COMPUTED_VALUE"""),"9650548414")</f>
        <v>9650548414</v>
      </c>
      <c r="I30" s="1">
        <f>IFERROR(__xludf.DUMMYFUNCTION("""COMPUTED_VALUE"""),9756169310)</f>
        <v>9756169310</v>
      </c>
      <c r="J30" s="1"/>
      <c r="K30" s="1" t="str">
        <f>IFERROR(__xludf.DUMMYFUNCTION("""COMPUTED_VALUE"""),"BLK 30 LOT 5")</f>
        <v>BLK 30 LOT 5</v>
      </c>
      <c r="L30" s="1" t="str">
        <f>IFERROR(__xludf.DUMMYFUNCTION("""COMPUTED_VALUE"""),"JUDAH ")</f>
        <v>JUDAH </v>
      </c>
      <c r="M30" s="1"/>
      <c r="N30" s="1" t="str">
        <f>IFERROR(__xludf.DUMMYFUNCTION("""COMPUTED_VALUE"""),"ALAPAN I-A")</f>
        <v>ALAPAN I-A</v>
      </c>
      <c r="O30" s="1" t="str">
        <f>IFERROR(__xludf.DUMMYFUNCTION("""COMPUTED_VALUE"""),"IMUS")</f>
        <v>IMUS</v>
      </c>
      <c r="P30" s="1" t="str">
        <f>IFERROR(__xludf.DUMMYFUNCTION("""COMPUTED_VALUE"""),"CAVITE")</f>
        <v>CAVITE</v>
      </c>
      <c r="Q30" s="1" t="str">
        <f>IFERROR(__xludf.DUMMYFUNCTION("""COMPUTED_VALUE"""),"FIBR PLAN 1399")</f>
        <v>FIBR PLAN 1399</v>
      </c>
      <c r="R30" s="1" t="str">
        <f>IFERROR(__xludf.DUMMYFUNCTION("""COMPUTED_VALUE"""),"APPROVED")</f>
        <v>APPROVED</v>
      </c>
      <c r="S30" s="1"/>
      <c r="T30" s="1"/>
      <c r="U30" s="1"/>
      <c r="V30" s="1"/>
      <c r="W30" s="1"/>
    </row>
    <row r="31" customHeight="1" spans="1:23">
      <c r="A31" s="3">
        <f>IFERROR(__xludf.DUMMYFUNCTION("""COMPUTED_VALUE"""),46027)</f>
        <v>46027</v>
      </c>
      <c r="B31" s="1" t="str">
        <f>IFERROR(__xludf.DUMMYFUNCTION("""COMPUTED_VALUE"""),"CARPIO, STEPHANIE NICOLE")</f>
        <v>CARPIO, STEPHANIE NICOLE</v>
      </c>
      <c r="C31" s="1" t="str">
        <f>IFERROR(__xludf.DUMMYFUNCTION("""COMPUTED_VALUE"""),"FLA")</f>
        <v>FLA</v>
      </c>
      <c r="D31" s="1" t="str">
        <f>IFERROR(__xludf.DUMMYFUNCTION("""COMPUTED_VALUE"""),"JERIC NAVARRO")</f>
        <v>JERIC NAVARRO</v>
      </c>
      <c r="E31" s="1" t="str">
        <f>IFERROR(__xludf.DUMMYFUNCTION("""COMPUTED_VALUE"""),"PLDT")</f>
        <v>PLDT</v>
      </c>
      <c r="F31" s="1">
        <f>IFERROR(__xludf.DUMMYFUNCTION("""COMPUTED_VALUE"""),2306019463)</f>
        <v>2306019463</v>
      </c>
      <c r="G31" s="1"/>
      <c r="H31" s="1" t="str">
        <f>IFERROR(__xludf.DUMMYFUNCTION("""COMPUTED_VALUE"""),"9764509820")</f>
        <v>9764509820</v>
      </c>
      <c r="I31" s="1">
        <f>IFERROR(__xludf.DUMMYFUNCTION("""COMPUTED_VALUE"""),9262332691)</f>
        <v>9262332691</v>
      </c>
      <c r="J31" s="1"/>
      <c r="K31" s="1" t="str">
        <f>IFERROR(__xludf.DUMMYFUNCTION("""COMPUTED_VALUE"""),"161")</f>
        <v>161</v>
      </c>
      <c r="L31" s="1" t="str">
        <f>IFERROR(__xludf.DUMMYFUNCTION("""COMPUTED_VALUE"""),"VIA FEREA")</f>
        <v>VIA FEREA</v>
      </c>
      <c r="M31" s="1"/>
      <c r="N31" s="1" t="str">
        <f>IFERROR(__xludf.DUMMYFUNCTION("""COMPUTED_VALUE"""),"BARANGAY 39 (JASMIN)")</f>
        <v>BARANGAY 39 (JASMIN)</v>
      </c>
      <c r="O31" s="1" t="str">
        <f>IFERROR(__xludf.DUMMYFUNCTION("""COMPUTED_VALUE"""),"CAVITE CITY")</f>
        <v>CAVITE CITY</v>
      </c>
      <c r="P31" s="1" t="str">
        <f>IFERROR(__xludf.DUMMYFUNCTION("""COMPUTED_VALUE"""),"CAVITE")</f>
        <v>CAVITE</v>
      </c>
      <c r="Q31" s="1" t="str">
        <f>IFERROR(__xludf.DUMMYFUNCTION("""COMPUTED_VALUE"""),"FIBR PLAN 1399")</f>
        <v>FIBR PLAN 1399</v>
      </c>
      <c r="R31" s="1" t="str">
        <f>IFERROR(__xludf.DUMMYFUNCTION("""COMPUTED_VALUE"""),"APPROVED")</f>
        <v>APPROVED</v>
      </c>
      <c r="S31" s="1"/>
      <c r="T31" s="1"/>
      <c r="U31" s="1"/>
      <c r="V31" s="1"/>
      <c r="W31" s="1"/>
    </row>
    <row r="32" customHeight="1" spans="1:23">
      <c r="A32" s="3">
        <f>IFERROR(__xludf.DUMMYFUNCTION("""COMPUTED_VALUE"""),46027)</f>
        <v>46027</v>
      </c>
      <c r="B32" s="1" t="str">
        <f>IFERROR(__xludf.DUMMYFUNCTION("""COMPUTED_VALUE"""),"CADERAO, RONALD")</f>
        <v>CADERAO, RONALD</v>
      </c>
      <c r="C32" s="1" t="str">
        <f>IFERROR(__xludf.DUMMYFUNCTION("""COMPUTED_VALUE"""),"ORGANIC")</f>
        <v>ORGANIC</v>
      </c>
      <c r="D32" s="1" t="str">
        <f>IFERROR(__xludf.DUMMYFUNCTION("""COMPUTED_VALUE"""),"ILANO MARK")</f>
        <v>ILANO MARK</v>
      </c>
      <c r="E32" s="1" t="str">
        <f>IFERROR(__xludf.DUMMYFUNCTION("""COMPUTED_VALUE"""),"PLDT")</f>
        <v>PLDT</v>
      </c>
      <c r="F32" s="1">
        <f>IFERROR(__xludf.DUMMYFUNCTION("""COMPUTED_VALUE"""),2306023714)</f>
        <v>2306023714</v>
      </c>
      <c r="G32" s="1"/>
      <c r="H32" s="1" t="str">
        <f>IFERROR(__xludf.DUMMYFUNCTION("""COMPUTED_VALUE"""),"9472971900")</f>
        <v>9472971900</v>
      </c>
      <c r="I32" s="1">
        <f>IFERROR(__xludf.DUMMYFUNCTION("""COMPUTED_VALUE"""),9108240311)</f>
        <v>9108240311</v>
      </c>
      <c r="J32" s="1"/>
      <c r="K32" s="1" t="str">
        <f>IFERROR(__xludf.DUMMYFUNCTION("""COMPUTED_VALUE"""),"BLK 4B LOT 10")</f>
        <v>BLK 4B LOT 10</v>
      </c>
      <c r="L32" s="1" t="str">
        <f>IFERROR(__xludf.DUMMYFUNCTION("""COMPUTED_VALUE"""),"GREGORIA RD")</f>
        <v>GREGORIA RD</v>
      </c>
      <c r="M32" s="1"/>
      <c r="N32" s="1" t="str">
        <f>IFERROR(__xludf.DUMMYFUNCTION("""COMPUTED_VALUE"""),"GREGORIA DE JESUS")</f>
        <v>GREGORIA DE JESUS</v>
      </c>
      <c r="O32" s="1" t="str">
        <f>IFERROR(__xludf.DUMMYFUNCTION("""COMPUTED_VALUE"""),"GEN MARIANO ALVAREZ")</f>
        <v>GEN MARIANO ALVAREZ</v>
      </c>
      <c r="P32" s="1" t="str">
        <f>IFERROR(__xludf.DUMMYFUNCTION("""COMPUTED_VALUE"""),"CAVITE")</f>
        <v>CAVITE</v>
      </c>
      <c r="Q32" s="1" t="str">
        <f>IFERROR(__xludf.DUMMYFUNCTION("""COMPUTED_VALUE"""),"FIBR PLAN 1599")</f>
        <v>FIBR PLAN 1599</v>
      </c>
      <c r="R32" s="1" t="str">
        <f>IFERROR(__xludf.DUMMYFUNCTION("""COMPUTED_VALUE"""),"APPROVED")</f>
        <v>APPROVED</v>
      </c>
      <c r="S32" s="1"/>
      <c r="T32" s="1"/>
      <c r="U32" s="1"/>
      <c r="V32" s="1"/>
      <c r="W32" s="1"/>
    </row>
    <row r="33" customHeight="1" spans="1:23">
      <c r="A33" s="3">
        <f>IFERROR(__xludf.DUMMYFUNCTION("""COMPUTED_VALUE"""),46027)</f>
        <v>46027</v>
      </c>
      <c r="B33" s="1" t="str">
        <f>IFERROR(__xludf.DUMMYFUNCTION("""COMPUTED_VALUE"""),"NAVARRO, JERIC")</f>
        <v>NAVARRO, JERIC</v>
      </c>
      <c r="C33" s="1" t="str">
        <f>IFERROR(__xludf.DUMMYFUNCTION("""COMPUTED_VALUE"""),"FLA")</f>
        <v>FLA</v>
      </c>
      <c r="D33" s="1" t="str">
        <f>IFERROR(__xludf.DUMMYFUNCTION("""COMPUTED_VALUE"""),"JERIC NAVARRO")</f>
        <v>JERIC NAVARRO</v>
      </c>
      <c r="E33" s="1" t="str">
        <f>IFERROR(__xludf.DUMMYFUNCTION("""COMPUTED_VALUE"""),"PLDT")</f>
        <v>PLDT</v>
      </c>
      <c r="F33" s="1">
        <f>IFERROR(__xludf.DUMMYFUNCTION("""COMPUTED_VALUE"""),2306026781)</f>
        <v>2306026781</v>
      </c>
      <c r="G33" s="1"/>
      <c r="H33" s="1" t="str">
        <f>IFERROR(__xludf.DUMMYFUNCTION("""COMPUTED_VALUE"""),"9951286974")</f>
        <v>9951286974</v>
      </c>
      <c r="I33" s="1"/>
      <c r="J33" s="1"/>
      <c r="K33" s="1" t="str">
        <f>IFERROR(__xludf.DUMMYFUNCTION("""COMPUTED_VALUE"""),"BLK 16 LOT 15")</f>
        <v>BLK 16 LOT 15</v>
      </c>
      <c r="L33" s="1" t="str">
        <f>IFERROR(__xludf.DUMMYFUNCTION("""COMPUTED_VALUE"""),"VILLAFRANCISCA")</f>
        <v>VILLAFRANCISCA</v>
      </c>
      <c r="M33" s="1"/>
      <c r="N33" s="1" t="str">
        <f>IFERROR(__xludf.DUMMYFUNCTION("""COMPUTED_VALUE"""),"SANTOL")</f>
        <v>SANTOL</v>
      </c>
      <c r="O33" s="1" t="str">
        <f>IFERROR(__xludf.DUMMYFUNCTION("""COMPUTED_VALUE"""),"TANZA")</f>
        <v>TANZA</v>
      </c>
      <c r="P33" s="1" t="str">
        <f>IFERROR(__xludf.DUMMYFUNCTION("""COMPUTED_VALUE"""),"CAVITE")</f>
        <v>CAVITE</v>
      </c>
      <c r="Q33" s="1" t="str">
        <f>IFERROR(__xludf.DUMMYFUNCTION("""COMPUTED_VALUE"""),"FIBR PLAN 1699")</f>
        <v>FIBR PLAN 1699</v>
      </c>
      <c r="R33" s="1" t="str">
        <f>IFERROR(__xludf.DUMMYFUNCTION("""COMPUTED_VALUE"""),"APPROVED")</f>
        <v>APPROVED</v>
      </c>
      <c r="S33" s="1"/>
      <c r="T33" s="1"/>
      <c r="U33" s="1"/>
      <c r="V33" s="1"/>
      <c r="W33" s="1"/>
    </row>
    <row r="34" customHeight="1" spans="1:23">
      <c r="A34" s="3">
        <f>IFERROR(__xludf.DUMMYFUNCTION("""COMPUTED_VALUE"""),46027)</f>
        <v>46027</v>
      </c>
      <c r="B34" s="1" t="str">
        <f>IFERROR(__xludf.DUMMYFUNCTION("""COMPUTED_VALUE"""),"DE VERA, MARIVIC")</f>
        <v>DE VERA, MARIVIC</v>
      </c>
      <c r="C34" s="1" t="str">
        <f>IFERROR(__xludf.DUMMYFUNCTION("""COMPUTED_VALUE"""),"ORGANIC")</f>
        <v>ORGANIC</v>
      </c>
      <c r="D34" s="1" t="str">
        <f>IFERROR(__xludf.DUMMYFUNCTION("""COMPUTED_VALUE"""),"REMOLLO LEA")</f>
        <v>REMOLLO LEA</v>
      </c>
      <c r="E34" s="1" t="str">
        <f>IFERROR(__xludf.DUMMYFUNCTION("""COMPUTED_VALUE"""),"RED FIBER")</f>
        <v>RED FIBER</v>
      </c>
      <c r="F34" s="1"/>
      <c r="G34" s="1"/>
      <c r="H34" s="1" t="str">
        <f>IFERROR(__xludf.DUMMYFUNCTION("""COMPUTED_VALUE"""),"9065538938")</f>
        <v>9065538938</v>
      </c>
      <c r="I34" s="1"/>
      <c r="J34" s="1"/>
      <c r="K34" s="1" t="str">
        <f>IFERROR(__xludf.DUMMYFUNCTION("""COMPUTED_VALUE"""),"4")</f>
        <v>4</v>
      </c>
      <c r="L34" s="1" t="str">
        <f>IFERROR(__xludf.DUMMYFUNCTION("""COMPUTED_VALUE"""),"PUROK 179")</f>
        <v>PUROK 179</v>
      </c>
      <c r="M34" s="1"/>
      <c r="N34" s="1" t="str">
        <f>IFERROR(__xludf.DUMMYFUNCTION("""COMPUTED_VALUE"""),"SUNGAY NORTH")</f>
        <v>SUNGAY NORTH</v>
      </c>
      <c r="O34" s="1" t="str">
        <f>IFERROR(__xludf.DUMMYFUNCTION("""COMPUTED_VALUE"""),"TAGAYTAY")</f>
        <v>TAGAYTAY</v>
      </c>
      <c r="P34" s="1" t="str">
        <f>IFERROR(__xludf.DUMMYFUNCTION("""COMPUTED_VALUE"""),"CAVITE")</f>
        <v>CAVITE</v>
      </c>
      <c r="Q34" s="1" t="str">
        <f>IFERROR(__xludf.DUMMYFUNCTION("""COMPUTED_VALUE"""),"RED FIBER PLAN 1000")</f>
        <v>RED FIBER PLAN 1000</v>
      </c>
      <c r="R34" s="1" t="str">
        <f>IFERROR(__xludf.DUMMYFUNCTION("""COMPUTED_VALUE"""),"APPROVED")</f>
        <v>APPROVED</v>
      </c>
      <c r="S34" s="1"/>
      <c r="T34" s="1"/>
      <c r="U34" s="1"/>
      <c r="V34" s="1"/>
      <c r="W34" s="1"/>
    </row>
    <row r="35" customHeight="1" spans="1:23">
      <c r="A35" s="3">
        <f>IFERROR(__xludf.DUMMYFUNCTION("""COMPUTED_VALUE"""),46027)</f>
        <v>46027</v>
      </c>
      <c r="B35" s="1" t="str">
        <f>IFERROR(__xludf.DUMMYFUNCTION("""COMPUTED_VALUE"""),"FRANCISCO , ROSELYN")</f>
        <v>FRANCISCO , ROSELYN</v>
      </c>
      <c r="C35" s="1" t="str">
        <f>IFERROR(__xludf.DUMMYFUNCTION("""COMPUTED_VALUE"""),"ORGANIC")</f>
        <v>ORGANIC</v>
      </c>
      <c r="D35" s="1" t="str">
        <f>IFERROR(__xludf.DUMMYFUNCTION("""COMPUTED_VALUE"""),"ILANO MARK")</f>
        <v>ILANO MARK</v>
      </c>
      <c r="E35" s="1" t="str">
        <f>IFERROR(__xludf.DUMMYFUNCTION("""COMPUTED_VALUE"""),"HOME BIZZ")</f>
        <v>HOME BIZZ</v>
      </c>
      <c r="F35" s="1">
        <f>IFERROR(__xludf.DUMMYFUNCTION("""COMPUTED_VALUE"""),2306030746)</f>
        <v>2306030746</v>
      </c>
      <c r="G35" s="1"/>
      <c r="H35" s="1" t="str">
        <f>IFERROR(__xludf.DUMMYFUNCTION("""COMPUTED_VALUE"""),"9471816609")</f>
        <v>9471816609</v>
      </c>
      <c r="I35" s="1">
        <f>IFERROR(__xludf.DUMMYFUNCTION("""COMPUTED_VALUE"""),9153874533)</f>
        <v>9153874533</v>
      </c>
      <c r="J35" s="1"/>
      <c r="K35" s="1" t="str">
        <f>IFERROR(__xludf.DUMMYFUNCTION("""COMPUTED_VALUE"""),"2ND FLOOR")</f>
        <v>2ND FLOOR</v>
      </c>
      <c r="L35" s="1" t="str">
        <f>IFERROR(__xludf.DUMMYFUNCTION("""COMPUTED_VALUE"""),"INCREDIBLE BUILDING")</f>
        <v>INCREDIBLE BUILDING</v>
      </c>
      <c r="M35" s="1"/>
      <c r="N35" s="1" t="str">
        <f>IFERROR(__xludf.DUMMYFUNCTION("""COMPUTED_VALUE"""),"SAN GABRIEL (AREA K)")</f>
        <v>SAN GABRIEL (AREA K)</v>
      </c>
      <c r="O35" s="1" t="str">
        <f>IFERROR(__xludf.DUMMYFUNCTION("""COMPUTED_VALUE"""),"GEN MARIANO ALVAREZ")</f>
        <v>GEN MARIANO ALVAREZ</v>
      </c>
      <c r="P35" s="1" t="str">
        <f>IFERROR(__xludf.DUMMYFUNCTION("""COMPUTED_VALUE"""),"CAVITE")</f>
        <v>CAVITE</v>
      </c>
      <c r="Q35" s="1" t="str">
        <f>IFERROR(__xludf.DUMMYFUNCTION("""COMPUTED_VALUE"""),"HOMEBIZZ 1699")</f>
        <v>HOMEBIZZ 1699</v>
      </c>
      <c r="R35" s="1" t="str">
        <f>IFERROR(__xludf.DUMMYFUNCTION("""COMPUTED_VALUE"""),"APPROVED")</f>
        <v>APPROVED</v>
      </c>
      <c r="S35" s="1"/>
      <c r="T35" s="1"/>
      <c r="U35" s="1"/>
      <c r="V35" s="1"/>
      <c r="W35" s="1"/>
    </row>
    <row r="36" customHeight="1" spans="1:23">
      <c r="A36" s="3">
        <f>IFERROR(__xludf.DUMMYFUNCTION("""COMPUTED_VALUE"""),46027)</f>
        <v>46027</v>
      </c>
      <c r="B36" s="1" t="str">
        <f>IFERROR(__xludf.DUMMYFUNCTION("""COMPUTED_VALUE"""),"DACALCAP RUBEN")</f>
        <v>DACALCAP RUBEN</v>
      </c>
      <c r="C36" s="1" t="str">
        <f>IFERROR(__xludf.DUMMYFUNCTION("""COMPUTED_VALUE"""),"FLA")</f>
        <v>FLA</v>
      </c>
      <c r="D36" s="1" t="str">
        <f>IFERROR(__xludf.DUMMYFUNCTION("""COMPUTED_VALUE"""),"JERIC NAVARRO")</f>
        <v>JERIC NAVARRO</v>
      </c>
      <c r="E36" s="1" t="str">
        <f>IFERROR(__xludf.DUMMYFUNCTION("""COMPUTED_VALUE"""),"PLDT")</f>
        <v>PLDT</v>
      </c>
      <c r="F36" s="1">
        <f>IFERROR(__xludf.DUMMYFUNCTION("""COMPUTED_VALUE"""),2306027894)</f>
        <v>2306027894</v>
      </c>
      <c r="G36" s="1"/>
      <c r="H36" s="1" t="str">
        <f>IFERROR(__xludf.DUMMYFUNCTION("""COMPUTED_VALUE"""),"9911855354")</f>
        <v>9911855354</v>
      </c>
      <c r="I36" s="1">
        <f>IFERROR(__xludf.DUMMYFUNCTION("""COMPUTED_VALUE"""),9814202006)</f>
        <v>9814202006</v>
      </c>
      <c r="J36" s="1"/>
      <c r="K36" s="1" t="str">
        <f>IFERROR(__xludf.DUMMYFUNCTION("""COMPUTED_VALUE"""),"9999B")</f>
        <v>9999B</v>
      </c>
      <c r="L36" s="1" t="str">
        <f>IFERROR(__xludf.DUMMYFUNCTION("""COMPUTED_VALUE"""),"BAYACAL")</f>
        <v>BAYACAL</v>
      </c>
      <c r="M36" s="1"/>
      <c r="N36" s="1" t="str">
        <f>IFERROR(__xludf.DUMMYFUNCTION("""COMPUTED_VALUE"""),"SABUTAN")</f>
        <v>SABUTAN</v>
      </c>
      <c r="O36" s="1" t="str">
        <f>IFERROR(__xludf.DUMMYFUNCTION("""COMPUTED_VALUE"""),"SILANG")</f>
        <v>SILANG</v>
      </c>
      <c r="P36" s="1" t="str">
        <f>IFERROR(__xludf.DUMMYFUNCTION("""COMPUTED_VALUE"""),"CAVITE")</f>
        <v>CAVITE</v>
      </c>
      <c r="Q36" s="1" t="str">
        <f>IFERROR(__xludf.DUMMYFUNCTION("""COMPUTED_VALUE"""),"FIBR PLAN 1599")</f>
        <v>FIBR PLAN 1599</v>
      </c>
      <c r="R36" s="1" t="str">
        <f>IFERROR(__xludf.DUMMYFUNCTION("""COMPUTED_VALUE"""),"APPROVED")</f>
        <v>APPROVED</v>
      </c>
      <c r="S36" s="1"/>
      <c r="T36" s="1"/>
      <c r="U36" s="1"/>
      <c r="V36" s="1"/>
      <c r="W36" s="1"/>
    </row>
    <row r="37" customHeight="1" spans="1:23">
      <c r="A37" s="3">
        <f>IFERROR(__xludf.DUMMYFUNCTION("""COMPUTED_VALUE"""),46027)</f>
        <v>46027</v>
      </c>
      <c r="B37" s="1" t="str">
        <f>IFERROR(__xludf.DUMMYFUNCTION("""COMPUTED_VALUE"""),"CADERAO, RONALD")</f>
        <v>CADERAO, RONALD</v>
      </c>
      <c r="C37" s="1" t="str">
        <f>IFERROR(__xludf.DUMMYFUNCTION("""COMPUTED_VALUE"""),"ORGANIC")</f>
        <v>ORGANIC</v>
      </c>
      <c r="D37" s="1" t="str">
        <f>IFERROR(__xludf.DUMMYFUNCTION("""COMPUTED_VALUE"""),"ILANO MARK")</f>
        <v>ILANO MARK</v>
      </c>
      <c r="E37" s="1" t="str">
        <f>IFERROR(__xludf.DUMMYFUNCTION("""COMPUTED_VALUE"""),"PLDT")</f>
        <v>PLDT</v>
      </c>
      <c r="F37" s="1">
        <f>IFERROR(__xludf.DUMMYFUNCTION("""COMPUTED_VALUE"""),2306029351)</f>
        <v>2306029351</v>
      </c>
      <c r="G37" s="1"/>
      <c r="H37" s="1" t="str">
        <f>IFERROR(__xludf.DUMMYFUNCTION("""COMPUTED_VALUE"""),"9472971900")</f>
        <v>9472971900</v>
      </c>
      <c r="I37" s="1">
        <f>IFERROR(__xludf.DUMMYFUNCTION("""COMPUTED_VALUE"""),9108240311)</f>
        <v>9108240311</v>
      </c>
      <c r="J37" s="1"/>
      <c r="K37" s="1" t="str">
        <f>IFERROR(__xludf.DUMMYFUNCTION("""COMPUTED_VALUE"""),"22")</f>
        <v>22</v>
      </c>
      <c r="L37" s="1" t="str">
        <f>IFERROR(__xludf.DUMMYFUNCTION("""COMPUTED_VALUE"""),"UNIT 3")</f>
        <v>UNIT 3</v>
      </c>
      <c r="M37" s="1"/>
      <c r="N37" s="1" t="str">
        <f>IFERROR(__xludf.DUMMYFUNCTION("""COMPUTED_VALUE"""),"GREGORIA DE JESUS")</f>
        <v>GREGORIA DE JESUS</v>
      </c>
      <c r="O37" s="1" t="str">
        <f>IFERROR(__xludf.DUMMYFUNCTION("""COMPUTED_VALUE"""),"GEN MARIANO ALVAREZ")</f>
        <v>GEN MARIANO ALVAREZ</v>
      </c>
      <c r="P37" s="1" t="str">
        <f>IFERROR(__xludf.DUMMYFUNCTION("""COMPUTED_VALUE"""),"CAVITE")</f>
        <v>CAVITE</v>
      </c>
      <c r="Q37" s="1" t="str">
        <f>IFERROR(__xludf.DUMMYFUNCTION("""COMPUTED_VALUE"""),"FIBR PLAN 1599")</f>
        <v>FIBR PLAN 1599</v>
      </c>
      <c r="R37" s="1" t="str">
        <f>IFERROR(__xludf.DUMMYFUNCTION("""COMPUTED_VALUE"""),"APPROVED")</f>
        <v>APPROVED</v>
      </c>
      <c r="S37" s="1"/>
      <c r="T37" s="1"/>
      <c r="U37" s="1"/>
      <c r="V37" s="1"/>
      <c r="W37" s="1"/>
    </row>
    <row r="38" customHeight="1" spans="1:23">
      <c r="A38" s="3">
        <f>IFERROR(__xludf.DUMMYFUNCTION("""COMPUTED_VALUE"""),46027)</f>
        <v>46027</v>
      </c>
      <c r="B38" s="1" t="str">
        <f>IFERROR(__xludf.DUMMYFUNCTION("""COMPUTED_VALUE"""),"DE VERA, MARIVIC")</f>
        <v>DE VERA, MARIVIC</v>
      </c>
      <c r="C38" s="1" t="str">
        <f>IFERROR(__xludf.DUMMYFUNCTION("""COMPUTED_VALUE"""),"ORGANIC")</f>
        <v>ORGANIC</v>
      </c>
      <c r="D38" s="1" t="str">
        <f>IFERROR(__xludf.DUMMYFUNCTION("""COMPUTED_VALUE"""),"ILANO MARK")</f>
        <v>ILANO MARK</v>
      </c>
      <c r="E38" s="1" t="str">
        <f>IFERROR(__xludf.DUMMYFUNCTION("""COMPUTED_VALUE"""),"PLDT")</f>
        <v>PLDT</v>
      </c>
      <c r="F38" s="1">
        <f>IFERROR(__xludf.DUMMYFUNCTION("""COMPUTED_VALUE"""),2306031622)</f>
        <v>2306031622</v>
      </c>
      <c r="G38" s="1"/>
      <c r="H38" s="1" t="str">
        <f>IFERROR(__xludf.DUMMYFUNCTION("""COMPUTED_VALUE"""),"9060877750")</f>
        <v>9060877750</v>
      </c>
      <c r="I38" s="1"/>
      <c r="J38" s="1"/>
      <c r="K38" s="1" t="str">
        <f>IFERROR(__xludf.DUMMYFUNCTION("""COMPUTED_VALUE"""),"489")</f>
        <v>489</v>
      </c>
      <c r="L38" s="1" t="str">
        <f>IFERROR(__xludf.DUMMYFUNCTION("""COMPUTED_VALUE"""),"ZAMBAL")</f>
        <v>ZAMBAL</v>
      </c>
      <c r="M38" s="1"/>
      <c r="N38" s="1" t="str">
        <f>IFERROR(__xludf.DUMMYFUNCTION("""COMPUTED_VALUE"""),"NEOGAN")</f>
        <v>NEOGAN</v>
      </c>
      <c r="O38" s="1" t="str">
        <f>IFERROR(__xludf.DUMMYFUNCTION("""COMPUTED_VALUE"""),"TAGAYTAY")</f>
        <v>TAGAYTAY</v>
      </c>
      <c r="P38" s="1" t="str">
        <f>IFERROR(__xludf.DUMMYFUNCTION("""COMPUTED_VALUE"""),"CAVITE")</f>
        <v>CAVITE</v>
      </c>
      <c r="Q38" s="1" t="str">
        <f>IFERROR(__xludf.DUMMYFUNCTION("""COMPUTED_VALUE"""),"PREPAID 999")</f>
        <v>PREPAID 999</v>
      </c>
      <c r="R38" s="1" t="str">
        <f>IFERROR(__xludf.DUMMYFUNCTION("""COMPUTED_VALUE"""),"APPROVED")</f>
        <v>APPROVED</v>
      </c>
      <c r="S38" s="1"/>
      <c r="T38" s="1"/>
      <c r="U38" s="1"/>
      <c r="V38" s="1"/>
      <c r="W38" s="1"/>
    </row>
    <row r="39" customHeight="1" spans="1:23">
      <c r="A39" s="3">
        <f>IFERROR(__xludf.DUMMYFUNCTION("""COMPUTED_VALUE"""),46027)</f>
        <v>46027</v>
      </c>
      <c r="B39" s="1" t="str">
        <f>IFERROR(__xludf.DUMMYFUNCTION("""COMPUTED_VALUE"""),"FRANCISCO , ROSELYN")</f>
        <v>FRANCISCO , ROSELYN</v>
      </c>
      <c r="C39" s="1" t="str">
        <f>IFERROR(__xludf.DUMMYFUNCTION("""COMPUTED_VALUE"""),"ORGANIC")</f>
        <v>ORGANIC</v>
      </c>
      <c r="D39" s="1" t="str">
        <f>IFERROR(__xludf.DUMMYFUNCTION("""COMPUTED_VALUE"""),"REMOLLO LEA")</f>
        <v>REMOLLO LEA</v>
      </c>
      <c r="E39" s="1" t="str">
        <f>IFERROR(__xludf.DUMMYFUNCTION("""COMPUTED_VALUE"""),"RED FIBER")</f>
        <v>RED FIBER</v>
      </c>
      <c r="F39" s="1"/>
      <c r="G39" s="1"/>
      <c r="H39" s="1" t="str">
        <f>IFERROR(__xludf.DUMMYFUNCTION("""COMPUTED_VALUE"""),"9653901829")</f>
        <v>9653901829</v>
      </c>
      <c r="I39" s="1"/>
      <c r="J39" s="1"/>
      <c r="K39" s="1" t="str">
        <f>IFERROR(__xludf.DUMMYFUNCTION("""COMPUTED_VALUE"""),"10")</f>
        <v>10</v>
      </c>
      <c r="L39" s="1" t="str">
        <f>IFERROR(__xludf.DUMMYFUNCTION("""COMPUTED_VALUE"""),"SAN FRANCISCO ST")</f>
        <v>SAN FRANCISCO ST</v>
      </c>
      <c r="M39" s="1"/>
      <c r="N39" s="1" t="str">
        <f>IFERROR(__xludf.DUMMYFUNCTION("""COMPUTED_VALUE"""),"ASIS I")</f>
        <v>ASIS I</v>
      </c>
      <c r="O39" s="1" t="str">
        <f>IFERROR(__xludf.DUMMYFUNCTION("""COMPUTED_VALUE"""),"MENDEZ")</f>
        <v>MENDEZ</v>
      </c>
      <c r="P39" s="1" t="str">
        <f>IFERROR(__xludf.DUMMYFUNCTION("""COMPUTED_VALUE"""),"CAVITE")</f>
        <v>CAVITE</v>
      </c>
      <c r="Q39" s="1" t="str">
        <f>IFERROR(__xludf.DUMMYFUNCTION("""COMPUTED_VALUE"""),"RED FIBER PLAN 1000")</f>
        <v>RED FIBER PLAN 1000</v>
      </c>
      <c r="R39" s="1" t="str">
        <f>IFERROR(__xludf.DUMMYFUNCTION("""COMPUTED_VALUE"""),"APPROVED")</f>
        <v>APPROVED</v>
      </c>
      <c r="S39" s="1"/>
      <c r="T39" s="1"/>
      <c r="U39" s="1"/>
      <c r="V39" s="1"/>
      <c r="W39" s="1"/>
    </row>
    <row r="40" customHeight="1" spans="1:23">
      <c r="A40" s="3">
        <f>IFERROR(__xludf.DUMMYFUNCTION("""COMPUTED_VALUE"""),46027)</f>
        <v>46027</v>
      </c>
      <c r="B40" s="1" t="str">
        <f>IFERROR(__xludf.DUMMYFUNCTION("""COMPUTED_VALUE"""),"FRANCISCO , ROSELYN")</f>
        <v>FRANCISCO , ROSELYN</v>
      </c>
      <c r="C40" s="1" t="str">
        <f>IFERROR(__xludf.DUMMYFUNCTION("""COMPUTED_VALUE"""),"ORGANIC")</f>
        <v>ORGANIC</v>
      </c>
      <c r="D40" s="1" t="str">
        <f>IFERROR(__xludf.DUMMYFUNCTION("""COMPUTED_VALUE"""),"REMOLLO LEA")</f>
        <v>REMOLLO LEA</v>
      </c>
      <c r="E40" s="1" t="str">
        <f>IFERROR(__xludf.DUMMYFUNCTION("""COMPUTED_VALUE"""),"RED FIBER")</f>
        <v>RED FIBER</v>
      </c>
      <c r="F40" s="1"/>
      <c r="G40" s="1"/>
      <c r="H40" s="1" t="str">
        <f>IFERROR(__xludf.DUMMYFUNCTION("""COMPUTED_VALUE"""),"9368340824")</f>
        <v>9368340824</v>
      </c>
      <c r="I40" s="1"/>
      <c r="J40" s="1"/>
      <c r="K40" s="1" t="str">
        <f>IFERROR(__xludf.DUMMYFUNCTION("""COMPUTED_VALUE"""),"108")</f>
        <v>108</v>
      </c>
      <c r="L40" s="1" t="str">
        <f>IFERROR(__xludf.DUMMYFUNCTION("""COMPUTED_VALUE"""),"ZAMORA")</f>
        <v>ZAMORA</v>
      </c>
      <c r="M40" s="1"/>
      <c r="N40" s="1" t="str">
        <f>IFERROR(__xludf.DUMMYFUNCTION("""COMPUTED_VALUE"""),"ASIS I")</f>
        <v>ASIS I</v>
      </c>
      <c r="O40" s="1" t="str">
        <f>IFERROR(__xludf.DUMMYFUNCTION("""COMPUTED_VALUE"""),"MENDEZ")</f>
        <v>MENDEZ</v>
      </c>
      <c r="P40" s="1" t="str">
        <f>IFERROR(__xludf.DUMMYFUNCTION("""COMPUTED_VALUE"""),"CAVITE")</f>
        <v>CAVITE</v>
      </c>
      <c r="Q40" s="1" t="str">
        <f>IFERROR(__xludf.DUMMYFUNCTION("""COMPUTED_VALUE"""),"RED FIBER PLAN 1000")</f>
        <v>RED FIBER PLAN 1000</v>
      </c>
      <c r="R40" s="1" t="str">
        <f>IFERROR(__xludf.DUMMYFUNCTION("""COMPUTED_VALUE"""),"APPROVED")</f>
        <v>APPROVED</v>
      </c>
      <c r="S40" s="1"/>
      <c r="T40" s="1"/>
      <c r="U40" s="1"/>
      <c r="V40" s="1"/>
      <c r="W40" s="1"/>
    </row>
    <row r="41" customHeight="1" spans="1:23">
      <c r="A41" s="3">
        <f>IFERROR(__xludf.DUMMYFUNCTION("""COMPUTED_VALUE"""),46028)</f>
        <v>46028</v>
      </c>
      <c r="B41" s="1" t="str">
        <f>IFERROR(__xludf.DUMMYFUNCTION("""COMPUTED_VALUE"""),"GABAY, MANUEL")</f>
        <v>GABAY, MANUEL</v>
      </c>
      <c r="C41" s="1" t="str">
        <f>IFERROR(__xludf.DUMMYFUNCTION("""COMPUTED_VALUE"""),"FLA")</f>
        <v>FLA</v>
      </c>
      <c r="D41" s="1" t="str">
        <f>IFERROR(__xludf.DUMMYFUNCTION("""COMPUTED_VALUE"""),"JERIC NAVARRO")</f>
        <v>JERIC NAVARRO</v>
      </c>
      <c r="E41" s="1" t="str">
        <f>IFERROR(__xludf.DUMMYFUNCTION("""COMPUTED_VALUE"""),"PLDT")</f>
        <v>PLDT</v>
      </c>
      <c r="F41" s="1">
        <f>IFERROR(__xludf.DUMMYFUNCTION("""COMPUTED_VALUE"""),2306042474)</f>
        <v>2306042474</v>
      </c>
      <c r="G41" s="1"/>
      <c r="H41" s="1" t="str">
        <f>IFERROR(__xludf.DUMMYFUNCTION("""COMPUTED_VALUE"""),"9293043929")</f>
        <v>9293043929</v>
      </c>
      <c r="I41" s="1">
        <f>IFERROR(__xludf.DUMMYFUNCTION("""COMPUTED_VALUE"""),9109362226)</f>
        <v>9109362226</v>
      </c>
      <c r="J41" s="1"/>
      <c r="K41" s="1" t="str">
        <f>IFERROR(__xludf.DUMMYFUNCTION("""COMPUTED_VALUE"""),"BLK 3A")</f>
        <v>BLK 3A</v>
      </c>
      <c r="L41" s="1" t="str">
        <f>IFERROR(__xludf.DUMMYFUNCTION("""COMPUTED_VALUE"""),"TENIENTE RD")</f>
        <v>TENIENTE RD</v>
      </c>
      <c r="M41" s="1"/>
      <c r="N41" s="1" t="str">
        <f>IFERROR(__xludf.DUMMYFUNCTION("""COMPUTED_VALUE"""),"TINIENTE TIAGO")</f>
        <v>TINIENTE TIAGO</v>
      </c>
      <c r="O41" s="1" t="str">
        <f>IFERROR(__xludf.DUMMYFUNCTION("""COMPUTED_VALUE"""),"GEN MARIANO ALVAREZ")</f>
        <v>GEN MARIANO ALVAREZ</v>
      </c>
      <c r="P41" s="1" t="str">
        <f>IFERROR(__xludf.DUMMYFUNCTION("""COMPUTED_VALUE"""),"CAVITE")</f>
        <v>CAVITE</v>
      </c>
      <c r="Q41" s="1" t="str">
        <f>IFERROR(__xludf.DUMMYFUNCTION("""COMPUTED_VALUE"""),"FIBR PLAN 1399")</f>
        <v>FIBR PLAN 1399</v>
      </c>
      <c r="R41" s="1" t="str">
        <f>IFERROR(__xludf.DUMMYFUNCTION("""COMPUTED_VALUE"""),"APPROVED")</f>
        <v>APPROVED</v>
      </c>
      <c r="S41" s="1"/>
      <c r="T41" s="1"/>
      <c r="U41" s="1"/>
      <c r="V41" s="1"/>
      <c r="W41" s="1"/>
    </row>
    <row r="42" customHeight="1" spans="1:23">
      <c r="A42" s="3">
        <f>IFERROR(__xludf.DUMMYFUNCTION("""COMPUTED_VALUE"""),46028)</f>
        <v>46028</v>
      </c>
      <c r="B42" s="1" t="str">
        <f>IFERROR(__xludf.DUMMYFUNCTION("""COMPUTED_VALUE"""),"AYON MANUEL")</f>
        <v>AYON MANUEL</v>
      </c>
      <c r="C42" s="1" t="str">
        <f>IFERROR(__xludf.DUMMYFUNCTION("""COMPUTED_VALUE"""),"FLA")</f>
        <v>FLA</v>
      </c>
      <c r="D42" s="1" t="str">
        <f>IFERROR(__xludf.DUMMYFUNCTION("""COMPUTED_VALUE"""),"JERIC NAVARRO")</f>
        <v>JERIC NAVARRO</v>
      </c>
      <c r="E42" s="1" t="str">
        <f>IFERROR(__xludf.DUMMYFUNCTION("""COMPUTED_VALUE"""),"PLDT")</f>
        <v>PLDT</v>
      </c>
      <c r="F42" s="1">
        <f>IFERROR(__xludf.DUMMYFUNCTION("""COMPUTED_VALUE"""),2306044118)</f>
        <v>2306044118</v>
      </c>
      <c r="G42" s="1"/>
      <c r="H42" s="1" t="str">
        <f>IFERROR(__xludf.DUMMYFUNCTION("""COMPUTED_VALUE"""),"9614474932")</f>
        <v>9614474932</v>
      </c>
      <c r="I42" s="1">
        <f>IFERROR(__xludf.DUMMYFUNCTION("""COMPUTED_VALUE"""),9644474940)</f>
        <v>9644474940</v>
      </c>
      <c r="J42" s="1"/>
      <c r="K42" s="1" t="str">
        <f>IFERROR(__xludf.DUMMYFUNCTION("""COMPUTED_VALUE"""),"LOT 3")</f>
        <v>LOT 3</v>
      </c>
      <c r="L42" s="1" t="str">
        <f>IFERROR(__xludf.DUMMYFUNCTION("""COMPUTED_VALUE"""),"SABUTAN")</f>
        <v>SABUTAN</v>
      </c>
      <c r="M42" s="1"/>
      <c r="N42" s="1" t="str">
        <f>IFERROR(__xludf.DUMMYFUNCTION("""COMPUTED_VALUE"""),"SABUTAN")</f>
        <v>SABUTAN</v>
      </c>
      <c r="O42" s="1" t="str">
        <f>IFERROR(__xludf.DUMMYFUNCTION("""COMPUTED_VALUE"""),"SILANG")</f>
        <v>SILANG</v>
      </c>
      <c r="P42" s="1" t="str">
        <f>IFERROR(__xludf.DUMMYFUNCTION("""COMPUTED_VALUE"""),"CAVITE")</f>
        <v>CAVITE</v>
      </c>
      <c r="Q42" s="1" t="str">
        <f>IFERROR(__xludf.DUMMYFUNCTION("""COMPUTED_VALUE"""),"HOMEBIZZ 1699")</f>
        <v>HOMEBIZZ 1699</v>
      </c>
      <c r="R42" s="1" t="str">
        <f>IFERROR(__xludf.DUMMYFUNCTION("""COMPUTED_VALUE"""),"APPROVED")</f>
        <v>APPROVED</v>
      </c>
      <c r="S42" s="1"/>
      <c r="T42" s="1"/>
      <c r="U42" s="1"/>
      <c r="V42" s="1"/>
      <c r="W42" s="1"/>
    </row>
    <row r="43" customHeight="1" spans="1:23">
      <c r="A43" s="3">
        <f>IFERROR(__xludf.DUMMYFUNCTION("""COMPUTED_VALUE"""),46028)</f>
        <v>46028</v>
      </c>
      <c r="B43" s="1" t="str">
        <f>IFERROR(__xludf.DUMMYFUNCTION("""COMPUTED_VALUE"""),"IVNO, RAZZEL")</f>
        <v>IVNO, RAZZEL</v>
      </c>
      <c r="C43" s="1" t="str">
        <f>IFERROR(__xludf.DUMMYFUNCTION("""COMPUTED_VALUE"""),"ORGANIC")</f>
        <v>ORGANIC</v>
      </c>
      <c r="D43" s="1" t="str">
        <f>IFERROR(__xludf.DUMMYFUNCTION("""COMPUTED_VALUE"""),"ILANO MARK")</f>
        <v>ILANO MARK</v>
      </c>
      <c r="E43" s="1" t="str">
        <f>IFERROR(__xludf.DUMMYFUNCTION("""COMPUTED_VALUE"""),"PLDT")</f>
        <v>PLDT</v>
      </c>
      <c r="F43" s="1">
        <f>IFERROR(__xludf.DUMMYFUNCTION("""COMPUTED_VALUE"""),2306045021)</f>
        <v>2306045021</v>
      </c>
      <c r="G43" s="1"/>
      <c r="H43" s="1" t="str">
        <f>IFERROR(__xludf.DUMMYFUNCTION("""COMPUTED_VALUE"""),"9454413385")</f>
        <v>9454413385</v>
      </c>
      <c r="I43" s="1">
        <f>IFERROR(__xludf.DUMMYFUNCTION("""COMPUTED_VALUE"""),9189045621)</f>
        <v>9189045621</v>
      </c>
      <c r="J43" s="1"/>
      <c r="K43" s="1" t="str">
        <f>IFERROR(__xludf.DUMMYFUNCTION("""COMPUTED_VALUE"""),"230")</f>
        <v>230</v>
      </c>
      <c r="L43" s="1" t="str">
        <f>IFERROR(__xludf.DUMMYFUNCTION("""COMPUTED_VALUE"""),"MALIHAN")</f>
        <v>MALIHAN</v>
      </c>
      <c r="M43" s="1"/>
      <c r="N43" s="1" t="str">
        <f>IFERROR(__xludf.DUMMYFUNCTION("""COMPUTED_VALUE"""),"ZONE IV (POB.)")</f>
        <v>ZONE IV (POB.)</v>
      </c>
      <c r="O43" s="1" t="str">
        <f>IFERROR(__xludf.DUMMYFUNCTION("""COMPUTED_VALUE"""),"DASMARINAS")</f>
        <v>DASMARINAS</v>
      </c>
      <c r="P43" s="1" t="str">
        <f>IFERROR(__xludf.DUMMYFUNCTION("""COMPUTED_VALUE"""),"CAVITE")</f>
        <v>CAVITE</v>
      </c>
      <c r="Q43" s="1" t="str">
        <f>IFERROR(__xludf.DUMMYFUNCTION("""COMPUTED_VALUE"""),"FIBR PLAN 1399")</f>
        <v>FIBR PLAN 1399</v>
      </c>
      <c r="R43" s="1" t="str">
        <f>IFERROR(__xludf.DUMMYFUNCTION("""COMPUTED_VALUE"""),"APPROVED")</f>
        <v>APPROVED</v>
      </c>
      <c r="S43" s="1"/>
      <c r="T43" s="1"/>
      <c r="U43" s="1"/>
      <c r="V43" s="1"/>
      <c r="W43" s="1"/>
    </row>
    <row r="44" customHeight="1" spans="1:23">
      <c r="A44" s="3">
        <f>IFERROR(__xludf.DUMMYFUNCTION("""COMPUTED_VALUE"""),46028)</f>
        <v>46028</v>
      </c>
      <c r="B44" s="1" t="str">
        <f>IFERROR(__xludf.DUMMYFUNCTION("""COMPUTED_VALUE"""),"ESCARCHA, MA ALMA  ESCOTO")</f>
        <v>ESCARCHA, MA ALMA  ESCOTO</v>
      </c>
      <c r="C44" s="1" t="str">
        <f>IFERROR(__xludf.DUMMYFUNCTION("""COMPUTED_VALUE"""),"ORGANIC")</f>
        <v>ORGANIC</v>
      </c>
      <c r="D44" s="1" t="str">
        <f>IFERROR(__xludf.DUMMYFUNCTION("""COMPUTED_VALUE"""),"ILANO MARK")</f>
        <v>ILANO MARK</v>
      </c>
      <c r="E44" s="1" t="str">
        <f>IFERROR(__xludf.DUMMYFUNCTION("""COMPUTED_VALUE"""),"PLDT")</f>
        <v>PLDT</v>
      </c>
      <c r="F44" s="1">
        <f>IFERROR(__xludf.DUMMYFUNCTION("""COMPUTED_VALUE"""),2306043834)</f>
        <v>2306043834</v>
      </c>
      <c r="G44" s="1"/>
      <c r="H44" s="1" t="str">
        <f>IFERROR(__xludf.DUMMYFUNCTION("""COMPUTED_VALUE"""),"9124933015")</f>
        <v>9124933015</v>
      </c>
      <c r="I44" s="1"/>
      <c r="J44" s="1"/>
      <c r="K44" s="1" t="str">
        <f>IFERROR(__xludf.DUMMYFUNCTION("""COMPUTED_VALUE"""),"BLK 40 LOT 3")</f>
        <v>BLK 40 LOT 3</v>
      </c>
      <c r="L44" s="1" t="str">
        <f>IFERROR(__xludf.DUMMYFUNCTION("""COMPUTED_VALUE"""),"YAKAL")</f>
        <v>YAKAL</v>
      </c>
      <c r="M44" s="1"/>
      <c r="N44" s="1" t="str">
        <f>IFERROR(__xludf.DUMMYFUNCTION("""COMPUTED_VALUE"""),"YAKAL")</f>
        <v>YAKAL</v>
      </c>
      <c r="O44" s="1" t="str">
        <f>IFERROR(__xludf.DUMMYFUNCTION("""COMPUTED_VALUE"""),"SILANG")</f>
        <v>SILANG</v>
      </c>
      <c r="P44" s="1" t="str">
        <f>IFERROR(__xludf.DUMMYFUNCTION("""COMPUTED_VALUE"""),"CAVITE")</f>
        <v>CAVITE</v>
      </c>
      <c r="Q44" s="1" t="str">
        <f>IFERROR(__xludf.DUMMYFUNCTION("""COMPUTED_VALUE"""),"FIBR PLAN 1399")</f>
        <v>FIBR PLAN 1399</v>
      </c>
      <c r="R44" s="1" t="str">
        <f>IFERROR(__xludf.DUMMYFUNCTION("""COMPUTED_VALUE"""),"APPROVED")</f>
        <v>APPROVED</v>
      </c>
      <c r="S44" s="1"/>
      <c r="T44" s="1"/>
      <c r="U44" s="1"/>
      <c r="V44" s="1"/>
      <c r="W44" s="1"/>
    </row>
    <row r="45" customHeight="1" spans="1:23">
      <c r="A45" s="3">
        <f>IFERROR(__xludf.DUMMYFUNCTION("""COMPUTED_VALUE"""),46028)</f>
        <v>46028</v>
      </c>
      <c r="B45" s="1" t="str">
        <f>IFERROR(__xludf.DUMMYFUNCTION("""COMPUTED_VALUE"""),"MALIWAT MARK ELVIN")</f>
        <v>MALIWAT MARK ELVIN</v>
      </c>
      <c r="C45" s="1" t="str">
        <f>IFERROR(__xludf.DUMMYFUNCTION("""COMPUTED_VALUE"""),"FLA")</f>
        <v>FLA</v>
      </c>
      <c r="D45" s="1" t="str">
        <f>IFERROR(__xludf.DUMMYFUNCTION("""COMPUTED_VALUE"""),"JERIC NAVARRO")</f>
        <v>JERIC NAVARRO</v>
      </c>
      <c r="E45" s="1" t="str">
        <f>IFERROR(__xludf.DUMMYFUNCTION("""COMPUTED_VALUE"""),"PLDT")</f>
        <v>PLDT</v>
      </c>
      <c r="F45" s="1"/>
      <c r="G45" s="1"/>
      <c r="H45" s="1" t="str">
        <f>IFERROR(__xludf.DUMMYFUNCTION("""COMPUTED_VALUE"""),"9663841186")</f>
        <v>9663841186</v>
      </c>
      <c r="I45" s="1">
        <f>IFERROR(__xludf.DUMMYFUNCTION("""COMPUTED_VALUE"""),9663841176)</f>
        <v>9663841176</v>
      </c>
      <c r="J45" s="1"/>
      <c r="K45" s="1" t="str">
        <f>IFERROR(__xludf.DUMMYFUNCTION("""COMPUTED_VALUE"""),"BLK 2 LOT 5")</f>
        <v>BLK 2 LOT 5</v>
      </c>
      <c r="L45" s="1" t="str">
        <f>IFERROR(__xludf.DUMMYFUNCTION("""COMPUTED_VALUE"""),"PHASE 2")</f>
        <v>PHASE 2</v>
      </c>
      <c r="M45" s="1"/>
      <c r="N45" s="1"/>
      <c r="O45" s="1"/>
      <c r="P45" s="1" t="str">
        <f>IFERROR(__xludf.DUMMYFUNCTION("""COMPUTED_VALUE"""),"BATANGAS")</f>
        <v>BATANGAS</v>
      </c>
      <c r="Q45" s="1" t="str">
        <f>IFERROR(__xludf.DUMMYFUNCTION("""COMPUTED_VALUE"""),"FIBR PLAN 999 W/ CIGNAL")</f>
        <v>FIBR PLAN 999 W/ CIGNAL</v>
      </c>
      <c r="R45" s="1" t="str">
        <f>IFERROR(__xludf.DUMMYFUNCTION("""COMPUTED_VALUE"""),"APPROVED")</f>
        <v>APPROVED</v>
      </c>
      <c r="S45" s="1" t="str">
        <f>IFERROR(__xludf.DUMMYFUNCTION("""COMPUTED_VALUE"""),"ALREADY ENDORSED SA BATANGAS")</f>
        <v>ALREADY ENDORSED SA BATANGAS</v>
      </c>
      <c r="T45" s="1"/>
      <c r="U45" s="1"/>
      <c r="V45" s="1"/>
      <c r="W45" s="1"/>
    </row>
    <row r="46" customHeight="1" spans="1:23">
      <c r="A46" s="3">
        <f>IFERROR(__xludf.DUMMYFUNCTION("""COMPUTED_VALUE"""),46028)</f>
        <v>46028</v>
      </c>
      <c r="B46" s="1" t="str">
        <f>IFERROR(__xludf.DUMMYFUNCTION("""COMPUTED_VALUE"""),"ESCARCHA, MA ALMA  ESCOTO")</f>
        <v>ESCARCHA, MA ALMA  ESCOTO</v>
      </c>
      <c r="C46" s="1" t="str">
        <f>IFERROR(__xludf.DUMMYFUNCTION("""COMPUTED_VALUE"""),"ORGANIC")</f>
        <v>ORGANIC</v>
      </c>
      <c r="D46" s="1" t="str">
        <f>IFERROR(__xludf.DUMMYFUNCTION("""COMPUTED_VALUE"""),"ILANO MARK")</f>
        <v>ILANO MARK</v>
      </c>
      <c r="E46" s="1" t="str">
        <f>IFERROR(__xludf.DUMMYFUNCTION("""COMPUTED_VALUE"""),"PLDT")</f>
        <v>PLDT</v>
      </c>
      <c r="F46" s="1"/>
      <c r="G46" s="1"/>
      <c r="H46" s="1" t="str">
        <f>IFERROR(__xludf.DUMMYFUNCTION("""COMPUTED_VALUE"""),"9533679286")</f>
        <v>9533679286</v>
      </c>
      <c r="I46" s="1">
        <f>IFERROR(__xludf.DUMMYFUNCTION("""COMPUTED_VALUE"""),9368942600)</f>
        <v>9368942600</v>
      </c>
      <c r="J46" s="1"/>
      <c r="K46" s="1" t="str">
        <f>IFERROR(__xludf.DUMMYFUNCTION("""COMPUTED_VALUE"""),"J11-17")</f>
        <v>J11-17</v>
      </c>
      <c r="L46" s="1" t="str">
        <f>IFERROR(__xludf.DUMMYFUNCTION("""COMPUTED_VALUE"""),"TROPICAL VILLAGE")</f>
        <v>TROPICAL VILLAGE</v>
      </c>
      <c r="M46" s="1"/>
      <c r="N46" s="1" t="str">
        <f>IFERROR(__xludf.DUMMYFUNCTION("""COMPUTED_VALUE"""),"SAN FRANCISCO")</f>
        <v>SAN FRANCISCO</v>
      </c>
      <c r="O46" s="1" t="str">
        <f>IFERROR(__xludf.DUMMYFUNCTION("""COMPUTED_VALUE"""),"GENERAL TRIAS")</f>
        <v>GENERAL TRIAS</v>
      </c>
      <c r="P46" s="1" t="str">
        <f>IFERROR(__xludf.DUMMYFUNCTION("""COMPUTED_VALUE"""),"CAVITE")</f>
        <v>CAVITE</v>
      </c>
      <c r="Q46" s="1" t="str">
        <f>IFERROR(__xludf.DUMMYFUNCTION("""COMPUTED_VALUE"""),"FIBR PLAN 1399")</f>
        <v>FIBR PLAN 1399</v>
      </c>
      <c r="R46" s="1" t="str">
        <f>IFERROR(__xludf.DUMMYFUNCTION("""COMPUTED_VALUE"""),"RETURN FOR COMPLIANCE - AGENT")</f>
        <v>RETURN FOR COMPLIANCE - AGENT</v>
      </c>
      <c r="S46" s="1" t="str">
        <f>IFERROR(__xludf.DUMMYFUNCTION("""COMPUTED_VALUE"""),"NO FFTH PLS PROVIDE CAFAC AND LONG LAT")</f>
        <v>NO FFTH PLS PROVIDE CAFAC AND LONG LAT</v>
      </c>
      <c r="T46" s="1"/>
      <c r="U46" s="1"/>
      <c r="V46" s="1"/>
      <c r="W46" s="1"/>
    </row>
    <row r="47" customHeight="1" spans="1:23">
      <c r="A47" s="3">
        <f>IFERROR(__xludf.DUMMYFUNCTION("""COMPUTED_VALUE"""),46028)</f>
        <v>46028</v>
      </c>
      <c r="B47" s="1" t="str">
        <f>IFERROR(__xludf.DUMMYFUNCTION("""COMPUTED_VALUE"""),"DELA ROSA, JENNELYN")</f>
        <v>DELA ROSA, JENNELYN</v>
      </c>
      <c r="C47" s="1" t="str">
        <f>IFERROR(__xludf.DUMMYFUNCTION("""COMPUTED_VALUE"""),"ORGANIC")</f>
        <v>ORGANIC</v>
      </c>
      <c r="D47" s="1" t="str">
        <f>IFERROR(__xludf.DUMMYFUNCTION("""COMPUTED_VALUE"""),"ILANO MARK")</f>
        <v>ILANO MARK</v>
      </c>
      <c r="E47" s="1" t="str">
        <f>IFERROR(__xludf.DUMMYFUNCTION("""COMPUTED_VALUE"""),"PLDT")</f>
        <v>PLDT</v>
      </c>
      <c r="F47" s="1">
        <f>IFERROR(__xludf.DUMMYFUNCTION("""COMPUTED_VALUE"""),2306046953)</f>
        <v>2306046953</v>
      </c>
      <c r="G47" s="1"/>
      <c r="H47" s="1" t="str">
        <f>IFERROR(__xludf.DUMMYFUNCTION("""COMPUTED_VALUE"""),"9126344853")</f>
        <v>9126344853</v>
      </c>
      <c r="I47" s="1">
        <f>IFERROR(__xludf.DUMMYFUNCTION("""COMPUTED_VALUE"""),9203772339)</f>
        <v>9203772339</v>
      </c>
      <c r="J47" s="1"/>
      <c r="K47" s="1" t="str">
        <f>IFERROR(__xludf.DUMMYFUNCTION("""COMPUTED_VALUE"""),"1C")</f>
        <v>1C</v>
      </c>
      <c r="L47" s="1" t="str">
        <f>IFERROR(__xludf.DUMMYFUNCTION("""COMPUTED_VALUE"""),"PUROK 1 ")</f>
        <v>PUROK 1 </v>
      </c>
      <c r="M47" s="1"/>
      <c r="N47" s="1" t="str">
        <f>IFERROR(__xludf.DUMMYFUNCTION("""COMPUTED_VALUE"""),"MATAGBAK I")</f>
        <v>MATAGBAK I</v>
      </c>
      <c r="O47" s="1" t="str">
        <f>IFERROR(__xludf.DUMMYFUNCTION("""COMPUTED_VALUE"""),"ALFONSO")</f>
        <v>ALFONSO</v>
      </c>
      <c r="P47" s="1" t="str">
        <f>IFERROR(__xludf.DUMMYFUNCTION("""COMPUTED_VALUE"""),"CAVITE")</f>
        <v>CAVITE</v>
      </c>
      <c r="Q47" s="1" t="str">
        <f>IFERROR(__xludf.DUMMYFUNCTION("""COMPUTED_VALUE"""),"FIBR PLAN 1399")</f>
        <v>FIBR PLAN 1399</v>
      </c>
      <c r="R47" s="1" t="str">
        <f>IFERROR(__xludf.DUMMYFUNCTION("""COMPUTED_VALUE"""),"APPROVED")</f>
        <v>APPROVED</v>
      </c>
      <c r="S47" s="1" t="str">
        <f>IFERROR(__xludf.DUMMYFUNCTION("""COMPUTED_VALUE"""),"APROVED BY TL MARK")</f>
        <v>APROVED BY TL MARK</v>
      </c>
      <c r="T47" s="1"/>
      <c r="U47" s="1"/>
      <c r="V47" s="1"/>
      <c r="W47" s="1"/>
    </row>
    <row r="48" customHeight="1" spans="1:23">
      <c r="A48" s="3">
        <f>IFERROR(__xludf.DUMMYFUNCTION("""COMPUTED_VALUE"""),46028)</f>
        <v>46028</v>
      </c>
      <c r="B48" s="1" t="str">
        <f>IFERROR(__xludf.DUMMYFUNCTION("""COMPUTED_VALUE"""),"LANZA, ANNALYN")</f>
        <v>LANZA, ANNALYN</v>
      </c>
      <c r="C48" s="1" t="str">
        <f>IFERROR(__xludf.DUMMYFUNCTION("""COMPUTED_VALUE"""),"ORGANIC")</f>
        <v>ORGANIC</v>
      </c>
      <c r="D48" s="1" t="str">
        <f>IFERROR(__xludf.DUMMYFUNCTION("""COMPUTED_VALUE"""),"ILANO MARK")</f>
        <v>ILANO MARK</v>
      </c>
      <c r="E48" s="1" t="str">
        <f>IFERROR(__xludf.DUMMYFUNCTION("""COMPUTED_VALUE"""),"PLDT")</f>
        <v>PLDT</v>
      </c>
      <c r="F48" s="1">
        <f>IFERROR(__xludf.DUMMYFUNCTION("""COMPUTED_VALUE"""),2306048991)</f>
        <v>2306048991</v>
      </c>
      <c r="G48" s="1"/>
      <c r="H48" s="1" t="str">
        <f>IFERROR(__xludf.DUMMYFUNCTION("""COMPUTED_VALUE"""),"9278837156")</f>
        <v>9278837156</v>
      </c>
      <c r="I48" s="1">
        <f>IFERROR(__xludf.DUMMYFUNCTION("""COMPUTED_VALUE"""),9302624762)</f>
        <v>9302624762</v>
      </c>
      <c r="J48" s="1"/>
      <c r="K48" s="1" t="str">
        <f>IFERROR(__xludf.DUMMYFUNCTION("""COMPUTED_VALUE"""),"154")</f>
        <v>154</v>
      </c>
      <c r="L48" s="1" t="str">
        <f>IFERROR(__xludf.DUMMYFUNCTION("""COMPUTED_VALUE"""),"SITIO")</f>
        <v>SITIO</v>
      </c>
      <c r="M48" s="1"/>
      <c r="N48" s="1" t="str">
        <f>IFERROR(__xludf.DUMMYFUNCTION("""COMPUTED_VALUE"""),"KAYMISAS")</f>
        <v>KAYMISAS</v>
      </c>
      <c r="O48" s="1" t="str">
        <f>IFERROR(__xludf.DUMMYFUNCTION("""COMPUTED_VALUE"""),"GENERAL EMILIO AGUINALDO")</f>
        <v>GENERAL EMILIO AGUINALDO</v>
      </c>
      <c r="P48" s="1" t="str">
        <f>IFERROR(__xludf.DUMMYFUNCTION("""COMPUTED_VALUE"""),"CAVITE")</f>
        <v>CAVITE</v>
      </c>
      <c r="Q48" s="1" t="str">
        <f>IFERROR(__xludf.DUMMYFUNCTION("""COMPUTED_VALUE"""),"FIBR PLAN 1399")</f>
        <v>FIBR PLAN 1399</v>
      </c>
      <c r="R48" s="1" t="str">
        <f>IFERROR(__xludf.DUMMYFUNCTION("""COMPUTED_VALUE"""),"APPROVED")</f>
        <v>APPROVED</v>
      </c>
      <c r="S48" s="1"/>
      <c r="T48" s="1"/>
      <c r="U48" s="1"/>
      <c r="V48" s="1"/>
      <c r="W48" s="1"/>
    </row>
    <row r="49" customHeight="1" spans="1:23">
      <c r="A49" s="3">
        <f>IFERROR(__xludf.DUMMYFUNCTION("""COMPUTED_VALUE"""),46028)</f>
        <v>46028</v>
      </c>
      <c r="B49" s="1" t="str">
        <f>IFERROR(__xludf.DUMMYFUNCTION("""COMPUTED_VALUE"""),"CADERAO, RONALD")</f>
        <v>CADERAO, RONALD</v>
      </c>
      <c r="C49" s="1" t="str">
        <f>IFERROR(__xludf.DUMMYFUNCTION("""COMPUTED_VALUE"""),"ORGANIC")</f>
        <v>ORGANIC</v>
      </c>
      <c r="D49" s="1" t="str">
        <f>IFERROR(__xludf.DUMMYFUNCTION("""COMPUTED_VALUE"""),"ILANO MARK")</f>
        <v>ILANO MARK</v>
      </c>
      <c r="E49" s="1" t="str">
        <f>IFERROR(__xludf.DUMMYFUNCTION("""COMPUTED_VALUE"""),"PLDT")</f>
        <v>PLDT</v>
      </c>
      <c r="F49" s="1">
        <f>IFERROR(__xludf.DUMMYFUNCTION("""COMPUTED_VALUE"""),2306049212)</f>
        <v>2306049212</v>
      </c>
      <c r="G49" s="1"/>
      <c r="H49" s="1" t="str">
        <f>IFERROR(__xludf.DUMMYFUNCTION("""COMPUTED_VALUE"""),"9067432284")</f>
        <v>9067432284</v>
      </c>
      <c r="I49" s="1">
        <f>IFERROR(__xludf.DUMMYFUNCTION("""COMPUTED_VALUE"""),9982564332)</f>
        <v>9982564332</v>
      </c>
      <c r="J49" s="1"/>
      <c r="K49" s="1" t="str">
        <f>IFERROR(__xludf.DUMMYFUNCTION("""COMPUTED_VALUE"""),"176")</f>
        <v>176</v>
      </c>
      <c r="L49" s="1" t="str">
        <f>IFERROR(__xludf.DUMMYFUNCTION("""COMPUTED_VALUE"""),"SULSUGIN")</f>
        <v>SULSUGIN</v>
      </c>
      <c r="M49" s="1"/>
      <c r="N49" s="1" t="str">
        <f>IFERROR(__xludf.DUMMYFUNCTION("""COMPUTED_VALUE"""),"SULSUGIN")</f>
        <v>SULSUGIN</v>
      </c>
      <c r="O49" s="1" t="str">
        <f>IFERROR(__xludf.DUMMYFUNCTION("""COMPUTED_VALUE"""),"ALFONSO")</f>
        <v>ALFONSO</v>
      </c>
      <c r="P49" s="1" t="str">
        <f>IFERROR(__xludf.DUMMYFUNCTION("""COMPUTED_VALUE"""),"CAVITE")</f>
        <v>CAVITE</v>
      </c>
      <c r="Q49" s="1" t="str">
        <f>IFERROR(__xludf.DUMMYFUNCTION("""COMPUTED_VALUE"""),"FIBR PLAN 1399")</f>
        <v>FIBR PLAN 1399</v>
      </c>
      <c r="R49" s="1" t="str">
        <f>IFERROR(__xludf.DUMMYFUNCTION("""COMPUTED_VALUE"""),"APPROVED")</f>
        <v>APPROVED</v>
      </c>
      <c r="S49" s="1"/>
      <c r="T49" s="1"/>
      <c r="U49" s="1"/>
      <c r="V49" s="1"/>
      <c r="W49" s="1"/>
    </row>
    <row r="50" customHeight="1" spans="1:23">
      <c r="A50" s="3">
        <f>IFERROR(__xludf.DUMMYFUNCTION("""COMPUTED_VALUE"""),46028)</f>
        <v>46028</v>
      </c>
      <c r="B50" s="1" t="str">
        <f>IFERROR(__xludf.DUMMYFUNCTION("""COMPUTED_VALUE"""),"CADERAO, RONALD")</f>
        <v>CADERAO, RONALD</v>
      </c>
      <c r="C50" s="1" t="str">
        <f>IFERROR(__xludf.DUMMYFUNCTION("""COMPUTED_VALUE"""),"ORGANIC")</f>
        <v>ORGANIC</v>
      </c>
      <c r="D50" s="1" t="str">
        <f>IFERROR(__xludf.DUMMYFUNCTION("""COMPUTED_VALUE"""),"ILANO MARK")</f>
        <v>ILANO MARK</v>
      </c>
      <c r="E50" s="1" t="str">
        <f>IFERROR(__xludf.DUMMYFUNCTION("""COMPUTED_VALUE"""),"PLDT")</f>
        <v>PLDT</v>
      </c>
      <c r="F50" s="1">
        <f>IFERROR(__xludf.DUMMYFUNCTION("""COMPUTED_VALUE"""),2306049788)</f>
        <v>2306049788</v>
      </c>
      <c r="G50" s="1"/>
      <c r="H50" s="1" t="str">
        <f>IFERROR(__xludf.DUMMYFUNCTION("""COMPUTED_VALUE"""),"9157296839")</f>
        <v>9157296839</v>
      </c>
      <c r="I50" s="1"/>
      <c r="J50" s="1"/>
      <c r="K50" s="1" t="str">
        <f>IFERROR(__xludf.DUMMYFUNCTION("""COMPUTED_VALUE"""),"BLK 5 LOT 96")</f>
        <v>BLK 5 LOT 96</v>
      </c>
      <c r="L50" s="1" t="str">
        <f>IFERROR(__xludf.DUMMYFUNCTION("""COMPUTED_VALUE"""),"PHIRST PARK")</f>
        <v>PHIRST PARK</v>
      </c>
      <c r="M50" s="1"/>
      <c r="N50" s="1" t="str">
        <f>IFERROR(__xludf.DUMMYFUNCTION("""COMPUTED_VALUE"""),"SABANG")</f>
        <v>SABANG</v>
      </c>
      <c r="O50" s="1" t="str">
        <f>IFERROR(__xludf.DUMMYFUNCTION("""COMPUTED_VALUE"""),"NAIC")</f>
        <v>NAIC</v>
      </c>
      <c r="P50" s="1" t="str">
        <f>IFERROR(__xludf.DUMMYFUNCTION("""COMPUTED_VALUE"""),"CAVITE")</f>
        <v>CAVITE</v>
      </c>
      <c r="Q50" s="1" t="str">
        <f>IFERROR(__xludf.DUMMYFUNCTION("""COMPUTED_VALUE"""),"FIBR PLAN 1399")</f>
        <v>FIBR PLAN 1399</v>
      </c>
      <c r="R50" s="1" t="str">
        <f>IFERROR(__xludf.DUMMYFUNCTION("""COMPUTED_VALUE"""),"APPROVED")</f>
        <v>APPROVED</v>
      </c>
      <c r="S50" s="1"/>
      <c r="T50" s="1"/>
      <c r="U50" s="1"/>
      <c r="V50" s="1"/>
      <c r="W50" s="1"/>
    </row>
    <row r="51" customHeight="1" spans="1:23">
      <c r="A51" s="3">
        <f>IFERROR(__xludf.DUMMYFUNCTION("""COMPUTED_VALUE"""),46028)</f>
        <v>46028</v>
      </c>
      <c r="B51" s="1" t="str">
        <f>IFERROR(__xludf.DUMMYFUNCTION("""COMPUTED_VALUE"""),"IVNO, RAZZEL")</f>
        <v>IVNO, RAZZEL</v>
      </c>
      <c r="C51" s="1" t="str">
        <f>IFERROR(__xludf.DUMMYFUNCTION("""COMPUTED_VALUE"""),"ORGANIC")</f>
        <v>ORGANIC</v>
      </c>
      <c r="D51" s="1" t="str">
        <f>IFERROR(__xludf.DUMMYFUNCTION("""COMPUTED_VALUE"""),"ILANO MARK")</f>
        <v>ILANO MARK</v>
      </c>
      <c r="E51" s="1" t="str">
        <f>IFERROR(__xludf.DUMMYFUNCTION("""COMPUTED_VALUE"""),"PLDT")</f>
        <v>PLDT</v>
      </c>
      <c r="F51" s="1">
        <f>IFERROR(__xludf.DUMMYFUNCTION("""COMPUTED_VALUE"""),2306050115)</f>
        <v>2306050115</v>
      </c>
      <c r="G51" s="1"/>
      <c r="H51" s="1" t="str">
        <f>IFERROR(__xludf.DUMMYFUNCTION("""COMPUTED_VALUE"""),"9972210765")</f>
        <v>9972210765</v>
      </c>
      <c r="I51" s="1">
        <f>IFERROR(__xludf.DUMMYFUNCTION("""COMPUTED_VALUE"""),9553157430)</f>
        <v>9553157430</v>
      </c>
      <c r="J51" s="1"/>
      <c r="K51" s="1" t="str">
        <f>IFERROR(__xludf.DUMMYFUNCTION("""COMPUTED_VALUE"""),"58")</f>
        <v>58</v>
      </c>
      <c r="L51" s="1" t="str">
        <f>IFERROR(__xludf.DUMMYFUNCTION("""COMPUTED_VALUE"""),"PUROK 3")</f>
        <v>PUROK 3</v>
      </c>
      <c r="M51" s="1"/>
      <c r="N51" s="1" t="str">
        <f>IFERROR(__xludf.DUMMYFUNCTION("""COMPUTED_VALUE"""),"BALITE I")</f>
        <v>BALITE I</v>
      </c>
      <c r="O51" s="1" t="str">
        <f>IFERROR(__xludf.DUMMYFUNCTION("""COMPUTED_VALUE"""),"SILANG")</f>
        <v>SILANG</v>
      </c>
      <c r="P51" s="1" t="str">
        <f>IFERROR(__xludf.DUMMYFUNCTION("""COMPUTED_VALUE"""),"CAVITE")</f>
        <v>CAVITE</v>
      </c>
      <c r="Q51" s="1" t="str">
        <f>IFERROR(__xludf.DUMMYFUNCTION("""COMPUTED_VALUE"""),"PREPAID 999")</f>
        <v>PREPAID 999</v>
      </c>
      <c r="R51" s="1" t="str">
        <f>IFERROR(__xludf.DUMMYFUNCTION("""COMPUTED_VALUE"""),"APPROVED")</f>
        <v>APPROVED</v>
      </c>
      <c r="S51" s="1"/>
      <c r="T51" s="1"/>
      <c r="U51" s="1"/>
      <c r="V51" s="1"/>
      <c r="W51" s="1"/>
    </row>
    <row r="52" customHeight="1" spans="1:23">
      <c r="A52" s="3">
        <f>IFERROR(__xludf.DUMMYFUNCTION("""COMPUTED_VALUE"""),46028)</f>
        <v>46028</v>
      </c>
      <c r="B52" s="1" t="str">
        <f>IFERROR(__xludf.DUMMYFUNCTION("""COMPUTED_VALUE"""),"MALIWAT MARK ELVIN")</f>
        <v>MALIWAT MARK ELVIN</v>
      </c>
      <c r="C52" s="1" t="str">
        <f>IFERROR(__xludf.DUMMYFUNCTION("""COMPUTED_VALUE"""),"FLA")</f>
        <v>FLA</v>
      </c>
      <c r="D52" s="1" t="str">
        <f>IFERROR(__xludf.DUMMYFUNCTION("""COMPUTED_VALUE"""),"JERIC NAVARRO")</f>
        <v>JERIC NAVARRO</v>
      </c>
      <c r="E52" s="1" t="str">
        <f>IFERROR(__xludf.DUMMYFUNCTION("""COMPUTED_VALUE"""),"PLDT")</f>
        <v>PLDT</v>
      </c>
      <c r="F52" s="1">
        <f>IFERROR(__xludf.DUMMYFUNCTION("""COMPUTED_VALUE"""),2306054626)</f>
        <v>2306054626</v>
      </c>
      <c r="G52" s="1"/>
      <c r="H52" s="1" t="str">
        <f>IFERROR(__xludf.DUMMYFUNCTION("""COMPUTED_VALUE"""),"9976473583")</f>
        <v>9976473583</v>
      </c>
      <c r="I52" s="1"/>
      <c r="J52" s="1"/>
      <c r="K52" s="1" t="str">
        <f>IFERROR(__xludf.DUMMYFUNCTION("""COMPUTED_VALUE"""),"BLK 13 LOT 17")</f>
        <v>BLK 13 LOT 17</v>
      </c>
      <c r="L52" s="1" t="str">
        <f>IFERROR(__xludf.DUMMYFUNCTION("""COMPUTED_VALUE"""),"MAHOGANY ST")</f>
        <v>MAHOGANY ST</v>
      </c>
      <c r="M52" s="1"/>
      <c r="N52" s="1" t="str">
        <f>IFERROR(__xludf.DUMMYFUNCTION("""COMPUTED_VALUE"""),"LANGKAAN I")</f>
        <v>LANGKAAN I</v>
      </c>
      <c r="O52" s="1" t="str">
        <f>IFERROR(__xludf.DUMMYFUNCTION("""COMPUTED_VALUE"""),"DASMARINAS")</f>
        <v>DASMARINAS</v>
      </c>
      <c r="P52" s="1" t="str">
        <f>IFERROR(__xludf.DUMMYFUNCTION("""COMPUTED_VALUE"""),"CAVITE")</f>
        <v>CAVITE</v>
      </c>
      <c r="Q52" s="1" t="str">
        <f>IFERROR(__xludf.DUMMYFUNCTION("""COMPUTED_VALUE"""),"PREPAID 999")</f>
        <v>PREPAID 999</v>
      </c>
      <c r="R52" s="1" t="str">
        <f>IFERROR(__xludf.DUMMYFUNCTION("""COMPUTED_VALUE"""),"APPROVED")</f>
        <v>APPROVED</v>
      </c>
      <c r="S52" s="1" t="str">
        <f>IFERROR(__xludf.DUMMYFUNCTION("""COMPUTED_VALUE"""),"CROPTED ID ")</f>
        <v>CROPTED ID </v>
      </c>
      <c r="T52" s="1"/>
      <c r="U52" s="1"/>
      <c r="V52" s="1"/>
      <c r="W52" s="1"/>
    </row>
    <row r="53" customHeight="1" spans="1:23">
      <c r="A53" s="3">
        <f>IFERROR(__xludf.DUMMYFUNCTION("""COMPUTED_VALUE"""),46028)</f>
        <v>46028</v>
      </c>
      <c r="B53" s="1" t="str">
        <f>IFERROR(__xludf.DUMMYFUNCTION("""COMPUTED_VALUE"""),"AYON MANUEL")</f>
        <v>AYON MANUEL</v>
      </c>
      <c r="C53" s="1" t="str">
        <f>IFERROR(__xludf.DUMMYFUNCTION("""COMPUTED_VALUE"""),"FLA")</f>
        <v>FLA</v>
      </c>
      <c r="D53" s="1" t="str">
        <f>IFERROR(__xludf.DUMMYFUNCTION("""COMPUTED_VALUE"""),"JERIC NAVARRO")</f>
        <v>JERIC NAVARRO</v>
      </c>
      <c r="E53" s="1" t="str">
        <f>IFERROR(__xludf.DUMMYFUNCTION("""COMPUTED_VALUE"""),"PLDT")</f>
        <v>PLDT</v>
      </c>
      <c r="F53" s="1">
        <f>IFERROR(__xludf.DUMMYFUNCTION("""COMPUTED_VALUE"""),2306053013)</f>
        <v>2306053013</v>
      </c>
      <c r="G53" s="1"/>
      <c r="H53" s="1" t="str">
        <f>IFERROR(__xludf.DUMMYFUNCTION("""COMPUTED_VALUE"""),"9988559725")</f>
        <v>9988559725</v>
      </c>
      <c r="I53" s="1">
        <f>IFERROR(__xludf.DUMMYFUNCTION("""COMPUTED_VALUE"""),9985309554)</f>
        <v>9985309554</v>
      </c>
      <c r="J53" s="1"/>
      <c r="K53" s="1" t="str">
        <f>IFERROR(__xludf.DUMMYFUNCTION("""COMPUTED_VALUE"""),"BLK 18 LOT 9")</f>
        <v>BLK 18 LOT 9</v>
      </c>
      <c r="L53" s="1" t="str">
        <f>IFERROR(__xludf.DUMMYFUNCTION("""COMPUTED_VALUE"""),"PHASE 1")</f>
        <v>PHASE 1</v>
      </c>
      <c r="M53" s="1" t="str">
        <f>IFERROR(__xludf.DUMMYFUNCTION("""COMPUTED_VALUE"""),"METROGATE")</f>
        <v>METROGATE</v>
      </c>
      <c r="N53" s="1" t="str">
        <f>IFERROR(__xludf.DUMMYFUNCTION("""COMPUTED_VALUE"""),"BILUSO")</f>
        <v>BILUSO</v>
      </c>
      <c r="O53" s="1" t="str">
        <f>IFERROR(__xludf.DUMMYFUNCTION("""COMPUTED_VALUE"""),"SILANG")</f>
        <v>SILANG</v>
      </c>
      <c r="P53" s="1" t="str">
        <f>IFERROR(__xludf.DUMMYFUNCTION("""COMPUTED_VALUE"""),"CAVITE")</f>
        <v>CAVITE</v>
      </c>
      <c r="Q53" s="1" t="str">
        <f>IFERROR(__xludf.DUMMYFUNCTION("""COMPUTED_VALUE"""),"FIBR PLAN 2099")</f>
        <v>FIBR PLAN 2099</v>
      </c>
      <c r="R53" s="1" t="str">
        <f>IFERROR(__xludf.DUMMYFUNCTION("""COMPUTED_VALUE"""),"APPROVED")</f>
        <v>APPROVED</v>
      </c>
      <c r="S53" s="1"/>
      <c r="T53" s="1"/>
      <c r="U53" s="1"/>
      <c r="V53" s="1"/>
      <c r="W53" s="1"/>
    </row>
    <row r="54" customHeight="1" spans="1:23">
      <c r="A54" s="3">
        <f>IFERROR(__xludf.DUMMYFUNCTION("""COMPUTED_VALUE"""),46028)</f>
        <v>46028</v>
      </c>
      <c r="B54" s="1" t="str">
        <f>IFERROR(__xludf.DUMMYFUNCTION("""COMPUTED_VALUE"""),"DELA ROSA, JENNELYN")</f>
        <v>DELA ROSA, JENNELYN</v>
      </c>
      <c r="C54" s="1" t="str">
        <f>IFERROR(__xludf.DUMMYFUNCTION("""COMPUTED_VALUE"""),"ORGANIC")</f>
        <v>ORGANIC</v>
      </c>
      <c r="D54" s="1" t="str">
        <f>IFERROR(__xludf.DUMMYFUNCTION("""COMPUTED_VALUE"""),"ILANO MARK")</f>
        <v>ILANO MARK</v>
      </c>
      <c r="E54" s="1" t="str">
        <f>IFERROR(__xludf.DUMMYFUNCTION("""COMPUTED_VALUE"""),"PLDT")</f>
        <v>PLDT</v>
      </c>
      <c r="F54" s="1">
        <f>IFERROR(__xludf.DUMMYFUNCTION("""COMPUTED_VALUE"""),2306052666)</f>
        <v>2306052666</v>
      </c>
      <c r="G54" s="1"/>
      <c r="H54" s="1" t="str">
        <f>IFERROR(__xludf.DUMMYFUNCTION("""COMPUTED_VALUE"""),"9551734777")</f>
        <v>9551734777</v>
      </c>
      <c r="I54" s="1"/>
      <c r="J54" s="1"/>
      <c r="K54" s="1" t="str">
        <f>IFERROR(__xludf.DUMMYFUNCTION("""COMPUTED_VALUE"""),"BLK 36 LOT 9")</f>
        <v>BLK 36 LOT 9</v>
      </c>
      <c r="L54" s="1" t="str">
        <f>IFERROR(__xludf.DUMMYFUNCTION("""COMPUTED_VALUE"""),"MALIA")</f>
        <v>MALIA</v>
      </c>
      <c r="M54" s="1"/>
      <c r="N54" s="1" t="str">
        <f>IFERROR(__xludf.DUMMYFUNCTION("""COMPUTED_VALUE"""),"EPIFANIO MALIA")</f>
        <v>EPIFANIO MALIA</v>
      </c>
      <c r="O54" s="1" t="str">
        <f>IFERROR(__xludf.DUMMYFUNCTION("""COMPUTED_VALUE"""),"GEN MARIANO ALVAREZ")</f>
        <v>GEN MARIANO ALVAREZ</v>
      </c>
      <c r="P54" s="1" t="str">
        <f>IFERROR(__xludf.DUMMYFUNCTION("""COMPUTED_VALUE"""),"CAVITE")</f>
        <v>CAVITE</v>
      </c>
      <c r="Q54" s="1" t="str">
        <f>IFERROR(__xludf.DUMMYFUNCTION("""COMPUTED_VALUE"""),"FIBR PLAN 1399")</f>
        <v>FIBR PLAN 1399</v>
      </c>
      <c r="R54" s="1" t="str">
        <f>IFERROR(__xludf.DUMMYFUNCTION("""COMPUTED_VALUE"""),"APPROVED")</f>
        <v>APPROVED</v>
      </c>
      <c r="S54" s="1"/>
      <c r="T54" s="1"/>
      <c r="U54" s="1"/>
      <c r="V54" s="1"/>
      <c r="W54" s="1"/>
    </row>
    <row r="55" customHeight="1" spans="1:23">
      <c r="A55" s="3">
        <f>IFERROR(__xludf.DUMMYFUNCTION("""COMPUTED_VALUE"""),46028)</f>
        <v>46028</v>
      </c>
      <c r="B55" s="1" t="str">
        <f>IFERROR(__xludf.DUMMYFUNCTION("""COMPUTED_VALUE"""),"DE VERA, MARIVIC")</f>
        <v>DE VERA, MARIVIC</v>
      </c>
      <c r="C55" s="1" t="str">
        <f>IFERROR(__xludf.DUMMYFUNCTION("""COMPUTED_VALUE"""),"ORGANIC")</f>
        <v>ORGANIC</v>
      </c>
      <c r="D55" s="1" t="str">
        <f>IFERROR(__xludf.DUMMYFUNCTION("""COMPUTED_VALUE"""),"ILANO MARK")</f>
        <v>ILANO MARK</v>
      </c>
      <c r="E55" s="1" t="str">
        <f>IFERROR(__xludf.DUMMYFUNCTION("""COMPUTED_VALUE"""),"PLDT")</f>
        <v>PLDT</v>
      </c>
      <c r="F55" s="1">
        <f>IFERROR(__xludf.DUMMYFUNCTION("""COMPUTED_VALUE"""),2306056123)</f>
        <v>2306056123</v>
      </c>
      <c r="G55" s="1"/>
      <c r="H55" s="1" t="str">
        <f>IFERROR(__xludf.DUMMYFUNCTION("""COMPUTED_VALUE"""),"9702201941")</f>
        <v>9702201941</v>
      </c>
      <c r="I55" s="1"/>
      <c r="J55" s="1"/>
      <c r="K55" s="1" t="str">
        <f>IFERROR(__xludf.DUMMYFUNCTION("""COMPUTED_VALUE"""),"264")</f>
        <v>264</v>
      </c>
      <c r="L55" s="1" t="str">
        <f>IFERROR(__xludf.DUMMYFUNCTION("""COMPUTED_VALUE"""),"BLK 1")</f>
        <v>BLK 1</v>
      </c>
      <c r="M55" s="1"/>
      <c r="N55" s="1" t="str">
        <f>IFERROR(__xludf.DUMMYFUNCTION("""COMPUTED_VALUE"""),"GREGORIA DE JESUS")</f>
        <v>GREGORIA DE JESUS</v>
      </c>
      <c r="O55" s="1" t="str">
        <f>IFERROR(__xludf.DUMMYFUNCTION("""COMPUTED_VALUE"""),"GEN MARIANO ALVAREZ")</f>
        <v>GEN MARIANO ALVAREZ</v>
      </c>
      <c r="P55" s="1" t="str">
        <f>IFERROR(__xludf.DUMMYFUNCTION("""COMPUTED_VALUE"""),"CAVITE")</f>
        <v>CAVITE</v>
      </c>
      <c r="Q55" s="1" t="str">
        <f>IFERROR(__xludf.DUMMYFUNCTION("""COMPUTED_VALUE"""),"PREPAID 999")</f>
        <v>PREPAID 999</v>
      </c>
      <c r="R55" s="1" t="str">
        <f>IFERROR(__xludf.DUMMYFUNCTION("""COMPUTED_VALUE"""),"APPROVED")</f>
        <v>APPROVED</v>
      </c>
      <c r="S55" s="1"/>
      <c r="T55" s="1"/>
      <c r="U55" s="1"/>
      <c r="V55" s="1"/>
      <c r="W55" s="1"/>
    </row>
    <row r="56" customHeight="1" spans="1:23">
      <c r="A56" s="3">
        <f>IFERROR(__xludf.DUMMYFUNCTION("""COMPUTED_VALUE"""),46028)</f>
        <v>46028</v>
      </c>
      <c r="B56" s="1" t="str">
        <f>IFERROR(__xludf.DUMMYFUNCTION("""COMPUTED_VALUE"""),"CARPIO BOI")</f>
        <v>CARPIO BOI</v>
      </c>
      <c r="C56" s="1" t="str">
        <f>IFERROR(__xludf.DUMMYFUNCTION("""COMPUTED_VALUE"""),"FLA")</f>
        <v>FLA</v>
      </c>
      <c r="D56" s="1" t="str">
        <f>IFERROR(__xludf.DUMMYFUNCTION("""COMPUTED_VALUE"""),"JERIC NAVARRO")</f>
        <v>JERIC NAVARRO</v>
      </c>
      <c r="E56" s="1" t="str">
        <f>IFERROR(__xludf.DUMMYFUNCTION("""COMPUTED_VALUE"""),"PLDT")</f>
        <v>PLDT</v>
      </c>
      <c r="F56" s="1">
        <f>IFERROR(__xludf.DUMMYFUNCTION("""COMPUTED_VALUE"""),2306056123)</f>
        <v>2306056123</v>
      </c>
      <c r="G56" s="1"/>
      <c r="H56" s="1" t="str">
        <f>IFERROR(__xludf.DUMMYFUNCTION("""COMPUTED_VALUE"""),"9669380108")</f>
        <v>9669380108</v>
      </c>
      <c r="I56" s="1"/>
      <c r="J56" s="1"/>
      <c r="K56" s="1" t="str">
        <f>IFERROR(__xludf.DUMMYFUNCTION("""COMPUTED_VALUE"""),"BLK 5B LOT 32")</f>
        <v>BLK 5B LOT 32</v>
      </c>
      <c r="L56" s="1" t="str">
        <f>IFERROR(__xludf.DUMMYFUNCTION("""COMPUTED_VALUE"""),"PHASE 1")</f>
        <v>PHASE 1</v>
      </c>
      <c r="M56" s="1" t="str">
        <f>IFERROR(__xludf.DUMMYFUNCTION("""COMPUTED_VALUE"""),"HOLIDAY HOMES")</f>
        <v>HOLIDAY HOMES</v>
      </c>
      <c r="N56" s="1" t="str">
        <f>IFERROR(__xludf.DUMMYFUNCTION("""COMPUTED_VALUE"""),"BICLATAN")</f>
        <v>BICLATAN</v>
      </c>
      <c r="O56" s="1" t="str">
        <f>IFERROR(__xludf.DUMMYFUNCTION("""COMPUTED_VALUE"""),"GENERAL TRIAS")</f>
        <v>GENERAL TRIAS</v>
      </c>
      <c r="P56" s="1" t="str">
        <f>IFERROR(__xludf.DUMMYFUNCTION("""COMPUTED_VALUE"""),"CAVITE")</f>
        <v>CAVITE</v>
      </c>
      <c r="Q56" s="1" t="str">
        <f>IFERROR(__xludf.DUMMYFUNCTION("""COMPUTED_VALUE"""),"FIBR PLAN 1399")</f>
        <v>FIBR PLAN 1399</v>
      </c>
      <c r="R56" s="1" t="str">
        <f>IFERROR(__xludf.DUMMYFUNCTION("""COMPUTED_VALUE"""),"APPROVED")</f>
        <v>APPROVED</v>
      </c>
      <c r="S56" s="1"/>
      <c r="T56" s="1"/>
      <c r="U56" s="1"/>
      <c r="V56" s="1"/>
      <c r="W56" s="1"/>
    </row>
    <row r="57" customHeight="1" spans="1:23">
      <c r="A57" s="3">
        <f>IFERROR(__xludf.DUMMYFUNCTION("""COMPUTED_VALUE"""),46028)</f>
        <v>46028</v>
      </c>
      <c r="B57" s="1" t="str">
        <f>IFERROR(__xludf.DUMMYFUNCTION("""COMPUTED_VALUE"""),"CARPIO BOI")</f>
        <v>CARPIO BOI</v>
      </c>
      <c r="C57" s="1" t="str">
        <f>IFERROR(__xludf.DUMMYFUNCTION("""COMPUTED_VALUE"""),"FLA")</f>
        <v>FLA</v>
      </c>
      <c r="D57" s="1" t="str">
        <f>IFERROR(__xludf.DUMMYFUNCTION("""COMPUTED_VALUE"""),"JERIC NAVARRO")</f>
        <v>JERIC NAVARRO</v>
      </c>
      <c r="E57" s="1" t="str">
        <f>IFERROR(__xludf.DUMMYFUNCTION("""COMPUTED_VALUE"""),"PLDT")</f>
        <v>PLDT</v>
      </c>
      <c r="F57" s="1">
        <f>IFERROR(__xludf.DUMMYFUNCTION("""COMPUTED_VALUE"""),2306056013)</f>
        <v>2306056013</v>
      </c>
      <c r="G57" s="1"/>
      <c r="H57" s="1" t="str">
        <f>IFERROR(__xludf.DUMMYFUNCTION("""COMPUTED_VALUE"""),"9275055935")</f>
        <v>9275055935</v>
      </c>
      <c r="I57" s="1"/>
      <c r="J57" s="1"/>
      <c r="K57" s="1" t="str">
        <f>IFERROR(__xludf.DUMMYFUNCTION("""COMPUTED_VALUE"""),"BLK 1 LOT 57")</f>
        <v>BLK 1 LOT 57</v>
      </c>
      <c r="L57" s="1" t="str">
        <f>IFERROR(__xludf.DUMMYFUNCTION("""COMPUTED_VALUE"""),"KS22")</f>
        <v>KS22</v>
      </c>
      <c r="M57" s="1" t="str">
        <f>IFERROR(__xludf.DUMMYFUNCTION("""COMPUTED_VALUE"""),"LANCASTER")</f>
        <v>LANCASTER</v>
      </c>
      <c r="N57" s="1" t="str">
        <f>IFERROR(__xludf.DUMMYFUNCTION("""COMPUTED_VALUE"""),"BACAO I")</f>
        <v>BACAO I</v>
      </c>
      <c r="O57" s="1" t="str">
        <f>IFERROR(__xludf.DUMMYFUNCTION("""COMPUTED_VALUE"""),"GENERAL TRIAS")</f>
        <v>GENERAL TRIAS</v>
      </c>
      <c r="P57" s="1" t="str">
        <f>IFERROR(__xludf.DUMMYFUNCTION("""COMPUTED_VALUE"""),"CAVITE")</f>
        <v>CAVITE</v>
      </c>
      <c r="Q57" s="1" t="str">
        <f>IFERROR(__xludf.DUMMYFUNCTION("""COMPUTED_VALUE"""),"FIBR PLAN 1399")</f>
        <v>FIBR PLAN 1399</v>
      </c>
      <c r="R57" s="1" t="str">
        <f>IFERROR(__xludf.DUMMYFUNCTION("""COMPUTED_VALUE"""),"APPROVED")</f>
        <v>APPROVED</v>
      </c>
      <c r="S57" s="1"/>
      <c r="T57" s="1"/>
      <c r="U57" s="1"/>
      <c r="V57" s="1"/>
      <c r="W57" s="1"/>
    </row>
    <row r="58" customHeight="1" spans="1:23">
      <c r="A58" s="3">
        <f>IFERROR(__xludf.DUMMYFUNCTION("""COMPUTED_VALUE"""),46029)</f>
        <v>46029</v>
      </c>
      <c r="B58" s="1" t="str">
        <f>IFERROR(__xludf.DUMMYFUNCTION("""COMPUTED_VALUE"""),"GABAY, MANUEL")</f>
        <v>GABAY, MANUEL</v>
      </c>
      <c r="C58" s="1" t="str">
        <f>IFERROR(__xludf.DUMMYFUNCTION("""COMPUTED_VALUE"""),"FLA")</f>
        <v>FLA</v>
      </c>
      <c r="D58" s="1" t="str">
        <f>IFERROR(__xludf.DUMMYFUNCTION("""COMPUTED_VALUE"""),"JERIC NAVARRO")</f>
        <v>JERIC NAVARRO</v>
      </c>
      <c r="E58" s="1" t="str">
        <f>IFERROR(__xludf.DUMMYFUNCTION("""COMPUTED_VALUE"""),"PLDT")</f>
        <v>PLDT</v>
      </c>
      <c r="F58" s="1">
        <f>IFERROR(__xludf.DUMMYFUNCTION("""COMPUTED_VALUE"""),2306067736)</f>
        <v>2306067736</v>
      </c>
      <c r="G58" s="1"/>
      <c r="H58" s="1" t="str">
        <f>IFERROR(__xludf.DUMMYFUNCTION("""COMPUTED_VALUE"""),"9150464639")</f>
        <v>9150464639</v>
      </c>
      <c r="I58" s="1">
        <f>IFERROR(__xludf.DUMMYFUNCTION("""COMPUTED_VALUE"""),9089354040)</f>
        <v>9089354040</v>
      </c>
      <c r="J58" s="1"/>
      <c r="K58" s="1" t="str">
        <f>IFERROR(__xludf.DUMMYFUNCTION("""COMPUTED_VALUE"""),"347")</f>
        <v>347</v>
      </c>
      <c r="L58" s="1" t="str">
        <f>IFERROR(__xludf.DUMMYFUNCTION("""COMPUTED_VALUE"""),"PUROK 136")</f>
        <v>PUROK 136</v>
      </c>
      <c r="M58" s="1"/>
      <c r="N58" s="1" t="str">
        <f>IFERROR(__xludf.DUMMYFUNCTION("""COMPUTED_VALUE"""),"NEOGAN")</f>
        <v>NEOGAN</v>
      </c>
      <c r="O58" s="1" t="str">
        <f>IFERROR(__xludf.DUMMYFUNCTION("""COMPUTED_VALUE"""),"TAGAYTAY")</f>
        <v>TAGAYTAY</v>
      </c>
      <c r="P58" s="1" t="str">
        <f>IFERROR(__xludf.DUMMYFUNCTION("""COMPUTED_VALUE"""),"CAVITE")</f>
        <v>CAVITE</v>
      </c>
      <c r="Q58" s="1" t="str">
        <f>IFERROR(__xludf.DUMMYFUNCTION("""COMPUTED_VALUE"""),"FIBR PLAN 1799")</f>
        <v>FIBR PLAN 1799</v>
      </c>
      <c r="R58" s="1" t="str">
        <f>IFERROR(__xludf.DUMMYFUNCTION("""COMPUTED_VALUE"""),"APPROVED")</f>
        <v>APPROVED</v>
      </c>
      <c r="S58" s="1"/>
      <c r="T58" s="1"/>
      <c r="U58" s="1"/>
      <c r="V58" s="1"/>
      <c r="W58" s="1"/>
    </row>
    <row r="59" customHeight="1" spans="1:23">
      <c r="A59" s="3">
        <f>IFERROR(__xludf.DUMMYFUNCTION("""COMPUTED_VALUE"""),46029)</f>
        <v>46029</v>
      </c>
      <c r="B59" s="1" t="str">
        <f>IFERROR(__xludf.DUMMYFUNCTION("""COMPUTED_VALUE"""),"GABAY, MANUEL")</f>
        <v>GABAY, MANUEL</v>
      </c>
      <c r="C59" s="1" t="str">
        <f>IFERROR(__xludf.DUMMYFUNCTION("""COMPUTED_VALUE"""),"FLA")</f>
        <v>FLA</v>
      </c>
      <c r="D59" s="1" t="str">
        <f>IFERROR(__xludf.DUMMYFUNCTION("""COMPUTED_VALUE"""),"JERIC NAVARRO")</f>
        <v>JERIC NAVARRO</v>
      </c>
      <c r="E59" s="1" t="str">
        <f>IFERROR(__xludf.DUMMYFUNCTION("""COMPUTED_VALUE"""),"PLDT")</f>
        <v>PLDT</v>
      </c>
      <c r="F59" s="1">
        <f>IFERROR(__xludf.DUMMYFUNCTION("""COMPUTED_VALUE"""),2306069377)</f>
        <v>2306069377</v>
      </c>
      <c r="G59" s="1"/>
      <c r="H59" s="1" t="str">
        <f>IFERROR(__xludf.DUMMYFUNCTION("""COMPUTED_VALUE"""),"9166461966")</f>
        <v>9166461966</v>
      </c>
      <c r="I59" s="1">
        <f>IFERROR(__xludf.DUMMYFUNCTION("""COMPUTED_VALUE"""),9913497331)</f>
        <v>9913497331</v>
      </c>
      <c r="J59" s="1"/>
      <c r="K59" s="1" t="str">
        <f>IFERROR(__xludf.DUMMYFUNCTION("""COMPUTED_VALUE"""),"781")</f>
        <v>781</v>
      </c>
      <c r="L59" s="1" t="str">
        <f>IFERROR(__xludf.DUMMYFUNCTION("""COMPUTED_VALUE"""),"PUROK 138")</f>
        <v>PUROK 138</v>
      </c>
      <c r="M59" s="1"/>
      <c r="N59" s="1" t="str">
        <f>IFERROR(__xludf.DUMMYFUNCTION("""COMPUTED_VALUE"""),"NEOGAN")</f>
        <v>NEOGAN</v>
      </c>
      <c r="O59" s="1" t="str">
        <f>IFERROR(__xludf.DUMMYFUNCTION("""COMPUTED_VALUE"""),"TAGAYTAY")</f>
        <v>TAGAYTAY</v>
      </c>
      <c r="P59" s="1" t="str">
        <f>IFERROR(__xludf.DUMMYFUNCTION("""COMPUTED_VALUE"""),"CAVITE")</f>
        <v>CAVITE</v>
      </c>
      <c r="Q59" s="1" t="str">
        <f>IFERROR(__xludf.DUMMYFUNCTION("""COMPUTED_VALUE"""),"FIBR PLAN 1399")</f>
        <v>FIBR PLAN 1399</v>
      </c>
      <c r="R59" s="1" t="str">
        <f>IFERROR(__xludf.DUMMYFUNCTION("""COMPUTED_VALUE"""),"APPROVED")</f>
        <v>APPROVED</v>
      </c>
      <c r="S59" s="1"/>
      <c r="T59" s="1"/>
      <c r="U59" s="1"/>
      <c r="V59" s="1"/>
      <c r="W59" s="1"/>
    </row>
    <row r="60" customHeight="1" spans="1:23">
      <c r="A60" s="3">
        <f>IFERROR(__xludf.DUMMYFUNCTION("""COMPUTED_VALUE"""),46029)</f>
        <v>46029</v>
      </c>
      <c r="B60" s="1" t="str">
        <f>IFERROR(__xludf.DUMMYFUNCTION("""COMPUTED_VALUE"""),"FRANCISCO , ROSELYN")</f>
        <v>FRANCISCO , ROSELYN</v>
      </c>
      <c r="C60" s="1" t="str">
        <f>IFERROR(__xludf.DUMMYFUNCTION("""COMPUTED_VALUE"""),"ORGANIC")</f>
        <v>ORGANIC</v>
      </c>
      <c r="D60" s="1" t="str">
        <f>IFERROR(__xludf.DUMMYFUNCTION("""COMPUTED_VALUE"""),"ILANO MARK")</f>
        <v>ILANO MARK</v>
      </c>
      <c r="E60" s="1" t="str">
        <f>IFERROR(__xludf.DUMMYFUNCTION("""COMPUTED_VALUE"""),"PLDT")</f>
        <v>PLDT</v>
      </c>
      <c r="F60" s="1">
        <f>IFERROR(__xludf.DUMMYFUNCTION("""COMPUTED_VALUE"""),2306070302)</f>
        <v>2306070302</v>
      </c>
      <c r="G60" s="1"/>
      <c r="H60" s="1" t="str">
        <f>IFERROR(__xludf.DUMMYFUNCTION("""COMPUTED_VALUE"""),"9162112623")</f>
        <v>9162112623</v>
      </c>
      <c r="I60" s="1">
        <f>IFERROR(__xludf.DUMMYFUNCTION("""COMPUTED_VALUE"""),9397503704)</f>
        <v>9397503704</v>
      </c>
      <c r="J60" s="1"/>
      <c r="K60" s="1" t="str">
        <f>IFERROR(__xludf.DUMMYFUNCTION("""COMPUTED_VALUE"""),"BLK 6 LOT 11")</f>
        <v>BLK 6 LOT 11</v>
      </c>
      <c r="L60" s="1" t="str">
        <f>IFERROR(__xludf.DUMMYFUNCTION("""COMPUTED_VALUE"""),"PHASE 5")</f>
        <v>PHASE 5</v>
      </c>
      <c r="M60" s="1" t="str">
        <f>IFERROR(__xludf.DUMMYFUNCTION("""COMPUTED_VALUE"""),"WESTVILLE")</f>
        <v>WESTVILLE</v>
      </c>
      <c r="N60" s="1" t="str">
        <f>IFERROR(__xludf.DUMMYFUNCTION("""COMPUTED_VALUE"""),"LIGAS II")</f>
        <v>LIGAS II</v>
      </c>
      <c r="O60" s="1" t="str">
        <f>IFERROR(__xludf.DUMMYFUNCTION("""COMPUTED_VALUE"""),"BACOOR")</f>
        <v>BACOOR</v>
      </c>
      <c r="P60" s="1" t="str">
        <f>IFERROR(__xludf.DUMMYFUNCTION("""COMPUTED_VALUE"""),"CAVITE")</f>
        <v>CAVITE</v>
      </c>
      <c r="Q60" s="1" t="str">
        <f>IFERROR(__xludf.DUMMYFUNCTION("""COMPUTED_VALUE"""),"FIBR PLAN 1699")</f>
        <v>FIBR PLAN 1699</v>
      </c>
      <c r="R60" s="1" t="str">
        <f>IFERROR(__xludf.DUMMYFUNCTION("""COMPUTED_VALUE"""),"APPROVED")</f>
        <v>APPROVED</v>
      </c>
      <c r="S60" s="1"/>
      <c r="T60" s="1"/>
      <c r="U60" s="1"/>
      <c r="V60" s="1"/>
      <c r="W60" s="1"/>
    </row>
    <row r="61" customHeight="1" spans="1:23">
      <c r="A61" s="3">
        <f>IFERROR(__xludf.DUMMYFUNCTION("""COMPUTED_VALUE"""),46029)</f>
        <v>46029</v>
      </c>
      <c r="B61" s="1" t="str">
        <f>IFERROR(__xludf.DUMMYFUNCTION("""COMPUTED_VALUE"""),"MALIWAT MARK ELVIN")</f>
        <v>MALIWAT MARK ELVIN</v>
      </c>
      <c r="C61" s="1" t="str">
        <f>IFERROR(__xludf.DUMMYFUNCTION("""COMPUTED_VALUE"""),"FLA")</f>
        <v>FLA</v>
      </c>
      <c r="D61" s="1" t="str">
        <f>IFERROR(__xludf.DUMMYFUNCTION("""COMPUTED_VALUE"""),"JERIC NAVARRO")</f>
        <v>JERIC NAVARRO</v>
      </c>
      <c r="E61" s="1" t="str">
        <f>IFERROR(__xludf.DUMMYFUNCTION("""COMPUTED_VALUE"""),"PLDT")</f>
        <v>PLDT</v>
      </c>
      <c r="F61" s="1">
        <f>IFERROR(__xludf.DUMMYFUNCTION("""COMPUTED_VALUE"""),2306071553)</f>
        <v>2306071553</v>
      </c>
      <c r="G61" s="1"/>
      <c r="H61" s="1" t="str">
        <f>IFERROR(__xludf.DUMMYFUNCTION("""COMPUTED_VALUE"""),"9970859952")</f>
        <v>9970859952</v>
      </c>
      <c r="I61" s="1">
        <f>IFERROR(__xludf.DUMMYFUNCTION("""COMPUTED_VALUE"""),9515820961)</f>
        <v>9515820961</v>
      </c>
      <c r="J61" s="1"/>
      <c r="K61" s="1" t="str">
        <f>IFERROR(__xludf.DUMMYFUNCTION("""COMPUTED_VALUE"""),"LOT 7418")</f>
        <v>LOT 7418</v>
      </c>
      <c r="L61" s="1" t="str">
        <f>IFERROR(__xludf.DUMMYFUNCTION("""COMPUTED_VALUE"""),"NIA RD")</f>
        <v>NIA RD</v>
      </c>
      <c r="M61" s="1"/>
      <c r="N61" s="1" t="str">
        <f>IFERROR(__xludf.DUMMYFUNCTION("""COMPUTED_VALUE"""),"PALIPARAN I")</f>
        <v>PALIPARAN I</v>
      </c>
      <c r="O61" s="1" t="str">
        <f>IFERROR(__xludf.DUMMYFUNCTION("""COMPUTED_VALUE"""),"DASMARINAS")</f>
        <v>DASMARINAS</v>
      </c>
      <c r="P61" s="1" t="str">
        <f>IFERROR(__xludf.DUMMYFUNCTION("""COMPUTED_VALUE"""),"CAVITE")</f>
        <v>CAVITE</v>
      </c>
      <c r="Q61" s="1" t="str">
        <f>IFERROR(__xludf.DUMMYFUNCTION("""COMPUTED_VALUE"""),"FIBR PLAN 1299")</f>
        <v>FIBR PLAN 1299</v>
      </c>
      <c r="R61" s="1" t="str">
        <f>IFERROR(__xludf.DUMMYFUNCTION("""COMPUTED_VALUE"""),"APPROVED")</f>
        <v>APPROVED</v>
      </c>
      <c r="S61" s="1"/>
      <c r="T61" s="1"/>
      <c r="U61" s="1"/>
      <c r="V61" s="1"/>
      <c r="W61" s="1"/>
    </row>
    <row r="62" customHeight="1" spans="1:23">
      <c r="A62" s="3">
        <f>IFERROR(__xludf.DUMMYFUNCTION("""COMPUTED_VALUE"""),46029)</f>
        <v>46029</v>
      </c>
      <c r="B62" s="1" t="str">
        <f>IFERROR(__xludf.DUMMYFUNCTION("""COMPUTED_VALUE"""),"TIONGSON, ANGELINE")</f>
        <v>TIONGSON, ANGELINE</v>
      </c>
      <c r="C62" s="1" t="str">
        <f>IFERROR(__xludf.DUMMYFUNCTION("""COMPUTED_VALUE"""),"FLA")</f>
        <v>FLA</v>
      </c>
      <c r="D62" s="1" t="str">
        <f>IFERROR(__xludf.DUMMYFUNCTION("""COMPUTED_VALUE"""),"JERIC NAVARRO")</f>
        <v>JERIC NAVARRO</v>
      </c>
      <c r="E62" s="1" t="str">
        <f>IFERROR(__xludf.DUMMYFUNCTION("""COMPUTED_VALUE"""),"PLDT")</f>
        <v>PLDT</v>
      </c>
      <c r="F62" s="1">
        <f>IFERROR(__xludf.DUMMYFUNCTION("""COMPUTED_VALUE"""),2306083254)</f>
        <v>2306083254</v>
      </c>
      <c r="G62" s="1"/>
      <c r="H62" s="1" t="str">
        <f>IFERROR(__xludf.DUMMYFUNCTION("""COMPUTED_VALUE"""),"9166969649")</f>
        <v>9166969649</v>
      </c>
      <c r="I62" s="1">
        <f>IFERROR(__xludf.DUMMYFUNCTION("""COMPUTED_VALUE"""),9562551032)</f>
        <v>9562551032</v>
      </c>
      <c r="J62" s="1"/>
      <c r="K62" s="1" t="str">
        <f>IFERROR(__xludf.DUMMYFUNCTION("""COMPUTED_VALUE"""),"1019")</f>
        <v>1019</v>
      </c>
      <c r="L62" s="1" t="str">
        <f>IFERROR(__xludf.DUMMYFUNCTION("""COMPUTED_VALUE"""),"BLK 16 EXCESS LOT")</f>
        <v>BLK 16 EXCESS LOT</v>
      </c>
      <c r="M62" s="1"/>
      <c r="N62" s="1" t="str">
        <f>IFERROR(__xludf.DUMMYFUNCTION("""COMPUTED_VALUE"""),"BERNARDO PULIDO (AREA H)")</f>
        <v>BERNARDO PULIDO (AREA H)</v>
      </c>
      <c r="O62" s="1" t="str">
        <f>IFERROR(__xludf.DUMMYFUNCTION("""COMPUTED_VALUE"""),"GEN MARIANO ALVAREZ")</f>
        <v>GEN MARIANO ALVAREZ</v>
      </c>
      <c r="P62" s="1" t="str">
        <f>IFERROR(__xludf.DUMMYFUNCTION("""COMPUTED_VALUE"""),"CAVITE")</f>
        <v>CAVITE</v>
      </c>
      <c r="Q62" s="1" t="str">
        <f>IFERROR(__xludf.DUMMYFUNCTION("""COMPUTED_VALUE"""),"FIBR PLAN 1399")</f>
        <v>FIBR PLAN 1399</v>
      </c>
      <c r="R62" s="1" t="str">
        <f>IFERROR(__xludf.DUMMYFUNCTION("""COMPUTED_VALUE"""),"APPROVED")</f>
        <v>APPROVED</v>
      </c>
      <c r="S62" s="1"/>
      <c r="T62" s="1"/>
      <c r="U62" s="1"/>
      <c r="V62" s="1"/>
      <c r="W62" s="1"/>
    </row>
    <row r="63" customHeight="1" spans="1:23">
      <c r="A63" s="3">
        <f>IFERROR(__xludf.DUMMYFUNCTION("""COMPUTED_VALUE"""),46029)</f>
        <v>46029</v>
      </c>
      <c r="B63" s="1" t="str">
        <f>IFERROR(__xludf.DUMMYFUNCTION("""COMPUTED_VALUE"""),"LANZA, ANNALYN")</f>
        <v>LANZA, ANNALYN</v>
      </c>
      <c r="C63" s="1" t="str">
        <f>IFERROR(__xludf.DUMMYFUNCTION("""COMPUTED_VALUE"""),"ORGANIC")</f>
        <v>ORGANIC</v>
      </c>
      <c r="D63" s="1" t="str">
        <f>IFERROR(__xludf.DUMMYFUNCTION("""COMPUTED_VALUE"""),"ILANO MARK")</f>
        <v>ILANO MARK</v>
      </c>
      <c r="E63" s="1" t="str">
        <f>IFERROR(__xludf.DUMMYFUNCTION("""COMPUTED_VALUE"""),"PLDT")</f>
        <v>PLDT</v>
      </c>
      <c r="F63" s="1"/>
      <c r="G63" s="1"/>
      <c r="H63" s="1" t="str">
        <f>IFERROR(__xludf.DUMMYFUNCTION("""COMPUTED_VALUE"""),"9753300901")</f>
        <v>9753300901</v>
      </c>
      <c r="I63" s="1"/>
      <c r="J63" s="1"/>
      <c r="K63" s="1" t="str">
        <f>IFERROR(__xludf.DUMMYFUNCTION("""COMPUTED_VALUE"""),"BLK 10 LOT 37")</f>
        <v>BLK 10 LOT 37</v>
      </c>
      <c r="L63" s="1" t="str">
        <f>IFERROR(__xludf.DUMMYFUNCTION("""COMPUTED_VALUE"""),"IVORY ST")</f>
        <v>IVORY ST</v>
      </c>
      <c r="M63" s="1" t="str">
        <f>IFERROR(__xludf.DUMMYFUNCTION("""COMPUTED_VALUE"""),"DIAMOND VILLAGE")</f>
        <v>DIAMOND VILLAGE</v>
      </c>
      <c r="N63" s="1" t="str">
        <f>IFERROR(__xludf.DUMMYFUNCTION("""COMPUTED_VALUE"""),"SALAWAG")</f>
        <v>SALAWAG</v>
      </c>
      <c r="O63" s="1" t="str">
        <f>IFERROR(__xludf.DUMMYFUNCTION("""COMPUTED_VALUE"""),"DASMARINAS")</f>
        <v>DASMARINAS</v>
      </c>
      <c r="P63" s="1" t="str">
        <f>IFERROR(__xludf.DUMMYFUNCTION("""COMPUTED_VALUE"""),"CAVITE")</f>
        <v>CAVITE</v>
      </c>
      <c r="Q63" s="1" t="str">
        <f>IFERROR(__xludf.DUMMYFUNCTION("""COMPUTED_VALUE"""),"FIBR PLAN 1399")</f>
        <v>FIBR PLAN 1399</v>
      </c>
      <c r="R63" s="1" t="str">
        <f>IFERROR(__xludf.DUMMYFUNCTION("""COMPUTED_VALUE"""),"APPROVED")</f>
        <v>APPROVED</v>
      </c>
      <c r="S63" s="1" t="str">
        <f>IFERROR(__xludf.DUMMYFUNCTION("""COMPUTED_VALUE"""),"WILLING TO ADVANCE PAYMENT ON JAN 20")</f>
        <v>WILLING TO ADVANCE PAYMENT ON JAN 20</v>
      </c>
      <c r="T63" s="1"/>
      <c r="U63" s="1"/>
      <c r="V63" s="1"/>
      <c r="W63" s="1"/>
    </row>
    <row r="64" customHeight="1" spans="1:23">
      <c r="A64" s="3">
        <f>IFERROR(__xludf.DUMMYFUNCTION("""COMPUTED_VALUE"""),46029)</f>
        <v>46029</v>
      </c>
      <c r="B64" s="1" t="str">
        <f>IFERROR(__xludf.DUMMYFUNCTION("""COMPUTED_VALUE"""),"DELA ROSA, JENNELYN")</f>
        <v>DELA ROSA, JENNELYN</v>
      </c>
      <c r="C64" s="1" t="str">
        <f>IFERROR(__xludf.DUMMYFUNCTION("""COMPUTED_VALUE"""),"ORGANIC")</f>
        <v>ORGANIC</v>
      </c>
      <c r="D64" s="1" t="str">
        <f>IFERROR(__xludf.DUMMYFUNCTION("""COMPUTED_VALUE"""),"REMOLLO LEA")</f>
        <v>REMOLLO LEA</v>
      </c>
      <c r="E64" s="1" t="str">
        <f>IFERROR(__xludf.DUMMYFUNCTION("""COMPUTED_VALUE"""),"RED FIBER")</f>
        <v>RED FIBER</v>
      </c>
      <c r="F64" s="1"/>
      <c r="G64" s="1"/>
      <c r="H64" s="1" t="str">
        <f>IFERROR(__xludf.DUMMYFUNCTION("""COMPUTED_VALUE"""),"9637884960")</f>
        <v>9637884960</v>
      </c>
      <c r="I64" s="1">
        <f>IFERROR(__xludf.DUMMYFUNCTION("""COMPUTED_VALUE"""),9637885071)</f>
        <v>9637885071</v>
      </c>
      <c r="J64" s="1"/>
      <c r="K64" s="1" t="str">
        <f>IFERROR(__xludf.DUMMYFUNCTION("""COMPUTED_VALUE"""),"65")</f>
        <v>65</v>
      </c>
      <c r="L64" s="1" t="str">
        <f>IFERROR(__xludf.DUMMYFUNCTION("""COMPUTED_VALUE"""),"JP RIZAL")</f>
        <v>JP RIZAL</v>
      </c>
      <c r="M64" s="1"/>
      <c r="N64" s="1" t="str">
        <f>IFERROR(__xludf.DUMMYFUNCTION("""COMPUTED_VALUE"""),"ASIS III")</f>
        <v>ASIS III</v>
      </c>
      <c r="O64" s="1" t="str">
        <f>IFERROR(__xludf.DUMMYFUNCTION("""COMPUTED_VALUE"""),"MENDEZ")</f>
        <v>MENDEZ</v>
      </c>
      <c r="P64" s="1" t="str">
        <f>IFERROR(__xludf.DUMMYFUNCTION("""COMPUTED_VALUE"""),"CAVITE")</f>
        <v>CAVITE</v>
      </c>
      <c r="Q64" s="1" t="str">
        <f>IFERROR(__xludf.DUMMYFUNCTION("""COMPUTED_VALUE"""),"RED FIBER PLAN 1000")</f>
        <v>RED FIBER PLAN 1000</v>
      </c>
      <c r="R64" s="1" t="str">
        <f>IFERROR(__xludf.DUMMYFUNCTION("""COMPUTED_VALUE"""),"APPROVED")</f>
        <v>APPROVED</v>
      </c>
      <c r="S64" s="1"/>
      <c r="T64" s="1"/>
      <c r="U64" s="1"/>
      <c r="V64" s="1"/>
      <c r="W64" s="1"/>
    </row>
    <row r="65" customHeight="1" spans="1:23">
      <c r="A65" s="3">
        <f>IFERROR(__xludf.DUMMYFUNCTION("""COMPUTED_VALUE"""),46029)</f>
        <v>46029</v>
      </c>
      <c r="B65" s="1" t="str">
        <f>IFERROR(__xludf.DUMMYFUNCTION("""COMPUTED_VALUE"""),"LANZA, ANNALYN")</f>
        <v>LANZA, ANNALYN</v>
      </c>
      <c r="C65" s="1" t="str">
        <f>IFERROR(__xludf.DUMMYFUNCTION("""COMPUTED_VALUE"""),"ORGANIC")</f>
        <v>ORGANIC</v>
      </c>
      <c r="D65" s="1" t="str">
        <f>IFERROR(__xludf.DUMMYFUNCTION("""COMPUTED_VALUE"""),"REMOLLO LEA")</f>
        <v>REMOLLO LEA</v>
      </c>
      <c r="E65" s="1" t="str">
        <f>IFERROR(__xludf.DUMMYFUNCTION("""COMPUTED_VALUE"""),"RED FIBER")</f>
        <v>RED FIBER</v>
      </c>
      <c r="F65" s="1"/>
      <c r="G65" s="1"/>
      <c r="H65" s="1" t="str">
        <f>IFERROR(__xludf.DUMMYFUNCTION("""COMPUTED_VALUE"""),"9853750817")</f>
        <v>9853750817</v>
      </c>
      <c r="I65" s="1"/>
      <c r="J65" s="1"/>
      <c r="K65" s="1" t="str">
        <f>IFERROR(__xludf.DUMMYFUNCTION("""COMPUTED_VALUE"""),"77")</f>
        <v>77</v>
      </c>
      <c r="L65" s="1" t="str">
        <f>IFERROR(__xludf.DUMMYFUNCTION("""COMPUTED_VALUE"""),"ZANDRA ST")</f>
        <v>ZANDRA ST</v>
      </c>
      <c r="M65" s="1"/>
      <c r="N65" s="1" t="str">
        <f>IFERROR(__xludf.DUMMYFUNCTION("""COMPUTED_VALUE"""),"ASIS I")</f>
        <v>ASIS I</v>
      </c>
      <c r="O65" s="1" t="str">
        <f>IFERROR(__xludf.DUMMYFUNCTION("""COMPUTED_VALUE"""),"MENDEZ")</f>
        <v>MENDEZ</v>
      </c>
      <c r="P65" s="1" t="str">
        <f>IFERROR(__xludf.DUMMYFUNCTION("""COMPUTED_VALUE"""),"CAVITE")</f>
        <v>CAVITE</v>
      </c>
      <c r="Q65" s="1" t="str">
        <f>IFERROR(__xludf.DUMMYFUNCTION("""COMPUTED_VALUE"""),"RED FIBER PLAN 1000")</f>
        <v>RED FIBER PLAN 1000</v>
      </c>
      <c r="R65" s="1" t="str">
        <f>IFERROR(__xludf.DUMMYFUNCTION("""COMPUTED_VALUE"""),"APPROVED")</f>
        <v>APPROVED</v>
      </c>
      <c r="S65" s="1"/>
      <c r="T65" s="1"/>
      <c r="U65" s="1"/>
      <c r="V65" s="1"/>
      <c r="W65" s="1"/>
    </row>
    <row r="66" customHeight="1" spans="1:23">
      <c r="A66" s="3">
        <f>IFERROR(__xludf.DUMMYFUNCTION("""COMPUTED_VALUE"""),46029)</f>
        <v>46029</v>
      </c>
      <c r="B66" s="1" t="str">
        <f>IFERROR(__xludf.DUMMYFUNCTION("""COMPUTED_VALUE"""),"MAZO, EVA RICA")</f>
        <v>MAZO, EVA RICA</v>
      </c>
      <c r="C66" s="1" t="str">
        <f>IFERROR(__xludf.DUMMYFUNCTION("""COMPUTED_VALUE"""),"ORGANIC")</f>
        <v>ORGANIC</v>
      </c>
      <c r="D66" s="1" t="str">
        <f>IFERROR(__xludf.DUMMYFUNCTION("""COMPUTED_VALUE"""),"REMOLLO LEA")</f>
        <v>REMOLLO LEA</v>
      </c>
      <c r="E66" s="1" t="str">
        <f>IFERROR(__xludf.DUMMYFUNCTION("""COMPUTED_VALUE"""),"RED FIBER")</f>
        <v>RED FIBER</v>
      </c>
      <c r="F66" s="1"/>
      <c r="G66" s="1"/>
      <c r="H66" s="1" t="str">
        <f>IFERROR(__xludf.DUMMYFUNCTION("""COMPUTED_VALUE"""),"9497312830")</f>
        <v>9497312830</v>
      </c>
      <c r="I66" s="1"/>
      <c r="J66" s="1"/>
      <c r="K66" s="1" t="str">
        <f>IFERROR(__xludf.DUMMYFUNCTION("""COMPUTED_VALUE"""),"6B")</f>
        <v>6B</v>
      </c>
      <c r="L66" s="1" t="str">
        <f>IFERROR(__xludf.DUMMYFUNCTION("""COMPUTED_VALUE"""),"ST FRANCIS ST")</f>
        <v>ST FRANCIS ST</v>
      </c>
      <c r="M66" s="1"/>
      <c r="N66" s="1" t="str">
        <f>IFERROR(__xludf.DUMMYFUNCTION("""COMPUTED_VALUE"""),"ASIS I")</f>
        <v>ASIS I</v>
      </c>
      <c r="O66" s="1" t="str">
        <f>IFERROR(__xludf.DUMMYFUNCTION("""COMPUTED_VALUE"""),"MENDEZ")</f>
        <v>MENDEZ</v>
      </c>
      <c r="P66" s="1" t="str">
        <f>IFERROR(__xludf.DUMMYFUNCTION("""COMPUTED_VALUE"""),"CAVITE")</f>
        <v>CAVITE</v>
      </c>
      <c r="Q66" s="1" t="str">
        <f>IFERROR(__xludf.DUMMYFUNCTION("""COMPUTED_VALUE"""),"RED FIBER PLAN 1000")</f>
        <v>RED FIBER PLAN 1000</v>
      </c>
      <c r="R66" s="1" t="str">
        <f>IFERROR(__xludf.DUMMYFUNCTION("""COMPUTED_VALUE"""),"APPROVED")</f>
        <v>APPROVED</v>
      </c>
      <c r="S66" s="1"/>
      <c r="T66" s="1"/>
      <c r="U66" s="1"/>
      <c r="V66" s="1"/>
      <c r="W66" s="1"/>
    </row>
    <row r="67" customHeight="1" spans="1:23">
      <c r="A67" s="3">
        <f>IFERROR(__xludf.DUMMYFUNCTION("""COMPUTED_VALUE"""),46029)</f>
        <v>46029</v>
      </c>
      <c r="B67" s="1" t="str">
        <f>IFERROR(__xludf.DUMMYFUNCTION("""COMPUTED_VALUE"""),"FRANCISCO , ROSELYN")</f>
        <v>FRANCISCO , ROSELYN</v>
      </c>
      <c r="C67" s="1" t="str">
        <f>IFERROR(__xludf.DUMMYFUNCTION("""COMPUTED_VALUE"""),"ORGANIC")</f>
        <v>ORGANIC</v>
      </c>
      <c r="D67" s="1" t="str">
        <f>IFERROR(__xludf.DUMMYFUNCTION("""COMPUTED_VALUE"""),"REMOLLO LEA")</f>
        <v>REMOLLO LEA</v>
      </c>
      <c r="E67" s="1" t="str">
        <f>IFERROR(__xludf.DUMMYFUNCTION("""COMPUTED_VALUE"""),"RED FIBER")</f>
        <v>RED FIBER</v>
      </c>
      <c r="F67" s="1"/>
      <c r="G67" s="1"/>
      <c r="H67" s="1" t="str">
        <f>IFERROR(__xludf.DUMMYFUNCTION("""COMPUTED_VALUE"""),"9958249990")</f>
        <v>9958249990</v>
      </c>
      <c r="I67" s="1">
        <f>IFERROR(__xludf.DUMMYFUNCTION("""COMPUTED_VALUE"""),9460922505)</f>
        <v>9460922505</v>
      </c>
      <c r="J67" s="1"/>
      <c r="K67" s="1" t="str">
        <f>IFERROR(__xludf.DUMMYFUNCTION("""COMPUTED_VALUE"""),"118")</f>
        <v>118</v>
      </c>
      <c r="L67" s="1" t="str">
        <f>IFERROR(__xludf.DUMMYFUNCTION("""COMPUTED_VALUE"""),"ZAMORA ST")</f>
        <v>ZAMORA ST</v>
      </c>
      <c r="M67" s="1"/>
      <c r="N67" s="1" t="str">
        <f>IFERROR(__xludf.DUMMYFUNCTION("""COMPUTED_VALUE"""),"ASIS I")</f>
        <v>ASIS I</v>
      </c>
      <c r="O67" s="1" t="str">
        <f>IFERROR(__xludf.DUMMYFUNCTION("""COMPUTED_VALUE"""),"MENDEZ")</f>
        <v>MENDEZ</v>
      </c>
      <c r="P67" s="1" t="str">
        <f>IFERROR(__xludf.DUMMYFUNCTION("""COMPUTED_VALUE"""),"CAVITE")</f>
        <v>CAVITE</v>
      </c>
      <c r="Q67" s="1" t="str">
        <f>IFERROR(__xludf.DUMMYFUNCTION("""COMPUTED_VALUE"""),"RED FIBER PLAN 1000")</f>
        <v>RED FIBER PLAN 1000</v>
      </c>
      <c r="R67" s="1" t="str">
        <f>IFERROR(__xludf.DUMMYFUNCTION("""COMPUTED_VALUE"""),"APPROVED")</f>
        <v>APPROVED</v>
      </c>
      <c r="S67" s="1"/>
      <c r="T67" s="1"/>
      <c r="U67" s="1"/>
      <c r="V67" s="1"/>
      <c r="W67" s="1"/>
    </row>
    <row r="68" customHeight="1" spans="1:23">
      <c r="A68" s="3">
        <f>IFERROR(__xludf.DUMMYFUNCTION("""COMPUTED_VALUE"""),46029)</f>
        <v>46029</v>
      </c>
      <c r="B68" s="1" t="str">
        <f>IFERROR(__xludf.DUMMYFUNCTION("""COMPUTED_VALUE"""),"GABAY, MANUEL")</f>
        <v>GABAY, MANUEL</v>
      </c>
      <c r="C68" s="1" t="str">
        <f>IFERROR(__xludf.DUMMYFUNCTION("""COMPUTED_VALUE"""),"FLA")</f>
        <v>FLA</v>
      </c>
      <c r="D68" s="1" t="str">
        <f>IFERROR(__xludf.DUMMYFUNCTION("""COMPUTED_VALUE"""),"JERIC NAVARRO")</f>
        <v>JERIC NAVARRO</v>
      </c>
      <c r="E68" s="1" t="str">
        <f>IFERROR(__xludf.DUMMYFUNCTION("""COMPUTED_VALUE"""),"PLDT")</f>
        <v>PLDT</v>
      </c>
      <c r="F68" s="1">
        <f>IFERROR(__xludf.DUMMYFUNCTION("""COMPUTED_VALUE"""),2306078414)</f>
        <v>2306078414</v>
      </c>
      <c r="G68" s="1"/>
      <c r="H68" s="1" t="str">
        <f>IFERROR(__xludf.DUMMYFUNCTION("""COMPUTED_VALUE"""),"9481723490")</f>
        <v>9481723490</v>
      </c>
      <c r="I68" s="1">
        <f>IFERROR(__xludf.DUMMYFUNCTION("""COMPUTED_VALUE"""),9770736984)</f>
        <v>9770736984</v>
      </c>
      <c r="J68" s="1"/>
      <c r="K68" s="1" t="str">
        <f>IFERROR(__xludf.DUMMYFUNCTION("""COMPUTED_VALUE"""),"3A")</f>
        <v>3A</v>
      </c>
      <c r="L68" s="1" t="str">
        <f>IFERROR(__xludf.DUMMYFUNCTION("""COMPUTED_VALUE"""),"BONIFACIO ST")</f>
        <v>BONIFACIO ST</v>
      </c>
      <c r="M68" s="1"/>
      <c r="N68" s="1" t="str">
        <f>IFERROR(__xludf.DUMMYFUNCTION("""COMPUTED_VALUE"""),"POBLACION V (BARANGAY V)")</f>
        <v>POBLACION V (BARANGAY V)</v>
      </c>
      <c r="O68" s="1" t="str">
        <f>IFERROR(__xludf.DUMMYFUNCTION("""COMPUTED_VALUE"""),"MENDEZ")</f>
        <v>MENDEZ</v>
      </c>
      <c r="P68" s="1" t="str">
        <f>IFERROR(__xludf.DUMMYFUNCTION("""COMPUTED_VALUE"""),"CAVITE")</f>
        <v>CAVITE</v>
      </c>
      <c r="Q68" s="1" t="str">
        <f>IFERROR(__xludf.DUMMYFUNCTION("""COMPUTED_VALUE"""),"FIBR PLAN 1399")</f>
        <v>FIBR PLAN 1399</v>
      </c>
      <c r="R68" s="1" t="str">
        <f>IFERROR(__xludf.DUMMYFUNCTION("""COMPUTED_VALUE"""),"APPROVED")</f>
        <v>APPROVED</v>
      </c>
      <c r="S68" s="1"/>
      <c r="T68" s="1"/>
      <c r="U68" s="1"/>
      <c r="V68" s="1"/>
      <c r="W68" s="1"/>
    </row>
    <row r="69" customHeight="1" spans="1:23">
      <c r="A69" s="3">
        <f>IFERROR(__xludf.DUMMYFUNCTION("""COMPUTED_VALUE"""),46029)</f>
        <v>46029</v>
      </c>
      <c r="B69" s="1" t="str">
        <f>IFERROR(__xludf.DUMMYFUNCTION("""COMPUTED_VALUE"""),"DAROG, ANDREA")</f>
        <v>DAROG, ANDREA</v>
      </c>
      <c r="C69" s="1" t="str">
        <f>IFERROR(__xludf.DUMMYFUNCTION("""COMPUTED_VALUE"""),"ORGANIC")</f>
        <v>ORGANIC</v>
      </c>
      <c r="D69" s="1" t="str">
        <f>IFERROR(__xludf.DUMMYFUNCTION("""COMPUTED_VALUE"""),"REMOLLO LEA")</f>
        <v>REMOLLO LEA</v>
      </c>
      <c r="E69" s="1" t="str">
        <f>IFERROR(__xludf.DUMMYFUNCTION("""COMPUTED_VALUE"""),"RED FIBER")</f>
        <v>RED FIBER</v>
      </c>
      <c r="F69" s="1"/>
      <c r="G69" s="1"/>
      <c r="H69" s="1" t="str">
        <f>IFERROR(__xludf.DUMMYFUNCTION("""COMPUTED_VALUE"""),"9381439285")</f>
        <v>9381439285</v>
      </c>
      <c r="I69" s="1"/>
      <c r="J69" s="1"/>
      <c r="K69" s="1" t="str">
        <f>IFERROR(__xludf.DUMMYFUNCTION("""COMPUTED_VALUE"""),"9660")</f>
        <v>9660</v>
      </c>
      <c r="L69" s="1" t="str">
        <f>IFERROR(__xludf.DUMMYFUNCTION("""COMPUTED_VALUE"""),"PANUNGYAN ALFONSO RD")</f>
        <v>PANUNGYAN ALFONSO RD</v>
      </c>
      <c r="M69" s="1"/>
      <c r="N69" s="1" t="str">
        <f>IFERROR(__xludf.DUMMYFUNCTION("""COMPUTED_VALUE"""),"GALICIA I")</f>
        <v>GALICIA I</v>
      </c>
      <c r="O69" s="1" t="str">
        <f>IFERROR(__xludf.DUMMYFUNCTION("""COMPUTED_VALUE"""),"MENDEZ")</f>
        <v>MENDEZ</v>
      </c>
      <c r="P69" s="1" t="str">
        <f>IFERROR(__xludf.DUMMYFUNCTION("""COMPUTED_VALUE"""),"CAVITE")</f>
        <v>CAVITE</v>
      </c>
      <c r="Q69" s="1" t="str">
        <f>IFERROR(__xludf.DUMMYFUNCTION("""COMPUTED_VALUE"""),"RED FIBER PLAN 1000")</f>
        <v>RED FIBER PLAN 1000</v>
      </c>
      <c r="R69" s="1" t="str">
        <f>IFERROR(__xludf.DUMMYFUNCTION("""COMPUTED_VALUE"""),"APPROVED")</f>
        <v>APPROVED</v>
      </c>
      <c r="S69" s="1"/>
      <c r="T69" s="1"/>
      <c r="U69" s="1"/>
      <c r="V69" s="1"/>
      <c r="W69" s="1"/>
    </row>
    <row r="70" customHeight="1" spans="1:23">
      <c r="A70" s="3">
        <f>IFERROR(__xludf.DUMMYFUNCTION("""COMPUTED_VALUE"""),46029)</f>
        <v>46029</v>
      </c>
      <c r="B70" s="1" t="str">
        <f>IFERROR(__xludf.DUMMYFUNCTION("""COMPUTED_VALUE"""),"IVNO, RAZZEL")</f>
        <v>IVNO, RAZZEL</v>
      </c>
      <c r="C70" s="1" t="str">
        <f>IFERROR(__xludf.DUMMYFUNCTION("""COMPUTED_VALUE"""),"ORGANIC")</f>
        <v>ORGANIC</v>
      </c>
      <c r="D70" s="1" t="str">
        <f>IFERROR(__xludf.DUMMYFUNCTION("""COMPUTED_VALUE"""),"ILANO MARK")</f>
        <v>ILANO MARK</v>
      </c>
      <c r="E70" s="1" t="str">
        <f>IFERROR(__xludf.DUMMYFUNCTION("""COMPUTED_VALUE"""),"PLDT")</f>
        <v>PLDT</v>
      </c>
      <c r="F70" s="1">
        <f>IFERROR(__xludf.DUMMYFUNCTION("""COMPUTED_VALUE"""),2306081869)</f>
        <v>2306081869</v>
      </c>
      <c r="G70" s="1"/>
      <c r="H70" s="1" t="str">
        <f>IFERROR(__xludf.DUMMYFUNCTION("""COMPUTED_VALUE"""),"9525323798")</f>
        <v>9525323798</v>
      </c>
      <c r="I70" s="1">
        <f>IFERROR(__xludf.DUMMYFUNCTION("""COMPUTED_VALUE"""),9974900144)</f>
        <v>9974900144</v>
      </c>
      <c r="J70" s="1"/>
      <c r="K70" s="1" t="str">
        <f>IFERROR(__xludf.DUMMYFUNCTION("""COMPUTED_VALUE"""),"BLK 56B LOT 10")</f>
        <v>BLK 56B LOT 10</v>
      </c>
      <c r="L70" s="1" t="str">
        <f>IFERROR(__xludf.DUMMYFUNCTION("""COMPUTED_VALUE"""),"PHASE 2")</f>
        <v>PHASE 2</v>
      </c>
      <c r="M70" s="1" t="str">
        <f>IFERROR(__xludf.DUMMYFUNCTION("""COMPUTED_VALUE"""),"PLYWOOD")</f>
        <v>PLYWOOD</v>
      </c>
      <c r="N70" s="1" t="str">
        <f>IFERROR(__xludf.DUMMYFUNCTION("""COMPUTED_VALUE"""),"TANAUAN")</f>
        <v>TANAUAN</v>
      </c>
      <c r="O70" s="1" t="str">
        <f>IFERROR(__xludf.DUMMYFUNCTION("""COMPUTED_VALUE"""),"TANZA")</f>
        <v>TANZA</v>
      </c>
      <c r="P70" s="1" t="str">
        <f>IFERROR(__xludf.DUMMYFUNCTION("""COMPUTED_VALUE"""),"CAVITE")</f>
        <v>CAVITE</v>
      </c>
      <c r="Q70" s="1" t="str">
        <f>IFERROR(__xludf.DUMMYFUNCTION("""COMPUTED_VALUE"""),"FIBR PLAN 1399")</f>
        <v>FIBR PLAN 1399</v>
      </c>
      <c r="R70" s="1" t="str">
        <f>IFERROR(__xludf.DUMMYFUNCTION("""COMPUTED_VALUE"""),"APPROVED")</f>
        <v>APPROVED</v>
      </c>
      <c r="S70" s="1"/>
      <c r="T70" s="1"/>
      <c r="U70" s="1"/>
      <c r="V70" s="1"/>
      <c r="W70" s="1"/>
    </row>
    <row r="71" customHeight="1" spans="1:23">
      <c r="A71" s="3">
        <f>IFERROR(__xludf.DUMMYFUNCTION("""COMPUTED_VALUE"""),46029)</f>
        <v>46029</v>
      </c>
      <c r="B71" s="1" t="str">
        <f>IFERROR(__xludf.DUMMYFUNCTION("""COMPUTED_VALUE"""),"IVNO, RAZZEL")</f>
        <v>IVNO, RAZZEL</v>
      </c>
      <c r="C71" s="1" t="str">
        <f>IFERROR(__xludf.DUMMYFUNCTION("""COMPUTED_VALUE"""),"ORGANIC")</f>
        <v>ORGANIC</v>
      </c>
      <c r="D71" s="1" t="str">
        <f>IFERROR(__xludf.DUMMYFUNCTION("""COMPUTED_VALUE"""),"ILANO MARK")</f>
        <v>ILANO MARK</v>
      </c>
      <c r="E71" s="1" t="str">
        <f>IFERROR(__xludf.DUMMYFUNCTION("""COMPUTED_VALUE"""),"PLDT")</f>
        <v>PLDT</v>
      </c>
      <c r="F71" s="1">
        <f>IFERROR(__xludf.DUMMYFUNCTION("""COMPUTED_VALUE"""),2306080555)</f>
        <v>2306080555</v>
      </c>
      <c r="G71" s="1"/>
      <c r="H71" s="1" t="str">
        <f>IFERROR(__xludf.DUMMYFUNCTION("""COMPUTED_VALUE"""),"9217041907")</f>
        <v>9217041907</v>
      </c>
      <c r="I71" s="1">
        <f>IFERROR(__xludf.DUMMYFUNCTION("""COMPUTED_VALUE"""),9264954186)</f>
        <v>9264954186</v>
      </c>
      <c r="J71" s="1"/>
      <c r="K71" s="1" t="str">
        <f>IFERROR(__xludf.DUMMYFUNCTION("""COMPUTED_VALUE"""),"999")</f>
        <v>999</v>
      </c>
      <c r="L71" s="1" t="str">
        <f>IFERROR(__xludf.DUMMYFUNCTION("""COMPUTED_VALUE"""),"BLK 13")</f>
        <v>BLK 13</v>
      </c>
      <c r="M71" s="1" t="str">
        <f>IFERROR(__xludf.DUMMYFUNCTION("""COMPUTED_VALUE"""),"RODEO HILLS")</f>
        <v>RODEO HILLS</v>
      </c>
      <c r="N71" s="1" t="str">
        <f>IFERROR(__xludf.DUMMYFUNCTION("""COMPUTED_VALUE"""),"BUCK ESTATE")</f>
        <v>BUCK ESTATE</v>
      </c>
      <c r="O71" s="1" t="str">
        <f>IFERROR(__xludf.DUMMYFUNCTION("""COMPUTED_VALUE"""),"AMADEO")</f>
        <v>AMADEO</v>
      </c>
      <c r="P71" s="1" t="str">
        <f>IFERROR(__xludf.DUMMYFUNCTION("""COMPUTED_VALUE"""),"CAVITE")</f>
        <v>CAVITE</v>
      </c>
      <c r="Q71" s="1" t="str">
        <f>IFERROR(__xludf.DUMMYFUNCTION("""COMPUTED_VALUE"""),"FIBR PLAN 1399")</f>
        <v>FIBR PLAN 1399</v>
      </c>
      <c r="R71" s="1" t="str">
        <f>IFERROR(__xludf.DUMMYFUNCTION("""COMPUTED_VALUE"""),"APPROVED")</f>
        <v>APPROVED</v>
      </c>
      <c r="S71" s="1"/>
      <c r="T71" s="1"/>
      <c r="U71" s="1"/>
      <c r="V71" s="1"/>
      <c r="W71" s="1"/>
    </row>
    <row r="72" customHeight="1" spans="1:23">
      <c r="A72" s="3">
        <f>IFERROR(__xludf.DUMMYFUNCTION("""COMPUTED_VALUE"""),46029)</f>
        <v>46029</v>
      </c>
      <c r="B72" s="1" t="str">
        <f>IFERROR(__xludf.DUMMYFUNCTION("""COMPUTED_VALUE"""),"LANZA, ANNALYN")</f>
        <v>LANZA, ANNALYN</v>
      </c>
      <c r="C72" s="1" t="str">
        <f>IFERROR(__xludf.DUMMYFUNCTION("""COMPUTED_VALUE"""),"ORGANIC")</f>
        <v>ORGANIC</v>
      </c>
      <c r="D72" s="1" t="str">
        <f>IFERROR(__xludf.DUMMYFUNCTION("""COMPUTED_VALUE"""),"ILANO MARK")</f>
        <v>ILANO MARK</v>
      </c>
      <c r="E72" s="1" t="str">
        <f>IFERROR(__xludf.DUMMYFUNCTION("""COMPUTED_VALUE"""),"PLDT")</f>
        <v>PLDT</v>
      </c>
      <c r="F72" s="1">
        <f>IFERROR(__xludf.DUMMYFUNCTION("""COMPUTED_VALUE"""),2306081041)</f>
        <v>2306081041</v>
      </c>
      <c r="G72" s="1"/>
      <c r="H72" s="1" t="str">
        <f>IFERROR(__xludf.DUMMYFUNCTION("""COMPUTED_VALUE"""),"9287606525")</f>
        <v>9287606525</v>
      </c>
      <c r="I72" s="1">
        <f>IFERROR(__xludf.DUMMYFUNCTION("""COMPUTED_VALUE"""),9302560885)</f>
        <v>9302560885</v>
      </c>
      <c r="J72" s="1"/>
      <c r="K72" s="1" t="str">
        <f>IFERROR(__xludf.DUMMYFUNCTION("""COMPUTED_VALUE"""),"36")</f>
        <v>36</v>
      </c>
      <c r="L72" s="1" t="str">
        <f>IFERROR(__xludf.DUMMYFUNCTION("""COMPUTED_VALUE"""),"PUROK 1")</f>
        <v>PUROK 1</v>
      </c>
      <c r="M72" s="1"/>
      <c r="N72" s="1" t="str">
        <f>IFERROR(__xludf.DUMMYFUNCTION("""COMPUTED_VALUE"""),"BUCK ESTATE")</f>
        <v>BUCK ESTATE</v>
      </c>
      <c r="O72" s="1" t="str">
        <f>IFERROR(__xludf.DUMMYFUNCTION("""COMPUTED_VALUE"""),"AMADEO")</f>
        <v>AMADEO</v>
      </c>
      <c r="P72" s="1" t="str">
        <f>IFERROR(__xludf.DUMMYFUNCTION("""COMPUTED_VALUE"""),"CAVITE")</f>
        <v>CAVITE</v>
      </c>
      <c r="Q72" s="1" t="str">
        <f>IFERROR(__xludf.DUMMYFUNCTION("""COMPUTED_VALUE"""),"FIBR PLAN 1399")</f>
        <v>FIBR PLAN 1399</v>
      </c>
      <c r="R72" s="1" t="str">
        <f>IFERROR(__xludf.DUMMYFUNCTION("""COMPUTED_VALUE"""),"APPROVED")</f>
        <v>APPROVED</v>
      </c>
      <c r="S72" s="1"/>
      <c r="T72" s="1"/>
      <c r="U72" s="1"/>
      <c r="V72" s="1"/>
      <c r="W72" s="1"/>
    </row>
    <row r="73" customHeight="1" spans="1:23">
      <c r="A73" s="3">
        <f>IFERROR(__xludf.DUMMYFUNCTION("""COMPUTED_VALUE"""),46029)</f>
        <v>46029</v>
      </c>
      <c r="B73" s="1" t="str">
        <f>IFERROR(__xludf.DUMMYFUNCTION("""COMPUTED_VALUE"""),"CADERAO, RONALD")</f>
        <v>CADERAO, RONALD</v>
      </c>
      <c r="C73" s="1" t="str">
        <f>IFERROR(__xludf.DUMMYFUNCTION("""COMPUTED_VALUE"""),"ORGANIC")</f>
        <v>ORGANIC</v>
      </c>
      <c r="D73" s="1" t="str">
        <f>IFERROR(__xludf.DUMMYFUNCTION("""COMPUTED_VALUE"""),"ILANO MARK")</f>
        <v>ILANO MARK</v>
      </c>
      <c r="E73" s="1" t="str">
        <f>IFERROR(__xludf.DUMMYFUNCTION("""COMPUTED_VALUE"""),"PLDT")</f>
        <v>PLDT</v>
      </c>
      <c r="F73" s="1"/>
      <c r="G73" s="1"/>
      <c r="H73" s="1" t="str">
        <f>IFERROR(__xludf.DUMMYFUNCTION("""COMPUTED_VALUE"""),"9687321066")</f>
        <v>9687321066</v>
      </c>
      <c r="I73" s="1">
        <f>IFERROR(__xludf.DUMMYFUNCTION("""COMPUTED_VALUE"""),9917248215)</f>
        <v>9917248215</v>
      </c>
      <c r="J73" s="1"/>
      <c r="K73" s="1" t="str">
        <f>IFERROR(__xludf.DUMMYFUNCTION("""COMPUTED_VALUE"""),"7879")</f>
        <v>7879</v>
      </c>
      <c r="L73" s="1" t="str">
        <f>IFERROR(__xludf.DUMMYFUNCTION("""COMPUTED_VALUE"""),"SAN PEDRO RD")</f>
        <v>SAN PEDRO RD</v>
      </c>
      <c r="M73" s="1"/>
      <c r="N73" s="1" t="str">
        <f>IFERROR(__xludf.DUMMYFUNCTION("""COMPUTED_VALUE"""),"BUKAL")</f>
        <v>BUKAL</v>
      </c>
      <c r="O73" s="1" t="str">
        <f>IFERROR(__xludf.DUMMYFUNCTION("""COMPUTED_VALUE"""),"MENDEZ")</f>
        <v>MENDEZ</v>
      </c>
      <c r="P73" s="1" t="str">
        <f>IFERROR(__xludf.DUMMYFUNCTION("""COMPUTED_VALUE"""),"CAVITE")</f>
        <v>CAVITE</v>
      </c>
      <c r="Q73" s="1" t="str">
        <f>IFERROR(__xludf.DUMMYFUNCTION("""COMPUTED_VALUE"""),"FIBR PLAN 1599")</f>
        <v>FIBR PLAN 1599</v>
      </c>
      <c r="R73" s="1" t="str">
        <f>IFERROR(__xludf.DUMMYFUNCTION("""COMPUTED_VALUE"""),"HOLD")</f>
        <v>HOLD</v>
      </c>
      <c r="S73" s="1" t="str">
        <f>IFERROR(__xludf.DUMMYFUNCTION("""COMPUTED_VALUE"""),"NAP FULL/ PLS PROVIDE CAFAC")</f>
        <v>NAP FULL/ PLS PROVIDE CAFAC</v>
      </c>
      <c r="T73" s="1"/>
      <c r="U73" s="1"/>
      <c r="V73" s="1"/>
      <c r="W73" s="1"/>
    </row>
    <row r="74" customHeight="1" spans="1:23">
      <c r="A74" s="3">
        <f>IFERROR(__xludf.DUMMYFUNCTION("""COMPUTED_VALUE"""),46029)</f>
        <v>46029</v>
      </c>
      <c r="B74" s="1" t="str">
        <f>IFERROR(__xludf.DUMMYFUNCTION("""COMPUTED_VALUE"""),"DE VERA, MARIVIC")</f>
        <v>DE VERA, MARIVIC</v>
      </c>
      <c r="C74" s="1" t="str">
        <f>IFERROR(__xludf.DUMMYFUNCTION("""COMPUTED_VALUE"""),"ORGANIC")</f>
        <v>ORGANIC</v>
      </c>
      <c r="D74" s="1" t="str">
        <f>IFERROR(__xludf.DUMMYFUNCTION("""COMPUTED_VALUE"""),"REMOLLO LEA")</f>
        <v>REMOLLO LEA</v>
      </c>
      <c r="E74" s="1" t="str">
        <f>IFERROR(__xludf.DUMMYFUNCTION("""COMPUTED_VALUE"""),"RED FIBER")</f>
        <v>RED FIBER</v>
      </c>
      <c r="F74" s="1"/>
      <c r="G74" s="1"/>
      <c r="H74" s="1" t="str">
        <f>IFERROR(__xludf.DUMMYFUNCTION("""COMPUTED_VALUE"""),"9235450169")</f>
        <v>9235450169</v>
      </c>
      <c r="I74" s="1"/>
      <c r="J74" s="1"/>
      <c r="K74" s="1" t="str">
        <f>IFERROR(__xludf.DUMMYFUNCTION("""COMPUTED_VALUE"""),"9672")</f>
        <v>9672</v>
      </c>
      <c r="L74" s="1" t="str">
        <f>IFERROR(__xludf.DUMMYFUNCTION("""COMPUTED_VALUE"""),"PANUNGYAN ALFONSO RD")</f>
        <v>PANUNGYAN ALFONSO RD</v>
      </c>
      <c r="M74" s="1"/>
      <c r="N74" s="1" t="str">
        <f>IFERROR(__xludf.DUMMYFUNCTION("""COMPUTED_VALUE"""),"GALICIA II")</f>
        <v>GALICIA II</v>
      </c>
      <c r="O74" s="1" t="str">
        <f>IFERROR(__xludf.DUMMYFUNCTION("""COMPUTED_VALUE"""),"MENDEZ")</f>
        <v>MENDEZ</v>
      </c>
      <c r="P74" s="1" t="str">
        <f>IFERROR(__xludf.DUMMYFUNCTION("""COMPUTED_VALUE"""),"CAVITE")</f>
        <v>CAVITE</v>
      </c>
      <c r="Q74" s="1" t="str">
        <f>IFERROR(__xludf.DUMMYFUNCTION("""COMPUTED_VALUE"""),"RED FIBER PLAN 1400")</f>
        <v>RED FIBER PLAN 1400</v>
      </c>
      <c r="R74" s="1" t="str">
        <f>IFERROR(__xludf.DUMMYFUNCTION("""COMPUTED_VALUE"""),"APPROVED")</f>
        <v>APPROVED</v>
      </c>
      <c r="S74" s="1"/>
      <c r="T74" s="1"/>
      <c r="U74" s="1"/>
      <c r="V74" s="1"/>
      <c r="W74" s="1"/>
    </row>
    <row r="75" customHeight="1" spans="1:23">
      <c r="A75" s="3">
        <f>IFERROR(__xludf.DUMMYFUNCTION("""COMPUTED_VALUE"""),46029)</f>
        <v>46029</v>
      </c>
      <c r="B75" s="1" t="str">
        <f>IFERROR(__xludf.DUMMYFUNCTION("""COMPUTED_VALUE"""),"DAROG, ANDREA")</f>
        <v>DAROG, ANDREA</v>
      </c>
      <c r="C75" s="1" t="str">
        <f>IFERROR(__xludf.DUMMYFUNCTION("""COMPUTED_VALUE"""),"ORGANIC")</f>
        <v>ORGANIC</v>
      </c>
      <c r="D75" s="1" t="str">
        <f>IFERROR(__xludf.DUMMYFUNCTION("""COMPUTED_VALUE"""),"ILANO MARK")</f>
        <v>ILANO MARK</v>
      </c>
      <c r="E75" s="1" t="str">
        <f>IFERROR(__xludf.DUMMYFUNCTION("""COMPUTED_VALUE"""),"PLDT")</f>
        <v>PLDT</v>
      </c>
      <c r="F75" s="1">
        <f>IFERROR(__xludf.DUMMYFUNCTION("""COMPUTED_VALUE"""),2306082798)</f>
        <v>2306082798</v>
      </c>
      <c r="G75" s="1"/>
      <c r="H75" s="1" t="str">
        <f>IFERROR(__xludf.DUMMYFUNCTION("""COMPUTED_VALUE"""),"9563766066")</f>
        <v>9563766066</v>
      </c>
      <c r="I75" s="1">
        <f>IFERROR(__xludf.DUMMYFUNCTION("""COMPUTED_VALUE"""),9452773457)</f>
        <v>9452773457</v>
      </c>
      <c r="J75" s="1"/>
      <c r="K75" s="1" t="str">
        <f>IFERROR(__xludf.DUMMYFUNCTION("""COMPUTED_VALUE"""),"63")</f>
        <v>63</v>
      </c>
      <c r="L75" s="1" t="str">
        <f>IFERROR(__xludf.DUMMYFUNCTION("""COMPUTED_VALUE"""),"SAN MIGUE; ")</f>
        <v>SAN MIGUE; </v>
      </c>
      <c r="M75" s="1"/>
      <c r="N75" s="1" t="str">
        <f>IFERROR(__xludf.DUMMYFUNCTION("""COMPUTED_VALUE"""),"SAN MIGUEL II")</f>
        <v>SAN MIGUEL II</v>
      </c>
      <c r="O75" s="1" t="str">
        <f>IFERROR(__xludf.DUMMYFUNCTION("""COMPUTED_VALUE"""),"SILANG")</f>
        <v>SILANG</v>
      </c>
      <c r="P75" s="1" t="str">
        <f>IFERROR(__xludf.DUMMYFUNCTION("""COMPUTED_VALUE"""),"CAVITE")</f>
        <v>CAVITE</v>
      </c>
      <c r="Q75" s="1" t="str">
        <f>IFERROR(__xludf.DUMMYFUNCTION("""COMPUTED_VALUE"""),"FIBR PLAN 1399")</f>
        <v>FIBR PLAN 1399</v>
      </c>
      <c r="R75" s="1" t="str">
        <f>IFERROR(__xludf.DUMMYFUNCTION("""COMPUTED_VALUE"""),"APPROVED")</f>
        <v>APPROVED</v>
      </c>
      <c r="S75" s="1"/>
      <c r="T75" s="1"/>
      <c r="U75" s="1"/>
      <c r="V75" s="1"/>
      <c r="W75" s="1"/>
    </row>
    <row r="76" customHeight="1" spans="1:23">
      <c r="A76" s="3">
        <f>IFERROR(__xludf.DUMMYFUNCTION("""COMPUTED_VALUE"""),46029)</f>
        <v>46029</v>
      </c>
      <c r="B76" s="1" t="str">
        <f>IFERROR(__xludf.DUMMYFUNCTION("""COMPUTED_VALUE"""),"MALIWAT MARK ELVIN")</f>
        <v>MALIWAT MARK ELVIN</v>
      </c>
      <c r="C76" s="1" t="str">
        <f>IFERROR(__xludf.DUMMYFUNCTION("""COMPUTED_VALUE"""),"FLA")</f>
        <v>FLA</v>
      </c>
      <c r="D76" s="1" t="str">
        <f>IFERROR(__xludf.DUMMYFUNCTION("""COMPUTED_VALUE"""),"JERIC NAVARRO")</f>
        <v>JERIC NAVARRO</v>
      </c>
      <c r="E76" s="1" t="str">
        <f>IFERROR(__xludf.DUMMYFUNCTION("""COMPUTED_VALUE"""),"PLDT")</f>
        <v>PLDT</v>
      </c>
      <c r="F76" s="1">
        <f>IFERROR(__xludf.DUMMYFUNCTION("""COMPUTED_VALUE"""),2306083800)</f>
        <v>2306083800</v>
      </c>
      <c r="G76" s="1"/>
      <c r="H76" s="1" t="str">
        <f>IFERROR(__xludf.DUMMYFUNCTION("""COMPUTED_VALUE"""),"9776843040")</f>
        <v>9776843040</v>
      </c>
      <c r="I76" s="1">
        <f>IFERROR(__xludf.DUMMYFUNCTION("""COMPUTED_VALUE"""),9654313794)</f>
        <v>9654313794</v>
      </c>
      <c r="J76" s="1"/>
      <c r="K76" s="1" t="str">
        <f>IFERROR(__xludf.DUMMYFUNCTION("""COMPUTED_VALUE"""),"BLK 25 LOT 1")</f>
        <v>BLK 25 LOT 1</v>
      </c>
      <c r="L76" s="1" t="str">
        <f>IFERROR(__xludf.DUMMYFUNCTION("""COMPUTED_VALUE"""),"EARTH ST")</f>
        <v>EARTH ST</v>
      </c>
      <c r="M76" s="1" t="str">
        <f>IFERROR(__xludf.DUMMYFUNCTION("""COMPUTED_VALUE"""),"CHRV")</f>
        <v>CHRV</v>
      </c>
      <c r="N76" s="1" t="str">
        <f>IFERROR(__xludf.DUMMYFUNCTION("""COMPUTED_VALUE"""),"LANGKAAN II")</f>
        <v>LANGKAAN II</v>
      </c>
      <c r="O76" s="1" t="str">
        <f>IFERROR(__xludf.DUMMYFUNCTION("""COMPUTED_VALUE"""),"DASMARINAS")</f>
        <v>DASMARINAS</v>
      </c>
      <c r="P76" s="1" t="str">
        <f>IFERROR(__xludf.DUMMYFUNCTION("""COMPUTED_VALUE"""),"CAVITE")</f>
        <v>CAVITE</v>
      </c>
      <c r="Q76" s="1" t="str">
        <f>IFERROR(__xludf.DUMMYFUNCTION("""COMPUTED_VALUE"""),"FIBR PLAN 1299")</f>
        <v>FIBR PLAN 1299</v>
      </c>
      <c r="R76" s="1" t="str">
        <f>IFERROR(__xludf.DUMMYFUNCTION("""COMPUTED_VALUE"""),"APPROVED")</f>
        <v>APPROVED</v>
      </c>
      <c r="S76" s="1"/>
      <c r="T76" s="1"/>
      <c r="U76" s="1"/>
      <c r="V76" s="1"/>
      <c r="W76" s="1"/>
    </row>
    <row r="77" customHeight="1" spans="1:23">
      <c r="A77" s="3">
        <f>IFERROR(__xludf.DUMMYFUNCTION("""COMPUTED_VALUE"""),46030)</f>
        <v>46030</v>
      </c>
      <c r="B77" s="1" t="str">
        <f>IFERROR(__xludf.DUMMYFUNCTION("""COMPUTED_VALUE"""),"CARPIO, STEPHANIE NICOLE")</f>
        <v>CARPIO, STEPHANIE NICOLE</v>
      </c>
      <c r="C77" s="1" t="str">
        <f>IFERROR(__xludf.DUMMYFUNCTION("""COMPUTED_VALUE"""),"FLA")</f>
        <v>FLA</v>
      </c>
      <c r="D77" s="1" t="str">
        <f>IFERROR(__xludf.DUMMYFUNCTION("""COMPUTED_VALUE"""),"JERIC NAVARRO")</f>
        <v>JERIC NAVARRO</v>
      </c>
      <c r="E77" s="1" t="str">
        <f>IFERROR(__xludf.DUMMYFUNCTION("""COMPUTED_VALUE"""),"PLDT")</f>
        <v>PLDT</v>
      </c>
      <c r="F77" s="1">
        <f>IFERROR(__xludf.DUMMYFUNCTION("""COMPUTED_VALUE"""),2306092597)</f>
        <v>2306092597</v>
      </c>
      <c r="G77" s="1"/>
      <c r="H77" s="1" t="str">
        <f>IFERROR(__xludf.DUMMYFUNCTION("""COMPUTED_VALUE"""),"9363613657")</f>
        <v>9363613657</v>
      </c>
      <c r="I77" s="1"/>
      <c r="J77" s="1"/>
      <c r="K77" s="1" t="str">
        <f>IFERROR(__xludf.DUMMYFUNCTION("""COMPUTED_VALUE"""),"304C")</f>
        <v>304C</v>
      </c>
      <c r="L77" s="1" t="str">
        <f>IFERROR(__xludf.DUMMYFUNCTION("""COMPUTED_VALUE"""),"PADRE PIO")</f>
        <v>PADRE PIO</v>
      </c>
      <c r="M77" s="1"/>
      <c r="N77" s="1" t="str">
        <f>IFERROR(__xludf.DUMMYFUNCTION("""COMPUTED_VALUE"""),"BARANGAY 39 (JASMIN)")</f>
        <v>BARANGAY 39 (JASMIN)</v>
      </c>
      <c r="O77" s="1" t="str">
        <f>IFERROR(__xludf.DUMMYFUNCTION("""COMPUTED_VALUE"""),"CAVITE CITY")</f>
        <v>CAVITE CITY</v>
      </c>
      <c r="P77" s="1" t="str">
        <f>IFERROR(__xludf.DUMMYFUNCTION("""COMPUTED_VALUE"""),"CAVITE")</f>
        <v>CAVITE</v>
      </c>
      <c r="Q77" s="1" t="str">
        <f>IFERROR(__xludf.DUMMYFUNCTION("""COMPUTED_VALUE"""),"FIBR PLAN 1399")</f>
        <v>FIBR PLAN 1399</v>
      </c>
      <c r="R77" s="1" t="str">
        <f>IFERROR(__xludf.DUMMYFUNCTION("""COMPUTED_VALUE"""),"APPROVED")</f>
        <v>APPROVED</v>
      </c>
      <c r="S77" s="1"/>
      <c r="T77" s="1"/>
      <c r="U77" s="1"/>
      <c r="V77" s="1"/>
      <c r="W77" s="1"/>
    </row>
    <row r="78" customHeight="1" spans="1:23">
      <c r="A78" s="3">
        <f>IFERROR(__xludf.DUMMYFUNCTION("""COMPUTED_VALUE"""),46030)</f>
        <v>46030</v>
      </c>
      <c r="B78" s="1" t="str">
        <f>IFERROR(__xludf.DUMMYFUNCTION("""COMPUTED_VALUE"""),"DAROG, ANDREA")</f>
        <v>DAROG, ANDREA</v>
      </c>
      <c r="C78" s="1" t="str">
        <f>IFERROR(__xludf.DUMMYFUNCTION("""COMPUTED_VALUE"""),"ORGANIC")</f>
        <v>ORGANIC</v>
      </c>
      <c r="D78" s="1" t="str">
        <f>IFERROR(__xludf.DUMMYFUNCTION("""COMPUTED_VALUE"""),"ILANO MARK")</f>
        <v>ILANO MARK</v>
      </c>
      <c r="E78" s="1" t="str">
        <f>IFERROR(__xludf.DUMMYFUNCTION("""COMPUTED_VALUE"""),"PLDT")</f>
        <v>PLDT</v>
      </c>
      <c r="F78" s="1">
        <f>IFERROR(__xludf.DUMMYFUNCTION("""COMPUTED_VALUE"""),2306094755)</f>
        <v>2306094755</v>
      </c>
      <c r="G78" s="1"/>
      <c r="H78" s="1" t="str">
        <f>IFERROR(__xludf.DUMMYFUNCTION("""COMPUTED_VALUE"""),"9397847365")</f>
        <v>9397847365</v>
      </c>
      <c r="I78" s="1"/>
      <c r="J78" s="1"/>
      <c r="K78" s="1" t="str">
        <f>IFERROR(__xludf.DUMMYFUNCTION("""COMPUTED_VALUE"""),"74")</f>
        <v>74</v>
      </c>
      <c r="L78" s="1" t="str">
        <f>IFERROR(__xludf.DUMMYFUNCTION("""COMPUTED_VALUE"""),"BLK 2")</f>
        <v>BLK 2</v>
      </c>
      <c r="M78" s="1"/>
      <c r="N78" s="1" t="str">
        <f>IFERROR(__xludf.DUMMYFUNCTION("""COMPUTED_VALUE"""),"BERNARDO PULIDO (AREA H)")</f>
        <v>BERNARDO PULIDO (AREA H)</v>
      </c>
      <c r="O78" s="1" t="str">
        <f>IFERROR(__xludf.DUMMYFUNCTION("""COMPUTED_VALUE"""),"GEN MARIANO ALVAREZ")</f>
        <v>GEN MARIANO ALVAREZ</v>
      </c>
      <c r="P78" s="1" t="str">
        <f>IFERROR(__xludf.DUMMYFUNCTION("""COMPUTED_VALUE"""),"CAVITE")</f>
        <v>CAVITE</v>
      </c>
      <c r="Q78" s="1" t="str">
        <f>IFERROR(__xludf.DUMMYFUNCTION("""COMPUTED_VALUE"""),"FIBR PLAN 1399")</f>
        <v>FIBR PLAN 1399</v>
      </c>
      <c r="R78" s="1" t="str">
        <f>IFERROR(__xludf.DUMMYFUNCTION("""COMPUTED_VALUE"""),"APPROVED")</f>
        <v>APPROVED</v>
      </c>
      <c r="S78" s="1"/>
      <c r="T78" s="1"/>
      <c r="U78" s="1"/>
      <c r="V78" s="1"/>
      <c r="W78" s="1"/>
    </row>
    <row r="79" customHeight="1" spans="1:23">
      <c r="A79" s="3">
        <f>IFERROR(__xludf.DUMMYFUNCTION("""COMPUTED_VALUE"""),46030)</f>
        <v>46030</v>
      </c>
      <c r="B79" s="1" t="str">
        <f>IFERROR(__xludf.DUMMYFUNCTION("""COMPUTED_VALUE"""),"FRANCISCO , ROSELYN")</f>
        <v>FRANCISCO , ROSELYN</v>
      </c>
      <c r="C79" s="1" t="str">
        <f>IFERROR(__xludf.DUMMYFUNCTION("""COMPUTED_VALUE"""),"ORGANIC")</f>
        <v>ORGANIC</v>
      </c>
      <c r="D79" s="1" t="str">
        <f>IFERROR(__xludf.DUMMYFUNCTION("""COMPUTED_VALUE"""),"JERIC NAVARRO")</f>
        <v>JERIC NAVARRO</v>
      </c>
      <c r="E79" s="1" t="str">
        <f>IFERROR(__xludf.DUMMYFUNCTION("""COMPUTED_VALUE"""),"PLDT")</f>
        <v>PLDT</v>
      </c>
      <c r="F79" s="1">
        <f>IFERROR(__xludf.DUMMYFUNCTION("""COMPUTED_VALUE"""),2306094284)</f>
        <v>2306094284</v>
      </c>
      <c r="G79" s="1"/>
      <c r="H79" s="1" t="str">
        <f>IFERROR(__xludf.DUMMYFUNCTION("""COMPUTED_VALUE"""),"9484086443")</f>
        <v>9484086443</v>
      </c>
      <c r="I79" s="1">
        <f>IFERROR(__xludf.DUMMYFUNCTION("""COMPUTED_VALUE"""),9161918255)</f>
        <v>9161918255</v>
      </c>
      <c r="J79" s="1"/>
      <c r="K79" s="1" t="str">
        <f>IFERROR(__xludf.DUMMYFUNCTION("""COMPUTED_VALUE"""),"2")</f>
        <v>2</v>
      </c>
      <c r="L79" s="1" t="str">
        <f>IFERROR(__xludf.DUMMYFUNCTION("""COMPUTED_VALUE"""),"TORNEROS ")</f>
        <v>TORNEROS </v>
      </c>
      <c r="M79" s="1"/>
      <c r="N79" s="1" t="str">
        <f>IFERROR(__xludf.DUMMYFUNCTION("""COMPUTED_VALUE"""),"GALICIA II")</f>
        <v>GALICIA II</v>
      </c>
      <c r="O79" s="1" t="str">
        <f>IFERROR(__xludf.DUMMYFUNCTION("""COMPUTED_VALUE"""),"MENDEZ")</f>
        <v>MENDEZ</v>
      </c>
      <c r="P79" s="1" t="str">
        <f>IFERROR(__xludf.DUMMYFUNCTION("""COMPUTED_VALUE"""),"CAVITE")</f>
        <v>CAVITE</v>
      </c>
      <c r="Q79" s="1" t="str">
        <f>IFERROR(__xludf.DUMMYFUNCTION("""COMPUTED_VALUE"""),"FIBR PLAN 1699")</f>
        <v>FIBR PLAN 1699</v>
      </c>
      <c r="R79" s="1" t="str">
        <f>IFERROR(__xludf.DUMMYFUNCTION("""COMPUTED_VALUE"""),"APPROVED")</f>
        <v>APPROVED</v>
      </c>
      <c r="S79" s="1"/>
      <c r="T79" s="1"/>
      <c r="U79" s="1"/>
      <c r="V79" s="1"/>
      <c r="W79" s="1"/>
    </row>
    <row r="80" customHeight="1" spans="1:23">
      <c r="A80" s="3">
        <f>IFERROR(__xludf.DUMMYFUNCTION("""COMPUTED_VALUE"""),46030)</f>
        <v>46030</v>
      </c>
      <c r="B80" s="1" t="str">
        <f>IFERROR(__xludf.DUMMYFUNCTION("""COMPUTED_VALUE"""),"FRANCISCO , ROSELYN")</f>
        <v>FRANCISCO , ROSELYN</v>
      </c>
      <c r="C80" s="1" t="str">
        <f>IFERROR(__xludf.DUMMYFUNCTION("""COMPUTED_VALUE"""),"ORGANIC")</f>
        <v>ORGANIC</v>
      </c>
      <c r="D80" s="1" t="str">
        <f>IFERROR(__xludf.DUMMYFUNCTION("""COMPUTED_VALUE"""),"JERIC NAVARRO")</f>
        <v>JERIC NAVARRO</v>
      </c>
      <c r="E80" s="1" t="str">
        <f>IFERROR(__xludf.DUMMYFUNCTION("""COMPUTED_VALUE"""),"RED FIBER")</f>
        <v>RED FIBER</v>
      </c>
      <c r="F80" s="1"/>
      <c r="G80" s="1"/>
      <c r="H80" s="1" t="str">
        <f>IFERROR(__xludf.DUMMYFUNCTION("""COMPUTED_VALUE"""),"9356284594")</f>
        <v>9356284594</v>
      </c>
      <c r="I80" s="1">
        <f>IFERROR(__xludf.DUMMYFUNCTION("""COMPUTED_VALUE"""),9551949847)</f>
        <v>9551949847</v>
      </c>
      <c r="J80" s="1"/>
      <c r="K80" s="1" t="str">
        <f>IFERROR(__xludf.DUMMYFUNCTION("""COMPUTED_VALUE"""),"BLK 22 LOT 28")</f>
        <v>BLK 22 LOT 28</v>
      </c>
      <c r="L80" s="1" t="str">
        <f>IFERROR(__xludf.DUMMYFUNCTION("""COMPUTED_VALUE"""),"PHASE 1")</f>
        <v>PHASE 1</v>
      </c>
      <c r="M80" s="1" t="str">
        <f>IFERROR(__xludf.DUMMYFUNCTION("""COMPUTED_VALUE"""),"TERRAVERDE RESIDENCES")</f>
        <v>TERRAVERDE RESIDENCES</v>
      </c>
      <c r="N80" s="1" t="str">
        <f>IFERROR(__xludf.DUMMYFUNCTION("""COMPUTED_VALUE"""),"BANCAL")</f>
        <v>BANCAL</v>
      </c>
      <c r="O80" s="1" t="str">
        <f>IFERROR(__xludf.DUMMYFUNCTION("""COMPUTED_VALUE"""),"CARMONA")</f>
        <v>CARMONA</v>
      </c>
      <c r="P80" s="1" t="str">
        <f>IFERROR(__xludf.DUMMYFUNCTION("""COMPUTED_VALUE"""),"CAVITE")</f>
        <v>CAVITE</v>
      </c>
      <c r="Q80" s="1" t="str">
        <f>IFERROR(__xludf.DUMMYFUNCTION("""COMPUTED_VALUE"""),"RED FIBER PLAN 1000")</f>
        <v>RED FIBER PLAN 1000</v>
      </c>
      <c r="R80" s="1" t="str">
        <f>IFERROR(__xludf.DUMMYFUNCTION("""COMPUTED_VALUE"""),"APPROVED")</f>
        <v>APPROVED</v>
      </c>
      <c r="S80" s="1"/>
      <c r="T80" s="1"/>
      <c r="U80" s="1"/>
      <c r="V80" s="1"/>
      <c r="W80" s="1"/>
    </row>
    <row r="81" customHeight="1" spans="1:23">
      <c r="A81" s="3">
        <f>IFERROR(__xludf.DUMMYFUNCTION("""COMPUTED_VALUE"""),46030)</f>
        <v>46030</v>
      </c>
      <c r="B81" s="1" t="str">
        <f>IFERROR(__xludf.DUMMYFUNCTION("""COMPUTED_VALUE"""),"NAVARRO, JERIC")</f>
        <v>NAVARRO, JERIC</v>
      </c>
      <c r="C81" s="1" t="str">
        <f>IFERROR(__xludf.DUMMYFUNCTION("""COMPUTED_VALUE"""),"FLA")</f>
        <v>FLA</v>
      </c>
      <c r="D81" s="1" t="str">
        <f>IFERROR(__xludf.DUMMYFUNCTION("""COMPUTED_VALUE"""),"JERIC NAVARRO")</f>
        <v>JERIC NAVARRO</v>
      </c>
      <c r="E81" s="1" t="str">
        <f>IFERROR(__xludf.DUMMYFUNCTION("""COMPUTED_VALUE"""),"PLDT")</f>
        <v>PLDT</v>
      </c>
      <c r="F81" s="1">
        <f>IFERROR(__xludf.DUMMYFUNCTION("""COMPUTED_VALUE"""),2306098893)</f>
        <v>2306098893</v>
      </c>
      <c r="G81" s="1"/>
      <c r="H81" s="1" t="str">
        <f>IFERROR(__xludf.DUMMYFUNCTION("""COMPUTED_VALUE"""),"9166400822")</f>
        <v>9166400822</v>
      </c>
      <c r="I81" s="1">
        <f>IFERROR(__xludf.DUMMYFUNCTION("""COMPUTED_VALUE"""),9163229248)</f>
        <v>9163229248</v>
      </c>
      <c r="J81" s="1"/>
      <c r="K81" s="1" t="str">
        <f>IFERROR(__xludf.DUMMYFUNCTION("""COMPUTED_VALUE"""),"11")</f>
        <v>11</v>
      </c>
      <c r="L81" s="1" t="str">
        <f>IFERROR(__xludf.DUMMYFUNCTION("""COMPUTED_VALUE"""),"NARATHAN ST")</f>
        <v>NARATHAN ST</v>
      </c>
      <c r="M81" s="1"/>
      <c r="N81" s="1" t="str">
        <f>IFERROR(__xludf.DUMMYFUNCTION("""COMPUTED_VALUE"""),"IBA")</f>
        <v>IBA</v>
      </c>
      <c r="O81" s="1" t="str">
        <f>IFERROR(__xludf.DUMMYFUNCTION("""COMPUTED_VALUE"""),"SILANG")</f>
        <v>SILANG</v>
      </c>
      <c r="P81" s="1" t="str">
        <f>IFERROR(__xludf.DUMMYFUNCTION("""COMPUTED_VALUE"""),"CAVITE")</f>
        <v>CAVITE</v>
      </c>
      <c r="Q81" s="1" t="str">
        <f>IFERROR(__xludf.DUMMYFUNCTION("""COMPUTED_VALUE"""),"FIBR PLAN 1399")</f>
        <v>FIBR PLAN 1399</v>
      </c>
      <c r="R81" s="1" t="str">
        <f>IFERROR(__xludf.DUMMYFUNCTION("""COMPUTED_VALUE"""),"APPROVED")</f>
        <v>APPROVED</v>
      </c>
      <c r="S81" s="1"/>
      <c r="T81" s="1"/>
      <c r="U81" s="1"/>
      <c r="V81" s="1"/>
      <c r="W81" s="1"/>
    </row>
    <row r="82" customHeight="1" spans="1:23">
      <c r="A82" s="3">
        <f>IFERROR(__xludf.DUMMYFUNCTION("""COMPUTED_VALUE"""),46030)</f>
        <v>46030</v>
      </c>
      <c r="B82" s="1" t="str">
        <f>IFERROR(__xludf.DUMMYFUNCTION("""COMPUTED_VALUE"""),"DELA ROSA, JENNELYN")</f>
        <v>DELA ROSA, JENNELYN</v>
      </c>
      <c r="C82" s="1" t="str">
        <f>IFERROR(__xludf.DUMMYFUNCTION("""COMPUTED_VALUE"""),"ORGANIC")</f>
        <v>ORGANIC</v>
      </c>
      <c r="D82" s="1" t="str">
        <f>IFERROR(__xludf.DUMMYFUNCTION("""COMPUTED_VALUE"""),"ILANO MARK")</f>
        <v>ILANO MARK</v>
      </c>
      <c r="E82" s="1" t="str">
        <f>IFERROR(__xludf.DUMMYFUNCTION("""COMPUTED_VALUE"""),"PLDT")</f>
        <v>PLDT</v>
      </c>
      <c r="F82" s="1">
        <f>IFERROR(__xludf.DUMMYFUNCTION("""COMPUTED_VALUE"""),2306097043)</f>
        <v>2306097043</v>
      </c>
      <c r="G82" s="1"/>
      <c r="H82" s="1" t="str">
        <f>IFERROR(__xludf.DUMMYFUNCTION("""COMPUTED_VALUE"""),"9538336975")</f>
        <v>9538336975</v>
      </c>
      <c r="I82" s="1"/>
      <c r="J82" s="1"/>
      <c r="K82" s="1" t="str">
        <f>IFERROR(__xludf.DUMMYFUNCTION("""COMPUTED_VALUE"""),"BLK 33 LOT 10")</f>
        <v>BLK 33 LOT 10</v>
      </c>
      <c r="L82" s="1" t="str">
        <f>IFERROR(__xludf.DUMMYFUNCTION("""COMPUTED_VALUE"""),"ZONE 3")</f>
        <v>ZONE 3</v>
      </c>
      <c r="M82" s="1"/>
      <c r="N82" s="1" t="str">
        <f>IFERROR(__xludf.DUMMYFUNCTION("""COMPUTED_VALUE"""),"BULIHAN")</f>
        <v>BULIHAN</v>
      </c>
      <c r="O82" s="1" t="str">
        <f>IFERROR(__xludf.DUMMYFUNCTION("""COMPUTED_VALUE"""),"SILANG")</f>
        <v>SILANG</v>
      </c>
      <c r="P82" s="1" t="str">
        <f>IFERROR(__xludf.DUMMYFUNCTION("""COMPUTED_VALUE"""),"CAVITE")</f>
        <v>CAVITE</v>
      </c>
      <c r="Q82" s="1" t="str">
        <f>IFERROR(__xludf.DUMMYFUNCTION("""COMPUTED_VALUE"""),"FIBR PLAN 1399")</f>
        <v>FIBR PLAN 1399</v>
      </c>
      <c r="R82" s="1" t="str">
        <f>IFERROR(__xludf.DUMMYFUNCTION("""COMPUTED_VALUE"""),"APPROVED")</f>
        <v>APPROVED</v>
      </c>
      <c r="S82" s="1"/>
      <c r="T82" s="1"/>
      <c r="U82" s="1"/>
      <c r="V82" s="1"/>
      <c r="W82" s="1"/>
    </row>
    <row r="83" customHeight="1" spans="1:23">
      <c r="A83" s="3">
        <f>IFERROR(__xludf.DUMMYFUNCTION("""COMPUTED_VALUE"""),46030)</f>
        <v>46030</v>
      </c>
      <c r="B83" s="1" t="str">
        <f>IFERROR(__xludf.DUMMYFUNCTION("""COMPUTED_VALUE"""),"GABAY, MANUEL")</f>
        <v>GABAY, MANUEL</v>
      </c>
      <c r="C83" s="1" t="str">
        <f>IFERROR(__xludf.DUMMYFUNCTION("""COMPUTED_VALUE"""),"FLA")</f>
        <v>FLA</v>
      </c>
      <c r="D83" s="1" t="str">
        <f>IFERROR(__xludf.DUMMYFUNCTION("""COMPUTED_VALUE"""),"JERIC NAVARRO")</f>
        <v>JERIC NAVARRO</v>
      </c>
      <c r="E83" s="1" t="str">
        <f>IFERROR(__xludf.DUMMYFUNCTION("""COMPUTED_VALUE"""),"PLDT")</f>
        <v>PLDT</v>
      </c>
      <c r="F83" s="1">
        <f>IFERROR(__xludf.DUMMYFUNCTION("""COMPUTED_VALUE"""),2306098498)</f>
        <v>2306098498</v>
      </c>
      <c r="G83" s="1"/>
      <c r="H83" s="1" t="str">
        <f>IFERROR(__xludf.DUMMYFUNCTION("""COMPUTED_VALUE"""),"9222427444")</f>
        <v>9222427444</v>
      </c>
      <c r="I83" s="1">
        <f>IFERROR(__xludf.DUMMYFUNCTION("""COMPUTED_VALUE"""),9109882930)</f>
        <v>9109882930</v>
      </c>
      <c r="J83" s="1"/>
      <c r="K83" s="1" t="str">
        <f>IFERROR(__xludf.DUMMYFUNCTION("""COMPUTED_VALUE"""),"BLK 11B")</f>
        <v>BLK 11B</v>
      </c>
      <c r="L83" s="1" t="str">
        <f>IFERROR(__xludf.DUMMYFUNCTION("""COMPUTED_VALUE"""),"GREGORIA RD")</f>
        <v>GREGORIA RD</v>
      </c>
      <c r="M83" s="1"/>
      <c r="N83" s="1" t="str">
        <f>IFERROR(__xludf.DUMMYFUNCTION("""COMPUTED_VALUE"""),"GREGORIA DE JESUS")</f>
        <v>GREGORIA DE JESUS</v>
      </c>
      <c r="O83" s="1" t="str">
        <f>IFERROR(__xludf.DUMMYFUNCTION("""COMPUTED_VALUE"""),"GEN MARIANO ALVAREZ")</f>
        <v>GEN MARIANO ALVAREZ</v>
      </c>
      <c r="P83" s="1" t="str">
        <f>IFERROR(__xludf.DUMMYFUNCTION("""COMPUTED_VALUE"""),"CAVITE")</f>
        <v>CAVITE</v>
      </c>
      <c r="Q83" s="1" t="str">
        <f>IFERROR(__xludf.DUMMYFUNCTION("""COMPUTED_VALUE"""),"FIBR PLAN 1399")</f>
        <v>FIBR PLAN 1399</v>
      </c>
      <c r="R83" s="1" t="str">
        <f>IFERROR(__xludf.DUMMYFUNCTION("""COMPUTED_VALUE"""),"APPROVED")</f>
        <v>APPROVED</v>
      </c>
      <c r="S83" s="1"/>
      <c r="T83" s="1"/>
      <c r="U83" s="1"/>
      <c r="V83" s="1"/>
      <c r="W83" s="1"/>
    </row>
    <row r="84" customHeight="1" spans="1:23">
      <c r="A84" s="3">
        <f>IFERROR(__xludf.DUMMYFUNCTION("""COMPUTED_VALUE"""),46030)</f>
        <v>46030</v>
      </c>
      <c r="B84" s="1" t="str">
        <f>IFERROR(__xludf.DUMMYFUNCTION("""COMPUTED_VALUE"""),"GABAY, MANUEL")</f>
        <v>GABAY, MANUEL</v>
      </c>
      <c r="C84" s="1" t="str">
        <f>IFERROR(__xludf.DUMMYFUNCTION("""COMPUTED_VALUE"""),"FLA")</f>
        <v>FLA</v>
      </c>
      <c r="D84" s="1" t="str">
        <f>IFERROR(__xludf.DUMMYFUNCTION("""COMPUTED_VALUE"""),"JERIC NAVARRO")</f>
        <v>JERIC NAVARRO</v>
      </c>
      <c r="E84" s="1" t="str">
        <f>IFERROR(__xludf.DUMMYFUNCTION("""COMPUTED_VALUE"""),"PLDT")</f>
        <v>PLDT</v>
      </c>
      <c r="F84" s="1">
        <f>IFERROR(__xludf.DUMMYFUNCTION("""COMPUTED_VALUE"""),2306099693)</f>
        <v>2306099693</v>
      </c>
      <c r="G84" s="1"/>
      <c r="H84" s="1" t="str">
        <f>IFERROR(__xludf.DUMMYFUNCTION("""COMPUTED_VALUE"""),"9296991224")</f>
        <v>9296991224</v>
      </c>
      <c r="I84" s="1">
        <f>IFERROR(__xludf.DUMMYFUNCTION("""COMPUTED_VALUE"""),9483615196)</f>
        <v>9483615196</v>
      </c>
      <c r="J84" s="1"/>
      <c r="K84" s="1" t="str">
        <f>IFERROR(__xludf.DUMMYFUNCTION("""COMPUTED_VALUE"""),"BLK 2 LOT 2C")</f>
        <v>BLK 2 LOT 2C</v>
      </c>
      <c r="L84" s="1" t="str">
        <f>IFERROR(__xludf.DUMMYFUNCTION("""COMPUTED_VALUE"""),"GREGORIA RD")</f>
        <v>GREGORIA RD</v>
      </c>
      <c r="M84" s="1"/>
      <c r="N84" s="1" t="str">
        <f>IFERROR(__xludf.DUMMYFUNCTION("""COMPUTED_VALUE"""),"GREGORIA DE JESUS")</f>
        <v>GREGORIA DE JESUS</v>
      </c>
      <c r="O84" s="1" t="str">
        <f>IFERROR(__xludf.DUMMYFUNCTION("""COMPUTED_VALUE"""),"GEN MARIANO ALVAREZ")</f>
        <v>GEN MARIANO ALVAREZ</v>
      </c>
      <c r="P84" s="1" t="str">
        <f>IFERROR(__xludf.DUMMYFUNCTION("""COMPUTED_VALUE"""),"CAVITE")</f>
        <v>CAVITE</v>
      </c>
      <c r="Q84" s="1" t="str">
        <f>IFERROR(__xludf.DUMMYFUNCTION("""COMPUTED_VALUE"""),"FIBR PLAN 1599")</f>
        <v>FIBR PLAN 1599</v>
      </c>
      <c r="R84" s="1" t="str">
        <f>IFERROR(__xludf.DUMMYFUNCTION("""COMPUTED_VALUE"""),"APPROVED")</f>
        <v>APPROVED</v>
      </c>
      <c r="S84" s="1"/>
      <c r="T84" s="1"/>
      <c r="U84" s="1"/>
      <c r="V84" s="1"/>
      <c r="W84" s="1"/>
    </row>
    <row r="85" customHeight="1" spans="1:23">
      <c r="A85" s="3">
        <f>IFERROR(__xludf.DUMMYFUNCTION("""COMPUTED_VALUE"""),46030)</f>
        <v>46030</v>
      </c>
      <c r="B85" s="1" t="str">
        <f>IFERROR(__xludf.DUMMYFUNCTION("""COMPUTED_VALUE"""),"GABAY, MANUEL")</f>
        <v>GABAY, MANUEL</v>
      </c>
      <c r="C85" s="1" t="str">
        <f>IFERROR(__xludf.DUMMYFUNCTION("""COMPUTED_VALUE"""),"FLA")</f>
        <v>FLA</v>
      </c>
      <c r="D85" s="1" t="str">
        <f>IFERROR(__xludf.DUMMYFUNCTION("""COMPUTED_VALUE"""),"JERIC NAVARRO")</f>
        <v>JERIC NAVARRO</v>
      </c>
      <c r="E85" s="1" t="str">
        <f>IFERROR(__xludf.DUMMYFUNCTION("""COMPUTED_VALUE"""),"PLDT")</f>
        <v>PLDT</v>
      </c>
      <c r="F85" s="1">
        <f>IFERROR(__xludf.DUMMYFUNCTION("""COMPUTED_VALUE"""),2306100045)</f>
        <v>2306100045</v>
      </c>
      <c r="G85" s="1"/>
      <c r="H85" s="1" t="str">
        <f>IFERROR(__xludf.DUMMYFUNCTION("""COMPUTED_VALUE"""),"9604567208")</f>
        <v>9604567208</v>
      </c>
      <c r="I85" s="1">
        <f>IFERROR(__xludf.DUMMYFUNCTION("""COMPUTED_VALUE"""),9627705046)</f>
        <v>9627705046</v>
      </c>
      <c r="J85" s="1"/>
      <c r="K85" s="1" t="str">
        <f>IFERROR(__xludf.DUMMYFUNCTION("""COMPUTED_VALUE"""),"BLK 2 LOT 3C")</f>
        <v>BLK 2 LOT 3C</v>
      </c>
      <c r="L85" s="1" t="str">
        <f>IFERROR(__xludf.DUMMYFUNCTION("""COMPUTED_VALUE"""),"GREGORIA RD")</f>
        <v>GREGORIA RD</v>
      </c>
      <c r="M85" s="1"/>
      <c r="N85" s="1" t="str">
        <f>IFERROR(__xludf.DUMMYFUNCTION("""COMPUTED_VALUE"""),"GREGORIA DE JESUS")</f>
        <v>GREGORIA DE JESUS</v>
      </c>
      <c r="O85" s="1" t="str">
        <f>IFERROR(__xludf.DUMMYFUNCTION("""COMPUTED_VALUE"""),"GEN MARIANO ALVAREZ")</f>
        <v>GEN MARIANO ALVAREZ</v>
      </c>
      <c r="P85" s="1" t="str">
        <f>IFERROR(__xludf.DUMMYFUNCTION("""COMPUTED_VALUE"""),"CAVITE")</f>
        <v>CAVITE</v>
      </c>
      <c r="Q85" s="1" t="str">
        <f>IFERROR(__xludf.DUMMYFUNCTION("""COMPUTED_VALUE"""),"FIBR PLAN 1399")</f>
        <v>FIBR PLAN 1399</v>
      </c>
      <c r="R85" s="1" t="str">
        <f>IFERROR(__xludf.DUMMYFUNCTION("""COMPUTED_VALUE"""),"APPROVED")</f>
        <v>APPROVED</v>
      </c>
      <c r="S85" s="1"/>
      <c r="T85" s="1"/>
      <c r="U85" s="1"/>
      <c r="V85" s="1"/>
      <c r="W85" s="1"/>
    </row>
    <row r="86" customHeight="1" spans="1:23">
      <c r="A86" s="3">
        <f>IFERROR(__xludf.DUMMYFUNCTION("""COMPUTED_VALUE"""),46030)</f>
        <v>46030</v>
      </c>
      <c r="B86" s="1" t="str">
        <f>IFERROR(__xludf.DUMMYFUNCTION("""COMPUTED_VALUE"""),"ALOS, CHARLS LAURENZ")</f>
        <v>ALOS, CHARLS LAURENZ</v>
      </c>
      <c r="C86" s="1" t="str">
        <f>IFERROR(__xludf.DUMMYFUNCTION("""COMPUTED_VALUE"""),"ORGANIC")</f>
        <v>ORGANIC</v>
      </c>
      <c r="D86" s="1" t="str">
        <f>IFERROR(__xludf.DUMMYFUNCTION("""COMPUTED_VALUE"""),"ILANO MARK")</f>
        <v>ILANO MARK</v>
      </c>
      <c r="E86" s="1" t="str">
        <f>IFERROR(__xludf.DUMMYFUNCTION("""COMPUTED_VALUE"""),"PLDT")</f>
        <v>PLDT</v>
      </c>
      <c r="F86" s="1">
        <f>IFERROR(__xludf.DUMMYFUNCTION("""COMPUTED_VALUE"""),2306100661)</f>
        <v>2306100661</v>
      </c>
      <c r="G86" s="1"/>
      <c r="H86" s="1" t="str">
        <f>IFERROR(__xludf.DUMMYFUNCTION("""COMPUTED_VALUE"""),"9670776166")</f>
        <v>9670776166</v>
      </c>
      <c r="I86" s="1"/>
      <c r="J86" s="1"/>
      <c r="K86" s="1" t="str">
        <f>IFERROR(__xludf.DUMMYFUNCTION("""COMPUTED_VALUE"""),"8561")</f>
        <v>8561</v>
      </c>
      <c r="L86" s="1" t="str">
        <f>IFERROR(__xludf.DUMMYFUNCTION("""COMPUTED_VALUE"""),"ASISAN RD")</f>
        <v>ASISAN RD</v>
      </c>
      <c r="M86" s="1"/>
      <c r="N86" s="1" t="str">
        <f>IFERROR(__xludf.DUMMYFUNCTION("""COMPUTED_VALUE"""),"ASISAN")</f>
        <v>ASISAN</v>
      </c>
      <c r="O86" s="1" t="str">
        <f>IFERROR(__xludf.DUMMYFUNCTION("""COMPUTED_VALUE"""),"TAGAYTAY")</f>
        <v>TAGAYTAY</v>
      </c>
      <c r="P86" s="1" t="str">
        <f>IFERROR(__xludf.DUMMYFUNCTION("""COMPUTED_VALUE"""),"CAVITE")</f>
        <v>CAVITE</v>
      </c>
      <c r="Q86" s="1" t="str">
        <f>IFERROR(__xludf.DUMMYFUNCTION("""COMPUTED_VALUE"""),"FIBR PLAN 1399")</f>
        <v>FIBR PLAN 1399</v>
      </c>
      <c r="R86" s="1" t="str">
        <f>IFERROR(__xludf.DUMMYFUNCTION("""COMPUTED_VALUE"""),"APPROVED")</f>
        <v>APPROVED</v>
      </c>
      <c r="S86" s="1"/>
      <c r="T86" s="1"/>
      <c r="U86" s="1"/>
      <c r="V86" s="1"/>
      <c r="W86" s="1"/>
    </row>
    <row r="87" customHeight="1" spans="1:23">
      <c r="A87" s="3">
        <f>IFERROR(__xludf.DUMMYFUNCTION("""COMPUTED_VALUE"""),46030)</f>
        <v>46030</v>
      </c>
      <c r="B87" s="1" t="str">
        <f>IFERROR(__xludf.DUMMYFUNCTION("""COMPUTED_VALUE"""),"MALIWAT MARK ELVIN")</f>
        <v>MALIWAT MARK ELVIN</v>
      </c>
      <c r="C87" s="1" t="str">
        <f>IFERROR(__xludf.DUMMYFUNCTION("""COMPUTED_VALUE"""),"FLA")</f>
        <v>FLA</v>
      </c>
      <c r="D87" s="1" t="str">
        <f>IFERROR(__xludf.DUMMYFUNCTION("""COMPUTED_VALUE"""),"JERIC NAVARRO")</f>
        <v>JERIC NAVARRO</v>
      </c>
      <c r="E87" s="1" t="str">
        <f>IFERROR(__xludf.DUMMYFUNCTION("""COMPUTED_VALUE"""),"PLDT")</f>
        <v>PLDT</v>
      </c>
      <c r="F87" s="1">
        <f>IFERROR(__xludf.DUMMYFUNCTION("""COMPUTED_VALUE"""),2306108592)</f>
        <v>2306108592</v>
      </c>
      <c r="G87" s="1"/>
      <c r="H87" s="1" t="str">
        <f>IFERROR(__xludf.DUMMYFUNCTION("""COMPUTED_VALUE"""),"9273079398")</f>
        <v>9273079398</v>
      </c>
      <c r="I87" s="1">
        <f>IFERROR(__xludf.DUMMYFUNCTION("""COMPUTED_VALUE"""),9309681989)</f>
        <v>9309681989</v>
      </c>
      <c r="J87" s="1"/>
      <c r="K87" s="1" t="str">
        <f>IFERROR(__xludf.DUMMYFUNCTION("""COMPUTED_VALUE"""),"2910")</f>
        <v>2910</v>
      </c>
      <c r="L87" s="1" t="str">
        <f>IFERROR(__xludf.DUMMYFUNCTION("""COMPUTED_VALUE"""),"SITIO IBABA")</f>
        <v>SITIO IBABA</v>
      </c>
      <c r="M87" s="1"/>
      <c r="N87" s="1" t="str">
        <f>IFERROR(__xludf.DUMMYFUNCTION("""COMPUTED_VALUE"""),"MAGUYAM")</f>
        <v>MAGUYAM</v>
      </c>
      <c r="O87" s="1" t="str">
        <f>IFERROR(__xludf.DUMMYFUNCTION("""COMPUTED_VALUE"""),"SILANG")</f>
        <v>SILANG</v>
      </c>
      <c r="P87" s="1" t="str">
        <f>IFERROR(__xludf.DUMMYFUNCTION("""COMPUTED_VALUE"""),"CAVITE")</f>
        <v>CAVITE</v>
      </c>
      <c r="Q87" s="1" t="str">
        <f>IFERROR(__xludf.DUMMYFUNCTION("""COMPUTED_VALUE"""),"FIBR PLAN 999 W/ CIGNAL")</f>
        <v>FIBR PLAN 999 W/ CIGNAL</v>
      </c>
      <c r="R87" s="1" t="str">
        <f>IFERROR(__xludf.DUMMYFUNCTION("""COMPUTED_VALUE"""),"APPROVED")</f>
        <v>APPROVED</v>
      </c>
      <c r="S87" s="1"/>
      <c r="T87" s="1"/>
      <c r="U87" s="1"/>
      <c r="V87" s="1"/>
      <c r="W87" s="1"/>
    </row>
    <row r="88" customHeight="1" spans="1:23">
      <c r="A88" s="3">
        <f>IFERROR(__xludf.DUMMYFUNCTION("""COMPUTED_VALUE"""),46031)</f>
        <v>46031</v>
      </c>
      <c r="B88" s="1" t="str">
        <f>IFERROR(__xludf.DUMMYFUNCTION("""COMPUTED_VALUE"""),"MALIWAT MARK ELVIN")</f>
        <v>MALIWAT MARK ELVIN</v>
      </c>
      <c r="C88" s="1" t="str">
        <f>IFERROR(__xludf.DUMMYFUNCTION("""COMPUTED_VALUE"""),"FLA")</f>
        <v>FLA</v>
      </c>
      <c r="D88" s="1" t="str">
        <f>IFERROR(__xludf.DUMMYFUNCTION("""COMPUTED_VALUE"""),"JERIC NAVARRO")</f>
        <v>JERIC NAVARRO</v>
      </c>
      <c r="E88" s="1" t="str">
        <f>IFERROR(__xludf.DUMMYFUNCTION("""COMPUTED_VALUE"""),"PLDT")</f>
        <v>PLDT</v>
      </c>
      <c r="F88" s="1">
        <f>IFERROR(__xludf.DUMMYFUNCTION("""COMPUTED_VALUE"""),2306118296)</f>
        <v>2306118296</v>
      </c>
      <c r="G88" s="1"/>
      <c r="H88" s="1" t="str">
        <f>IFERROR(__xludf.DUMMYFUNCTION("""COMPUTED_VALUE"""),"9626866984")</f>
        <v>9626866984</v>
      </c>
      <c r="I88" s="1">
        <f>IFERROR(__xludf.DUMMYFUNCTION("""COMPUTED_VALUE"""),962686678)</f>
        <v>962686678</v>
      </c>
      <c r="J88" s="1"/>
      <c r="K88" s="1" t="str">
        <f>IFERROR(__xludf.DUMMYFUNCTION("""COMPUTED_VALUE"""),"BLK 5 LOT 1")</f>
        <v>BLK 5 LOT 1</v>
      </c>
      <c r="L88" s="1" t="str">
        <f>IFERROR(__xludf.DUMMYFUNCTION("""COMPUTED_VALUE"""),"ROAD 1")</f>
        <v>ROAD 1</v>
      </c>
      <c r="M88" s="1" t="str">
        <f>IFERROR(__xludf.DUMMYFUNCTION("""COMPUTED_VALUE"""),"WISDOM")</f>
        <v>WISDOM</v>
      </c>
      <c r="N88" s="1" t="str">
        <f>IFERROR(__xludf.DUMMYFUNCTION("""COMPUTED_VALUE"""),"BANCAL")</f>
        <v>BANCAL</v>
      </c>
      <c r="O88" s="1" t="str">
        <f>IFERROR(__xludf.DUMMYFUNCTION("""COMPUTED_VALUE"""),"CARMONA")</f>
        <v>CARMONA</v>
      </c>
      <c r="P88" s="1" t="str">
        <f>IFERROR(__xludf.DUMMYFUNCTION("""COMPUTED_VALUE"""),"CAVITE")</f>
        <v>CAVITE</v>
      </c>
      <c r="Q88" s="1" t="str">
        <f>IFERROR(__xludf.DUMMYFUNCTION("""COMPUTED_VALUE"""),"FIBR PLAN 7499")</f>
        <v>FIBR PLAN 7499</v>
      </c>
      <c r="R88" s="1" t="str">
        <f>IFERROR(__xludf.DUMMYFUNCTION("""COMPUTED_VALUE"""),"APPROVED")</f>
        <v>APPROVED</v>
      </c>
      <c r="S88" s="1"/>
      <c r="T88" s="1"/>
      <c r="U88" s="1"/>
      <c r="V88" s="1"/>
      <c r="W88" s="1"/>
    </row>
    <row r="89" customHeight="1" spans="1:23">
      <c r="A89" s="3">
        <f>IFERROR(__xludf.DUMMYFUNCTION("""COMPUTED_VALUE"""),46031)</f>
        <v>46031</v>
      </c>
      <c r="B89" s="1" t="str">
        <f>IFERROR(__xludf.DUMMYFUNCTION("""COMPUTED_VALUE"""),"ALOS, CHARLS LAURENZ")</f>
        <v>ALOS, CHARLS LAURENZ</v>
      </c>
      <c r="C89" s="1" t="str">
        <f>IFERROR(__xludf.DUMMYFUNCTION("""COMPUTED_VALUE"""),"ORGANIC")</f>
        <v>ORGANIC</v>
      </c>
      <c r="D89" s="1" t="str">
        <f>IFERROR(__xludf.DUMMYFUNCTION("""COMPUTED_VALUE"""),"ILANO MARK")</f>
        <v>ILANO MARK</v>
      </c>
      <c r="E89" s="1" t="str">
        <f>IFERROR(__xludf.DUMMYFUNCTION("""COMPUTED_VALUE"""),"PLDT")</f>
        <v>PLDT</v>
      </c>
      <c r="F89" s="1">
        <f>IFERROR(__xludf.DUMMYFUNCTION("""COMPUTED_VALUE"""),2306119475)</f>
        <v>2306119475</v>
      </c>
      <c r="G89" s="1"/>
      <c r="H89" s="1" t="str">
        <f>IFERROR(__xludf.DUMMYFUNCTION("""COMPUTED_VALUE"""),"9641498563")</f>
        <v>9641498563</v>
      </c>
      <c r="I89" s="1">
        <f>IFERROR(__xludf.DUMMYFUNCTION("""COMPUTED_VALUE"""),9850284890)</f>
        <v>9850284890</v>
      </c>
      <c r="J89" s="1"/>
      <c r="K89" s="1" t="str">
        <f>IFERROR(__xludf.DUMMYFUNCTION("""COMPUTED_VALUE"""),"373")</f>
        <v>373</v>
      </c>
      <c r="L89" s="1" t="str">
        <f>IFERROR(__xludf.DUMMYFUNCTION("""COMPUTED_VALUE"""),"BLK 18 EXCESS LOT")</f>
        <v>BLK 18 EXCESS LOT</v>
      </c>
      <c r="M89" s="1"/>
      <c r="N89" s="1" t="str">
        <f>IFERROR(__xludf.DUMMYFUNCTION("""COMPUTED_VALUE"""),"INOCENCIO SALUD")</f>
        <v>INOCENCIO SALUD</v>
      </c>
      <c r="O89" s="1" t="str">
        <f>IFERROR(__xludf.DUMMYFUNCTION("""COMPUTED_VALUE"""),"GEN MARIANO ALVAREZ")</f>
        <v>GEN MARIANO ALVAREZ</v>
      </c>
      <c r="P89" s="1" t="str">
        <f>IFERROR(__xludf.DUMMYFUNCTION("""COMPUTED_VALUE"""),"CAVITE")</f>
        <v>CAVITE</v>
      </c>
      <c r="Q89" s="1" t="str">
        <f>IFERROR(__xludf.DUMMYFUNCTION("""COMPUTED_VALUE"""),"FIBR PLAN 1299")</f>
        <v>FIBR PLAN 1299</v>
      </c>
      <c r="R89" s="1" t="str">
        <f>IFERROR(__xludf.DUMMYFUNCTION("""COMPUTED_VALUE"""),"APPROVED")</f>
        <v>APPROVED</v>
      </c>
      <c r="S89" s="1"/>
      <c r="T89" s="1"/>
      <c r="U89" s="1"/>
      <c r="V89" s="1"/>
      <c r="W89" s="1"/>
    </row>
    <row r="90" customHeight="1" spans="1:23">
      <c r="A90" s="3">
        <f>IFERROR(__xludf.DUMMYFUNCTION("""COMPUTED_VALUE"""),46031)</f>
        <v>46031</v>
      </c>
      <c r="B90" s="1" t="str">
        <f>IFERROR(__xludf.DUMMYFUNCTION("""COMPUTED_VALUE"""),"OPS SIR BETZ")</f>
        <v>OPS SIR BETZ</v>
      </c>
      <c r="C90" s="1" t="str">
        <f>IFERROR(__xludf.DUMMYFUNCTION("""COMPUTED_VALUE"""),"FLA")</f>
        <v>FLA</v>
      </c>
      <c r="D90" s="1" t="str">
        <f>IFERROR(__xludf.DUMMYFUNCTION("""COMPUTED_VALUE"""),"JERIC NAVARRO")</f>
        <v>JERIC NAVARRO</v>
      </c>
      <c r="E90" s="1" t="str">
        <f>IFERROR(__xludf.DUMMYFUNCTION("""COMPUTED_VALUE"""),"PLDT")</f>
        <v>PLDT</v>
      </c>
      <c r="F90" s="1">
        <f>IFERROR(__xludf.DUMMYFUNCTION("""COMPUTED_VALUE"""),2306119292)</f>
        <v>2306119292</v>
      </c>
      <c r="G90" s="1"/>
      <c r="H90" s="1" t="str">
        <f>IFERROR(__xludf.DUMMYFUNCTION("""COMPUTED_VALUE"""),"9176405188")</f>
        <v>9176405188</v>
      </c>
      <c r="I90" s="1">
        <f>IFERROR(__xludf.DUMMYFUNCTION("""COMPUTED_VALUE"""),9936505191)</f>
        <v>9936505191</v>
      </c>
      <c r="J90" s="1"/>
      <c r="K90" s="1" t="str">
        <f>IFERROR(__xludf.DUMMYFUNCTION("""COMPUTED_VALUE"""),"BLK 6 LOT 11")</f>
        <v>BLK 6 LOT 11</v>
      </c>
      <c r="L90" s="1" t="str">
        <f>IFERROR(__xludf.DUMMYFUNCTION("""COMPUTED_VALUE"""),"RIVERLANE")</f>
        <v>RIVERLANE</v>
      </c>
      <c r="M90" s="1" t="str">
        <f>IFERROR(__xludf.DUMMYFUNCTION("""COMPUTED_VALUE"""),"GOLDERN CIRCUIT")</f>
        <v>GOLDERN CIRCUIT</v>
      </c>
      <c r="N90" s="1" t="str">
        <f>IFERROR(__xludf.DUMMYFUNCTION("""COMPUTED_VALUE"""),"TAPIA")</f>
        <v>TAPIA</v>
      </c>
      <c r="O90" s="1" t="str">
        <f>IFERROR(__xludf.DUMMYFUNCTION("""COMPUTED_VALUE"""),"GENERAL TRIAS")</f>
        <v>GENERAL TRIAS</v>
      </c>
      <c r="P90" s="1" t="str">
        <f>IFERROR(__xludf.DUMMYFUNCTION("""COMPUTED_VALUE"""),"CAVITE")</f>
        <v>CAVITE</v>
      </c>
      <c r="Q90" s="1" t="str">
        <f>IFERROR(__xludf.DUMMYFUNCTION("""COMPUTED_VALUE"""),"FIBR PLAN 1599")</f>
        <v>FIBR PLAN 1599</v>
      </c>
      <c r="R90" s="1" t="str">
        <f>IFERROR(__xludf.DUMMYFUNCTION("""COMPUTED_VALUE"""),"APPROVED")</f>
        <v>APPROVED</v>
      </c>
      <c r="S90" s="1"/>
      <c r="T90" s="1"/>
      <c r="U90" s="1"/>
      <c r="V90" s="1"/>
      <c r="W90" s="1"/>
    </row>
    <row r="91" customHeight="1" spans="1:23">
      <c r="A91" s="3">
        <f>IFERROR(__xludf.DUMMYFUNCTION("""COMPUTED_VALUE"""),46031)</f>
        <v>46031</v>
      </c>
      <c r="B91" s="1" t="str">
        <f>IFERROR(__xludf.DUMMYFUNCTION("""COMPUTED_VALUE"""),"LANZA, ANNALYN")</f>
        <v>LANZA, ANNALYN</v>
      </c>
      <c r="C91" s="1" t="str">
        <f>IFERROR(__xludf.DUMMYFUNCTION("""COMPUTED_VALUE"""),"ORGANIC")</f>
        <v>ORGANIC</v>
      </c>
      <c r="D91" s="1" t="str">
        <f>IFERROR(__xludf.DUMMYFUNCTION("""COMPUTED_VALUE"""),"ILANO MARK")</f>
        <v>ILANO MARK</v>
      </c>
      <c r="E91" s="1" t="str">
        <f>IFERROR(__xludf.DUMMYFUNCTION("""COMPUTED_VALUE"""),"PLDT")</f>
        <v>PLDT</v>
      </c>
      <c r="F91" s="1">
        <f>IFERROR(__xludf.DUMMYFUNCTION("""COMPUTED_VALUE"""),2306129977)</f>
        <v>2306129977</v>
      </c>
      <c r="G91" s="1"/>
      <c r="H91" s="1" t="str">
        <f>IFERROR(__xludf.DUMMYFUNCTION("""COMPUTED_VALUE"""),"9267726815")</f>
        <v>9267726815</v>
      </c>
      <c r="I91" s="1">
        <f>IFERROR(__xludf.DUMMYFUNCTION("""COMPUTED_VALUE"""),9500705970)</f>
        <v>9500705970</v>
      </c>
      <c r="J91" s="1"/>
      <c r="K91" s="1" t="str">
        <f>IFERROR(__xludf.DUMMYFUNCTION("""COMPUTED_VALUE"""),"72")</f>
        <v>72</v>
      </c>
      <c r="L91" s="1" t="str">
        <f>IFERROR(__xludf.DUMMYFUNCTION("""COMPUTED_VALUE"""),"SITIO SILANGAN")</f>
        <v>SITIO SILANGAN</v>
      </c>
      <c r="M91" s="1"/>
      <c r="N91" s="1"/>
      <c r="O91" s="1"/>
      <c r="P91" s="1" t="str">
        <f>IFERROR(__xludf.DUMMYFUNCTION("""COMPUTED_VALUE"""),"BATANGAS")</f>
        <v>BATANGAS</v>
      </c>
      <c r="Q91" s="1" t="str">
        <f>IFERROR(__xludf.DUMMYFUNCTION("""COMPUTED_VALUE"""),"FIBR PLAN 1399")</f>
        <v>FIBR PLAN 1399</v>
      </c>
      <c r="R91" s="1" t="str">
        <f>IFERROR(__xludf.DUMMYFUNCTION("""COMPUTED_VALUE"""),"APPROVED")</f>
        <v>APPROVED</v>
      </c>
      <c r="S91" s="1" t="str">
        <f>IFERROR(__xludf.DUMMYFUNCTION("""COMPUTED_VALUE"""),"ENDORSED TO BATANGAS")</f>
        <v>ENDORSED TO BATANGAS</v>
      </c>
      <c r="T91" s="1"/>
      <c r="U91" s="1"/>
      <c r="V91" s="1"/>
      <c r="W91" s="1"/>
    </row>
    <row r="92" customHeight="1" spans="1:23">
      <c r="A92" s="3">
        <f>IFERROR(__xludf.DUMMYFUNCTION("""COMPUTED_VALUE"""),46031)</f>
        <v>46031</v>
      </c>
      <c r="B92" s="1" t="str">
        <f>IFERROR(__xludf.DUMMYFUNCTION("""COMPUTED_VALUE"""),"CADERAO, RONALD")</f>
        <v>CADERAO, RONALD</v>
      </c>
      <c r="C92" s="1" t="str">
        <f>IFERROR(__xludf.DUMMYFUNCTION("""COMPUTED_VALUE"""),"ORGANIC")</f>
        <v>ORGANIC</v>
      </c>
      <c r="D92" s="1" t="str">
        <f>IFERROR(__xludf.DUMMYFUNCTION("""COMPUTED_VALUE"""),"ILANO MARK")</f>
        <v>ILANO MARK</v>
      </c>
      <c r="E92" s="1" t="str">
        <f>IFERROR(__xludf.DUMMYFUNCTION("""COMPUTED_VALUE"""),"PLDT")</f>
        <v>PLDT</v>
      </c>
      <c r="F92" s="1">
        <f>IFERROR(__xludf.DUMMYFUNCTION("""COMPUTED_VALUE"""),2306121294)</f>
        <v>2306121294</v>
      </c>
      <c r="G92" s="1"/>
      <c r="H92" s="1" t="str">
        <f>IFERROR(__xludf.DUMMYFUNCTION("""COMPUTED_VALUE"""),"9471886337")</f>
        <v>9471886337</v>
      </c>
      <c r="I92" s="1"/>
      <c r="J92" s="1"/>
      <c r="K92" s="1" t="str">
        <f>IFERROR(__xludf.DUMMYFUNCTION("""COMPUTED_VALUE"""),"BLK 29 LOT 13")</f>
        <v>BLK 29 LOT 13</v>
      </c>
      <c r="L92" s="1" t="str">
        <f>IFERROR(__xludf.DUMMYFUNCTION("""COMPUTED_VALUE"""),"NARRA RD")</f>
        <v>NARRA RD</v>
      </c>
      <c r="M92" s="1"/>
      <c r="N92" s="1" t="str">
        <f>IFERROR(__xludf.DUMMYFUNCTION("""COMPUTED_VALUE"""),"NARRA I")</f>
        <v>NARRA I</v>
      </c>
      <c r="O92" s="1" t="str">
        <f>IFERROR(__xludf.DUMMYFUNCTION("""COMPUTED_VALUE"""),"SILANG")</f>
        <v>SILANG</v>
      </c>
      <c r="P92" s="1" t="str">
        <f>IFERROR(__xludf.DUMMYFUNCTION("""COMPUTED_VALUE"""),"CAVITE")</f>
        <v>CAVITE</v>
      </c>
      <c r="Q92" s="1" t="str">
        <f>IFERROR(__xludf.DUMMYFUNCTION("""COMPUTED_VALUE"""),"FIBR PLAN 1299")</f>
        <v>FIBR PLAN 1299</v>
      </c>
      <c r="R92" s="1" t="str">
        <f>IFERROR(__xludf.DUMMYFUNCTION("""COMPUTED_VALUE"""),"APPROVED")</f>
        <v>APPROVED</v>
      </c>
      <c r="S92" s="1"/>
      <c r="T92" s="1"/>
      <c r="U92" s="1"/>
      <c r="V92" s="1"/>
      <c r="W92" s="1"/>
    </row>
    <row r="93" customHeight="1" spans="1:23">
      <c r="A93" s="3">
        <f>IFERROR(__xludf.DUMMYFUNCTION("""COMPUTED_VALUE"""),46031)</f>
        <v>46031</v>
      </c>
      <c r="B93" s="1" t="str">
        <f>IFERROR(__xludf.DUMMYFUNCTION("""COMPUTED_VALUE"""),"NAVARRO, JERIC")</f>
        <v>NAVARRO, JERIC</v>
      </c>
      <c r="C93" s="1" t="str">
        <f>IFERROR(__xludf.DUMMYFUNCTION("""COMPUTED_VALUE"""),"FLA")</f>
        <v>FLA</v>
      </c>
      <c r="D93" s="1" t="str">
        <f>IFERROR(__xludf.DUMMYFUNCTION("""COMPUTED_VALUE"""),"JERIC NAVARRO")</f>
        <v>JERIC NAVARRO</v>
      </c>
      <c r="E93" s="1" t="str">
        <f>IFERROR(__xludf.DUMMYFUNCTION("""COMPUTED_VALUE"""),"HOME BIZZ")</f>
        <v>HOME BIZZ</v>
      </c>
      <c r="F93" s="1">
        <f>IFERROR(__xludf.DUMMYFUNCTION("""COMPUTED_VALUE"""),2306147112)</f>
        <v>2306147112</v>
      </c>
      <c r="G93" s="1"/>
      <c r="H93" s="1" t="str">
        <f>IFERROR(__xludf.DUMMYFUNCTION("""COMPUTED_VALUE"""),"9171003733")</f>
        <v>9171003733</v>
      </c>
      <c r="I93" s="1"/>
      <c r="J93" s="1"/>
      <c r="K93" s="1" t="str">
        <f>IFERROR(__xludf.DUMMYFUNCTION("""COMPUTED_VALUE"""),"PUROK6")</f>
        <v>PUROK6</v>
      </c>
      <c r="L93" s="1" t="str">
        <f>IFERROR(__xludf.DUMMYFUNCTION("""COMPUTED_VALUE"""),"ARNALDO HIGHWAY")</f>
        <v>ARNALDO HIGHWAY</v>
      </c>
      <c r="M93" s="1"/>
      <c r="N93" s="1" t="str">
        <f>IFERROR(__xludf.DUMMYFUNCTION("""COMPUTED_VALUE"""),"PASONG CAMACHILE I")</f>
        <v>PASONG CAMACHILE I</v>
      </c>
      <c r="O93" s="1" t="str">
        <f>IFERROR(__xludf.DUMMYFUNCTION("""COMPUTED_VALUE"""),"GENERAL TRIAS")</f>
        <v>GENERAL TRIAS</v>
      </c>
      <c r="P93" s="1" t="str">
        <f>IFERROR(__xludf.DUMMYFUNCTION("""COMPUTED_VALUE"""),"CAVITE")</f>
        <v>CAVITE</v>
      </c>
      <c r="Q93" s="1" t="str">
        <f>IFERROR(__xludf.DUMMYFUNCTION("""COMPUTED_VALUE"""),"HOMEBIZZ 1699")</f>
        <v>HOMEBIZZ 1699</v>
      </c>
      <c r="R93" s="1" t="str">
        <f>IFERROR(__xludf.DUMMYFUNCTION("""COMPUTED_VALUE"""),"APPROVED")</f>
        <v>APPROVED</v>
      </c>
      <c r="S93" s="1" t="str">
        <f>IFERROR(__xludf.DUMMYFUNCTION("""COMPUTED_VALUE"""),"PLS PROVIDE MERALCO BILL")</f>
        <v>PLS PROVIDE MERALCO BILL</v>
      </c>
      <c r="T93" s="1"/>
      <c r="U93" s="1"/>
      <c r="V93" s="1"/>
      <c r="W93" s="1"/>
    </row>
    <row r="94" customHeight="1" spans="1:23">
      <c r="A94" s="3">
        <f>IFERROR(__xludf.DUMMYFUNCTION("""COMPUTED_VALUE"""),46031)</f>
        <v>46031</v>
      </c>
      <c r="B94" s="1" t="str">
        <f>IFERROR(__xludf.DUMMYFUNCTION("""COMPUTED_VALUE"""),"DAROG, ANDREA")</f>
        <v>DAROG, ANDREA</v>
      </c>
      <c r="C94" s="1" t="str">
        <f>IFERROR(__xludf.DUMMYFUNCTION("""COMPUTED_VALUE"""),"ORGANIC")</f>
        <v>ORGANIC</v>
      </c>
      <c r="D94" s="1" t="str">
        <f>IFERROR(__xludf.DUMMYFUNCTION("""COMPUTED_VALUE"""),"ILANO MARK")</f>
        <v>ILANO MARK</v>
      </c>
      <c r="E94" s="1" t="str">
        <f>IFERROR(__xludf.DUMMYFUNCTION("""COMPUTED_VALUE"""),"PLDT")</f>
        <v>PLDT</v>
      </c>
      <c r="F94" s="1">
        <f>IFERROR(__xludf.DUMMYFUNCTION("""COMPUTED_VALUE"""),2306131684)</f>
        <v>2306131684</v>
      </c>
      <c r="G94" s="1"/>
      <c r="H94" s="1" t="str">
        <f>IFERROR(__xludf.DUMMYFUNCTION("""COMPUTED_VALUE"""),"9318381574")</f>
        <v>9318381574</v>
      </c>
      <c r="I94" s="1">
        <f>IFERROR(__xludf.DUMMYFUNCTION("""COMPUTED_VALUE"""),9634525240)</f>
        <v>9634525240</v>
      </c>
      <c r="J94" s="1"/>
      <c r="K94" s="1" t="str">
        <f>IFERROR(__xludf.DUMMYFUNCTION("""COMPUTED_VALUE"""),"55")</f>
        <v>55</v>
      </c>
      <c r="L94" s="1" t="str">
        <f>IFERROR(__xludf.DUMMYFUNCTION("""COMPUTED_VALUE"""),"C2A")</f>
        <v>C2A</v>
      </c>
      <c r="M94" s="1"/>
      <c r="N94" s="1" t="str">
        <f>IFERROR(__xludf.DUMMYFUNCTION("""COMPUTED_VALUE"""),"NICOLASA VIRATA (SAN JOSE)")</f>
        <v>NICOLASA VIRATA (SAN JOSE)</v>
      </c>
      <c r="O94" s="1" t="str">
        <f>IFERROR(__xludf.DUMMYFUNCTION("""COMPUTED_VALUE"""),"GEN MARIANO ALVAREZ")</f>
        <v>GEN MARIANO ALVAREZ</v>
      </c>
      <c r="P94" s="1" t="str">
        <f>IFERROR(__xludf.DUMMYFUNCTION("""COMPUTED_VALUE"""),"CAVITE")</f>
        <v>CAVITE</v>
      </c>
      <c r="Q94" s="1" t="str">
        <f>IFERROR(__xludf.DUMMYFUNCTION("""COMPUTED_VALUE"""),"FIBR PLAN 1399")</f>
        <v>FIBR PLAN 1399</v>
      </c>
      <c r="R94" s="1" t="str">
        <f>IFERROR(__xludf.DUMMYFUNCTION("""COMPUTED_VALUE"""),"APPROVED")</f>
        <v>APPROVED</v>
      </c>
      <c r="S94" s="1"/>
      <c r="T94" s="1"/>
      <c r="U94" s="1"/>
      <c r="V94" s="1"/>
      <c r="W94" s="1"/>
    </row>
    <row r="95" customHeight="1" spans="1:23">
      <c r="A95" s="3">
        <f>IFERROR(__xludf.DUMMYFUNCTION("""COMPUTED_VALUE"""),46031)</f>
        <v>46031</v>
      </c>
      <c r="B95" s="1" t="str">
        <f>IFERROR(__xludf.DUMMYFUNCTION("""COMPUTED_VALUE"""),"CADERAO, RONALD")</f>
        <v>CADERAO, RONALD</v>
      </c>
      <c r="C95" s="1" t="str">
        <f>IFERROR(__xludf.DUMMYFUNCTION("""COMPUTED_VALUE"""),"ORGANIC")</f>
        <v>ORGANIC</v>
      </c>
      <c r="D95" s="1" t="str">
        <f>IFERROR(__xludf.DUMMYFUNCTION("""COMPUTED_VALUE"""),"ILANO MARK")</f>
        <v>ILANO MARK</v>
      </c>
      <c r="E95" s="1" t="str">
        <f>IFERROR(__xludf.DUMMYFUNCTION("""COMPUTED_VALUE"""),"PLDT")</f>
        <v>PLDT</v>
      </c>
      <c r="F95" s="1">
        <f>IFERROR(__xludf.DUMMYFUNCTION("""COMPUTED_VALUE"""),2306131775)</f>
        <v>2306131775</v>
      </c>
      <c r="G95" s="1"/>
      <c r="H95" s="1" t="str">
        <f>IFERROR(__xludf.DUMMYFUNCTION("""COMPUTED_VALUE"""),"9631454402")</f>
        <v>9631454402</v>
      </c>
      <c r="I95" s="1"/>
      <c r="J95" s="1"/>
      <c r="K95" s="1" t="str">
        <f>IFERROR(__xludf.DUMMYFUNCTION("""COMPUTED_VALUE"""),"9568")</f>
        <v>9568</v>
      </c>
      <c r="L95" s="1" t="str">
        <f>IFERROR(__xludf.DUMMYFUNCTION("""COMPUTED_VALUE"""),"BALITE IBABA")</f>
        <v>BALITE IBABA</v>
      </c>
      <c r="M95" s="1"/>
      <c r="N95" s="1" t="str">
        <f>IFERROR(__xludf.DUMMYFUNCTION("""COMPUTED_VALUE"""),"UPLI")</f>
        <v>UPLI</v>
      </c>
      <c r="O95" s="1" t="str">
        <f>IFERROR(__xludf.DUMMYFUNCTION("""COMPUTED_VALUE"""),"ALFONSO")</f>
        <v>ALFONSO</v>
      </c>
      <c r="P95" s="1" t="str">
        <f>IFERROR(__xludf.DUMMYFUNCTION("""COMPUTED_VALUE"""),"CAVITE")</f>
        <v>CAVITE</v>
      </c>
      <c r="Q95" s="1" t="str">
        <f>IFERROR(__xludf.DUMMYFUNCTION("""COMPUTED_VALUE"""),"FIBR PLAN 1399")</f>
        <v>FIBR PLAN 1399</v>
      </c>
      <c r="R95" s="1" t="str">
        <f>IFERROR(__xludf.DUMMYFUNCTION("""COMPUTED_VALUE"""),"APPROVED")</f>
        <v>APPROVED</v>
      </c>
      <c r="S95" s="1"/>
      <c r="T95" s="1"/>
      <c r="U95" s="1"/>
      <c r="V95" s="1"/>
      <c r="W95" s="1"/>
    </row>
    <row r="96" customHeight="1" spans="1:23">
      <c r="A96" s="3">
        <f>IFERROR(__xludf.DUMMYFUNCTION("""COMPUTED_VALUE"""),46031)</f>
        <v>46031</v>
      </c>
      <c r="B96" s="1" t="str">
        <f>IFERROR(__xludf.DUMMYFUNCTION("""COMPUTED_VALUE"""),"ALOS, CHARLS LAURENZ")</f>
        <v>ALOS, CHARLS LAURENZ</v>
      </c>
      <c r="C96" s="1" t="str">
        <f>IFERROR(__xludf.DUMMYFUNCTION("""COMPUTED_VALUE"""),"ORGANIC")</f>
        <v>ORGANIC</v>
      </c>
      <c r="D96" s="1" t="str">
        <f>IFERROR(__xludf.DUMMYFUNCTION("""COMPUTED_VALUE"""),"ILANO MARK")</f>
        <v>ILANO MARK</v>
      </c>
      <c r="E96" s="1" t="str">
        <f>IFERROR(__xludf.DUMMYFUNCTION("""COMPUTED_VALUE"""),"PLDT")</f>
        <v>PLDT</v>
      </c>
      <c r="F96" s="1">
        <f>IFERROR(__xludf.DUMMYFUNCTION("""COMPUTED_VALUE"""),2306132428)</f>
        <v>2306132428</v>
      </c>
      <c r="G96" s="1"/>
      <c r="H96" s="1" t="str">
        <f>IFERROR(__xludf.DUMMYFUNCTION("""COMPUTED_VALUE"""),"9083028718")</f>
        <v>9083028718</v>
      </c>
      <c r="I96" s="1"/>
      <c r="J96" s="1"/>
      <c r="K96" s="1" t="str">
        <f>IFERROR(__xludf.DUMMYFUNCTION("""COMPUTED_VALUE"""),"190")</f>
        <v>190</v>
      </c>
      <c r="L96" s="1" t="str">
        <f>IFERROR(__xludf.DUMMYFUNCTION("""COMPUTED_VALUE"""),"ALAS-AS")</f>
        <v>ALAS-AS</v>
      </c>
      <c r="M96" s="1"/>
      <c r="N96" s="1" t="str">
        <f>IFERROR(__xludf.DUMMYFUNCTION("""COMPUTED_VALUE"""),"POBLACION V (BARANGAY V)")</f>
        <v>POBLACION V (BARANGAY V)</v>
      </c>
      <c r="O96" s="1" t="str">
        <f>IFERROR(__xludf.DUMMYFUNCTION("""COMPUTED_VALUE"""),"ALFONSO")</f>
        <v>ALFONSO</v>
      </c>
      <c r="P96" s="1" t="str">
        <f>IFERROR(__xludf.DUMMYFUNCTION("""COMPUTED_VALUE"""),"CAVITE")</f>
        <v>CAVITE</v>
      </c>
      <c r="Q96" s="1" t="str">
        <f>IFERROR(__xludf.DUMMYFUNCTION("""COMPUTED_VALUE"""),"FIBR PLAN 1399")</f>
        <v>FIBR PLAN 1399</v>
      </c>
      <c r="R96" s="1" t="str">
        <f>IFERROR(__xludf.DUMMYFUNCTION("""COMPUTED_VALUE"""),"APPROVED")</f>
        <v>APPROVED</v>
      </c>
      <c r="S96" s="1"/>
      <c r="T96" s="1"/>
      <c r="U96" s="1"/>
      <c r="V96" s="1"/>
      <c r="W96" s="1"/>
    </row>
    <row r="97" customHeight="1" spans="1:23">
      <c r="A97" s="3">
        <f>IFERROR(__xludf.DUMMYFUNCTION("""COMPUTED_VALUE"""),46031)</f>
        <v>46031</v>
      </c>
      <c r="B97" s="1" t="str">
        <f>IFERROR(__xludf.DUMMYFUNCTION("""COMPUTED_VALUE"""),"GABAY, MANUEL")</f>
        <v>GABAY, MANUEL</v>
      </c>
      <c r="C97" s="1" t="str">
        <f>IFERROR(__xludf.DUMMYFUNCTION("""COMPUTED_VALUE"""),"FLA")</f>
        <v>FLA</v>
      </c>
      <c r="D97" s="1" t="str">
        <f>IFERROR(__xludf.DUMMYFUNCTION("""COMPUTED_VALUE"""),"JERIC NAVARRO")</f>
        <v>JERIC NAVARRO</v>
      </c>
      <c r="E97" s="1" t="str">
        <f>IFERROR(__xludf.DUMMYFUNCTION("""COMPUTED_VALUE"""),"PLDT")</f>
        <v>PLDT</v>
      </c>
      <c r="F97" s="1">
        <f>IFERROR(__xludf.DUMMYFUNCTION("""COMPUTED_VALUE"""),2306132575)</f>
        <v>2306132575</v>
      </c>
      <c r="G97" s="1"/>
      <c r="H97" s="1" t="str">
        <f>IFERROR(__xludf.DUMMYFUNCTION("""COMPUTED_VALUE"""),"9484546742")</f>
        <v>9484546742</v>
      </c>
      <c r="I97" s="1">
        <f>IFERROR(__xludf.DUMMYFUNCTION("""COMPUTED_VALUE"""),9938265820)</f>
        <v>9938265820</v>
      </c>
      <c r="J97" s="1"/>
      <c r="K97" s="1" t="str">
        <f>IFERROR(__xludf.DUMMYFUNCTION("""COMPUTED_VALUE"""),"1A")</f>
        <v>1A</v>
      </c>
      <c r="L97" s="1" t="str">
        <f>IFERROR(__xludf.DUMMYFUNCTION("""COMPUTED_VALUE"""),"MANUELA VILLE")</f>
        <v>MANUELA VILLE</v>
      </c>
      <c r="M97" s="1"/>
      <c r="N97" s="1" t="str">
        <f>IFERROR(__xludf.DUMMYFUNCTION("""COMPUTED_VALUE"""),"SABUTAN")</f>
        <v>SABUTAN</v>
      </c>
      <c r="O97" s="1" t="str">
        <f>IFERROR(__xludf.DUMMYFUNCTION("""COMPUTED_VALUE"""),"SILANG")</f>
        <v>SILANG</v>
      </c>
      <c r="P97" s="1" t="str">
        <f>IFERROR(__xludf.DUMMYFUNCTION("""COMPUTED_VALUE"""),"CAVITE")</f>
        <v>CAVITE</v>
      </c>
      <c r="Q97" s="1" t="str">
        <f>IFERROR(__xludf.DUMMYFUNCTION("""COMPUTED_VALUE"""),"FIBR PLAN 1399")</f>
        <v>FIBR PLAN 1399</v>
      </c>
      <c r="R97" s="1" t="str">
        <f>IFERROR(__xludf.DUMMYFUNCTION("""COMPUTED_VALUE"""),"APPROVED")</f>
        <v>APPROVED</v>
      </c>
      <c r="S97" s="1"/>
      <c r="T97" s="1"/>
      <c r="U97" s="1"/>
      <c r="V97" s="1"/>
      <c r="W97" s="1"/>
    </row>
    <row r="98" customHeight="1" spans="1:23">
      <c r="A98" s="3">
        <f>IFERROR(__xludf.DUMMYFUNCTION("""COMPUTED_VALUE"""),46031)</f>
        <v>46031</v>
      </c>
      <c r="B98" s="1" t="str">
        <f>IFERROR(__xludf.DUMMYFUNCTION("""COMPUTED_VALUE"""),"LANZA, ANNALYN")</f>
        <v>LANZA, ANNALYN</v>
      </c>
      <c r="C98" s="1" t="str">
        <f>IFERROR(__xludf.DUMMYFUNCTION("""COMPUTED_VALUE"""),"ORGANIC")</f>
        <v>ORGANIC</v>
      </c>
      <c r="D98" s="1" t="str">
        <f>IFERROR(__xludf.DUMMYFUNCTION("""COMPUTED_VALUE"""),"ILANO MARK")</f>
        <v>ILANO MARK</v>
      </c>
      <c r="E98" s="1" t="str">
        <f>IFERROR(__xludf.DUMMYFUNCTION("""COMPUTED_VALUE"""),"PLDT")</f>
        <v>PLDT</v>
      </c>
      <c r="F98" s="1">
        <f>IFERROR(__xludf.DUMMYFUNCTION("""COMPUTED_VALUE"""),2306132957)</f>
        <v>2306132957</v>
      </c>
      <c r="G98" s="1"/>
      <c r="H98" s="1" t="str">
        <f>IFERROR(__xludf.DUMMYFUNCTION("""COMPUTED_VALUE"""),"9926995407")</f>
        <v>9926995407</v>
      </c>
      <c r="I98" s="1">
        <f>IFERROR(__xludf.DUMMYFUNCTION("""COMPUTED_VALUE"""),9926929951)</f>
        <v>9926929951</v>
      </c>
      <c r="J98" s="1"/>
      <c r="K98" s="1" t="str">
        <f>IFERROR(__xludf.DUMMYFUNCTION("""COMPUTED_VALUE"""),"414")</f>
        <v>414</v>
      </c>
      <c r="L98" s="1" t="str">
        <f>IFERROR(__xludf.DUMMYFUNCTION("""COMPUTED_VALUE"""),"GOT PANDAN")</f>
        <v>GOT PANDAN</v>
      </c>
      <c r="M98" s="1"/>
      <c r="N98" s="1" t="str">
        <f>IFERROR(__xludf.DUMMYFUNCTION("""COMPUTED_VALUE"""),"ANULING CERCA II")</f>
        <v>ANULING CERCA II</v>
      </c>
      <c r="O98" s="1" t="str">
        <f>IFERROR(__xludf.DUMMYFUNCTION("""COMPUTED_VALUE"""),"MENDEZ")</f>
        <v>MENDEZ</v>
      </c>
      <c r="P98" s="1" t="str">
        <f>IFERROR(__xludf.DUMMYFUNCTION("""COMPUTED_VALUE"""),"CAVITE")</f>
        <v>CAVITE</v>
      </c>
      <c r="Q98" s="1" t="str">
        <f>IFERROR(__xludf.DUMMYFUNCTION("""COMPUTED_VALUE"""),"FIBR PLAN 1399")</f>
        <v>FIBR PLAN 1399</v>
      </c>
      <c r="R98" s="1" t="str">
        <f>IFERROR(__xludf.DUMMYFUNCTION("""COMPUTED_VALUE"""),"APPROVED")</f>
        <v>APPROVED</v>
      </c>
      <c r="S98" s="1"/>
      <c r="T98" s="1"/>
      <c r="U98" s="1"/>
      <c r="V98" s="1"/>
      <c r="W98" s="1"/>
    </row>
    <row r="99" customHeight="1" spans="1:23">
      <c r="A99" s="3">
        <f>IFERROR(__xludf.DUMMYFUNCTION("""COMPUTED_VALUE"""),46031)</f>
        <v>46031</v>
      </c>
      <c r="B99" s="1" t="str">
        <f>IFERROR(__xludf.DUMMYFUNCTION("""COMPUTED_VALUE"""),"ALOS, CHARLS LAURENZ")</f>
        <v>ALOS, CHARLS LAURENZ</v>
      </c>
      <c r="C99" s="1" t="str">
        <f>IFERROR(__xludf.DUMMYFUNCTION("""COMPUTED_VALUE"""),"ORGANIC")</f>
        <v>ORGANIC</v>
      </c>
      <c r="D99" s="1" t="str">
        <f>IFERROR(__xludf.DUMMYFUNCTION("""COMPUTED_VALUE"""),"REMOLLO LEA")</f>
        <v>REMOLLO LEA</v>
      </c>
      <c r="E99" s="1" t="str">
        <f>IFERROR(__xludf.DUMMYFUNCTION("""COMPUTED_VALUE"""),"RED FIBER")</f>
        <v>RED FIBER</v>
      </c>
      <c r="F99" s="1"/>
      <c r="G99" s="1"/>
      <c r="H99" s="1" t="str">
        <f>IFERROR(__xludf.DUMMYFUNCTION("""COMPUTED_VALUE"""),"9669068316")</f>
        <v>9669068316</v>
      </c>
      <c r="I99" s="1"/>
      <c r="J99" s="1"/>
      <c r="K99" s="1" t="str">
        <f>IFERROR(__xludf.DUMMYFUNCTION("""COMPUTED_VALUE"""),"103B")</f>
        <v>103B</v>
      </c>
      <c r="L99" s="1" t="str">
        <f>IFERROR(__xludf.DUMMYFUNCTION("""COMPUTED_VALUE"""),"ROGACION")</f>
        <v>ROGACION</v>
      </c>
      <c r="M99" s="1"/>
      <c r="N99" s="1" t="str">
        <f>IFERROR(__xludf.DUMMYFUNCTION("""COMPUTED_VALUE"""),"BUHO")</f>
        <v>BUHO</v>
      </c>
      <c r="O99" s="1" t="str">
        <f>IFERROR(__xludf.DUMMYFUNCTION("""COMPUTED_VALUE"""),"AMADEO")</f>
        <v>AMADEO</v>
      </c>
      <c r="P99" s="1" t="str">
        <f>IFERROR(__xludf.DUMMYFUNCTION("""COMPUTED_VALUE"""),"CAVITE")</f>
        <v>CAVITE</v>
      </c>
      <c r="Q99" s="1" t="str">
        <f>IFERROR(__xludf.DUMMYFUNCTION("""COMPUTED_VALUE"""),"RED FIBER PLAN 1400")</f>
        <v>RED FIBER PLAN 1400</v>
      </c>
      <c r="R99" s="1" t="str">
        <f>IFERROR(__xludf.DUMMYFUNCTION("""COMPUTED_VALUE"""),"APPROVED")</f>
        <v>APPROVED</v>
      </c>
      <c r="S99" s="1"/>
      <c r="T99" s="1"/>
      <c r="U99" s="1"/>
      <c r="V99" s="1"/>
      <c r="W99" s="1"/>
    </row>
    <row r="100" customHeight="1" spans="1:23">
      <c r="A100" s="3">
        <f>IFERROR(__xludf.DUMMYFUNCTION("""COMPUTED_VALUE"""),46031)</f>
        <v>46031</v>
      </c>
      <c r="B100" s="1" t="str">
        <f>IFERROR(__xludf.DUMMYFUNCTION("""COMPUTED_VALUE"""),"DELA ROSA, JENNELYN")</f>
        <v>DELA ROSA, JENNELYN</v>
      </c>
      <c r="C100" s="1" t="str">
        <f>IFERROR(__xludf.DUMMYFUNCTION("""COMPUTED_VALUE"""),"ORGANIC")</f>
        <v>ORGANIC</v>
      </c>
      <c r="D100" s="1" t="str">
        <f>IFERROR(__xludf.DUMMYFUNCTION("""COMPUTED_VALUE"""),"REMOLLO LEA")</f>
        <v>REMOLLO LEA</v>
      </c>
      <c r="E100" s="1" t="str">
        <f>IFERROR(__xludf.DUMMYFUNCTION("""COMPUTED_VALUE"""),"RED FIBER")</f>
        <v>RED FIBER</v>
      </c>
      <c r="F100" s="1"/>
      <c r="G100" s="1"/>
      <c r="H100" s="1" t="str">
        <f>IFERROR(__xludf.DUMMYFUNCTION("""COMPUTED_VALUE"""),"9499342785")</f>
        <v>9499342785</v>
      </c>
      <c r="I100" s="1"/>
      <c r="J100" s="1"/>
      <c r="K100" s="1" t="str">
        <f>IFERROR(__xludf.DUMMYFUNCTION("""COMPUTED_VALUE"""),"104")</f>
        <v>104</v>
      </c>
      <c r="L100" s="1" t="str">
        <f>IFERROR(__xludf.DUMMYFUNCTION("""COMPUTED_VALUE"""),"PUROK 3")</f>
        <v>PUROK 3</v>
      </c>
      <c r="M100" s="1"/>
      <c r="N100" s="1" t="str">
        <f>IFERROR(__xludf.DUMMYFUNCTION("""COMPUTED_VALUE"""),"BUHO")</f>
        <v>BUHO</v>
      </c>
      <c r="O100" s="1" t="str">
        <f>IFERROR(__xludf.DUMMYFUNCTION("""COMPUTED_VALUE"""),"AMADEO")</f>
        <v>AMADEO</v>
      </c>
      <c r="P100" s="1" t="str">
        <f>IFERROR(__xludf.DUMMYFUNCTION("""COMPUTED_VALUE"""),"CAVITE")</f>
        <v>CAVITE</v>
      </c>
      <c r="Q100" s="1" t="str">
        <f>IFERROR(__xludf.DUMMYFUNCTION("""COMPUTED_VALUE"""),"RED FIBER PLAN 1400")</f>
        <v>RED FIBER PLAN 1400</v>
      </c>
      <c r="R100" s="1" t="str">
        <f>IFERROR(__xludf.DUMMYFUNCTION("""COMPUTED_VALUE"""),"APPROVED")</f>
        <v>APPROVED</v>
      </c>
      <c r="S100" s="1"/>
      <c r="T100" s="1"/>
      <c r="U100" s="1"/>
      <c r="V100" s="1"/>
      <c r="W100" s="1"/>
    </row>
    <row r="101" customHeight="1" spans="1:23">
      <c r="A101" s="3">
        <f>IFERROR(__xludf.DUMMYFUNCTION("""COMPUTED_VALUE"""),46031)</f>
        <v>46031</v>
      </c>
      <c r="B101" s="1" t="str">
        <f>IFERROR(__xludf.DUMMYFUNCTION("""COMPUTED_VALUE"""),"ALOS, CHARLS LAURENZ")</f>
        <v>ALOS, CHARLS LAURENZ</v>
      </c>
      <c r="C101" s="1" t="str">
        <f>IFERROR(__xludf.DUMMYFUNCTION("""COMPUTED_VALUE"""),"ORGANIC")</f>
        <v>ORGANIC</v>
      </c>
      <c r="D101" s="1" t="str">
        <f>IFERROR(__xludf.DUMMYFUNCTION("""COMPUTED_VALUE"""),"REMOLLO LEA")</f>
        <v>REMOLLO LEA</v>
      </c>
      <c r="E101" s="1" t="str">
        <f>IFERROR(__xludf.DUMMYFUNCTION("""COMPUTED_VALUE"""),"RED FIBER")</f>
        <v>RED FIBER</v>
      </c>
      <c r="F101" s="1"/>
      <c r="G101" s="1"/>
      <c r="H101" s="1" t="str">
        <f>IFERROR(__xludf.DUMMYFUNCTION("""COMPUTED_VALUE"""),"9452691886")</f>
        <v>9452691886</v>
      </c>
      <c r="I101" s="1"/>
      <c r="J101" s="1"/>
      <c r="K101" s="1" t="str">
        <f>IFERROR(__xludf.DUMMYFUNCTION("""COMPUTED_VALUE"""),"103A")</f>
        <v>103A</v>
      </c>
      <c r="L101" s="1" t="str">
        <f>IFERROR(__xludf.DUMMYFUNCTION("""COMPUTED_VALUE"""),"PUROK 3")</f>
        <v>PUROK 3</v>
      </c>
      <c r="M101" s="1"/>
      <c r="N101" s="1" t="str">
        <f>IFERROR(__xludf.DUMMYFUNCTION("""COMPUTED_VALUE"""),"BUHO")</f>
        <v>BUHO</v>
      </c>
      <c r="O101" s="1" t="str">
        <f>IFERROR(__xludf.DUMMYFUNCTION("""COMPUTED_VALUE"""),"AMADEO")</f>
        <v>AMADEO</v>
      </c>
      <c r="P101" s="1" t="str">
        <f>IFERROR(__xludf.DUMMYFUNCTION("""COMPUTED_VALUE"""),"CAVITE")</f>
        <v>CAVITE</v>
      </c>
      <c r="Q101" s="1" t="str">
        <f>IFERROR(__xludf.DUMMYFUNCTION("""COMPUTED_VALUE"""),"RED FIBER PLAN 1400")</f>
        <v>RED FIBER PLAN 1400</v>
      </c>
      <c r="R101" s="1" t="str">
        <f>IFERROR(__xludf.DUMMYFUNCTION("""COMPUTED_VALUE"""),"APPROVED")</f>
        <v>APPROVED</v>
      </c>
      <c r="S101" s="1"/>
      <c r="T101" s="1"/>
      <c r="U101" s="1"/>
      <c r="V101" s="1"/>
      <c r="W101" s="1"/>
    </row>
    <row r="102" customHeight="1" spans="1:23">
      <c r="A102" s="3">
        <f>IFERROR(__xludf.DUMMYFUNCTION("""COMPUTED_VALUE"""),46031)</f>
        <v>46031</v>
      </c>
      <c r="B102" s="1" t="str">
        <f>IFERROR(__xludf.DUMMYFUNCTION("""COMPUTED_VALUE"""),"GABAY, MANUEL")</f>
        <v>GABAY, MANUEL</v>
      </c>
      <c r="C102" s="1" t="str">
        <f>IFERROR(__xludf.DUMMYFUNCTION("""COMPUTED_VALUE"""),"FLA")</f>
        <v>FLA</v>
      </c>
      <c r="D102" s="1" t="str">
        <f>IFERROR(__xludf.DUMMYFUNCTION("""COMPUTED_VALUE"""),"JERIC NAVARRO")</f>
        <v>JERIC NAVARRO</v>
      </c>
      <c r="E102" s="1" t="str">
        <f>IFERROR(__xludf.DUMMYFUNCTION("""COMPUTED_VALUE"""),"PLDT")</f>
        <v>PLDT</v>
      </c>
      <c r="F102" s="1">
        <f>IFERROR(__xludf.DUMMYFUNCTION("""COMPUTED_VALUE"""),2306133082)</f>
        <v>2306133082</v>
      </c>
      <c r="G102" s="1"/>
      <c r="H102" s="1" t="str">
        <f>IFERROR(__xludf.DUMMYFUNCTION("""COMPUTED_VALUE"""),"9062801706")</f>
        <v>9062801706</v>
      </c>
      <c r="I102" s="1">
        <f>IFERROR(__xludf.DUMMYFUNCTION("""COMPUTED_VALUE"""),9776770013)</f>
        <v>9776770013</v>
      </c>
      <c r="J102" s="1"/>
      <c r="K102" s="1" t="str">
        <f>IFERROR(__xludf.DUMMYFUNCTION("""COMPUTED_VALUE"""),"241")</f>
        <v>241</v>
      </c>
      <c r="L102" s="1" t="str">
        <f>IFERROR(__xludf.DUMMYFUNCTION("""COMPUTED_VALUE"""),"PUROK 36")</f>
        <v>PUROK 36</v>
      </c>
      <c r="M102" s="1" t="str">
        <f>IFERROR(__xludf.DUMMYFUNCTION("""COMPUTED_VALUE"""),"MAGLABA DRIVE")</f>
        <v>MAGLABA DRIVE</v>
      </c>
      <c r="N102" s="1" t="str">
        <f>IFERROR(__xludf.DUMMYFUNCTION("""COMPUTED_VALUE"""),"GUINHAWA SOUTH")</f>
        <v>GUINHAWA SOUTH</v>
      </c>
      <c r="O102" s="1" t="str">
        <f>IFERROR(__xludf.DUMMYFUNCTION("""COMPUTED_VALUE"""),"TAGAYTAY")</f>
        <v>TAGAYTAY</v>
      </c>
      <c r="P102" s="1" t="str">
        <f>IFERROR(__xludf.DUMMYFUNCTION("""COMPUTED_VALUE"""),"CAVITE")</f>
        <v>CAVITE</v>
      </c>
      <c r="Q102" s="1" t="str">
        <f>IFERROR(__xludf.DUMMYFUNCTION("""COMPUTED_VALUE"""),"FIBR PLAN 1399")</f>
        <v>FIBR PLAN 1399</v>
      </c>
      <c r="R102" s="1" t="str">
        <f>IFERROR(__xludf.DUMMYFUNCTION("""COMPUTED_VALUE"""),"APPROVED")</f>
        <v>APPROVED</v>
      </c>
      <c r="S102" s="1"/>
      <c r="T102" s="1"/>
      <c r="U102" s="1"/>
      <c r="V102" s="1"/>
      <c r="W102" s="1"/>
    </row>
    <row r="103" customHeight="1" spans="1:23">
      <c r="A103" s="3">
        <f>IFERROR(__xludf.DUMMYFUNCTION("""COMPUTED_VALUE"""),46031)</f>
        <v>46031</v>
      </c>
      <c r="B103" s="1" t="str">
        <f>IFERROR(__xludf.DUMMYFUNCTION("""COMPUTED_VALUE"""),"DACALCAP RUBEN")</f>
        <v>DACALCAP RUBEN</v>
      </c>
      <c r="C103" s="1" t="str">
        <f>IFERROR(__xludf.DUMMYFUNCTION("""COMPUTED_VALUE"""),"FLA")</f>
        <v>FLA</v>
      </c>
      <c r="D103" s="1" t="str">
        <f>IFERROR(__xludf.DUMMYFUNCTION("""COMPUTED_VALUE"""),"JERIC NAVARRO")</f>
        <v>JERIC NAVARRO</v>
      </c>
      <c r="E103" s="1" t="str">
        <f>IFERROR(__xludf.DUMMYFUNCTION("""COMPUTED_VALUE"""),"PLDT")</f>
        <v>PLDT</v>
      </c>
      <c r="F103" s="1">
        <f>IFERROR(__xludf.DUMMYFUNCTION("""COMPUTED_VALUE"""),2306133764)</f>
        <v>2306133764</v>
      </c>
      <c r="G103" s="1"/>
      <c r="H103" s="1" t="str">
        <f>IFERROR(__xludf.DUMMYFUNCTION("""COMPUTED_VALUE"""),"9178931307")</f>
        <v>9178931307</v>
      </c>
      <c r="I103" s="1">
        <f>IFERROR(__xludf.DUMMYFUNCTION("""COMPUTED_VALUE"""),9186536823)</f>
        <v>9186536823</v>
      </c>
      <c r="J103" s="1"/>
      <c r="K103" s="1" t="str">
        <f>IFERROR(__xludf.DUMMYFUNCTION("""COMPUTED_VALUE"""),"9867")</f>
        <v>9867</v>
      </c>
      <c r="L103" s="1" t="str">
        <f>IFERROR(__xludf.DUMMYFUNCTION("""COMPUTED_VALUE"""),"DON JUAN")</f>
        <v>DON JUAN</v>
      </c>
      <c r="M103" s="1"/>
      <c r="N103" s="1" t="str">
        <f>IFERROR(__xludf.DUMMYFUNCTION("""COMPUTED_VALUE"""),"SAN MIGUEL II")</f>
        <v>SAN MIGUEL II</v>
      </c>
      <c r="O103" s="1" t="str">
        <f>IFERROR(__xludf.DUMMYFUNCTION("""COMPUTED_VALUE"""),"SILANG")</f>
        <v>SILANG</v>
      </c>
      <c r="P103" s="1" t="str">
        <f>IFERROR(__xludf.DUMMYFUNCTION("""COMPUTED_VALUE"""),"CAVITE")</f>
        <v>CAVITE</v>
      </c>
      <c r="Q103" s="1" t="str">
        <f>IFERROR(__xludf.DUMMYFUNCTION("""COMPUTED_VALUE"""),"FIBR PLAN 1699")</f>
        <v>FIBR PLAN 1699</v>
      </c>
      <c r="R103" s="1" t="str">
        <f>IFERROR(__xludf.DUMMYFUNCTION("""COMPUTED_VALUE"""),"APPROVED")</f>
        <v>APPROVED</v>
      </c>
      <c r="S103" s="1"/>
      <c r="T103" s="1"/>
      <c r="U103" s="1"/>
      <c r="V103" s="1"/>
      <c r="W103" s="1"/>
    </row>
    <row r="104" customHeight="1" spans="1:23">
      <c r="A104" s="3">
        <f>IFERROR(__xludf.DUMMYFUNCTION("""COMPUTED_VALUE"""),46031)</f>
        <v>46031</v>
      </c>
      <c r="B104" s="1" t="str">
        <f>IFERROR(__xludf.DUMMYFUNCTION("""COMPUTED_VALUE"""),"OPS SIR BETZ")</f>
        <v>OPS SIR BETZ</v>
      </c>
      <c r="C104" s="1" t="str">
        <f>IFERROR(__xludf.DUMMYFUNCTION("""COMPUTED_VALUE"""),"FLA")</f>
        <v>FLA</v>
      </c>
      <c r="D104" s="1" t="str">
        <f>IFERROR(__xludf.DUMMYFUNCTION("""COMPUTED_VALUE"""),"JERIC NAVARRO")</f>
        <v>JERIC NAVARRO</v>
      </c>
      <c r="E104" s="1" t="str">
        <f>IFERROR(__xludf.DUMMYFUNCTION("""COMPUTED_VALUE"""),"PLDT")</f>
        <v>PLDT</v>
      </c>
      <c r="F104" s="1">
        <f>IFERROR(__xludf.DUMMYFUNCTION("""COMPUTED_VALUE"""),2306134314)</f>
        <v>2306134314</v>
      </c>
      <c r="G104" s="1"/>
      <c r="H104" s="1" t="str">
        <f>IFERROR(__xludf.DUMMYFUNCTION("""COMPUTED_VALUE"""),"9166646990")</f>
        <v>9166646990</v>
      </c>
      <c r="I104" s="1">
        <f>IFERROR(__xludf.DUMMYFUNCTION("""COMPUTED_VALUE"""),9538862530)</f>
        <v>9538862530</v>
      </c>
      <c r="J104" s="1"/>
      <c r="K104" s="1" t="str">
        <f>IFERROR(__xludf.DUMMYFUNCTION("""COMPUTED_VALUE"""),"1430")</f>
        <v>1430</v>
      </c>
      <c r="L104" s="1" t="str">
        <f>IFERROR(__xludf.DUMMYFUNCTION("""COMPUTED_VALUE"""),"TULAY SILANGAN")</f>
        <v>TULAY SILANGAN</v>
      </c>
      <c r="M104" s="1"/>
      <c r="N104" s="1" t="str">
        <f>IFERROR(__xludf.DUMMYFUNCTION("""COMPUTED_VALUE"""),"TULAY SILANGAN")</f>
        <v>TULAY SILANGAN</v>
      </c>
      <c r="O104" s="1" t="str">
        <f>IFERROR(__xludf.DUMMYFUNCTION("""COMPUTED_VALUE"""),"MARAGONDON")</f>
        <v>MARAGONDON</v>
      </c>
      <c r="P104" s="1" t="str">
        <f>IFERROR(__xludf.DUMMYFUNCTION("""COMPUTED_VALUE"""),"CAVITE")</f>
        <v>CAVITE</v>
      </c>
      <c r="Q104" s="1" t="str">
        <f>IFERROR(__xludf.DUMMYFUNCTION("""COMPUTED_VALUE"""),"FIBR PLAN 1599")</f>
        <v>FIBR PLAN 1599</v>
      </c>
      <c r="R104" s="1" t="str">
        <f>IFERROR(__xludf.DUMMYFUNCTION("""COMPUTED_VALUE"""),"APPROVED")</f>
        <v>APPROVED</v>
      </c>
      <c r="S104" s="1"/>
      <c r="T104" s="1"/>
      <c r="U104" s="1"/>
      <c r="V104" s="1"/>
      <c r="W104" s="1"/>
    </row>
    <row r="105" customHeight="1" spans="1:23">
      <c r="A105" s="3">
        <f>IFERROR(__xludf.DUMMYFUNCTION("""COMPUTED_VALUE"""),46031)</f>
        <v>46031</v>
      </c>
      <c r="B105" s="1" t="str">
        <f>IFERROR(__xludf.DUMMYFUNCTION("""COMPUTED_VALUE"""),"DELA ROSA, JENNELYN")</f>
        <v>DELA ROSA, JENNELYN</v>
      </c>
      <c r="C105" s="1" t="str">
        <f>IFERROR(__xludf.DUMMYFUNCTION("""COMPUTED_VALUE"""),"ORGANIC")</f>
        <v>ORGANIC</v>
      </c>
      <c r="D105" s="1" t="str">
        <f>IFERROR(__xludf.DUMMYFUNCTION("""COMPUTED_VALUE"""),"ILANO MARK")</f>
        <v>ILANO MARK</v>
      </c>
      <c r="E105" s="1" t="str">
        <f>IFERROR(__xludf.DUMMYFUNCTION("""COMPUTED_VALUE"""),"PLDT")</f>
        <v>PLDT</v>
      </c>
      <c r="F105" s="1">
        <f>IFERROR(__xludf.DUMMYFUNCTION("""COMPUTED_VALUE"""),2306133884)</f>
        <v>2306133884</v>
      </c>
      <c r="G105" s="1"/>
      <c r="H105" s="1" t="str">
        <f>IFERROR(__xludf.DUMMYFUNCTION("""COMPUTED_VALUE"""),"9386265644")</f>
        <v>9386265644</v>
      </c>
      <c r="I105" s="1"/>
      <c r="J105" s="1"/>
      <c r="K105" s="1" t="str">
        <f>IFERROR(__xludf.DUMMYFUNCTION("""COMPUTED_VALUE"""),"BLK 8 LOT 4")</f>
        <v>BLK 8 LOT 4</v>
      </c>
      <c r="L105" s="1" t="str">
        <f>IFERROR(__xludf.DUMMYFUNCTION("""COMPUTED_VALUE"""),"POBLACION RD")</f>
        <v>POBLACION RD</v>
      </c>
      <c r="M105" s="1"/>
      <c r="N105" s="1" t="str">
        <f>IFERROR(__xludf.DUMMYFUNCTION("""COMPUTED_VALUE"""),"POBLACION II")</f>
        <v>POBLACION II</v>
      </c>
      <c r="O105" s="1" t="str">
        <f>IFERROR(__xludf.DUMMYFUNCTION("""COMPUTED_VALUE"""),"GEN MARIANO ALVAREZ")</f>
        <v>GEN MARIANO ALVAREZ</v>
      </c>
      <c r="P105" s="1" t="str">
        <f>IFERROR(__xludf.DUMMYFUNCTION("""COMPUTED_VALUE"""),"CAVITE")</f>
        <v>CAVITE</v>
      </c>
      <c r="Q105" s="1" t="str">
        <f>IFERROR(__xludf.DUMMYFUNCTION("""COMPUTED_VALUE"""),"FIBR PLAN 1399")</f>
        <v>FIBR PLAN 1399</v>
      </c>
      <c r="R105" s="1" t="str">
        <f>IFERROR(__xludf.DUMMYFUNCTION("""COMPUTED_VALUE"""),"APPROVED")</f>
        <v>APPROVED</v>
      </c>
      <c r="S105" s="1"/>
      <c r="T105" s="1"/>
      <c r="U105" s="1"/>
      <c r="V105" s="1"/>
      <c r="W105" s="1"/>
    </row>
    <row r="106" customHeight="1" spans="1:23">
      <c r="A106" s="3">
        <f>IFERROR(__xludf.DUMMYFUNCTION("""COMPUTED_VALUE"""),46031)</f>
        <v>46031</v>
      </c>
      <c r="B106" s="1" t="str">
        <f>IFERROR(__xludf.DUMMYFUNCTION("""COMPUTED_VALUE"""),"DAROG, ANDREA")</f>
        <v>DAROG, ANDREA</v>
      </c>
      <c r="C106" s="1" t="str">
        <f>IFERROR(__xludf.DUMMYFUNCTION("""COMPUTED_VALUE"""),"ORGANIC")</f>
        <v>ORGANIC</v>
      </c>
      <c r="D106" s="1" t="str">
        <f>IFERROR(__xludf.DUMMYFUNCTION("""COMPUTED_VALUE"""),"ILANO MARK")</f>
        <v>ILANO MARK</v>
      </c>
      <c r="E106" s="1" t="str">
        <f>IFERROR(__xludf.DUMMYFUNCTION("""COMPUTED_VALUE"""),"PLDT")</f>
        <v>PLDT</v>
      </c>
      <c r="F106" s="1">
        <f>IFERROR(__xludf.DUMMYFUNCTION("""COMPUTED_VALUE"""),2306134097)</f>
        <v>2306134097</v>
      </c>
      <c r="G106" s="1"/>
      <c r="H106" s="1" t="str">
        <f>IFERROR(__xludf.DUMMYFUNCTION("""COMPUTED_VALUE"""),"9120150241")</f>
        <v>9120150241</v>
      </c>
      <c r="I106" s="1">
        <f>IFERROR(__xludf.DUMMYFUNCTION("""COMPUTED_VALUE"""),9709890844)</f>
        <v>9709890844</v>
      </c>
      <c r="J106" s="1"/>
      <c r="K106" s="1" t="str">
        <f>IFERROR(__xludf.DUMMYFUNCTION("""COMPUTED_VALUE"""),"BLK 4 LOT 25")</f>
        <v>BLK 4 LOT 25</v>
      </c>
      <c r="L106" s="1" t="str">
        <f>IFERROR(__xludf.DUMMYFUNCTION("""COMPUTED_VALUE"""),"TEACHERS VILLAGE")</f>
        <v>TEACHERS VILLAGE</v>
      </c>
      <c r="M106" s="1"/>
      <c r="N106" s="1" t="str">
        <f>IFERROR(__xludf.DUMMYFUNCTION("""COMPUTED_VALUE"""),"POBLACION II")</f>
        <v>POBLACION II</v>
      </c>
      <c r="O106" s="1" t="str">
        <f>IFERROR(__xludf.DUMMYFUNCTION("""COMPUTED_VALUE"""),"GEN MARIANO ALVAREZ")</f>
        <v>GEN MARIANO ALVAREZ</v>
      </c>
      <c r="P106" s="1" t="str">
        <f>IFERROR(__xludf.DUMMYFUNCTION("""COMPUTED_VALUE"""),"CAVITE")</f>
        <v>CAVITE</v>
      </c>
      <c r="Q106" s="1" t="str">
        <f>IFERROR(__xludf.DUMMYFUNCTION("""COMPUTED_VALUE"""),"PREPAID 999")</f>
        <v>PREPAID 999</v>
      </c>
      <c r="R106" s="1" t="str">
        <f>IFERROR(__xludf.DUMMYFUNCTION("""COMPUTED_VALUE"""),"APPROVED")</f>
        <v>APPROVED</v>
      </c>
      <c r="S106" s="1"/>
      <c r="T106" s="1"/>
      <c r="U106" s="1"/>
      <c r="V106" s="1"/>
      <c r="W106" s="1"/>
    </row>
    <row r="107" customHeight="1" spans="1:23">
      <c r="A107" s="3">
        <f>IFERROR(__xludf.DUMMYFUNCTION("""COMPUTED_VALUE"""),46032)</f>
        <v>46032</v>
      </c>
      <c r="B107" s="1" t="str">
        <f>IFERROR(__xludf.DUMMYFUNCTION("""COMPUTED_VALUE"""),"ESCARCHA, MA ALMA  ESCOTO")</f>
        <v>ESCARCHA, MA ALMA  ESCOTO</v>
      </c>
      <c r="C107" s="1" t="str">
        <f>IFERROR(__xludf.DUMMYFUNCTION("""COMPUTED_VALUE"""),"ORGANIC")</f>
        <v>ORGANIC</v>
      </c>
      <c r="D107" s="1" t="str">
        <f>IFERROR(__xludf.DUMMYFUNCTION("""COMPUTED_VALUE"""),"JERIC NAVARRO")</f>
        <v>JERIC NAVARRO</v>
      </c>
      <c r="E107" s="1" t="str">
        <f>IFERROR(__xludf.DUMMYFUNCTION("""COMPUTED_VALUE"""),"PLDT")</f>
        <v>PLDT</v>
      </c>
      <c r="F107" s="1">
        <f>IFERROR(__xludf.DUMMYFUNCTION("""COMPUTED_VALUE"""),2306147231)</f>
        <v>2306147231</v>
      </c>
      <c r="G107" s="1"/>
      <c r="H107" s="1" t="str">
        <f>IFERROR(__xludf.DUMMYFUNCTION("""COMPUTED_VALUE"""),"9391461601")</f>
        <v>9391461601</v>
      </c>
      <c r="I107" s="1">
        <f>IFERROR(__xludf.DUMMYFUNCTION("""COMPUTED_VALUE"""),9953864408)</f>
        <v>9953864408</v>
      </c>
      <c r="J107" s="1"/>
      <c r="K107" s="1" t="str">
        <f>IFERROR(__xludf.DUMMYFUNCTION("""COMPUTED_VALUE"""),"118")</f>
        <v>118</v>
      </c>
      <c r="L107" s="1" t="str">
        <f>IFERROR(__xludf.DUMMYFUNCTION("""COMPUTED_VALUE"""),"LUCIONO RD")</f>
        <v>LUCIONO RD</v>
      </c>
      <c r="M107" s="1"/>
      <c r="N107" s="1" t="str">
        <f>IFERROR(__xludf.DUMMYFUNCTION("""COMPUTED_VALUE"""),"LUCIANO (BITANGAN)")</f>
        <v>LUCIANO (BITANGAN)</v>
      </c>
      <c r="O107" s="1" t="str">
        <f>IFERROR(__xludf.DUMMYFUNCTION("""COMPUTED_VALUE"""),"TRECE MARTIREZ CITY")</f>
        <v>TRECE MARTIREZ CITY</v>
      </c>
      <c r="P107" s="1" t="str">
        <f>IFERROR(__xludf.DUMMYFUNCTION("""COMPUTED_VALUE"""),"CAVITE")</f>
        <v>CAVITE</v>
      </c>
      <c r="Q107" s="1" t="str">
        <f>IFERROR(__xludf.DUMMYFUNCTION("""COMPUTED_VALUE"""),"FIBR PLAN 1599")</f>
        <v>FIBR PLAN 1599</v>
      </c>
      <c r="R107" s="1" t="str">
        <f>IFERROR(__xludf.DUMMYFUNCTION("""COMPUTED_VALUE"""),"APPROVED")</f>
        <v>APPROVED</v>
      </c>
      <c r="S107" s="1"/>
      <c r="T107" s="1"/>
      <c r="U107" s="1"/>
      <c r="V107" s="1"/>
      <c r="W107" s="1"/>
    </row>
    <row r="108" customHeight="1" spans="1:23">
      <c r="A108" s="3">
        <f>IFERROR(__xludf.DUMMYFUNCTION("""COMPUTED_VALUE"""),46032)</f>
        <v>46032</v>
      </c>
      <c r="B108" s="1" t="str">
        <f>IFERROR(__xludf.DUMMYFUNCTION("""COMPUTED_VALUE"""),"AYON MANUEL")</f>
        <v>AYON MANUEL</v>
      </c>
      <c r="C108" s="1" t="str">
        <f>IFERROR(__xludf.DUMMYFUNCTION("""COMPUTED_VALUE"""),"FLA")</f>
        <v>FLA</v>
      </c>
      <c r="D108" s="1" t="str">
        <f>IFERROR(__xludf.DUMMYFUNCTION("""COMPUTED_VALUE"""),"JERIC NAVARRO")</f>
        <v>JERIC NAVARRO</v>
      </c>
      <c r="E108" s="1" t="str">
        <f>IFERROR(__xludf.DUMMYFUNCTION("""COMPUTED_VALUE"""),"PLDT")</f>
        <v>PLDT</v>
      </c>
      <c r="F108" s="1">
        <f>IFERROR(__xludf.DUMMYFUNCTION("""COMPUTED_VALUE"""),2306148477)</f>
        <v>2306148477</v>
      </c>
      <c r="G108" s="1"/>
      <c r="H108" s="1" t="str">
        <f>IFERROR(__xludf.DUMMYFUNCTION("""COMPUTED_VALUE"""),"9553470048")</f>
        <v>9553470048</v>
      </c>
      <c r="I108" s="1">
        <f>IFERROR(__xludf.DUMMYFUNCTION("""COMPUTED_VALUE"""),9363805021)</f>
        <v>9363805021</v>
      </c>
      <c r="J108" s="1"/>
      <c r="K108" s="1" t="str">
        <f>IFERROR(__xludf.DUMMYFUNCTION("""COMPUTED_VALUE"""),"178")</f>
        <v>178</v>
      </c>
      <c r="L108" s="1" t="str">
        <f>IFERROR(__xludf.DUMMYFUNCTION("""COMPUTED_VALUE"""),"PUROK 4")</f>
        <v>PUROK 4</v>
      </c>
      <c r="M108" s="1"/>
      <c r="N108" s="1" t="str">
        <f>IFERROR(__xludf.DUMMYFUNCTION("""COMPUTED_VALUE"""),"ESPERANZA ILAYA")</f>
        <v>ESPERANZA ILAYA</v>
      </c>
      <c r="O108" s="1" t="str">
        <f>IFERROR(__xludf.DUMMYFUNCTION("""COMPUTED_VALUE"""),"ALFONSO")</f>
        <v>ALFONSO</v>
      </c>
      <c r="P108" s="1" t="str">
        <f>IFERROR(__xludf.DUMMYFUNCTION("""COMPUTED_VALUE"""),"CAVITE")</f>
        <v>CAVITE</v>
      </c>
      <c r="Q108" s="1" t="str">
        <f>IFERROR(__xludf.DUMMYFUNCTION("""COMPUTED_VALUE"""),"FIBR PLAN 1299")</f>
        <v>FIBR PLAN 1299</v>
      </c>
      <c r="R108" s="1" t="str">
        <f>IFERROR(__xludf.DUMMYFUNCTION("""COMPUTED_VALUE"""),"APPROVED")</f>
        <v>APPROVED</v>
      </c>
      <c r="S108" s="1"/>
      <c r="T108" s="1"/>
      <c r="U108" s="1"/>
      <c r="V108" s="1"/>
      <c r="W108" s="1"/>
    </row>
    <row r="109" customHeight="1" spans="1:23">
      <c r="A109" s="3">
        <f>IFERROR(__xludf.DUMMYFUNCTION("""COMPUTED_VALUE"""),46032)</f>
        <v>46032</v>
      </c>
      <c r="B109" s="1" t="str">
        <f>IFERROR(__xludf.DUMMYFUNCTION("""COMPUTED_VALUE"""),"LANZA, ANNALYN")</f>
        <v>LANZA, ANNALYN</v>
      </c>
      <c r="C109" s="1" t="str">
        <f>IFERROR(__xludf.DUMMYFUNCTION("""COMPUTED_VALUE"""),"ORGANIC")</f>
        <v>ORGANIC</v>
      </c>
      <c r="D109" s="1" t="str">
        <f>IFERROR(__xludf.DUMMYFUNCTION("""COMPUTED_VALUE"""),"ILANO MARK")</f>
        <v>ILANO MARK</v>
      </c>
      <c r="E109" s="1" t="str">
        <f>IFERROR(__xludf.DUMMYFUNCTION("""COMPUTED_VALUE"""),"PLDT")</f>
        <v>PLDT</v>
      </c>
      <c r="F109" s="1">
        <f>IFERROR(__xludf.DUMMYFUNCTION("""COMPUTED_VALUE"""),2306148483)</f>
        <v>2306148483</v>
      </c>
      <c r="G109" s="1"/>
      <c r="H109" s="1" t="str">
        <f>IFERROR(__xludf.DUMMYFUNCTION("""COMPUTED_VALUE"""),"9614416020")</f>
        <v>9614416020</v>
      </c>
      <c r="I109" s="1">
        <f>IFERROR(__xludf.DUMMYFUNCTION("""COMPUTED_VALUE"""),9268493833)</f>
        <v>9268493833</v>
      </c>
      <c r="J109" s="1"/>
      <c r="K109" s="1" t="str">
        <f>IFERROR(__xludf.DUMMYFUNCTION("""COMPUTED_VALUE"""),"BLK 19 LOT 58")</f>
        <v>BLK 19 LOT 58</v>
      </c>
      <c r="L109" s="1" t="str">
        <f>IFERROR(__xludf.DUMMYFUNCTION("""COMPUTED_VALUE"""),"FLOWER PECKER ")</f>
        <v>FLOWER PECKER </v>
      </c>
      <c r="M109" s="1" t="str">
        <f>IFERROR(__xludf.DUMMYFUNCTION("""COMPUTED_VALUE"""),"TIERA VISTA")</f>
        <v>TIERA VISTA</v>
      </c>
      <c r="N109" s="1" t="str">
        <f>IFERROR(__xludf.DUMMYFUNCTION("""COMPUTED_VALUE"""),"LANGKAAN I")</f>
        <v>LANGKAAN I</v>
      </c>
      <c r="O109" s="1" t="str">
        <f>IFERROR(__xludf.DUMMYFUNCTION("""COMPUTED_VALUE"""),"DASMARINAS")</f>
        <v>DASMARINAS</v>
      </c>
      <c r="P109" s="1" t="str">
        <f>IFERROR(__xludf.DUMMYFUNCTION("""COMPUTED_VALUE"""),"CAVITE")</f>
        <v>CAVITE</v>
      </c>
      <c r="Q109" s="1" t="str">
        <f>IFERROR(__xludf.DUMMYFUNCTION("""COMPUTED_VALUE"""),"SWITCH PLAN 1399")</f>
        <v>SWITCH PLAN 1399</v>
      </c>
      <c r="R109" s="1" t="str">
        <f>IFERROR(__xludf.DUMMYFUNCTION("""COMPUTED_VALUE"""),"APPROVED")</f>
        <v>APPROVED</v>
      </c>
      <c r="S109" s="1"/>
      <c r="T109" s="1"/>
      <c r="U109" s="1"/>
      <c r="V109" s="1"/>
      <c r="W109" s="1"/>
    </row>
    <row r="110" customHeight="1" spans="1:23">
      <c r="A110" s="3">
        <f>IFERROR(__xludf.DUMMYFUNCTION("""COMPUTED_VALUE"""),46032)</f>
        <v>46032</v>
      </c>
      <c r="B110" s="1" t="str">
        <f>IFERROR(__xludf.DUMMYFUNCTION("""COMPUTED_VALUE"""),"LEADSTORE - ILANO, LIANDRO TEJAS")</f>
        <v>LEADSTORE - ILANO, LIANDRO TEJAS</v>
      </c>
      <c r="C110" s="1" t="str">
        <f>IFERROR(__xludf.DUMMYFUNCTION("""COMPUTED_VALUE"""),"FLA")</f>
        <v>FLA</v>
      </c>
      <c r="D110" s="1" t="str">
        <f>IFERROR(__xludf.DUMMYFUNCTION("""COMPUTED_VALUE"""),"JERIC NAVARRO")</f>
        <v>JERIC NAVARRO</v>
      </c>
      <c r="E110" s="1" t="str">
        <f>IFERROR(__xludf.DUMMYFUNCTION("""COMPUTED_VALUE"""),"PLDT")</f>
        <v>PLDT</v>
      </c>
      <c r="F110" s="1">
        <f>IFERROR(__xludf.DUMMYFUNCTION("""COMPUTED_VALUE"""),2306148483)</f>
        <v>2306148483</v>
      </c>
      <c r="G110" s="1"/>
      <c r="H110" s="1" t="str">
        <f>IFERROR(__xludf.DUMMYFUNCTION("""COMPUTED_VALUE"""),"9531002954")</f>
        <v>9531002954</v>
      </c>
      <c r="I110" s="1"/>
      <c r="J110" s="1"/>
      <c r="K110" s="1" t="str">
        <f>IFERROR(__xludf.DUMMYFUNCTION("""COMPUTED_VALUE"""),"BLK 46 LOT 8")</f>
        <v>BLK 46 LOT 8</v>
      </c>
      <c r="L110" s="1" t="str">
        <f>IFERROR(__xludf.DUMMYFUNCTION("""COMPUTED_VALUE"""),"PHASE 2")</f>
        <v>PHASE 2</v>
      </c>
      <c r="M110" s="1" t="str">
        <f>IFERROR(__xludf.DUMMYFUNCTION("""COMPUTED_VALUE"""),"VILLA APOLONIO")</f>
        <v>VILLA APOLONIO</v>
      </c>
      <c r="N110" s="1" t="str">
        <f>IFERROR(__xludf.DUMMYFUNCTION("""COMPUTED_VALUE"""),"IBAYO SILANGAN")</f>
        <v>IBAYO SILANGAN</v>
      </c>
      <c r="O110" s="1" t="str">
        <f>IFERROR(__xludf.DUMMYFUNCTION("""COMPUTED_VALUE"""),"NAIC")</f>
        <v>NAIC</v>
      </c>
      <c r="P110" s="1" t="str">
        <f>IFERROR(__xludf.DUMMYFUNCTION("""COMPUTED_VALUE"""),"CAVITE")</f>
        <v>CAVITE</v>
      </c>
      <c r="Q110" s="1" t="str">
        <f>IFERROR(__xludf.DUMMYFUNCTION("""COMPUTED_VALUE"""),"FIBR PLAN 3199")</f>
        <v>FIBR PLAN 3199</v>
      </c>
      <c r="R110" s="1" t="str">
        <f>IFERROR(__xludf.DUMMYFUNCTION("""COMPUTED_VALUE"""),"APPROVED")</f>
        <v>APPROVED</v>
      </c>
      <c r="S110" s="1"/>
      <c r="T110" s="1"/>
      <c r="U110" s="1"/>
      <c r="V110" s="1"/>
      <c r="W110" s="1"/>
    </row>
    <row r="111" customHeight="1" spans="1:23">
      <c r="A111" s="3">
        <f>IFERROR(__xludf.DUMMYFUNCTION("""COMPUTED_VALUE"""),46032)</f>
        <v>46032</v>
      </c>
      <c r="B111" s="1" t="str">
        <f>IFERROR(__xludf.DUMMYFUNCTION("""COMPUTED_VALUE"""),"DELA ROSA, JENNELYN")</f>
        <v>DELA ROSA, JENNELYN</v>
      </c>
      <c r="C111" s="1" t="str">
        <f>IFERROR(__xludf.DUMMYFUNCTION("""COMPUTED_VALUE"""),"ORGANIC")</f>
        <v>ORGANIC</v>
      </c>
      <c r="D111" s="1" t="str">
        <f>IFERROR(__xludf.DUMMYFUNCTION("""COMPUTED_VALUE"""),"ILANO MARK")</f>
        <v>ILANO MARK</v>
      </c>
      <c r="E111" s="1" t="str">
        <f>IFERROR(__xludf.DUMMYFUNCTION("""COMPUTED_VALUE"""),"HOME BIZZ")</f>
        <v>HOME BIZZ</v>
      </c>
      <c r="F111" s="1"/>
      <c r="G111" s="1"/>
      <c r="H111" s="1" t="str">
        <f>IFERROR(__xludf.DUMMYFUNCTION("""COMPUTED_VALUE"""),"9213993366")</f>
        <v>9213993366</v>
      </c>
      <c r="I111" s="1"/>
      <c r="J111" s="1"/>
      <c r="K111" s="1" t="str">
        <f>IFERROR(__xludf.DUMMYFUNCTION("""COMPUTED_VALUE"""),"BLK 4 LOT 9")</f>
        <v>BLK 4 LOT 9</v>
      </c>
      <c r="L111" s="1" t="str">
        <f>IFERROR(__xludf.DUMMYFUNCTION("""COMPUTED_VALUE"""),"ILOCOS ST")</f>
        <v>ILOCOS ST</v>
      </c>
      <c r="M111" s="1"/>
      <c r="N111" s="1" t="str">
        <f>IFERROR(__xludf.DUMMYFUNCTION("""COMPUTED_VALUE"""),"GAVINO MADERAN")</f>
        <v>GAVINO MADERAN</v>
      </c>
      <c r="O111" s="1" t="str">
        <f>IFERROR(__xludf.DUMMYFUNCTION("""COMPUTED_VALUE"""),"GEN MARIANO ALVAREZ")</f>
        <v>GEN MARIANO ALVAREZ</v>
      </c>
      <c r="P111" s="1" t="str">
        <f>IFERROR(__xludf.DUMMYFUNCTION("""COMPUTED_VALUE"""),"CAVITE")</f>
        <v>CAVITE</v>
      </c>
      <c r="Q111" s="1" t="str">
        <f>IFERROR(__xludf.DUMMYFUNCTION("""COMPUTED_VALUE"""),"HOMEBIZZ 1299")</f>
        <v>HOMEBIZZ 1299</v>
      </c>
      <c r="R111" s="1" t="str">
        <f>IFERROR(__xludf.DUMMYFUNCTION("""COMPUTED_VALUE"""),"RETURN FOR COMPLIANCE - AGENT")</f>
        <v>RETURN FOR COMPLIANCE - AGENT</v>
      </c>
      <c r="S111" s="1" t="str">
        <f>IFERROR(__xludf.DUMMYFUNCTION("""COMPUTED_VALUE"""),"PLS PROVIDE POP")</f>
        <v>PLS PROVIDE POP</v>
      </c>
      <c r="T111" s="1"/>
      <c r="U111" s="1"/>
      <c r="V111" s="1"/>
      <c r="W111" s="1"/>
    </row>
    <row r="112" customHeight="1" spans="1:23">
      <c r="A112" s="3">
        <f>IFERROR(__xludf.DUMMYFUNCTION("""COMPUTED_VALUE"""),46032)</f>
        <v>46032</v>
      </c>
      <c r="B112" s="1" t="str">
        <f>IFERROR(__xludf.DUMMYFUNCTION("""COMPUTED_VALUE"""),"CADERAO, RONALD")</f>
        <v>CADERAO, RONALD</v>
      </c>
      <c r="C112" s="1" t="str">
        <f>IFERROR(__xludf.DUMMYFUNCTION("""COMPUTED_VALUE"""),"ORGANIC")</f>
        <v>ORGANIC</v>
      </c>
      <c r="D112" s="1" t="str">
        <f>IFERROR(__xludf.DUMMYFUNCTION("""COMPUTED_VALUE"""),"ILANO MARK")</f>
        <v>ILANO MARK</v>
      </c>
      <c r="E112" s="1" t="str">
        <f>IFERROR(__xludf.DUMMYFUNCTION("""COMPUTED_VALUE"""),"PLDT")</f>
        <v>PLDT</v>
      </c>
      <c r="F112" s="1">
        <f>IFERROR(__xludf.DUMMYFUNCTION("""COMPUTED_VALUE"""),2306152914)</f>
        <v>2306152914</v>
      </c>
      <c r="G112" s="1"/>
      <c r="H112" s="1" t="str">
        <f>IFERROR(__xludf.DUMMYFUNCTION("""COMPUTED_VALUE"""),"9293221593")</f>
        <v>9293221593</v>
      </c>
      <c r="I112" s="1"/>
      <c r="J112" s="1"/>
      <c r="K112" s="1" t="str">
        <f>IFERROR(__xludf.DUMMYFUNCTION("""COMPUTED_VALUE"""),"9675")</f>
        <v>9675</v>
      </c>
      <c r="L112" s="1" t="str">
        <f>IFERROR(__xludf.DUMMYFUNCTION("""COMPUTED_VALUE"""),"PANUNGYAN ALFONSO RD")</f>
        <v>PANUNGYAN ALFONSO RD</v>
      </c>
      <c r="M112" s="1"/>
      <c r="N112" s="1" t="str">
        <f>IFERROR(__xludf.DUMMYFUNCTION("""COMPUTED_VALUE"""),"GALICIA II")</f>
        <v>GALICIA II</v>
      </c>
      <c r="O112" s="1" t="str">
        <f>IFERROR(__xludf.DUMMYFUNCTION("""COMPUTED_VALUE"""),"MENDEZ")</f>
        <v>MENDEZ</v>
      </c>
      <c r="P112" s="1" t="str">
        <f>IFERROR(__xludf.DUMMYFUNCTION("""COMPUTED_VALUE"""),"CAVITE")</f>
        <v>CAVITE</v>
      </c>
      <c r="Q112" s="1" t="str">
        <f>IFERROR(__xludf.DUMMYFUNCTION("""COMPUTED_VALUE"""),"FIBR PLAN 1399")</f>
        <v>FIBR PLAN 1399</v>
      </c>
      <c r="R112" s="1" t="str">
        <f>IFERROR(__xludf.DUMMYFUNCTION("""COMPUTED_VALUE"""),"APPROVED")</f>
        <v>APPROVED</v>
      </c>
      <c r="S112" s="1"/>
      <c r="T112" s="1"/>
      <c r="U112" s="1"/>
      <c r="V112" s="1"/>
      <c r="W112" s="1"/>
    </row>
    <row r="113" customHeight="1" spans="1:23">
      <c r="A113" s="3">
        <f>IFERROR(__xludf.DUMMYFUNCTION("""COMPUTED_VALUE"""),46032)</f>
        <v>46032</v>
      </c>
      <c r="B113" s="1" t="str">
        <f>IFERROR(__xludf.DUMMYFUNCTION("""COMPUTED_VALUE"""),"LANZA, ANNALYN")</f>
        <v>LANZA, ANNALYN</v>
      </c>
      <c r="C113" s="1" t="str">
        <f>IFERROR(__xludf.DUMMYFUNCTION("""COMPUTED_VALUE"""),"ORGANIC")</f>
        <v>ORGANIC</v>
      </c>
      <c r="D113" s="1" t="str">
        <f>IFERROR(__xludf.DUMMYFUNCTION("""COMPUTED_VALUE"""),"ILANO MARK")</f>
        <v>ILANO MARK</v>
      </c>
      <c r="E113" s="1" t="str">
        <f>IFERROR(__xludf.DUMMYFUNCTION("""COMPUTED_VALUE"""),"PLDT")</f>
        <v>PLDT</v>
      </c>
      <c r="F113" s="1">
        <f>IFERROR(__xludf.DUMMYFUNCTION("""COMPUTED_VALUE"""),2306157178)</f>
        <v>2306157178</v>
      </c>
      <c r="G113" s="1"/>
      <c r="H113" s="1" t="str">
        <f>IFERROR(__xludf.DUMMYFUNCTION("""COMPUTED_VALUE"""),"9944688339")</f>
        <v>9944688339</v>
      </c>
      <c r="I113" s="1">
        <f>IFERROR(__xludf.DUMMYFUNCTION("""COMPUTED_VALUE"""),9556607053)</f>
        <v>9556607053</v>
      </c>
      <c r="J113" s="1"/>
      <c r="K113" s="1" t="str">
        <f>IFERROR(__xludf.DUMMYFUNCTION("""COMPUTED_VALUE"""),"84")</f>
        <v>84</v>
      </c>
      <c r="L113" s="1" t="str">
        <f>IFERROR(__xludf.DUMMYFUNCTION("""COMPUTED_VALUE"""),"SITIO SILANGAN")</f>
        <v>SITIO SILANGAN</v>
      </c>
      <c r="M113" s="1"/>
      <c r="N113" s="1"/>
      <c r="O113" s="1"/>
      <c r="P113" s="1" t="str">
        <f>IFERROR(__xludf.DUMMYFUNCTION("""COMPUTED_VALUE"""),"BATANGAS")</f>
        <v>BATANGAS</v>
      </c>
      <c r="Q113" s="1" t="str">
        <f>IFERROR(__xludf.DUMMYFUNCTION("""COMPUTED_VALUE"""),"FIBR PLAN 1399")</f>
        <v>FIBR PLAN 1399</v>
      </c>
      <c r="R113" s="1" t="str">
        <f>IFERROR(__xludf.DUMMYFUNCTION("""COMPUTED_VALUE"""),"ENDORSE/BATANGAS")</f>
        <v>ENDORSE/BATANGAS</v>
      </c>
      <c r="S113" s="1"/>
      <c r="T113" s="1"/>
      <c r="U113" s="1"/>
      <c r="V113" s="1"/>
      <c r="W113" s="1"/>
    </row>
    <row r="114" customHeight="1" spans="1:23">
      <c r="A114" s="3">
        <f>IFERROR(__xludf.DUMMYFUNCTION("""COMPUTED_VALUE"""),46032)</f>
        <v>46032</v>
      </c>
      <c r="B114" s="1" t="str">
        <f>IFERROR(__xludf.DUMMYFUNCTION("""COMPUTED_VALUE"""),"ALOS, CHARLS LAURENZ")</f>
        <v>ALOS, CHARLS LAURENZ</v>
      </c>
      <c r="C114" s="1" t="str">
        <f>IFERROR(__xludf.DUMMYFUNCTION("""COMPUTED_VALUE"""),"ORGANIC")</f>
        <v>ORGANIC</v>
      </c>
      <c r="D114" s="1" t="str">
        <f>IFERROR(__xludf.DUMMYFUNCTION("""COMPUTED_VALUE"""),"ILANO MARK")</f>
        <v>ILANO MARK</v>
      </c>
      <c r="E114" s="1" t="str">
        <f>IFERROR(__xludf.DUMMYFUNCTION("""COMPUTED_VALUE"""),"PLDT")</f>
        <v>PLDT</v>
      </c>
      <c r="F114" s="1">
        <f>IFERROR(__xludf.DUMMYFUNCTION("""COMPUTED_VALUE"""),2306153888)</f>
        <v>2306153888</v>
      </c>
      <c r="G114" s="1"/>
      <c r="H114" s="1" t="str">
        <f>IFERROR(__xludf.DUMMYFUNCTION("""COMPUTED_VALUE"""),"9559942242")</f>
        <v>9559942242</v>
      </c>
      <c r="I114" s="1">
        <f>IFERROR(__xludf.DUMMYFUNCTION("""COMPUTED_VALUE"""),9978046502)</f>
        <v>9978046502</v>
      </c>
      <c r="J114" s="1"/>
      <c r="K114" s="1" t="str">
        <f>IFERROR(__xludf.DUMMYFUNCTION("""COMPUTED_VALUE"""),"6589")</f>
        <v>6589</v>
      </c>
      <c r="L114" s="1" t="str">
        <f>IFERROR(__xludf.DUMMYFUNCTION("""COMPUTED_VALUE"""),"GUINHAWA")</f>
        <v>GUINHAWA</v>
      </c>
      <c r="M114" s="1"/>
      <c r="N114" s="1" t="str">
        <f>IFERROR(__xludf.DUMMYFUNCTION("""COMPUTED_VALUE"""),"GUINHAWA NORTH")</f>
        <v>GUINHAWA NORTH</v>
      </c>
      <c r="O114" s="1" t="str">
        <f>IFERROR(__xludf.DUMMYFUNCTION("""COMPUTED_VALUE"""),"TAGAYTAY")</f>
        <v>TAGAYTAY</v>
      </c>
      <c r="P114" s="1" t="str">
        <f>IFERROR(__xludf.DUMMYFUNCTION("""COMPUTED_VALUE"""),"CAVITE")</f>
        <v>CAVITE</v>
      </c>
      <c r="Q114" s="1" t="str">
        <f>IFERROR(__xludf.DUMMYFUNCTION("""COMPUTED_VALUE"""),"FIBR PLAN 1399")</f>
        <v>FIBR PLAN 1399</v>
      </c>
      <c r="R114" s="1" t="str">
        <f>IFERROR(__xludf.DUMMYFUNCTION("""COMPUTED_VALUE"""),"APPROVED")</f>
        <v>APPROVED</v>
      </c>
      <c r="S114" s="1"/>
      <c r="T114" s="1"/>
      <c r="U114" s="1"/>
      <c r="V114" s="1"/>
      <c r="W114" s="1"/>
    </row>
    <row r="115" customHeight="1" spans="1:23">
      <c r="A115" s="3">
        <f>IFERROR(__xludf.DUMMYFUNCTION("""COMPUTED_VALUE"""),46032)</f>
        <v>46032</v>
      </c>
      <c r="B115" s="1" t="str">
        <f>IFERROR(__xludf.DUMMYFUNCTION("""COMPUTED_VALUE"""),"LANZA, ANNALYN")</f>
        <v>LANZA, ANNALYN</v>
      </c>
      <c r="C115" s="1" t="str">
        <f>IFERROR(__xludf.DUMMYFUNCTION("""COMPUTED_VALUE"""),"ORGANIC")</f>
        <v>ORGANIC</v>
      </c>
      <c r="D115" s="1" t="str">
        <f>IFERROR(__xludf.DUMMYFUNCTION("""COMPUTED_VALUE"""),"ILANO MARK")</f>
        <v>ILANO MARK</v>
      </c>
      <c r="E115" s="1" t="str">
        <f>IFERROR(__xludf.DUMMYFUNCTION("""COMPUTED_VALUE"""),"PLDT")</f>
        <v>PLDT</v>
      </c>
      <c r="F115" s="1">
        <f>IFERROR(__xludf.DUMMYFUNCTION("""COMPUTED_VALUE"""),2306156455)</f>
        <v>2306156455</v>
      </c>
      <c r="G115" s="1"/>
      <c r="H115" s="1" t="str">
        <f>IFERROR(__xludf.DUMMYFUNCTION("""COMPUTED_VALUE"""),"9515899331")</f>
        <v>9515899331</v>
      </c>
      <c r="I115" s="1">
        <f>IFERROR(__xludf.DUMMYFUNCTION("""COMPUTED_VALUE"""),9663577333)</f>
        <v>9663577333</v>
      </c>
      <c r="J115" s="1"/>
      <c r="K115" s="1" t="str">
        <f>IFERROR(__xludf.DUMMYFUNCTION("""COMPUTED_VALUE"""),"80")</f>
        <v>80</v>
      </c>
      <c r="L115" s="1" t="str">
        <f>IFERROR(__xludf.DUMMYFUNCTION("""COMPUTED_VALUE"""),"MOJICA RD")</f>
        <v>MOJICA RD</v>
      </c>
      <c r="M115" s="1"/>
      <c r="N115" s="1" t="str">
        <f>IFERROR(__xludf.DUMMYFUNCTION("""COMPUTED_VALUE"""),"MIGUEL MOJICA")</f>
        <v>MIGUEL MOJICA</v>
      </c>
      <c r="O115" s="1" t="str">
        <f>IFERROR(__xludf.DUMMYFUNCTION("""COMPUTED_VALUE"""),"MENDEZ")</f>
        <v>MENDEZ</v>
      </c>
      <c r="P115" s="1" t="str">
        <f>IFERROR(__xludf.DUMMYFUNCTION("""COMPUTED_VALUE"""),"CAVITE")</f>
        <v>CAVITE</v>
      </c>
      <c r="Q115" s="1" t="str">
        <f>IFERROR(__xludf.DUMMYFUNCTION("""COMPUTED_VALUE"""),"FIBR PLAN 1399")</f>
        <v>FIBR PLAN 1399</v>
      </c>
      <c r="R115" s="1" t="str">
        <f>IFERROR(__xludf.DUMMYFUNCTION("""COMPUTED_VALUE"""),"APPROVED")</f>
        <v>APPROVED</v>
      </c>
      <c r="S115" s="1"/>
      <c r="T115" s="1"/>
      <c r="U115" s="1"/>
      <c r="V115" s="1"/>
      <c r="W115" s="1"/>
    </row>
    <row r="116" customHeight="1" spans="1:23">
      <c r="A116" s="3">
        <f>IFERROR(__xludf.DUMMYFUNCTION("""COMPUTED_VALUE"""),46032)</f>
        <v>46032</v>
      </c>
      <c r="B116" s="1" t="str">
        <f>IFERROR(__xludf.DUMMYFUNCTION("""COMPUTED_VALUE"""),"MALIWAT MARK ELVIN")</f>
        <v>MALIWAT MARK ELVIN</v>
      </c>
      <c r="C116" s="1" t="str">
        <f>IFERROR(__xludf.DUMMYFUNCTION("""COMPUTED_VALUE"""),"FLA")</f>
        <v>FLA</v>
      </c>
      <c r="D116" s="1" t="str">
        <f>IFERROR(__xludf.DUMMYFUNCTION("""COMPUTED_VALUE"""),"JERIC NAVARRO")</f>
        <v>JERIC NAVARRO</v>
      </c>
      <c r="E116" s="1" t="str">
        <f>IFERROR(__xludf.DUMMYFUNCTION("""COMPUTED_VALUE"""),"PLDT")</f>
        <v>PLDT</v>
      </c>
      <c r="F116" s="1">
        <f>IFERROR(__xludf.DUMMYFUNCTION("""COMPUTED_VALUE"""),2306154431)</f>
        <v>2306154431</v>
      </c>
      <c r="G116" s="1"/>
      <c r="H116" s="1" t="str">
        <f>IFERROR(__xludf.DUMMYFUNCTION("""COMPUTED_VALUE"""),"9604566039")</f>
        <v>9604566039</v>
      </c>
      <c r="I116" s="1">
        <f>IFERROR(__xludf.DUMMYFUNCTION("""COMPUTED_VALUE"""),9756038275)</f>
        <v>9756038275</v>
      </c>
      <c r="J116" s="1"/>
      <c r="K116" s="1" t="str">
        <f>IFERROR(__xludf.DUMMYFUNCTION("""COMPUTED_VALUE"""),"BLK D5 LOT 10")</f>
        <v>BLK D5 LOT 10</v>
      </c>
      <c r="L116" s="1" t="str">
        <f>IFERROR(__xludf.DUMMYFUNCTION("""COMPUTED_VALUE"""),"SAN ANDRESS RD")</f>
        <v>SAN ANDRESS RD</v>
      </c>
      <c r="M116" s="1"/>
      <c r="N116" s="1" t="str">
        <f>IFERROR(__xludf.DUMMYFUNCTION("""COMPUTED_VALUE"""),"SAN ANDRES II")</f>
        <v>SAN ANDRES II</v>
      </c>
      <c r="O116" s="1" t="str">
        <f>IFERROR(__xludf.DUMMYFUNCTION("""COMPUTED_VALUE"""),"DASMARINAS")</f>
        <v>DASMARINAS</v>
      </c>
      <c r="P116" s="1" t="str">
        <f>IFERROR(__xludf.DUMMYFUNCTION("""COMPUTED_VALUE"""),"CAVITE")</f>
        <v>CAVITE</v>
      </c>
      <c r="Q116" s="1" t="str">
        <f>IFERROR(__xludf.DUMMYFUNCTION("""COMPUTED_VALUE"""),"FIBR PLAN 1299")</f>
        <v>FIBR PLAN 1299</v>
      </c>
      <c r="R116" s="1" t="str">
        <f>IFERROR(__xludf.DUMMYFUNCTION("""COMPUTED_VALUE"""),"APPROVED")</f>
        <v>APPROVED</v>
      </c>
      <c r="S116" s="1"/>
      <c r="T116" s="1"/>
      <c r="U116" s="1"/>
      <c r="V116" s="1"/>
      <c r="W116" s="1"/>
    </row>
    <row r="117" customHeight="1" spans="1:23">
      <c r="A117" s="3">
        <f>IFERROR(__xludf.DUMMYFUNCTION("""COMPUTED_VALUE"""),46032)</f>
        <v>46032</v>
      </c>
      <c r="B117" s="1" t="str">
        <f>IFERROR(__xludf.DUMMYFUNCTION("""COMPUTED_VALUE"""),"CESTINA, CHERRELYN")</f>
        <v>CESTINA, CHERRELYN</v>
      </c>
      <c r="C117" s="1" t="str">
        <f>IFERROR(__xludf.DUMMYFUNCTION("""COMPUTED_VALUE"""),"FLA")</f>
        <v>FLA</v>
      </c>
      <c r="D117" s="1" t="str">
        <f>IFERROR(__xludf.DUMMYFUNCTION("""COMPUTED_VALUE"""),"JERIC NAVARRO")</f>
        <v>JERIC NAVARRO</v>
      </c>
      <c r="E117" s="1" t="str">
        <f>IFERROR(__xludf.DUMMYFUNCTION("""COMPUTED_VALUE"""),"PLDT")</f>
        <v>PLDT</v>
      </c>
      <c r="F117" s="1">
        <f>IFERROR(__xludf.DUMMYFUNCTION("""COMPUTED_VALUE"""),2306152549)</f>
        <v>2306152549</v>
      </c>
      <c r="G117" s="1"/>
      <c r="H117" s="1" t="str">
        <f>IFERROR(__xludf.DUMMYFUNCTION("""COMPUTED_VALUE"""),"9097759288")</f>
        <v>9097759288</v>
      </c>
      <c r="I117" s="1">
        <f>IFERROR(__xludf.DUMMYFUNCTION("""COMPUTED_VALUE"""),9458871736)</f>
        <v>9458871736</v>
      </c>
      <c r="J117" s="1"/>
      <c r="K117" s="1" t="str">
        <f>IFERROR(__xludf.DUMMYFUNCTION("""COMPUTED_VALUE"""),"BLK 68 LOT 26")</f>
        <v>BLK 68 LOT 26</v>
      </c>
      <c r="L117" s="1" t="str">
        <f>IFERROR(__xludf.DUMMYFUNCTION("""COMPUTED_VALUE"""),"VICTORIA REYES")</f>
        <v>VICTORIA REYES</v>
      </c>
      <c r="M117" s="1"/>
      <c r="N117" s="1" t="str">
        <f>IFERROR(__xludf.DUMMYFUNCTION("""COMPUTED_VALUE"""),"VICTORIA REYES")</f>
        <v>VICTORIA REYES</v>
      </c>
      <c r="O117" s="1" t="str">
        <f>IFERROR(__xludf.DUMMYFUNCTION("""COMPUTED_VALUE"""),"DASMARINAS")</f>
        <v>DASMARINAS</v>
      </c>
      <c r="P117" s="1" t="str">
        <f>IFERROR(__xludf.DUMMYFUNCTION("""COMPUTED_VALUE"""),"CAVITE")</f>
        <v>CAVITE</v>
      </c>
      <c r="Q117" s="1" t="str">
        <f>IFERROR(__xludf.DUMMYFUNCTION("""COMPUTED_VALUE"""),"PREPAID 999")</f>
        <v>PREPAID 999</v>
      </c>
      <c r="R117" s="1" t="str">
        <f>IFERROR(__xludf.DUMMYFUNCTION("""COMPUTED_VALUE"""),"APPROVED")</f>
        <v>APPROVED</v>
      </c>
      <c r="S117" s="1"/>
      <c r="T117" s="1"/>
      <c r="U117" s="1"/>
      <c r="V117" s="1"/>
      <c r="W117" s="1"/>
    </row>
    <row r="118" customHeight="1" spans="1:23">
      <c r="A118" s="3">
        <f>IFERROR(__xludf.DUMMYFUNCTION("""COMPUTED_VALUE"""),46032)</f>
        <v>46032</v>
      </c>
      <c r="B118" s="1" t="str">
        <f>IFERROR(__xludf.DUMMYFUNCTION("""COMPUTED_VALUE"""),"FRANCISCO , ROSELYN")</f>
        <v>FRANCISCO , ROSELYN</v>
      </c>
      <c r="C118" s="1" t="str">
        <f>IFERROR(__xludf.DUMMYFUNCTION("""COMPUTED_VALUE"""),"FLA")</f>
        <v>FLA</v>
      </c>
      <c r="D118" s="1" t="str">
        <f>IFERROR(__xludf.DUMMYFUNCTION("""COMPUTED_VALUE"""),"JERIC NAVARRO")</f>
        <v>JERIC NAVARRO</v>
      </c>
      <c r="E118" s="1" t="str">
        <f>IFERROR(__xludf.DUMMYFUNCTION("""COMPUTED_VALUE"""),"PLDT")</f>
        <v>PLDT</v>
      </c>
      <c r="F118" s="1">
        <f>IFERROR(__xludf.DUMMYFUNCTION("""COMPUTED_VALUE"""),2306157140)</f>
        <v>2306157140</v>
      </c>
      <c r="G118" s="1"/>
      <c r="H118" s="1" t="str">
        <f>IFERROR(__xludf.DUMMYFUNCTION("""COMPUTED_VALUE"""),"9276787731")</f>
        <v>9276787731</v>
      </c>
      <c r="I118" s="1">
        <f>IFERROR(__xludf.DUMMYFUNCTION("""COMPUTED_VALUE"""),9358122657)</f>
        <v>9358122657</v>
      </c>
      <c r="J118" s="1"/>
      <c r="K118" s="1" t="str">
        <f>IFERROR(__xludf.DUMMYFUNCTION("""COMPUTED_VALUE"""),"181")</f>
        <v>181</v>
      </c>
      <c r="L118" s="1" t="str">
        <f>IFERROR(__xludf.DUMMYFUNCTION("""COMPUTED_VALUE"""),"PUROK 4")</f>
        <v>PUROK 4</v>
      </c>
      <c r="M118" s="1"/>
      <c r="N118" s="1" t="str">
        <f>IFERROR(__xludf.DUMMYFUNCTION("""COMPUTED_VALUE"""),"SINALIW MALAKI")</f>
        <v>SINALIW MALAKI</v>
      </c>
      <c r="O118" s="1" t="str">
        <f>IFERROR(__xludf.DUMMYFUNCTION("""COMPUTED_VALUE"""),"ALFONSO")</f>
        <v>ALFONSO</v>
      </c>
      <c r="P118" s="1" t="str">
        <f>IFERROR(__xludf.DUMMYFUNCTION("""COMPUTED_VALUE"""),"CAVITE")</f>
        <v>CAVITE</v>
      </c>
      <c r="Q118" s="1" t="str">
        <f>IFERROR(__xludf.DUMMYFUNCTION("""COMPUTED_VALUE"""),"FIBR PLAN 1599")</f>
        <v>FIBR PLAN 1599</v>
      </c>
      <c r="R118" s="1" t="str">
        <f>IFERROR(__xludf.DUMMYFUNCTION("""COMPUTED_VALUE"""),"APPROVED")</f>
        <v>APPROVED</v>
      </c>
      <c r="S118" s="1"/>
      <c r="T118" s="1"/>
      <c r="U118" s="1"/>
      <c r="V118" s="1"/>
      <c r="W118" s="1"/>
    </row>
    <row r="119" customHeight="1" spans="1:23">
      <c r="A119" s="3">
        <f>IFERROR(__xludf.DUMMYFUNCTION("""COMPUTED_VALUE"""),46033)</f>
        <v>46033</v>
      </c>
      <c r="B119" s="1" t="str">
        <f>IFERROR(__xludf.DUMMYFUNCTION("""COMPUTED_VALUE"""),"LEADSTORE - ILANO, LIANDRO TEJAS")</f>
        <v>LEADSTORE - ILANO, LIANDRO TEJAS</v>
      </c>
      <c r="C119" s="1" t="str">
        <f>IFERROR(__xludf.DUMMYFUNCTION("""COMPUTED_VALUE"""),"DOWNLINE")</f>
        <v>DOWNLINE</v>
      </c>
      <c r="D119" s="1" t="str">
        <f>IFERROR(__xludf.DUMMYFUNCTION("""COMPUTED_VALUE"""),"JERIC NAVARRO")</f>
        <v>JERIC NAVARRO</v>
      </c>
      <c r="E119" s="1" t="str">
        <f>IFERROR(__xludf.DUMMYFUNCTION("""COMPUTED_VALUE"""),"PLDT")</f>
        <v>PLDT</v>
      </c>
      <c r="F119" s="1">
        <f>IFERROR(__xludf.DUMMYFUNCTION("""COMPUTED_VALUE"""),2306167154)</f>
        <v>2306167154</v>
      </c>
      <c r="G119" s="1"/>
      <c r="H119" s="1" t="str">
        <f>IFERROR(__xludf.DUMMYFUNCTION("""COMPUTED_VALUE"""),"9759891526")</f>
        <v>9759891526</v>
      </c>
      <c r="I119" s="1"/>
      <c r="J119" s="1"/>
      <c r="K119" s="1" t="str">
        <f>IFERROR(__xludf.DUMMYFUNCTION("""COMPUTED_VALUE"""),"BLK 7 LOT 21")</f>
        <v>BLK 7 LOT 21</v>
      </c>
      <c r="L119" s="1" t="str">
        <f>IFERROR(__xludf.DUMMYFUNCTION("""COMPUTED_VALUE"""),"BUKLURAN ")</f>
        <v>BUKLURAN </v>
      </c>
      <c r="M119" s="1"/>
      <c r="N119" s="1" t="str">
        <f>IFERROR(__xludf.DUMMYFUNCTION("""COMPUTED_VALUE"""),"BULIHAN")</f>
        <v>BULIHAN</v>
      </c>
      <c r="O119" s="1" t="str">
        <f>IFERROR(__xludf.DUMMYFUNCTION("""COMPUTED_VALUE"""),"SILANG")</f>
        <v>SILANG</v>
      </c>
      <c r="P119" s="1" t="str">
        <f>IFERROR(__xludf.DUMMYFUNCTION("""COMPUTED_VALUE"""),"CAVITE")</f>
        <v>CAVITE</v>
      </c>
      <c r="Q119" s="1" t="str">
        <f>IFERROR(__xludf.DUMMYFUNCTION("""COMPUTED_VALUE"""),"FIBR PLAN 1399")</f>
        <v>FIBR PLAN 1399</v>
      </c>
      <c r="R119" s="1" t="str">
        <f>IFERROR(__xludf.DUMMYFUNCTION("""COMPUTED_VALUE"""),"APPROVED")</f>
        <v>APPROVED</v>
      </c>
      <c r="S119" s="1"/>
      <c r="T119" s="1"/>
      <c r="U119" s="1"/>
      <c r="V119" s="1"/>
      <c r="W119" s="1"/>
    </row>
    <row r="120" customHeight="1" spans="1:23">
      <c r="A120" s="3">
        <f>IFERROR(__xludf.DUMMYFUNCTION("""COMPUTED_VALUE"""),46033)</f>
        <v>46033</v>
      </c>
      <c r="B120" s="1" t="str">
        <f>IFERROR(__xludf.DUMMYFUNCTION("""COMPUTED_VALUE"""),"IVNO, RAZZEL")</f>
        <v>IVNO, RAZZEL</v>
      </c>
      <c r="C120" s="1" t="str">
        <f>IFERROR(__xludf.DUMMYFUNCTION("""COMPUTED_VALUE"""),"ORGANIC")</f>
        <v>ORGANIC</v>
      </c>
      <c r="D120" s="1" t="str">
        <f>IFERROR(__xludf.DUMMYFUNCTION("""COMPUTED_VALUE"""),"ILANO MARK")</f>
        <v>ILANO MARK</v>
      </c>
      <c r="E120" s="1" t="str">
        <f>IFERROR(__xludf.DUMMYFUNCTION("""COMPUTED_VALUE"""),"RED FIBER")</f>
        <v>RED FIBER</v>
      </c>
      <c r="F120" s="1"/>
      <c r="G120" s="1"/>
      <c r="H120" s="1" t="str">
        <f>IFERROR(__xludf.DUMMYFUNCTION("""COMPUTED_VALUE"""),"9277438765")</f>
        <v>9277438765</v>
      </c>
      <c r="I120" s="1"/>
      <c r="J120" s="1"/>
      <c r="K120" s="1" t="str">
        <f>IFERROR(__xludf.DUMMYFUNCTION("""COMPUTED_VALUE"""),"13")</f>
        <v>13</v>
      </c>
      <c r="L120" s="1" t="str">
        <f>IFERROR(__xludf.DUMMYFUNCTION("""COMPUTED_VALUE"""),"JP RIZAL")</f>
        <v>JP RIZAL</v>
      </c>
      <c r="M120" s="1"/>
      <c r="N120" s="1" t="str">
        <f>IFERROR(__xludf.DUMMYFUNCTION("""COMPUTED_VALUE"""),"GALICIA III")</f>
        <v>GALICIA III</v>
      </c>
      <c r="O120" s="1" t="str">
        <f>IFERROR(__xludf.DUMMYFUNCTION("""COMPUTED_VALUE"""),"MENDEZ")</f>
        <v>MENDEZ</v>
      </c>
      <c r="P120" s="1" t="str">
        <f>IFERROR(__xludf.DUMMYFUNCTION("""COMPUTED_VALUE"""),"CAVITE")</f>
        <v>CAVITE</v>
      </c>
      <c r="Q120" s="1" t="str">
        <f>IFERROR(__xludf.DUMMYFUNCTION("""COMPUTED_VALUE"""),"RED FIBER PLAN 1000")</f>
        <v>RED FIBER PLAN 1000</v>
      </c>
      <c r="R120" s="1" t="str">
        <f>IFERROR(__xludf.DUMMYFUNCTION("""COMPUTED_VALUE"""),"FOR CALLBACK / CANNOT BE REACHED")</f>
        <v>FOR CALLBACK / CANNOT BE REACHED</v>
      </c>
      <c r="S120" s="1" t="str">
        <f>IFERROR(__xludf.DUMMYFUNCTION("""COMPUTED_VALUE"""),"BUSY DAW SI SUBS MAG TEXT KAPAG AVAILABLE NA")</f>
        <v>BUSY DAW SI SUBS MAG TEXT KAPAG AVAILABLE NA</v>
      </c>
      <c r="T120" s="1"/>
      <c r="U120" s="1"/>
      <c r="V120" s="1"/>
      <c r="W120" s="1"/>
    </row>
    <row r="121" customHeight="1" spans="1:23">
      <c r="A121" s="3">
        <f>IFERROR(__xludf.DUMMYFUNCTION("""COMPUTED_VALUE"""),46033)</f>
        <v>46033</v>
      </c>
      <c r="B121" s="1" t="str">
        <f>IFERROR(__xludf.DUMMYFUNCTION("""COMPUTED_VALUE"""),"DELA ROSA, JENNELYN")</f>
        <v>DELA ROSA, JENNELYN</v>
      </c>
      <c r="C121" s="1" t="str">
        <f>IFERROR(__xludf.DUMMYFUNCTION("""COMPUTED_VALUE"""),"ORGANIC")</f>
        <v>ORGANIC</v>
      </c>
      <c r="D121" s="1" t="str">
        <f>IFERROR(__xludf.DUMMYFUNCTION("""COMPUTED_VALUE"""),"ILANO MARK")</f>
        <v>ILANO MARK</v>
      </c>
      <c r="E121" s="1" t="str">
        <f>IFERROR(__xludf.DUMMYFUNCTION("""COMPUTED_VALUE"""),"RED FIBER")</f>
        <v>RED FIBER</v>
      </c>
      <c r="F121" s="1"/>
      <c r="G121" s="1"/>
      <c r="H121" s="1" t="str">
        <f>IFERROR(__xludf.DUMMYFUNCTION("""COMPUTED_VALUE"""),"9776787148")</f>
        <v>9776787148</v>
      </c>
      <c r="I121" s="1"/>
      <c r="J121" s="1"/>
      <c r="K121" s="1" t="str">
        <f>IFERROR(__xludf.DUMMYFUNCTION("""COMPUTED_VALUE"""),"9039")</f>
        <v>9039</v>
      </c>
      <c r="L121" s="1" t="str">
        <f>IFERROR(__xludf.DUMMYFUNCTION("""COMPUTED_VALUE"""),"F MENDOZA")</f>
        <v>F MENDOZA</v>
      </c>
      <c r="M121" s="1"/>
      <c r="N121" s="1" t="str">
        <f>IFERROR(__xludf.DUMMYFUNCTION("""COMPUTED_VALUE"""),"GALICIA III")</f>
        <v>GALICIA III</v>
      </c>
      <c r="O121" s="1" t="str">
        <f>IFERROR(__xludf.DUMMYFUNCTION("""COMPUTED_VALUE"""),"MENDEZ")</f>
        <v>MENDEZ</v>
      </c>
      <c r="P121" s="1" t="str">
        <f>IFERROR(__xludf.DUMMYFUNCTION("""COMPUTED_VALUE"""),"CAVITE")</f>
        <v>CAVITE</v>
      </c>
      <c r="Q121" s="1" t="str">
        <f>IFERROR(__xludf.DUMMYFUNCTION("""COMPUTED_VALUE"""),"RED FIBER PLAN 1400")</f>
        <v>RED FIBER PLAN 1400</v>
      </c>
      <c r="R121" s="1" t="str">
        <f>IFERROR(__xludf.DUMMYFUNCTION("""COMPUTED_VALUE"""),"APPROVED")</f>
        <v>APPROVED</v>
      </c>
      <c r="S121" s="1" t="str">
        <f>IFERROR(__xludf.DUMMYFUNCTION("""COMPUTED_VALUE"""),"DROP CALLS DIRECT TO VOICE MAIL")</f>
        <v>DROP CALLS DIRECT TO VOICE MAIL</v>
      </c>
      <c r="T121" s="1"/>
      <c r="U121" s="1"/>
      <c r="V121" s="1"/>
      <c r="W121" s="1"/>
    </row>
    <row r="122" customHeight="1" spans="1:23">
      <c r="A122" s="3">
        <f>IFERROR(__xludf.DUMMYFUNCTION("""COMPUTED_VALUE"""),46033)</f>
        <v>46033</v>
      </c>
      <c r="B122" s="1" t="str">
        <f>IFERROR(__xludf.DUMMYFUNCTION("""COMPUTED_VALUE"""),"ALOS, CHARLS LAURENZ")</f>
        <v>ALOS, CHARLS LAURENZ</v>
      </c>
      <c r="C122" s="1" t="str">
        <f>IFERROR(__xludf.DUMMYFUNCTION("""COMPUTED_VALUE"""),"ORGANIC")</f>
        <v>ORGANIC</v>
      </c>
      <c r="D122" s="1" t="str">
        <f>IFERROR(__xludf.DUMMYFUNCTION("""COMPUTED_VALUE"""),"ILANO MARK")</f>
        <v>ILANO MARK</v>
      </c>
      <c r="E122" s="1" t="str">
        <f>IFERROR(__xludf.DUMMYFUNCTION("""COMPUTED_VALUE"""),"PLDT")</f>
        <v>PLDT</v>
      </c>
      <c r="F122" s="1">
        <f>IFERROR(__xludf.DUMMYFUNCTION("""COMPUTED_VALUE"""),2306170359)</f>
        <v>2306170359</v>
      </c>
      <c r="G122" s="1"/>
      <c r="H122" s="1" t="str">
        <f>IFERROR(__xludf.DUMMYFUNCTION("""COMPUTED_VALUE"""),"9931987548")</f>
        <v>9931987548</v>
      </c>
      <c r="I122" s="1"/>
      <c r="J122" s="1"/>
      <c r="K122" s="1" t="str">
        <f>IFERROR(__xludf.DUMMYFUNCTION("""COMPUTED_VALUE"""),"212")</f>
        <v>212</v>
      </c>
      <c r="L122" s="1" t="str">
        <f>IFERROR(__xludf.DUMMYFUNCTION("""COMPUTED_VALUE"""),"POOC ")</f>
        <v>POOC </v>
      </c>
      <c r="M122" s="1"/>
      <c r="N122" s="1" t="str">
        <f>IFERROR(__xludf.DUMMYFUNCTION("""COMPUTED_VALUE"""),"POOC I")</f>
        <v>POOC I</v>
      </c>
      <c r="O122" s="1" t="str">
        <f>IFERROR(__xludf.DUMMYFUNCTION("""COMPUTED_VALUE"""),"SILANG")</f>
        <v>SILANG</v>
      </c>
      <c r="P122" s="1" t="str">
        <f>IFERROR(__xludf.DUMMYFUNCTION("""COMPUTED_VALUE"""),"CAVITE")</f>
        <v>CAVITE</v>
      </c>
      <c r="Q122" s="1" t="str">
        <f>IFERROR(__xludf.DUMMYFUNCTION("""COMPUTED_VALUE"""),"PREPAID 999")</f>
        <v>PREPAID 999</v>
      </c>
      <c r="R122" s="1" t="str">
        <f>IFERROR(__xludf.DUMMYFUNCTION("""COMPUTED_VALUE"""),"APPROVED")</f>
        <v>APPROVED</v>
      </c>
      <c r="S122" s="1"/>
      <c r="T122" s="1"/>
      <c r="U122" s="1"/>
      <c r="V122" s="1"/>
      <c r="W122" s="1"/>
    </row>
    <row r="123" customHeight="1" spans="1:23">
      <c r="A123" s="3">
        <f>IFERROR(__xludf.DUMMYFUNCTION("""COMPUTED_VALUE"""),46033)</f>
        <v>46033</v>
      </c>
      <c r="B123" s="1" t="str">
        <f>IFERROR(__xludf.DUMMYFUNCTION("""COMPUTED_VALUE"""),"CADERAO, RONALD")</f>
        <v>CADERAO, RONALD</v>
      </c>
      <c r="C123" s="1" t="str">
        <f>IFERROR(__xludf.DUMMYFUNCTION("""COMPUTED_VALUE"""),"ORGANIC")</f>
        <v>ORGANIC</v>
      </c>
      <c r="D123" s="1" t="str">
        <f>IFERROR(__xludf.DUMMYFUNCTION("""COMPUTED_VALUE"""),"ILANO MARK")</f>
        <v>ILANO MARK</v>
      </c>
      <c r="E123" s="1" t="str">
        <f>IFERROR(__xludf.DUMMYFUNCTION("""COMPUTED_VALUE"""),"PLDT")</f>
        <v>PLDT</v>
      </c>
      <c r="F123" s="1">
        <f>IFERROR(__xludf.DUMMYFUNCTION("""COMPUTED_VALUE"""),2306171262)</f>
        <v>2306171262</v>
      </c>
      <c r="G123" s="1"/>
      <c r="H123" s="1" t="str">
        <f>IFERROR(__xludf.DUMMYFUNCTION("""COMPUTED_VALUE"""),"9813818879")</f>
        <v>9813818879</v>
      </c>
      <c r="I123" s="1"/>
      <c r="J123" s="1"/>
      <c r="K123" s="1" t="str">
        <f>IFERROR(__xludf.DUMMYFUNCTION("""COMPUTED_VALUE"""),"231")</f>
        <v>231</v>
      </c>
      <c r="L123" s="1" t="str">
        <f>IFERROR(__xludf.DUMMYFUNCTION("""COMPUTED_VALUE"""),"RIDGE VIEW")</f>
        <v>RIDGE VIEW</v>
      </c>
      <c r="M123" s="1"/>
      <c r="N123" s="1" t="str">
        <f>IFERROR(__xludf.DUMMYFUNCTION("""COMPUTED_VALUE"""),"IRUHIN WEST")</f>
        <v>IRUHIN WEST</v>
      </c>
      <c r="O123" s="1" t="str">
        <f>IFERROR(__xludf.DUMMYFUNCTION("""COMPUTED_VALUE"""),"TAGAYTAY")</f>
        <v>TAGAYTAY</v>
      </c>
      <c r="P123" s="1" t="str">
        <f>IFERROR(__xludf.DUMMYFUNCTION("""COMPUTED_VALUE"""),"CAVITE")</f>
        <v>CAVITE</v>
      </c>
      <c r="Q123" s="1" t="str">
        <f>IFERROR(__xludf.DUMMYFUNCTION("""COMPUTED_VALUE"""),"FIBR PLAN 1399")</f>
        <v>FIBR PLAN 1399</v>
      </c>
      <c r="R123" s="1" t="str">
        <f>IFERROR(__xludf.DUMMYFUNCTION("""COMPUTED_VALUE"""),"APPROVED")</f>
        <v>APPROVED</v>
      </c>
      <c r="S123" s="1"/>
      <c r="T123" s="1"/>
      <c r="U123" s="1"/>
      <c r="V123" s="1"/>
      <c r="W123" s="1"/>
    </row>
    <row r="124" customHeight="1" spans="1:23">
      <c r="A124" s="3">
        <f>IFERROR(__xludf.DUMMYFUNCTION("""COMPUTED_VALUE"""),46033)</f>
        <v>46033</v>
      </c>
      <c r="B124" s="1" t="str">
        <f>IFERROR(__xludf.DUMMYFUNCTION("""COMPUTED_VALUE"""),"ALOS, CHARLS LAURENZ")</f>
        <v>ALOS, CHARLS LAURENZ</v>
      </c>
      <c r="C124" s="1" t="str">
        <f>IFERROR(__xludf.DUMMYFUNCTION("""COMPUTED_VALUE"""),"ORGANIC")</f>
        <v>ORGANIC</v>
      </c>
      <c r="D124" s="1" t="str">
        <f>IFERROR(__xludf.DUMMYFUNCTION("""COMPUTED_VALUE"""),"ILANO MARK")</f>
        <v>ILANO MARK</v>
      </c>
      <c r="E124" s="1" t="str">
        <f>IFERROR(__xludf.DUMMYFUNCTION("""COMPUTED_VALUE"""),"PLDT")</f>
        <v>PLDT</v>
      </c>
      <c r="F124" s="1"/>
      <c r="G124" s="1"/>
      <c r="H124" s="1" t="str">
        <f>IFERROR(__xludf.DUMMYFUNCTION("""COMPUTED_VALUE"""),"9462467910")</f>
        <v>9462467910</v>
      </c>
      <c r="I124" s="1"/>
      <c r="J124" s="1"/>
      <c r="K124" s="1" t="str">
        <f>IFERROR(__xludf.DUMMYFUNCTION("""COMPUTED_VALUE"""),"9022")</f>
        <v>9022</v>
      </c>
      <c r="L124" s="1" t="str">
        <f>IFERROR(__xludf.DUMMYFUNCTION("""COMPUTED_VALUE"""),"VILBAY")</f>
        <v>VILBAY</v>
      </c>
      <c r="M124" s="1"/>
      <c r="N124" s="1" t="str">
        <f>IFERROR(__xludf.DUMMYFUNCTION("""COMPUTED_VALUE"""),"MAITIM 2ND EAST")</f>
        <v>MAITIM 2ND EAST</v>
      </c>
      <c r="O124" s="1" t="str">
        <f>IFERROR(__xludf.DUMMYFUNCTION("""COMPUTED_VALUE"""),"TAGAYTAY")</f>
        <v>TAGAYTAY</v>
      </c>
      <c r="P124" s="1" t="str">
        <f>IFERROR(__xludf.DUMMYFUNCTION("""COMPUTED_VALUE"""),"CAVITE")</f>
        <v>CAVITE</v>
      </c>
      <c r="Q124" s="1" t="str">
        <f>IFERROR(__xludf.DUMMYFUNCTION("""COMPUTED_VALUE"""),"FIBR PLAN 1399")</f>
        <v>FIBR PLAN 1399</v>
      </c>
      <c r="R124" s="1" t="str">
        <f>IFERROR(__xludf.DUMMYFUNCTION("""COMPUTED_VALUE"""),"RETURN FOR COMPLIANCE - AGENT")</f>
        <v>RETURN FOR COMPLIANCE - AGENT</v>
      </c>
      <c r="S124" s="1" t="str">
        <f>IFERROR(__xludf.DUMMYFUNCTION("""COMPUTED_VALUE"""),"MISMATCH SIGNATURE ON TIN AND SPC")</f>
        <v>MISMATCH SIGNATURE ON TIN AND SPC</v>
      </c>
      <c r="T124" s="1"/>
      <c r="U124" s="1"/>
      <c r="V124" s="1"/>
      <c r="W124" s="1"/>
    </row>
    <row r="125" customHeight="1" spans="1:23">
      <c r="A125" s="3">
        <f>IFERROR(__xludf.DUMMYFUNCTION("""COMPUTED_VALUE"""),46033)</f>
        <v>46033</v>
      </c>
      <c r="B125" s="1" t="str">
        <f>IFERROR(__xludf.DUMMYFUNCTION("""COMPUTED_VALUE"""),"LANZA, ANNALYN")</f>
        <v>LANZA, ANNALYN</v>
      </c>
      <c r="C125" s="1" t="str">
        <f>IFERROR(__xludf.DUMMYFUNCTION("""COMPUTED_VALUE"""),"ORGANIC")</f>
        <v>ORGANIC</v>
      </c>
      <c r="D125" s="1" t="str">
        <f>IFERROR(__xludf.DUMMYFUNCTION("""COMPUTED_VALUE"""),"ILANO MARK")</f>
        <v>ILANO MARK</v>
      </c>
      <c r="E125" s="1" t="str">
        <f>IFERROR(__xludf.DUMMYFUNCTION("""COMPUTED_VALUE"""),"PLDT")</f>
        <v>PLDT</v>
      </c>
      <c r="F125" s="1">
        <f>IFERROR(__xludf.DUMMYFUNCTION("""COMPUTED_VALUE"""),2306173487)</f>
        <v>2306173487</v>
      </c>
      <c r="G125" s="1"/>
      <c r="H125" s="1" t="str">
        <f>IFERROR(__xludf.DUMMYFUNCTION("""COMPUTED_VALUE"""),"9543544114")</f>
        <v>9543544114</v>
      </c>
      <c r="I125" s="1">
        <f>IFERROR(__xludf.DUMMYFUNCTION("""COMPUTED_VALUE"""),9764621992)</f>
        <v>9764621992</v>
      </c>
      <c r="J125" s="1"/>
      <c r="K125" s="1" t="str">
        <f>IFERROR(__xludf.DUMMYFUNCTION("""COMPUTED_VALUE"""),"263")</f>
        <v>263</v>
      </c>
      <c r="L125" s="1" t="str">
        <f>IFERROR(__xludf.DUMMYFUNCTION("""COMPUTED_VALUE"""),"STA RITA")</f>
        <v>STA RITA</v>
      </c>
      <c r="M125" s="1"/>
      <c r="N125" s="1" t="str">
        <f>IFERROR(__xludf.DUMMYFUNCTION("""COMPUTED_VALUE"""),"KAYBAGAL CENTRAL")</f>
        <v>KAYBAGAL CENTRAL</v>
      </c>
      <c r="O125" s="1" t="str">
        <f>IFERROR(__xludf.DUMMYFUNCTION("""COMPUTED_VALUE"""),"TAGAYTAY")</f>
        <v>TAGAYTAY</v>
      </c>
      <c r="P125" s="1" t="str">
        <f>IFERROR(__xludf.DUMMYFUNCTION("""COMPUTED_VALUE"""),"CAVITE")</f>
        <v>CAVITE</v>
      </c>
      <c r="Q125" s="1" t="str">
        <f>IFERROR(__xludf.DUMMYFUNCTION("""COMPUTED_VALUE"""),"FIBR PLAN 1399")</f>
        <v>FIBR PLAN 1399</v>
      </c>
      <c r="R125" s="1" t="str">
        <f>IFERROR(__xludf.DUMMYFUNCTION("""COMPUTED_VALUE"""),"APPROVED")</f>
        <v>APPROVED</v>
      </c>
      <c r="S125" s="1"/>
      <c r="T125" s="1"/>
      <c r="U125" s="1"/>
      <c r="V125" s="1"/>
      <c r="W125" s="1"/>
    </row>
    <row r="126" customHeight="1" spans="1:23">
      <c r="A126" s="3">
        <f>IFERROR(__xludf.DUMMYFUNCTION("""COMPUTED_VALUE"""),46033)</f>
        <v>46033</v>
      </c>
      <c r="B126" s="1" t="str">
        <f>IFERROR(__xludf.DUMMYFUNCTION("""COMPUTED_VALUE"""),"IVNO, RAZZEL")</f>
        <v>IVNO, RAZZEL</v>
      </c>
      <c r="C126" s="1" t="str">
        <f>IFERROR(__xludf.DUMMYFUNCTION("""COMPUTED_VALUE"""),"ORGANIC")</f>
        <v>ORGANIC</v>
      </c>
      <c r="D126" s="1" t="str">
        <f>IFERROR(__xludf.DUMMYFUNCTION("""COMPUTED_VALUE"""),"ILANO MARK")</f>
        <v>ILANO MARK</v>
      </c>
      <c r="E126" s="1" t="str">
        <f>IFERROR(__xludf.DUMMYFUNCTION("""COMPUTED_VALUE"""),"PLDT")</f>
        <v>PLDT</v>
      </c>
      <c r="F126" s="1">
        <f>IFERROR(__xludf.DUMMYFUNCTION("""COMPUTED_VALUE"""),2306174191)</f>
        <v>2306174191</v>
      </c>
      <c r="G126" s="1"/>
      <c r="H126" s="1" t="str">
        <f>IFERROR(__xludf.DUMMYFUNCTION("""COMPUTED_VALUE"""),"9542331699")</f>
        <v>9542331699</v>
      </c>
      <c r="I126" s="1">
        <f>IFERROR(__xludf.DUMMYFUNCTION("""COMPUTED_VALUE"""),9276378601)</f>
        <v>9276378601</v>
      </c>
      <c r="J126" s="1"/>
      <c r="K126" s="1" t="str">
        <f>IFERROR(__xludf.DUMMYFUNCTION("""COMPUTED_VALUE"""),"123")</f>
        <v>123</v>
      </c>
      <c r="L126" s="1" t="str">
        <f>IFERROR(__xludf.DUMMYFUNCTION("""COMPUTED_VALUE"""),"DREAMHOMES")</f>
        <v>DREAMHOMES</v>
      </c>
      <c r="M126" s="1"/>
      <c r="N126" s="1" t="str">
        <f>IFERROR(__xludf.DUMMYFUNCTION("""COMPUTED_VALUE"""),"SAN JUAN II")</f>
        <v>SAN JUAN II</v>
      </c>
      <c r="O126" s="1" t="str">
        <f>IFERROR(__xludf.DUMMYFUNCTION("""COMPUTED_VALUE"""),"GENERAL TRIAS")</f>
        <v>GENERAL TRIAS</v>
      </c>
      <c r="P126" s="1" t="str">
        <f>IFERROR(__xludf.DUMMYFUNCTION("""COMPUTED_VALUE"""),"CAVITE")</f>
        <v>CAVITE</v>
      </c>
      <c r="Q126" s="1" t="str">
        <f>IFERROR(__xludf.DUMMYFUNCTION("""COMPUTED_VALUE"""),"FIBR PLAN 1299")</f>
        <v>FIBR PLAN 1299</v>
      </c>
      <c r="R126" s="1" t="str">
        <f>IFERROR(__xludf.DUMMYFUNCTION("""COMPUTED_VALUE"""),"APPROVED")</f>
        <v>APPROVED</v>
      </c>
      <c r="S126" s="1"/>
      <c r="T126" s="1"/>
      <c r="U126" s="1"/>
      <c r="V126" s="1"/>
      <c r="W126" s="1"/>
    </row>
    <row r="127" customHeight="1" spans="1:23">
      <c r="A127" s="3">
        <f>IFERROR(__xludf.DUMMYFUNCTION("""COMPUTED_VALUE"""),46033)</f>
        <v>46033</v>
      </c>
      <c r="B127" s="1" t="str">
        <f>IFERROR(__xludf.DUMMYFUNCTION("""COMPUTED_VALUE"""),"LANZA, ANNALYN")</f>
        <v>LANZA, ANNALYN</v>
      </c>
      <c r="C127" s="1" t="str">
        <f>IFERROR(__xludf.DUMMYFUNCTION("""COMPUTED_VALUE"""),"ORGANIC")</f>
        <v>ORGANIC</v>
      </c>
      <c r="D127" s="1" t="str">
        <f>IFERROR(__xludf.DUMMYFUNCTION("""COMPUTED_VALUE"""),"ILANO MARK")</f>
        <v>ILANO MARK</v>
      </c>
      <c r="E127" s="1" t="str">
        <f>IFERROR(__xludf.DUMMYFUNCTION("""COMPUTED_VALUE"""),"PLDT")</f>
        <v>PLDT</v>
      </c>
      <c r="F127" s="1"/>
      <c r="G127" s="1"/>
      <c r="H127" s="1" t="str">
        <f>IFERROR(__xludf.DUMMYFUNCTION("""COMPUTED_VALUE"""),"9173028546")</f>
        <v>9173028546</v>
      </c>
      <c r="I127" s="1">
        <f>IFERROR(__xludf.DUMMYFUNCTION("""COMPUTED_VALUE"""),9471679530)</f>
        <v>9471679530</v>
      </c>
      <c r="J127" s="1"/>
      <c r="K127" s="1" t="str">
        <f>IFERROR(__xludf.DUMMYFUNCTION("""COMPUTED_VALUE"""),"9051")</f>
        <v>9051</v>
      </c>
      <c r="L127" s="1" t="str">
        <f>IFERROR(__xludf.DUMMYFUNCTION("""COMPUTED_VALUE"""),"CARASUCHI")</f>
        <v>CARASUCHI</v>
      </c>
      <c r="M127" s="1"/>
      <c r="N127" s="1" t="str">
        <f>IFERROR(__xludf.DUMMYFUNCTION("""COMPUTED_VALUE"""),"ANULING CERCA II")</f>
        <v>ANULING CERCA II</v>
      </c>
      <c r="O127" s="1" t="str">
        <f>IFERROR(__xludf.DUMMYFUNCTION("""COMPUTED_VALUE"""),"MENDEZ")</f>
        <v>MENDEZ</v>
      </c>
      <c r="P127" s="1" t="str">
        <f>IFERROR(__xludf.DUMMYFUNCTION("""COMPUTED_VALUE"""),"CAVITE")</f>
        <v>CAVITE</v>
      </c>
      <c r="Q127" s="1" t="str">
        <f>IFERROR(__xludf.DUMMYFUNCTION("""COMPUTED_VALUE"""),"FIBR PLAN 1299")</f>
        <v>FIBR PLAN 1299</v>
      </c>
      <c r="R127" s="1" t="str">
        <f>IFERROR(__xludf.DUMMYFUNCTION("""COMPUTED_VALUE"""),"RETURN FOR COMPLIANCE - AGENT")</f>
        <v>RETURN FOR COMPLIANCE - AGENT</v>
      </c>
      <c r="S127" s="1" t="str">
        <f>IFERROR(__xludf.DUMMYFUNCTION("""COMPUTED_VALUE"""),"PER SUBS HINDI SILA PUMIMA TAMPERING PO ITO FOR RE VISIT NG FRIDAY")</f>
        <v>PER SUBS HINDI SILA PUMIMA TAMPERING PO ITO FOR RE VISIT NG FRIDAY</v>
      </c>
      <c r="T127" s="1"/>
      <c r="U127" s="1"/>
      <c r="V127" s="1"/>
      <c r="W127" s="1"/>
    </row>
    <row r="128" customHeight="1" spans="1:23">
      <c r="A128" s="3">
        <f>IFERROR(__xludf.DUMMYFUNCTION("""COMPUTED_VALUE"""),46033)</f>
        <v>46033</v>
      </c>
      <c r="B128" s="1" t="str">
        <f>IFERROR(__xludf.DUMMYFUNCTION("""COMPUTED_VALUE"""),"FRANCISCO , ROSELYN")</f>
        <v>FRANCISCO , ROSELYN</v>
      </c>
      <c r="C128" s="1" t="str">
        <f>IFERROR(__xludf.DUMMYFUNCTION("""COMPUTED_VALUE"""),"ORGANIC")</f>
        <v>ORGANIC</v>
      </c>
      <c r="D128" s="1" t="str">
        <f>IFERROR(__xludf.DUMMYFUNCTION("""COMPUTED_VALUE"""),"JERIC NAVARRO")</f>
        <v>JERIC NAVARRO</v>
      </c>
      <c r="E128" s="1" t="str">
        <f>IFERROR(__xludf.DUMMYFUNCTION("""COMPUTED_VALUE"""),"PLDT")</f>
        <v>PLDT</v>
      </c>
      <c r="F128" s="1"/>
      <c r="G128" s="1"/>
      <c r="H128" s="1" t="str">
        <f>IFERROR(__xludf.DUMMYFUNCTION("""COMPUTED_VALUE"""),"9981982475")</f>
        <v>9981982475</v>
      </c>
      <c r="I128" s="1">
        <f>IFERROR(__xludf.DUMMYFUNCTION("""COMPUTED_VALUE"""),9664829545)</f>
        <v>9664829545</v>
      </c>
      <c r="J128" s="1"/>
      <c r="K128" s="1" t="str">
        <f>IFERROR(__xludf.DUMMYFUNCTION("""COMPUTED_VALUE"""),"BLK 42 LOT 23")</f>
        <v>BLK 42 LOT 23</v>
      </c>
      <c r="L128" s="1" t="str">
        <f>IFERROR(__xludf.DUMMYFUNCTION("""COMPUTED_VALUE"""),"PHASE 2")</f>
        <v>PHASE 2</v>
      </c>
      <c r="M128" s="1" t="str">
        <f>IFERROR(__xludf.DUMMYFUNCTION("""COMPUTED_VALUE"""),"TERRA VERDE ")</f>
        <v>TERRA VERDE </v>
      </c>
      <c r="N128" s="1" t="str">
        <f>IFERROR(__xludf.DUMMYFUNCTION("""COMPUTED_VALUE"""),"BANCAL")</f>
        <v>BANCAL</v>
      </c>
      <c r="O128" s="1" t="str">
        <f>IFERROR(__xludf.DUMMYFUNCTION("""COMPUTED_VALUE"""),"CARMONA")</f>
        <v>CARMONA</v>
      </c>
      <c r="P128" s="1" t="str">
        <f>IFERROR(__xludf.DUMMYFUNCTION("""COMPUTED_VALUE"""),"CAVITE")</f>
        <v>CAVITE</v>
      </c>
      <c r="Q128" s="1" t="str">
        <f>IFERROR(__xludf.DUMMYFUNCTION("""COMPUTED_VALUE"""),"FIBR PLAN 1399")</f>
        <v>FIBR PLAN 1399</v>
      </c>
      <c r="R128" s="1" t="str">
        <f>IFERROR(__xludf.DUMMYFUNCTION("""COMPUTED_VALUE"""),"HOLD")</f>
        <v>HOLD</v>
      </c>
      <c r="S128" s="1" t="str">
        <f>IFERROR(__xludf.DUMMYFUNCTION("""COMPUTED_VALUE"""),"FOR CAFAC VERIFICATION")</f>
        <v>FOR CAFAC VERIFICATION</v>
      </c>
      <c r="T128" s="1"/>
      <c r="U128" s="1"/>
      <c r="V128" s="1"/>
      <c r="W128" s="1"/>
    </row>
    <row r="129" customHeight="1" spans="1:23">
      <c r="A129" s="3">
        <f>IFERROR(__xludf.DUMMYFUNCTION("""COMPUTED_VALUE"""),46034)</f>
        <v>46034</v>
      </c>
      <c r="B129" s="1" t="str">
        <f>IFERROR(__xludf.DUMMYFUNCTION("""COMPUTED_VALUE"""),"ALOS, CHARLS LAURENZ")</f>
        <v>ALOS, CHARLS LAURENZ</v>
      </c>
      <c r="C129" s="1" t="str">
        <f>IFERROR(__xludf.DUMMYFUNCTION("""COMPUTED_VALUE"""),"ORGANIC")</f>
        <v>ORGANIC</v>
      </c>
      <c r="D129" s="1" t="str">
        <f>IFERROR(__xludf.DUMMYFUNCTION("""COMPUTED_VALUE"""),"ILANO MARK")</f>
        <v>ILANO MARK</v>
      </c>
      <c r="E129" s="1" t="str">
        <f>IFERROR(__xludf.DUMMYFUNCTION("""COMPUTED_VALUE"""),"PLDT")</f>
        <v>PLDT</v>
      </c>
      <c r="F129" s="1">
        <f>IFERROR(__xludf.DUMMYFUNCTION("""COMPUTED_VALUE"""),2306187980)</f>
        <v>2306187980</v>
      </c>
      <c r="G129" s="1"/>
      <c r="H129" s="1" t="str">
        <f>IFERROR(__xludf.DUMMYFUNCTION("""COMPUTED_VALUE"""),"9701800389")</f>
        <v>9701800389</v>
      </c>
      <c r="I129" s="1"/>
      <c r="J129" s="1"/>
      <c r="K129" s="1" t="str">
        <f>IFERROR(__xludf.DUMMYFUNCTION("""COMPUTED_VALUE"""),"BLK 3")</f>
        <v>BLK 3</v>
      </c>
      <c r="L129" s="1" t="str">
        <f>IFERROR(__xludf.DUMMYFUNCTION("""COMPUTED_VALUE"""),"EXCESS LOT")</f>
        <v>EXCESS LOT</v>
      </c>
      <c r="M129" s="1"/>
      <c r="N129" s="1" t="str">
        <f>IFERROR(__xludf.DUMMYFUNCTION("""COMPUTED_VALUE"""),"FIORELLO CALIMAG (AREA C)")</f>
        <v>FIORELLO CALIMAG (AREA C)</v>
      </c>
      <c r="O129" s="1" t="str">
        <f>IFERROR(__xludf.DUMMYFUNCTION("""COMPUTED_VALUE"""),"GEN MARIANO ALVAREZ")</f>
        <v>GEN MARIANO ALVAREZ</v>
      </c>
      <c r="P129" s="1" t="str">
        <f>IFERROR(__xludf.DUMMYFUNCTION("""COMPUTED_VALUE"""),"CAVITE")</f>
        <v>CAVITE</v>
      </c>
      <c r="Q129" s="1" t="str">
        <f>IFERROR(__xludf.DUMMYFUNCTION("""COMPUTED_VALUE"""),"FIBR PLAN 1599")</f>
        <v>FIBR PLAN 1599</v>
      </c>
      <c r="R129" s="1" t="str">
        <f>IFERROR(__xludf.DUMMYFUNCTION("""COMPUTED_VALUE"""),"APPROVED")</f>
        <v>APPROVED</v>
      </c>
      <c r="S129" s="1"/>
      <c r="T129" s="1"/>
      <c r="U129" s="1"/>
      <c r="V129" s="1"/>
      <c r="W129" s="1"/>
    </row>
    <row r="130" customHeight="1" spans="1:23">
      <c r="A130" s="3">
        <f>IFERROR(__xludf.DUMMYFUNCTION("""COMPUTED_VALUE"""),46034)</f>
        <v>46034</v>
      </c>
      <c r="B130" s="1" t="str">
        <f>IFERROR(__xludf.DUMMYFUNCTION("""COMPUTED_VALUE"""),"FRANCISCO , ROSELYN")</f>
        <v>FRANCISCO , ROSELYN</v>
      </c>
      <c r="C130" s="1" t="str">
        <f>IFERROR(__xludf.DUMMYFUNCTION("""COMPUTED_VALUE"""),"FLA")</f>
        <v>FLA</v>
      </c>
      <c r="D130" s="1" t="str">
        <f>IFERROR(__xludf.DUMMYFUNCTION("""COMPUTED_VALUE"""),"JERIC NAVARRO")</f>
        <v>JERIC NAVARRO</v>
      </c>
      <c r="E130" s="1" t="str">
        <f>IFERROR(__xludf.DUMMYFUNCTION("""COMPUTED_VALUE"""),"PLDT")</f>
        <v>PLDT</v>
      </c>
      <c r="F130" s="1">
        <f>IFERROR(__xludf.DUMMYFUNCTION("""COMPUTED_VALUE"""),2306191838)</f>
        <v>2306191838</v>
      </c>
      <c r="G130" s="1"/>
      <c r="H130" s="1" t="str">
        <f>IFERROR(__xludf.DUMMYFUNCTION("""COMPUTED_VALUE"""),"9766182496")</f>
        <v>9766182496</v>
      </c>
      <c r="I130" s="1">
        <f>IFERROR(__xludf.DUMMYFUNCTION("""COMPUTED_VALUE"""),9054025426)</f>
        <v>9054025426</v>
      </c>
      <c r="J130" s="1"/>
      <c r="K130" s="1" t="str">
        <f>IFERROR(__xludf.DUMMYFUNCTION("""COMPUTED_VALUE"""),"BLK 32 LOT 24")</f>
        <v>BLK 32 LOT 24</v>
      </c>
      <c r="L130" s="1" t="str">
        <f>IFERROR(__xludf.DUMMYFUNCTION("""COMPUTED_VALUE"""),"BAHAY PANGARAP")</f>
        <v>BAHAY PANGARAP</v>
      </c>
      <c r="M130" s="1"/>
      <c r="N130" s="1" t="str">
        <f>IFERROR(__xludf.DUMMYFUNCTION("""COMPUTED_VALUE"""),"SAMPALOC IV")</f>
        <v>SAMPALOC IV</v>
      </c>
      <c r="O130" s="1" t="str">
        <f>IFERROR(__xludf.DUMMYFUNCTION("""COMPUTED_VALUE"""),"DASMARINAS")</f>
        <v>DASMARINAS</v>
      </c>
      <c r="P130" s="1" t="str">
        <f>IFERROR(__xludf.DUMMYFUNCTION("""COMPUTED_VALUE"""),"CAVITE")</f>
        <v>CAVITE</v>
      </c>
      <c r="Q130" s="1" t="str">
        <f>IFERROR(__xludf.DUMMYFUNCTION("""COMPUTED_VALUE"""),"FIBR PLAN 1699")</f>
        <v>FIBR PLAN 1699</v>
      </c>
      <c r="R130" s="1" t="str">
        <f>IFERROR(__xludf.DUMMYFUNCTION("""COMPUTED_VALUE"""),"APPROVED")</f>
        <v>APPROVED</v>
      </c>
      <c r="S130" s="1"/>
      <c r="T130" s="1"/>
      <c r="U130" s="1"/>
      <c r="V130" s="1"/>
      <c r="W130" s="1"/>
    </row>
    <row r="131" customHeight="1" spans="1:23">
      <c r="A131" s="3">
        <f>IFERROR(__xludf.DUMMYFUNCTION("""COMPUTED_VALUE"""),46034)</f>
        <v>46034</v>
      </c>
      <c r="B131" s="1" t="str">
        <f>IFERROR(__xludf.DUMMYFUNCTION("""COMPUTED_VALUE"""),"GABAY, MANUEL")</f>
        <v>GABAY, MANUEL</v>
      </c>
      <c r="C131" s="1" t="str">
        <f>IFERROR(__xludf.DUMMYFUNCTION("""COMPUTED_VALUE"""),"FLA")</f>
        <v>FLA</v>
      </c>
      <c r="D131" s="1" t="str">
        <f>IFERROR(__xludf.DUMMYFUNCTION("""COMPUTED_VALUE"""),"JERIC NAVARRO")</f>
        <v>JERIC NAVARRO</v>
      </c>
      <c r="E131" s="1" t="str">
        <f>IFERROR(__xludf.DUMMYFUNCTION("""COMPUTED_VALUE"""),"PLDT")</f>
        <v>PLDT</v>
      </c>
      <c r="F131" s="1">
        <f>IFERROR(__xludf.DUMMYFUNCTION("""COMPUTED_VALUE"""),2306192024)</f>
        <v>2306192024</v>
      </c>
      <c r="G131" s="1"/>
      <c r="H131" s="1" t="str">
        <f>IFERROR(__xludf.DUMMYFUNCTION("""COMPUTED_VALUE"""),"9943848367")</f>
        <v>9943848367</v>
      </c>
      <c r="I131" s="1">
        <f>IFERROR(__xludf.DUMMYFUNCTION("""COMPUTED_VALUE"""),9703906422)</f>
        <v>9703906422</v>
      </c>
      <c r="J131" s="1"/>
      <c r="K131" s="1" t="str">
        <f>IFERROR(__xludf.DUMMYFUNCTION("""COMPUTED_VALUE"""),"20")</f>
        <v>20</v>
      </c>
      <c r="L131" s="1" t="str">
        <f>IFERROR(__xludf.DUMMYFUNCTION("""COMPUTED_VALUE"""),"PHASE 4")</f>
        <v>PHASE 4</v>
      </c>
      <c r="M131" s="1" t="str">
        <f>IFERROR(__xludf.DUMMYFUNCTION("""COMPUTED_VALUE"""),"UPPER MOONLIGHT")</f>
        <v>UPPER MOONLIGHT</v>
      </c>
      <c r="N131" s="1" t="str">
        <f>IFERROR(__xludf.DUMMYFUNCTION("""COMPUTED_VALUE"""),"GREGORIA DE JESUS")</f>
        <v>GREGORIA DE JESUS</v>
      </c>
      <c r="O131" s="1" t="str">
        <f>IFERROR(__xludf.DUMMYFUNCTION("""COMPUTED_VALUE"""),"GEN MARIANO ALVAREZ")</f>
        <v>GEN MARIANO ALVAREZ</v>
      </c>
      <c r="P131" s="1" t="str">
        <f>IFERROR(__xludf.DUMMYFUNCTION("""COMPUTED_VALUE"""),"CAVITE")</f>
        <v>CAVITE</v>
      </c>
      <c r="Q131" s="1" t="str">
        <f>IFERROR(__xludf.DUMMYFUNCTION("""COMPUTED_VALUE"""),"FIBR PLAN 1599")</f>
        <v>FIBR PLAN 1599</v>
      </c>
      <c r="R131" s="1" t="str">
        <f>IFERROR(__xludf.DUMMYFUNCTION("""COMPUTED_VALUE"""),"APPROVED")</f>
        <v>APPROVED</v>
      </c>
      <c r="S131" s="1"/>
      <c r="T131" s="1"/>
      <c r="U131" s="1"/>
      <c r="V131" s="1"/>
      <c r="W131" s="1"/>
    </row>
    <row r="132" customHeight="1" spans="1:23">
      <c r="A132" s="3">
        <f>IFERROR(__xludf.DUMMYFUNCTION("""COMPUTED_VALUE"""),46034)</f>
        <v>46034</v>
      </c>
      <c r="B132" s="1" t="str">
        <f>IFERROR(__xludf.DUMMYFUNCTION("""COMPUTED_VALUE"""),"ALOS, CHARLS LAURENZ")</f>
        <v>ALOS, CHARLS LAURENZ</v>
      </c>
      <c r="C132" s="1" t="str">
        <f>IFERROR(__xludf.DUMMYFUNCTION("""COMPUTED_VALUE"""),"ORGANIC")</f>
        <v>ORGANIC</v>
      </c>
      <c r="D132" s="1" t="str">
        <f>IFERROR(__xludf.DUMMYFUNCTION("""COMPUTED_VALUE"""),"ILANO MARK")</f>
        <v>ILANO MARK</v>
      </c>
      <c r="E132" s="1" t="str">
        <f>IFERROR(__xludf.DUMMYFUNCTION("""COMPUTED_VALUE"""),"PLDT")</f>
        <v>PLDT</v>
      </c>
      <c r="F132" s="1">
        <f>IFERROR(__xludf.DUMMYFUNCTION("""COMPUTED_VALUE"""),2306192376)</f>
        <v>2306192376</v>
      </c>
      <c r="G132" s="1"/>
      <c r="H132" s="1" t="str">
        <f>IFERROR(__xludf.DUMMYFUNCTION("""COMPUTED_VALUE"""),"9923046812")</f>
        <v>9923046812</v>
      </c>
      <c r="I132" s="1"/>
      <c r="J132" s="1"/>
      <c r="K132" s="1" t="str">
        <f>IFERROR(__xludf.DUMMYFUNCTION("""COMPUTED_VALUE"""),"292C")</f>
        <v>292C</v>
      </c>
      <c r="L132" s="1" t="str">
        <f>IFERROR(__xludf.DUMMYFUNCTION("""COMPUTED_VALUE"""),"REYES COMPOUND")</f>
        <v>REYES COMPOUND</v>
      </c>
      <c r="M132" s="1"/>
      <c r="N132" s="1" t="str">
        <f>IFERROR(__xludf.DUMMYFUNCTION("""COMPUTED_VALUE"""),"POOC I")</f>
        <v>POOC I</v>
      </c>
      <c r="O132" s="1" t="str">
        <f>IFERROR(__xludf.DUMMYFUNCTION("""COMPUTED_VALUE"""),"SILANG")</f>
        <v>SILANG</v>
      </c>
      <c r="P132" s="1" t="str">
        <f>IFERROR(__xludf.DUMMYFUNCTION("""COMPUTED_VALUE"""),"CAVITE")</f>
        <v>CAVITE</v>
      </c>
      <c r="Q132" s="1" t="str">
        <f>IFERROR(__xludf.DUMMYFUNCTION("""COMPUTED_VALUE"""),"FIBR PLAN 999 W/ CIGNAL")</f>
        <v>FIBR PLAN 999 W/ CIGNAL</v>
      </c>
      <c r="R132" s="1" t="str">
        <f>IFERROR(__xludf.DUMMYFUNCTION("""COMPUTED_VALUE"""),"APPROVED")</f>
        <v>APPROVED</v>
      </c>
      <c r="S132" s="1"/>
      <c r="T132" s="1"/>
      <c r="U132" s="1"/>
      <c r="V132" s="1"/>
      <c r="W132" s="1"/>
    </row>
    <row r="133" customHeight="1" spans="1:23">
      <c r="A133" s="3">
        <f>IFERROR(__xludf.DUMMYFUNCTION("""COMPUTED_VALUE"""),46034)</f>
        <v>46034</v>
      </c>
      <c r="B133" s="1" t="str">
        <f>IFERROR(__xludf.DUMMYFUNCTION("""COMPUTED_VALUE"""),"GABAY, MANUEL")</f>
        <v>GABAY, MANUEL</v>
      </c>
      <c r="C133" s="1" t="str">
        <f>IFERROR(__xludf.DUMMYFUNCTION("""COMPUTED_VALUE"""),"FLA")</f>
        <v>FLA</v>
      </c>
      <c r="D133" s="1" t="str">
        <f>IFERROR(__xludf.DUMMYFUNCTION("""COMPUTED_VALUE"""),"JERIC NAVARRO")</f>
        <v>JERIC NAVARRO</v>
      </c>
      <c r="E133" s="1" t="str">
        <f>IFERROR(__xludf.DUMMYFUNCTION("""COMPUTED_VALUE"""),"PLDT")</f>
        <v>PLDT</v>
      </c>
      <c r="F133" s="1">
        <f>IFERROR(__xludf.DUMMYFUNCTION("""COMPUTED_VALUE"""),2306192972)</f>
        <v>2306192972</v>
      </c>
      <c r="G133" s="1"/>
      <c r="H133" s="1" t="str">
        <f>IFERROR(__xludf.DUMMYFUNCTION("""COMPUTED_VALUE"""),"9514784754")</f>
        <v>9514784754</v>
      </c>
      <c r="I133" s="1">
        <f>IFERROR(__xludf.DUMMYFUNCTION("""COMPUTED_VALUE"""),9628966534)</f>
        <v>9628966534</v>
      </c>
      <c r="J133" s="1"/>
      <c r="K133" s="1" t="str">
        <f>IFERROR(__xludf.DUMMYFUNCTION("""COMPUTED_VALUE"""),"BLK 1 LOT 4")</f>
        <v>BLK 1 LOT 4</v>
      </c>
      <c r="L133" s="1" t="str">
        <f>IFERROR(__xludf.DUMMYFUNCTION("""COMPUTED_VALUE"""),"DEVILLA FARM")</f>
        <v>DEVILLA FARM</v>
      </c>
      <c r="M133" s="1"/>
      <c r="N133" s="1" t="str">
        <f>IFERROR(__xludf.DUMMYFUNCTION("""COMPUTED_VALUE"""),"SANTA TERESA")</f>
        <v>SANTA TERESA</v>
      </c>
      <c r="O133" s="1" t="str">
        <f>IFERROR(__xludf.DUMMYFUNCTION("""COMPUTED_VALUE"""),"ALFONSO")</f>
        <v>ALFONSO</v>
      </c>
      <c r="P133" s="1" t="str">
        <f>IFERROR(__xludf.DUMMYFUNCTION("""COMPUTED_VALUE"""),"CAVITE")</f>
        <v>CAVITE</v>
      </c>
      <c r="Q133" s="1" t="str">
        <f>IFERROR(__xludf.DUMMYFUNCTION("""COMPUTED_VALUE"""),"FIBR PLAN 1399")</f>
        <v>FIBR PLAN 1399</v>
      </c>
      <c r="R133" s="1" t="str">
        <f>IFERROR(__xludf.DUMMYFUNCTION("""COMPUTED_VALUE"""),"APPROVED")</f>
        <v>APPROVED</v>
      </c>
      <c r="S133" s="1"/>
      <c r="T133" s="1"/>
      <c r="U133" s="1"/>
      <c r="V133" s="1"/>
      <c r="W133" s="1"/>
    </row>
    <row r="134" customHeight="1" spans="1:23">
      <c r="A134" s="3">
        <f>IFERROR(__xludf.DUMMYFUNCTION("""COMPUTED_VALUE"""),46034)</f>
        <v>46034</v>
      </c>
      <c r="B134" s="1" t="str">
        <f>IFERROR(__xludf.DUMMYFUNCTION("""COMPUTED_VALUE"""),"TIONGSON, ANGELINE")</f>
        <v>TIONGSON, ANGELINE</v>
      </c>
      <c r="C134" s="1" t="str">
        <f>IFERROR(__xludf.DUMMYFUNCTION("""COMPUTED_VALUE"""),"FLA")</f>
        <v>FLA</v>
      </c>
      <c r="D134" s="1" t="str">
        <f>IFERROR(__xludf.DUMMYFUNCTION("""COMPUTED_VALUE"""),"JERIC NAVARRO")</f>
        <v>JERIC NAVARRO</v>
      </c>
      <c r="E134" s="1" t="str">
        <f>IFERROR(__xludf.DUMMYFUNCTION("""COMPUTED_VALUE"""),"PLDT")</f>
        <v>PLDT</v>
      </c>
      <c r="F134" s="1">
        <f>IFERROR(__xludf.DUMMYFUNCTION("""COMPUTED_VALUE"""),2306194746)</f>
        <v>2306194746</v>
      </c>
      <c r="G134" s="1"/>
      <c r="H134" s="1" t="str">
        <f>IFERROR(__xludf.DUMMYFUNCTION("""COMPUTED_VALUE"""),"9151912405")</f>
        <v>9151912405</v>
      </c>
      <c r="I134" s="1">
        <f>IFERROR(__xludf.DUMMYFUNCTION("""COMPUTED_VALUE"""),9950134870)</f>
        <v>9950134870</v>
      </c>
      <c r="J134" s="1"/>
      <c r="K134" s="1" t="str">
        <f>IFERROR(__xludf.DUMMYFUNCTION("""COMPUTED_VALUE"""),"BLK 54 LOT 42")</f>
        <v>BLK 54 LOT 42</v>
      </c>
      <c r="L134" s="1" t="str">
        <f>IFERROR(__xludf.DUMMYFUNCTION("""COMPUTED_VALUE"""),"PHASE 4")</f>
        <v>PHASE 4</v>
      </c>
      <c r="M134" s="1" t="str">
        <f>IFERROR(__xludf.DUMMYFUNCTION("""COMPUTED_VALUE"""),"ALTA TIERA")</f>
        <v>ALTA TIERA</v>
      </c>
      <c r="N134" s="1" t="str">
        <f>IFERROR(__xludf.DUMMYFUNCTION("""COMPUTED_VALUE"""),"ALDIANO OLAES")</f>
        <v>ALDIANO OLAES</v>
      </c>
      <c r="O134" s="1" t="str">
        <f>IFERROR(__xludf.DUMMYFUNCTION("""COMPUTED_VALUE"""),"GEN MARIANO ALVAREZ")</f>
        <v>GEN MARIANO ALVAREZ</v>
      </c>
      <c r="P134" s="1" t="str">
        <f>IFERROR(__xludf.DUMMYFUNCTION("""COMPUTED_VALUE"""),"CAVITE")</f>
        <v>CAVITE</v>
      </c>
      <c r="Q134" s="1" t="str">
        <f>IFERROR(__xludf.DUMMYFUNCTION("""COMPUTED_VALUE"""),"SWITCH PLAN 1399")</f>
        <v>SWITCH PLAN 1399</v>
      </c>
      <c r="R134" s="1" t="str">
        <f>IFERROR(__xludf.DUMMYFUNCTION("""COMPUTED_VALUE"""),"APPROVED")</f>
        <v>APPROVED</v>
      </c>
      <c r="S134" s="1" t="str">
        <f>IFERROR(__xludf.DUMMYFUNCTION("""COMPUTED_VALUE"""),"A")</f>
        <v>A</v>
      </c>
      <c r="T134" s="1"/>
      <c r="U134" s="1"/>
      <c r="V134" s="1"/>
      <c r="W134" s="1"/>
    </row>
    <row r="135" customHeight="1" spans="1:23">
      <c r="A135" s="3">
        <f>IFERROR(__xludf.DUMMYFUNCTION("""COMPUTED_VALUE"""),46034)</f>
        <v>46034</v>
      </c>
      <c r="B135" s="1" t="str">
        <f>IFERROR(__xludf.DUMMYFUNCTION("""COMPUTED_VALUE"""),"LANZA, ANNALYN")</f>
        <v>LANZA, ANNALYN</v>
      </c>
      <c r="C135" s="1" t="str">
        <f>IFERROR(__xludf.DUMMYFUNCTION("""COMPUTED_VALUE"""),"ORGANIC")</f>
        <v>ORGANIC</v>
      </c>
      <c r="D135" s="1" t="str">
        <f>IFERROR(__xludf.DUMMYFUNCTION("""COMPUTED_VALUE"""),"ILANO MARK")</f>
        <v>ILANO MARK</v>
      </c>
      <c r="E135" s="1" t="str">
        <f>IFERROR(__xludf.DUMMYFUNCTION("""COMPUTED_VALUE"""),"PLDT")</f>
        <v>PLDT</v>
      </c>
      <c r="F135" s="1">
        <f>IFERROR(__xludf.DUMMYFUNCTION("""COMPUTED_VALUE"""),2306194037)</f>
        <v>2306194037</v>
      </c>
      <c r="G135" s="1"/>
      <c r="H135" s="1" t="str">
        <f>IFERROR(__xludf.DUMMYFUNCTION("""COMPUTED_VALUE"""),"9539925898")</f>
        <v>9539925898</v>
      </c>
      <c r="I135" s="1"/>
      <c r="J135" s="1"/>
      <c r="K135" s="1" t="str">
        <f>IFERROR(__xludf.DUMMYFUNCTION("""COMPUTED_VALUE"""),"416")</f>
        <v>416</v>
      </c>
      <c r="L135" s="1" t="str">
        <f>IFERROR(__xludf.DUMMYFUNCTION("""COMPUTED_VALUE"""),"J GATPANDAN")</f>
        <v>J GATPANDAN</v>
      </c>
      <c r="M135" s="1"/>
      <c r="N135" s="1" t="str">
        <f>IFERROR(__xludf.DUMMYFUNCTION("""COMPUTED_VALUE"""),"ANULING CERCA II")</f>
        <v>ANULING CERCA II</v>
      </c>
      <c r="O135" s="1" t="str">
        <f>IFERROR(__xludf.DUMMYFUNCTION("""COMPUTED_VALUE"""),"MENDEZ")</f>
        <v>MENDEZ</v>
      </c>
      <c r="P135" s="1" t="str">
        <f>IFERROR(__xludf.DUMMYFUNCTION("""COMPUTED_VALUE"""),"CAVITE")</f>
        <v>CAVITE</v>
      </c>
      <c r="Q135" s="1" t="str">
        <f>IFERROR(__xludf.DUMMYFUNCTION("""COMPUTED_VALUE"""),"FIBR PLAN 1399")</f>
        <v>FIBR PLAN 1399</v>
      </c>
      <c r="R135" s="1" t="str">
        <f>IFERROR(__xludf.DUMMYFUNCTION("""COMPUTED_VALUE"""),"APPROVED")</f>
        <v>APPROVED</v>
      </c>
      <c r="S135" s="1"/>
      <c r="T135" s="1"/>
      <c r="U135" s="1"/>
      <c r="V135" s="1"/>
      <c r="W135" s="1"/>
    </row>
    <row r="136" customHeight="1" spans="1:23">
      <c r="A136" s="3">
        <f>IFERROR(__xludf.DUMMYFUNCTION("""COMPUTED_VALUE"""),46034)</f>
        <v>46034</v>
      </c>
      <c r="B136" s="1" t="str">
        <f>IFERROR(__xludf.DUMMYFUNCTION("""COMPUTED_VALUE"""),"LANZA, ANNALYN")</f>
        <v>LANZA, ANNALYN</v>
      </c>
      <c r="C136" s="1" t="str">
        <f>IFERROR(__xludf.DUMMYFUNCTION("""COMPUTED_VALUE"""),"ORGANIC")</f>
        <v>ORGANIC</v>
      </c>
      <c r="D136" s="1" t="str">
        <f>IFERROR(__xludf.DUMMYFUNCTION("""COMPUTED_VALUE"""),"ILANO MARK")</f>
        <v>ILANO MARK</v>
      </c>
      <c r="E136" s="1" t="str">
        <f>IFERROR(__xludf.DUMMYFUNCTION("""COMPUTED_VALUE"""),"PLDT")</f>
        <v>PLDT</v>
      </c>
      <c r="F136" s="1">
        <f>IFERROR(__xludf.DUMMYFUNCTION("""COMPUTED_VALUE"""),2306195342)</f>
        <v>2306195342</v>
      </c>
      <c r="G136" s="1"/>
      <c r="H136" s="1" t="str">
        <f>IFERROR(__xludf.DUMMYFUNCTION("""COMPUTED_VALUE"""),"9959901520")</f>
        <v>9959901520</v>
      </c>
      <c r="I136" s="1"/>
      <c r="J136" s="1"/>
      <c r="K136" s="1" t="str">
        <f>IFERROR(__xludf.DUMMYFUNCTION("""COMPUTED_VALUE"""),"9008")</f>
        <v>9008</v>
      </c>
      <c r="L136" s="1" t="str">
        <f>IFERROR(__xludf.DUMMYFUNCTION("""COMPUTED_VALUE"""),"J GATPANDAN")</f>
        <v>J GATPANDAN</v>
      </c>
      <c r="M136" s="1"/>
      <c r="N136" s="1" t="str">
        <f>IFERROR(__xludf.DUMMYFUNCTION("""COMPUTED_VALUE"""),"ANULING CERCA II")</f>
        <v>ANULING CERCA II</v>
      </c>
      <c r="O136" s="1" t="str">
        <f>IFERROR(__xludf.DUMMYFUNCTION("""COMPUTED_VALUE"""),"MENDEZ")</f>
        <v>MENDEZ</v>
      </c>
      <c r="P136" s="1" t="str">
        <f>IFERROR(__xludf.DUMMYFUNCTION("""COMPUTED_VALUE"""),"CAVITE")</f>
        <v>CAVITE</v>
      </c>
      <c r="Q136" s="1" t="str">
        <f>IFERROR(__xludf.DUMMYFUNCTION("""COMPUTED_VALUE"""),"FIBR PLAN 1399")</f>
        <v>FIBR PLAN 1399</v>
      </c>
      <c r="R136" s="1" t="str">
        <f>IFERROR(__xludf.DUMMYFUNCTION("""COMPUTED_VALUE"""),"APPROVED")</f>
        <v>APPROVED</v>
      </c>
      <c r="S136" s="1"/>
      <c r="T136" s="1"/>
      <c r="U136" s="1"/>
      <c r="V136" s="1"/>
      <c r="W136" s="1"/>
    </row>
    <row r="137" customHeight="1" spans="1:23">
      <c r="A137" s="3">
        <f>IFERROR(__xludf.DUMMYFUNCTION("""COMPUTED_VALUE"""),46034)</f>
        <v>46034</v>
      </c>
      <c r="B137" s="1" t="str">
        <f>IFERROR(__xludf.DUMMYFUNCTION("""COMPUTED_VALUE"""),"MALIWAT MARK ELVIN")</f>
        <v>MALIWAT MARK ELVIN</v>
      </c>
      <c r="C137" s="1" t="str">
        <f>IFERROR(__xludf.DUMMYFUNCTION("""COMPUTED_VALUE"""),"FLA")</f>
        <v>FLA</v>
      </c>
      <c r="D137" s="1" t="str">
        <f>IFERROR(__xludf.DUMMYFUNCTION("""COMPUTED_VALUE"""),"JERIC NAVARRO")</f>
        <v>JERIC NAVARRO</v>
      </c>
      <c r="E137" s="1" t="str">
        <f>IFERROR(__xludf.DUMMYFUNCTION("""COMPUTED_VALUE"""),"PLDT")</f>
        <v>PLDT</v>
      </c>
      <c r="F137" s="1">
        <f>IFERROR(__xludf.DUMMYFUNCTION("""COMPUTED_VALUE"""),2306196498)</f>
        <v>2306196498</v>
      </c>
      <c r="G137" s="1"/>
      <c r="H137" s="1" t="str">
        <f>IFERROR(__xludf.DUMMYFUNCTION("""COMPUTED_VALUE"""),"9152743426")</f>
        <v>9152743426</v>
      </c>
      <c r="I137" s="1">
        <f>IFERROR(__xludf.DUMMYFUNCTION("""COMPUTED_VALUE"""),9687698237)</f>
        <v>9687698237</v>
      </c>
      <c r="J137" s="1"/>
      <c r="K137" s="1" t="str">
        <f>IFERROR(__xludf.DUMMYFUNCTION("""COMPUTED_VALUE"""),"BLK 1 LOT 28")</f>
        <v>BLK 1 LOT 28</v>
      </c>
      <c r="L137" s="1" t="str">
        <f>IFERROR(__xludf.DUMMYFUNCTION("""COMPUTED_VALUE"""),"PHASE C")</f>
        <v>PHASE C</v>
      </c>
      <c r="M137" s="1" t="str">
        <f>IFERROR(__xludf.DUMMYFUNCTION("""COMPUTED_VALUE"""),"LA TERREZA VILLAS")</f>
        <v>LA TERREZA VILLAS</v>
      </c>
      <c r="N137" s="1" t="str">
        <f>IFERROR(__xludf.DUMMYFUNCTION("""COMPUTED_VALUE"""),"BUCANDALA I")</f>
        <v>BUCANDALA I</v>
      </c>
      <c r="O137" s="1" t="str">
        <f>IFERROR(__xludf.DUMMYFUNCTION("""COMPUTED_VALUE"""),"IMUS")</f>
        <v>IMUS</v>
      </c>
      <c r="P137" s="1" t="str">
        <f>IFERROR(__xludf.DUMMYFUNCTION("""COMPUTED_VALUE"""),"CAVITE")</f>
        <v>CAVITE</v>
      </c>
      <c r="Q137" s="1" t="str">
        <f>IFERROR(__xludf.DUMMYFUNCTION("""COMPUTED_VALUE"""),"FIBR PLAN 1599")</f>
        <v>FIBR PLAN 1599</v>
      </c>
      <c r="R137" s="1" t="str">
        <f>IFERROR(__xludf.DUMMYFUNCTION("""COMPUTED_VALUE"""),"APPROVED")</f>
        <v>APPROVED</v>
      </c>
      <c r="S137" s="1"/>
      <c r="T137" s="1"/>
      <c r="U137" s="1"/>
      <c r="V137" s="1"/>
      <c r="W137" s="1"/>
    </row>
    <row r="138" customHeight="1" spans="1:23">
      <c r="A138" s="3">
        <f>IFERROR(__xludf.DUMMYFUNCTION("""COMPUTED_VALUE"""),46035)</f>
        <v>46035</v>
      </c>
      <c r="B138" s="1" t="str">
        <f>IFERROR(__xludf.DUMMYFUNCTION("""COMPUTED_VALUE"""),"DELA ROSA, JENNELYN")</f>
        <v>DELA ROSA, JENNELYN</v>
      </c>
      <c r="C138" s="1" t="str">
        <f>IFERROR(__xludf.DUMMYFUNCTION("""COMPUTED_VALUE"""),"ORGANIC")</f>
        <v>ORGANIC</v>
      </c>
      <c r="D138" s="1" t="str">
        <f>IFERROR(__xludf.DUMMYFUNCTION("""COMPUTED_VALUE"""),"ILANO MARK")</f>
        <v>ILANO MARK</v>
      </c>
      <c r="E138" s="1" t="str">
        <f>IFERROR(__xludf.DUMMYFUNCTION("""COMPUTED_VALUE"""),"PLDT")</f>
        <v>PLDT</v>
      </c>
      <c r="F138" s="1">
        <f>IFERROR(__xludf.DUMMYFUNCTION("""COMPUTED_VALUE"""),2306209045)</f>
        <v>2306209045</v>
      </c>
      <c r="G138" s="1"/>
      <c r="H138" s="1" t="str">
        <f>IFERROR(__xludf.DUMMYFUNCTION("""COMPUTED_VALUE"""),"9277683411")</f>
        <v>9277683411</v>
      </c>
      <c r="I138" s="1"/>
      <c r="J138" s="1"/>
      <c r="K138" s="1" t="str">
        <f>IFERROR(__xludf.DUMMYFUNCTION("""COMPUTED_VALUE"""),"BLK 2 LOT 8A")</f>
        <v>BLK 2 LOT 8A</v>
      </c>
      <c r="L138" s="1" t="str">
        <f>IFERROR(__xludf.DUMMYFUNCTION("""COMPUTED_VALUE"""),"RIVERVIEW")</f>
        <v>RIVERVIEW</v>
      </c>
      <c r="M138" s="1"/>
      <c r="N138" s="1" t="str">
        <f>IFERROR(__xludf.DUMMYFUNCTION("""COMPUTED_VALUE"""),"SEVERINO DE LAS ALAS")</f>
        <v>SEVERINO DE LAS ALAS</v>
      </c>
      <c r="O138" s="1" t="str">
        <f>IFERROR(__xludf.DUMMYFUNCTION("""COMPUTED_VALUE"""),"GEN MARIANO ALVAREZ")</f>
        <v>GEN MARIANO ALVAREZ</v>
      </c>
      <c r="P138" s="1" t="str">
        <f>IFERROR(__xludf.DUMMYFUNCTION("""COMPUTED_VALUE"""),"CAVITE")</f>
        <v>CAVITE</v>
      </c>
      <c r="Q138" s="1" t="str">
        <f>IFERROR(__xludf.DUMMYFUNCTION("""COMPUTED_VALUE"""),"HOMEBIZZ 1699")</f>
        <v>HOMEBIZZ 1699</v>
      </c>
      <c r="R138" s="1" t="str">
        <f>IFERROR(__xludf.DUMMYFUNCTION("""COMPUTED_VALUE"""),"APPROVED")</f>
        <v>APPROVED</v>
      </c>
      <c r="S138" s="1"/>
      <c r="T138" s="1"/>
      <c r="U138" s="1"/>
      <c r="V138" s="1"/>
      <c r="W138" s="1"/>
    </row>
    <row r="139" customHeight="1" spans="1:23">
      <c r="A139" s="3">
        <f>IFERROR(__xludf.DUMMYFUNCTION("""COMPUTED_VALUE"""),46035)</f>
        <v>46035</v>
      </c>
      <c r="B139" s="1" t="str">
        <f>IFERROR(__xludf.DUMMYFUNCTION("""COMPUTED_VALUE"""),"CARPIO BOI")</f>
        <v>CARPIO BOI</v>
      </c>
      <c r="C139" s="1" t="str">
        <f>IFERROR(__xludf.DUMMYFUNCTION("""COMPUTED_VALUE"""),"FLA")</f>
        <v>FLA</v>
      </c>
      <c r="D139" s="1" t="str">
        <f>IFERROR(__xludf.DUMMYFUNCTION("""COMPUTED_VALUE"""),"JERIC NAVARRO")</f>
        <v>JERIC NAVARRO</v>
      </c>
      <c r="E139" s="1" t="str">
        <f>IFERROR(__xludf.DUMMYFUNCTION("""COMPUTED_VALUE"""),"PLDT")</f>
        <v>PLDT</v>
      </c>
      <c r="F139" s="1">
        <f>IFERROR(__xludf.DUMMYFUNCTION("""COMPUTED_VALUE"""),2306211348)</f>
        <v>2306211348</v>
      </c>
      <c r="G139" s="1"/>
      <c r="H139" s="1" t="str">
        <f>IFERROR(__xludf.DUMMYFUNCTION("""COMPUTED_VALUE"""),"9552885271")</f>
        <v>9552885271</v>
      </c>
      <c r="I139" s="1"/>
      <c r="J139" s="1"/>
      <c r="K139" s="1" t="str">
        <f>IFERROR(__xludf.DUMMYFUNCTION("""COMPUTED_VALUE"""),"290")</f>
        <v>290</v>
      </c>
      <c r="L139" s="1" t="str">
        <f>IFERROR(__xludf.DUMMYFUNCTION("""COMPUTED_VALUE"""),"BAGONG POOK")</f>
        <v>BAGONG POOK</v>
      </c>
      <c r="M139" s="1"/>
      <c r="N139" s="1" t="str">
        <f>IFERROR(__xludf.DUMMYFUNCTION("""COMPUTED_VALUE"""),"BARANGAY 36 (SAP-SAP)")</f>
        <v>BARANGAY 36 (SAP-SAP)</v>
      </c>
      <c r="O139" s="1" t="str">
        <f>IFERROR(__xludf.DUMMYFUNCTION("""COMPUTED_VALUE"""),"CAVITE CITY")</f>
        <v>CAVITE CITY</v>
      </c>
      <c r="P139" s="1" t="str">
        <f>IFERROR(__xludf.DUMMYFUNCTION("""COMPUTED_VALUE"""),"CAVITE")</f>
        <v>CAVITE</v>
      </c>
      <c r="Q139" s="1" t="str">
        <f>IFERROR(__xludf.DUMMYFUNCTION("""COMPUTED_VALUE"""),"FIBR PLAN 1799")</f>
        <v>FIBR PLAN 1799</v>
      </c>
      <c r="R139" s="1" t="str">
        <f>IFERROR(__xludf.DUMMYFUNCTION("""COMPUTED_VALUE"""),"APPROVED")</f>
        <v>APPROVED</v>
      </c>
      <c r="S139" s="1"/>
      <c r="T139" s="1"/>
      <c r="U139" s="1"/>
      <c r="V139" s="1"/>
      <c r="W139" s="1"/>
    </row>
    <row r="140" customHeight="1" spans="1:23">
      <c r="A140" s="3">
        <f>IFERROR(__xludf.DUMMYFUNCTION("""COMPUTED_VALUE"""),46035)</f>
        <v>46035</v>
      </c>
      <c r="B140" s="1" t="str">
        <f>IFERROR(__xludf.DUMMYFUNCTION("""COMPUTED_VALUE"""),"ALOS, CHARLS LAURENZ")</f>
        <v>ALOS, CHARLS LAURENZ</v>
      </c>
      <c r="C140" s="1" t="str">
        <f>IFERROR(__xludf.DUMMYFUNCTION("""COMPUTED_VALUE"""),"ORGANIC")</f>
        <v>ORGANIC</v>
      </c>
      <c r="D140" s="1" t="str">
        <f>IFERROR(__xludf.DUMMYFUNCTION("""COMPUTED_VALUE"""),"ILANO MARK")</f>
        <v>ILANO MARK</v>
      </c>
      <c r="E140" s="1" t="str">
        <f>IFERROR(__xludf.DUMMYFUNCTION("""COMPUTED_VALUE"""),"RED FIBER")</f>
        <v>RED FIBER</v>
      </c>
      <c r="F140" s="1"/>
      <c r="G140" s="1"/>
      <c r="H140" s="1" t="str">
        <f>IFERROR(__xludf.DUMMYFUNCTION("""COMPUTED_VALUE"""),"9301579389")</f>
        <v>9301579389</v>
      </c>
      <c r="I140" s="1"/>
      <c r="J140" s="1"/>
      <c r="K140" s="1" t="str">
        <f>IFERROR(__xludf.DUMMYFUNCTION("""COMPUTED_VALUE"""),"1335")</f>
        <v>1335</v>
      </c>
      <c r="L140" s="1" t="str">
        <f>IFERROR(__xludf.DUMMYFUNCTION("""COMPUTED_VALUE"""),"PUROK 166")</f>
        <v>PUROK 166</v>
      </c>
      <c r="M140" s="1"/>
      <c r="N140" s="1" t="str">
        <f>IFERROR(__xludf.DUMMYFUNCTION("""COMPUTED_VALUE"""),"SILANG CROSSING EAST")</f>
        <v>SILANG CROSSING EAST</v>
      </c>
      <c r="O140" s="1" t="str">
        <f>IFERROR(__xludf.DUMMYFUNCTION("""COMPUTED_VALUE"""),"TAGAYTAY")</f>
        <v>TAGAYTAY</v>
      </c>
      <c r="P140" s="1" t="str">
        <f>IFERROR(__xludf.DUMMYFUNCTION("""COMPUTED_VALUE"""),"CAVITE")</f>
        <v>CAVITE</v>
      </c>
      <c r="Q140" s="1" t="str">
        <f>IFERROR(__xludf.DUMMYFUNCTION("""COMPUTED_VALUE"""),"RED FIBER PLAN 1400")</f>
        <v>RED FIBER PLAN 1400</v>
      </c>
      <c r="R140" s="1" t="str">
        <f>IFERROR(__xludf.DUMMYFUNCTION("""COMPUTED_VALUE"""),"APPROVED")</f>
        <v>APPROVED</v>
      </c>
      <c r="S140" s="1"/>
      <c r="T140" s="1"/>
      <c r="U140" s="1"/>
      <c r="V140" s="1"/>
      <c r="W140" s="1"/>
    </row>
    <row r="141" customHeight="1" spans="1:23">
      <c r="A141" s="3">
        <f>IFERROR(__xludf.DUMMYFUNCTION("""COMPUTED_VALUE"""),46035)</f>
        <v>46035</v>
      </c>
      <c r="B141" s="1" t="str">
        <f>IFERROR(__xludf.DUMMYFUNCTION("""COMPUTED_VALUE"""),"GABAY, MANUEL")</f>
        <v>GABAY, MANUEL</v>
      </c>
      <c r="C141" s="1" t="str">
        <f>IFERROR(__xludf.DUMMYFUNCTION("""COMPUTED_VALUE"""),"FLA")</f>
        <v>FLA</v>
      </c>
      <c r="D141" s="1" t="str">
        <f>IFERROR(__xludf.DUMMYFUNCTION("""COMPUTED_VALUE"""),"JERIC NAVARRO")</f>
        <v>JERIC NAVARRO</v>
      </c>
      <c r="E141" s="1" t="str">
        <f>IFERROR(__xludf.DUMMYFUNCTION("""COMPUTED_VALUE"""),"RED FIBER")</f>
        <v>RED FIBER</v>
      </c>
      <c r="F141" s="1"/>
      <c r="G141" s="1"/>
      <c r="H141" s="1" t="str">
        <f>IFERROR(__xludf.DUMMYFUNCTION("""COMPUTED_VALUE"""),"9182197030")</f>
        <v>9182197030</v>
      </c>
      <c r="I141" s="1">
        <f>IFERROR(__xludf.DUMMYFUNCTION("""COMPUTED_VALUE"""),9095772620)</f>
        <v>9095772620</v>
      </c>
      <c r="J141" s="1"/>
      <c r="K141" s="1" t="str">
        <f>IFERROR(__xludf.DUMMYFUNCTION("""COMPUTED_VALUE"""),"51")</f>
        <v>51</v>
      </c>
      <c r="L141" s="1" t="str">
        <f>IFERROR(__xludf.DUMMYFUNCTION("""COMPUTED_VALUE"""),"PUROK 168")</f>
        <v>PUROK 168</v>
      </c>
      <c r="M141" s="1"/>
      <c r="N141" s="1" t="str">
        <f>IFERROR(__xludf.DUMMYFUNCTION("""COMPUTED_VALUE"""),"SILANG CROSSING EAST")</f>
        <v>SILANG CROSSING EAST</v>
      </c>
      <c r="O141" s="1" t="str">
        <f>IFERROR(__xludf.DUMMYFUNCTION("""COMPUTED_VALUE"""),"TAGAYTAY")</f>
        <v>TAGAYTAY</v>
      </c>
      <c r="P141" s="1" t="str">
        <f>IFERROR(__xludf.DUMMYFUNCTION("""COMPUTED_VALUE"""),"CAVITE")</f>
        <v>CAVITE</v>
      </c>
      <c r="Q141" s="1" t="str">
        <f>IFERROR(__xludf.DUMMYFUNCTION("""COMPUTED_VALUE"""),"RED FIBER PLAN 1000")</f>
        <v>RED FIBER PLAN 1000</v>
      </c>
      <c r="R141" s="1" t="str">
        <f>IFERROR(__xludf.DUMMYFUNCTION("""COMPUTED_VALUE"""),"HOLD")</f>
        <v>HOLD</v>
      </c>
      <c r="S141" s="1"/>
      <c r="T141" s="1"/>
      <c r="U141" s="1"/>
      <c r="V141" s="1"/>
      <c r="W141" s="1"/>
    </row>
    <row r="142" customHeight="1" spans="1:23">
      <c r="A142" s="3">
        <f>IFERROR(__xludf.DUMMYFUNCTION("""COMPUTED_VALUE"""),46035)</f>
        <v>46035</v>
      </c>
      <c r="B142" s="1" t="str">
        <f>IFERROR(__xludf.DUMMYFUNCTION("""COMPUTED_VALUE"""),"DE VERA, MARIVIC")</f>
        <v>DE VERA, MARIVIC</v>
      </c>
      <c r="C142" s="1" t="str">
        <f>IFERROR(__xludf.DUMMYFUNCTION("""COMPUTED_VALUE"""),"ORGANIC")</f>
        <v>ORGANIC</v>
      </c>
      <c r="D142" s="1" t="str">
        <f>IFERROR(__xludf.DUMMYFUNCTION("""COMPUTED_VALUE"""),"ILANO MARK")</f>
        <v>ILANO MARK</v>
      </c>
      <c r="E142" s="1" t="str">
        <f>IFERROR(__xludf.DUMMYFUNCTION("""COMPUTED_VALUE"""),"RED FIBER")</f>
        <v>RED FIBER</v>
      </c>
      <c r="F142" s="1"/>
      <c r="G142" s="1"/>
      <c r="H142" s="1" t="str">
        <f>IFERROR(__xludf.DUMMYFUNCTION("""COMPUTED_VALUE"""),"9815130753")</f>
        <v>9815130753</v>
      </c>
      <c r="I142" s="1">
        <f>IFERROR(__xludf.DUMMYFUNCTION("""COMPUTED_VALUE"""),9815130751)</f>
        <v>9815130751</v>
      </c>
      <c r="J142" s="1"/>
      <c r="K142" s="1" t="str">
        <f>IFERROR(__xludf.DUMMYFUNCTION("""COMPUTED_VALUE"""),"36")</f>
        <v>36</v>
      </c>
      <c r="L142" s="1" t="str">
        <f>IFERROR(__xludf.DUMMYFUNCTION("""COMPUTED_VALUE"""),"PUROK 168")</f>
        <v>PUROK 168</v>
      </c>
      <c r="M142" s="1"/>
      <c r="N142" s="1" t="str">
        <f>IFERROR(__xludf.DUMMYFUNCTION("""COMPUTED_VALUE"""),"SILANG CROSSING EAST")</f>
        <v>SILANG CROSSING EAST</v>
      </c>
      <c r="O142" s="1" t="str">
        <f>IFERROR(__xludf.DUMMYFUNCTION("""COMPUTED_VALUE"""),"TAGAYTAY")</f>
        <v>TAGAYTAY</v>
      </c>
      <c r="P142" s="1" t="str">
        <f>IFERROR(__xludf.DUMMYFUNCTION("""COMPUTED_VALUE"""),"CAVITE")</f>
        <v>CAVITE</v>
      </c>
      <c r="Q142" s="1" t="str">
        <f>IFERROR(__xludf.DUMMYFUNCTION("""COMPUTED_VALUE"""),"RED FIBER PLAN 1000")</f>
        <v>RED FIBER PLAN 1000</v>
      </c>
      <c r="R142" s="1" t="str">
        <f>IFERROR(__xludf.DUMMYFUNCTION("""COMPUTED_VALUE"""),"HOLD")</f>
        <v>HOLD</v>
      </c>
      <c r="S142" s="1"/>
      <c r="T142" s="1"/>
      <c r="U142" s="1"/>
      <c r="V142" s="1"/>
      <c r="W142" s="1"/>
    </row>
    <row r="143" customHeight="1" spans="1:23">
      <c r="A143" s="3">
        <f>IFERROR(__xludf.DUMMYFUNCTION("""COMPUTED_VALUE"""),46035)</f>
        <v>46035</v>
      </c>
      <c r="B143" s="1" t="str">
        <f>IFERROR(__xludf.DUMMYFUNCTION("""COMPUTED_VALUE"""),"MALIWAT MARK ELVIN")</f>
        <v>MALIWAT MARK ELVIN</v>
      </c>
      <c r="C143" s="1" t="str">
        <f>IFERROR(__xludf.DUMMYFUNCTION("""COMPUTED_VALUE"""),"FLA")</f>
        <v>FLA</v>
      </c>
      <c r="D143" s="1" t="str">
        <f>IFERROR(__xludf.DUMMYFUNCTION("""COMPUTED_VALUE"""),"JERIC NAVARRO")</f>
        <v>JERIC NAVARRO</v>
      </c>
      <c r="E143" s="1" t="str">
        <f>IFERROR(__xludf.DUMMYFUNCTION("""COMPUTED_VALUE"""),"PLDT")</f>
        <v>PLDT</v>
      </c>
      <c r="F143" s="1">
        <f>IFERROR(__xludf.DUMMYFUNCTION("""COMPUTED_VALUE"""),2306216080)</f>
        <v>2306216080</v>
      </c>
      <c r="G143" s="1"/>
      <c r="H143" s="1" t="str">
        <f>IFERROR(__xludf.DUMMYFUNCTION("""COMPUTED_VALUE"""),"9914067848")</f>
        <v>9914067848</v>
      </c>
      <c r="I143" s="1">
        <f>IFERROR(__xludf.DUMMYFUNCTION("""COMPUTED_VALUE"""),9695899649)</f>
        <v>9695899649</v>
      </c>
      <c r="J143" s="1"/>
      <c r="K143" s="1" t="str">
        <f>IFERROR(__xludf.DUMMYFUNCTION("""COMPUTED_VALUE"""),"BLK 17 LOT 13")</f>
        <v>BLK 17 LOT 13</v>
      </c>
      <c r="L143" s="1" t="str">
        <f>IFERROR(__xludf.DUMMYFUNCTION("""COMPUTED_VALUE"""),"BAGTIKAN ")</f>
        <v>BAGTIKAN </v>
      </c>
      <c r="M143" s="1" t="str">
        <f>IFERROR(__xludf.DUMMYFUNCTION("""COMPUTED_VALUE"""),"MEADOWOODS")</f>
        <v>MEADOWOODS</v>
      </c>
      <c r="N143" s="1" t="str">
        <f>IFERROR(__xludf.DUMMYFUNCTION("""COMPUTED_VALUE"""),"P.F. ESPIRITU I (PANAPAAN)")</f>
        <v>P.F. ESPIRITU I (PANAPAAN)</v>
      </c>
      <c r="O143" s="1" t="str">
        <f>IFERROR(__xludf.DUMMYFUNCTION("""COMPUTED_VALUE"""),"BACOOR")</f>
        <v>BACOOR</v>
      </c>
      <c r="P143" s="1" t="str">
        <f>IFERROR(__xludf.DUMMYFUNCTION("""COMPUTED_VALUE"""),"CAVITE")</f>
        <v>CAVITE</v>
      </c>
      <c r="Q143" s="1" t="str">
        <f>IFERROR(__xludf.DUMMYFUNCTION("""COMPUTED_VALUE"""),"FIBR PLAN 1699")</f>
        <v>FIBR PLAN 1699</v>
      </c>
      <c r="R143" s="1" t="str">
        <f>IFERROR(__xludf.DUMMYFUNCTION("""COMPUTED_VALUE"""),"APPROVED")</f>
        <v>APPROVED</v>
      </c>
      <c r="S143" s="1"/>
      <c r="T143" s="1"/>
      <c r="U143" s="1"/>
      <c r="V143" s="1"/>
      <c r="W143" s="1"/>
    </row>
    <row r="144" customHeight="1" spans="1:23">
      <c r="A144" s="3">
        <f>IFERROR(__xludf.DUMMYFUNCTION("""COMPUTED_VALUE"""),46035)</f>
        <v>46035</v>
      </c>
      <c r="B144" s="1" t="str">
        <f>IFERROR(__xludf.DUMMYFUNCTION("""COMPUTED_VALUE"""),"GABAY, MANUEL")</f>
        <v>GABAY, MANUEL</v>
      </c>
      <c r="C144" s="1" t="str">
        <f>IFERROR(__xludf.DUMMYFUNCTION("""COMPUTED_VALUE"""),"FLA")</f>
        <v>FLA</v>
      </c>
      <c r="D144" s="1" t="str">
        <f>IFERROR(__xludf.DUMMYFUNCTION("""COMPUTED_VALUE"""),"JERIC NAVARRO")</f>
        <v>JERIC NAVARRO</v>
      </c>
      <c r="E144" s="1" t="str">
        <f>IFERROR(__xludf.DUMMYFUNCTION("""COMPUTED_VALUE"""),"PLDT")</f>
        <v>PLDT</v>
      </c>
      <c r="F144" s="1">
        <f>IFERROR(__xludf.DUMMYFUNCTION("""COMPUTED_VALUE"""),2306217441)</f>
        <v>2306217441</v>
      </c>
      <c r="G144" s="1"/>
      <c r="H144" s="1" t="str">
        <f>IFERROR(__xludf.DUMMYFUNCTION("""COMPUTED_VALUE"""),"9193202640")</f>
        <v>9193202640</v>
      </c>
      <c r="I144" s="1">
        <f>IFERROR(__xludf.DUMMYFUNCTION("""COMPUTED_VALUE"""),9301103770)</f>
        <v>9301103770</v>
      </c>
      <c r="J144" s="1"/>
      <c r="K144" s="1" t="str">
        <f>IFERROR(__xludf.DUMMYFUNCTION("""COMPUTED_VALUE"""),"9068")</f>
        <v>9068</v>
      </c>
      <c r="L144" s="1" t="str">
        <f>IFERROR(__xludf.DUMMYFUNCTION("""COMPUTED_VALUE"""),"MAITIM RD")</f>
        <v>MAITIM RD</v>
      </c>
      <c r="M144" s="1"/>
      <c r="N144" s="1" t="str">
        <f>IFERROR(__xludf.DUMMYFUNCTION("""COMPUTED_VALUE"""),"MAITIM 2ND EAST")</f>
        <v>MAITIM 2ND EAST</v>
      </c>
      <c r="O144" s="1" t="str">
        <f>IFERROR(__xludf.DUMMYFUNCTION("""COMPUTED_VALUE"""),"TAGAYTAY")</f>
        <v>TAGAYTAY</v>
      </c>
      <c r="P144" s="1" t="str">
        <f>IFERROR(__xludf.DUMMYFUNCTION("""COMPUTED_VALUE"""),"CAVITE")</f>
        <v>CAVITE</v>
      </c>
      <c r="Q144" s="1" t="str">
        <f>IFERROR(__xludf.DUMMYFUNCTION("""COMPUTED_VALUE"""),"FIBR PLAN 1399")</f>
        <v>FIBR PLAN 1399</v>
      </c>
      <c r="R144" s="1" t="str">
        <f>IFERROR(__xludf.DUMMYFUNCTION("""COMPUTED_VALUE"""),"APPROVED")</f>
        <v>APPROVED</v>
      </c>
      <c r="S144" s="1"/>
      <c r="T144" s="1"/>
      <c r="U144" s="1"/>
      <c r="V144" s="1"/>
      <c r="W144" s="1"/>
    </row>
    <row r="145" customHeight="1" spans="1:23">
      <c r="A145" s="3">
        <f>IFERROR(__xludf.DUMMYFUNCTION("""COMPUTED_VALUE"""),46035)</f>
        <v>46035</v>
      </c>
      <c r="B145" s="1" t="str">
        <f>IFERROR(__xludf.DUMMYFUNCTION("""COMPUTED_VALUE"""),"FRANCISCO , ROSELYN")</f>
        <v>FRANCISCO , ROSELYN</v>
      </c>
      <c r="C145" s="1" t="str">
        <f>IFERROR(__xludf.DUMMYFUNCTION("""COMPUTED_VALUE"""),"FLA")</f>
        <v>FLA</v>
      </c>
      <c r="D145" s="1" t="str">
        <f>IFERROR(__xludf.DUMMYFUNCTION("""COMPUTED_VALUE"""),"JERIC NAVARRO")</f>
        <v>JERIC NAVARRO</v>
      </c>
      <c r="E145" s="1" t="str">
        <f>IFERROR(__xludf.DUMMYFUNCTION("""COMPUTED_VALUE"""),"PLDT")</f>
        <v>PLDT</v>
      </c>
      <c r="F145" s="1">
        <f>IFERROR(__xludf.DUMMYFUNCTION("""COMPUTED_VALUE"""),2306219533)</f>
        <v>2306219533</v>
      </c>
      <c r="G145" s="1"/>
      <c r="H145" s="1" t="str">
        <f>IFERROR(__xludf.DUMMYFUNCTION("""COMPUTED_VALUE"""),"9162112623")</f>
        <v>9162112623</v>
      </c>
      <c r="I145" s="1">
        <f>IFERROR(__xludf.DUMMYFUNCTION("""COMPUTED_VALUE"""),9397503704)</f>
        <v>9397503704</v>
      </c>
      <c r="J145" s="1"/>
      <c r="K145" s="1" t="str">
        <f>IFERROR(__xludf.DUMMYFUNCTION("""COMPUTED_VALUE"""),"44")</f>
        <v>44</v>
      </c>
      <c r="L145" s="1" t="str">
        <f>IFERROR(__xludf.DUMMYFUNCTION("""COMPUTED_VALUE"""),"PHASE 5")</f>
        <v>PHASE 5</v>
      </c>
      <c r="M145" s="1"/>
      <c r="N145" s="1" t="str">
        <f>IFERROR(__xludf.DUMMYFUNCTION("""COMPUTED_VALUE"""),"LIGAS II")</f>
        <v>LIGAS II</v>
      </c>
      <c r="O145" s="1" t="str">
        <f>IFERROR(__xludf.DUMMYFUNCTION("""COMPUTED_VALUE"""),"BACOOR")</f>
        <v>BACOOR</v>
      </c>
      <c r="P145" s="1" t="str">
        <f>IFERROR(__xludf.DUMMYFUNCTION("""COMPUTED_VALUE"""),"CAVITE")</f>
        <v>CAVITE</v>
      </c>
      <c r="Q145" s="1" t="str">
        <f>IFERROR(__xludf.DUMMYFUNCTION("""COMPUTED_VALUE"""),"FIBR PLAN 1699")</f>
        <v>FIBR PLAN 1699</v>
      </c>
      <c r="R145" s="1" t="str">
        <f>IFERROR(__xludf.DUMMYFUNCTION("""COMPUTED_VALUE"""),"APPROVED")</f>
        <v>APPROVED</v>
      </c>
      <c r="S145" s="1"/>
      <c r="T145" s="1"/>
      <c r="U145" s="1"/>
      <c r="V145" s="1"/>
      <c r="W145" s="1"/>
    </row>
    <row r="146" customHeight="1" spans="1:23">
      <c r="A146" s="3">
        <f>IFERROR(__xludf.DUMMYFUNCTION("""COMPUTED_VALUE"""),46035)</f>
        <v>46035</v>
      </c>
      <c r="B146" s="1" t="str">
        <f>IFERROR(__xludf.DUMMYFUNCTION("""COMPUTED_VALUE"""),"CONCEPCION, ALJAY")</f>
        <v>CONCEPCION, ALJAY</v>
      </c>
      <c r="C146" s="1" t="str">
        <f>IFERROR(__xludf.DUMMYFUNCTION("""COMPUTED_VALUE"""),"ORGANIC")</f>
        <v>ORGANIC</v>
      </c>
      <c r="D146" s="1" t="str">
        <f>IFERROR(__xludf.DUMMYFUNCTION("""COMPUTED_VALUE"""),"ILANO MARK")</f>
        <v>ILANO MARK</v>
      </c>
      <c r="E146" s="1" t="str">
        <f>IFERROR(__xludf.DUMMYFUNCTION("""COMPUTED_VALUE"""),"PLDT")</f>
        <v>PLDT</v>
      </c>
      <c r="F146" s="1">
        <f>IFERROR(__xludf.DUMMYFUNCTION("""COMPUTED_VALUE"""),2306222533)</f>
        <v>2306222533</v>
      </c>
      <c r="G146" s="1"/>
      <c r="H146" s="1" t="str">
        <f>IFERROR(__xludf.DUMMYFUNCTION("""COMPUTED_VALUE"""),"9944705255")</f>
        <v>9944705255</v>
      </c>
      <c r="I146" s="1"/>
      <c r="J146" s="1"/>
      <c r="K146" s="1" t="str">
        <f>IFERROR(__xludf.DUMMYFUNCTION("""COMPUTED_VALUE"""),"BLK 3A LOT 9")</f>
        <v>BLK 3A LOT 9</v>
      </c>
      <c r="L146" s="1" t="str">
        <f>IFERROR(__xludf.DUMMYFUNCTION("""COMPUTED_VALUE"""),"F REYES")</f>
        <v>F REYES</v>
      </c>
      <c r="M146" s="1"/>
      <c r="N146" s="1" t="str">
        <f>IFERROR(__xludf.DUMMYFUNCTION("""COMPUTED_VALUE"""),"FRANCISCO REYES")</f>
        <v>FRANCISCO REYES</v>
      </c>
      <c r="O146" s="1" t="str">
        <f>IFERROR(__xludf.DUMMYFUNCTION("""COMPUTED_VALUE"""),"GEN MARIANO ALVAREZ")</f>
        <v>GEN MARIANO ALVAREZ</v>
      </c>
      <c r="P146" s="1" t="str">
        <f>IFERROR(__xludf.DUMMYFUNCTION("""COMPUTED_VALUE"""),"CAVITE")</f>
        <v>CAVITE</v>
      </c>
      <c r="Q146" s="1" t="str">
        <f>IFERROR(__xludf.DUMMYFUNCTION("""COMPUTED_VALUE"""),"FIBR PLAN 1599")</f>
        <v>FIBR PLAN 1599</v>
      </c>
      <c r="R146" s="1" t="str">
        <f>IFERROR(__xludf.DUMMYFUNCTION("""COMPUTED_VALUE"""),"APPROVED")</f>
        <v>APPROVED</v>
      </c>
      <c r="S146" s="1"/>
      <c r="T146" s="1"/>
      <c r="U146" s="1"/>
      <c r="V146" s="1"/>
      <c r="W146" s="1"/>
    </row>
    <row r="147" customHeight="1" spans="1:23">
      <c r="A147" s="3">
        <f>IFERROR(__xludf.DUMMYFUNCTION("""COMPUTED_VALUE"""),46035)</f>
        <v>46035</v>
      </c>
      <c r="B147" s="1" t="str">
        <f>IFERROR(__xludf.DUMMYFUNCTION("""COMPUTED_VALUE"""),"MALIWAT MARK ELVIN")</f>
        <v>MALIWAT MARK ELVIN</v>
      </c>
      <c r="C147" s="1" t="str">
        <f>IFERROR(__xludf.DUMMYFUNCTION("""COMPUTED_VALUE"""),"FLA")</f>
        <v>FLA</v>
      </c>
      <c r="D147" s="1" t="str">
        <f>IFERROR(__xludf.DUMMYFUNCTION("""COMPUTED_VALUE"""),"JERIC NAVARRO")</f>
        <v>JERIC NAVARRO</v>
      </c>
      <c r="E147" s="1" t="str">
        <f>IFERROR(__xludf.DUMMYFUNCTION("""COMPUTED_VALUE"""),"PLDT")</f>
        <v>PLDT</v>
      </c>
      <c r="F147" s="1">
        <f>IFERROR(__xludf.DUMMYFUNCTION("""COMPUTED_VALUE"""),2306223932)</f>
        <v>2306223932</v>
      </c>
      <c r="G147" s="1"/>
      <c r="H147" s="1" t="str">
        <f>IFERROR(__xludf.DUMMYFUNCTION("""COMPUTED_VALUE"""),"9914067848")</f>
        <v>9914067848</v>
      </c>
      <c r="I147" s="1">
        <f>IFERROR(__xludf.DUMMYFUNCTION("""COMPUTED_VALUE"""),9695899649)</f>
        <v>9695899649</v>
      </c>
      <c r="J147" s="1"/>
      <c r="K147" s="1" t="str">
        <f>IFERROR(__xludf.DUMMYFUNCTION("""COMPUTED_VALUE"""),"BLK 17 LOT 13")</f>
        <v>BLK 17 LOT 13</v>
      </c>
      <c r="L147" s="1" t="str">
        <f>IFERROR(__xludf.DUMMYFUNCTION("""COMPUTED_VALUE"""),"BAGTIKAN ")</f>
        <v>BAGTIKAN </v>
      </c>
      <c r="M147" s="1" t="str">
        <f>IFERROR(__xludf.DUMMYFUNCTION("""COMPUTED_VALUE"""),"MEADOWOODS")</f>
        <v>MEADOWOODS</v>
      </c>
      <c r="N147" s="1" t="str">
        <f>IFERROR(__xludf.DUMMYFUNCTION("""COMPUTED_VALUE"""),"P.F. ESPIRITU I (PANAPAAN)")</f>
        <v>P.F. ESPIRITU I (PANAPAAN)</v>
      </c>
      <c r="O147" s="1" t="str">
        <f>IFERROR(__xludf.DUMMYFUNCTION("""COMPUTED_VALUE"""),"BACOOR")</f>
        <v>BACOOR</v>
      </c>
      <c r="P147" s="1" t="str">
        <f>IFERROR(__xludf.DUMMYFUNCTION("""COMPUTED_VALUE"""),"CAVITE")</f>
        <v>CAVITE</v>
      </c>
      <c r="Q147" s="1" t="str">
        <f>IFERROR(__xludf.DUMMYFUNCTION("""COMPUTED_VALUE"""),"FIBR PLAN 1699")</f>
        <v>FIBR PLAN 1699</v>
      </c>
      <c r="R147" s="1" t="str">
        <f>IFERROR(__xludf.DUMMYFUNCTION("""COMPUTED_VALUE"""),"APPROVED")</f>
        <v>APPROVED</v>
      </c>
      <c r="S147" s="1"/>
      <c r="T147" s="1"/>
      <c r="U147" s="1"/>
      <c r="V147" s="1"/>
      <c r="W147" s="1"/>
    </row>
    <row r="148" customHeight="1" spans="1:23">
      <c r="A148" s="3">
        <f>IFERROR(__xludf.DUMMYFUNCTION("""COMPUTED_VALUE"""),46036)</f>
        <v>46036</v>
      </c>
      <c r="B148" s="1" t="str">
        <f>IFERROR(__xludf.DUMMYFUNCTION("""COMPUTED_VALUE"""),"DACALCAP RUBEN")</f>
        <v>DACALCAP RUBEN</v>
      </c>
      <c r="C148" s="1" t="str">
        <f>IFERROR(__xludf.DUMMYFUNCTION("""COMPUTED_VALUE"""),"FLA")</f>
        <v>FLA</v>
      </c>
      <c r="D148" s="1" t="str">
        <f>IFERROR(__xludf.DUMMYFUNCTION("""COMPUTED_VALUE"""),"JERIC NAVARRO")</f>
        <v>JERIC NAVARRO</v>
      </c>
      <c r="E148" s="1" t="str">
        <f>IFERROR(__xludf.DUMMYFUNCTION("""COMPUTED_VALUE"""),"PLDT")</f>
        <v>PLDT</v>
      </c>
      <c r="F148" s="1">
        <f>IFERROR(__xludf.DUMMYFUNCTION("""COMPUTED_VALUE"""),2306233724)</f>
        <v>2306233724</v>
      </c>
      <c r="G148" s="1"/>
      <c r="H148" s="1" t="str">
        <f>IFERROR(__xludf.DUMMYFUNCTION("""COMPUTED_VALUE"""),"9186536823")</f>
        <v>9186536823</v>
      </c>
      <c r="I148" s="1">
        <f>IFERROR(__xludf.DUMMYFUNCTION("""COMPUTED_VALUE"""),9293374377)</f>
        <v>9293374377</v>
      </c>
      <c r="J148" s="1"/>
      <c r="K148" s="1" t="str">
        <f>IFERROR(__xludf.DUMMYFUNCTION("""COMPUTED_VALUE"""),"987")</f>
        <v>987</v>
      </c>
      <c r="L148" s="1" t="str">
        <f>IFERROR(__xludf.DUMMYFUNCTION("""COMPUTED_VALUE"""),"SITIO LUNGON")</f>
        <v>SITIO LUNGON</v>
      </c>
      <c r="M148" s="1"/>
      <c r="N148" s="1" t="str">
        <f>IFERROR(__xludf.DUMMYFUNCTION("""COMPUTED_VALUE"""),"SAN MIGUEL II")</f>
        <v>SAN MIGUEL II</v>
      </c>
      <c r="O148" s="1" t="str">
        <f>IFERROR(__xludf.DUMMYFUNCTION("""COMPUTED_VALUE"""),"SILANG")</f>
        <v>SILANG</v>
      </c>
      <c r="P148" s="1" t="str">
        <f>IFERROR(__xludf.DUMMYFUNCTION("""COMPUTED_VALUE"""),"CAVITE")</f>
        <v>CAVITE</v>
      </c>
      <c r="Q148" s="1" t="str">
        <f>IFERROR(__xludf.DUMMYFUNCTION("""COMPUTED_VALUE"""),"FIBR PLAN 1699")</f>
        <v>FIBR PLAN 1699</v>
      </c>
      <c r="R148" s="1" t="str">
        <f>IFERROR(__xludf.DUMMYFUNCTION("""COMPUTED_VALUE"""),"APPROVED")</f>
        <v>APPROVED</v>
      </c>
      <c r="S148" s="1"/>
      <c r="T148" s="1"/>
      <c r="U148" s="1"/>
      <c r="V148" s="1"/>
      <c r="W148" s="1"/>
    </row>
    <row r="149" customHeight="1" spans="1:23">
      <c r="A149" s="3">
        <f>IFERROR(__xludf.DUMMYFUNCTION("""COMPUTED_VALUE"""),46036)</f>
        <v>46036</v>
      </c>
      <c r="B149" s="1" t="str">
        <f>IFERROR(__xludf.DUMMYFUNCTION("""COMPUTED_VALUE"""),"MALIWAT MARK ELVIN")</f>
        <v>MALIWAT MARK ELVIN</v>
      </c>
      <c r="C149" s="1" t="str">
        <f>IFERROR(__xludf.DUMMYFUNCTION("""COMPUTED_VALUE"""),"FLA")</f>
        <v>FLA</v>
      </c>
      <c r="D149" s="1" t="str">
        <f>IFERROR(__xludf.DUMMYFUNCTION("""COMPUTED_VALUE"""),"JERIC NAVARRO")</f>
        <v>JERIC NAVARRO</v>
      </c>
      <c r="E149" s="1" t="str">
        <f>IFERROR(__xludf.DUMMYFUNCTION("""COMPUTED_VALUE"""),"HOME BIZZ")</f>
        <v>HOME BIZZ</v>
      </c>
      <c r="F149" s="1">
        <f>IFERROR(__xludf.DUMMYFUNCTION("""COMPUTED_VALUE"""),2306235152)</f>
        <v>2306235152</v>
      </c>
      <c r="G149" s="1"/>
      <c r="H149" s="1" t="str">
        <f>IFERROR(__xludf.DUMMYFUNCTION("""COMPUTED_VALUE"""),"9950797285")</f>
        <v>9950797285</v>
      </c>
      <c r="I149" s="1"/>
      <c r="J149" s="1"/>
      <c r="K149" s="1" t="str">
        <f>IFERROR(__xludf.DUMMYFUNCTION("""COMPUTED_VALUE"""),"11687B")</f>
        <v>11687B</v>
      </c>
      <c r="L149" s="1" t="str">
        <f>IFERROR(__xludf.DUMMYFUNCTION("""COMPUTED_VALUE"""),"AGUINALDO HIGHWAY")</f>
        <v>AGUINALDO HIGHWAY</v>
      </c>
      <c r="M149" s="1"/>
      <c r="N149" s="1" t="str">
        <f>IFERROR(__xludf.DUMMYFUNCTION("""COMPUTED_VALUE"""),"BAYAN LUMA VII")</f>
        <v>BAYAN LUMA VII</v>
      </c>
      <c r="O149" s="1" t="str">
        <f>IFERROR(__xludf.DUMMYFUNCTION("""COMPUTED_VALUE"""),"IMUS")</f>
        <v>IMUS</v>
      </c>
      <c r="P149" s="1" t="str">
        <f>IFERROR(__xludf.DUMMYFUNCTION("""COMPUTED_VALUE"""),"CAVITE")</f>
        <v>CAVITE</v>
      </c>
      <c r="Q149" s="1" t="str">
        <f>IFERROR(__xludf.DUMMYFUNCTION("""COMPUTED_VALUE"""),"HOMEBIZZ 1699")</f>
        <v>HOMEBIZZ 1699</v>
      </c>
      <c r="R149" s="1" t="str">
        <f>IFERROR(__xludf.DUMMYFUNCTION("""COMPUTED_VALUE"""),"APPROVED")</f>
        <v>APPROVED</v>
      </c>
      <c r="S149" s="1"/>
      <c r="T149" s="1"/>
      <c r="U149" s="1"/>
      <c r="V149" s="1"/>
      <c r="W149" s="1"/>
    </row>
    <row r="150" customHeight="1" spans="1:23">
      <c r="A150" s="3">
        <f>IFERROR(__xludf.DUMMYFUNCTION("""COMPUTED_VALUE"""),46036)</f>
        <v>46036</v>
      </c>
      <c r="B150" s="1" t="str">
        <f>IFERROR(__xludf.DUMMYFUNCTION("""COMPUTED_VALUE"""),"GABAY, MANUEL")</f>
        <v>GABAY, MANUEL</v>
      </c>
      <c r="C150" s="1" t="str">
        <f>IFERROR(__xludf.DUMMYFUNCTION("""COMPUTED_VALUE"""),"FLA")</f>
        <v>FLA</v>
      </c>
      <c r="D150" s="1" t="str">
        <f>IFERROR(__xludf.DUMMYFUNCTION("""COMPUTED_VALUE"""),"JERIC NAVARRO")</f>
        <v>JERIC NAVARRO</v>
      </c>
      <c r="E150" s="1" t="str">
        <f>IFERROR(__xludf.DUMMYFUNCTION("""COMPUTED_VALUE"""),"PLDT")</f>
        <v>PLDT</v>
      </c>
      <c r="F150" s="1">
        <f>IFERROR(__xludf.DUMMYFUNCTION("""COMPUTED_VALUE"""),2306239181)</f>
        <v>2306239181</v>
      </c>
      <c r="G150" s="1"/>
      <c r="H150" s="1" t="str">
        <f>IFERROR(__xludf.DUMMYFUNCTION("""COMPUTED_VALUE"""),"9185734424")</f>
        <v>9185734424</v>
      </c>
      <c r="I150" s="1">
        <f>IFERROR(__xludf.DUMMYFUNCTION("""COMPUTED_VALUE"""),9616556045)</f>
        <v>9616556045</v>
      </c>
      <c r="J150" s="1"/>
      <c r="K150" s="1" t="str">
        <f>IFERROR(__xludf.DUMMYFUNCTION("""COMPUTED_VALUE"""),"308")</f>
        <v>308</v>
      </c>
      <c r="L150" s="1" t="str">
        <f>IFERROR(__xludf.DUMMYFUNCTION("""COMPUTED_VALUE"""),"DIMAILIS ST")</f>
        <v>DIMAILIS ST</v>
      </c>
      <c r="M150" s="1"/>
      <c r="N150" s="1" t="str">
        <f>IFERROR(__xludf.DUMMYFUNCTION("""COMPUTED_VALUE"""),"ANULING LEJOS I (ANULING)")</f>
        <v>ANULING LEJOS I (ANULING)</v>
      </c>
      <c r="O150" s="1" t="str">
        <f>IFERROR(__xludf.DUMMYFUNCTION("""COMPUTED_VALUE"""),"MENDEZ")</f>
        <v>MENDEZ</v>
      </c>
      <c r="P150" s="1" t="str">
        <f>IFERROR(__xludf.DUMMYFUNCTION("""COMPUTED_VALUE"""),"CAVITE")</f>
        <v>CAVITE</v>
      </c>
      <c r="Q150" s="1" t="str">
        <f>IFERROR(__xludf.DUMMYFUNCTION("""COMPUTED_VALUE"""),"FIBR PLAN 1399")</f>
        <v>FIBR PLAN 1399</v>
      </c>
      <c r="R150" s="1" t="str">
        <f>IFERROR(__xludf.DUMMYFUNCTION("""COMPUTED_VALUE"""),"APPROVED")</f>
        <v>APPROVED</v>
      </c>
      <c r="S150" s="1"/>
      <c r="T150" s="1"/>
      <c r="U150" s="1"/>
      <c r="V150" s="1"/>
      <c r="W150" s="1"/>
    </row>
    <row r="151" customHeight="1" spans="1:23">
      <c r="A151" s="3">
        <f>IFERROR(__xludf.DUMMYFUNCTION("""COMPUTED_VALUE"""),46036)</f>
        <v>46036</v>
      </c>
      <c r="B151" s="1" t="str">
        <f>IFERROR(__xludf.DUMMYFUNCTION("""COMPUTED_VALUE"""),"DE VERA, MARIVIC")</f>
        <v>DE VERA, MARIVIC</v>
      </c>
      <c r="C151" s="1" t="str">
        <f>IFERROR(__xludf.DUMMYFUNCTION("""COMPUTED_VALUE"""),"ORGANIC")</f>
        <v>ORGANIC</v>
      </c>
      <c r="D151" s="1" t="str">
        <f>IFERROR(__xludf.DUMMYFUNCTION("""COMPUTED_VALUE"""),"ILANO MARK")</f>
        <v>ILANO MARK</v>
      </c>
      <c r="E151" s="1" t="str">
        <f>IFERROR(__xludf.DUMMYFUNCTION("""COMPUTED_VALUE"""),"PLDT")</f>
        <v>PLDT</v>
      </c>
      <c r="F151" s="1">
        <f>IFERROR(__xludf.DUMMYFUNCTION("""COMPUTED_VALUE"""),2306246319)</f>
        <v>2306246319</v>
      </c>
      <c r="G151" s="1"/>
      <c r="H151" s="1" t="str">
        <f>IFERROR(__xludf.DUMMYFUNCTION("""COMPUTED_VALUE"""),"9932076576")</f>
        <v>9932076576</v>
      </c>
      <c r="I151" s="1"/>
      <c r="J151" s="1"/>
      <c r="K151" s="1" t="str">
        <f>IFERROR(__xludf.DUMMYFUNCTION("""COMPUTED_VALUE"""),"159")</f>
        <v>159</v>
      </c>
      <c r="L151" s="1" t="str">
        <f>IFERROR(__xludf.DUMMYFUNCTION("""COMPUTED_VALUE"""),"SITIO POOK NA MUNTI")</f>
        <v>SITIO POOK NA MUNTI</v>
      </c>
      <c r="M151" s="1"/>
      <c r="N151" s="1" t="str">
        <f>IFERROR(__xludf.DUMMYFUNCTION("""COMPUTED_VALUE"""),"KAONG")</f>
        <v>KAONG</v>
      </c>
      <c r="O151" s="1" t="str">
        <f>IFERROR(__xludf.DUMMYFUNCTION("""COMPUTED_VALUE"""),"SILANG")</f>
        <v>SILANG</v>
      </c>
      <c r="P151" s="1" t="str">
        <f>IFERROR(__xludf.DUMMYFUNCTION("""COMPUTED_VALUE"""),"CAVITE")</f>
        <v>CAVITE</v>
      </c>
      <c r="Q151" s="1" t="str">
        <f>IFERROR(__xludf.DUMMYFUNCTION("""COMPUTED_VALUE"""),"FIBR PLAN 1399")</f>
        <v>FIBR PLAN 1399</v>
      </c>
      <c r="R151" s="1" t="str">
        <f>IFERROR(__xludf.DUMMYFUNCTION("""COMPUTED_VALUE"""),"APPROVED")</f>
        <v>APPROVED</v>
      </c>
      <c r="S151" s="1"/>
      <c r="T151" s="1"/>
      <c r="U151" s="1"/>
      <c r="V151" s="1"/>
      <c r="W151" s="1"/>
    </row>
    <row r="152" customHeight="1" spans="1:23">
      <c r="A152" s="3">
        <f>IFERROR(__xludf.DUMMYFUNCTION("""COMPUTED_VALUE"""),46036)</f>
        <v>46036</v>
      </c>
      <c r="B152" s="1" t="str">
        <f>IFERROR(__xludf.DUMMYFUNCTION("""COMPUTED_VALUE"""),"LANZA, ANNALYN")</f>
        <v>LANZA, ANNALYN</v>
      </c>
      <c r="C152" s="1" t="str">
        <f>IFERROR(__xludf.DUMMYFUNCTION("""COMPUTED_VALUE"""),"ORGANIC")</f>
        <v>ORGANIC</v>
      </c>
      <c r="D152" s="1" t="str">
        <f>IFERROR(__xludf.DUMMYFUNCTION("""COMPUTED_VALUE"""),"ILANO MARK")</f>
        <v>ILANO MARK</v>
      </c>
      <c r="E152" s="1" t="str">
        <f>IFERROR(__xludf.DUMMYFUNCTION("""COMPUTED_VALUE"""),"PLDT")</f>
        <v>PLDT</v>
      </c>
      <c r="F152" s="1">
        <f>IFERROR(__xludf.DUMMYFUNCTION("""COMPUTED_VALUE"""),2306239908)</f>
        <v>2306239908</v>
      </c>
      <c r="G152" s="1"/>
      <c r="H152" s="1" t="str">
        <f>IFERROR(__xludf.DUMMYFUNCTION("""COMPUTED_VALUE"""),"9273427598")</f>
        <v>9273427598</v>
      </c>
      <c r="I152" s="1">
        <f>IFERROR(__xludf.DUMMYFUNCTION("""COMPUTED_VALUE"""),9538138323)</f>
        <v>9538138323</v>
      </c>
      <c r="J152" s="1"/>
      <c r="K152" s="1" t="str">
        <f>IFERROR(__xludf.DUMMYFUNCTION("""COMPUTED_VALUE"""),"213")</f>
        <v>213</v>
      </c>
      <c r="L152" s="1" t="str">
        <f>IFERROR(__xludf.DUMMYFUNCTION("""COMPUTED_VALUE"""),"CABALUAN RD")</f>
        <v>CABALUAN RD</v>
      </c>
      <c r="M152" s="1"/>
      <c r="N152" s="1" t="str">
        <f>IFERROR(__xludf.DUMMYFUNCTION("""COMPUTED_VALUE"""),"PALOCPOC I")</f>
        <v>PALOCPOC I</v>
      </c>
      <c r="O152" s="1" t="str">
        <f>IFERROR(__xludf.DUMMYFUNCTION("""COMPUTED_VALUE"""),"MENDEZ")</f>
        <v>MENDEZ</v>
      </c>
      <c r="P152" s="1" t="str">
        <f>IFERROR(__xludf.DUMMYFUNCTION("""COMPUTED_VALUE"""),"CAVITE")</f>
        <v>CAVITE</v>
      </c>
      <c r="Q152" s="1" t="str">
        <f>IFERROR(__xludf.DUMMYFUNCTION("""COMPUTED_VALUE"""),"FIBR PLAN 1399")</f>
        <v>FIBR PLAN 1399</v>
      </c>
      <c r="R152" s="1" t="str">
        <f>IFERROR(__xludf.DUMMYFUNCTION("""COMPUTED_VALUE"""),"APPROVED")</f>
        <v>APPROVED</v>
      </c>
      <c r="S152" s="1"/>
      <c r="T152" s="1"/>
      <c r="U152" s="1"/>
      <c r="V152" s="1"/>
      <c r="W152" s="1"/>
    </row>
    <row r="153" customHeight="1" spans="1:23">
      <c r="A153" s="3">
        <f>IFERROR(__xludf.DUMMYFUNCTION("""COMPUTED_VALUE"""),46036)</f>
        <v>46036</v>
      </c>
      <c r="B153" s="1" t="str">
        <f>IFERROR(__xludf.DUMMYFUNCTION("""COMPUTED_VALUE"""),"LANZA, ANNALYN")</f>
        <v>LANZA, ANNALYN</v>
      </c>
      <c r="C153" s="1" t="str">
        <f>IFERROR(__xludf.DUMMYFUNCTION("""COMPUTED_VALUE"""),"ORGANIC")</f>
        <v>ORGANIC</v>
      </c>
      <c r="D153" s="1" t="str">
        <f>IFERROR(__xludf.DUMMYFUNCTION("""COMPUTED_VALUE"""),"ILANO MARK")</f>
        <v>ILANO MARK</v>
      </c>
      <c r="E153" s="1" t="str">
        <f>IFERROR(__xludf.DUMMYFUNCTION("""COMPUTED_VALUE"""),"PLDT")</f>
        <v>PLDT</v>
      </c>
      <c r="F153" s="1">
        <f>IFERROR(__xludf.DUMMYFUNCTION("""COMPUTED_VALUE"""),2306240582)</f>
        <v>2306240582</v>
      </c>
      <c r="G153" s="1"/>
      <c r="H153" s="1" t="str">
        <f>IFERROR(__xludf.DUMMYFUNCTION("""COMPUTED_VALUE"""),"9190954941")</f>
        <v>9190954941</v>
      </c>
      <c r="I153" s="1">
        <f>IFERROR(__xludf.DUMMYFUNCTION("""COMPUTED_VALUE"""),9164737953)</f>
        <v>9164737953</v>
      </c>
      <c r="J153" s="1"/>
      <c r="K153" s="1" t="str">
        <f>IFERROR(__xludf.DUMMYFUNCTION("""COMPUTED_VALUE"""),"9023B")</f>
        <v>9023B</v>
      </c>
      <c r="L153" s="1" t="str">
        <f>IFERROR(__xludf.DUMMYFUNCTION("""COMPUTED_VALUE"""),"RIZAL ST")</f>
        <v>RIZAL ST</v>
      </c>
      <c r="M153" s="1"/>
      <c r="N153" s="1" t="str">
        <f>IFERROR(__xludf.DUMMYFUNCTION("""COMPUTED_VALUE"""),"POBLACION III")</f>
        <v>POBLACION III</v>
      </c>
      <c r="O153" s="1" t="str">
        <f>IFERROR(__xludf.DUMMYFUNCTION("""COMPUTED_VALUE"""),"ALFONSO")</f>
        <v>ALFONSO</v>
      </c>
      <c r="P153" s="1" t="str">
        <f>IFERROR(__xludf.DUMMYFUNCTION("""COMPUTED_VALUE"""),"CAVITE")</f>
        <v>CAVITE</v>
      </c>
      <c r="Q153" s="1" t="str">
        <f>IFERROR(__xludf.DUMMYFUNCTION("""COMPUTED_VALUE"""),"PREPAID 999")</f>
        <v>PREPAID 999</v>
      </c>
      <c r="R153" s="1" t="str">
        <f>IFERROR(__xludf.DUMMYFUNCTION("""COMPUTED_VALUE"""),"APPROVED")</f>
        <v>APPROVED</v>
      </c>
      <c r="S153" s="1"/>
      <c r="T153" s="1"/>
      <c r="U153" s="1"/>
      <c r="V153" s="1"/>
      <c r="W153" s="1"/>
    </row>
    <row r="154" customHeight="1" spans="1:23">
      <c r="A154" s="3">
        <f>IFERROR(__xludf.DUMMYFUNCTION("""COMPUTED_VALUE"""),46036)</f>
        <v>46036</v>
      </c>
      <c r="B154" s="1" t="str">
        <f>IFERROR(__xludf.DUMMYFUNCTION("""COMPUTED_VALUE"""),"AYON MANUEL")</f>
        <v>AYON MANUEL</v>
      </c>
      <c r="C154" s="1" t="str">
        <f>IFERROR(__xludf.DUMMYFUNCTION("""COMPUTED_VALUE"""),"FLA")</f>
        <v>FLA</v>
      </c>
      <c r="D154" s="1" t="str">
        <f>IFERROR(__xludf.DUMMYFUNCTION("""COMPUTED_VALUE"""),"JERIC NAVARRO")</f>
        <v>JERIC NAVARRO</v>
      </c>
      <c r="E154" s="1" t="str">
        <f>IFERROR(__xludf.DUMMYFUNCTION("""COMPUTED_VALUE"""),"PLDT")</f>
        <v>PLDT</v>
      </c>
      <c r="F154" s="1">
        <f>IFERROR(__xludf.DUMMYFUNCTION("""COMPUTED_VALUE"""),2306243227)</f>
        <v>2306243227</v>
      </c>
      <c r="G154" s="1"/>
      <c r="H154" s="1" t="str">
        <f>IFERROR(__xludf.DUMMYFUNCTION("""COMPUTED_VALUE"""),"9185670815")</f>
        <v>9185670815</v>
      </c>
      <c r="I154" s="1">
        <f>IFERROR(__xludf.DUMMYFUNCTION("""COMPUTED_VALUE"""),9192797344)</f>
        <v>9192797344</v>
      </c>
      <c r="J154" s="1"/>
      <c r="K154" s="1" t="str">
        <f>IFERROR(__xludf.DUMMYFUNCTION("""COMPUTED_VALUE"""),"2")</f>
        <v>2</v>
      </c>
      <c r="L154" s="1" t="str">
        <f>IFERROR(__xludf.DUMMYFUNCTION("""COMPUTED_VALUE"""),"SITIO TIGAS")</f>
        <v>SITIO TIGAS</v>
      </c>
      <c r="M154" s="1"/>
      <c r="N154" s="1" t="str">
        <f>IFERROR(__xludf.DUMMYFUNCTION("""COMPUTED_VALUE"""),"MAYMANGGA")</f>
        <v>MAYMANGGA</v>
      </c>
      <c r="O154" s="1" t="str">
        <f>IFERROR(__xludf.DUMMYFUNCTION("""COMPUTED_VALUE"""),"AMADEO")</f>
        <v>AMADEO</v>
      </c>
      <c r="P154" s="1" t="str">
        <f>IFERROR(__xludf.DUMMYFUNCTION("""COMPUTED_VALUE"""),"CAVITE")</f>
        <v>CAVITE</v>
      </c>
      <c r="Q154" s="1" t="str">
        <f>IFERROR(__xludf.DUMMYFUNCTION("""COMPUTED_VALUE"""),"FIBR PLAN 1399")</f>
        <v>FIBR PLAN 1399</v>
      </c>
      <c r="R154" s="1" t="str">
        <f>IFERROR(__xludf.DUMMYFUNCTION("""COMPUTED_VALUE"""),"APPROVED")</f>
        <v>APPROVED</v>
      </c>
      <c r="S154" s="1"/>
      <c r="T154" s="1"/>
      <c r="U154" s="1"/>
      <c r="V154" s="1"/>
      <c r="W154" s="1"/>
    </row>
    <row r="155" customHeight="1" spans="1:23">
      <c r="A155" s="3">
        <f>IFERROR(__xludf.DUMMYFUNCTION("""COMPUTED_VALUE"""),46036)</f>
        <v>46036</v>
      </c>
      <c r="B155" s="1" t="str">
        <f>IFERROR(__xludf.DUMMYFUNCTION("""COMPUTED_VALUE"""),"NAVARRO, JERIC")</f>
        <v>NAVARRO, JERIC</v>
      </c>
      <c r="C155" s="1" t="str">
        <f>IFERROR(__xludf.DUMMYFUNCTION("""COMPUTED_VALUE"""),"FLA")</f>
        <v>FLA</v>
      </c>
      <c r="D155" s="1" t="str">
        <f>IFERROR(__xludf.DUMMYFUNCTION("""COMPUTED_VALUE"""),"JERIC NAVARRO")</f>
        <v>JERIC NAVARRO</v>
      </c>
      <c r="E155" s="1" t="str">
        <f>IFERROR(__xludf.DUMMYFUNCTION("""COMPUTED_VALUE"""),"PLDT")</f>
        <v>PLDT</v>
      </c>
      <c r="F155" s="1">
        <f>IFERROR(__xludf.DUMMYFUNCTION("""COMPUTED_VALUE"""),2306242631)</f>
        <v>2306242631</v>
      </c>
      <c r="G155" s="1"/>
      <c r="H155" s="1" t="str">
        <f>IFERROR(__xludf.DUMMYFUNCTION("""COMPUTED_VALUE"""),"9922042811")</f>
        <v>9922042811</v>
      </c>
      <c r="I155" s="1"/>
      <c r="J155" s="1"/>
      <c r="K155" s="1" t="str">
        <f>IFERROR(__xludf.DUMMYFUNCTION("""COMPUTED_VALUE"""),"3051")</f>
        <v>3051</v>
      </c>
      <c r="L155" s="1" t="str">
        <f>IFERROR(__xludf.DUMMYFUNCTION("""COMPUTED_VALUE"""),"BALANTAY AVE")</f>
        <v>BALANTAY AVE</v>
      </c>
      <c r="M155" s="1"/>
      <c r="N155" s="1" t="str">
        <f>IFERROR(__xludf.DUMMYFUNCTION("""COMPUTED_VALUE"""),"MOLINO II")</f>
        <v>MOLINO II</v>
      </c>
      <c r="O155" s="1" t="str">
        <f>IFERROR(__xludf.DUMMYFUNCTION("""COMPUTED_VALUE"""),"BACOOR")</f>
        <v>BACOOR</v>
      </c>
      <c r="P155" s="1" t="str">
        <f>IFERROR(__xludf.DUMMYFUNCTION("""COMPUTED_VALUE"""),"CAVITE")</f>
        <v>CAVITE</v>
      </c>
      <c r="Q155" s="1" t="str">
        <f>IFERROR(__xludf.DUMMYFUNCTION("""COMPUTED_VALUE"""),"FIBR PLAN 1399")</f>
        <v>FIBR PLAN 1399</v>
      </c>
      <c r="R155" s="1" t="str">
        <f>IFERROR(__xludf.DUMMYFUNCTION("""COMPUTED_VALUE"""),"APPROVED")</f>
        <v>APPROVED</v>
      </c>
      <c r="S155" s="1"/>
      <c r="T155" s="1"/>
      <c r="U155" s="1"/>
      <c r="V155" s="1"/>
      <c r="W155" s="1"/>
    </row>
    <row r="156" customHeight="1" spans="1:23">
      <c r="A156" s="3">
        <f>IFERROR(__xludf.DUMMYFUNCTION("""COMPUTED_VALUE"""),46036)</f>
        <v>46036</v>
      </c>
      <c r="B156" s="1" t="str">
        <f>IFERROR(__xludf.DUMMYFUNCTION("""COMPUTED_VALUE"""),"IVNO, RAZZEL")</f>
        <v>IVNO, RAZZEL</v>
      </c>
      <c r="C156" s="1" t="str">
        <f>IFERROR(__xludf.DUMMYFUNCTION("""COMPUTED_VALUE"""),"ORGANIC")</f>
        <v>ORGANIC</v>
      </c>
      <c r="D156" s="1" t="str">
        <f>IFERROR(__xludf.DUMMYFUNCTION("""COMPUTED_VALUE"""),"ILANO MARK")</f>
        <v>ILANO MARK</v>
      </c>
      <c r="E156" s="1" t="str">
        <f>IFERROR(__xludf.DUMMYFUNCTION("""COMPUTED_VALUE"""),"RED FIBER")</f>
        <v>RED FIBER</v>
      </c>
      <c r="F156" s="1"/>
      <c r="G156" s="1"/>
      <c r="H156" s="1" t="str">
        <f>IFERROR(__xludf.DUMMYFUNCTION("""COMPUTED_VALUE"""),"9770047905")</f>
        <v>9770047905</v>
      </c>
      <c r="I156" s="1">
        <f>IFERROR(__xludf.DUMMYFUNCTION("""COMPUTED_VALUE"""),9457430692)</f>
        <v>9457430692</v>
      </c>
      <c r="J156" s="1"/>
      <c r="K156" s="1" t="str">
        <f>IFERROR(__xludf.DUMMYFUNCTION("""COMPUTED_VALUE"""),"9992")</f>
        <v>9992</v>
      </c>
      <c r="L156" s="1" t="str">
        <f>IFERROR(__xludf.DUMMYFUNCTION("""COMPUTED_VALUE"""),"MALABAG RD")</f>
        <v>MALABAG RD</v>
      </c>
      <c r="M156" s="1"/>
      <c r="N156" s="1" t="str">
        <f>IFERROR(__xludf.DUMMYFUNCTION("""COMPUTED_VALUE"""),"MALABAG")</f>
        <v>MALABAG</v>
      </c>
      <c r="O156" s="1" t="str">
        <f>IFERROR(__xludf.DUMMYFUNCTION("""COMPUTED_VALUE"""),"SILANG")</f>
        <v>SILANG</v>
      </c>
      <c r="P156" s="1" t="str">
        <f>IFERROR(__xludf.DUMMYFUNCTION("""COMPUTED_VALUE"""),"CAVITE")</f>
        <v>CAVITE</v>
      </c>
      <c r="Q156" s="1" t="str">
        <f>IFERROR(__xludf.DUMMYFUNCTION("""COMPUTED_VALUE"""),"RED FIBER PLAN 1400")</f>
        <v>RED FIBER PLAN 1400</v>
      </c>
      <c r="R156" s="1" t="str">
        <f>IFERROR(__xludf.DUMMYFUNCTION("""COMPUTED_VALUE"""),"APPROVED")</f>
        <v>APPROVED</v>
      </c>
      <c r="S156" s="1"/>
      <c r="T156" s="1"/>
      <c r="U156" s="1"/>
      <c r="V156" s="1"/>
      <c r="W156" s="1"/>
    </row>
    <row r="157" customHeight="1" spans="1:23">
      <c r="A157" s="3">
        <f>IFERROR(__xludf.DUMMYFUNCTION("""COMPUTED_VALUE"""),46037)</f>
        <v>46037</v>
      </c>
      <c r="B157" s="1" t="str">
        <f>IFERROR(__xludf.DUMMYFUNCTION("""COMPUTED_VALUE"""),"MALIWAT MARK ELVIN")</f>
        <v>MALIWAT MARK ELVIN</v>
      </c>
      <c r="C157" s="1" t="str">
        <f>IFERROR(__xludf.DUMMYFUNCTION("""COMPUTED_VALUE"""),"FLA")</f>
        <v>FLA</v>
      </c>
      <c r="D157" s="1" t="str">
        <f>IFERROR(__xludf.DUMMYFUNCTION("""COMPUTED_VALUE"""),"JERIC NAVARRO")</f>
        <v>JERIC NAVARRO</v>
      </c>
      <c r="E157" s="1" t="str">
        <f>IFERROR(__xludf.DUMMYFUNCTION("""COMPUTED_VALUE"""),"PLDT")</f>
        <v>PLDT</v>
      </c>
      <c r="F157" s="1">
        <f>IFERROR(__xludf.DUMMYFUNCTION("""COMPUTED_VALUE"""),2306260409)</f>
        <v>2306260409</v>
      </c>
      <c r="G157" s="1"/>
      <c r="H157" s="1" t="str">
        <f>IFERROR(__xludf.DUMMYFUNCTION("""COMPUTED_VALUE"""),"9272875779")</f>
        <v>9272875779</v>
      </c>
      <c r="I157" s="1"/>
      <c r="J157" s="1"/>
      <c r="K157" s="1" t="str">
        <f>IFERROR(__xludf.DUMMYFUNCTION("""COMPUTED_VALUE"""),"BLK 42 LOT 2")</f>
        <v>BLK 42 LOT 2</v>
      </c>
      <c r="L157" s="1" t="str">
        <f>IFERROR(__xludf.DUMMYFUNCTION("""COMPUTED_VALUE"""),"SAN SALVADOR")</f>
        <v>SAN SALVADOR</v>
      </c>
      <c r="M157" s="1" t="str">
        <f>IFERROR(__xludf.DUMMYFUNCTION("""COMPUTED_VALUE"""),"SOUTHPLAINS PHASE 2")</f>
        <v>SOUTHPLAINS PHASE 2</v>
      </c>
      <c r="N157" s="1" t="str">
        <f>IFERROR(__xludf.DUMMYFUNCTION("""COMPUTED_VALUE"""),"SABANG")</f>
        <v>SABANG</v>
      </c>
      <c r="O157" s="1" t="str">
        <f>IFERROR(__xludf.DUMMYFUNCTION("""COMPUTED_VALUE"""),"DASMARINAS")</f>
        <v>DASMARINAS</v>
      </c>
      <c r="P157" s="1" t="str">
        <f>IFERROR(__xludf.DUMMYFUNCTION("""COMPUTED_VALUE"""),"CAVITE")</f>
        <v>CAVITE</v>
      </c>
      <c r="Q157" s="1" t="str">
        <f>IFERROR(__xludf.DUMMYFUNCTION("""COMPUTED_VALUE"""),"FIBR PLAN 1699")</f>
        <v>FIBR PLAN 1699</v>
      </c>
      <c r="R157" s="1" t="str">
        <f>IFERROR(__xludf.DUMMYFUNCTION("""COMPUTED_VALUE"""),"APPROVED")</f>
        <v>APPROVED</v>
      </c>
      <c r="S157" s="1"/>
      <c r="T157" s="1"/>
      <c r="U157" s="1"/>
      <c r="V157" s="1"/>
      <c r="W157" s="1"/>
    </row>
    <row r="158" customHeight="1" spans="1:23">
      <c r="A158" s="3">
        <f>IFERROR(__xludf.DUMMYFUNCTION("""COMPUTED_VALUE"""),46037)</f>
        <v>46037</v>
      </c>
      <c r="B158" s="1" t="str">
        <f>IFERROR(__xludf.DUMMYFUNCTION("""COMPUTED_VALUE"""),"ESCARCHA, MA ALMA  ESCOTO")</f>
        <v>ESCARCHA, MA ALMA  ESCOTO</v>
      </c>
      <c r="C158" s="1" t="str">
        <f>IFERROR(__xludf.DUMMYFUNCTION("""COMPUTED_VALUE"""),"FLA")</f>
        <v>FLA</v>
      </c>
      <c r="D158" s="1" t="str">
        <f>IFERROR(__xludf.DUMMYFUNCTION("""COMPUTED_VALUE"""),"JERIC NAVARRO")</f>
        <v>JERIC NAVARRO</v>
      </c>
      <c r="E158" s="1" t="str">
        <f>IFERROR(__xludf.DUMMYFUNCTION("""COMPUTED_VALUE"""),"PLDT")</f>
        <v>PLDT</v>
      </c>
      <c r="F158" s="1">
        <f>IFERROR(__xludf.DUMMYFUNCTION("""COMPUTED_VALUE"""),2306262150)</f>
        <v>2306262150</v>
      </c>
      <c r="G158" s="1"/>
      <c r="H158" s="1" t="str">
        <f>IFERROR(__xludf.DUMMYFUNCTION("""COMPUTED_VALUE"""),"9179555336")</f>
        <v>9179555336</v>
      </c>
      <c r="I158" s="1">
        <f>IFERROR(__xludf.DUMMYFUNCTION("""COMPUTED_VALUE"""),9173120030)</f>
        <v>9173120030</v>
      </c>
      <c r="J158" s="1"/>
      <c r="K158" s="1" t="str">
        <f>IFERROR(__xludf.DUMMYFUNCTION("""COMPUTED_VALUE"""),"BLK 15 LOT 18")</f>
        <v>BLK 15 LOT 18</v>
      </c>
      <c r="L158" s="1" t="str">
        <f>IFERROR(__xludf.DUMMYFUNCTION("""COMPUTED_VALUE"""),"ACACIA HOMES")</f>
        <v>ACACIA HOMES</v>
      </c>
      <c r="M158" s="1"/>
      <c r="N158" s="1" t="str">
        <f>IFERROR(__xludf.DUMMYFUNCTION("""COMPUTED_VALUE"""),"TOCLONG")</f>
        <v>TOCLONG</v>
      </c>
      <c r="O158" s="1" t="str">
        <f>IFERROR(__xludf.DUMMYFUNCTION("""COMPUTED_VALUE"""),"KAWIT")</f>
        <v>KAWIT</v>
      </c>
      <c r="P158" s="1" t="str">
        <f>IFERROR(__xludf.DUMMYFUNCTION("""COMPUTED_VALUE"""),"CAVITE")</f>
        <v>CAVITE</v>
      </c>
      <c r="Q158" s="1" t="str">
        <f>IFERROR(__xludf.DUMMYFUNCTION("""COMPUTED_VALUE"""),"FIBR PLAN 1699")</f>
        <v>FIBR PLAN 1699</v>
      </c>
      <c r="R158" s="1" t="str">
        <f>IFERROR(__xludf.DUMMYFUNCTION("""COMPUTED_VALUE"""),"APPROVED")</f>
        <v>APPROVED</v>
      </c>
      <c r="S158" s="1"/>
      <c r="T158" s="1"/>
      <c r="U158" s="1"/>
      <c r="V158" s="1"/>
      <c r="W158" s="1"/>
    </row>
    <row r="159" customHeight="1" spans="1:23">
      <c r="A159" s="3">
        <f>IFERROR(__xludf.DUMMYFUNCTION("""COMPUTED_VALUE"""),46037)</f>
        <v>46037</v>
      </c>
      <c r="B159" s="1" t="str">
        <f>IFERROR(__xludf.DUMMYFUNCTION("""COMPUTED_VALUE"""),"REMOLLO, LEA")</f>
        <v>REMOLLO, LEA</v>
      </c>
      <c r="C159" s="1" t="str">
        <f>IFERROR(__xludf.DUMMYFUNCTION("""COMPUTED_VALUE"""),"FLA")</f>
        <v>FLA</v>
      </c>
      <c r="D159" s="1" t="str">
        <f>IFERROR(__xludf.DUMMYFUNCTION("""COMPUTED_VALUE"""),"JERIC NAVARRO")</f>
        <v>JERIC NAVARRO</v>
      </c>
      <c r="E159" s="1" t="str">
        <f>IFERROR(__xludf.DUMMYFUNCTION("""COMPUTED_VALUE"""),"PLDT")</f>
        <v>PLDT</v>
      </c>
      <c r="F159" s="1">
        <f>IFERROR(__xludf.DUMMYFUNCTION("""COMPUTED_VALUE"""),2306263373)</f>
        <v>2306263373</v>
      </c>
      <c r="G159" s="1"/>
      <c r="H159" s="1" t="str">
        <f>IFERROR(__xludf.DUMMYFUNCTION("""COMPUTED_VALUE"""),"9173503640")</f>
        <v>9173503640</v>
      </c>
      <c r="I159" s="1"/>
      <c r="J159" s="1"/>
      <c r="K159" s="1" t="str">
        <f>IFERROR(__xludf.DUMMYFUNCTION("""COMPUTED_VALUE"""),"427")</f>
        <v>427</v>
      </c>
      <c r="L159" s="1" t="str">
        <f>IFERROR(__xludf.DUMMYFUNCTION("""COMPUTED_VALUE"""),"PUROK 193")</f>
        <v>PUROK 193</v>
      </c>
      <c r="M159" s="1"/>
      <c r="N159" s="1" t="str">
        <f>IFERROR(__xludf.DUMMYFUNCTION("""COMPUTED_VALUE"""),"SUNGAY NORTH")</f>
        <v>SUNGAY NORTH</v>
      </c>
      <c r="O159" s="1" t="str">
        <f>IFERROR(__xludf.DUMMYFUNCTION("""COMPUTED_VALUE"""),"TAGAYTAY")</f>
        <v>TAGAYTAY</v>
      </c>
      <c r="P159" s="1" t="str">
        <f>IFERROR(__xludf.DUMMYFUNCTION("""COMPUTED_VALUE"""),"CAVITE")</f>
        <v>CAVITE</v>
      </c>
      <c r="Q159" s="1" t="str">
        <f>IFERROR(__xludf.DUMMYFUNCTION("""COMPUTED_VALUE"""),"FIBR PLAN 1599")</f>
        <v>FIBR PLAN 1599</v>
      </c>
      <c r="R159" s="1" t="str">
        <f>IFERROR(__xludf.DUMMYFUNCTION("""COMPUTED_VALUE"""),"APPROVED")</f>
        <v>APPROVED</v>
      </c>
      <c r="S159" s="1"/>
      <c r="T159" s="1"/>
      <c r="U159" s="1"/>
      <c r="V159" s="1"/>
      <c r="W159" s="1"/>
    </row>
    <row r="160" customHeight="1" spans="1:23">
      <c r="A160" s="3">
        <f>IFERROR(__xludf.DUMMYFUNCTION("""COMPUTED_VALUE"""),46037)</f>
        <v>46037</v>
      </c>
      <c r="B160" s="1" t="str">
        <f>IFERROR(__xludf.DUMMYFUNCTION("""COMPUTED_VALUE"""),"CARPIO, STEPHANIE NICOLE")</f>
        <v>CARPIO, STEPHANIE NICOLE</v>
      </c>
      <c r="C160" s="1" t="str">
        <f>IFERROR(__xludf.DUMMYFUNCTION("""COMPUTED_VALUE"""),"FLA")</f>
        <v>FLA</v>
      </c>
      <c r="D160" s="1" t="str">
        <f>IFERROR(__xludf.DUMMYFUNCTION("""COMPUTED_VALUE"""),"JERIC NAVARRO")</f>
        <v>JERIC NAVARRO</v>
      </c>
      <c r="E160" s="1" t="str">
        <f>IFERROR(__xludf.DUMMYFUNCTION("""COMPUTED_VALUE"""),"PLDT")</f>
        <v>PLDT</v>
      </c>
      <c r="F160" s="1">
        <f>IFERROR(__xludf.DUMMYFUNCTION("""COMPUTED_VALUE"""),2306267159)</f>
        <v>2306267159</v>
      </c>
      <c r="G160" s="1"/>
      <c r="H160" s="1" t="str">
        <f>IFERROR(__xludf.DUMMYFUNCTION("""COMPUTED_VALUE"""),"9602574248")</f>
        <v>9602574248</v>
      </c>
      <c r="I160" s="1"/>
      <c r="J160" s="1"/>
      <c r="K160" s="1" t="str">
        <f>IFERROR(__xludf.DUMMYFUNCTION("""COMPUTED_VALUE"""),"BLK 5B LOT 32")</f>
        <v>BLK 5B LOT 32</v>
      </c>
      <c r="L160" s="1" t="str">
        <f>IFERROR(__xludf.DUMMYFUNCTION("""COMPUTED_VALUE"""),"OHASE 1")</f>
        <v>OHASE 1</v>
      </c>
      <c r="M160" s="1" t="str">
        <f>IFERROR(__xludf.DUMMYFUNCTION("""COMPUTED_VALUE"""),"HOLIDAY HOMES")</f>
        <v>HOLIDAY HOMES</v>
      </c>
      <c r="N160" s="1" t="str">
        <f>IFERROR(__xludf.DUMMYFUNCTION("""COMPUTED_VALUE"""),"BICLATAN")</f>
        <v>BICLATAN</v>
      </c>
      <c r="O160" s="1" t="str">
        <f>IFERROR(__xludf.DUMMYFUNCTION("""COMPUTED_VALUE"""),"GENERAL TRIAS")</f>
        <v>GENERAL TRIAS</v>
      </c>
      <c r="P160" s="1" t="str">
        <f>IFERROR(__xludf.DUMMYFUNCTION("""COMPUTED_VALUE"""),"CAVITE")</f>
        <v>CAVITE</v>
      </c>
      <c r="Q160" s="1" t="str">
        <f>IFERROR(__xludf.DUMMYFUNCTION("""COMPUTED_VALUE"""),"FIBR PLAN 1399")</f>
        <v>FIBR PLAN 1399</v>
      </c>
      <c r="R160" s="1" t="str">
        <f>IFERROR(__xludf.DUMMYFUNCTION("""COMPUTED_VALUE"""),"APPROVED")</f>
        <v>APPROVED</v>
      </c>
      <c r="S160" s="1"/>
      <c r="T160" s="1"/>
      <c r="U160" s="1"/>
      <c r="V160" s="1"/>
      <c r="W160" s="1"/>
    </row>
    <row r="161" customHeight="1" spans="1:23">
      <c r="A161" s="3">
        <f>IFERROR(__xludf.DUMMYFUNCTION("""COMPUTED_VALUE"""),46037)</f>
        <v>46037</v>
      </c>
      <c r="B161" s="1" t="str">
        <f>IFERROR(__xludf.DUMMYFUNCTION("""COMPUTED_VALUE"""),"REMOLLO, LEA")</f>
        <v>REMOLLO, LEA</v>
      </c>
      <c r="C161" s="1" t="str">
        <f>IFERROR(__xludf.DUMMYFUNCTION("""COMPUTED_VALUE"""),"FLA")</f>
        <v>FLA</v>
      </c>
      <c r="D161" s="1" t="str">
        <f>IFERROR(__xludf.DUMMYFUNCTION("""COMPUTED_VALUE"""),"JERIC NAVARRO")</f>
        <v>JERIC NAVARRO</v>
      </c>
      <c r="E161" s="1" t="str">
        <f>IFERROR(__xludf.DUMMYFUNCTION("""COMPUTED_VALUE"""),"PLDT")</f>
        <v>PLDT</v>
      </c>
      <c r="F161" s="1">
        <f>IFERROR(__xludf.DUMMYFUNCTION("""COMPUTED_VALUE"""),2306266718)</f>
        <v>2306266718</v>
      </c>
      <c r="G161" s="1"/>
      <c r="H161" s="1" t="str">
        <f>IFERROR(__xludf.DUMMYFUNCTION("""COMPUTED_VALUE"""),"9760312430")</f>
        <v>9760312430</v>
      </c>
      <c r="I161" s="1"/>
      <c r="J161" s="1"/>
      <c r="K161" s="1" t="str">
        <f>IFERROR(__xludf.DUMMYFUNCTION("""COMPUTED_VALUE"""),"393")</f>
        <v>393</v>
      </c>
      <c r="L161" s="1" t="str">
        <f>IFERROR(__xludf.DUMMYFUNCTION("""COMPUTED_VALUE"""),"SUNGAY LANE")</f>
        <v>SUNGAY LANE</v>
      </c>
      <c r="M161" s="1"/>
      <c r="N161" s="1" t="str">
        <f>IFERROR(__xludf.DUMMYFUNCTION("""COMPUTED_VALUE"""),"SUNGAY NORTH")</f>
        <v>SUNGAY NORTH</v>
      </c>
      <c r="O161" s="1" t="str">
        <f>IFERROR(__xludf.DUMMYFUNCTION("""COMPUTED_VALUE"""),"TAGAYTAY")</f>
        <v>TAGAYTAY</v>
      </c>
      <c r="P161" s="1" t="str">
        <f>IFERROR(__xludf.DUMMYFUNCTION("""COMPUTED_VALUE"""),"CAVITE")</f>
        <v>CAVITE</v>
      </c>
      <c r="Q161" s="1" t="str">
        <f>IFERROR(__xludf.DUMMYFUNCTION("""COMPUTED_VALUE"""),"FIBR PLAN 1599")</f>
        <v>FIBR PLAN 1599</v>
      </c>
      <c r="R161" s="1" t="str">
        <f>IFERROR(__xludf.DUMMYFUNCTION("""COMPUTED_VALUE"""),"APPROVED")</f>
        <v>APPROVED</v>
      </c>
      <c r="S161" s="1"/>
      <c r="T161" s="1"/>
      <c r="U161" s="1"/>
      <c r="V161" s="1"/>
      <c r="W161" s="1"/>
    </row>
    <row r="162" customHeight="1" spans="1:23">
      <c r="A162" s="3">
        <f>IFERROR(__xludf.DUMMYFUNCTION("""COMPUTED_VALUE"""),46037)</f>
        <v>46037</v>
      </c>
      <c r="B162" s="1" t="str">
        <f>IFERROR(__xludf.DUMMYFUNCTION("""COMPUTED_VALUE"""),"DE VERA, MARIVIC")</f>
        <v>DE VERA, MARIVIC</v>
      </c>
      <c r="C162" s="1" t="str">
        <f>IFERROR(__xludf.DUMMYFUNCTION("""COMPUTED_VALUE"""),"ORGANIC")</f>
        <v>ORGANIC</v>
      </c>
      <c r="D162" s="1" t="str">
        <f>IFERROR(__xludf.DUMMYFUNCTION("""COMPUTED_VALUE"""),"ILANO MARK")</f>
        <v>ILANO MARK</v>
      </c>
      <c r="E162" s="1" t="str">
        <f>IFERROR(__xludf.DUMMYFUNCTION("""COMPUTED_VALUE"""),"RED FIBER")</f>
        <v>RED FIBER</v>
      </c>
      <c r="F162" s="1"/>
      <c r="G162" s="1"/>
      <c r="H162" s="1" t="str">
        <f>IFERROR(__xludf.DUMMYFUNCTION("""COMPUTED_VALUE"""),"9662013311")</f>
        <v>9662013311</v>
      </c>
      <c r="I162" s="1"/>
      <c r="J162" s="1"/>
      <c r="K162" s="1" t="str">
        <f>IFERROR(__xludf.DUMMYFUNCTION("""COMPUTED_VALUE"""),"713")</f>
        <v>713</v>
      </c>
      <c r="L162" s="1" t="str">
        <f>IFERROR(__xludf.DUMMYFUNCTION("""COMPUTED_VALUE"""),"BAYBAY COMPOUND")</f>
        <v>BAYBAY COMPOUND</v>
      </c>
      <c r="M162" s="1"/>
      <c r="N162" s="1" t="str">
        <f>IFERROR(__xludf.DUMMYFUNCTION("""COMPUTED_VALUE"""),"SILANG CROSSING EAST")</f>
        <v>SILANG CROSSING EAST</v>
      </c>
      <c r="O162" s="1" t="str">
        <f>IFERROR(__xludf.DUMMYFUNCTION("""COMPUTED_VALUE"""),"TAGAYTAY")</f>
        <v>TAGAYTAY</v>
      </c>
      <c r="P162" s="1" t="str">
        <f>IFERROR(__xludf.DUMMYFUNCTION("""COMPUTED_VALUE"""),"CAVITE")</f>
        <v>CAVITE</v>
      </c>
      <c r="Q162" s="1" t="str">
        <f>IFERROR(__xludf.DUMMYFUNCTION("""COMPUTED_VALUE"""),"RED FIBER PLAN 1400")</f>
        <v>RED FIBER PLAN 1400</v>
      </c>
      <c r="R162" s="1" t="str">
        <f>IFERROR(__xludf.DUMMYFUNCTION("""COMPUTED_VALUE"""),"APPROVED")</f>
        <v>APPROVED</v>
      </c>
      <c r="S162" s="1"/>
      <c r="T162" s="1"/>
      <c r="U162" s="1"/>
      <c r="V162" s="1"/>
      <c r="W162" s="1"/>
    </row>
    <row r="163" customHeight="1" spans="1:23">
      <c r="A163" s="3">
        <f>IFERROR(__xludf.DUMMYFUNCTION("""COMPUTED_VALUE"""),46037)</f>
        <v>46037</v>
      </c>
      <c r="B163" s="1" t="str">
        <f>IFERROR(__xludf.DUMMYFUNCTION("""COMPUTED_VALUE"""),"GABAY, MANUEL")</f>
        <v>GABAY, MANUEL</v>
      </c>
      <c r="C163" s="1" t="str">
        <f>IFERROR(__xludf.DUMMYFUNCTION("""COMPUTED_VALUE"""),"FLA")</f>
        <v>FLA</v>
      </c>
      <c r="D163" s="1" t="str">
        <f>IFERROR(__xludf.DUMMYFUNCTION("""COMPUTED_VALUE"""),"JERIC NAVARRO")</f>
        <v>JERIC NAVARRO</v>
      </c>
      <c r="E163" s="1" t="str">
        <f>IFERROR(__xludf.DUMMYFUNCTION("""COMPUTED_VALUE"""),"PLDT")</f>
        <v>PLDT</v>
      </c>
      <c r="F163" s="1">
        <f>IFERROR(__xludf.DUMMYFUNCTION("""COMPUTED_VALUE"""),2306270356)</f>
        <v>2306270356</v>
      </c>
      <c r="G163" s="1"/>
      <c r="H163" s="1" t="str">
        <f>IFERROR(__xludf.DUMMYFUNCTION("""COMPUTED_VALUE"""),"9672215372")</f>
        <v>9672215372</v>
      </c>
      <c r="I163" s="1">
        <f>IFERROR(__xludf.DUMMYFUNCTION("""COMPUTED_VALUE"""),9175564646)</f>
        <v>9175564646</v>
      </c>
      <c r="J163" s="1"/>
      <c r="K163" s="1" t="str">
        <f>IFERROR(__xludf.DUMMYFUNCTION("""COMPUTED_VALUE"""),"1043")</f>
        <v>1043</v>
      </c>
      <c r="L163" s="1" t="str">
        <f>IFERROR(__xludf.DUMMYFUNCTION("""COMPUTED_VALUE"""),"PUROK 1")</f>
        <v>PUROK 1</v>
      </c>
      <c r="M163" s="1"/>
      <c r="N163" s="1" t="str">
        <f>IFERROR(__xludf.DUMMYFUNCTION("""COMPUTED_VALUE"""),"PANGIL")</f>
        <v>PANGIL</v>
      </c>
      <c r="O163" s="1" t="str">
        <f>IFERROR(__xludf.DUMMYFUNCTION("""COMPUTED_VALUE"""),"AMADEO")</f>
        <v>AMADEO</v>
      </c>
      <c r="P163" s="1" t="str">
        <f>IFERROR(__xludf.DUMMYFUNCTION("""COMPUTED_VALUE"""),"CAVITE")</f>
        <v>CAVITE</v>
      </c>
      <c r="Q163" s="1" t="str">
        <f>IFERROR(__xludf.DUMMYFUNCTION("""COMPUTED_VALUE"""),"FIBR PLAN 1599")</f>
        <v>FIBR PLAN 1599</v>
      </c>
      <c r="R163" s="1" t="str">
        <f>IFERROR(__xludf.DUMMYFUNCTION("""COMPUTED_VALUE"""),"APPROVED")</f>
        <v>APPROVED</v>
      </c>
      <c r="S163" s="1"/>
      <c r="T163" s="1"/>
      <c r="U163" s="1"/>
      <c r="V163" s="1"/>
      <c r="W163" s="1"/>
    </row>
    <row r="164" customHeight="1" spans="1:23">
      <c r="A164" s="3">
        <f>IFERROR(__xludf.DUMMYFUNCTION("""COMPUTED_VALUE"""),46037)</f>
        <v>46037</v>
      </c>
      <c r="B164" s="1" t="str">
        <f>IFERROR(__xludf.DUMMYFUNCTION("""COMPUTED_VALUE"""),"IVNO, RAZZEL")</f>
        <v>IVNO, RAZZEL</v>
      </c>
      <c r="C164" s="1" t="str">
        <f>IFERROR(__xludf.DUMMYFUNCTION("""COMPUTED_VALUE"""),"ORGANIC")</f>
        <v>ORGANIC</v>
      </c>
      <c r="D164" s="1" t="str">
        <f>IFERROR(__xludf.DUMMYFUNCTION("""COMPUTED_VALUE"""),"ILANO MARK")</f>
        <v>ILANO MARK</v>
      </c>
      <c r="E164" s="1" t="str">
        <f>IFERROR(__xludf.DUMMYFUNCTION("""COMPUTED_VALUE"""),"PLDT")</f>
        <v>PLDT</v>
      </c>
      <c r="F164" s="1">
        <f>IFERROR(__xludf.DUMMYFUNCTION("""COMPUTED_VALUE"""),2306293708)</f>
        <v>2306293708</v>
      </c>
      <c r="G164" s="1"/>
      <c r="H164" s="1" t="str">
        <f>IFERROR(__xludf.DUMMYFUNCTION("""COMPUTED_VALUE"""),"9121519343")</f>
        <v>9121519343</v>
      </c>
      <c r="I164" s="1">
        <f>IFERROR(__xludf.DUMMYFUNCTION("""COMPUTED_VALUE"""),9245053007)</f>
        <v>9245053007</v>
      </c>
      <c r="J164" s="1"/>
      <c r="K164" s="1" t="str">
        <f>IFERROR(__xludf.DUMMYFUNCTION("""COMPUTED_VALUE"""),"25")</f>
        <v>25</v>
      </c>
      <c r="L164" s="1" t="str">
        <f>IFERROR(__xludf.DUMMYFUNCTION("""COMPUTED_VALUE"""),"BLISS")</f>
        <v>BLISS</v>
      </c>
      <c r="M164" s="1"/>
      <c r="N164" s="1" t="str">
        <f>IFERROR(__xludf.DUMMYFUNCTION("""COMPUTED_VALUE"""),"BIGA II")</f>
        <v>BIGA II</v>
      </c>
      <c r="O164" s="1" t="str">
        <f>IFERROR(__xludf.DUMMYFUNCTION("""COMPUTED_VALUE"""),"SILANG")</f>
        <v>SILANG</v>
      </c>
      <c r="P164" s="1" t="str">
        <f>IFERROR(__xludf.DUMMYFUNCTION("""COMPUTED_VALUE"""),"CAVITE")</f>
        <v>CAVITE</v>
      </c>
      <c r="Q164" s="1" t="str">
        <f>IFERROR(__xludf.DUMMYFUNCTION("""COMPUTED_VALUE"""),"FIBR PLAN 1399")</f>
        <v>FIBR PLAN 1399</v>
      </c>
      <c r="R164" s="1" t="str">
        <f>IFERROR(__xludf.DUMMYFUNCTION("""COMPUTED_VALUE"""),"APPROVED")</f>
        <v>APPROVED</v>
      </c>
      <c r="S164" s="1"/>
      <c r="T164" s="1"/>
      <c r="U164" s="1"/>
      <c r="V164" s="1"/>
      <c r="W164" s="1"/>
    </row>
    <row r="165" customHeight="1" spans="1:23">
      <c r="A165" s="3">
        <f>IFERROR(__xludf.DUMMYFUNCTION("""COMPUTED_VALUE"""),46038)</f>
        <v>46038</v>
      </c>
      <c r="B165" s="1" t="str">
        <f>IFERROR(__xludf.DUMMYFUNCTION("""COMPUTED_VALUE"""),"ESCARCHA, MA ALMA  ESCOTO")</f>
        <v>ESCARCHA, MA ALMA  ESCOTO</v>
      </c>
      <c r="C165" s="1" t="str">
        <f>IFERROR(__xludf.DUMMYFUNCTION("""COMPUTED_VALUE"""),"FLA")</f>
        <v>FLA</v>
      </c>
      <c r="D165" s="1" t="str">
        <f>IFERROR(__xludf.DUMMYFUNCTION("""COMPUTED_VALUE"""),"JERIC NAVARRO")</f>
        <v>JERIC NAVARRO</v>
      </c>
      <c r="E165" s="1" t="str">
        <f>IFERROR(__xludf.DUMMYFUNCTION("""COMPUTED_VALUE"""),"PLDT")</f>
        <v>PLDT</v>
      </c>
      <c r="F165" s="1">
        <f>IFERROR(__xludf.DUMMYFUNCTION("""COMPUTED_VALUE"""),2306287533)</f>
        <v>2306287533</v>
      </c>
      <c r="G165" s="1"/>
      <c r="H165" s="1" t="str">
        <f>IFERROR(__xludf.DUMMYFUNCTION("""COMPUTED_VALUE"""),"9362887103")</f>
        <v>9362887103</v>
      </c>
      <c r="I165" s="1"/>
      <c r="J165" s="1"/>
      <c r="K165" s="1" t="str">
        <f>IFERROR(__xludf.DUMMYFUNCTION("""COMPUTED_VALUE"""),"BLK 15 LOT 18 C ")</f>
        <v>BLK 15 LOT 18 C </v>
      </c>
      <c r="L165" s="1" t="str">
        <f>IFERROR(__xludf.DUMMYFUNCTION("""COMPUTED_VALUE"""),"ACACIA HOMES")</f>
        <v>ACACIA HOMES</v>
      </c>
      <c r="M165" s="1" t="str">
        <f>IFERROR(__xludf.DUMMYFUNCTION("""COMPUTED_VALUE"""),"ACACIA TOWNHOMES")</f>
        <v>ACACIA TOWNHOMES</v>
      </c>
      <c r="N165" s="1" t="str">
        <f>IFERROR(__xludf.DUMMYFUNCTION("""COMPUTED_VALUE"""),"TOCLONG")</f>
        <v>TOCLONG</v>
      </c>
      <c r="O165" s="1" t="str">
        <f>IFERROR(__xludf.DUMMYFUNCTION("""COMPUTED_VALUE"""),"KAWIT")</f>
        <v>KAWIT</v>
      </c>
      <c r="P165" s="1" t="str">
        <f>IFERROR(__xludf.DUMMYFUNCTION("""COMPUTED_VALUE"""),"CAVITE")</f>
        <v>CAVITE</v>
      </c>
      <c r="Q165" s="1" t="str">
        <f>IFERROR(__xludf.DUMMYFUNCTION("""COMPUTED_VALUE"""),"FIBR PLAN 1699")</f>
        <v>FIBR PLAN 1699</v>
      </c>
      <c r="R165" s="1" t="str">
        <f>IFERROR(__xludf.DUMMYFUNCTION("""COMPUTED_VALUE"""),"APPROVED")</f>
        <v>APPROVED</v>
      </c>
      <c r="S165" s="1"/>
      <c r="T165" s="1"/>
      <c r="U165" s="1"/>
      <c r="V165" s="1"/>
      <c r="W165" s="1"/>
    </row>
    <row r="166" customHeight="1" spans="1:23">
      <c r="A166" s="3">
        <f>IFERROR(__xludf.DUMMYFUNCTION("""COMPUTED_VALUE"""),46038)</f>
        <v>46038</v>
      </c>
      <c r="B166" s="1" t="str">
        <f>IFERROR(__xludf.DUMMYFUNCTION("""COMPUTED_VALUE"""),"LANZA, ANNALYN")</f>
        <v>LANZA, ANNALYN</v>
      </c>
      <c r="C166" s="1" t="str">
        <f>IFERROR(__xludf.DUMMYFUNCTION("""COMPUTED_VALUE"""),"ORGANIC")</f>
        <v>ORGANIC</v>
      </c>
      <c r="D166" s="1" t="str">
        <f>IFERROR(__xludf.DUMMYFUNCTION("""COMPUTED_VALUE"""),"ILANO MARK")</f>
        <v>ILANO MARK</v>
      </c>
      <c r="E166" s="1" t="str">
        <f>IFERROR(__xludf.DUMMYFUNCTION("""COMPUTED_VALUE"""),"PLDT")</f>
        <v>PLDT</v>
      </c>
      <c r="F166" s="1">
        <f>IFERROR(__xludf.DUMMYFUNCTION("""COMPUTED_VALUE"""),2306289605)</f>
        <v>2306289605</v>
      </c>
      <c r="G166" s="1"/>
      <c r="H166" s="1" t="str">
        <f>IFERROR(__xludf.DUMMYFUNCTION("""COMPUTED_VALUE"""),"9625331950")</f>
        <v>9625331950</v>
      </c>
      <c r="I166" s="1">
        <f>IFERROR(__xludf.DUMMYFUNCTION("""COMPUTED_VALUE"""),9641732361)</f>
        <v>9641732361</v>
      </c>
      <c r="J166" s="1"/>
      <c r="K166" s="1" t="str">
        <f>IFERROR(__xludf.DUMMYFUNCTION("""COMPUTED_VALUE"""),"BLK 4 LOT 7")</f>
        <v>BLK 4 LOT 7</v>
      </c>
      <c r="L166" s="1" t="str">
        <f>IFERROR(__xludf.DUMMYFUNCTION("""COMPUTED_VALUE"""),"G DE JESUS")</f>
        <v>G DE JESUS</v>
      </c>
      <c r="M166" s="1"/>
      <c r="N166" s="1" t="str">
        <f>IFERROR(__xludf.DUMMYFUNCTION("""COMPUTED_VALUE"""),"GREGORIA DE JESUS")</f>
        <v>GREGORIA DE JESUS</v>
      </c>
      <c r="O166" s="1" t="str">
        <f>IFERROR(__xludf.DUMMYFUNCTION("""COMPUTED_VALUE"""),"GEN MARIANO ALVAREZ")</f>
        <v>GEN MARIANO ALVAREZ</v>
      </c>
      <c r="P166" s="1" t="str">
        <f>IFERROR(__xludf.DUMMYFUNCTION("""COMPUTED_VALUE"""),"CAVITE")</f>
        <v>CAVITE</v>
      </c>
      <c r="Q166" s="1" t="str">
        <f>IFERROR(__xludf.DUMMYFUNCTION("""COMPUTED_VALUE"""),"FIBR PLAN 1599")</f>
        <v>FIBR PLAN 1599</v>
      </c>
      <c r="R166" s="1" t="str">
        <f>IFERROR(__xludf.DUMMYFUNCTION("""COMPUTED_VALUE"""),"APPROVED")</f>
        <v>APPROVED</v>
      </c>
      <c r="S166" s="1" t="str">
        <f>IFERROR(__xludf.DUMMYFUNCTION("""COMPUTED_VALUE"""),"TOK TO SOR WILLING MAG PAYMENT JAN 16")</f>
        <v>TOK TO SOR WILLING MAG PAYMENT JAN 16</v>
      </c>
      <c r="T166" s="1"/>
      <c r="U166" s="1"/>
      <c r="V166" s="1"/>
      <c r="W166" s="1"/>
    </row>
    <row r="167" customHeight="1" spans="1:23">
      <c r="A167" s="3">
        <f>IFERROR(__xludf.DUMMYFUNCTION("""COMPUTED_VALUE"""),46038)</f>
        <v>46038</v>
      </c>
      <c r="B167" s="1" t="str">
        <f>IFERROR(__xludf.DUMMYFUNCTION("""COMPUTED_VALUE"""),"GABAY, MANUEL")</f>
        <v>GABAY, MANUEL</v>
      </c>
      <c r="C167" s="1" t="str">
        <f>IFERROR(__xludf.DUMMYFUNCTION("""COMPUTED_VALUE"""),"FLA")</f>
        <v>FLA</v>
      </c>
      <c r="D167" s="1" t="str">
        <f>IFERROR(__xludf.DUMMYFUNCTION("""COMPUTED_VALUE"""),"JERIC NAVARRO")</f>
        <v>JERIC NAVARRO</v>
      </c>
      <c r="E167" s="1" t="str">
        <f>IFERROR(__xludf.DUMMYFUNCTION("""COMPUTED_VALUE"""),"PLDT")</f>
        <v>PLDT</v>
      </c>
      <c r="F167" s="1">
        <f>IFERROR(__xludf.DUMMYFUNCTION("""COMPUTED_VALUE"""),2306290517)</f>
        <v>2306290517</v>
      </c>
      <c r="G167" s="1"/>
      <c r="H167" s="1" t="str">
        <f>IFERROR(__xludf.DUMMYFUNCTION("""COMPUTED_VALUE"""),"9695207078")</f>
        <v>9695207078</v>
      </c>
      <c r="I167" s="1">
        <f>IFERROR(__xludf.DUMMYFUNCTION("""COMPUTED_VALUE"""),9085587353)</f>
        <v>9085587353</v>
      </c>
      <c r="J167" s="1"/>
      <c r="K167" s="1" t="str">
        <f>IFERROR(__xludf.DUMMYFUNCTION("""COMPUTED_VALUE"""),"BLK 3 LOT 70")</f>
        <v>BLK 3 LOT 70</v>
      </c>
      <c r="L167" s="1" t="str">
        <f>IFERROR(__xludf.DUMMYFUNCTION("""COMPUTED_VALUE"""),"G DE JESUS")</f>
        <v>G DE JESUS</v>
      </c>
      <c r="M167" s="1"/>
      <c r="N167" s="1" t="str">
        <f>IFERROR(__xludf.DUMMYFUNCTION("""COMPUTED_VALUE"""),"GREGORIA DE JESUS")</f>
        <v>GREGORIA DE JESUS</v>
      </c>
      <c r="O167" s="1" t="str">
        <f>IFERROR(__xludf.DUMMYFUNCTION("""COMPUTED_VALUE"""),"GEN MARIANO ALVAREZ")</f>
        <v>GEN MARIANO ALVAREZ</v>
      </c>
      <c r="P167" s="1" t="str">
        <f>IFERROR(__xludf.DUMMYFUNCTION("""COMPUTED_VALUE"""),"CAVITE")</f>
        <v>CAVITE</v>
      </c>
      <c r="Q167" s="1" t="str">
        <f>IFERROR(__xludf.DUMMYFUNCTION("""COMPUTED_VALUE"""),"FIBR PLAN 1399")</f>
        <v>FIBR PLAN 1399</v>
      </c>
      <c r="R167" s="1" t="str">
        <f>IFERROR(__xludf.DUMMYFUNCTION("""COMPUTED_VALUE"""),"APPROVED")</f>
        <v>APPROVED</v>
      </c>
      <c r="S167" s="1" t="str">
        <f>IFERROR(__xludf.DUMMYFUNCTION("""COMPUTED_VALUE"""),"WILLING MAG ADVANCE PAYMENT TOK TO SOR 16")</f>
        <v>WILLING MAG ADVANCE PAYMENT TOK TO SOR 16</v>
      </c>
      <c r="T167" s="1"/>
      <c r="U167" s="1"/>
      <c r="V167" s="1"/>
      <c r="W167" s="1"/>
    </row>
    <row r="168" customHeight="1" spans="1:23">
      <c r="A168" s="3">
        <f>IFERROR(__xludf.DUMMYFUNCTION("""COMPUTED_VALUE"""),46038)</f>
        <v>46038</v>
      </c>
      <c r="B168" s="1" t="str">
        <f>IFERROR(__xludf.DUMMYFUNCTION("""COMPUTED_VALUE"""),"GABAY, MANUEL")</f>
        <v>GABAY, MANUEL</v>
      </c>
      <c r="C168" s="1" t="str">
        <f>IFERROR(__xludf.DUMMYFUNCTION("""COMPUTED_VALUE"""),"FLA")</f>
        <v>FLA</v>
      </c>
      <c r="D168" s="1" t="str">
        <f>IFERROR(__xludf.DUMMYFUNCTION("""COMPUTED_VALUE"""),"JERIC NAVARRO")</f>
        <v>JERIC NAVARRO</v>
      </c>
      <c r="E168" s="1" t="str">
        <f>IFERROR(__xludf.DUMMYFUNCTION("""COMPUTED_VALUE"""),"PLDT")</f>
        <v>PLDT</v>
      </c>
      <c r="F168" s="1">
        <f>IFERROR(__xludf.DUMMYFUNCTION("""COMPUTED_VALUE"""),2306296704)</f>
        <v>2306296704</v>
      </c>
      <c r="G168" s="1"/>
      <c r="H168" s="1" t="str">
        <f>IFERROR(__xludf.DUMMYFUNCTION("""COMPUTED_VALUE"""),"9178633386")</f>
        <v>9178633386</v>
      </c>
      <c r="I168" s="1">
        <f>IFERROR(__xludf.DUMMYFUNCTION("""COMPUTED_VALUE"""),9062678667)</f>
        <v>9062678667</v>
      </c>
      <c r="J168" s="1"/>
      <c r="K168" s="1" t="str">
        <f>IFERROR(__xludf.DUMMYFUNCTION("""COMPUTED_VALUE"""),"1043")</f>
        <v>1043</v>
      </c>
      <c r="L168" s="1" t="str">
        <f>IFERROR(__xludf.DUMMYFUNCTION("""COMPUTED_VALUE"""),"PUROK 1")</f>
        <v>PUROK 1</v>
      </c>
      <c r="M168" s="1"/>
      <c r="N168" s="1" t="str">
        <f>IFERROR(__xludf.DUMMYFUNCTION("""COMPUTED_VALUE"""),"PANGIL")</f>
        <v>PANGIL</v>
      </c>
      <c r="O168" s="1" t="str">
        <f>IFERROR(__xludf.DUMMYFUNCTION("""COMPUTED_VALUE"""),"AMADEO")</f>
        <v>AMADEO</v>
      </c>
      <c r="P168" s="1" t="str">
        <f>IFERROR(__xludf.DUMMYFUNCTION("""COMPUTED_VALUE"""),"CAVITE")</f>
        <v>CAVITE</v>
      </c>
      <c r="Q168" s="1" t="str">
        <f>IFERROR(__xludf.DUMMYFUNCTION("""COMPUTED_VALUE"""),"FIBR PLAN 1599")</f>
        <v>FIBR PLAN 1599</v>
      </c>
      <c r="R168" s="1" t="str">
        <f>IFERROR(__xludf.DUMMYFUNCTION("""COMPUTED_VALUE"""),"APPROVED")</f>
        <v>APPROVED</v>
      </c>
      <c r="S168" s="1" t="str">
        <f>IFERROR(__xludf.DUMMYFUNCTION("""COMPUTED_VALUE"""),"TOK TO SOR WILLING MAG PAYMENT JAN 16")</f>
        <v>TOK TO SOR WILLING MAG PAYMENT JAN 16</v>
      </c>
      <c r="T168" s="1"/>
      <c r="U168" s="1"/>
      <c r="V168" s="1"/>
      <c r="W168" s="1"/>
    </row>
    <row r="169" customHeight="1" spans="1:23">
      <c r="A169" s="3">
        <f>IFERROR(__xludf.DUMMYFUNCTION("""COMPUTED_VALUE"""),46038)</f>
        <v>46038</v>
      </c>
      <c r="B169" s="1" t="str">
        <f>IFERROR(__xludf.DUMMYFUNCTION("""COMPUTED_VALUE"""),"LANZA, ANNALYN")</f>
        <v>LANZA, ANNALYN</v>
      </c>
      <c r="C169" s="1" t="str">
        <f>IFERROR(__xludf.DUMMYFUNCTION("""COMPUTED_VALUE"""),"ORGANIC")</f>
        <v>ORGANIC</v>
      </c>
      <c r="D169" s="1" t="str">
        <f>IFERROR(__xludf.DUMMYFUNCTION("""COMPUTED_VALUE"""),"ILANO MARK")</f>
        <v>ILANO MARK</v>
      </c>
      <c r="E169" s="1" t="str">
        <f>IFERROR(__xludf.DUMMYFUNCTION("""COMPUTED_VALUE"""),"PLDT")</f>
        <v>PLDT</v>
      </c>
      <c r="F169" s="1">
        <f>IFERROR(__xludf.DUMMYFUNCTION("""COMPUTED_VALUE"""),2306296865)</f>
        <v>2306296865</v>
      </c>
      <c r="G169" s="1"/>
      <c r="H169" s="1" t="str">
        <f>IFERROR(__xludf.DUMMYFUNCTION("""COMPUTED_VALUE"""),"9109105767")</f>
        <v>9109105767</v>
      </c>
      <c r="I169" s="1"/>
      <c r="J169" s="1"/>
      <c r="K169" s="1" t="str">
        <f>IFERROR(__xludf.DUMMYFUNCTION("""COMPUTED_VALUE"""),"BLK 61 LOT 55")</f>
        <v>BLK 61 LOT 55</v>
      </c>
      <c r="L169" s="1" t="str">
        <f>IFERROR(__xludf.DUMMYFUNCTION("""COMPUTED_VALUE"""),"SUCCOTH")</f>
        <v>SUCCOTH</v>
      </c>
      <c r="M169" s="1" t="str">
        <f>IFERROR(__xludf.DUMMYFUNCTION("""COMPUTED_VALUE"""),"TOWN AND COUNTRY ")</f>
        <v>TOWN AND COUNTRY </v>
      </c>
      <c r="N169" s="1" t="str">
        <f>IFERROR(__xludf.DUMMYFUNCTION("""COMPUTED_VALUE"""),"BUROL I")</f>
        <v>BUROL I</v>
      </c>
      <c r="O169" s="1" t="str">
        <f>IFERROR(__xludf.DUMMYFUNCTION("""COMPUTED_VALUE"""),"DASMARINAS")</f>
        <v>DASMARINAS</v>
      </c>
      <c r="P169" s="1" t="str">
        <f>IFERROR(__xludf.DUMMYFUNCTION("""COMPUTED_VALUE"""),"CAVITE")</f>
        <v>CAVITE</v>
      </c>
      <c r="Q169" s="1" t="str">
        <f>IFERROR(__xludf.DUMMYFUNCTION("""COMPUTED_VALUE"""),"PREPAID 999")</f>
        <v>PREPAID 999</v>
      </c>
      <c r="R169" s="1" t="str">
        <f>IFERROR(__xludf.DUMMYFUNCTION("""COMPUTED_VALUE"""),"APPROVED")</f>
        <v>APPROVED</v>
      </c>
      <c r="S169" s="1" t="str">
        <f>IFERROR(__xludf.DUMMYFUNCTION("""COMPUTED_VALUE"""),"TOK TO SOR WILLING MAG PAYMENT JAN 16")</f>
        <v>TOK TO SOR WILLING MAG PAYMENT JAN 16</v>
      </c>
      <c r="T169" s="1"/>
      <c r="U169" s="1"/>
      <c r="V169" s="1"/>
      <c r="W169" s="1"/>
    </row>
    <row r="170" customHeight="1" spans="1:23">
      <c r="A170" s="3">
        <f>IFERROR(__xludf.DUMMYFUNCTION("""COMPUTED_VALUE"""),46038)</f>
        <v>46038</v>
      </c>
      <c r="B170" s="1" t="str">
        <f>IFERROR(__xludf.DUMMYFUNCTION("""COMPUTED_VALUE"""),"LANZA, ANNALYN")</f>
        <v>LANZA, ANNALYN</v>
      </c>
      <c r="C170" s="1" t="str">
        <f>IFERROR(__xludf.DUMMYFUNCTION("""COMPUTED_VALUE"""),"ORGANIC")</f>
        <v>ORGANIC</v>
      </c>
      <c r="D170" s="1" t="str">
        <f>IFERROR(__xludf.DUMMYFUNCTION("""COMPUTED_VALUE"""),"ILANO MARK")</f>
        <v>ILANO MARK</v>
      </c>
      <c r="E170" s="1" t="str">
        <f>IFERROR(__xludf.DUMMYFUNCTION("""COMPUTED_VALUE"""),"PLDT")</f>
        <v>PLDT</v>
      </c>
      <c r="F170" s="1">
        <f>IFERROR(__xludf.DUMMYFUNCTION("""COMPUTED_VALUE"""),2306297935)</f>
        <v>2306297935</v>
      </c>
      <c r="G170" s="1"/>
      <c r="H170" s="1" t="str">
        <f>IFERROR(__xludf.DUMMYFUNCTION("""COMPUTED_VALUE"""),"9368956141")</f>
        <v>9368956141</v>
      </c>
      <c r="I170" s="1">
        <f>IFERROR(__xludf.DUMMYFUNCTION("""COMPUTED_VALUE"""),946068271)</f>
        <v>946068271</v>
      </c>
      <c r="J170" s="1"/>
      <c r="K170" s="1" t="str">
        <f>IFERROR(__xludf.DUMMYFUNCTION("""COMPUTED_VALUE"""),"9009")</f>
        <v>9009</v>
      </c>
      <c r="L170" s="1" t="str">
        <f>IFERROR(__xludf.DUMMYFUNCTION("""COMPUTED_VALUE"""),"PUROK 4")</f>
        <v>PUROK 4</v>
      </c>
      <c r="M170" s="1"/>
      <c r="N170" s="1" t="str">
        <f>IFERROR(__xludf.DUMMYFUNCTION("""COMPUTED_VALUE"""),"SIKAT")</f>
        <v>SIKAT</v>
      </c>
      <c r="O170" s="1" t="str">
        <f>IFERROR(__xludf.DUMMYFUNCTION("""COMPUTED_VALUE"""),"ALFONSO")</f>
        <v>ALFONSO</v>
      </c>
      <c r="P170" s="1" t="str">
        <f>IFERROR(__xludf.DUMMYFUNCTION("""COMPUTED_VALUE"""),"CAVITE")</f>
        <v>CAVITE</v>
      </c>
      <c r="Q170" s="1" t="str">
        <f>IFERROR(__xludf.DUMMYFUNCTION("""COMPUTED_VALUE"""),"FIBR PLAN 1399")</f>
        <v>FIBR PLAN 1399</v>
      </c>
      <c r="R170" s="1" t="str">
        <f>IFERROR(__xludf.DUMMYFUNCTION("""COMPUTED_VALUE"""),"APPROVED")</f>
        <v>APPROVED</v>
      </c>
      <c r="S170" s="1" t="str">
        <f>IFERROR(__xludf.DUMMYFUNCTION("""COMPUTED_VALUE"""),"TOK TO SOR WILLING MAG PAYMENT JAN 16 PAKI RUSH DAW")</f>
        <v>TOK TO SOR WILLING MAG PAYMENT JAN 16 PAKI RUSH DAW</v>
      </c>
      <c r="T170" s="1"/>
      <c r="U170" s="1"/>
      <c r="V170" s="1"/>
      <c r="W170" s="1"/>
    </row>
    <row r="171" customHeight="1" spans="1:23">
      <c r="A171" s="3">
        <f>IFERROR(__xludf.DUMMYFUNCTION("""COMPUTED_VALUE"""),46038)</f>
        <v>46038</v>
      </c>
      <c r="B171" s="1" t="str">
        <f>IFERROR(__xludf.DUMMYFUNCTION("""COMPUTED_VALUE"""),"DE VERA, MARIVIC")</f>
        <v>DE VERA, MARIVIC</v>
      </c>
      <c r="C171" s="1" t="str">
        <f>IFERROR(__xludf.DUMMYFUNCTION("""COMPUTED_VALUE"""),"ORGANIC")</f>
        <v>ORGANIC</v>
      </c>
      <c r="D171" s="1" t="str">
        <f>IFERROR(__xludf.DUMMYFUNCTION("""COMPUTED_VALUE"""),"ILANO MARK")</f>
        <v>ILANO MARK</v>
      </c>
      <c r="E171" s="1" t="str">
        <f>IFERROR(__xludf.DUMMYFUNCTION("""COMPUTED_VALUE"""),"PLDT")</f>
        <v>PLDT</v>
      </c>
      <c r="F171" s="1">
        <f>IFERROR(__xludf.DUMMYFUNCTION("""COMPUTED_VALUE"""),2306301421)</f>
        <v>2306301421</v>
      </c>
      <c r="G171" s="1"/>
      <c r="H171" s="1" t="str">
        <f>IFERROR(__xludf.DUMMYFUNCTION("""COMPUTED_VALUE"""),"9927708655")</f>
        <v>9927708655</v>
      </c>
      <c r="I171" s="1"/>
      <c r="J171" s="1"/>
      <c r="K171" s="1" t="str">
        <f>IFERROR(__xludf.DUMMYFUNCTION("""COMPUTED_VALUE"""),"2433")</f>
        <v>2433</v>
      </c>
      <c r="L171" s="1" t="str">
        <f>IFERROR(__xludf.DUMMYFUNCTION("""COMPUTED_VALUE"""),"SITIO MUNTI")</f>
        <v>SITIO MUNTI</v>
      </c>
      <c r="M171" s="1"/>
      <c r="N171" s="1" t="str">
        <f>IFERROR(__xludf.DUMMYFUNCTION("""COMPUTED_VALUE"""),"KAONG")</f>
        <v>KAONG</v>
      </c>
      <c r="O171" s="1" t="str">
        <f>IFERROR(__xludf.DUMMYFUNCTION("""COMPUTED_VALUE"""),"SILANG")</f>
        <v>SILANG</v>
      </c>
      <c r="P171" s="1" t="str">
        <f>IFERROR(__xludf.DUMMYFUNCTION("""COMPUTED_VALUE"""),"CAVITE")</f>
        <v>CAVITE</v>
      </c>
      <c r="Q171" s="1" t="str">
        <f>IFERROR(__xludf.DUMMYFUNCTION("""COMPUTED_VALUE"""),"FIBR PLAN 1399")</f>
        <v>FIBR PLAN 1399</v>
      </c>
      <c r="R171" s="1" t="str">
        <f>IFERROR(__xludf.DUMMYFUNCTION("""COMPUTED_VALUE"""),"APPROVED")</f>
        <v>APPROVED</v>
      </c>
      <c r="S171" s="1" t="str">
        <f>IFERROR(__xludf.DUMMYFUNCTION("""COMPUTED_VALUE"""),"TOK TO SOR WILLING MAG ADVANCE  RE APPLY LANG ")</f>
        <v>TOK TO SOR WILLING MAG ADVANCE  RE APPLY LANG </v>
      </c>
      <c r="T171" s="1"/>
      <c r="U171" s="1"/>
      <c r="V171" s="1"/>
      <c r="W171" s="1"/>
    </row>
    <row r="172" customHeight="1" spans="1:23">
      <c r="A172" s="3">
        <f>IFERROR(__xludf.DUMMYFUNCTION("""COMPUTED_VALUE"""),46038)</f>
        <v>46038</v>
      </c>
      <c r="B172" s="1" t="str">
        <f>IFERROR(__xludf.DUMMYFUNCTION("""COMPUTED_VALUE"""),"MALIWAT MARK ELVIN")</f>
        <v>MALIWAT MARK ELVIN</v>
      </c>
      <c r="C172" s="1" t="str">
        <f>IFERROR(__xludf.DUMMYFUNCTION("""COMPUTED_VALUE"""),"FLA")</f>
        <v>FLA</v>
      </c>
      <c r="D172" s="1" t="str">
        <f>IFERROR(__xludf.DUMMYFUNCTION("""COMPUTED_VALUE"""),"JERIC NAVARRO")</f>
        <v>JERIC NAVARRO</v>
      </c>
      <c r="E172" s="1" t="str">
        <f>IFERROR(__xludf.DUMMYFUNCTION("""COMPUTED_VALUE"""),"PLDT")</f>
        <v>PLDT</v>
      </c>
      <c r="F172" s="1">
        <f>IFERROR(__xludf.DUMMYFUNCTION("""COMPUTED_VALUE"""),2306301550)</f>
        <v>2306301550</v>
      </c>
      <c r="G172" s="1"/>
      <c r="H172" s="1" t="str">
        <f>IFERROR(__xludf.DUMMYFUNCTION("""COMPUTED_VALUE"""),"9199537670")</f>
        <v>9199537670</v>
      </c>
      <c r="I172" s="1"/>
      <c r="J172" s="1"/>
      <c r="K172" s="1" t="str">
        <f>IFERROR(__xludf.DUMMYFUNCTION("""COMPUTED_VALUE"""),"154")</f>
        <v>154</v>
      </c>
      <c r="L172" s="1" t="str">
        <f>IFERROR(__xludf.DUMMYFUNCTION("""COMPUTED_VALUE"""),"SAINT PAUL")</f>
        <v>SAINT PAUL</v>
      </c>
      <c r="M172" s="1" t="str">
        <f>IFERROR(__xludf.DUMMYFUNCTION("""COMPUTED_VALUE"""),"ADDAS 2C")</f>
        <v>ADDAS 2C</v>
      </c>
      <c r="N172" s="1" t="str">
        <f>IFERROR(__xludf.DUMMYFUNCTION("""COMPUTED_VALUE"""),"MOLINO II")</f>
        <v>MOLINO II</v>
      </c>
      <c r="O172" s="1" t="str">
        <f>IFERROR(__xludf.DUMMYFUNCTION("""COMPUTED_VALUE"""),"BACOOR")</f>
        <v>BACOOR</v>
      </c>
      <c r="P172" s="1" t="str">
        <f>IFERROR(__xludf.DUMMYFUNCTION("""COMPUTED_VALUE"""),"CAVITE")</f>
        <v>CAVITE</v>
      </c>
      <c r="Q172" s="1" t="str">
        <f>IFERROR(__xludf.DUMMYFUNCTION("""COMPUTED_VALUE"""),"FIBR PLAN 1399")</f>
        <v>FIBR PLAN 1399</v>
      </c>
      <c r="R172" s="1" t="str">
        <f>IFERROR(__xludf.DUMMYFUNCTION("""COMPUTED_VALUE"""),"APPROVED")</f>
        <v>APPROVED</v>
      </c>
      <c r="S172" s="1" t="str">
        <f>IFERROR(__xludf.DUMMYFUNCTION("""COMPUTED_VALUE"""),"WILLING MAG ADVANCE PAYMENT TOK TO SOR 16")</f>
        <v>WILLING MAG ADVANCE PAYMENT TOK TO SOR 16</v>
      </c>
      <c r="T172" s="1"/>
      <c r="U172" s="1" t="str">
        <f>IFERROR(__xludf.DUMMYFUNCTION("""COMPUTED_VALUE"""),"7")</f>
        <v>7</v>
      </c>
      <c r="V172" s="1"/>
      <c r="W172" s="1"/>
    </row>
    <row r="173" customHeight="1" spans="1:23">
      <c r="A173" s="3">
        <f>IFERROR(__xludf.DUMMYFUNCTION("""COMPUTED_VALUE"""),46039)</f>
        <v>46039</v>
      </c>
      <c r="B173" s="1" t="str">
        <f>IFERROR(__xludf.DUMMYFUNCTION("""COMPUTED_VALUE"""),"ALOS, CHARLS LAURENZ")</f>
        <v>ALOS, CHARLS LAURENZ</v>
      </c>
      <c r="C173" s="1" t="str">
        <f>IFERROR(__xludf.DUMMYFUNCTION("""COMPUTED_VALUE"""),"ORGANIC")</f>
        <v>ORGANIC</v>
      </c>
      <c r="D173" s="1" t="str">
        <f>IFERROR(__xludf.DUMMYFUNCTION("""COMPUTED_VALUE"""),"ILANO MARK")</f>
        <v>ILANO MARK</v>
      </c>
      <c r="E173" s="1" t="str">
        <f>IFERROR(__xludf.DUMMYFUNCTION("""COMPUTED_VALUE"""),"PLDT")</f>
        <v>PLDT</v>
      </c>
      <c r="F173" s="1">
        <f>IFERROR(__xludf.DUMMYFUNCTION("""COMPUTED_VALUE"""),2306315673)</f>
        <v>2306315673</v>
      </c>
      <c r="G173" s="1"/>
      <c r="H173" s="1" t="str">
        <f>IFERROR(__xludf.DUMMYFUNCTION("""COMPUTED_VALUE"""),"9067671880")</f>
        <v>9067671880</v>
      </c>
      <c r="I173" s="1">
        <f>IFERROR(__xludf.DUMMYFUNCTION("""COMPUTED_VALUE"""),9067074229)</f>
        <v>9067074229</v>
      </c>
      <c r="J173" s="1"/>
      <c r="K173" s="1" t="str">
        <f>IFERROR(__xludf.DUMMYFUNCTION("""COMPUTED_VALUE"""),"2556C")</f>
        <v>2556C</v>
      </c>
      <c r="L173" s="1" t="str">
        <f>IFERROR(__xludf.DUMMYFUNCTION("""COMPUTED_VALUE"""),"PIER ST")</f>
        <v>PIER ST</v>
      </c>
      <c r="M173" s="1"/>
      <c r="N173" s="1" t="str">
        <f>IFERROR(__xludf.DUMMYFUNCTION("""COMPUTED_VALUE"""),"MARAHAN I")</f>
        <v>MARAHAN I</v>
      </c>
      <c r="O173" s="1" t="str">
        <f>IFERROR(__xludf.DUMMYFUNCTION("""COMPUTED_VALUE"""),"ALFONSO")</f>
        <v>ALFONSO</v>
      </c>
      <c r="P173" s="1" t="str">
        <f>IFERROR(__xludf.DUMMYFUNCTION("""COMPUTED_VALUE"""),"CAVITE")</f>
        <v>CAVITE</v>
      </c>
      <c r="Q173" s="1" t="str">
        <f>IFERROR(__xludf.DUMMYFUNCTION("""COMPUTED_VALUE"""),"FIBR PLAN 1599")</f>
        <v>FIBR PLAN 1599</v>
      </c>
      <c r="R173" s="1" t="str">
        <f>IFERROR(__xludf.DUMMYFUNCTION("""COMPUTED_VALUE"""),"APPROVED")</f>
        <v>APPROVED</v>
      </c>
      <c r="S173" s="1"/>
      <c r="T173" s="1"/>
      <c r="U173" s="1"/>
      <c r="V173" s="1"/>
      <c r="W173" s="1"/>
    </row>
    <row r="174" customHeight="1" spans="1:23">
      <c r="A174" s="3">
        <f>IFERROR(__xludf.DUMMYFUNCTION("""COMPUTED_VALUE"""),46039)</f>
        <v>46039</v>
      </c>
      <c r="B174" s="1" t="str">
        <f>IFERROR(__xludf.DUMMYFUNCTION("""COMPUTED_VALUE"""),"ALOS, CHARLS LAURENZ")</f>
        <v>ALOS, CHARLS LAURENZ</v>
      </c>
      <c r="C174" s="1" t="str">
        <f>IFERROR(__xludf.DUMMYFUNCTION("""COMPUTED_VALUE"""),"ORGANIC")</f>
        <v>ORGANIC</v>
      </c>
      <c r="D174" s="1" t="str">
        <f>IFERROR(__xludf.DUMMYFUNCTION("""COMPUTED_VALUE"""),"ILANO MARK")</f>
        <v>ILANO MARK</v>
      </c>
      <c r="E174" s="1" t="str">
        <f>IFERROR(__xludf.DUMMYFUNCTION("""COMPUTED_VALUE"""),"PLDT")</f>
        <v>PLDT</v>
      </c>
      <c r="F174" s="1">
        <f>IFERROR(__xludf.DUMMYFUNCTION("""COMPUTED_VALUE"""),2306316695)</f>
        <v>2306316695</v>
      </c>
      <c r="G174" s="1"/>
      <c r="H174" s="1" t="str">
        <f>IFERROR(__xludf.DUMMYFUNCTION("""COMPUTED_VALUE"""),"9279825410")</f>
        <v>9279825410</v>
      </c>
      <c r="I174" s="1">
        <f>IFERROR(__xludf.DUMMYFUNCTION("""COMPUTED_VALUE"""),938043376)</f>
        <v>938043376</v>
      </c>
      <c r="J174" s="1"/>
      <c r="K174" s="1" t="str">
        <f>IFERROR(__xludf.DUMMYFUNCTION("""COMPUTED_VALUE"""),"BLK 13 LOT 40")</f>
        <v>BLK 13 LOT 40</v>
      </c>
      <c r="L174" s="1" t="str">
        <f>IFERROR(__xludf.DUMMYFUNCTION("""COMPUTED_VALUE"""),"POBLACION RD")</f>
        <v>POBLACION RD</v>
      </c>
      <c r="M174" s="1"/>
      <c r="N174" s="1" t="str">
        <f>IFERROR(__xludf.DUMMYFUNCTION("""COMPUTED_VALUE"""),"POBLACION IV")</f>
        <v>POBLACION IV</v>
      </c>
      <c r="O174" s="1" t="str">
        <f>IFERROR(__xludf.DUMMYFUNCTION("""COMPUTED_VALUE"""),"GEN MARIANO ALVAREZ")</f>
        <v>GEN MARIANO ALVAREZ</v>
      </c>
      <c r="P174" s="1" t="str">
        <f>IFERROR(__xludf.DUMMYFUNCTION("""COMPUTED_VALUE"""),"CAVITE")</f>
        <v>CAVITE</v>
      </c>
      <c r="Q174" s="1" t="str">
        <f>IFERROR(__xludf.DUMMYFUNCTION("""COMPUTED_VALUE"""),"FIBR PLAN 1699")</f>
        <v>FIBR PLAN 1699</v>
      </c>
      <c r="R174" s="1" t="str">
        <f>IFERROR(__xludf.DUMMYFUNCTION("""COMPUTED_VALUE"""),"APPROVED")</f>
        <v>APPROVED</v>
      </c>
      <c r="S174" s="1"/>
      <c r="T174" s="1"/>
      <c r="U174" s="1"/>
      <c r="V174" s="1"/>
      <c r="W174" s="1"/>
    </row>
    <row r="175" customHeight="1" spans="1:23">
      <c r="A175" s="3">
        <f>IFERROR(__xludf.DUMMYFUNCTION("""COMPUTED_VALUE"""),46039)</f>
        <v>46039</v>
      </c>
      <c r="B175" s="1" t="str">
        <f>IFERROR(__xludf.DUMMYFUNCTION("""COMPUTED_VALUE"""),"CONCEPCION, ALJAY")</f>
        <v>CONCEPCION, ALJAY</v>
      </c>
      <c r="C175" s="1" t="str">
        <f>IFERROR(__xludf.DUMMYFUNCTION("""COMPUTED_VALUE"""),"ORGANIC")</f>
        <v>ORGANIC</v>
      </c>
      <c r="D175" s="1" t="str">
        <f>IFERROR(__xludf.DUMMYFUNCTION("""COMPUTED_VALUE"""),"ILANO MARK")</f>
        <v>ILANO MARK</v>
      </c>
      <c r="E175" s="1" t="str">
        <f>IFERROR(__xludf.DUMMYFUNCTION("""COMPUTED_VALUE"""),"PLDT")</f>
        <v>PLDT</v>
      </c>
      <c r="F175" s="1">
        <f>IFERROR(__xludf.DUMMYFUNCTION("""COMPUTED_VALUE"""),2306321608)</f>
        <v>2306321608</v>
      </c>
      <c r="G175" s="1"/>
      <c r="H175" s="1" t="str">
        <f>IFERROR(__xludf.DUMMYFUNCTION("""COMPUTED_VALUE"""),"9684822750")</f>
        <v>9684822750</v>
      </c>
      <c r="I175" s="1"/>
      <c r="J175" s="1"/>
      <c r="K175" s="1" t="str">
        <f>IFERROR(__xludf.DUMMYFUNCTION("""COMPUTED_VALUE"""),"LOT 1")</f>
        <v>LOT 1</v>
      </c>
      <c r="L175" s="1" t="str">
        <f>IFERROR(__xludf.DUMMYFUNCTION("""COMPUTED_VALUE"""),"PUROK 2")</f>
        <v>PUROK 2</v>
      </c>
      <c r="M175" s="1"/>
      <c r="N175" s="1" t="str">
        <f>IFERROR(__xludf.DUMMYFUNCTION("""COMPUTED_VALUE"""),"LALAAN I")</f>
        <v>LALAAN I</v>
      </c>
      <c r="O175" s="1" t="str">
        <f>IFERROR(__xludf.DUMMYFUNCTION("""COMPUTED_VALUE"""),"SILANG")</f>
        <v>SILANG</v>
      </c>
      <c r="P175" s="1" t="str">
        <f>IFERROR(__xludf.DUMMYFUNCTION("""COMPUTED_VALUE"""),"CAVITE")</f>
        <v>CAVITE</v>
      </c>
      <c r="Q175" s="1" t="str">
        <f>IFERROR(__xludf.DUMMYFUNCTION("""COMPUTED_VALUE"""),"HOMEBIZ 2099")</f>
        <v>HOMEBIZ 2099</v>
      </c>
      <c r="R175" s="1" t="str">
        <f>IFERROR(__xludf.DUMMYFUNCTION("""COMPUTED_VALUE"""),"APPROVED")</f>
        <v>APPROVED</v>
      </c>
      <c r="S175" s="1"/>
      <c r="T175" s="1"/>
      <c r="U175" s="1"/>
      <c r="V175" s="1"/>
      <c r="W175" s="1"/>
    </row>
    <row r="176" customHeight="1" spans="1:23">
      <c r="A176" s="3">
        <f>IFERROR(__xludf.DUMMYFUNCTION("""COMPUTED_VALUE"""),46039)</f>
        <v>46039</v>
      </c>
      <c r="B176" s="1" t="str">
        <f>IFERROR(__xludf.DUMMYFUNCTION("""COMPUTED_VALUE"""),"MALIWAT MARK ELVIN")</f>
        <v>MALIWAT MARK ELVIN</v>
      </c>
      <c r="C176" s="1" t="str">
        <f>IFERROR(__xludf.DUMMYFUNCTION("""COMPUTED_VALUE"""),"FLA")</f>
        <v>FLA</v>
      </c>
      <c r="D176" s="1" t="str">
        <f>IFERROR(__xludf.DUMMYFUNCTION("""COMPUTED_VALUE"""),"JERIC NAVARRO")</f>
        <v>JERIC NAVARRO</v>
      </c>
      <c r="E176" s="1" t="str">
        <f>IFERROR(__xludf.DUMMYFUNCTION("""COMPUTED_VALUE"""),"PLDT")</f>
        <v>PLDT</v>
      </c>
      <c r="F176" s="1">
        <f>IFERROR(__xludf.DUMMYFUNCTION("""COMPUTED_VALUE"""),2306321430)</f>
        <v>2306321430</v>
      </c>
      <c r="G176" s="1"/>
      <c r="H176" s="1" t="str">
        <f>IFERROR(__xludf.DUMMYFUNCTION("""COMPUTED_VALUE"""),"9380438765")</f>
        <v>9380438765</v>
      </c>
      <c r="I176" s="1">
        <f>IFERROR(__xludf.DUMMYFUNCTION("""COMPUTED_VALUE"""),9754391516)</f>
        <v>9754391516</v>
      </c>
      <c r="J176" s="1"/>
      <c r="K176" s="1" t="str">
        <f>IFERROR(__xludf.DUMMYFUNCTION("""COMPUTED_VALUE"""),"BLK F6 LOT 11")</f>
        <v>BLK F6 LOT 11</v>
      </c>
      <c r="L176" s="1" t="str">
        <f>IFERROR(__xludf.DUMMYFUNCTION("""COMPUTED_VALUE"""),"SAN LORENZO RD")</f>
        <v>SAN LORENZO RD</v>
      </c>
      <c r="M176" s="1"/>
      <c r="N176" s="1" t="str">
        <f>IFERROR(__xludf.DUMMYFUNCTION("""COMPUTED_VALUE"""),"SAN LORENZO RUIZ I")</f>
        <v>SAN LORENZO RUIZ I</v>
      </c>
      <c r="O176" s="1" t="str">
        <f>IFERROR(__xludf.DUMMYFUNCTION("""COMPUTED_VALUE"""),"DASMARINAS")</f>
        <v>DASMARINAS</v>
      </c>
      <c r="P176" s="1" t="str">
        <f>IFERROR(__xludf.DUMMYFUNCTION("""COMPUTED_VALUE"""),"CAVITE")</f>
        <v>CAVITE</v>
      </c>
      <c r="Q176" s="1" t="str">
        <f>IFERROR(__xludf.DUMMYFUNCTION("""COMPUTED_VALUE"""),"FIBR PLAN 1399")</f>
        <v>FIBR PLAN 1399</v>
      </c>
      <c r="R176" s="1" t="str">
        <f>IFERROR(__xludf.DUMMYFUNCTION("""COMPUTED_VALUE"""),"APPROVED")</f>
        <v>APPROVED</v>
      </c>
      <c r="S176" s="1"/>
      <c r="T176" s="1"/>
      <c r="U176" s="1"/>
      <c r="V176" s="1"/>
      <c r="W176" s="1"/>
    </row>
    <row r="177" customHeight="1" spans="1:23">
      <c r="A177" s="3">
        <f>IFERROR(__xludf.DUMMYFUNCTION("""COMPUTED_VALUE"""),46039)</f>
        <v>46039</v>
      </c>
      <c r="B177" s="1" t="str">
        <f>IFERROR(__xludf.DUMMYFUNCTION("""COMPUTED_VALUE"""),"DELA ROSA, JENNELYN")</f>
        <v>DELA ROSA, JENNELYN</v>
      </c>
      <c r="C177" s="1" t="str">
        <f>IFERROR(__xludf.DUMMYFUNCTION("""COMPUTED_VALUE"""),"ORGANIC")</f>
        <v>ORGANIC</v>
      </c>
      <c r="D177" s="1" t="str">
        <f>IFERROR(__xludf.DUMMYFUNCTION("""COMPUTED_VALUE"""),"ILANO MARK")</f>
        <v>ILANO MARK</v>
      </c>
      <c r="E177" s="1" t="str">
        <f>IFERROR(__xludf.DUMMYFUNCTION("""COMPUTED_VALUE"""),"PLDT")</f>
        <v>PLDT</v>
      </c>
      <c r="F177" s="1">
        <f>IFERROR(__xludf.DUMMYFUNCTION("""COMPUTED_VALUE"""),2306321720)</f>
        <v>2306321720</v>
      </c>
      <c r="G177" s="1"/>
      <c r="H177" s="1" t="str">
        <f>IFERROR(__xludf.DUMMYFUNCTION("""COMPUTED_VALUE"""),"9671382492")</f>
        <v>9671382492</v>
      </c>
      <c r="I177" s="1"/>
      <c r="J177" s="1"/>
      <c r="K177" s="1" t="str">
        <f>IFERROR(__xludf.DUMMYFUNCTION("""COMPUTED_VALUE"""),"127")</f>
        <v>127</v>
      </c>
      <c r="L177" s="1" t="str">
        <f>IFERROR(__xludf.DUMMYFUNCTION("""COMPUTED_VALUE"""),"BAYACAL ")</f>
        <v>BAYACAL </v>
      </c>
      <c r="M177" s="1"/>
      <c r="N177" s="1" t="str">
        <f>IFERROR(__xludf.DUMMYFUNCTION("""COMPUTED_VALUE"""),"SABUTAN")</f>
        <v>SABUTAN</v>
      </c>
      <c r="O177" s="1" t="str">
        <f>IFERROR(__xludf.DUMMYFUNCTION("""COMPUTED_VALUE"""),"SILANG")</f>
        <v>SILANG</v>
      </c>
      <c r="P177" s="1" t="str">
        <f>IFERROR(__xludf.DUMMYFUNCTION("""COMPUTED_VALUE"""),"CAVITE")</f>
        <v>CAVITE</v>
      </c>
      <c r="Q177" s="1" t="str">
        <f>IFERROR(__xludf.DUMMYFUNCTION("""COMPUTED_VALUE"""),"PREPAID 999")</f>
        <v>PREPAID 999</v>
      </c>
      <c r="R177" s="1" t="str">
        <f>IFERROR(__xludf.DUMMYFUNCTION("""COMPUTED_VALUE"""),"APPROVED")</f>
        <v>APPROVED</v>
      </c>
      <c r="S177" s="1"/>
      <c r="T177" s="1"/>
      <c r="U177" s="1"/>
      <c r="V177" s="1"/>
      <c r="W177" s="1"/>
    </row>
    <row r="178" customHeight="1" spans="1:23">
      <c r="A178" s="3">
        <f>IFERROR(__xludf.DUMMYFUNCTION("""COMPUTED_VALUE"""),46040)</f>
        <v>46040</v>
      </c>
      <c r="B178" s="1" t="str">
        <f>IFERROR(__xludf.DUMMYFUNCTION("""COMPUTED_VALUE"""),"ALOS, CHARLS LAURENZ")</f>
        <v>ALOS, CHARLS LAURENZ</v>
      </c>
      <c r="C178" s="1" t="str">
        <f>IFERROR(__xludf.DUMMYFUNCTION("""COMPUTED_VALUE"""),"ORGANIC")</f>
        <v>ORGANIC</v>
      </c>
      <c r="D178" s="1" t="str">
        <f>IFERROR(__xludf.DUMMYFUNCTION("""COMPUTED_VALUE"""),"ILANO MARK")</f>
        <v>ILANO MARK</v>
      </c>
      <c r="E178" s="1" t="str">
        <f>IFERROR(__xludf.DUMMYFUNCTION("""COMPUTED_VALUE"""),"PLDT")</f>
        <v>PLDT</v>
      </c>
      <c r="F178" s="1">
        <f>IFERROR(__xludf.DUMMYFUNCTION("""COMPUTED_VALUE"""),2306329639)</f>
        <v>2306329639</v>
      </c>
      <c r="G178" s="1"/>
      <c r="H178" s="1" t="str">
        <f>IFERROR(__xludf.DUMMYFUNCTION("""COMPUTED_VALUE"""),"9518912020")</f>
        <v>9518912020</v>
      </c>
      <c r="I178" s="1">
        <f>IFERROR(__xludf.DUMMYFUNCTION("""COMPUTED_VALUE"""),9324676904)</f>
        <v>9324676904</v>
      </c>
      <c r="J178" s="1"/>
      <c r="K178" s="1" t="str">
        <f>IFERROR(__xludf.DUMMYFUNCTION("""COMPUTED_VALUE"""),"BLK 12 LOT 38")</f>
        <v>BLK 12 LOT 38</v>
      </c>
      <c r="L178" s="1" t="str">
        <f>IFERROR(__xludf.DUMMYFUNCTION("""COMPUTED_VALUE"""),"SAN JOSE")</f>
        <v>SAN JOSE</v>
      </c>
      <c r="M178" s="1"/>
      <c r="N178" s="1" t="str">
        <f>IFERROR(__xludf.DUMMYFUNCTION("""COMPUTED_VALUE"""),"SAN JOSE")</f>
        <v>SAN JOSE</v>
      </c>
      <c r="O178" s="1" t="str">
        <f>IFERROR(__xludf.DUMMYFUNCTION("""COMPUTED_VALUE"""),"GEN MARIANO ALVAREZ")</f>
        <v>GEN MARIANO ALVAREZ</v>
      </c>
      <c r="P178" s="1" t="str">
        <f>IFERROR(__xludf.DUMMYFUNCTION("""COMPUTED_VALUE"""),"CAVITE")</f>
        <v>CAVITE</v>
      </c>
      <c r="Q178" s="1" t="str">
        <f>IFERROR(__xludf.DUMMYFUNCTION("""COMPUTED_VALUE"""),"FIBR PLAN 1699")</f>
        <v>FIBR PLAN 1699</v>
      </c>
      <c r="R178" s="1" t="str">
        <f>IFERROR(__xludf.DUMMYFUNCTION("""COMPUTED_VALUE"""),"APPROVED")</f>
        <v>APPROVED</v>
      </c>
      <c r="S178" s="1"/>
      <c r="T178" s="1"/>
      <c r="U178" s="1"/>
      <c r="V178" s="1"/>
      <c r="W178" s="1"/>
    </row>
    <row r="179" customHeight="1" spans="1:23">
      <c r="A179" s="3">
        <f>IFERROR(__xludf.DUMMYFUNCTION("""COMPUTED_VALUE"""),46040)</f>
        <v>46040</v>
      </c>
      <c r="B179" s="1" t="str">
        <f>IFERROR(__xludf.DUMMYFUNCTION("""COMPUTED_VALUE"""),"LANZA, ANNALYN")</f>
        <v>LANZA, ANNALYN</v>
      </c>
      <c r="C179" s="1" t="str">
        <f>IFERROR(__xludf.DUMMYFUNCTION("""COMPUTED_VALUE"""),"ORGANIC")</f>
        <v>ORGANIC</v>
      </c>
      <c r="D179" s="1" t="str">
        <f>IFERROR(__xludf.DUMMYFUNCTION("""COMPUTED_VALUE"""),"ILANO MARK")</f>
        <v>ILANO MARK</v>
      </c>
      <c r="E179" s="1" t="str">
        <f>IFERROR(__xludf.DUMMYFUNCTION("""COMPUTED_VALUE"""),"PLDT")</f>
        <v>PLDT</v>
      </c>
      <c r="F179" s="1">
        <f>IFERROR(__xludf.DUMMYFUNCTION("""COMPUTED_VALUE"""),2306333476)</f>
        <v>2306333476</v>
      </c>
      <c r="G179" s="1"/>
      <c r="H179" s="1" t="str">
        <f>IFERROR(__xludf.DUMMYFUNCTION("""COMPUTED_VALUE"""),"9198901627")</f>
        <v>9198901627</v>
      </c>
      <c r="I179" s="1">
        <f>IFERROR(__xludf.DUMMYFUNCTION("""COMPUTED_VALUE"""),9120866023)</f>
        <v>9120866023</v>
      </c>
      <c r="J179" s="1"/>
      <c r="K179" s="1" t="str">
        <f>IFERROR(__xludf.DUMMYFUNCTION("""COMPUTED_VALUE"""),"578")</f>
        <v>578</v>
      </c>
      <c r="L179" s="1" t="str">
        <f>IFERROR(__xludf.DUMMYFUNCTION("""COMPUTED_VALUE"""),"MARAHAN")</f>
        <v>MARAHAN</v>
      </c>
      <c r="M179" s="1"/>
      <c r="N179" s="1" t="str">
        <f>IFERROR(__xludf.DUMMYFUNCTION("""COMPUTED_VALUE"""),"MARAHAN I")</f>
        <v>MARAHAN I</v>
      </c>
      <c r="O179" s="1" t="str">
        <f>IFERROR(__xludf.DUMMYFUNCTION("""COMPUTED_VALUE"""),"ALFONSO")</f>
        <v>ALFONSO</v>
      </c>
      <c r="P179" s="1" t="str">
        <f>IFERROR(__xludf.DUMMYFUNCTION("""COMPUTED_VALUE"""),"CAVITE")</f>
        <v>CAVITE</v>
      </c>
      <c r="Q179" s="1" t="str">
        <f>IFERROR(__xludf.DUMMYFUNCTION("""COMPUTED_VALUE"""),"PREPAID 999")</f>
        <v>PREPAID 999</v>
      </c>
      <c r="R179" s="1" t="str">
        <f>IFERROR(__xludf.DUMMYFUNCTION("""COMPUTED_VALUE"""),"APPROVED")</f>
        <v>APPROVED</v>
      </c>
      <c r="S179" s="1"/>
      <c r="T179" s="1"/>
      <c r="U179" s="1"/>
      <c r="V179" s="1"/>
      <c r="W179" s="1"/>
    </row>
    <row r="180" customHeight="1" spans="1:23">
      <c r="A180" s="3">
        <f>IFERROR(__xludf.DUMMYFUNCTION("""COMPUTED_VALUE"""),46040)</f>
        <v>46040</v>
      </c>
      <c r="B180" s="1" t="str">
        <f>IFERROR(__xludf.DUMMYFUNCTION("""COMPUTED_VALUE"""),"GABAY, MANUEL")</f>
        <v>GABAY, MANUEL</v>
      </c>
      <c r="C180" s="1" t="str">
        <f>IFERROR(__xludf.DUMMYFUNCTION("""COMPUTED_VALUE"""),"FLA")</f>
        <v>FLA</v>
      </c>
      <c r="D180" s="1" t="str">
        <f>IFERROR(__xludf.DUMMYFUNCTION("""COMPUTED_VALUE"""),"JERIC NAVARRO")</f>
        <v>JERIC NAVARRO</v>
      </c>
      <c r="E180" s="1" t="str">
        <f>IFERROR(__xludf.DUMMYFUNCTION("""COMPUTED_VALUE"""),"PLDT")</f>
        <v>PLDT</v>
      </c>
      <c r="F180" s="1">
        <f>IFERROR(__xludf.DUMMYFUNCTION("""COMPUTED_VALUE"""),2306333863)</f>
        <v>2306333863</v>
      </c>
      <c r="G180" s="1"/>
      <c r="H180" s="1" t="str">
        <f>IFERROR(__xludf.DUMMYFUNCTION("""COMPUTED_VALUE"""),"9276906598")</f>
        <v>9276906598</v>
      </c>
      <c r="I180" s="1">
        <f>IFERROR(__xludf.DUMMYFUNCTION("""COMPUTED_VALUE"""),9276956898)</f>
        <v>9276956898</v>
      </c>
      <c r="J180" s="1"/>
      <c r="K180" s="1" t="str">
        <f>IFERROR(__xludf.DUMMYFUNCTION("""COMPUTED_VALUE"""),"1177C")</f>
        <v>1177C</v>
      </c>
      <c r="L180" s="1" t="str">
        <f>IFERROR(__xludf.DUMMYFUNCTION("""COMPUTED_VALUE"""),"BUHO TALON RD")</f>
        <v>BUHO TALON RD</v>
      </c>
      <c r="M180" s="1"/>
      <c r="N180" s="1" t="str">
        <f>IFERROR(__xludf.DUMMYFUNCTION("""COMPUTED_VALUE"""),"BUHO")</f>
        <v>BUHO</v>
      </c>
      <c r="O180" s="1" t="str">
        <f>IFERROR(__xludf.DUMMYFUNCTION("""COMPUTED_VALUE"""),"AMADEO")</f>
        <v>AMADEO</v>
      </c>
      <c r="P180" s="1" t="str">
        <f>IFERROR(__xludf.DUMMYFUNCTION("""COMPUTED_VALUE"""),"CAVITE")</f>
        <v>CAVITE</v>
      </c>
      <c r="Q180" s="1" t="str">
        <f>IFERROR(__xludf.DUMMYFUNCTION("""COMPUTED_VALUE"""),"FIBR PLAN 1399")</f>
        <v>FIBR PLAN 1399</v>
      </c>
      <c r="R180" s="1" t="str">
        <f>IFERROR(__xludf.DUMMYFUNCTION("""COMPUTED_VALUE"""),"APPROVED")</f>
        <v>APPROVED</v>
      </c>
      <c r="S180" s="1"/>
      <c r="T180" s="1"/>
      <c r="U180" s="1"/>
      <c r="V180" s="1"/>
      <c r="W180" s="1"/>
    </row>
    <row r="181" customHeight="1" spans="1:23">
      <c r="A181" s="3">
        <f>IFERROR(__xludf.DUMMYFUNCTION("""COMPUTED_VALUE"""),46040)</f>
        <v>46040</v>
      </c>
      <c r="B181" s="1" t="str">
        <f>IFERROR(__xludf.DUMMYFUNCTION("""COMPUTED_VALUE"""),"MALIWAT MARK ELVIN")</f>
        <v>MALIWAT MARK ELVIN</v>
      </c>
      <c r="C181" s="1" t="str">
        <f>IFERROR(__xludf.DUMMYFUNCTION("""COMPUTED_VALUE"""),"FLA")</f>
        <v>FLA</v>
      </c>
      <c r="D181" s="1" t="str">
        <f>IFERROR(__xludf.DUMMYFUNCTION("""COMPUTED_VALUE"""),"JERIC NAVARRO")</f>
        <v>JERIC NAVARRO</v>
      </c>
      <c r="E181" s="1" t="str">
        <f>IFERROR(__xludf.DUMMYFUNCTION("""COMPUTED_VALUE"""),"PLDT")</f>
        <v>PLDT</v>
      </c>
      <c r="F181" s="1">
        <f>IFERROR(__xludf.DUMMYFUNCTION("""COMPUTED_VALUE"""),2306334435)</f>
        <v>2306334435</v>
      </c>
      <c r="G181" s="1"/>
      <c r="H181" s="1" t="str">
        <f>IFERROR(__xludf.DUMMYFUNCTION("""COMPUTED_VALUE"""),"9544515007")</f>
        <v>9544515007</v>
      </c>
      <c r="I181" s="1"/>
      <c r="J181" s="1"/>
      <c r="K181" s="1" t="str">
        <f>IFERROR(__xludf.DUMMYFUNCTION("""COMPUTED_VALUE"""),"UNIT C")</f>
        <v>UNIT C</v>
      </c>
      <c r="L181" s="1" t="str">
        <f>IFERROR(__xludf.DUMMYFUNCTION("""COMPUTED_VALUE"""),"ILLIMIDA")</f>
        <v>ILLIMIDA</v>
      </c>
      <c r="M181" s="1"/>
      <c r="N181" s="1" t="str">
        <f>IFERROR(__xludf.DUMMYFUNCTION("""COMPUTED_VALUE"""),"LUCSUHIN")</f>
        <v>LUCSUHIN</v>
      </c>
      <c r="O181" s="1" t="str">
        <f>IFERROR(__xludf.DUMMYFUNCTION("""COMPUTED_VALUE"""),"SILANG")</f>
        <v>SILANG</v>
      </c>
      <c r="P181" s="1" t="str">
        <f>IFERROR(__xludf.DUMMYFUNCTION("""COMPUTED_VALUE"""),"CAVITE")</f>
        <v>CAVITE</v>
      </c>
      <c r="Q181" s="1" t="str">
        <f>IFERROR(__xludf.DUMMYFUNCTION("""COMPUTED_VALUE"""),"FIBR PLAN 1599")</f>
        <v>FIBR PLAN 1599</v>
      </c>
      <c r="R181" s="1" t="str">
        <f>IFERROR(__xludf.DUMMYFUNCTION("""COMPUTED_VALUE"""),"APPROVED")</f>
        <v>APPROVED</v>
      </c>
      <c r="S181" s="1"/>
      <c r="T181" s="1"/>
      <c r="U181" s="1"/>
      <c r="V181" s="1"/>
      <c r="W181" s="1"/>
    </row>
    <row r="182" customHeight="1" spans="1:23">
      <c r="A182" s="3">
        <f>IFERROR(__xludf.DUMMYFUNCTION("""COMPUTED_VALUE"""),46040)</f>
        <v>46040</v>
      </c>
      <c r="B182" s="1" t="str">
        <f>IFERROR(__xludf.DUMMYFUNCTION("""COMPUTED_VALUE"""),"FRANCISCO , ROSELYN")</f>
        <v>FRANCISCO , ROSELYN</v>
      </c>
      <c r="C182" s="1" t="str">
        <f>IFERROR(__xludf.DUMMYFUNCTION("""COMPUTED_VALUE"""),"FLA")</f>
        <v>FLA</v>
      </c>
      <c r="D182" s="1" t="str">
        <f>IFERROR(__xludf.DUMMYFUNCTION("""COMPUTED_VALUE"""),"JERIC NAVARRO")</f>
        <v>JERIC NAVARRO</v>
      </c>
      <c r="E182" s="1" t="str">
        <f>IFERROR(__xludf.DUMMYFUNCTION("""COMPUTED_VALUE"""),"PLDT")</f>
        <v>PLDT</v>
      </c>
      <c r="F182" s="1">
        <f>IFERROR(__xludf.DUMMYFUNCTION("""COMPUTED_VALUE"""),2306335721)</f>
        <v>2306335721</v>
      </c>
      <c r="G182" s="1"/>
      <c r="H182" s="1" t="str">
        <f>IFERROR(__xludf.DUMMYFUNCTION("""COMPUTED_VALUE"""),"9814599849")</f>
        <v>9814599849</v>
      </c>
      <c r="I182" s="1">
        <f>IFERROR(__xludf.DUMMYFUNCTION("""COMPUTED_VALUE"""),9637885052)</f>
        <v>9637885052</v>
      </c>
      <c r="J182" s="1"/>
      <c r="K182" s="1" t="str">
        <f>IFERROR(__xludf.DUMMYFUNCTION("""COMPUTED_VALUE"""),"51D")</f>
        <v>51D</v>
      </c>
      <c r="L182" s="1" t="str">
        <f>IFERROR(__xludf.DUMMYFUNCTION("""COMPUTED_VALUE"""),"MABINI")</f>
        <v>MABINI</v>
      </c>
      <c r="M182" s="1"/>
      <c r="N182" s="1" t="str">
        <f>IFERROR(__xludf.DUMMYFUNCTION("""COMPUTED_VALUE"""),"POBLACION III")</f>
        <v>POBLACION III</v>
      </c>
      <c r="O182" s="1" t="str">
        <f>IFERROR(__xludf.DUMMYFUNCTION("""COMPUTED_VALUE"""),"MENDEZ")</f>
        <v>MENDEZ</v>
      </c>
      <c r="P182" s="1" t="str">
        <f>IFERROR(__xludf.DUMMYFUNCTION("""COMPUTED_VALUE"""),"CAVITE")</f>
        <v>CAVITE</v>
      </c>
      <c r="Q182" s="1" t="str">
        <f>IFERROR(__xludf.DUMMYFUNCTION("""COMPUTED_VALUE"""),"FIBR PLAN 1399")</f>
        <v>FIBR PLAN 1399</v>
      </c>
      <c r="R182" s="1" t="str">
        <f>IFERROR(__xludf.DUMMYFUNCTION("""COMPUTED_VALUE"""),"APPROVED")</f>
        <v>APPROVED</v>
      </c>
      <c r="S182" s="1"/>
      <c r="T182" s="1"/>
      <c r="U182" s="1"/>
      <c r="V182" s="1"/>
      <c r="W182" s="1"/>
    </row>
    <row r="183" customHeight="1" spans="1:23">
      <c r="A183" s="3">
        <f>IFERROR(__xludf.DUMMYFUNCTION("""COMPUTED_VALUE"""),46040)</f>
        <v>46040</v>
      </c>
      <c r="B183" s="1" t="str">
        <f>IFERROR(__xludf.DUMMYFUNCTION("""COMPUTED_VALUE"""),"FRANCISCO , ROSELYN")</f>
        <v>FRANCISCO , ROSELYN</v>
      </c>
      <c r="C183" s="1" t="str">
        <f>IFERROR(__xludf.DUMMYFUNCTION("""COMPUTED_VALUE"""),"FLA")</f>
        <v>FLA</v>
      </c>
      <c r="D183" s="1" t="str">
        <f>IFERROR(__xludf.DUMMYFUNCTION("""COMPUTED_VALUE"""),"JERIC NAVARRO")</f>
        <v>JERIC NAVARRO</v>
      </c>
      <c r="E183" s="1" t="str">
        <f>IFERROR(__xludf.DUMMYFUNCTION("""COMPUTED_VALUE"""),"PLDT")</f>
        <v>PLDT</v>
      </c>
      <c r="F183" s="1"/>
      <c r="G183" s="1"/>
      <c r="H183" s="1" t="str">
        <f>IFERROR(__xludf.DUMMYFUNCTION("""COMPUTED_VALUE"""),"9673875807")</f>
        <v>9673875807</v>
      </c>
      <c r="I183" s="1">
        <f>IFERROR(__xludf.DUMMYFUNCTION("""COMPUTED_VALUE"""),9458231402)</f>
        <v>9458231402</v>
      </c>
      <c r="J183" s="1"/>
      <c r="K183" s="1" t="str">
        <f>IFERROR(__xludf.DUMMYFUNCTION("""COMPUTED_VALUE"""),"BLK 8 LOT 8")</f>
        <v>BLK 8 LOT 8</v>
      </c>
      <c r="L183" s="1" t="str">
        <f>IFERROR(__xludf.DUMMYFUNCTION("""COMPUTED_VALUE"""),"YAKAL ST")</f>
        <v>YAKAL ST</v>
      </c>
      <c r="M183" s="1" t="str">
        <f>IFERROR(__xludf.DUMMYFUNCTION("""COMPUTED_VALUE"""),"CARMONA ESTATE")</f>
        <v>CARMONA ESTATE</v>
      </c>
      <c r="N183" s="1" t="str">
        <f>IFERROR(__xludf.DUMMYFUNCTION("""COMPUTED_VALUE"""),"LANTIC")</f>
        <v>LANTIC</v>
      </c>
      <c r="O183" s="1" t="str">
        <f>IFERROR(__xludf.DUMMYFUNCTION("""COMPUTED_VALUE"""),"CARMONA")</f>
        <v>CARMONA</v>
      </c>
      <c r="P183" s="1" t="str">
        <f>IFERROR(__xludf.DUMMYFUNCTION("""COMPUTED_VALUE"""),"CAVITE")</f>
        <v>CAVITE</v>
      </c>
      <c r="Q183" s="1" t="str">
        <f>IFERROR(__xludf.DUMMYFUNCTION("""COMPUTED_VALUE"""),"FIBR PLAN 1399")</f>
        <v>FIBR PLAN 1399</v>
      </c>
      <c r="R183" s="1" t="str">
        <f>IFERROR(__xludf.DUMMYFUNCTION("""COMPUTED_VALUE"""),"RETURN FOR COMPLIANCE - AGENT")</f>
        <v>RETURN FOR COMPLIANCE - AGENT</v>
      </c>
      <c r="S183" s="1" t="str">
        <f>IFERROR(__xludf.DUMMYFUNCTION("""COMPUTED_VALUE"""),"FOR 2ND LINE")</f>
        <v>FOR 2ND LINE</v>
      </c>
      <c r="T183" s="1"/>
      <c r="U183" s="1"/>
      <c r="V183" s="1"/>
      <c r="W183" s="1"/>
    </row>
    <row r="184" customHeight="1" spans="1:23">
      <c r="A184" s="3">
        <f>IFERROR(__xludf.DUMMYFUNCTION("""COMPUTED_VALUE"""),46040)</f>
        <v>46040</v>
      </c>
      <c r="B184" s="1" t="str">
        <f>IFERROR(__xludf.DUMMYFUNCTION("""COMPUTED_VALUE"""),"GABAY, MANUEL")</f>
        <v>GABAY, MANUEL</v>
      </c>
      <c r="C184" s="1" t="str">
        <f>IFERROR(__xludf.DUMMYFUNCTION("""COMPUTED_VALUE"""),"FLA")</f>
        <v>FLA</v>
      </c>
      <c r="D184" s="1" t="str">
        <f>IFERROR(__xludf.DUMMYFUNCTION("""COMPUTED_VALUE"""),"JERIC NAVARRO")</f>
        <v>JERIC NAVARRO</v>
      </c>
      <c r="E184" s="1" t="str">
        <f>IFERROR(__xludf.DUMMYFUNCTION("""COMPUTED_VALUE"""),"PLDT")</f>
        <v>PLDT</v>
      </c>
      <c r="F184" s="1">
        <f>IFERROR(__xludf.DUMMYFUNCTION("""COMPUTED_VALUE"""),2306353235)</f>
        <v>2306353235</v>
      </c>
      <c r="G184" s="1"/>
      <c r="H184" s="1" t="str">
        <f>IFERROR(__xludf.DUMMYFUNCTION("""COMPUTED_VALUE"""),"9280746968")</f>
        <v>9280746968</v>
      </c>
      <c r="I184" s="1">
        <f>IFERROR(__xludf.DUMMYFUNCTION("""COMPUTED_VALUE"""),9636946439)</f>
        <v>9636946439</v>
      </c>
      <c r="J184" s="1"/>
      <c r="K184" s="1" t="str">
        <f>IFERROR(__xludf.DUMMYFUNCTION("""COMPUTED_VALUE"""),"BLK 7 LOT 14")</f>
        <v>BLK 7 LOT 14</v>
      </c>
      <c r="L184" s="1" t="str">
        <f>IFERROR(__xludf.DUMMYFUNCTION("""COMPUTED_VALUE"""),"PHASE 2")</f>
        <v>PHASE 2</v>
      </c>
      <c r="M184" s="1" t="str">
        <f>IFERROR(__xludf.DUMMYFUNCTION("""COMPUTED_VALUE"""),"TERRAVERDE RESIDENCES")</f>
        <v>TERRAVERDE RESIDENCES</v>
      </c>
      <c r="N184" s="1" t="str">
        <f>IFERROR(__xludf.DUMMYFUNCTION("""COMPUTED_VALUE"""),"BANCAL")</f>
        <v>BANCAL</v>
      </c>
      <c r="O184" s="1" t="str">
        <f>IFERROR(__xludf.DUMMYFUNCTION("""COMPUTED_VALUE"""),"CARMONA")</f>
        <v>CARMONA</v>
      </c>
      <c r="P184" s="1" t="str">
        <f>IFERROR(__xludf.DUMMYFUNCTION("""COMPUTED_VALUE"""),"CAVITE")</f>
        <v>CAVITE</v>
      </c>
      <c r="Q184" s="1" t="str">
        <f>IFERROR(__xludf.DUMMYFUNCTION("""COMPUTED_VALUE"""),"FIBR PLAN 1399")</f>
        <v>FIBR PLAN 1399</v>
      </c>
      <c r="R184" s="1" t="str">
        <f>IFERROR(__xludf.DUMMYFUNCTION("""COMPUTED_VALUE"""),"APPROVED")</f>
        <v>APPROVED</v>
      </c>
      <c r="S184" s="1" t="str">
        <f>IFERROR(__xludf.DUMMYFUNCTION("""COMPUTED_VALUE"""),"NO FFTH")</f>
        <v>NO FFTH</v>
      </c>
      <c r="T184" s="1"/>
      <c r="U184" s="1"/>
      <c r="V184" s="1"/>
      <c r="W184" s="1"/>
    </row>
    <row r="185" customHeight="1" spans="1:23">
      <c r="A185" s="3">
        <f>IFERROR(__xludf.DUMMYFUNCTION("""COMPUTED_VALUE"""),46040)</f>
        <v>46040</v>
      </c>
      <c r="B185" s="1" t="str">
        <f>IFERROR(__xludf.DUMMYFUNCTION("""COMPUTED_VALUE"""),"LANZA, ANNALYN")</f>
        <v>LANZA, ANNALYN</v>
      </c>
      <c r="C185" s="1" t="str">
        <f>IFERROR(__xludf.DUMMYFUNCTION("""COMPUTED_VALUE"""),"ORGANIC")</f>
        <v>ORGANIC</v>
      </c>
      <c r="D185" s="1" t="str">
        <f>IFERROR(__xludf.DUMMYFUNCTION("""COMPUTED_VALUE"""),"ILANO MARK")</f>
        <v>ILANO MARK</v>
      </c>
      <c r="E185" s="1" t="str">
        <f>IFERROR(__xludf.DUMMYFUNCTION("""COMPUTED_VALUE"""),"PLDT")</f>
        <v>PLDT</v>
      </c>
      <c r="F185" s="1">
        <f>IFERROR(__xludf.DUMMYFUNCTION("""COMPUTED_VALUE"""),2306336184)</f>
        <v>2306336184</v>
      </c>
      <c r="G185" s="1"/>
      <c r="H185" s="1" t="str">
        <f>IFERROR(__xludf.DUMMYFUNCTION("""COMPUTED_VALUE"""),"9652945677")</f>
        <v>9652945677</v>
      </c>
      <c r="I185" s="1"/>
      <c r="J185" s="1"/>
      <c r="K185" s="1" t="str">
        <f>IFERROR(__xludf.DUMMYFUNCTION("""COMPUTED_VALUE"""),"BLK 30 LOT 9")</f>
        <v>BLK 30 LOT 9</v>
      </c>
      <c r="L185" s="1" t="str">
        <f>IFERROR(__xludf.DUMMYFUNCTION("""COMPUTED_VALUE"""),"ZONE 10")</f>
        <v>ZONE 10</v>
      </c>
      <c r="M185" s="1"/>
      <c r="N185" s="1" t="str">
        <f>IFERROR(__xludf.DUMMYFUNCTION("""COMPUTED_VALUE"""),"SAMPALOC IV")</f>
        <v>SAMPALOC IV</v>
      </c>
      <c r="O185" s="1" t="str">
        <f>IFERROR(__xludf.DUMMYFUNCTION("""COMPUTED_VALUE"""),"DASMARINAS")</f>
        <v>DASMARINAS</v>
      </c>
      <c r="P185" s="1" t="str">
        <f>IFERROR(__xludf.DUMMYFUNCTION("""COMPUTED_VALUE"""),"CAVITE")</f>
        <v>CAVITE</v>
      </c>
      <c r="Q185" s="1" t="str">
        <f>IFERROR(__xludf.DUMMYFUNCTION("""COMPUTED_VALUE"""),"FIBR PLAN 1399")</f>
        <v>FIBR PLAN 1399</v>
      </c>
      <c r="R185" s="1" t="str">
        <f>IFERROR(__xludf.DUMMYFUNCTION("""COMPUTED_VALUE"""),"APPROVED")</f>
        <v>APPROVED</v>
      </c>
      <c r="S185" s="1"/>
      <c r="T185" s="1"/>
      <c r="U185" s="1"/>
      <c r="V185" s="1"/>
      <c r="W185" s="1"/>
    </row>
    <row r="186" customHeight="1" spans="1:23">
      <c r="A186" s="3">
        <f>IFERROR(__xludf.DUMMYFUNCTION("""COMPUTED_VALUE"""),46040)</f>
        <v>46040</v>
      </c>
      <c r="B186" s="1" t="str">
        <f>IFERROR(__xludf.DUMMYFUNCTION("""COMPUTED_VALUE"""),"DELA ROSA, JENNELYN")</f>
        <v>DELA ROSA, JENNELYN</v>
      </c>
      <c r="C186" s="1" t="str">
        <f>IFERROR(__xludf.DUMMYFUNCTION("""COMPUTED_VALUE"""),"ORGANIC")</f>
        <v>ORGANIC</v>
      </c>
      <c r="D186" s="1" t="str">
        <f>IFERROR(__xludf.DUMMYFUNCTION("""COMPUTED_VALUE"""),"ILANO MARK")</f>
        <v>ILANO MARK</v>
      </c>
      <c r="E186" s="1" t="str">
        <f>IFERROR(__xludf.DUMMYFUNCTION("""COMPUTED_VALUE"""),"PLDT")</f>
        <v>PLDT</v>
      </c>
      <c r="F186" s="1"/>
      <c r="G186" s="1"/>
      <c r="H186" s="1" t="str">
        <f>IFERROR(__xludf.DUMMYFUNCTION("""COMPUTED_VALUE"""),"9637984185")</f>
        <v>9637984185</v>
      </c>
      <c r="I186" s="1">
        <f>IFERROR(__xludf.DUMMYFUNCTION("""COMPUTED_VALUE"""),9317461568)</f>
        <v>9317461568</v>
      </c>
      <c r="J186" s="1"/>
      <c r="K186" s="1" t="str">
        <f>IFERROR(__xludf.DUMMYFUNCTION("""COMPUTED_VALUE"""),"90")</f>
        <v>90</v>
      </c>
      <c r="L186" s="1" t="str">
        <f>IFERROR(__xludf.DUMMYFUNCTION("""COMPUTED_VALUE"""),"HALFWAYY ST")</f>
        <v>HALFWAYY ST</v>
      </c>
      <c r="M186" s="1"/>
      <c r="N186" s="1" t="str">
        <f>IFERROR(__xludf.DUMMYFUNCTION("""COMPUTED_VALUE"""),"MUNTING ILOG")</f>
        <v>MUNTING ILOG</v>
      </c>
      <c r="O186" s="1" t="str">
        <f>IFERROR(__xludf.DUMMYFUNCTION("""COMPUTED_VALUE"""),"SILANG")</f>
        <v>SILANG</v>
      </c>
      <c r="P186" s="1" t="str">
        <f>IFERROR(__xludf.DUMMYFUNCTION("""COMPUTED_VALUE"""),"CAVITE")</f>
        <v>CAVITE</v>
      </c>
      <c r="Q186" s="1" t="str">
        <f>IFERROR(__xludf.DUMMYFUNCTION("""COMPUTED_VALUE"""),"FIBR PLAN 1299")</f>
        <v>FIBR PLAN 1299</v>
      </c>
      <c r="R186" s="1" t="str">
        <f>IFERROR(__xludf.DUMMYFUNCTION("""COMPUTED_VALUE"""),"RETURN FOR COMPLIANCE - AGENT")</f>
        <v>RETURN FOR COMPLIANCE - AGENT</v>
      </c>
      <c r="S186" s="1" t="str">
        <f>IFERROR(__xludf.DUMMYFUNCTION("""COMPUTED_VALUE"""),"1ST CBR UNATTENDED2ND CBR WRONG NUMBER AS DIAL")</f>
        <v>1ST CBR UNATTENDED2ND CBR WRONG NUMBER AS DIAL</v>
      </c>
      <c r="T186" s="1"/>
      <c r="U186" s="1"/>
      <c r="V186" s="1"/>
      <c r="W186" s="1"/>
    </row>
    <row r="187" customHeight="1" spans="1:23">
      <c r="A187" s="3">
        <f>IFERROR(__xludf.DUMMYFUNCTION("""COMPUTED_VALUE"""),46040)</f>
        <v>46040</v>
      </c>
      <c r="B187" s="1" t="str">
        <f>IFERROR(__xludf.DUMMYFUNCTION("""COMPUTED_VALUE"""),"DE VERA, MARIVIC")</f>
        <v>DE VERA, MARIVIC</v>
      </c>
      <c r="C187" s="1" t="str">
        <f>IFERROR(__xludf.DUMMYFUNCTION("""COMPUTED_VALUE"""),"ORGANIC")</f>
        <v>ORGANIC</v>
      </c>
      <c r="D187" s="1" t="str">
        <f>IFERROR(__xludf.DUMMYFUNCTION("""COMPUTED_VALUE"""),"ILANO MARK")</f>
        <v>ILANO MARK</v>
      </c>
      <c r="E187" s="1" t="str">
        <f>IFERROR(__xludf.DUMMYFUNCTION("""COMPUTED_VALUE"""),"PLDT")</f>
        <v>PLDT</v>
      </c>
      <c r="F187" s="1">
        <f>IFERROR(__xludf.DUMMYFUNCTION("""COMPUTED_VALUE"""),2306337133)</f>
        <v>2306337133</v>
      </c>
      <c r="G187" s="1"/>
      <c r="H187" s="1" t="str">
        <f>IFERROR(__xludf.DUMMYFUNCTION("""COMPUTED_VALUE"""),"9516091201")</f>
        <v>9516091201</v>
      </c>
      <c r="I187" s="1">
        <f>IFERROR(__xludf.DUMMYFUNCTION("""COMPUTED_VALUE"""),9106254840)</f>
        <v>9106254840</v>
      </c>
      <c r="J187" s="1"/>
      <c r="K187" s="1" t="str">
        <f>IFERROR(__xludf.DUMMYFUNCTION("""COMPUTED_VALUE"""),"132")</f>
        <v>132</v>
      </c>
      <c r="L187" s="1" t="str">
        <f>IFERROR(__xludf.DUMMYFUNCTION("""COMPUTED_VALUE"""),"HALFWAYY ST")</f>
        <v>HALFWAYY ST</v>
      </c>
      <c r="M187" s="1"/>
      <c r="N187" s="1" t="str">
        <f>IFERROR(__xludf.DUMMYFUNCTION("""COMPUTED_VALUE"""),"MUNTING ILOG")</f>
        <v>MUNTING ILOG</v>
      </c>
      <c r="O187" s="1" t="str">
        <f>IFERROR(__xludf.DUMMYFUNCTION("""COMPUTED_VALUE"""),"SILANG")</f>
        <v>SILANG</v>
      </c>
      <c r="P187" s="1" t="str">
        <f>IFERROR(__xludf.DUMMYFUNCTION("""COMPUTED_VALUE"""),"CAVITE")</f>
        <v>CAVITE</v>
      </c>
      <c r="Q187" s="1" t="str">
        <f>IFERROR(__xludf.DUMMYFUNCTION("""COMPUTED_VALUE"""),"FIBR PLAN 1399")</f>
        <v>FIBR PLAN 1399</v>
      </c>
      <c r="R187" s="1" t="str">
        <f>IFERROR(__xludf.DUMMYFUNCTION("""COMPUTED_VALUE"""),"APPROVED")</f>
        <v>APPROVED</v>
      </c>
      <c r="S187" s="1"/>
      <c r="T187" s="1"/>
      <c r="U187" s="1"/>
      <c r="V187" s="1"/>
      <c r="W187" s="1"/>
    </row>
    <row r="188" customHeight="1" spans="1:23">
      <c r="A188" s="3">
        <f>IFERROR(__xludf.DUMMYFUNCTION("""COMPUTED_VALUE"""),46040)</f>
        <v>46040</v>
      </c>
      <c r="B188" s="1" t="str">
        <f>IFERROR(__xludf.DUMMYFUNCTION("""COMPUTED_VALUE"""),"ALOS, CHARLS LAURENZ")</f>
        <v>ALOS, CHARLS LAURENZ</v>
      </c>
      <c r="C188" s="1" t="str">
        <f>IFERROR(__xludf.DUMMYFUNCTION("""COMPUTED_VALUE"""),"ORGANIC")</f>
        <v>ORGANIC</v>
      </c>
      <c r="D188" s="1" t="str">
        <f>IFERROR(__xludf.DUMMYFUNCTION("""COMPUTED_VALUE"""),"ILANO MARK")</f>
        <v>ILANO MARK</v>
      </c>
      <c r="E188" s="1" t="str">
        <f>IFERROR(__xludf.DUMMYFUNCTION("""COMPUTED_VALUE"""),"PLDT")</f>
        <v>PLDT</v>
      </c>
      <c r="F188" s="1">
        <f>IFERROR(__xludf.DUMMYFUNCTION("""COMPUTED_VALUE"""),2306337281)</f>
        <v>2306337281</v>
      </c>
      <c r="G188" s="1"/>
      <c r="H188" s="1" t="str">
        <f>IFERROR(__xludf.DUMMYFUNCTION("""COMPUTED_VALUE"""),"9763441467")</f>
        <v>9763441467</v>
      </c>
      <c r="I188" s="1"/>
      <c r="J188" s="1"/>
      <c r="K188" s="1" t="str">
        <f>IFERROR(__xludf.DUMMYFUNCTION("""COMPUTED_VALUE"""),"236")</f>
        <v>236</v>
      </c>
      <c r="L188" s="1" t="str">
        <f>IFERROR(__xludf.DUMMYFUNCTION("""COMPUTED_VALUE"""),"AMONDIENTE ")</f>
        <v>AMONDIENTE </v>
      </c>
      <c r="M188" s="1"/>
      <c r="N188" s="1" t="str">
        <f>IFERROR(__xludf.DUMMYFUNCTION("""COMPUTED_VALUE"""),"SABUTAN")</f>
        <v>SABUTAN</v>
      </c>
      <c r="O188" s="1" t="str">
        <f>IFERROR(__xludf.DUMMYFUNCTION("""COMPUTED_VALUE"""),"SILANG")</f>
        <v>SILANG</v>
      </c>
      <c r="P188" s="1" t="str">
        <f>IFERROR(__xludf.DUMMYFUNCTION("""COMPUTED_VALUE"""),"CAVITE")</f>
        <v>CAVITE</v>
      </c>
      <c r="Q188" s="1" t="str">
        <f>IFERROR(__xludf.DUMMYFUNCTION("""COMPUTED_VALUE"""),"FIBR PLAN 999 W/ CIGNAL")</f>
        <v>FIBR PLAN 999 W/ CIGNAL</v>
      </c>
      <c r="R188" s="1" t="str">
        <f>IFERROR(__xludf.DUMMYFUNCTION("""COMPUTED_VALUE"""),"APPROVED")</f>
        <v>APPROVED</v>
      </c>
      <c r="S188" s="1"/>
      <c r="T188" s="1"/>
      <c r="U188" s="1"/>
      <c r="V188" s="1"/>
      <c r="W188" s="1"/>
    </row>
    <row r="189" customHeight="1" spans="1:23">
      <c r="A189" s="3">
        <f>IFERROR(__xludf.DUMMYFUNCTION("""COMPUTED_VALUE"""),46040)</f>
        <v>46040</v>
      </c>
      <c r="B189" s="1" t="str">
        <f>IFERROR(__xludf.DUMMYFUNCTION("""COMPUTED_VALUE"""),"FRANCISCO , ROSELYN")</f>
        <v>FRANCISCO , ROSELYN</v>
      </c>
      <c r="C189" s="1" t="str">
        <f>IFERROR(__xludf.DUMMYFUNCTION("""COMPUTED_VALUE"""),"FLA")</f>
        <v>FLA</v>
      </c>
      <c r="D189" s="1" t="str">
        <f>IFERROR(__xludf.DUMMYFUNCTION("""COMPUTED_VALUE"""),"JERIC NAVARRO")</f>
        <v>JERIC NAVARRO</v>
      </c>
      <c r="E189" s="1" t="str">
        <f>IFERROR(__xludf.DUMMYFUNCTION("""COMPUTED_VALUE"""),"PLDT")</f>
        <v>PLDT</v>
      </c>
      <c r="F189" s="1">
        <f>IFERROR(__xludf.DUMMYFUNCTION("""COMPUTED_VALUE"""),2306337883)</f>
        <v>2306337883</v>
      </c>
      <c r="G189" s="1"/>
      <c r="H189" s="1" t="str">
        <f>IFERROR(__xludf.DUMMYFUNCTION("""COMPUTED_VALUE"""),"9309839375")</f>
        <v>9309839375</v>
      </c>
      <c r="I189" s="1">
        <f>IFERROR(__xludf.DUMMYFUNCTION("""COMPUTED_VALUE"""),9384248723)</f>
        <v>9384248723</v>
      </c>
      <c r="J189" s="1"/>
      <c r="K189" s="1" t="str">
        <f>IFERROR(__xludf.DUMMYFUNCTION("""COMPUTED_VALUE"""),"BLK 10 LOT 44")</f>
        <v>BLK 10 LOT 44</v>
      </c>
      <c r="L189" s="1" t="str">
        <f>IFERROR(__xludf.DUMMYFUNCTION("""COMPUTED_VALUE"""),"RIZAL AVE")</f>
        <v>RIZAL AVE</v>
      </c>
      <c r="M189" s="1"/>
      <c r="N189" s="1" t="str">
        <f>IFERROR(__xludf.DUMMYFUNCTION("""COMPUTED_VALUE"""),"SAN JOSE")</f>
        <v>SAN JOSE</v>
      </c>
      <c r="O189" s="1" t="str">
        <f>IFERROR(__xludf.DUMMYFUNCTION("""COMPUTED_VALUE"""),"GEN MARIANO ALVAREZ")</f>
        <v>GEN MARIANO ALVAREZ</v>
      </c>
      <c r="P189" s="1" t="str">
        <f>IFERROR(__xludf.DUMMYFUNCTION("""COMPUTED_VALUE"""),"CAVITE")</f>
        <v>CAVITE</v>
      </c>
      <c r="Q189" s="1" t="str">
        <f>IFERROR(__xludf.DUMMYFUNCTION("""COMPUTED_VALUE"""),"FIBR PLAN 1399")</f>
        <v>FIBR PLAN 1399</v>
      </c>
      <c r="R189" s="1" t="str">
        <f>IFERROR(__xludf.DUMMYFUNCTION("""COMPUTED_VALUE"""),"APPROVED")</f>
        <v>APPROVED</v>
      </c>
      <c r="S189" s="1"/>
      <c r="T189" s="1"/>
      <c r="U189" s="1"/>
      <c r="V189" s="1"/>
      <c r="W189" s="1"/>
    </row>
    <row r="190" customHeight="1" spans="1:23">
      <c r="A190" s="3">
        <f>IFERROR(__xludf.DUMMYFUNCTION("""COMPUTED_VALUE"""),46041)</f>
        <v>46041</v>
      </c>
      <c r="B190" s="1" t="str">
        <f>IFERROR(__xludf.DUMMYFUNCTION("""COMPUTED_VALUE"""),"FRANCISCO , ROSELYN")</f>
        <v>FRANCISCO , ROSELYN</v>
      </c>
      <c r="C190" s="1" t="str">
        <f>IFERROR(__xludf.DUMMYFUNCTION("""COMPUTED_VALUE"""),"FLA")</f>
        <v>FLA</v>
      </c>
      <c r="D190" s="1" t="str">
        <f>IFERROR(__xludf.DUMMYFUNCTION("""COMPUTED_VALUE"""),"JERIC NAVARRO")</f>
        <v>JERIC NAVARRO</v>
      </c>
      <c r="E190" s="1" t="str">
        <f>IFERROR(__xludf.DUMMYFUNCTION("""COMPUTED_VALUE"""),"PLDT")</f>
        <v>PLDT</v>
      </c>
      <c r="F190" s="1">
        <f>IFERROR(__xludf.DUMMYFUNCTION("""COMPUTED_VALUE"""),2306344891)</f>
        <v>2306344891</v>
      </c>
      <c r="G190" s="1"/>
      <c r="H190" s="1" t="str">
        <f>IFERROR(__xludf.DUMMYFUNCTION("""COMPUTED_VALUE"""),"9752133803")</f>
        <v>9752133803</v>
      </c>
      <c r="I190" s="1">
        <f>IFERROR(__xludf.DUMMYFUNCTION("""COMPUTED_VALUE"""),9659884491)</f>
        <v>9659884491</v>
      </c>
      <c r="J190" s="1"/>
      <c r="K190" s="1" t="str">
        <f>IFERROR(__xludf.DUMMYFUNCTION("""COMPUTED_VALUE"""),"4110")</f>
        <v>4110</v>
      </c>
      <c r="L190" s="1" t="str">
        <f>IFERROR(__xludf.DUMMYFUNCTION("""COMPUTED_VALUE"""),"ARNALDO HIGHWAY")</f>
        <v>ARNALDO HIGHWAY</v>
      </c>
      <c r="M190" s="1"/>
      <c r="N190" s="1" t="str">
        <f>IFERROR(__xludf.DUMMYFUNCTION("""COMPUTED_VALUE"""),"PASONG CAMACHILE I")</f>
        <v>PASONG CAMACHILE I</v>
      </c>
      <c r="O190" s="1" t="str">
        <f>IFERROR(__xludf.DUMMYFUNCTION("""COMPUTED_VALUE"""),"GENERAL TRIAS")</f>
        <v>GENERAL TRIAS</v>
      </c>
      <c r="P190" s="1" t="str">
        <f>IFERROR(__xludf.DUMMYFUNCTION("""COMPUTED_VALUE"""),"CAVITE")</f>
        <v>CAVITE</v>
      </c>
      <c r="Q190" s="1" t="str">
        <f>IFERROR(__xludf.DUMMYFUNCTION("""COMPUTED_VALUE"""),"FIBR PLAN 999 W/ CIGNAL")</f>
        <v>FIBR PLAN 999 W/ CIGNAL</v>
      </c>
      <c r="R190" s="1" t="str">
        <f>IFERROR(__xludf.DUMMYFUNCTION("""COMPUTED_VALUE"""),"APPROVED")</f>
        <v>APPROVED</v>
      </c>
      <c r="S190" s="1"/>
      <c r="T190" s="1"/>
      <c r="U190" s="1"/>
      <c r="V190" s="1"/>
      <c r="W190" s="1"/>
    </row>
    <row r="191" customHeight="1" spans="1:23">
      <c r="A191" s="3">
        <f>IFERROR(__xludf.DUMMYFUNCTION("""COMPUTED_VALUE"""),46041)</f>
        <v>46041</v>
      </c>
      <c r="B191" s="1" t="str">
        <f>IFERROR(__xludf.DUMMYFUNCTION("""COMPUTED_VALUE"""),"NAVARRO, JERIC")</f>
        <v>NAVARRO, JERIC</v>
      </c>
      <c r="C191" s="1" t="str">
        <f>IFERROR(__xludf.DUMMYFUNCTION("""COMPUTED_VALUE"""),"FLA")</f>
        <v>FLA</v>
      </c>
      <c r="D191" s="1" t="str">
        <f>IFERROR(__xludf.DUMMYFUNCTION("""COMPUTED_VALUE"""),"JERIC NAVARRO")</f>
        <v>JERIC NAVARRO</v>
      </c>
      <c r="E191" s="1" t="str">
        <f>IFERROR(__xludf.DUMMYFUNCTION("""COMPUTED_VALUE"""),"HOME BIZZ")</f>
        <v>HOME BIZZ</v>
      </c>
      <c r="F191" s="1">
        <f>IFERROR(__xludf.DUMMYFUNCTION("""COMPUTED_VALUE"""),2306347699)</f>
        <v>2306347699</v>
      </c>
      <c r="G191" s="1"/>
      <c r="H191" s="1" t="str">
        <f>IFERROR(__xludf.DUMMYFUNCTION("""COMPUTED_VALUE"""),"9603198661")</f>
        <v>9603198661</v>
      </c>
      <c r="I191" s="1">
        <f>IFERROR(__xludf.DUMMYFUNCTION("""COMPUTED_VALUE"""),9171765210)</f>
        <v>9171765210</v>
      </c>
      <c r="J191" s="1"/>
      <c r="K191" s="1" t="str">
        <f>IFERROR(__xludf.DUMMYFUNCTION("""COMPUTED_VALUE"""),"206")</f>
        <v>206</v>
      </c>
      <c r="L191" s="1" t="str">
        <f>IFERROR(__xludf.DUMMYFUNCTION("""COMPUTED_VALUE"""),"HAWAII ST")</f>
        <v>HAWAII ST</v>
      </c>
      <c r="M191" s="1"/>
      <c r="N191" s="1" t="str">
        <f>IFERROR(__xludf.DUMMYFUNCTION("""COMPUTED_VALUE"""),"SALINAS IV")</f>
        <v>SALINAS IV</v>
      </c>
      <c r="O191" s="1" t="str">
        <f>IFERROR(__xludf.DUMMYFUNCTION("""COMPUTED_VALUE"""),"BACOOR")</f>
        <v>BACOOR</v>
      </c>
      <c r="P191" s="1" t="str">
        <f>IFERROR(__xludf.DUMMYFUNCTION("""COMPUTED_VALUE"""),"CAVITE")</f>
        <v>CAVITE</v>
      </c>
      <c r="Q191" s="1" t="str">
        <f>IFERROR(__xludf.DUMMYFUNCTION("""COMPUTED_VALUE"""),"HOMEBIZZ 1299")</f>
        <v>HOMEBIZZ 1299</v>
      </c>
      <c r="R191" s="1" t="str">
        <f>IFERROR(__xludf.DUMMYFUNCTION("""COMPUTED_VALUE"""),"APPROVED")</f>
        <v>APPROVED</v>
      </c>
      <c r="S191" s="1"/>
      <c r="T191" s="1"/>
      <c r="U191" s="1"/>
      <c r="V191" s="1"/>
      <c r="W191" s="1"/>
    </row>
    <row r="192" customHeight="1" spans="1:23">
      <c r="A192" s="3">
        <f>IFERROR(__xludf.DUMMYFUNCTION("""COMPUTED_VALUE"""),46041)</f>
        <v>46041</v>
      </c>
      <c r="B192" s="1" t="str">
        <f>IFERROR(__xludf.DUMMYFUNCTION("""COMPUTED_VALUE"""),"REMOLLO, LEA")</f>
        <v>REMOLLO, LEA</v>
      </c>
      <c r="C192" s="1" t="str">
        <f>IFERROR(__xludf.DUMMYFUNCTION("""COMPUTED_VALUE"""),"FLA")</f>
        <v>FLA</v>
      </c>
      <c r="D192" s="1" t="str">
        <f>IFERROR(__xludf.DUMMYFUNCTION("""COMPUTED_VALUE"""),"JERIC NAVARRO")</f>
        <v>JERIC NAVARRO</v>
      </c>
      <c r="E192" s="1" t="str">
        <f>IFERROR(__xludf.DUMMYFUNCTION("""COMPUTED_VALUE"""),"PLDT")</f>
        <v>PLDT</v>
      </c>
      <c r="F192" s="1">
        <f>IFERROR(__xludf.DUMMYFUNCTION("""COMPUTED_VALUE"""),2306348230)</f>
        <v>2306348230</v>
      </c>
      <c r="G192" s="1"/>
      <c r="H192" s="1" t="str">
        <f>IFERROR(__xludf.DUMMYFUNCTION("""COMPUTED_VALUE"""),"9508921933")</f>
        <v>9508921933</v>
      </c>
      <c r="I192" s="1">
        <f>IFERROR(__xludf.DUMMYFUNCTION("""COMPUTED_VALUE"""),9973494639)</f>
        <v>9973494639</v>
      </c>
      <c r="J192" s="1"/>
      <c r="K192" s="1" t="str">
        <f>IFERROR(__xludf.DUMMYFUNCTION("""COMPUTED_VALUE"""),"314")</f>
        <v>314</v>
      </c>
      <c r="L192" s="1" t="str">
        <f>IFERROR(__xludf.DUMMYFUNCTION("""COMPUTED_VALUE"""),"PUROK 2B")</f>
        <v>PUROK 2B</v>
      </c>
      <c r="M192" s="1"/>
      <c r="N192" s="1" t="str">
        <f>IFERROR(__xludf.DUMMYFUNCTION("""COMPUTED_VALUE"""),"TALON")</f>
        <v>TALON</v>
      </c>
      <c r="O192" s="1" t="str">
        <f>IFERROR(__xludf.DUMMYFUNCTION("""COMPUTED_VALUE"""),"AMADEO")</f>
        <v>AMADEO</v>
      </c>
      <c r="P192" s="1" t="str">
        <f>IFERROR(__xludf.DUMMYFUNCTION("""COMPUTED_VALUE"""),"CAVITE")</f>
        <v>CAVITE</v>
      </c>
      <c r="Q192" s="1" t="str">
        <f>IFERROR(__xludf.DUMMYFUNCTION("""COMPUTED_VALUE"""),"FIBR PLAN 1399")</f>
        <v>FIBR PLAN 1399</v>
      </c>
      <c r="R192" s="1" t="str">
        <f>IFERROR(__xludf.DUMMYFUNCTION("""COMPUTED_VALUE"""),"APPROVED")</f>
        <v>APPROVED</v>
      </c>
      <c r="S192" s="1"/>
      <c r="T192" s="1"/>
      <c r="U192" s="1"/>
      <c r="V192" s="1"/>
      <c r="W192" s="1"/>
    </row>
    <row r="193" customHeight="1" spans="1:23">
      <c r="A193" s="3">
        <f>IFERROR(__xludf.DUMMYFUNCTION("""COMPUTED_VALUE"""),46041)</f>
        <v>46041</v>
      </c>
      <c r="B193" s="1" t="str">
        <f>IFERROR(__xludf.DUMMYFUNCTION("""COMPUTED_VALUE"""),"MALIWAT MARK ELVIN")</f>
        <v>MALIWAT MARK ELVIN</v>
      </c>
      <c r="C193" s="1" t="str">
        <f>IFERROR(__xludf.DUMMYFUNCTION("""COMPUTED_VALUE"""),"FLA")</f>
        <v>FLA</v>
      </c>
      <c r="D193" s="1" t="str">
        <f>IFERROR(__xludf.DUMMYFUNCTION("""COMPUTED_VALUE"""),"JERIC NAVARRO")</f>
        <v>JERIC NAVARRO</v>
      </c>
      <c r="E193" s="1" t="str">
        <f>IFERROR(__xludf.DUMMYFUNCTION("""COMPUTED_VALUE"""),"PLDT")</f>
        <v>PLDT</v>
      </c>
      <c r="F193" s="1">
        <f>IFERROR(__xludf.DUMMYFUNCTION("""COMPUTED_VALUE"""),2306349496)</f>
        <v>2306349496</v>
      </c>
      <c r="G193" s="1"/>
      <c r="H193" s="1" t="str">
        <f>IFERROR(__xludf.DUMMYFUNCTION("""COMPUTED_VALUE"""),"9518737250")</f>
        <v>9518737250</v>
      </c>
      <c r="I193" s="1"/>
      <c r="J193" s="1"/>
      <c r="K193" s="1" t="str">
        <f>IFERROR(__xludf.DUMMYFUNCTION("""COMPUTED_VALUE"""),"BLK 2 LOT 10")</f>
        <v>BLK 2 LOT 10</v>
      </c>
      <c r="L193" s="1" t="str">
        <f>IFERROR(__xludf.DUMMYFUNCTION("""COMPUTED_VALUE"""),"LENINGDAD")</f>
        <v>LENINGDAD</v>
      </c>
      <c r="M193" s="1" t="str">
        <f>IFERROR(__xludf.DUMMYFUNCTION("""COMPUTED_VALUE"""),"GREENBREEZE 2")</f>
        <v>GREENBREEZE 2</v>
      </c>
      <c r="N193" s="1" t="str">
        <f>IFERROR(__xludf.DUMMYFUNCTION("""COMPUTED_VALUE"""),"LANGKAAN II")</f>
        <v>LANGKAAN II</v>
      </c>
      <c r="O193" s="1" t="str">
        <f>IFERROR(__xludf.DUMMYFUNCTION("""COMPUTED_VALUE"""),"DASMARINAS")</f>
        <v>DASMARINAS</v>
      </c>
      <c r="P193" s="1" t="str">
        <f>IFERROR(__xludf.DUMMYFUNCTION("""COMPUTED_VALUE"""),"CAVITE")</f>
        <v>CAVITE</v>
      </c>
      <c r="Q193" s="1" t="str">
        <f>IFERROR(__xludf.DUMMYFUNCTION("""COMPUTED_VALUE"""),"FIBR PLAN 1399")</f>
        <v>FIBR PLAN 1399</v>
      </c>
      <c r="R193" s="1" t="str">
        <f>IFERROR(__xludf.DUMMYFUNCTION("""COMPUTED_VALUE"""),"APPROVED")</f>
        <v>APPROVED</v>
      </c>
      <c r="S193" s="1"/>
      <c r="T193" s="1"/>
      <c r="U193" s="1"/>
      <c r="V193" s="1"/>
      <c r="W193" s="1"/>
    </row>
    <row r="194" customHeight="1" spans="1:23">
      <c r="A194" s="3">
        <f>IFERROR(__xludf.DUMMYFUNCTION("""COMPUTED_VALUE"""),46041)</f>
        <v>46041</v>
      </c>
      <c r="B194" s="1" t="str">
        <f>IFERROR(__xludf.DUMMYFUNCTION("""COMPUTED_VALUE"""),"MAGDARAOG, KENNETH")</f>
        <v>MAGDARAOG, KENNETH</v>
      </c>
      <c r="C194" s="1" t="str">
        <f>IFERROR(__xludf.DUMMYFUNCTION("""COMPUTED_VALUE"""),"ORGANIC")</f>
        <v>ORGANIC</v>
      </c>
      <c r="D194" s="1" t="str">
        <f>IFERROR(__xludf.DUMMYFUNCTION("""COMPUTED_VALUE"""),"ILANO MARK")</f>
        <v>ILANO MARK</v>
      </c>
      <c r="E194" s="1" t="str">
        <f>IFERROR(__xludf.DUMMYFUNCTION("""COMPUTED_VALUE"""),"PLDT")</f>
        <v>PLDT</v>
      </c>
      <c r="F194" s="1">
        <f>IFERROR(__xludf.DUMMYFUNCTION("""COMPUTED_VALUE"""),2306354626)</f>
        <v>2306354626</v>
      </c>
      <c r="G194" s="1"/>
      <c r="H194" s="1" t="str">
        <f>IFERROR(__xludf.DUMMYFUNCTION("""COMPUTED_VALUE"""),"9158396904")</f>
        <v>9158396904</v>
      </c>
      <c r="I194" s="1"/>
      <c r="J194" s="1"/>
      <c r="K194" s="1" t="str">
        <f>IFERROR(__xludf.DUMMYFUNCTION("""COMPUTED_VALUE"""),"9009")</f>
        <v>9009</v>
      </c>
      <c r="L194" s="1" t="str">
        <f>IFERROR(__xludf.DUMMYFUNCTION("""COMPUTED_VALUE"""),"AGUINALDO HIGHWAY")</f>
        <v>AGUINALDO HIGHWAY</v>
      </c>
      <c r="M194" s="1"/>
      <c r="N194" s="1" t="str">
        <f>IFERROR(__xludf.DUMMYFUNCTION("""COMPUTED_VALUE"""),"ASISAN")</f>
        <v>ASISAN</v>
      </c>
      <c r="O194" s="1" t="str">
        <f>IFERROR(__xludf.DUMMYFUNCTION("""COMPUTED_VALUE"""),"TAGAYTAY")</f>
        <v>TAGAYTAY</v>
      </c>
      <c r="P194" s="1" t="str">
        <f>IFERROR(__xludf.DUMMYFUNCTION("""COMPUTED_VALUE"""),"CAVITE")</f>
        <v>CAVITE</v>
      </c>
      <c r="Q194" s="1" t="str">
        <f>IFERROR(__xludf.DUMMYFUNCTION("""COMPUTED_VALUE"""),"FIBR PLAN 999 W/ CIGNAL")</f>
        <v>FIBR PLAN 999 W/ CIGNAL</v>
      </c>
      <c r="R194" s="1" t="str">
        <f>IFERROR(__xludf.DUMMYFUNCTION("""COMPUTED_VALUE"""),"APPROVED")</f>
        <v>APPROVED</v>
      </c>
      <c r="S194" s="1"/>
      <c r="T194" s="1"/>
      <c r="U194" s="1"/>
      <c r="V194" s="1"/>
      <c r="W194" s="1"/>
    </row>
    <row r="195" customHeight="1" spans="1:23">
      <c r="A195" s="3">
        <f>IFERROR(__xludf.DUMMYFUNCTION("""COMPUTED_VALUE"""),46041)</f>
        <v>46041</v>
      </c>
      <c r="B195" s="1" t="str">
        <f>IFERROR(__xludf.DUMMYFUNCTION("""COMPUTED_VALUE"""),"DE VERA, MARIVIC")</f>
        <v>DE VERA, MARIVIC</v>
      </c>
      <c r="C195" s="1" t="str">
        <f>IFERROR(__xludf.DUMMYFUNCTION("""COMPUTED_VALUE"""),"ORGANIC")</f>
        <v>ORGANIC</v>
      </c>
      <c r="D195" s="1" t="str">
        <f>IFERROR(__xludf.DUMMYFUNCTION("""COMPUTED_VALUE"""),"ILANO MARK")</f>
        <v>ILANO MARK</v>
      </c>
      <c r="E195" s="1" t="str">
        <f>IFERROR(__xludf.DUMMYFUNCTION("""COMPUTED_VALUE"""),"PLDT")</f>
        <v>PLDT</v>
      </c>
      <c r="F195" s="1">
        <f>IFERROR(__xludf.DUMMYFUNCTION("""COMPUTED_VALUE"""),2306358316)</f>
        <v>2306358316</v>
      </c>
      <c r="G195" s="1"/>
      <c r="H195" s="1" t="str">
        <f>IFERROR(__xludf.DUMMYFUNCTION("""COMPUTED_VALUE"""),"9104098989")</f>
        <v>9104098989</v>
      </c>
      <c r="I195" s="1"/>
      <c r="J195" s="1"/>
      <c r="K195" s="1" t="str">
        <f>IFERROR(__xludf.DUMMYFUNCTION("""COMPUTED_VALUE"""),"BLK 27 LOT 19")</f>
        <v>BLK 27 LOT 19</v>
      </c>
      <c r="L195" s="1" t="str">
        <f>IFERROR(__xludf.DUMMYFUNCTION("""COMPUTED_VALUE"""),"PHASE A")</f>
        <v>PHASE A</v>
      </c>
      <c r="M195" s="1"/>
      <c r="N195" s="1" t="str">
        <f>IFERROR(__xludf.DUMMYFUNCTION("""COMPUTED_VALUE"""),"NARRA I")</f>
        <v>NARRA I</v>
      </c>
      <c r="O195" s="1" t="str">
        <f>IFERROR(__xludf.DUMMYFUNCTION("""COMPUTED_VALUE"""),"SILANG")</f>
        <v>SILANG</v>
      </c>
      <c r="P195" s="1" t="str">
        <f>IFERROR(__xludf.DUMMYFUNCTION("""COMPUTED_VALUE"""),"CAVITE")</f>
        <v>CAVITE</v>
      </c>
      <c r="Q195" s="1" t="str">
        <f>IFERROR(__xludf.DUMMYFUNCTION("""COMPUTED_VALUE"""),"FIBR PLAN 1799")</f>
        <v>FIBR PLAN 1799</v>
      </c>
      <c r="R195" s="1" t="str">
        <f>IFERROR(__xludf.DUMMYFUNCTION("""COMPUTED_VALUE"""),"APPROVED")</f>
        <v>APPROVED</v>
      </c>
      <c r="S195" s="1"/>
      <c r="T195" s="1"/>
      <c r="U195" s="1"/>
      <c r="V195" s="1"/>
      <c r="W195" s="1"/>
    </row>
    <row r="196" customHeight="1" spans="1:23">
      <c r="A196" s="3">
        <f>IFERROR(__xludf.DUMMYFUNCTION("""COMPUTED_VALUE"""),46042)</f>
        <v>46042</v>
      </c>
      <c r="B196" s="1" t="str">
        <f>IFERROR(__xludf.DUMMYFUNCTION("""COMPUTED_VALUE"""),"GABAY, MANUEL")</f>
        <v>GABAY, MANUEL</v>
      </c>
      <c r="C196" s="1" t="str">
        <f>IFERROR(__xludf.DUMMYFUNCTION("""COMPUTED_VALUE"""),"FLA")</f>
        <v>FLA</v>
      </c>
      <c r="D196" s="1" t="str">
        <f>IFERROR(__xludf.DUMMYFUNCTION("""COMPUTED_VALUE"""),"JERIC NAVARRO")</f>
        <v>JERIC NAVARRO</v>
      </c>
      <c r="E196" s="1" t="str">
        <f>IFERROR(__xludf.DUMMYFUNCTION("""COMPUTED_VALUE"""),"PLDT")</f>
        <v>PLDT</v>
      </c>
      <c r="F196" s="1">
        <f>IFERROR(__xludf.DUMMYFUNCTION("""COMPUTED_VALUE"""),2306372272)</f>
        <v>2306372272</v>
      </c>
      <c r="G196" s="1"/>
      <c r="H196" s="1" t="str">
        <f>IFERROR(__xludf.DUMMYFUNCTION("""COMPUTED_VALUE"""),"9695207078")</f>
        <v>9695207078</v>
      </c>
      <c r="I196" s="1">
        <f>IFERROR(__xludf.DUMMYFUNCTION("""COMPUTED_VALUE"""),9085587353)</f>
        <v>9085587353</v>
      </c>
      <c r="J196" s="1"/>
      <c r="K196" s="1" t="str">
        <f>IFERROR(__xludf.DUMMYFUNCTION("""COMPUTED_VALUE"""),"BLK 3 LOT 70")</f>
        <v>BLK 3 LOT 70</v>
      </c>
      <c r="L196" s="1" t="str">
        <f>IFERROR(__xludf.DUMMYFUNCTION("""COMPUTED_VALUE"""),"G DE JESUS")</f>
        <v>G DE JESUS</v>
      </c>
      <c r="M196" s="1"/>
      <c r="N196" s="1" t="str">
        <f>IFERROR(__xludf.DUMMYFUNCTION("""COMPUTED_VALUE"""),"GREGORIA DE JESUS")</f>
        <v>GREGORIA DE JESUS</v>
      </c>
      <c r="O196" s="1" t="str">
        <f>IFERROR(__xludf.DUMMYFUNCTION("""COMPUTED_VALUE"""),"GEN MARIANO ALVAREZ")</f>
        <v>GEN MARIANO ALVAREZ</v>
      </c>
      <c r="P196" s="1" t="str">
        <f>IFERROR(__xludf.DUMMYFUNCTION("""COMPUTED_VALUE"""),"CAVITE")</f>
        <v>CAVITE</v>
      </c>
      <c r="Q196" s="1" t="str">
        <f>IFERROR(__xludf.DUMMYFUNCTION("""COMPUTED_VALUE"""),"FIBR PLAN 1399")</f>
        <v>FIBR PLAN 1399</v>
      </c>
      <c r="R196" s="1" t="str">
        <f>IFERROR(__xludf.DUMMYFUNCTION("""COMPUTED_VALUE"""),"APPROVED")</f>
        <v>APPROVED</v>
      </c>
      <c r="S196" s="1" t="str">
        <f>IFERROR(__xludf.DUMMYFUNCTION("""COMPUTED_VALUE"""),"WILLING MAG ADVANCE PAYMENT TOK TO SOR 16")</f>
        <v>WILLING MAG ADVANCE PAYMENT TOK TO SOR 16</v>
      </c>
      <c r="T196" s="1"/>
      <c r="U196" s="1"/>
      <c r="V196" s="1"/>
      <c r="W196" s="1"/>
    </row>
    <row r="197" customHeight="1" spans="1:23">
      <c r="A197" s="3">
        <f>IFERROR(__xludf.DUMMYFUNCTION("""COMPUTED_VALUE"""),46042)</f>
        <v>46042</v>
      </c>
      <c r="B197" s="1" t="str">
        <f>IFERROR(__xludf.DUMMYFUNCTION("""COMPUTED_VALUE"""),"AYON MANUEL")</f>
        <v>AYON MANUEL</v>
      </c>
      <c r="C197" s="1" t="str">
        <f>IFERROR(__xludf.DUMMYFUNCTION("""COMPUTED_VALUE"""),"FLA")</f>
        <v>FLA</v>
      </c>
      <c r="D197" s="1" t="str">
        <f>IFERROR(__xludf.DUMMYFUNCTION("""COMPUTED_VALUE"""),"JERIC NAVARRO")</f>
        <v>JERIC NAVARRO</v>
      </c>
      <c r="E197" s="1" t="str">
        <f>IFERROR(__xludf.DUMMYFUNCTION("""COMPUTED_VALUE"""),"PLDT")</f>
        <v>PLDT</v>
      </c>
      <c r="F197" s="1">
        <f>IFERROR(__xludf.DUMMYFUNCTION("""COMPUTED_VALUE"""),2306374309)</f>
        <v>2306374309</v>
      </c>
      <c r="G197" s="1"/>
      <c r="H197" s="1" t="str">
        <f>IFERROR(__xludf.DUMMYFUNCTION("""COMPUTED_VALUE"""),"9934289173")</f>
        <v>9934289173</v>
      </c>
      <c r="I197" s="1">
        <f>IFERROR(__xludf.DUMMYFUNCTION("""COMPUTED_VALUE"""),9232164393)</f>
        <v>9232164393</v>
      </c>
      <c r="J197" s="1"/>
      <c r="K197" s="1" t="str">
        <f>IFERROR(__xludf.DUMMYFUNCTION("""COMPUTED_VALUE"""),"BLK 3 L 1")</f>
        <v>BLK 3 L 1</v>
      </c>
      <c r="L197" s="1" t="str">
        <f>IFERROR(__xludf.DUMMYFUNCTION("""COMPUTED_VALUE"""),"CONGRESSIONAL")</f>
        <v>CONGRESSIONAL</v>
      </c>
      <c r="M197" s="1"/>
      <c r="N197" s="1" t="str">
        <f>IFERROR(__xludf.DUMMYFUNCTION("""COMPUTED_VALUE"""),"SAN GABRIEL")</f>
        <v>SAN GABRIEL</v>
      </c>
      <c r="O197" s="1" t="str">
        <f>IFERROR(__xludf.DUMMYFUNCTION("""COMPUTED_VALUE"""),"GEN MARIANO ALVAREZ")</f>
        <v>GEN MARIANO ALVAREZ</v>
      </c>
      <c r="P197" s="1" t="str">
        <f>IFERROR(__xludf.DUMMYFUNCTION("""COMPUTED_VALUE"""),"CAVITE")</f>
        <v>CAVITE</v>
      </c>
      <c r="Q197" s="1" t="str">
        <f>IFERROR(__xludf.DUMMYFUNCTION("""COMPUTED_VALUE"""),"FIBR PLAN 1299")</f>
        <v>FIBR PLAN 1299</v>
      </c>
      <c r="R197" s="1" t="str">
        <f>IFERROR(__xludf.DUMMYFUNCTION("""COMPUTED_VALUE"""),"APPROVED")</f>
        <v>APPROVED</v>
      </c>
      <c r="S197" s="1"/>
      <c r="T197" s="1"/>
      <c r="U197" s="1"/>
      <c r="V197" s="1"/>
      <c r="W197" s="1"/>
    </row>
    <row r="198" customHeight="1" spans="1:23">
      <c r="A198" s="3">
        <f>IFERROR(__xludf.DUMMYFUNCTION("""COMPUTED_VALUE"""),46043)</f>
        <v>46043</v>
      </c>
      <c r="B198" s="1" t="str">
        <f>IFERROR(__xludf.DUMMYFUNCTION("""COMPUTED_VALUE"""),"OPS SIR BETZ")</f>
        <v>OPS SIR BETZ</v>
      </c>
      <c r="C198" s="1" t="str">
        <f>IFERROR(__xludf.DUMMYFUNCTION("""COMPUTED_VALUE"""),"FLA")</f>
        <v>FLA</v>
      </c>
      <c r="D198" s="1" t="str">
        <f>IFERROR(__xludf.DUMMYFUNCTION("""COMPUTED_VALUE"""),"JERIC NAVARRO")</f>
        <v>JERIC NAVARRO</v>
      </c>
      <c r="E198" s="1" t="str">
        <f>IFERROR(__xludf.DUMMYFUNCTION("""COMPUTED_VALUE"""),"PLDT")</f>
        <v>PLDT</v>
      </c>
      <c r="F198" s="1">
        <f>IFERROR(__xludf.DUMMYFUNCTION("""COMPUTED_VALUE"""),2306393450)</f>
        <v>2306393450</v>
      </c>
      <c r="G198" s="1"/>
      <c r="H198" s="1" t="str">
        <f>IFERROR(__xludf.DUMMYFUNCTION("""COMPUTED_VALUE"""),"9759694080")</f>
        <v>9759694080</v>
      </c>
      <c r="I198" s="1">
        <f>IFERROR(__xludf.DUMMYFUNCTION("""COMPUTED_VALUE"""),9979779603)</f>
        <v>9979779603</v>
      </c>
      <c r="J198" s="1"/>
      <c r="K198" s="1" t="str">
        <f>IFERROR(__xludf.DUMMYFUNCTION("""COMPUTED_VALUE"""),"2955")</f>
        <v>2955</v>
      </c>
      <c r="L198" s="1" t="str">
        <f>IFERROR(__xludf.DUMMYFUNCTION("""COMPUTED_VALUE"""),"BUCAL RD")</f>
        <v>BUCAL RD</v>
      </c>
      <c r="M198" s="1"/>
      <c r="N198" s="1" t="str">
        <f>IFERROR(__xludf.DUMMYFUNCTION("""COMPUTED_VALUE"""),"BUCAL III B")</f>
        <v>BUCAL III B</v>
      </c>
      <c r="O198" s="1" t="str">
        <f>IFERROR(__xludf.DUMMYFUNCTION("""COMPUTED_VALUE"""),"MARAGONDON")</f>
        <v>MARAGONDON</v>
      </c>
      <c r="P198" s="1" t="str">
        <f>IFERROR(__xludf.DUMMYFUNCTION("""COMPUTED_VALUE"""),"CAVITE")</f>
        <v>CAVITE</v>
      </c>
      <c r="Q198" s="1" t="str">
        <f>IFERROR(__xludf.DUMMYFUNCTION("""COMPUTED_VALUE"""),"FIBR PLAN 1299")</f>
        <v>FIBR PLAN 1299</v>
      </c>
      <c r="R198" s="1" t="str">
        <f>IFERROR(__xludf.DUMMYFUNCTION("""COMPUTED_VALUE"""),"APPROVED")</f>
        <v>APPROVED</v>
      </c>
      <c r="S198" s="1"/>
      <c r="T198" s="1"/>
      <c r="U198" s="1"/>
      <c r="V198" s="1"/>
      <c r="W198" s="1"/>
    </row>
    <row r="199" customHeight="1" spans="1:23">
      <c r="A199" s="3">
        <f>IFERROR(__xludf.DUMMYFUNCTION("""COMPUTED_VALUE"""),46043)</f>
        <v>46043</v>
      </c>
      <c r="B199" s="1" t="str">
        <f>IFERROR(__xludf.DUMMYFUNCTION("""COMPUTED_VALUE"""),"CARPIO, STEPHANIE NICOLE")</f>
        <v>CARPIO, STEPHANIE NICOLE</v>
      </c>
      <c r="C199" s="1" t="str">
        <f>IFERROR(__xludf.DUMMYFUNCTION("""COMPUTED_VALUE"""),"FLA")</f>
        <v>FLA</v>
      </c>
      <c r="D199" s="1" t="str">
        <f>IFERROR(__xludf.DUMMYFUNCTION("""COMPUTED_VALUE"""),"JERIC NAVARRO")</f>
        <v>JERIC NAVARRO</v>
      </c>
      <c r="E199" s="1" t="str">
        <f>IFERROR(__xludf.DUMMYFUNCTION("""COMPUTED_VALUE"""),"PLDT")</f>
        <v>PLDT</v>
      </c>
      <c r="F199" s="1">
        <f>IFERROR(__xludf.DUMMYFUNCTION("""COMPUTED_VALUE"""),2306402282)</f>
        <v>2306402282</v>
      </c>
      <c r="G199" s="1"/>
      <c r="H199" s="1" t="str">
        <f>IFERROR(__xludf.DUMMYFUNCTION("""COMPUTED_VALUE"""),"9532945217")</f>
        <v>9532945217</v>
      </c>
      <c r="I199" s="1"/>
      <c r="J199" s="1"/>
      <c r="K199" s="1" t="str">
        <f>IFERROR(__xludf.DUMMYFUNCTION("""COMPUTED_VALUE"""),"528")</f>
        <v>528</v>
      </c>
      <c r="L199" s="1" t="str">
        <f>IFERROR(__xludf.DUMMYFUNCTION("""COMPUTED_VALUE"""),"LOPEZ")</f>
        <v>LOPEZ</v>
      </c>
      <c r="M199" s="1"/>
      <c r="N199" s="1" t="str">
        <f>IFERROR(__xludf.DUMMYFUNCTION("""COMPUTED_VALUE"""),"BARANGAY 30 (BID-BID)")</f>
        <v>BARANGAY 30 (BID-BID)</v>
      </c>
      <c r="O199" s="1" t="str">
        <f>IFERROR(__xludf.DUMMYFUNCTION("""COMPUTED_VALUE"""),"CAVITE CITY")</f>
        <v>CAVITE CITY</v>
      </c>
      <c r="P199" s="1" t="str">
        <f>IFERROR(__xludf.DUMMYFUNCTION("""COMPUTED_VALUE"""),"CAVITE")</f>
        <v>CAVITE</v>
      </c>
      <c r="Q199" s="1" t="str">
        <f>IFERROR(__xludf.DUMMYFUNCTION("""COMPUTED_VALUE"""),"FIBR PLAN 1399")</f>
        <v>FIBR PLAN 1399</v>
      </c>
      <c r="R199" s="1" t="str">
        <f>IFERROR(__xludf.DUMMYFUNCTION("""COMPUTED_VALUE"""),"APPROVED")</f>
        <v>APPROVED</v>
      </c>
      <c r="S199" s="1"/>
      <c r="T199" s="1"/>
      <c r="U199" s="1"/>
      <c r="V199" s="1"/>
      <c r="W199" s="1"/>
    </row>
    <row r="200" customHeight="1" spans="1:23">
      <c r="A200" s="3">
        <f>IFERROR(__xludf.DUMMYFUNCTION("""COMPUTED_VALUE"""),46043)</f>
        <v>46043</v>
      </c>
      <c r="B200" s="1" t="str">
        <f>IFERROR(__xludf.DUMMYFUNCTION("""COMPUTED_VALUE"""),"FRANCISCO , ROSELYN")</f>
        <v>FRANCISCO , ROSELYN</v>
      </c>
      <c r="C200" s="1" t="str">
        <f>IFERROR(__xludf.DUMMYFUNCTION("""COMPUTED_VALUE"""),"FLA")</f>
        <v>FLA</v>
      </c>
      <c r="D200" s="1" t="str">
        <f>IFERROR(__xludf.DUMMYFUNCTION("""COMPUTED_VALUE"""),"JERIC NAVARRO")</f>
        <v>JERIC NAVARRO</v>
      </c>
      <c r="E200" s="1" t="str">
        <f>IFERROR(__xludf.DUMMYFUNCTION("""COMPUTED_VALUE"""),"PLDT")</f>
        <v>PLDT</v>
      </c>
      <c r="F200" s="1">
        <f>IFERROR(__xludf.DUMMYFUNCTION("""COMPUTED_VALUE"""),2306409486)</f>
        <v>2306409486</v>
      </c>
      <c r="G200" s="1"/>
      <c r="H200" s="1" t="str">
        <f>IFERROR(__xludf.DUMMYFUNCTION("""COMPUTED_VALUE"""),"9151766170")</f>
        <v>9151766170</v>
      </c>
      <c r="I200" s="1">
        <f>IFERROR(__xludf.DUMMYFUNCTION("""COMPUTED_VALUE"""),9351259941)</f>
        <v>9351259941</v>
      </c>
      <c r="J200" s="1"/>
      <c r="K200" s="1" t="str">
        <f>IFERROR(__xludf.DUMMYFUNCTION("""COMPUTED_VALUE"""),"4110")</f>
        <v>4110</v>
      </c>
      <c r="L200" s="1" t="str">
        <f>IFERROR(__xludf.DUMMYFUNCTION("""COMPUTED_VALUE"""),"ARNALDO HIGHWAY")</f>
        <v>ARNALDO HIGHWAY</v>
      </c>
      <c r="M200" s="1"/>
      <c r="N200" s="1" t="str">
        <f>IFERROR(__xludf.DUMMYFUNCTION("""COMPUTED_VALUE"""),"PASONG CAMACHILE I")</f>
        <v>PASONG CAMACHILE I</v>
      </c>
      <c r="O200" s="1" t="str">
        <f>IFERROR(__xludf.DUMMYFUNCTION("""COMPUTED_VALUE"""),"GENERAL TRIAS")</f>
        <v>GENERAL TRIAS</v>
      </c>
      <c r="P200" s="1" t="str">
        <f>IFERROR(__xludf.DUMMYFUNCTION("""COMPUTED_VALUE"""),"CAVITE")</f>
        <v>CAVITE</v>
      </c>
      <c r="Q200" s="1" t="str">
        <f>IFERROR(__xludf.DUMMYFUNCTION("""COMPUTED_VALUE"""),"FIBR PLAN 999 W/ CIGNAL")</f>
        <v>FIBR PLAN 999 W/ CIGNAL</v>
      </c>
      <c r="R200" s="1" t="str">
        <f>IFERROR(__xludf.DUMMYFUNCTION("""COMPUTED_VALUE"""),"APPROVED")</f>
        <v>APPROVED</v>
      </c>
      <c r="S200" s="1"/>
      <c r="T200" s="1"/>
      <c r="U200" s="1"/>
      <c r="V200" s="1"/>
      <c r="W200" s="1"/>
    </row>
    <row r="201" customHeight="1" spans="1:23">
      <c r="A201" s="3">
        <f>IFERROR(__xludf.DUMMYFUNCTION("""COMPUTED_VALUE"""),46043)</f>
        <v>46043</v>
      </c>
      <c r="B201" s="1" t="str">
        <f>IFERROR(__xludf.DUMMYFUNCTION("""COMPUTED_VALUE"""),"ALOS, CHARLS LAURENZ")</f>
        <v>ALOS, CHARLS LAURENZ</v>
      </c>
      <c r="C201" s="1" t="str">
        <f>IFERROR(__xludf.DUMMYFUNCTION("""COMPUTED_VALUE"""),"ORGANIC")</f>
        <v>ORGANIC</v>
      </c>
      <c r="D201" s="1" t="str">
        <f>IFERROR(__xludf.DUMMYFUNCTION("""COMPUTED_VALUE"""),"ILANO MARK")</f>
        <v>ILANO MARK</v>
      </c>
      <c r="E201" s="1" t="str">
        <f>IFERROR(__xludf.DUMMYFUNCTION("""COMPUTED_VALUE"""),"PLDT")</f>
        <v>PLDT</v>
      </c>
      <c r="F201" s="1">
        <f>IFERROR(__xludf.DUMMYFUNCTION("""COMPUTED_VALUE"""),2306395154)</f>
        <v>2306395154</v>
      </c>
      <c r="G201" s="1"/>
      <c r="H201" s="1" t="str">
        <f>IFERROR(__xludf.DUMMYFUNCTION("""COMPUTED_VALUE"""),"9919424730")</f>
        <v>9919424730</v>
      </c>
      <c r="I201" s="1"/>
      <c r="J201" s="1"/>
      <c r="K201" s="1" t="str">
        <f>IFERROR(__xludf.DUMMYFUNCTION("""COMPUTED_VALUE"""),"116")</f>
        <v>116</v>
      </c>
      <c r="L201" s="1" t="str">
        <f>IFERROR(__xludf.DUMMYFUNCTION("""COMPUTED_VALUE"""),"RIZAL ST")</f>
        <v>RIZAL ST</v>
      </c>
      <c r="M201" s="1"/>
      <c r="N201" s="1" t="str">
        <f>IFERROR(__xludf.DUMMYFUNCTION("""COMPUTED_VALUE"""),"POBLACION III")</f>
        <v>POBLACION III</v>
      </c>
      <c r="O201" s="1" t="str">
        <f>IFERROR(__xludf.DUMMYFUNCTION("""COMPUTED_VALUE"""),"ALFONSO")</f>
        <v>ALFONSO</v>
      </c>
      <c r="P201" s="1" t="str">
        <f>IFERROR(__xludf.DUMMYFUNCTION("""COMPUTED_VALUE"""),"CAVITE")</f>
        <v>CAVITE</v>
      </c>
      <c r="Q201" s="1" t="str">
        <f>IFERROR(__xludf.DUMMYFUNCTION("""COMPUTED_VALUE"""),"FIBR PLAN 1399")</f>
        <v>FIBR PLAN 1399</v>
      </c>
      <c r="R201" s="1" t="str">
        <f>IFERROR(__xludf.DUMMYFUNCTION("""COMPUTED_VALUE"""),"APPROVED")</f>
        <v>APPROVED</v>
      </c>
      <c r="S201" s="1"/>
      <c r="T201" s="1"/>
      <c r="U201" s="1"/>
      <c r="V201" s="1"/>
      <c r="W201" s="1"/>
    </row>
    <row r="202" customHeight="1" spans="1:23">
      <c r="A202" s="3">
        <f>IFERROR(__xludf.DUMMYFUNCTION("""COMPUTED_VALUE"""),46043)</f>
        <v>46043</v>
      </c>
      <c r="B202" s="1" t="str">
        <f>IFERROR(__xludf.DUMMYFUNCTION("""COMPUTED_VALUE"""),"AYON MANUEL")</f>
        <v>AYON MANUEL</v>
      </c>
      <c r="C202" s="1" t="str">
        <f>IFERROR(__xludf.DUMMYFUNCTION("""COMPUTED_VALUE"""),"FLA")</f>
        <v>FLA</v>
      </c>
      <c r="D202" s="1" t="str">
        <f>IFERROR(__xludf.DUMMYFUNCTION("""COMPUTED_VALUE"""),"JERIC NAVARRO")</f>
        <v>JERIC NAVARRO</v>
      </c>
      <c r="E202" s="1" t="str">
        <f>IFERROR(__xludf.DUMMYFUNCTION("""COMPUTED_VALUE"""),"PLDT")</f>
        <v>PLDT</v>
      </c>
      <c r="F202" s="1">
        <f>IFERROR(__xludf.DUMMYFUNCTION("""COMPUTED_VALUE"""),2306396147)</f>
        <v>2306396147</v>
      </c>
      <c r="G202" s="1"/>
      <c r="H202" s="1" t="str">
        <f>IFERROR(__xludf.DUMMYFUNCTION("""COMPUTED_VALUE"""),"9566249014")</f>
        <v>9566249014</v>
      </c>
      <c r="I202" s="1">
        <f>IFERROR(__xludf.DUMMYFUNCTION("""COMPUTED_VALUE"""),9176470332)</f>
        <v>9176470332</v>
      </c>
      <c r="J202" s="1"/>
      <c r="K202" s="1" t="str">
        <f>IFERROR(__xludf.DUMMYFUNCTION("""COMPUTED_VALUE"""),"271")</f>
        <v>271</v>
      </c>
      <c r="L202" s="1" t="str">
        <f>IFERROR(__xludf.DUMMYFUNCTION("""COMPUTED_VALUE"""),"J.GUIRARAY EXTENTION")</f>
        <v>J.GUIRARAY EXTENTION</v>
      </c>
      <c r="M202" s="1"/>
      <c r="N202" s="1" t="str">
        <f>IFERROR(__xludf.DUMMYFUNCTION("""COMPUTED_VALUE"""),"BARANGAY 12 (LOVE BIRD)")</f>
        <v>BARANGAY 12 (LOVE BIRD)</v>
      </c>
      <c r="O202" s="1" t="str">
        <f>IFERROR(__xludf.DUMMYFUNCTION("""COMPUTED_VALUE"""),"AMADEO")</f>
        <v>AMADEO</v>
      </c>
      <c r="P202" s="1" t="str">
        <f>IFERROR(__xludf.DUMMYFUNCTION("""COMPUTED_VALUE"""),"CAVITE")</f>
        <v>CAVITE</v>
      </c>
      <c r="Q202" s="1" t="str">
        <f>IFERROR(__xludf.DUMMYFUNCTION("""COMPUTED_VALUE"""),"FIBR PLAN 1599")</f>
        <v>FIBR PLAN 1599</v>
      </c>
      <c r="R202" s="1" t="str">
        <f>IFERROR(__xludf.DUMMYFUNCTION("""COMPUTED_VALUE"""),"APPROVED")</f>
        <v>APPROVED</v>
      </c>
      <c r="S202" s="1"/>
      <c r="T202" s="1"/>
      <c r="U202" s="1"/>
      <c r="V202" s="1"/>
      <c r="W202" s="1"/>
    </row>
    <row r="203" customHeight="1" spans="1:23">
      <c r="A203" s="3">
        <f>IFERROR(__xludf.DUMMYFUNCTION("""COMPUTED_VALUE"""),46043)</f>
        <v>46043</v>
      </c>
      <c r="B203" s="1" t="str">
        <f>IFERROR(__xludf.DUMMYFUNCTION("""COMPUTED_VALUE"""),"LANZA, ANNALYN")</f>
        <v>LANZA, ANNALYN</v>
      </c>
      <c r="C203" s="1" t="str">
        <f>IFERROR(__xludf.DUMMYFUNCTION("""COMPUTED_VALUE"""),"FLA")</f>
        <v>FLA</v>
      </c>
      <c r="D203" s="1" t="str">
        <f>IFERROR(__xludf.DUMMYFUNCTION("""COMPUTED_VALUE"""),"JERIC NAVARRO")</f>
        <v>JERIC NAVARRO</v>
      </c>
      <c r="E203" s="1" t="str">
        <f>IFERROR(__xludf.DUMMYFUNCTION("""COMPUTED_VALUE"""),"PLDT")</f>
        <v>PLDT</v>
      </c>
      <c r="F203" s="1">
        <f>IFERROR(__xludf.DUMMYFUNCTION("""COMPUTED_VALUE"""),2306397243)</f>
        <v>2306397243</v>
      </c>
      <c r="G203" s="1"/>
      <c r="H203" s="1" t="str">
        <f>IFERROR(__xludf.DUMMYFUNCTION("""COMPUTED_VALUE"""),"9189352830")</f>
        <v>9189352830</v>
      </c>
      <c r="I203" s="1"/>
      <c r="J203" s="1"/>
      <c r="K203" s="1" t="str">
        <f>IFERROR(__xludf.DUMMYFUNCTION("""COMPUTED_VALUE"""),"410")</f>
        <v>410</v>
      </c>
      <c r="L203" s="1" t="str">
        <f>IFERROR(__xludf.DUMMYFUNCTION("""COMPUTED_VALUE"""),"DUMPSITE RD")</f>
        <v>DUMPSITE RD</v>
      </c>
      <c r="M203" s="1"/>
      <c r="N203" s="1" t="str">
        <f>IFERROR(__xludf.DUMMYFUNCTION("""COMPUTED_VALUE"""),"MARAHAN I")</f>
        <v>MARAHAN I</v>
      </c>
      <c r="O203" s="1" t="str">
        <f>IFERROR(__xludf.DUMMYFUNCTION("""COMPUTED_VALUE"""),"ALFONSO")</f>
        <v>ALFONSO</v>
      </c>
      <c r="P203" s="1" t="str">
        <f>IFERROR(__xludf.DUMMYFUNCTION("""COMPUTED_VALUE"""),"CAVITE")</f>
        <v>CAVITE</v>
      </c>
      <c r="Q203" s="1" t="str">
        <f>IFERROR(__xludf.DUMMYFUNCTION("""COMPUTED_VALUE"""),"PREPAID 999")</f>
        <v>PREPAID 999</v>
      </c>
      <c r="R203" s="1" t="str">
        <f>IFERROR(__xludf.DUMMYFUNCTION("""COMPUTED_VALUE"""),"APPROVED")</f>
        <v>APPROVED</v>
      </c>
      <c r="S203" s="1"/>
      <c r="T203" s="1"/>
      <c r="U203" s="1"/>
      <c r="V203" s="1"/>
      <c r="W203" s="1"/>
    </row>
    <row r="204" customHeight="1" spans="1:23">
      <c r="A204" s="3">
        <f>IFERROR(__xludf.DUMMYFUNCTION("""COMPUTED_VALUE"""),46043)</f>
        <v>46043</v>
      </c>
      <c r="B204" s="1" t="str">
        <f>IFERROR(__xludf.DUMMYFUNCTION("""COMPUTED_VALUE"""),"ALOS, CHARLS LAURENZ")</f>
        <v>ALOS, CHARLS LAURENZ</v>
      </c>
      <c r="C204" s="1" t="str">
        <f>IFERROR(__xludf.DUMMYFUNCTION("""COMPUTED_VALUE"""),"ORGANIC")</f>
        <v>ORGANIC</v>
      </c>
      <c r="D204" s="1" t="str">
        <f>IFERROR(__xludf.DUMMYFUNCTION("""COMPUTED_VALUE"""),"ILANO MARK")</f>
        <v>ILANO MARK</v>
      </c>
      <c r="E204" s="1" t="str">
        <f>IFERROR(__xludf.DUMMYFUNCTION("""COMPUTED_VALUE"""),"PLDT")</f>
        <v>PLDT</v>
      </c>
      <c r="F204" s="1">
        <f>IFERROR(__xludf.DUMMYFUNCTION("""COMPUTED_VALUE"""),2306403400)</f>
        <v>2306403400</v>
      </c>
      <c r="G204" s="1"/>
      <c r="H204" s="1" t="str">
        <f>IFERROR(__xludf.DUMMYFUNCTION("""COMPUTED_VALUE"""),"9704505477")</f>
        <v>9704505477</v>
      </c>
      <c r="I204" s="1">
        <f>IFERROR(__xludf.DUMMYFUNCTION("""COMPUTED_VALUE"""),9474790414)</f>
        <v>9474790414</v>
      </c>
      <c r="J204" s="1"/>
      <c r="K204" s="1" t="str">
        <f>IFERROR(__xludf.DUMMYFUNCTION("""COMPUTED_VALUE"""),"106")</f>
        <v>106</v>
      </c>
      <c r="L204" s="1" t="str">
        <f>IFERROR(__xludf.DUMMYFUNCTION("""COMPUTED_VALUE"""),"M SALUD RD ")</f>
        <v>M SALUD RD </v>
      </c>
      <c r="M204" s="1"/>
      <c r="N204" s="1" t="str">
        <f>IFERROR(__xludf.DUMMYFUNCTION("""COMPUTED_VALUE"""),"SAN ANTONIO I")</f>
        <v>SAN ANTONIO I</v>
      </c>
      <c r="O204" s="1" t="str">
        <f>IFERROR(__xludf.DUMMYFUNCTION("""COMPUTED_VALUE"""),"NOVELETA")</f>
        <v>NOVELETA</v>
      </c>
      <c r="P204" s="1" t="str">
        <f>IFERROR(__xludf.DUMMYFUNCTION("""COMPUTED_VALUE"""),"CAVITE")</f>
        <v>CAVITE</v>
      </c>
      <c r="Q204" s="1" t="str">
        <f>IFERROR(__xludf.DUMMYFUNCTION("""COMPUTED_VALUE"""),"FIBR PLAN 1399")</f>
        <v>FIBR PLAN 1399</v>
      </c>
      <c r="R204" s="1" t="str">
        <f>IFERROR(__xludf.DUMMYFUNCTION("""COMPUTED_VALUE"""),"APPROVED")</f>
        <v>APPROVED</v>
      </c>
      <c r="S204" s="1"/>
      <c r="T204" s="1"/>
      <c r="U204" s="1"/>
      <c r="V204" s="1"/>
      <c r="W204" s="1"/>
    </row>
    <row r="205" customHeight="1" spans="1:23">
      <c r="A205" s="3">
        <f>IFERROR(__xludf.DUMMYFUNCTION("""COMPUTED_VALUE"""),46043)</f>
        <v>46043</v>
      </c>
      <c r="B205" s="1" t="str">
        <f>IFERROR(__xludf.DUMMYFUNCTION("""COMPUTED_VALUE"""),"DE LEON, MERLY")</f>
        <v>DE LEON, MERLY</v>
      </c>
      <c r="C205" s="1" t="str">
        <f>IFERROR(__xludf.DUMMYFUNCTION("""COMPUTED_VALUE"""),"ORGANIC")</f>
        <v>ORGANIC</v>
      </c>
      <c r="D205" s="1" t="str">
        <f>IFERROR(__xludf.DUMMYFUNCTION("""COMPUTED_VALUE"""),"ILANO MARK")</f>
        <v>ILANO MARK</v>
      </c>
      <c r="E205" s="1" t="str">
        <f>IFERROR(__xludf.DUMMYFUNCTION("""COMPUTED_VALUE"""),"RED FIBER")</f>
        <v>RED FIBER</v>
      </c>
      <c r="F205" s="1"/>
      <c r="G205" s="1"/>
      <c r="H205" s="1" t="str">
        <f>IFERROR(__xludf.DUMMYFUNCTION("""COMPUTED_VALUE"""),"9655306402")</f>
        <v>9655306402</v>
      </c>
      <c r="I205" s="1">
        <f>IFERROR(__xludf.DUMMYFUNCTION("""COMPUTED_VALUE"""),9855643603)</f>
        <v>9855643603</v>
      </c>
      <c r="J205" s="1"/>
      <c r="K205" s="1" t="str">
        <f>IFERROR(__xludf.DUMMYFUNCTION("""COMPUTED_VALUE"""),"108")</f>
        <v>108</v>
      </c>
      <c r="L205" s="1" t="str">
        <f>IFERROR(__xludf.DUMMYFUNCTION("""COMPUTED_VALUE"""),"ZAMORA ST")</f>
        <v>ZAMORA ST</v>
      </c>
      <c r="M205" s="1"/>
      <c r="N205" s="1" t="str">
        <f>IFERROR(__xludf.DUMMYFUNCTION("""COMPUTED_VALUE"""),"ASIS I")</f>
        <v>ASIS I</v>
      </c>
      <c r="O205" s="1" t="str">
        <f>IFERROR(__xludf.DUMMYFUNCTION("""COMPUTED_VALUE"""),"MENDEZ")</f>
        <v>MENDEZ</v>
      </c>
      <c r="P205" s="1" t="str">
        <f>IFERROR(__xludf.DUMMYFUNCTION("""COMPUTED_VALUE"""),"CAVITE")</f>
        <v>CAVITE</v>
      </c>
      <c r="Q205" s="1" t="str">
        <f>IFERROR(__xludf.DUMMYFUNCTION("""COMPUTED_VALUE"""),"RED FIBER PLAN 1000")</f>
        <v>RED FIBER PLAN 1000</v>
      </c>
      <c r="R205" s="1" t="str">
        <f>IFERROR(__xludf.DUMMYFUNCTION("""COMPUTED_VALUE"""),"APPROVED")</f>
        <v>APPROVED</v>
      </c>
      <c r="S205" s="1"/>
      <c r="T205" s="1"/>
      <c r="U205" s="1"/>
      <c r="V205" s="1"/>
      <c r="W205" s="1"/>
    </row>
    <row r="206" customHeight="1" spans="1:23">
      <c r="A206" s="3">
        <f>IFERROR(__xludf.DUMMYFUNCTION("""COMPUTED_VALUE"""),46043)</f>
        <v>46043</v>
      </c>
      <c r="B206" s="1" t="str">
        <f>IFERROR(__xludf.DUMMYFUNCTION("""COMPUTED_VALUE"""),"AYON MANUEL")</f>
        <v>AYON MANUEL</v>
      </c>
      <c r="C206" s="1" t="str">
        <f>IFERROR(__xludf.DUMMYFUNCTION("""COMPUTED_VALUE"""),"FLA")</f>
        <v>FLA</v>
      </c>
      <c r="D206" s="1" t="str">
        <f>IFERROR(__xludf.DUMMYFUNCTION("""COMPUTED_VALUE"""),"JERIC NAVARRO")</f>
        <v>JERIC NAVARRO</v>
      </c>
      <c r="E206" s="1" t="str">
        <f>IFERROR(__xludf.DUMMYFUNCTION("""COMPUTED_VALUE"""),"PLDT")</f>
        <v>PLDT</v>
      </c>
      <c r="F206" s="1">
        <f>IFERROR(__xludf.DUMMYFUNCTION("""COMPUTED_VALUE"""),2306407123)</f>
        <v>2306407123</v>
      </c>
      <c r="G206" s="1"/>
      <c r="H206" s="1" t="str">
        <f>IFERROR(__xludf.DUMMYFUNCTION("""COMPUTED_VALUE"""),"9279201246")</f>
        <v>9279201246</v>
      </c>
      <c r="I206" s="1">
        <f>IFERROR(__xludf.DUMMYFUNCTION("""COMPUTED_VALUE"""),9165934895)</f>
        <v>9165934895</v>
      </c>
      <c r="J206" s="1"/>
      <c r="K206" s="1" t="str">
        <f>IFERROR(__xludf.DUMMYFUNCTION("""COMPUTED_VALUE"""),"8041")</f>
        <v>8041</v>
      </c>
      <c r="L206" s="1" t="str">
        <f>IFERROR(__xludf.DUMMYFUNCTION("""COMPUTED_VALUE"""),"CM DELOS REYES")</f>
        <v>CM DELOS REYES</v>
      </c>
      <c r="M206" s="1"/>
      <c r="N206" s="1" t="str">
        <f>IFERROR(__xludf.DUMMYFUNCTION("""COMPUTED_VALUE"""),"BANAYBANAY")</f>
        <v>BANAYBANAY</v>
      </c>
      <c r="O206" s="1" t="str">
        <f>IFERROR(__xludf.DUMMYFUNCTION("""COMPUTED_VALUE"""),"AMADEO")</f>
        <v>AMADEO</v>
      </c>
      <c r="P206" s="1" t="str">
        <f>IFERROR(__xludf.DUMMYFUNCTION("""COMPUTED_VALUE"""),"CAVITE")</f>
        <v>CAVITE</v>
      </c>
      <c r="Q206" s="1" t="str">
        <f>IFERROR(__xludf.DUMMYFUNCTION("""COMPUTED_VALUE"""),"FIBR PLAN 1699")</f>
        <v>FIBR PLAN 1699</v>
      </c>
      <c r="R206" s="1" t="str">
        <f>IFERROR(__xludf.DUMMYFUNCTION("""COMPUTED_VALUE"""),"APPROVED")</f>
        <v>APPROVED</v>
      </c>
      <c r="S206" s="1"/>
      <c r="T206" s="1"/>
      <c r="U206" s="1"/>
      <c r="V206" s="1"/>
      <c r="W206" s="1"/>
    </row>
    <row r="207" customHeight="1" spans="1:23">
      <c r="A207" s="3">
        <f>IFERROR(__xludf.DUMMYFUNCTION("""COMPUTED_VALUE"""),46043)</f>
        <v>46043</v>
      </c>
      <c r="B207" s="1" t="str">
        <f>IFERROR(__xludf.DUMMYFUNCTION("""COMPUTED_VALUE"""),"ILANO, MARK")</f>
        <v>ILANO, MARK</v>
      </c>
      <c r="C207" s="1" t="str">
        <f>IFERROR(__xludf.DUMMYFUNCTION("""COMPUTED_VALUE"""),"FLA")</f>
        <v>FLA</v>
      </c>
      <c r="D207" s="1" t="str">
        <f>IFERROR(__xludf.DUMMYFUNCTION("""COMPUTED_VALUE"""),"JERIC NAVARRO")</f>
        <v>JERIC NAVARRO</v>
      </c>
      <c r="E207" s="1" t="str">
        <f>IFERROR(__xludf.DUMMYFUNCTION("""COMPUTED_VALUE"""),"PLDT")</f>
        <v>PLDT</v>
      </c>
      <c r="F207" s="1">
        <f>IFERROR(__xludf.DUMMYFUNCTION("""COMPUTED_VALUE"""),2306405811)</f>
        <v>2306405811</v>
      </c>
      <c r="G207" s="1"/>
      <c r="H207" s="1" t="str">
        <f>IFERROR(__xludf.DUMMYFUNCTION("""COMPUTED_VALUE"""),"9284269988")</f>
        <v>9284269988</v>
      </c>
      <c r="I207" s="1">
        <f>IFERROR(__xludf.DUMMYFUNCTION("""COMPUTED_VALUE"""),9914815292)</f>
        <v>9914815292</v>
      </c>
      <c r="J207" s="1"/>
      <c r="K207" s="1" t="str">
        <f>IFERROR(__xludf.DUMMYFUNCTION("""COMPUTED_VALUE"""),"BLK 40 LOT 5")</f>
        <v>BLK 40 LOT 5</v>
      </c>
      <c r="L207" s="1" t="str">
        <f>IFERROR(__xludf.DUMMYFUNCTION("""COMPUTED_VALUE"""),"GUMAMELA ST")</f>
        <v>GUMAMELA ST</v>
      </c>
      <c r="M207" s="1"/>
      <c r="N207" s="1" t="str">
        <f>IFERROR(__xludf.DUMMYFUNCTION("""COMPUTED_VALUE"""),"DATU ESMAEL (BAGO-A-INGUD)")</f>
        <v>DATU ESMAEL (BAGO-A-INGUD)</v>
      </c>
      <c r="O207" s="1" t="str">
        <f>IFERROR(__xludf.DUMMYFUNCTION("""COMPUTED_VALUE"""),"DASMARINAS")</f>
        <v>DASMARINAS</v>
      </c>
      <c r="P207" s="1" t="str">
        <f>IFERROR(__xludf.DUMMYFUNCTION("""COMPUTED_VALUE"""),"CAVITE")</f>
        <v>CAVITE</v>
      </c>
      <c r="Q207" s="1" t="str">
        <f>IFERROR(__xludf.DUMMYFUNCTION("""COMPUTED_VALUE"""),"FIBR PLAN 1399")</f>
        <v>FIBR PLAN 1399</v>
      </c>
      <c r="R207" s="1" t="str">
        <f>IFERROR(__xludf.DUMMYFUNCTION("""COMPUTED_VALUE"""),"APPROVED")</f>
        <v>APPROVED</v>
      </c>
      <c r="S207" s="1"/>
      <c r="T207" s="1"/>
      <c r="U207" s="1"/>
      <c r="V207" s="1"/>
      <c r="W207" s="1"/>
    </row>
    <row r="208" customHeight="1" spans="1:23">
      <c r="A208" s="3">
        <f>IFERROR(__xludf.DUMMYFUNCTION("""COMPUTED_VALUE"""),46043)</f>
        <v>46043</v>
      </c>
      <c r="B208" s="1" t="str">
        <f>IFERROR(__xludf.DUMMYFUNCTION("""COMPUTED_VALUE"""),"MAGDARAOG, KENNETH")</f>
        <v>MAGDARAOG, KENNETH</v>
      </c>
      <c r="C208" s="1" t="str">
        <f>IFERROR(__xludf.DUMMYFUNCTION("""COMPUTED_VALUE"""),"ORGANIC")</f>
        <v>ORGANIC</v>
      </c>
      <c r="D208" s="1" t="str">
        <f>IFERROR(__xludf.DUMMYFUNCTION("""COMPUTED_VALUE"""),"ILANO MARK")</f>
        <v>ILANO MARK</v>
      </c>
      <c r="E208" s="1" t="str">
        <f>IFERROR(__xludf.DUMMYFUNCTION("""COMPUTED_VALUE"""),"RED FIBER")</f>
        <v>RED FIBER</v>
      </c>
      <c r="F208" s="1"/>
      <c r="G208" s="1"/>
      <c r="H208" s="1" t="str">
        <f>IFERROR(__xludf.DUMMYFUNCTION("""COMPUTED_VALUE"""),"9068057995")</f>
        <v>9068057995</v>
      </c>
      <c r="I208" s="1">
        <f>IFERROR(__xludf.DUMMYFUNCTION("""COMPUTED_VALUE"""),9944686481)</f>
        <v>9944686481</v>
      </c>
      <c r="J208" s="1"/>
      <c r="K208" s="1" t="str">
        <f>IFERROR(__xludf.DUMMYFUNCTION("""COMPUTED_VALUE"""),"130")</f>
        <v>130</v>
      </c>
      <c r="L208" s="1" t="str">
        <f>IFERROR(__xludf.DUMMYFUNCTION("""COMPUTED_VALUE"""),"PULONG PANDAY")</f>
        <v>PULONG PANDAY</v>
      </c>
      <c r="M208" s="1"/>
      <c r="N208" s="1" t="str">
        <f>IFERROR(__xludf.DUMMYFUNCTION("""COMPUTED_VALUE"""),"PANUNGYAN I")</f>
        <v>PANUNGYAN I</v>
      </c>
      <c r="O208" s="1" t="str">
        <f>IFERROR(__xludf.DUMMYFUNCTION("""COMPUTED_VALUE"""),"MENDEZ")</f>
        <v>MENDEZ</v>
      </c>
      <c r="P208" s="1" t="str">
        <f>IFERROR(__xludf.DUMMYFUNCTION("""COMPUTED_VALUE"""),"CAVITE")</f>
        <v>CAVITE</v>
      </c>
      <c r="Q208" s="1" t="str">
        <f>IFERROR(__xludf.DUMMYFUNCTION("""COMPUTED_VALUE"""),"RED FIBER PLAN 1400")</f>
        <v>RED FIBER PLAN 1400</v>
      </c>
      <c r="R208" s="1" t="str">
        <f>IFERROR(__xludf.DUMMYFUNCTION("""COMPUTED_VALUE"""),"APPROVED")</f>
        <v>APPROVED</v>
      </c>
      <c r="S208" s="1"/>
      <c r="T208" s="1"/>
      <c r="U208" s="1"/>
      <c r="V208" s="1"/>
      <c r="W208" s="1"/>
    </row>
    <row r="209" customHeight="1" spans="1:23">
      <c r="A209" s="3">
        <f>IFERROR(__xludf.DUMMYFUNCTION("""COMPUTED_VALUE"""),46043)</f>
        <v>46043</v>
      </c>
      <c r="B209" s="1" t="str">
        <f>IFERROR(__xludf.DUMMYFUNCTION("""COMPUTED_VALUE"""),"DACALCAP RUBEN")</f>
        <v>DACALCAP RUBEN</v>
      </c>
      <c r="C209" s="1" t="str">
        <f>IFERROR(__xludf.DUMMYFUNCTION("""COMPUTED_VALUE"""),"FLA")</f>
        <v>FLA</v>
      </c>
      <c r="D209" s="1" t="str">
        <f>IFERROR(__xludf.DUMMYFUNCTION("""COMPUTED_VALUE"""),"JERIC NAVARRO")</f>
        <v>JERIC NAVARRO</v>
      </c>
      <c r="E209" s="1" t="str">
        <f>IFERROR(__xludf.DUMMYFUNCTION("""COMPUTED_VALUE"""),"PLDT")</f>
        <v>PLDT</v>
      </c>
      <c r="F209" s="1">
        <f>IFERROR(__xludf.DUMMYFUNCTION("""COMPUTED_VALUE"""),2306407516)</f>
        <v>2306407516</v>
      </c>
      <c r="G209" s="1"/>
      <c r="H209" s="1" t="str">
        <f>IFERROR(__xludf.DUMMYFUNCTION("""COMPUTED_VALUE"""),"9451144960")</f>
        <v>9451144960</v>
      </c>
      <c r="I209" s="1">
        <f>IFERROR(__xludf.DUMMYFUNCTION("""COMPUTED_VALUE"""),9473669002)</f>
        <v>9473669002</v>
      </c>
      <c r="J209" s="1"/>
      <c r="K209" s="1" t="str">
        <f>IFERROR(__xludf.DUMMYFUNCTION("""COMPUTED_VALUE"""),"9925")</f>
        <v>9925</v>
      </c>
      <c r="L209" s="1" t="str">
        <f>IFERROR(__xludf.DUMMYFUNCTION("""COMPUTED_VALUE"""),"SITIO ILAYA")</f>
        <v>SITIO ILAYA</v>
      </c>
      <c r="M209" s="1"/>
      <c r="N209" s="1" t="str">
        <f>IFERROR(__xludf.DUMMYFUNCTION("""COMPUTED_VALUE"""),"TIBIG")</f>
        <v>TIBIG</v>
      </c>
      <c r="O209" s="1" t="str">
        <f>IFERROR(__xludf.DUMMYFUNCTION("""COMPUTED_VALUE"""),"SILANG")</f>
        <v>SILANG</v>
      </c>
      <c r="P209" s="1" t="str">
        <f>IFERROR(__xludf.DUMMYFUNCTION("""COMPUTED_VALUE"""),"CAVITE")</f>
        <v>CAVITE</v>
      </c>
      <c r="Q209" s="1" t="str">
        <f>IFERROR(__xludf.DUMMYFUNCTION("""COMPUTED_VALUE"""),"FIBR PLAN 1399")</f>
        <v>FIBR PLAN 1399</v>
      </c>
      <c r="R209" s="1" t="str">
        <f>IFERROR(__xludf.DUMMYFUNCTION("""COMPUTED_VALUE"""),"APPROVED")</f>
        <v>APPROVED</v>
      </c>
      <c r="S209" s="1"/>
      <c r="T209" s="1"/>
      <c r="U209" s="1"/>
      <c r="V209" s="1"/>
      <c r="W209" s="1"/>
    </row>
    <row r="210" customHeight="1" spans="1:23">
      <c r="A210" s="3">
        <f>IFERROR(__xludf.DUMMYFUNCTION("""COMPUTED_VALUE"""),46043)</f>
        <v>46043</v>
      </c>
      <c r="B210" s="1" t="str">
        <f>IFERROR(__xludf.DUMMYFUNCTION("""COMPUTED_VALUE"""),"NAVARRO, JERIC")</f>
        <v>NAVARRO, JERIC</v>
      </c>
      <c r="C210" s="1" t="str">
        <f>IFERROR(__xludf.DUMMYFUNCTION("""COMPUTED_VALUE"""),"FLA")</f>
        <v>FLA</v>
      </c>
      <c r="D210" s="1" t="str">
        <f>IFERROR(__xludf.DUMMYFUNCTION("""COMPUTED_VALUE"""),"JERIC NAVARRO")</f>
        <v>JERIC NAVARRO</v>
      </c>
      <c r="E210" s="1" t="str">
        <f>IFERROR(__xludf.DUMMYFUNCTION("""COMPUTED_VALUE"""),"PLDT")</f>
        <v>PLDT</v>
      </c>
      <c r="F210" s="1">
        <f>IFERROR(__xludf.DUMMYFUNCTION("""COMPUTED_VALUE"""),2306408245)</f>
        <v>2306408245</v>
      </c>
      <c r="G210" s="1"/>
      <c r="H210" s="1" t="str">
        <f>IFERROR(__xludf.DUMMYFUNCTION("""COMPUTED_VALUE"""),"9772693141")</f>
        <v>9772693141</v>
      </c>
      <c r="I210" s="1">
        <f>IFERROR(__xludf.DUMMYFUNCTION("""COMPUTED_VALUE"""),9953566840)</f>
        <v>9953566840</v>
      </c>
      <c r="J210" s="1"/>
      <c r="K210" s="1" t="str">
        <f>IFERROR(__xludf.DUMMYFUNCTION("""COMPUTED_VALUE"""),"LOT 14093 D3")</f>
        <v>LOT 14093 D3</v>
      </c>
      <c r="L210" s="1" t="str">
        <f>IFERROR(__xludf.DUMMYFUNCTION("""COMPUTED_VALUE"""),"TOLEDO ST")</f>
        <v>TOLEDO ST</v>
      </c>
      <c r="M210" s="1"/>
      <c r="N210" s="1" t="str">
        <f>IFERROR(__xludf.DUMMYFUNCTION("""COMPUTED_VALUE"""),"BUCAL")</f>
        <v>BUCAL</v>
      </c>
      <c r="O210" s="1" t="str">
        <f>IFERROR(__xludf.DUMMYFUNCTION("""COMPUTED_VALUE"""),"SILANG")</f>
        <v>SILANG</v>
      </c>
      <c r="P210" s="1" t="str">
        <f>IFERROR(__xludf.DUMMYFUNCTION("""COMPUTED_VALUE"""),"CAVITE")</f>
        <v>CAVITE</v>
      </c>
      <c r="Q210" s="1" t="str">
        <f>IFERROR(__xludf.DUMMYFUNCTION("""COMPUTED_VALUE"""),"FIBR PLAN 1699")</f>
        <v>FIBR PLAN 1699</v>
      </c>
      <c r="R210" s="1" t="str">
        <f>IFERROR(__xludf.DUMMYFUNCTION("""COMPUTED_VALUE"""),"APPROVED")</f>
        <v>APPROVED</v>
      </c>
      <c r="S210" s="1"/>
      <c r="T210" s="1"/>
      <c r="U210" s="1"/>
      <c r="V210" s="1"/>
      <c r="W210" s="1"/>
    </row>
    <row r="211" customHeight="1" spans="1:23">
      <c r="A211" s="3">
        <f>IFERROR(__xludf.DUMMYFUNCTION("""COMPUTED_VALUE"""),46043)</f>
        <v>46043</v>
      </c>
      <c r="B211" s="1" t="str">
        <f>IFERROR(__xludf.DUMMYFUNCTION("""COMPUTED_VALUE"""),"DE VERA, MARIVIC")</f>
        <v>DE VERA, MARIVIC</v>
      </c>
      <c r="C211" s="1" t="str">
        <f>IFERROR(__xludf.DUMMYFUNCTION("""COMPUTED_VALUE"""),"ORGANIC")</f>
        <v>ORGANIC</v>
      </c>
      <c r="D211" s="1" t="str">
        <f>IFERROR(__xludf.DUMMYFUNCTION("""COMPUTED_VALUE"""),"ILANO MARK")</f>
        <v>ILANO MARK</v>
      </c>
      <c r="E211" s="1" t="str">
        <f>IFERROR(__xludf.DUMMYFUNCTION("""COMPUTED_VALUE"""),"RED FIBER")</f>
        <v>RED FIBER</v>
      </c>
      <c r="F211" s="1"/>
      <c r="G211" s="1"/>
      <c r="H211" s="1" t="str">
        <f>IFERROR(__xludf.DUMMYFUNCTION("""COMPUTED_VALUE"""),"9504921124")</f>
        <v>9504921124</v>
      </c>
      <c r="I211" s="1"/>
      <c r="J211" s="1"/>
      <c r="K211" s="1" t="str">
        <f>IFERROR(__xludf.DUMMYFUNCTION("""COMPUTED_VALUE"""),"12")</f>
        <v>12</v>
      </c>
      <c r="L211" s="1" t="str">
        <f>IFERROR(__xludf.DUMMYFUNCTION("""COMPUTED_VALUE"""),"PULONG PANDAY")</f>
        <v>PULONG PANDAY</v>
      </c>
      <c r="M211" s="1"/>
      <c r="N211" s="1" t="str">
        <f>IFERROR(__xludf.DUMMYFUNCTION("""COMPUTED_VALUE"""),"PANUNGYAN I")</f>
        <v>PANUNGYAN I</v>
      </c>
      <c r="O211" s="1" t="str">
        <f>IFERROR(__xludf.DUMMYFUNCTION("""COMPUTED_VALUE"""),"MENDEZ")</f>
        <v>MENDEZ</v>
      </c>
      <c r="P211" s="1" t="str">
        <f>IFERROR(__xludf.DUMMYFUNCTION("""COMPUTED_VALUE"""),"CAVITE")</f>
        <v>CAVITE</v>
      </c>
      <c r="Q211" s="1" t="str">
        <f>IFERROR(__xludf.DUMMYFUNCTION("""COMPUTED_VALUE"""),"RED FIBER PLAN 1400")</f>
        <v>RED FIBER PLAN 1400</v>
      </c>
      <c r="R211" s="1" t="str">
        <f>IFERROR(__xludf.DUMMYFUNCTION("""COMPUTED_VALUE"""),"APPROVED")</f>
        <v>APPROVED</v>
      </c>
      <c r="S211" s="1"/>
      <c r="T211" s="1"/>
      <c r="U211" s="1"/>
      <c r="V211" s="1"/>
      <c r="W211" s="1"/>
    </row>
    <row r="212" customHeight="1" spans="1:23">
      <c r="A212" s="3">
        <f>IFERROR(__xludf.DUMMYFUNCTION("""COMPUTED_VALUE"""),46043)</f>
        <v>46043</v>
      </c>
      <c r="B212" s="1" t="str">
        <f>IFERROR(__xludf.DUMMYFUNCTION("""COMPUTED_VALUE"""),"ALOS, CHARLS LAURENZ")</f>
        <v>ALOS, CHARLS LAURENZ</v>
      </c>
      <c r="C212" s="1" t="str">
        <f>IFERROR(__xludf.DUMMYFUNCTION("""COMPUTED_VALUE"""),"ORGANIC")</f>
        <v>ORGANIC</v>
      </c>
      <c r="D212" s="1" t="str">
        <f>IFERROR(__xludf.DUMMYFUNCTION("""COMPUTED_VALUE"""),"ILANO MARK")</f>
        <v>ILANO MARK</v>
      </c>
      <c r="E212" s="1" t="str">
        <f>IFERROR(__xludf.DUMMYFUNCTION("""COMPUTED_VALUE"""),"PLDT")</f>
        <v>PLDT</v>
      </c>
      <c r="F212" s="1"/>
      <c r="G212" s="1"/>
      <c r="H212" s="1" t="str">
        <f>IFERROR(__xludf.DUMMYFUNCTION("""COMPUTED_VALUE"""),"9772973745")</f>
        <v>9772973745</v>
      </c>
      <c r="I212" s="1"/>
      <c r="J212" s="1"/>
      <c r="K212" s="1" t="str">
        <f>IFERROR(__xludf.DUMMYFUNCTION("""COMPUTED_VALUE"""),"127")</f>
        <v>127</v>
      </c>
      <c r="L212" s="1" t="str">
        <f>IFERROR(__xludf.DUMMYFUNCTION("""COMPUTED_VALUE"""),"MASAYA ST")</f>
        <v>MASAYA ST</v>
      </c>
      <c r="M212" s="1"/>
      <c r="N212" s="1" t="str">
        <f>IFERROR(__xludf.DUMMYFUNCTION("""COMPUTED_VALUE"""),"LALAAN II")</f>
        <v>LALAAN II</v>
      </c>
      <c r="O212" s="1" t="str">
        <f>IFERROR(__xludf.DUMMYFUNCTION("""COMPUTED_VALUE"""),"SILANG")</f>
        <v>SILANG</v>
      </c>
      <c r="P212" s="1" t="str">
        <f>IFERROR(__xludf.DUMMYFUNCTION("""COMPUTED_VALUE"""),"CAVITE")</f>
        <v>CAVITE</v>
      </c>
      <c r="Q212" s="1" t="str">
        <f>IFERROR(__xludf.DUMMYFUNCTION("""COMPUTED_VALUE"""),"FIBR PLAN 1599")</f>
        <v>FIBR PLAN 1599</v>
      </c>
      <c r="R212" s="1" t="str">
        <f>IFERROR(__xludf.DUMMYFUNCTION("""COMPUTED_VALUE"""),"RETURN FOR COMPLIANCE - AGENT")</f>
        <v>RETURN FOR COMPLIANCE - AGENT</v>
      </c>
      <c r="S212" s="1" t="str">
        <f>IFERROR(__xludf.DUMMYFUNCTION("""COMPUTED_VALUE"""),"FOR CAFAC CHECKING ")</f>
        <v>FOR CAFAC CHECKING </v>
      </c>
      <c r="T212" s="1"/>
      <c r="U212" s="1"/>
      <c r="V212" s="1"/>
      <c r="W212" s="1"/>
    </row>
    <row r="213" customHeight="1" spans="1:23">
      <c r="A213" s="3">
        <f>IFERROR(__xludf.DUMMYFUNCTION("""COMPUTED_VALUE"""),46043)</f>
        <v>46043</v>
      </c>
      <c r="B213" s="1" t="str">
        <f>IFERROR(__xludf.DUMMYFUNCTION("""COMPUTED_VALUE"""),"IVNO, RAZZEL")</f>
        <v>IVNO, RAZZEL</v>
      </c>
      <c r="C213" s="1" t="str">
        <f>IFERROR(__xludf.DUMMYFUNCTION("""COMPUTED_VALUE"""),"ORGANIC")</f>
        <v>ORGANIC</v>
      </c>
      <c r="D213" s="1" t="str">
        <f>IFERROR(__xludf.DUMMYFUNCTION("""COMPUTED_VALUE"""),"ILANO MARK")</f>
        <v>ILANO MARK</v>
      </c>
      <c r="E213" s="1" t="str">
        <f>IFERROR(__xludf.DUMMYFUNCTION("""COMPUTED_VALUE"""),"PLDT")</f>
        <v>PLDT</v>
      </c>
      <c r="F213" s="1">
        <f>IFERROR(__xludf.DUMMYFUNCTION("""COMPUTED_VALUE"""),2306408811)</f>
        <v>2306408811</v>
      </c>
      <c r="G213" s="1"/>
      <c r="H213" s="1" t="str">
        <f>IFERROR(__xludf.DUMMYFUNCTION("""COMPUTED_VALUE"""),"9696192682")</f>
        <v>9696192682</v>
      </c>
      <c r="I213" s="1"/>
      <c r="J213" s="1"/>
      <c r="K213" s="1" t="str">
        <f>IFERROR(__xludf.DUMMYFUNCTION("""COMPUTED_VALUE"""),"12")</f>
        <v>12</v>
      </c>
      <c r="L213" s="1" t="str">
        <f>IFERROR(__xludf.DUMMYFUNCTION("""COMPUTED_VALUE"""),"SAN PEDRO RD")</f>
        <v>SAN PEDRO RD</v>
      </c>
      <c r="M213" s="1"/>
      <c r="N213" s="1" t="str">
        <f>IFERROR(__xludf.DUMMYFUNCTION("""COMPUTED_VALUE"""),"BUKAL")</f>
        <v>BUKAL</v>
      </c>
      <c r="O213" s="1" t="str">
        <f>IFERROR(__xludf.DUMMYFUNCTION("""COMPUTED_VALUE"""),"MENDEZ")</f>
        <v>MENDEZ</v>
      </c>
      <c r="P213" s="1" t="str">
        <f>IFERROR(__xludf.DUMMYFUNCTION("""COMPUTED_VALUE"""),"CAVITE")</f>
        <v>CAVITE</v>
      </c>
      <c r="Q213" s="1" t="str">
        <f>IFERROR(__xludf.DUMMYFUNCTION("""COMPUTED_VALUE"""),"PREPAID 999")</f>
        <v>PREPAID 999</v>
      </c>
      <c r="R213" s="1" t="str">
        <f>IFERROR(__xludf.DUMMYFUNCTION("""COMPUTED_VALUE"""),"APPROVED")</f>
        <v>APPROVED</v>
      </c>
      <c r="S213" s="1"/>
      <c r="T213" s="1"/>
      <c r="U213" s="1"/>
      <c r="V213" s="1"/>
      <c r="W213" s="1"/>
    </row>
    <row r="214" customHeight="1" spans="1:23">
      <c r="A214" s="3">
        <f>IFERROR(__xludf.DUMMYFUNCTION("""COMPUTED_VALUE"""),46044)</f>
        <v>46044</v>
      </c>
      <c r="B214" s="1" t="str">
        <f>IFERROR(__xludf.DUMMYFUNCTION("""COMPUTED_VALUE"""),"MALIWAT MARK ELVIN")</f>
        <v>MALIWAT MARK ELVIN</v>
      </c>
      <c r="C214" s="1" t="str">
        <f>IFERROR(__xludf.DUMMYFUNCTION("""COMPUTED_VALUE"""),"FLA")</f>
        <v>FLA</v>
      </c>
      <c r="D214" s="1" t="str">
        <f>IFERROR(__xludf.DUMMYFUNCTION("""COMPUTED_VALUE"""),"JERIC NAVARRO")</f>
        <v>JERIC NAVARRO</v>
      </c>
      <c r="E214" s="1" t="str">
        <f>IFERROR(__xludf.DUMMYFUNCTION("""COMPUTED_VALUE"""),"PLDT")</f>
        <v>PLDT</v>
      </c>
      <c r="F214" s="1"/>
      <c r="G214" s="1"/>
      <c r="H214" s="1" t="str">
        <f>IFERROR(__xludf.DUMMYFUNCTION("""COMPUTED_VALUE"""),"9933765970")</f>
        <v>9933765970</v>
      </c>
      <c r="I214" s="1">
        <f>IFERROR(__xludf.DUMMYFUNCTION("""COMPUTED_VALUE"""),9319869247)</f>
        <v>9319869247</v>
      </c>
      <c r="J214" s="1"/>
      <c r="K214" s="1" t="str">
        <f>IFERROR(__xludf.DUMMYFUNCTION("""COMPUTED_VALUE"""),"653")</f>
        <v>653</v>
      </c>
      <c r="L214" s="1" t="str">
        <f>IFERROR(__xludf.DUMMYFUNCTION("""COMPUTED_VALUE"""),"JOSE LAUREL")</f>
        <v>JOSE LAUREL</v>
      </c>
      <c r="M214" s="1"/>
      <c r="N214" s="1"/>
      <c r="O214" s="1"/>
      <c r="P214" s="1" t="str">
        <f>IFERROR(__xludf.DUMMYFUNCTION("""COMPUTED_VALUE"""),"BATANGAS")</f>
        <v>BATANGAS</v>
      </c>
      <c r="Q214" s="1" t="str">
        <f>IFERROR(__xludf.DUMMYFUNCTION("""COMPUTED_VALUE"""),"FIBR PLAN 1399")</f>
        <v>FIBR PLAN 1399</v>
      </c>
      <c r="R214" s="1" t="str">
        <f>IFERROR(__xludf.DUMMYFUNCTION("""COMPUTED_VALUE"""),"APPROVED")</f>
        <v>APPROVED</v>
      </c>
      <c r="S214" s="1"/>
      <c r="T214" s="1"/>
      <c r="U214" s="1"/>
      <c r="V214" s="1"/>
      <c r="W214" s="1"/>
    </row>
    <row r="215" customHeight="1" spans="1:23">
      <c r="A215" s="3">
        <f>IFERROR(__xludf.DUMMYFUNCTION("""COMPUTED_VALUE"""),46044)</f>
        <v>46044</v>
      </c>
      <c r="B215" s="1" t="str">
        <f>IFERROR(__xludf.DUMMYFUNCTION("""COMPUTED_VALUE"""),"CONCEPCION, ALJAY")</f>
        <v>CONCEPCION, ALJAY</v>
      </c>
      <c r="C215" s="1" t="str">
        <f>IFERROR(__xludf.DUMMYFUNCTION("""COMPUTED_VALUE"""),"ORGANIC")</f>
        <v>ORGANIC</v>
      </c>
      <c r="D215" s="1" t="str">
        <f>IFERROR(__xludf.DUMMYFUNCTION("""COMPUTED_VALUE"""),"ILANO MARK")</f>
        <v>ILANO MARK</v>
      </c>
      <c r="E215" s="1" t="str">
        <f>IFERROR(__xludf.DUMMYFUNCTION("""COMPUTED_VALUE"""),"PLDT")</f>
        <v>PLDT</v>
      </c>
      <c r="F215" s="1">
        <f>IFERROR(__xludf.DUMMYFUNCTION("""COMPUTED_VALUE"""),2306421189)</f>
        <v>2306421189</v>
      </c>
      <c r="G215" s="1"/>
      <c r="H215" s="1" t="str">
        <f>IFERROR(__xludf.DUMMYFUNCTION("""COMPUTED_VALUE"""),"9762858158")</f>
        <v>9762858158</v>
      </c>
      <c r="I215" s="1"/>
      <c r="J215" s="1"/>
      <c r="K215" s="1" t="str">
        <f>IFERROR(__xludf.DUMMYFUNCTION("""COMPUTED_VALUE"""),"9223")</f>
        <v>9223</v>
      </c>
      <c r="L215" s="1" t="str">
        <f>IFERROR(__xludf.DUMMYFUNCTION("""COMPUTED_VALUE"""),"LOMA")</f>
        <v>LOMA</v>
      </c>
      <c r="M215" s="1"/>
      <c r="N215" s="1" t="str">
        <f>IFERROR(__xludf.DUMMYFUNCTION("""COMPUTED_VALUE"""),"LOMA")</f>
        <v>LOMA</v>
      </c>
      <c r="O215" s="1" t="str">
        <f>IFERROR(__xludf.DUMMYFUNCTION("""COMPUTED_VALUE"""),"AMADEO")</f>
        <v>AMADEO</v>
      </c>
      <c r="P215" s="1" t="str">
        <f>IFERROR(__xludf.DUMMYFUNCTION("""COMPUTED_VALUE"""),"CAVITE")</f>
        <v>CAVITE</v>
      </c>
      <c r="Q215" s="1" t="str">
        <f>IFERROR(__xludf.DUMMYFUNCTION("""COMPUTED_VALUE"""),"FIBR PLAN 1299")</f>
        <v>FIBR PLAN 1299</v>
      </c>
      <c r="R215" s="1" t="str">
        <f>IFERROR(__xludf.DUMMYFUNCTION("""COMPUTED_VALUE"""),"APPROVED")</f>
        <v>APPROVED</v>
      </c>
      <c r="S215" s="1"/>
      <c r="T215" s="1"/>
      <c r="U215" s="1"/>
      <c r="V215" s="1"/>
      <c r="W215" s="1"/>
    </row>
    <row r="216" customHeight="1" spans="1:23">
      <c r="A216" s="3">
        <f>IFERROR(__xludf.DUMMYFUNCTION("""COMPUTED_VALUE"""),46044)</f>
        <v>46044</v>
      </c>
      <c r="B216" s="1" t="str">
        <f>IFERROR(__xludf.DUMMYFUNCTION("""COMPUTED_VALUE"""),"ALOS, CHARLS LAURENZ")</f>
        <v>ALOS, CHARLS LAURENZ</v>
      </c>
      <c r="C216" s="1" t="str">
        <f>IFERROR(__xludf.DUMMYFUNCTION("""COMPUTED_VALUE"""),"ORGANIC")</f>
        <v>ORGANIC</v>
      </c>
      <c r="D216" s="1" t="str">
        <f>IFERROR(__xludf.DUMMYFUNCTION("""COMPUTED_VALUE"""),"ILANO MARK")</f>
        <v>ILANO MARK</v>
      </c>
      <c r="E216" s="1" t="str">
        <f>IFERROR(__xludf.DUMMYFUNCTION("""COMPUTED_VALUE"""),"PLDT")</f>
        <v>PLDT</v>
      </c>
      <c r="F216" s="1">
        <f>IFERROR(__xludf.DUMMYFUNCTION("""COMPUTED_VALUE"""),2306423863)</f>
        <v>2306423863</v>
      </c>
      <c r="G216" s="1"/>
      <c r="H216" s="1" t="str">
        <f>IFERROR(__xludf.DUMMYFUNCTION("""COMPUTED_VALUE"""),"9060835300")</f>
        <v>9060835300</v>
      </c>
      <c r="I216" s="1">
        <f>IFERROR(__xludf.DUMMYFUNCTION("""COMPUTED_VALUE"""),9388967578)</f>
        <v>9388967578</v>
      </c>
      <c r="J216" s="1"/>
      <c r="K216" s="1" t="str">
        <f>IFERROR(__xludf.DUMMYFUNCTION("""COMPUTED_VALUE"""),"136")</f>
        <v>136</v>
      </c>
      <c r="L216" s="1" t="str">
        <f>IFERROR(__xludf.DUMMYFUNCTION("""COMPUTED_VALUE"""),"DAANG LUMA")</f>
        <v>DAANG LUMA</v>
      </c>
      <c r="M216" s="1"/>
      <c r="N216" s="1" t="str">
        <f>IFERROR(__xludf.DUMMYFUNCTION("""COMPUTED_VALUE"""),"KAYBAGAL CENTRAL")</f>
        <v>KAYBAGAL CENTRAL</v>
      </c>
      <c r="O216" s="1" t="str">
        <f>IFERROR(__xludf.DUMMYFUNCTION("""COMPUTED_VALUE"""),"TAGAYTAY")</f>
        <v>TAGAYTAY</v>
      </c>
      <c r="P216" s="1" t="str">
        <f>IFERROR(__xludf.DUMMYFUNCTION("""COMPUTED_VALUE"""),"CAVITE")</f>
        <v>CAVITE</v>
      </c>
      <c r="Q216" s="1" t="str">
        <f>IFERROR(__xludf.DUMMYFUNCTION("""COMPUTED_VALUE"""),"FIBR PLAN 1399")</f>
        <v>FIBR PLAN 1399</v>
      </c>
      <c r="R216" s="1" t="str">
        <f>IFERROR(__xludf.DUMMYFUNCTION("""COMPUTED_VALUE"""),"APPROVED")</f>
        <v>APPROVED</v>
      </c>
      <c r="S216" s="1"/>
      <c r="T216" s="1"/>
      <c r="U216" s="1"/>
      <c r="V216" s="1"/>
      <c r="W216" s="1"/>
    </row>
    <row r="217" customHeight="1" spans="1:23">
      <c r="A217" s="3">
        <f>IFERROR(__xludf.DUMMYFUNCTION("""COMPUTED_VALUE"""),46044)</f>
        <v>46044</v>
      </c>
      <c r="B217" s="1" t="str">
        <f>IFERROR(__xludf.DUMMYFUNCTION("""COMPUTED_VALUE"""),"MAGDARAOG, KENNETH")</f>
        <v>MAGDARAOG, KENNETH</v>
      </c>
      <c r="C217" s="1" t="str">
        <f>IFERROR(__xludf.DUMMYFUNCTION("""COMPUTED_VALUE"""),"ORGANIC")</f>
        <v>ORGANIC</v>
      </c>
      <c r="D217" s="1" t="str">
        <f>IFERROR(__xludf.DUMMYFUNCTION("""COMPUTED_VALUE"""),"ILANO MARK")</f>
        <v>ILANO MARK</v>
      </c>
      <c r="E217" s="1" t="str">
        <f>IFERROR(__xludf.DUMMYFUNCTION("""COMPUTED_VALUE"""),"PLDT")</f>
        <v>PLDT</v>
      </c>
      <c r="F217" s="1">
        <f>IFERROR(__xludf.DUMMYFUNCTION("""COMPUTED_VALUE"""),2306424917)</f>
        <v>2306424917</v>
      </c>
      <c r="G217" s="1"/>
      <c r="H217" s="1" t="str">
        <f>IFERROR(__xludf.DUMMYFUNCTION("""COMPUTED_VALUE"""),"9512770983")</f>
        <v>9512770983</v>
      </c>
      <c r="I217" s="1">
        <f>IFERROR(__xludf.DUMMYFUNCTION("""COMPUTED_VALUE"""),9062930801)</f>
        <v>9062930801</v>
      </c>
      <c r="J217" s="1"/>
      <c r="K217" s="1" t="str">
        <f>IFERROR(__xludf.DUMMYFUNCTION("""COMPUTED_VALUE"""),"651")</f>
        <v>651</v>
      </c>
      <c r="L217" s="1" t="str">
        <f>IFERROR(__xludf.DUMMYFUNCTION("""COMPUTED_VALUE"""),"PUROK 163")</f>
        <v>PUROK 163</v>
      </c>
      <c r="M217" s="1"/>
      <c r="N217" s="1" t="str">
        <f>IFERROR(__xludf.DUMMYFUNCTION("""COMPUTED_VALUE"""),"KAYBAGAL CENTRAL")</f>
        <v>KAYBAGAL CENTRAL</v>
      </c>
      <c r="O217" s="1" t="str">
        <f>IFERROR(__xludf.DUMMYFUNCTION("""COMPUTED_VALUE"""),"TAGAYTAY")</f>
        <v>TAGAYTAY</v>
      </c>
      <c r="P217" s="1" t="str">
        <f>IFERROR(__xludf.DUMMYFUNCTION("""COMPUTED_VALUE"""),"CAVITE")</f>
        <v>CAVITE</v>
      </c>
      <c r="Q217" s="1" t="str">
        <f>IFERROR(__xludf.DUMMYFUNCTION("""COMPUTED_VALUE"""),"FIBR PLAN 1399")</f>
        <v>FIBR PLAN 1399</v>
      </c>
      <c r="R217" s="1" t="str">
        <f>IFERROR(__xludf.DUMMYFUNCTION("""COMPUTED_VALUE"""),"APPROVED")</f>
        <v>APPROVED</v>
      </c>
      <c r="S217" s="1"/>
      <c r="T217" s="1"/>
      <c r="U217" s="1"/>
      <c r="V217" s="1"/>
      <c r="W217" s="1"/>
    </row>
    <row r="218" customHeight="1" spans="1:23">
      <c r="A218" s="3">
        <f>IFERROR(__xludf.DUMMYFUNCTION("""COMPUTED_VALUE"""),46044)</f>
        <v>46044</v>
      </c>
      <c r="B218" s="1" t="str">
        <f>IFERROR(__xludf.DUMMYFUNCTION("""COMPUTED_VALUE"""),"NAVARRO, JERIC")</f>
        <v>NAVARRO, JERIC</v>
      </c>
      <c r="C218" s="1" t="str">
        <f>IFERROR(__xludf.DUMMYFUNCTION("""COMPUTED_VALUE"""),"FLA")</f>
        <v>FLA</v>
      </c>
      <c r="D218" s="1" t="str">
        <f>IFERROR(__xludf.DUMMYFUNCTION("""COMPUTED_VALUE"""),"JERIC NAVARRO")</f>
        <v>JERIC NAVARRO</v>
      </c>
      <c r="E218" s="1" t="str">
        <f>IFERROR(__xludf.DUMMYFUNCTION("""COMPUTED_VALUE"""),"PLDT")</f>
        <v>PLDT</v>
      </c>
      <c r="F218" s="1">
        <f>IFERROR(__xludf.DUMMYFUNCTION("""COMPUTED_VALUE"""),2306429725)</f>
        <v>2306429725</v>
      </c>
      <c r="G218" s="1"/>
      <c r="H218" s="1" t="str">
        <f>IFERROR(__xludf.DUMMYFUNCTION("""COMPUTED_VALUE"""),"9265464961")</f>
        <v>9265464961</v>
      </c>
      <c r="I218" s="1">
        <f>IFERROR(__xludf.DUMMYFUNCTION("""COMPUTED_VALUE"""),9688851587)</f>
        <v>9688851587</v>
      </c>
      <c r="J218" s="1"/>
      <c r="K218" s="1" t="str">
        <f>IFERROR(__xludf.DUMMYFUNCTION("""COMPUTED_VALUE"""),"BLK 19 LOT 29")</f>
        <v>BLK 19 LOT 29</v>
      </c>
      <c r="L218" s="1" t="str">
        <f>IFERROR(__xludf.DUMMYFUNCTION("""COMPUTED_VALUE"""),"ACM")</f>
        <v>ACM</v>
      </c>
      <c r="M218" s="1" t="str">
        <f>IFERROR(__xludf.DUMMYFUNCTION("""COMPUTED_VALUE"""),"PARAMOUNT HOMES")</f>
        <v>PARAMOUNT HOMES</v>
      </c>
      <c r="N218" s="1" t="str">
        <f>IFERROR(__xludf.DUMMYFUNCTION("""COMPUTED_VALUE"""),"NAVARRO")</f>
        <v>NAVARRO</v>
      </c>
      <c r="O218" s="1" t="str">
        <f>IFERROR(__xludf.DUMMYFUNCTION("""COMPUTED_VALUE"""),"GENERAL TRIAS")</f>
        <v>GENERAL TRIAS</v>
      </c>
      <c r="P218" s="1" t="str">
        <f>IFERROR(__xludf.DUMMYFUNCTION("""COMPUTED_VALUE"""),"CAVITE")</f>
        <v>CAVITE</v>
      </c>
      <c r="Q218" s="1" t="str">
        <f>IFERROR(__xludf.DUMMYFUNCTION("""COMPUTED_VALUE"""),"FIBR PLAN 2699")</f>
        <v>FIBR PLAN 2699</v>
      </c>
      <c r="R218" s="1" t="str">
        <f>IFERROR(__xludf.DUMMYFUNCTION("""COMPUTED_VALUE"""),"APPROVED")</f>
        <v>APPROVED</v>
      </c>
      <c r="S218" s="1"/>
      <c r="T218" s="1"/>
      <c r="U218" s="1"/>
      <c r="V218" s="1"/>
      <c r="W218" s="1"/>
    </row>
    <row r="219" customHeight="1" spans="1:23">
      <c r="A219" s="3">
        <f>IFERROR(__xludf.DUMMYFUNCTION("""COMPUTED_VALUE"""),46044)</f>
        <v>46044</v>
      </c>
      <c r="B219" s="1" t="str">
        <f>IFERROR(__xludf.DUMMYFUNCTION("""COMPUTED_VALUE"""),"NAVARRO, JERIC")</f>
        <v>NAVARRO, JERIC</v>
      </c>
      <c r="C219" s="1" t="str">
        <f>IFERROR(__xludf.DUMMYFUNCTION("""COMPUTED_VALUE"""),"FLA")</f>
        <v>FLA</v>
      </c>
      <c r="D219" s="1" t="str">
        <f>IFERROR(__xludf.DUMMYFUNCTION("""COMPUTED_VALUE"""),"JERIC NAVARRO")</f>
        <v>JERIC NAVARRO</v>
      </c>
      <c r="E219" s="1" t="str">
        <f>IFERROR(__xludf.DUMMYFUNCTION("""COMPUTED_VALUE"""),"PLDT")</f>
        <v>PLDT</v>
      </c>
      <c r="F219" s="1">
        <f>IFERROR(__xludf.DUMMYFUNCTION("""COMPUTED_VALUE"""),2306431144)</f>
        <v>2306431144</v>
      </c>
      <c r="G219" s="1"/>
      <c r="H219" s="1" t="str">
        <f>IFERROR(__xludf.DUMMYFUNCTION("""COMPUTED_VALUE"""),"9277600056")</f>
        <v>9277600056</v>
      </c>
      <c r="I219" s="1"/>
      <c r="J219" s="1"/>
      <c r="K219" s="1" t="str">
        <f>IFERROR(__xludf.DUMMYFUNCTION("""COMPUTED_VALUE"""),"BLK 1 LOT 9")</f>
        <v>BLK 1 LOT 9</v>
      </c>
      <c r="L219" s="1" t="str">
        <f>IFERROR(__xludf.DUMMYFUNCTION("""COMPUTED_VALUE"""),"MEXICO")</f>
        <v>MEXICO</v>
      </c>
      <c r="M219" s="1" t="str">
        <f>IFERROR(__xludf.DUMMYFUNCTION("""COMPUTED_VALUE"""),"GREENBREEZE 2")</f>
        <v>GREENBREEZE 2</v>
      </c>
      <c r="N219" s="1" t="str">
        <f>IFERROR(__xludf.DUMMYFUNCTION("""COMPUTED_VALUE"""),"LANGKAAN II")</f>
        <v>LANGKAAN II</v>
      </c>
      <c r="O219" s="1" t="str">
        <f>IFERROR(__xludf.DUMMYFUNCTION("""COMPUTED_VALUE"""),"DASMARINAS")</f>
        <v>DASMARINAS</v>
      </c>
      <c r="P219" s="1" t="str">
        <f>IFERROR(__xludf.DUMMYFUNCTION("""COMPUTED_VALUE"""),"CAVITE")</f>
        <v>CAVITE</v>
      </c>
      <c r="Q219" s="1" t="str">
        <f>IFERROR(__xludf.DUMMYFUNCTION("""COMPUTED_VALUE"""),"FIBR PLAN 1599")</f>
        <v>FIBR PLAN 1599</v>
      </c>
      <c r="R219" s="1" t="str">
        <f>IFERROR(__xludf.DUMMYFUNCTION("""COMPUTED_VALUE"""),"APPROVED")</f>
        <v>APPROVED</v>
      </c>
      <c r="S219" s="1"/>
      <c r="T219" s="1"/>
      <c r="U219" s="1"/>
      <c r="V219" s="1"/>
      <c r="W219" s="1"/>
    </row>
    <row r="220" customHeight="1" spans="1:23">
      <c r="A220" s="3">
        <f>IFERROR(__xludf.DUMMYFUNCTION("""COMPUTED_VALUE"""),46044)</f>
        <v>46044</v>
      </c>
      <c r="B220" s="1" t="str">
        <f>IFERROR(__xludf.DUMMYFUNCTION("""COMPUTED_VALUE"""),"MAGDARAOG, KENNETH")</f>
        <v>MAGDARAOG, KENNETH</v>
      </c>
      <c r="C220" s="1" t="str">
        <f>IFERROR(__xludf.DUMMYFUNCTION("""COMPUTED_VALUE"""),"ORGANIC")</f>
        <v>ORGANIC</v>
      </c>
      <c r="D220" s="1" t="str">
        <f>IFERROR(__xludf.DUMMYFUNCTION("""COMPUTED_VALUE"""),"ILANO MARK")</f>
        <v>ILANO MARK</v>
      </c>
      <c r="E220" s="1" t="str">
        <f>IFERROR(__xludf.DUMMYFUNCTION("""COMPUTED_VALUE"""),"PLDT")</f>
        <v>PLDT</v>
      </c>
      <c r="F220" s="1">
        <f>IFERROR(__xludf.DUMMYFUNCTION("""COMPUTED_VALUE"""),2306433215)</f>
        <v>2306433215</v>
      </c>
      <c r="G220" s="1"/>
      <c r="H220" s="1" t="str">
        <f>IFERROR(__xludf.DUMMYFUNCTION("""COMPUTED_VALUE"""),"9682270988")</f>
        <v>9682270988</v>
      </c>
      <c r="I220" s="1">
        <f>IFERROR(__xludf.DUMMYFUNCTION("""COMPUTED_VALUE"""),9102971491)</f>
        <v>9102971491</v>
      </c>
      <c r="J220" s="1"/>
      <c r="K220" s="1" t="str">
        <f>IFERROR(__xludf.DUMMYFUNCTION("""COMPUTED_VALUE"""),"9163")</f>
        <v>9163</v>
      </c>
      <c r="L220" s="1" t="str">
        <f>IFERROR(__xludf.DUMMYFUNCTION("""COMPUTED_VALUE"""),"PUROK 5")</f>
        <v>PUROK 5</v>
      </c>
      <c r="M220" s="1"/>
      <c r="N220" s="1" t="str">
        <f>IFERROR(__xludf.DUMMYFUNCTION("""COMPUTED_VALUE"""),"LUMIL")</f>
        <v>LUMIL</v>
      </c>
      <c r="O220" s="1" t="str">
        <f>IFERROR(__xludf.DUMMYFUNCTION("""COMPUTED_VALUE"""),"SILANG")</f>
        <v>SILANG</v>
      </c>
      <c r="P220" s="1" t="str">
        <f>IFERROR(__xludf.DUMMYFUNCTION("""COMPUTED_VALUE"""),"CAVITE")</f>
        <v>CAVITE</v>
      </c>
      <c r="Q220" s="1" t="str">
        <f>IFERROR(__xludf.DUMMYFUNCTION("""COMPUTED_VALUE"""),"FIBR PLAN 999 W/ CIGNAL")</f>
        <v>FIBR PLAN 999 W/ CIGNAL</v>
      </c>
      <c r="R220" s="1" t="str">
        <f>IFERROR(__xludf.DUMMYFUNCTION("""COMPUTED_VALUE"""),"APPROVED")</f>
        <v>APPROVED</v>
      </c>
      <c r="S220" s="1"/>
      <c r="T220" s="1"/>
      <c r="U220" s="1"/>
      <c r="V220" s="1"/>
      <c r="W220" s="1"/>
    </row>
    <row r="221" customHeight="1" spans="1:23">
      <c r="A221" s="3">
        <f>IFERROR(__xludf.DUMMYFUNCTION("""COMPUTED_VALUE"""),46044)</f>
        <v>46044</v>
      </c>
      <c r="B221" s="1" t="str">
        <f>IFERROR(__xludf.DUMMYFUNCTION("""COMPUTED_VALUE"""),"ALOS, CHARLS LAURENZ")</f>
        <v>ALOS, CHARLS LAURENZ</v>
      </c>
      <c r="C221" s="1" t="str">
        <f>IFERROR(__xludf.DUMMYFUNCTION("""COMPUTED_VALUE"""),"ORGANIC")</f>
        <v>ORGANIC</v>
      </c>
      <c r="D221" s="1" t="str">
        <f>IFERROR(__xludf.DUMMYFUNCTION("""COMPUTED_VALUE"""),"REMOLLO LEA")</f>
        <v>REMOLLO LEA</v>
      </c>
      <c r="E221" s="1" t="str">
        <f>IFERROR(__xludf.DUMMYFUNCTION("""COMPUTED_VALUE"""),"RED FIBER")</f>
        <v>RED FIBER</v>
      </c>
      <c r="F221" s="1"/>
      <c r="G221" s="1"/>
      <c r="H221" s="1" t="str">
        <f>IFERROR(__xludf.DUMMYFUNCTION("""COMPUTED_VALUE"""),"9633088531")</f>
        <v>9633088531</v>
      </c>
      <c r="I221" s="1"/>
      <c r="J221" s="1"/>
      <c r="K221" s="1" t="str">
        <f>IFERROR(__xludf.DUMMYFUNCTION("""COMPUTED_VALUE"""),"141")</f>
        <v>141</v>
      </c>
      <c r="L221" s="1" t="str">
        <f>IFERROR(__xludf.DUMMYFUNCTION("""COMPUTED_VALUE"""),"GALICIA RD")</f>
        <v>GALICIA RD</v>
      </c>
      <c r="M221" s="1"/>
      <c r="N221" s="1" t="str">
        <f>IFERROR(__xludf.DUMMYFUNCTION("""COMPUTED_VALUE"""),"GALICIA I")</f>
        <v>GALICIA I</v>
      </c>
      <c r="O221" s="1" t="str">
        <f>IFERROR(__xludf.DUMMYFUNCTION("""COMPUTED_VALUE"""),"MENDEZ")</f>
        <v>MENDEZ</v>
      </c>
      <c r="P221" s="1" t="str">
        <f>IFERROR(__xludf.DUMMYFUNCTION("""COMPUTED_VALUE"""),"CAVITE")</f>
        <v>CAVITE</v>
      </c>
      <c r="Q221" s="1" t="str">
        <f>IFERROR(__xludf.DUMMYFUNCTION("""COMPUTED_VALUE"""),"RED FIBER PLAN 1000")</f>
        <v>RED FIBER PLAN 1000</v>
      </c>
      <c r="R221" s="1" t="str">
        <f>IFERROR(__xludf.DUMMYFUNCTION("""COMPUTED_VALUE"""),"APPROVED")</f>
        <v>APPROVED</v>
      </c>
      <c r="S221" s="1"/>
      <c r="T221" s="1"/>
      <c r="U221" s="1"/>
      <c r="V221" s="1"/>
      <c r="W221" s="1"/>
    </row>
    <row r="222" customHeight="1" spans="1:23">
      <c r="A222" s="3">
        <f>IFERROR(__xludf.DUMMYFUNCTION("""COMPUTED_VALUE"""),46045)</f>
        <v>46045</v>
      </c>
      <c r="B222" s="1" t="str">
        <f>IFERROR(__xludf.DUMMYFUNCTION("""COMPUTED_VALUE"""),"MALIWAT MARK ELVIN")</f>
        <v>MALIWAT MARK ELVIN</v>
      </c>
      <c r="C222" s="1" t="str">
        <f>IFERROR(__xludf.DUMMYFUNCTION("""COMPUTED_VALUE"""),"FLA")</f>
        <v>FLA</v>
      </c>
      <c r="D222" s="1" t="str">
        <f>IFERROR(__xludf.DUMMYFUNCTION("""COMPUTED_VALUE"""),"JERIC NAVARRO")</f>
        <v>JERIC NAVARRO</v>
      </c>
      <c r="E222" s="1" t="str">
        <f>IFERROR(__xludf.DUMMYFUNCTION("""COMPUTED_VALUE"""),"PLDT")</f>
        <v>PLDT</v>
      </c>
      <c r="F222" s="1">
        <f>IFERROR(__xludf.DUMMYFUNCTION("""COMPUTED_VALUE"""),2306443788)</f>
        <v>2306443788</v>
      </c>
      <c r="G222" s="1"/>
      <c r="H222" s="1" t="str">
        <f>IFERROR(__xludf.DUMMYFUNCTION("""COMPUTED_VALUE"""),"639266877210")</f>
        <v>639266877210</v>
      </c>
      <c r="I222" s="1">
        <f>IFERROR(__xludf.DUMMYFUNCTION("""COMPUTED_VALUE"""),639671549877)</f>
        <v>639671549877</v>
      </c>
      <c r="J222" s="1"/>
      <c r="K222" s="1" t="str">
        <f>IFERROR(__xludf.DUMMYFUNCTION("""COMPUTED_VALUE"""),"5")</f>
        <v>5</v>
      </c>
      <c r="L222" s="1" t="str">
        <f>IFERROR(__xludf.DUMMYFUNCTION("""COMPUTED_VALUE"""),"SITIO PALAISDAAN")</f>
        <v>SITIO PALAISDAAN</v>
      </c>
      <c r="M222" s="1" t="str">
        <f>IFERROR(__xludf.DUMMYFUNCTION("""COMPUTED_VALUE"""),"PUROK 6")</f>
        <v>PUROK 6</v>
      </c>
      <c r="N222" s="1" t="str">
        <f>IFERROR(__xludf.DUMMYFUNCTION("""COMPUTED_VALUE"""),"BALITE I")</f>
        <v>BALITE I</v>
      </c>
      <c r="O222" s="1" t="str">
        <f>IFERROR(__xludf.DUMMYFUNCTION("""COMPUTED_VALUE"""),"SILANG")</f>
        <v>SILANG</v>
      </c>
      <c r="P222" s="1" t="str">
        <f>IFERROR(__xludf.DUMMYFUNCTION("""COMPUTED_VALUE"""),"CAVITE")</f>
        <v>CAVITE</v>
      </c>
      <c r="Q222" s="1" t="str">
        <f>IFERROR(__xludf.DUMMYFUNCTION("""COMPUTED_VALUE"""),"FIBR PLAN 2699")</f>
        <v>FIBR PLAN 2699</v>
      </c>
      <c r="R222" s="1" t="str">
        <f>IFERROR(__xludf.DUMMYFUNCTION("""COMPUTED_VALUE"""),"APPROVED")</f>
        <v>APPROVED</v>
      </c>
      <c r="S222" s="1"/>
      <c r="T222" s="1"/>
      <c r="U222" s="1"/>
      <c r="V222" s="1"/>
      <c r="W222" s="1"/>
    </row>
    <row r="223" customHeight="1" spans="1:23">
      <c r="A223" s="3">
        <f>IFERROR(__xludf.DUMMYFUNCTION("""COMPUTED_VALUE"""),46045)</f>
        <v>46045</v>
      </c>
      <c r="B223" s="1" t="str">
        <f>IFERROR(__xludf.DUMMYFUNCTION("""COMPUTED_VALUE"""),"AYON MANUEL")</f>
        <v>AYON MANUEL</v>
      </c>
      <c r="C223" s="1" t="str">
        <f>IFERROR(__xludf.DUMMYFUNCTION("""COMPUTED_VALUE"""),"FLA")</f>
        <v>FLA</v>
      </c>
      <c r="D223" s="1" t="str">
        <f>IFERROR(__xludf.DUMMYFUNCTION("""COMPUTED_VALUE"""),"JERIC NAVARRO")</f>
        <v>JERIC NAVARRO</v>
      </c>
      <c r="E223" s="1" t="str">
        <f>IFERROR(__xludf.DUMMYFUNCTION("""COMPUTED_VALUE"""),"PLDT")</f>
        <v>PLDT</v>
      </c>
      <c r="F223" s="1">
        <f>IFERROR(__xludf.DUMMYFUNCTION("""COMPUTED_VALUE"""),2306444865)</f>
        <v>2306444865</v>
      </c>
      <c r="G223" s="1"/>
      <c r="H223" s="1" t="str">
        <f>IFERROR(__xludf.DUMMYFUNCTION("""COMPUTED_VALUE"""),"639927933650")</f>
        <v>639927933650</v>
      </c>
      <c r="I223" s="1">
        <f>IFERROR(__xludf.DUMMYFUNCTION("""COMPUTED_VALUE"""),639913786288)</f>
        <v>639913786288</v>
      </c>
      <c r="J223" s="1"/>
      <c r="K223" s="1" t="str">
        <f>IFERROR(__xludf.DUMMYFUNCTION("""COMPUTED_VALUE"""),"009-BL-002")</f>
        <v>009-BL-002</v>
      </c>
      <c r="L223" s="1" t="str">
        <f>IFERROR(__xludf.DUMMYFUNCTION("""COMPUTED_VALUE"""),"SALVIA")</f>
        <v>SALVIA</v>
      </c>
      <c r="M223" s="1" t="str">
        <f>IFERROR(__xludf.DUMMYFUNCTION("""COMPUTED_VALUE"""),"THE VILLAS DASMARINAS")</f>
        <v>THE VILLAS DASMARINAS</v>
      </c>
      <c r="N223" s="1" t="str">
        <f>IFERROR(__xludf.DUMMYFUNCTION("""COMPUTED_VALUE"""),"BGY SAN AGUSTIN 1")</f>
        <v>BGY SAN AGUSTIN 1</v>
      </c>
      <c r="O223" s="1" t="str">
        <f>IFERROR(__xludf.DUMMYFUNCTION("""COMPUTED_VALUE"""),"DASMARINAS")</f>
        <v>DASMARINAS</v>
      </c>
      <c r="P223" s="1" t="str">
        <f>IFERROR(__xludf.DUMMYFUNCTION("""COMPUTED_VALUE"""),"CAVITE")</f>
        <v>CAVITE</v>
      </c>
      <c r="Q223" s="1" t="str">
        <f>IFERROR(__xludf.DUMMYFUNCTION("""COMPUTED_VALUE"""),"FIBR PLAN 1599")</f>
        <v>FIBR PLAN 1599</v>
      </c>
      <c r="R223" s="1" t="str">
        <f>IFERROR(__xludf.DUMMYFUNCTION("""COMPUTED_VALUE"""),"APPROVED")</f>
        <v>APPROVED</v>
      </c>
      <c r="S223" s="1"/>
      <c r="T223" s="1"/>
      <c r="U223" s="1"/>
      <c r="V223" s="1"/>
      <c r="W223" s="1"/>
    </row>
    <row r="224" customHeight="1" spans="1:23">
      <c r="A224" s="3">
        <f>IFERROR(__xludf.DUMMYFUNCTION("""COMPUTED_VALUE"""),46045)</f>
        <v>46045</v>
      </c>
      <c r="B224" s="1" t="str">
        <f>IFERROR(__xludf.DUMMYFUNCTION("""COMPUTED_VALUE"""),"CONCEPCION, ALJAY")</f>
        <v>CONCEPCION, ALJAY</v>
      </c>
      <c r="C224" s="1" t="str">
        <f>IFERROR(__xludf.DUMMYFUNCTION("""COMPUTED_VALUE"""),"ORGANIC")</f>
        <v>ORGANIC</v>
      </c>
      <c r="D224" s="1" t="str">
        <f>IFERROR(__xludf.DUMMYFUNCTION("""COMPUTED_VALUE"""),"ILANO MARK")</f>
        <v>ILANO MARK</v>
      </c>
      <c r="E224" s="1" t="str">
        <f>IFERROR(__xludf.DUMMYFUNCTION("""COMPUTED_VALUE"""),"PLDT")</f>
        <v>PLDT</v>
      </c>
      <c r="F224" s="1">
        <f>IFERROR(__xludf.DUMMYFUNCTION("""COMPUTED_VALUE"""),2306445884)</f>
        <v>2306445884</v>
      </c>
      <c r="G224" s="1"/>
      <c r="H224" s="1" t="str">
        <f>IFERROR(__xludf.DUMMYFUNCTION("""COMPUTED_VALUE"""),"639673959495")</f>
        <v>639673959495</v>
      </c>
      <c r="I224" s="1"/>
      <c r="J224" s="1"/>
      <c r="K224" s="1" t="str">
        <f>IFERROR(__xludf.DUMMYFUNCTION("""COMPUTED_VALUE"""),"150")</f>
        <v>150</v>
      </c>
      <c r="L224" s="1" t="str">
        <f>IFERROR(__xludf.DUMMYFUNCTION("""COMPUTED_VALUE"""),"PUROK 5")</f>
        <v>PUROK 5</v>
      </c>
      <c r="M224" s="1"/>
      <c r="N224" s="1" t="str">
        <f>IFERROR(__xludf.DUMMYFUNCTION("""COMPUTED_VALUE"""),"BGY MAYMANGGA")</f>
        <v>BGY MAYMANGGA</v>
      </c>
      <c r="O224" s="1" t="str">
        <f>IFERROR(__xludf.DUMMYFUNCTION("""COMPUTED_VALUE"""),"AMADEO")</f>
        <v>AMADEO</v>
      </c>
      <c r="P224" s="1" t="str">
        <f>IFERROR(__xludf.DUMMYFUNCTION("""COMPUTED_VALUE"""),"CAVITE")</f>
        <v>CAVITE</v>
      </c>
      <c r="Q224" s="1" t="str">
        <f>IFERROR(__xludf.DUMMYFUNCTION("""COMPUTED_VALUE"""),"FIBR PLAN 1399")</f>
        <v>FIBR PLAN 1399</v>
      </c>
      <c r="R224" s="1" t="str">
        <f>IFERROR(__xludf.DUMMYFUNCTION("""COMPUTED_VALUE"""),"APPROVED")</f>
        <v>APPROVED</v>
      </c>
      <c r="S224" s="1"/>
      <c r="T224" s="1"/>
      <c r="U224" s="1"/>
      <c r="V224" s="1"/>
      <c r="W224" s="1"/>
    </row>
    <row r="225" customHeight="1" spans="1:23">
      <c r="A225" s="3">
        <f>IFERROR(__xludf.DUMMYFUNCTION("""COMPUTED_VALUE"""),46045)</f>
        <v>46045</v>
      </c>
      <c r="B225" s="1" t="str">
        <f>IFERROR(__xludf.DUMMYFUNCTION("""COMPUTED_VALUE"""),"DE VERA, MARIVIC")</f>
        <v>DE VERA, MARIVIC</v>
      </c>
      <c r="C225" s="1" t="str">
        <f>IFERROR(__xludf.DUMMYFUNCTION("""COMPUTED_VALUE"""),"ORGANIC")</f>
        <v>ORGANIC</v>
      </c>
      <c r="D225" s="1" t="str">
        <f>IFERROR(__xludf.DUMMYFUNCTION("""COMPUTED_VALUE"""),"ILANO MARK")</f>
        <v>ILANO MARK</v>
      </c>
      <c r="E225" s="1" t="str">
        <f>IFERROR(__xludf.DUMMYFUNCTION("""COMPUTED_VALUE"""),"PLDT")</f>
        <v>PLDT</v>
      </c>
      <c r="F225" s="1">
        <f>IFERROR(__xludf.DUMMYFUNCTION("""COMPUTED_VALUE"""),2306446561)</f>
        <v>2306446561</v>
      </c>
      <c r="G225" s="1"/>
      <c r="H225" s="1" t="str">
        <f>IFERROR(__xludf.DUMMYFUNCTION("""COMPUTED_VALUE"""),"639310270117")</f>
        <v>639310270117</v>
      </c>
      <c r="I225" s="1"/>
      <c r="J225" s="1"/>
      <c r="K225" s="1" t="str">
        <f>IFERROR(__xludf.DUMMYFUNCTION("""COMPUTED_VALUE"""),"139")</f>
        <v>139</v>
      </c>
      <c r="L225" s="1" t="str">
        <f>IFERROR(__xludf.DUMMYFUNCTION("""COMPUTED_VALUE"""),"LLAMADO")</f>
        <v>LLAMADO</v>
      </c>
      <c r="M225" s="1"/>
      <c r="N225" s="1" t="str">
        <f>IFERROR(__xludf.DUMMYFUNCTION("""COMPUTED_VALUE"""),"BGY ASIS 3")</f>
        <v>BGY ASIS 3</v>
      </c>
      <c r="O225" s="1" t="str">
        <f>IFERROR(__xludf.DUMMYFUNCTION("""COMPUTED_VALUE"""),"MENDEZ")</f>
        <v>MENDEZ</v>
      </c>
      <c r="P225" s="1" t="str">
        <f>IFERROR(__xludf.DUMMYFUNCTION("""COMPUTED_VALUE"""),"CAVITE")</f>
        <v>CAVITE</v>
      </c>
      <c r="Q225" s="1" t="str">
        <f>IFERROR(__xludf.DUMMYFUNCTION("""COMPUTED_VALUE"""),"FIBR PLAN 1399")</f>
        <v>FIBR PLAN 1399</v>
      </c>
      <c r="R225" s="1" t="str">
        <f>IFERROR(__xludf.DUMMYFUNCTION("""COMPUTED_VALUE"""),"APPROVED")</f>
        <v>APPROVED</v>
      </c>
      <c r="S225" s="1"/>
      <c r="T225" s="1"/>
      <c r="U225" s="1"/>
      <c r="V225" s="1"/>
      <c r="W225" s="1"/>
    </row>
    <row r="226" customHeight="1" spans="1:23">
      <c r="A226" s="3">
        <f>IFERROR(__xludf.DUMMYFUNCTION("""COMPUTED_VALUE"""),46045)</f>
        <v>46045</v>
      </c>
      <c r="B226" s="1" t="str">
        <f>IFERROR(__xludf.DUMMYFUNCTION("""COMPUTED_VALUE"""),"DE LEON, MERLY")</f>
        <v>DE LEON, MERLY</v>
      </c>
      <c r="C226" s="1" t="str">
        <f>IFERROR(__xludf.DUMMYFUNCTION("""COMPUTED_VALUE"""),"ORGANIC")</f>
        <v>ORGANIC</v>
      </c>
      <c r="D226" s="1" t="str">
        <f>IFERROR(__xludf.DUMMYFUNCTION("""COMPUTED_VALUE"""),"ILANO MARK")</f>
        <v>ILANO MARK</v>
      </c>
      <c r="E226" s="1" t="str">
        <f>IFERROR(__xludf.DUMMYFUNCTION("""COMPUTED_VALUE"""),"RED FIBER")</f>
        <v>RED FIBER</v>
      </c>
      <c r="F226" s="1"/>
      <c r="G226" s="1"/>
      <c r="H226" s="1" t="str">
        <f>IFERROR(__xludf.DUMMYFUNCTION("""COMPUTED_VALUE"""),"9058225549")</f>
        <v>9058225549</v>
      </c>
      <c r="I226" s="1">
        <f>IFERROR(__xludf.DUMMYFUNCTION("""COMPUTED_VALUE"""),9691167652)</f>
        <v>9691167652</v>
      </c>
      <c r="J226" s="1"/>
      <c r="K226" s="1" t="str">
        <f>IFERROR(__xludf.DUMMYFUNCTION("""COMPUTED_VALUE"""),"BLK 3 LOT 6")</f>
        <v>BLK 3 LOT 6</v>
      </c>
      <c r="L226" s="1" t="str">
        <f>IFERROR(__xludf.DUMMYFUNCTION("""COMPUTED_VALUE"""),"PHASE 2")</f>
        <v>PHASE 2</v>
      </c>
      <c r="M226" s="1" t="str">
        <f>IFERROR(__xludf.DUMMYFUNCTION("""COMPUTED_VALUE"""),"LITA FOUNDATION")</f>
        <v>LITA FOUNDATION</v>
      </c>
      <c r="N226" s="1" t="str">
        <f>IFERROR(__xludf.DUMMYFUNCTION("""COMPUTED_VALUE"""),"PANUNGYAN I")</f>
        <v>PANUNGYAN I</v>
      </c>
      <c r="O226" s="1" t="str">
        <f>IFERROR(__xludf.DUMMYFUNCTION("""COMPUTED_VALUE"""),"MENDEZ")</f>
        <v>MENDEZ</v>
      </c>
      <c r="P226" s="1" t="str">
        <f>IFERROR(__xludf.DUMMYFUNCTION("""COMPUTED_VALUE"""),"CAVITE")</f>
        <v>CAVITE</v>
      </c>
      <c r="Q226" s="1" t="str">
        <f>IFERROR(__xludf.DUMMYFUNCTION("""COMPUTED_VALUE"""),"RED FIBER PLAN 1400")</f>
        <v>RED FIBER PLAN 1400</v>
      </c>
      <c r="R226" s="1" t="str">
        <f>IFERROR(__xludf.DUMMYFUNCTION("""COMPUTED_VALUE"""),"APPROVED")</f>
        <v>APPROVED</v>
      </c>
      <c r="S226" s="1"/>
      <c r="T226" s="1"/>
      <c r="U226" s="1"/>
      <c r="V226" s="1"/>
      <c r="W226" s="1"/>
    </row>
    <row r="227" customHeight="1" spans="1:23">
      <c r="A227" s="3">
        <f>IFERROR(__xludf.DUMMYFUNCTION("""COMPUTED_VALUE"""),46045)</f>
        <v>46045</v>
      </c>
      <c r="B227" s="1" t="str">
        <f>IFERROR(__xludf.DUMMYFUNCTION("""COMPUTED_VALUE"""),"DE VERA, MARIVIC")</f>
        <v>DE VERA, MARIVIC</v>
      </c>
      <c r="C227" s="1" t="str">
        <f>IFERROR(__xludf.DUMMYFUNCTION("""COMPUTED_VALUE"""),"ORGANIC")</f>
        <v>ORGANIC</v>
      </c>
      <c r="D227" s="1" t="str">
        <f>IFERROR(__xludf.DUMMYFUNCTION("""COMPUTED_VALUE"""),"REMOLLO LEA")</f>
        <v>REMOLLO LEA</v>
      </c>
      <c r="E227" s="1" t="str">
        <f>IFERROR(__xludf.DUMMYFUNCTION("""COMPUTED_VALUE"""),"RED FIBER")</f>
        <v>RED FIBER</v>
      </c>
      <c r="F227" s="1"/>
      <c r="G227" s="1"/>
      <c r="H227" s="1" t="str">
        <f>IFERROR(__xludf.DUMMYFUNCTION("""COMPUTED_VALUE"""),"9355338356")</f>
        <v>9355338356</v>
      </c>
      <c r="I227" s="1">
        <f>IFERROR(__xludf.DUMMYFUNCTION("""COMPUTED_VALUE"""),9351711443)</f>
        <v>9351711443</v>
      </c>
      <c r="J227" s="1"/>
      <c r="K227" s="1" t="str">
        <f>IFERROR(__xludf.DUMMYFUNCTION("""COMPUTED_VALUE"""),"310")</f>
        <v>310</v>
      </c>
      <c r="L227" s="1" t="str">
        <f>IFERROR(__xludf.DUMMYFUNCTION("""COMPUTED_VALUE"""),"H MARAAN")</f>
        <v>H MARAAN</v>
      </c>
      <c r="M227" s="1" t="str">
        <f>IFERROR(__xludf.DUMMYFUNCTION("""COMPUTED_VALUE"""),"PHASE 1")</f>
        <v>PHASE 1</v>
      </c>
      <c r="N227" s="1" t="str">
        <f>IFERROR(__xludf.DUMMYFUNCTION("""COMPUTED_VALUE"""),"GALICIA III")</f>
        <v>GALICIA III</v>
      </c>
      <c r="O227" s="1" t="str">
        <f>IFERROR(__xludf.DUMMYFUNCTION("""COMPUTED_VALUE"""),"MENDEZ")</f>
        <v>MENDEZ</v>
      </c>
      <c r="P227" s="1" t="str">
        <f>IFERROR(__xludf.DUMMYFUNCTION("""COMPUTED_VALUE"""),"CAVITE")</f>
        <v>CAVITE</v>
      </c>
      <c r="Q227" s="1" t="str">
        <f>IFERROR(__xludf.DUMMYFUNCTION("""COMPUTED_VALUE"""),"RED FIBER PLAN 1900")</f>
        <v>RED FIBER PLAN 1900</v>
      </c>
      <c r="R227" s="1" t="str">
        <f>IFERROR(__xludf.DUMMYFUNCTION("""COMPUTED_VALUE"""),"APPROVED")</f>
        <v>APPROVED</v>
      </c>
      <c r="S227" s="1"/>
      <c r="T227" s="1"/>
      <c r="U227" s="1"/>
      <c r="V227" s="1"/>
      <c r="W227" s="1"/>
    </row>
    <row r="228" customHeight="1" spans="1:23">
      <c r="A228" s="3">
        <f>IFERROR(__xludf.DUMMYFUNCTION("""COMPUTED_VALUE"""),46045)</f>
        <v>46045</v>
      </c>
      <c r="B228" s="1" t="str">
        <f>IFERROR(__xludf.DUMMYFUNCTION("""COMPUTED_VALUE"""),"MIRASOL, RAYRALYN")</f>
        <v>MIRASOL, RAYRALYN</v>
      </c>
      <c r="C228" s="1" t="str">
        <f>IFERROR(__xludf.DUMMYFUNCTION("""COMPUTED_VALUE"""),"ORGANIC")</f>
        <v>ORGANIC</v>
      </c>
      <c r="D228" s="1" t="str">
        <f>IFERROR(__xludf.DUMMYFUNCTION("""COMPUTED_VALUE"""),"ILANO MARK")</f>
        <v>ILANO MARK</v>
      </c>
      <c r="E228" s="1" t="str">
        <f>IFERROR(__xludf.DUMMYFUNCTION("""COMPUTED_VALUE"""),"RED FIBER")</f>
        <v>RED FIBER</v>
      </c>
      <c r="F228" s="1"/>
      <c r="G228" s="1"/>
      <c r="H228" s="1" t="str">
        <f>IFERROR(__xludf.DUMMYFUNCTION("""COMPUTED_VALUE"""),"9770676582")</f>
        <v>9770676582</v>
      </c>
      <c r="I228" s="1"/>
      <c r="J228" s="1"/>
      <c r="K228" s="1" t="str">
        <f>IFERROR(__xludf.DUMMYFUNCTION("""COMPUTED_VALUE"""),"231")</f>
        <v>231</v>
      </c>
      <c r="L228" s="1" t="str">
        <f>IFERROR(__xludf.DUMMYFUNCTION("""COMPUTED_VALUE"""),"PHASE 3")</f>
        <v>PHASE 3</v>
      </c>
      <c r="M228" s="1" t="str">
        <f>IFERROR(__xludf.DUMMYFUNCTION("""COMPUTED_VALUE"""),"LITA BAY FOUNDATION")</f>
        <v>LITA BAY FOUNDATION</v>
      </c>
      <c r="N228" s="1" t="str">
        <f>IFERROR(__xludf.DUMMYFUNCTION("""COMPUTED_VALUE"""),"PANUNGYAN I")</f>
        <v>PANUNGYAN I</v>
      </c>
      <c r="O228" s="1" t="str">
        <f>IFERROR(__xludf.DUMMYFUNCTION("""COMPUTED_VALUE"""),"MENDEZ")</f>
        <v>MENDEZ</v>
      </c>
      <c r="P228" s="1" t="str">
        <f>IFERROR(__xludf.DUMMYFUNCTION("""COMPUTED_VALUE"""),"CAVITE")</f>
        <v>CAVITE</v>
      </c>
      <c r="Q228" s="1" t="str">
        <f>IFERROR(__xludf.DUMMYFUNCTION("""COMPUTED_VALUE"""),"RED FIBER PLAN 1000")</f>
        <v>RED FIBER PLAN 1000</v>
      </c>
      <c r="R228" s="1" t="str">
        <f>IFERROR(__xludf.DUMMYFUNCTION("""COMPUTED_VALUE"""),"APPROVED")</f>
        <v>APPROVED</v>
      </c>
      <c r="S228" s="1"/>
      <c r="T228" s="1"/>
      <c r="U228" s="1"/>
      <c r="V228" s="1"/>
      <c r="W228" s="1"/>
    </row>
    <row r="229" customHeight="1" spans="1:23">
      <c r="A229" s="3">
        <f>IFERROR(__xludf.DUMMYFUNCTION("""COMPUTED_VALUE"""),46045)</f>
        <v>46045</v>
      </c>
      <c r="B229" s="1" t="str">
        <f>IFERROR(__xludf.DUMMYFUNCTION("""COMPUTED_VALUE"""),"CONCEPCION, ALJAY")</f>
        <v>CONCEPCION, ALJAY</v>
      </c>
      <c r="C229" s="1" t="str">
        <f>IFERROR(__xludf.DUMMYFUNCTION("""COMPUTED_VALUE"""),"ORGANIC")</f>
        <v>ORGANIC</v>
      </c>
      <c r="D229" s="1" t="str">
        <f>IFERROR(__xludf.DUMMYFUNCTION("""COMPUTED_VALUE"""),"ILANO MARK")</f>
        <v>ILANO MARK</v>
      </c>
      <c r="E229" s="1" t="str">
        <f>IFERROR(__xludf.DUMMYFUNCTION("""COMPUTED_VALUE"""),"RED FIBER")</f>
        <v>RED FIBER</v>
      </c>
      <c r="F229" s="1"/>
      <c r="G229" s="1"/>
      <c r="H229" s="1" t="str">
        <f>IFERROR(__xludf.DUMMYFUNCTION("""COMPUTED_VALUE"""),"9564678160")</f>
        <v>9564678160</v>
      </c>
      <c r="I229" s="1"/>
      <c r="J229" s="1"/>
      <c r="K229" s="1" t="str">
        <f>IFERROR(__xludf.DUMMYFUNCTION("""COMPUTED_VALUE"""),"258")</f>
        <v>258</v>
      </c>
      <c r="L229" s="1" t="str">
        <f>IFERROR(__xludf.DUMMYFUNCTION("""COMPUTED_VALUE"""),"STA RITA")</f>
        <v>STA RITA</v>
      </c>
      <c r="M229" s="1"/>
      <c r="N229" s="1" t="str">
        <f>IFERROR(__xludf.DUMMYFUNCTION("""COMPUTED_VALUE"""),"KAYBAGAL CENTRAL")</f>
        <v>KAYBAGAL CENTRAL</v>
      </c>
      <c r="O229" s="1" t="str">
        <f>IFERROR(__xludf.DUMMYFUNCTION("""COMPUTED_VALUE"""),"TAGAYTAY")</f>
        <v>TAGAYTAY</v>
      </c>
      <c r="P229" s="1" t="str">
        <f>IFERROR(__xludf.DUMMYFUNCTION("""COMPUTED_VALUE"""),"CAVITE")</f>
        <v>CAVITE</v>
      </c>
      <c r="Q229" s="1" t="str">
        <f>IFERROR(__xludf.DUMMYFUNCTION("""COMPUTED_VALUE"""),"RED FIBER PLAN 1000")</f>
        <v>RED FIBER PLAN 1000</v>
      </c>
      <c r="R229" s="1" t="str">
        <f>IFERROR(__xludf.DUMMYFUNCTION("""COMPUTED_VALUE"""),"APPROVED")</f>
        <v>APPROVED</v>
      </c>
      <c r="S229" s="1"/>
      <c r="T229" s="1"/>
      <c r="U229" s="1"/>
      <c r="V229" s="1"/>
      <c r="W229" s="1"/>
    </row>
    <row r="230" customHeight="1" spans="1:23">
      <c r="A230" s="3">
        <f>IFERROR(__xludf.DUMMYFUNCTION("""COMPUTED_VALUE"""),46045)</f>
        <v>46045</v>
      </c>
      <c r="B230" s="1" t="str">
        <f>IFERROR(__xludf.DUMMYFUNCTION("""COMPUTED_VALUE"""),"ALOS, CHARLS LAURENZ")</f>
        <v>ALOS, CHARLS LAURENZ</v>
      </c>
      <c r="C230" s="1" t="str">
        <f>IFERROR(__xludf.DUMMYFUNCTION("""COMPUTED_VALUE"""),"ORGANIC")</f>
        <v>ORGANIC</v>
      </c>
      <c r="D230" s="1" t="str">
        <f>IFERROR(__xludf.DUMMYFUNCTION("""COMPUTED_VALUE"""),"REMOLLO LEA")</f>
        <v>REMOLLO LEA</v>
      </c>
      <c r="E230" s="1" t="str">
        <f>IFERROR(__xludf.DUMMYFUNCTION("""COMPUTED_VALUE"""),"RED FIBER")</f>
        <v>RED FIBER</v>
      </c>
      <c r="F230" s="1"/>
      <c r="G230" s="1"/>
      <c r="H230" s="1" t="str">
        <f>IFERROR(__xludf.DUMMYFUNCTION("""COMPUTED_VALUE"""),"9557051924")</f>
        <v>9557051924</v>
      </c>
      <c r="I230" s="1"/>
      <c r="J230" s="1"/>
      <c r="K230" s="1" t="str">
        <f>IFERROR(__xludf.DUMMYFUNCTION("""COMPUTED_VALUE"""),"84")</f>
        <v>84</v>
      </c>
      <c r="L230" s="1" t="str">
        <f>IFERROR(__xludf.DUMMYFUNCTION("""COMPUTED_VALUE"""),"MABINI")</f>
        <v>MABINI</v>
      </c>
      <c r="M230" s="1"/>
      <c r="N230" s="1" t="str">
        <f>IFERROR(__xludf.DUMMYFUNCTION("""COMPUTED_VALUE"""),"BARANGAY 6 (POB.)")</f>
        <v>BARANGAY 6 (POB.)</v>
      </c>
      <c r="O230" s="1" t="str">
        <f>IFERROR(__xludf.DUMMYFUNCTION("""COMPUTED_VALUE"""),"MENDEZ")</f>
        <v>MENDEZ</v>
      </c>
      <c r="P230" s="1" t="str">
        <f>IFERROR(__xludf.DUMMYFUNCTION("""COMPUTED_VALUE"""),"CAVITE")</f>
        <v>CAVITE</v>
      </c>
      <c r="Q230" s="1" t="str">
        <f>IFERROR(__xludf.DUMMYFUNCTION("""COMPUTED_VALUE"""),"RED FIBER PLAN 1000")</f>
        <v>RED FIBER PLAN 1000</v>
      </c>
      <c r="R230" s="1" t="str">
        <f>IFERROR(__xludf.DUMMYFUNCTION("""COMPUTED_VALUE"""),"APPROVED")</f>
        <v>APPROVED</v>
      </c>
      <c r="S230" s="1"/>
      <c r="T230" s="1"/>
      <c r="U230" s="1"/>
      <c r="V230" s="1"/>
      <c r="W230" s="1"/>
    </row>
    <row r="231" customHeight="1" spans="1:23">
      <c r="A231" s="3">
        <f>IFERROR(__xludf.DUMMYFUNCTION("""COMPUTED_VALUE"""),46046)</f>
        <v>46046</v>
      </c>
      <c r="B231" s="1" t="str">
        <f>IFERROR(__xludf.DUMMYFUNCTION("""COMPUTED_VALUE"""),"MAGDARAOG, KENNETH")</f>
        <v>MAGDARAOG, KENNETH</v>
      </c>
      <c r="C231" s="1" t="str">
        <f>IFERROR(__xludf.DUMMYFUNCTION("""COMPUTED_VALUE"""),"ORGANIC")</f>
        <v>ORGANIC</v>
      </c>
      <c r="D231" s="1" t="str">
        <f>IFERROR(__xludf.DUMMYFUNCTION("""COMPUTED_VALUE"""),"REMOLLO LEA")</f>
        <v>REMOLLO LEA</v>
      </c>
      <c r="E231" s="1" t="str">
        <f>IFERROR(__xludf.DUMMYFUNCTION("""COMPUTED_VALUE"""),"PLDT")</f>
        <v>PLDT</v>
      </c>
      <c r="F231" s="1">
        <f>IFERROR(__xludf.DUMMYFUNCTION("""COMPUTED_VALUE"""),2306465114)</f>
        <v>2306465114</v>
      </c>
      <c r="G231" s="1"/>
      <c r="H231" s="1" t="str">
        <f>IFERROR(__xludf.DUMMYFUNCTION("""COMPUTED_VALUE"""),"9944790553")</f>
        <v>9944790553</v>
      </c>
      <c r="I231" s="1">
        <f>IFERROR(__xludf.DUMMYFUNCTION("""COMPUTED_VALUE"""),9943319565)</f>
        <v>9943319565</v>
      </c>
      <c r="J231" s="1"/>
      <c r="K231" s="1" t="str">
        <f>IFERROR(__xludf.DUMMYFUNCTION("""COMPUTED_VALUE"""),"BLK 21 LOT 14")</f>
        <v>BLK 21 LOT 14</v>
      </c>
      <c r="L231" s="1" t="str">
        <f>IFERROR(__xludf.DUMMYFUNCTION("""COMPUTED_VALUE"""),"NARRA RD")</f>
        <v>NARRA RD</v>
      </c>
      <c r="M231" s="1"/>
      <c r="N231" s="1" t="str">
        <f>IFERROR(__xludf.DUMMYFUNCTION("""COMPUTED_VALUE"""),"NARRA I")</f>
        <v>NARRA I</v>
      </c>
      <c r="O231" s="1" t="str">
        <f>IFERROR(__xludf.DUMMYFUNCTION("""COMPUTED_VALUE"""),"SILANG")</f>
        <v>SILANG</v>
      </c>
      <c r="P231" s="1" t="str">
        <f>IFERROR(__xludf.DUMMYFUNCTION("""COMPUTED_VALUE"""),"CAVITE")</f>
        <v>CAVITE</v>
      </c>
      <c r="Q231" s="1" t="str">
        <f>IFERROR(__xludf.DUMMYFUNCTION("""COMPUTED_VALUE"""),"FIBR PLAN 1399")</f>
        <v>FIBR PLAN 1399</v>
      </c>
      <c r="R231" s="1" t="str">
        <f>IFERROR(__xludf.DUMMYFUNCTION("""COMPUTED_VALUE"""),"APPROVED")</f>
        <v>APPROVED</v>
      </c>
      <c r="S231" s="1"/>
      <c r="T231" s="1"/>
      <c r="U231" s="1"/>
      <c r="V231" s="1"/>
      <c r="W231" s="1"/>
    </row>
    <row r="232" customHeight="1" spans="1:23">
      <c r="A232" s="3">
        <f>IFERROR(__xludf.DUMMYFUNCTION("""COMPUTED_VALUE"""),46046)</f>
        <v>46046</v>
      </c>
      <c r="B232" s="1" t="str">
        <f>IFERROR(__xludf.DUMMYFUNCTION("""COMPUTED_VALUE"""),"MIRASOL, RAYRALYN")</f>
        <v>MIRASOL, RAYRALYN</v>
      </c>
      <c r="C232" s="1" t="str">
        <f>IFERROR(__xludf.DUMMYFUNCTION("""COMPUTED_VALUE"""),"ORGANIC")</f>
        <v>ORGANIC</v>
      </c>
      <c r="D232" s="1" t="str">
        <f>IFERROR(__xludf.DUMMYFUNCTION("""COMPUTED_VALUE"""),"ILANO MARK")</f>
        <v>ILANO MARK</v>
      </c>
      <c r="E232" s="1" t="str">
        <f>IFERROR(__xludf.DUMMYFUNCTION("""COMPUTED_VALUE"""),"PLDT")</f>
        <v>PLDT</v>
      </c>
      <c r="F232" s="1">
        <f>IFERROR(__xludf.DUMMYFUNCTION("""COMPUTED_VALUE"""),2306464267)</f>
        <v>2306464267</v>
      </c>
      <c r="G232" s="1"/>
      <c r="H232" s="1" t="str">
        <f>IFERROR(__xludf.DUMMYFUNCTION("""COMPUTED_VALUE"""),"9516326162")</f>
        <v>9516326162</v>
      </c>
      <c r="I232" s="1"/>
      <c r="J232" s="1"/>
      <c r="K232" s="1" t="str">
        <f>IFERROR(__xludf.DUMMYFUNCTION("""COMPUTED_VALUE"""),"BLK 67 LOT 6")</f>
        <v>BLK 67 LOT 6</v>
      </c>
      <c r="L232" s="1" t="str">
        <f>IFERROR(__xludf.DUMMYFUNCTION("""COMPUTED_VALUE"""),"ZONE 5")</f>
        <v>ZONE 5</v>
      </c>
      <c r="M232" s="1"/>
      <c r="N232" s="1" t="str">
        <f>IFERROR(__xludf.DUMMYFUNCTION("""COMPUTED_VALUE"""),"BULIHAN")</f>
        <v>BULIHAN</v>
      </c>
      <c r="O232" s="1" t="str">
        <f>IFERROR(__xludf.DUMMYFUNCTION("""COMPUTED_VALUE"""),"SILANG")</f>
        <v>SILANG</v>
      </c>
      <c r="P232" s="1" t="str">
        <f>IFERROR(__xludf.DUMMYFUNCTION("""COMPUTED_VALUE"""),"CAVITE")</f>
        <v>CAVITE</v>
      </c>
      <c r="Q232" s="1" t="str">
        <f>IFERROR(__xludf.DUMMYFUNCTION("""COMPUTED_VALUE"""),"FIBR PLAN 1399")</f>
        <v>FIBR PLAN 1399</v>
      </c>
      <c r="R232" s="1" t="str">
        <f>IFERROR(__xludf.DUMMYFUNCTION("""COMPUTED_VALUE"""),"APPROVED")</f>
        <v>APPROVED</v>
      </c>
      <c r="S232" s="1"/>
      <c r="T232" s="1"/>
      <c r="U232" s="1"/>
      <c r="V232" s="1"/>
      <c r="W232" s="1"/>
    </row>
    <row r="233" customHeight="1" spans="1:23">
      <c r="A233" s="3">
        <f>IFERROR(__xludf.DUMMYFUNCTION("""COMPUTED_VALUE"""),46046)</f>
        <v>46046</v>
      </c>
      <c r="B233" s="1" t="str">
        <f>IFERROR(__xludf.DUMMYFUNCTION("""COMPUTED_VALUE"""),"FRANCISCO , ROSELYN")</f>
        <v>FRANCISCO , ROSELYN</v>
      </c>
      <c r="C233" s="1" t="str">
        <f>IFERROR(__xludf.DUMMYFUNCTION("""COMPUTED_VALUE"""),"FLA")</f>
        <v>FLA</v>
      </c>
      <c r="D233" s="1" t="str">
        <f>IFERROR(__xludf.DUMMYFUNCTION("""COMPUTED_VALUE"""),"JERIC NAVARRO")</f>
        <v>JERIC NAVARRO</v>
      </c>
      <c r="E233" s="1" t="str">
        <f>IFERROR(__xludf.DUMMYFUNCTION("""COMPUTED_VALUE"""),"PLDT")</f>
        <v>PLDT</v>
      </c>
      <c r="F233" s="1">
        <f>IFERROR(__xludf.DUMMYFUNCTION("""COMPUTED_VALUE"""),2306466327)</f>
        <v>2306466327</v>
      </c>
      <c r="G233" s="1"/>
      <c r="H233" s="1" t="str">
        <f>IFERROR(__xludf.DUMMYFUNCTION("""COMPUTED_VALUE"""),"9178741212")</f>
        <v>9178741212</v>
      </c>
      <c r="I233" s="1">
        <f>IFERROR(__xludf.DUMMYFUNCTION("""COMPUTED_VALUE"""),9274749327)</f>
        <v>9274749327</v>
      </c>
      <c r="J233" s="1"/>
      <c r="K233" s="1" t="str">
        <f>IFERROR(__xludf.DUMMYFUNCTION("""COMPUTED_VALUE"""),"BLK 14 LOT 24")</f>
        <v>BLK 14 LOT 24</v>
      </c>
      <c r="L233" s="1" t="str">
        <f>IFERROR(__xludf.DUMMYFUNCTION("""COMPUTED_VALUE"""),"PHASE 4")</f>
        <v>PHASE 4</v>
      </c>
      <c r="M233" s="1" t="str">
        <f>IFERROR(__xludf.DUMMYFUNCTION("""COMPUTED_VALUE"""),"CASA MONTEVERDE")</f>
        <v>CASA MONTEVERDE</v>
      </c>
      <c r="N233" s="1" t="str">
        <f>IFERROR(__xludf.DUMMYFUNCTION("""COMPUTED_VALUE"""),"FRANCISCO DE CASTRO (SUNSHINE VILL.)")</f>
        <v>FRANCISCO DE CASTRO (SUNSHINE VILL.)</v>
      </c>
      <c r="O233" s="1" t="str">
        <f>IFERROR(__xludf.DUMMYFUNCTION("""COMPUTED_VALUE"""),"GEN MARIANO ALVAREZ")</f>
        <v>GEN MARIANO ALVAREZ</v>
      </c>
      <c r="P233" s="1" t="str">
        <f>IFERROR(__xludf.DUMMYFUNCTION("""COMPUTED_VALUE"""),"CAVITE")</f>
        <v>CAVITE</v>
      </c>
      <c r="Q233" s="1" t="str">
        <f>IFERROR(__xludf.DUMMYFUNCTION("""COMPUTED_VALUE"""),"FIBR PLAN 1399")</f>
        <v>FIBR PLAN 1399</v>
      </c>
      <c r="R233" s="1" t="str">
        <f>IFERROR(__xludf.DUMMYFUNCTION("""COMPUTED_VALUE"""),"APPROVED")</f>
        <v>APPROVED</v>
      </c>
      <c r="S233" s="1"/>
      <c r="T233" s="1"/>
      <c r="U233" s="1"/>
      <c r="V233" s="1"/>
      <c r="W233" s="1"/>
    </row>
    <row r="234" customHeight="1" spans="1:23">
      <c r="A234" s="3">
        <f>IFERROR(__xludf.DUMMYFUNCTION("""COMPUTED_VALUE"""),46046)</f>
        <v>46046</v>
      </c>
      <c r="B234" s="1" t="str">
        <f>IFERROR(__xludf.DUMMYFUNCTION("""COMPUTED_VALUE"""),"NAVARRO, JERIC")</f>
        <v>NAVARRO, JERIC</v>
      </c>
      <c r="C234" s="1" t="str">
        <f>IFERROR(__xludf.DUMMYFUNCTION("""COMPUTED_VALUE"""),"FLA")</f>
        <v>FLA</v>
      </c>
      <c r="D234" s="1" t="str">
        <f>IFERROR(__xludf.DUMMYFUNCTION("""COMPUTED_VALUE"""),"JERIC NAVARRO")</f>
        <v>JERIC NAVARRO</v>
      </c>
      <c r="E234" s="1" t="str">
        <f>IFERROR(__xludf.DUMMYFUNCTION("""COMPUTED_VALUE"""),"PLDT")</f>
        <v>PLDT</v>
      </c>
      <c r="F234" s="1"/>
      <c r="G234" s="1"/>
      <c r="H234" s="1" t="str">
        <f>IFERROR(__xludf.DUMMYFUNCTION("""COMPUTED_VALUE"""),"9989712249")</f>
        <v>9989712249</v>
      </c>
      <c r="I234" s="1">
        <f>IFERROR(__xludf.DUMMYFUNCTION("""COMPUTED_VALUE"""),9164720083)</f>
        <v>9164720083</v>
      </c>
      <c r="J234" s="1"/>
      <c r="K234" s="1" t="str">
        <f>IFERROR(__xludf.DUMMYFUNCTION("""COMPUTED_VALUE"""),"BLK 1 LOT 13")</f>
        <v>BLK 1 LOT 13</v>
      </c>
      <c r="L234" s="1" t="str">
        <f>IFERROR(__xludf.DUMMYFUNCTION("""COMPUTED_VALUE"""),"GARNET")</f>
        <v>GARNET</v>
      </c>
      <c r="M234" s="1" t="str">
        <f>IFERROR(__xludf.DUMMYFUNCTION("""COMPUTED_VALUE"""),"CARRENVILLE SUBS")</f>
        <v>CARRENVILLE SUBS</v>
      </c>
      <c r="N234" s="1" t="str">
        <f>IFERROR(__xludf.DUMMYFUNCTION("""COMPUTED_VALUE"""),"MAGDALO")</f>
        <v>MAGDALO</v>
      </c>
      <c r="O234" s="1" t="str">
        <f>IFERROR(__xludf.DUMMYFUNCTION("""COMPUTED_VALUE"""),"KAWIT")</f>
        <v>KAWIT</v>
      </c>
      <c r="P234" s="1" t="str">
        <f>IFERROR(__xludf.DUMMYFUNCTION("""COMPUTED_VALUE"""),"CAVITE")</f>
        <v>CAVITE</v>
      </c>
      <c r="Q234" s="1" t="str">
        <f>IFERROR(__xludf.DUMMYFUNCTION("""COMPUTED_VALUE"""),"FIBR PLAN 1699")</f>
        <v>FIBR PLAN 1699</v>
      </c>
      <c r="R234" s="1" t="str">
        <f>IFERROR(__xludf.DUMMYFUNCTION("""COMPUTED_VALUE"""),"HOLD")</f>
        <v>HOLD</v>
      </c>
      <c r="S234" s="1" t="str">
        <f>IFERROR(__xludf.DUMMYFUNCTION("""COMPUTED_VALUE"""),"FOR PROCESS NG FEB 5")</f>
        <v>FOR PROCESS NG FEB 5</v>
      </c>
      <c r="T234" s="1"/>
      <c r="U234" s="1"/>
      <c r="V234" s="1"/>
      <c r="W234" s="1"/>
    </row>
    <row r="235" customHeight="1" spans="1:23">
      <c r="A235" s="3">
        <f>IFERROR(__xludf.DUMMYFUNCTION("""COMPUTED_VALUE"""),46046)</f>
        <v>46046</v>
      </c>
      <c r="B235" s="1" t="str">
        <f>IFERROR(__xludf.DUMMYFUNCTION("""COMPUTED_VALUE"""),"DE LEON, MERLY")</f>
        <v>DE LEON, MERLY</v>
      </c>
      <c r="C235" s="1" t="str">
        <f>IFERROR(__xludf.DUMMYFUNCTION("""COMPUTED_VALUE"""),"ORGANIC")</f>
        <v>ORGANIC</v>
      </c>
      <c r="D235" s="1" t="str">
        <f>IFERROR(__xludf.DUMMYFUNCTION("""COMPUTED_VALUE"""),"ILANO MARK")</f>
        <v>ILANO MARK</v>
      </c>
      <c r="E235" s="1" t="str">
        <f>IFERROR(__xludf.DUMMYFUNCTION("""COMPUTED_VALUE"""),"PLDT")</f>
        <v>PLDT</v>
      </c>
      <c r="F235" s="1">
        <f>IFERROR(__xludf.DUMMYFUNCTION("""COMPUTED_VALUE"""),2306469170)</f>
        <v>2306469170</v>
      </c>
      <c r="G235" s="1"/>
      <c r="H235" s="1" t="str">
        <f>IFERROR(__xludf.DUMMYFUNCTION("""COMPUTED_VALUE"""),"9294816257")</f>
        <v>9294816257</v>
      </c>
      <c r="I235" s="1">
        <f>IFERROR(__xludf.DUMMYFUNCTION("""COMPUTED_VALUE"""),9474202878)</f>
        <v>9474202878</v>
      </c>
      <c r="J235" s="1"/>
      <c r="K235" s="1" t="str">
        <f>IFERROR(__xludf.DUMMYFUNCTION("""COMPUTED_VALUE"""),"BLK 9 LOT 1")</f>
        <v>BLK 9 LOT 1</v>
      </c>
      <c r="L235" s="1" t="str">
        <f>IFERROR(__xludf.DUMMYFUNCTION("""COMPUTED_VALUE"""),"SAN JOSE RD")</f>
        <v>SAN JOSE RD</v>
      </c>
      <c r="M235" s="1"/>
      <c r="N235" s="1" t="str">
        <f>IFERROR(__xludf.DUMMYFUNCTION("""COMPUTED_VALUE"""),"NICOLASA VIRATA (SAN JOSE)")</f>
        <v>NICOLASA VIRATA (SAN JOSE)</v>
      </c>
      <c r="O235" s="1" t="str">
        <f>IFERROR(__xludf.DUMMYFUNCTION("""COMPUTED_VALUE"""),"GEN MARIANO ALVAREZ")</f>
        <v>GEN MARIANO ALVAREZ</v>
      </c>
      <c r="P235" s="1" t="str">
        <f>IFERROR(__xludf.DUMMYFUNCTION("""COMPUTED_VALUE"""),"CAVITE")</f>
        <v>CAVITE</v>
      </c>
      <c r="Q235" s="1" t="str">
        <f>IFERROR(__xludf.DUMMYFUNCTION("""COMPUTED_VALUE"""),"FIBR PLAN 1399")</f>
        <v>FIBR PLAN 1399</v>
      </c>
      <c r="R235" s="1" t="str">
        <f>IFERROR(__xludf.DUMMYFUNCTION("""COMPUTED_VALUE"""),"APPROVED")</f>
        <v>APPROVED</v>
      </c>
      <c r="S235" s="1"/>
      <c r="T235" s="1"/>
      <c r="U235" s="1"/>
      <c r="V235" s="1"/>
      <c r="W235" s="1"/>
    </row>
    <row r="236" customHeight="1" spans="1:23">
      <c r="A236" s="3">
        <f>IFERROR(__xludf.DUMMYFUNCTION("""COMPUTED_VALUE"""),46046)</f>
        <v>46046</v>
      </c>
      <c r="B236" s="1" t="str">
        <f>IFERROR(__xludf.DUMMYFUNCTION("""COMPUTED_VALUE"""),"DELA TORRE , IGNACIA")</f>
        <v>DELA TORRE , IGNACIA</v>
      </c>
      <c r="C236" s="1" t="str">
        <f>IFERROR(__xludf.DUMMYFUNCTION("""COMPUTED_VALUE"""),"ORGANIC")</f>
        <v>ORGANIC</v>
      </c>
      <c r="D236" s="1" t="str">
        <f>IFERROR(__xludf.DUMMYFUNCTION("""COMPUTED_VALUE"""),"ILANO MARK")</f>
        <v>ILANO MARK</v>
      </c>
      <c r="E236" s="1" t="str">
        <f>IFERROR(__xludf.DUMMYFUNCTION("""COMPUTED_VALUE"""),"RED FIBER")</f>
        <v>RED FIBER</v>
      </c>
      <c r="F236" s="1"/>
      <c r="G236" s="1"/>
      <c r="H236" s="1" t="str">
        <f>IFERROR(__xludf.DUMMYFUNCTION("""COMPUTED_VALUE"""),"9278701905")</f>
        <v>9278701905</v>
      </c>
      <c r="I236" s="1"/>
      <c r="J236" s="1"/>
      <c r="K236" s="1" t="str">
        <f>IFERROR(__xludf.DUMMYFUNCTION("""COMPUTED_VALUE"""),"1104")</f>
        <v>1104</v>
      </c>
      <c r="L236" s="1" t="str">
        <f>IFERROR(__xludf.DUMMYFUNCTION("""COMPUTED_VALUE"""),"JP RIZAL")</f>
        <v>JP RIZAL</v>
      </c>
      <c r="M236" s="1"/>
      <c r="N236" s="1" t="str">
        <f>IFERROR(__xludf.DUMMYFUNCTION("""COMPUTED_VALUE"""),"POBLACION I")</f>
        <v>POBLACION I</v>
      </c>
      <c r="O236" s="1" t="str">
        <f>IFERROR(__xludf.DUMMYFUNCTION("""COMPUTED_VALUE"""),"MENDEZ")</f>
        <v>MENDEZ</v>
      </c>
      <c r="P236" s="1" t="str">
        <f>IFERROR(__xludf.DUMMYFUNCTION("""COMPUTED_VALUE"""),"CAVITE")</f>
        <v>CAVITE</v>
      </c>
      <c r="Q236" s="1" t="str">
        <f>IFERROR(__xludf.DUMMYFUNCTION("""COMPUTED_VALUE"""),"RED FIBER PLAN 1000")</f>
        <v>RED FIBER PLAN 1000</v>
      </c>
      <c r="R236" s="1" t="str">
        <f>IFERROR(__xludf.DUMMYFUNCTION("""COMPUTED_VALUE"""),"APPROVED")</f>
        <v>APPROVED</v>
      </c>
      <c r="S236" s="1"/>
      <c r="T236" s="1"/>
      <c r="U236" s="1"/>
      <c r="V236" s="1"/>
      <c r="W236" s="1"/>
    </row>
    <row r="237" customHeight="1" spans="1:23">
      <c r="A237" s="3">
        <f>IFERROR(__xludf.DUMMYFUNCTION("""COMPUTED_VALUE"""),46046)</f>
        <v>46046</v>
      </c>
      <c r="B237" s="1" t="str">
        <f>IFERROR(__xludf.DUMMYFUNCTION("""COMPUTED_VALUE"""),"IVNO, RAZZEL")</f>
        <v>IVNO, RAZZEL</v>
      </c>
      <c r="C237" s="1" t="str">
        <f>IFERROR(__xludf.DUMMYFUNCTION("""COMPUTED_VALUE"""),"ORGANIC")</f>
        <v>ORGANIC</v>
      </c>
      <c r="D237" s="1" t="str">
        <f>IFERROR(__xludf.DUMMYFUNCTION("""COMPUTED_VALUE"""),"REMOLLO LEA")</f>
        <v>REMOLLO LEA</v>
      </c>
      <c r="E237" s="1" t="str">
        <f>IFERROR(__xludf.DUMMYFUNCTION("""COMPUTED_VALUE"""),"RED FIBER")</f>
        <v>RED FIBER</v>
      </c>
      <c r="F237" s="1"/>
      <c r="G237" s="1"/>
      <c r="H237" s="1" t="str">
        <f>IFERROR(__xludf.DUMMYFUNCTION("""COMPUTED_VALUE"""),"9168754253")</f>
        <v>9168754253</v>
      </c>
      <c r="I237" s="1">
        <f>IFERROR(__xludf.DUMMYFUNCTION("""COMPUTED_VALUE"""),9676925386)</f>
        <v>9676925386</v>
      </c>
      <c r="J237" s="1"/>
      <c r="K237" s="1" t="str">
        <f>IFERROR(__xludf.DUMMYFUNCTION("""COMPUTED_VALUE"""),"BLK 1 LOT 22")</f>
        <v>BLK 1 LOT 22</v>
      </c>
      <c r="L237" s="1" t="str">
        <f>IFERROR(__xludf.DUMMYFUNCTION("""COMPUTED_VALUE"""),"PHASE 2")</f>
        <v>PHASE 2</v>
      </c>
      <c r="M237" s="1"/>
      <c r="N237" s="1" t="str">
        <f>IFERROR(__xludf.DUMMYFUNCTION("""COMPUTED_VALUE"""),"PANUNGYAN I")</f>
        <v>PANUNGYAN I</v>
      </c>
      <c r="O237" s="1" t="str">
        <f>IFERROR(__xludf.DUMMYFUNCTION("""COMPUTED_VALUE"""),"MENDEZ")</f>
        <v>MENDEZ</v>
      </c>
      <c r="P237" s="1" t="str">
        <f>IFERROR(__xludf.DUMMYFUNCTION("""COMPUTED_VALUE"""),"CAVITE")</f>
        <v>CAVITE</v>
      </c>
      <c r="Q237" s="1" t="str">
        <f>IFERROR(__xludf.DUMMYFUNCTION("""COMPUTED_VALUE"""),"RED FIBER PLAN 1000")</f>
        <v>RED FIBER PLAN 1000</v>
      </c>
      <c r="R237" s="1" t="str">
        <f>IFERROR(__xludf.DUMMYFUNCTION("""COMPUTED_VALUE"""),"APPROVED")</f>
        <v>APPROVED</v>
      </c>
      <c r="S237" s="1"/>
      <c r="T237" s="1"/>
      <c r="U237" s="1"/>
      <c r="V237" s="1"/>
      <c r="W237" s="1"/>
    </row>
    <row r="238" customHeight="1" spans="1:23">
      <c r="A238" s="3">
        <f>IFERROR(__xludf.DUMMYFUNCTION("""COMPUTED_VALUE"""),46046)</f>
        <v>46046</v>
      </c>
      <c r="B238" s="1" t="str">
        <f>IFERROR(__xludf.DUMMYFUNCTION("""COMPUTED_VALUE"""),"DACALCAP RUBEN")</f>
        <v>DACALCAP RUBEN</v>
      </c>
      <c r="C238" s="1" t="str">
        <f>IFERROR(__xludf.DUMMYFUNCTION("""COMPUTED_VALUE"""),"FLA")</f>
        <v>FLA</v>
      </c>
      <c r="D238" s="1" t="str">
        <f>IFERROR(__xludf.DUMMYFUNCTION("""COMPUTED_VALUE"""),"JERIC NAVARRO")</f>
        <v>JERIC NAVARRO</v>
      </c>
      <c r="E238" s="1" t="str">
        <f>IFERROR(__xludf.DUMMYFUNCTION("""COMPUTED_VALUE"""),"PLDT")</f>
        <v>PLDT</v>
      </c>
      <c r="F238" s="1">
        <f>IFERROR(__xludf.DUMMYFUNCTION("""COMPUTED_VALUE"""),2306483320)</f>
        <v>2306483320</v>
      </c>
      <c r="G238" s="1"/>
      <c r="H238" s="1" t="str">
        <f>IFERROR(__xludf.DUMMYFUNCTION("""COMPUTED_VALUE"""),"9677895774")</f>
        <v>9677895774</v>
      </c>
      <c r="I238" s="1">
        <f>IFERROR(__xludf.DUMMYFUNCTION("""COMPUTED_VALUE"""),9161553018)</f>
        <v>9161553018</v>
      </c>
      <c r="J238" s="1"/>
      <c r="K238" s="1" t="str">
        <f>IFERROR(__xludf.DUMMYFUNCTION("""COMPUTED_VALUE"""),"123")</f>
        <v>123</v>
      </c>
      <c r="L238" s="1" t="str">
        <f>IFERROR(__xludf.DUMMYFUNCTION("""COMPUTED_VALUE"""),"MOLAVE ST")</f>
        <v>MOLAVE ST</v>
      </c>
      <c r="M238" s="1"/>
      <c r="N238" s="1" t="str">
        <f>IFERROR(__xludf.DUMMYFUNCTION("""COMPUTED_VALUE"""),"SAN MIGUEL I")</f>
        <v>SAN MIGUEL I</v>
      </c>
      <c r="O238" s="1" t="str">
        <f>IFERROR(__xludf.DUMMYFUNCTION("""COMPUTED_VALUE"""),"SILANG")</f>
        <v>SILANG</v>
      </c>
      <c r="P238" s="1" t="str">
        <f>IFERROR(__xludf.DUMMYFUNCTION("""COMPUTED_VALUE"""),"CAVITE")</f>
        <v>CAVITE</v>
      </c>
      <c r="Q238" s="1" t="str">
        <f>IFERROR(__xludf.DUMMYFUNCTION("""COMPUTED_VALUE"""),"FIBR PLAN 1399")</f>
        <v>FIBR PLAN 1399</v>
      </c>
      <c r="R238" s="1" t="str">
        <f>IFERROR(__xludf.DUMMYFUNCTION("""COMPUTED_VALUE"""),"APPROVED")</f>
        <v>APPROVED</v>
      </c>
      <c r="S238" s="1"/>
      <c r="T238" s="1"/>
      <c r="U238" s="1"/>
      <c r="V238" s="1"/>
      <c r="W238" s="1"/>
    </row>
    <row r="239" customHeight="1" spans="1:23">
      <c r="A239" s="3">
        <f>IFERROR(__xludf.DUMMYFUNCTION("""COMPUTED_VALUE"""),46046)</f>
        <v>46046</v>
      </c>
      <c r="B239" s="1" t="str">
        <f>IFERROR(__xludf.DUMMYFUNCTION("""COMPUTED_VALUE"""),"CONCEPCION, ALJAY")</f>
        <v>CONCEPCION, ALJAY</v>
      </c>
      <c r="C239" s="1" t="str">
        <f>IFERROR(__xludf.DUMMYFUNCTION("""COMPUTED_VALUE"""),"ORGANIC")</f>
        <v>ORGANIC</v>
      </c>
      <c r="D239" s="1" t="str">
        <f>IFERROR(__xludf.DUMMYFUNCTION("""COMPUTED_VALUE"""),"ILANO MARK")</f>
        <v>ILANO MARK</v>
      </c>
      <c r="E239" s="1" t="str">
        <f>IFERROR(__xludf.DUMMYFUNCTION("""COMPUTED_VALUE"""),"PLDT")</f>
        <v>PLDT</v>
      </c>
      <c r="F239" s="1">
        <f>IFERROR(__xludf.DUMMYFUNCTION("""COMPUTED_VALUE"""),2306470086)</f>
        <v>2306470086</v>
      </c>
      <c r="G239" s="1"/>
      <c r="H239" s="1" t="str">
        <f>IFERROR(__xludf.DUMMYFUNCTION("""COMPUTED_VALUE"""),"9303812639")</f>
        <v>9303812639</v>
      </c>
      <c r="I239" s="1">
        <f>IFERROR(__xludf.DUMMYFUNCTION("""COMPUTED_VALUE"""),9944206985)</f>
        <v>9944206985</v>
      </c>
      <c r="J239" s="1"/>
      <c r="K239" s="1" t="str">
        <f>IFERROR(__xludf.DUMMYFUNCTION("""COMPUTED_VALUE"""),"BLK C2A LOT 25")</f>
        <v>BLK C2A LOT 25</v>
      </c>
      <c r="L239" s="1" t="str">
        <f>IFERROR(__xludf.DUMMYFUNCTION("""COMPUTED_VALUE"""),"VIRATA RD")</f>
        <v>VIRATA RD</v>
      </c>
      <c r="M239" s="1"/>
      <c r="N239" s="1" t="str">
        <f>IFERROR(__xludf.DUMMYFUNCTION("""COMPUTED_VALUE"""),"NICOLASA VIRATA (SAN JOSE)")</f>
        <v>NICOLASA VIRATA (SAN JOSE)</v>
      </c>
      <c r="O239" s="1" t="str">
        <f>IFERROR(__xludf.DUMMYFUNCTION("""COMPUTED_VALUE"""),"GEN MARIANO ALVAREZ")</f>
        <v>GEN MARIANO ALVAREZ</v>
      </c>
      <c r="P239" s="1" t="str">
        <f>IFERROR(__xludf.DUMMYFUNCTION("""COMPUTED_VALUE"""),"CAVITE")</f>
        <v>CAVITE</v>
      </c>
      <c r="Q239" s="1" t="str">
        <f>IFERROR(__xludf.DUMMYFUNCTION("""COMPUTED_VALUE"""),"FIBR PLAN 1399")</f>
        <v>FIBR PLAN 1399</v>
      </c>
      <c r="R239" s="1" t="str">
        <f>IFERROR(__xludf.DUMMYFUNCTION("""COMPUTED_VALUE"""),"APPROVED")</f>
        <v>APPROVED</v>
      </c>
      <c r="S239" s="1"/>
      <c r="T239" s="1"/>
      <c r="U239" s="1"/>
      <c r="V239" s="1"/>
      <c r="W239" s="1"/>
    </row>
    <row r="240" customHeight="1" spans="1:23">
      <c r="A240" s="3">
        <f>IFERROR(__xludf.DUMMYFUNCTION("""COMPUTED_VALUE"""),46046)</f>
        <v>46046</v>
      </c>
      <c r="B240" s="1" t="str">
        <f>IFERROR(__xludf.DUMMYFUNCTION("""COMPUTED_VALUE"""),"DE VERA, MARIVIC")</f>
        <v>DE VERA, MARIVIC</v>
      </c>
      <c r="C240" s="1" t="str">
        <f>IFERROR(__xludf.DUMMYFUNCTION("""COMPUTED_VALUE"""),"ORGANIC")</f>
        <v>ORGANIC</v>
      </c>
      <c r="D240" s="1" t="str">
        <f>IFERROR(__xludf.DUMMYFUNCTION("""COMPUTED_VALUE"""),"REMOLLO LEA")</f>
        <v>REMOLLO LEA</v>
      </c>
      <c r="E240" s="1" t="str">
        <f>IFERROR(__xludf.DUMMYFUNCTION("""COMPUTED_VALUE"""),"RED FIBER")</f>
        <v>RED FIBER</v>
      </c>
      <c r="F240" s="1"/>
      <c r="G240" s="1"/>
      <c r="H240" s="1" t="str">
        <f>IFERROR(__xludf.DUMMYFUNCTION("""COMPUTED_VALUE"""),"9300302163")</f>
        <v>9300302163</v>
      </c>
      <c r="I240" s="1"/>
      <c r="J240" s="1"/>
      <c r="K240" s="1" t="str">
        <f>IFERROR(__xludf.DUMMYFUNCTION("""COMPUTED_VALUE"""),"452")</f>
        <v>452</v>
      </c>
      <c r="L240" s="1" t="str">
        <f>IFERROR(__xludf.DUMMYFUNCTION("""COMPUTED_VALUE"""),"KAYBAGAL RD")</f>
        <v>KAYBAGAL RD</v>
      </c>
      <c r="M240" s="1"/>
      <c r="N240" s="1" t="str">
        <f>IFERROR(__xludf.DUMMYFUNCTION("""COMPUTED_VALUE"""),"KAYBAGAL CENTRAL")</f>
        <v>KAYBAGAL CENTRAL</v>
      </c>
      <c r="O240" s="1" t="str">
        <f>IFERROR(__xludf.DUMMYFUNCTION("""COMPUTED_VALUE"""),"TAGAYTAY")</f>
        <v>TAGAYTAY</v>
      </c>
      <c r="P240" s="1" t="str">
        <f>IFERROR(__xludf.DUMMYFUNCTION("""COMPUTED_VALUE"""),"CAVITE")</f>
        <v>CAVITE</v>
      </c>
      <c r="Q240" s="1" t="str">
        <f>IFERROR(__xludf.DUMMYFUNCTION("""COMPUTED_VALUE"""),"RED FIBER PLAN 1000")</f>
        <v>RED FIBER PLAN 1000</v>
      </c>
      <c r="R240" s="1" t="str">
        <f>IFERROR(__xludf.DUMMYFUNCTION("""COMPUTED_VALUE"""),"APPROVED")</f>
        <v>APPROVED</v>
      </c>
      <c r="S240" s="1"/>
      <c r="T240" s="1"/>
      <c r="U240" s="1"/>
      <c r="V240" s="1"/>
      <c r="W240" s="1"/>
    </row>
    <row r="241" customHeight="1" spans="1:23">
      <c r="A241" s="3">
        <f>IFERROR(__xludf.DUMMYFUNCTION("""COMPUTED_VALUE"""),46046)</f>
        <v>46046</v>
      </c>
      <c r="B241" s="1" t="str">
        <f>IFERROR(__xludf.DUMMYFUNCTION("""COMPUTED_VALUE"""),"MIRASOL, RAYRALYN")</f>
        <v>MIRASOL, RAYRALYN</v>
      </c>
      <c r="C241" s="1" t="str">
        <f>IFERROR(__xludf.DUMMYFUNCTION("""COMPUTED_VALUE"""),"ORGANIC")</f>
        <v>ORGANIC</v>
      </c>
      <c r="D241" s="1" t="str">
        <f>IFERROR(__xludf.DUMMYFUNCTION("""COMPUTED_VALUE"""),"ILANO MARK")</f>
        <v>ILANO MARK</v>
      </c>
      <c r="E241" s="1" t="str">
        <f>IFERROR(__xludf.DUMMYFUNCTION("""COMPUTED_VALUE"""),"PLDT")</f>
        <v>PLDT</v>
      </c>
      <c r="F241" s="1">
        <f>IFERROR(__xludf.DUMMYFUNCTION("""COMPUTED_VALUE"""),2306471014)</f>
        <v>2306471014</v>
      </c>
      <c r="G241" s="1"/>
      <c r="H241" s="1" t="str">
        <f>IFERROR(__xludf.DUMMYFUNCTION("""COMPUTED_VALUE"""),"9858119369")</f>
        <v>9858119369</v>
      </c>
      <c r="I241" s="1">
        <f>IFERROR(__xludf.DUMMYFUNCTION("""COMPUTED_VALUE"""),9513355052)</f>
        <v>9513355052</v>
      </c>
      <c r="J241" s="1"/>
      <c r="K241" s="1" t="str">
        <f>IFERROR(__xludf.DUMMYFUNCTION("""COMPUTED_VALUE"""),"BLK 5 LOT 55")</f>
        <v>BLK 5 LOT 55</v>
      </c>
      <c r="L241" s="1" t="str">
        <f>IFERROR(__xludf.DUMMYFUNCTION("""COMPUTED_VALUE"""),"CREAM ST")</f>
        <v>CREAM ST</v>
      </c>
      <c r="M241" s="1"/>
      <c r="N241" s="1" t="str">
        <f>IFERROR(__xludf.DUMMYFUNCTION("""COMPUTED_VALUE"""),"TINIENTE TIAGO")</f>
        <v>TINIENTE TIAGO</v>
      </c>
      <c r="O241" s="1" t="str">
        <f>IFERROR(__xludf.DUMMYFUNCTION("""COMPUTED_VALUE"""),"GEN MARIANO ALVAREZ")</f>
        <v>GEN MARIANO ALVAREZ</v>
      </c>
      <c r="P241" s="1" t="str">
        <f>IFERROR(__xludf.DUMMYFUNCTION("""COMPUTED_VALUE"""),"CAVITE")</f>
        <v>CAVITE</v>
      </c>
      <c r="Q241" s="1" t="str">
        <f>IFERROR(__xludf.DUMMYFUNCTION("""COMPUTED_VALUE"""),"FIBR PLAN 1399")</f>
        <v>FIBR PLAN 1399</v>
      </c>
      <c r="R241" s="1" t="str">
        <f>IFERROR(__xludf.DUMMYFUNCTION("""COMPUTED_VALUE"""),"APPROVED")</f>
        <v>APPROVED</v>
      </c>
      <c r="S241" s="1"/>
      <c r="T241" s="1"/>
      <c r="U241" s="1"/>
      <c r="V241" s="1"/>
      <c r="W241" s="1"/>
    </row>
    <row r="242" customHeight="1" spans="1:23">
      <c r="A242" s="3">
        <f>IFERROR(__xludf.DUMMYFUNCTION("""COMPUTED_VALUE"""),46046)</f>
        <v>46046</v>
      </c>
      <c r="B242" s="1" t="str">
        <f>IFERROR(__xludf.DUMMYFUNCTION("""COMPUTED_VALUE"""),"ILANO, MARK")</f>
        <v>ILANO, MARK</v>
      </c>
      <c r="C242" s="1" t="str">
        <f>IFERROR(__xludf.DUMMYFUNCTION("""COMPUTED_VALUE"""),"FLA")</f>
        <v>FLA</v>
      </c>
      <c r="D242" s="1" t="str">
        <f>IFERROR(__xludf.DUMMYFUNCTION("""COMPUTED_VALUE"""),"ILANO MARK")</f>
        <v>ILANO MARK</v>
      </c>
      <c r="E242" s="1" t="str">
        <f>IFERROR(__xludf.DUMMYFUNCTION("""COMPUTED_VALUE"""),"RED FIBER")</f>
        <v>RED FIBER</v>
      </c>
      <c r="F242" s="1"/>
      <c r="G242" s="1"/>
      <c r="H242" s="1" t="str">
        <f>IFERROR(__xludf.DUMMYFUNCTION("""COMPUTED_VALUE"""),"9393011796")</f>
        <v>9393011796</v>
      </c>
      <c r="I242" s="1"/>
      <c r="J242" s="1"/>
      <c r="K242" s="1" t="str">
        <f>IFERROR(__xludf.DUMMYFUNCTION("""COMPUTED_VALUE"""),"BLK 24 LOT 19")</f>
        <v>BLK 24 LOT 19</v>
      </c>
      <c r="L242" s="1" t="str">
        <f>IFERROR(__xludf.DUMMYFUNCTION("""COMPUTED_VALUE"""),"PHASE 1")</f>
        <v>PHASE 1</v>
      </c>
      <c r="M242" s="1" t="str">
        <f>IFERROR(__xludf.DUMMYFUNCTION("""COMPUTED_VALUE"""),"TERRAVERDE RESIDENCES")</f>
        <v>TERRAVERDE RESIDENCES</v>
      </c>
      <c r="N242" s="1" t="str">
        <f>IFERROR(__xludf.DUMMYFUNCTION("""COMPUTED_VALUE"""),"BANCAL")</f>
        <v>BANCAL</v>
      </c>
      <c r="O242" s="1" t="str">
        <f>IFERROR(__xludf.DUMMYFUNCTION("""COMPUTED_VALUE"""),"CARMONA")</f>
        <v>CARMONA</v>
      </c>
      <c r="P242" s="1" t="str">
        <f>IFERROR(__xludf.DUMMYFUNCTION("""COMPUTED_VALUE"""),"CAVITE")</f>
        <v>CAVITE</v>
      </c>
      <c r="Q242" s="1" t="str">
        <f>IFERROR(__xludf.DUMMYFUNCTION("""COMPUTED_VALUE"""),"RED FIBER PLAN 1000")</f>
        <v>RED FIBER PLAN 1000</v>
      </c>
      <c r="R242" s="1" t="str">
        <f>IFERROR(__xludf.DUMMYFUNCTION("""COMPUTED_VALUE"""),"APPROVED")</f>
        <v>APPROVED</v>
      </c>
      <c r="S242" s="1"/>
      <c r="T242" s="1"/>
      <c r="U242" s="1"/>
      <c r="V242" s="1"/>
      <c r="W242" s="1"/>
    </row>
    <row r="243" customHeight="1" spans="1:23">
      <c r="A243" s="3">
        <f>IFERROR(__xludf.DUMMYFUNCTION("""COMPUTED_VALUE"""),46046)</f>
        <v>46046</v>
      </c>
      <c r="B243" s="1" t="str">
        <f>IFERROR(__xludf.DUMMYFUNCTION("""COMPUTED_VALUE"""),"ALOS, CHARLS LAURENZ")</f>
        <v>ALOS, CHARLS LAURENZ</v>
      </c>
      <c r="C243" s="1" t="str">
        <f>IFERROR(__xludf.DUMMYFUNCTION("""COMPUTED_VALUE"""),"ORGANIC")</f>
        <v>ORGANIC</v>
      </c>
      <c r="D243" s="1" t="str">
        <f>IFERROR(__xludf.DUMMYFUNCTION("""COMPUTED_VALUE"""),"REMOLLO LEA")</f>
        <v>REMOLLO LEA</v>
      </c>
      <c r="E243" s="1" t="str">
        <f>IFERROR(__xludf.DUMMYFUNCTION("""COMPUTED_VALUE"""),"PLDT")</f>
        <v>PLDT</v>
      </c>
      <c r="F243" s="1">
        <f>IFERROR(__xludf.DUMMYFUNCTION("""COMPUTED_VALUE"""),2306473722)</f>
        <v>2306473722</v>
      </c>
      <c r="G243" s="1"/>
      <c r="H243" s="1" t="str">
        <f>IFERROR(__xludf.DUMMYFUNCTION("""COMPUTED_VALUE"""),"9756234900")</f>
        <v>9756234900</v>
      </c>
      <c r="I243" s="1"/>
      <c r="J243" s="1"/>
      <c r="K243" s="1" t="str">
        <f>IFERROR(__xludf.DUMMYFUNCTION("""COMPUTED_VALUE"""),"47")</f>
        <v>47</v>
      </c>
      <c r="L243" s="1" t="str">
        <f>IFERROR(__xludf.DUMMYFUNCTION("""COMPUTED_VALUE"""),"PUROK 1")</f>
        <v>PUROK 1</v>
      </c>
      <c r="M243" s="1"/>
      <c r="N243" s="1" t="str">
        <f>IFERROR(__xludf.DUMMYFUNCTION("""COMPUTED_VALUE"""),"BIGA I")</f>
        <v>BIGA I</v>
      </c>
      <c r="O243" s="1" t="str">
        <f>IFERROR(__xludf.DUMMYFUNCTION("""COMPUTED_VALUE"""),"SILANG")</f>
        <v>SILANG</v>
      </c>
      <c r="P243" s="1" t="str">
        <f>IFERROR(__xludf.DUMMYFUNCTION("""COMPUTED_VALUE"""),"CAVITE")</f>
        <v>CAVITE</v>
      </c>
      <c r="Q243" s="1" t="str">
        <f>IFERROR(__xludf.DUMMYFUNCTION("""COMPUTED_VALUE"""),"FIBR PLAN 1599")</f>
        <v>FIBR PLAN 1599</v>
      </c>
      <c r="R243" s="1" t="str">
        <f>IFERROR(__xludf.DUMMYFUNCTION("""COMPUTED_VALUE"""),"APPROVED")</f>
        <v>APPROVED</v>
      </c>
      <c r="S243" s="1"/>
      <c r="T243" s="1"/>
      <c r="U243" s="1"/>
      <c r="V243" s="1"/>
      <c r="W243" s="1"/>
    </row>
    <row r="244" customHeight="1" spans="1:23">
      <c r="A244" s="3">
        <f>IFERROR(__xludf.DUMMYFUNCTION("""COMPUTED_VALUE"""),46047)</f>
        <v>46047</v>
      </c>
      <c r="B244" s="1" t="str">
        <f>IFERROR(__xludf.DUMMYFUNCTION("""COMPUTED_VALUE"""),"MALIWAT MARK ELVIN")</f>
        <v>MALIWAT MARK ELVIN</v>
      </c>
      <c r="C244" s="1" t="str">
        <f>IFERROR(__xludf.DUMMYFUNCTION("""COMPUTED_VALUE"""),"FLA")</f>
        <v>FLA</v>
      </c>
      <c r="D244" s="1" t="str">
        <f>IFERROR(__xludf.DUMMYFUNCTION("""COMPUTED_VALUE"""),"JERIC NAVARRO")</f>
        <v>JERIC NAVARRO</v>
      </c>
      <c r="E244" s="1" t="str">
        <f>IFERROR(__xludf.DUMMYFUNCTION("""COMPUTED_VALUE"""),"PLDT")</f>
        <v>PLDT</v>
      </c>
      <c r="F244" s="1">
        <f>IFERROR(__xludf.DUMMYFUNCTION("""COMPUTED_VALUE"""),2306481989)</f>
        <v>2306481989</v>
      </c>
      <c r="G244" s="1"/>
      <c r="H244" s="1" t="str">
        <f>IFERROR(__xludf.DUMMYFUNCTION("""COMPUTED_VALUE"""),"9158009963")</f>
        <v>9158009963</v>
      </c>
      <c r="I244" s="1"/>
      <c r="J244" s="1"/>
      <c r="K244" s="1" t="str">
        <f>IFERROR(__xludf.DUMMYFUNCTION("""COMPUTED_VALUE"""),"BLK 14 LOT 2")</f>
        <v>BLK 14 LOT 2</v>
      </c>
      <c r="L244" s="1" t="str">
        <f>IFERROR(__xludf.DUMMYFUNCTION("""COMPUTED_VALUE"""),"SAN ANDRESS RD")</f>
        <v>SAN ANDRESS RD</v>
      </c>
      <c r="M244" s="1"/>
      <c r="N244" s="1" t="str">
        <f>IFERROR(__xludf.DUMMYFUNCTION("""COMPUTED_VALUE"""),"SAN ANDRES II")</f>
        <v>SAN ANDRES II</v>
      </c>
      <c r="O244" s="1" t="str">
        <f>IFERROR(__xludf.DUMMYFUNCTION("""COMPUTED_VALUE"""),"DASMARINAS")</f>
        <v>DASMARINAS</v>
      </c>
      <c r="P244" s="1" t="str">
        <f>IFERROR(__xludf.DUMMYFUNCTION("""COMPUTED_VALUE"""),"CAVITE")</f>
        <v>CAVITE</v>
      </c>
      <c r="Q244" s="1" t="str">
        <f>IFERROR(__xludf.DUMMYFUNCTION("""COMPUTED_VALUE"""),"FIBR PLAN 999 W/ CIGNAL")</f>
        <v>FIBR PLAN 999 W/ CIGNAL</v>
      </c>
      <c r="R244" s="1" t="str">
        <f>IFERROR(__xludf.DUMMYFUNCTION("""COMPUTED_VALUE"""),"APPROVED")</f>
        <v>APPROVED</v>
      </c>
      <c r="S244" s="1"/>
      <c r="T244" s="1"/>
      <c r="U244" s="1"/>
      <c r="V244" s="1"/>
      <c r="W244" s="1"/>
    </row>
    <row r="245" customHeight="1" spans="1:23">
      <c r="A245" s="3">
        <f>IFERROR(__xludf.DUMMYFUNCTION("""COMPUTED_VALUE"""),46047)</f>
        <v>46047</v>
      </c>
      <c r="B245" s="1" t="str">
        <f>IFERROR(__xludf.DUMMYFUNCTION("""COMPUTED_VALUE"""),"FRANCISCO , ROSELYN")</f>
        <v>FRANCISCO , ROSELYN</v>
      </c>
      <c r="C245" s="1" t="str">
        <f>IFERROR(__xludf.DUMMYFUNCTION("""COMPUTED_VALUE"""),"FLA")</f>
        <v>FLA</v>
      </c>
      <c r="D245" s="1" t="str">
        <f>IFERROR(__xludf.DUMMYFUNCTION("""COMPUTED_VALUE"""),"JERIC NAVARRO")</f>
        <v>JERIC NAVARRO</v>
      </c>
      <c r="E245" s="1" t="str">
        <f>IFERROR(__xludf.DUMMYFUNCTION("""COMPUTED_VALUE"""),"PLDT")</f>
        <v>PLDT</v>
      </c>
      <c r="F245" s="1">
        <f>IFERROR(__xludf.DUMMYFUNCTION("""COMPUTED_VALUE"""),2306481354)</f>
        <v>2306481354</v>
      </c>
      <c r="G245" s="1"/>
      <c r="H245" s="1" t="str">
        <f>IFERROR(__xludf.DUMMYFUNCTION("""COMPUTED_VALUE"""),"9669041570")</f>
        <v>9669041570</v>
      </c>
      <c r="I245" s="1">
        <f>IFERROR(__xludf.DUMMYFUNCTION("""COMPUTED_VALUE"""),9957895538)</f>
        <v>9957895538</v>
      </c>
      <c r="J245" s="1"/>
      <c r="K245" s="1" t="str">
        <f>IFERROR(__xludf.DUMMYFUNCTION("""COMPUTED_VALUE"""),"BLK 13 LOT 14")</f>
        <v>BLK 13 LOT 14</v>
      </c>
      <c r="L245" s="1" t="str">
        <f>IFERROR(__xludf.DUMMYFUNCTION("""COMPUTED_VALUE"""),"PHASE 5")</f>
        <v>PHASE 5</v>
      </c>
      <c r="M245" s="1" t="str">
        <f>IFERROR(__xludf.DUMMYFUNCTION("""COMPUTED_VALUE"""),"TERRAVERDE RESIDENCES")</f>
        <v>TERRAVERDE RESIDENCES</v>
      </c>
      <c r="N245" s="1" t="str">
        <f>IFERROR(__xludf.DUMMYFUNCTION("""COMPUTED_VALUE"""),"BANCAL")</f>
        <v>BANCAL</v>
      </c>
      <c r="O245" s="1" t="str">
        <f>IFERROR(__xludf.DUMMYFUNCTION("""COMPUTED_VALUE"""),"CARMONA")</f>
        <v>CARMONA</v>
      </c>
      <c r="P245" s="1" t="str">
        <f>IFERROR(__xludf.DUMMYFUNCTION("""COMPUTED_VALUE"""),"CAVITE")</f>
        <v>CAVITE</v>
      </c>
      <c r="Q245" s="1" t="str">
        <f>IFERROR(__xludf.DUMMYFUNCTION("""COMPUTED_VALUE"""),"FIBR PLAN 1599")</f>
        <v>FIBR PLAN 1599</v>
      </c>
      <c r="R245" s="1" t="str">
        <f>IFERROR(__xludf.DUMMYFUNCTION("""COMPUTED_VALUE"""),"APPROVED")</f>
        <v>APPROVED</v>
      </c>
      <c r="S245" s="1"/>
      <c r="T245" s="1"/>
      <c r="U245" s="1"/>
      <c r="V245" s="1"/>
      <c r="W245" s="1"/>
    </row>
    <row r="246" customHeight="1" spans="1:23">
      <c r="A246" s="3">
        <f>IFERROR(__xludf.DUMMYFUNCTION("""COMPUTED_VALUE"""),46047)</f>
        <v>46047</v>
      </c>
      <c r="B246" s="1" t="str">
        <f>IFERROR(__xludf.DUMMYFUNCTION("""COMPUTED_VALUE"""),"MIRASOL, RAYRALYN")</f>
        <v>MIRASOL, RAYRALYN</v>
      </c>
      <c r="C246" s="1" t="str">
        <f>IFERROR(__xludf.DUMMYFUNCTION("""COMPUTED_VALUE"""),"ORGANIC")</f>
        <v>ORGANIC</v>
      </c>
      <c r="D246" s="1" t="str">
        <f>IFERROR(__xludf.DUMMYFUNCTION("""COMPUTED_VALUE"""),"ILANO MARK")</f>
        <v>ILANO MARK</v>
      </c>
      <c r="E246" s="1" t="str">
        <f>IFERROR(__xludf.DUMMYFUNCTION("""COMPUTED_VALUE"""),"PLDT")</f>
        <v>PLDT</v>
      </c>
      <c r="F246" s="1">
        <f>IFERROR(__xludf.DUMMYFUNCTION("""COMPUTED_VALUE"""),2306486254)</f>
        <v>2306486254</v>
      </c>
      <c r="G246" s="1"/>
      <c r="H246" s="1" t="str">
        <f>IFERROR(__xludf.DUMMYFUNCTION("""COMPUTED_VALUE"""),"9513355052")</f>
        <v>9513355052</v>
      </c>
      <c r="I246" s="1">
        <f>IFERROR(__xludf.DUMMYFUNCTION("""COMPUTED_VALUE"""),9858119369)</f>
        <v>9858119369</v>
      </c>
      <c r="J246" s="1"/>
      <c r="K246" s="1" t="str">
        <f>IFERROR(__xludf.DUMMYFUNCTION("""COMPUTED_VALUE"""),"BLK 5 LOT 55")</f>
        <v>BLK 5 LOT 55</v>
      </c>
      <c r="L246" s="1" t="str">
        <f>IFERROR(__xludf.DUMMYFUNCTION("""COMPUTED_VALUE"""),"CREAM ST")</f>
        <v>CREAM ST</v>
      </c>
      <c r="M246" s="1"/>
      <c r="N246" s="1" t="str">
        <f>IFERROR(__xludf.DUMMYFUNCTION("""COMPUTED_VALUE"""),"TINIENTE TIAGO")</f>
        <v>TINIENTE TIAGO</v>
      </c>
      <c r="O246" s="1" t="str">
        <f>IFERROR(__xludf.DUMMYFUNCTION("""COMPUTED_VALUE"""),"GEN MARIANO ALVAREZ")</f>
        <v>GEN MARIANO ALVAREZ</v>
      </c>
      <c r="P246" s="1" t="str">
        <f>IFERROR(__xludf.DUMMYFUNCTION("""COMPUTED_VALUE"""),"CAVITE")</f>
        <v>CAVITE</v>
      </c>
      <c r="Q246" s="1" t="str">
        <f>IFERROR(__xludf.DUMMYFUNCTION("""COMPUTED_VALUE"""),"FIBR PLAN 1399")</f>
        <v>FIBR PLAN 1399</v>
      </c>
      <c r="R246" s="1" t="str">
        <f>IFERROR(__xludf.DUMMYFUNCTION("""COMPUTED_VALUE"""),"APPROVED")</f>
        <v>APPROVED</v>
      </c>
      <c r="S246" s="1"/>
      <c r="T246" s="1"/>
      <c r="U246" s="1"/>
      <c r="V246" s="1"/>
      <c r="W246" s="1"/>
    </row>
    <row r="247" customHeight="1" spans="1:23">
      <c r="A247" s="3">
        <f>IFERROR(__xludf.DUMMYFUNCTION("""COMPUTED_VALUE"""),46047)</f>
        <v>46047</v>
      </c>
      <c r="B247" s="1" t="str">
        <f>IFERROR(__xludf.DUMMYFUNCTION("""COMPUTED_VALUE"""),"DELA TORRE , IGNACIA")</f>
        <v>DELA TORRE , IGNACIA</v>
      </c>
      <c r="C247" s="1" t="str">
        <f>IFERROR(__xludf.DUMMYFUNCTION("""COMPUTED_VALUE"""),"ORGANIC")</f>
        <v>ORGANIC</v>
      </c>
      <c r="D247" s="1" t="str">
        <f>IFERROR(__xludf.DUMMYFUNCTION("""COMPUTED_VALUE"""),"ILANO MARK")</f>
        <v>ILANO MARK</v>
      </c>
      <c r="E247" s="1" t="str">
        <f>IFERROR(__xludf.DUMMYFUNCTION("""COMPUTED_VALUE"""),"PLDT")</f>
        <v>PLDT</v>
      </c>
      <c r="F247" s="1">
        <f>IFERROR(__xludf.DUMMYFUNCTION("""COMPUTED_VALUE"""),2306483053)</f>
        <v>2306483053</v>
      </c>
      <c r="G247" s="1"/>
      <c r="H247" s="1" t="str">
        <f>IFERROR(__xludf.DUMMYFUNCTION("""COMPUTED_VALUE"""),"9397131717")</f>
        <v>9397131717</v>
      </c>
      <c r="I247" s="1"/>
      <c r="J247" s="1"/>
      <c r="K247" s="1" t="str">
        <f>IFERROR(__xludf.DUMMYFUNCTION("""COMPUTED_VALUE"""),"BLK 23 LOT 1")</f>
        <v>BLK 23 LOT 1</v>
      </c>
      <c r="L247" s="1" t="str">
        <f>IFERROR(__xludf.DUMMYFUNCTION("""COMPUTED_VALUE"""),"BUKLURAN 4")</f>
        <v>BUKLURAN 4</v>
      </c>
      <c r="M247" s="1"/>
      <c r="N247" s="1" t="str">
        <f>IFERROR(__xludf.DUMMYFUNCTION("""COMPUTED_VALUE"""),"BULIHAN")</f>
        <v>BULIHAN</v>
      </c>
      <c r="O247" s="1" t="str">
        <f>IFERROR(__xludf.DUMMYFUNCTION("""COMPUTED_VALUE"""),"SILANG")</f>
        <v>SILANG</v>
      </c>
      <c r="P247" s="1" t="str">
        <f>IFERROR(__xludf.DUMMYFUNCTION("""COMPUTED_VALUE"""),"CAVITE")</f>
        <v>CAVITE</v>
      </c>
      <c r="Q247" s="1" t="str">
        <f>IFERROR(__xludf.DUMMYFUNCTION("""COMPUTED_VALUE"""),"PREPAID 999")</f>
        <v>PREPAID 999</v>
      </c>
      <c r="R247" s="1" t="str">
        <f>IFERROR(__xludf.DUMMYFUNCTION("""COMPUTED_VALUE"""),"APPROVED")</f>
        <v>APPROVED</v>
      </c>
      <c r="S247" s="1"/>
      <c r="T247" s="1"/>
      <c r="U247" s="1"/>
      <c r="V247" s="1"/>
      <c r="W247" s="1"/>
    </row>
    <row r="248" customHeight="1" spans="1:23">
      <c r="A248" s="3">
        <f>IFERROR(__xludf.DUMMYFUNCTION("""COMPUTED_VALUE"""),46047)</f>
        <v>46047</v>
      </c>
      <c r="B248" s="1" t="str">
        <f>IFERROR(__xludf.DUMMYFUNCTION("""COMPUTED_VALUE"""),"IVNO, RAZZEL")</f>
        <v>IVNO, RAZZEL</v>
      </c>
      <c r="C248" s="1" t="str">
        <f>IFERROR(__xludf.DUMMYFUNCTION("""COMPUTED_VALUE"""),"ORGANIC")</f>
        <v>ORGANIC</v>
      </c>
      <c r="D248" s="1" t="str">
        <f>IFERROR(__xludf.DUMMYFUNCTION("""COMPUTED_VALUE"""),"REMOLLO LEA")</f>
        <v>REMOLLO LEA</v>
      </c>
      <c r="E248" s="1" t="str">
        <f>IFERROR(__xludf.DUMMYFUNCTION("""COMPUTED_VALUE"""),"RED FIBER")</f>
        <v>RED FIBER</v>
      </c>
      <c r="F248" s="1"/>
      <c r="G248" s="1"/>
      <c r="H248" s="1" t="str">
        <f>IFERROR(__xludf.DUMMYFUNCTION("""COMPUTED_VALUE"""),"9500799279")</f>
        <v>9500799279</v>
      </c>
      <c r="I248" s="1"/>
      <c r="J248" s="1"/>
      <c r="K248" s="1" t="str">
        <f>IFERROR(__xludf.DUMMYFUNCTION("""COMPUTED_VALUE"""),"391")</f>
        <v>391</v>
      </c>
      <c r="L248" s="1" t="str">
        <f>IFERROR(__xludf.DUMMYFUNCTION("""COMPUTED_VALUE"""),"ZAMORA ST")</f>
        <v>ZAMORA ST</v>
      </c>
      <c r="M248" s="1"/>
      <c r="N248" s="1" t="str">
        <f>IFERROR(__xludf.DUMMYFUNCTION("""COMPUTED_VALUE"""),"ASIS I")</f>
        <v>ASIS I</v>
      </c>
      <c r="O248" s="1" t="str">
        <f>IFERROR(__xludf.DUMMYFUNCTION("""COMPUTED_VALUE"""),"MENDEZ")</f>
        <v>MENDEZ</v>
      </c>
      <c r="P248" s="1" t="str">
        <f>IFERROR(__xludf.DUMMYFUNCTION("""COMPUTED_VALUE"""),"CAVITE")</f>
        <v>CAVITE</v>
      </c>
      <c r="Q248" s="1" t="str">
        <f>IFERROR(__xludf.DUMMYFUNCTION("""COMPUTED_VALUE"""),"RED FIBER PLAN 1000")</f>
        <v>RED FIBER PLAN 1000</v>
      </c>
      <c r="R248" s="1" t="str">
        <f>IFERROR(__xludf.DUMMYFUNCTION("""COMPUTED_VALUE"""),"APPROVED")</f>
        <v>APPROVED</v>
      </c>
      <c r="S248" s="1"/>
      <c r="T248" s="1"/>
      <c r="U248" s="1"/>
      <c r="V248" s="1"/>
      <c r="W248" s="1"/>
    </row>
    <row r="249" customHeight="1" spans="1:23">
      <c r="A249" s="3">
        <f>IFERROR(__xludf.DUMMYFUNCTION("""COMPUTED_VALUE"""),46047)</f>
        <v>46047</v>
      </c>
      <c r="B249" s="1" t="str">
        <f>IFERROR(__xludf.DUMMYFUNCTION("""COMPUTED_VALUE"""),"FRANCISCO , ROSELYN")</f>
        <v>FRANCISCO , ROSELYN</v>
      </c>
      <c r="C249" s="1" t="str">
        <f>IFERROR(__xludf.DUMMYFUNCTION("""COMPUTED_VALUE"""),"FLA")</f>
        <v>FLA</v>
      </c>
      <c r="D249" s="1" t="str">
        <f>IFERROR(__xludf.DUMMYFUNCTION("""COMPUTED_VALUE"""),"JERIC NAVARRO")</f>
        <v>JERIC NAVARRO</v>
      </c>
      <c r="E249" s="1" t="str">
        <f>IFERROR(__xludf.DUMMYFUNCTION("""COMPUTED_VALUE"""),"PLDT")</f>
        <v>PLDT</v>
      </c>
      <c r="F249" s="1">
        <f>IFERROR(__xludf.DUMMYFUNCTION("""COMPUTED_VALUE"""),2306487399)</f>
        <v>2306487399</v>
      </c>
      <c r="G249" s="1"/>
      <c r="H249" s="1" t="str">
        <f>IFERROR(__xludf.DUMMYFUNCTION("""COMPUTED_VALUE"""),"9616905970")</f>
        <v>9616905970</v>
      </c>
      <c r="I249" s="1">
        <f>IFERROR(__xludf.DUMMYFUNCTION("""COMPUTED_VALUE"""),9099987746)</f>
        <v>9099987746</v>
      </c>
      <c r="J249" s="1"/>
      <c r="K249" s="1" t="str">
        <f>IFERROR(__xludf.DUMMYFUNCTION("""COMPUTED_VALUE"""),"26")</f>
        <v>26</v>
      </c>
      <c r="L249" s="1" t="str">
        <f>IFERROR(__xludf.DUMMYFUNCTION("""COMPUTED_VALUE"""),"CARUMAY")</f>
        <v>CARUMAY</v>
      </c>
      <c r="M249" s="1" t="str">
        <f>IFERROR(__xludf.DUMMYFUNCTION("""COMPUTED_VALUE"""),"YELLOW APPARTMENT")</f>
        <v>YELLOW APPARTMENT</v>
      </c>
      <c r="N249" s="1" t="str">
        <f>IFERROR(__xludf.DUMMYFUNCTION("""COMPUTED_VALUE"""),"BULIHAN")</f>
        <v>BULIHAN</v>
      </c>
      <c r="O249" s="1" t="str">
        <f>IFERROR(__xludf.DUMMYFUNCTION("""COMPUTED_VALUE"""),"SILANG")</f>
        <v>SILANG</v>
      </c>
      <c r="P249" s="1" t="str">
        <f>IFERROR(__xludf.DUMMYFUNCTION("""COMPUTED_VALUE"""),"CAVITE")</f>
        <v>CAVITE</v>
      </c>
      <c r="Q249" s="1" t="str">
        <f>IFERROR(__xludf.DUMMYFUNCTION("""COMPUTED_VALUE"""),"FIBR PLAN 1399")</f>
        <v>FIBR PLAN 1399</v>
      </c>
      <c r="R249" s="1" t="str">
        <f>IFERROR(__xludf.DUMMYFUNCTION("""COMPUTED_VALUE"""),"APPROVED")</f>
        <v>APPROVED</v>
      </c>
      <c r="S249" s="1"/>
      <c r="T249" s="1"/>
      <c r="U249" s="1"/>
      <c r="V249" s="1"/>
      <c r="W249" s="1"/>
    </row>
    <row r="250" customHeight="1" spans="1:23">
      <c r="A250" s="3">
        <f>IFERROR(__xludf.DUMMYFUNCTION("""COMPUTED_VALUE"""),46047)</f>
        <v>46047</v>
      </c>
      <c r="B250" s="1" t="str">
        <f>IFERROR(__xludf.DUMMYFUNCTION("""COMPUTED_VALUE"""),"CESTINA, CHERRELYN")</f>
        <v>CESTINA, CHERRELYN</v>
      </c>
      <c r="C250" s="1" t="str">
        <f>IFERROR(__xludf.DUMMYFUNCTION("""COMPUTED_VALUE"""),"FLA")</f>
        <v>FLA</v>
      </c>
      <c r="D250" s="1" t="str">
        <f>IFERROR(__xludf.DUMMYFUNCTION("""COMPUTED_VALUE"""),"JERIC NAVARRO")</f>
        <v>JERIC NAVARRO</v>
      </c>
      <c r="E250" s="1" t="str">
        <f>IFERROR(__xludf.DUMMYFUNCTION("""COMPUTED_VALUE"""),"PLDT")</f>
        <v>PLDT</v>
      </c>
      <c r="F250" s="1">
        <f>IFERROR(__xludf.DUMMYFUNCTION("""COMPUTED_VALUE"""),2306488251)</f>
        <v>2306488251</v>
      </c>
      <c r="G250" s="1"/>
      <c r="H250" s="1" t="str">
        <f>IFERROR(__xludf.DUMMYFUNCTION("""COMPUTED_VALUE"""),"9204410342")</f>
        <v>9204410342</v>
      </c>
      <c r="I250" s="1">
        <f>IFERROR(__xludf.DUMMYFUNCTION("""COMPUTED_VALUE"""),9062800321)</f>
        <v>9062800321</v>
      </c>
      <c r="J250" s="1"/>
      <c r="K250" s="1" t="str">
        <f>IFERROR(__xludf.DUMMYFUNCTION("""COMPUTED_VALUE"""),"BLK 1 LOT 33")</f>
        <v>BLK 1 LOT 33</v>
      </c>
      <c r="L250" s="1" t="str">
        <f>IFERROR(__xludf.DUMMYFUNCTION("""COMPUTED_VALUE"""),"REGATTA WEST")</f>
        <v>REGATTA WEST</v>
      </c>
      <c r="M250" s="1"/>
      <c r="N250" s="1" t="str">
        <f>IFERROR(__xludf.DUMMYFUNCTION("""COMPUTED_VALUE"""),"BUCANDALA III")</f>
        <v>BUCANDALA III</v>
      </c>
      <c r="O250" s="1" t="str">
        <f>IFERROR(__xludf.DUMMYFUNCTION("""COMPUTED_VALUE"""),"IMUS")</f>
        <v>IMUS</v>
      </c>
      <c r="P250" s="1" t="str">
        <f>IFERROR(__xludf.DUMMYFUNCTION("""COMPUTED_VALUE"""),"CAVITE")</f>
        <v>CAVITE</v>
      </c>
      <c r="Q250" s="1" t="str">
        <f>IFERROR(__xludf.DUMMYFUNCTION("""COMPUTED_VALUE"""),"FIBR PLAN 1599")</f>
        <v>FIBR PLAN 1599</v>
      </c>
      <c r="R250" s="1" t="str">
        <f>IFERROR(__xludf.DUMMYFUNCTION("""COMPUTED_VALUE"""),"APPROVED")</f>
        <v>APPROVED</v>
      </c>
      <c r="S250" s="1"/>
      <c r="T250" s="1"/>
      <c r="U250" s="1"/>
      <c r="V250" s="1"/>
      <c r="W250" s="1"/>
    </row>
    <row r="251" customHeight="1" spans="1:23">
      <c r="A251" s="3">
        <f>IFERROR(__xludf.DUMMYFUNCTION("""COMPUTED_VALUE"""),46047)</f>
        <v>46047</v>
      </c>
      <c r="B251" s="1" t="str">
        <f>IFERROR(__xludf.DUMMYFUNCTION("""COMPUTED_VALUE"""),"FRANCISCO , ROSELYN")</f>
        <v>FRANCISCO , ROSELYN</v>
      </c>
      <c r="C251" s="1" t="str">
        <f>IFERROR(__xludf.DUMMYFUNCTION("""COMPUTED_VALUE"""),"FLA")</f>
        <v>FLA</v>
      </c>
      <c r="D251" s="1" t="str">
        <f>IFERROR(__xludf.DUMMYFUNCTION("""COMPUTED_VALUE"""),"JERIC NAVARRO")</f>
        <v>JERIC NAVARRO</v>
      </c>
      <c r="E251" s="1" t="str">
        <f>IFERROR(__xludf.DUMMYFUNCTION("""COMPUTED_VALUE"""),"PLDT")</f>
        <v>PLDT</v>
      </c>
      <c r="F251" s="1">
        <f>IFERROR(__xludf.DUMMYFUNCTION("""COMPUTED_VALUE"""),2306488790)</f>
        <v>2306488790</v>
      </c>
      <c r="G251" s="1"/>
      <c r="H251" s="1" t="str">
        <f>IFERROR(__xludf.DUMMYFUNCTION("""COMPUTED_VALUE"""),"9694797642")</f>
        <v>9694797642</v>
      </c>
      <c r="I251" s="1"/>
      <c r="J251" s="1"/>
      <c r="K251" s="1" t="str">
        <f>IFERROR(__xludf.DUMMYFUNCTION("""COMPUTED_VALUE"""),"41")</f>
        <v>41</v>
      </c>
      <c r="L251" s="1" t="str">
        <f>IFERROR(__xludf.DUMMYFUNCTION("""COMPUTED_VALUE"""),"BAGTAS RD")</f>
        <v>BAGTAS RD</v>
      </c>
      <c r="M251" s="1"/>
      <c r="N251" s="1" t="str">
        <f>IFERROR(__xludf.DUMMYFUNCTION("""COMPUTED_VALUE"""),"BAGTAS")</f>
        <v>BAGTAS</v>
      </c>
      <c r="O251" s="1" t="str">
        <f>IFERROR(__xludf.DUMMYFUNCTION("""COMPUTED_VALUE"""),"TANZA")</f>
        <v>TANZA</v>
      </c>
      <c r="P251" s="1" t="str">
        <f>IFERROR(__xludf.DUMMYFUNCTION("""COMPUTED_VALUE"""),"CAVITE")</f>
        <v>CAVITE</v>
      </c>
      <c r="Q251" s="1" t="str">
        <f>IFERROR(__xludf.DUMMYFUNCTION("""COMPUTED_VALUE"""),"FIBR PLAN 999 W/ CIGNAL")</f>
        <v>FIBR PLAN 999 W/ CIGNAL</v>
      </c>
      <c r="R251" s="1" t="str">
        <f>IFERROR(__xludf.DUMMYFUNCTION("""COMPUTED_VALUE"""),"APPROVED")</f>
        <v>APPROVED</v>
      </c>
      <c r="S251" s="1"/>
      <c r="T251" s="1"/>
      <c r="U251" s="1"/>
      <c r="V251" s="1"/>
      <c r="W251" s="1"/>
    </row>
    <row r="252" customHeight="1" spans="1:23">
      <c r="A252" s="3">
        <f>IFERROR(__xludf.DUMMYFUNCTION("""COMPUTED_VALUE"""),46047)</f>
        <v>46047</v>
      </c>
      <c r="B252" s="1" t="str">
        <f>IFERROR(__xludf.DUMMYFUNCTION("""COMPUTED_VALUE"""),"DE LEON, MERLY")</f>
        <v>DE LEON, MERLY</v>
      </c>
      <c r="C252" s="1" t="str">
        <f>IFERROR(__xludf.DUMMYFUNCTION("""COMPUTED_VALUE"""),"ORGANIC")</f>
        <v>ORGANIC</v>
      </c>
      <c r="D252" s="1" t="str">
        <f>IFERROR(__xludf.DUMMYFUNCTION("""COMPUTED_VALUE"""),"ILANO MARK")</f>
        <v>ILANO MARK</v>
      </c>
      <c r="E252" s="1" t="str">
        <f>IFERROR(__xludf.DUMMYFUNCTION("""COMPUTED_VALUE"""),"PLDT")</f>
        <v>PLDT</v>
      </c>
      <c r="F252" s="1">
        <f>IFERROR(__xludf.DUMMYFUNCTION("""COMPUTED_VALUE"""),2306489114)</f>
        <v>2306489114</v>
      </c>
      <c r="G252" s="1"/>
      <c r="H252" s="1" t="str">
        <f>IFERROR(__xludf.DUMMYFUNCTION("""COMPUTED_VALUE"""),"9062129506")</f>
        <v>9062129506</v>
      </c>
      <c r="I252" s="1">
        <f>IFERROR(__xludf.DUMMYFUNCTION("""COMPUTED_VALUE"""),9636343551)</f>
        <v>9636343551</v>
      </c>
      <c r="J252" s="1"/>
      <c r="K252" s="1" t="str">
        <f>IFERROR(__xludf.DUMMYFUNCTION("""COMPUTED_VALUE"""),"BLK 21 LOT 14")</f>
        <v>BLK 21 LOT 14</v>
      </c>
      <c r="L252" s="1" t="str">
        <f>IFERROR(__xludf.DUMMYFUNCTION("""COMPUTED_VALUE"""),"AREA F")</f>
        <v>AREA F</v>
      </c>
      <c r="M252" s="1"/>
      <c r="N252" s="1" t="str">
        <f>IFERROR(__xludf.DUMMYFUNCTION("""COMPUTED_VALUE"""),"ALDIANO OLAES")</f>
        <v>ALDIANO OLAES</v>
      </c>
      <c r="O252" s="1" t="str">
        <f>IFERROR(__xludf.DUMMYFUNCTION("""COMPUTED_VALUE"""),"GEN MARIANO ALVAREZ")</f>
        <v>GEN MARIANO ALVAREZ</v>
      </c>
      <c r="P252" s="1" t="str">
        <f>IFERROR(__xludf.DUMMYFUNCTION("""COMPUTED_VALUE"""),"CAVITE")</f>
        <v>CAVITE</v>
      </c>
      <c r="Q252" s="1" t="str">
        <f>IFERROR(__xludf.DUMMYFUNCTION("""COMPUTED_VALUE"""),"FIBR PLAN 1399")</f>
        <v>FIBR PLAN 1399</v>
      </c>
      <c r="R252" s="1" t="str">
        <f>IFERROR(__xludf.DUMMYFUNCTION("""COMPUTED_VALUE"""),"APPROVED")</f>
        <v>APPROVED</v>
      </c>
      <c r="S252" s="1"/>
      <c r="T252" s="1"/>
      <c r="U252" s="1"/>
      <c r="V252" s="1"/>
      <c r="W252" s="1"/>
    </row>
    <row r="253" customHeight="1" spans="1:23">
      <c r="A253" s="3">
        <f>IFERROR(__xludf.DUMMYFUNCTION("""COMPUTED_VALUE"""),46049)</f>
        <v>46049</v>
      </c>
      <c r="B253" s="1" t="str">
        <f>IFERROR(__xludf.DUMMYFUNCTION("""COMPUTED_VALUE"""),"GABAY, MANUEL")</f>
        <v>GABAY, MANUEL</v>
      </c>
      <c r="C253" s="1" t="str">
        <f>IFERROR(__xludf.DUMMYFUNCTION("""COMPUTED_VALUE"""),"FLA")</f>
        <v>FLA</v>
      </c>
      <c r="D253" s="1" t="str">
        <f>IFERROR(__xludf.DUMMYFUNCTION("""COMPUTED_VALUE"""),"JERIC NAVARRO")</f>
        <v>JERIC NAVARRO</v>
      </c>
      <c r="E253" s="1" t="str">
        <f>IFERROR(__xludf.DUMMYFUNCTION("""COMPUTED_VALUE"""),"PLDT")</f>
        <v>PLDT</v>
      </c>
      <c r="F253" s="1">
        <f>IFERROR(__xludf.DUMMYFUNCTION("""COMPUTED_VALUE"""),2306527240)</f>
        <v>2306527240</v>
      </c>
      <c r="G253" s="1"/>
      <c r="H253" s="1" t="str">
        <f>IFERROR(__xludf.DUMMYFUNCTION("""COMPUTED_VALUE"""),"9634615763")</f>
        <v>9634615763</v>
      </c>
      <c r="I253" s="1">
        <f>IFERROR(__xludf.DUMMYFUNCTION("""COMPUTED_VALUE"""),9638094186)</f>
        <v>9638094186</v>
      </c>
      <c r="J253" s="1"/>
      <c r="K253" s="1" t="str">
        <f>IFERROR(__xludf.DUMMYFUNCTION("""COMPUTED_VALUE"""),"138A")</f>
        <v>138A</v>
      </c>
      <c r="L253" s="1" t="str">
        <f>IFERROR(__xludf.DUMMYFUNCTION("""COMPUTED_VALUE"""),"PUROK 2")</f>
        <v>PUROK 2</v>
      </c>
      <c r="M253" s="1"/>
      <c r="N253" s="1" t="str">
        <f>IFERROR(__xludf.DUMMYFUNCTION("""COMPUTED_VALUE"""),"IRUHIN SOUTH")</f>
        <v>IRUHIN SOUTH</v>
      </c>
      <c r="O253" s="1" t="str">
        <f>IFERROR(__xludf.DUMMYFUNCTION("""COMPUTED_VALUE"""),"TAGAYTAY")</f>
        <v>TAGAYTAY</v>
      </c>
      <c r="P253" s="1" t="str">
        <f>IFERROR(__xludf.DUMMYFUNCTION("""COMPUTED_VALUE"""),"CAVITE")</f>
        <v>CAVITE</v>
      </c>
      <c r="Q253" s="1" t="str">
        <f>IFERROR(__xludf.DUMMYFUNCTION("""COMPUTED_VALUE"""),"FIBR PLAN 1599")</f>
        <v>FIBR PLAN 1599</v>
      </c>
      <c r="R253" s="1" t="str">
        <f>IFERROR(__xludf.DUMMYFUNCTION("""COMPUTED_VALUE"""),"APPROVED")</f>
        <v>APPROVED</v>
      </c>
      <c r="S253" s="1"/>
      <c r="T253" s="1"/>
      <c r="U253" s="1"/>
      <c r="V253" s="1"/>
      <c r="W253" s="1"/>
    </row>
    <row r="254" customHeight="1" spans="1:23">
      <c r="A254" s="3">
        <f>IFERROR(__xludf.DUMMYFUNCTION("""COMPUTED_VALUE"""),46049)</f>
        <v>46049</v>
      </c>
      <c r="B254" s="1" t="str">
        <f>IFERROR(__xludf.DUMMYFUNCTION("""COMPUTED_VALUE"""),"DELA TORRE , IGNACIA")</f>
        <v>DELA TORRE , IGNACIA</v>
      </c>
      <c r="C254" s="1" t="str">
        <f>IFERROR(__xludf.DUMMYFUNCTION("""COMPUTED_VALUE"""),"ORGANIC")</f>
        <v>ORGANIC</v>
      </c>
      <c r="D254" s="1" t="str">
        <f>IFERROR(__xludf.DUMMYFUNCTION("""COMPUTED_VALUE"""),"ILANO MARK")</f>
        <v>ILANO MARK</v>
      </c>
      <c r="E254" s="1" t="str">
        <f>IFERROR(__xludf.DUMMYFUNCTION("""COMPUTED_VALUE"""),"PLDT")</f>
        <v>PLDT</v>
      </c>
      <c r="F254" s="1">
        <f>IFERROR(__xludf.DUMMYFUNCTION("""COMPUTED_VALUE"""),2306527902)</f>
        <v>2306527902</v>
      </c>
      <c r="G254" s="1"/>
      <c r="H254" s="1" t="str">
        <f>IFERROR(__xludf.DUMMYFUNCTION("""COMPUTED_VALUE"""),"9665965705")</f>
        <v>9665965705</v>
      </c>
      <c r="I254" s="1">
        <f>IFERROR(__xludf.DUMMYFUNCTION("""COMPUTED_VALUE"""),9516721171)</f>
        <v>9516721171</v>
      </c>
      <c r="J254" s="1"/>
      <c r="K254" s="1" t="str">
        <f>IFERROR(__xludf.DUMMYFUNCTION("""COMPUTED_VALUE"""),"24")</f>
        <v>24</v>
      </c>
      <c r="L254" s="1" t="str">
        <f>IFERROR(__xludf.DUMMYFUNCTION("""COMPUTED_VALUE"""),"PUROK 29")</f>
        <v>PUROK 29</v>
      </c>
      <c r="M254" s="1"/>
      <c r="N254" s="1" t="str">
        <f>IFERROR(__xludf.DUMMYFUNCTION("""COMPUTED_VALUE"""),"FRANCISCO (SAN FRANCISCO)")</f>
        <v>FRANCISCO (SAN FRANCISCO)</v>
      </c>
      <c r="O254" s="1" t="str">
        <f>IFERROR(__xludf.DUMMYFUNCTION("""COMPUTED_VALUE"""),"TAGAYTAY")</f>
        <v>TAGAYTAY</v>
      </c>
      <c r="P254" s="1" t="str">
        <f>IFERROR(__xludf.DUMMYFUNCTION("""COMPUTED_VALUE"""),"CAVITE")</f>
        <v>CAVITE</v>
      </c>
      <c r="Q254" s="1" t="str">
        <f>IFERROR(__xludf.DUMMYFUNCTION("""COMPUTED_VALUE"""),"FIBR PLAN 1399")</f>
        <v>FIBR PLAN 1399</v>
      </c>
      <c r="R254" s="1" t="str">
        <f>IFERROR(__xludf.DUMMYFUNCTION("""COMPUTED_VALUE"""),"APPROVED")</f>
        <v>APPROVED</v>
      </c>
      <c r="S254" s="1"/>
      <c r="T254" s="1"/>
      <c r="U254" s="1"/>
      <c r="V254" s="1"/>
      <c r="W254" s="1"/>
    </row>
    <row r="255" customHeight="1" spans="1:23">
      <c r="A255" s="3">
        <f>IFERROR(__xludf.DUMMYFUNCTION("""COMPUTED_VALUE"""),46049)</f>
        <v>46049</v>
      </c>
      <c r="B255" s="1" t="str">
        <f>IFERROR(__xludf.DUMMYFUNCTION("""COMPUTED_VALUE"""),"CONCEPCION, ALJAY")</f>
        <v>CONCEPCION, ALJAY</v>
      </c>
      <c r="C255" s="1" t="str">
        <f>IFERROR(__xludf.DUMMYFUNCTION("""COMPUTED_VALUE"""),"ORGANIC")</f>
        <v>ORGANIC</v>
      </c>
      <c r="D255" s="1" t="str">
        <f>IFERROR(__xludf.DUMMYFUNCTION("""COMPUTED_VALUE"""),"ILANO MARK")</f>
        <v>ILANO MARK</v>
      </c>
      <c r="E255" s="1" t="str">
        <f>IFERROR(__xludf.DUMMYFUNCTION("""COMPUTED_VALUE"""),"PLDT")</f>
        <v>PLDT</v>
      </c>
      <c r="F255" s="1">
        <f>IFERROR(__xludf.DUMMYFUNCTION("""COMPUTED_VALUE"""),2306528427)</f>
        <v>2306528427</v>
      </c>
      <c r="G255" s="1"/>
      <c r="H255" s="1" t="str">
        <f>IFERROR(__xludf.DUMMYFUNCTION("""COMPUTED_VALUE"""),"9514779939")</f>
        <v>9514779939</v>
      </c>
      <c r="I255" s="1">
        <f>IFERROR(__xludf.DUMMYFUNCTION("""COMPUTED_VALUE"""),9637852092)</f>
        <v>9637852092</v>
      </c>
      <c r="J255" s="1"/>
      <c r="K255" s="1" t="str">
        <f>IFERROR(__xludf.DUMMYFUNCTION("""COMPUTED_VALUE"""),"274")</f>
        <v>274</v>
      </c>
      <c r="L255" s="1" t="str">
        <f>IFERROR(__xludf.DUMMYFUNCTION("""COMPUTED_VALUE"""),"PUROK 290")</f>
        <v>PUROK 290</v>
      </c>
      <c r="M255" s="1"/>
      <c r="N255" s="1" t="str">
        <f>IFERROR(__xludf.DUMMYFUNCTION("""COMPUTED_VALUE"""),"FRANCISCO (SAN FRANCISCO)")</f>
        <v>FRANCISCO (SAN FRANCISCO)</v>
      </c>
      <c r="O255" s="1" t="str">
        <f>IFERROR(__xludf.DUMMYFUNCTION("""COMPUTED_VALUE"""),"TAGAYTAY")</f>
        <v>TAGAYTAY</v>
      </c>
      <c r="P255" s="1" t="str">
        <f>IFERROR(__xludf.DUMMYFUNCTION("""COMPUTED_VALUE"""),"CAVITE")</f>
        <v>CAVITE</v>
      </c>
      <c r="Q255" s="1" t="str">
        <f>IFERROR(__xludf.DUMMYFUNCTION("""COMPUTED_VALUE"""),"FIBR PLAN 1399")</f>
        <v>FIBR PLAN 1399</v>
      </c>
      <c r="R255" s="1" t="str">
        <f>IFERROR(__xludf.DUMMYFUNCTION("""COMPUTED_VALUE"""),"APPROVED")</f>
        <v>APPROVED</v>
      </c>
      <c r="S255" s="1"/>
      <c r="T255" s="1"/>
      <c r="U255" s="1"/>
      <c r="V255" s="1"/>
      <c r="W255" s="1"/>
    </row>
    <row r="256" customHeight="1" spans="1:23">
      <c r="A256" s="3">
        <f>IFERROR(__xludf.DUMMYFUNCTION("""COMPUTED_VALUE"""),46049)</f>
        <v>46049</v>
      </c>
      <c r="B256" s="1" t="str">
        <f>IFERROR(__xludf.DUMMYFUNCTION("""COMPUTED_VALUE"""),"MAGDARAOG, KENNETH")</f>
        <v>MAGDARAOG, KENNETH</v>
      </c>
      <c r="C256" s="1" t="str">
        <f>IFERROR(__xludf.DUMMYFUNCTION("""COMPUTED_VALUE"""),"ORGANIC")</f>
        <v>ORGANIC</v>
      </c>
      <c r="D256" s="1" t="str">
        <f>IFERROR(__xludf.DUMMYFUNCTION("""COMPUTED_VALUE"""),"REMOLLO LEA")</f>
        <v>REMOLLO LEA</v>
      </c>
      <c r="E256" s="1" t="str">
        <f>IFERROR(__xludf.DUMMYFUNCTION("""COMPUTED_VALUE"""),"RED FIBER")</f>
        <v>RED FIBER</v>
      </c>
      <c r="F256" s="1"/>
      <c r="G256" s="1"/>
      <c r="H256" s="1" t="str">
        <f>IFERROR(__xludf.DUMMYFUNCTION("""COMPUTED_VALUE"""),"9318749107")</f>
        <v>9318749107</v>
      </c>
      <c r="I256" s="1"/>
      <c r="J256" s="1"/>
      <c r="K256" s="1" t="str">
        <f>IFERROR(__xludf.DUMMYFUNCTION("""COMPUTED_VALUE"""),"174")</f>
        <v>174</v>
      </c>
      <c r="L256" s="1" t="str">
        <f>IFERROR(__xludf.DUMMYFUNCTION("""COMPUTED_VALUE"""),"GALICA")</f>
        <v>GALICA</v>
      </c>
      <c r="M256" s="1"/>
      <c r="N256" s="1" t="str">
        <f>IFERROR(__xludf.DUMMYFUNCTION("""COMPUTED_VALUE"""),"GALICIA III")</f>
        <v>GALICIA III</v>
      </c>
      <c r="O256" s="1" t="str">
        <f>IFERROR(__xludf.DUMMYFUNCTION("""COMPUTED_VALUE"""),"MENDEZ")</f>
        <v>MENDEZ</v>
      </c>
      <c r="P256" s="1" t="str">
        <f>IFERROR(__xludf.DUMMYFUNCTION("""COMPUTED_VALUE"""),"CAVITE")</f>
        <v>CAVITE</v>
      </c>
      <c r="Q256" s="1" t="str">
        <f>IFERROR(__xludf.DUMMYFUNCTION("""COMPUTED_VALUE"""),"RED FIBER PLAN 1400")</f>
        <v>RED FIBER PLAN 1400</v>
      </c>
      <c r="R256" s="1" t="str">
        <f>IFERROR(__xludf.DUMMYFUNCTION("""COMPUTED_VALUE"""),"APPROVED")</f>
        <v>APPROVED</v>
      </c>
      <c r="S256" s="1"/>
      <c r="T256" s="1"/>
      <c r="U256" s="1"/>
      <c r="V256" s="1"/>
      <c r="W256" s="1"/>
    </row>
    <row r="257" customHeight="1" spans="1:23">
      <c r="A257" s="3">
        <f>IFERROR(__xludf.DUMMYFUNCTION("""COMPUTED_VALUE"""),46049)</f>
        <v>46049</v>
      </c>
      <c r="B257" s="1" t="str">
        <f>IFERROR(__xludf.DUMMYFUNCTION("""COMPUTED_VALUE"""),"CONCEPCION, ALJAY")</f>
        <v>CONCEPCION, ALJAY</v>
      </c>
      <c r="C257" s="1" t="str">
        <f>IFERROR(__xludf.DUMMYFUNCTION("""COMPUTED_VALUE"""),"ORGANIC")</f>
        <v>ORGANIC</v>
      </c>
      <c r="D257" s="1" t="str">
        <f>IFERROR(__xludf.DUMMYFUNCTION("""COMPUTED_VALUE"""),"ILANO MARK")</f>
        <v>ILANO MARK</v>
      </c>
      <c r="E257" s="1" t="str">
        <f>IFERROR(__xludf.DUMMYFUNCTION("""COMPUTED_VALUE"""),"PLDT")</f>
        <v>PLDT</v>
      </c>
      <c r="F257" s="1">
        <f>IFERROR(__xludf.DUMMYFUNCTION("""COMPUTED_VALUE"""),2306529010)</f>
        <v>2306529010</v>
      </c>
      <c r="G257" s="1"/>
      <c r="H257" s="1" t="str">
        <f>IFERROR(__xludf.DUMMYFUNCTION("""COMPUTED_VALUE"""),"9925298070")</f>
        <v>9925298070</v>
      </c>
      <c r="I257" s="1">
        <f>IFERROR(__xludf.DUMMYFUNCTION("""COMPUTED_VALUE"""),9563611171)</f>
        <v>9563611171</v>
      </c>
      <c r="J257" s="1"/>
      <c r="K257" s="1" t="str">
        <f>IFERROR(__xludf.DUMMYFUNCTION("""COMPUTED_VALUE"""),"240")</f>
        <v>240</v>
      </c>
      <c r="L257" s="1" t="str">
        <f>IFERROR(__xludf.DUMMYFUNCTION("""COMPUTED_VALUE"""),"PAG ASA")</f>
        <v>PAG ASA</v>
      </c>
      <c r="M257" s="1"/>
      <c r="N257" s="1" t="str">
        <f>IFERROR(__xludf.DUMMYFUNCTION("""COMPUTED_VALUE"""),"FRANCISCO (SAN FRANCISCO)")</f>
        <v>FRANCISCO (SAN FRANCISCO)</v>
      </c>
      <c r="O257" s="1" t="str">
        <f>IFERROR(__xludf.DUMMYFUNCTION("""COMPUTED_VALUE"""),"TAGAYTAY")</f>
        <v>TAGAYTAY</v>
      </c>
      <c r="P257" s="1" t="str">
        <f>IFERROR(__xludf.DUMMYFUNCTION("""COMPUTED_VALUE"""),"CAVITE")</f>
        <v>CAVITE</v>
      </c>
      <c r="Q257" s="1" t="str">
        <f>IFERROR(__xludf.DUMMYFUNCTION("""COMPUTED_VALUE"""),"FIBR PLAN 1599")</f>
        <v>FIBR PLAN 1599</v>
      </c>
      <c r="R257" s="1" t="str">
        <f>IFERROR(__xludf.DUMMYFUNCTION("""COMPUTED_VALUE"""),"APPROVED")</f>
        <v>APPROVED</v>
      </c>
      <c r="S257" s="1"/>
      <c r="T257" s="1"/>
      <c r="U257" s="1"/>
      <c r="V257" s="1"/>
      <c r="W257" s="1"/>
    </row>
    <row r="258" customHeight="1" spans="1:23">
      <c r="A258" s="3">
        <f>IFERROR(__xludf.DUMMYFUNCTION("""COMPUTED_VALUE"""),46049)</f>
        <v>46049</v>
      </c>
      <c r="B258" s="1" t="str">
        <f>IFERROR(__xludf.DUMMYFUNCTION("""COMPUTED_VALUE"""),"LANZA, ANNALYN")</f>
        <v>LANZA, ANNALYN</v>
      </c>
      <c r="C258" s="1" t="str">
        <f>IFERROR(__xludf.DUMMYFUNCTION("""COMPUTED_VALUE"""),"FLA")</f>
        <v>FLA</v>
      </c>
      <c r="D258" s="1" t="str">
        <f>IFERROR(__xludf.DUMMYFUNCTION("""COMPUTED_VALUE"""),"JERIC NAVARRO")</f>
        <v>JERIC NAVARRO</v>
      </c>
      <c r="E258" s="1" t="str">
        <f>IFERROR(__xludf.DUMMYFUNCTION("""COMPUTED_VALUE"""),"PLDT")</f>
        <v>PLDT</v>
      </c>
      <c r="F258" s="1">
        <f>IFERROR(__xludf.DUMMYFUNCTION("""COMPUTED_VALUE"""),2306532448)</f>
        <v>2306532448</v>
      </c>
      <c r="G258" s="1"/>
      <c r="H258" s="1" t="str">
        <f>IFERROR(__xludf.DUMMYFUNCTION("""COMPUTED_VALUE"""),"9929228220")</f>
        <v>9929228220</v>
      </c>
      <c r="I258" s="1">
        <f>IFERROR(__xludf.DUMMYFUNCTION("""COMPUTED_VALUE"""),9567186860)</f>
        <v>9567186860</v>
      </c>
      <c r="J258" s="1"/>
      <c r="K258" s="1" t="str">
        <f>IFERROR(__xludf.DUMMYFUNCTION("""COMPUTED_VALUE"""),"BLK 22 LOT 6")</f>
        <v>BLK 22 LOT 6</v>
      </c>
      <c r="L258" s="1" t="str">
        <f>IFERROR(__xludf.DUMMYFUNCTION("""COMPUTED_VALUE"""),"PHASE 5A")</f>
        <v>PHASE 5A</v>
      </c>
      <c r="M258" s="1"/>
      <c r="N258" s="1" t="str">
        <f>IFERROR(__xludf.DUMMYFUNCTION("""COMPUTED_VALUE"""),"NARRA I")</f>
        <v>NARRA I</v>
      </c>
      <c r="O258" s="1" t="str">
        <f>IFERROR(__xludf.DUMMYFUNCTION("""COMPUTED_VALUE"""),"SILANG")</f>
        <v>SILANG</v>
      </c>
      <c r="P258" s="1" t="str">
        <f>IFERROR(__xludf.DUMMYFUNCTION("""COMPUTED_VALUE"""),"CAVITE")</f>
        <v>CAVITE</v>
      </c>
      <c r="Q258" s="1" t="str">
        <f>IFERROR(__xludf.DUMMYFUNCTION("""COMPUTED_VALUE"""),"FIBR PLAN 1399")</f>
        <v>FIBR PLAN 1399</v>
      </c>
      <c r="R258" s="1" t="str">
        <f>IFERROR(__xludf.DUMMYFUNCTION("""COMPUTED_VALUE"""),"APPROVED")</f>
        <v>APPROVED</v>
      </c>
      <c r="S258" s="1"/>
      <c r="T258" s="1"/>
      <c r="U258" s="1"/>
      <c r="V258" s="1"/>
      <c r="W258" s="1"/>
    </row>
    <row r="259" customHeight="1" spans="1:23">
      <c r="A259" s="3">
        <f>IFERROR(__xludf.DUMMYFUNCTION("""COMPUTED_VALUE"""),46049)</f>
        <v>46049</v>
      </c>
      <c r="B259" s="1" t="str">
        <f>IFERROR(__xludf.DUMMYFUNCTION("""COMPUTED_VALUE"""),"DE VERA, PAUL")</f>
        <v>DE VERA, PAUL</v>
      </c>
      <c r="C259" s="1" t="str">
        <f>IFERROR(__xludf.DUMMYFUNCTION("""COMPUTED_VALUE"""),"ORGANIC")</f>
        <v>ORGANIC</v>
      </c>
      <c r="D259" s="1" t="str">
        <f>IFERROR(__xludf.DUMMYFUNCTION("""COMPUTED_VALUE"""),"ILANO MARK")</f>
        <v>ILANO MARK</v>
      </c>
      <c r="E259" s="1" t="str">
        <f>IFERROR(__xludf.DUMMYFUNCTION("""COMPUTED_VALUE"""),"PLDT")</f>
        <v>PLDT</v>
      </c>
      <c r="F259" s="1">
        <f>IFERROR(__xludf.DUMMYFUNCTION("""COMPUTED_VALUE"""),2306533551)</f>
        <v>2306533551</v>
      </c>
      <c r="G259" s="1"/>
      <c r="H259" s="1" t="str">
        <f>IFERROR(__xludf.DUMMYFUNCTION("""COMPUTED_VALUE"""),"9183405604")</f>
        <v>9183405604</v>
      </c>
      <c r="I259" s="1">
        <f>IFERROR(__xludf.DUMMYFUNCTION("""COMPUTED_VALUE"""),9319419890)</f>
        <v>9319419890</v>
      </c>
      <c r="J259" s="1"/>
      <c r="K259" s="1" t="str">
        <f>IFERROR(__xludf.DUMMYFUNCTION("""COMPUTED_VALUE"""),"109")</f>
        <v>109</v>
      </c>
      <c r="L259" s="1" t="str">
        <f>IFERROR(__xludf.DUMMYFUNCTION("""COMPUTED_VALUE"""),"PUROK 6")</f>
        <v>PUROK 6</v>
      </c>
      <c r="M259" s="1"/>
      <c r="N259" s="1" t="str">
        <f>IFERROR(__xludf.DUMMYFUNCTION("""COMPUTED_VALUE"""),"TALON")</f>
        <v>TALON</v>
      </c>
      <c r="O259" s="1" t="str">
        <f>IFERROR(__xludf.DUMMYFUNCTION("""COMPUTED_VALUE"""),"AMADEO")</f>
        <v>AMADEO</v>
      </c>
      <c r="P259" s="1" t="str">
        <f>IFERROR(__xludf.DUMMYFUNCTION("""COMPUTED_VALUE"""),"CAVITE")</f>
        <v>CAVITE</v>
      </c>
      <c r="Q259" s="1" t="str">
        <f>IFERROR(__xludf.DUMMYFUNCTION("""COMPUTED_VALUE"""),"FIBR PLAN 1599")</f>
        <v>FIBR PLAN 1599</v>
      </c>
      <c r="R259" s="1" t="str">
        <f>IFERROR(__xludf.DUMMYFUNCTION("""COMPUTED_VALUE"""),"APPROVED")</f>
        <v>APPROVED</v>
      </c>
      <c r="S259" s="1"/>
      <c r="T259" s="1"/>
      <c r="U259" s="1"/>
      <c r="V259" s="1"/>
      <c r="W259" s="1"/>
    </row>
    <row r="260" customHeight="1" spans="1:23">
      <c r="A260" s="3">
        <f>IFERROR(__xludf.DUMMYFUNCTION("""COMPUTED_VALUE"""),46049)</f>
        <v>46049</v>
      </c>
      <c r="B260" s="1" t="str">
        <f>IFERROR(__xludf.DUMMYFUNCTION("""COMPUTED_VALUE"""),"CONCEPCION, ALJAY")</f>
        <v>CONCEPCION, ALJAY</v>
      </c>
      <c r="C260" s="1" t="str">
        <f>IFERROR(__xludf.DUMMYFUNCTION("""COMPUTED_VALUE"""),"ORGANIC")</f>
        <v>ORGANIC</v>
      </c>
      <c r="D260" s="1" t="str">
        <f>IFERROR(__xludf.DUMMYFUNCTION("""COMPUTED_VALUE"""),"ILANO MARK")</f>
        <v>ILANO MARK</v>
      </c>
      <c r="E260" s="1" t="str">
        <f>IFERROR(__xludf.DUMMYFUNCTION("""COMPUTED_VALUE"""),"PLDT")</f>
        <v>PLDT</v>
      </c>
      <c r="F260" s="1">
        <f>IFERROR(__xludf.DUMMYFUNCTION("""COMPUTED_VALUE"""),2306534318)</f>
        <v>2306534318</v>
      </c>
      <c r="G260" s="1"/>
      <c r="H260" s="1" t="str">
        <f>IFERROR(__xludf.DUMMYFUNCTION("""COMPUTED_VALUE"""),"9309180370")</f>
        <v>9309180370</v>
      </c>
      <c r="I260" s="1">
        <f>IFERROR(__xludf.DUMMYFUNCTION("""COMPUTED_VALUE"""),9152177834)</f>
        <v>9152177834</v>
      </c>
      <c r="J260" s="1"/>
      <c r="K260" s="1" t="str">
        <f>IFERROR(__xludf.DUMMYFUNCTION("""COMPUTED_VALUE"""),"266")</f>
        <v>266</v>
      </c>
      <c r="L260" s="1" t="str">
        <f>IFERROR(__xludf.DUMMYFUNCTION("""COMPUTED_VALUE"""),"PAG ASA")</f>
        <v>PAG ASA</v>
      </c>
      <c r="M260" s="1"/>
      <c r="N260" s="1" t="str">
        <f>IFERROR(__xludf.DUMMYFUNCTION("""COMPUTED_VALUE"""),"FRANCISCO (SAN FRANCISCO)")</f>
        <v>FRANCISCO (SAN FRANCISCO)</v>
      </c>
      <c r="O260" s="1" t="str">
        <f>IFERROR(__xludf.DUMMYFUNCTION("""COMPUTED_VALUE"""),"TAGAYTAY")</f>
        <v>TAGAYTAY</v>
      </c>
      <c r="P260" s="1" t="str">
        <f>IFERROR(__xludf.DUMMYFUNCTION("""COMPUTED_VALUE"""),"CAVITE")</f>
        <v>CAVITE</v>
      </c>
      <c r="Q260" s="1" t="str">
        <f>IFERROR(__xludf.DUMMYFUNCTION("""COMPUTED_VALUE"""),"FIBR PLAN 1599")</f>
        <v>FIBR PLAN 1599</v>
      </c>
      <c r="R260" s="1" t="str">
        <f>IFERROR(__xludf.DUMMYFUNCTION("""COMPUTED_VALUE"""),"APPROVED")</f>
        <v>APPROVED</v>
      </c>
      <c r="S260" s="1"/>
      <c r="T260" s="1"/>
      <c r="U260" s="1"/>
      <c r="V260" s="1"/>
      <c r="W260" s="1"/>
    </row>
    <row r="261" customHeight="1" spans="1:23">
      <c r="A261" s="3">
        <f>IFERROR(__xludf.DUMMYFUNCTION("""COMPUTED_VALUE"""),46049)</f>
        <v>46049</v>
      </c>
      <c r="B261" s="1" t="str">
        <f>IFERROR(__xludf.DUMMYFUNCTION("""COMPUTED_VALUE"""),"ALOS, CHARLS LAURENZ")</f>
        <v>ALOS, CHARLS LAURENZ</v>
      </c>
      <c r="C261" s="1" t="str">
        <f>IFERROR(__xludf.DUMMYFUNCTION("""COMPUTED_VALUE"""),"ORGANIC")</f>
        <v>ORGANIC</v>
      </c>
      <c r="D261" s="1" t="str">
        <f>IFERROR(__xludf.DUMMYFUNCTION("""COMPUTED_VALUE"""),"ILANO MARK")</f>
        <v>ILANO MARK</v>
      </c>
      <c r="E261" s="1" t="str">
        <f>IFERROR(__xludf.DUMMYFUNCTION("""COMPUTED_VALUE"""),"PLDT")</f>
        <v>PLDT</v>
      </c>
      <c r="F261" s="1">
        <f>IFERROR(__xludf.DUMMYFUNCTION("""COMPUTED_VALUE"""),2306538839)</f>
        <v>2306538839</v>
      </c>
      <c r="G261" s="1"/>
      <c r="H261" s="1" t="str">
        <f>IFERROR(__xludf.DUMMYFUNCTION("""COMPUTED_VALUE"""),"9353491017")</f>
        <v>9353491017</v>
      </c>
      <c r="I261" s="1"/>
      <c r="J261" s="1"/>
      <c r="K261" s="1" t="str">
        <f>IFERROR(__xludf.DUMMYFUNCTION("""COMPUTED_VALUE"""),"92")</f>
        <v>92</v>
      </c>
      <c r="L261" s="1" t="str">
        <f>IFERROR(__xludf.DUMMYFUNCTION("""COMPUTED_VALUE"""),"POOK 2")</f>
        <v>POOK 2</v>
      </c>
      <c r="M261" s="1"/>
      <c r="N261" s="1" t="str">
        <f>IFERROR(__xludf.DUMMYFUNCTION("""COMPUTED_VALUE"""),"LUMIL")</f>
        <v>LUMIL</v>
      </c>
      <c r="O261" s="1" t="str">
        <f>IFERROR(__xludf.DUMMYFUNCTION("""COMPUTED_VALUE"""),"SILANG")</f>
        <v>SILANG</v>
      </c>
      <c r="P261" s="1" t="str">
        <f>IFERROR(__xludf.DUMMYFUNCTION("""COMPUTED_VALUE"""),"CAVITE")</f>
        <v>CAVITE</v>
      </c>
      <c r="Q261" s="1" t="str">
        <f>IFERROR(__xludf.DUMMYFUNCTION("""COMPUTED_VALUE"""),"FIBR PLAN 1299")</f>
        <v>FIBR PLAN 1299</v>
      </c>
      <c r="R261" s="1" t="str">
        <f>IFERROR(__xludf.DUMMYFUNCTION("""COMPUTED_VALUE"""),"APPROVED")</f>
        <v>APPROVED</v>
      </c>
      <c r="S261" s="1"/>
      <c r="T261" s="1"/>
      <c r="U261" s="1"/>
      <c r="V261" s="1"/>
      <c r="W261" s="1"/>
    </row>
    <row r="262" customHeight="1" spans="1:23">
      <c r="A262" s="3">
        <f>IFERROR(__xludf.DUMMYFUNCTION("""COMPUTED_VALUE"""),46050)</f>
        <v>46050</v>
      </c>
      <c r="B262" s="1" t="str">
        <f>IFERROR(__xludf.DUMMYFUNCTION("""COMPUTED_VALUE"""),"MALIWAT MARK ELVIN")</f>
        <v>MALIWAT MARK ELVIN</v>
      </c>
      <c r="C262" s="1" t="str">
        <f>IFERROR(__xludf.DUMMYFUNCTION("""COMPUTED_VALUE"""),"FLA")</f>
        <v>FLA</v>
      </c>
      <c r="D262" s="1" t="str">
        <f>IFERROR(__xludf.DUMMYFUNCTION("""COMPUTED_VALUE"""),"JERIC NAVARRO")</f>
        <v>JERIC NAVARRO</v>
      </c>
      <c r="E262" s="1" t="str">
        <f>IFERROR(__xludf.DUMMYFUNCTION("""COMPUTED_VALUE"""),"PLDT")</f>
        <v>PLDT</v>
      </c>
      <c r="F262" s="1">
        <f>IFERROR(__xludf.DUMMYFUNCTION("""COMPUTED_VALUE"""),2306554086)</f>
        <v>2306554086</v>
      </c>
      <c r="G262" s="1"/>
      <c r="H262" s="1" t="str">
        <f>IFERROR(__xludf.DUMMYFUNCTION("""COMPUTED_VALUE"""),"9941296245")</f>
        <v>9941296245</v>
      </c>
      <c r="I262" s="1">
        <f>IFERROR(__xludf.DUMMYFUNCTION("""COMPUTED_VALUE"""),9662558486)</f>
        <v>9662558486</v>
      </c>
      <c r="J262" s="1"/>
      <c r="K262" s="1" t="str">
        <f>IFERROR(__xludf.DUMMYFUNCTION("""COMPUTED_VALUE"""),"9166")</f>
        <v>9166</v>
      </c>
      <c r="L262" s="1" t="str">
        <f>IFERROR(__xludf.DUMMYFUNCTION("""COMPUTED_VALUE"""),"AGUINALDO HIGHWAY")</f>
        <v>AGUINALDO HIGHWAY</v>
      </c>
      <c r="M262" s="1"/>
      <c r="N262" s="1" t="str">
        <f>IFERROR(__xludf.DUMMYFUNCTION("""COMPUTED_VALUE"""),"SAN AGUSTIN I")</f>
        <v>SAN AGUSTIN I</v>
      </c>
      <c r="O262" s="1" t="str">
        <f>IFERROR(__xludf.DUMMYFUNCTION("""COMPUTED_VALUE"""),"DASMARINAS")</f>
        <v>DASMARINAS</v>
      </c>
      <c r="P262" s="1" t="str">
        <f>IFERROR(__xludf.DUMMYFUNCTION("""COMPUTED_VALUE"""),"CAVITE")</f>
        <v>CAVITE</v>
      </c>
      <c r="Q262" s="1" t="str">
        <f>IFERROR(__xludf.DUMMYFUNCTION("""COMPUTED_VALUE"""),"FIBR PLAN 1299")</f>
        <v>FIBR PLAN 1299</v>
      </c>
      <c r="R262" s="1" t="str">
        <f>IFERROR(__xludf.DUMMYFUNCTION("""COMPUTED_VALUE"""),"APPROVED")</f>
        <v>APPROVED</v>
      </c>
      <c r="S262" s="1"/>
      <c r="T262" s="1"/>
      <c r="U262" s="1"/>
      <c r="V262" s="1"/>
      <c r="W262" s="1"/>
    </row>
    <row r="263" customHeight="1" spans="1:23">
      <c r="A263" s="3">
        <f>IFERROR(__xludf.DUMMYFUNCTION("""COMPUTED_VALUE"""),46050)</f>
        <v>46050</v>
      </c>
      <c r="B263" s="1" t="str">
        <f>IFERROR(__xludf.DUMMYFUNCTION("""COMPUTED_VALUE"""),"DE LEON, MERLY")</f>
        <v>DE LEON, MERLY</v>
      </c>
      <c r="C263" s="1" t="str">
        <f>IFERROR(__xludf.DUMMYFUNCTION("""COMPUTED_VALUE"""),"ORGANIC")</f>
        <v>ORGANIC</v>
      </c>
      <c r="D263" s="1" t="str">
        <f>IFERROR(__xludf.DUMMYFUNCTION("""COMPUTED_VALUE"""),"ILANO MARK")</f>
        <v>ILANO MARK</v>
      </c>
      <c r="E263" s="1" t="str">
        <f>IFERROR(__xludf.DUMMYFUNCTION("""COMPUTED_VALUE"""),"PLDT")</f>
        <v>PLDT</v>
      </c>
      <c r="F263" s="1">
        <f>IFERROR(__xludf.DUMMYFUNCTION("""COMPUTED_VALUE"""),2306552779)</f>
        <v>2306552779</v>
      </c>
      <c r="G263" s="1"/>
      <c r="H263" s="1" t="str">
        <f>IFERROR(__xludf.DUMMYFUNCTION("""COMPUTED_VALUE"""),"9475737988")</f>
        <v>9475737988</v>
      </c>
      <c r="I263" s="1">
        <f>IFERROR(__xludf.DUMMYFUNCTION("""COMPUTED_VALUE"""),9089060191)</f>
        <v>9089060191</v>
      </c>
      <c r="J263" s="1"/>
      <c r="K263" s="1" t="str">
        <f>IFERROR(__xludf.DUMMYFUNCTION("""COMPUTED_VALUE"""),"45")</f>
        <v>45</v>
      </c>
      <c r="L263" s="1" t="str">
        <f>IFERROR(__xludf.DUMMYFUNCTION("""COMPUTED_VALUE"""),"PUROK 28")</f>
        <v>PUROK 28</v>
      </c>
      <c r="M263" s="1"/>
      <c r="N263" s="1" t="str">
        <f>IFERROR(__xludf.DUMMYFUNCTION("""COMPUTED_VALUE"""),"FRANCISCO (SAN FRANCISCO)")</f>
        <v>FRANCISCO (SAN FRANCISCO)</v>
      </c>
      <c r="O263" s="1" t="str">
        <f>IFERROR(__xludf.DUMMYFUNCTION("""COMPUTED_VALUE"""),"TAGAYTAY")</f>
        <v>TAGAYTAY</v>
      </c>
      <c r="P263" s="1" t="str">
        <f>IFERROR(__xludf.DUMMYFUNCTION("""COMPUTED_VALUE"""),"CAVITE")</f>
        <v>CAVITE</v>
      </c>
      <c r="Q263" s="1" t="str">
        <f>IFERROR(__xludf.DUMMYFUNCTION("""COMPUTED_VALUE"""),"FIBR PLAN 1399")</f>
        <v>FIBR PLAN 1399</v>
      </c>
      <c r="R263" s="1" t="str">
        <f>IFERROR(__xludf.DUMMYFUNCTION("""COMPUTED_VALUE"""),"APPROVED")</f>
        <v>APPROVED</v>
      </c>
      <c r="S263" s="1"/>
      <c r="T263" s="1"/>
      <c r="U263" s="1"/>
      <c r="V263" s="1"/>
      <c r="W263" s="1"/>
    </row>
    <row r="264" customHeight="1" spans="1:23">
      <c r="A264" s="3">
        <f>IFERROR(__xludf.DUMMYFUNCTION("""COMPUTED_VALUE"""),46050)</f>
        <v>46050</v>
      </c>
      <c r="B264" s="1" t="str">
        <f>IFERROR(__xludf.DUMMYFUNCTION("""COMPUTED_VALUE"""),"VILLANAS , EVANGELINE")</f>
        <v>VILLANAS , EVANGELINE</v>
      </c>
      <c r="C264" s="1" t="str">
        <f>IFERROR(__xludf.DUMMYFUNCTION("""COMPUTED_VALUE"""),"ORGANIC")</f>
        <v>ORGANIC</v>
      </c>
      <c r="D264" s="1" t="str">
        <f>IFERROR(__xludf.DUMMYFUNCTION("""COMPUTED_VALUE"""),"ILANO MARK")</f>
        <v>ILANO MARK</v>
      </c>
      <c r="E264" s="1" t="str">
        <f>IFERROR(__xludf.DUMMYFUNCTION("""COMPUTED_VALUE"""),"PLDT")</f>
        <v>PLDT</v>
      </c>
      <c r="F264" s="1">
        <f>IFERROR(__xludf.DUMMYFUNCTION("""COMPUTED_VALUE"""),2306556592)</f>
        <v>2306556592</v>
      </c>
      <c r="G264" s="1"/>
      <c r="H264" s="1" t="str">
        <f>IFERROR(__xludf.DUMMYFUNCTION("""COMPUTED_VALUE"""),"9482782454")</f>
        <v>9482782454</v>
      </c>
      <c r="I264" s="1">
        <f>IFERROR(__xludf.DUMMYFUNCTION("""COMPUTED_VALUE"""),9932981240)</f>
        <v>9932981240</v>
      </c>
      <c r="J264" s="1"/>
      <c r="K264" s="1" t="str">
        <f>IFERROR(__xludf.DUMMYFUNCTION("""COMPUTED_VALUE"""),"7113")</f>
        <v>7113</v>
      </c>
      <c r="L264" s="1" t="str">
        <f>IFERROR(__xludf.DUMMYFUNCTION("""COMPUTED_VALUE"""),"STA MONICA RD")</f>
        <v>STA MONICA RD</v>
      </c>
      <c r="M264" s="1"/>
      <c r="N264" s="1" t="str">
        <f>IFERROR(__xludf.DUMMYFUNCTION("""COMPUTED_VALUE"""),"SUNGAY NORTH")</f>
        <v>SUNGAY NORTH</v>
      </c>
      <c r="O264" s="1" t="str">
        <f>IFERROR(__xludf.DUMMYFUNCTION("""COMPUTED_VALUE"""),"TAGAYTAY")</f>
        <v>TAGAYTAY</v>
      </c>
      <c r="P264" s="1" t="str">
        <f>IFERROR(__xludf.DUMMYFUNCTION("""COMPUTED_VALUE"""),"CAVITE")</f>
        <v>CAVITE</v>
      </c>
      <c r="Q264" s="1" t="str">
        <f>IFERROR(__xludf.DUMMYFUNCTION("""COMPUTED_VALUE"""),"FIBR PLAN 1399")</f>
        <v>FIBR PLAN 1399</v>
      </c>
      <c r="R264" s="1" t="str">
        <f>IFERROR(__xludf.DUMMYFUNCTION("""COMPUTED_VALUE"""),"APPROVED")</f>
        <v>APPROVED</v>
      </c>
      <c r="S264" s="1"/>
      <c r="T264" s="1"/>
      <c r="U264" s="1"/>
      <c r="V264" s="1"/>
      <c r="W264" s="1"/>
    </row>
    <row r="265" customHeight="1" spans="1:23">
      <c r="A265" s="3">
        <f>IFERROR(__xludf.DUMMYFUNCTION("""COMPUTED_VALUE"""),46050)</f>
        <v>46050</v>
      </c>
      <c r="B265" s="1" t="str">
        <f>IFERROR(__xludf.DUMMYFUNCTION("""COMPUTED_VALUE"""),"DE VERA, MARIVIC")</f>
        <v>DE VERA, MARIVIC</v>
      </c>
      <c r="C265" s="1" t="str">
        <f>IFERROR(__xludf.DUMMYFUNCTION("""COMPUTED_VALUE"""),"ORGANIC")</f>
        <v>ORGANIC</v>
      </c>
      <c r="D265" s="1" t="str">
        <f>IFERROR(__xludf.DUMMYFUNCTION("""COMPUTED_VALUE"""),"REMOLLO LEA")</f>
        <v>REMOLLO LEA</v>
      </c>
      <c r="E265" s="1" t="str">
        <f>IFERROR(__xludf.DUMMYFUNCTION("""COMPUTED_VALUE"""),"RED FIBER")</f>
        <v>RED FIBER</v>
      </c>
      <c r="F265" s="1"/>
      <c r="G265" s="1"/>
      <c r="H265" s="1" t="str">
        <f>IFERROR(__xludf.DUMMYFUNCTION("""COMPUTED_VALUE"""),"9925149055")</f>
        <v>9925149055</v>
      </c>
      <c r="I265" s="1"/>
      <c r="J265" s="1"/>
      <c r="K265" s="1" t="str">
        <f>IFERROR(__xludf.DUMMYFUNCTION("""COMPUTED_VALUE"""),"63")</f>
        <v>63</v>
      </c>
      <c r="L265" s="1" t="str">
        <f>IFERROR(__xludf.DUMMYFUNCTION("""COMPUTED_VALUE"""),"JP RIZAL")</f>
        <v>JP RIZAL</v>
      </c>
      <c r="M265" s="1"/>
      <c r="N265" s="1" t="str">
        <f>IFERROR(__xludf.DUMMYFUNCTION("""COMPUTED_VALUE"""),"ASIS III")</f>
        <v>ASIS III</v>
      </c>
      <c r="O265" s="1" t="str">
        <f>IFERROR(__xludf.DUMMYFUNCTION("""COMPUTED_VALUE"""),"MENDEZ")</f>
        <v>MENDEZ</v>
      </c>
      <c r="P265" s="1" t="str">
        <f>IFERROR(__xludf.DUMMYFUNCTION("""COMPUTED_VALUE"""),"CAVITE")</f>
        <v>CAVITE</v>
      </c>
      <c r="Q265" s="1" t="str">
        <f>IFERROR(__xludf.DUMMYFUNCTION("""COMPUTED_VALUE"""),"RED FIBER PLAN 1000")</f>
        <v>RED FIBER PLAN 1000</v>
      </c>
      <c r="R265" s="1" t="str">
        <f>IFERROR(__xludf.DUMMYFUNCTION("""COMPUTED_VALUE"""),"APPROVED")</f>
        <v>APPROVED</v>
      </c>
      <c r="S265" s="1"/>
      <c r="T265" s="1"/>
      <c r="U265" s="1"/>
      <c r="V265" s="1"/>
      <c r="W265" s="1"/>
    </row>
    <row r="266" customHeight="1" spans="1:23">
      <c r="A266" s="3">
        <f>IFERROR(__xludf.DUMMYFUNCTION("""COMPUTED_VALUE"""),46050)</f>
        <v>46050</v>
      </c>
      <c r="B266" s="1" t="str">
        <f>IFERROR(__xludf.DUMMYFUNCTION("""COMPUTED_VALUE"""),"DE VERA, MARIVIC")</f>
        <v>DE VERA, MARIVIC</v>
      </c>
      <c r="C266" s="1" t="str">
        <f>IFERROR(__xludf.DUMMYFUNCTION("""COMPUTED_VALUE"""),"ORGANIC")</f>
        <v>ORGANIC</v>
      </c>
      <c r="D266" s="1" t="str">
        <f>IFERROR(__xludf.DUMMYFUNCTION("""COMPUTED_VALUE"""),"REMOLLO LEA")</f>
        <v>REMOLLO LEA</v>
      </c>
      <c r="E266" s="1" t="str">
        <f>IFERROR(__xludf.DUMMYFUNCTION("""COMPUTED_VALUE"""),"PLDT")</f>
        <v>PLDT</v>
      </c>
      <c r="F266" s="1">
        <f>IFERROR(__xludf.DUMMYFUNCTION("""COMPUTED_VALUE"""),2306557681)</f>
        <v>2306557681</v>
      </c>
      <c r="G266" s="1"/>
      <c r="H266" s="1" t="str">
        <f>IFERROR(__xludf.DUMMYFUNCTION("""COMPUTED_VALUE"""),"9475887376")</f>
        <v>9475887376</v>
      </c>
      <c r="I266" s="1">
        <f>IFERROR(__xludf.DUMMYFUNCTION("""COMPUTED_VALUE"""),9187974652)</f>
        <v>9187974652</v>
      </c>
      <c r="J266" s="1"/>
      <c r="K266" s="1" t="str">
        <f>IFERROR(__xludf.DUMMYFUNCTION("""COMPUTED_VALUE"""),"200")</f>
        <v>200</v>
      </c>
      <c r="L266" s="1" t="str">
        <f>IFERROR(__xludf.DUMMYFUNCTION("""COMPUTED_VALUE"""),"LIANA ST")</f>
        <v>LIANA ST</v>
      </c>
      <c r="M266" s="1"/>
      <c r="N266" s="1" t="str">
        <f>IFERROR(__xludf.DUMMYFUNCTION("""COMPUTED_VALUE"""),"POBLACION II")</f>
        <v>POBLACION II</v>
      </c>
      <c r="O266" s="1" t="str">
        <f>IFERROR(__xludf.DUMMYFUNCTION("""COMPUTED_VALUE"""),"MENDEZ")</f>
        <v>MENDEZ</v>
      </c>
      <c r="P266" s="1" t="str">
        <f>IFERROR(__xludf.DUMMYFUNCTION("""COMPUTED_VALUE"""),"CAVITE")</f>
        <v>CAVITE</v>
      </c>
      <c r="Q266" s="1" t="str">
        <f>IFERROR(__xludf.DUMMYFUNCTION("""COMPUTED_VALUE"""),"FIBR PLAN 1399")</f>
        <v>FIBR PLAN 1399</v>
      </c>
      <c r="R266" s="1" t="str">
        <f>IFERROR(__xludf.DUMMYFUNCTION("""COMPUTED_VALUE"""),"APPROVED")</f>
        <v>APPROVED</v>
      </c>
      <c r="S266" s="1"/>
      <c r="T266" s="1"/>
      <c r="U266" s="1"/>
      <c r="V266" s="1"/>
      <c r="W266" s="1"/>
    </row>
    <row r="267" customHeight="1" spans="1:23">
      <c r="A267" s="3">
        <f>IFERROR(__xludf.DUMMYFUNCTION("""COMPUTED_VALUE"""),46050)</f>
        <v>46050</v>
      </c>
      <c r="B267" s="1" t="str">
        <f>IFERROR(__xludf.DUMMYFUNCTION("""COMPUTED_VALUE"""),"FRANCISCO , ROSELYN")</f>
        <v>FRANCISCO , ROSELYN</v>
      </c>
      <c r="C267" s="1" t="str">
        <f>IFERROR(__xludf.DUMMYFUNCTION("""COMPUTED_VALUE"""),"FLA")</f>
        <v>FLA</v>
      </c>
      <c r="D267" s="1" t="str">
        <f>IFERROR(__xludf.DUMMYFUNCTION("""COMPUTED_VALUE"""),"JERIC NAVARRO")</f>
        <v>JERIC NAVARRO</v>
      </c>
      <c r="E267" s="1" t="str">
        <f>IFERROR(__xludf.DUMMYFUNCTION("""COMPUTED_VALUE"""),"RED FIBER")</f>
        <v>RED FIBER</v>
      </c>
      <c r="F267" s="1"/>
      <c r="G267" s="1"/>
      <c r="H267" s="1" t="str">
        <f>IFERROR(__xludf.DUMMYFUNCTION("""COMPUTED_VALUE"""),"9549820618")</f>
        <v>9549820618</v>
      </c>
      <c r="I267" s="1"/>
      <c r="J267" s="1"/>
      <c r="K267" s="1" t="str">
        <f>IFERROR(__xludf.DUMMYFUNCTION("""COMPUTED_VALUE"""),"BLK 25 LOT 47")</f>
        <v>BLK 25 LOT 47</v>
      </c>
      <c r="L267" s="1" t="str">
        <f>IFERROR(__xludf.DUMMYFUNCTION("""COMPUTED_VALUE"""),"PHASE 1")</f>
        <v>PHASE 1</v>
      </c>
      <c r="M267" s="1" t="str">
        <f>IFERROR(__xludf.DUMMYFUNCTION("""COMPUTED_VALUE"""),"TERAVERDE RESIDENCES")</f>
        <v>TERAVERDE RESIDENCES</v>
      </c>
      <c r="N267" s="1" t="str">
        <f>IFERROR(__xludf.DUMMYFUNCTION("""COMPUTED_VALUE"""),"BANCAL")</f>
        <v>BANCAL</v>
      </c>
      <c r="O267" s="1" t="str">
        <f>IFERROR(__xludf.DUMMYFUNCTION("""COMPUTED_VALUE"""),"CARMONA")</f>
        <v>CARMONA</v>
      </c>
      <c r="P267" s="1" t="str">
        <f>IFERROR(__xludf.DUMMYFUNCTION("""COMPUTED_VALUE"""),"CAVITE")</f>
        <v>CAVITE</v>
      </c>
      <c r="Q267" s="1" t="str">
        <f>IFERROR(__xludf.DUMMYFUNCTION("""COMPUTED_VALUE"""),"RED FIBER PLAN 1400")</f>
        <v>RED FIBER PLAN 1400</v>
      </c>
      <c r="R267" s="1" t="str">
        <f>IFERROR(__xludf.DUMMYFUNCTION("""COMPUTED_VALUE"""),"APPROVED")</f>
        <v>APPROVED</v>
      </c>
      <c r="S267" s="1"/>
      <c r="T267" s="1"/>
      <c r="U267" s="1"/>
      <c r="V267" s="1"/>
      <c r="W267" s="1"/>
    </row>
    <row r="268" customHeight="1" spans="1:23">
      <c r="A268" s="3">
        <f>IFERROR(__xludf.DUMMYFUNCTION("""COMPUTED_VALUE"""),46050)</f>
        <v>46050</v>
      </c>
      <c r="B268" s="1" t="str">
        <f>IFERROR(__xludf.DUMMYFUNCTION("""COMPUTED_VALUE"""),"MAGDARAOG, KENNETH")</f>
        <v>MAGDARAOG, KENNETH</v>
      </c>
      <c r="C268" s="1" t="str">
        <f>IFERROR(__xludf.DUMMYFUNCTION("""COMPUTED_VALUE"""),"ORGANIC")</f>
        <v>ORGANIC</v>
      </c>
      <c r="D268" s="1" t="str">
        <f>IFERROR(__xludf.DUMMYFUNCTION("""COMPUTED_VALUE"""),"REMOLLO LEA")</f>
        <v>REMOLLO LEA</v>
      </c>
      <c r="E268" s="1" t="str">
        <f>IFERROR(__xludf.DUMMYFUNCTION("""COMPUTED_VALUE"""),"RED FIBER")</f>
        <v>RED FIBER</v>
      </c>
      <c r="F268" s="1"/>
      <c r="G268" s="1"/>
      <c r="H268" s="1" t="str">
        <f>IFERROR(__xludf.DUMMYFUNCTION("""COMPUTED_VALUE"""),"9943406248")</f>
        <v>9943406248</v>
      </c>
      <c r="I268" s="1"/>
      <c r="J268" s="1"/>
      <c r="K268" s="1" t="str">
        <f>IFERROR(__xludf.DUMMYFUNCTION("""COMPUTED_VALUE"""),"118")</f>
        <v>118</v>
      </c>
      <c r="L268" s="1" t="str">
        <f>IFERROR(__xludf.DUMMYFUNCTION("""COMPUTED_VALUE"""),"MABINI ST")</f>
        <v>MABINI ST</v>
      </c>
      <c r="M268" s="1"/>
      <c r="N268" s="1" t="str">
        <f>IFERROR(__xludf.DUMMYFUNCTION("""COMPUTED_VALUE"""),"POBLACION VI (BARANGAY VI)")</f>
        <v>POBLACION VI (BARANGAY VI)</v>
      </c>
      <c r="O268" s="1" t="str">
        <f>IFERROR(__xludf.DUMMYFUNCTION("""COMPUTED_VALUE"""),"MENDEZ")</f>
        <v>MENDEZ</v>
      </c>
      <c r="P268" s="1" t="str">
        <f>IFERROR(__xludf.DUMMYFUNCTION("""COMPUTED_VALUE"""),"CAVITE")</f>
        <v>CAVITE</v>
      </c>
      <c r="Q268" s="1" t="str">
        <f>IFERROR(__xludf.DUMMYFUNCTION("""COMPUTED_VALUE"""),"RED FIBER PLAN 1000")</f>
        <v>RED FIBER PLAN 1000</v>
      </c>
      <c r="R268" s="1" t="str">
        <f>IFERROR(__xludf.DUMMYFUNCTION("""COMPUTED_VALUE"""),"APPROVED")</f>
        <v>APPROVED</v>
      </c>
      <c r="S268" s="1"/>
      <c r="T268" s="1"/>
      <c r="U268" s="1"/>
      <c r="V268" s="1"/>
      <c r="W268" s="1"/>
    </row>
    <row r="269" customHeight="1" spans="1:23">
      <c r="A269" s="3">
        <f>IFERROR(__xludf.DUMMYFUNCTION("""COMPUTED_VALUE"""),46050)</f>
        <v>46050</v>
      </c>
      <c r="B269" s="1" t="str">
        <f>IFERROR(__xludf.DUMMYFUNCTION("""COMPUTED_VALUE"""),"DE VERA, PAUL")</f>
        <v>DE VERA, PAUL</v>
      </c>
      <c r="C269" s="1" t="str">
        <f>IFERROR(__xludf.DUMMYFUNCTION("""COMPUTED_VALUE"""),"ORGANIC")</f>
        <v>ORGANIC</v>
      </c>
      <c r="D269" s="1" t="str">
        <f>IFERROR(__xludf.DUMMYFUNCTION("""COMPUTED_VALUE"""),"ILANO MARK")</f>
        <v>ILANO MARK</v>
      </c>
      <c r="E269" s="1" t="str">
        <f>IFERROR(__xludf.DUMMYFUNCTION("""COMPUTED_VALUE"""),"PLDT")</f>
        <v>PLDT</v>
      </c>
      <c r="F269" s="1">
        <f>IFERROR(__xludf.DUMMYFUNCTION("""COMPUTED_VALUE"""),2306559470)</f>
        <v>2306559470</v>
      </c>
      <c r="G269" s="1"/>
      <c r="H269" s="1" t="str">
        <f>IFERROR(__xludf.DUMMYFUNCTION("""COMPUTED_VALUE"""),"9068645711")</f>
        <v>9068645711</v>
      </c>
      <c r="I269" s="1">
        <f>IFERROR(__xludf.DUMMYFUNCTION("""COMPUTED_VALUE"""),9994351362)</f>
        <v>9994351362</v>
      </c>
      <c r="J269" s="1"/>
      <c r="K269" s="1" t="str">
        <f>IFERROR(__xludf.DUMMYFUNCTION("""COMPUTED_VALUE"""),"135")</f>
        <v>135</v>
      </c>
      <c r="L269" s="1" t="str">
        <f>IFERROR(__xludf.DUMMYFUNCTION("""COMPUTED_VALUE"""),"PUROK 4")</f>
        <v>PUROK 4</v>
      </c>
      <c r="M269" s="1"/>
      <c r="N269" s="1" t="str">
        <f>IFERROR(__xludf.DUMMYFUNCTION("""COMPUTED_VALUE"""),"MAYMANGGA")</f>
        <v>MAYMANGGA</v>
      </c>
      <c r="O269" s="1" t="str">
        <f>IFERROR(__xludf.DUMMYFUNCTION("""COMPUTED_VALUE"""),"AMADEO")</f>
        <v>AMADEO</v>
      </c>
      <c r="P269" s="1" t="str">
        <f>IFERROR(__xludf.DUMMYFUNCTION("""COMPUTED_VALUE"""),"CAVITE")</f>
        <v>CAVITE</v>
      </c>
      <c r="Q269" s="1" t="str">
        <f>IFERROR(__xludf.DUMMYFUNCTION("""COMPUTED_VALUE"""),"FIBR PLAN 1399")</f>
        <v>FIBR PLAN 1399</v>
      </c>
      <c r="R269" s="1" t="str">
        <f>IFERROR(__xludf.DUMMYFUNCTION("""COMPUTED_VALUE"""),"APPROVED")</f>
        <v>APPROVED</v>
      </c>
      <c r="S269" s="1"/>
      <c r="T269" s="1"/>
      <c r="U269" s="1"/>
      <c r="V269" s="1"/>
      <c r="W269" s="1"/>
    </row>
    <row r="270" customHeight="1" spans="1:23">
      <c r="A270" s="3">
        <f>IFERROR(__xludf.DUMMYFUNCTION("""COMPUTED_VALUE"""),46050)</f>
        <v>46050</v>
      </c>
      <c r="B270" s="1" t="str">
        <f>IFERROR(__xludf.DUMMYFUNCTION("""COMPUTED_VALUE"""),"MIRASOL, RAYRALYN")</f>
        <v>MIRASOL, RAYRALYN</v>
      </c>
      <c r="C270" s="1" t="str">
        <f>IFERROR(__xludf.DUMMYFUNCTION("""COMPUTED_VALUE"""),"ORGANIC")</f>
        <v>ORGANIC</v>
      </c>
      <c r="D270" s="1" t="str">
        <f>IFERROR(__xludf.DUMMYFUNCTION("""COMPUTED_VALUE"""),"ILANO MARK")</f>
        <v>ILANO MARK</v>
      </c>
      <c r="E270" s="1" t="str">
        <f>IFERROR(__xludf.DUMMYFUNCTION("""COMPUTED_VALUE"""),"PLDT")</f>
        <v>PLDT</v>
      </c>
      <c r="F270" s="1">
        <f>IFERROR(__xludf.DUMMYFUNCTION("""COMPUTED_VALUE"""),2306560257)</f>
        <v>2306560257</v>
      </c>
      <c r="G270" s="1"/>
      <c r="H270" s="1" t="str">
        <f>IFERROR(__xludf.DUMMYFUNCTION("""COMPUTED_VALUE"""),"9151248474")</f>
        <v>9151248474</v>
      </c>
      <c r="I270" s="1">
        <f>IFERROR(__xludf.DUMMYFUNCTION("""COMPUTED_VALUE"""),9309481464)</f>
        <v>9309481464</v>
      </c>
      <c r="J270" s="1"/>
      <c r="K270" s="1" t="str">
        <f>IFERROR(__xludf.DUMMYFUNCTION("""COMPUTED_VALUE"""),"6")</f>
        <v>6</v>
      </c>
      <c r="L270" s="1" t="str">
        <f>IFERROR(__xludf.DUMMYFUNCTION("""COMPUTED_VALUE"""),"MOLAVE ST")</f>
        <v>MOLAVE ST</v>
      </c>
      <c r="M270" s="1"/>
      <c r="N270" s="1" t="str">
        <f>IFERROR(__xludf.DUMMYFUNCTION("""COMPUTED_VALUE"""),"KAYQUIT I")</f>
        <v>KAYQUIT I</v>
      </c>
      <c r="O270" s="1" t="str">
        <f>IFERROR(__xludf.DUMMYFUNCTION("""COMPUTED_VALUE"""),"INDANG")</f>
        <v>INDANG</v>
      </c>
      <c r="P270" s="1" t="str">
        <f>IFERROR(__xludf.DUMMYFUNCTION("""COMPUTED_VALUE"""),"CAVITE")</f>
        <v>CAVITE</v>
      </c>
      <c r="Q270" s="1" t="str">
        <f>IFERROR(__xludf.DUMMYFUNCTION("""COMPUTED_VALUE"""),"FIBR PLAN 1399")</f>
        <v>FIBR PLAN 1399</v>
      </c>
      <c r="R270" s="1" t="str">
        <f>IFERROR(__xludf.DUMMYFUNCTION("""COMPUTED_VALUE"""),"APPROVED")</f>
        <v>APPROVED</v>
      </c>
      <c r="S270" s="1"/>
      <c r="T270" s="1"/>
      <c r="U270" s="1"/>
      <c r="V270" s="1"/>
      <c r="W270" s="1"/>
    </row>
    <row r="271" customHeight="1" spans="1:23">
      <c r="A271" s="3">
        <f>IFERROR(__xludf.DUMMYFUNCTION("""COMPUTED_VALUE"""),46050)</f>
        <v>46050</v>
      </c>
      <c r="B271" s="1" t="str">
        <f>IFERROR(__xludf.DUMMYFUNCTION("""COMPUTED_VALUE"""),"IVNO, RAZZEL")</f>
        <v>IVNO, RAZZEL</v>
      </c>
      <c r="C271" s="1" t="str">
        <f>IFERROR(__xludf.DUMMYFUNCTION("""COMPUTED_VALUE"""),"ORGANIC")</f>
        <v>ORGANIC</v>
      </c>
      <c r="D271" s="1" t="str">
        <f>IFERROR(__xludf.DUMMYFUNCTION("""COMPUTED_VALUE"""),"REMOLLO LEA")</f>
        <v>REMOLLO LEA</v>
      </c>
      <c r="E271" s="1" t="str">
        <f>IFERROR(__xludf.DUMMYFUNCTION("""COMPUTED_VALUE"""),"RED FIBER")</f>
        <v>RED FIBER</v>
      </c>
      <c r="F271" s="1"/>
      <c r="G271" s="1"/>
      <c r="H271" s="1" t="str">
        <f>IFERROR(__xludf.DUMMYFUNCTION("""COMPUTED_VALUE"""),"9979103217")</f>
        <v>9979103217</v>
      </c>
      <c r="I271" s="1"/>
      <c r="J271" s="1"/>
      <c r="K271" s="1" t="str">
        <f>IFERROR(__xludf.DUMMYFUNCTION("""COMPUTED_VALUE"""),"349")</f>
        <v>349</v>
      </c>
      <c r="L271" s="1" t="str">
        <f>IFERROR(__xludf.DUMMYFUNCTION("""COMPUTED_VALUE"""),"MABINI ST")</f>
        <v>MABINI ST</v>
      </c>
      <c r="M271" s="1"/>
      <c r="N271" s="1" t="str">
        <f>IFERROR(__xludf.DUMMYFUNCTION("""COMPUTED_VALUE"""),"BARANGAY III (POB.)")</f>
        <v>BARANGAY III (POB.)</v>
      </c>
      <c r="O271" s="1" t="str">
        <f>IFERROR(__xludf.DUMMYFUNCTION("""COMPUTED_VALUE"""),"MENDEZ")</f>
        <v>MENDEZ</v>
      </c>
      <c r="P271" s="1" t="str">
        <f>IFERROR(__xludf.DUMMYFUNCTION("""COMPUTED_VALUE"""),"CAVITE")</f>
        <v>CAVITE</v>
      </c>
      <c r="Q271" s="1" t="str">
        <f>IFERROR(__xludf.DUMMYFUNCTION("""COMPUTED_VALUE"""),"RED FIBER PLAN 1000")</f>
        <v>RED FIBER PLAN 1000</v>
      </c>
      <c r="R271" s="1" t="str">
        <f>IFERROR(__xludf.DUMMYFUNCTION("""COMPUTED_VALUE"""),"APPROVED")</f>
        <v>APPROVED</v>
      </c>
      <c r="S271" s="1"/>
      <c r="T271" s="1"/>
      <c r="U271" s="1"/>
      <c r="V271" s="1"/>
      <c r="W271" s="1"/>
    </row>
    <row r="272" customHeight="1" spans="1:23">
      <c r="A272" s="3">
        <f>IFERROR(__xludf.DUMMYFUNCTION("""COMPUTED_VALUE"""),46050)</f>
        <v>46050</v>
      </c>
      <c r="B272" s="1" t="str">
        <f>IFERROR(__xludf.DUMMYFUNCTION("""COMPUTED_VALUE"""),"FRANCISCO , ROSELYN")</f>
        <v>FRANCISCO , ROSELYN</v>
      </c>
      <c r="C272" s="1" t="str">
        <f>IFERROR(__xludf.DUMMYFUNCTION("""COMPUTED_VALUE"""),"FLA")</f>
        <v>FLA</v>
      </c>
      <c r="D272" s="1" t="str">
        <f>IFERROR(__xludf.DUMMYFUNCTION("""COMPUTED_VALUE"""),"JERIC NAVARRO")</f>
        <v>JERIC NAVARRO</v>
      </c>
      <c r="E272" s="1" t="str">
        <f>IFERROR(__xludf.DUMMYFUNCTION("""COMPUTED_VALUE"""),"PLDT")</f>
        <v>PLDT</v>
      </c>
      <c r="F272" s="1">
        <f>IFERROR(__xludf.DUMMYFUNCTION("""COMPUTED_VALUE"""),2306561104)</f>
        <v>2306561104</v>
      </c>
      <c r="G272" s="1"/>
      <c r="H272" s="1" t="str">
        <f>IFERROR(__xludf.DUMMYFUNCTION("""COMPUTED_VALUE"""),"9151766170")</f>
        <v>9151766170</v>
      </c>
      <c r="I272" s="1">
        <f>IFERROR(__xludf.DUMMYFUNCTION("""COMPUTED_VALUE"""),9659884491)</f>
        <v>9659884491</v>
      </c>
      <c r="J272" s="1"/>
      <c r="K272" s="1" t="str">
        <f>IFERROR(__xludf.DUMMYFUNCTION("""COMPUTED_VALUE"""),"4110")</f>
        <v>4110</v>
      </c>
      <c r="L272" s="1" t="str">
        <f>IFERROR(__xludf.DUMMYFUNCTION("""COMPUTED_VALUE"""),"ARNALDO HIGHWAY")</f>
        <v>ARNALDO HIGHWAY</v>
      </c>
      <c r="M272" s="1"/>
      <c r="N272" s="1" t="str">
        <f>IFERROR(__xludf.DUMMYFUNCTION("""COMPUTED_VALUE"""),"PASONG CAMACHILE I")</f>
        <v>PASONG CAMACHILE I</v>
      </c>
      <c r="O272" s="1" t="str">
        <f>IFERROR(__xludf.DUMMYFUNCTION("""COMPUTED_VALUE"""),"GENERAL TRIAS")</f>
        <v>GENERAL TRIAS</v>
      </c>
      <c r="P272" s="1" t="str">
        <f>IFERROR(__xludf.DUMMYFUNCTION("""COMPUTED_VALUE"""),"CAVITE")</f>
        <v>CAVITE</v>
      </c>
      <c r="Q272" s="1" t="str">
        <f>IFERROR(__xludf.DUMMYFUNCTION("""COMPUTED_VALUE"""),"FIBR PLAN 1399")</f>
        <v>FIBR PLAN 1399</v>
      </c>
      <c r="R272" s="1" t="str">
        <f>IFERROR(__xludf.DUMMYFUNCTION("""COMPUTED_VALUE"""),"APPROVED")</f>
        <v>APPROVED</v>
      </c>
      <c r="S272" s="1"/>
      <c r="T272" s="1"/>
      <c r="U272" s="1"/>
      <c r="V272" s="1"/>
      <c r="W272" s="1"/>
    </row>
    <row r="273" customHeight="1" spans="1:23">
      <c r="A273" s="3">
        <f>IFERROR(__xludf.DUMMYFUNCTION("""COMPUTED_VALUE"""),46050)</f>
        <v>46050</v>
      </c>
      <c r="B273" s="1" t="str">
        <f>IFERROR(__xludf.DUMMYFUNCTION("""COMPUTED_VALUE"""),"DELA TORRE , IGNACIA")</f>
        <v>DELA TORRE , IGNACIA</v>
      </c>
      <c r="C273" s="1" t="str">
        <f>IFERROR(__xludf.DUMMYFUNCTION("""COMPUTED_VALUE"""),"ORGANIC")</f>
        <v>ORGANIC</v>
      </c>
      <c r="D273" s="1" t="str">
        <f>IFERROR(__xludf.DUMMYFUNCTION("""COMPUTED_VALUE"""),"ILANO MARK")</f>
        <v>ILANO MARK</v>
      </c>
      <c r="E273" s="1" t="str">
        <f>IFERROR(__xludf.DUMMYFUNCTION("""COMPUTED_VALUE"""),"PLDT")</f>
        <v>PLDT</v>
      </c>
      <c r="F273" s="1">
        <f>IFERROR(__xludf.DUMMYFUNCTION("""COMPUTED_VALUE"""),2306561606)</f>
        <v>2306561606</v>
      </c>
      <c r="G273" s="1"/>
      <c r="H273" s="1" t="str">
        <f>IFERROR(__xludf.DUMMYFUNCTION("""COMPUTED_VALUE"""),"9202537174")</f>
        <v>9202537174</v>
      </c>
      <c r="I273" s="1"/>
      <c r="J273" s="1"/>
      <c r="K273" s="1" t="str">
        <f>IFERROR(__xludf.DUMMYFUNCTION("""COMPUTED_VALUE"""),"406")</f>
        <v>406</v>
      </c>
      <c r="L273" s="1" t="str">
        <f>IFERROR(__xludf.DUMMYFUNCTION("""COMPUTED_VALUE"""),"PUROK 7")</f>
        <v>PUROK 7</v>
      </c>
      <c r="M273" s="1"/>
      <c r="N273" s="1" t="str">
        <f>IFERROR(__xludf.DUMMYFUNCTION("""COMPUTED_VALUE"""),"TAMACAN")</f>
        <v>TAMACAN</v>
      </c>
      <c r="O273" s="1" t="str">
        <f>IFERROR(__xludf.DUMMYFUNCTION("""COMPUTED_VALUE"""),"AMADEO")</f>
        <v>AMADEO</v>
      </c>
      <c r="P273" s="1" t="str">
        <f>IFERROR(__xludf.DUMMYFUNCTION("""COMPUTED_VALUE"""),"CAVITE")</f>
        <v>CAVITE</v>
      </c>
      <c r="Q273" s="1" t="str">
        <f>IFERROR(__xludf.DUMMYFUNCTION("""COMPUTED_VALUE"""),"PREPAID 999")</f>
        <v>PREPAID 999</v>
      </c>
      <c r="R273" s="1" t="str">
        <f>IFERROR(__xludf.DUMMYFUNCTION("""COMPUTED_VALUE"""),"APPROVED")</f>
        <v>APPROVED</v>
      </c>
      <c r="S273" s="1"/>
      <c r="T273" s="1"/>
      <c r="U273" s="1"/>
      <c r="V273" s="1"/>
      <c r="W273" s="1"/>
    </row>
    <row r="274" customHeight="1" spans="1:23">
      <c r="A274" s="3">
        <f>IFERROR(__xludf.DUMMYFUNCTION("""COMPUTED_VALUE"""),46050)</f>
        <v>46050</v>
      </c>
      <c r="B274" s="1" t="str">
        <f>IFERROR(__xludf.DUMMYFUNCTION("""COMPUTED_VALUE"""),"REMOLLO, LEA")</f>
        <v>REMOLLO, LEA</v>
      </c>
      <c r="C274" s="1" t="str">
        <f>IFERROR(__xludf.DUMMYFUNCTION("""COMPUTED_VALUE"""),"FLA")</f>
        <v>FLA</v>
      </c>
      <c r="D274" s="1" t="str">
        <f>IFERROR(__xludf.DUMMYFUNCTION("""COMPUTED_VALUE"""),"JERIC NAVARRO")</f>
        <v>JERIC NAVARRO</v>
      </c>
      <c r="E274" s="1" t="str">
        <f>IFERROR(__xludf.DUMMYFUNCTION("""COMPUTED_VALUE"""),"PLDT")</f>
        <v>PLDT</v>
      </c>
      <c r="F274" s="1">
        <f>IFERROR(__xludf.DUMMYFUNCTION("""COMPUTED_VALUE"""),2306562076)</f>
        <v>2306562076</v>
      </c>
      <c r="G274" s="1"/>
      <c r="H274" s="1" t="str">
        <f>IFERROR(__xludf.DUMMYFUNCTION("""COMPUTED_VALUE"""),"9178266666")</f>
        <v>9178266666</v>
      </c>
      <c r="I274" s="1"/>
      <c r="J274" s="1"/>
      <c r="K274" s="1" t="str">
        <f>IFERROR(__xludf.DUMMYFUNCTION("""COMPUTED_VALUE"""),"BLK 17 OT 8")</f>
        <v>BLK 17 OT 8</v>
      </c>
      <c r="L274" s="1" t="str">
        <f>IFERROR(__xludf.DUMMYFUNCTION("""COMPUTED_VALUE"""),"PHASE 1")</f>
        <v>PHASE 1</v>
      </c>
      <c r="M274" s="1" t="str">
        <f>IFERROR(__xludf.DUMMYFUNCTION("""COMPUTED_VALUE"""),"CANYON RANCH")</f>
        <v>CANYON RANCH</v>
      </c>
      <c r="N274" s="1" t="str">
        <f>IFERROR(__xludf.DUMMYFUNCTION("""COMPUTED_VALUE"""),"LANTIC")</f>
        <v>LANTIC</v>
      </c>
      <c r="O274" s="1" t="str">
        <f>IFERROR(__xludf.DUMMYFUNCTION("""COMPUTED_VALUE"""),"CARMONA")</f>
        <v>CARMONA</v>
      </c>
      <c r="P274" s="1" t="str">
        <f>IFERROR(__xludf.DUMMYFUNCTION("""COMPUTED_VALUE"""),"CAVITE")</f>
        <v>CAVITE</v>
      </c>
      <c r="Q274" s="1" t="str">
        <f>IFERROR(__xludf.DUMMYFUNCTION("""COMPUTED_VALUE"""),"FIBR PLAN 2099")</f>
        <v>FIBR PLAN 2099</v>
      </c>
      <c r="R274" s="1" t="str">
        <f>IFERROR(__xludf.DUMMYFUNCTION("""COMPUTED_VALUE"""),"APPROVED")</f>
        <v>APPROVED</v>
      </c>
      <c r="S274" s="1"/>
      <c r="T274" s="1"/>
      <c r="U274" s="1"/>
      <c r="V274" s="1"/>
      <c r="W274" s="1"/>
    </row>
    <row r="275" customHeight="1" spans="1:23">
      <c r="A275" s="3">
        <f>IFERROR(__xludf.DUMMYFUNCTION("""COMPUTED_VALUE"""),46051)</f>
        <v>46051</v>
      </c>
      <c r="B275" s="1" t="str">
        <f>IFERROR(__xludf.DUMMYFUNCTION("""COMPUTED_VALUE"""),"MALIWAT MARK ELVIN")</f>
        <v>MALIWAT MARK ELVIN</v>
      </c>
      <c r="C275" s="1" t="str">
        <f>IFERROR(__xludf.DUMMYFUNCTION("""COMPUTED_VALUE"""),"FLA")</f>
        <v>FLA</v>
      </c>
      <c r="D275" s="1" t="str">
        <f>IFERROR(__xludf.DUMMYFUNCTION("""COMPUTED_VALUE"""),"JERIC NAVARRO")</f>
        <v>JERIC NAVARRO</v>
      </c>
      <c r="E275" s="1" t="str">
        <f>IFERROR(__xludf.DUMMYFUNCTION("""COMPUTED_VALUE"""),"PLDT")</f>
        <v>PLDT</v>
      </c>
      <c r="F275" s="1">
        <f>IFERROR(__xludf.DUMMYFUNCTION("""COMPUTED_VALUE"""),2306572615)</f>
        <v>2306572615</v>
      </c>
      <c r="G275" s="1"/>
      <c r="H275" s="1" t="str">
        <f>IFERROR(__xludf.DUMMYFUNCTION("""COMPUTED_VALUE"""),"9761203865")</f>
        <v>9761203865</v>
      </c>
      <c r="I275" s="1">
        <f>IFERROR(__xludf.DUMMYFUNCTION("""COMPUTED_VALUE"""),9923213309)</f>
        <v>9923213309</v>
      </c>
      <c r="J275" s="1"/>
      <c r="K275" s="1" t="str">
        <f>IFERROR(__xludf.DUMMYFUNCTION("""COMPUTED_VALUE"""),"BLK 2 LOT 7")</f>
        <v>BLK 2 LOT 7</v>
      </c>
      <c r="L275" s="1" t="str">
        <f>IFERROR(__xludf.DUMMYFUNCTION("""COMPUTED_VALUE"""),"SUNSETS")</f>
        <v>SUNSETS</v>
      </c>
      <c r="M275" s="1"/>
      <c r="N275" s="1" t="str">
        <f>IFERROR(__xludf.DUMMYFUNCTION("""COMPUTED_VALUE"""),"GAHAK")</f>
        <v>GAHAK</v>
      </c>
      <c r="O275" s="1" t="str">
        <f>IFERROR(__xludf.DUMMYFUNCTION("""COMPUTED_VALUE"""),"KAWIT")</f>
        <v>KAWIT</v>
      </c>
      <c r="P275" s="1" t="str">
        <f>IFERROR(__xludf.DUMMYFUNCTION("""COMPUTED_VALUE"""),"CAVITE")</f>
        <v>CAVITE</v>
      </c>
      <c r="Q275" s="1" t="str">
        <f>IFERROR(__xludf.DUMMYFUNCTION("""COMPUTED_VALUE"""),"FIBR PLAN 1399")</f>
        <v>FIBR PLAN 1399</v>
      </c>
      <c r="R275" s="1" t="str">
        <f>IFERROR(__xludf.DUMMYFUNCTION("""COMPUTED_VALUE"""),"APPROVED")</f>
        <v>APPROVED</v>
      </c>
      <c r="S275" s="1"/>
      <c r="T275" s="1"/>
      <c r="U275" s="1"/>
      <c r="V275" s="1"/>
      <c r="W275" s="1"/>
    </row>
    <row r="276" customHeight="1" spans="1:23">
      <c r="A276" s="3">
        <f>IFERROR(__xludf.DUMMYFUNCTION("""COMPUTED_VALUE"""),46051)</f>
        <v>46051</v>
      </c>
      <c r="B276" s="1" t="str">
        <f>IFERROR(__xludf.DUMMYFUNCTION("""COMPUTED_VALUE"""),"FRANCISCO , ROSELYN")</f>
        <v>FRANCISCO , ROSELYN</v>
      </c>
      <c r="C276" s="1" t="str">
        <f>IFERROR(__xludf.DUMMYFUNCTION("""COMPUTED_VALUE"""),"FLA")</f>
        <v>FLA</v>
      </c>
      <c r="D276" s="1" t="str">
        <f>IFERROR(__xludf.DUMMYFUNCTION("""COMPUTED_VALUE"""),"JERIC NAVARRO")</f>
        <v>JERIC NAVARRO</v>
      </c>
      <c r="E276" s="1" t="str">
        <f>IFERROR(__xludf.DUMMYFUNCTION("""COMPUTED_VALUE"""),"PLDT")</f>
        <v>PLDT</v>
      </c>
      <c r="F276" s="1">
        <f>IFERROR(__xludf.DUMMYFUNCTION("""COMPUTED_VALUE"""),2306573279)</f>
        <v>2306573279</v>
      </c>
      <c r="G276" s="1"/>
      <c r="H276" s="1" t="str">
        <f>IFERROR(__xludf.DUMMYFUNCTION("""COMPUTED_VALUE"""),"9694797642")</f>
        <v>9694797642</v>
      </c>
      <c r="I276" s="1">
        <f>IFERROR(__xludf.DUMMYFUNCTION("""COMPUTED_VALUE"""),9974201037)</f>
        <v>9974201037</v>
      </c>
      <c r="J276" s="1"/>
      <c r="K276" s="1" t="str">
        <f>IFERROR(__xludf.DUMMYFUNCTION("""COMPUTED_VALUE"""),"41")</f>
        <v>41</v>
      </c>
      <c r="L276" s="1" t="str">
        <f>IFERROR(__xludf.DUMMYFUNCTION("""COMPUTED_VALUE"""),"BAGTAS RD")</f>
        <v>BAGTAS RD</v>
      </c>
      <c r="M276" s="1"/>
      <c r="N276" s="1" t="str">
        <f>IFERROR(__xludf.DUMMYFUNCTION("""COMPUTED_VALUE"""),"BAGTAS")</f>
        <v>BAGTAS</v>
      </c>
      <c r="O276" s="1" t="str">
        <f>IFERROR(__xludf.DUMMYFUNCTION("""COMPUTED_VALUE"""),"TANZA")</f>
        <v>TANZA</v>
      </c>
      <c r="P276" s="1" t="str">
        <f>IFERROR(__xludf.DUMMYFUNCTION("""COMPUTED_VALUE"""),"CAVITE")</f>
        <v>CAVITE</v>
      </c>
      <c r="Q276" s="1" t="str">
        <f>IFERROR(__xludf.DUMMYFUNCTION("""COMPUTED_VALUE"""),"FIBR PLAN 999 W/ CIGNAL")</f>
        <v>FIBR PLAN 999 W/ CIGNAL</v>
      </c>
      <c r="R276" s="1" t="str">
        <f>IFERROR(__xludf.DUMMYFUNCTION("""COMPUTED_VALUE"""),"APPROVED")</f>
        <v>APPROVED</v>
      </c>
      <c r="S276" s="1"/>
      <c r="T276" s="1"/>
      <c r="U276" s="1"/>
      <c r="V276" s="1"/>
      <c r="W276" s="1"/>
    </row>
    <row r="277" customHeight="1" spans="1:23">
      <c r="A277" s="3">
        <f>IFERROR(__xludf.DUMMYFUNCTION("""COMPUTED_VALUE"""),46051)</f>
        <v>46051</v>
      </c>
      <c r="B277" s="1" t="str">
        <f>IFERROR(__xludf.DUMMYFUNCTION("""COMPUTED_VALUE"""),"REMOLLO, LEA")</f>
        <v>REMOLLO, LEA</v>
      </c>
      <c r="C277" s="1" t="str">
        <f>IFERROR(__xludf.DUMMYFUNCTION("""COMPUTED_VALUE"""),"FLA")</f>
        <v>FLA</v>
      </c>
      <c r="D277" s="1" t="str">
        <f>IFERROR(__xludf.DUMMYFUNCTION("""COMPUTED_VALUE"""),"JERIC NAVARRO")</f>
        <v>JERIC NAVARRO</v>
      </c>
      <c r="E277" s="1" t="str">
        <f>IFERROR(__xludf.DUMMYFUNCTION("""COMPUTED_VALUE"""),"PLDT")</f>
        <v>PLDT</v>
      </c>
      <c r="F277" s="1">
        <f>IFERROR(__xludf.DUMMYFUNCTION("""COMPUTED_VALUE"""),2306575615)</f>
        <v>2306575615</v>
      </c>
      <c r="G277" s="1"/>
      <c r="H277" s="1" t="str">
        <f>IFERROR(__xludf.DUMMYFUNCTION("""COMPUTED_VALUE"""),"9455745883")</f>
        <v>9455745883</v>
      </c>
      <c r="I277" s="1">
        <f>IFERROR(__xludf.DUMMYFUNCTION("""COMPUTED_VALUE"""),9641513984)</f>
        <v>9641513984</v>
      </c>
      <c r="J277" s="1"/>
      <c r="K277" s="1" t="str">
        <f>IFERROR(__xludf.DUMMYFUNCTION("""COMPUTED_VALUE"""),"BLK 5 LOT 11")</f>
        <v>BLK 5 LOT 11</v>
      </c>
      <c r="L277" s="1" t="str">
        <f>IFERROR(__xludf.DUMMYFUNCTION("""COMPUTED_VALUE"""),"PHASE 1")</f>
        <v>PHASE 1</v>
      </c>
      <c r="M277" s="1" t="str">
        <f>IFERROR(__xludf.DUMMYFUNCTION("""COMPUTED_VALUE"""),"LOWER MOONLIGHT")</f>
        <v>LOWER MOONLIGHT</v>
      </c>
      <c r="N277" s="1" t="str">
        <f>IFERROR(__xludf.DUMMYFUNCTION("""COMPUTED_VALUE"""),"GREGORIA DE JESUS")</f>
        <v>GREGORIA DE JESUS</v>
      </c>
      <c r="O277" s="1" t="str">
        <f>IFERROR(__xludf.DUMMYFUNCTION("""COMPUTED_VALUE"""),"GEN MARIANO ALVAREZ")</f>
        <v>GEN MARIANO ALVAREZ</v>
      </c>
      <c r="P277" s="1" t="str">
        <f>IFERROR(__xludf.DUMMYFUNCTION("""COMPUTED_VALUE"""),"CAVITE")</f>
        <v>CAVITE</v>
      </c>
      <c r="Q277" s="1" t="str">
        <f>IFERROR(__xludf.DUMMYFUNCTION("""COMPUTED_VALUE"""),"FIBR PLAN 1399")</f>
        <v>FIBR PLAN 1399</v>
      </c>
      <c r="R277" s="1" t="str">
        <f>IFERROR(__xludf.DUMMYFUNCTION("""COMPUTED_VALUE"""),"APPROVED")</f>
        <v>APPROVED</v>
      </c>
      <c r="S277" s="1"/>
      <c r="T277" s="1"/>
      <c r="U277" s="1"/>
      <c r="V277" s="1"/>
      <c r="W277" s="1"/>
    </row>
    <row r="278" customHeight="1" spans="1:23">
      <c r="A278" s="3">
        <f>IFERROR(__xludf.DUMMYFUNCTION("""COMPUTED_VALUE"""),46051)</f>
        <v>46051</v>
      </c>
      <c r="B278" s="1" t="str">
        <f>IFERROR(__xludf.DUMMYFUNCTION("""COMPUTED_VALUE"""),"DE VERA, MARIVIC")</f>
        <v>DE VERA, MARIVIC</v>
      </c>
      <c r="C278" s="1" t="str">
        <f>IFERROR(__xludf.DUMMYFUNCTION("""COMPUTED_VALUE"""),"ORGANIC")</f>
        <v>ORGANIC</v>
      </c>
      <c r="D278" s="1" t="str">
        <f>IFERROR(__xludf.DUMMYFUNCTION("""COMPUTED_VALUE"""),"ILANO MARK")</f>
        <v>ILANO MARK</v>
      </c>
      <c r="E278" s="1" t="str">
        <f>IFERROR(__xludf.DUMMYFUNCTION("""COMPUTED_VALUE"""),"RED FIBER")</f>
        <v>RED FIBER</v>
      </c>
      <c r="F278" s="1"/>
      <c r="G278" s="1"/>
      <c r="H278" s="1" t="str">
        <f>IFERROR(__xludf.DUMMYFUNCTION("""COMPUTED_VALUE"""),"9684224199")</f>
        <v>9684224199</v>
      </c>
      <c r="I278" s="1"/>
      <c r="J278" s="1"/>
      <c r="K278" s="1" t="str">
        <f>IFERROR(__xludf.DUMMYFUNCTION("""COMPUTED_VALUE"""),"2810")</f>
        <v>2810</v>
      </c>
      <c r="L278" s="1" t="str">
        <f>IFERROR(__xludf.DUMMYFUNCTION("""COMPUTED_VALUE"""),"OLD SUBUNGAN")</f>
        <v>OLD SUBUNGAN</v>
      </c>
      <c r="M278" s="1"/>
      <c r="N278" s="1" t="str">
        <f>IFERROR(__xludf.DUMMYFUNCTION("""COMPUTED_VALUE"""),"GALICIA III")</f>
        <v>GALICIA III</v>
      </c>
      <c r="O278" s="1" t="str">
        <f>IFERROR(__xludf.DUMMYFUNCTION("""COMPUTED_VALUE"""),"MENDEZ")</f>
        <v>MENDEZ</v>
      </c>
      <c r="P278" s="1" t="str">
        <f>IFERROR(__xludf.DUMMYFUNCTION("""COMPUTED_VALUE"""),"CAVITE")</f>
        <v>CAVITE</v>
      </c>
      <c r="Q278" s="1" t="str">
        <f>IFERROR(__xludf.DUMMYFUNCTION("""COMPUTED_VALUE"""),"RED FIBER PLAN 1000")</f>
        <v>RED FIBER PLAN 1000</v>
      </c>
      <c r="R278" s="1" t="str">
        <f>IFERROR(__xludf.DUMMYFUNCTION("""COMPUTED_VALUE"""),"APPROVED")</f>
        <v>APPROVED</v>
      </c>
      <c r="S278" s="1"/>
      <c r="T278" s="1"/>
      <c r="U278" s="1"/>
      <c r="V278" s="1"/>
      <c r="W278" s="1"/>
    </row>
    <row r="279" customHeight="1" spans="1:23">
      <c r="A279" s="3">
        <f>IFERROR(__xludf.DUMMYFUNCTION("""COMPUTED_VALUE"""),46051)</f>
        <v>46051</v>
      </c>
      <c r="B279" s="1" t="str">
        <f>IFERROR(__xludf.DUMMYFUNCTION("""COMPUTED_VALUE"""),"MALIWAT MARK ELVIN")</f>
        <v>MALIWAT MARK ELVIN</v>
      </c>
      <c r="C279" s="1" t="str">
        <f>IFERROR(__xludf.DUMMYFUNCTION("""COMPUTED_VALUE"""),"FLA")</f>
        <v>FLA</v>
      </c>
      <c r="D279" s="1" t="str">
        <f>IFERROR(__xludf.DUMMYFUNCTION("""COMPUTED_VALUE"""),"JERIC NAVARRO")</f>
        <v>JERIC NAVARRO</v>
      </c>
      <c r="E279" s="1" t="str">
        <f>IFERROR(__xludf.DUMMYFUNCTION("""COMPUTED_VALUE"""),"PLDT")</f>
        <v>PLDT</v>
      </c>
      <c r="F279" s="1">
        <f>IFERROR(__xludf.DUMMYFUNCTION("""COMPUTED_VALUE"""),2306578607)</f>
        <v>2306578607</v>
      </c>
      <c r="G279" s="1"/>
      <c r="H279" s="1" t="str">
        <f>IFERROR(__xludf.DUMMYFUNCTION("""COMPUTED_VALUE"""),"9338192784")</f>
        <v>9338192784</v>
      </c>
      <c r="I279" s="1">
        <f>IFERROR(__xludf.DUMMYFUNCTION("""COMPUTED_VALUE"""),9289940954)</f>
        <v>9289940954</v>
      </c>
      <c r="J279" s="1"/>
      <c r="K279" s="1" t="str">
        <f>IFERROR(__xludf.DUMMYFUNCTION("""COMPUTED_VALUE"""),"BLK 33 LOT 12")</f>
        <v>BLK 33 LOT 12</v>
      </c>
      <c r="L279" s="1" t="str">
        <f>IFERROR(__xludf.DUMMYFUNCTION("""COMPUTED_VALUE"""),"SAMOA")</f>
        <v>SAMOA</v>
      </c>
      <c r="M279" s="1" t="str">
        <f>IFERROR(__xludf.DUMMYFUNCTION("""COMPUTED_VALUE"""),"WELLINGTON")</f>
        <v>WELLINGTON</v>
      </c>
      <c r="N279" s="1" t="str">
        <f>IFERROR(__xludf.DUMMYFUNCTION("""COMPUTED_VALUE"""),"PASONG CAMACHILE II")</f>
        <v>PASONG CAMACHILE II</v>
      </c>
      <c r="O279" s="1" t="str">
        <f>IFERROR(__xludf.DUMMYFUNCTION("""COMPUTED_VALUE"""),"GENERAL TRIAS")</f>
        <v>GENERAL TRIAS</v>
      </c>
      <c r="P279" s="1" t="str">
        <f>IFERROR(__xludf.DUMMYFUNCTION("""COMPUTED_VALUE"""),"CAVITE")</f>
        <v>CAVITE</v>
      </c>
      <c r="Q279" s="1" t="str">
        <f>IFERROR(__xludf.DUMMYFUNCTION("""COMPUTED_VALUE"""),"FIBR PLAN 2499")</f>
        <v>FIBR PLAN 2499</v>
      </c>
      <c r="R279" s="1" t="str">
        <f>IFERROR(__xludf.DUMMYFUNCTION("""COMPUTED_VALUE"""),"APPROVED")</f>
        <v>APPROVED</v>
      </c>
      <c r="S279" s="1"/>
      <c r="T279" s="1"/>
      <c r="U279" s="1"/>
      <c r="V279" s="1"/>
      <c r="W279" s="1"/>
    </row>
    <row r="280" customHeight="1" spans="1:23">
      <c r="A280" s="3">
        <f>IFERROR(__xludf.DUMMYFUNCTION("""COMPUTED_VALUE"""),46051)</f>
        <v>46051</v>
      </c>
      <c r="B280" s="1" t="str">
        <f>IFERROR(__xludf.DUMMYFUNCTION("""COMPUTED_VALUE"""),"MALIWAT MARK ELVIN")</f>
        <v>MALIWAT MARK ELVIN</v>
      </c>
      <c r="C280" s="1" t="str">
        <f>IFERROR(__xludf.DUMMYFUNCTION("""COMPUTED_VALUE"""),"FLA")</f>
        <v>FLA</v>
      </c>
      <c r="D280" s="1" t="str">
        <f>IFERROR(__xludf.DUMMYFUNCTION("""COMPUTED_VALUE"""),"JERIC NAVARRO")</f>
        <v>JERIC NAVARRO</v>
      </c>
      <c r="E280" s="1" t="str">
        <f>IFERROR(__xludf.DUMMYFUNCTION("""COMPUTED_VALUE"""),"PLDT")</f>
        <v>PLDT</v>
      </c>
      <c r="F280" s="1">
        <f>IFERROR(__xludf.DUMMYFUNCTION("""COMPUTED_VALUE"""),2306580842)</f>
        <v>2306580842</v>
      </c>
      <c r="G280" s="1"/>
      <c r="H280" s="1" t="str">
        <f>IFERROR(__xludf.DUMMYFUNCTION("""COMPUTED_VALUE"""),"9151888414")</f>
        <v>9151888414</v>
      </c>
      <c r="I280" s="1">
        <f>IFERROR(__xludf.DUMMYFUNCTION("""COMPUTED_VALUE"""),9064034559)</f>
        <v>9064034559</v>
      </c>
      <c r="J280" s="1"/>
      <c r="K280" s="1" t="str">
        <f>IFERROR(__xludf.DUMMYFUNCTION("""COMPUTED_VALUE"""),"BLK 14 LOT 8")</f>
        <v>BLK 14 LOT 8</v>
      </c>
      <c r="L280" s="1" t="str">
        <f>IFERROR(__xludf.DUMMYFUNCTION("""COMPUTED_VALUE"""),"CYBERVILLE")</f>
        <v>CYBERVILLE</v>
      </c>
      <c r="M280" s="1"/>
      <c r="N280" s="1" t="str">
        <f>IFERROR(__xludf.DUMMYFUNCTION("""COMPUTED_VALUE"""),"SANTIAGO")</f>
        <v>SANTIAGO</v>
      </c>
      <c r="O280" s="1" t="str">
        <f>IFERROR(__xludf.DUMMYFUNCTION("""COMPUTED_VALUE"""),"GENERAL TRIAS")</f>
        <v>GENERAL TRIAS</v>
      </c>
      <c r="P280" s="1" t="str">
        <f>IFERROR(__xludf.DUMMYFUNCTION("""COMPUTED_VALUE"""),"CAVITE")</f>
        <v>CAVITE</v>
      </c>
      <c r="Q280" s="1" t="str">
        <f>IFERROR(__xludf.DUMMYFUNCTION("""COMPUTED_VALUE"""),"FIBR PLAN 1399")</f>
        <v>FIBR PLAN 1399</v>
      </c>
      <c r="R280" s="1" t="str">
        <f>IFERROR(__xludf.DUMMYFUNCTION("""COMPUTED_VALUE"""),"APPROVED")</f>
        <v>APPROVED</v>
      </c>
      <c r="S280" s="1"/>
      <c r="T280" s="1"/>
      <c r="U280" s="1"/>
      <c r="V280" s="1"/>
      <c r="W280" s="1"/>
    </row>
    <row r="281" customHeight="1" spans="1:23">
      <c r="A281" s="3">
        <f>IFERROR(__xludf.DUMMYFUNCTION("""COMPUTED_VALUE"""),46051)</f>
        <v>46051</v>
      </c>
      <c r="B281" s="1" t="str">
        <f>IFERROR(__xludf.DUMMYFUNCTION("""COMPUTED_VALUE"""),"MAGDARAOG, KENNETH")</f>
        <v>MAGDARAOG, KENNETH</v>
      </c>
      <c r="C281" s="1" t="str">
        <f>IFERROR(__xludf.DUMMYFUNCTION("""COMPUTED_VALUE"""),"ORGANIC")</f>
        <v>ORGANIC</v>
      </c>
      <c r="D281" s="1" t="str">
        <f>IFERROR(__xludf.DUMMYFUNCTION("""COMPUTED_VALUE"""),"REMOLLO LEA")</f>
        <v>REMOLLO LEA</v>
      </c>
      <c r="E281" s="1" t="str">
        <f>IFERROR(__xludf.DUMMYFUNCTION("""COMPUTED_VALUE"""),"RED FIBER")</f>
        <v>RED FIBER</v>
      </c>
      <c r="F281" s="1"/>
      <c r="G281" s="1"/>
      <c r="H281" s="1" t="str">
        <f>IFERROR(__xludf.DUMMYFUNCTION("""COMPUTED_VALUE"""),"9984378348")</f>
        <v>9984378348</v>
      </c>
      <c r="I281" s="1">
        <f>IFERROR(__xludf.DUMMYFUNCTION("""COMPUTED_VALUE"""),9103345656)</f>
        <v>9103345656</v>
      </c>
      <c r="J281" s="1"/>
      <c r="K281" s="1" t="str">
        <f>IFERROR(__xludf.DUMMYFUNCTION("""COMPUTED_VALUE"""),"BLK 14 LOT 21")</f>
        <v>BLK 14 LOT 21</v>
      </c>
      <c r="L281" s="1" t="str">
        <f>IFERROR(__xludf.DUMMYFUNCTION("""COMPUTED_VALUE"""),"SOUTHWIND")</f>
        <v>SOUTHWIND</v>
      </c>
      <c r="M281" s="1"/>
      <c r="N281" s="1" t="str">
        <f>IFERROR(__xludf.DUMMYFUNCTION("""COMPUTED_VALUE"""),"MALABAG")</f>
        <v>MALABAG</v>
      </c>
      <c r="O281" s="1" t="str">
        <f>IFERROR(__xludf.DUMMYFUNCTION("""COMPUTED_VALUE"""),"SILANG")</f>
        <v>SILANG</v>
      </c>
      <c r="P281" s="1" t="str">
        <f>IFERROR(__xludf.DUMMYFUNCTION("""COMPUTED_VALUE"""),"CAVITE")</f>
        <v>CAVITE</v>
      </c>
      <c r="Q281" s="1" t="str">
        <f>IFERROR(__xludf.DUMMYFUNCTION("""COMPUTED_VALUE"""),"RED FIBER PLAN 1000")</f>
        <v>RED FIBER PLAN 1000</v>
      </c>
      <c r="R281" s="1" t="str">
        <f>IFERROR(__xludf.DUMMYFUNCTION("""COMPUTED_VALUE"""),"APPROVED")</f>
        <v>APPROVED</v>
      </c>
      <c r="S281" s="1"/>
      <c r="T281" s="1"/>
      <c r="U281" s="1"/>
      <c r="V281" s="1"/>
      <c r="W281" s="1"/>
    </row>
    <row r="282" customHeight="1" spans="1:23">
      <c r="A282" s="3">
        <f>IFERROR(__xludf.DUMMYFUNCTION("""COMPUTED_VALUE"""),46051)</f>
        <v>46051</v>
      </c>
      <c r="B282" s="1" t="str">
        <f>IFERROR(__xludf.DUMMYFUNCTION("""COMPUTED_VALUE"""),"MALIWAT MARK ELVIN")</f>
        <v>MALIWAT MARK ELVIN</v>
      </c>
      <c r="C282" s="1" t="str">
        <f>IFERROR(__xludf.DUMMYFUNCTION("""COMPUTED_VALUE"""),"FLA")</f>
        <v>FLA</v>
      </c>
      <c r="D282" s="1" t="str">
        <f>IFERROR(__xludf.DUMMYFUNCTION("""COMPUTED_VALUE"""),"JERIC NAVARRO")</f>
        <v>JERIC NAVARRO</v>
      </c>
      <c r="E282" s="1" t="str">
        <f>IFERROR(__xludf.DUMMYFUNCTION("""COMPUTED_VALUE"""),"PLDT")</f>
        <v>PLDT</v>
      </c>
      <c r="F282" s="1">
        <f>IFERROR(__xludf.DUMMYFUNCTION("""COMPUTED_VALUE"""),2306585037)</f>
        <v>2306585037</v>
      </c>
      <c r="G282" s="1"/>
      <c r="H282" s="1" t="str">
        <f>IFERROR(__xludf.DUMMYFUNCTION("""COMPUTED_VALUE"""),"9451055321")</f>
        <v>9451055321</v>
      </c>
      <c r="I282" s="1"/>
      <c r="J282" s="1"/>
      <c r="K282" s="1" t="str">
        <f>IFERROR(__xludf.DUMMYFUNCTION("""COMPUTED_VALUE"""),"969")</f>
        <v>969</v>
      </c>
      <c r="L282" s="1" t="str">
        <f>IFERROR(__xludf.DUMMYFUNCTION("""COMPUTED_VALUE"""),"MAGALLANES ST")</f>
        <v>MAGALLANES ST</v>
      </c>
      <c r="M282" s="1"/>
      <c r="N282" s="1" t="str">
        <f>IFERROR(__xludf.DUMMYFUNCTION("""COMPUTED_VALUE"""),"BARANGAY 6 (POB.)")</f>
        <v>BARANGAY 6 (POB.)</v>
      </c>
      <c r="O282" s="1" t="str">
        <f>IFERROR(__xludf.DUMMYFUNCTION("""COMPUTED_VALUE"""),"CARMONA")</f>
        <v>CARMONA</v>
      </c>
      <c r="P282" s="1" t="str">
        <f>IFERROR(__xludf.DUMMYFUNCTION("""COMPUTED_VALUE"""),"CAVITE")</f>
        <v>CAVITE</v>
      </c>
      <c r="Q282" s="1" t="str">
        <f>IFERROR(__xludf.DUMMYFUNCTION("""COMPUTED_VALUE"""),"PREPAID 999")</f>
        <v>PREPAID 999</v>
      </c>
      <c r="R282" s="1" t="str">
        <f>IFERROR(__xludf.DUMMYFUNCTION("""COMPUTED_VALUE"""),"APPROVED")</f>
        <v>APPROVED</v>
      </c>
      <c r="S282" s="1"/>
      <c r="T282" s="1"/>
      <c r="U282" s="1"/>
      <c r="V282" s="1"/>
      <c r="W282" s="1"/>
    </row>
    <row r="283" customHeight="1" spans="1:23">
      <c r="A283" s="3">
        <f>IFERROR(__xludf.DUMMYFUNCTION("""COMPUTED_VALUE"""),46052)</f>
        <v>46052</v>
      </c>
      <c r="B283" s="1" t="str">
        <f>IFERROR(__xludf.DUMMYFUNCTION("""COMPUTED_VALUE"""),"MALIWAT MARK ELVIN")</f>
        <v>MALIWAT MARK ELVIN</v>
      </c>
      <c r="C283" s="1" t="str">
        <f>IFERROR(__xludf.DUMMYFUNCTION("""COMPUTED_VALUE"""),"FLA")</f>
        <v>FLA</v>
      </c>
      <c r="D283" s="1" t="str">
        <f>IFERROR(__xludf.DUMMYFUNCTION("""COMPUTED_VALUE"""),"JERIC NAVARRO")</f>
        <v>JERIC NAVARRO</v>
      </c>
      <c r="E283" s="1" t="str">
        <f>IFERROR(__xludf.DUMMYFUNCTION("""COMPUTED_VALUE"""),"PLDT")</f>
        <v>PLDT</v>
      </c>
      <c r="F283" s="1">
        <f>IFERROR(__xludf.DUMMYFUNCTION("""COMPUTED_VALUE"""),2306597414)</f>
        <v>2306597414</v>
      </c>
      <c r="G283" s="1"/>
      <c r="H283" s="1" t="str">
        <f>IFERROR(__xludf.DUMMYFUNCTION("""COMPUTED_VALUE"""),"639293184394")</f>
        <v>639293184394</v>
      </c>
      <c r="I283" s="1">
        <f>IFERROR(__xludf.DUMMYFUNCTION("""COMPUTED_VALUE"""),639516957749)</f>
        <v>639516957749</v>
      </c>
      <c r="J283" s="1"/>
      <c r="K283" s="1" t="str">
        <f>IFERROR(__xludf.DUMMYFUNCTION("""COMPUTED_VALUE"""),"9062")</f>
        <v>9062</v>
      </c>
      <c r="L283" s="1" t="str">
        <f>IFERROR(__xludf.DUMMYFUNCTION("""COMPUTED_VALUE"""),"POINSETTIA")</f>
        <v>POINSETTIA</v>
      </c>
      <c r="M283" s="1" t="str">
        <f>IFERROR(__xludf.DUMMYFUNCTION("""COMPUTED_VALUE"""),"VIA VERDE")</f>
        <v>VIA VERDE</v>
      </c>
      <c r="N283" s="1" t="str">
        <f>IFERROR(__xludf.DUMMYFUNCTION("""COMPUTED_VALUE"""),"SAN AGUSTIN II")</f>
        <v>SAN AGUSTIN II</v>
      </c>
      <c r="O283" s="1" t="str">
        <f>IFERROR(__xludf.DUMMYFUNCTION("""COMPUTED_VALUE"""),"DASMARINAS")</f>
        <v>DASMARINAS</v>
      </c>
      <c r="P283" s="1" t="str">
        <f>IFERROR(__xludf.DUMMYFUNCTION("""COMPUTED_VALUE"""),"CAVITE")</f>
        <v>CAVITE</v>
      </c>
      <c r="Q283" s="1" t="str">
        <f>IFERROR(__xludf.DUMMYFUNCTION("""COMPUTED_VALUE"""),"FIBR PLAN 999 W/ CIGNAL")</f>
        <v>FIBR PLAN 999 W/ CIGNAL</v>
      </c>
      <c r="R283" s="1" t="str">
        <f>IFERROR(__xludf.DUMMYFUNCTION("""COMPUTED_VALUE"""),"APPROVED")</f>
        <v>APPROVED</v>
      </c>
      <c r="S283" s="1"/>
      <c r="T283" s="1"/>
      <c r="U283" s="1"/>
      <c r="V283" s="1"/>
      <c r="W283" s="1"/>
    </row>
    <row r="284" customHeight="1" spans="1:23">
      <c r="A284" s="3">
        <f>IFERROR(__xludf.DUMMYFUNCTION("""COMPUTED_VALUE"""),46052)</f>
        <v>46052</v>
      </c>
      <c r="B284" s="1" t="str">
        <f>IFERROR(__xludf.DUMMYFUNCTION("""COMPUTED_VALUE"""),"MALIWAT MARK ELVIN")</f>
        <v>MALIWAT MARK ELVIN</v>
      </c>
      <c r="C284" s="1" t="str">
        <f>IFERROR(__xludf.DUMMYFUNCTION("""COMPUTED_VALUE"""),"FLA")</f>
        <v>FLA</v>
      </c>
      <c r="D284" s="1" t="str">
        <f>IFERROR(__xludf.DUMMYFUNCTION("""COMPUTED_VALUE"""),"JERIC NAVARRO")</f>
        <v>JERIC NAVARRO</v>
      </c>
      <c r="E284" s="1" t="str">
        <f>IFERROR(__xludf.DUMMYFUNCTION("""COMPUTED_VALUE"""),"PLDT")</f>
        <v>PLDT</v>
      </c>
      <c r="F284" s="1">
        <f>IFERROR(__xludf.DUMMYFUNCTION("""COMPUTED_VALUE"""),2306595945)</f>
        <v>2306595945</v>
      </c>
      <c r="G284" s="1"/>
      <c r="H284" s="1" t="str">
        <f>IFERROR(__xludf.DUMMYFUNCTION("""COMPUTED_VALUE"""),"639568809347")</f>
        <v>639568809347</v>
      </c>
      <c r="I284" s="1">
        <f>IFERROR(__xludf.DUMMYFUNCTION("""COMPUTED_VALUE"""),639568809348)</f>
        <v>639568809348</v>
      </c>
      <c r="J284" s="1"/>
      <c r="K284" s="1" t="str">
        <f>IFERROR(__xludf.DUMMYFUNCTION("""COMPUTED_VALUE"""),"BLK 5 LOT 1")</f>
        <v>BLK 5 LOT 1</v>
      </c>
      <c r="L284" s="1" t="str">
        <f>IFERROR(__xludf.DUMMYFUNCTION("""COMPUTED_VALUE"""),"PHASE 2B")</f>
        <v>PHASE 2B</v>
      </c>
      <c r="M284" s="1" t="str">
        <f>IFERROR(__xludf.DUMMYFUNCTION("""COMPUTED_VALUE"""),"ALTA TIERRA PHASE 2B")</f>
        <v>ALTA TIERRA PHASE 2B</v>
      </c>
      <c r="N284" s="1" t="str">
        <f>IFERROR(__xludf.DUMMYFUNCTION("""COMPUTED_VALUE"""),"ALDIANO OLAES")</f>
        <v>ALDIANO OLAES</v>
      </c>
      <c r="O284" s="1" t="str">
        <f>IFERROR(__xludf.DUMMYFUNCTION("""COMPUTED_VALUE"""),"GEN MARIANO ALVAREZ")</f>
        <v>GEN MARIANO ALVAREZ</v>
      </c>
      <c r="P284" s="1" t="str">
        <f>IFERROR(__xludf.DUMMYFUNCTION("""COMPUTED_VALUE"""),"CAVITE")</f>
        <v>CAVITE</v>
      </c>
      <c r="Q284" s="1" t="str">
        <f>IFERROR(__xludf.DUMMYFUNCTION("""COMPUTED_VALUE"""),"FIBR PLAN 1799")</f>
        <v>FIBR PLAN 1799</v>
      </c>
      <c r="R284" s="1" t="str">
        <f>IFERROR(__xludf.DUMMYFUNCTION("""COMPUTED_VALUE"""),"APPROVED")</f>
        <v>APPROVED</v>
      </c>
      <c r="S284" s="1"/>
      <c r="T284" s="1"/>
      <c r="U284" s="1"/>
      <c r="V284" s="1"/>
      <c r="W284" s="1"/>
    </row>
    <row r="285" customHeight="1" spans="1:23">
      <c r="A285" s="3">
        <f>IFERROR(__xludf.DUMMYFUNCTION("""COMPUTED_VALUE"""),46052)</f>
        <v>46052</v>
      </c>
      <c r="B285" s="1" t="str">
        <f>IFERROR(__xludf.DUMMYFUNCTION("""COMPUTED_VALUE"""),"DE LEON, MERLY")</f>
        <v>DE LEON, MERLY</v>
      </c>
      <c r="C285" s="1" t="str">
        <f>IFERROR(__xludf.DUMMYFUNCTION("""COMPUTED_VALUE"""),"ORGANIC")</f>
        <v>ORGANIC</v>
      </c>
      <c r="D285" s="1" t="str">
        <f>IFERROR(__xludf.DUMMYFUNCTION("""COMPUTED_VALUE"""),"ILANO MARK")</f>
        <v>ILANO MARK</v>
      </c>
      <c r="E285" s="1" t="str">
        <f>IFERROR(__xludf.DUMMYFUNCTION("""COMPUTED_VALUE"""),"PLDT")</f>
        <v>PLDT</v>
      </c>
      <c r="F285" s="1">
        <f>IFERROR(__xludf.DUMMYFUNCTION("""COMPUTED_VALUE"""),2306599331)</f>
        <v>2306599331</v>
      </c>
      <c r="G285" s="1"/>
      <c r="H285" s="1" t="str">
        <f>IFERROR(__xludf.DUMMYFUNCTION("""COMPUTED_VALUE"""),"9052532636")</f>
        <v>9052532636</v>
      </c>
      <c r="I285" s="1"/>
      <c r="J285" s="1"/>
      <c r="K285" s="1" t="str">
        <f>IFERROR(__xludf.DUMMYFUNCTION("""COMPUTED_VALUE"""),"9081")</f>
        <v>9081</v>
      </c>
      <c r="L285" s="1" t="str">
        <f>IFERROR(__xludf.DUMMYFUNCTION("""COMPUTED_VALUE"""),"OLD BULIHAN")</f>
        <v>OLD BULIHAN</v>
      </c>
      <c r="M285" s="1" t="str">
        <f>IFERROR(__xludf.DUMMYFUNCTION("""COMPUTED_VALUE"""),"ROOM 208")</f>
        <v>ROOM 208</v>
      </c>
      <c r="N285" s="1" t="str">
        <f>IFERROR(__xludf.DUMMYFUNCTION("""COMPUTED_VALUE"""),"BULIHAN")</f>
        <v>BULIHAN</v>
      </c>
      <c r="O285" s="1" t="str">
        <f>IFERROR(__xludf.DUMMYFUNCTION("""COMPUTED_VALUE"""),"SILANG")</f>
        <v>SILANG</v>
      </c>
      <c r="P285" s="1" t="str">
        <f>IFERROR(__xludf.DUMMYFUNCTION("""COMPUTED_VALUE"""),"CAVITE")</f>
        <v>CAVITE</v>
      </c>
      <c r="Q285" s="1" t="str">
        <f>IFERROR(__xludf.DUMMYFUNCTION("""COMPUTED_VALUE"""),"PREPAID 999")</f>
        <v>PREPAID 999</v>
      </c>
      <c r="R285" s="1" t="str">
        <f>IFERROR(__xludf.DUMMYFUNCTION("""COMPUTED_VALUE"""),"APPROVED")</f>
        <v>APPROVED</v>
      </c>
      <c r="S285" s="1"/>
      <c r="T285" s="1"/>
      <c r="U285" s="1"/>
      <c r="V285" s="1"/>
      <c r="W285" s="1"/>
    </row>
    <row r="286" customHeight="1" spans="1:23">
      <c r="A286" s="3">
        <f>IFERROR(__xludf.DUMMYFUNCTION("""COMPUTED_VALUE"""),46052)</f>
        <v>46052</v>
      </c>
      <c r="B286" s="1" t="str">
        <f>IFERROR(__xludf.DUMMYFUNCTION("""COMPUTED_VALUE"""),"DELA TORRE , IGNACIA")</f>
        <v>DELA TORRE , IGNACIA</v>
      </c>
      <c r="C286" s="1" t="str">
        <f>IFERROR(__xludf.DUMMYFUNCTION("""COMPUTED_VALUE"""),"ORGANIC")</f>
        <v>ORGANIC</v>
      </c>
      <c r="D286" s="1" t="str">
        <f>IFERROR(__xludf.DUMMYFUNCTION("""COMPUTED_VALUE"""),"ILANO MARK")</f>
        <v>ILANO MARK</v>
      </c>
      <c r="E286" s="1" t="str">
        <f>IFERROR(__xludf.DUMMYFUNCTION("""COMPUTED_VALUE"""),"RED FIBER")</f>
        <v>RED FIBER</v>
      </c>
      <c r="F286" s="1"/>
      <c r="G286" s="1"/>
      <c r="H286" s="1" t="str">
        <f>IFERROR(__xludf.DUMMYFUNCTION("""COMPUTED_VALUE"""),"9461639394")</f>
        <v>9461639394</v>
      </c>
      <c r="I286" s="1"/>
      <c r="J286" s="1"/>
      <c r="K286" s="1" t="str">
        <f>IFERROR(__xludf.DUMMYFUNCTION("""COMPUTED_VALUE"""),"BLK 12 LOT 11")</f>
        <v>BLK 12 LOT 11</v>
      </c>
      <c r="L286" s="1" t="str">
        <f>IFERROR(__xludf.DUMMYFUNCTION("""COMPUTED_VALUE"""),"PH1")</f>
        <v>PH1</v>
      </c>
      <c r="M286" s="1" t="str">
        <f>IFERROR(__xludf.DUMMYFUNCTION("""COMPUTED_VALUE"""),"TERRA VERDE")</f>
        <v>TERRA VERDE</v>
      </c>
      <c r="N286" s="1" t="str">
        <f>IFERROR(__xludf.DUMMYFUNCTION("""COMPUTED_VALUE"""),"BANCAL")</f>
        <v>BANCAL</v>
      </c>
      <c r="O286" s="1" t="str">
        <f>IFERROR(__xludf.DUMMYFUNCTION("""COMPUTED_VALUE"""),"CARMONA")</f>
        <v>CARMONA</v>
      </c>
      <c r="P286" s="1" t="str">
        <f>IFERROR(__xludf.DUMMYFUNCTION("""COMPUTED_VALUE"""),"CAVITE")</f>
        <v>CAVITE</v>
      </c>
      <c r="Q286" s="1" t="str">
        <f>IFERROR(__xludf.DUMMYFUNCTION("""COMPUTED_VALUE"""),"RED FIBER PLAN 1000")</f>
        <v>RED FIBER PLAN 1000</v>
      </c>
      <c r="R286" s="1" t="str">
        <f>IFERROR(__xludf.DUMMYFUNCTION("""COMPUTED_VALUE"""),"APPROVED")</f>
        <v>APPROVED</v>
      </c>
      <c r="S286" s="1"/>
      <c r="T286" s="1"/>
      <c r="U286" s="1"/>
      <c r="V286" s="1"/>
      <c r="W286" s="1"/>
    </row>
    <row r="287" customHeight="1" spans="1:23">
      <c r="A287" s="3">
        <f>IFERROR(__xludf.DUMMYFUNCTION("""COMPUTED_VALUE"""),46052)</f>
        <v>46052</v>
      </c>
      <c r="B287" s="1" t="str">
        <f>IFERROR(__xludf.DUMMYFUNCTION("""COMPUTED_VALUE"""),"MIRASOL, RAYRALYN")</f>
        <v>MIRASOL, RAYRALYN</v>
      </c>
      <c r="C287" s="1" t="str">
        <f>IFERROR(__xludf.DUMMYFUNCTION("""COMPUTED_VALUE"""),"ORGANIC")</f>
        <v>ORGANIC</v>
      </c>
      <c r="D287" s="1" t="str">
        <f>IFERROR(__xludf.DUMMYFUNCTION("""COMPUTED_VALUE"""),"ILANO MARK")</f>
        <v>ILANO MARK</v>
      </c>
      <c r="E287" s="1" t="str">
        <f>IFERROR(__xludf.DUMMYFUNCTION("""COMPUTED_VALUE"""),"PLDT")</f>
        <v>PLDT</v>
      </c>
      <c r="F287" s="1">
        <f>IFERROR(__xludf.DUMMYFUNCTION("""COMPUTED_VALUE"""),2306602708)</f>
        <v>2306602708</v>
      </c>
      <c r="G287" s="1"/>
      <c r="H287" s="1" t="str">
        <f>IFERROR(__xludf.DUMMYFUNCTION("""COMPUTED_VALUE"""),"639466047904")</f>
        <v>639466047904</v>
      </c>
      <c r="I287" s="1">
        <f>IFERROR(__xludf.DUMMYFUNCTION("""COMPUTED_VALUE"""),639095920179)</f>
        <v>639095920179</v>
      </c>
      <c r="J287" s="1"/>
      <c r="K287" s="1" t="str">
        <f>IFERROR(__xludf.DUMMYFUNCTION("""COMPUTED_VALUE"""),"3")</f>
        <v>3</v>
      </c>
      <c r="L287" s="1" t="str">
        <f>IFERROR(__xludf.DUMMYFUNCTION("""COMPUTED_VALUE"""),"P22")</f>
        <v>P22</v>
      </c>
      <c r="M287" s="1"/>
      <c r="N287" s="1" t="str">
        <f>IFERROR(__xludf.DUMMYFUNCTION("""COMPUTED_VALUE"""),"SAN FRANCISCO")</f>
        <v>SAN FRANCISCO</v>
      </c>
      <c r="O287" s="1" t="str">
        <f>IFERROR(__xludf.DUMMYFUNCTION("""COMPUTED_VALUE"""),"TAGAYTAY")</f>
        <v>TAGAYTAY</v>
      </c>
      <c r="P287" s="1" t="str">
        <f>IFERROR(__xludf.DUMMYFUNCTION("""COMPUTED_VALUE"""),"CAVITE")</f>
        <v>CAVITE</v>
      </c>
      <c r="Q287" s="1" t="str">
        <f>IFERROR(__xludf.DUMMYFUNCTION("""COMPUTED_VALUE"""),"FIBR PLAN 1699")</f>
        <v>FIBR PLAN 1699</v>
      </c>
      <c r="R287" s="1" t="str">
        <f>IFERROR(__xludf.DUMMYFUNCTION("""COMPUTED_VALUE"""),"APPROVED")</f>
        <v>APPROVED</v>
      </c>
      <c r="S287" s="1"/>
      <c r="T287" s="1"/>
      <c r="U287" s="1"/>
      <c r="V287" s="1"/>
      <c r="W287" s="1"/>
    </row>
    <row r="288" customHeight="1" spans="1:23">
      <c r="A288" s="3">
        <f>IFERROR(__xludf.DUMMYFUNCTION("""COMPUTED_VALUE"""),46052)</f>
        <v>46052</v>
      </c>
      <c r="B288" s="1" t="str">
        <f>IFERROR(__xludf.DUMMYFUNCTION("""COMPUTED_VALUE"""),"CONCEPCION, ALJAY")</f>
        <v>CONCEPCION, ALJAY</v>
      </c>
      <c r="C288" s="1" t="str">
        <f>IFERROR(__xludf.DUMMYFUNCTION("""COMPUTED_VALUE"""),"ORGANIC")</f>
        <v>ORGANIC</v>
      </c>
      <c r="D288" s="1" t="str">
        <f>IFERROR(__xludf.DUMMYFUNCTION("""COMPUTED_VALUE"""),"ILANO MARK")</f>
        <v>ILANO MARK</v>
      </c>
      <c r="E288" s="1" t="str">
        <f>IFERROR(__xludf.DUMMYFUNCTION("""COMPUTED_VALUE"""),"RED FIBER")</f>
        <v>RED FIBER</v>
      </c>
      <c r="F288" s="1"/>
      <c r="G288" s="1"/>
      <c r="H288" s="1" t="str">
        <f>IFERROR(__xludf.DUMMYFUNCTION("""COMPUTED_VALUE"""),"9705748093")</f>
        <v>9705748093</v>
      </c>
      <c r="I288" s="1">
        <f>IFERROR(__xludf.DUMMYFUNCTION("""COMPUTED_VALUE"""),9921510357)</f>
        <v>9921510357</v>
      </c>
      <c r="J288" s="1"/>
      <c r="K288" s="1" t="str">
        <f>IFERROR(__xludf.DUMMYFUNCTION("""COMPUTED_VALUE"""),"59")</f>
        <v>59</v>
      </c>
      <c r="L288" s="1" t="str">
        <f>IFERROR(__xludf.DUMMYFUNCTION("""COMPUTED_VALUE"""),"LUCSUHIN IBABA")</f>
        <v>LUCSUHIN IBABA</v>
      </c>
      <c r="M288" s="1"/>
      <c r="N288" s="1" t="str">
        <f>IFERROR(__xludf.DUMMYFUNCTION("""COMPUTED_VALUE"""),"LUKSUHIN ILAYA")</f>
        <v>LUKSUHIN ILAYA</v>
      </c>
      <c r="O288" s="1" t="str">
        <f>IFERROR(__xludf.DUMMYFUNCTION("""COMPUTED_VALUE"""),"ALFONSO")</f>
        <v>ALFONSO</v>
      </c>
      <c r="P288" s="1" t="str">
        <f>IFERROR(__xludf.DUMMYFUNCTION("""COMPUTED_VALUE"""),"CAVITE")</f>
        <v>CAVITE</v>
      </c>
      <c r="Q288" s="1" t="str">
        <f>IFERROR(__xludf.DUMMYFUNCTION("""COMPUTED_VALUE"""),"RED FIBER PLAN 1000")</f>
        <v>RED FIBER PLAN 1000</v>
      </c>
      <c r="R288" s="1" t="str">
        <f>IFERROR(__xludf.DUMMYFUNCTION("""COMPUTED_VALUE"""),"APPROVED")</f>
        <v>APPROVED</v>
      </c>
      <c r="S288" s="1"/>
      <c r="T288" s="1"/>
      <c r="U288" s="1"/>
      <c r="V288" s="1"/>
      <c r="W288" s="1"/>
    </row>
    <row r="289" customHeight="1" spans="1:23">
      <c r="A289" s="3">
        <f>IFERROR(__xludf.DUMMYFUNCTION("""COMPUTED_VALUE"""),46052)</f>
        <v>46052</v>
      </c>
      <c r="B289" s="1" t="str">
        <f>IFERROR(__xludf.DUMMYFUNCTION("""COMPUTED_VALUE"""),"DE VERA, MARIVIC")</f>
        <v>DE VERA, MARIVIC</v>
      </c>
      <c r="C289" s="1" t="str">
        <f>IFERROR(__xludf.DUMMYFUNCTION("""COMPUTED_VALUE"""),"ORGANIC")</f>
        <v>ORGANIC</v>
      </c>
      <c r="D289" s="1" t="str">
        <f>IFERROR(__xludf.DUMMYFUNCTION("""COMPUTED_VALUE"""),"REMOLLO LEA")</f>
        <v>REMOLLO LEA</v>
      </c>
      <c r="E289" s="1" t="str">
        <f>IFERROR(__xludf.DUMMYFUNCTION("""COMPUTED_VALUE"""),"RED FIBER")</f>
        <v>RED FIBER</v>
      </c>
      <c r="F289" s="1"/>
      <c r="G289" s="1"/>
      <c r="H289" s="1" t="str">
        <f>IFERROR(__xludf.DUMMYFUNCTION("""COMPUTED_VALUE"""),"9279325435")</f>
        <v>9279325435</v>
      </c>
      <c r="I289" s="1"/>
      <c r="J289" s="1"/>
      <c r="K289" s="1" t="str">
        <f>IFERROR(__xludf.DUMMYFUNCTION("""COMPUTED_VALUE"""),"1871")</f>
        <v>1871</v>
      </c>
      <c r="L289" s="1" t="str">
        <f>IFERROR(__xludf.DUMMYFUNCTION("""COMPUTED_VALUE"""),"RIZAL")</f>
        <v>RIZAL</v>
      </c>
      <c r="M289" s="1"/>
      <c r="N289" s="1" t="str">
        <f>IFERROR(__xludf.DUMMYFUNCTION("""COMPUTED_VALUE"""),"ASIS III")</f>
        <v>ASIS III</v>
      </c>
      <c r="O289" s="1" t="str">
        <f>IFERROR(__xludf.DUMMYFUNCTION("""COMPUTED_VALUE"""),"MENDEZ")</f>
        <v>MENDEZ</v>
      </c>
      <c r="P289" s="1" t="str">
        <f>IFERROR(__xludf.DUMMYFUNCTION("""COMPUTED_VALUE"""),"CAVITE")</f>
        <v>CAVITE</v>
      </c>
      <c r="Q289" s="1" t="str">
        <f>IFERROR(__xludf.DUMMYFUNCTION("""COMPUTED_VALUE"""),"RED FIBER PLAN 1000")</f>
        <v>RED FIBER PLAN 1000</v>
      </c>
      <c r="R289" s="1" t="str">
        <f>IFERROR(__xludf.DUMMYFUNCTION("""COMPUTED_VALUE"""),"APPROVED")</f>
        <v>APPROVED</v>
      </c>
      <c r="S289" s="1"/>
      <c r="T289" s="1"/>
      <c r="U289" s="1"/>
      <c r="V289" s="1"/>
      <c r="W289" s="1"/>
    </row>
    <row r="290" customHeight="1" spans="1:23">
      <c r="A290" s="3">
        <f>IFERROR(__xludf.DUMMYFUNCTION("""COMPUTED_VALUE"""),46052)</f>
        <v>46052</v>
      </c>
      <c r="B290" s="1" t="str">
        <f>IFERROR(__xludf.DUMMYFUNCTION("""COMPUTED_VALUE"""),"DE VERA, MARIVIC")</f>
        <v>DE VERA, MARIVIC</v>
      </c>
      <c r="C290" s="1" t="str">
        <f>IFERROR(__xludf.DUMMYFUNCTION("""COMPUTED_VALUE"""),"ORGANIC")</f>
        <v>ORGANIC</v>
      </c>
      <c r="D290" s="1" t="str">
        <f>IFERROR(__xludf.DUMMYFUNCTION("""COMPUTED_VALUE"""),"REMOLLO LEA")</f>
        <v>REMOLLO LEA</v>
      </c>
      <c r="E290" s="1" t="str">
        <f>IFERROR(__xludf.DUMMYFUNCTION("""COMPUTED_VALUE"""),"RED FIBER")</f>
        <v>RED FIBER</v>
      </c>
      <c r="F290" s="1"/>
      <c r="G290" s="1"/>
      <c r="H290" s="1" t="str">
        <f>IFERROR(__xludf.DUMMYFUNCTION("""COMPUTED_VALUE"""),"9766036893")</f>
        <v>9766036893</v>
      </c>
      <c r="I290" s="1"/>
      <c r="J290" s="1"/>
      <c r="K290" s="1" t="str">
        <f>IFERROR(__xludf.DUMMYFUNCTION("""COMPUTED_VALUE"""),"12")</f>
        <v>12</v>
      </c>
      <c r="L290" s="1" t="str">
        <f>IFERROR(__xludf.DUMMYFUNCTION("""COMPUTED_VALUE"""),"MUZON")</f>
        <v>MUZON</v>
      </c>
      <c r="M290" s="1"/>
      <c r="N290" s="1" t="str">
        <f>IFERROR(__xludf.DUMMYFUNCTION("""COMPUTED_VALUE"""),"ASIS I")</f>
        <v>ASIS I</v>
      </c>
      <c r="O290" s="1" t="str">
        <f>IFERROR(__xludf.DUMMYFUNCTION("""COMPUTED_VALUE"""),"MENDEZ")</f>
        <v>MENDEZ</v>
      </c>
      <c r="P290" s="1" t="str">
        <f>IFERROR(__xludf.DUMMYFUNCTION("""COMPUTED_VALUE"""),"CAVITE")</f>
        <v>CAVITE</v>
      </c>
      <c r="Q290" s="1" t="str">
        <f>IFERROR(__xludf.DUMMYFUNCTION("""COMPUTED_VALUE"""),"RED FIBER PLAN 1000")</f>
        <v>RED FIBER PLAN 1000</v>
      </c>
      <c r="R290" s="1" t="str">
        <f>IFERROR(__xludf.DUMMYFUNCTION("""COMPUTED_VALUE"""),"APPROVED")</f>
        <v>APPROVED</v>
      </c>
      <c r="S290" s="1"/>
      <c r="T290" s="1"/>
      <c r="U290" s="1"/>
      <c r="V290" s="1"/>
      <c r="W290" s="1"/>
    </row>
    <row r="291" customHeight="1" spans="1:23">
      <c r="A291" s="3">
        <f>IFERROR(__xludf.DUMMYFUNCTION("""COMPUTED_VALUE"""),46052)</f>
        <v>46052</v>
      </c>
      <c r="B291" s="1" t="str">
        <f>IFERROR(__xludf.DUMMYFUNCTION("""COMPUTED_VALUE"""),"DE VERA, MARIVIC")</f>
        <v>DE VERA, MARIVIC</v>
      </c>
      <c r="C291" s="1" t="str">
        <f>IFERROR(__xludf.DUMMYFUNCTION("""COMPUTED_VALUE"""),"ORGANIC")</f>
        <v>ORGANIC</v>
      </c>
      <c r="D291" s="1" t="str">
        <f>IFERROR(__xludf.DUMMYFUNCTION("""COMPUTED_VALUE"""),"REMOLLO LEA")</f>
        <v>REMOLLO LEA</v>
      </c>
      <c r="E291" s="1" t="str">
        <f>IFERROR(__xludf.DUMMYFUNCTION("""COMPUTED_VALUE"""),"RED FIBER")</f>
        <v>RED FIBER</v>
      </c>
      <c r="F291" s="1"/>
      <c r="G291" s="1"/>
      <c r="H291" s="1" t="str">
        <f>IFERROR(__xludf.DUMMYFUNCTION("""COMPUTED_VALUE"""),"9701778421")</f>
        <v>9701778421</v>
      </c>
      <c r="I291" s="1"/>
      <c r="J291" s="1"/>
      <c r="K291" s="1" t="str">
        <f>IFERROR(__xludf.DUMMYFUNCTION("""COMPUTED_VALUE"""),"30")</f>
        <v>30</v>
      </c>
      <c r="L291" s="1" t="str">
        <f>IFERROR(__xludf.DUMMYFUNCTION("""COMPUTED_VALUE"""),"MUZON")</f>
        <v>MUZON</v>
      </c>
      <c r="M291" s="1"/>
      <c r="N291" s="1" t="str">
        <f>IFERROR(__xludf.DUMMYFUNCTION("""COMPUTED_VALUE"""),"ASIS I")</f>
        <v>ASIS I</v>
      </c>
      <c r="O291" s="1" t="str">
        <f>IFERROR(__xludf.DUMMYFUNCTION("""COMPUTED_VALUE"""),"MENDEZ")</f>
        <v>MENDEZ</v>
      </c>
      <c r="P291" s="1" t="str">
        <f>IFERROR(__xludf.DUMMYFUNCTION("""COMPUTED_VALUE"""),"CAVITE")</f>
        <v>CAVITE</v>
      </c>
      <c r="Q291" s="1" t="str">
        <f>IFERROR(__xludf.DUMMYFUNCTION("""COMPUTED_VALUE"""),"RED FIBER PLAN 1000")</f>
        <v>RED FIBER PLAN 1000</v>
      </c>
      <c r="R291" s="1" t="str">
        <f>IFERROR(__xludf.DUMMYFUNCTION("""COMPUTED_VALUE"""),"APPROVED")</f>
        <v>APPROVED</v>
      </c>
      <c r="S291" s="1"/>
      <c r="T291" s="1"/>
      <c r="U291" s="1"/>
      <c r="V291" s="1"/>
      <c r="W291" s="1"/>
    </row>
    <row r="292" customHeight="1" spans="1:23">
      <c r="A292" s="3">
        <f>IFERROR(__xludf.DUMMYFUNCTION("""COMPUTED_VALUE"""),46052)</f>
        <v>46052</v>
      </c>
      <c r="B292" s="1" t="str">
        <f>IFERROR(__xludf.DUMMYFUNCTION("""COMPUTED_VALUE"""),"DE VERA, MARIVIC")</f>
        <v>DE VERA, MARIVIC</v>
      </c>
      <c r="C292" s="1" t="str">
        <f>IFERROR(__xludf.DUMMYFUNCTION("""COMPUTED_VALUE"""),"ORGANIC")</f>
        <v>ORGANIC</v>
      </c>
      <c r="D292" s="1" t="str">
        <f>IFERROR(__xludf.DUMMYFUNCTION("""COMPUTED_VALUE"""),"REMOLLO LEA")</f>
        <v>REMOLLO LEA</v>
      </c>
      <c r="E292" s="1" t="str">
        <f>IFERROR(__xludf.DUMMYFUNCTION("""COMPUTED_VALUE"""),"RED FIBER")</f>
        <v>RED FIBER</v>
      </c>
      <c r="F292" s="1"/>
      <c r="G292" s="1"/>
      <c r="H292" s="1" t="str">
        <f>IFERROR(__xludf.DUMMYFUNCTION("""COMPUTED_VALUE"""),"9472809359")</f>
        <v>9472809359</v>
      </c>
      <c r="I292" s="1"/>
      <c r="J292" s="1"/>
      <c r="K292" s="1" t="str">
        <f>IFERROR(__xludf.DUMMYFUNCTION("""COMPUTED_VALUE"""),"39")</f>
        <v>39</v>
      </c>
      <c r="L292" s="1" t="str">
        <f>IFERROR(__xludf.DUMMYFUNCTION("""COMPUTED_VALUE"""),"MUZON")</f>
        <v>MUZON</v>
      </c>
      <c r="M292" s="1"/>
      <c r="N292" s="1" t="str">
        <f>IFERROR(__xludf.DUMMYFUNCTION("""COMPUTED_VALUE"""),"ASIS I")</f>
        <v>ASIS I</v>
      </c>
      <c r="O292" s="1" t="str">
        <f>IFERROR(__xludf.DUMMYFUNCTION("""COMPUTED_VALUE"""),"MENDEZ")</f>
        <v>MENDEZ</v>
      </c>
      <c r="P292" s="1" t="str">
        <f>IFERROR(__xludf.DUMMYFUNCTION("""COMPUTED_VALUE"""),"CAVITE")</f>
        <v>CAVITE</v>
      </c>
      <c r="Q292" s="1" t="str">
        <f>IFERROR(__xludf.DUMMYFUNCTION("""COMPUTED_VALUE"""),"RED FIBER PLAN 1000")</f>
        <v>RED FIBER PLAN 1000</v>
      </c>
      <c r="R292" s="1" t="str">
        <f>IFERROR(__xludf.DUMMYFUNCTION("""COMPUTED_VALUE"""),"APPROVED")</f>
        <v>APPROVED</v>
      </c>
      <c r="S292" s="1"/>
      <c r="T292" s="1"/>
      <c r="U292" s="1"/>
      <c r="V292" s="1"/>
      <c r="W292" s="1"/>
    </row>
    <row r="293" customHeight="1" spans="1:23">
      <c r="A293" s="3">
        <f>IFERROR(__xludf.DUMMYFUNCTION("""COMPUTED_VALUE"""),46052)</f>
        <v>46052</v>
      </c>
      <c r="B293" s="1" t="str">
        <f>IFERROR(__xludf.DUMMYFUNCTION("""COMPUTED_VALUE"""),"CONCEPCION, ALJAY")</f>
        <v>CONCEPCION, ALJAY</v>
      </c>
      <c r="C293" s="1" t="str">
        <f>IFERROR(__xludf.DUMMYFUNCTION("""COMPUTED_VALUE"""),"ORGANIC")</f>
        <v>ORGANIC</v>
      </c>
      <c r="D293" s="1" t="str">
        <f>IFERROR(__xludf.DUMMYFUNCTION("""COMPUTED_VALUE"""),"ILANO MARK")</f>
        <v>ILANO MARK</v>
      </c>
      <c r="E293" s="1" t="str">
        <f>IFERROR(__xludf.DUMMYFUNCTION("""COMPUTED_VALUE"""),"RED FIBER")</f>
        <v>RED FIBER</v>
      </c>
      <c r="F293" s="1"/>
      <c r="G293" s="1"/>
      <c r="H293" s="1" t="str">
        <f>IFERROR(__xludf.DUMMYFUNCTION("""COMPUTED_VALUE"""),"9308296291")</f>
        <v>9308296291</v>
      </c>
      <c r="I293" s="1"/>
      <c r="J293" s="1"/>
      <c r="K293" s="1" t="str">
        <f>IFERROR(__xludf.DUMMYFUNCTION("""COMPUTED_VALUE"""),"9310")</f>
        <v>9310</v>
      </c>
      <c r="L293" s="1" t="str">
        <f>IFERROR(__xludf.DUMMYFUNCTION("""COMPUTED_VALUE"""),"RIZAL")</f>
        <v>RIZAL</v>
      </c>
      <c r="M293" s="1"/>
      <c r="N293" s="1" t="str">
        <f>IFERROR(__xludf.DUMMYFUNCTION("""COMPUTED_VALUE"""),"ASIS III")</f>
        <v>ASIS III</v>
      </c>
      <c r="O293" s="1" t="str">
        <f>IFERROR(__xludf.DUMMYFUNCTION("""COMPUTED_VALUE"""),"MENDEZ")</f>
        <v>MENDEZ</v>
      </c>
      <c r="P293" s="1" t="str">
        <f>IFERROR(__xludf.DUMMYFUNCTION("""COMPUTED_VALUE"""),"CAVITE")</f>
        <v>CAVITE</v>
      </c>
      <c r="Q293" s="1" t="str">
        <f>IFERROR(__xludf.DUMMYFUNCTION("""COMPUTED_VALUE"""),"RED FIBER PLAN 1000")</f>
        <v>RED FIBER PLAN 1000</v>
      </c>
      <c r="R293" s="1" t="str">
        <f>IFERROR(__xludf.DUMMYFUNCTION("""COMPUTED_VALUE"""),"APPROVED")</f>
        <v>APPROVED</v>
      </c>
      <c r="S293" s="1"/>
      <c r="T293" s="1"/>
      <c r="U293" s="1"/>
      <c r="V293" s="1"/>
      <c r="W293" s="1"/>
    </row>
    <row r="294" customHeight="1" spans="1:23">
      <c r="A294" s="3">
        <f>IFERROR(__xludf.DUMMYFUNCTION("""COMPUTED_VALUE"""),46052)</f>
        <v>46052</v>
      </c>
      <c r="B294" s="1" t="str">
        <f>IFERROR(__xludf.DUMMYFUNCTION("""COMPUTED_VALUE"""),"MAGDARAOG, KENNETH")</f>
        <v>MAGDARAOG, KENNETH</v>
      </c>
      <c r="C294" s="1" t="str">
        <f>IFERROR(__xludf.DUMMYFUNCTION("""COMPUTED_VALUE"""),"ORGANIC")</f>
        <v>ORGANIC</v>
      </c>
      <c r="D294" s="1" t="str">
        <f>IFERROR(__xludf.DUMMYFUNCTION("""COMPUTED_VALUE"""),"REMOLLO LEA")</f>
        <v>REMOLLO LEA</v>
      </c>
      <c r="E294" s="1" t="str">
        <f>IFERROR(__xludf.DUMMYFUNCTION("""COMPUTED_VALUE"""),"RED FIBER")</f>
        <v>RED FIBER</v>
      </c>
      <c r="F294" s="1"/>
      <c r="G294" s="1"/>
      <c r="H294" s="1" t="str">
        <f>IFERROR(__xludf.DUMMYFUNCTION("""COMPUTED_VALUE"""),"9953084482")</f>
        <v>9953084482</v>
      </c>
      <c r="I294" s="1"/>
      <c r="J294" s="1"/>
      <c r="K294" s="1" t="str">
        <f>IFERROR(__xludf.DUMMYFUNCTION("""COMPUTED_VALUE"""),"193")</f>
        <v>193</v>
      </c>
      <c r="L294" s="1" t="str">
        <f>IFERROR(__xludf.DUMMYFUNCTION("""COMPUTED_VALUE"""),"TOLEDO ST")</f>
        <v>TOLEDO ST</v>
      </c>
      <c r="M294" s="1"/>
      <c r="N294" s="1" t="str">
        <f>IFERROR(__xludf.DUMMYFUNCTION("""COMPUTED_VALUE"""),"TOLEDO")</f>
        <v>TOLEDO</v>
      </c>
      <c r="O294" s="1" t="str">
        <f>IFERROR(__xludf.DUMMYFUNCTION("""COMPUTED_VALUE"""),"SILANG")</f>
        <v>SILANG</v>
      </c>
      <c r="P294" s="1" t="str">
        <f>IFERROR(__xludf.DUMMYFUNCTION("""COMPUTED_VALUE"""),"CAVITE")</f>
        <v>CAVITE</v>
      </c>
      <c r="Q294" s="1" t="str">
        <f>IFERROR(__xludf.DUMMYFUNCTION("""COMPUTED_VALUE"""),"RED FIBER PLAN 1000")</f>
        <v>RED FIBER PLAN 1000</v>
      </c>
      <c r="R294" s="1" t="str">
        <f>IFERROR(__xludf.DUMMYFUNCTION("""COMPUTED_VALUE"""),"APPROVED")</f>
        <v>APPROVED</v>
      </c>
      <c r="S294" s="1"/>
      <c r="T294" s="1"/>
      <c r="U294" s="1"/>
      <c r="V294" s="1"/>
      <c r="W294" s="1"/>
    </row>
    <row r="295" customHeight="1" spans="1:23">
      <c r="A295" s="3">
        <f>IFERROR(__xludf.DUMMYFUNCTION("""COMPUTED_VALUE"""),46053)</f>
        <v>46053</v>
      </c>
      <c r="B295" s="1" t="str">
        <f>IFERROR(__xludf.DUMMYFUNCTION("""COMPUTED_VALUE"""),"ESCARCHA, MA ALMA  ESCOTO")</f>
        <v>ESCARCHA, MA ALMA  ESCOTO</v>
      </c>
      <c r="C295" s="1" t="str">
        <f>IFERROR(__xludf.DUMMYFUNCTION("""COMPUTED_VALUE"""),"FLA")</f>
        <v>FLA</v>
      </c>
      <c r="D295" s="1" t="str">
        <f>IFERROR(__xludf.DUMMYFUNCTION("""COMPUTED_VALUE"""),"JERIC NAVARRO")</f>
        <v>JERIC NAVARRO</v>
      </c>
      <c r="E295" s="1" t="str">
        <f>IFERROR(__xludf.DUMMYFUNCTION("""COMPUTED_VALUE"""),"PLDT")</f>
        <v>PLDT</v>
      </c>
      <c r="F295" s="1">
        <f>IFERROR(__xludf.DUMMYFUNCTION("""COMPUTED_VALUE"""),2306634707)</f>
        <v>2306634707</v>
      </c>
      <c r="G295" s="1"/>
      <c r="H295" s="1" t="str">
        <f>IFERROR(__xludf.DUMMYFUNCTION("""COMPUTED_VALUE"""),"9229406713")</f>
        <v>9229406713</v>
      </c>
      <c r="I295" s="1"/>
      <c r="J295" s="1"/>
      <c r="K295" s="1" t="str">
        <f>IFERROR(__xludf.DUMMYFUNCTION("""COMPUTED_VALUE"""),"BLK 5 LOT 11")</f>
        <v>BLK 5 LOT 11</v>
      </c>
      <c r="L295" s="1" t="str">
        <f>IFERROR(__xludf.DUMMYFUNCTION("""COMPUTED_VALUE"""),"BERMUDA")</f>
        <v>BERMUDA</v>
      </c>
      <c r="M295" s="1" t="str">
        <f>IFERROR(__xludf.DUMMYFUNCTION("""COMPUTED_VALUE"""),"CASA MONTE VERDE")</f>
        <v>CASA MONTE VERDE</v>
      </c>
      <c r="N295" s="1" t="str">
        <f>IFERROR(__xludf.DUMMYFUNCTION("""COMPUTED_VALUE"""),"FRANCISCO DE CASTRO (SUNSHINE VILL.)")</f>
        <v>FRANCISCO DE CASTRO (SUNSHINE VILL.)</v>
      </c>
      <c r="O295" s="1" t="str">
        <f>IFERROR(__xludf.DUMMYFUNCTION("""COMPUTED_VALUE"""),"GEN MARIANO ALVAREZ")</f>
        <v>GEN MARIANO ALVAREZ</v>
      </c>
      <c r="P295" s="1" t="str">
        <f>IFERROR(__xludf.DUMMYFUNCTION("""COMPUTED_VALUE"""),"CAVITE")</f>
        <v>CAVITE</v>
      </c>
      <c r="Q295" s="1" t="str">
        <f>IFERROR(__xludf.DUMMYFUNCTION("""COMPUTED_VALUE"""),"PREPAID 999")</f>
        <v>PREPAID 999</v>
      </c>
      <c r="R295" s="1" t="str">
        <f>IFERROR(__xludf.DUMMYFUNCTION("""COMPUTED_VALUE"""),"APPROVED")</f>
        <v>APPROVED</v>
      </c>
      <c r="S295" s="1"/>
      <c r="T295" s="1"/>
      <c r="U295" s="1"/>
      <c r="V295" s="1"/>
      <c r="W295" s="1"/>
    </row>
    <row r="296" customHeight="1" spans="1:23">
      <c r="A296" s="3">
        <f>IFERROR(__xludf.DUMMYFUNCTION("""COMPUTED_VALUE"""),46053)</f>
        <v>46053</v>
      </c>
      <c r="B296" s="1" t="str">
        <f>IFERROR(__xludf.DUMMYFUNCTION("""COMPUTED_VALUE"""),"ALOS, CHARLS LAURENZ")</f>
        <v>ALOS, CHARLS LAURENZ</v>
      </c>
      <c r="C296" s="1" t="str">
        <f>IFERROR(__xludf.DUMMYFUNCTION("""COMPUTED_VALUE"""),"ORGANIC")</f>
        <v>ORGANIC</v>
      </c>
      <c r="D296" s="1" t="str">
        <f>IFERROR(__xludf.DUMMYFUNCTION("""COMPUTED_VALUE"""),"REMOLLO LEA")</f>
        <v>REMOLLO LEA</v>
      </c>
      <c r="E296" s="1" t="str">
        <f>IFERROR(__xludf.DUMMYFUNCTION("""COMPUTED_VALUE"""),"RED FIBER")</f>
        <v>RED FIBER</v>
      </c>
      <c r="F296" s="1"/>
      <c r="G296" s="1"/>
      <c r="H296" s="1" t="str">
        <f>IFERROR(__xludf.DUMMYFUNCTION("""COMPUTED_VALUE"""),"9455097254")</f>
        <v>9455097254</v>
      </c>
      <c r="I296" s="1"/>
      <c r="J296" s="1"/>
      <c r="K296" s="1" t="str">
        <f>IFERROR(__xludf.DUMMYFUNCTION("""COMPUTED_VALUE"""),"34")</f>
        <v>34</v>
      </c>
      <c r="L296" s="1" t="str">
        <f>IFERROR(__xludf.DUMMYFUNCTION("""COMPUTED_VALUE"""),"MARKET SITE")</f>
        <v>MARKET SITE</v>
      </c>
      <c r="M296" s="1"/>
      <c r="N296" s="1" t="str">
        <f>IFERROR(__xludf.DUMMYFUNCTION("""COMPUTED_VALUE"""),"GALICIA II")</f>
        <v>GALICIA II</v>
      </c>
      <c r="O296" s="1" t="str">
        <f>IFERROR(__xludf.DUMMYFUNCTION("""COMPUTED_VALUE"""),"MENDEZ")</f>
        <v>MENDEZ</v>
      </c>
      <c r="P296" s="1" t="str">
        <f>IFERROR(__xludf.DUMMYFUNCTION("""COMPUTED_VALUE"""),"CAVITE")</f>
        <v>CAVITE</v>
      </c>
      <c r="Q296" s="1" t="str">
        <f>IFERROR(__xludf.DUMMYFUNCTION("""COMPUTED_VALUE"""),"RED FIBER PLAN 1000")</f>
        <v>RED FIBER PLAN 1000</v>
      </c>
      <c r="R296" s="1" t="str">
        <f>IFERROR(__xludf.DUMMYFUNCTION("""COMPUTED_VALUE"""),"APPROVED")</f>
        <v>APPROVED</v>
      </c>
      <c r="S296" s="1"/>
      <c r="T296" s="1"/>
      <c r="U296" s="1"/>
      <c r="V296" s="1"/>
      <c r="W296" s="1"/>
    </row>
    <row r="297" customHeight="1" spans="1:23">
      <c r="A297" s="3">
        <f>IFERROR(__xludf.DUMMYFUNCTION("""COMPUTED_VALUE"""),46053)</f>
        <v>46053</v>
      </c>
      <c r="B297" s="1" t="str">
        <f>IFERROR(__xludf.DUMMYFUNCTION("""COMPUTED_VALUE"""),"FARO, REFRANTA")</f>
        <v>FARO, REFRANTA</v>
      </c>
      <c r="C297" s="1" t="str">
        <f>IFERROR(__xludf.DUMMYFUNCTION("""COMPUTED_VALUE"""),"ORGANIC")</f>
        <v>ORGANIC</v>
      </c>
      <c r="D297" s="1" t="str">
        <f>IFERROR(__xludf.DUMMYFUNCTION("""COMPUTED_VALUE"""),"ILANO MARK")</f>
        <v>ILANO MARK</v>
      </c>
      <c r="E297" s="1" t="str">
        <f>IFERROR(__xludf.DUMMYFUNCTION("""COMPUTED_VALUE"""),"PLDT")</f>
        <v>PLDT</v>
      </c>
      <c r="F297" s="1"/>
      <c r="G297" s="1"/>
      <c r="H297" s="1" t="str">
        <f>IFERROR(__xludf.DUMMYFUNCTION("""COMPUTED_VALUE"""),"9926834298")</f>
        <v>9926834298</v>
      </c>
      <c r="I297" s="1">
        <f>IFERROR(__xludf.DUMMYFUNCTION("""COMPUTED_VALUE"""),9485222211)</f>
        <v>9485222211</v>
      </c>
      <c r="J297" s="1"/>
      <c r="K297" s="1" t="str">
        <f>IFERROR(__xludf.DUMMYFUNCTION("""COMPUTED_VALUE"""),"12")</f>
        <v>12</v>
      </c>
      <c r="L297" s="1" t="str">
        <f>IFERROR(__xludf.DUMMYFUNCTION("""COMPUTED_VALUE"""),"PUROK 197")</f>
        <v>PUROK 197</v>
      </c>
      <c r="M297" s="1"/>
      <c r="N297" s="1" t="str">
        <f>IFERROR(__xludf.DUMMYFUNCTION("""COMPUTED_VALUE"""),"SUNGAY NORTH")</f>
        <v>SUNGAY NORTH</v>
      </c>
      <c r="O297" s="1" t="str">
        <f>IFERROR(__xludf.DUMMYFUNCTION("""COMPUTED_VALUE"""),"TAGAYTAY")</f>
        <v>TAGAYTAY</v>
      </c>
      <c r="P297" s="1" t="str">
        <f>IFERROR(__xludf.DUMMYFUNCTION("""COMPUTED_VALUE"""),"CAVITE")</f>
        <v>CAVITE</v>
      </c>
      <c r="Q297" s="1" t="str">
        <f>IFERROR(__xludf.DUMMYFUNCTION("""COMPUTED_VALUE"""),"FIBR PLAN 1599")</f>
        <v>FIBR PLAN 1599</v>
      </c>
      <c r="R297" s="1" t="str">
        <f>IFERROR(__xludf.DUMMYFUNCTION("""COMPUTED_VALUE"""),"HOLD")</f>
        <v>HOLD</v>
      </c>
      <c r="S297" s="1"/>
      <c r="T297" s="1"/>
      <c r="U297" s="1"/>
      <c r="V297" s="1"/>
      <c r="W297" s="1"/>
    </row>
    <row r="298" customHeight="1" spans="1:23">
      <c r="A298" s="3">
        <f>IFERROR(__xludf.DUMMYFUNCTION("""COMPUTED_VALUE"""),46053)</f>
        <v>46053</v>
      </c>
      <c r="B298" s="1" t="str">
        <f>IFERROR(__xludf.DUMMYFUNCTION("""COMPUTED_VALUE"""),"DE VERA, MARIVIC")</f>
        <v>DE VERA, MARIVIC</v>
      </c>
      <c r="C298" s="1" t="str">
        <f>IFERROR(__xludf.DUMMYFUNCTION("""COMPUTED_VALUE"""),"ORGANIC")</f>
        <v>ORGANIC</v>
      </c>
      <c r="D298" s="1" t="str">
        <f>IFERROR(__xludf.DUMMYFUNCTION("""COMPUTED_VALUE"""),"REMOLLO LEA")</f>
        <v>REMOLLO LEA</v>
      </c>
      <c r="E298" s="1" t="str">
        <f>IFERROR(__xludf.DUMMYFUNCTION("""COMPUTED_VALUE"""),"RED FIBER")</f>
        <v>RED FIBER</v>
      </c>
      <c r="F298" s="1"/>
      <c r="G298" s="1"/>
      <c r="H298" s="1" t="str">
        <f>IFERROR(__xludf.DUMMYFUNCTION("""COMPUTED_VALUE"""),"9559037571")</f>
        <v>9559037571</v>
      </c>
      <c r="I298" s="1"/>
      <c r="J298" s="1"/>
      <c r="K298" s="1" t="str">
        <f>IFERROR(__xludf.DUMMYFUNCTION("""COMPUTED_VALUE"""),"62")</f>
        <v>62</v>
      </c>
      <c r="L298" s="1" t="str">
        <f>IFERROR(__xludf.DUMMYFUNCTION("""COMPUTED_VALUE"""),"RIZAL ")</f>
        <v>RIZAL </v>
      </c>
      <c r="M298" s="1"/>
      <c r="N298" s="1" t="str">
        <f>IFERROR(__xludf.DUMMYFUNCTION("""COMPUTED_VALUE"""),"ASIS III")</f>
        <v>ASIS III</v>
      </c>
      <c r="O298" s="1" t="str">
        <f>IFERROR(__xludf.DUMMYFUNCTION("""COMPUTED_VALUE"""),"MENDEZ")</f>
        <v>MENDEZ</v>
      </c>
      <c r="P298" s="1" t="str">
        <f>IFERROR(__xludf.DUMMYFUNCTION("""COMPUTED_VALUE""")," CAVITE")</f>
        <v> CAVITE</v>
      </c>
      <c r="Q298" s="1" t="str">
        <f>IFERROR(__xludf.DUMMYFUNCTION("""COMPUTED_VALUE"""),"RED FIBER PLAN 1400")</f>
        <v>RED FIBER PLAN 1400</v>
      </c>
      <c r="R298" s="1" t="str">
        <f>IFERROR(__xludf.DUMMYFUNCTION("""COMPUTED_VALUE"""),"APPROVED")</f>
        <v>APPROVED</v>
      </c>
      <c r="S298" s="1"/>
      <c r="T298" s="1"/>
      <c r="U298" s="1"/>
      <c r="V298" s="1"/>
      <c r="W298" s="1"/>
    </row>
    <row r="299" customHeight="1" spans="1:23">
      <c r="A299" s="3">
        <f>IFERROR(__xludf.DUMMYFUNCTION("""COMPUTED_VALUE"""),46053)</f>
        <v>46053</v>
      </c>
      <c r="B299" s="1" t="str">
        <f>IFERROR(__xludf.DUMMYFUNCTION("""COMPUTED_VALUE"""),"DE VERA, MARIVIC")</f>
        <v>DE VERA, MARIVIC</v>
      </c>
      <c r="C299" s="1" t="str">
        <f>IFERROR(__xludf.DUMMYFUNCTION("""COMPUTED_VALUE"""),"ORGANIC")</f>
        <v>ORGANIC</v>
      </c>
      <c r="D299" s="1" t="str">
        <f>IFERROR(__xludf.DUMMYFUNCTION("""COMPUTED_VALUE"""),"REMOLLO LEA")</f>
        <v>REMOLLO LEA</v>
      </c>
      <c r="E299" s="1" t="str">
        <f>IFERROR(__xludf.DUMMYFUNCTION("""COMPUTED_VALUE"""),"RED FIBER")</f>
        <v>RED FIBER</v>
      </c>
      <c r="F299" s="1"/>
      <c r="G299" s="1"/>
      <c r="H299" s="1" t="str">
        <f>IFERROR(__xludf.DUMMYFUNCTION("""COMPUTED_VALUE"""),"9664870577")</f>
        <v>9664870577</v>
      </c>
      <c r="I299" s="1">
        <f>IFERROR(__xludf.DUMMYFUNCTION("""COMPUTED_VALUE"""),9559278295)</f>
        <v>9559278295</v>
      </c>
      <c r="J299" s="1"/>
      <c r="K299" s="1" t="str">
        <f>IFERROR(__xludf.DUMMYFUNCTION("""COMPUTED_VALUE"""),"63")</f>
        <v>63</v>
      </c>
      <c r="L299" s="1" t="str">
        <f>IFERROR(__xludf.DUMMYFUNCTION("""COMPUTED_VALUE"""),"RIZAL")</f>
        <v>RIZAL</v>
      </c>
      <c r="M299" s="1"/>
      <c r="N299" s="1" t="str">
        <f>IFERROR(__xludf.DUMMYFUNCTION("""COMPUTED_VALUE"""),"ASIS III")</f>
        <v>ASIS III</v>
      </c>
      <c r="O299" s="1" t="str">
        <f>IFERROR(__xludf.DUMMYFUNCTION("""COMPUTED_VALUE"""),"MENDEZ")</f>
        <v>MENDEZ</v>
      </c>
      <c r="P299" s="1" t="str">
        <f>IFERROR(__xludf.DUMMYFUNCTION("""COMPUTED_VALUE"""),"CAVITE")</f>
        <v>CAVITE</v>
      </c>
      <c r="Q299" s="1" t="str">
        <f>IFERROR(__xludf.DUMMYFUNCTION("""COMPUTED_VALUE"""),"RED FIBER PLAN 1400")</f>
        <v>RED FIBER PLAN 1400</v>
      </c>
      <c r="R299" s="1" t="str">
        <f>IFERROR(__xludf.DUMMYFUNCTION("""COMPUTED_VALUE"""),"APPROVED")</f>
        <v>APPROVED</v>
      </c>
      <c r="S299" s="1"/>
      <c r="T299" s="1"/>
      <c r="U299" s="1"/>
      <c r="V299" s="1"/>
      <c r="W299" s="1"/>
    </row>
    <row r="300" customHeight="1" spans="1:23">
      <c r="A300" s="3">
        <f>IFERROR(__xludf.DUMMYFUNCTION("""COMPUTED_VALUE"""),46053)</f>
        <v>46053</v>
      </c>
      <c r="B300" s="1" t="str">
        <f>IFERROR(__xludf.DUMMYFUNCTION("""COMPUTED_VALUE"""),"DE VERA, MARIVIC")</f>
        <v>DE VERA, MARIVIC</v>
      </c>
      <c r="C300" s="1" t="str">
        <f>IFERROR(__xludf.DUMMYFUNCTION("""COMPUTED_VALUE"""),"ORGANIC")</f>
        <v>ORGANIC</v>
      </c>
      <c r="D300" s="1" t="str">
        <f>IFERROR(__xludf.DUMMYFUNCTION("""COMPUTED_VALUE"""),"REMOLLO LEA")</f>
        <v>REMOLLO LEA</v>
      </c>
      <c r="E300" s="1" t="str">
        <f>IFERROR(__xludf.DUMMYFUNCTION("""COMPUTED_VALUE"""),"RED FIBER")</f>
        <v>RED FIBER</v>
      </c>
      <c r="F300" s="1"/>
      <c r="G300" s="1"/>
      <c r="H300" s="1" t="str">
        <f>IFERROR(__xludf.DUMMYFUNCTION("""COMPUTED_VALUE"""),"9518722350")</f>
        <v>9518722350</v>
      </c>
      <c r="I300" s="1"/>
      <c r="J300" s="1"/>
      <c r="K300" s="1" t="str">
        <f>IFERROR(__xludf.DUMMYFUNCTION("""COMPUTED_VALUE"""),"14")</f>
        <v>14</v>
      </c>
      <c r="L300" s="1" t="str">
        <f>IFERROR(__xludf.DUMMYFUNCTION("""COMPUTED_VALUE"""),"MUZON")</f>
        <v>MUZON</v>
      </c>
      <c r="M300" s="1"/>
      <c r="N300" s="1" t="str">
        <f>IFERROR(__xludf.DUMMYFUNCTION("""COMPUTED_VALUE"""),"ASIS I")</f>
        <v>ASIS I</v>
      </c>
      <c r="O300" s="1" t="str">
        <f>IFERROR(__xludf.DUMMYFUNCTION("""COMPUTED_VALUE"""),"MENDEZ")</f>
        <v>MENDEZ</v>
      </c>
      <c r="P300" s="1" t="str">
        <f>IFERROR(__xludf.DUMMYFUNCTION("""COMPUTED_VALUE"""),"CAVITE")</f>
        <v>CAVITE</v>
      </c>
      <c r="Q300" s="1" t="str">
        <f>IFERROR(__xludf.DUMMYFUNCTION("""COMPUTED_VALUE"""),"RED FIBER PLAN 1000")</f>
        <v>RED FIBER PLAN 1000</v>
      </c>
      <c r="R300" s="1" t="str">
        <f>IFERROR(__xludf.DUMMYFUNCTION("""COMPUTED_VALUE"""),"APPROVED")</f>
        <v>APPROVED</v>
      </c>
      <c r="S300" s="1"/>
      <c r="T300" s="1"/>
      <c r="U300" s="1"/>
      <c r="V300" s="1"/>
      <c r="W300" s="1"/>
    </row>
    <row r="301" customHeight="1" spans="1:23">
      <c r="A301" s="3">
        <f>IFERROR(__xludf.DUMMYFUNCTION("""COMPUTED_VALUE"""),46053)</f>
        <v>46053</v>
      </c>
      <c r="B301" s="1" t="str">
        <f>IFERROR(__xludf.DUMMYFUNCTION("""COMPUTED_VALUE"""),"MAGDARAOG, KENNETH")</f>
        <v>MAGDARAOG, KENNETH</v>
      </c>
      <c r="C301" s="1" t="str">
        <f>IFERROR(__xludf.DUMMYFUNCTION("""COMPUTED_VALUE"""),"ORGANIC")</f>
        <v>ORGANIC</v>
      </c>
      <c r="D301" s="1" t="str">
        <f>IFERROR(__xludf.DUMMYFUNCTION("""COMPUTED_VALUE"""),"REMOLLO LEA")</f>
        <v>REMOLLO LEA</v>
      </c>
      <c r="E301" s="1" t="str">
        <f>IFERROR(__xludf.DUMMYFUNCTION("""COMPUTED_VALUE"""),"PLDT")</f>
        <v>PLDT</v>
      </c>
      <c r="F301" s="1">
        <f>IFERROR(__xludf.DUMMYFUNCTION("""COMPUTED_VALUE"""),2306639908)</f>
        <v>2306639908</v>
      </c>
      <c r="G301" s="1"/>
      <c r="H301" s="1" t="str">
        <f>IFERROR(__xludf.DUMMYFUNCTION("""COMPUTED_VALUE"""),"9356075310")</f>
        <v>9356075310</v>
      </c>
      <c r="I301" s="1">
        <f>IFERROR(__xludf.DUMMYFUNCTION("""COMPUTED_VALUE"""),9653677040)</f>
        <v>9653677040</v>
      </c>
      <c r="J301" s="1"/>
      <c r="K301" s="1" t="str">
        <f>IFERROR(__xludf.DUMMYFUNCTION("""COMPUTED_VALUE"""),"7392")</f>
        <v>7392</v>
      </c>
      <c r="L301" s="1" t="str">
        <f>IFERROR(__xludf.DUMMYFUNCTION("""COMPUTED_VALUE"""),"PRUOL 1")</f>
        <v>PRUOL 1</v>
      </c>
      <c r="M301" s="1"/>
      <c r="N301" s="1" t="str">
        <f>IFERROR(__xludf.DUMMYFUNCTION("""COMPUTED_VALUE"""),"PANGIL")</f>
        <v>PANGIL</v>
      </c>
      <c r="O301" s="1" t="str">
        <f>IFERROR(__xludf.DUMMYFUNCTION("""COMPUTED_VALUE"""),"AMADEO")</f>
        <v>AMADEO</v>
      </c>
      <c r="P301" s="1" t="str">
        <f>IFERROR(__xludf.DUMMYFUNCTION("""COMPUTED_VALUE"""),"CAVITE")</f>
        <v>CAVITE</v>
      </c>
      <c r="Q301" s="1" t="str">
        <f>IFERROR(__xludf.DUMMYFUNCTION("""COMPUTED_VALUE"""),"FIBR PLAN 1299")</f>
        <v>FIBR PLAN 1299</v>
      </c>
      <c r="R301" s="1" t="str">
        <f>IFERROR(__xludf.DUMMYFUNCTION("""COMPUTED_VALUE"""),"APPROVED")</f>
        <v>APPROVED</v>
      </c>
      <c r="S301" s="1"/>
      <c r="T301" s="1"/>
      <c r="U301" s="1"/>
      <c r="V301" s="1"/>
      <c r="W301" s="1"/>
    </row>
    <row r="302" customHeight="1" spans="1:23">
      <c r="A302" s="3">
        <f>IFERROR(__xludf.DUMMYFUNCTION("""COMPUTED_VALUE"""),46053)</f>
        <v>46053</v>
      </c>
      <c r="B302" s="1" t="str">
        <f>IFERROR(__xludf.DUMMYFUNCTION("""COMPUTED_VALUE"""),"FARO, REFRANTA")</f>
        <v>FARO, REFRANTA</v>
      </c>
      <c r="C302" s="1" t="str">
        <f>IFERROR(__xludf.DUMMYFUNCTION("""COMPUTED_VALUE"""),"ORGANIC")</f>
        <v>ORGANIC</v>
      </c>
      <c r="D302" s="1" t="str">
        <f>IFERROR(__xludf.DUMMYFUNCTION("""COMPUTED_VALUE"""),"ILANO MARK")</f>
        <v>ILANO MARK</v>
      </c>
      <c r="E302" s="1" t="str">
        <f>IFERROR(__xludf.DUMMYFUNCTION("""COMPUTED_VALUE"""),"PLDT")</f>
        <v>PLDT</v>
      </c>
      <c r="F302" s="1">
        <f>IFERROR(__xludf.DUMMYFUNCTION("""COMPUTED_VALUE"""),2306641103)</f>
        <v>2306641103</v>
      </c>
      <c r="G302" s="1"/>
      <c r="H302" s="1" t="str">
        <f>IFERROR(__xludf.DUMMYFUNCTION("""COMPUTED_VALUE"""),"9243717591")</f>
        <v>9243717591</v>
      </c>
      <c r="I302" s="1">
        <f>IFERROR(__xludf.DUMMYFUNCTION("""COMPUTED_VALUE"""),9367010178)</f>
        <v>9367010178</v>
      </c>
      <c r="J302" s="1"/>
      <c r="K302" s="1" t="str">
        <f>IFERROR(__xludf.DUMMYFUNCTION("""COMPUTED_VALUE"""),"162")</f>
        <v>162</v>
      </c>
      <c r="L302" s="1" t="str">
        <f>IFERROR(__xludf.DUMMYFUNCTION("""COMPUTED_VALUE"""),"LOTUS ST")</f>
        <v>LOTUS ST</v>
      </c>
      <c r="M302" s="1"/>
      <c r="N302" s="1" t="str">
        <f>IFERROR(__xludf.DUMMYFUNCTION("""COMPUTED_VALUE"""),"SAN MIGUEL II")</f>
        <v>SAN MIGUEL II</v>
      </c>
      <c r="O302" s="1" t="str">
        <f>IFERROR(__xludf.DUMMYFUNCTION("""COMPUTED_VALUE"""),"SILANG")</f>
        <v>SILANG</v>
      </c>
      <c r="P302" s="1" t="str">
        <f>IFERROR(__xludf.DUMMYFUNCTION("""COMPUTED_VALUE"""),"CAVITE")</f>
        <v>CAVITE</v>
      </c>
      <c r="Q302" s="1" t="str">
        <f>IFERROR(__xludf.DUMMYFUNCTION("""COMPUTED_VALUE"""),"FIBR PLAN 1399")</f>
        <v>FIBR PLAN 1399</v>
      </c>
      <c r="R302" s="1" t="str">
        <f>IFERROR(__xludf.DUMMYFUNCTION("""COMPUTED_VALUE"""),"APPROVED")</f>
        <v>APPROVED</v>
      </c>
      <c r="S302" s="1"/>
      <c r="T302" s="1"/>
      <c r="U302" s="1"/>
      <c r="V302" s="1"/>
      <c r="W302" s="1"/>
    </row>
    <row r="303" customHeight="1" spans="1:23">
      <c r="A303" s="3">
        <f>IFERROR(__xludf.DUMMYFUNCTION("""COMPUTED_VALUE"""),46053)</f>
        <v>46053</v>
      </c>
      <c r="B303" s="1" t="str">
        <f>IFERROR(__xludf.DUMMYFUNCTION("""COMPUTED_VALUE"""),"DE VERA, PAUL")</f>
        <v>DE VERA, PAUL</v>
      </c>
      <c r="C303" s="1" t="str">
        <f>IFERROR(__xludf.DUMMYFUNCTION("""COMPUTED_VALUE"""),"ORGANIC")</f>
        <v>ORGANIC</v>
      </c>
      <c r="D303" s="1" t="str">
        <f>IFERROR(__xludf.DUMMYFUNCTION("""COMPUTED_VALUE"""),"ILANO MARK")</f>
        <v>ILANO MARK</v>
      </c>
      <c r="E303" s="1" t="str">
        <f>IFERROR(__xludf.DUMMYFUNCTION("""COMPUTED_VALUE"""),"PLDT")</f>
        <v>PLDT</v>
      </c>
      <c r="F303" s="1">
        <f>IFERROR(__xludf.DUMMYFUNCTION("""COMPUTED_VALUE"""),2306642132)</f>
        <v>2306642132</v>
      </c>
      <c r="G303" s="1"/>
      <c r="H303" s="1" t="str">
        <f>IFERROR(__xludf.DUMMYFUNCTION("""COMPUTED_VALUE"""),"9942247170")</f>
        <v>9942247170</v>
      </c>
      <c r="I303" s="1">
        <f>IFERROR(__xludf.DUMMYFUNCTION("""COMPUTED_VALUE"""),9192210693)</f>
        <v>9192210693</v>
      </c>
      <c r="J303" s="1"/>
      <c r="K303" s="1" t="str">
        <f>IFERROR(__xludf.DUMMYFUNCTION("""COMPUTED_VALUE"""),"20")</f>
        <v>20</v>
      </c>
      <c r="L303" s="1" t="str">
        <f>IFERROR(__xludf.DUMMYFUNCTION("""COMPUTED_VALUE"""),"DON JUAN")</f>
        <v>DON JUAN</v>
      </c>
      <c r="M303" s="1"/>
      <c r="N303" s="1" t="str">
        <f>IFERROR(__xludf.DUMMYFUNCTION("""COMPUTED_VALUE"""),"SAN MIGUEL II")</f>
        <v>SAN MIGUEL II</v>
      </c>
      <c r="O303" s="1" t="str">
        <f>IFERROR(__xludf.DUMMYFUNCTION("""COMPUTED_VALUE"""),"SILANG")</f>
        <v>SILANG</v>
      </c>
      <c r="P303" s="1" t="str">
        <f>IFERROR(__xludf.DUMMYFUNCTION("""COMPUTED_VALUE"""),"CAVITE")</f>
        <v>CAVITE</v>
      </c>
      <c r="Q303" s="1" t="str">
        <f>IFERROR(__xludf.DUMMYFUNCTION("""COMPUTED_VALUE"""),"FIBR PLAN 1399")</f>
        <v>FIBR PLAN 1399</v>
      </c>
      <c r="R303" s="1" t="str">
        <f>IFERROR(__xludf.DUMMYFUNCTION("""COMPUTED_VALUE"""),"APPROVED")</f>
        <v>APPROVED</v>
      </c>
      <c r="S303" s="1"/>
      <c r="T303" s="1"/>
      <c r="U303" s="1"/>
      <c r="V303" s="1"/>
      <c r="W303" s="1"/>
    </row>
    <row r="304" customHeight="1" spans="1:23">
      <c r="A304" s="3">
        <f>IFERROR(__xludf.DUMMYFUNCTION("""COMPUTED_VALUE"""),46053)</f>
        <v>46053</v>
      </c>
      <c r="B304" s="1" t="str">
        <f>IFERROR(__xludf.DUMMYFUNCTION("""COMPUTED_VALUE"""),"MIRASOL, RAYRALYN")</f>
        <v>MIRASOL, RAYRALYN</v>
      </c>
      <c r="C304" s="1" t="str">
        <f>IFERROR(__xludf.DUMMYFUNCTION("""COMPUTED_VALUE"""),"ORGANIC")</f>
        <v>ORGANIC</v>
      </c>
      <c r="D304" s="1" t="str">
        <f>IFERROR(__xludf.DUMMYFUNCTION("""COMPUTED_VALUE"""),"ILANO MARK")</f>
        <v>ILANO MARK</v>
      </c>
      <c r="E304" s="1" t="str">
        <f>IFERROR(__xludf.DUMMYFUNCTION("""COMPUTED_VALUE"""),"PLDT")</f>
        <v>PLDT</v>
      </c>
      <c r="F304" s="1">
        <f>IFERROR(__xludf.DUMMYFUNCTION("""COMPUTED_VALUE"""),2306640309)</f>
        <v>2306640309</v>
      </c>
      <c r="G304" s="1"/>
      <c r="H304" s="1" t="str">
        <f>IFERROR(__xludf.DUMMYFUNCTION("""COMPUTED_VALUE"""),"9675915001")</f>
        <v>9675915001</v>
      </c>
      <c r="I304" s="1">
        <f>IFERROR(__xludf.DUMMYFUNCTION("""COMPUTED_VALUE"""),9554400805)</f>
        <v>9554400805</v>
      </c>
      <c r="J304" s="1"/>
      <c r="K304" s="1" t="str">
        <f>IFERROR(__xludf.DUMMYFUNCTION("""COMPUTED_VALUE"""),"BLK 7 LOT 7")</f>
        <v>BLK 7 LOT 7</v>
      </c>
      <c r="L304" s="1" t="str">
        <f>IFERROR(__xludf.DUMMYFUNCTION("""COMPUTED_VALUE"""),"DON JUAN")</f>
        <v>DON JUAN</v>
      </c>
      <c r="M304" s="1"/>
      <c r="N304" s="1" t="str">
        <f>IFERROR(__xludf.DUMMYFUNCTION("""COMPUTED_VALUE"""),"SAN MIGUEL II")</f>
        <v>SAN MIGUEL II</v>
      </c>
      <c r="O304" s="1" t="str">
        <f>IFERROR(__xludf.DUMMYFUNCTION("""COMPUTED_VALUE"""),"SILANG")</f>
        <v>SILANG</v>
      </c>
      <c r="P304" s="1" t="str">
        <f>IFERROR(__xludf.DUMMYFUNCTION("""COMPUTED_VALUE"""),"CAVITE")</f>
        <v>CAVITE</v>
      </c>
      <c r="Q304" s="1" t="str">
        <f>IFERROR(__xludf.DUMMYFUNCTION("""COMPUTED_VALUE"""),"PREPAID 999")</f>
        <v>PREPAID 999</v>
      </c>
      <c r="R304" s="1" t="str">
        <f>IFERROR(__xludf.DUMMYFUNCTION("""COMPUTED_VALUE"""),"APPROVED")</f>
        <v>APPROVED</v>
      </c>
      <c r="S304" s="1"/>
      <c r="T304" s="1"/>
      <c r="U304" s="1"/>
      <c r="V304" s="1"/>
      <c r="W304" s="1"/>
    </row>
    <row r="305" customHeight="1" spans="1:23">
      <c r="A305" s="3">
        <f>IFERROR(__xludf.DUMMYFUNCTION("""COMPUTED_VALUE"""),46053)</f>
        <v>46053</v>
      </c>
      <c r="B305" s="1" t="str">
        <f>IFERROR(__xludf.DUMMYFUNCTION("""COMPUTED_VALUE"""),"CONCEPCION, ALJAY")</f>
        <v>CONCEPCION, ALJAY</v>
      </c>
      <c r="C305" s="1" t="str">
        <f>IFERROR(__xludf.DUMMYFUNCTION("""COMPUTED_VALUE"""),"ORGANIC")</f>
        <v>ORGANIC</v>
      </c>
      <c r="D305" s="1" t="str">
        <f>IFERROR(__xludf.DUMMYFUNCTION("""COMPUTED_VALUE"""),"ILANO MARK")</f>
        <v>ILANO MARK</v>
      </c>
      <c r="E305" s="1" t="str">
        <f>IFERROR(__xludf.DUMMYFUNCTION("""COMPUTED_VALUE"""),"PLDT")</f>
        <v>PLDT</v>
      </c>
      <c r="F305" s="1">
        <f>IFERROR(__xludf.DUMMYFUNCTION("""COMPUTED_VALUE"""),2306643034)</f>
        <v>2306643034</v>
      </c>
      <c r="G305" s="1"/>
      <c r="H305" s="1" t="str">
        <f>IFERROR(__xludf.DUMMYFUNCTION("""COMPUTED_VALUE"""),"9452902469")</f>
        <v>9452902469</v>
      </c>
      <c r="I305" s="1">
        <f>IFERROR(__xludf.DUMMYFUNCTION("""COMPUTED_VALUE"""),9543126311)</f>
        <v>9543126311</v>
      </c>
      <c r="J305" s="1"/>
      <c r="K305" s="1" t="str">
        <f>IFERROR(__xludf.DUMMYFUNCTION("""COMPUTED_VALUE"""),"BLK 11 LOT 9")</f>
        <v>BLK 11 LOT 9</v>
      </c>
      <c r="L305" s="1" t="str">
        <f>IFERROR(__xludf.DUMMYFUNCTION("""COMPUTED_VALUE"""),"HIROSHIMA ST")</f>
        <v>HIROSHIMA ST</v>
      </c>
      <c r="M305" s="1" t="str">
        <f>IFERROR(__xludf.DUMMYFUNCTION("""COMPUTED_VALUE"""),"MANDARA HOMES")</f>
        <v>MANDARA HOMES</v>
      </c>
      <c r="N305" s="1" t="str">
        <f>IFERROR(__xludf.DUMMYFUNCTION("""COMPUTED_VALUE"""),"TARTARIA")</f>
        <v>TARTARIA</v>
      </c>
      <c r="O305" s="1" t="str">
        <f>IFERROR(__xludf.DUMMYFUNCTION("""COMPUTED_VALUE"""),"SILANG")</f>
        <v>SILANG</v>
      </c>
      <c r="P305" s="1" t="str">
        <f>IFERROR(__xludf.DUMMYFUNCTION("""COMPUTED_VALUE"""),"CAVITE")</f>
        <v>CAVITE</v>
      </c>
      <c r="Q305" s="1" t="str">
        <f>IFERROR(__xludf.DUMMYFUNCTION("""COMPUTED_VALUE"""),"FIBR PLAN 1399")</f>
        <v>FIBR PLAN 1399</v>
      </c>
      <c r="R305" s="1" t="str">
        <f>IFERROR(__xludf.DUMMYFUNCTION("""COMPUTED_VALUE"""),"APPROVED")</f>
        <v>APPROVED</v>
      </c>
      <c r="S305" s="1"/>
      <c r="T305" s="1"/>
      <c r="U305" s="1"/>
      <c r="V305" s="1"/>
      <c r="W305" s="1"/>
    </row>
    <row r="306" customHeight="1" spans="1:23">
      <c r="A306" s="3">
        <f>IFERROR(__xludf.DUMMYFUNCTION("""COMPUTED_VALUE"""),46053)</f>
        <v>46053</v>
      </c>
      <c r="B306" s="1" t="str">
        <f>IFERROR(__xludf.DUMMYFUNCTION("""COMPUTED_VALUE"""),"ILANO, MARK")</f>
        <v>ILANO, MARK</v>
      </c>
      <c r="C306" s="1" t="str">
        <f>IFERROR(__xludf.DUMMYFUNCTION("""COMPUTED_VALUE"""),"FLA")</f>
        <v>FLA</v>
      </c>
      <c r="D306" s="1" t="str">
        <f>IFERROR(__xludf.DUMMYFUNCTION("""COMPUTED_VALUE"""),"JERIC NAVARRO")</f>
        <v>JERIC NAVARRO</v>
      </c>
      <c r="E306" s="1" t="str">
        <f>IFERROR(__xludf.DUMMYFUNCTION("""COMPUTED_VALUE"""),"RED FIBER")</f>
        <v>RED FIBER</v>
      </c>
      <c r="F306" s="1"/>
      <c r="G306" s="1"/>
      <c r="H306" s="1" t="str">
        <f>IFERROR(__xludf.DUMMYFUNCTION("""COMPUTED_VALUE"""),"9173045478")</f>
        <v>9173045478</v>
      </c>
      <c r="I306" s="1"/>
      <c r="J306" s="1"/>
      <c r="K306" s="1" t="str">
        <f>IFERROR(__xludf.DUMMYFUNCTION("""COMPUTED_VALUE"""),"BLK 27 LOT 13")</f>
        <v>BLK 27 LOT 13</v>
      </c>
      <c r="L306" s="1" t="str">
        <f>IFERROR(__xludf.DUMMYFUNCTION("""COMPUTED_VALUE"""),"PHASE 1")</f>
        <v>PHASE 1</v>
      </c>
      <c r="M306" s="1" t="str">
        <f>IFERROR(__xludf.DUMMYFUNCTION("""COMPUTED_VALUE"""),"TERRAVERDE RESIDENCES")</f>
        <v>TERRAVERDE RESIDENCES</v>
      </c>
      <c r="N306" s="1" t="str">
        <f>IFERROR(__xludf.DUMMYFUNCTION("""COMPUTED_VALUE"""),"BANCAL")</f>
        <v>BANCAL</v>
      </c>
      <c r="O306" s="1" t="str">
        <f>IFERROR(__xludf.DUMMYFUNCTION("""COMPUTED_VALUE"""),"CARMONA")</f>
        <v>CARMONA</v>
      </c>
      <c r="P306" s="1" t="str">
        <f>IFERROR(__xludf.DUMMYFUNCTION("""COMPUTED_VALUE"""),"CAVITE")</f>
        <v>CAVITE</v>
      </c>
      <c r="Q306" s="1" t="str">
        <f>IFERROR(__xludf.DUMMYFUNCTION("""COMPUTED_VALUE"""),"RED FIBER PLAN 1000")</f>
        <v>RED FIBER PLAN 1000</v>
      </c>
      <c r="R306" s="1" t="str">
        <f>IFERROR(__xludf.DUMMYFUNCTION("""COMPUTED_VALUE"""),"APPROVED")</f>
        <v>APPROVED</v>
      </c>
      <c r="S306" s="1"/>
      <c r="T306" s="1"/>
      <c r="U306" s="1"/>
      <c r="V306" s="1"/>
      <c r="W306" s="1"/>
    </row>
    <row r="307" customHeight="1" spans="1:23">
      <c r="A307" s="3">
        <f>IFERROR(__xludf.DUMMYFUNCTION("""COMPUTED_VALUE"""),46053)</f>
        <v>46053</v>
      </c>
      <c r="B307" s="1" t="str">
        <f>IFERROR(__xludf.DUMMYFUNCTION("""COMPUTED_VALUE"""),"OPS SIR BETZ")</f>
        <v>OPS SIR BETZ</v>
      </c>
      <c r="C307" s="1" t="str">
        <f>IFERROR(__xludf.DUMMYFUNCTION("""COMPUTED_VALUE"""),"FLA")</f>
        <v>FLA</v>
      </c>
      <c r="D307" s="1" t="str">
        <f>IFERROR(__xludf.DUMMYFUNCTION("""COMPUTED_VALUE"""),"JERIC NAVARRO")</f>
        <v>JERIC NAVARRO</v>
      </c>
      <c r="E307" s="1" t="str">
        <f>IFERROR(__xludf.DUMMYFUNCTION("""COMPUTED_VALUE"""),"PLDT")</f>
        <v>PLDT</v>
      </c>
      <c r="F307" s="1">
        <f>IFERROR(__xludf.DUMMYFUNCTION("""COMPUTED_VALUE"""),2306644028)</f>
        <v>2306644028</v>
      </c>
      <c r="G307" s="1"/>
      <c r="H307" s="1" t="str">
        <f>IFERROR(__xludf.DUMMYFUNCTION("""COMPUTED_VALUE"""),"9124374038")</f>
        <v>9124374038</v>
      </c>
      <c r="I307" s="1"/>
      <c r="J307" s="1"/>
      <c r="K307" s="1" t="str">
        <f>IFERROR(__xludf.DUMMYFUNCTION("""COMPUTED_VALUE"""),"3365")</f>
        <v>3365</v>
      </c>
      <c r="L307" s="1" t="str">
        <f>IFERROR(__xludf.DUMMYFUNCTION("""COMPUTED_VALUE"""),"BUCAL RD")</f>
        <v>BUCAL RD</v>
      </c>
      <c r="M307" s="1"/>
      <c r="N307" s="1" t="str">
        <f>IFERROR(__xludf.DUMMYFUNCTION("""COMPUTED_VALUE"""),"BUCAL II")</f>
        <v>BUCAL II</v>
      </c>
      <c r="O307" s="1" t="str">
        <f>IFERROR(__xludf.DUMMYFUNCTION("""COMPUTED_VALUE"""),"MARAGONDON")</f>
        <v>MARAGONDON</v>
      </c>
      <c r="P307" s="1" t="str">
        <f>IFERROR(__xludf.DUMMYFUNCTION("""COMPUTED_VALUE"""),"CAVITE")</f>
        <v>CAVITE</v>
      </c>
      <c r="Q307" s="1" t="str">
        <f>IFERROR(__xludf.DUMMYFUNCTION("""COMPUTED_VALUE"""),"FIBR PLAN 1299")</f>
        <v>FIBR PLAN 1299</v>
      </c>
      <c r="R307" s="1" t="str">
        <f>IFERROR(__xludf.DUMMYFUNCTION("""COMPUTED_VALUE"""),"APPROVED")</f>
        <v>APPROVED</v>
      </c>
      <c r="S307" s="1"/>
      <c r="T307" s="1"/>
      <c r="U307" s="1"/>
      <c r="V307" s="1"/>
      <c r="W307" s="1"/>
    </row>
    <row r="308" customHeight="1" spans="1:23">
      <c r="A308" s="3">
        <f>IFERROR(__xludf.DUMMYFUNCTION("""COMPUTED_VALUE"""),46054)</f>
        <v>46054</v>
      </c>
      <c r="B308" s="1" t="str">
        <f>IFERROR(__xludf.DUMMYFUNCTION("""COMPUTED_VALUE"""),"CARPIO, STEPHANIE NICOLE")</f>
        <v>CARPIO, STEPHANIE NICOLE</v>
      </c>
      <c r="C308" s="1" t="str">
        <f>IFERROR(__xludf.DUMMYFUNCTION("""COMPUTED_VALUE"""),"FLA")</f>
        <v>FLA</v>
      </c>
      <c r="D308" s="1" t="str">
        <f>IFERROR(__xludf.DUMMYFUNCTION("""COMPUTED_VALUE"""),"JERIC NAVARRO")</f>
        <v>JERIC NAVARRO</v>
      </c>
      <c r="E308" s="1" t="str">
        <f>IFERROR(__xludf.DUMMYFUNCTION("""COMPUTED_VALUE"""),"PLDT")</f>
        <v>PLDT</v>
      </c>
      <c r="F308" s="1">
        <f>IFERROR(__xludf.DUMMYFUNCTION("""COMPUTED_VALUE"""),2306657558)</f>
        <v>2306657558</v>
      </c>
      <c r="G308" s="1"/>
      <c r="H308" s="1" t="str">
        <f>IFERROR(__xludf.DUMMYFUNCTION("""COMPUTED_VALUE"""),"MELVIN ORTEGA LLAVE")</f>
        <v>MELVIN ORTEGA LLAVE</v>
      </c>
      <c r="I308" s="1">
        <f>IFERROR(__xludf.DUMMYFUNCTION("""COMPUTED_VALUE"""),9669380108)</f>
        <v>9669380108</v>
      </c>
      <c r="J308" s="1"/>
      <c r="K308" s="1" t="str">
        <f>IFERROR(__xludf.DUMMYFUNCTION("""COMPUTED_VALUE"""),"GVORTEGA6201@GMAIL.COM")</f>
        <v>GVORTEGA6201@GMAIL.COM</v>
      </c>
      <c r="L308" s="1" t="str">
        <f>IFERROR(__xludf.DUMMYFUNCTION("""COMPUTED_VALUE"""),"BLK 5B LOT 32")</f>
        <v>BLK 5B LOT 32</v>
      </c>
      <c r="M308" s="1" t="str">
        <f>IFERROR(__xludf.DUMMYFUNCTION("""COMPUTED_VALUE"""),"PHASE ")</f>
        <v>PHASE </v>
      </c>
      <c r="N308" s="1" t="str">
        <f>IFERROR(__xludf.DUMMYFUNCTION("""COMPUTED_VALUE"""),"HOLIDAY HOMES")</f>
        <v>HOLIDAY HOMES</v>
      </c>
      <c r="O308" s="1"/>
      <c r="P308" s="1"/>
      <c r="Q308" s="1" t="str">
        <f>IFERROR(__xludf.DUMMYFUNCTION("""COMPUTED_VALUE"""),"BICLATAN")</f>
        <v>BICLATAN</v>
      </c>
      <c r="R308" s="1" t="str">
        <f>IFERROR(__xludf.DUMMYFUNCTION("""COMPUTED_VALUE"""),"GENERAL TRIAS")</f>
        <v>GENERAL TRIAS</v>
      </c>
      <c r="S308" s="1" t="str">
        <f>IFERROR(__xludf.DUMMYFUNCTION("""COMPUTED_VALUE"""),"FIBR PLAN 1399")</f>
        <v>FIBR PLAN 1399</v>
      </c>
      <c r="T308" s="1" t="str">
        <f>IFERROR(__xludf.DUMMYFUNCTION("""COMPUTED_VALUE"""),"APPROVED")</f>
        <v>APPROVED</v>
      </c>
      <c r="U308" s="1"/>
      <c r="V308" s="1"/>
      <c r="W308" s="1"/>
    </row>
    <row r="309" customHeight="1" spans="1:23">
      <c r="A309" s="3">
        <f>IFERROR(__xludf.DUMMYFUNCTION("""COMPUTED_VALUE"""),46054)</f>
        <v>46054</v>
      </c>
      <c r="B309" s="1" t="str">
        <f>IFERROR(__xludf.DUMMYFUNCTION("""COMPUTED_VALUE"""),"ALOS, CHARLS LAURENZ")</f>
        <v>ALOS, CHARLS LAURENZ</v>
      </c>
      <c r="C309" s="1" t="str">
        <f>IFERROR(__xludf.DUMMYFUNCTION("""COMPUTED_VALUE"""),"ORGANIC")</f>
        <v>ORGANIC</v>
      </c>
      <c r="D309" s="1" t="str">
        <f>IFERROR(__xludf.DUMMYFUNCTION("""COMPUTED_VALUE"""),"REMOLLO LEA")</f>
        <v>REMOLLO LEA</v>
      </c>
      <c r="E309" s="1" t="str">
        <f>IFERROR(__xludf.DUMMYFUNCTION("""COMPUTED_VALUE"""),"RED FIBER")</f>
        <v>RED FIBER</v>
      </c>
      <c r="F309" s="1"/>
      <c r="G309" s="1"/>
      <c r="H309" s="1" t="str">
        <f>IFERROR(__xludf.DUMMYFUNCTION("""COMPUTED_VALUE"""),"NATHANIEL ROSS CAS GATPANDAN")</f>
        <v>NATHANIEL ROSS CAS GATPANDAN</v>
      </c>
      <c r="I309" s="1">
        <f>IFERROR(__xludf.DUMMYFUNCTION("""COMPUTED_VALUE"""),9216953531)</f>
        <v>9216953531</v>
      </c>
      <c r="J309" s="1"/>
      <c r="K309" s="1" t="str">
        <f>IFERROR(__xludf.DUMMYFUNCTION("""COMPUTED_VALUE"""),"ROQUESEANDAVID@GMAIL.COM")</f>
        <v>ROQUESEANDAVID@GMAIL.COM</v>
      </c>
      <c r="L309" s="1" t="str">
        <f>IFERROR(__xludf.DUMMYFUNCTION("""COMPUTED_VALUE"""),"1853")</f>
        <v>1853</v>
      </c>
      <c r="M309" s="1" t="str">
        <f>IFERROR(__xludf.DUMMYFUNCTION("""COMPUTED_VALUE"""),"JOSE RIZAL")</f>
        <v>JOSE RIZAL</v>
      </c>
      <c r="N309" s="1"/>
      <c r="O309" s="1"/>
      <c r="P309" s="1"/>
      <c r="Q309" s="1" t="str">
        <f>IFERROR(__xludf.DUMMYFUNCTION("""COMPUTED_VALUE"""),"ASIS III")</f>
        <v>ASIS III</v>
      </c>
      <c r="R309" s="1" t="str">
        <f>IFERROR(__xludf.DUMMYFUNCTION("""COMPUTED_VALUE"""),"MENDEZ")</f>
        <v>MENDEZ</v>
      </c>
      <c r="S309" s="1" t="str">
        <f>IFERROR(__xludf.DUMMYFUNCTION("""COMPUTED_VALUE"""),"RED FIBER PLAN 1400")</f>
        <v>RED FIBER PLAN 1400</v>
      </c>
      <c r="T309" s="1" t="str">
        <f>IFERROR(__xludf.DUMMYFUNCTION("""COMPUTED_VALUE"""),"APPROVED")</f>
        <v>APPROVED</v>
      </c>
      <c r="U309" s="1"/>
      <c r="V309" s="1"/>
      <c r="W309" s="1"/>
    </row>
    <row r="310" customHeight="1" spans="1:23">
      <c r="A310" s="3">
        <f>IFERROR(__xludf.DUMMYFUNCTION("""COMPUTED_VALUE"""),46054)</f>
        <v>46054</v>
      </c>
      <c r="B310" s="1" t="str">
        <f>IFERROR(__xludf.DUMMYFUNCTION("""COMPUTED_VALUE"""),"DE VERA, MARIVIC")</f>
        <v>DE VERA, MARIVIC</v>
      </c>
      <c r="C310" s="1" t="str">
        <f>IFERROR(__xludf.DUMMYFUNCTION("""COMPUTED_VALUE"""),"ORGANIC")</f>
        <v>ORGANIC</v>
      </c>
      <c r="D310" s="1" t="str">
        <f>IFERROR(__xludf.DUMMYFUNCTION("""COMPUTED_VALUE"""),"REMOLLO LEA")</f>
        <v>REMOLLO LEA</v>
      </c>
      <c r="E310" s="1" t="str">
        <f>IFERROR(__xludf.DUMMYFUNCTION("""COMPUTED_VALUE"""),"RED FIBER")</f>
        <v>RED FIBER</v>
      </c>
      <c r="F310" s="1"/>
      <c r="G310" s="1"/>
      <c r="H310" s="1" t="str">
        <f>IFERROR(__xludf.DUMMYFUNCTION("""COMPUTED_VALUE"""),"DELFIN PEREY GAMBOA JR")</f>
        <v>DELFIN PEREY GAMBOA JR</v>
      </c>
      <c r="I310" s="1">
        <f>IFERROR(__xludf.DUMMYFUNCTION("""COMPUTED_VALUE"""),9097317511)</f>
        <v>9097317511</v>
      </c>
      <c r="J310" s="1"/>
      <c r="K310" s="1" t="str">
        <f>IFERROR(__xludf.DUMMYFUNCTION("""COMPUTED_VALUE"""),"DELFINJUNIOR25@GMAIL.COM")</f>
        <v>DELFINJUNIOR25@GMAIL.COM</v>
      </c>
      <c r="L310" s="1" t="str">
        <f>IFERROR(__xludf.DUMMYFUNCTION("""COMPUTED_VALUE"""),"149")</f>
        <v>149</v>
      </c>
      <c r="M310" s="1" t="str">
        <f>IFERROR(__xludf.DUMMYFUNCTION("""COMPUTED_VALUE"""),"MUZON RD")</f>
        <v>MUZON RD</v>
      </c>
      <c r="N310" s="1"/>
      <c r="O310" s="1"/>
      <c r="P310" s="1"/>
      <c r="Q310" s="1" t="str">
        <f>IFERROR(__xludf.DUMMYFUNCTION("""COMPUTED_VALUE"""),"ASIS I")</f>
        <v>ASIS I</v>
      </c>
      <c r="R310" s="1" t="str">
        <f>IFERROR(__xludf.DUMMYFUNCTION("""COMPUTED_VALUE"""),"MENDEZ")</f>
        <v>MENDEZ</v>
      </c>
      <c r="S310" s="1" t="str">
        <f>IFERROR(__xludf.DUMMYFUNCTION("""COMPUTED_VALUE"""),"RED FIBER PLAN 1000")</f>
        <v>RED FIBER PLAN 1000</v>
      </c>
      <c r="T310" s="1" t="str">
        <f>IFERROR(__xludf.DUMMYFUNCTION("""COMPUTED_VALUE"""),"APPROVED")</f>
        <v>APPROVED</v>
      </c>
      <c r="U310" s="1"/>
      <c r="V310" s="1"/>
      <c r="W310" s="1"/>
    </row>
    <row r="311" customHeight="1" spans="1:23">
      <c r="A311" s="3">
        <f>IFERROR(__xludf.DUMMYFUNCTION("""COMPUTED_VALUE"""),46054)</f>
        <v>46054</v>
      </c>
      <c r="B311" s="1" t="str">
        <f>IFERROR(__xludf.DUMMYFUNCTION("""COMPUTED_VALUE"""),"FARO, REFRANTA")</f>
        <v>FARO, REFRANTA</v>
      </c>
      <c r="C311" s="1" t="str">
        <f>IFERROR(__xludf.DUMMYFUNCTION("""COMPUTED_VALUE"""),"ORGANIC")</f>
        <v>ORGANIC</v>
      </c>
      <c r="D311" s="1" t="str">
        <f>IFERROR(__xludf.DUMMYFUNCTION("""COMPUTED_VALUE"""),"ILANO MARK")</f>
        <v>ILANO MARK</v>
      </c>
      <c r="E311" s="1" t="str">
        <f>IFERROR(__xludf.DUMMYFUNCTION("""COMPUTED_VALUE"""),"PLDT")</f>
        <v>PLDT</v>
      </c>
      <c r="F311" s="1">
        <f>IFERROR(__xludf.DUMMYFUNCTION("""COMPUTED_VALUE"""),2306699486)</f>
        <v>2306699486</v>
      </c>
      <c r="G311" s="1"/>
      <c r="H311" s="1" t="str">
        <f>IFERROR(__xludf.DUMMYFUNCTION("""COMPUTED_VALUE"""),"ALISSA DELA TORRE ASIS")</f>
        <v>ALISSA DELA TORRE ASIS</v>
      </c>
      <c r="I311" s="1">
        <f>IFERROR(__xludf.DUMMYFUNCTION("""COMPUTED_VALUE"""),9459617160)</f>
        <v>9459617160</v>
      </c>
      <c r="J311" s="1">
        <f>IFERROR(__xludf.DUMMYFUNCTION("""COMPUTED_VALUE"""),9633578196)</f>
        <v>9633578196</v>
      </c>
      <c r="K311" s="1" t="str">
        <f>IFERROR(__xludf.DUMMYFUNCTION("""COMPUTED_VALUE"""),"ALISSAASIS067@@GMAIL.COM")</f>
        <v>ALISSAASIS067@@GMAIL.COM</v>
      </c>
      <c r="L311" s="1" t="str">
        <f>IFERROR(__xludf.DUMMYFUNCTION("""COMPUTED_VALUE"""),"420A")</f>
        <v>420A</v>
      </c>
      <c r="M311" s="1" t="str">
        <f>IFERROR(__xludf.DUMMYFUNCTION("""COMPUTED_VALUE"""),"MENDOZA ST")</f>
        <v>MENDOZA ST</v>
      </c>
      <c r="N311" s="1"/>
      <c r="O311" s="1"/>
      <c r="P311" s="1"/>
      <c r="Q311" s="1" t="str">
        <f>IFERROR(__xludf.DUMMYFUNCTION("""COMPUTED_VALUE"""),"GALICIA III")</f>
        <v>GALICIA III</v>
      </c>
      <c r="R311" s="1" t="str">
        <f>IFERROR(__xludf.DUMMYFUNCTION("""COMPUTED_VALUE"""),"MENDEZ")</f>
        <v>MENDEZ</v>
      </c>
      <c r="S311" s="1" t="str">
        <f>IFERROR(__xludf.DUMMYFUNCTION("""COMPUTED_VALUE"""),"FIBR PLAN 1599")</f>
        <v>FIBR PLAN 1599</v>
      </c>
      <c r="T311" s="1" t="str">
        <f>IFERROR(__xludf.DUMMYFUNCTION("""COMPUTED_VALUE"""),"APPROVED")</f>
        <v>APPROVED</v>
      </c>
      <c r="U311" s="1"/>
      <c r="V311" s="1"/>
      <c r="W311" s="1"/>
    </row>
    <row r="312" customHeight="1" spans="1:23">
      <c r="A312" s="3">
        <f>IFERROR(__xludf.DUMMYFUNCTION("""COMPUTED_VALUE"""),46054)</f>
        <v>46054</v>
      </c>
      <c r="B312" s="1" t="str">
        <f>IFERROR(__xludf.DUMMYFUNCTION("""COMPUTED_VALUE"""),"MALIWAT MARK ELVIN")</f>
        <v>MALIWAT MARK ELVIN</v>
      </c>
      <c r="C312" s="1" t="str">
        <f>IFERROR(__xludf.DUMMYFUNCTION("""COMPUTED_VALUE"""),"FLA")</f>
        <v>FLA</v>
      </c>
      <c r="D312" s="1" t="str">
        <f>IFERROR(__xludf.DUMMYFUNCTION("""COMPUTED_VALUE"""),"JERIC NAVARRO")</f>
        <v>JERIC NAVARRO</v>
      </c>
      <c r="E312" s="1" t="str">
        <f>IFERROR(__xludf.DUMMYFUNCTION("""COMPUTED_VALUE"""),"PLDT")</f>
        <v>PLDT</v>
      </c>
      <c r="F312" s="1">
        <f>IFERROR(__xludf.DUMMYFUNCTION("""COMPUTED_VALUE"""),2306659575)</f>
        <v>2306659575</v>
      </c>
      <c r="G312" s="1"/>
      <c r="H312" s="1" t="str">
        <f>IFERROR(__xludf.DUMMYFUNCTION("""COMPUTED_VALUE"""),"RONALDO VELA LEOSALA")</f>
        <v>RONALDO VELA LEOSALA</v>
      </c>
      <c r="I312" s="1">
        <f>IFERROR(__xludf.DUMMYFUNCTION("""COMPUTED_VALUE"""),9178919161)</f>
        <v>9178919161</v>
      </c>
      <c r="J312" s="1">
        <f>IFERROR(__xludf.DUMMYFUNCTION("""COMPUTED_VALUE"""),9178061068)</f>
        <v>9178061068</v>
      </c>
      <c r="K312" s="1" t="str">
        <f>IFERROR(__xludf.DUMMYFUNCTION("""COMPUTED_VALUE"""),"LANZYLEOSALA@GMAIL.COM")</f>
        <v>LANZYLEOSALA@GMAIL.COM</v>
      </c>
      <c r="L312" s="1" t="str">
        <f>IFERROR(__xludf.DUMMYFUNCTION("""COMPUTED_VALUE"""),"BLK 1 LOT 75")</f>
        <v>BLK 1 LOT 75</v>
      </c>
      <c r="M312" s="1" t="str">
        <f>IFERROR(__xludf.DUMMYFUNCTION("""COMPUTED_VALUE"""),"PHASE 1")</f>
        <v>PHASE 1</v>
      </c>
      <c r="N312" s="1" t="str">
        <f>IFERROR(__xludf.DUMMYFUNCTION("""COMPUTED_VALUE"""),"GREENGATE HOMES")</f>
        <v>GREENGATE HOMES</v>
      </c>
      <c r="O312" s="1"/>
      <c r="P312" s="1"/>
      <c r="Q312" s="1" t="str">
        <f>IFERROR(__xludf.DUMMYFUNCTION("""COMPUTED_VALUE"""),"MALAGASANG II-A")</f>
        <v>MALAGASANG II-A</v>
      </c>
      <c r="R312" s="1" t="str">
        <f>IFERROR(__xludf.DUMMYFUNCTION("""COMPUTED_VALUE"""),"IMUS")</f>
        <v>IMUS</v>
      </c>
      <c r="S312" s="1" t="str">
        <f>IFERROR(__xludf.DUMMYFUNCTION("""COMPUTED_VALUE"""),"FIBR PLAN 2499")</f>
        <v>FIBR PLAN 2499</v>
      </c>
      <c r="T312" s="1" t="str">
        <f>IFERROR(__xludf.DUMMYFUNCTION("""COMPUTED_VALUE"""),"APPROVED")</f>
        <v>APPROVED</v>
      </c>
      <c r="U312" s="1"/>
      <c r="V312" s="1"/>
      <c r="W312" s="1"/>
    </row>
    <row r="313" customHeight="1" spans="1:23">
      <c r="A313" s="3">
        <f>IFERROR(__xludf.DUMMYFUNCTION("""COMPUTED_VALUE"""),46054)</f>
        <v>46054</v>
      </c>
      <c r="B313" s="1" t="str">
        <f>IFERROR(__xludf.DUMMYFUNCTION("""COMPUTED_VALUE"""),"ALOS, CHARLS LAURENZ")</f>
        <v>ALOS, CHARLS LAURENZ</v>
      </c>
      <c r="C313" s="1" t="str">
        <f>IFERROR(__xludf.DUMMYFUNCTION("""COMPUTED_VALUE"""),"ORGANIC")</f>
        <v>ORGANIC</v>
      </c>
      <c r="D313" s="1" t="str">
        <f>IFERROR(__xludf.DUMMYFUNCTION("""COMPUTED_VALUE"""),"REMOLLO LEA")</f>
        <v>REMOLLO LEA</v>
      </c>
      <c r="E313" s="1" t="str">
        <f>IFERROR(__xludf.DUMMYFUNCTION("""COMPUTED_VALUE"""),"PLDT")</f>
        <v>PLDT</v>
      </c>
      <c r="F313" s="1">
        <f>IFERROR(__xludf.DUMMYFUNCTION("""COMPUTED_VALUE"""),2306659273)</f>
        <v>2306659273</v>
      </c>
      <c r="G313" s="1"/>
      <c r="H313" s="1" t="str">
        <f>IFERROR(__xludf.DUMMYFUNCTION("""COMPUTED_VALUE"""),"GENTILES CENNITA DELA CRUZ")</f>
        <v>GENTILES CENNITA DELA CRUZ</v>
      </c>
      <c r="I313" s="1">
        <f>IFERROR(__xludf.DUMMYFUNCTION("""COMPUTED_VALUE"""),9102971491)</f>
        <v>9102971491</v>
      </c>
      <c r="J313" s="1"/>
      <c r="K313" s="1" t="str">
        <f>IFERROR(__xludf.DUMMYFUNCTION("""COMPUTED_VALUE"""),"GENTILESDELACRUZ44@GMAIL.COM")</f>
        <v>GENTILESDELACRUZ44@GMAIL.COM</v>
      </c>
      <c r="L313" s="1" t="str">
        <f>IFERROR(__xludf.DUMMYFUNCTION("""COMPUTED_VALUE"""),"116")</f>
        <v>116</v>
      </c>
      <c r="M313" s="1" t="str">
        <f>IFERROR(__xludf.DUMMYFUNCTION("""COMPUTED_VALUE"""),"BAYLA ST")</f>
        <v>BAYLA ST</v>
      </c>
      <c r="N313" s="1" t="str">
        <f>IFERROR(__xludf.DUMMYFUNCTION("""COMPUTED_VALUE"""),"PUROK 5")</f>
        <v>PUROK 5</v>
      </c>
      <c r="O313" s="1"/>
      <c r="P313" s="1"/>
      <c r="Q313" s="1" t="str">
        <f>IFERROR(__xludf.DUMMYFUNCTION("""COMPUTED_VALUE"""),"LUMIL")</f>
        <v>LUMIL</v>
      </c>
      <c r="R313" s="1" t="str">
        <f>IFERROR(__xludf.DUMMYFUNCTION("""COMPUTED_VALUE"""),"SILANG")</f>
        <v>SILANG</v>
      </c>
      <c r="S313" s="1" t="str">
        <f>IFERROR(__xludf.DUMMYFUNCTION("""COMPUTED_VALUE"""),"FIBR PLAN 1299")</f>
        <v>FIBR PLAN 1299</v>
      </c>
      <c r="T313" s="1" t="str">
        <f>IFERROR(__xludf.DUMMYFUNCTION("""COMPUTED_VALUE"""),"APPROVED")</f>
        <v>APPROVED</v>
      </c>
      <c r="U313" s="1"/>
      <c r="V313" s="1"/>
      <c r="W313" s="1"/>
    </row>
    <row r="314" customHeight="1" spans="1:23">
      <c r="A314" s="3">
        <f>IFERROR(__xludf.DUMMYFUNCTION("""COMPUTED_VALUE"""),46054)</f>
        <v>46054</v>
      </c>
      <c r="B314" s="1" t="str">
        <f>IFERROR(__xludf.DUMMYFUNCTION("""COMPUTED_VALUE"""),"MALIWAT MARK ELVIN")</f>
        <v>MALIWAT MARK ELVIN</v>
      </c>
      <c r="C314" s="1" t="str">
        <f>IFERROR(__xludf.DUMMYFUNCTION("""COMPUTED_VALUE"""),"FLA")</f>
        <v>FLA</v>
      </c>
      <c r="D314" s="1" t="str">
        <f>IFERROR(__xludf.DUMMYFUNCTION("""COMPUTED_VALUE"""),"JERIC NAVARRO")</f>
        <v>JERIC NAVARRO</v>
      </c>
      <c r="E314" s="1" t="str">
        <f>IFERROR(__xludf.DUMMYFUNCTION("""COMPUTED_VALUE"""),"PLDT")</f>
        <v>PLDT</v>
      </c>
      <c r="F314" s="1">
        <f>IFERROR(__xludf.DUMMYFUNCTION("""COMPUTED_VALUE"""),2306663096)</f>
        <v>2306663096</v>
      </c>
      <c r="G314" s="1"/>
      <c r="H314" s="1" t="str">
        <f>IFERROR(__xludf.DUMMYFUNCTION("""COMPUTED_VALUE"""),"MIRA TRIPON KIKUCHI")</f>
        <v>MIRA TRIPON KIKUCHI</v>
      </c>
      <c r="I314" s="1">
        <f>IFERROR(__xludf.DUMMYFUNCTION("""COMPUTED_VALUE"""),9559766751)</f>
        <v>9559766751</v>
      </c>
      <c r="J314" s="1"/>
      <c r="K314" s="1" t="str">
        <f>IFERROR(__xludf.DUMMYFUNCTION("""COMPUTED_VALUE"""),"DUMPACC70311@GMAIL.COM")</f>
        <v>DUMPACC70311@GMAIL.COM</v>
      </c>
      <c r="L314" s="1" t="str">
        <f>IFERROR(__xludf.DUMMYFUNCTION("""COMPUTED_VALUE"""),"BLK 17 LOT 32")</f>
        <v>BLK 17 LOT 32</v>
      </c>
      <c r="M314" s="1" t="str">
        <f>IFERROR(__xludf.DUMMYFUNCTION("""COMPUTED_VALUE"""),"DOVE ST")</f>
        <v>DOVE ST</v>
      </c>
      <c r="N314" s="1" t="str">
        <f>IFERROR(__xludf.DUMMYFUNCTION("""COMPUTED_VALUE"""),"SOUTHCREST")</f>
        <v>SOUTHCREST</v>
      </c>
      <c r="O314" s="1"/>
      <c r="P314" s="1"/>
      <c r="Q314" s="1" t="str">
        <f>IFERROR(__xludf.DUMMYFUNCTION("""COMPUTED_VALUE"""),"SAN AGUSTIN II")</f>
        <v>SAN AGUSTIN II</v>
      </c>
      <c r="R314" s="1" t="str">
        <f>IFERROR(__xludf.DUMMYFUNCTION("""COMPUTED_VALUE"""),"DASMARINAS")</f>
        <v>DASMARINAS</v>
      </c>
      <c r="S314" s="1" t="str">
        <f>IFERROR(__xludf.DUMMYFUNCTION("""COMPUTED_VALUE"""),"FIBR PLAN 1399")</f>
        <v>FIBR PLAN 1399</v>
      </c>
      <c r="T314" s="1" t="str">
        <f>IFERROR(__xludf.DUMMYFUNCTION("""COMPUTED_VALUE"""),"APPROVED")</f>
        <v>APPROVED</v>
      </c>
      <c r="U314" s="1"/>
      <c r="V314" s="1"/>
      <c r="W314" s="1"/>
    </row>
    <row r="315" customHeight="1" spans="1:23">
      <c r="A315" s="3">
        <f>IFERROR(__xludf.DUMMYFUNCTION("""COMPUTED_VALUE"""),46055)</f>
        <v>46055</v>
      </c>
      <c r="B315" s="1" t="str">
        <f>IFERROR(__xludf.DUMMYFUNCTION("""COMPUTED_VALUE"""),"FRANCISCO , ROSELYN")</f>
        <v>FRANCISCO , ROSELYN</v>
      </c>
      <c r="C315" s="1" t="str">
        <f>IFERROR(__xludf.DUMMYFUNCTION("""COMPUTED_VALUE"""),"FLA")</f>
        <v>FLA</v>
      </c>
      <c r="D315" s="1" t="str">
        <f>IFERROR(__xludf.DUMMYFUNCTION("""COMPUTED_VALUE"""),"JERIC NAVARRO")</f>
        <v>JERIC NAVARRO</v>
      </c>
      <c r="E315" s="1" t="str">
        <f>IFERROR(__xludf.DUMMYFUNCTION("""COMPUTED_VALUE"""),"PLDT")</f>
        <v>PLDT</v>
      </c>
      <c r="F315" s="1">
        <f>IFERROR(__xludf.DUMMYFUNCTION("""COMPUTED_VALUE"""),2306676472)</f>
        <v>2306676472</v>
      </c>
      <c r="G315" s="1"/>
      <c r="H315" s="1" t="str">
        <f>IFERROR(__xludf.DUMMYFUNCTION("""COMPUTED_VALUE"""),"CHERYL EVANGELISTA SAW")</f>
        <v>CHERYL EVANGELISTA SAW</v>
      </c>
      <c r="I315" s="1">
        <f>IFERROR(__xludf.DUMMYFUNCTION("""COMPUTED_VALUE"""),9982088702)</f>
        <v>9982088702</v>
      </c>
      <c r="J315" s="1">
        <f>IFERROR(__xludf.DUMMYFUNCTION("""COMPUTED_VALUE"""),9214602529)</f>
        <v>9214602529</v>
      </c>
      <c r="K315" s="1" t="str">
        <f>IFERROR(__xludf.DUMMYFUNCTION("""COMPUTED_VALUE"""),"CHESAW9279@GMAIL.COM")</f>
        <v>CHESAW9279@GMAIL.COM</v>
      </c>
      <c r="L315" s="1" t="str">
        <f>IFERROR(__xludf.DUMMYFUNCTION("""COMPUTED_VALUE"""),"BLK 19 LOT 21")</f>
        <v>BLK 19 LOT 21</v>
      </c>
      <c r="M315" s="1" t="str">
        <f>IFERROR(__xludf.DUMMYFUNCTION("""COMPUTED_VALUE"""),"PHASE 1")</f>
        <v>PHASE 1</v>
      </c>
      <c r="N315" s="1" t="str">
        <f>IFERROR(__xludf.DUMMYFUNCTION("""COMPUTED_VALUE"""),"CERRITOS HEIGHTS")</f>
        <v>CERRITOS HEIGHTS</v>
      </c>
      <c r="O315" s="1"/>
      <c r="P315" s="1"/>
      <c r="Q315" s="1" t="str">
        <f>IFERROR(__xludf.DUMMYFUNCTION("""COMPUTED_VALUE"""),"MOLINO V")</f>
        <v>MOLINO V</v>
      </c>
      <c r="R315" s="1" t="str">
        <f>IFERROR(__xludf.DUMMYFUNCTION("""COMPUTED_VALUE"""),"BACOOR")</f>
        <v>BACOOR</v>
      </c>
      <c r="S315" s="1" t="str">
        <f>IFERROR(__xludf.DUMMYFUNCTION("""COMPUTED_VALUE"""),"FIBR PLAN 2099")</f>
        <v>FIBR PLAN 2099</v>
      </c>
      <c r="T315" s="1" t="str">
        <f>IFERROR(__xludf.DUMMYFUNCTION("""COMPUTED_VALUE"""),"APPROVED")</f>
        <v>APPROVED</v>
      </c>
      <c r="U315" s="1"/>
      <c r="V315" s="1"/>
      <c r="W315" s="1"/>
    </row>
    <row r="316" customHeight="1" spans="1:23">
      <c r="A316" s="3">
        <f>IFERROR(__xludf.DUMMYFUNCTION("""COMPUTED_VALUE"""),46055)</f>
        <v>46055</v>
      </c>
      <c r="B316" s="1" t="str">
        <f>IFERROR(__xludf.DUMMYFUNCTION("""COMPUTED_VALUE"""),"RJAB JAZZ")</f>
        <v>RJAB JAZZ</v>
      </c>
      <c r="C316" s="1" t="str">
        <f>IFERROR(__xludf.DUMMYFUNCTION("""COMPUTED_VALUE"""),"FLA")</f>
        <v>FLA</v>
      </c>
      <c r="D316" s="1" t="str">
        <f>IFERROR(__xludf.DUMMYFUNCTION("""COMPUTED_VALUE"""),"JERIC NAVARRO")</f>
        <v>JERIC NAVARRO</v>
      </c>
      <c r="E316" s="1" t="str">
        <f>IFERROR(__xludf.DUMMYFUNCTION("""COMPUTED_VALUE"""),"PLDT")</f>
        <v>PLDT</v>
      </c>
      <c r="F316" s="1">
        <f>IFERROR(__xludf.DUMMYFUNCTION("""COMPUTED_VALUE"""),2306670178)</f>
        <v>2306670178</v>
      </c>
      <c r="G316" s="1"/>
      <c r="H316" s="1" t="str">
        <f>IFERROR(__xludf.DUMMYFUNCTION("""COMPUTED_VALUE"""),"CEDRICK FERRER JOVEN")</f>
        <v>CEDRICK FERRER JOVEN</v>
      </c>
      <c r="I316" s="1">
        <f>IFERROR(__xludf.DUMMYFUNCTION("""COMPUTED_VALUE"""),9950873472)</f>
        <v>9950873472</v>
      </c>
      <c r="J316" s="1">
        <f>IFERROR(__xludf.DUMMYFUNCTION("""COMPUTED_VALUE"""),9675624273)</f>
        <v>9675624273</v>
      </c>
      <c r="K316" s="1" t="str">
        <f>IFERROR(__xludf.DUMMYFUNCTION("""COMPUTED_VALUE"""),"CHEDRICK.JOVEN.GE2020@GMAIL.COM")</f>
        <v>CHEDRICK.JOVEN.GE2020@GMAIL.COM</v>
      </c>
      <c r="L316" s="1" t="str">
        <f>IFERROR(__xludf.DUMMYFUNCTION("""COMPUTED_VALUE"""),"209")</f>
        <v>209</v>
      </c>
      <c r="M316" s="1" t="str">
        <f>IFERROR(__xludf.DUMMYFUNCTION("""COMPUTED_VALUE"""),"DAMAYAN")</f>
        <v>DAMAYAN</v>
      </c>
      <c r="N316" s="1"/>
      <c r="O316" s="1"/>
      <c r="P316" s="1"/>
      <c r="Q316" s="1" t="str">
        <f>IFERROR(__xludf.DUMMYFUNCTION("""COMPUTED_VALUE"""),"NAVARRO")</f>
        <v>NAVARRO</v>
      </c>
      <c r="R316" s="1" t="str">
        <f>IFERROR(__xludf.DUMMYFUNCTION("""COMPUTED_VALUE"""),"GENERAL TRIAS")</f>
        <v>GENERAL TRIAS</v>
      </c>
      <c r="S316" s="1" t="str">
        <f>IFERROR(__xludf.DUMMYFUNCTION("""COMPUTED_VALUE"""),"FIBR PLAN 1399")</f>
        <v>FIBR PLAN 1399</v>
      </c>
      <c r="T316" s="1" t="str">
        <f>IFERROR(__xludf.DUMMYFUNCTION("""COMPUTED_VALUE"""),"APPROVED")</f>
        <v>APPROVED</v>
      </c>
      <c r="U316" s="1"/>
      <c r="V316" s="1"/>
      <c r="W316" s="1"/>
    </row>
    <row r="317" customHeight="1" spans="1:23">
      <c r="A317" s="3">
        <f>IFERROR(__xludf.DUMMYFUNCTION("""COMPUTED_VALUE"""),46055)</f>
        <v>46055</v>
      </c>
      <c r="B317" s="1" t="str">
        <f>IFERROR(__xludf.DUMMYFUNCTION("""COMPUTED_VALUE"""),"NAVARRO, JERIC")</f>
        <v>NAVARRO, JERIC</v>
      </c>
      <c r="C317" s="1" t="str">
        <f>IFERROR(__xludf.DUMMYFUNCTION("""COMPUTED_VALUE"""),"FLA")</f>
        <v>FLA</v>
      </c>
      <c r="D317" s="1" t="str">
        <f>IFERROR(__xludf.DUMMYFUNCTION("""COMPUTED_VALUE"""),"JERIC NAVARRO")</f>
        <v>JERIC NAVARRO</v>
      </c>
      <c r="E317" s="1" t="str">
        <f>IFERROR(__xludf.DUMMYFUNCTION("""COMPUTED_VALUE"""),"PLDT")</f>
        <v>PLDT</v>
      </c>
      <c r="F317" s="1">
        <f>IFERROR(__xludf.DUMMYFUNCTION("""COMPUTED_VALUE"""),2306672024)</f>
        <v>2306672024</v>
      </c>
      <c r="G317" s="1"/>
      <c r="H317" s="1" t="str">
        <f>IFERROR(__xludf.DUMMYFUNCTION("""COMPUTED_VALUE"""),"LYNETTE MANALASAN PENAREDONDA")</f>
        <v>LYNETTE MANALASAN PENAREDONDA</v>
      </c>
      <c r="I317" s="1">
        <f>IFERROR(__xludf.DUMMYFUNCTION("""COMPUTED_VALUE"""),9989712249)</f>
        <v>9989712249</v>
      </c>
      <c r="J317" s="1">
        <f>IFERROR(__xludf.DUMMYFUNCTION("""COMPUTED_VALUE"""),9164720083)</f>
        <v>9164720083</v>
      </c>
      <c r="K317" s="1" t="str">
        <f>IFERROR(__xludf.DUMMYFUNCTION("""COMPUTED_VALUE"""),"DJKVP072311@GMAIL.COM")</f>
        <v>DJKVP072311@GMAIL.COM</v>
      </c>
      <c r="L317" s="1" t="str">
        <f>IFERROR(__xludf.DUMMYFUNCTION("""COMPUTED_VALUE"""),"BLK 1 LOT 13")</f>
        <v>BLK 1 LOT 13</v>
      </c>
      <c r="M317" s="1" t="str">
        <f>IFERROR(__xludf.DUMMYFUNCTION("""COMPUTED_VALUE"""),"GRANET ST")</f>
        <v>GRANET ST</v>
      </c>
      <c r="N317" s="1" t="str">
        <f>IFERROR(__xludf.DUMMYFUNCTION("""COMPUTED_VALUE"""),"PHASE 2 CARRENVILLE")</f>
        <v>PHASE 2 CARRENVILLE</v>
      </c>
      <c r="O317" s="1"/>
      <c r="P317" s="1"/>
      <c r="Q317" s="1" t="str">
        <f>IFERROR(__xludf.DUMMYFUNCTION("""COMPUTED_VALUE"""),"MAGDALO (PUTOL)")</f>
        <v>MAGDALO (PUTOL)</v>
      </c>
      <c r="R317" s="1" t="str">
        <f>IFERROR(__xludf.DUMMYFUNCTION("""COMPUTED_VALUE"""),"KAWIT")</f>
        <v>KAWIT</v>
      </c>
      <c r="S317" s="1" t="str">
        <f>IFERROR(__xludf.DUMMYFUNCTION("""COMPUTED_VALUE"""),"FIBR PLAN 1699")</f>
        <v>FIBR PLAN 1699</v>
      </c>
      <c r="T317" s="1" t="str">
        <f>IFERROR(__xludf.DUMMYFUNCTION("""COMPUTED_VALUE"""),"APPROVED")</f>
        <v>APPROVED</v>
      </c>
      <c r="U317" s="1"/>
      <c r="V317" s="1"/>
      <c r="W317" s="1"/>
    </row>
    <row r="318" customHeight="1" spans="1:23">
      <c r="A318" s="3">
        <f>IFERROR(__xludf.DUMMYFUNCTION("""COMPUTED_VALUE"""),46055)</f>
        <v>46055</v>
      </c>
      <c r="B318" s="1" t="str">
        <f>IFERROR(__xludf.DUMMYFUNCTION("""COMPUTED_VALUE"""),"ALINGARO, CINDY")</f>
        <v>ALINGARO, CINDY</v>
      </c>
      <c r="C318" s="1" t="str">
        <f>IFERROR(__xludf.DUMMYFUNCTION("""COMPUTED_VALUE"""),"FLA")</f>
        <v>FLA</v>
      </c>
      <c r="D318" s="1" t="str">
        <f>IFERROR(__xludf.DUMMYFUNCTION("""COMPUTED_VALUE"""),"JERIC NAVARRO")</f>
        <v>JERIC NAVARRO</v>
      </c>
      <c r="E318" s="1" t="str">
        <f>IFERROR(__xludf.DUMMYFUNCTION("""COMPUTED_VALUE"""),"PLDT")</f>
        <v>PLDT</v>
      </c>
      <c r="F318" s="1">
        <f>IFERROR(__xludf.DUMMYFUNCTION("""COMPUTED_VALUE"""),2306671364)</f>
        <v>2306671364</v>
      </c>
      <c r="G318" s="1"/>
      <c r="H318" s="1" t="str">
        <f>IFERROR(__xludf.DUMMYFUNCTION("""COMPUTED_VALUE"""),"MARRY GRACE SIBONGA ANATA")</f>
        <v>MARRY GRACE SIBONGA ANATA</v>
      </c>
      <c r="I318" s="1">
        <f>IFERROR(__xludf.DUMMYFUNCTION("""COMPUTED_VALUE"""),9637172098)</f>
        <v>9637172098</v>
      </c>
      <c r="J318" s="1">
        <f>IFERROR(__xludf.DUMMYFUNCTION("""COMPUTED_VALUE"""),9245692358)</f>
        <v>9245692358</v>
      </c>
      <c r="K318" s="1" t="str">
        <f>IFERROR(__xludf.DUMMYFUNCTION("""COMPUTED_VALUE"""),"MARRYGRACEANATA1989@GMAIL.COM")</f>
        <v>MARRYGRACEANATA1989@GMAIL.COM</v>
      </c>
      <c r="L318" s="1" t="str">
        <f>IFERROR(__xludf.DUMMYFUNCTION("""COMPUTED_VALUE"""),"192")</f>
        <v>192</v>
      </c>
      <c r="M318" s="1" t="str">
        <f>IFERROR(__xludf.DUMMYFUNCTION("""COMPUTED_VALUE"""),"DINGLAS ST")</f>
        <v>DINGLAS ST</v>
      </c>
      <c r="N318" s="1"/>
      <c r="O318" s="1"/>
      <c r="P318" s="1"/>
      <c r="Q318" s="1" t="str">
        <f>IFERROR(__xludf.DUMMYFUNCTION("""COMPUTED_VALUE"""),"SAN JOSE")</f>
        <v>SAN JOSE</v>
      </c>
      <c r="R318" s="1" t="str">
        <f>IFERROR(__xludf.DUMMYFUNCTION("""COMPUTED_VALUE"""),"TERNATE")</f>
        <v>TERNATE</v>
      </c>
      <c r="S318" s="1" t="str">
        <f>IFERROR(__xludf.DUMMYFUNCTION("""COMPUTED_VALUE"""),"FIBR PLAN 1299")</f>
        <v>FIBR PLAN 1299</v>
      </c>
      <c r="T318" s="1" t="str">
        <f>IFERROR(__xludf.DUMMYFUNCTION("""COMPUTED_VALUE"""),"APPROVED")</f>
        <v>APPROVED</v>
      </c>
      <c r="U318" s="1"/>
      <c r="V318" s="1"/>
      <c r="W318" s="1"/>
    </row>
    <row r="319" customHeight="1" spans="1:23">
      <c r="A319" s="3">
        <f>IFERROR(__xludf.DUMMYFUNCTION("""COMPUTED_VALUE"""),46055)</f>
        <v>46055</v>
      </c>
      <c r="B319" s="1" t="str">
        <f>IFERROR(__xludf.DUMMYFUNCTION("""COMPUTED_VALUE"""),"MALIWAT MARK ELVIN")</f>
        <v>MALIWAT MARK ELVIN</v>
      </c>
      <c r="C319" s="1" t="str">
        <f>IFERROR(__xludf.DUMMYFUNCTION("""COMPUTED_VALUE"""),"FLA")</f>
        <v>FLA</v>
      </c>
      <c r="D319" s="1" t="str">
        <f>IFERROR(__xludf.DUMMYFUNCTION("""COMPUTED_VALUE"""),"JERIC NAVARRO")</f>
        <v>JERIC NAVARRO</v>
      </c>
      <c r="E319" s="1" t="str">
        <f>IFERROR(__xludf.DUMMYFUNCTION("""COMPUTED_VALUE"""),"PLDT")</f>
        <v>PLDT</v>
      </c>
      <c r="F319" s="1">
        <f>IFERROR(__xludf.DUMMYFUNCTION("""COMPUTED_VALUE"""),2306672996)</f>
        <v>2306672996</v>
      </c>
      <c r="G319" s="1"/>
      <c r="H319" s="1" t="str">
        <f>IFERROR(__xludf.DUMMYFUNCTION("""COMPUTED_VALUE"""),"FRANCISCO GULAPA")</f>
        <v>FRANCISCO GULAPA</v>
      </c>
      <c r="I319" s="1">
        <f>IFERROR(__xludf.DUMMYFUNCTION("""COMPUTED_VALUE"""),9319032627)</f>
        <v>9319032627</v>
      </c>
      <c r="J319" s="1">
        <f>IFERROR(__xludf.DUMMYFUNCTION("""COMPUTED_VALUE"""),9354566201)</f>
        <v>9354566201</v>
      </c>
      <c r="K319" s="1" t="str">
        <f>IFERROR(__xludf.DUMMYFUNCTION("""COMPUTED_VALUE"""),"FRANCISCOTONI155@GMAIL.COM")</f>
        <v>FRANCISCOTONI155@GMAIL.COM</v>
      </c>
      <c r="L319" s="1" t="str">
        <f>IFERROR(__xludf.DUMMYFUNCTION("""COMPUTED_VALUE"""),"86")</f>
        <v>86</v>
      </c>
      <c r="M319" s="1" t="str">
        <f>IFERROR(__xludf.DUMMYFUNCTION("""COMPUTED_VALUE"""),"PRINZA")</f>
        <v>PRINZA</v>
      </c>
      <c r="N319" s="1"/>
      <c r="O319" s="1"/>
      <c r="P319" s="1"/>
      <c r="Q319" s="1" t="str">
        <f>IFERROR(__xludf.DUMMYFUNCTION("""COMPUTED_VALUE"""),"BUENAVISTA III")</f>
        <v>BUENAVISTA III</v>
      </c>
      <c r="R319" s="1" t="str">
        <f>IFERROR(__xludf.DUMMYFUNCTION("""COMPUTED_VALUE"""),"GENERAL TRIAS")</f>
        <v>GENERAL TRIAS</v>
      </c>
      <c r="S319" s="1" t="str">
        <f>IFERROR(__xludf.DUMMYFUNCTION("""COMPUTED_VALUE"""),"FIBR PLAN 1399")</f>
        <v>FIBR PLAN 1399</v>
      </c>
      <c r="T319" s="1" t="str">
        <f>IFERROR(__xludf.DUMMYFUNCTION("""COMPUTED_VALUE"""),"APPROVED")</f>
        <v>APPROVED</v>
      </c>
      <c r="U319" s="1"/>
      <c r="V319" s="1"/>
      <c r="W319" s="1"/>
    </row>
    <row r="320" customHeight="1" spans="1:23">
      <c r="A320" s="3">
        <f>IFERROR(__xludf.DUMMYFUNCTION("""COMPUTED_VALUE"""),46055)</f>
        <v>46055</v>
      </c>
      <c r="B320" s="1" t="str">
        <f>IFERROR(__xludf.DUMMYFUNCTION("""COMPUTED_VALUE"""),"CARPIO, STEPHANIE NICOLE")</f>
        <v>CARPIO, STEPHANIE NICOLE</v>
      </c>
      <c r="C320" s="1" t="str">
        <f>IFERROR(__xludf.DUMMYFUNCTION("""COMPUTED_VALUE"""),"FLA")</f>
        <v>FLA</v>
      </c>
      <c r="D320" s="1" t="str">
        <f>IFERROR(__xludf.DUMMYFUNCTION("""COMPUTED_VALUE"""),"JERIC NAVARRO")</f>
        <v>JERIC NAVARRO</v>
      </c>
      <c r="E320" s="1" t="str">
        <f>IFERROR(__xludf.DUMMYFUNCTION("""COMPUTED_VALUE"""),"PLDT")</f>
        <v>PLDT</v>
      </c>
      <c r="F320" s="1">
        <f>IFERROR(__xludf.DUMMYFUNCTION("""COMPUTED_VALUE"""),2306673167)</f>
        <v>2306673167</v>
      </c>
      <c r="G320" s="1"/>
      <c r="H320" s="1" t="str">
        <f>IFERROR(__xludf.DUMMYFUNCTION("""COMPUTED_VALUE"""),"MARK CHRISTIAN QUIJANO")</f>
        <v>MARK CHRISTIAN QUIJANO</v>
      </c>
      <c r="I320" s="1">
        <f>IFERROR(__xludf.DUMMYFUNCTION("""COMPUTED_VALUE"""),9465995484)</f>
        <v>9465995484</v>
      </c>
      <c r="J320" s="1"/>
      <c r="K320" s="1" t="str">
        <f>IFERROR(__xludf.DUMMYFUNCTION("""COMPUTED_VALUE"""),"SENPAIQUIJANO@GMAIL.COM")</f>
        <v>SENPAIQUIJANO@GMAIL.COM</v>
      </c>
      <c r="L320" s="1" t="str">
        <f>IFERROR(__xludf.DUMMYFUNCTION("""COMPUTED_VALUE"""),"BLK 9 LOT 17")</f>
        <v>BLK 9 LOT 17</v>
      </c>
      <c r="M320" s="1" t="str">
        <f>IFERROR(__xludf.DUMMYFUNCTION("""COMPUTED_VALUE"""),"PHASE 1")</f>
        <v>PHASE 1</v>
      </c>
      <c r="N320" s="1" t="str">
        <f>IFERROR(__xludf.DUMMYFUNCTION("""COMPUTED_VALUE"""),"LUMINA HOMES ")</f>
        <v>LUMINA HOMES </v>
      </c>
      <c r="O320" s="1"/>
      <c r="P320" s="1"/>
      <c r="Q320" s="1" t="str">
        <f>IFERROR(__xludf.DUMMYFUNCTION("""COMPUTED_VALUE"""),"SANTIAGO")</f>
        <v>SANTIAGO</v>
      </c>
      <c r="R320" s="1" t="str">
        <f>IFERROR(__xludf.DUMMYFUNCTION("""COMPUTED_VALUE"""),"GENERAL TRIAS")</f>
        <v>GENERAL TRIAS</v>
      </c>
      <c r="S320" s="1" t="str">
        <f>IFERROR(__xludf.DUMMYFUNCTION("""COMPUTED_VALUE"""),"FIBR PLAN 1399")</f>
        <v>FIBR PLAN 1399</v>
      </c>
      <c r="T320" s="1" t="str">
        <f>IFERROR(__xludf.DUMMYFUNCTION("""COMPUTED_VALUE"""),"APPROVED")</f>
        <v>APPROVED</v>
      </c>
      <c r="U320" s="1"/>
      <c r="V320" s="1"/>
      <c r="W320" s="1"/>
    </row>
    <row r="321" customHeight="1" spans="1:23">
      <c r="A321" s="3">
        <f>IFERROR(__xludf.DUMMYFUNCTION("""COMPUTED_VALUE"""),46055)</f>
        <v>46055</v>
      </c>
      <c r="B321" s="1" t="str">
        <f>IFERROR(__xludf.DUMMYFUNCTION("""COMPUTED_VALUE"""),"CARPIO, STEPHANIE NICOLE")</f>
        <v>CARPIO, STEPHANIE NICOLE</v>
      </c>
      <c r="C321" s="1" t="str">
        <f>IFERROR(__xludf.DUMMYFUNCTION("""COMPUTED_VALUE"""),"FLA")</f>
        <v>FLA</v>
      </c>
      <c r="D321" s="1" t="str">
        <f>IFERROR(__xludf.DUMMYFUNCTION("""COMPUTED_VALUE"""),"JERIC NAVARRO")</f>
        <v>JERIC NAVARRO</v>
      </c>
      <c r="E321" s="1" t="str">
        <f>IFERROR(__xludf.DUMMYFUNCTION("""COMPUTED_VALUE"""),"PLDT")</f>
        <v>PLDT</v>
      </c>
      <c r="F321" s="1">
        <f>IFERROR(__xludf.DUMMYFUNCTION("""COMPUTED_VALUE"""),2306673874)</f>
        <v>2306673874</v>
      </c>
      <c r="G321" s="1"/>
      <c r="H321" s="1" t="str">
        <f>IFERROR(__xludf.DUMMYFUNCTION("""COMPUTED_VALUE"""),"RAMIRO ROJAS PARA")</f>
        <v>RAMIRO ROJAS PARA</v>
      </c>
      <c r="I321" s="1">
        <f>IFERROR(__xludf.DUMMYFUNCTION("""COMPUTED_VALUE"""),9478957970)</f>
        <v>9478957970</v>
      </c>
      <c r="J321" s="1">
        <f>IFERROR(__xludf.DUMMYFUNCTION("""COMPUTED_VALUE"""),464772102)</f>
        <v>464772102</v>
      </c>
      <c r="K321" s="1" t="str">
        <f>IFERROR(__xludf.DUMMYFUNCTION("""COMPUTED_VALUE"""),"EONSPORTCAFE@GMAIL.COM")</f>
        <v>EONSPORTCAFE@GMAIL.COM</v>
      </c>
      <c r="L321" s="1" t="str">
        <f>IFERROR(__xludf.DUMMYFUNCTION("""COMPUTED_VALUE"""),"127")</f>
        <v>127</v>
      </c>
      <c r="M321" s="1" t="str">
        <f>IFERROR(__xludf.DUMMYFUNCTION("""COMPUTED_VALUE"""),"PATERNO ST")</f>
        <v>PATERNO ST</v>
      </c>
      <c r="N321" s="1"/>
      <c r="O321" s="1"/>
      <c r="P321" s="1"/>
      <c r="Q321" s="1" t="str">
        <f>IFERROR(__xludf.DUMMYFUNCTION("""COMPUTED_VALUE"""),"BARANGAY 41 (ROSAL)")</f>
        <v>BARANGAY 41 (ROSAL)</v>
      </c>
      <c r="R321" s="1" t="str">
        <f>IFERROR(__xludf.DUMMYFUNCTION("""COMPUTED_VALUE"""),"CAVITE CITY")</f>
        <v>CAVITE CITY</v>
      </c>
      <c r="S321" s="1" t="str">
        <f>IFERROR(__xludf.DUMMYFUNCTION("""COMPUTED_VALUE"""),"FIBR PLAN 1699")</f>
        <v>FIBR PLAN 1699</v>
      </c>
      <c r="T321" s="1" t="str">
        <f>IFERROR(__xludf.DUMMYFUNCTION("""COMPUTED_VALUE"""),"APPROVED")</f>
        <v>APPROVED</v>
      </c>
      <c r="U321" s="1"/>
      <c r="V321" s="1"/>
      <c r="W321" s="1"/>
    </row>
    <row r="322" customHeight="1" spans="1:23">
      <c r="A322" s="3">
        <f>IFERROR(__xludf.DUMMYFUNCTION("""COMPUTED_VALUE"""),46055)</f>
        <v>46055</v>
      </c>
      <c r="B322" s="1" t="str">
        <f>IFERROR(__xludf.DUMMYFUNCTION("""COMPUTED_VALUE"""),"DE VERA, MARIVIC")</f>
        <v>DE VERA, MARIVIC</v>
      </c>
      <c r="C322" s="1" t="str">
        <f>IFERROR(__xludf.DUMMYFUNCTION("""COMPUTED_VALUE"""),"ORGANIC")</f>
        <v>ORGANIC</v>
      </c>
      <c r="D322" s="1" t="str">
        <f>IFERROR(__xludf.DUMMYFUNCTION("""COMPUTED_VALUE"""),"REMOLLO LEA")</f>
        <v>REMOLLO LEA</v>
      </c>
      <c r="E322" s="1" t="str">
        <f>IFERROR(__xludf.DUMMYFUNCTION("""COMPUTED_VALUE"""),"PLDT")</f>
        <v>PLDT</v>
      </c>
      <c r="F322" s="1">
        <f>IFERROR(__xludf.DUMMYFUNCTION("""COMPUTED_VALUE"""),2306675391)</f>
        <v>2306675391</v>
      </c>
      <c r="G322" s="1"/>
      <c r="H322" s="1" t="str">
        <f>IFERROR(__xludf.DUMMYFUNCTION("""COMPUTED_VALUE"""),"AGUINALDO LOYOLA AGUILAR")</f>
        <v>AGUINALDO LOYOLA AGUILAR</v>
      </c>
      <c r="I322" s="1">
        <f>IFERROR(__xludf.DUMMYFUNCTION("""COMPUTED_VALUE"""),9358032668)</f>
        <v>9358032668</v>
      </c>
      <c r="J322" s="1">
        <f>IFERROR(__xludf.DUMMYFUNCTION("""COMPUTED_VALUE"""),9948346422)</f>
        <v>9948346422</v>
      </c>
      <c r="K322" s="1" t="str">
        <f>IFERROR(__xludf.DUMMYFUNCTION("""COMPUTED_VALUE"""),"AGUILARARCHIE120945@GAIL.COM")</f>
        <v>AGUILARARCHIE120945@GAIL.COM</v>
      </c>
      <c r="L322" s="1" t="str">
        <f>IFERROR(__xludf.DUMMYFUNCTION("""COMPUTED_VALUE"""),"343")</f>
        <v>343</v>
      </c>
      <c r="M322" s="1" t="str">
        <f>IFERROR(__xludf.DUMMYFUNCTION("""COMPUTED_VALUE"""),"BANAY BANAY RD")</f>
        <v>BANAY BANAY RD</v>
      </c>
      <c r="N322" s="1"/>
      <c r="O322" s="1"/>
      <c r="P322" s="1"/>
      <c r="Q322" s="1" t="str">
        <f>IFERROR(__xludf.DUMMYFUNCTION("""COMPUTED_VALUE"""),"LITLIT")</f>
        <v>LITLIT</v>
      </c>
      <c r="R322" s="1" t="str">
        <f>IFERROR(__xludf.DUMMYFUNCTION("""COMPUTED_VALUE"""),"SILANG")</f>
        <v>SILANG</v>
      </c>
      <c r="S322" s="1" t="str">
        <f>IFERROR(__xludf.DUMMYFUNCTION("""COMPUTED_VALUE"""),"PREPAID 999")</f>
        <v>PREPAID 999</v>
      </c>
      <c r="T322" s="1" t="str">
        <f>IFERROR(__xludf.DUMMYFUNCTION("""COMPUTED_VALUE"""),"APPROVED")</f>
        <v>APPROVED</v>
      </c>
      <c r="U322" s="1"/>
      <c r="V322" s="1"/>
      <c r="W322" s="1"/>
    </row>
    <row r="323" customHeight="1" spans="1:23">
      <c r="A323" s="3">
        <f>IFERROR(__xludf.DUMMYFUNCTION("""COMPUTED_VALUE"""),46055)</f>
        <v>46055</v>
      </c>
      <c r="B323" s="1" t="str">
        <f>IFERROR(__xludf.DUMMYFUNCTION("""COMPUTED_VALUE"""),"MALIWAT MARK ELVIN")</f>
        <v>MALIWAT MARK ELVIN</v>
      </c>
      <c r="C323" s="1" t="str">
        <f>IFERROR(__xludf.DUMMYFUNCTION("""COMPUTED_VALUE"""),"FLA")</f>
        <v>FLA</v>
      </c>
      <c r="D323" s="1" t="str">
        <f>IFERROR(__xludf.DUMMYFUNCTION("""COMPUTED_VALUE"""),"JERIC NAVARRO")</f>
        <v>JERIC NAVARRO</v>
      </c>
      <c r="E323" s="1" t="str">
        <f>IFERROR(__xludf.DUMMYFUNCTION("""COMPUTED_VALUE"""),"PLDT")</f>
        <v>PLDT</v>
      </c>
      <c r="F323" s="1">
        <f>IFERROR(__xludf.DUMMYFUNCTION("""COMPUTED_VALUE"""),2306677456)</f>
        <v>2306677456</v>
      </c>
      <c r="G323" s="1"/>
      <c r="H323" s="1" t="str">
        <f>IFERROR(__xludf.DUMMYFUNCTION("""COMPUTED_VALUE"""),"CARLO MALADIONA FELIFE")</f>
        <v>CARLO MALADIONA FELIFE</v>
      </c>
      <c r="I323" s="1">
        <f>IFERROR(__xludf.DUMMYFUNCTION("""COMPUTED_VALUE"""),9776843040)</f>
        <v>9776843040</v>
      </c>
      <c r="J323" s="1">
        <f>IFERROR(__xludf.DUMMYFUNCTION("""COMPUTED_VALUE"""),9654313794)</f>
        <v>9654313794</v>
      </c>
      <c r="K323" s="1" t="str">
        <f>IFERROR(__xludf.DUMMYFUNCTION("""COMPUTED_VALUE"""),"BLOODLINEZ38@GMAIL.COM")</f>
        <v>BLOODLINEZ38@GMAIL.COM</v>
      </c>
      <c r="L323" s="1" t="str">
        <f>IFERROR(__xludf.DUMMYFUNCTION("""COMPUTED_VALUE"""),"BLK 25 LOT 1")</f>
        <v>BLK 25 LOT 1</v>
      </c>
      <c r="M323" s="1" t="str">
        <f>IFERROR(__xludf.DUMMYFUNCTION("""COMPUTED_VALUE"""),"EARTH ST")</f>
        <v>EARTH ST</v>
      </c>
      <c r="N323" s="1" t="str">
        <f>IFERROR(__xludf.DUMMYFUNCTION("""COMPUTED_VALUE"""),"CHRV")</f>
        <v>CHRV</v>
      </c>
      <c r="O323" s="1"/>
      <c r="P323" s="1"/>
      <c r="Q323" s="1" t="str">
        <f>IFERROR(__xludf.DUMMYFUNCTION("""COMPUTED_VALUE"""),"LANGKAAN II")</f>
        <v>LANGKAAN II</v>
      </c>
      <c r="R323" s="1" t="str">
        <f>IFERROR(__xludf.DUMMYFUNCTION("""COMPUTED_VALUE"""),"DASMARINAS")</f>
        <v>DASMARINAS</v>
      </c>
      <c r="S323" s="1" t="str">
        <f>IFERROR(__xludf.DUMMYFUNCTION("""COMPUTED_VALUE"""),"FIBR PLAN 1299")</f>
        <v>FIBR PLAN 1299</v>
      </c>
      <c r="T323" s="1" t="str">
        <f>IFERROR(__xludf.DUMMYFUNCTION("""COMPUTED_VALUE"""),"APPROVED")</f>
        <v>APPROVED</v>
      </c>
      <c r="U323" s="1"/>
      <c r="V323" s="1"/>
      <c r="W323" s="1"/>
    </row>
    <row r="324" customHeight="1" spans="1:23">
      <c r="A324" s="3">
        <f>IFERROR(__xludf.DUMMYFUNCTION("""COMPUTED_VALUE"""),46055)</f>
        <v>46055</v>
      </c>
      <c r="B324" s="1" t="str">
        <f>IFERROR(__xludf.DUMMYFUNCTION("""COMPUTED_VALUE"""),"FARO, REFRANTA")</f>
        <v>FARO, REFRANTA</v>
      </c>
      <c r="C324" s="1" t="str">
        <f>IFERROR(__xludf.DUMMYFUNCTION("""COMPUTED_VALUE"""),"ORGANIC")</f>
        <v>ORGANIC</v>
      </c>
      <c r="D324" s="1" t="str">
        <f>IFERROR(__xludf.DUMMYFUNCTION("""COMPUTED_VALUE"""),"ILANO MARK")</f>
        <v>ILANO MARK</v>
      </c>
      <c r="E324" s="1" t="str">
        <f>IFERROR(__xludf.DUMMYFUNCTION("""COMPUTED_VALUE"""),"PLDT")</f>
        <v>PLDT</v>
      </c>
      <c r="F324" s="1">
        <f>IFERROR(__xludf.DUMMYFUNCTION("""COMPUTED_VALUE"""),2306676011)</f>
        <v>2306676011</v>
      </c>
      <c r="G324" s="1"/>
      <c r="H324" s="1" t="str">
        <f>IFERROR(__xludf.DUMMYFUNCTION("""COMPUTED_VALUE"""),"ROBERT SARA DEL MUNDO ")</f>
        <v>ROBERT SARA DEL MUNDO </v>
      </c>
      <c r="I324" s="1">
        <f>IFERROR(__xludf.DUMMYFUNCTION("""COMPUTED_VALUE"""),9939146221)</f>
        <v>9939146221</v>
      </c>
      <c r="J324" s="1">
        <f>IFERROR(__xludf.DUMMYFUNCTION("""COMPUTED_VALUE"""),9976080525)</f>
        <v>9976080525</v>
      </c>
      <c r="K324" s="1" t="str">
        <f>IFERROR(__xludf.DUMMYFUNCTION("""COMPUTED_VALUE"""),"CHARISEACLAG@GMAIL.COM")</f>
        <v>CHARISEACLAG@GMAIL.COM</v>
      </c>
      <c r="L324" s="1" t="str">
        <f>IFERROR(__xludf.DUMMYFUNCTION("""COMPUTED_VALUE"""),"4")</f>
        <v>4</v>
      </c>
      <c r="M324" s="1" t="str">
        <f>IFERROR(__xludf.DUMMYFUNCTION("""COMPUTED_VALUE"""),"DAANG BATAS RD")</f>
        <v>DAANG BATAS RD</v>
      </c>
      <c r="N324" s="1"/>
      <c r="O324" s="1"/>
      <c r="P324" s="1"/>
      <c r="Q324" s="1" t="str">
        <f>IFERROR(__xludf.DUMMYFUNCTION("""COMPUTED_VALUE"""),"KALUBKOB")</f>
        <v>KALUBKOB</v>
      </c>
      <c r="R324" s="1" t="str">
        <f>IFERROR(__xludf.DUMMYFUNCTION("""COMPUTED_VALUE"""),"SILANG")</f>
        <v>SILANG</v>
      </c>
      <c r="S324" s="1" t="str">
        <f>IFERROR(__xludf.DUMMYFUNCTION("""COMPUTED_VALUE"""),"FIBR PLAN 1599")</f>
        <v>FIBR PLAN 1599</v>
      </c>
      <c r="T324" s="1" t="str">
        <f>IFERROR(__xludf.DUMMYFUNCTION("""COMPUTED_VALUE"""),"APPROVED")</f>
        <v>APPROVED</v>
      </c>
      <c r="U324" s="1"/>
      <c r="V324" s="1"/>
      <c r="W324" s="1"/>
    </row>
    <row r="325" customHeight="1" spans="1:23">
      <c r="A325" s="3">
        <f>IFERROR(__xludf.DUMMYFUNCTION("""COMPUTED_VALUE"""),46055)</f>
        <v>46055</v>
      </c>
      <c r="B325" s="1" t="str">
        <f>IFERROR(__xludf.DUMMYFUNCTION("""COMPUTED_VALUE"""),"ALINGARO, CINDY")</f>
        <v>ALINGARO, CINDY</v>
      </c>
      <c r="C325" s="1" t="str">
        <f>IFERROR(__xludf.DUMMYFUNCTION("""COMPUTED_VALUE"""),"FLA")</f>
        <v>FLA</v>
      </c>
      <c r="D325" s="1" t="str">
        <f>IFERROR(__xludf.DUMMYFUNCTION("""COMPUTED_VALUE"""),"JERIC NAVARRO")</f>
        <v>JERIC NAVARRO</v>
      </c>
      <c r="E325" s="1" t="str">
        <f>IFERROR(__xludf.DUMMYFUNCTION("""COMPUTED_VALUE"""),"PLDT")</f>
        <v>PLDT</v>
      </c>
      <c r="F325" s="1">
        <f>IFERROR(__xludf.DUMMYFUNCTION("""COMPUTED_VALUE"""),2306675833)</f>
        <v>2306675833</v>
      </c>
      <c r="G325" s="1"/>
      <c r="H325" s="1" t="str">
        <f>IFERROR(__xludf.DUMMYFUNCTION("""COMPUTED_VALUE"""),"JEAN SOGUILON CHAN")</f>
        <v>JEAN SOGUILON CHAN</v>
      </c>
      <c r="I325" s="1">
        <f>IFERROR(__xludf.DUMMYFUNCTION("""COMPUTED_VALUE"""),9226412213)</f>
        <v>9226412213</v>
      </c>
      <c r="J325" s="1">
        <f>IFERROR(__xludf.DUMMYFUNCTION("""COMPUTED_VALUE"""),9771965238)</f>
        <v>9771965238</v>
      </c>
      <c r="K325" s="1" t="str">
        <f>IFERROR(__xludf.DUMMYFUNCTION("""COMPUTED_VALUE"""),"CHANJEN208@GMAIL.COM")</f>
        <v>CHANJEN208@GMAIL.COM</v>
      </c>
      <c r="L325" s="1" t="str">
        <f>IFERROR(__xludf.DUMMYFUNCTION("""COMPUTED_VALUE"""),"6-A-1 BLK 18")</f>
        <v>6-A-1 BLK 18</v>
      </c>
      <c r="M325" s="1" t="str">
        <f>IFERROR(__xludf.DUMMYFUNCTION("""COMPUTED_VALUE"""),"GABRIEL HEIGHTS")</f>
        <v>GABRIEL HEIGHTS</v>
      </c>
      <c r="N325" s="1"/>
      <c r="O325" s="1"/>
      <c r="P325" s="1"/>
      <c r="Q325" s="1" t="str">
        <f>IFERROR(__xludf.DUMMYFUNCTION("""COMPUTED_VALUE"""),"PATUTONG MALAKI SOUTH")</f>
        <v>PATUTONG MALAKI SOUTH</v>
      </c>
      <c r="R325" s="1" t="str">
        <f>IFERROR(__xludf.DUMMYFUNCTION("""COMPUTED_VALUE"""),"TAGAYTAY")</f>
        <v>TAGAYTAY</v>
      </c>
      <c r="S325" s="1" t="str">
        <f>IFERROR(__xludf.DUMMYFUNCTION("""COMPUTED_VALUE"""),"FIBR PLAN 1799")</f>
        <v>FIBR PLAN 1799</v>
      </c>
      <c r="T325" s="1" t="str">
        <f>IFERROR(__xludf.DUMMYFUNCTION("""COMPUTED_VALUE"""),"APPROVED")</f>
        <v>APPROVED</v>
      </c>
      <c r="U325" s="1"/>
      <c r="V325" s="1"/>
      <c r="W325" s="1"/>
    </row>
    <row r="326" customHeight="1" spans="1:23">
      <c r="A326" s="3">
        <f>IFERROR(__xludf.DUMMYFUNCTION("""COMPUTED_VALUE"""),46055)</f>
        <v>46055</v>
      </c>
      <c r="B326" s="1" t="str">
        <f>IFERROR(__xludf.DUMMYFUNCTION("""COMPUTED_VALUE"""),"MIRASOL, RAYRALYN")</f>
        <v>MIRASOL, RAYRALYN</v>
      </c>
      <c r="C326" s="1" t="str">
        <f>IFERROR(__xludf.DUMMYFUNCTION("""COMPUTED_VALUE"""),"ORGANIC")</f>
        <v>ORGANIC</v>
      </c>
      <c r="D326" s="1" t="str">
        <f>IFERROR(__xludf.DUMMYFUNCTION("""COMPUTED_VALUE"""),"ILANO MARK")</f>
        <v>ILANO MARK</v>
      </c>
      <c r="E326" s="1" t="str">
        <f>IFERROR(__xludf.DUMMYFUNCTION("""COMPUTED_VALUE"""),"PLDT")</f>
        <v>PLDT</v>
      </c>
      <c r="F326" s="1">
        <f>IFERROR(__xludf.DUMMYFUNCTION("""COMPUTED_VALUE"""),2306678449)</f>
        <v>2306678449</v>
      </c>
      <c r="G326" s="1"/>
      <c r="H326" s="1" t="str">
        <f>IFERROR(__xludf.DUMMYFUNCTION("""COMPUTED_VALUE"""),"BERNARDO CAMPO MURILLO")</f>
        <v>BERNARDO CAMPO MURILLO</v>
      </c>
      <c r="I326" s="1">
        <f>IFERROR(__xludf.DUMMYFUNCTION("""COMPUTED_VALUE"""),9930536071)</f>
        <v>9930536071</v>
      </c>
      <c r="J326" s="1"/>
      <c r="K326" s="1" t="str">
        <f>IFERROR(__xludf.DUMMYFUNCTION("""COMPUTED_VALUE"""),"BALDONAZAJHILLIANRAIN@GMAIL.COM")</f>
        <v>BALDONAZAJHILLIANRAIN@GMAIL.COM</v>
      </c>
      <c r="L326" s="1" t="str">
        <f>IFERROR(__xludf.DUMMYFUNCTION("""COMPUTED_VALUE"""),"13986")</f>
        <v>13986</v>
      </c>
      <c r="M326" s="1" t="str">
        <f>IFERROR(__xludf.DUMMYFUNCTION("""COMPUTED_VALUE"""),"STRAWBERRY HILLS")</f>
        <v>STRAWBERRY HILLS</v>
      </c>
      <c r="N326" s="1"/>
      <c r="O326" s="1"/>
      <c r="P326" s="1"/>
      <c r="Q326" s="1" t="str">
        <f>IFERROR(__xludf.DUMMYFUNCTION("""COMPUTED_VALUE"""),"FRANCISCO REYES")</f>
        <v>FRANCISCO REYES</v>
      </c>
      <c r="R326" s="1" t="str">
        <f>IFERROR(__xludf.DUMMYFUNCTION("""COMPUTED_VALUE"""),"GENERAL TRIAS")</f>
        <v>GENERAL TRIAS</v>
      </c>
      <c r="S326" s="1" t="str">
        <f>IFERROR(__xludf.DUMMYFUNCTION("""COMPUTED_VALUE"""),"FIBR PLAN 1399")</f>
        <v>FIBR PLAN 1399</v>
      </c>
      <c r="T326" s="1" t="str">
        <f>IFERROR(__xludf.DUMMYFUNCTION("""COMPUTED_VALUE"""),"APPROVED")</f>
        <v>APPROVED</v>
      </c>
      <c r="U326" s="1"/>
      <c r="V326" s="1"/>
      <c r="W326" s="1"/>
    </row>
    <row r="327" customHeight="1" spans="1:23">
      <c r="A327" s="3">
        <f>IFERROR(__xludf.DUMMYFUNCTION("""COMPUTED_VALUE"""),46056)</f>
        <v>46056</v>
      </c>
      <c r="B327" s="1" t="str">
        <f>IFERROR(__xludf.DUMMYFUNCTION("""COMPUTED_VALUE"""),"MALIWAT MARK ELVIN")</f>
        <v>MALIWAT MARK ELVIN</v>
      </c>
      <c r="C327" s="1" t="str">
        <f>IFERROR(__xludf.DUMMYFUNCTION("""COMPUTED_VALUE"""),"FLA")</f>
        <v>FLA</v>
      </c>
      <c r="D327" s="1" t="str">
        <f>IFERROR(__xludf.DUMMYFUNCTION("""COMPUTED_VALUE"""),"JERIC NAVARRO")</f>
        <v>JERIC NAVARRO</v>
      </c>
      <c r="E327" s="1" t="str">
        <f>IFERROR(__xludf.DUMMYFUNCTION("""COMPUTED_VALUE"""),"PLDT")</f>
        <v>PLDT</v>
      </c>
      <c r="F327" s="1">
        <f>IFERROR(__xludf.DUMMYFUNCTION("""COMPUTED_VALUE"""),2306693137)</f>
        <v>2306693137</v>
      </c>
      <c r="G327" s="1"/>
      <c r="H327" s="1" t="str">
        <f>IFERROR(__xludf.DUMMYFUNCTION("""COMPUTED_VALUE"""),"ARGENTINA GIWAIN TAMBA")</f>
        <v>ARGENTINA GIWAIN TAMBA</v>
      </c>
      <c r="I327" s="1">
        <f>IFERROR(__xludf.DUMMYFUNCTION("""COMPUTED_VALUE"""),9265367032)</f>
        <v>9265367032</v>
      </c>
      <c r="J327" s="1">
        <f>IFERROR(__xludf.DUMMYFUNCTION("""COMPUTED_VALUE"""),9057932293)</f>
        <v>9057932293</v>
      </c>
      <c r="K327" s="1" t="str">
        <f>IFERROR(__xludf.DUMMYFUNCTION("""COMPUTED_VALUE"""),"DAVERONARIO7@GMAIL.COM")</f>
        <v>DAVERONARIO7@GMAIL.COM</v>
      </c>
      <c r="L327" s="1" t="str">
        <f>IFERROR(__xludf.DUMMYFUNCTION("""COMPUTED_VALUE"""),"193")</f>
        <v>193</v>
      </c>
      <c r="M327" s="1" t="str">
        <f>IFERROR(__xludf.DUMMYFUNCTION("""COMPUTED_VALUE"""),"PUROK 4")</f>
        <v>PUROK 4</v>
      </c>
      <c r="N327" s="1"/>
      <c r="O327" s="1"/>
      <c r="P327" s="1"/>
      <c r="Q327" s="1" t="str">
        <f>IFERROR(__xludf.DUMMYFUNCTION("""COMPUTED_VALUE"""),"SIKAT")</f>
        <v>SIKAT</v>
      </c>
      <c r="R327" s="1" t="str">
        <f>IFERROR(__xludf.DUMMYFUNCTION("""COMPUTED_VALUE"""),"ALFONSO")</f>
        <v>ALFONSO</v>
      </c>
      <c r="S327" s="1" t="str">
        <f>IFERROR(__xludf.DUMMYFUNCTION("""COMPUTED_VALUE"""),"FIBR PLAN 1399")</f>
        <v>FIBR PLAN 1399</v>
      </c>
      <c r="T327" s="1" t="str">
        <f>IFERROR(__xludf.DUMMYFUNCTION("""COMPUTED_VALUE"""),"APPROVED")</f>
        <v>APPROVED</v>
      </c>
      <c r="U327" s="1"/>
      <c r="V327" s="1"/>
      <c r="W327" s="1"/>
    </row>
    <row r="328" customHeight="1" spans="1:23">
      <c r="A328" s="3">
        <f>IFERROR(__xludf.DUMMYFUNCTION("""COMPUTED_VALUE"""),46056)</f>
        <v>46056</v>
      </c>
      <c r="B328" s="1" t="str">
        <f>IFERROR(__xludf.DUMMYFUNCTION("""COMPUTED_VALUE"""),"CESTINA, CHERRELYN")</f>
        <v>CESTINA, CHERRELYN</v>
      </c>
      <c r="C328" s="1" t="str">
        <f>IFERROR(__xludf.DUMMYFUNCTION("""COMPUTED_VALUE"""),"FLA")</f>
        <v>FLA</v>
      </c>
      <c r="D328" s="1" t="str">
        <f>IFERROR(__xludf.DUMMYFUNCTION("""COMPUTED_VALUE"""),"JERIC NAVARRO")</f>
        <v>JERIC NAVARRO</v>
      </c>
      <c r="E328" s="1" t="str">
        <f>IFERROR(__xludf.DUMMYFUNCTION("""COMPUTED_VALUE"""),"PLDT")</f>
        <v>PLDT</v>
      </c>
      <c r="F328" s="1">
        <f>IFERROR(__xludf.DUMMYFUNCTION("""COMPUTED_VALUE"""),2306694308)</f>
        <v>2306694308</v>
      </c>
      <c r="G328" s="1"/>
      <c r="H328" s="1" t="str">
        <f>IFERROR(__xludf.DUMMYFUNCTION("""COMPUTED_VALUE"""),"FREDERICK MANIT ESPINOSA")</f>
        <v>FREDERICK MANIT ESPINOSA</v>
      </c>
      <c r="I328" s="1">
        <f>IFERROR(__xludf.DUMMYFUNCTION("""COMPUTED_VALUE"""),9364850165)</f>
        <v>9364850165</v>
      </c>
      <c r="J328" s="1">
        <f>IFERROR(__xludf.DUMMYFUNCTION("""COMPUTED_VALUE"""),9628144593)</f>
        <v>9628144593</v>
      </c>
      <c r="K328" s="1" t="str">
        <f>IFERROR(__xludf.DUMMYFUNCTION("""COMPUTED_VALUE"""),"EJIERICK71@GMAIL.COM")</f>
        <v>EJIERICK71@GMAIL.COM</v>
      </c>
      <c r="L328" s="1" t="str">
        <f>IFERROR(__xludf.DUMMYFUNCTION("""COMPUTED_VALUE"""),"4")</f>
        <v>4</v>
      </c>
      <c r="M328" s="1" t="str">
        <f>IFERROR(__xludf.DUMMYFUNCTION("""COMPUTED_VALUE"""),"AGUILAR ST")</f>
        <v>AGUILAR ST</v>
      </c>
      <c r="N328" s="1"/>
      <c r="O328" s="1"/>
      <c r="P328" s="1"/>
      <c r="Q328" s="1" t="str">
        <f>IFERROR(__xludf.DUMMYFUNCTION("""COMPUTED_VALUE"""),"BATAS")</f>
        <v>BATAS</v>
      </c>
      <c r="R328" s="1" t="str">
        <f>IFERROR(__xludf.DUMMYFUNCTION("""COMPUTED_VALUE"""),"SILANG")</f>
        <v>SILANG</v>
      </c>
      <c r="S328" s="1" t="str">
        <f>IFERROR(__xludf.DUMMYFUNCTION("""COMPUTED_VALUE"""),"FIBR PLAN 1399")</f>
        <v>FIBR PLAN 1399</v>
      </c>
      <c r="T328" s="1" t="str">
        <f>IFERROR(__xludf.DUMMYFUNCTION("""COMPUTED_VALUE"""),"APPROVED")</f>
        <v>APPROVED</v>
      </c>
      <c r="U328" s="1"/>
      <c r="V328" s="1"/>
      <c r="W328" s="1"/>
    </row>
    <row r="329" customHeight="1" spans="1:23">
      <c r="A329" s="3">
        <f>IFERROR(__xludf.DUMMYFUNCTION("""COMPUTED_VALUE"""),46056)</f>
        <v>46056</v>
      </c>
      <c r="B329" s="1" t="str">
        <f>IFERROR(__xludf.DUMMYFUNCTION("""COMPUTED_VALUE"""),"IVNO, RAZZEL")</f>
        <v>IVNO, RAZZEL</v>
      </c>
      <c r="C329" s="1" t="str">
        <f>IFERROR(__xludf.DUMMYFUNCTION("""COMPUTED_VALUE"""),"ORGANIC")</f>
        <v>ORGANIC</v>
      </c>
      <c r="D329" s="1" t="str">
        <f>IFERROR(__xludf.DUMMYFUNCTION("""COMPUTED_VALUE"""),"REMOLLO LEA")</f>
        <v>REMOLLO LEA</v>
      </c>
      <c r="E329" s="1" t="str">
        <f>IFERROR(__xludf.DUMMYFUNCTION("""COMPUTED_VALUE"""),"PLDT")</f>
        <v>PLDT</v>
      </c>
      <c r="F329" s="1">
        <f>IFERROR(__xludf.DUMMYFUNCTION("""COMPUTED_VALUE"""),2306695655)</f>
        <v>2306695655</v>
      </c>
      <c r="G329" s="1"/>
      <c r="H329" s="1" t="str">
        <f>IFERROR(__xludf.DUMMYFUNCTION("""COMPUTED_VALUE"""),"LUISITO LAWAS SALDUA")</f>
        <v>LUISITO LAWAS SALDUA</v>
      </c>
      <c r="I329" s="1">
        <f>IFERROR(__xludf.DUMMYFUNCTION("""COMPUTED_VALUE"""),9552859882)</f>
        <v>9552859882</v>
      </c>
      <c r="J329" s="1"/>
      <c r="K329" s="1" t="str">
        <f>IFERROR(__xludf.DUMMYFUNCTION("""COMPUTED_VALUE"""),"LUISITOSALDUA9@GMAIL.COM")</f>
        <v>LUISITOSALDUA9@GMAIL.COM</v>
      </c>
      <c r="L329" s="1" t="str">
        <f>IFERROR(__xludf.DUMMYFUNCTION("""COMPUTED_VALUE"""),"BLK 16")</f>
        <v>BLK 16</v>
      </c>
      <c r="M329" s="1" t="str">
        <f>IFERROR(__xludf.DUMMYFUNCTION("""COMPUTED_VALUE"""),"EXCESS LOT")</f>
        <v>EXCESS LOT</v>
      </c>
      <c r="N329" s="1"/>
      <c r="O329" s="1"/>
      <c r="P329" s="1"/>
      <c r="Q329" s="1" t="str">
        <f>IFERROR(__xludf.DUMMYFUNCTION("""COMPUTED_VALUE"""),"BARANGAY 1 POBLACION (AREA I)")</f>
        <v>BARANGAY 1 POBLACION (AREA I)</v>
      </c>
      <c r="R329" s="1" t="str">
        <f>IFERROR(__xludf.DUMMYFUNCTION("""COMPUTED_VALUE"""),"GEN MARIANO ALVAREZ")</f>
        <v>GEN MARIANO ALVAREZ</v>
      </c>
      <c r="S329" s="1" t="str">
        <f>IFERROR(__xludf.DUMMYFUNCTION("""COMPUTED_VALUE"""),"FIBR PLAN 1399")</f>
        <v>FIBR PLAN 1399</v>
      </c>
      <c r="T329" s="1" t="str">
        <f>IFERROR(__xludf.DUMMYFUNCTION("""COMPUTED_VALUE"""),"APPROVED")</f>
        <v>APPROVED</v>
      </c>
      <c r="U329" s="1"/>
      <c r="V329" s="1"/>
      <c r="W329" s="1"/>
    </row>
    <row r="330" customHeight="1" spans="1:23">
      <c r="A330" s="3">
        <f>IFERROR(__xludf.DUMMYFUNCTION("""COMPUTED_VALUE"""),46056)</f>
        <v>46056</v>
      </c>
      <c r="B330" s="1" t="str">
        <f>IFERROR(__xludf.DUMMYFUNCTION("""COMPUTED_VALUE"""),"CARPIO, STEPHANIE NICOLE")</f>
        <v>CARPIO, STEPHANIE NICOLE</v>
      </c>
      <c r="C330" s="1" t="str">
        <f>IFERROR(__xludf.DUMMYFUNCTION("""COMPUTED_VALUE"""),"FLA")</f>
        <v>FLA</v>
      </c>
      <c r="D330" s="1" t="str">
        <f>IFERROR(__xludf.DUMMYFUNCTION("""COMPUTED_VALUE"""),"JERIC NAVARRO")</f>
        <v>JERIC NAVARRO</v>
      </c>
      <c r="E330" s="1" t="str">
        <f>IFERROR(__xludf.DUMMYFUNCTION("""COMPUTED_VALUE"""),"PLDT")</f>
        <v>PLDT</v>
      </c>
      <c r="F330" s="1">
        <f>IFERROR(__xludf.DUMMYFUNCTION("""COMPUTED_VALUE"""),2306700272)</f>
        <v>2306700272</v>
      </c>
      <c r="G330" s="1"/>
      <c r="H330" s="1" t="str">
        <f>IFERROR(__xludf.DUMMYFUNCTION("""COMPUTED_VALUE"""),"ERIC REYES IGNACIO JR")</f>
        <v>ERIC REYES IGNACIO JR</v>
      </c>
      <c r="I330" s="1">
        <f>IFERROR(__xludf.DUMMYFUNCTION("""COMPUTED_VALUE"""),9675164295)</f>
        <v>9675164295</v>
      </c>
      <c r="J330" s="1"/>
      <c r="K330" s="1" t="str">
        <f>IFERROR(__xludf.DUMMYFUNCTION("""COMPUTED_VALUE"""),"ERICIGNACIO754@GMAIL.COM")</f>
        <v>ERICIGNACIO754@GMAIL.COM</v>
      </c>
      <c r="L330" s="1" t="str">
        <f>IFERROR(__xludf.DUMMYFUNCTION("""COMPUTED_VALUE"""),"468E")</f>
        <v>468E</v>
      </c>
      <c r="M330" s="1" t="str">
        <f>IFERROR(__xludf.DUMMYFUNCTION("""COMPUTED_VALUE"""),"DE GUZMAN ST")</f>
        <v>DE GUZMAN ST</v>
      </c>
      <c r="N330" s="1"/>
      <c r="O330" s="1"/>
      <c r="P330" s="1"/>
      <c r="Q330" s="1" t="str">
        <f>IFERROR(__xludf.DUMMYFUNCTION("""COMPUTED_VALUE"""),"BARANGAY 31 (MAYA-MAYA)")</f>
        <v>BARANGAY 31 (MAYA-MAYA)</v>
      </c>
      <c r="R330" s="1" t="str">
        <f>IFERROR(__xludf.DUMMYFUNCTION("""COMPUTED_VALUE"""),"CAVITE CITY")</f>
        <v>CAVITE CITY</v>
      </c>
      <c r="S330" s="1" t="str">
        <f>IFERROR(__xludf.DUMMYFUNCTION("""COMPUTED_VALUE"""),"FIBR PLAN 1399")</f>
        <v>FIBR PLAN 1399</v>
      </c>
      <c r="T330" s="1" t="str">
        <f>IFERROR(__xludf.DUMMYFUNCTION("""COMPUTED_VALUE"""),"APPROVED")</f>
        <v>APPROVED</v>
      </c>
      <c r="U330" s="1"/>
      <c r="V330" s="1"/>
      <c r="W330" s="1"/>
    </row>
    <row r="331" customHeight="1" spans="1:23">
      <c r="A331" s="3">
        <f>IFERROR(__xludf.DUMMYFUNCTION("""COMPUTED_VALUE"""),46056)</f>
        <v>46056</v>
      </c>
      <c r="B331" s="1" t="str">
        <f>IFERROR(__xludf.DUMMYFUNCTION("""COMPUTED_VALUE"""),"REMOLLO, LEA")</f>
        <v>REMOLLO, LEA</v>
      </c>
      <c r="C331" s="1" t="str">
        <f>IFERROR(__xludf.DUMMYFUNCTION("""COMPUTED_VALUE"""),"FLA")</f>
        <v>FLA</v>
      </c>
      <c r="D331" s="1" t="str">
        <f>IFERROR(__xludf.DUMMYFUNCTION("""COMPUTED_VALUE"""),"JERIC NAVARRO")</f>
        <v>JERIC NAVARRO</v>
      </c>
      <c r="E331" s="1" t="str">
        <f>IFERROR(__xludf.DUMMYFUNCTION("""COMPUTED_VALUE"""),"HOME BIZZ")</f>
        <v>HOME BIZZ</v>
      </c>
      <c r="F331" s="1">
        <f>IFERROR(__xludf.DUMMYFUNCTION("""COMPUTED_VALUE"""),2306751943)</f>
        <v>2306751943</v>
      </c>
      <c r="G331" s="1"/>
      <c r="H331" s="1" t="str">
        <f>IFERROR(__xludf.DUMMYFUNCTION("""COMPUTED_VALUE"""),"S AND Y CORPORATION")</f>
        <v>S AND Y CORPORATION</v>
      </c>
      <c r="I331" s="1">
        <f>IFERROR(__xludf.DUMMYFUNCTION("""COMPUTED_VALUE"""),9178266666)</f>
        <v>9178266666</v>
      </c>
      <c r="J331" s="1">
        <f>IFERROR(__xludf.DUMMYFUNCTION("""COMPUTED_VALUE"""),9267005695)</f>
        <v>9267005695</v>
      </c>
      <c r="K331" s="1" t="str">
        <f>IFERROR(__xludf.DUMMYFUNCTION("""COMPUTED_VALUE"""),"150337573@QQ.COM")</f>
        <v>150337573@QQ.COM</v>
      </c>
      <c r="L331" s="1" t="str">
        <f>IFERROR(__xludf.DUMMYFUNCTION("""COMPUTED_VALUE"""),"BLK 8 LOT 1-2")</f>
        <v>BLK 8 LOT 1-2</v>
      </c>
      <c r="M331" s="1" t="str">
        <f>IFERROR(__xludf.DUMMYFUNCTION("""COMPUTED_VALUE"""),"PHASE 3")</f>
        <v>PHASE 3</v>
      </c>
      <c r="N331" s="1" t="str">
        <f>IFERROR(__xludf.DUMMYFUNCTION("""COMPUTED_VALUE"""),"TECHNOPARK ")</f>
        <v>TECHNOPARK </v>
      </c>
      <c r="O331" s="1"/>
      <c r="P331" s="1"/>
      <c r="Q331" s="1" t="str">
        <f>IFERROR(__xludf.DUMMYFUNCTION("""COMPUTED_VALUE"""),"LANTIC")</f>
        <v>LANTIC</v>
      </c>
      <c r="R331" s="1" t="str">
        <f>IFERROR(__xludf.DUMMYFUNCTION("""COMPUTED_VALUE"""),"CARMONA")</f>
        <v>CARMONA</v>
      </c>
      <c r="S331" s="1" t="str">
        <f>IFERROR(__xludf.DUMMYFUNCTION("""COMPUTED_VALUE"""),"HOMEBIZZ 2699")</f>
        <v>HOMEBIZZ 2699</v>
      </c>
      <c r="T331" s="1" t="str">
        <f>IFERROR(__xludf.DUMMYFUNCTION("""COMPUTED_VALUE"""),"APPROVED")</f>
        <v>APPROVED</v>
      </c>
      <c r="U331" s="1"/>
      <c r="V331" s="1"/>
      <c r="W331" s="1"/>
    </row>
    <row r="332" customHeight="1" spans="1:23">
      <c r="A332" s="3">
        <f>IFERROR(__xludf.DUMMYFUNCTION("""COMPUTED_VALUE"""),46056)</f>
        <v>46056</v>
      </c>
      <c r="B332" s="1" t="str">
        <f>IFERROR(__xludf.DUMMYFUNCTION("""COMPUTED_VALUE"""),"ALOS, CHARLS LAURENZ")</f>
        <v>ALOS, CHARLS LAURENZ</v>
      </c>
      <c r="C332" s="1" t="str">
        <f>IFERROR(__xludf.DUMMYFUNCTION("""COMPUTED_VALUE"""),"FLA")</f>
        <v>FLA</v>
      </c>
      <c r="D332" s="1" t="str">
        <f>IFERROR(__xludf.DUMMYFUNCTION("""COMPUTED_VALUE"""),"JERIC NAVARRO")</f>
        <v>JERIC NAVARRO</v>
      </c>
      <c r="E332" s="1" t="str">
        <f>IFERROR(__xludf.DUMMYFUNCTION("""COMPUTED_VALUE"""),"PLDT")</f>
        <v>PLDT</v>
      </c>
      <c r="F332" s="1">
        <f>IFERROR(__xludf.DUMMYFUNCTION("""COMPUTED_VALUE"""),2306708734)</f>
        <v>2306708734</v>
      </c>
      <c r="G332" s="1"/>
      <c r="H332" s="1" t="str">
        <f>IFERROR(__xludf.DUMMYFUNCTION("""COMPUTED_VALUE"""),"JENNETTE SORIANO NUESTRO")</f>
        <v>JENNETTE SORIANO NUESTRO</v>
      </c>
      <c r="I332" s="1">
        <f>IFERROR(__xludf.DUMMYFUNCTION("""COMPUTED_VALUE"""),9569718644)</f>
        <v>9569718644</v>
      </c>
      <c r="J332" s="1">
        <f>IFERROR(__xludf.DUMMYFUNCTION("""COMPUTED_VALUE"""),9612739062)</f>
        <v>9612739062</v>
      </c>
      <c r="K332" s="1" t="str">
        <f>IFERROR(__xludf.DUMMYFUNCTION("""COMPUTED_VALUE"""),"NUESTROJENETTE@GMAIL.COM")</f>
        <v>NUESTROJENETTE@GMAIL.COM</v>
      </c>
      <c r="L332" s="1" t="str">
        <f>IFERROR(__xludf.DUMMYFUNCTION("""COMPUTED_VALUE"""),"15A")</f>
        <v>15A</v>
      </c>
      <c r="M332" s="1" t="str">
        <f>IFERROR(__xludf.DUMMYFUNCTION("""COMPUTED_VALUE"""),"BELTRAN ST")</f>
        <v>BELTRAN ST</v>
      </c>
      <c r="N332" s="1"/>
      <c r="O332" s="1"/>
      <c r="P332" s="1"/>
      <c r="Q332" s="1" t="str">
        <f>IFERROR(__xludf.DUMMYFUNCTION("""COMPUTED_VALUE"""),"KAYBAGAL NORTH")</f>
        <v>KAYBAGAL NORTH</v>
      </c>
      <c r="R332" s="1" t="str">
        <f>IFERROR(__xludf.DUMMYFUNCTION("""COMPUTED_VALUE"""),"TAGAYTAY")</f>
        <v>TAGAYTAY</v>
      </c>
      <c r="S332" s="1" t="str">
        <f>IFERROR(__xludf.DUMMYFUNCTION("""COMPUTED_VALUE"""),"FIBR PLAN 2099")</f>
        <v>FIBR PLAN 2099</v>
      </c>
      <c r="T332" s="1" t="str">
        <f>IFERROR(__xludf.DUMMYFUNCTION("""COMPUTED_VALUE"""),"APPROVED")</f>
        <v>APPROVED</v>
      </c>
      <c r="U332" s="1"/>
      <c r="V332" s="1"/>
      <c r="W332" s="1"/>
    </row>
    <row r="333" customHeight="1" spans="1:23">
      <c r="A333" s="3">
        <f>IFERROR(__xludf.DUMMYFUNCTION("""COMPUTED_VALUE"""),46057)</f>
        <v>46057</v>
      </c>
      <c r="B333" s="1" t="str">
        <f>IFERROR(__xludf.DUMMYFUNCTION("""COMPUTED_VALUE"""),"REMOLLO, LEA")</f>
        <v>REMOLLO, LEA</v>
      </c>
      <c r="C333" s="1" t="str">
        <f>IFERROR(__xludf.DUMMYFUNCTION("""COMPUTED_VALUE"""),"FLA")</f>
        <v>FLA</v>
      </c>
      <c r="D333" s="1" t="str">
        <f>IFERROR(__xludf.DUMMYFUNCTION("""COMPUTED_VALUE"""),"JERIC NAVARRO")</f>
        <v>JERIC NAVARRO</v>
      </c>
      <c r="E333" s="1" t="str">
        <f>IFERROR(__xludf.DUMMYFUNCTION("""COMPUTED_VALUE"""),"PLDT")</f>
        <v>PLDT</v>
      </c>
      <c r="F333" s="1">
        <f>IFERROR(__xludf.DUMMYFUNCTION("""COMPUTED_VALUE"""),2306723690)</f>
        <v>2306723690</v>
      </c>
      <c r="G333" s="1"/>
      <c r="H333" s="1" t="str">
        <f>IFERROR(__xludf.DUMMYFUNCTION("""COMPUTED_VALUE"""),"MARIA EVA CAPITO")</f>
        <v>MARIA EVA CAPITO</v>
      </c>
      <c r="I333" s="1">
        <f>IFERROR(__xludf.DUMMYFUNCTION("""COMPUTED_VALUE"""),9216250146)</f>
        <v>9216250146</v>
      </c>
      <c r="J333" s="1"/>
      <c r="K333" s="1" t="str">
        <f>IFERROR(__xludf.DUMMYFUNCTION("""COMPUTED_VALUE"""),"CORDOVAJOSEJAMES50@GMAIL.COM")</f>
        <v>CORDOVAJOSEJAMES50@GMAIL.COM</v>
      </c>
      <c r="L333" s="1" t="str">
        <f>IFERROR(__xludf.DUMMYFUNCTION("""COMPUTED_VALUE"""),"742")</f>
        <v>742</v>
      </c>
      <c r="M333" s="1" t="str">
        <f>IFERROR(__xludf.DUMMYFUNCTION("""COMPUTED_VALUE"""),"MATAGBAK RD")</f>
        <v>MATAGBAK RD</v>
      </c>
      <c r="N333" s="1"/>
      <c r="O333" s="1"/>
      <c r="P333" s="1"/>
      <c r="Q333" s="1" t="str">
        <f>IFERROR(__xludf.DUMMYFUNCTION("""COMPUTED_VALUE"""),"TALON")</f>
        <v>TALON</v>
      </c>
      <c r="R333" s="1" t="str">
        <f>IFERROR(__xludf.DUMMYFUNCTION("""COMPUTED_VALUE"""),"AMADEO")</f>
        <v>AMADEO</v>
      </c>
      <c r="S333" s="1" t="str">
        <f>IFERROR(__xludf.DUMMYFUNCTION("""COMPUTED_VALUE"""),"FIBR PLAN 1399")</f>
        <v>FIBR PLAN 1399</v>
      </c>
      <c r="T333" s="1" t="str">
        <f>IFERROR(__xludf.DUMMYFUNCTION("""COMPUTED_VALUE"""),"APPROVED")</f>
        <v>APPROVED</v>
      </c>
      <c r="U333" s="1"/>
      <c r="V333" s="1"/>
      <c r="W333" s="1"/>
    </row>
    <row r="334" customHeight="1" spans="1:23">
      <c r="A334" s="3">
        <f>IFERROR(__xludf.DUMMYFUNCTION("""COMPUTED_VALUE"""),46057)</f>
        <v>46057</v>
      </c>
      <c r="B334" s="1" t="str">
        <f>IFERROR(__xludf.DUMMYFUNCTION("""COMPUTED_VALUE"""),"CONCEPCION, ALJAY")</f>
        <v>CONCEPCION, ALJAY</v>
      </c>
      <c r="C334" s="1" t="str">
        <f>IFERROR(__xludf.DUMMYFUNCTION("""COMPUTED_VALUE"""),"ORGANIC")</f>
        <v>ORGANIC</v>
      </c>
      <c r="D334" s="1" t="str">
        <f>IFERROR(__xludf.DUMMYFUNCTION("""COMPUTED_VALUE"""),"ILANO MARK")</f>
        <v>ILANO MARK</v>
      </c>
      <c r="E334" s="1" t="str">
        <f>IFERROR(__xludf.DUMMYFUNCTION("""COMPUTED_VALUE"""),"PLDT")</f>
        <v>PLDT</v>
      </c>
      <c r="F334" s="1">
        <f>IFERROR(__xludf.DUMMYFUNCTION("""COMPUTED_VALUE"""),2306725091)</f>
        <v>2306725091</v>
      </c>
      <c r="G334" s="1"/>
      <c r="H334" s="1" t="str">
        <f>IFERROR(__xludf.DUMMYFUNCTION("""COMPUTED_VALUE"""),"RYAN REONAL PION")</f>
        <v>RYAN REONAL PION</v>
      </c>
      <c r="I334" s="1">
        <f>IFERROR(__xludf.DUMMYFUNCTION("""COMPUTED_VALUE"""),9353020092)</f>
        <v>9353020092</v>
      </c>
      <c r="J334" s="1">
        <f>IFERROR(__xludf.DUMMYFUNCTION("""COMPUTED_VALUE"""),9353020092)</f>
        <v>9353020092</v>
      </c>
      <c r="K334" s="1" t="str">
        <f>IFERROR(__xludf.DUMMYFUNCTION("""COMPUTED_VALUE"""),"MARYNHASTYAPION@GMAIL.COM")</f>
        <v>MARYNHASTYAPION@GMAIL.COM</v>
      </c>
      <c r="L334" s="1" t="str">
        <f>IFERROR(__xludf.DUMMYFUNCTION("""COMPUTED_VALUE"""),"713C")</f>
        <v>713C</v>
      </c>
      <c r="M334" s="1" t="str">
        <f>IFERROR(__xludf.DUMMYFUNCTION("""COMPUTED_VALUE"""),"TALON")</f>
        <v>TALON</v>
      </c>
      <c r="N334" s="1"/>
      <c r="O334" s="1"/>
      <c r="P334" s="1"/>
      <c r="Q334" s="1" t="str">
        <f>IFERROR(__xludf.DUMMYFUNCTION("""COMPUTED_VALUE"""),"TALON")</f>
        <v>TALON</v>
      </c>
      <c r="R334" s="1" t="str">
        <f>IFERROR(__xludf.DUMMYFUNCTION("""COMPUTED_VALUE"""),"AMADEO")</f>
        <v>AMADEO</v>
      </c>
      <c r="S334" s="1" t="str">
        <f>IFERROR(__xludf.DUMMYFUNCTION("""COMPUTED_VALUE"""),"FIBR PLAN 1399")</f>
        <v>FIBR PLAN 1399</v>
      </c>
      <c r="T334" s="1" t="str">
        <f>IFERROR(__xludf.DUMMYFUNCTION("""COMPUTED_VALUE"""),"APPROVED")</f>
        <v>APPROVED</v>
      </c>
      <c r="U334" s="1"/>
      <c r="V334" s="1"/>
      <c r="W334" s="1"/>
    </row>
    <row r="335" customHeight="1" spans="1:23">
      <c r="A335" s="3">
        <f>IFERROR(__xludf.DUMMYFUNCTION("""COMPUTED_VALUE"""),46057)</f>
        <v>46057</v>
      </c>
      <c r="B335" s="1" t="str">
        <f>IFERROR(__xludf.DUMMYFUNCTION("""COMPUTED_VALUE"""),"ALINGARO, CINDY")</f>
        <v>ALINGARO, CINDY</v>
      </c>
      <c r="C335" s="1" t="str">
        <f>IFERROR(__xludf.DUMMYFUNCTION("""COMPUTED_VALUE"""),"FLA")</f>
        <v>FLA</v>
      </c>
      <c r="D335" s="1" t="str">
        <f>IFERROR(__xludf.DUMMYFUNCTION("""COMPUTED_VALUE"""),"JERIC NAVARRO")</f>
        <v>JERIC NAVARRO</v>
      </c>
      <c r="E335" s="1" t="str">
        <f>IFERROR(__xludf.DUMMYFUNCTION("""COMPUTED_VALUE"""),"PLDT")</f>
        <v>PLDT</v>
      </c>
      <c r="F335" s="1">
        <f>IFERROR(__xludf.DUMMYFUNCTION("""COMPUTED_VALUE"""),2306726184)</f>
        <v>2306726184</v>
      </c>
      <c r="G335" s="1"/>
      <c r="H335" s="1" t="str">
        <f>IFERROR(__xludf.DUMMYFUNCTION("""COMPUTED_VALUE"""),"JENNY ROSE ESCORA SEDUTAN")</f>
        <v>JENNY ROSE ESCORA SEDUTAN</v>
      </c>
      <c r="I335" s="1">
        <f>IFERROR(__xludf.DUMMYFUNCTION("""COMPUTED_VALUE"""),9637172098)</f>
        <v>9637172098</v>
      </c>
      <c r="J335" s="1">
        <f>IFERROR(__xludf.DUMMYFUNCTION("""COMPUTED_VALUE"""),9245692358)</f>
        <v>9245692358</v>
      </c>
      <c r="K335" s="1" t="str">
        <f>IFERROR(__xludf.DUMMYFUNCTION("""COMPUTED_VALUE"""),"MARYGRACEANATA1989@GMAIL.COM")</f>
        <v>MARYGRACEANATA1989@GMAIL.COM</v>
      </c>
      <c r="L335" s="1" t="str">
        <f>IFERROR(__xludf.DUMMYFUNCTION("""COMPUTED_VALUE"""),"192")</f>
        <v>192</v>
      </c>
      <c r="M335" s="1" t="str">
        <f>IFERROR(__xludf.DUMMYFUNCTION("""COMPUTED_VALUE"""),"DINGLAS ST")</f>
        <v>DINGLAS ST</v>
      </c>
      <c r="N335" s="1"/>
      <c r="O335" s="1"/>
      <c r="P335" s="1"/>
      <c r="Q335" s="1" t="str">
        <f>IFERROR(__xludf.DUMMYFUNCTION("""COMPUTED_VALUE"""),"SAN JOSE")</f>
        <v>SAN JOSE</v>
      </c>
      <c r="R335" s="1" t="str">
        <f>IFERROR(__xludf.DUMMYFUNCTION("""COMPUTED_VALUE"""),"TARNATE")</f>
        <v>TARNATE</v>
      </c>
      <c r="S335" s="1" t="str">
        <f>IFERROR(__xludf.DUMMYFUNCTION("""COMPUTED_VALUE"""),"FIBR PLAN 1299")</f>
        <v>FIBR PLAN 1299</v>
      </c>
      <c r="T335" s="1" t="str">
        <f>IFERROR(__xludf.DUMMYFUNCTION("""COMPUTED_VALUE"""),"APPROVED")</f>
        <v>APPROVED</v>
      </c>
      <c r="U335" s="1"/>
      <c r="V335" s="1"/>
      <c r="W335" s="1"/>
    </row>
    <row r="336" customHeight="1" spans="1:23">
      <c r="A336" s="3">
        <f>IFERROR(__xludf.DUMMYFUNCTION("""COMPUTED_VALUE"""),46057)</f>
        <v>46057</v>
      </c>
      <c r="B336" s="1" t="str">
        <f>IFERROR(__xludf.DUMMYFUNCTION("""COMPUTED_VALUE"""),"CONCEPCION, ALJAY")</f>
        <v>CONCEPCION, ALJAY</v>
      </c>
      <c r="C336" s="1" t="str">
        <f>IFERROR(__xludf.DUMMYFUNCTION("""COMPUTED_VALUE"""),"ORGANIC")</f>
        <v>ORGANIC</v>
      </c>
      <c r="D336" s="1" t="str">
        <f>IFERROR(__xludf.DUMMYFUNCTION("""COMPUTED_VALUE"""),"ILANO MARK")</f>
        <v>ILANO MARK</v>
      </c>
      <c r="E336" s="1" t="str">
        <f>IFERROR(__xludf.DUMMYFUNCTION("""COMPUTED_VALUE"""),"PLDT")</f>
        <v>PLDT</v>
      </c>
      <c r="F336" s="1">
        <f>IFERROR(__xludf.DUMMYFUNCTION("""COMPUTED_VALUE"""),2306728788)</f>
        <v>2306728788</v>
      </c>
      <c r="G336" s="1"/>
      <c r="H336" s="1" t="str">
        <f>IFERROR(__xludf.DUMMYFUNCTION("""COMPUTED_VALUE"""),"DANA FAYE BUETA GALLARDO")</f>
        <v>DANA FAYE BUETA GALLARDO</v>
      </c>
      <c r="I336" s="1">
        <f>IFERROR(__xludf.DUMMYFUNCTION("""COMPUTED_VALUE"""),9976293380)</f>
        <v>9976293380</v>
      </c>
      <c r="J336" s="1"/>
      <c r="K336" s="1" t="str">
        <f>IFERROR(__xludf.DUMMYFUNCTION("""COMPUTED_VALUE"""),"DANAFAYEGALLARDO@GMAIL.COM")</f>
        <v>DANAFAYEGALLARDO@GMAIL.COM</v>
      </c>
      <c r="L336" s="1" t="str">
        <f>IFERROR(__xludf.DUMMYFUNCTION("""COMPUTED_VALUE"""),"BLK 2 LOT 3")</f>
        <v>BLK 2 LOT 3</v>
      </c>
      <c r="M336" s="1" t="str">
        <f>IFERROR(__xludf.DUMMYFUNCTION("""COMPUTED_VALUE"""),"MUZON RD")</f>
        <v>MUZON RD</v>
      </c>
      <c r="N336" s="1" t="str">
        <f>IFERROR(__xludf.DUMMYFUNCTION("""COMPUTED_VALUE"""),"PATRICIA YOLANDA VILLE")</f>
        <v>PATRICIA YOLANDA VILLE</v>
      </c>
      <c r="O336" s="1"/>
      <c r="P336" s="1"/>
      <c r="Q336" s="1" t="str">
        <f>IFERROR(__xludf.DUMMYFUNCTION("""COMPUTED_VALUE"""),"ASIS I")</f>
        <v>ASIS I</v>
      </c>
      <c r="R336" s="1" t="str">
        <f>IFERROR(__xludf.DUMMYFUNCTION("""COMPUTED_VALUE"""),"MENDEZ")</f>
        <v>MENDEZ</v>
      </c>
      <c r="S336" s="1" t="str">
        <f>IFERROR(__xludf.DUMMYFUNCTION("""COMPUTED_VALUE"""),"FIBR PLAN 1599")</f>
        <v>FIBR PLAN 1599</v>
      </c>
      <c r="T336" s="1" t="str">
        <f>IFERROR(__xludf.DUMMYFUNCTION("""COMPUTED_VALUE"""),"APPROVED")</f>
        <v>APPROVED</v>
      </c>
      <c r="U336" s="1"/>
      <c r="V336" s="1"/>
      <c r="W336" s="1"/>
    </row>
    <row r="337" customHeight="1" spans="1:23">
      <c r="A337" s="3">
        <f>IFERROR(__xludf.DUMMYFUNCTION("""COMPUTED_VALUE"""),46057)</f>
        <v>46057</v>
      </c>
      <c r="B337" s="1" t="str">
        <f>IFERROR(__xludf.DUMMYFUNCTION("""COMPUTED_VALUE"""),"ALOS, CHARLS LAURENZ")</f>
        <v>ALOS, CHARLS LAURENZ</v>
      </c>
      <c r="C337" s="1" t="str">
        <f>IFERROR(__xludf.DUMMYFUNCTION("""COMPUTED_VALUE"""),"FLA")</f>
        <v>FLA</v>
      </c>
      <c r="D337" s="1" t="str">
        <f>IFERROR(__xludf.DUMMYFUNCTION("""COMPUTED_VALUE"""),"JERIC NAVARRO")</f>
        <v>JERIC NAVARRO</v>
      </c>
      <c r="E337" s="1" t="str">
        <f>IFERROR(__xludf.DUMMYFUNCTION("""COMPUTED_VALUE"""),"RED FIBER")</f>
        <v>RED FIBER</v>
      </c>
      <c r="F337" s="1"/>
      <c r="G337" s="1"/>
      <c r="H337" s="1" t="str">
        <f>IFERROR(__xludf.DUMMYFUNCTION("""COMPUTED_VALUE"""),"ANGELICA MACALALAD PENERA")</f>
        <v>ANGELICA MACALALAD PENERA</v>
      </c>
      <c r="I337" s="1">
        <f>IFERROR(__xludf.DUMMYFUNCTION("""COMPUTED_VALUE"""),9389383077)</f>
        <v>9389383077</v>
      </c>
      <c r="J337" s="1"/>
      <c r="K337" s="1" t="str">
        <f>IFERROR(__xludf.DUMMYFUNCTION("""COMPUTED_VALUE"""),"ANGELICAPENERA4@GMAIL.COM")</f>
        <v>ANGELICAPENERA4@GMAIL.COM</v>
      </c>
      <c r="L337" s="1" t="str">
        <f>IFERROR(__xludf.DUMMYFUNCTION("""COMPUTED_VALUE"""),"811")</f>
        <v>811</v>
      </c>
      <c r="M337" s="1" t="str">
        <f>IFERROR(__xludf.DUMMYFUNCTION("""COMPUTED_VALUE"""),"LLAMADO ST")</f>
        <v>LLAMADO ST</v>
      </c>
      <c r="N337" s="1"/>
      <c r="O337" s="1"/>
      <c r="P337" s="1"/>
      <c r="Q337" s="1" t="str">
        <f>IFERROR(__xludf.DUMMYFUNCTION("""COMPUTED_VALUE"""),"ASIS III")</f>
        <v>ASIS III</v>
      </c>
      <c r="R337" s="1" t="str">
        <f>IFERROR(__xludf.DUMMYFUNCTION("""COMPUTED_VALUE"""),"MENDEZ")</f>
        <v>MENDEZ</v>
      </c>
      <c r="S337" s="1" t="str">
        <f>IFERROR(__xludf.DUMMYFUNCTION("""COMPUTED_VALUE"""),"RED FIBER PLAN 1000")</f>
        <v>RED FIBER PLAN 1000</v>
      </c>
      <c r="T337" s="1" t="str">
        <f>IFERROR(__xludf.DUMMYFUNCTION("""COMPUTED_VALUE"""),"APPROVED")</f>
        <v>APPROVED</v>
      </c>
      <c r="U337" s="1"/>
      <c r="V337" s="1"/>
      <c r="W337" s="1"/>
    </row>
    <row r="338" customHeight="1" spans="1:23">
      <c r="A338" s="3">
        <f>IFERROR(__xludf.DUMMYFUNCTION("""COMPUTED_VALUE"""),46057)</f>
        <v>46057</v>
      </c>
      <c r="B338" s="1" t="str">
        <f>IFERROR(__xludf.DUMMYFUNCTION("""COMPUTED_VALUE"""),"MALIWAT MARK ELVIN")</f>
        <v>MALIWAT MARK ELVIN</v>
      </c>
      <c r="C338" s="1" t="str">
        <f>IFERROR(__xludf.DUMMYFUNCTION("""COMPUTED_VALUE"""),"FLA")</f>
        <v>FLA</v>
      </c>
      <c r="D338" s="1" t="str">
        <f>IFERROR(__xludf.DUMMYFUNCTION("""COMPUTED_VALUE"""),"JERIC NAVARRO")</f>
        <v>JERIC NAVARRO</v>
      </c>
      <c r="E338" s="1" t="str">
        <f>IFERROR(__xludf.DUMMYFUNCTION("""COMPUTED_VALUE"""),"PLDT")</f>
        <v>PLDT</v>
      </c>
      <c r="F338" s="1">
        <f>IFERROR(__xludf.DUMMYFUNCTION("""COMPUTED_VALUE"""),2306730908)</f>
        <v>2306730908</v>
      </c>
      <c r="G338" s="1"/>
      <c r="H338" s="1" t="str">
        <f>IFERROR(__xludf.DUMMYFUNCTION("""COMPUTED_VALUE"""),"MARK CHRISTIAN MORENO")</f>
        <v>MARK CHRISTIAN MORENO</v>
      </c>
      <c r="I338" s="1">
        <f>IFERROR(__xludf.DUMMYFUNCTION("""COMPUTED_VALUE"""),9150474888)</f>
        <v>9150474888</v>
      </c>
      <c r="J338" s="1"/>
      <c r="K338" s="1" t="str">
        <f>IFERROR(__xludf.DUMMYFUNCTION("""COMPUTED_VALUE"""),"SHIENAMARIEPMORENO@GMAIL.COM")</f>
        <v>SHIENAMARIEPMORENO@GMAIL.COM</v>
      </c>
      <c r="L338" s="1" t="str">
        <f>IFERROR(__xludf.DUMMYFUNCTION("""COMPUTED_VALUE"""),"BLK D9 LOT 3B")</f>
        <v>BLK D9 LOT 3B</v>
      </c>
      <c r="M338" s="1" t="str">
        <f>IFERROR(__xludf.DUMMYFUNCTION("""COMPUTED_VALUE"""),"SAN NICOLAS RD")</f>
        <v>SAN NICOLAS RD</v>
      </c>
      <c r="N338" s="1"/>
      <c r="O338" s="1"/>
      <c r="P338" s="1"/>
      <c r="Q338" s="1" t="str">
        <f>IFERROR(__xludf.DUMMYFUNCTION("""COMPUTED_VALUE"""),"SAN NICOLAS I")</f>
        <v>SAN NICOLAS I</v>
      </c>
      <c r="R338" s="1" t="str">
        <f>IFERROR(__xludf.DUMMYFUNCTION("""COMPUTED_VALUE"""),"DASMARINAS")</f>
        <v>DASMARINAS</v>
      </c>
      <c r="S338" s="1" t="str">
        <f>IFERROR(__xludf.DUMMYFUNCTION("""COMPUTED_VALUE"""),"FIBR PLAN 1399")</f>
        <v>FIBR PLAN 1399</v>
      </c>
      <c r="T338" s="1" t="str">
        <f>IFERROR(__xludf.DUMMYFUNCTION("""COMPUTED_VALUE"""),"APPROVED")</f>
        <v>APPROVED</v>
      </c>
      <c r="U338" s="1"/>
      <c r="V338" s="1"/>
      <c r="W338" s="1"/>
    </row>
    <row r="339" customHeight="1" spans="1:23">
      <c r="A339" s="3">
        <f>IFERROR(__xludf.DUMMYFUNCTION("""COMPUTED_VALUE"""),46057)</f>
        <v>46057</v>
      </c>
      <c r="B339" s="1" t="str">
        <f>IFERROR(__xludf.DUMMYFUNCTION("""COMPUTED_VALUE"""),"MALIWAT MARK ELVIN")</f>
        <v>MALIWAT MARK ELVIN</v>
      </c>
      <c r="C339" s="1" t="str">
        <f>IFERROR(__xludf.DUMMYFUNCTION("""COMPUTED_VALUE"""),"FLA")</f>
        <v>FLA</v>
      </c>
      <c r="D339" s="1" t="str">
        <f>IFERROR(__xludf.DUMMYFUNCTION("""COMPUTED_VALUE"""),"JERIC NAVARRO")</f>
        <v>JERIC NAVARRO</v>
      </c>
      <c r="E339" s="1" t="str">
        <f>IFERROR(__xludf.DUMMYFUNCTION("""COMPUTED_VALUE"""),"PLDT")</f>
        <v>PLDT</v>
      </c>
      <c r="F339" s="1">
        <f>IFERROR(__xludf.DUMMYFUNCTION("""COMPUTED_VALUE"""),2306734309)</f>
        <v>2306734309</v>
      </c>
      <c r="G339" s="1"/>
      <c r="H339" s="1" t="str">
        <f>IFERROR(__xludf.DUMMYFUNCTION("""COMPUTED_VALUE"""),"JOMEL ERESTAIN PATOR")</f>
        <v>JOMEL ERESTAIN PATOR</v>
      </c>
      <c r="I339" s="1">
        <f>IFERROR(__xludf.DUMMYFUNCTION("""COMPUTED_VALUE"""),9319948124)</f>
        <v>9319948124</v>
      </c>
      <c r="J339" s="1">
        <f>IFERROR(__xludf.DUMMYFUNCTION("""COMPUTED_VALUE"""),9814536278)</f>
        <v>9814536278</v>
      </c>
      <c r="K339" s="1" t="str">
        <f>IFERROR(__xludf.DUMMYFUNCTION("""COMPUTED_VALUE"""),"MICAMIRALLES955@GMAIL.COM")</f>
        <v>MICAMIRALLES955@GMAIL.COM</v>
      </c>
      <c r="L339" s="1" t="str">
        <f>IFERROR(__xludf.DUMMYFUNCTION("""COMPUTED_VALUE"""),"BLK 8 LOT 2B")</f>
        <v>BLK 8 LOT 2B</v>
      </c>
      <c r="M339" s="1" t="str">
        <f>IFERROR(__xludf.DUMMYFUNCTION("""COMPUTED_VALUE"""),"PHILHOMES")</f>
        <v>PHILHOMES</v>
      </c>
      <c r="N339" s="1"/>
      <c r="O339" s="1"/>
      <c r="P339" s="1"/>
      <c r="Q339" s="1" t="str">
        <f>IFERROR(__xludf.DUMMYFUNCTION("""COMPUTED_VALUE"""),"TOCLONG")</f>
        <v>TOCLONG</v>
      </c>
      <c r="R339" s="1" t="str">
        <f>IFERROR(__xludf.DUMMYFUNCTION("""COMPUTED_VALUE"""),"KAWIT")</f>
        <v>KAWIT</v>
      </c>
      <c r="S339" s="1" t="str">
        <f>IFERROR(__xludf.DUMMYFUNCTION("""COMPUTED_VALUE"""),"FIBR PLAN 1399")</f>
        <v>FIBR PLAN 1399</v>
      </c>
      <c r="T339" s="1" t="str">
        <f>IFERROR(__xludf.DUMMYFUNCTION("""COMPUTED_VALUE"""),"APPROVED")</f>
        <v>APPROVED</v>
      </c>
      <c r="U339" s="1"/>
      <c r="V339" s="1"/>
      <c r="W339" s="1"/>
    </row>
    <row r="340" customHeight="1" spans="1:23">
      <c r="A340" s="3">
        <f>IFERROR(__xludf.DUMMYFUNCTION("""COMPUTED_VALUE"""),46057)</f>
        <v>46057</v>
      </c>
      <c r="B340" s="1" t="str">
        <f>IFERROR(__xludf.DUMMYFUNCTION("""COMPUTED_VALUE"""),"MALIWAT MARK ELVIN")</f>
        <v>MALIWAT MARK ELVIN</v>
      </c>
      <c r="C340" s="1" t="str">
        <f>IFERROR(__xludf.DUMMYFUNCTION("""COMPUTED_VALUE"""),"FLA")</f>
        <v>FLA</v>
      </c>
      <c r="D340" s="1" t="str">
        <f>IFERROR(__xludf.DUMMYFUNCTION("""COMPUTED_VALUE"""),"JERIC NAVARRO")</f>
        <v>JERIC NAVARRO</v>
      </c>
      <c r="E340" s="1" t="str">
        <f>IFERROR(__xludf.DUMMYFUNCTION("""COMPUTED_VALUE"""),"PLDT")</f>
        <v>PLDT</v>
      </c>
      <c r="F340" s="1">
        <f>IFERROR(__xludf.DUMMYFUNCTION("""COMPUTED_VALUE"""),2306735401)</f>
        <v>2306735401</v>
      </c>
      <c r="G340" s="1"/>
      <c r="H340" s="1" t="str">
        <f>IFERROR(__xludf.DUMMYFUNCTION("""COMPUTED_VALUE"""),"MILES MICHAEL ESPERA CRESPO")</f>
        <v>MILES MICHAEL ESPERA CRESPO</v>
      </c>
      <c r="I340" s="1">
        <f>IFERROR(__xludf.DUMMYFUNCTION("""COMPUTED_VALUE"""),9947716919)</f>
        <v>9947716919</v>
      </c>
      <c r="J340" s="1"/>
      <c r="K340" s="1" t="str">
        <f>IFERROR(__xludf.DUMMYFUNCTION("""COMPUTED_VALUE"""),"MILESCRESPO1@GNAIL.COM")</f>
        <v>MILESCRESPO1@GNAIL.COM</v>
      </c>
      <c r="L340" s="1" t="str">
        <f>IFERROR(__xludf.DUMMYFUNCTION("""COMPUTED_VALUE"""),"BLK D13 LOT 1")</f>
        <v>BLK D13 LOT 1</v>
      </c>
      <c r="M340" s="1" t="str">
        <f>IFERROR(__xludf.DUMMYFUNCTION("""COMPUTED_VALUE"""),"SAN ANDRESS")</f>
        <v>SAN ANDRESS</v>
      </c>
      <c r="N340" s="1"/>
      <c r="O340" s="1"/>
      <c r="P340" s="1"/>
      <c r="Q340" s="1" t="str">
        <f>IFERROR(__xludf.DUMMYFUNCTION("""COMPUTED_VALUE"""),"SAN ANDRES II")</f>
        <v>SAN ANDRES II</v>
      </c>
      <c r="R340" s="1" t="str">
        <f>IFERROR(__xludf.DUMMYFUNCTION("""COMPUTED_VALUE"""),"DASMARINAS")</f>
        <v>DASMARINAS</v>
      </c>
      <c r="S340" s="1" t="str">
        <f>IFERROR(__xludf.DUMMYFUNCTION("""COMPUTED_VALUE"""),"FIBR PLAN 1399")</f>
        <v>FIBR PLAN 1399</v>
      </c>
      <c r="T340" s="1" t="str">
        <f>IFERROR(__xludf.DUMMYFUNCTION("""COMPUTED_VALUE"""),"APPROVED")</f>
        <v>APPROVED</v>
      </c>
      <c r="U340" s="1"/>
      <c r="V340" s="1"/>
      <c r="W340" s="1"/>
    </row>
    <row r="341" customHeight="1" spans="1:23">
      <c r="A341" s="3">
        <f>IFERROR(__xludf.DUMMYFUNCTION("""COMPUTED_VALUE"""),46057)</f>
        <v>46057</v>
      </c>
      <c r="B341" s="1" t="str">
        <f>IFERROR(__xludf.DUMMYFUNCTION("""COMPUTED_VALUE"""),"DELA TORRE , IGNACIA")</f>
        <v>DELA TORRE , IGNACIA</v>
      </c>
      <c r="C341" s="1" t="str">
        <f>IFERROR(__xludf.DUMMYFUNCTION("""COMPUTED_VALUE"""),"ORGANIC")</f>
        <v>ORGANIC</v>
      </c>
      <c r="D341" s="1" t="str">
        <f>IFERROR(__xludf.DUMMYFUNCTION("""COMPUTED_VALUE"""),"ILANO MARK")</f>
        <v>ILANO MARK</v>
      </c>
      <c r="E341" s="1" t="str">
        <f>IFERROR(__xludf.DUMMYFUNCTION("""COMPUTED_VALUE"""),"PLDT")</f>
        <v>PLDT</v>
      </c>
      <c r="F341" s="1">
        <f>IFERROR(__xludf.DUMMYFUNCTION("""COMPUTED_VALUE"""),2306753369)</f>
        <v>2306753369</v>
      </c>
      <c r="G341" s="1"/>
      <c r="H341" s="1" t="str">
        <f>IFERROR(__xludf.DUMMYFUNCTION("""COMPUTED_VALUE"""),"AGNES QUEJADA CABRERA")</f>
        <v>AGNES QUEJADA CABRERA</v>
      </c>
      <c r="I341" s="1">
        <f>IFERROR(__xludf.DUMMYFUNCTION("""COMPUTED_VALUE"""),9692300396)</f>
        <v>9692300396</v>
      </c>
      <c r="J341" s="1">
        <f>IFERROR(__xludf.DUMMYFUNCTION("""COMPUTED_VALUE"""),9605212576)</f>
        <v>9605212576</v>
      </c>
      <c r="K341" s="1" t="str">
        <f>IFERROR(__xludf.DUMMYFUNCTION("""COMPUTED_VALUE"""),"AGNES@CABWEBS.COM")</f>
        <v>AGNES@CABWEBS.COM</v>
      </c>
      <c r="L341" s="1" t="str">
        <f>IFERROR(__xludf.DUMMYFUNCTION("""COMPUTED_VALUE"""),"BLK 19 LOT 114")</f>
        <v>BLK 19 LOT 114</v>
      </c>
      <c r="M341" s="1" t="str">
        <f>IFERROR(__xludf.DUMMYFUNCTION("""COMPUTED_VALUE"""),"MEDITERRANEAN WAY")</f>
        <v>MEDITERRANEAN WAY</v>
      </c>
      <c r="N341" s="1" t="str">
        <f>IFERROR(__xludf.DUMMYFUNCTION("""COMPUTED_VALUE"""),"RIEVERA")</f>
        <v>RIEVERA</v>
      </c>
      <c r="O341" s="1"/>
      <c r="P341" s="1"/>
      <c r="Q341" s="1" t="str">
        <f>IFERROR(__xludf.DUMMYFUNCTION("""COMPUTED_VALUE"""),"LUKSUHIN")</f>
        <v>LUKSUHIN</v>
      </c>
      <c r="R341" s="1" t="str">
        <f>IFERROR(__xludf.DUMMYFUNCTION("""COMPUTED_VALUE"""),"SILANG")</f>
        <v>SILANG</v>
      </c>
      <c r="S341" s="1" t="str">
        <f>IFERROR(__xludf.DUMMYFUNCTION("""COMPUTED_VALUE"""),"FIBR PLAN 1399")</f>
        <v>FIBR PLAN 1399</v>
      </c>
      <c r="T341" s="1" t="str">
        <f>IFERROR(__xludf.DUMMYFUNCTION("""COMPUTED_VALUE"""),"APPROVED")</f>
        <v>APPROVED</v>
      </c>
      <c r="U341" s="1"/>
      <c r="V341" s="1"/>
      <c r="W341" s="1"/>
    </row>
    <row r="342" customHeight="1" spans="1:23">
      <c r="A342" s="3">
        <f>IFERROR(__xludf.DUMMYFUNCTION("""COMPUTED_VALUE"""),46058)</f>
        <v>46058</v>
      </c>
      <c r="B342" s="1" t="str">
        <f>IFERROR(__xludf.DUMMYFUNCTION("""COMPUTED_VALUE"""),"DE LEON, MERLY")</f>
        <v>DE LEON, MERLY</v>
      </c>
      <c r="C342" s="1" t="str">
        <f>IFERROR(__xludf.DUMMYFUNCTION("""COMPUTED_VALUE"""),"ORGANIC")</f>
        <v>ORGANIC</v>
      </c>
      <c r="D342" s="1" t="str">
        <f>IFERROR(__xludf.DUMMYFUNCTION("""COMPUTED_VALUE"""),"REMOLLO LEA")</f>
        <v>REMOLLO LEA</v>
      </c>
      <c r="E342" s="1" t="str">
        <f>IFERROR(__xludf.DUMMYFUNCTION("""COMPUTED_VALUE"""),"PLDT")</f>
        <v>PLDT</v>
      </c>
      <c r="F342" s="1">
        <f>IFERROR(__xludf.DUMMYFUNCTION("""COMPUTED_VALUE"""),2306754097)</f>
        <v>2306754097</v>
      </c>
      <c r="G342" s="1"/>
      <c r="H342" s="1" t="str">
        <f>IFERROR(__xludf.DUMMYFUNCTION("""COMPUTED_VALUE"""),"ROSEMARIE SABU-AD GAGABU-AN ")</f>
        <v>ROSEMARIE SABU-AD GAGABU-AN </v>
      </c>
      <c r="I342" s="1">
        <f>IFERROR(__xludf.DUMMYFUNCTION("""COMPUTED_VALUE"""),9354066047)</f>
        <v>9354066047</v>
      </c>
      <c r="J342" s="1"/>
      <c r="K342" s="1" t="str">
        <f>IFERROR(__xludf.DUMMYFUNCTION("""COMPUTED_VALUE"""),"MARIE.GAGABU-AN@GMAIL.COM")</f>
        <v>MARIE.GAGABU-AN@GMAIL.COM</v>
      </c>
      <c r="L342" s="1" t="str">
        <f>IFERROR(__xludf.DUMMYFUNCTION("""COMPUTED_VALUE"""),"BLK 185 LOT 6")</f>
        <v>BLK 185 LOT 6</v>
      </c>
      <c r="M342" s="1" t="str">
        <f>IFERROR(__xludf.DUMMYFUNCTION("""COMPUTED_VALUE"""),"ZONE 6")</f>
        <v>ZONE 6</v>
      </c>
      <c r="N342" s="1"/>
      <c r="O342" s="1"/>
      <c r="P342" s="1"/>
      <c r="Q342" s="1" t="str">
        <f>IFERROR(__xludf.DUMMYFUNCTION("""COMPUTED_VALUE"""),"BULIHAN")</f>
        <v>BULIHAN</v>
      </c>
      <c r="R342" s="1" t="str">
        <f>IFERROR(__xludf.DUMMYFUNCTION("""COMPUTED_VALUE"""),"SILANG")</f>
        <v>SILANG</v>
      </c>
      <c r="S342" s="1" t="str">
        <f>IFERROR(__xludf.DUMMYFUNCTION("""COMPUTED_VALUE"""),"FIBR PLAN 1399")</f>
        <v>FIBR PLAN 1399</v>
      </c>
      <c r="T342" s="1" t="str">
        <f>IFERROR(__xludf.DUMMYFUNCTION("""COMPUTED_VALUE"""),"APPROVED")</f>
        <v>APPROVED</v>
      </c>
      <c r="U342" s="1"/>
      <c r="V342" s="1"/>
      <c r="W342" s="1"/>
    </row>
    <row r="343" customHeight="1" spans="1:23">
      <c r="A343" s="3">
        <f>IFERROR(__xludf.DUMMYFUNCTION("""COMPUTED_VALUE"""),46058)</f>
        <v>46058</v>
      </c>
      <c r="B343" s="1" t="str">
        <f>IFERROR(__xludf.DUMMYFUNCTION("""COMPUTED_VALUE"""),"MALIWAT MARK ELVIN")</f>
        <v>MALIWAT MARK ELVIN</v>
      </c>
      <c r="C343" s="1" t="str">
        <f>IFERROR(__xludf.DUMMYFUNCTION("""COMPUTED_VALUE"""),"FLA")</f>
        <v>FLA</v>
      </c>
      <c r="D343" s="1" t="str">
        <f>IFERROR(__xludf.DUMMYFUNCTION("""COMPUTED_VALUE"""),"JERIC NAVARRO")</f>
        <v>JERIC NAVARRO</v>
      </c>
      <c r="E343" s="1" t="str">
        <f>IFERROR(__xludf.DUMMYFUNCTION("""COMPUTED_VALUE"""),"PLDT")</f>
        <v>PLDT</v>
      </c>
      <c r="F343" s="1">
        <f>IFERROR(__xludf.DUMMYFUNCTION("""COMPUTED_VALUE"""),2306755200)</f>
        <v>2306755200</v>
      </c>
      <c r="G343" s="1"/>
      <c r="H343" s="1" t="str">
        <f>IFERROR(__xludf.DUMMYFUNCTION("""COMPUTED_VALUE"""),"MARICEL LIM CATANGAHAL")</f>
        <v>MARICEL LIM CATANGAHAL</v>
      </c>
      <c r="I343" s="1">
        <f>IFERROR(__xludf.DUMMYFUNCTION("""COMPUTED_VALUE"""),9305971588)</f>
        <v>9305971588</v>
      </c>
      <c r="J343" s="1"/>
      <c r="K343" s="1" t="str">
        <f>IFERROR(__xludf.DUMMYFUNCTION("""COMPUTED_VALUE"""),"CATANGAHALMARICEL1@GMAIL.COM")</f>
        <v>CATANGAHALMARICEL1@GMAIL.COM</v>
      </c>
      <c r="L343" s="1" t="str">
        <f>IFERROR(__xludf.DUMMYFUNCTION("""COMPUTED_VALUE"""),"BLK F8 LOT 1")</f>
        <v>BLK F8 LOT 1</v>
      </c>
      <c r="M343" s="1" t="str">
        <f>IFERROR(__xludf.DUMMYFUNCTION("""COMPUTED_VALUE"""),"EVERLASTING")</f>
        <v>EVERLASTING</v>
      </c>
      <c r="N343" s="1"/>
      <c r="O343" s="1"/>
      <c r="P343" s="1"/>
      <c r="Q343" s="1" t="str">
        <f>IFERROR(__xludf.DUMMYFUNCTION("""COMPUTED_VALUE"""),"SANTA CRISTINA I")</f>
        <v>SANTA CRISTINA I</v>
      </c>
      <c r="R343" s="1" t="str">
        <f>IFERROR(__xludf.DUMMYFUNCTION("""COMPUTED_VALUE"""),"DASMARINAS")</f>
        <v>DASMARINAS</v>
      </c>
      <c r="S343" s="1" t="str">
        <f>IFERROR(__xludf.DUMMYFUNCTION("""COMPUTED_VALUE"""),"PREPAID 999")</f>
        <v>PREPAID 999</v>
      </c>
      <c r="T343" s="1" t="str">
        <f>IFERROR(__xludf.DUMMYFUNCTION("""COMPUTED_VALUE"""),"APPROVED")</f>
        <v>APPROVED</v>
      </c>
      <c r="U343" s="1"/>
      <c r="V343" s="1"/>
      <c r="W343" s="1"/>
    </row>
    <row r="344" customHeight="1" spans="1:23">
      <c r="A344" s="3">
        <f>IFERROR(__xludf.DUMMYFUNCTION("""COMPUTED_VALUE"""),46058)</f>
        <v>46058</v>
      </c>
      <c r="B344" s="1" t="str">
        <f>IFERROR(__xludf.DUMMYFUNCTION("""COMPUTED_VALUE"""),"MIRASOL, RAYRALYN")</f>
        <v>MIRASOL, RAYRALYN</v>
      </c>
      <c r="C344" s="1" t="str">
        <f>IFERROR(__xludf.DUMMYFUNCTION("""COMPUTED_VALUE"""),"ORGANIC")</f>
        <v>ORGANIC</v>
      </c>
      <c r="D344" s="1" t="str">
        <f>IFERROR(__xludf.DUMMYFUNCTION("""COMPUTED_VALUE"""),"REMOLLO LEA")</f>
        <v>REMOLLO LEA</v>
      </c>
      <c r="E344" s="1" t="str">
        <f>IFERROR(__xludf.DUMMYFUNCTION("""COMPUTED_VALUE"""),"HOME BIZZ")</f>
        <v>HOME BIZZ</v>
      </c>
      <c r="F344" s="1">
        <f>IFERROR(__xludf.DUMMYFUNCTION("""COMPUTED_VALUE"""),2306756603)</f>
        <v>2306756603</v>
      </c>
      <c r="G344" s="1"/>
      <c r="H344" s="1" t="str">
        <f>IFERROR(__xludf.DUMMYFUNCTION("""COMPUTED_VALUE"""),"SAMBAL REPUBLIC EATERY")</f>
        <v>SAMBAL REPUBLIC EATERY</v>
      </c>
      <c r="I344" s="1">
        <f>IFERROR(__xludf.DUMMYFUNCTION("""COMPUTED_VALUE"""),9913506378)</f>
        <v>9913506378</v>
      </c>
      <c r="J344" s="1"/>
      <c r="K344" s="1" t="str">
        <f>IFERROR(__xludf.DUMMYFUNCTION("""COMPUTED_VALUE"""),"OPRREBUSORA101985@GMAIL.COM")</f>
        <v>OPRREBUSORA101985@GMAIL.COM</v>
      </c>
      <c r="L344" s="1" t="str">
        <f>IFERROR(__xludf.DUMMYFUNCTION("""COMPUTED_VALUE"""),"BLK 32 LOT 3")</f>
        <v>BLK 32 LOT 3</v>
      </c>
      <c r="M344" s="1" t="str">
        <f>IFERROR(__xludf.DUMMYFUNCTION("""COMPUTED_VALUE"""),"ZONE 3")</f>
        <v>ZONE 3</v>
      </c>
      <c r="N344" s="1"/>
      <c r="O344" s="1"/>
      <c r="P344" s="1"/>
      <c r="Q344" s="1" t="str">
        <f>IFERROR(__xludf.DUMMYFUNCTION("""COMPUTED_VALUE"""),"BULIHAN")</f>
        <v>BULIHAN</v>
      </c>
      <c r="R344" s="1" t="str">
        <f>IFERROR(__xludf.DUMMYFUNCTION("""COMPUTED_VALUE"""),"SILANG")</f>
        <v>SILANG</v>
      </c>
      <c r="S344" s="1" t="str">
        <f>IFERROR(__xludf.DUMMYFUNCTION("""COMPUTED_VALUE"""),"HOMEBIZZ 1299")</f>
        <v>HOMEBIZZ 1299</v>
      </c>
      <c r="T344" s="1" t="str">
        <f>IFERROR(__xludf.DUMMYFUNCTION("""COMPUTED_VALUE"""),"APPROVED")</f>
        <v>APPROVED</v>
      </c>
      <c r="U344" s="1"/>
      <c r="V344" s="1"/>
      <c r="W344" s="1"/>
    </row>
    <row r="345" customHeight="1" spans="1:23">
      <c r="A345" s="3">
        <f>IFERROR(__xludf.DUMMYFUNCTION("""COMPUTED_VALUE"""),46058)</f>
        <v>46058</v>
      </c>
      <c r="B345" s="1" t="str">
        <f>IFERROR(__xludf.DUMMYFUNCTION("""COMPUTED_VALUE"""),"IVNO, RAZZEL")</f>
        <v>IVNO, RAZZEL</v>
      </c>
      <c r="C345" s="1" t="str">
        <f>IFERROR(__xludf.DUMMYFUNCTION("""COMPUTED_VALUE"""),"ORGANIC")</f>
        <v>ORGANIC</v>
      </c>
      <c r="D345" s="1" t="str">
        <f>IFERROR(__xludf.DUMMYFUNCTION("""COMPUTED_VALUE"""),"REMOLLO LEA")</f>
        <v>REMOLLO LEA</v>
      </c>
      <c r="E345" s="1" t="str">
        <f>IFERROR(__xludf.DUMMYFUNCTION("""COMPUTED_VALUE"""),"PLDT")</f>
        <v>PLDT</v>
      </c>
      <c r="F345" s="1">
        <f>IFERROR(__xludf.DUMMYFUNCTION("""COMPUTED_VALUE"""),2306757581)</f>
        <v>2306757581</v>
      </c>
      <c r="G345" s="1"/>
      <c r="H345" s="1" t="str">
        <f>IFERROR(__xludf.DUMMYFUNCTION("""COMPUTED_VALUE"""),"RIZA CUEVAS BIGALAN")</f>
        <v>RIZA CUEVAS BIGALAN</v>
      </c>
      <c r="I345" s="1">
        <f>IFERROR(__xludf.DUMMYFUNCTION("""COMPUTED_VALUE"""),9093534584)</f>
        <v>9093534584</v>
      </c>
      <c r="J345" s="1">
        <f>IFERROR(__xludf.DUMMYFUNCTION("""COMPUTED_VALUE"""),9664519583)</f>
        <v>9664519583</v>
      </c>
      <c r="K345" s="1" t="str">
        <f>IFERROR(__xludf.DUMMYFUNCTION("""COMPUTED_VALUE"""),"BIGALANRIZA@GMAIL.COM")</f>
        <v>BIGALANRIZA@GMAIL.COM</v>
      </c>
      <c r="L345" s="1" t="str">
        <f>IFERROR(__xludf.DUMMYFUNCTION("""COMPUTED_VALUE"""),"BLK 1")</f>
        <v>BLK 1</v>
      </c>
      <c r="M345" s="1" t="str">
        <f>IFERROR(__xludf.DUMMYFUNCTION("""COMPUTED_VALUE"""),"EXCESS LOT")</f>
        <v>EXCESS LOT</v>
      </c>
      <c r="N345" s="1"/>
      <c r="O345" s="1"/>
      <c r="P345" s="1"/>
      <c r="Q345" s="1" t="str">
        <f>IFERROR(__xludf.DUMMYFUNCTION("""COMPUTED_VALUE"""),"ANAHAW I")</f>
        <v>ANAHAW I</v>
      </c>
      <c r="R345" s="1" t="str">
        <f>IFERROR(__xludf.DUMMYFUNCTION("""COMPUTED_VALUE"""),"SILANG")</f>
        <v>SILANG</v>
      </c>
      <c r="S345" s="1" t="str">
        <f>IFERROR(__xludf.DUMMYFUNCTION("""COMPUTED_VALUE"""),"FIBR PLAN 1399")</f>
        <v>FIBR PLAN 1399</v>
      </c>
      <c r="T345" s="1" t="str">
        <f>IFERROR(__xludf.DUMMYFUNCTION("""COMPUTED_VALUE"""),"APPROVED")</f>
        <v>APPROVED</v>
      </c>
      <c r="U345" s="1"/>
      <c r="V345" s="1"/>
      <c r="W345" s="1"/>
    </row>
    <row r="346" customHeight="1" spans="1:23">
      <c r="A346" s="3">
        <f>IFERROR(__xludf.DUMMYFUNCTION("""COMPUTED_VALUE"""),46058)</f>
        <v>46058</v>
      </c>
      <c r="B346" s="1" t="str">
        <f>IFERROR(__xludf.DUMMYFUNCTION("""COMPUTED_VALUE"""),"FAJARDO, PATRICIA")</f>
        <v>FAJARDO, PATRICIA</v>
      </c>
      <c r="C346" s="1" t="str">
        <f>IFERROR(__xludf.DUMMYFUNCTION("""COMPUTED_VALUE"""),"ORGANIC")</f>
        <v>ORGANIC</v>
      </c>
      <c r="D346" s="1" t="str">
        <f>IFERROR(__xludf.DUMMYFUNCTION("""COMPUTED_VALUE"""),"REMOLLO LEA")</f>
        <v>REMOLLO LEA</v>
      </c>
      <c r="E346" s="1" t="str">
        <f>IFERROR(__xludf.DUMMYFUNCTION("""COMPUTED_VALUE"""),"PLDT")</f>
        <v>PLDT</v>
      </c>
      <c r="F346" s="1">
        <f>IFERROR(__xludf.DUMMYFUNCTION("""COMPUTED_VALUE"""),2306758206)</f>
        <v>2306758206</v>
      </c>
      <c r="G346" s="1"/>
      <c r="H346" s="1" t="str">
        <f>IFERROR(__xludf.DUMMYFUNCTION("""COMPUTED_VALUE"""),"GABRIEL ANGELO ALTESIN DOMINGOS")</f>
        <v>GABRIEL ANGELO ALTESIN DOMINGOS</v>
      </c>
      <c r="I346" s="1">
        <f>IFERROR(__xludf.DUMMYFUNCTION("""COMPUTED_VALUE"""),9926158118)</f>
        <v>9926158118</v>
      </c>
      <c r="J346" s="1"/>
      <c r="K346" s="1" t="str">
        <f>IFERROR(__xludf.DUMMYFUNCTION("""COMPUTED_VALUE"""),"GABRIELPOGI@GMAIL.COM")</f>
        <v>GABRIELPOGI@GMAIL.COM</v>
      </c>
      <c r="L346" s="1" t="str">
        <f>IFERROR(__xludf.DUMMYFUNCTION("""COMPUTED_VALUE"""),"BLK 5")</f>
        <v>BLK 5</v>
      </c>
      <c r="M346" s="1" t="str">
        <f>IFERROR(__xludf.DUMMYFUNCTION("""COMPUTED_VALUE"""),"EXCESS LOT")</f>
        <v>EXCESS LOT</v>
      </c>
      <c r="N346" s="1"/>
      <c r="O346" s="1"/>
      <c r="P346" s="1"/>
      <c r="Q346" s="1" t="str">
        <f>IFERROR(__xludf.DUMMYFUNCTION("""COMPUTED_VALUE"""),"BARANGAY 5 POBLACION")</f>
        <v>BARANGAY 5 POBLACION</v>
      </c>
      <c r="R346" s="1" t="str">
        <f>IFERROR(__xludf.DUMMYFUNCTION("""COMPUTED_VALUE"""),"GEN MARIANO ALVAREZ")</f>
        <v>GEN MARIANO ALVAREZ</v>
      </c>
      <c r="S346" s="1" t="str">
        <f>IFERROR(__xludf.DUMMYFUNCTION("""COMPUTED_VALUE"""),"PREPAID 999")</f>
        <v>PREPAID 999</v>
      </c>
      <c r="T346" s="1" t="str">
        <f>IFERROR(__xludf.DUMMYFUNCTION("""COMPUTED_VALUE"""),"APPROVED")</f>
        <v>APPROVED</v>
      </c>
      <c r="U346" s="1"/>
      <c r="V346" s="1"/>
      <c r="W346" s="1"/>
    </row>
    <row r="347" customHeight="1" spans="1:23">
      <c r="A347" s="3">
        <f>IFERROR(__xludf.DUMMYFUNCTION("""COMPUTED_VALUE"""),46058)</f>
        <v>46058</v>
      </c>
      <c r="B347" s="1" t="str">
        <f>IFERROR(__xludf.DUMMYFUNCTION("""COMPUTED_VALUE"""),"IVNO, RAZZEL")</f>
        <v>IVNO, RAZZEL</v>
      </c>
      <c r="C347" s="1" t="str">
        <f>IFERROR(__xludf.DUMMYFUNCTION("""COMPUTED_VALUE"""),"ORGANIC")</f>
        <v>ORGANIC</v>
      </c>
      <c r="D347" s="1" t="str">
        <f>IFERROR(__xludf.DUMMYFUNCTION("""COMPUTED_VALUE"""),"REMOLLO LEA")</f>
        <v>REMOLLO LEA</v>
      </c>
      <c r="E347" s="1" t="str">
        <f>IFERROR(__xludf.DUMMYFUNCTION("""COMPUTED_VALUE"""),"PLDT")</f>
        <v>PLDT</v>
      </c>
      <c r="F347" s="1">
        <f>IFERROR(__xludf.DUMMYFUNCTION("""COMPUTED_VALUE"""),2306758865)</f>
        <v>2306758865</v>
      </c>
      <c r="G347" s="1"/>
      <c r="H347" s="1" t="str">
        <f>IFERROR(__xludf.DUMMYFUNCTION("""COMPUTED_VALUE"""),"WENCESLINA YAP CHAN")</f>
        <v>WENCESLINA YAP CHAN</v>
      </c>
      <c r="I347" s="1">
        <f>IFERROR(__xludf.DUMMYFUNCTION("""COMPUTED_VALUE"""),9326560231)</f>
        <v>9326560231</v>
      </c>
      <c r="J347" s="1"/>
      <c r="K347" s="1" t="str">
        <f>IFERROR(__xludf.DUMMYFUNCTION("""COMPUTED_VALUE"""),"WENY.CHAN8693@GMAIL.COM")</f>
        <v>WENY.CHAN8693@GMAIL.COM</v>
      </c>
      <c r="L347" s="1" t="str">
        <f>IFERROR(__xludf.DUMMYFUNCTION("""COMPUTED_VALUE"""),"105")</f>
        <v>105</v>
      </c>
      <c r="M347" s="1" t="str">
        <f>IFERROR(__xludf.DUMMYFUNCTION("""COMPUTED_VALUE"""),"UNIT A")</f>
        <v>UNIT A</v>
      </c>
      <c r="N347" s="1" t="str">
        <f>IFERROR(__xludf.DUMMYFUNCTION("""COMPUTED_VALUE"""),"MENDOZA APPARTMENT")</f>
        <v>MENDOZA APPARTMENT</v>
      </c>
      <c r="O347" s="1"/>
      <c r="P347" s="1"/>
      <c r="Q347" s="1" t="str">
        <f>IFERROR(__xludf.DUMMYFUNCTION("""COMPUTED_VALUE"""),"MAITIM 2ND CENTRAL")</f>
        <v>MAITIM 2ND CENTRAL</v>
      </c>
      <c r="R347" s="1" t="str">
        <f>IFERROR(__xludf.DUMMYFUNCTION("""COMPUTED_VALUE"""),"TAGAYTAY")</f>
        <v>TAGAYTAY</v>
      </c>
      <c r="S347" s="1" t="str">
        <f>IFERROR(__xludf.DUMMYFUNCTION("""COMPUTED_VALUE"""),"FIBR PLAN 1399")</f>
        <v>FIBR PLAN 1399</v>
      </c>
      <c r="T347" s="1" t="str">
        <f>IFERROR(__xludf.DUMMYFUNCTION("""COMPUTED_VALUE"""),"APPROVED")</f>
        <v>APPROVED</v>
      </c>
      <c r="U347" s="1"/>
      <c r="V347" s="1"/>
      <c r="W347" s="1"/>
    </row>
    <row r="348" customHeight="1" spans="1:23">
      <c r="A348" s="3">
        <f>IFERROR(__xludf.DUMMYFUNCTION("""COMPUTED_VALUE"""),46058)</f>
        <v>46058</v>
      </c>
      <c r="B348" s="1" t="str">
        <f>IFERROR(__xludf.DUMMYFUNCTION("""COMPUTED_VALUE"""),"DE VERA, MARIVIC")</f>
        <v>DE VERA, MARIVIC</v>
      </c>
      <c r="C348" s="1" t="str">
        <f>IFERROR(__xludf.DUMMYFUNCTION("""COMPUTED_VALUE"""),"ORGANIC")</f>
        <v>ORGANIC</v>
      </c>
      <c r="D348" s="1" t="str">
        <f>IFERROR(__xludf.DUMMYFUNCTION("""COMPUTED_VALUE"""),"REMOLLO LEA")</f>
        <v>REMOLLO LEA</v>
      </c>
      <c r="E348" s="1" t="str">
        <f>IFERROR(__xludf.DUMMYFUNCTION("""COMPUTED_VALUE"""),"PLDT")</f>
        <v>PLDT</v>
      </c>
      <c r="F348" s="1">
        <f>IFERROR(__xludf.DUMMYFUNCTION("""COMPUTED_VALUE"""),2306763859)</f>
        <v>2306763859</v>
      </c>
      <c r="G348" s="1"/>
      <c r="H348" s="1" t="str">
        <f>IFERROR(__xludf.DUMMYFUNCTION("""COMPUTED_VALUE"""),"MARILOU POLO GARCERA")</f>
        <v>MARILOU POLO GARCERA</v>
      </c>
      <c r="I348" s="1">
        <f>IFERROR(__xludf.DUMMYFUNCTION("""COMPUTED_VALUE"""),9811991824)</f>
        <v>9811991824</v>
      </c>
      <c r="J348" s="1"/>
      <c r="K348" s="1" t="str">
        <f>IFERROR(__xludf.DUMMYFUNCTION("""COMPUTED_VALUE"""),"MARILOUGARCERA29@GMAIL.COM")</f>
        <v>MARILOUGARCERA29@GMAIL.COM</v>
      </c>
      <c r="L348" s="1" t="str">
        <f>IFERROR(__xludf.DUMMYFUNCTION("""COMPUTED_VALUE"""),"756")</f>
        <v>756</v>
      </c>
      <c r="M348" s="1" t="str">
        <f>IFERROR(__xludf.DUMMYFUNCTION("""COMPUTED_VALUE"""),"BLK 3")</f>
        <v>BLK 3</v>
      </c>
      <c r="N348" s="1"/>
      <c r="O348" s="1"/>
      <c r="P348" s="1"/>
      <c r="Q348" s="1" t="str">
        <f>IFERROR(__xludf.DUMMYFUNCTION("""COMPUTED_VALUE"""),"BERNARDO PULIDO (AREA H)")</f>
        <v>BERNARDO PULIDO (AREA H)</v>
      </c>
      <c r="R348" s="1" t="str">
        <f>IFERROR(__xludf.DUMMYFUNCTION("""COMPUTED_VALUE"""),"GEN MARIANO ALVAREZ")</f>
        <v>GEN MARIANO ALVAREZ</v>
      </c>
      <c r="S348" s="1" t="str">
        <f>IFERROR(__xludf.DUMMYFUNCTION("""COMPUTED_VALUE"""),"PREPAID 999")</f>
        <v>PREPAID 999</v>
      </c>
      <c r="T348" s="1" t="str">
        <f>IFERROR(__xludf.DUMMYFUNCTION("""COMPUTED_VALUE"""),"APPROVED")</f>
        <v>APPROVED</v>
      </c>
      <c r="U348" s="1"/>
      <c r="V348" s="1"/>
      <c r="W348" s="1"/>
    </row>
    <row r="349" customHeight="1" spans="1:23">
      <c r="A349" s="3">
        <f>IFERROR(__xludf.DUMMYFUNCTION("""COMPUTED_VALUE"""),46058)</f>
        <v>46058</v>
      </c>
      <c r="B349" s="1" t="str">
        <f>IFERROR(__xludf.DUMMYFUNCTION("""COMPUTED_VALUE"""),"DE VERA, MARIVIC")</f>
        <v>DE VERA, MARIVIC</v>
      </c>
      <c r="C349" s="1" t="str">
        <f>IFERROR(__xludf.DUMMYFUNCTION("""COMPUTED_VALUE"""),"ORGANIC")</f>
        <v>ORGANIC</v>
      </c>
      <c r="D349" s="1" t="str">
        <f>IFERROR(__xludf.DUMMYFUNCTION("""COMPUTED_VALUE"""),"REMOLLO LEA")</f>
        <v>REMOLLO LEA</v>
      </c>
      <c r="E349" s="1" t="str">
        <f>IFERROR(__xludf.DUMMYFUNCTION("""COMPUTED_VALUE"""),"PLDT")</f>
        <v>PLDT</v>
      </c>
      <c r="F349" s="1">
        <f>IFERROR(__xludf.DUMMYFUNCTION("""COMPUTED_VALUE"""),2306764302)</f>
        <v>2306764302</v>
      </c>
      <c r="G349" s="1"/>
      <c r="H349" s="1" t="str">
        <f>IFERROR(__xludf.DUMMYFUNCTION("""COMPUTED_VALUE"""),"JOYCE MAHINAY EVANGELISTA")</f>
        <v>JOYCE MAHINAY EVANGELISTA</v>
      </c>
      <c r="I349" s="1">
        <f>IFERROR(__xludf.DUMMYFUNCTION("""COMPUTED_VALUE"""),9575968793)</f>
        <v>9575968793</v>
      </c>
      <c r="J349" s="1">
        <f>IFERROR(__xludf.DUMMYFUNCTION("""COMPUTED_VALUE"""),9811991824)</f>
        <v>9811991824</v>
      </c>
      <c r="K349" s="1" t="str">
        <f>IFERROR(__xludf.DUMMYFUNCTION("""COMPUTED_VALUE"""),"EVANGELISTAJOYCE443@GMAIL.COM")</f>
        <v>EVANGELISTAJOYCE443@GMAIL.COM</v>
      </c>
      <c r="L349" s="1" t="str">
        <f>IFERROR(__xludf.DUMMYFUNCTION("""COMPUTED_VALUE"""),"757")</f>
        <v>757</v>
      </c>
      <c r="M349" s="1" t="str">
        <f>IFERROR(__xludf.DUMMYFUNCTION("""COMPUTED_VALUE"""),"BLK 3")</f>
        <v>BLK 3</v>
      </c>
      <c r="N349" s="1"/>
      <c r="O349" s="1"/>
      <c r="P349" s="1"/>
      <c r="Q349" s="1" t="str">
        <f>IFERROR(__xludf.DUMMYFUNCTION("""COMPUTED_VALUE"""),"BERNARDO PULIDO (AREA H)")</f>
        <v>BERNARDO PULIDO (AREA H)</v>
      </c>
      <c r="R349" s="1" t="str">
        <f>IFERROR(__xludf.DUMMYFUNCTION("""COMPUTED_VALUE"""),"GEN MARIANO ALVAREZ")</f>
        <v>GEN MARIANO ALVAREZ</v>
      </c>
      <c r="S349" s="1" t="str">
        <f>IFERROR(__xludf.DUMMYFUNCTION("""COMPUTED_VALUE"""),"PREPAID 999")</f>
        <v>PREPAID 999</v>
      </c>
      <c r="T349" s="1" t="str">
        <f>IFERROR(__xludf.DUMMYFUNCTION("""COMPUTED_VALUE"""),"APPROVED")</f>
        <v>APPROVED</v>
      </c>
      <c r="U349" s="1"/>
      <c r="V349" s="1"/>
      <c r="W349" s="1"/>
    </row>
    <row r="350" customHeight="1" spans="1:23">
      <c r="A350" s="3">
        <f>IFERROR(__xludf.DUMMYFUNCTION("""COMPUTED_VALUE"""),46058)</f>
        <v>46058</v>
      </c>
      <c r="B350" s="1" t="str">
        <f>IFERROR(__xludf.DUMMYFUNCTION("""COMPUTED_VALUE"""),"MALIWAT MARK ELVIN")</f>
        <v>MALIWAT MARK ELVIN</v>
      </c>
      <c r="C350" s="1" t="str">
        <f>IFERROR(__xludf.DUMMYFUNCTION("""COMPUTED_VALUE"""),"FLA")</f>
        <v>FLA</v>
      </c>
      <c r="D350" s="1" t="str">
        <f>IFERROR(__xludf.DUMMYFUNCTION("""COMPUTED_VALUE"""),"JERIC NAVARRO")</f>
        <v>JERIC NAVARRO</v>
      </c>
      <c r="E350" s="1" t="str">
        <f>IFERROR(__xludf.DUMMYFUNCTION("""COMPUTED_VALUE"""),"RED FIBER")</f>
        <v>RED FIBER</v>
      </c>
      <c r="F350" s="1"/>
      <c r="G350" s="1"/>
      <c r="H350" s="1" t="str">
        <f>IFERROR(__xludf.DUMMYFUNCTION("""COMPUTED_VALUE"""),"RYAN CHRISTOPHER ARAGDON SEVILLA")</f>
        <v>RYAN CHRISTOPHER ARAGDON SEVILLA</v>
      </c>
      <c r="I350" s="1">
        <f>IFERROR(__xludf.DUMMYFUNCTION("""COMPUTED_VALUE"""),9366154236)</f>
        <v>9366154236</v>
      </c>
      <c r="J350" s="1"/>
      <c r="K350" s="1" t="str">
        <f>IFERROR(__xludf.DUMMYFUNCTION("""COMPUTED_VALUE"""),"IHPMONTESER@GMAIL.COM")</f>
        <v>IHPMONTESER@GMAIL.COM</v>
      </c>
      <c r="L350" s="1" t="str">
        <f>IFERROR(__xludf.DUMMYFUNCTION("""COMPUTED_VALUE"""),"7363")</f>
        <v>7363</v>
      </c>
      <c r="M350" s="1" t="str">
        <f>IFERROR(__xludf.DUMMYFUNCTION("""COMPUTED_VALUE"""),"VICTOR ST")</f>
        <v>VICTOR ST</v>
      </c>
      <c r="N350" s="1"/>
      <c r="O350" s="1"/>
      <c r="P350" s="1"/>
      <c r="Q350" s="1"/>
      <c r="R350" s="1"/>
      <c r="S350" s="1" t="str">
        <f>IFERROR(__xludf.DUMMYFUNCTION("""COMPUTED_VALUE"""),"RED FIBER PLAN 1400")</f>
        <v>RED FIBER PLAN 1400</v>
      </c>
      <c r="T350" s="1" t="str">
        <f>IFERROR(__xludf.DUMMYFUNCTION("""COMPUTED_VALUE"""),"APPROVED")</f>
        <v>APPROVED</v>
      </c>
      <c r="U350" s="1"/>
      <c r="V350" s="1"/>
      <c r="W350" s="1"/>
    </row>
    <row r="351" customHeight="1" spans="1:23">
      <c r="A351" s="3">
        <f>IFERROR(__xludf.DUMMYFUNCTION("""COMPUTED_VALUE"""),46058)</f>
        <v>46058</v>
      </c>
      <c r="B351" s="1" t="str">
        <f>IFERROR(__xludf.DUMMYFUNCTION("""COMPUTED_VALUE"""),"MAGDARAOG, KENNETH")</f>
        <v>MAGDARAOG, KENNETH</v>
      </c>
      <c r="C351" s="1" t="str">
        <f>IFERROR(__xludf.DUMMYFUNCTION("""COMPUTED_VALUE"""),"ORGANIC")</f>
        <v>ORGANIC</v>
      </c>
      <c r="D351" s="1" t="str">
        <f>IFERROR(__xludf.DUMMYFUNCTION("""COMPUTED_VALUE"""),"REMOLLO LEA")</f>
        <v>REMOLLO LEA</v>
      </c>
      <c r="E351" s="1" t="str">
        <f>IFERROR(__xludf.DUMMYFUNCTION("""COMPUTED_VALUE"""),"PLDT")</f>
        <v>PLDT</v>
      </c>
      <c r="F351" s="1">
        <f>IFERROR(__xludf.DUMMYFUNCTION("""COMPUTED_VALUE"""),2306767484)</f>
        <v>2306767484</v>
      </c>
      <c r="G351" s="1"/>
      <c r="H351" s="1" t="str">
        <f>IFERROR(__xludf.DUMMYFUNCTION("""COMPUTED_VALUE"""),"CHEIZEL BARBOSA EUPENA")</f>
        <v>CHEIZEL BARBOSA EUPENA</v>
      </c>
      <c r="I351" s="1">
        <f>IFERROR(__xludf.DUMMYFUNCTION("""COMPUTED_VALUE"""),9489710601)</f>
        <v>9489710601</v>
      </c>
      <c r="J351" s="1">
        <f>IFERROR(__xludf.DUMMYFUNCTION("""COMPUTED_VALUE"""),9489710607)</f>
        <v>9489710607</v>
      </c>
      <c r="K351" s="1" t="str">
        <f>IFERROR(__xludf.DUMMYFUNCTION("""COMPUTED_VALUE"""),"EUPENIAMONSITO07@GMAIL.COM")</f>
        <v>EUPENIAMONSITO07@GMAIL.COM</v>
      </c>
      <c r="L351" s="1" t="str">
        <f>IFERROR(__xludf.DUMMYFUNCTION("""COMPUTED_VALUE"""),"BLK 9")</f>
        <v>BLK 9</v>
      </c>
      <c r="M351" s="1" t="str">
        <f>IFERROR(__xludf.DUMMYFUNCTION("""COMPUTED_VALUE"""),"EXCESS LOT")</f>
        <v>EXCESS LOT</v>
      </c>
      <c r="N351" s="1"/>
      <c r="O351" s="1"/>
      <c r="P351" s="1"/>
      <c r="Q351" s="1" t="str">
        <f>IFERROR(__xludf.DUMMYFUNCTION("""COMPUTED_VALUE"""),"KAPITAN KUA (AREA F)")</f>
        <v>KAPITAN KUA (AREA F)</v>
      </c>
      <c r="R351" s="1" t="str">
        <f>IFERROR(__xludf.DUMMYFUNCTION("""COMPUTED_VALUE"""),"GEN MARIANO ALVAREZ")</f>
        <v>GEN MARIANO ALVAREZ</v>
      </c>
      <c r="S351" s="1" t="str">
        <f>IFERROR(__xludf.DUMMYFUNCTION("""COMPUTED_VALUE"""),"FIBR PLAN 1399")</f>
        <v>FIBR PLAN 1399</v>
      </c>
      <c r="T351" s="1" t="str">
        <f>IFERROR(__xludf.DUMMYFUNCTION("""COMPUTED_VALUE"""),"APPROVED")</f>
        <v>APPROVED</v>
      </c>
      <c r="U351" s="1"/>
      <c r="V351" s="1"/>
      <c r="W351" s="1"/>
    </row>
    <row r="352" customHeight="1" spans="1:23">
      <c r="A352" s="3">
        <f>IFERROR(__xludf.DUMMYFUNCTION("""COMPUTED_VALUE"""),46059)</f>
        <v>46059</v>
      </c>
      <c r="B352" s="1" t="str">
        <f>IFERROR(__xludf.DUMMYFUNCTION("""COMPUTED_VALUE"""),"MALIWAT MARK ELVIN")</f>
        <v>MALIWAT MARK ELVIN</v>
      </c>
      <c r="C352" s="1" t="str">
        <f>IFERROR(__xludf.DUMMYFUNCTION("""COMPUTED_VALUE"""),"FLA")</f>
        <v>FLA</v>
      </c>
      <c r="D352" s="1" t="str">
        <f>IFERROR(__xludf.DUMMYFUNCTION("""COMPUTED_VALUE"""),"JERIC NAVARRO")</f>
        <v>JERIC NAVARRO</v>
      </c>
      <c r="E352" s="1" t="str">
        <f>IFERROR(__xludf.DUMMYFUNCTION("""COMPUTED_VALUE"""),"PLDT")</f>
        <v>PLDT</v>
      </c>
      <c r="F352" s="1">
        <f>IFERROR(__xludf.DUMMYFUNCTION("""COMPUTED_VALUE"""),2306779634)</f>
        <v>2306779634</v>
      </c>
      <c r="G352" s="1"/>
      <c r="H352" s="1" t="str">
        <f>IFERROR(__xludf.DUMMYFUNCTION("""COMPUTED_VALUE"""),"DENNIS CANDILLA PREAGOLA")</f>
        <v>DENNIS CANDILLA PREAGOLA</v>
      </c>
      <c r="I352" s="1">
        <f>IFERROR(__xludf.DUMMYFUNCTION("""COMPUTED_VALUE"""),9939657805)</f>
        <v>9939657805</v>
      </c>
      <c r="J352" s="1">
        <f>IFERROR(__xludf.DUMMYFUNCTION("""COMPUTED_VALUE"""),9935182737)</f>
        <v>9935182737</v>
      </c>
      <c r="K352" s="1" t="str">
        <f>IFERROR(__xludf.DUMMYFUNCTION("""COMPUTED_VALUE"""),"BELENBINARAO03@GMAIL.COM")</f>
        <v>BELENBINARAO03@GMAIL.COM</v>
      </c>
      <c r="L352" s="1" t="str">
        <f>IFERROR(__xludf.DUMMYFUNCTION("""COMPUTED_VALUE"""),"BLK 58 EXC")</f>
        <v>BLK 58 EXC</v>
      </c>
      <c r="M352" s="1" t="str">
        <f>IFERROR(__xludf.DUMMYFUNCTION("""COMPUTED_VALUE"""),"STA MARIA")</f>
        <v>STA MARIA</v>
      </c>
      <c r="N352" s="1"/>
      <c r="O352" s="1"/>
      <c r="P352" s="1"/>
      <c r="Q352" s="1" t="str">
        <f>IFERROR(__xludf.DUMMYFUNCTION("""COMPUTED_VALUE"""),"SAN ROQUE (STA. CRISTINA II)")</f>
        <v>SAN ROQUE (STA. CRISTINA II)</v>
      </c>
      <c r="R352" s="1" t="str">
        <f>IFERROR(__xludf.DUMMYFUNCTION("""COMPUTED_VALUE"""),"DASMARINAS")</f>
        <v>DASMARINAS</v>
      </c>
      <c r="S352" s="1" t="str">
        <f>IFERROR(__xludf.DUMMYFUNCTION("""COMPUTED_VALUE"""),"FIBR PLAN 1399")</f>
        <v>FIBR PLAN 1399</v>
      </c>
      <c r="T352" s="1" t="str">
        <f>IFERROR(__xludf.DUMMYFUNCTION("""COMPUTED_VALUE"""),"APPROVED")</f>
        <v>APPROVED</v>
      </c>
      <c r="U352" s="1"/>
      <c r="V352" s="1"/>
      <c r="W352" s="1"/>
    </row>
    <row r="353" customHeight="1" spans="1:23">
      <c r="A353" s="3">
        <f>IFERROR(__xludf.DUMMYFUNCTION("""COMPUTED_VALUE"""),46059)</f>
        <v>46059</v>
      </c>
      <c r="B353" s="1" t="str">
        <f>IFERROR(__xludf.DUMMYFUNCTION("""COMPUTED_VALUE"""),"MALIWAT MARK ELVIN")</f>
        <v>MALIWAT MARK ELVIN</v>
      </c>
      <c r="C353" s="1" t="str">
        <f>IFERROR(__xludf.DUMMYFUNCTION("""COMPUTED_VALUE"""),"FLA")</f>
        <v>FLA</v>
      </c>
      <c r="D353" s="1" t="str">
        <f>IFERROR(__xludf.DUMMYFUNCTION("""COMPUTED_VALUE"""),"JERIC NAVARRO")</f>
        <v>JERIC NAVARRO</v>
      </c>
      <c r="E353" s="1" t="str">
        <f>IFERROR(__xludf.DUMMYFUNCTION("""COMPUTED_VALUE"""),"PLDT")</f>
        <v>PLDT</v>
      </c>
      <c r="F353" s="1">
        <f>IFERROR(__xludf.DUMMYFUNCTION("""COMPUTED_VALUE"""),2306781638)</f>
        <v>2306781638</v>
      </c>
      <c r="G353" s="1"/>
      <c r="H353" s="1" t="str">
        <f>IFERROR(__xludf.DUMMYFUNCTION("""COMPUTED_VALUE"""),"BELEN TAYRUS BINARAO")</f>
        <v>BELEN TAYRUS BINARAO</v>
      </c>
      <c r="I353" s="1">
        <f>IFERROR(__xludf.DUMMYFUNCTION("""COMPUTED_VALUE"""),9156221846)</f>
        <v>9156221846</v>
      </c>
      <c r="J353" s="1">
        <f>IFERROR(__xludf.DUMMYFUNCTION("""COMPUTED_VALUE"""),9939657806)</f>
        <v>9939657806</v>
      </c>
      <c r="K353" s="1" t="str">
        <f>IFERROR(__xludf.DUMMYFUNCTION("""COMPUTED_VALUE"""),"BENSPREAGOLA02@GMAIL.COM")</f>
        <v>BENSPREAGOLA02@GMAIL.COM</v>
      </c>
      <c r="L353" s="1" t="str">
        <f>IFERROR(__xludf.DUMMYFUNCTION("""COMPUTED_VALUE"""),"32")</f>
        <v>32</v>
      </c>
      <c r="M353" s="1" t="str">
        <f>IFERROR(__xludf.DUMMYFUNCTION("""COMPUTED_VALUE"""),"ACACIA")</f>
        <v>ACACIA</v>
      </c>
      <c r="N353" s="1" t="str">
        <f>IFERROR(__xludf.DUMMYFUNCTION("""COMPUTED_VALUE"""),"WOODSTATE")</f>
        <v>WOODSTATE</v>
      </c>
      <c r="O353" s="1"/>
      <c r="P353" s="1"/>
      <c r="Q353" s="1" t="str">
        <f>IFERROR(__xludf.DUMMYFUNCTION("""COMPUTED_VALUE"""),"SAN JOSE")</f>
        <v>SAN JOSE</v>
      </c>
      <c r="R353" s="1" t="str">
        <f>IFERROR(__xludf.DUMMYFUNCTION("""COMPUTED_VALUE"""),"DASMARINAS")</f>
        <v>DASMARINAS</v>
      </c>
      <c r="S353" s="1" t="str">
        <f>IFERROR(__xludf.DUMMYFUNCTION("""COMPUTED_VALUE"""),"FIBR PLAN 1399")</f>
        <v>FIBR PLAN 1399</v>
      </c>
      <c r="T353" s="1" t="str">
        <f>IFERROR(__xludf.DUMMYFUNCTION("""COMPUTED_VALUE"""),"APPROVED")</f>
        <v>APPROVED</v>
      </c>
      <c r="U353" s="1"/>
      <c r="V353" s="1"/>
      <c r="W353" s="1"/>
    </row>
    <row r="354" customHeight="1" spans="1:23">
      <c r="A354" s="3">
        <f>IFERROR(__xludf.DUMMYFUNCTION("""COMPUTED_VALUE"""),46059)</f>
        <v>46059</v>
      </c>
      <c r="B354" s="1" t="str">
        <f>IFERROR(__xludf.DUMMYFUNCTION("""COMPUTED_VALUE"""),"ESCARCHA, MA ALMA  ESCOTO")</f>
        <v>ESCARCHA, MA ALMA  ESCOTO</v>
      </c>
      <c r="C354" s="1" t="str">
        <f>IFERROR(__xludf.DUMMYFUNCTION("""COMPUTED_VALUE"""),"FLA")</f>
        <v>FLA</v>
      </c>
      <c r="D354" s="1" t="str">
        <f>IFERROR(__xludf.DUMMYFUNCTION("""COMPUTED_VALUE"""),"JERIC NAVARRO")</f>
        <v>JERIC NAVARRO</v>
      </c>
      <c r="E354" s="1" t="str">
        <f>IFERROR(__xludf.DUMMYFUNCTION("""COMPUTED_VALUE"""),"PLDT")</f>
        <v>PLDT</v>
      </c>
      <c r="F354" s="1">
        <f>IFERROR(__xludf.DUMMYFUNCTION("""COMPUTED_VALUE"""),2306788247)</f>
        <v>2306788247</v>
      </c>
      <c r="G354" s="1"/>
      <c r="H354" s="1" t="str">
        <f>IFERROR(__xludf.DUMMYFUNCTION("""COMPUTED_VALUE"""),"JANICE DIZON BONITE")</f>
        <v>JANICE DIZON BONITE</v>
      </c>
      <c r="I354" s="1">
        <f>IFERROR(__xludf.DUMMYFUNCTION("""COMPUTED_VALUE"""),9953000482)</f>
        <v>9953000482</v>
      </c>
      <c r="J354" s="1">
        <f>IFERROR(__xludf.DUMMYFUNCTION("""COMPUTED_VALUE"""),9458873719)</f>
        <v>9458873719</v>
      </c>
      <c r="K354" s="1" t="str">
        <f>IFERROR(__xludf.DUMMYFUNCTION("""COMPUTED_VALUE"""),"JANICEBONITE786@GMAIL.COM")</f>
        <v>JANICEBONITE786@GMAIL.COM</v>
      </c>
      <c r="L354" s="1" t="str">
        <f>IFERROR(__xludf.DUMMYFUNCTION("""COMPUTED_VALUE"""),"BLK 17 LOT 45")</f>
        <v>BLK 17 LOT 45</v>
      </c>
      <c r="M354" s="1" t="str">
        <f>IFERROR(__xludf.DUMMYFUNCTION("""COMPUTED_VALUE"""),"DELAS ALAS")</f>
        <v>DELAS ALAS</v>
      </c>
      <c r="N354" s="1"/>
      <c r="O354" s="1"/>
      <c r="P354" s="1"/>
      <c r="Q354" s="1" t="str">
        <f>IFERROR(__xludf.DUMMYFUNCTION("""COMPUTED_VALUE"""),"SEVERINO DE LAS ALAS")</f>
        <v>SEVERINO DE LAS ALAS</v>
      </c>
      <c r="R354" s="1" t="str">
        <f>IFERROR(__xludf.DUMMYFUNCTION("""COMPUTED_VALUE"""),"GEN MARIANO ALVAREZ")</f>
        <v>GEN MARIANO ALVAREZ</v>
      </c>
      <c r="S354" s="1" t="str">
        <f>IFERROR(__xludf.DUMMYFUNCTION("""COMPUTED_VALUE"""),"FIBR PLAN 1399")</f>
        <v>FIBR PLAN 1399</v>
      </c>
      <c r="T354" s="1" t="str">
        <f>IFERROR(__xludf.DUMMYFUNCTION("""COMPUTED_VALUE"""),"APPROVED")</f>
        <v>APPROVED</v>
      </c>
      <c r="U354" s="1"/>
      <c r="V354" s="1"/>
      <c r="W354" s="1"/>
    </row>
    <row r="355" customHeight="1" spans="1:23">
      <c r="A355" s="3">
        <f>IFERROR(__xludf.DUMMYFUNCTION("""COMPUTED_VALUE"""),46059)</f>
        <v>46059</v>
      </c>
      <c r="B355" s="1" t="str">
        <f>IFERROR(__xludf.DUMMYFUNCTION("""COMPUTED_VALUE"""),"GABAY, MANUEL")</f>
        <v>GABAY, MANUEL</v>
      </c>
      <c r="C355" s="1" t="str">
        <f>IFERROR(__xludf.DUMMYFUNCTION("""COMPUTED_VALUE"""),"FLA")</f>
        <v>FLA</v>
      </c>
      <c r="D355" s="1" t="str">
        <f>IFERROR(__xludf.DUMMYFUNCTION("""COMPUTED_VALUE"""),"JERIC NAVARRO")</f>
        <v>JERIC NAVARRO</v>
      </c>
      <c r="E355" s="1" t="str">
        <f>IFERROR(__xludf.DUMMYFUNCTION("""COMPUTED_VALUE"""),"PLDT")</f>
        <v>PLDT</v>
      </c>
      <c r="F355" s="1">
        <f>IFERROR(__xludf.DUMMYFUNCTION("""COMPUTED_VALUE"""),2306788971)</f>
        <v>2306788971</v>
      </c>
      <c r="G355" s="1"/>
      <c r="H355" s="1" t="str">
        <f>IFERROR(__xludf.DUMMYFUNCTION("""COMPUTED_VALUE"""),"ALINOR SULTAN BANTUAS")</f>
        <v>ALINOR SULTAN BANTUAS</v>
      </c>
      <c r="I355" s="1">
        <f>IFERROR(__xludf.DUMMYFUNCTION("""COMPUTED_VALUE"""),9634540087)</f>
        <v>9634540087</v>
      </c>
      <c r="J355" s="1">
        <f>IFERROR(__xludf.DUMMYFUNCTION("""COMPUTED_VALUE"""),9583031713)</f>
        <v>9583031713</v>
      </c>
      <c r="K355" s="1" t="str">
        <f>IFERROR(__xludf.DUMMYFUNCTION("""COMPUTED_VALUE"""),"MOHAIMENBANTUAS@GMAIL.COM")</f>
        <v>MOHAIMENBANTUAS@GMAIL.COM</v>
      </c>
      <c r="L355" s="1" t="str">
        <f>IFERROR(__xludf.DUMMYFUNCTION("""COMPUTED_VALUE"""),"BLK 120 LOT 10")</f>
        <v>BLK 120 LOT 10</v>
      </c>
      <c r="M355" s="1" t="str">
        <f>IFERROR(__xludf.DUMMYFUNCTION("""COMPUTED_VALUE"""),"ZONE 7")</f>
        <v>ZONE 7</v>
      </c>
      <c r="N355" s="1" t="str">
        <f>IFERROR(__xludf.DUMMYFUNCTION("""COMPUTED_VALUE"""),"AFP HOUSING")</f>
        <v>AFP HOUSING</v>
      </c>
      <c r="O355" s="1"/>
      <c r="P355" s="1"/>
      <c r="Q355" s="1" t="str">
        <f>IFERROR(__xludf.DUMMYFUNCTION("""COMPUTED_VALUE"""),"BULIHAN")</f>
        <v>BULIHAN</v>
      </c>
      <c r="R355" s="1" t="str">
        <f>IFERROR(__xludf.DUMMYFUNCTION("""COMPUTED_VALUE"""),"SILANG")</f>
        <v>SILANG</v>
      </c>
      <c r="S355" s="1" t="str">
        <f>IFERROR(__xludf.DUMMYFUNCTION("""COMPUTED_VALUE"""),"FIBR PLAN 1399")</f>
        <v>FIBR PLAN 1399</v>
      </c>
      <c r="T355" s="1" t="str">
        <f>IFERROR(__xludf.DUMMYFUNCTION("""COMPUTED_VALUE"""),"APPROVED")</f>
        <v>APPROVED</v>
      </c>
      <c r="U355" s="1"/>
      <c r="V355" s="1"/>
      <c r="W355" s="1"/>
    </row>
    <row r="356" customHeight="1" spans="1:23">
      <c r="A356" s="3">
        <f>IFERROR(__xludf.DUMMYFUNCTION("""COMPUTED_VALUE"""),46059)</f>
        <v>46059</v>
      </c>
      <c r="B356" s="1" t="str">
        <f>IFERROR(__xludf.DUMMYFUNCTION("""COMPUTED_VALUE"""),"MIRASOL, RAYRALYN")</f>
        <v>MIRASOL, RAYRALYN</v>
      </c>
      <c r="C356" s="1" t="str">
        <f>IFERROR(__xludf.DUMMYFUNCTION("""COMPUTED_VALUE"""),"ORGANIC")</f>
        <v>ORGANIC</v>
      </c>
      <c r="D356" s="1" t="str">
        <f>IFERROR(__xludf.DUMMYFUNCTION("""COMPUTED_VALUE"""),"REMOLLO LEA")</f>
        <v>REMOLLO LEA</v>
      </c>
      <c r="E356" s="1" t="str">
        <f>IFERROR(__xludf.DUMMYFUNCTION("""COMPUTED_VALUE"""),"PLDT")</f>
        <v>PLDT</v>
      </c>
      <c r="F356" s="1">
        <f>IFERROR(__xludf.DUMMYFUNCTION("""COMPUTED_VALUE"""),2306791036)</f>
        <v>2306791036</v>
      </c>
      <c r="G356" s="1"/>
      <c r="H356" s="1" t="str">
        <f>IFERROR(__xludf.DUMMYFUNCTION("""COMPUTED_VALUE"""),"KURT JHONY LUMAGUI ALIGACION")</f>
        <v>KURT JHONY LUMAGUI ALIGACION</v>
      </c>
      <c r="I356" s="1">
        <f>IFERROR(__xludf.DUMMYFUNCTION("""COMPUTED_VALUE"""),9279043471)</f>
        <v>9279043471</v>
      </c>
      <c r="J356" s="1"/>
      <c r="K356" s="1" t="str">
        <f>IFERROR(__xludf.DUMMYFUNCTION("""COMPUTED_VALUE"""),"ALLIGACIONKURTJHONY19@GMAIL.COM")</f>
        <v>ALLIGACIONKURTJHONY19@GMAIL.COM</v>
      </c>
      <c r="L356" s="1" t="str">
        <f>IFERROR(__xludf.DUMMYFUNCTION("""COMPUTED_VALUE"""),"396")</f>
        <v>396</v>
      </c>
      <c r="M356" s="1" t="str">
        <f>IFERROR(__xludf.DUMMYFUNCTION("""COMPUTED_VALUE"""),"ADLAS")</f>
        <v>ADLAS</v>
      </c>
      <c r="N356" s="1"/>
      <c r="O356" s="1"/>
      <c r="P356" s="1"/>
      <c r="Q356" s="1" t="str">
        <f>IFERROR(__xludf.DUMMYFUNCTION("""COMPUTED_VALUE"""),"ADLAS")</f>
        <v>ADLAS</v>
      </c>
      <c r="R356" s="1" t="str">
        <f>IFERROR(__xludf.DUMMYFUNCTION("""COMPUTED_VALUE"""),"SILANG")</f>
        <v>SILANG</v>
      </c>
      <c r="S356" s="1" t="str">
        <f>IFERROR(__xludf.DUMMYFUNCTION("""COMPUTED_VALUE"""),"FIBR PLAN 999 W/ CIGNAL")</f>
        <v>FIBR PLAN 999 W/ CIGNAL</v>
      </c>
      <c r="T356" s="1" t="str">
        <f>IFERROR(__xludf.DUMMYFUNCTION("""COMPUTED_VALUE"""),"APPROVED")</f>
        <v>APPROVED</v>
      </c>
      <c r="U356" s="1" t="str">
        <f>IFERROR(__xludf.DUMMYFUNCTION("""COMPUTED_VALUE"""),"APPROVED TO PROCESS BY SIR JERIC ")</f>
        <v>APPROVED TO PROCESS BY SIR JERIC </v>
      </c>
      <c r="V356" s="1"/>
      <c r="W356" s="1"/>
    </row>
    <row r="357" customHeight="1" spans="1:23">
      <c r="A357" s="3">
        <f>IFERROR(__xludf.DUMMYFUNCTION("""COMPUTED_VALUE"""),46059)</f>
        <v>46059</v>
      </c>
      <c r="B357" s="1" t="str">
        <f>IFERROR(__xludf.DUMMYFUNCTION("""COMPUTED_VALUE"""),"MALIWAT MARK ELVIN")</f>
        <v>MALIWAT MARK ELVIN</v>
      </c>
      <c r="C357" s="1" t="str">
        <f>IFERROR(__xludf.DUMMYFUNCTION("""COMPUTED_VALUE"""),"FLA")</f>
        <v>FLA</v>
      </c>
      <c r="D357" s="1" t="str">
        <f>IFERROR(__xludf.DUMMYFUNCTION("""COMPUTED_VALUE"""),"JERIC NAVARRO")</f>
        <v>JERIC NAVARRO</v>
      </c>
      <c r="E357" s="1" t="str">
        <f>IFERROR(__xludf.DUMMYFUNCTION("""COMPUTED_VALUE"""),"PLDT")</f>
        <v>PLDT</v>
      </c>
      <c r="F357" s="1">
        <f>IFERROR(__xludf.DUMMYFUNCTION("""COMPUTED_VALUE"""),2306796466)</f>
        <v>2306796466</v>
      </c>
      <c r="G357" s="1"/>
      <c r="H357" s="1" t="str">
        <f>IFERROR(__xludf.DUMMYFUNCTION("""COMPUTED_VALUE"""),"CHRISTIAN PAUL MALIWAT VALIENTE")</f>
        <v>CHRISTIAN PAUL MALIWAT VALIENTE</v>
      </c>
      <c r="I357" s="1">
        <f>IFERROR(__xludf.DUMMYFUNCTION("""COMPUTED_VALUE"""),9059179780)</f>
        <v>9059179780</v>
      </c>
      <c r="J357" s="1"/>
      <c r="K357" s="1" t="str">
        <f>IFERROR(__xludf.DUMMYFUNCTION("""COMPUTED_VALUE"""),"CHRISTIANPAULVALIENTE564@GMAIL.COM")</f>
        <v>CHRISTIANPAULVALIENTE564@GMAIL.COM</v>
      </c>
      <c r="L357" s="1" t="str">
        <f>IFERROR(__xludf.DUMMYFUNCTION("""COMPUTED_VALUE"""),"BLK 8 LOT 22")</f>
        <v>BLK 8 LOT 22</v>
      </c>
      <c r="M357" s="1" t="str">
        <f>IFERROR(__xludf.DUMMYFUNCTION("""COMPUTED_VALUE"""),"PHASE 1")</f>
        <v>PHASE 1</v>
      </c>
      <c r="N357" s="1" t="str">
        <f>IFERROR(__xludf.DUMMYFUNCTION("""COMPUTED_VALUE"""),"SOLARHOMES")</f>
        <v>SOLARHOMES</v>
      </c>
      <c r="O357" s="1"/>
      <c r="P357" s="1"/>
      <c r="Q357" s="1" t="str">
        <f>IFERROR(__xludf.DUMMYFUNCTION("""COMPUTED_VALUE"""),"SAN AGUSTIN I")</f>
        <v>SAN AGUSTIN I</v>
      </c>
      <c r="R357" s="1" t="str">
        <f>IFERROR(__xludf.DUMMYFUNCTION("""COMPUTED_VALUE"""),"DASMARINAS")</f>
        <v>DASMARINAS</v>
      </c>
      <c r="S357" s="1" t="str">
        <f>IFERROR(__xludf.DUMMYFUNCTION("""COMPUTED_VALUE"""),"PREPAID 999")</f>
        <v>PREPAID 999</v>
      </c>
      <c r="T357" s="1" t="str">
        <f>IFERROR(__xludf.DUMMYFUNCTION("""COMPUTED_VALUE"""),"APPROVED")</f>
        <v>APPROVED</v>
      </c>
      <c r="U357" s="1"/>
      <c r="V357" s="1"/>
      <c r="W357" s="1"/>
    </row>
    <row r="358" customHeight="1" spans="1:23">
      <c r="A358" s="3">
        <f>IFERROR(__xludf.DUMMYFUNCTION("""COMPUTED_VALUE"""),46059)</f>
        <v>46059</v>
      </c>
      <c r="B358" s="1" t="str">
        <f>IFERROR(__xludf.DUMMYFUNCTION("""COMPUTED_VALUE"""),"MALIWAT MARK ELVIN")</f>
        <v>MALIWAT MARK ELVIN</v>
      </c>
      <c r="C358" s="1" t="str">
        <f>IFERROR(__xludf.DUMMYFUNCTION("""COMPUTED_VALUE"""),"FLA")</f>
        <v>FLA</v>
      </c>
      <c r="D358" s="1" t="str">
        <f>IFERROR(__xludf.DUMMYFUNCTION("""COMPUTED_VALUE"""),"JERIC NAVARRO")</f>
        <v>JERIC NAVARRO</v>
      </c>
      <c r="E358" s="1" t="str">
        <f>IFERROR(__xludf.DUMMYFUNCTION("""COMPUTED_VALUE"""),"PLDT")</f>
        <v>PLDT</v>
      </c>
      <c r="F358" s="1">
        <f>IFERROR(__xludf.DUMMYFUNCTION("""COMPUTED_VALUE"""),2306799886)</f>
        <v>2306799886</v>
      </c>
      <c r="G358" s="1"/>
      <c r="H358" s="1" t="str">
        <f>IFERROR(__xludf.DUMMYFUNCTION("""COMPUTED_VALUE""")," CAROLINE HICBAN MENDOZA")</f>
        <v> CAROLINE HICBAN MENDOZA</v>
      </c>
      <c r="I358" s="1">
        <f>IFERROR(__xludf.DUMMYFUNCTION("""COMPUTED_VALUE"""),639224086212)</f>
        <v>639224086212</v>
      </c>
      <c r="J358" s="1">
        <f>IFERROR(__xludf.DUMMYFUNCTION("""COMPUTED_VALUE"""),639277600516)</f>
        <v>639277600516</v>
      </c>
      <c r="K358" s="1" t="str">
        <f>IFERROR(__xludf.DUMMYFUNCTION("""COMPUTED_VALUE"""),"CAROLMENDOZA1973@GMAIL.CCOM")</f>
        <v>CAROLMENDOZA1973@GMAIL.CCOM</v>
      </c>
      <c r="L358" s="1" t="str">
        <f>IFERROR(__xludf.DUMMYFUNCTION("""COMPUTED_VALUE"""),"009-BL-037")</f>
        <v>009-BL-037</v>
      </c>
      <c r="M358" s="1" t="str">
        <f>IFERROR(__xludf.DUMMYFUNCTION("""COMPUTED_VALUE"""),"ORCHID")</f>
        <v>ORCHID</v>
      </c>
      <c r="N358" s="1" t="str">
        <f>IFERROR(__xludf.DUMMYFUNCTION("""COMPUTED_VALUE"""),"VINE VILLAGE")</f>
        <v>VINE VILLAGE</v>
      </c>
      <c r="O358" s="1"/>
      <c r="P358" s="1"/>
      <c r="Q358" s="1" t="str">
        <f>IFERROR(__xludf.DUMMYFUNCTION("""COMPUTED_VALUE"""),"SAN AGUSTIN I")</f>
        <v>SAN AGUSTIN I</v>
      </c>
      <c r="R358" s="1" t="str">
        <f>IFERROR(__xludf.DUMMYFUNCTION("""COMPUTED_VALUE"""),"DASMARINAS")</f>
        <v>DASMARINAS</v>
      </c>
      <c r="S358" s="1" t="str">
        <f>IFERROR(__xludf.DUMMYFUNCTION("""COMPUTED_VALUE"""),"FIBR PLAN 1299")</f>
        <v>FIBR PLAN 1299</v>
      </c>
      <c r="T358" s="1" t="str">
        <f>IFERROR(__xludf.DUMMYFUNCTION("""COMPUTED_VALUE"""),"APPROVED")</f>
        <v>APPROVED</v>
      </c>
      <c r="U358" s="1"/>
      <c r="V358" s="1"/>
      <c r="W358" s="1"/>
    </row>
    <row r="359" customHeight="1" spans="1:23">
      <c r="A359" s="3">
        <f>IFERROR(__xludf.DUMMYFUNCTION("""COMPUTED_VALUE"""),46060)</f>
        <v>46060</v>
      </c>
      <c r="B359" s="1" t="str">
        <f>IFERROR(__xludf.DUMMYFUNCTION("""COMPUTED_VALUE"""),"GABAY, MANUEL")</f>
        <v>GABAY, MANUEL</v>
      </c>
      <c r="C359" s="1" t="str">
        <f>IFERROR(__xludf.DUMMYFUNCTION("""COMPUTED_VALUE"""),"FLA")</f>
        <v>FLA</v>
      </c>
      <c r="D359" s="1" t="str">
        <f>IFERROR(__xludf.DUMMYFUNCTION("""COMPUTED_VALUE"""),"JERIC NAVARRO")</f>
        <v>JERIC NAVARRO</v>
      </c>
      <c r="E359" s="1" t="str">
        <f>IFERROR(__xludf.DUMMYFUNCTION("""COMPUTED_VALUE"""),"PLDT")</f>
        <v>PLDT</v>
      </c>
      <c r="F359" s="1">
        <f>IFERROR(__xludf.DUMMYFUNCTION("""COMPUTED_VALUE"""),2306812021)</f>
        <v>2306812021</v>
      </c>
      <c r="G359" s="1"/>
      <c r="H359" s="1" t="str">
        <f>IFERROR(__xludf.DUMMYFUNCTION("""COMPUTED_VALUE"""),"BERNARD VELANDO EMPERADOR JR")</f>
        <v>BERNARD VELANDO EMPERADOR JR</v>
      </c>
      <c r="I359" s="1">
        <f>IFERROR(__xludf.DUMMYFUNCTION("""COMPUTED_VALUE"""),9510083719)</f>
        <v>9510083719</v>
      </c>
      <c r="J359" s="1">
        <f>IFERROR(__xludf.DUMMYFUNCTION("""COMPUTED_VALUE"""),9931431548)</f>
        <v>9931431548</v>
      </c>
      <c r="K359" s="1" t="str">
        <f>IFERROR(__xludf.DUMMYFUNCTION("""COMPUTED_VALUE"""),"BJEFSAIZ@GMAIL.COM")</f>
        <v>BJEFSAIZ@GMAIL.COM</v>
      </c>
      <c r="L359" s="1" t="str">
        <f>IFERROR(__xludf.DUMMYFUNCTION("""COMPUTED_VALUE"""),"BLK 6 LOT 16B")</f>
        <v>BLK 6 LOT 16B</v>
      </c>
      <c r="M359" s="1" t="str">
        <f>IFERROR(__xludf.DUMMYFUNCTION("""COMPUTED_VALUE"""),"SIKAP VILLE")</f>
        <v>SIKAP VILLE</v>
      </c>
      <c r="N359" s="1"/>
      <c r="O359" s="1"/>
      <c r="P359" s="1"/>
      <c r="Q359" s="1" t="str">
        <f>IFERROR(__xludf.DUMMYFUNCTION("""COMPUTED_VALUE"""),"SABUTAN")</f>
        <v>SABUTAN</v>
      </c>
      <c r="R359" s="1" t="str">
        <f>IFERROR(__xludf.DUMMYFUNCTION("""COMPUTED_VALUE"""),"SILANG")</f>
        <v>SILANG</v>
      </c>
      <c r="S359" s="1" t="str">
        <f>IFERROR(__xludf.DUMMYFUNCTION("""COMPUTED_VALUE"""),"FIBR PLAN 1399")</f>
        <v>FIBR PLAN 1399</v>
      </c>
      <c r="T359" s="1" t="str">
        <f>IFERROR(__xludf.DUMMYFUNCTION("""COMPUTED_VALUE"""),"APPROVED")</f>
        <v>APPROVED</v>
      </c>
      <c r="U359" s="1"/>
      <c r="V359" s="1"/>
      <c r="W359" s="1"/>
    </row>
    <row r="360" customHeight="1" spans="1:23">
      <c r="A360" s="3">
        <f>IFERROR(__xludf.DUMMYFUNCTION("""COMPUTED_VALUE"""),46060)</f>
        <v>46060</v>
      </c>
      <c r="B360" s="1" t="str">
        <f>IFERROR(__xludf.DUMMYFUNCTION("""COMPUTED_VALUE"""),"CONCEPCION, ALJAY")</f>
        <v>CONCEPCION, ALJAY</v>
      </c>
      <c r="C360" s="1" t="str">
        <f>IFERROR(__xludf.DUMMYFUNCTION("""COMPUTED_VALUE"""),"ORGANIC")</f>
        <v>ORGANIC</v>
      </c>
      <c r="D360" s="1" t="str">
        <f>IFERROR(__xludf.DUMMYFUNCTION("""COMPUTED_VALUE"""),"REMOLLO LEA")</f>
        <v>REMOLLO LEA</v>
      </c>
      <c r="E360" s="1" t="str">
        <f>IFERROR(__xludf.DUMMYFUNCTION("""COMPUTED_VALUE"""),"PLDT")</f>
        <v>PLDT</v>
      </c>
      <c r="F360" s="1">
        <f>IFERROR(__xludf.DUMMYFUNCTION("""COMPUTED_VALUE"""),2306816350)</f>
        <v>2306816350</v>
      </c>
      <c r="G360" s="1"/>
      <c r="H360" s="1" t="str">
        <f>IFERROR(__xludf.DUMMYFUNCTION("""COMPUTED_VALUE"""),"EDEN ALCANTARA ABEJUELA")</f>
        <v>EDEN ALCANTARA ABEJUELA</v>
      </c>
      <c r="I360" s="1">
        <f>IFERROR(__xludf.DUMMYFUNCTION("""COMPUTED_VALUE"""),9369046482)</f>
        <v>9369046482</v>
      </c>
      <c r="J360" s="1">
        <f>IFERROR(__xludf.DUMMYFUNCTION("""COMPUTED_VALUE"""),9276244389)</f>
        <v>9276244389</v>
      </c>
      <c r="K360" s="1" t="str">
        <f>IFERROR(__xludf.DUMMYFUNCTION("""COMPUTED_VALUE"""),"EDENABEJUELA1982@GMAIL.COM")</f>
        <v>EDENABEJUELA1982@GMAIL.COM</v>
      </c>
      <c r="L360" s="1" t="str">
        <f>IFERROR(__xludf.DUMMYFUNCTION("""COMPUTED_VALUE"""),"49")</f>
        <v>49</v>
      </c>
      <c r="M360" s="1" t="str">
        <f>IFERROR(__xludf.DUMMYFUNCTION("""COMPUTED_VALUE"""),"PAGASA")</f>
        <v>PAGASA</v>
      </c>
      <c r="N360" s="1"/>
      <c r="O360" s="1"/>
      <c r="P360" s="1"/>
      <c r="Q360" s="1" t="str">
        <f>IFERROR(__xludf.DUMMYFUNCTION("""COMPUTED_VALUE"""),"FRANCISCO (SAN FRANCISCO)")</f>
        <v>FRANCISCO (SAN FRANCISCO)</v>
      </c>
      <c r="R360" s="1" t="str">
        <f>IFERROR(__xludf.DUMMYFUNCTION("""COMPUTED_VALUE"""),"TAGAYTAY")</f>
        <v>TAGAYTAY</v>
      </c>
      <c r="S360" s="1" t="str">
        <f>IFERROR(__xludf.DUMMYFUNCTION("""COMPUTED_VALUE"""),"FIBR PLAN 1599")</f>
        <v>FIBR PLAN 1599</v>
      </c>
      <c r="T360" s="1" t="str">
        <f>IFERROR(__xludf.DUMMYFUNCTION("""COMPUTED_VALUE"""),"APPROVED")</f>
        <v>APPROVED</v>
      </c>
      <c r="U360" s="1"/>
      <c r="V360" s="1"/>
      <c r="W360" s="1"/>
    </row>
    <row r="361" customHeight="1" spans="1:23">
      <c r="A361" s="3">
        <f>IFERROR(__xludf.DUMMYFUNCTION("""COMPUTED_VALUE"""),46060)</f>
        <v>46060</v>
      </c>
      <c r="B361" s="1" t="str">
        <f>IFERROR(__xludf.DUMMYFUNCTION("""COMPUTED_VALUE"""),"CONCEPCION, ALJAY")</f>
        <v>CONCEPCION, ALJAY</v>
      </c>
      <c r="C361" s="1" t="str">
        <f>IFERROR(__xludf.DUMMYFUNCTION("""COMPUTED_VALUE"""),"ORGANIC")</f>
        <v>ORGANIC</v>
      </c>
      <c r="D361" s="1" t="str">
        <f>IFERROR(__xludf.DUMMYFUNCTION("""COMPUTED_VALUE"""),"REMOLLO LEA")</f>
        <v>REMOLLO LEA</v>
      </c>
      <c r="E361" s="1" t="str">
        <f>IFERROR(__xludf.DUMMYFUNCTION("""COMPUTED_VALUE"""),"PLDT")</f>
        <v>PLDT</v>
      </c>
      <c r="F361" s="1">
        <f>IFERROR(__xludf.DUMMYFUNCTION("""COMPUTED_VALUE"""),2306818898)</f>
        <v>2306818898</v>
      </c>
      <c r="G361" s="1"/>
      <c r="H361" s="1" t="str">
        <f>IFERROR(__xludf.DUMMYFUNCTION("""COMPUTED_VALUE"""),"CHERRY MAE BOMBITA BLANCO")</f>
        <v>CHERRY MAE BOMBITA BLANCO</v>
      </c>
      <c r="I361" s="1">
        <f>IFERROR(__xludf.DUMMYFUNCTION("""COMPUTED_VALUE"""),9633800707)</f>
        <v>9633800707</v>
      </c>
      <c r="J361" s="1">
        <f>IFERROR(__xludf.DUMMYFUNCTION("""COMPUTED_VALUE"""),9166672760)</f>
        <v>9166672760</v>
      </c>
      <c r="K361" s="1" t="str">
        <f>IFERROR(__xludf.DUMMYFUNCTION("""COMPUTED_VALUE"""),"CHERRYMAEBLANCO06@GMAIL.COM")</f>
        <v>CHERRYMAEBLANCO06@GMAIL.COM</v>
      </c>
      <c r="L361" s="1" t="str">
        <f>IFERROR(__xludf.DUMMYFUNCTION("""COMPUTED_VALUE"""),"BLK 39 LOT 5")</f>
        <v>BLK 39 LOT 5</v>
      </c>
      <c r="M361" s="1" t="str">
        <f>IFERROR(__xludf.DUMMYFUNCTION("""COMPUTED_VALUE"""),"PHASE 2B")</f>
        <v>PHASE 2B</v>
      </c>
      <c r="N361" s="1"/>
      <c r="O361" s="1"/>
      <c r="P361" s="1"/>
      <c r="Q361" s="1" t="str">
        <f>IFERROR(__xludf.DUMMYFUNCTION("""COMPUTED_VALUE"""),"ANAHAW II")</f>
        <v>ANAHAW II</v>
      </c>
      <c r="R361" s="1" t="str">
        <f>IFERROR(__xludf.DUMMYFUNCTION("""COMPUTED_VALUE"""),"SILANG")</f>
        <v>SILANG</v>
      </c>
      <c r="S361" s="1" t="str">
        <f>IFERROR(__xludf.DUMMYFUNCTION("""COMPUTED_VALUE"""),"FIBR PLAN 1399")</f>
        <v>FIBR PLAN 1399</v>
      </c>
      <c r="T361" s="1" t="str">
        <f>IFERROR(__xludf.DUMMYFUNCTION("""COMPUTED_VALUE"""),"APPROVED")</f>
        <v>APPROVED</v>
      </c>
      <c r="U361" s="1"/>
      <c r="V361" s="1"/>
      <c r="W361" s="1"/>
    </row>
    <row r="362" customHeight="1" spans="1:23">
      <c r="A362" s="3">
        <f>IFERROR(__xludf.DUMMYFUNCTION("""COMPUTED_VALUE"""),46060)</f>
        <v>46060</v>
      </c>
      <c r="B362" s="1" t="str">
        <f>IFERROR(__xludf.DUMMYFUNCTION("""COMPUTED_VALUE"""),"IVNO, RAZZEL")</f>
        <v>IVNO, RAZZEL</v>
      </c>
      <c r="C362" s="1" t="str">
        <f>IFERROR(__xludf.DUMMYFUNCTION("""COMPUTED_VALUE"""),"ORGANIC")</f>
        <v>ORGANIC</v>
      </c>
      <c r="D362" s="1" t="str">
        <f>IFERROR(__xludf.DUMMYFUNCTION("""COMPUTED_VALUE"""),"REMOLLO LEA")</f>
        <v>REMOLLO LEA</v>
      </c>
      <c r="E362" s="1" t="str">
        <f>IFERROR(__xludf.DUMMYFUNCTION("""COMPUTED_VALUE"""),"PLDT")</f>
        <v>PLDT</v>
      </c>
      <c r="F362" s="1">
        <f>IFERROR(__xludf.DUMMYFUNCTION("""COMPUTED_VALUE"""),2306818837)</f>
        <v>2306818837</v>
      </c>
      <c r="G362" s="1"/>
      <c r="H362" s="1" t="str">
        <f>IFERROR(__xludf.DUMMYFUNCTION("""COMPUTED_VALUE"""),"MARY JANE LAQUIAN GERMAN")</f>
        <v>MARY JANE LAQUIAN GERMAN</v>
      </c>
      <c r="I362" s="1">
        <f>IFERROR(__xludf.DUMMYFUNCTION("""COMPUTED_VALUE"""),9532840753)</f>
        <v>9532840753</v>
      </c>
      <c r="J362" s="1">
        <f>IFERROR(__xludf.DUMMYFUNCTION("""COMPUTED_VALUE"""),9363857558)</f>
        <v>9363857558</v>
      </c>
      <c r="K362" s="1" t="str">
        <f>IFERROR(__xludf.DUMMYFUNCTION("""COMPUTED_VALUE"""),"LAQUIANJANE@YAHOO.COM")</f>
        <v>LAQUIANJANE@YAHOO.COM</v>
      </c>
      <c r="L362" s="1" t="str">
        <f>IFERROR(__xludf.DUMMYFUNCTION("""COMPUTED_VALUE"""),"BLK 8 LOT 8")</f>
        <v>BLK 8 LOT 8</v>
      </c>
      <c r="M362" s="1" t="str">
        <f>IFERROR(__xludf.DUMMYFUNCTION("""COMPUTED_VALUE"""),"POB 5")</f>
        <v>POB 5</v>
      </c>
      <c r="N362" s="1"/>
      <c r="O362" s="1"/>
      <c r="P362" s="1"/>
      <c r="Q362" s="1" t="str">
        <f>IFERROR(__xludf.DUMMYFUNCTION("""COMPUTED_VALUE"""),"BARANGAY V (POB.)")</f>
        <v>BARANGAY V (POB.)</v>
      </c>
      <c r="R362" s="1" t="str">
        <f>IFERROR(__xludf.DUMMYFUNCTION("""COMPUTED_VALUE"""),"GEN MARIANO ALVAREZ")</f>
        <v>GEN MARIANO ALVAREZ</v>
      </c>
      <c r="S362" s="1" t="str">
        <f>IFERROR(__xludf.DUMMYFUNCTION("""COMPUTED_VALUE"""),"FIBR PLAN 1599")</f>
        <v>FIBR PLAN 1599</v>
      </c>
      <c r="T362" s="1" t="str">
        <f>IFERROR(__xludf.DUMMYFUNCTION("""COMPUTED_VALUE"""),"APPROVED")</f>
        <v>APPROVED</v>
      </c>
      <c r="U362" s="1"/>
      <c r="V362" s="1"/>
      <c r="W362" s="1"/>
    </row>
    <row r="363" customHeight="1" spans="1:23">
      <c r="A363" s="3">
        <f>IFERROR(__xludf.DUMMYFUNCTION("""COMPUTED_VALUE"""),46060)</f>
        <v>46060</v>
      </c>
      <c r="B363" s="1" t="str">
        <f>IFERROR(__xludf.DUMMYFUNCTION("""COMPUTED_VALUE"""),"DELIMA, RHEABELLE GARCIA")</f>
        <v>DELIMA, RHEABELLE GARCIA</v>
      </c>
      <c r="C363" s="1" t="str">
        <f>IFERROR(__xludf.DUMMYFUNCTION("""COMPUTED_VALUE"""),"FLA")</f>
        <v>FLA</v>
      </c>
      <c r="D363" s="1" t="str">
        <f>IFERROR(__xludf.DUMMYFUNCTION("""COMPUTED_VALUE"""),"JERIC NAVARRO")</f>
        <v>JERIC NAVARRO</v>
      </c>
      <c r="E363" s="1" t="str">
        <f>IFERROR(__xludf.DUMMYFUNCTION("""COMPUTED_VALUE"""),"RED FIBER")</f>
        <v>RED FIBER</v>
      </c>
      <c r="F363" s="1"/>
      <c r="G363" s="1"/>
      <c r="H363" s="1" t="str">
        <f>IFERROR(__xludf.DUMMYFUNCTION("""COMPUTED_VALUE"""),"RODY JOHN SOLIMAN TOLENTINO")</f>
        <v>RODY JOHN SOLIMAN TOLENTINO</v>
      </c>
      <c r="I363" s="1">
        <f>IFERROR(__xludf.DUMMYFUNCTION("""COMPUTED_VALUE"""),9518099871)</f>
        <v>9518099871</v>
      </c>
      <c r="J363" s="1"/>
      <c r="K363" s="1" t="str">
        <f>IFERROR(__xludf.DUMMYFUNCTION("""COMPUTED_VALUE"""),"RODYJOHNTOLENTINO@GMAIL.COM")</f>
        <v>RODYJOHNTOLENTINO@GMAIL.COM</v>
      </c>
      <c r="L363" s="1" t="str">
        <f>IFERROR(__xludf.DUMMYFUNCTION("""COMPUTED_VALUE"""),"650")</f>
        <v>650</v>
      </c>
      <c r="M363" s="1" t="str">
        <f>IFERROR(__xludf.DUMMYFUNCTION("""COMPUTED_VALUE"""),"GEN TRIAS")</f>
        <v>GEN TRIAS</v>
      </c>
      <c r="N363" s="1"/>
      <c r="O363" s="1"/>
      <c r="P363" s="1"/>
      <c r="Q363" s="1" t="str">
        <f>IFERROR(__xludf.DUMMYFUNCTION("""COMPUTED_VALUE"""),"BARANGAY VI (POB.)")</f>
        <v>BARANGAY VI (POB.)</v>
      </c>
      <c r="R363" s="1" t="str">
        <f>IFERROR(__xludf.DUMMYFUNCTION("""COMPUTED_VALUE"""),"MENDEZ")</f>
        <v>MENDEZ</v>
      </c>
      <c r="S363" s="1" t="str">
        <f>IFERROR(__xludf.DUMMYFUNCTION("""COMPUTED_VALUE"""),"RED FIBER PLAN 1000")</f>
        <v>RED FIBER PLAN 1000</v>
      </c>
      <c r="T363" s="1" t="str">
        <f>IFERROR(__xludf.DUMMYFUNCTION("""COMPUTED_VALUE"""),"APPROVED")</f>
        <v>APPROVED</v>
      </c>
      <c r="U363" s="1"/>
      <c r="V363" s="1"/>
      <c r="W363" s="1"/>
    </row>
    <row r="364" customHeight="1" spans="1:23">
      <c r="A364" s="3">
        <f>IFERROR(__xludf.DUMMYFUNCTION("""COMPUTED_VALUE"""),46060)</f>
        <v>46060</v>
      </c>
      <c r="B364" s="1" t="str">
        <f>IFERROR(__xludf.DUMMYFUNCTION("""COMPUTED_VALUE"""),"MAGDARAOG, KENNETH")</f>
        <v>MAGDARAOG, KENNETH</v>
      </c>
      <c r="C364" s="1" t="str">
        <f>IFERROR(__xludf.DUMMYFUNCTION("""COMPUTED_VALUE"""),"ORGANIC")</f>
        <v>ORGANIC</v>
      </c>
      <c r="D364" s="1" t="str">
        <f>IFERROR(__xludf.DUMMYFUNCTION("""COMPUTED_VALUE"""),"REMOLLO LEA")</f>
        <v>REMOLLO LEA</v>
      </c>
      <c r="E364" s="1" t="str">
        <f>IFERROR(__xludf.DUMMYFUNCTION("""COMPUTED_VALUE"""),"PLDT")</f>
        <v>PLDT</v>
      </c>
      <c r="F364" s="1">
        <f>IFERROR(__xludf.DUMMYFUNCTION("""COMPUTED_VALUE"""),2306819728)</f>
        <v>2306819728</v>
      </c>
      <c r="G364" s="1"/>
      <c r="H364" s="1" t="str">
        <f>IFERROR(__xludf.DUMMYFUNCTION("""COMPUTED_VALUE"""),"REMEDIOS PELENO VALLE")</f>
        <v>REMEDIOS PELENO VALLE</v>
      </c>
      <c r="I364" s="1">
        <f>IFERROR(__xludf.DUMMYFUNCTION("""COMPUTED_VALUE"""),9218251959)</f>
        <v>9218251959</v>
      </c>
      <c r="J364" s="1"/>
      <c r="K364" s="1" t="str">
        <f>IFERROR(__xludf.DUMMYFUNCTION("""COMPUTED_VALUE"""),"REMYVALLE@YAHOO.COM")</f>
        <v>REMYVALLE@YAHOO.COM</v>
      </c>
      <c r="L364" s="1" t="str">
        <f>IFERROR(__xludf.DUMMYFUNCTION("""COMPUTED_VALUE"""),"BLK 3 LOT 25")</f>
        <v>BLK 3 LOT 25</v>
      </c>
      <c r="M364" s="1" t="str">
        <f>IFERROR(__xludf.DUMMYFUNCTION("""COMPUTED_VALUE"""),"ARISTON")</f>
        <v>ARISTON</v>
      </c>
      <c r="N364" s="1"/>
      <c r="O364" s="1"/>
      <c r="P364" s="1"/>
      <c r="Q364" s="1" t="str">
        <f>IFERROR(__xludf.DUMMYFUNCTION("""COMPUTED_VALUE"""),"PANTALEON GRANADOS (AREA G)")</f>
        <v>PANTALEON GRANADOS (AREA G)</v>
      </c>
      <c r="R364" s="1" t="str">
        <f>IFERROR(__xludf.DUMMYFUNCTION("""COMPUTED_VALUE"""),"GEN MARIANO ALVAREZ")</f>
        <v>GEN MARIANO ALVAREZ</v>
      </c>
      <c r="S364" s="1" t="str">
        <f>IFERROR(__xludf.DUMMYFUNCTION("""COMPUTED_VALUE"""),"PREPAID 999")</f>
        <v>PREPAID 999</v>
      </c>
      <c r="T364" s="1" t="str">
        <f>IFERROR(__xludf.DUMMYFUNCTION("""COMPUTED_VALUE"""),"APPROVED")</f>
        <v>APPROVED</v>
      </c>
      <c r="U364" s="1"/>
      <c r="V364" s="1"/>
      <c r="W364" s="1"/>
    </row>
    <row r="365" customHeight="1" spans="1:23">
      <c r="A365" s="3">
        <f>IFERROR(__xludf.DUMMYFUNCTION("""COMPUTED_VALUE"""),46061)</f>
        <v>46061</v>
      </c>
      <c r="B365" s="1" t="str">
        <f>IFERROR(__xludf.DUMMYFUNCTION("""COMPUTED_VALUE"""),"REMOLLO, LEA")</f>
        <v>REMOLLO, LEA</v>
      </c>
      <c r="C365" s="1" t="str">
        <f>IFERROR(__xludf.DUMMYFUNCTION("""COMPUTED_VALUE"""),"FLA")</f>
        <v>FLA</v>
      </c>
      <c r="D365" s="1" t="str">
        <f>IFERROR(__xludf.DUMMYFUNCTION("""COMPUTED_VALUE"""),"JERIC NAVARRO")</f>
        <v>JERIC NAVARRO</v>
      </c>
      <c r="E365" s="1" t="str">
        <f>IFERROR(__xludf.DUMMYFUNCTION("""COMPUTED_VALUE"""),"PLDT")</f>
        <v>PLDT</v>
      </c>
      <c r="F365" s="1">
        <f>IFERROR(__xludf.DUMMYFUNCTION("""COMPUTED_VALUE"""),2306832166)</f>
        <v>2306832166</v>
      </c>
      <c r="G365" s="1"/>
      <c r="H365" s="1" t="str">
        <f>IFERROR(__xludf.DUMMYFUNCTION("""COMPUTED_VALUE"""),"MYLA BATAIN EXCIJA")</f>
        <v>MYLA BATAIN EXCIJA</v>
      </c>
      <c r="I365" s="1">
        <f>IFERROR(__xludf.DUMMYFUNCTION("""COMPUTED_VALUE"""),9701173685)</f>
        <v>9701173685</v>
      </c>
      <c r="J365" s="1"/>
      <c r="K365" s="1" t="str">
        <f>IFERROR(__xludf.DUMMYFUNCTION("""COMPUTED_VALUE"""),"MYLAEXCIJA24@GMAIL.COM")</f>
        <v>MYLAEXCIJA24@GMAIL.COM</v>
      </c>
      <c r="L365" s="1" t="str">
        <f>IFERROR(__xludf.DUMMYFUNCTION("""COMPUTED_VALUE"""),"399")</f>
        <v>399</v>
      </c>
      <c r="M365" s="1" t="str">
        <f>IFERROR(__xludf.DUMMYFUNCTION("""COMPUTED_VALUE"""),"PUROK 137")</f>
        <v>PUROK 137</v>
      </c>
      <c r="N365" s="1"/>
      <c r="O365" s="1"/>
      <c r="P365" s="1"/>
      <c r="Q365" s="1" t="str">
        <f>IFERROR(__xludf.DUMMYFUNCTION("""COMPUTED_VALUE"""),"NEOGAN")</f>
        <v>NEOGAN</v>
      </c>
      <c r="R365" s="1" t="str">
        <f>IFERROR(__xludf.DUMMYFUNCTION("""COMPUTED_VALUE"""),"TAGAYTAY")</f>
        <v>TAGAYTAY</v>
      </c>
      <c r="S365" s="1" t="str">
        <f>IFERROR(__xludf.DUMMYFUNCTION("""COMPUTED_VALUE"""),"FIBR PLAN 1399")</f>
        <v>FIBR PLAN 1399</v>
      </c>
      <c r="T365" s="1" t="str">
        <f>IFERROR(__xludf.DUMMYFUNCTION("""COMPUTED_VALUE"""),"APPROVED")</f>
        <v>APPROVED</v>
      </c>
      <c r="U365" s="1"/>
      <c r="V365" s="1"/>
      <c r="W365" s="1"/>
    </row>
    <row r="366" customHeight="1" spans="1:23">
      <c r="A366" s="3">
        <f>IFERROR(__xludf.DUMMYFUNCTION("""COMPUTED_VALUE"""),46061)</f>
        <v>46061</v>
      </c>
      <c r="B366" s="1" t="str">
        <f>IFERROR(__xludf.DUMMYFUNCTION("""COMPUTED_VALUE"""),"MALIWAT MARK ELVIN")</f>
        <v>MALIWAT MARK ELVIN</v>
      </c>
      <c r="C366" s="1" t="str">
        <f>IFERROR(__xludf.DUMMYFUNCTION("""COMPUTED_VALUE"""),"FLA")</f>
        <v>FLA</v>
      </c>
      <c r="D366" s="1" t="str">
        <f>IFERROR(__xludf.DUMMYFUNCTION("""COMPUTED_VALUE"""),"JERIC NAVARRO")</f>
        <v>JERIC NAVARRO</v>
      </c>
      <c r="E366" s="1" t="str">
        <f>IFERROR(__xludf.DUMMYFUNCTION("""COMPUTED_VALUE"""),"RED FIBER")</f>
        <v>RED FIBER</v>
      </c>
      <c r="F366" s="1"/>
      <c r="G366" s="1"/>
      <c r="H366" s="1" t="str">
        <f>IFERROR(__xludf.DUMMYFUNCTION("""COMPUTED_VALUE"""),"ZENIA SOMES CAYETANO")</f>
        <v>ZENIA SOMES CAYETANO</v>
      </c>
      <c r="I366" s="1">
        <f>IFERROR(__xludf.DUMMYFUNCTION("""COMPUTED_VALUE"""),9624820024)</f>
        <v>9624820024</v>
      </c>
      <c r="J366" s="1"/>
      <c r="K366" s="1" t="str">
        <f>IFERROR(__xludf.DUMMYFUNCTION("""COMPUTED_VALUE"""),"SOMESZENIA@GMAIL.COM")</f>
        <v>SOMESZENIA@GMAIL.COM</v>
      </c>
      <c r="L366" s="1" t="str">
        <f>IFERROR(__xludf.DUMMYFUNCTION("""COMPUTED_VALUE"""),"204")</f>
        <v>204</v>
      </c>
      <c r="M366" s="1" t="str">
        <f>IFERROR(__xludf.DUMMYFUNCTION("""COMPUTED_VALUE"""),"JAVALERA")</f>
        <v>JAVALERA</v>
      </c>
      <c r="N366" s="1" t="str">
        <f>IFERROR(__xludf.DUMMYFUNCTION("""COMPUTED_VALUE"""),"JAVALERA PROPER")</f>
        <v>JAVALERA PROPER</v>
      </c>
      <c r="O366" s="1"/>
      <c r="P366" s="1"/>
      <c r="Q366" s="1" t="str">
        <f>IFERROR(__xludf.DUMMYFUNCTION("""COMPUTED_VALUE"""),"JAVALERA")</f>
        <v>JAVALERA</v>
      </c>
      <c r="R366" s="1" t="str">
        <f>IFERROR(__xludf.DUMMYFUNCTION("""COMPUTED_VALUE"""),"GENERAL TRIAS")</f>
        <v>GENERAL TRIAS</v>
      </c>
      <c r="S366" s="1" t="str">
        <f>IFERROR(__xludf.DUMMYFUNCTION("""COMPUTED_VALUE"""),"RED FIBER PLAN 1000")</f>
        <v>RED FIBER PLAN 1000</v>
      </c>
      <c r="T366" s="1" t="str">
        <f>IFERROR(__xludf.DUMMYFUNCTION("""COMPUTED_VALUE"""),"APPROVED")</f>
        <v>APPROVED</v>
      </c>
      <c r="U366" s="1"/>
      <c r="V366" s="1"/>
      <c r="W366" s="1"/>
    </row>
    <row r="367" customHeight="1" spans="1:23">
      <c r="A367" s="3">
        <f>IFERROR(__xludf.DUMMYFUNCTION("""COMPUTED_VALUE"""),46061)</f>
        <v>46061</v>
      </c>
      <c r="B367" s="1" t="str">
        <f>IFERROR(__xludf.DUMMYFUNCTION("""COMPUTED_VALUE"""),"AYON MANUEL")</f>
        <v>AYON MANUEL</v>
      </c>
      <c r="C367" s="1" t="str">
        <f>IFERROR(__xludf.DUMMYFUNCTION("""COMPUTED_VALUE"""),"FLA")</f>
        <v>FLA</v>
      </c>
      <c r="D367" s="1" t="str">
        <f>IFERROR(__xludf.DUMMYFUNCTION("""COMPUTED_VALUE"""),"JERIC NAVARRO")</f>
        <v>JERIC NAVARRO</v>
      </c>
      <c r="E367" s="1" t="str">
        <f>IFERROR(__xludf.DUMMYFUNCTION("""COMPUTED_VALUE"""),"PLDT")</f>
        <v>PLDT</v>
      </c>
      <c r="F367" s="1">
        <f>IFERROR(__xludf.DUMMYFUNCTION("""COMPUTED_VALUE"""),2306832750)</f>
        <v>2306832750</v>
      </c>
      <c r="G367" s="1"/>
      <c r="H367" s="1" t="str">
        <f>IFERROR(__xludf.DUMMYFUNCTION("""COMPUTED_VALUE"""),"VICTOR BASTES MAGSINO")</f>
        <v>VICTOR BASTES MAGSINO</v>
      </c>
      <c r="I367" s="1">
        <f>IFERROR(__xludf.DUMMYFUNCTION("""COMPUTED_VALUE"""),9152561951)</f>
        <v>9152561951</v>
      </c>
      <c r="J367" s="1"/>
      <c r="K367" s="1" t="str">
        <f>IFERROR(__xludf.DUMMYFUNCTION("""COMPUTED_VALUE"""),"NMAGSINOVICTOR@GMAIL.COM")</f>
        <v>NMAGSINOVICTOR@GMAIL.COM</v>
      </c>
      <c r="L367" s="1" t="str">
        <f>IFERROR(__xludf.DUMMYFUNCTION("""COMPUTED_VALUE"""),"635")</f>
        <v>635</v>
      </c>
      <c r="M367" s="1" t="str">
        <f>IFERROR(__xludf.DUMMYFUNCTION("""COMPUTED_VALUE"""),"BONIFACIO")</f>
        <v>BONIFACIO</v>
      </c>
      <c r="N367" s="1"/>
      <c r="O367" s="1"/>
      <c r="P367" s="1"/>
      <c r="Q367" s="1" t="str">
        <f>IFERROR(__xludf.DUMMYFUNCTION("""COMPUTED_VALUE"""),"BARANGAY 6 (POB.)")</f>
        <v>BARANGAY 6 (POB.)</v>
      </c>
      <c r="R367" s="1" t="str">
        <f>IFERROR(__xludf.DUMMYFUNCTION("""COMPUTED_VALUE"""),"MENDEZ")</f>
        <v>MENDEZ</v>
      </c>
      <c r="S367" s="1" t="str">
        <f>IFERROR(__xludf.DUMMYFUNCTION("""COMPUTED_VALUE"""),"PREPAID 999")</f>
        <v>PREPAID 999</v>
      </c>
      <c r="T367" s="1" t="str">
        <f>IFERROR(__xludf.DUMMYFUNCTION("""COMPUTED_VALUE"""),"APPROVED")</f>
        <v>APPROVED</v>
      </c>
      <c r="U367" s="1"/>
      <c r="V367" s="1"/>
      <c r="W367" s="1"/>
    </row>
    <row r="368" customHeight="1" spans="1:23">
      <c r="A368" s="3">
        <f>IFERROR(__xludf.DUMMYFUNCTION("""COMPUTED_VALUE"""),46061)</f>
        <v>46061</v>
      </c>
      <c r="B368" s="1" t="str">
        <f>IFERROR(__xludf.DUMMYFUNCTION("""COMPUTED_VALUE"""),"CONCEPCION, ALJAY")</f>
        <v>CONCEPCION, ALJAY</v>
      </c>
      <c r="C368" s="1" t="str">
        <f>IFERROR(__xludf.DUMMYFUNCTION("""COMPUTED_VALUE"""),"ORGANIC")</f>
        <v>ORGANIC</v>
      </c>
      <c r="D368" s="1" t="str">
        <f>IFERROR(__xludf.DUMMYFUNCTION("""COMPUTED_VALUE"""),"REMOLLO LEA")</f>
        <v>REMOLLO LEA</v>
      </c>
      <c r="E368" s="1" t="str">
        <f>IFERROR(__xludf.DUMMYFUNCTION("""COMPUTED_VALUE"""),"PLDT")</f>
        <v>PLDT</v>
      </c>
      <c r="F368" s="1">
        <f>IFERROR(__xludf.DUMMYFUNCTION("""COMPUTED_VALUE"""),2306834593)</f>
        <v>2306834593</v>
      </c>
      <c r="G368" s="1"/>
      <c r="H368" s="1" t="str">
        <f>IFERROR(__xludf.DUMMYFUNCTION("""COMPUTED_VALUE"""),"SHEILA MAE LEE ARUCAN REYES")</f>
        <v>SHEILA MAE LEE ARUCAN REYES</v>
      </c>
      <c r="I368" s="1">
        <f>IFERROR(__xludf.DUMMYFUNCTION("""COMPUTED_VALUE"""),9052334002)</f>
        <v>9052334002</v>
      </c>
      <c r="J368" s="1"/>
      <c r="K368" s="1"/>
      <c r="L368" s="1" t="str">
        <f>IFERROR(__xludf.DUMMYFUNCTION("""COMPUTED_VALUE"""),"4296A")</f>
        <v>4296A</v>
      </c>
      <c r="M368" s="1" t="str">
        <f>IFERROR(__xludf.DUMMYFUNCTION("""COMPUTED_VALUE"""),"KAPT PEPE")</f>
        <v>KAPT PEPE</v>
      </c>
      <c r="N368" s="1"/>
      <c r="O368" s="1"/>
      <c r="P368" s="1"/>
      <c r="Q368" s="1" t="str">
        <f>IFERROR(__xludf.DUMMYFUNCTION("""COMPUTED_VALUE"""),"TUBUAN III")</f>
        <v>TUBUAN III</v>
      </c>
      <c r="R368" s="1" t="str">
        <f>IFERROR(__xludf.DUMMYFUNCTION("""COMPUTED_VALUE"""),"SILANG")</f>
        <v>SILANG</v>
      </c>
      <c r="S368" s="1" t="str">
        <f>IFERROR(__xludf.DUMMYFUNCTION("""COMPUTED_VALUE"""),"FIBR PLAN 1399")</f>
        <v>FIBR PLAN 1399</v>
      </c>
      <c r="T368" s="1" t="str">
        <f>IFERROR(__xludf.DUMMYFUNCTION("""COMPUTED_VALUE"""),"APPROVED")</f>
        <v>APPROVED</v>
      </c>
      <c r="U368" s="1"/>
      <c r="V368" s="1"/>
      <c r="W368" s="1"/>
    </row>
    <row r="369" customHeight="1" spans="1:23">
      <c r="A369" s="3">
        <f>IFERROR(__xludf.DUMMYFUNCTION("""COMPUTED_VALUE"""),46061)</f>
        <v>46061</v>
      </c>
      <c r="B369" s="1" t="str">
        <f>IFERROR(__xludf.DUMMYFUNCTION("""COMPUTED_VALUE"""),"GABAY, MANUEL")</f>
        <v>GABAY, MANUEL</v>
      </c>
      <c r="C369" s="1" t="str">
        <f>IFERROR(__xludf.DUMMYFUNCTION("""COMPUTED_VALUE"""),"FLA")</f>
        <v>FLA</v>
      </c>
      <c r="D369" s="1" t="str">
        <f>IFERROR(__xludf.DUMMYFUNCTION("""COMPUTED_VALUE"""),"JERIC NAVARRO")</f>
        <v>JERIC NAVARRO</v>
      </c>
      <c r="E369" s="1" t="str">
        <f>IFERROR(__xludf.DUMMYFUNCTION("""COMPUTED_VALUE"""),"PLDT")</f>
        <v>PLDT</v>
      </c>
      <c r="F369" s="1">
        <f>IFERROR(__xludf.DUMMYFUNCTION("""COMPUTED_VALUE"""),2306838243)</f>
        <v>2306838243</v>
      </c>
      <c r="G369" s="1"/>
      <c r="H369" s="1" t="str">
        <f>IFERROR(__xludf.DUMMYFUNCTION("""COMPUTED_VALUE"""),"JOHN REY CRUZ BULLO")</f>
        <v>JOHN REY CRUZ BULLO</v>
      </c>
      <c r="I369" s="1">
        <f>IFERROR(__xludf.DUMMYFUNCTION("""COMPUTED_VALUE"""),9944268951)</f>
        <v>9944268951</v>
      </c>
      <c r="J369" s="1">
        <f>IFERROR(__xludf.DUMMYFUNCTION("""COMPUTED_VALUE"""),639222444256)</f>
        <v>639222444256</v>
      </c>
      <c r="K369" s="1"/>
      <c r="L369" s="1" t="str">
        <f>IFERROR(__xludf.DUMMYFUNCTION("""COMPUTED_VALUE"""),"307")</f>
        <v>307</v>
      </c>
      <c r="M369" s="1" t="str">
        <f>IFERROR(__xludf.DUMMYFUNCTION("""COMPUTED_VALUE"""),"PUROK 4")</f>
        <v>PUROK 4</v>
      </c>
      <c r="N369" s="1"/>
      <c r="O369" s="1"/>
      <c r="P369" s="1"/>
      <c r="Q369" s="1" t="str">
        <f>IFERROR(__xludf.DUMMYFUNCTION("""COMPUTED_VALUE"""),"BIGA II")</f>
        <v>BIGA II</v>
      </c>
      <c r="R369" s="1" t="str">
        <f>IFERROR(__xludf.DUMMYFUNCTION("""COMPUTED_VALUE"""),"SILANG")</f>
        <v>SILANG</v>
      </c>
      <c r="S369" s="1" t="str">
        <f>IFERROR(__xludf.DUMMYFUNCTION("""COMPUTED_VALUE"""),"FIBR PLAN 1599")</f>
        <v>FIBR PLAN 1599</v>
      </c>
      <c r="T369" s="1" t="str">
        <f>IFERROR(__xludf.DUMMYFUNCTION("""COMPUTED_VALUE"""),"APPROVED")</f>
        <v>APPROVED</v>
      </c>
      <c r="U369" s="1"/>
      <c r="V369" s="1"/>
      <c r="W369" s="1"/>
    </row>
    <row r="370" customHeight="1" spans="1:23">
      <c r="A370" s="3">
        <f>IFERROR(__xludf.DUMMYFUNCTION("""COMPUTED_VALUE"""),46061)</f>
        <v>46061</v>
      </c>
      <c r="B370" s="1" t="str">
        <f>IFERROR(__xludf.DUMMYFUNCTION("""COMPUTED_VALUE"""),"AYON MANUEL")</f>
        <v>AYON MANUEL</v>
      </c>
      <c r="C370" s="1" t="str">
        <f>IFERROR(__xludf.DUMMYFUNCTION("""COMPUTED_VALUE"""),"FLA")</f>
        <v>FLA</v>
      </c>
      <c r="D370" s="1" t="str">
        <f>IFERROR(__xludf.DUMMYFUNCTION("""COMPUTED_VALUE"""),"JERIC NAVARRO")</f>
        <v>JERIC NAVARRO</v>
      </c>
      <c r="E370" s="1" t="str">
        <f>IFERROR(__xludf.DUMMYFUNCTION("""COMPUTED_VALUE"""),"PLDT")</f>
        <v>PLDT</v>
      </c>
      <c r="F370" s="1">
        <f>IFERROR(__xludf.DUMMYFUNCTION("""COMPUTED_VALUE"""),2306838905)</f>
        <v>2306838905</v>
      </c>
      <c r="G370" s="1"/>
      <c r="H370" s="1" t="str">
        <f>IFERROR(__xludf.DUMMYFUNCTION("""COMPUTED_VALUE"""),"CAYLEN MARRIE TAGURAN MAGTALAS")</f>
        <v>CAYLEN MARRIE TAGURAN MAGTALAS</v>
      </c>
      <c r="I370" s="1">
        <f>IFERROR(__xludf.DUMMYFUNCTION("""COMPUTED_VALUE"""),9956412658)</f>
        <v>9956412658</v>
      </c>
      <c r="J370" s="1">
        <f>IFERROR(__xludf.DUMMYFUNCTION("""COMPUTED_VALUE"""),639063228550)</f>
        <v>639063228550</v>
      </c>
      <c r="K370" s="1"/>
      <c r="L370" s="1" t="str">
        <f>IFERROR(__xludf.DUMMYFUNCTION("""COMPUTED_VALUE"""),"008-BL-039")</f>
        <v>008-BL-039</v>
      </c>
      <c r="M370" s="1" t="str">
        <f>IFERROR(__xludf.DUMMYFUNCTION("""COMPUTED_VALUE"""),"PHASE 5")</f>
        <v>PHASE 5</v>
      </c>
      <c r="N370" s="1" t="str">
        <f>IFERROR(__xludf.DUMMYFUNCTION("""COMPUTED_VALUE"""),"TERRA VERDE")</f>
        <v>TERRA VERDE</v>
      </c>
      <c r="O370" s="1"/>
      <c r="P370" s="1"/>
      <c r="Q370" s="1" t="str">
        <f>IFERROR(__xludf.DUMMYFUNCTION("""COMPUTED_VALUE"""),"BANCAL")</f>
        <v>BANCAL</v>
      </c>
      <c r="R370" s="1" t="str">
        <f>IFERROR(__xludf.DUMMYFUNCTION("""COMPUTED_VALUE"""),"CARMONA")</f>
        <v>CARMONA</v>
      </c>
      <c r="S370" s="1" t="str">
        <f>IFERROR(__xludf.DUMMYFUNCTION("""COMPUTED_VALUE"""),"FIBR PLAN 1699")</f>
        <v>FIBR PLAN 1699</v>
      </c>
      <c r="T370" s="1" t="str">
        <f>IFERROR(__xludf.DUMMYFUNCTION("""COMPUTED_VALUE"""),"APPROVED")</f>
        <v>APPROVED</v>
      </c>
      <c r="U370" s="1"/>
      <c r="V370" s="1"/>
      <c r="W370" s="1"/>
    </row>
    <row r="371" customHeight="1" spans="1:23">
      <c r="A371" s="3">
        <f>IFERROR(__xludf.DUMMYFUNCTION("""COMPUTED_VALUE"""),46061)</f>
        <v>46061</v>
      </c>
      <c r="B371" s="1" t="str">
        <f>IFERROR(__xludf.DUMMYFUNCTION("""COMPUTED_VALUE"""),"FRANCISCO , ROSELYN")</f>
        <v>FRANCISCO , ROSELYN</v>
      </c>
      <c r="C371" s="1" t="str">
        <f>IFERROR(__xludf.DUMMYFUNCTION("""COMPUTED_VALUE"""),"FLA")</f>
        <v>FLA</v>
      </c>
      <c r="D371" s="1" t="str">
        <f>IFERROR(__xludf.DUMMYFUNCTION("""COMPUTED_VALUE"""),"JERIC NAVARRO")</f>
        <v>JERIC NAVARRO</v>
      </c>
      <c r="E371" s="1" t="str">
        <f>IFERROR(__xludf.DUMMYFUNCTION("""COMPUTED_VALUE"""),"PLDT")</f>
        <v>PLDT</v>
      </c>
      <c r="F371" s="1">
        <f>IFERROR(__xludf.DUMMYFUNCTION("""COMPUTED_VALUE"""),2306840323)</f>
        <v>2306840323</v>
      </c>
      <c r="G371" s="1"/>
      <c r="H371" s="1" t="str">
        <f>IFERROR(__xludf.DUMMYFUNCTION("""COMPUTED_VALUE"""),"EUNICE BENGUA BERNAS")</f>
        <v>EUNICE BENGUA BERNAS</v>
      </c>
      <c r="I371" s="1">
        <f>IFERROR(__xludf.DUMMYFUNCTION("""COMPUTED_VALUE"""),917191625)</f>
        <v>917191625</v>
      </c>
      <c r="J371" s="1">
        <f>IFERROR(__xludf.DUMMYFUNCTION("""COMPUTED_VALUE"""),9451054980)</f>
        <v>9451054980</v>
      </c>
      <c r="K371" s="1" t="str">
        <f>IFERROR(__xludf.DUMMYFUNCTION("""COMPUTED_VALUE"""),"EUNICEBENGUABERNAS@GMAIL.COM")</f>
        <v>EUNICEBENGUABERNAS@GMAIL.COM</v>
      </c>
      <c r="L371" s="1" t="str">
        <f>IFERROR(__xludf.DUMMYFUNCTION("""COMPUTED_VALUE"""),"BLK 6 LOT 2")</f>
        <v>BLK 6 LOT 2</v>
      </c>
      <c r="M371" s="1" t="str">
        <f>IFERROR(__xludf.DUMMYFUNCTION("""COMPUTED_VALUE"""),"PH2")</f>
        <v>PH2</v>
      </c>
      <c r="N371" s="1" t="str">
        <f>IFERROR(__xludf.DUMMYFUNCTION("""COMPUTED_VALUE"""),"TERRA VERDE")</f>
        <v>TERRA VERDE</v>
      </c>
      <c r="O371" s="1"/>
      <c r="P371" s="1"/>
      <c r="Q371" s="1" t="str">
        <f>IFERROR(__xludf.DUMMYFUNCTION("""COMPUTED_VALUE"""),"BANCAL")</f>
        <v>BANCAL</v>
      </c>
      <c r="R371" s="1" t="str">
        <f>IFERROR(__xludf.DUMMYFUNCTION("""COMPUTED_VALUE"""),"CARMONA")</f>
        <v>CARMONA</v>
      </c>
      <c r="S371" s="1" t="str">
        <f>IFERROR(__xludf.DUMMYFUNCTION("""COMPUTED_VALUE"""),"FIBR PLAN 1399")</f>
        <v>FIBR PLAN 1399</v>
      </c>
      <c r="T371" s="1" t="str">
        <f>IFERROR(__xludf.DUMMYFUNCTION("""COMPUTED_VALUE"""),"APPROVED")</f>
        <v>APPROVED</v>
      </c>
      <c r="U371" s="1"/>
      <c r="V371" s="1"/>
      <c r="W371" s="1"/>
    </row>
    <row r="372" customHeight="1" spans="1:23">
      <c r="A372" s="3">
        <f>IFERROR(__xludf.DUMMYFUNCTION("""COMPUTED_VALUE"""),46061)</f>
        <v>46061</v>
      </c>
      <c r="B372" s="1" t="str">
        <f>IFERROR(__xludf.DUMMYFUNCTION("""COMPUTED_VALUE"""),"MIRASOL, RAYRALYN")</f>
        <v>MIRASOL, RAYRALYN</v>
      </c>
      <c r="C372" s="1" t="str">
        <f>IFERROR(__xludf.DUMMYFUNCTION("""COMPUTED_VALUE"""),"ORGANIC")</f>
        <v>ORGANIC</v>
      </c>
      <c r="D372" s="1" t="str">
        <f>IFERROR(__xludf.DUMMYFUNCTION("""COMPUTED_VALUE"""),"REMOLLO LEA")</f>
        <v>REMOLLO LEA</v>
      </c>
      <c r="E372" s="1" t="str">
        <f>IFERROR(__xludf.DUMMYFUNCTION("""COMPUTED_VALUE"""),"PLDT")</f>
        <v>PLDT</v>
      </c>
      <c r="F372" s="1">
        <f>IFERROR(__xludf.DUMMYFUNCTION("""COMPUTED_VALUE"""),2306840747)</f>
        <v>2306840747</v>
      </c>
      <c r="G372" s="1"/>
      <c r="H372" s="1" t="str">
        <f>IFERROR(__xludf.DUMMYFUNCTION("""COMPUTED_VALUE"""),"FRANCINE DELA CRUZ JAVIER")</f>
        <v>FRANCINE DELA CRUZ JAVIER</v>
      </c>
      <c r="I372" s="1">
        <f>IFERROR(__xludf.DUMMYFUNCTION("""COMPUTED_VALUE"""),9309081202)</f>
        <v>9309081202</v>
      </c>
      <c r="J372" s="1"/>
      <c r="K372" s="1" t="str">
        <f>IFERROR(__xludf.DUMMYFUNCTION("""COMPUTED_VALUE"""),"CINEFRANJAVIER@GMAIL.COM")</f>
        <v>CINEFRANJAVIER@GMAIL.COM</v>
      </c>
      <c r="L372" s="1" t="str">
        <f>IFERROR(__xludf.DUMMYFUNCTION("""COMPUTED_VALUE"""),"BLK 3 LOT 6")</f>
        <v>BLK 3 LOT 6</v>
      </c>
      <c r="M372" s="1" t="str">
        <f>IFERROR(__xludf.DUMMYFUNCTION("""COMPUTED_VALUE"""),"F REYES")</f>
        <v>F REYES</v>
      </c>
      <c r="N372" s="1"/>
      <c r="O372" s="1"/>
      <c r="P372" s="1"/>
      <c r="Q372" s="1" t="str">
        <f>IFERROR(__xludf.DUMMYFUNCTION("""COMPUTED_VALUE"""),"PANTALEON GRANADOS (AREA G)")</f>
        <v>PANTALEON GRANADOS (AREA G)</v>
      </c>
      <c r="R372" s="1" t="str">
        <f>IFERROR(__xludf.DUMMYFUNCTION("""COMPUTED_VALUE"""),"GEN MARIANO ALVAREZ")</f>
        <v>GEN MARIANO ALVAREZ</v>
      </c>
      <c r="S372" s="1" t="str">
        <f>IFERROR(__xludf.DUMMYFUNCTION("""COMPUTED_VALUE"""),"PREPAID 999")</f>
        <v>PREPAID 999</v>
      </c>
      <c r="T372" s="1" t="str">
        <f>IFERROR(__xludf.DUMMYFUNCTION("""COMPUTED_VALUE"""),"APPROVED")</f>
        <v>APPROVED</v>
      </c>
      <c r="U372" s="1"/>
      <c r="V372" s="1"/>
      <c r="W372" s="1"/>
    </row>
    <row r="373" customHeight="1" spans="1:23">
      <c r="A373" s="3">
        <f>IFERROR(__xludf.DUMMYFUNCTION("""COMPUTED_VALUE"""),46061)</f>
        <v>46061</v>
      </c>
      <c r="B373" s="1" t="str">
        <f>IFERROR(__xludf.DUMMYFUNCTION("""COMPUTED_VALUE"""),"GABAY, MANUEL")</f>
        <v>GABAY, MANUEL</v>
      </c>
      <c r="C373" s="1" t="str">
        <f>IFERROR(__xludf.DUMMYFUNCTION("""COMPUTED_VALUE"""),"FLA")</f>
        <v>FLA</v>
      </c>
      <c r="D373" s="1" t="str">
        <f>IFERROR(__xludf.DUMMYFUNCTION("""COMPUTED_VALUE"""),"JERIC NAVARRO")</f>
        <v>JERIC NAVARRO</v>
      </c>
      <c r="E373" s="1" t="str">
        <f>IFERROR(__xludf.DUMMYFUNCTION("""COMPUTED_VALUE"""),"PLDT")</f>
        <v>PLDT</v>
      </c>
      <c r="F373" s="1">
        <f>IFERROR(__xludf.DUMMYFUNCTION("""COMPUTED_VALUE"""),2306841033)</f>
        <v>2306841033</v>
      </c>
      <c r="G373" s="1"/>
      <c r="H373" s="1" t="str">
        <f>IFERROR(__xludf.DUMMYFUNCTION("""COMPUTED_VALUE"""),"JONALYN ANADILLA DIMACULANGAN")</f>
        <v>JONALYN ANADILLA DIMACULANGAN</v>
      </c>
      <c r="I373" s="1">
        <f>IFERROR(__xludf.DUMMYFUNCTION("""COMPUTED_VALUE"""),93699955910)</f>
        <v>93699955910</v>
      </c>
      <c r="J373" s="1">
        <f>IFERROR(__xludf.DUMMYFUNCTION("""COMPUTED_VALUE"""),915839051)</f>
        <v>915839051</v>
      </c>
      <c r="K373" s="1" t="str">
        <f>IFERROR(__xludf.DUMMYFUNCTION("""COMPUTED_VALUE"""),"JONALYNANADILLADIMACULANGAN@GMAIL.COM")</f>
        <v>JONALYNANADILLADIMACULANGAN@GMAIL.COM</v>
      </c>
      <c r="L373" s="1" t="str">
        <f>IFERROR(__xludf.DUMMYFUNCTION("""COMPUTED_VALUE"""),"BLK 16 LOT 27")</f>
        <v>BLK 16 LOT 27</v>
      </c>
      <c r="M373" s="1" t="str">
        <f>IFERROR(__xludf.DUMMYFUNCTION("""COMPUTED_VALUE"""),"DENVER")</f>
        <v>DENVER</v>
      </c>
      <c r="N373" s="1" t="str">
        <f>IFERROR(__xludf.DUMMYFUNCTION("""COMPUTED_VALUE"""),"WASHINGTON PLACE")</f>
        <v>WASHINGTON PLACE</v>
      </c>
      <c r="O373" s="1"/>
      <c r="P373" s="1"/>
      <c r="Q373" s="1" t="str">
        <f>IFERROR(__xludf.DUMMYFUNCTION("""COMPUTED_VALUE"""),"SAMPALOC II")</f>
        <v>SAMPALOC II</v>
      </c>
      <c r="R373" s="1" t="str">
        <f>IFERROR(__xludf.DUMMYFUNCTION("""COMPUTED_VALUE"""),"DASMARINAS")</f>
        <v>DASMARINAS</v>
      </c>
      <c r="S373" s="1" t="str">
        <f>IFERROR(__xludf.DUMMYFUNCTION("""COMPUTED_VALUE"""),"FIBR PLAN 1599")</f>
        <v>FIBR PLAN 1599</v>
      </c>
      <c r="T373" s="1" t="str">
        <f>IFERROR(__xludf.DUMMYFUNCTION("""COMPUTED_VALUE"""),"APPROVED")</f>
        <v>APPROVED</v>
      </c>
      <c r="U373" s="1"/>
      <c r="V373" s="1"/>
      <c r="W373" s="1"/>
    </row>
    <row r="374" customHeight="1" spans="1:23">
      <c r="A374" s="3">
        <f>IFERROR(__xludf.DUMMYFUNCTION("""COMPUTED_VALUE"""),46061)</f>
        <v>46061</v>
      </c>
      <c r="B374" s="1" t="str">
        <f>IFERROR(__xludf.DUMMYFUNCTION("""COMPUTED_VALUE"""),"CONCEPCION, ALJAY")</f>
        <v>CONCEPCION, ALJAY</v>
      </c>
      <c r="C374" s="1" t="str">
        <f>IFERROR(__xludf.DUMMYFUNCTION("""COMPUTED_VALUE"""),"ORGANIC")</f>
        <v>ORGANIC</v>
      </c>
      <c r="D374" s="1" t="str">
        <f>IFERROR(__xludf.DUMMYFUNCTION("""COMPUTED_VALUE"""),"REMOLLO LEA")</f>
        <v>REMOLLO LEA</v>
      </c>
      <c r="E374" s="1" t="str">
        <f>IFERROR(__xludf.DUMMYFUNCTION("""COMPUTED_VALUE"""),"PLDT")</f>
        <v>PLDT</v>
      </c>
      <c r="F374" s="1">
        <f>IFERROR(__xludf.DUMMYFUNCTION("""COMPUTED_VALUE"""),2306858927)</f>
        <v>2306858927</v>
      </c>
      <c r="G374" s="1"/>
      <c r="H374" s="1" t="str">
        <f>IFERROR(__xludf.DUMMYFUNCTION("""COMPUTED_VALUE"""),"KENNETH PALEN")</f>
        <v>KENNETH PALEN</v>
      </c>
      <c r="I374" s="1">
        <f>IFERROR(__xludf.DUMMYFUNCTION("""COMPUTED_VALUE"""),9777120688)</f>
        <v>9777120688</v>
      </c>
      <c r="J374" s="1">
        <f>IFERROR(__xludf.DUMMYFUNCTION("""COMPUTED_VALUE"""),9233160451)</f>
        <v>9233160451</v>
      </c>
      <c r="K374" s="1" t="str">
        <f>IFERROR(__xludf.DUMMYFUNCTION("""COMPUTED_VALUE"""),"KPJ1523@YAHOO.COM")</f>
        <v>KPJ1523@YAHOO.COM</v>
      </c>
      <c r="L374" s="1" t="str">
        <f>IFERROR(__xludf.DUMMYFUNCTION("""COMPUTED_VALUE"""),"BLK 7 LOT 36")</f>
        <v>BLK 7 LOT 36</v>
      </c>
      <c r="M374" s="1" t="str">
        <f>IFERROR(__xludf.DUMMYFUNCTION("""COMPUTED_VALUE"""),"PH2")</f>
        <v>PH2</v>
      </c>
      <c r="N374" s="1" t="str">
        <f>IFERROR(__xludf.DUMMYFUNCTION("""COMPUTED_VALUE"""),"SABELLA VILLAGE")</f>
        <v>SABELLA VILLAGE</v>
      </c>
      <c r="O374" s="1"/>
      <c r="P374" s="1"/>
      <c r="Q374" s="1" t="str">
        <f>IFERROR(__xludf.DUMMYFUNCTION("""COMPUTED_VALUE"""),"PANUNGYANAN")</f>
        <v>PANUNGYANAN</v>
      </c>
      <c r="R374" s="1" t="str">
        <f>IFERROR(__xludf.DUMMYFUNCTION("""COMPUTED_VALUE"""),"GENERAL TRIAS")</f>
        <v>GENERAL TRIAS</v>
      </c>
      <c r="S374" s="1" t="str">
        <f>IFERROR(__xludf.DUMMYFUNCTION("""COMPUTED_VALUE"""),"SWITCH PLAN 1699")</f>
        <v>SWITCH PLAN 1699</v>
      </c>
      <c r="T374" s="1" t="str">
        <f>IFERROR(__xludf.DUMMYFUNCTION("""COMPUTED_VALUE"""),"APPROVED")</f>
        <v>APPROVED</v>
      </c>
      <c r="U374" s="1"/>
      <c r="V374" s="1"/>
      <c r="W374" s="1"/>
    </row>
    <row r="375" customHeight="1" spans="1:23">
      <c r="A375" s="3">
        <f>IFERROR(__xludf.DUMMYFUNCTION("""COMPUTED_VALUE"""),46062)</f>
        <v>46062</v>
      </c>
      <c r="B375" s="1" t="str">
        <f>IFERROR(__xludf.DUMMYFUNCTION("""COMPUTED_VALUE"""),"DE VERA, MARIVIC")</f>
        <v>DE VERA, MARIVIC</v>
      </c>
      <c r="C375" s="1" t="str">
        <f>IFERROR(__xludf.DUMMYFUNCTION("""COMPUTED_VALUE"""),"ORGANIC")</f>
        <v>ORGANIC</v>
      </c>
      <c r="D375" s="1" t="str">
        <f>IFERROR(__xludf.DUMMYFUNCTION("""COMPUTED_VALUE"""),"REMOLLO LEA")</f>
        <v>REMOLLO LEA</v>
      </c>
      <c r="E375" s="1" t="str">
        <f>IFERROR(__xludf.DUMMYFUNCTION("""COMPUTED_VALUE"""),"PLDT")</f>
        <v>PLDT</v>
      </c>
      <c r="F375" s="1">
        <f>IFERROR(__xludf.DUMMYFUNCTION("""COMPUTED_VALUE"""),2306865523)</f>
        <v>2306865523</v>
      </c>
      <c r="G375" s="1"/>
      <c r="H375" s="1" t="str">
        <f>IFERROR(__xludf.DUMMYFUNCTION("""COMPUTED_VALUE"""),"JERIMIE BENZON ORENCE")</f>
        <v>JERIMIE BENZON ORENCE</v>
      </c>
      <c r="I375" s="1">
        <f>IFERROR(__xludf.DUMMYFUNCTION("""COMPUTED_VALUE"""),9516477234)</f>
        <v>9516477234</v>
      </c>
      <c r="J375" s="1">
        <f>IFERROR(__xludf.DUMMYFUNCTION("""COMPUTED_VALUE"""),9632291103)</f>
        <v>9632291103</v>
      </c>
      <c r="K375" s="1" t="str">
        <f>IFERROR(__xludf.DUMMYFUNCTION("""COMPUTED_VALUE"""),"ORENCEKAREN3@GMAIL.COM")</f>
        <v>ORENCEKAREN3@GMAIL.COM</v>
      </c>
      <c r="L375" s="1" t="str">
        <f>IFERROR(__xludf.DUMMYFUNCTION("""COMPUTED_VALUE"""),"311")</f>
        <v>311</v>
      </c>
      <c r="M375" s="1" t="str">
        <f>IFERROR(__xludf.DUMMYFUNCTION("""COMPUTED_VALUE"""),"PANUNGYANAN 1")</f>
        <v>PANUNGYANAN 1</v>
      </c>
      <c r="N375" s="1"/>
      <c r="O375" s="1"/>
      <c r="P375" s="1"/>
      <c r="Q375" s="1" t="str">
        <f>IFERROR(__xludf.DUMMYFUNCTION("""COMPUTED_VALUE"""),"PANUNGYAN I")</f>
        <v>PANUNGYAN I</v>
      </c>
      <c r="R375" s="1" t="str">
        <f>IFERROR(__xludf.DUMMYFUNCTION("""COMPUTED_VALUE"""),"MENDEZ")</f>
        <v>MENDEZ</v>
      </c>
      <c r="S375" s="1" t="str">
        <f>IFERROR(__xludf.DUMMYFUNCTION("""COMPUTED_VALUE"""),"FIBR PLAN 1399")</f>
        <v>FIBR PLAN 1399</v>
      </c>
      <c r="T375" s="1" t="str">
        <f>IFERROR(__xludf.DUMMYFUNCTION("""COMPUTED_VALUE"""),"HOLD")</f>
        <v>HOLD</v>
      </c>
      <c r="U375" s="1" t="str">
        <f>IFERROR(__xludf.DUMMYFUNCTION("""COMPUTED_VALUE"""),"DONE CALLOUT 0306")</f>
        <v>DONE CALLOUT 0306</v>
      </c>
      <c r="V375" s="1"/>
      <c r="W375" s="1"/>
    </row>
    <row r="376" customHeight="1" spans="1:23">
      <c r="A376" s="3">
        <f>IFERROR(__xludf.DUMMYFUNCTION("""COMPUTED_VALUE"""),46062)</f>
        <v>46062</v>
      </c>
      <c r="B376" s="1" t="str">
        <f>IFERROR(__xludf.DUMMYFUNCTION("""COMPUTED_VALUE"""),"MALIWAT MARK ELVIN")</f>
        <v>MALIWAT MARK ELVIN</v>
      </c>
      <c r="C376" s="1" t="str">
        <f>IFERROR(__xludf.DUMMYFUNCTION("""COMPUTED_VALUE"""),"FLA")</f>
        <v>FLA</v>
      </c>
      <c r="D376" s="1" t="str">
        <f>IFERROR(__xludf.DUMMYFUNCTION("""COMPUTED_VALUE"""),"JERIC NAVARRO")</f>
        <v>JERIC NAVARRO</v>
      </c>
      <c r="E376" s="1" t="str">
        <f>IFERROR(__xludf.DUMMYFUNCTION("""COMPUTED_VALUE"""),"PLDT")</f>
        <v>PLDT</v>
      </c>
      <c r="F376" s="1">
        <f>IFERROR(__xludf.DUMMYFUNCTION("""COMPUTED_VALUE"""),2306870163)</f>
        <v>2306870163</v>
      </c>
      <c r="G376" s="1"/>
      <c r="H376" s="1" t="str">
        <f>IFERROR(__xludf.DUMMYFUNCTION("""COMPUTED_VALUE"""),"JENNY CRUZ ALONZO")</f>
        <v>JENNY CRUZ ALONZO</v>
      </c>
      <c r="I376" s="1">
        <f>IFERROR(__xludf.DUMMYFUNCTION("""COMPUTED_VALUE"""),9553564732)</f>
        <v>9553564732</v>
      </c>
      <c r="J376" s="1">
        <f>IFERROR(__xludf.DUMMYFUNCTION("""COMPUTED_VALUE"""),639386191829)</f>
        <v>639386191829</v>
      </c>
      <c r="K376" s="1"/>
      <c r="L376" s="1" t="str">
        <f>IFERROR(__xludf.DUMMYFUNCTION("""COMPUTED_VALUE"""),"F14-BL-015")</f>
        <v>F14-BL-015</v>
      </c>
      <c r="M376" s="1" t="str">
        <f>IFERROR(__xludf.DUMMYFUNCTION("""COMPUTED_VALUE"""),"STA CRISTINA 1")</f>
        <v>STA CRISTINA 1</v>
      </c>
      <c r="N376" s="1"/>
      <c r="O376" s="1"/>
      <c r="P376" s="1"/>
      <c r="Q376" s="1" t="str">
        <f>IFERROR(__xludf.DUMMYFUNCTION("""COMPUTED_VALUE"""),"SAN ROQUE (STA. CRISTINA II)")</f>
        <v>SAN ROQUE (STA. CRISTINA II)</v>
      </c>
      <c r="R376" s="1" t="str">
        <f>IFERROR(__xludf.DUMMYFUNCTION("""COMPUTED_VALUE"""),"DASMARINAS")</f>
        <v>DASMARINAS</v>
      </c>
      <c r="S376" s="1" t="str">
        <f>IFERROR(__xludf.DUMMYFUNCTION("""COMPUTED_VALUE"""),"FIBR PLAN 999 W/ CIGNAL")</f>
        <v>FIBR PLAN 999 W/ CIGNAL</v>
      </c>
      <c r="T376" s="1" t="str">
        <f>IFERROR(__xludf.DUMMYFUNCTION("""COMPUTED_VALUE"""),"APPROVED")</f>
        <v>APPROVED</v>
      </c>
      <c r="U376" s="1"/>
      <c r="V376" s="1"/>
      <c r="W376" s="1"/>
    </row>
    <row r="377" customHeight="1" spans="1:23">
      <c r="A377" s="3">
        <f>IFERROR(__xludf.DUMMYFUNCTION("""COMPUTED_VALUE"""),46062)</f>
        <v>46062</v>
      </c>
      <c r="B377" s="1" t="str">
        <f>IFERROR(__xludf.DUMMYFUNCTION("""COMPUTED_VALUE"""),"MAGDARAOG, KENNETH")</f>
        <v>MAGDARAOG, KENNETH</v>
      </c>
      <c r="C377" s="1" t="str">
        <f>IFERROR(__xludf.DUMMYFUNCTION("""COMPUTED_VALUE"""),"ORGANIC")</f>
        <v>ORGANIC</v>
      </c>
      <c r="D377" s="1" t="str">
        <f>IFERROR(__xludf.DUMMYFUNCTION("""COMPUTED_VALUE"""),"REMOLLO LEA")</f>
        <v>REMOLLO LEA</v>
      </c>
      <c r="E377" s="1" t="str">
        <f>IFERROR(__xludf.DUMMYFUNCTION("""COMPUTED_VALUE"""),"PLDT")</f>
        <v>PLDT</v>
      </c>
      <c r="F377" s="1">
        <f>IFERROR(__xludf.DUMMYFUNCTION("""COMPUTED_VALUE"""),2306871195)</f>
        <v>2306871195</v>
      </c>
      <c r="G377" s="1"/>
      <c r="H377" s="1" t="str">
        <f>IFERROR(__xludf.DUMMYFUNCTION("""COMPUTED_VALUE"""),"CAMID ABDULLAH BARAMBANGAN")</f>
        <v>CAMID ABDULLAH BARAMBANGAN</v>
      </c>
      <c r="I377" s="1">
        <f>IFERROR(__xludf.DUMMYFUNCTION("""COMPUTED_VALUE"""),9262469586)</f>
        <v>9262469586</v>
      </c>
      <c r="J377" s="1"/>
      <c r="K377" s="1" t="str">
        <f>IFERROR(__xludf.DUMMYFUNCTION("""COMPUTED_VALUE"""),"ASHCAMID@GMAIL.COM")</f>
        <v>ASHCAMID@GMAIL.COM</v>
      </c>
      <c r="L377" s="1" t="str">
        <f>IFERROR(__xludf.DUMMYFUNCTION("""COMPUTED_VALUE"""),"59")</f>
        <v>59</v>
      </c>
      <c r="M377" s="1" t="str">
        <f>IFERROR(__xludf.DUMMYFUNCTION("""COMPUTED_VALUE"""),"ESGUERRA")</f>
        <v>ESGUERRA</v>
      </c>
      <c r="N377" s="1"/>
      <c r="O377" s="1"/>
      <c r="P377" s="1"/>
      <c r="Q377" s="1" t="str">
        <f>IFERROR(__xludf.DUMMYFUNCTION("""COMPUTED_VALUE"""),"BARANGAY 5 (POB.)")</f>
        <v>BARANGAY 5 (POB.)</v>
      </c>
      <c r="R377" s="1" t="str">
        <f>IFERROR(__xludf.DUMMYFUNCTION("""COMPUTED_VALUE"""),"ALFONSO")</f>
        <v>ALFONSO</v>
      </c>
      <c r="S377" s="1" t="str">
        <f>IFERROR(__xludf.DUMMYFUNCTION("""COMPUTED_VALUE"""),"PREPAID 999")</f>
        <v>PREPAID 999</v>
      </c>
      <c r="T377" s="1" t="str">
        <f>IFERROR(__xludf.DUMMYFUNCTION("""COMPUTED_VALUE"""),"APPROVED")</f>
        <v>APPROVED</v>
      </c>
      <c r="U377" s="1"/>
      <c r="V377" s="1"/>
      <c r="W377" s="1"/>
    </row>
    <row r="378" customHeight="1" spans="1:23">
      <c r="A378" s="3">
        <f>IFERROR(__xludf.DUMMYFUNCTION("""COMPUTED_VALUE"""),46062)</f>
        <v>46062</v>
      </c>
      <c r="B378" s="1" t="str">
        <f>IFERROR(__xludf.DUMMYFUNCTION("""COMPUTED_VALUE"""),"DE VERA, MARIVIC")</f>
        <v>DE VERA, MARIVIC</v>
      </c>
      <c r="C378" s="1" t="str">
        <f>IFERROR(__xludf.DUMMYFUNCTION("""COMPUTED_VALUE"""),"ORGANIC")</f>
        <v>ORGANIC</v>
      </c>
      <c r="D378" s="1" t="str">
        <f>IFERROR(__xludf.DUMMYFUNCTION("""COMPUTED_VALUE"""),"REMOLLO LEA")</f>
        <v>REMOLLO LEA</v>
      </c>
      <c r="E378" s="1" t="str">
        <f>IFERROR(__xludf.DUMMYFUNCTION("""COMPUTED_VALUE"""),"RED FIBER")</f>
        <v>RED FIBER</v>
      </c>
      <c r="F378" s="1"/>
      <c r="G378" s="1"/>
      <c r="H378" s="1" t="str">
        <f>IFERROR(__xludf.DUMMYFUNCTION("""COMPUTED_VALUE""")," ANGELICA SANCHEZ ISAAC")</f>
        <v> ANGELICA SANCHEZ ISAAC</v>
      </c>
      <c r="I378" s="1">
        <f>IFERROR(__xludf.DUMMYFUNCTION("""COMPUTED_VALUE"""),99215103570)</f>
        <v>99215103570</v>
      </c>
      <c r="J378" s="1"/>
      <c r="K378" s="1" t="str">
        <f>IFERROR(__xludf.DUMMYFUNCTION("""COMPUTED_VALUE"""),"LYCAISAAC29@GMAIL.COM")</f>
        <v>LYCAISAAC29@GMAIL.COM</v>
      </c>
      <c r="L378" s="1" t="str">
        <f>IFERROR(__xludf.DUMMYFUNCTION("""COMPUTED_VALUE"""),"61")</f>
        <v>61</v>
      </c>
      <c r="M378" s="1" t="str">
        <f>IFERROR(__xludf.DUMMYFUNCTION("""COMPUTED_VALUE"""),"LUKSUHIN PUBLIC MARKET")</f>
        <v>LUKSUHIN PUBLIC MARKET</v>
      </c>
      <c r="N378" s="1"/>
      <c r="O378" s="1"/>
      <c r="P378" s="1"/>
      <c r="Q378" s="1" t="str">
        <f>IFERROR(__xludf.DUMMYFUNCTION("""COMPUTED_VALUE"""),"LUCSUHIN")</f>
        <v>LUCSUHIN</v>
      </c>
      <c r="R378" s="1" t="str">
        <f>IFERROR(__xludf.DUMMYFUNCTION("""COMPUTED_VALUE"""),"ALFONSO")</f>
        <v>ALFONSO</v>
      </c>
      <c r="S378" s="1" t="str">
        <f>IFERROR(__xludf.DUMMYFUNCTION("""COMPUTED_VALUE"""),"RED FIBER PLAN 1000")</f>
        <v>RED FIBER PLAN 1000</v>
      </c>
      <c r="T378" s="1" t="str">
        <f>IFERROR(__xludf.DUMMYFUNCTION("""COMPUTED_VALUE"""),"APPROVED")</f>
        <v>APPROVED</v>
      </c>
      <c r="U378" s="1"/>
      <c r="V378" s="1"/>
      <c r="W378" s="1"/>
    </row>
    <row r="379" customHeight="1" spans="1:23">
      <c r="A379" s="3">
        <f>IFERROR(__xludf.DUMMYFUNCTION("""COMPUTED_VALUE"""),46063)</f>
        <v>46063</v>
      </c>
      <c r="B379" s="1" t="str">
        <f>IFERROR(__xludf.DUMMYFUNCTION("""COMPUTED_VALUE"""),"ESCARCHA, MA ALMA  ESCOTO")</f>
        <v>ESCARCHA, MA ALMA  ESCOTO</v>
      </c>
      <c r="C379" s="1" t="str">
        <f>IFERROR(__xludf.DUMMYFUNCTION("""COMPUTED_VALUE"""),"ORGANIC")</f>
        <v>ORGANIC</v>
      </c>
      <c r="D379" s="1" t="str">
        <f>IFERROR(__xludf.DUMMYFUNCTION("""COMPUTED_VALUE"""),"REMOLLO LEA")</f>
        <v>REMOLLO LEA</v>
      </c>
      <c r="E379" s="1" t="str">
        <f>IFERROR(__xludf.DUMMYFUNCTION("""COMPUTED_VALUE"""),"PLDT")</f>
        <v>PLDT</v>
      </c>
      <c r="F379" s="1">
        <f>IFERROR(__xludf.DUMMYFUNCTION("""COMPUTED_VALUE"""),2306896333)</f>
        <v>2306896333</v>
      </c>
      <c r="G379" s="1"/>
      <c r="H379" s="1" t="str">
        <f>IFERROR(__xludf.DUMMYFUNCTION("""COMPUTED_VALUE"""),"JAMES DAYAO BATUCAN")</f>
        <v>JAMES DAYAO BATUCAN</v>
      </c>
      <c r="I379" s="1">
        <f>IFERROR(__xludf.DUMMYFUNCTION("""COMPUTED_VALUE"""),9366978506)</f>
        <v>9366978506</v>
      </c>
      <c r="J379" s="1"/>
      <c r="K379" s="1" t="str">
        <f>IFERROR(__xludf.DUMMYFUNCTION("""COMPUTED_VALUE"""),"JAMESBATUCAN221@GMAIL.COM")</f>
        <v>JAMESBATUCAN221@GMAIL.COM</v>
      </c>
      <c r="L379" s="1" t="str">
        <f>IFERROR(__xludf.DUMMYFUNCTION("""COMPUTED_VALUE"""),"150")</f>
        <v>150</v>
      </c>
      <c r="M379" s="1" t="str">
        <f>IFERROR(__xludf.DUMMYFUNCTION("""COMPUTED_VALUE"""),"KAPT PEPE")</f>
        <v>KAPT PEPE</v>
      </c>
      <c r="N379" s="1"/>
      <c r="O379" s="1" t="str">
        <f>IFERROR(__xludf.DUMMYFUNCTION("""COMPUTED_VALUE"""),"SILLP247NP2/4 SILLP246NP6")</f>
        <v>SILLP247NP2/4 SILLP246NP6</v>
      </c>
      <c r="P379" s="1" t="str">
        <f>IFERROR(__xludf.DUMMYFUNCTION("""COMPUTED_VALUE"""),"14.217222 120.975700")</f>
        <v>14.217222 120.975700</v>
      </c>
      <c r="Q379" s="1" t="str">
        <f>IFERROR(__xludf.DUMMYFUNCTION("""COMPUTED_VALUE"""),"TUBUAN III")</f>
        <v>TUBUAN III</v>
      </c>
      <c r="R379" s="1" t="str">
        <f>IFERROR(__xludf.DUMMYFUNCTION("""COMPUTED_VALUE"""),"SILANG")</f>
        <v>SILANG</v>
      </c>
      <c r="S379" s="1" t="str">
        <f>IFERROR(__xludf.DUMMYFUNCTION("""COMPUTED_VALUE"""),"PREPAID 999")</f>
        <v>PREPAID 999</v>
      </c>
      <c r="T379" s="1" t="str">
        <f>IFERROR(__xludf.DUMMYFUNCTION("""COMPUTED_VALUE"""),"APPROVED")</f>
        <v>APPROVED</v>
      </c>
      <c r="U379" s="1"/>
      <c r="V379" s="1"/>
      <c r="W379" s="1"/>
    </row>
    <row r="380" customHeight="1" spans="1:23">
      <c r="A380" s="3">
        <f>IFERROR(__xludf.DUMMYFUNCTION("""COMPUTED_VALUE"""),46063)</f>
        <v>46063</v>
      </c>
      <c r="B380" s="1" t="str">
        <f>IFERROR(__xludf.DUMMYFUNCTION("""COMPUTED_VALUE"""),"MALIWAT MARK ELVIN")</f>
        <v>MALIWAT MARK ELVIN</v>
      </c>
      <c r="C380" s="1" t="str">
        <f>IFERROR(__xludf.DUMMYFUNCTION("""COMPUTED_VALUE"""),"FLA")</f>
        <v>FLA</v>
      </c>
      <c r="D380" s="1" t="str">
        <f>IFERROR(__xludf.DUMMYFUNCTION("""COMPUTED_VALUE"""),"JERIC NAVARRO")</f>
        <v>JERIC NAVARRO</v>
      </c>
      <c r="E380" s="1" t="str">
        <f>IFERROR(__xludf.DUMMYFUNCTION("""COMPUTED_VALUE"""),"PLDT")</f>
        <v>PLDT</v>
      </c>
      <c r="F380" s="1">
        <f>IFERROR(__xludf.DUMMYFUNCTION("""COMPUTED_VALUE"""),2306901332)</f>
        <v>2306901332</v>
      </c>
      <c r="G380" s="1">
        <f>IFERROR(__xludf.DUMMYFUNCTION("""COMPUTED_VALUE"""),442412086004)</f>
        <v>442412086004</v>
      </c>
      <c r="H380" s="1" t="str">
        <f>IFERROR(__xludf.DUMMYFUNCTION("""COMPUTED_VALUE"""),"MERECHILE CASERES CATAYLO")</f>
        <v>MERECHILE CASERES CATAYLO</v>
      </c>
      <c r="I380" s="1">
        <f>IFERROR(__xludf.DUMMYFUNCTION("""COMPUTED_VALUE"""),9471880318)</f>
        <v>9471880318</v>
      </c>
      <c r="J380" s="1">
        <f>IFERROR(__xludf.DUMMYFUNCTION("""COMPUTED_VALUE"""),9622843069)</f>
        <v>9622843069</v>
      </c>
      <c r="K380" s="1" t="str">
        <f>IFERROR(__xludf.DUMMYFUNCTION("""COMPUTED_VALUE"""),"MACNTOZ.1@GMAIL.COM")</f>
        <v>MACNTOZ.1@GMAIL.COM</v>
      </c>
      <c r="L380" s="1" t="str">
        <f>IFERROR(__xludf.DUMMYFUNCTION("""COMPUTED_VALUE"""),"BLK 2 LOT 3D")</f>
        <v>BLK 2 LOT 3D</v>
      </c>
      <c r="M380" s="1" t="str">
        <f>IFERROR(__xludf.DUMMYFUNCTION("""COMPUTED_VALUE"""),"RIO DE ORO")</f>
        <v>RIO DE ORO</v>
      </c>
      <c r="N380" s="1" t="str">
        <f>IFERROR(__xludf.DUMMYFUNCTION("""COMPUTED_VALUE"""),"PHASE 1")</f>
        <v>PHASE 1</v>
      </c>
      <c r="O380" s="1" t="str">
        <f>IFERROR(__xludf.DUMMYFUNCTION("""COMPUTED_VALUE"""),"GTSLPE653NP4/5/6")</f>
        <v>GTSLPE653NP4/5/6</v>
      </c>
      <c r="P380" s="1"/>
      <c r="Q380" s="1" t="str">
        <f>IFERROR(__xludf.DUMMYFUNCTION("""COMPUTED_VALUE"""),"BUENAVISTA I")</f>
        <v>BUENAVISTA I</v>
      </c>
      <c r="R380" s="1" t="str">
        <f>IFERROR(__xludf.DUMMYFUNCTION("""COMPUTED_VALUE"""),"GENERAL TRIAS")</f>
        <v>GENERAL TRIAS</v>
      </c>
      <c r="S380" s="1" t="str">
        <f>IFERROR(__xludf.DUMMYFUNCTION("""COMPUTED_VALUE"""),"FIBR PLAN 3199")</f>
        <v>FIBR PLAN 3199</v>
      </c>
      <c r="T380" s="1" t="str">
        <f>IFERROR(__xludf.DUMMYFUNCTION("""COMPUTED_VALUE"""),"APPROVED")</f>
        <v>APPROVED</v>
      </c>
      <c r="U380" s="1"/>
      <c r="V380" s="1"/>
      <c r="W380" s="1"/>
    </row>
    <row r="381" customHeight="1" spans="1:23">
      <c r="A381" s="3">
        <f>IFERROR(__xludf.DUMMYFUNCTION("""COMPUTED_VALUE"""),46063)</f>
        <v>46063</v>
      </c>
      <c r="B381" s="1" t="str">
        <f>IFERROR(__xludf.DUMMYFUNCTION("""COMPUTED_VALUE"""),"TISTON, CEDRICK")</f>
        <v>TISTON, CEDRICK</v>
      </c>
      <c r="C381" s="1" t="str">
        <f>IFERROR(__xludf.DUMMYFUNCTION("""COMPUTED_VALUE"""),"ORGANIC")</f>
        <v>ORGANIC</v>
      </c>
      <c r="D381" s="1" t="str">
        <f>IFERROR(__xludf.DUMMYFUNCTION("""COMPUTED_VALUE"""),"REMOLLO LEA")</f>
        <v>REMOLLO LEA</v>
      </c>
      <c r="E381" s="1" t="str">
        <f>IFERROR(__xludf.DUMMYFUNCTION("""COMPUTED_VALUE"""),"PLDT")</f>
        <v>PLDT</v>
      </c>
      <c r="F381" s="1">
        <f>IFERROR(__xludf.DUMMYFUNCTION("""COMPUTED_VALUE"""),2306904237)</f>
        <v>2306904237</v>
      </c>
      <c r="G381" s="1"/>
      <c r="H381" s="1" t="str">
        <f>IFERROR(__xludf.DUMMYFUNCTION("""COMPUTED_VALUE"""),"MA.BARBIE KINKITO SIMBULAN")</f>
        <v>MA.BARBIE KINKITO SIMBULAN</v>
      </c>
      <c r="I381" s="1">
        <f>IFERROR(__xludf.DUMMYFUNCTION("""COMPUTED_VALUE"""),9293090106)</f>
        <v>9293090106</v>
      </c>
      <c r="J381" s="1">
        <f>IFERROR(__xludf.DUMMYFUNCTION("""COMPUTED_VALUE"""),9218376690)</f>
        <v>9218376690</v>
      </c>
      <c r="K381" s="1" t="str">
        <f>IFERROR(__xludf.DUMMYFUNCTION("""COMPUTED_VALUE"""),"BARBIESIMBULAN@GMAIL.COM")</f>
        <v>BARBIESIMBULAN@GMAIL.COM</v>
      </c>
      <c r="L381" s="1" t="str">
        <f>IFERROR(__xludf.DUMMYFUNCTION("""COMPUTED_VALUE"""),"BLK 43 LOT 133")</f>
        <v>BLK 43 LOT 133</v>
      </c>
      <c r="M381" s="1" t="str">
        <f>IFERROR(__xludf.DUMMYFUNCTION("""COMPUTED_VALUE"""),"PHASE 2B")</f>
        <v>PHASE 2B</v>
      </c>
      <c r="N381" s="1" t="str">
        <f>IFERROR(__xludf.DUMMYFUNCTION("""COMPUTED_VALUE"""),"ALTA TIERA")</f>
        <v>ALTA TIERA</v>
      </c>
      <c r="O381" s="1" t="str">
        <f>IFERROR(__xludf.DUMMYFUNCTION("""COMPUTED_VALUE"""),"GMZLP7NP4")</f>
        <v>GMZLP7NP4</v>
      </c>
      <c r="P381" s="1" t="str">
        <f>IFERROR(__xludf.DUMMYFUNCTION("""COMPUTED_VALUE"""),"14.317082 121.010911")</f>
        <v>14.317082 121.010911</v>
      </c>
      <c r="Q381" s="1" t="str">
        <f>IFERROR(__xludf.DUMMYFUNCTION("""COMPUTED_VALUE"""),"ALDIANO OLAES")</f>
        <v>ALDIANO OLAES</v>
      </c>
      <c r="R381" s="1" t="str">
        <f>IFERROR(__xludf.DUMMYFUNCTION("""COMPUTED_VALUE"""),"GEN MARIANO ALVAREZ")</f>
        <v>GEN MARIANO ALVAREZ</v>
      </c>
      <c r="S381" s="1" t="str">
        <f>IFERROR(__xludf.DUMMYFUNCTION("""COMPUTED_VALUE"""),"FIBR PLAN 1599")</f>
        <v>FIBR PLAN 1599</v>
      </c>
      <c r="T381" s="1" t="str">
        <f>IFERROR(__xludf.DUMMYFUNCTION("""COMPUTED_VALUE"""),"APPROVED")</f>
        <v>APPROVED</v>
      </c>
      <c r="U381" s="1"/>
      <c r="V381" s="1"/>
      <c r="W381" s="1"/>
    </row>
    <row r="382" customHeight="1" spans="1:23">
      <c r="A382" s="3">
        <f>IFERROR(__xludf.DUMMYFUNCTION("""COMPUTED_VALUE"""),46063)</f>
        <v>46063</v>
      </c>
      <c r="B382" s="1" t="str">
        <f>IFERROR(__xludf.DUMMYFUNCTION("""COMPUTED_VALUE"""),"MIRASOL, RAYRALYN")</f>
        <v>MIRASOL, RAYRALYN</v>
      </c>
      <c r="C382" s="1" t="str">
        <f>IFERROR(__xludf.DUMMYFUNCTION("""COMPUTED_VALUE"""),"ORGANIC")</f>
        <v>ORGANIC</v>
      </c>
      <c r="D382" s="1" t="str">
        <f>IFERROR(__xludf.DUMMYFUNCTION("""COMPUTED_VALUE"""),"REMOLLO LEA")</f>
        <v>REMOLLO LEA</v>
      </c>
      <c r="E382" s="1" t="str">
        <f>IFERROR(__xludf.DUMMYFUNCTION("""COMPUTED_VALUE"""),"PLDT")</f>
        <v>PLDT</v>
      </c>
      <c r="F382" s="1">
        <f>IFERROR(__xludf.DUMMYFUNCTION("""COMPUTED_VALUE"""),2306901407)</f>
        <v>2306901407</v>
      </c>
      <c r="G382" s="1"/>
      <c r="H382" s="1" t="str">
        <f>IFERROR(__xludf.DUMMYFUNCTION("""COMPUTED_VALUE"""),"MARIA LAMIE ABOG BALBERO")</f>
        <v>MARIA LAMIE ABOG BALBERO</v>
      </c>
      <c r="I382" s="1">
        <f>IFERROR(__xludf.DUMMYFUNCTION("""COMPUTED_VALUE"""),9165704135)</f>
        <v>9165704135</v>
      </c>
      <c r="J382" s="1"/>
      <c r="K382" s="1" t="str">
        <f>IFERROR(__xludf.DUMMYFUNCTION("""COMPUTED_VALUE"""),"BALDEROMARIALENIE31@GMAIL.COM")</f>
        <v>BALDEROMARIALENIE31@GMAIL.COM</v>
      </c>
      <c r="L382" s="1" t="str">
        <f>IFERROR(__xludf.DUMMYFUNCTION("""COMPUTED_VALUE"""),"BLK 3 LOT 11")</f>
        <v>BLK 3 LOT 11</v>
      </c>
      <c r="M382" s="1" t="str">
        <f>IFERROR(__xludf.DUMMYFUNCTION("""COMPUTED_VALUE"""),"PHASE 1")</f>
        <v>PHASE 1</v>
      </c>
      <c r="N382" s="1" t="str">
        <f>IFERROR(__xludf.DUMMYFUNCTION("""COMPUTED_VALUE"""),"TERRAVERDE")</f>
        <v>TERRAVERDE</v>
      </c>
      <c r="O382" s="1" t="str">
        <f>IFERROR(__xludf.DUMMYFUNCTION("""COMPUTED_VALUE"""),"CMNLP173NP4")</f>
        <v>CMNLP173NP4</v>
      </c>
      <c r="P382" s="1" t="str">
        <f>IFERROR(__xludf.DUMMYFUNCTION("""COMPUTED_VALUE"""),"14.297805 121.016089")</f>
        <v>14.297805 121.016089</v>
      </c>
      <c r="Q382" s="1" t="str">
        <f>IFERROR(__xludf.DUMMYFUNCTION("""COMPUTED_VALUE"""),"BANCAL")</f>
        <v>BANCAL</v>
      </c>
      <c r="R382" s="1" t="str">
        <f>IFERROR(__xludf.DUMMYFUNCTION("""COMPUTED_VALUE"""),"CARMONA")</f>
        <v>CARMONA</v>
      </c>
      <c r="S382" s="1" t="str">
        <f>IFERROR(__xludf.DUMMYFUNCTION("""COMPUTED_VALUE"""),"FIBR PLAN 999 W/ CIGNAL")</f>
        <v>FIBR PLAN 999 W/ CIGNAL</v>
      </c>
      <c r="T382" s="1" t="str">
        <f>IFERROR(__xludf.DUMMYFUNCTION("""COMPUTED_VALUE"""),"APPROVED")</f>
        <v>APPROVED</v>
      </c>
      <c r="U382" s="1"/>
      <c r="V382" s="1"/>
      <c r="W382" s="1"/>
    </row>
    <row r="383" customHeight="1" spans="1:23">
      <c r="A383" s="3">
        <f>IFERROR(__xludf.DUMMYFUNCTION("""COMPUTED_VALUE"""),46063)</f>
        <v>46063</v>
      </c>
      <c r="B383" s="1" t="str">
        <f>IFERROR(__xludf.DUMMYFUNCTION("""COMPUTED_VALUE"""),"CONCEPCION, ALJAY")</f>
        <v>CONCEPCION, ALJAY</v>
      </c>
      <c r="C383" s="1" t="str">
        <f>IFERROR(__xludf.DUMMYFUNCTION("""COMPUTED_VALUE"""),"ORGANIC")</f>
        <v>ORGANIC</v>
      </c>
      <c r="D383" s="1" t="str">
        <f>IFERROR(__xludf.DUMMYFUNCTION("""COMPUTED_VALUE"""),"REMOLLO LEA")</f>
        <v>REMOLLO LEA</v>
      </c>
      <c r="E383" s="1" t="str">
        <f>IFERROR(__xludf.DUMMYFUNCTION("""COMPUTED_VALUE"""),"PLDT")</f>
        <v>PLDT</v>
      </c>
      <c r="F383" s="1"/>
      <c r="G383" s="1"/>
      <c r="H383" s="1" t="str">
        <f>IFERROR(__xludf.DUMMYFUNCTION("""COMPUTED_VALUE"""),"LEO MARVIN DELA CRUZ CHUA")</f>
        <v>LEO MARVIN DELA CRUZ CHUA</v>
      </c>
      <c r="I383" s="1">
        <f>IFERROR(__xludf.DUMMYFUNCTION("""COMPUTED_VALUE"""),9357833195)</f>
        <v>9357833195</v>
      </c>
      <c r="J383" s="1"/>
      <c r="K383" s="1" t="str">
        <f>IFERROR(__xludf.DUMMYFUNCTION("""COMPUTED_VALUE"""),"LEOCHUA00123@GMAIL.COM")</f>
        <v>LEOCHUA00123@GMAIL.COM</v>
      </c>
      <c r="L383" s="1" t="str">
        <f>IFERROR(__xludf.DUMMYFUNCTION("""COMPUTED_VALUE"""),"74")</f>
        <v>74</v>
      </c>
      <c r="M383" s="1" t="str">
        <f>IFERROR(__xludf.DUMMYFUNCTION("""COMPUTED_VALUE"""),"LUKSUHIN RD")</f>
        <v>LUKSUHIN RD</v>
      </c>
      <c r="N383" s="1"/>
      <c r="O383" s="1" t="str">
        <f>IFERROR(__xludf.DUMMYFUNCTION("""COMPUTED_VALUE"""),"CVTLCP40NP4 CVTLCP47NP1")</f>
        <v>CVTLCP40NP4 CVTLCP47NP1</v>
      </c>
      <c r="P383" s="1"/>
      <c r="Q383" s="1" t="str">
        <f>IFERROR(__xludf.DUMMYFUNCTION("""COMPUTED_VALUE"""),"LUKSUHIN ILAYA")</f>
        <v>LUKSUHIN ILAYA</v>
      </c>
      <c r="R383" s="1" t="str">
        <f>IFERROR(__xludf.DUMMYFUNCTION("""COMPUTED_VALUE"""),"ALFONSO")</f>
        <v>ALFONSO</v>
      </c>
      <c r="S383" s="1" t="str">
        <f>IFERROR(__xludf.DUMMYFUNCTION("""COMPUTED_VALUE"""),"RED FIBER PLAN 1000")</f>
        <v>RED FIBER PLAN 1000</v>
      </c>
      <c r="T383" s="1" t="str">
        <f>IFERROR(__xludf.DUMMYFUNCTION("""COMPUTED_VALUE"""),"CANCELLED ")</f>
        <v>CANCELLED </v>
      </c>
      <c r="U383" s="1" t="str">
        <f>IFERROR(__xludf.DUMMYFUNCTION("""COMPUTED_VALUE"""),"FOR INSTALLATION NA DAW KAY PLDT")</f>
        <v>FOR INSTALLATION NA DAW KAY PLDT</v>
      </c>
      <c r="V383" s="1"/>
      <c r="W383" s="1"/>
    </row>
    <row r="384" customHeight="1" spans="1:23">
      <c r="A384" s="3">
        <f>IFERROR(__xludf.DUMMYFUNCTION("""COMPUTED_VALUE"""),46063)</f>
        <v>46063</v>
      </c>
      <c r="B384" s="1" t="str">
        <f>IFERROR(__xludf.DUMMYFUNCTION("""COMPUTED_VALUE"""),"ALINGARO, CINDY")</f>
        <v>ALINGARO, CINDY</v>
      </c>
      <c r="C384" s="1" t="str">
        <f>IFERROR(__xludf.DUMMYFUNCTION("""COMPUTED_VALUE"""),"FLA")</f>
        <v>FLA</v>
      </c>
      <c r="D384" s="1" t="str">
        <f>IFERROR(__xludf.DUMMYFUNCTION("""COMPUTED_VALUE"""),"JERIC NAVARRO")</f>
        <v>JERIC NAVARRO</v>
      </c>
      <c r="E384" s="1" t="str">
        <f>IFERROR(__xludf.DUMMYFUNCTION("""COMPUTED_VALUE"""),"PLDT")</f>
        <v>PLDT</v>
      </c>
      <c r="F384" s="1">
        <f>IFERROR(__xludf.DUMMYFUNCTION("""COMPUTED_VALUE"""),2306905644)</f>
        <v>2306905644</v>
      </c>
      <c r="G384" s="1"/>
      <c r="H384" s="1" t="str">
        <f>IFERROR(__xludf.DUMMYFUNCTION("""COMPUTED_VALUE"""),"IVY MAE REQUIROSO OCON")</f>
        <v>IVY MAE REQUIROSO OCON</v>
      </c>
      <c r="I384" s="1">
        <f>IFERROR(__xludf.DUMMYFUNCTION("""COMPUTED_VALUE"""),9509567204)</f>
        <v>9509567204</v>
      </c>
      <c r="J384" s="1">
        <f>IFERROR(__xludf.DUMMYFUNCTION("""COMPUTED_VALUE"""),9509567204)</f>
        <v>9509567204</v>
      </c>
      <c r="K384" s="1" t="str">
        <f>IFERROR(__xludf.DUMMYFUNCTION("""COMPUTED_VALUE"""),"SARABIABEBE05@GMAIL.COM")</f>
        <v>SARABIABEBE05@GMAIL.COM</v>
      </c>
      <c r="L384" s="1" t="str">
        <f>IFERROR(__xludf.DUMMYFUNCTION("""COMPUTED_VALUE"""),"BLK 57 LOT 56")</f>
        <v>BLK 57 LOT 56</v>
      </c>
      <c r="M384" s="1" t="str">
        <f>IFERROR(__xludf.DUMMYFUNCTION("""COMPUTED_VALUE"""),"PHASE 4")</f>
        <v>PHASE 4</v>
      </c>
      <c r="N384" s="1" t="str">
        <f>IFERROR(__xludf.DUMMYFUNCTION("""COMPUTED_VALUE"""),"ALTA TIERA")</f>
        <v>ALTA TIERA</v>
      </c>
      <c r="O384" s="1" t="str">
        <f>IFERROR(__xludf.DUMMYFUNCTION("""COMPUTED_VALUE"""),"GMZLP243NP3/4")</f>
        <v>GMZLP243NP3/4</v>
      </c>
      <c r="P384" s="1" t="str">
        <f>IFERROR(__xludf.DUMMYFUNCTION("""COMPUTED_VALUE"""),"14.313564 121.00934")</f>
        <v>14.313564 121.00934</v>
      </c>
      <c r="Q384" s="1" t="str">
        <f>IFERROR(__xludf.DUMMYFUNCTION("""COMPUTED_VALUE"""),"ALDIANO OLAES")</f>
        <v>ALDIANO OLAES</v>
      </c>
      <c r="R384" s="1" t="str">
        <f>IFERROR(__xludf.DUMMYFUNCTION("""COMPUTED_VALUE"""),"GEN MARIANO ALVAREZ")</f>
        <v>GEN MARIANO ALVAREZ</v>
      </c>
      <c r="S384" s="1" t="str">
        <f>IFERROR(__xludf.DUMMYFUNCTION("""COMPUTED_VALUE"""),"FIBR PLAN 1599")</f>
        <v>FIBR PLAN 1599</v>
      </c>
      <c r="T384" s="1" t="str">
        <f>IFERROR(__xludf.DUMMYFUNCTION("""COMPUTED_VALUE"""),"APPROVED")</f>
        <v>APPROVED</v>
      </c>
      <c r="U384" s="1"/>
      <c r="V384" s="1"/>
      <c r="W384" s="1"/>
    </row>
    <row r="385" customHeight="1" spans="1:23">
      <c r="A385" s="3">
        <f>IFERROR(__xludf.DUMMYFUNCTION("""COMPUTED_VALUE"""),46064)</f>
        <v>46064</v>
      </c>
      <c r="B385" s="1" t="str">
        <f>IFERROR(__xludf.DUMMYFUNCTION("""COMPUTED_VALUE"""),"MALIWAT MARK ELVIN")</f>
        <v>MALIWAT MARK ELVIN</v>
      </c>
      <c r="C385" s="1" t="str">
        <f>IFERROR(__xludf.DUMMYFUNCTION("""COMPUTED_VALUE"""),"FLA")</f>
        <v>FLA</v>
      </c>
      <c r="D385" s="1" t="str">
        <f>IFERROR(__xludf.DUMMYFUNCTION("""COMPUTED_VALUE"""),"JERIC NAVARRO")</f>
        <v>JERIC NAVARRO</v>
      </c>
      <c r="E385" s="1" t="str">
        <f>IFERROR(__xludf.DUMMYFUNCTION("""COMPUTED_VALUE"""),"PLDT")</f>
        <v>PLDT</v>
      </c>
      <c r="F385" s="1">
        <f>IFERROR(__xludf.DUMMYFUNCTION("""COMPUTED_VALUE"""),2306924478)</f>
        <v>2306924478</v>
      </c>
      <c r="G385" s="1"/>
      <c r="H385" s="1" t="str">
        <f>IFERROR(__xludf.DUMMYFUNCTION("""COMPUTED_VALUE"""),"MARIAN MARIE TUBO ANDRADE")</f>
        <v>MARIAN MARIE TUBO ANDRADE</v>
      </c>
      <c r="I385" s="1">
        <f>IFERROR(__xludf.DUMMYFUNCTION("""COMPUTED_VALUE"""),9922393716)</f>
        <v>9922393716</v>
      </c>
      <c r="J385" s="1">
        <f>IFERROR(__xludf.DUMMYFUNCTION("""COMPUTED_VALUE"""),9556084723)</f>
        <v>9556084723</v>
      </c>
      <c r="K385" s="1" t="str">
        <f>IFERROR(__xludf.DUMMYFUNCTION("""COMPUTED_VALUE"""),"ANDRADEMARIANMARIE@GMAIL.COM")</f>
        <v>ANDRADEMARIANMARIE@GMAIL.COM</v>
      </c>
      <c r="L385" s="1" t="str">
        <f>IFERROR(__xludf.DUMMYFUNCTION("""COMPUTED_VALUE"""),"BLK 20 LOT 110")</f>
        <v>BLK 20 LOT 110</v>
      </c>
      <c r="M385" s="1" t="str">
        <f>IFERROR(__xludf.DUMMYFUNCTION("""COMPUTED_VALUE"""),"AVERSA ST")</f>
        <v>AVERSA ST</v>
      </c>
      <c r="N385" s="1" t="str">
        <f>IFERROR(__xludf.DUMMYFUNCTION("""COMPUTED_VALUE"""),"JADE RESIDENCES")</f>
        <v>JADE RESIDENCES</v>
      </c>
      <c r="O385" s="1" t="str">
        <f>IFERROR(__xludf.DUMMYFUNCTION("""COMPUTED_VALUE"""),"IMULP013NP2/4/6/8")</f>
        <v>IMULP013NP2/4/6/8</v>
      </c>
      <c r="P385" s="1" t="str">
        <f>IFERROR(__xludf.DUMMYFUNCTION("""COMPUTED_VALUE"""),"14.386676 120.926435")</f>
        <v>14.386676 120.926435</v>
      </c>
      <c r="Q385" s="1" t="str">
        <f>IFERROR(__xludf.DUMMYFUNCTION("""COMPUTED_VALUE"""),"MALAGASANG I-D")</f>
        <v>MALAGASANG I-D</v>
      </c>
      <c r="R385" s="1" t="str">
        <f>IFERROR(__xludf.DUMMYFUNCTION("""COMPUTED_VALUE"""),"IMUS")</f>
        <v>IMUS</v>
      </c>
      <c r="S385" s="1" t="str">
        <f>IFERROR(__xludf.DUMMYFUNCTION("""COMPUTED_VALUE"""),"FIBR PLAN 1399")</f>
        <v>FIBR PLAN 1399</v>
      </c>
      <c r="T385" s="1" t="str">
        <f>IFERROR(__xludf.DUMMYFUNCTION("""COMPUTED_VALUE"""),"APPROVED")</f>
        <v>APPROVED</v>
      </c>
      <c r="U385" s="1"/>
      <c r="V385" s="1"/>
      <c r="W385" s="1"/>
    </row>
    <row r="386" customHeight="1" spans="1:23">
      <c r="A386" s="3">
        <f>IFERROR(__xludf.DUMMYFUNCTION("""COMPUTED_VALUE"""),46064)</f>
        <v>46064</v>
      </c>
      <c r="B386" s="1" t="str">
        <f>IFERROR(__xludf.DUMMYFUNCTION("""COMPUTED_VALUE"""),"IVNO, RAZZEL")</f>
        <v>IVNO, RAZZEL</v>
      </c>
      <c r="C386" s="1" t="str">
        <f>IFERROR(__xludf.DUMMYFUNCTION("""COMPUTED_VALUE"""),"ORGANIC")</f>
        <v>ORGANIC</v>
      </c>
      <c r="D386" s="1" t="str">
        <f>IFERROR(__xludf.DUMMYFUNCTION("""COMPUTED_VALUE"""),"REMOLLO LEA")</f>
        <v>REMOLLO LEA</v>
      </c>
      <c r="E386" s="1" t="str">
        <f>IFERROR(__xludf.DUMMYFUNCTION("""COMPUTED_VALUE"""),"PLDT")</f>
        <v>PLDT</v>
      </c>
      <c r="F386" s="1">
        <f>IFERROR(__xludf.DUMMYFUNCTION("""COMPUTED_VALUE"""),2306939158)</f>
        <v>2306939158</v>
      </c>
      <c r="G386" s="1"/>
      <c r="H386" s="1" t="str">
        <f>IFERROR(__xludf.DUMMYFUNCTION("""COMPUTED_VALUE"""),"KIMBERLY ALESNA GONZALES")</f>
        <v>KIMBERLY ALESNA GONZALES</v>
      </c>
      <c r="I386" s="1">
        <f>IFERROR(__xludf.DUMMYFUNCTION("""COMPUTED_VALUE"""),9294200631)</f>
        <v>9294200631</v>
      </c>
      <c r="J386" s="1"/>
      <c r="K386" s="1" t="str">
        <f>IFERROR(__xludf.DUMMYFUNCTION("""COMPUTED_VALUE"""),"KIMHAZED16609@GMAIL.COM")</f>
        <v>KIMHAZED16609@GMAIL.COM</v>
      </c>
      <c r="L386" s="1" t="str">
        <f>IFERROR(__xludf.DUMMYFUNCTION("""COMPUTED_VALUE"""),"BLK 6 LOT 53")</f>
        <v>BLK 6 LOT 53</v>
      </c>
      <c r="M386" s="1" t="str">
        <f>IFERROR(__xludf.DUMMYFUNCTION("""COMPUTED_VALUE"""),"PHASE 4")</f>
        <v>PHASE 4</v>
      </c>
      <c r="N386" s="1" t="str">
        <f>IFERROR(__xludf.DUMMYFUNCTION("""COMPUTED_VALUE"""),"TERRAVERDE")</f>
        <v>TERRAVERDE</v>
      </c>
      <c r="O386" s="1" t="str">
        <f>IFERROR(__xludf.DUMMYFUNCTION("""COMPUTED_VALUE"""),"CMNLP252NP4")</f>
        <v>CMNLP252NP4</v>
      </c>
      <c r="P386" s="1" t="str">
        <f>IFERROR(__xludf.DUMMYFUNCTION("""COMPUTED_VALUE"""),"14.300148 121.015952")</f>
        <v>14.300148 121.015952</v>
      </c>
      <c r="Q386" s="1" t="str">
        <f>IFERROR(__xludf.DUMMYFUNCTION("""COMPUTED_VALUE"""),"BANCAL")</f>
        <v>BANCAL</v>
      </c>
      <c r="R386" s="1" t="str">
        <f>IFERROR(__xludf.DUMMYFUNCTION("""COMPUTED_VALUE"""),"CARMONA")</f>
        <v>CARMONA</v>
      </c>
      <c r="S386" s="1" t="str">
        <f>IFERROR(__xludf.DUMMYFUNCTION("""COMPUTED_VALUE"""),"FIBR PLAN 1399")</f>
        <v>FIBR PLAN 1399</v>
      </c>
      <c r="T386" s="1" t="str">
        <f>IFERROR(__xludf.DUMMYFUNCTION("""COMPUTED_VALUE"""),"APPROVED")</f>
        <v>APPROVED</v>
      </c>
      <c r="U386" s="1"/>
      <c r="V386" s="1"/>
      <c r="W386" s="1"/>
    </row>
    <row r="387" customHeight="1" spans="1:23">
      <c r="A387" s="3">
        <f>IFERROR(__xludf.DUMMYFUNCTION("""COMPUTED_VALUE"""),46064)</f>
        <v>46064</v>
      </c>
      <c r="B387" s="1" t="str">
        <f>IFERROR(__xludf.DUMMYFUNCTION("""COMPUTED_VALUE"""),"TISTON, CEDRICK")</f>
        <v>TISTON, CEDRICK</v>
      </c>
      <c r="C387" s="1" t="str">
        <f>IFERROR(__xludf.DUMMYFUNCTION("""COMPUTED_VALUE"""),"ORGANIC")</f>
        <v>ORGANIC</v>
      </c>
      <c r="D387" s="1" t="str">
        <f>IFERROR(__xludf.DUMMYFUNCTION("""COMPUTED_VALUE"""),"REMOLLO LEA")</f>
        <v>REMOLLO LEA</v>
      </c>
      <c r="E387" s="1" t="str">
        <f>IFERROR(__xludf.DUMMYFUNCTION("""COMPUTED_VALUE"""),"PLDT")</f>
        <v>PLDT</v>
      </c>
      <c r="F387" s="1">
        <f>IFERROR(__xludf.DUMMYFUNCTION("""COMPUTED_VALUE"""),2306931965)</f>
        <v>2306931965</v>
      </c>
      <c r="G387" s="1"/>
      <c r="H387" s="1" t="str">
        <f>IFERROR(__xludf.DUMMYFUNCTION("""COMPUTED_VALUE"""),"NOEL GABEZA GANELA")</f>
        <v>NOEL GABEZA GANELA</v>
      </c>
      <c r="I387" s="1">
        <f>IFERROR(__xludf.DUMMYFUNCTION("""COMPUTED_VALUE"""),9178409985)</f>
        <v>9178409985</v>
      </c>
      <c r="J387" s="1">
        <f>IFERROR(__xludf.DUMMYFUNCTION("""COMPUTED_VALUE"""),9171644819)</f>
        <v>9171644819</v>
      </c>
      <c r="K387" s="1" t="str">
        <f>IFERROR(__xludf.DUMMYFUNCTION("""COMPUTED_VALUE"""),"REENALYNGANELA@GMAIL.COM")</f>
        <v>REENALYNGANELA@GMAIL.COM</v>
      </c>
      <c r="L387" s="1" t="str">
        <f>IFERROR(__xludf.DUMMYFUNCTION("""COMPUTED_VALUE"""),"BLK 11 LOT 22")</f>
        <v>BLK 11 LOT 22</v>
      </c>
      <c r="M387" s="1" t="str">
        <f>IFERROR(__xludf.DUMMYFUNCTION("""COMPUTED_VALUE"""),"PHASE 1")</f>
        <v>PHASE 1</v>
      </c>
      <c r="N387" s="1" t="str">
        <f>IFERROR(__xludf.DUMMYFUNCTION("""COMPUTED_VALUE"""),"TERRAVERDE")</f>
        <v>TERRAVERDE</v>
      </c>
      <c r="O387" s="1" t="str">
        <f>IFERROR(__xludf.DUMMYFUNCTION("""COMPUTED_VALUE"""),"CMNLP260NP3")</f>
        <v>CMNLP260NP3</v>
      </c>
      <c r="P387" s="1" t="str">
        <f>IFERROR(__xludf.DUMMYFUNCTION("""COMPUTED_VALUE"""),"14.296269 121.015366")</f>
        <v>14.296269 121.015366</v>
      </c>
      <c r="Q387" s="1" t="str">
        <f>IFERROR(__xludf.DUMMYFUNCTION("""COMPUTED_VALUE"""),"BANCAL")</f>
        <v>BANCAL</v>
      </c>
      <c r="R387" s="1" t="str">
        <f>IFERROR(__xludf.DUMMYFUNCTION("""COMPUTED_VALUE"""),"CARMONA")</f>
        <v>CARMONA</v>
      </c>
      <c r="S387" s="1" t="str">
        <f>IFERROR(__xludf.DUMMYFUNCTION("""COMPUTED_VALUE"""),"FIBR PLAN 1399")</f>
        <v>FIBR PLAN 1399</v>
      </c>
      <c r="T387" s="1" t="str">
        <f>IFERROR(__xludf.DUMMYFUNCTION("""COMPUTED_VALUE"""),"APPROVED")</f>
        <v>APPROVED</v>
      </c>
      <c r="U387" s="1"/>
      <c r="V387" s="1"/>
      <c r="W387" s="1"/>
    </row>
    <row r="388" customHeight="1" spans="1:23">
      <c r="A388" s="3">
        <f>IFERROR(__xludf.DUMMYFUNCTION("""COMPUTED_VALUE"""),46064)</f>
        <v>46064</v>
      </c>
      <c r="B388" s="1" t="str">
        <f>IFERROR(__xludf.DUMMYFUNCTION("""COMPUTED_VALUE"""),"NAVARRO, JERIC")</f>
        <v>NAVARRO, JERIC</v>
      </c>
      <c r="C388" s="1" t="str">
        <f>IFERROR(__xludf.DUMMYFUNCTION("""COMPUTED_VALUE"""),"FLA")</f>
        <v>FLA</v>
      </c>
      <c r="D388" s="1" t="str">
        <f>IFERROR(__xludf.DUMMYFUNCTION("""COMPUTED_VALUE"""),"JERIC NAVARRO")</f>
        <v>JERIC NAVARRO</v>
      </c>
      <c r="E388" s="1" t="str">
        <f>IFERROR(__xludf.DUMMYFUNCTION("""COMPUTED_VALUE"""),"PLDT")</f>
        <v>PLDT</v>
      </c>
      <c r="F388" s="1">
        <f>IFERROR(__xludf.DUMMYFUNCTION("""COMPUTED_VALUE"""),2306931356)</f>
        <v>2306931356</v>
      </c>
      <c r="G388" s="1"/>
      <c r="H388" s="1" t="str">
        <f>IFERROR(__xludf.DUMMYFUNCTION("""COMPUTED_VALUE"""),"ANTONIO 111 TURNO LEDESMA")</f>
        <v>ANTONIO 111 TURNO LEDESMA</v>
      </c>
      <c r="I388" s="1">
        <f>IFERROR(__xludf.DUMMYFUNCTION("""COMPUTED_VALUE"""),9777845317)</f>
        <v>9777845317</v>
      </c>
      <c r="J388" s="1">
        <f>IFERROR(__xludf.DUMMYFUNCTION("""COMPUTED_VALUE"""),9268940729)</f>
        <v>9268940729</v>
      </c>
      <c r="K388" s="1" t="str">
        <f>IFERROR(__xludf.DUMMYFUNCTION("""COMPUTED_VALUE"""),"SUNNY.AXIE.01@GMAIL.COM")</f>
        <v>SUNNY.AXIE.01@GMAIL.COM</v>
      </c>
      <c r="L388" s="1" t="str">
        <f>IFERROR(__xludf.DUMMYFUNCTION("""COMPUTED_VALUE"""),"A38")</f>
        <v>A38</v>
      </c>
      <c r="M388" s="1" t="str">
        <f>IFERROR(__xludf.DUMMYFUNCTION("""COMPUTED_VALUE"""),"TIRONA ST")</f>
        <v>TIRONA ST</v>
      </c>
      <c r="N388" s="1"/>
      <c r="O388" s="1"/>
      <c r="P388" s="1"/>
      <c r="Q388" s="1" t="str">
        <f>IFERROR(__xludf.DUMMYFUNCTION("""COMPUTED_VALUE"""),"ZONE IV (POB.)")</f>
        <v>ZONE IV (POB.)</v>
      </c>
      <c r="R388" s="1" t="str">
        <f>IFERROR(__xludf.DUMMYFUNCTION("""COMPUTED_VALUE"""),"DASMARINAS")</f>
        <v>DASMARINAS</v>
      </c>
      <c r="S388" s="1" t="str">
        <f>IFERROR(__xludf.DUMMYFUNCTION("""COMPUTED_VALUE"""),"FIBR PLAN 2699")</f>
        <v>FIBR PLAN 2699</v>
      </c>
      <c r="T388" s="1" t="str">
        <f>IFERROR(__xludf.DUMMYFUNCTION("""COMPUTED_VALUE"""),"APPROVED")</f>
        <v>APPROVED</v>
      </c>
      <c r="U388" s="1"/>
      <c r="V388" s="1"/>
      <c r="W388" s="1"/>
    </row>
    <row r="389" customHeight="1" spans="1:23">
      <c r="A389" s="3">
        <f>IFERROR(__xludf.DUMMYFUNCTION("""COMPUTED_VALUE"""),46064)</f>
        <v>46064</v>
      </c>
      <c r="B389" s="1" t="str">
        <f>IFERROR(__xludf.DUMMYFUNCTION("""COMPUTED_VALUE"""),"MAGDARAOG, KENNETH")</f>
        <v>MAGDARAOG, KENNETH</v>
      </c>
      <c r="C389" s="1" t="str">
        <f>IFERROR(__xludf.DUMMYFUNCTION("""COMPUTED_VALUE"""),"ORGANIC")</f>
        <v>ORGANIC</v>
      </c>
      <c r="D389" s="1" t="str">
        <f>IFERROR(__xludf.DUMMYFUNCTION("""COMPUTED_VALUE"""),"REMOLLO LEA")</f>
        <v>REMOLLO LEA</v>
      </c>
      <c r="E389" s="1" t="str">
        <f>IFERROR(__xludf.DUMMYFUNCTION("""COMPUTED_VALUE"""),"RED FIBER")</f>
        <v>RED FIBER</v>
      </c>
      <c r="F389" s="1"/>
      <c r="G389" s="1"/>
      <c r="H389" s="1" t="str">
        <f>IFERROR(__xludf.DUMMYFUNCTION("""COMPUTED_VALUE"""),"GEMAR FAVIA MALIHAN")</f>
        <v>GEMAR FAVIA MALIHAN</v>
      </c>
      <c r="I389" s="1">
        <f>IFERROR(__xludf.DUMMYFUNCTION("""COMPUTED_VALUE"""),9452035722)</f>
        <v>9452035722</v>
      </c>
      <c r="J389" s="1"/>
      <c r="K389" s="1" t="str">
        <f>IFERROR(__xludf.DUMMYFUNCTION("""COMPUTED_VALUE"""),"RUSSELREYES016@GMAIL.COM")</f>
        <v>RUSSELREYES016@GMAIL.COM</v>
      </c>
      <c r="L389" s="1" t="str">
        <f>IFERROR(__xludf.DUMMYFUNCTION("""COMPUTED_VALUE"""),"75")</f>
        <v>75</v>
      </c>
      <c r="M389" s="1" t="str">
        <f>IFERROR(__xludf.DUMMYFUNCTION("""COMPUTED_VALUE"""),"PUROK 2")</f>
        <v>PUROK 2</v>
      </c>
      <c r="N389" s="1"/>
      <c r="O389" s="1" t="str">
        <f>IFERROR(__xludf.DUMMYFUNCTION("""COMPUTED_VALUE"""),"CVT2LCP82NP3/1")</f>
        <v>CVT2LCP82NP3/1</v>
      </c>
      <c r="P389" s="1" t="str">
        <f>IFERROR(__xludf.DUMMYFUNCTION("""COMPUTED_VALUE"""),"14.149140 120.965159")</f>
        <v>14.149140 120.965159</v>
      </c>
      <c r="Q389" s="1" t="str">
        <f>IFERROR(__xludf.DUMMYFUNCTION("""COMPUTED_VALUE"""),"TOLEDO")</f>
        <v>TOLEDO</v>
      </c>
      <c r="R389" s="1" t="str">
        <f>IFERROR(__xludf.DUMMYFUNCTION("""COMPUTED_VALUE"""),"SILANG")</f>
        <v>SILANG</v>
      </c>
      <c r="S389" s="1" t="str">
        <f>IFERROR(__xludf.DUMMYFUNCTION("""COMPUTED_VALUE"""),"RED FIBER PLAN 1400")</f>
        <v>RED FIBER PLAN 1400</v>
      </c>
      <c r="T389" s="1" t="str">
        <f>IFERROR(__xludf.DUMMYFUNCTION("""COMPUTED_VALUE"""),"APPROVED")</f>
        <v>APPROVED</v>
      </c>
      <c r="U389" s="1"/>
      <c r="V389" s="1"/>
      <c r="W389" s="1"/>
    </row>
    <row r="390" customHeight="1" spans="1:23">
      <c r="A390" s="3">
        <f>IFERROR(__xludf.DUMMYFUNCTION("""COMPUTED_VALUE"""),46064)</f>
        <v>46064</v>
      </c>
      <c r="B390" s="1" t="str">
        <f>IFERROR(__xludf.DUMMYFUNCTION("""COMPUTED_VALUE"""),"FARO, REFRANTA")</f>
        <v>FARO, REFRANTA</v>
      </c>
      <c r="C390" s="1" t="str">
        <f>IFERROR(__xludf.DUMMYFUNCTION("""COMPUTED_VALUE"""),"ORGANIC")</f>
        <v>ORGANIC</v>
      </c>
      <c r="D390" s="1" t="str">
        <f>IFERROR(__xludf.DUMMYFUNCTION("""COMPUTED_VALUE"""),"REMOLLO LEA")</f>
        <v>REMOLLO LEA</v>
      </c>
      <c r="E390" s="1" t="str">
        <f>IFERROR(__xludf.DUMMYFUNCTION("""COMPUTED_VALUE"""),"PLDT")</f>
        <v>PLDT</v>
      </c>
      <c r="F390" s="1">
        <f>IFERROR(__xludf.DUMMYFUNCTION("""COMPUTED_VALUE"""),2306939979)</f>
        <v>2306939979</v>
      </c>
      <c r="G390" s="1"/>
      <c r="H390" s="1" t="str">
        <f>IFERROR(__xludf.DUMMYFUNCTION("""COMPUTED_VALUE"""),"RUCEL ACQUITAN GOZO")</f>
        <v>RUCEL ACQUITAN GOZO</v>
      </c>
      <c r="I390" s="1">
        <f>IFERROR(__xludf.DUMMYFUNCTION("""COMPUTED_VALUE"""),9677390261)</f>
        <v>9677390261</v>
      </c>
      <c r="J390" s="1"/>
      <c r="K390" s="1" t="str">
        <f>IFERROR(__xludf.DUMMYFUNCTION("""COMPUTED_VALUE"""),"GOZORUCEL@GMAIL.COM")</f>
        <v>GOZORUCEL@GMAIL.COM</v>
      </c>
      <c r="L390" s="1" t="str">
        <f>IFERROR(__xludf.DUMMYFUNCTION("""COMPUTED_VALUE"""),"31")</f>
        <v>31</v>
      </c>
      <c r="M390" s="1" t="str">
        <f>IFERROR(__xludf.DUMMYFUNCTION("""COMPUTED_VALUE"""),"PUROK 4")</f>
        <v>PUROK 4</v>
      </c>
      <c r="N390" s="1"/>
      <c r="O390" s="1" t="str">
        <f>IFERROR(__xludf.DUMMYFUNCTION("""COMPUTED_VALUE"""),"SILLP401NP4/5/6")</f>
        <v>SILLP401NP4/5/6</v>
      </c>
      <c r="P390" s="1" t="str">
        <f>IFERROR(__xludf.DUMMYFUNCTION("""COMPUTED_VALUE"""),"14.140339 120.964907")</f>
        <v>14.140339 120.964907</v>
      </c>
      <c r="Q390" s="1" t="str">
        <f>IFERROR(__xludf.DUMMYFUNCTION("""COMPUTED_VALUE"""),"MALABAG")</f>
        <v>MALABAG</v>
      </c>
      <c r="R390" s="1" t="str">
        <f>IFERROR(__xludf.DUMMYFUNCTION("""COMPUTED_VALUE"""),"SILANG")</f>
        <v>SILANG</v>
      </c>
      <c r="S390" s="1" t="str">
        <f>IFERROR(__xludf.DUMMYFUNCTION("""COMPUTED_VALUE"""),"FIBR PLAN 1399")</f>
        <v>FIBR PLAN 1399</v>
      </c>
      <c r="T390" s="1" t="str">
        <f>IFERROR(__xludf.DUMMYFUNCTION("""COMPUTED_VALUE"""),"APPROVED")</f>
        <v>APPROVED</v>
      </c>
      <c r="U390" s="1"/>
      <c r="V390" s="1"/>
      <c r="W390" s="1"/>
    </row>
    <row r="391" customHeight="1" spans="1:23">
      <c r="A391" s="3">
        <f>IFERROR(__xludf.DUMMYFUNCTION("""COMPUTED_VALUE"""),46064)</f>
        <v>46064</v>
      </c>
      <c r="B391" s="1" t="str">
        <f>IFERROR(__xludf.DUMMYFUNCTION("""COMPUTED_VALUE"""),"FARO, REFRANTA")</f>
        <v>FARO, REFRANTA</v>
      </c>
      <c r="C391" s="1" t="str">
        <f>IFERROR(__xludf.DUMMYFUNCTION("""COMPUTED_VALUE"""),"ORGANIC")</f>
        <v>ORGANIC</v>
      </c>
      <c r="D391" s="1" t="str">
        <f>IFERROR(__xludf.DUMMYFUNCTION("""COMPUTED_VALUE"""),"REMOLLO LEA")</f>
        <v>REMOLLO LEA</v>
      </c>
      <c r="E391" s="1" t="str">
        <f>IFERROR(__xludf.DUMMYFUNCTION("""COMPUTED_VALUE"""),"PLDT")</f>
        <v>PLDT</v>
      </c>
      <c r="F391" s="1"/>
      <c r="G391" s="1"/>
      <c r="H391" s="1" t="str">
        <f>IFERROR(__xludf.DUMMYFUNCTION("""COMPUTED_VALUE"""),"FLORDELIZA G BENEDICTOS")</f>
        <v>FLORDELIZA G BENEDICTOS</v>
      </c>
      <c r="I391" s="1">
        <f>IFERROR(__xludf.DUMMYFUNCTION("""COMPUTED_VALUE"""),9279357176)</f>
        <v>9279357176</v>
      </c>
      <c r="J391" s="1"/>
      <c r="K391" s="1" t="str">
        <f>IFERROR(__xludf.DUMMYFUNCTION("""COMPUTED_VALUE"""),"FLORLEGASPI69@GMAIL.COM")</f>
        <v>FLORLEGASPI69@GMAIL.COM</v>
      </c>
      <c r="L391" s="1" t="str">
        <f>IFERROR(__xludf.DUMMYFUNCTION("""COMPUTED_VALUE"""),"8")</f>
        <v>8</v>
      </c>
      <c r="M391" s="1" t="str">
        <f>IFERROR(__xludf.DUMMYFUNCTION("""COMPUTED_VALUE"""),"PUROK 2")</f>
        <v>PUROK 2</v>
      </c>
      <c r="N391" s="1"/>
      <c r="O391" s="1" t="str">
        <f>IFERROR(__xludf.DUMMYFUNCTION("""COMPUTED_VALUE"""),"SILLP400NP5/6/7/8")</f>
        <v>SILLP400NP5/6/7/8</v>
      </c>
      <c r="P391" s="1"/>
      <c r="Q391" s="1" t="str">
        <f>IFERROR(__xludf.DUMMYFUNCTION("""COMPUTED_VALUE"""),"MALABAG")</f>
        <v>MALABAG</v>
      </c>
      <c r="R391" s="1" t="str">
        <f>IFERROR(__xludf.DUMMYFUNCTION("""COMPUTED_VALUE"""),"SILANG")</f>
        <v>SILANG</v>
      </c>
      <c r="S391" s="1" t="str">
        <f>IFERROR(__xludf.DUMMYFUNCTION("""COMPUTED_VALUE"""),"PREPAID 999")</f>
        <v>PREPAID 999</v>
      </c>
      <c r="T391" s="1" t="str">
        <f>IFERROR(__xludf.DUMMYFUNCTION("""COMPUTED_VALUE"""),"RETURN FOR COMPLIANCE - AGENT")</f>
        <v>RETURN FOR COMPLIANCE - AGENT</v>
      </c>
      <c r="U391" s="1" t="str">
        <f>IFERROR(__xludf.DUMMYFUNCTION("""COMPUTED_VALUE"""),"PLS PROVIDE ID WITH SIGNATURE")</f>
        <v>PLS PROVIDE ID WITH SIGNATURE</v>
      </c>
      <c r="V391" s="1"/>
      <c r="W391" s="1"/>
    </row>
    <row r="392" customHeight="1" spans="1:23">
      <c r="A392" s="3">
        <f>IFERROR(__xludf.DUMMYFUNCTION("""COMPUTED_VALUE"""),46064)</f>
        <v>46064</v>
      </c>
      <c r="B392" s="1" t="str">
        <f>IFERROR(__xludf.DUMMYFUNCTION("""COMPUTED_VALUE"""),"TISTON, CEDRICK")</f>
        <v>TISTON, CEDRICK</v>
      </c>
      <c r="C392" s="1" t="str">
        <f>IFERROR(__xludf.DUMMYFUNCTION("""COMPUTED_VALUE"""),"ORGANIC")</f>
        <v>ORGANIC</v>
      </c>
      <c r="D392" s="1" t="str">
        <f>IFERROR(__xludf.DUMMYFUNCTION("""COMPUTED_VALUE"""),"REMOLLO LEA")</f>
        <v>REMOLLO LEA</v>
      </c>
      <c r="E392" s="1" t="str">
        <f>IFERROR(__xludf.DUMMYFUNCTION("""COMPUTED_VALUE"""),"PLDT")</f>
        <v>PLDT</v>
      </c>
      <c r="F392" s="1">
        <f>IFERROR(__xludf.DUMMYFUNCTION("""COMPUTED_VALUE"""),2306955536)</f>
        <v>2306955536</v>
      </c>
      <c r="G392" s="1"/>
      <c r="H392" s="1" t="str">
        <f>IFERROR(__xludf.DUMMYFUNCTION("""COMPUTED_VALUE"""),"ARIVYLLE SALAZAR HALLIG")</f>
        <v>ARIVYLLE SALAZAR HALLIG</v>
      </c>
      <c r="I392" s="1">
        <f>IFERROR(__xludf.DUMMYFUNCTION("""COMPUTED_VALUE"""),9771915106)</f>
        <v>9771915106</v>
      </c>
      <c r="J392" s="1">
        <f>IFERROR(__xludf.DUMMYFUNCTION("""COMPUTED_VALUE"""),9126364604)</f>
        <v>9126364604</v>
      </c>
      <c r="K392" s="1" t="str">
        <f>IFERROR(__xludf.DUMMYFUNCTION("""COMPUTED_VALUE"""),"ARIVYLLE.HALLIG.HH@GMAIL.COM")</f>
        <v>ARIVYLLE.HALLIG.HH@GMAIL.COM</v>
      </c>
      <c r="L392" s="1" t="str">
        <f>IFERROR(__xludf.DUMMYFUNCTION("""COMPUTED_VALUE"""),"9020")</f>
        <v>9020</v>
      </c>
      <c r="M392" s="1" t="str">
        <f>IFERROR(__xludf.DUMMYFUNCTION("""COMPUTED_VALUE"""),"EXCESS LOT")</f>
        <v>EXCESS LOT</v>
      </c>
      <c r="N392" s="1" t="str">
        <f>IFERROR(__xludf.DUMMYFUNCTION("""COMPUTED_VALUE"""),"APPARTMENT A")</f>
        <v>APPARTMENT A</v>
      </c>
      <c r="O392" s="1" t="str">
        <f>IFERROR(__xludf.DUMMYFUNCTION("""COMPUTED_VALUE"""),"GMZLP224NP2/3/4")</f>
        <v>GMZLP224NP2/3/4</v>
      </c>
      <c r="P392" s="1" t="str">
        <f>IFERROR(__xludf.DUMMYFUNCTION("""COMPUTED_VALUE"""),"14.288974 120.997344")</f>
        <v>14.288974 120.997344</v>
      </c>
      <c r="Q392" s="1" t="str">
        <f>IFERROR(__xludf.DUMMYFUNCTION("""COMPUTED_VALUE"""),"GAVINO MADERAN")</f>
        <v>GAVINO MADERAN</v>
      </c>
      <c r="R392" s="1" t="str">
        <f>IFERROR(__xludf.DUMMYFUNCTION("""COMPUTED_VALUE"""),"GEN MARIANO ALVAREZ")</f>
        <v>GEN MARIANO ALVAREZ</v>
      </c>
      <c r="S392" s="1" t="str">
        <f>IFERROR(__xludf.DUMMYFUNCTION("""COMPUTED_VALUE"""),"FIBR PLAN 1599")</f>
        <v>FIBR PLAN 1599</v>
      </c>
      <c r="T392" s="1" t="str">
        <f>IFERROR(__xludf.DUMMYFUNCTION("""COMPUTED_VALUE"""),"APPROVED")</f>
        <v>APPROVED</v>
      </c>
      <c r="U392" s="1"/>
      <c r="V392" s="1"/>
      <c r="W392" s="1"/>
    </row>
    <row r="393" customHeight="1" spans="1:23">
      <c r="A393" s="3">
        <f>IFERROR(__xludf.DUMMYFUNCTION("""COMPUTED_VALUE"""),46065)</f>
        <v>46065</v>
      </c>
      <c r="B393" s="1" t="str">
        <f>IFERROR(__xludf.DUMMYFUNCTION("""COMPUTED_VALUE"""),"TISTON, CEDRICK")</f>
        <v>TISTON, CEDRICK</v>
      </c>
      <c r="C393" s="1" t="str">
        <f>IFERROR(__xludf.DUMMYFUNCTION("""COMPUTED_VALUE"""),"ORGANIC")</f>
        <v>ORGANIC</v>
      </c>
      <c r="D393" s="1" t="str">
        <f>IFERROR(__xludf.DUMMYFUNCTION("""COMPUTED_VALUE"""),"REMOLLO LEA")</f>
        <v>REMOLLO LEA</v>
      </c>
      <c r="E393" s="1" t="str">
        <f>IFERROR(__xludf.DUMMYFUNCTION("""COMPUTED_VALUE"""),"PLDT")</f>
        <v>PLDT</v>
      </c>
      <c r="F393" s="1">
        <f>IFERROR(__xludf.DUMMYFUNCTION("""COMPUTED_VALUE"""),2306954842)</f>
        <v>2306954842</v>
      </c>
      <c r="G393" s="1"/>
      <c r="H393" s="1" t="str">
        <f>IFERROR(__xludf.DUMMYFUNCTION("""COMPUTED_VALUE"""),"JEREMIE MARQUEZ ANGCAYA")</f>
        <v>JEREMIE MARQUEZ ANGCAYA</v>
      </c>
      <c r="I393" s="1">
        <f>IFERROR(__xludf.DUMMYFUNCTION("""COMPUTED_VALUE"""),9359105851)</f>
        <v>9359105851</v>
      </c>
      <c r="J393" s="1"/>
      <c r="K393" s="1" t="str">
        <f>IFERROR(__xludf.DUMMYFUNCTION("""COMPUTED_VALUE"""),"ANGCAYAJEREMIE7@GMAIL.COM")</f>
        <v>ANGCAYAJEREMIE7@GMAIL.COM</v>
      </c>
      <c r="L393" s="1" t="str">
        <f>IFERROR(__xludf.DUMMYFUNCTION("""COMPUTED_VALUE"""),"188A")</f>
        <v>188A</v>
      </c>
      <c r="M393" s="1" t="str">
        <f>IFERROR(__xludf.DUMMYFUNCTION("""COMPUTED_VALUE"""),"KAYBAGAL NORTH RD")</f>
        <v>KAYBAGAL NORTH RD</v>
      </c>
      <c r="N393" s="1"/>
      <c r="O393" s="1" t="str">
        <f>IFERROR(__xludf.DUMMYFUNCTION("""COMPUTED_VALUE"""),"TGTLP121NP4/5/6")</f>
        <v>TGTLP121NP4/5/6</v>
      </c>
      <c r="P393" s="1" t="str">
        <f>IFERROR(__xludf.DUMMYFUNCTION("""COMPUTED_VALUE"""),"14.118471 120.936570")</f>
        <v>14.118471 120.936570</v>
      </c>
      <c r="Q393" s="1" t="str">
        <f>IFERROR(__xludf.DUMMYFUNCTION("""COMPUTED_VALUE"""),"KAYBAGAL NORTH")</f>
        <v>KAYBAGAL NORTH</v>
      </c>
      <c r="R393" s="1" t="str">
        <f>IFERROR(__xludf.DUMMYFUNCTION("""COMPUTED_VALUE"""),"TAGAYTAY")</f>
        <v>TAGAYTAY</v>
      </c>
      <c r="S393" s="1" t="str">
        <f>IFERROR(__xludf.DUMMYFUNCTION("""COMPUTED_VALUE"""),"PREPAID 999")</f>
        <v>PREPAID 999</v>
      </c>
      <c r="T393" s="1" t="str">
        <f>IFERROR(__xludf.DUMMYFUNCTION("""COMPUTED_VALUE"""),"APPROVED")</f>
        <v>APPROVED</v>
      </c>
      <c r="U393" s="1"/>
      <c r="V393" s="1"/>
      <c r="W393" s="1"/>
    </row>
    <row r="394" customHeight="1" spans="1:23">
      <c r="A394" s="3">
        <f>IFERROR(__xludf.DUMMYFUNCTION("""COMPUTED_VALUE"""),46065)</f>
        <v>46065</v>
      </c>
      <c r="B394" s="1" t="str">
        <f>IFERROR(__xludf.DUMMYFUNCTION("""COMPUTED_VALUE"""),"DE VERA, MARIVIC")</f>
        <v>DE VERA, MARIVIC</v>
      </c>
      <c r="C394" s="1" t="str">
        <f>IFERROR(__xludf.DUMMYFUNCTION("""COMPUTED_VALUE"""),"ORGANIC")</f>
        <v>ORGANIC</v>
      </c>
      <c r="D394" s="1" t="str">
        <f>IFERROR(__xludf.DUMMYFUNCTION("""COMPUTED_VALUE"""),"REMOLLO LEA")</f>
        <v>REMOLLO LEA</v>
      </c>
      <c r="E394" s="1" t="str">
        <f>IFERROR(__xludf.DUMMYFUNCTION("""COMPUTED_VALUE"""),"PLDT")</f>
        <v>PLDT</v>
      </c>
      <c r="F394" s="1">
        <f>IFERROR(__xludf.DUMMYFUNCTION("""COMPUTED_VALUE"""),2306956015)</f>
        <v>2306956015</v>
      </c>
      <c r="G394" s="1"/>
      <c r="H394" s="1" t="str">
        <f>IFERROR(__xludf.DUMMYFUNCTION("""COMPUTED_VALUE"""),"ANGELA REYES FRANCISCO")</f>
        <v>ANGELA REYES FRANCISCO</v>
      </c>
      <c r="I394" s="1">
        <f>IFERROR(__xludf.DUMMYFUNCTION("""COMPUTED_VALUE"""),9243841574)</f>
        <v>9243841574</v>
      </c>
      <c r="J394" s="1">
        <f>IFERROR(__xludf.DUMMYFUNCTION("""COMPUTED_VALUE"""),9945956818)</f>
        <v>9945956818</v>
      </c>
      <c r="K394" s="1" t="str">
        <f>IFERROR(__xludf.DUMMYFUNCTION("""COMPUTED_VALUE"""),"CABRERABONRYAN@GMAIL.COM")</f>
        <v>CABRERABONRYAN@GMAIL.COM</v>
      </c>
      <c r="L394" s="1" t="str">
        <f>IFERROR(__xludf.DUMMYFUNCTION("""COMPUTED_VALUE"""),"BLK 18")</f>
        <v>BLK 18</v>
      </c>
      <c r="M394" s="1" t="str">
        <f>IFERROR(__xludf.DUMMYFUNCTION("""COMPUTED_VALUE"""),"EXCESS LOT")</f>
        <v>EXCESS LOT</v>
      </c>
      <c r="N394" s="1"/>
      <c r="O394" s="1" t="str">
        <f>IFERROR(__xludf.DUMMYFUNCTION("""COMPUTED_VALUE"""),"GMZ184NP3/5")</f>
        <v>GMZ184NP3/5</v>
      </c>
      <c r="P394" s="1" t="str">
        <f>IFERROR(__xludf.DUMMYFUNCTION("""COMPUTED_VALUE"""),"14.310127 121.014587")</f>
        <v>14.310127 121.014587</v>
      </c>
      <c r="Q394" s="1" t="str">
        <f>IFERROR(__xludf.DUMMYFUNCTION("""COMPUTED_VALUE"""),"INOCENCIO SALUD")</f>
        <v>INOCENCIO SALUD</v>
      </c>
      <c r="R394" s="1" t="str">
        <f>IFERROR(__xludf.DUMMYFUNCTION("""COMPUTED_VALUE"""),"GEN MARIANO ALVAREZ")</f>
        <v>GEN MARIANO ALVAREZ</v>
      </c>
      <c r="S394" s="1" t="str">
        <f>IFERROR(__xludf.DUMMYFUNCTION("""COMPUTED_VALUE"""),"PREPAID 999")</f>
        <v>PREPAID 999</v>
      </c>
      <c r="T394" s="1" t="str">
        <f>IFERROR(__xludf.DUMMYFUNCTION("""COMPUTED_VALUE"""),"APPROVED")</f>
        <v>APPROVED</v>
      </c>
      <c r="U394" s="1"/>
      <c r="V394" s="1"/>
      <c r="W394" s="1"/>
    </row>
    <row r="395" customHeight="1" spans="1:23">
      <c r="A395" s="3">
        <f>IFERROR(__xludf.DUMMYFUNCTION("""COMPUTED_VALUE"""),46065)</f>
        <v>46065</v>
      </c>
      <c r="B395" s="1" t="str">
        <f>IFERROR(__xludf.DUMMYFUNCTION("""COMPUTED_VALUE"""),"MIRASOL, RAYRALYN")</f>
        <v>MIRASOL, RAYRALYN</v>
      </c>
      <c r="C395" s="1" t="str">
        <f>IFERROR(__xludf.DUMMYFUNCTION("""COMPUTED_VALUE"""),"ORGANIC")</f>
        <v>ORGANIC</v>
      </c>
      <c r="D395" s="1" t="str">
        <f>IFERROR(__xludf.DUMMYFUNCTION("""COMPUTED_VALUE"""),"REMOLLO LEA")</f>
        <v>REMOLLO LEA</v>
      </c>
      <c r="E395" s="1" t="str">
        <f>IFERROR(__xludf.DUMMYFUNCTION("""COMPUTED_VALUE"""),"PLDT")</f>
        <v>PLDT</v>
      </c>
      <c r="F395" s="1">
        <f>IFERROR(__xludf.DUMMYFUNCTION("""COMPUTED_VALUE"""),2306956381)</f>
        <v>2306956381</v>
      </c>
      <c r="G395" s="1"/>
      <c r="H395" s="1" t="str">
        <f>IFERROR(__xludf.DUMMYFUNCTION("""COMPUTED_VALUE"""),"JOSEPHINE SARMIENTO ROJAS")</f>
        <v>JOSEPHINE SARMIENTO ROJAS</v>
      </c>
      <c r="I395" s="1">
        <f>IFERROR(__xludf.DUMMYFUNCTION("""COMPUTED_VALUE"""),9301957290)</f>
        <v>9301957290</v>
      </c>
      <c r="J395" s="1">
        <f>IFERROR(__xludf.DUMMYFUNCTION("""COMPUTED_VALUE"""),9301297402)</f>
        <v>9301297402</v>
      </c>
      <c r="K395" s="1" t="str">
        <f>IFERROR(__xludf.DUMMYFUNCTION("""COMPUTED_VALUE"""),"JOYROJAS50@GMAIL.COM")</f>
        <v>JOYROJAS50@GMAIL.COM</v>
      </c>
      <c r="L395" s="1" t="str">
        <f>IFERROR(__xludf.DUMMYFUNCTION("""COMPUTED_VALUE"""),"BLK 7 LOT 8")</f>
        <v>BLK 7 LOT 8</v>
      </c>
      <c r="M395" s="1" t="str">
        <f>IFERROR(__xludf.DUMMYFUNCTION("""COMPUTED_VALUE"""),"DACON")</f>
        <v>DACON</v>
      </c>
      <c r="N395" s="1"/>
      <c r="O395" s="1" t="str">
        <f>IFERROR(__xludf.DUMMYFUNCTION("""COMPUTED_VALUE"""),"GMZLP133NP1/2")</f>
        <v>GMZLP133NP1/2</v>
      </c>
      <c r="P395" s="1" t="str">
        <f>IFERROR(__xludf.DUMMYFUNCTION("""COMPUTED_VALUE"""),"14.315612 121.025202")</f>
        <v>14.315612 121.025202</v>
      </c>
      <c r="Q395" s="1" t="str">
        <f>IFERROR(__xludf.DUMMYFUNCTION("""COMPUTED_VALUE"""),"MACARIO DACON")</f>
        <v>MACARIO DACON</v>
      </c>
      <c r="R395" s="1" t="str">
        <f>IFERROR(__xludf.DUMMYFUNCTION("""COMPUTED_VALUE"""),"GEN MARIANO ALVAREZ")</f>
        <v>GEN MARIANO ALVAREZ</v>
      </c>
      <c r="S395" s="1" t="str">
        <f>IFERROR(__xludf.DUMMYFUNCTION("""COMPUTED_VALUE"""),"FIBR PLAN 1399")</f>
        <v>FIBR PLAN 1399</v>
      </c>
      <c r="T395" s="1" t="str">
        <f>IFERROR(__xludf.DUMMYFUNCTION("""COMPUTED_VALUE"""),"APPROVED")</f>
        <v>APPROVED</v>
      </c>
      <c r="U395" s="1"/>
      <c r="V395" s="1"/>
      <c r="W395" s="1"/>
    </row>
    <row r="396" customHeight="1" spans="1:23">
      <c r="A396" s="3">
        <f>IFERROR(__xludf.DUMMYFUNCTION("""COMPUTED_VALUE"""),46065)</f>
        <v>46065</v>
      </c>
      <c r="B396" s="1" t="str">
        <f>IFERROR(__xludf.DUMMYFUNCTION("""COMPUTED_VALUE"""),"FRANCISCO , ROSELYN")</f>
        <v>FRANCISCO , ROSELYN</v>
      </c>
      <c r="C396" s="1" t="str">
        <f>IFERROR(__xludf.DUMMYFUNCTION("""COMPUTED_VALUE"""),"FLA")</f>
        <v>FLA</v>
      </c>
      <c r="D396" s="1" t="str">
        <f>IFERROR(__xludf.DUMMYFUNCTION("""COMPUTED_VALUE"""),"JERIC NAVARRO")</f>
        <v>JERIC NAVARRO</v>
      </c>
      <c r="E396" s="1" t="str">
        <f>IFERROR(__xludf.DUMMYFUNCTION("""COMPUTED_VALUE"""),"PLDT")</f>
        <v>PLDT</v>
      </c>
      <c r="F396" s="1">
        <f>IFERROR(__xludf.DUMMYFUNCTION("""COMPUTED_VALUE"""),2306959900)</f>
        <v>2306959900</v>
      </c>
      <c r="G396" s="1"/>
      <c r="H396" s="1" t="str">
        <f>IFERROR(__xludf.DUMMYFUNCTION("""COMPUTED_VALUE"""),"JOHN CARLO GAERLAN VICORY")</f>
        <v>JOHN CARLO GAERLAN VICORY</v>
      </c>
      <c r="I396" s="1">
        <f>IFERROR(__xludf.DUMMYFUNCTION("""COMPUTED_VALUE"""),9687913167)</f>
        <v>9687913167</v>
      </c>
      <c r="J396" s="1"/>
      <c r="K396" s="1" t="str">
        <f>IFERROR(__xludf.DUMMYFUNCTION("""COMPUTED_VALUE"""),"JCARLOVICTORY@GMAIL.COM")</f>
        <v>JCARLOVICTORY@GMAIL.COM</v>
      </c>
      <c r="L396" s="1" t="str">
        <f>IFERROR(__xludf.DUMMYFUNCTION("""COMPUTED_VALUE"""),"BLK 4B LOT 4")</f>
        <v>BLK 4B LOT 4</v>
      </c>
      <c r="M396" s="1" t="str">
        <f>IFERROR(__xludf.DUMMYFUNCTION("""COMPUTED_VALUE"""),"KOHNA GROVE")</f>
        <v>KOHNA GROVE</v>
      </c>
      <c r="N396" s="1"/>
      <c r="O396" s="1" t="str">
        <f>IFERROR(__xludf.DUMMYFUNCTION("""COMPUTED_VALUE"""),"SILLP118NP1/2/3/4/5/6/7/8")</f>
        <v>SILLP118NP1/2/3/4/5/6/7/8</v>
      </c>
      <c r="P396" s="1" t="str">
        <f>IFERROR(__xludf.DUMMYFUNCTION("""COMPUTED_VALUE"""),"14.257994 120.990497")</f>
        <v>14.257994 120.990497</v>
      </c>
      <c r="Q396" s="1" t="str">
        <f>IFERROR(__xludf.DUMMYFUNCTION("""COMPUTED_VALUE"""),"SABUTAN")</f>
        <v>SABUTAN</v>
      </c>
      <c r="R396" s="1" t="str">
        <f>IFERROR(__xludf.DUMMYFUNCTION("""COMPUTED_VALUE"""),"SILANG")</f>
        <v>SILANG</v>
      </c>
      <c r="S396" s="1" t="str">
        <f>IFERROR(__xludf.DUMMYFUNCTION("""COMPUTED_VALUE"""),"FIBR PLAN 2699")</f>
        <v>FIBR PLAN 2699</v>
      </c>
      <c r="T396" s="1" t="str">
        <f>IFERROR(__xludf.DUMMYFUNCTION("""COMPUTED_VALUE"""),"APPROVED")</f>
        <v>APPROVED</v>
      </c>
      <c r="U396" s="1"/>
      <c r="V396" s="1"/>
      <c r="W396" s="1"/>
    </row>
    <row r="397" customHeight="1" spans="1:23">
      <c r="A397" s="3">
        <f>IFERROR(__xludf.DUMMYFUNCTION("""COMPUTED_VALUE"""),46065)</f>
        <v>46065</v>
      </c>
      <c r="B397" s="1" t="str">
        <f>IFERROR(__xludf.DUMMYFUNCTION("""COMPUTED_VALUE"""),"CONCEPCION, ALJAY")</f>
        <v>CONCEPCION, ALJAY</v>
      </c>
      <c r="C397" s="1" t="str">
        <f>IFERROR(__xludf.DUMMYFUNCTION("""COMPUTED_VALUE"""),"ORGANIC")</f>
        <v>ORGANIC</v>
      </c>
      <c r="D397" s="1" t="str">
        <f>IFERROR(__xludf.DUMMYFUNCTION("""COMPUTED_VALUE"""),"REMOLLO LEA")</f>
        <v>REMOLLO LEA</v>
      </c>
      <c r="E397" s="1" t="str">
        <f>IFERROR(__xludf.DUMMYFUNCTION("""COMPUTED_VALUE"""),"PLDT")</f>
        <v>PLDT</v>
      </c>
      <c r="F397" s="1">
        <f>IFERROR(__xludf.DUMMYFUNCTION("""COMPUTED_VALUE"""),2306965837)</f>
        <v>2306965837</v>
      </c>
      <c r="G397" s="1"/>
      <c r="H397" s="1" t="str">
        <f>IFERROR(__xludf.DUMMYFUNCTION("""COMPUTED_VALUE"""),"JANE MAY VELASCO DE JESUS")</f>
        <v>JANE MAY VELASCO DE JESUS</v>
      </c>
      <c r="I397" s="1">
        <f>IFERROR(__xludf.DUMMYFUNCTION("""COMPUTED_VALUE"""),9978047093)</f>
        <v>9978047093</v>
      </c>
      <c r="J397" s="1"/>
      <c r="K397" s="1" t="str">
        <f>IFERROR(__xludf.DUMMYFUNCTION("""COMPUTED_VALUE"""),"JANEMAYDEJESUS23@GMAIL.COM")</f>
        <v>JANEMAYDEJESUS23@GMAIL.COM</v>
      </c>
      <c r="L397" s="1" t="str">
        <f>IFERROR(__xludf.DUMMYFUNCTION("""COMPUTED_VALUE"""),"1127")</f>
        <v>1127</v>
      </c>
      <c r="M397" s="1" t="str">
        <f>IFERROR(__xludf.DUMMYFUNCTION("""COMPUTED_VALUE"""),"BAGONG TUBIG")</f>
        <v>BAGONG TUBIG</v>
      </c>
      <c r="N397" s="1"/>
      <c r="O397" s="1" t="str">
        <f>IFERROR(__xludf.DUMMYFUNCTION("""COMPUTED_VALUE"""),"MDZLP2NP7 MDZLP21NP6/7 ")</f>
        <v>MDZLP2NP7 MDZLP21NP6/7 </v>
      </c>
      <c r="P397" s="1" t="str">
        <f>IFERROR(__xludf.DUMMYFUNCTION("""COMPUTED_VALUE"""),"14.127842 120.904165")</f>
        <v>14.127842 120.904165</v>
      </c>
      <c r="Q397" s="1" t="str">
        <f>IFERROR(__xludf.DUMMYFUNCTION("""COMPUTED_VALUE"""),"GALICIA I")</f>
        <v>GALICIA I</v>
      </c>
      <c r="R397" s="1" t="str">
        <f>IFERROR(__xludf.DUMMYFUNCTION("""COMPUTED_VALUE"""),"MENDEZ")</f>
        <v>MENDEZ</v>
      </c>
      <c r="S397" s="1" t="str">
        <f>IFERROR(__xludf.DUMMYFUNCTION("""COMPUTED_VALUE"""),"FIBR PLAN 1399")</f>
        <v>FIBR PLAN 1399</v>
      </c>
      <c r="T397" s="1" t="str">
        <f>IFERROR(__xludf.DUMMYFUNCTION("""COMPUTED_VALUE"""),"APPROVED")</f>
        <v>APPROVED</v>
      </c>
      <c r="U397" s="1"/>
      <c r="V397" s="1"/>
      <c r="W397" s="1"/>
    </row>
    <row r="398" customHeight="1" spans="1:23">
      <c r="A398" s="3">
        <f>IFERROR(__xludf.DUMMYFUNCTION("""COMPUTED_VALUE"""),46065)</f>
        <v>46065</v>
      </c>
      <c r="B398" s="1" t="str">
        <f>IFERROR(__xludf.DUMMYFUNCTION("""COMPUTED_VALUE"""),"OPS JHONDEE")</f>
        <v>OPS JHONDEE</v>
      </c>
      <c r="C398" s="1" t="str">
        <f>IFERROR(__xludf.DUMMYFUNCTION("""COMPUTED_VALUE"""),"FLA")</f>
        <v>FLA</v>
      </c>
      <c r="D398" s="1" t="str">
        <f>IFERROR(__xludf.DUMMYFUNCTION("""COMPUTED_VALUE"""),"JERIC NAVARRO")</f>
        <v>JERIC NAVARRO</v>
      </c>
      <c r="E398" s="1" t="str">
        <f>IFERROR(__xludf.DUMMYFUNCTION("""COMPUTED_VALUE"""),"PLDT")</f>
        <v>PLDT</v>
      </c>
      <c r="F398" s="1">
        <f>IFERROR(__xludf.DUMMYFUNCTION("""COMPUTED_VALUE"""),2306967166)</f>
        <v>2306967166</v>
      </c>
      <c r="G398" s="1"/>
      <c r="H398" s="1" t="str">
        <f>IFERROR(__xludf.DUMMYFUNCTION("""COMPUTED_VALUE"""),"ZENDEE AMBOJIA MEDINA ")</f>
        <v>ZENDEE AMBOJIA MEDINA </v>
      </c>
      <c r="I398" s="1">
        <f>IFERROR(__xludf.DUMMYFUNCTION("""COMPUTED_VALUE"""),9451680888)</f>
        <v>9451680888</v>
      </c>
      <c r="J398" s="1">
        <f>IFERROR(__xludf.DUMMYFUNCTION("""COMPUTED_VALUE"""),9172030168)</f>
        <v>9172030168</v>
      </c>
      <c r="K398" s="1" t="str">
        <f>IFERROR(__xludf.DUMMYFUNCTION("""COMPUTED_VALUE"""),"NIMUYSANOY26@GMAIL.COM")</f>
        <v>NIMUYSANOY26@GMAIL.COM</v>
      </c>
      <c r="L398" s="1" t="str">
        <f>IFERROR(__xludf.DUMMYFUNCTION("""COMPUTED_VALUE"""),"32P")</f>
        <v>32P</v>
      </c>
      <c r="M398" s="1" t="str">
        <f>IFERROR(__xludf.DUMMYFUNCTION("""COMPUTED_VALUE"""),"MONTOYA ST")</f>
        <v>MONTOYA ST</v>
      </c>
      <c r="N398" s="1"/>
      <c r="O398" s="1" t="str">
        <f>IFERROR(__xludf.DUMMYFUNCTION("""COMPUTED_VALUE"""),"SILLP82NP6/7/8")</f>
        <v>SILLP82NP6/7/8</v>
      </c>
      <c r="P398" s="1" t="str">
        <f>IFERROR(__xludf.DUMMYFUNCTION("""COMPUTED_VALUE"""),"14.223809 120.971825")</f>
        <v>14.223809 120.971825</v>
      </c>
      <c r="Q398" s="1" t="str">
        <f>IFERROR(__xludf.DUMMYFUNCTION("""COMPUTED_VALUE"""),"BARANGAY 4 POBLACION")</f>
        <v>BARANGAY 4 POBLACION</v>
      </c>
      <c r="R398" s="1" t="str">
        <f>IFERROR(__xludf.DUMMYFUNCTION("""COMPUTED_VALUE"""),"SILANG")</f>
        <v>SILANG</v>
      </c>
      <c r="S398" s="1" t="str">
        <f>IFERROR(__xludf.DUMMYFUNCTION("""COMPUTED_VALUE"""),"FIBR PLAN 1699")</f>
        <v>FIBR PLAN 1699</v>
      </c>
      <c r="T398" s="1" t="str">
        <f>IFERROR(__xludf.DUMMYFUNCTION("""COMPUTED_VALUE"""),"APPROVED")</f>
        <v>APPROVED</v>
      </c>
      <c r="U398" s="1"/>
      <c r="V398" s="1"/>
      <c r="W398" s="1"/>
    </row>
    <row r="399" customHeight="1" spans="1:23">
      <c r="A399" s="3">
        <f>IFERROR(__xludf.DUMMYFUNCTION("""COMPUTED_VALUE"""),46065)</f>
        <v>46065</v>
      </c>
      <c r="B399" s="1" t="str">
        <f>IFERROR(__xludf.DUMMYFUNCTION("""COMPUTED_VALUE"""),"DE VERA, MARIVIC")</f>
        <v>DE VERA, MARIVIC</v>
      </c>
      <c r="C399" s="1" t="str">
        <f>IFERROR(__xludf.DUMMYFUNCTION("""COMPUTED_VALUE"""),"ORGANIC")</f>
        <v>ORGANIC</v>
      </c>
      <c r="D399" s="1" t="str">
        <f>IFERROR(__xludf.DUMMYFUNCTION("""COMPUTED_VALUE"""),"REMOLLO LEA")</f>
        <v>REMOLLO LEA</v>
      </c>
      <c r="E399" s="1" t="str">
        <f>IFERROR(__xludf.DUMMYFUNCTION("""COMPUTED_VALUE"""),"PLDT")</f>
        <v>PLDT</v>
      </c>
      <c r="F399" s="1">
        <f>IFERROR(__xludf.DUMMYFUNCTION("""COMPUTED_VALUE"""),2306968155)</f>
        <v>2306968155</v>
      </c>
      <c r="G399" s="1"/>
      <c r="H399" s="1" t="str">
        <f>IFERROR(__xludf.DUMMYFUNCTION("""COMPUTED_VALUE"""),"CHRISTIAN RHOD OBIEDO VIDALLON")</f>
        <v>CHRISTIAN RHOD OBIEDO VIDALLON</v>
      </c>
      <c r="I399" s="1">
        <f>IFERROR(__xludf.DUMMYFUNCTION("""COMPUTED_VALUE"""),9537207236)</f>
        <v>9537207236</v>
      </c>
      <c r="J399" s="1">
        <f>IFERROR(__xludf.DUMMYFUNCTION("""COMPUTED_VALUE"""),9537207233)</f>
        <v>9537207233</v>
      </c>
      <c r="K399" s="1" t="str">
        <f>IFERROR(__xludf.DUMMYFUNCTION("""COMPUTED_VALUE"""),"CHENCHENVIDALLION@GMAIL.COM")</f>
        <v>CHENCHENVIDALLION@GMAIL.COM</v>
      </c>
      <c r="L399" s="1" t="str">
        <f>IFERROR(__xludf.DUMMYFUNCTION("""COMPUTED_VALUE"""),"9064")</f>
        <v>9064</v>
      </c>
      <c r="M399" s="1" t="str">
        <f>IFERROR(__xludf.DUMMYFUNCTION("""COMPUTED_VALUE"""),"BALUBAD RD")</f>
        <v>BALUBAD RD</v>
      </c>
      <c r="N399" s="1"/>
      <c r="O399" s="1" t="str">
        <f>IFERROR(__xludf.DUMMYFUNCTION("""COMPUTED_VALUE"""),"ALFLP37NP4/5/6")</f>
        <v>ALFLP37NP4/5/6</v>
      </c>
      <c r="P399" s="1" t="str">
        <f>IFERROR(__xludf.DUMMYFUNCTION("""COMPUTED_VALUE"""),"14.118029 120.853186")</f>
        <v>14.118029 120.853186</v>
      </c>
      <c r="Q399" s="1" t="str">
        <f>IFERROR(__xludf.DUMMYFUNCTION("""COMPUTED_VALUE"""),"MARAHAN II")</f>
        <v>MARAHAN II</v>
      </c>
      <c r="R399" s="1" t="str">
        <f>IFERROR(__xludf.DUMMYFUNCTION("""COMPUTED_VALUE"""),"ALFONSO")</f>
        <v>ALFONSO</v>
      </c>
      <c r="S399" s="1" t="str">
        <f>IFERROR(__xludf.DUMMYFUNCTION("""COMPUTED_VALUE"""),"FIBR PLAN 1599")</f>
        <v>FIBR PLAN 1599</v>
      </c>
      <c r="T399" s="1" t="str">
        <f>IFERROR(__xludf.DUMMYFUNCTION("""COMPUTED_VALUE"""),"APPROVED")</f>
        <v>APPROVED</v>
      </c>
      <c r="U399" s="1"/>
      <c r="V399" s="1"/>
      <c r="W399" s="1"/>
    </row>
    <row r="400" customHeight="1" spans="1:23">
      <c r="A400" s="3">
        <f>IFERROR(__xludf.DUMMYFUNCTION("""COMPUTED_VALUE"""),46065)</f>
        <v>46065</v>
      </c>
      <c r="B400" s="1" t="str">
        <f>IFERROR(__xludf.DUMMYFUNCTION("""COMPUTED_VALUE"""),"TISTON, CEDRICK")</f>
        <v>TISTON, CEDRICK</v>
      </c>
      <c r="C400" s="1" t="str">
        <f>IFERROR(__xludf.DUMMYFUNCTION("""COMPUTED_VALUE"""),"ORGANIC")</f>
        <v>ORGANIC</v>
      </c>
      <c r="D400" s="1" t="str">
        <f>IFERROR(__xludf.DUMMYFUNCTION("""COMPUTED_VALUE"""),"REMOLLO LEA")</f>
        <v>REMOLLO LEA</v>
      </c>
      <c r="E400" s="1" t="str">
        <f>IFERROR(__xludf.DUMMYFUNCTION("""COMPUTED_VALUE"""),"PLDT")</f>
        <v>PLDT</v>
      </c>
      <c r="F400" s="1"/>
      <c r="G400" s="1"/>
      <c r="H400" s="1" t="str">
        <f>IFERROR(__xludf.DUMMYFUNCTION("""COMPUTED_VALUE"""),"RUIZ CARL SANTOS SORILLA")</f>
        <v>RUIZ CARL SANTOS SORILLA</v>
      </c>
      <c r="I400" s="1">
        <f>IFERROR(__xludf.DUMMYFUNCTION("""COMPUTED_VALUE"""),9915262754)</f>
        <v>9915262754</v>
      </c>
      <c r="J400" s="1">
        <f>IFERROR(__xludf.DUMMYFUNCTION("""COMPUTED_VALUE"""),9387098891)</f>
        <v>9387098891</v>
      </c>
      <c r="K400" s="1" t="str">
        <f>IFERROR(__xludf.DUMMYFUNCTION("""COMPUTED_VALUE"""),"RUIZCARL123@GMAIL.COM")</f>
        <v>RUIZCARL123@GMAIL.COM</v>
      </c>
      <c r="L400" s="1" t="str">
        <f>IFERROR(__xludf.DUMMYFUNCTION("""COMPUTED_VALUE"""),"BLK 1 LOT 31")</f>
        <v>BLK 1 LOT 31</v>
      </c>
      <c r="M400" s="1" t="str">
        <f>IFERROR(__xludf.DUMMYFUNCTION("""COMPUTED_VALUE"""),"PHASE 2B")</f>
        <v>PHASE 2B</v>
      </c>
      <c r="N400" s="1" t="str">
        <f>IFERROR(__xludf.DUMMYFUNCTION("""COMPUTED_VALUE"""),"TERRAVERDE")</f>
        <v>TERRAVERDE</v>
      </c>
      <c r="O400" s="1"/>
      <c r="P400" s="1"/>
      <c r="Q400" s="1" t="str">
        <f>IFERROR(__xludf.DUMMYFUNCTION("""COMPUTED_VALUE"""),"BANCAL")</f>
        <v>BANCAL</v>
      </c>
      <c r="R400" s="1" t="str">
        <f>IFERROR(__xludf.DUMMYFUNCTION("""COMPUTED_VALUE"""),"CARMONA")</f>
        <v>CARMONA</v>
      </c>
      <c r="S400" s="1" t="str">
        <f>IFERROR(__xludf.DUMMYFUNCTION("""COMPUTED_VALUE"""),"FIBR PLAN 2099")</f>
        <v>FIBR PLAN 2099</v>
      </c>
      <c r="T400" s="1" t="str">
        <f>IFERROR(__xludf.DUMMYFUNCTION("""COMPUTED_VALUE"""),"HOLD")</f>
        <v>HOLD</v>
      </c>
      <c r="U400" s="1"/>
      <c r="V400" s="1"/>
      <c r="W400" s="1"/>
    </row>
    <row r="401" customHeight="1" spans="1:23">
      <c r="A401" s="3">
        <f>IFERROR(__xludf.DUMMYFUNCTION("""COMPUTED_VALUE"""),46066)</f>
        <v>46066</v>
      </c>
      <c r="B401" s="1" t="str">
        <f>IFERROR(__xludf.DUMMYFUNCTION("""COMPUTED_VALUE"""),"TISTON, CEDRICK")</f>
        <v>TISTON, CEDRICK</v>
      </c>
      <c r="C401" s="1" t="str">
        <f>IFERROR(__xludf.DUMMYFUNCTION("""COMPUTED_VALUE"""),"ORGANIC")</f>
        <v>ORGANIC</v>
      </c>
      <c r="D401" s="1" t="str">
        <f>IFERROR(__xludf.DUMMYFUNCTION("""COMPUTED_VALUE"""),"REMOLLO LEA")</f>
        <v>REMOLLO LEA</v>
      </c>
      <c r="E401" s="1" t="str">
        <f>IFERROR(__xludf.DUMMYFUNCTION("""COMPUTED_VALUE"""),"PLDT")</f>
        <v>PLDT</v>
      </c>
      <c r="F401" s="1">
        <f>IFERROR(__xludf.DUMMYFUNCTION("""COMPUTED_VALUE"""),2306987657)</f>
        <v>2306987657</v>
      </c>
      <c r="G401" s="1"/>
      <c r="H401" s="1" t="str">
        <f>IFERROR(__xludf.DUMMYFUNCTION("""COMPUTED_VALUE"""),"JOHN WARREN CUADRA ROSANES")</f>
        <v>JOHN WARREN CUADRA ROSANES</v>
      </c>
      <c r="I401" s="1">
        <f>IFERROR(__xludf.DUMMYFUNCTION("""COMPUTED_VALUE"""),9171590169)</f>
        <v>9171590169</v>
      </c>
      <c r="J401" s="1">
        <f>IFERROR(__xludf.DUMMYFUNCTION("""COMPUTED_VALUE"""),9458332245)</f>
        <v>9458332245</v>
      </c>
      <c r="K401" s="1" t="str">
        <f>IFERROR(__xludf.DUMMYFUNCTION("""COMPUTED_VALUE"""),"KORINACOLLENER@GMAIL.COM")</f>
        <v>KORINACOLLENER@GMAIL.COM</v>
      </c>
      <c r="L401" s="1" t="str">
        <f>IFERROR(__xludf.DUMMYFUNCTION("""COMPUTED_VALUE"""),"222")</f>
        <v>222</v>
      </c>
      <c r="M401" s="1" t="str">
        <f>IFERROR(__xludf.DUMMYFUNCTION("""COMPUTED_VALUE"""),"ESPERANZA")</f>
        <v>ESPERANZA</v>
      </c>
      <c r="N401" s="1"/>
      <c r="O401" s="1" t="str">
        <f>IFERROR(__xludf.DUMMYFUNCTION("""COMPUTED_VALUE"""),"ALFLP18NP6")</f>
        <v>ALFLP18NP6</v>
      </c>
      <c r="P401" s="1" t="str">
        <f>IFERROR(__xludf.DUMMYFUNCTION("""COMPUTED_VALUE"""),"14°07'22.8""N 120°52'18.5""E")</f>
        <v>14°07'22.8"N 120°52'18.5"E</v>
      </c>
      <c r="Q401" s="1" t="str">
        <f>IFERROR(__xludf.DUMMYFUNCTION("""COMPUTED_VALUE"""),"LUKSUHIN ILAYA")</f>
        <v>LUKSUHIN ILAYA</v>
      </c>
      <c r="R401" s="1" t="str">
        <f>IFERROR(__xludf.DUMMYFUNCTION("""COMPUTED_VALUE"""),"ALFONSO")</f>
        <v>ALFONSO</v>
      </c>
      <c r="S401" s="1" t="str">
        <f>IFERROR(__xludf.DUMMYFUNCTION("""COMPUTED_VALUE"""),"FIBR PLAN 1399")</f>
        <v>FIBR PLAN 1399</v>
      </c>
      <c r="T401" s="1" t="str">
        <f>IFERROR(__xludf.DUMMYFUNCTION("""COMPUTED_VALUE"""),"APPROVED")</f>
        <v>APPROVED</v>
      </c>
      <c r="U401" s="1"/>
      <c r="V401" s="1"/>
      <c r="W401" s="1"/>
    </row>
    <row r="402" customHeight="1" spans="1:23">
      <c r="A402" s="3">
        <f>IFERROR(__xludf.DUMMYFUNCTION("""COMPUTED_VALUE"""),46066)</f>
        <v>46066</v>
      </c>
      <c r="B402" s="1" t="str">
        <f>IFERROR(__xludf.DUMMYFUNCTION("""COMPUTED_VALUE"""),"FARO, REFRANTA")</f>
        <v>FARO, REFRANTA</v>
      </c>
      <c r="C402" s="1" t="str">
        <f>IFERROR(__xludf.DUMMYFUNCTION("""COMPUTED_VALUE"""),"ORGANIC")</f>
        <v>ORGANIC</v>
      </c>
      <c r="D402" s="1" t="str">
        <f>IFERROR(__xludf.DUMMYFUNCTION("""COMPUTED_VALUE"""),"REMOLLO LEA")</f>
        <v>REMOLLO LEA</v>
      </c>
      <c r="E402" s="1" t="str">
        <f>IFERROR(__xludf.DUMMYFUNCTION("""COMPUTED_VALUE"""),"PLDT")</f>
        <v>PLDT</v>
      </c>
      <c r="F402" s="1">
        <f>IFERROR(__xludf.DUMMYFUNCTION("""COMPUTED_VALUE"""),2306988776)</f>
        <v>2306988776</v>
      </c>
      <c r="G402" s="1"/>
      <c r="H402" s="1" t="str">
        <f>IFERROR(__xludf.DUMMYFUNCTION("""COMPUTED_VALUE"""),"ARNOLD ARANEZ PANGILINAN")</f>
        <v>ARNOLD ARANEZ PANGILINAN</v>
      </c>
      <c r="I402" s="1">
        <f>IFERROR(__xludf.DUMMYFUNCTION("""COMPUTED_VALUE"""),9911242874)</f>
        <v>9911242874</v>
      </c>
      <c r="J402" s="1">
        <f>IFERROR(__xludf.DUMMYFUNCTION("""COMPUTED_VALUE"""),9125890263)</f>
        <v>9125890263</v>
      </c>
      <c r="K402" s="1" t="str">
        <f>IFERROR(__xludf.DUMMYFUNCTION("""COMPUTED_VALUE"""),"ARNOLDPANGILINAN232@GMAIL.COM")</f>
        <v>ARNOLDPANGILINAN232@GMAIL.COM</v>
      </c>
      <c r="L402" s="1" t="str">
        <f>IFERROR(__xludf.DUMMYFUNCTION("""COMPUTED_VALUE"""),"BLK 27 LOT 26")</f>
        <v>BLK 27 LOT 26</v>
      </c>
      <c r="M402" s="1" t="str">
        <f>IFERROR(__xludf.DUMMYFUNCTION("""COMPUTED_VALUE"""),"SALUD")</f>
        <v>SALUD</v>
      </c>
      <c r="N402" s="1"/>
      <c r="O402" s="1" t="str">
        <f>IFERROR(__xludf.DUMMYFUNCTION("""COMPUTED_VALUE"""),"GMZLP315NP7/8")</f>
        <v>GMZLP315NP7/8</v>
      </c>
      <c r="P402" s="1" t="str">
        <f>IFERROR(__xludf.DUMMYFUNCTION("""COMPUTED_VALUE"""),"14.312665 121.018404")</f>
        <v>14.312665 121.018404</v>
      </c>
      <c r="Q402" s="1" t="str">
        <f>IFERROR(__xludf.DUMMYFUNCTION("""COMPUTED_VALUE"""),"INOCENCIO SALUD")</f>
        <v>INOCENCIO SALUD</v>
      </c>
      <c r="R402" s="1" t="str">
        <f>IFERROR(__xludf.DUMMYFUNCTION("""COMPUTED_VALUE"""),"GEN MARIANO ALVAREZ")</f>
        <v>GEN MARIANO ALVAREZ</v>
      </c>
      <c r="S402" s="1" t="str">
        <f>IFERROR(__xludf.DUMMYFUNCTION("""COMPUTED_VALUE"""),"FIBR PLAN 1399")</f>
        <v>FIBR PLAN 1399</v>
      </c>
      <c r="T402" s="1" t="str">
        <f>IFERROR(__xludf.DUMMYFUNCTION("""COMPUTED_VALUE"""),"APPROVED")</f>
        <v>APPROVED</v>
      </c>
      <c r="U402" s="1"/>
      <c r="V402" s="1"/>
      <c r="W402" s="1"/>
    </row>
    <row r="403" customHeight="1" spans="1:23">
      <c r="A403" s="3">
        <f>IFERROR(__xludf.DUMMYFUNCTION("""COMPUTED_VALUE"""),46066)</f>
        <v>46066</v>
      </c>
      <c r="B403" s="1" t="str">
        <f>IFERROR(__xludf.DUMMYFUNCTION("""COMPUTED_VALUE"""),"FARO, REFRANTA")</f>
        <v>FARO, REFRANTA</v>
      </c>
      <c r="C403" s="1" t="str">
        <f>IFERROR(__xludf.DUMMYFUNCTION("""COMPUTED_VALUE"""),"ORGANIC")</f>
        <v>ORGANIC</v>
      </c>
      <c r="D403" s="1" t="str">
        <f>IFERROR(__xludf.DUMMYFUNCTION("""COMPUTED_VALUE"""),"REMOLLO LEA")</f>
        <v>REMOLLO LEA</v>
      </c>
      <c r="E403" s="1" t="str">
        <f>IFERROR(__xludf.DUMMYFUNCTION("""COMPUTED_VALUE"""),"PLDT")</f>
        <v>PLDT</v>
      </c>
      <c r="F403" s="1">
        <f>IFERROR(__xludf.DUMMYFUNCTION("""COMPUTED_VALUE"""),2306990425)</f>
        <v>2306990425</v>
      </c>
      <c r="G403" s="1"/>
      <c r="H403" s="1" t="str">
        <f>IFERROR(__xludf.DUMMYFUNCTION("""COMPUTED_VALUE"""),"JERRY VALLERAMOS ESCANILLA")</f>
        <v>JERRY VALLERAMOS ESCANILLA</v>
      </c>
      <c r="I403" s="1">
        <f>IFERROR(__xludf.DUMMYFUNCTION("""COMPUTED_VALUE"""),9273079392)</f>
        <v>9273079392</v>
      </c>
      <c r="J403" s="1"/>
      <c r="K403" s="1" t="str">
        <f>IFERROR(__xludf.DUMMYFUNCTION("""COMPUTED_VALUE"""),"MARITESESCANILLA@GMAIL.COM")</f>
        <v>MARITESESCANILLA@GMAIL.COM</v>
      </c>
      <c r="L403" s="1" t="str">
        <f>IFERROR(__xludf.DUMMYFUNCTION("""COMPUTED_VALUE"""),"BLK 10 LOT 16")</f>
        <v>BLK 10 LOT 16</v>
      </c>
      <c r="M403" s="1" t="str">
        <f>IFERROR(__xludf.DUMMYFUNCTION("""COMPUTED_VALUE"""),"GRANADOS")</f>
        <v>GRANADOS</v>
      </c>
      <c r="N403" s="1"/>
      <c r="O403" s="1" t="str">
        <f>IFERROR(__xludf.DUMMYFUNCTION("""COMPUTED_VALUE"""),"GMZLP69NP8")</f>
        <v>GMZLP69NP8</v>
      </c>
      <c r="P403" s="1" t="str">
        <f>IFERROR(__xludf.DUMMYFUNCTION("""COMPUTED_VALUE"""),"14.309634 121.015053")</f>
        <v>14.309634 121.015053</v>
      </c>
      <c r="Q403" s="1" t="str">
        <f>IFERROR(__xludf.DUMMYFUNCTION("""COMPUTED_VALUE"""),"PANTALEON GRANADOS (AREA G)")</f>
        <v>PANTALEON GRANADOS (AREA G)</v>
      </c>
      <c r="R403" s="1" t="str">
        <f>IFERROR(__xludf.DUMMYFUNCTION("""COMPUTED_VALUE"""),"GEN MARIANO ALVAREZ")</f>
        <v>GEN MARIANO ALVAREZ</v>
      </c>
      <c r="S403" s="1" t="str">
        <f>IFERROR(__xludf.DUMMYFUNCTION("""COMPUTED_VALUE"""),"FIBR PLAN 1599")</f>
        <v>FIBR PLAN 1599</v>
      </c>
      <c r="T403" s="1" t="str">
        <f>IFERROR(__xludf.DUMMYFUNCTION("""COMPUTED_VALUE"""),"APPROVED")</f>
        <v>APPROVED</v>
      </c>
      <c r="U403" s="1"/>
      <c r="V403" s="1"/>
      <c r="W403" s="1"/>
    </row>
    <row r="404" customHeight="1" spans="1:23">
      <c r="A404" s="3">
        <f>IFERROR(__xludf.DUMMYFUNCTION("""COMPUTED_VALUE"""),46066)</f>
        <v>46066</v>
      </c>
      <c r="B404" s="1" t="str">
        <f>IFERROR(__xludf.DUMMYFUNCTION("""COMPUTED_VALUE"""),"CONCEPCION, ALJAY")</f>
        <v>CONCEPCION, ALJAY</v>
      </c>
      <c r="C404" s="1" t="str">
        <f>IFERROR(__xludf.DUMMYFUNCTION("""COMPUTED_VALUE"""),"ORGANIC")</f>
        <v>ORGANIC</v>
      </c>
      <c r="D404" s="1" t="str">
        <f>IFERROR(__xludf.DUMMYFUNCTION("""COMPUTED_VALUE"""),"REMOLLO LEA")</f>
        <v>REMOLLO LEA</v>
      </c>
      <c r="E404" s="1" t="str">
        <f>IFERROR(__xludf.DUMMYFUNCTION("""COMPUTED_VALUE"""),"PLDT")</f>
        <v>PLDT</v>
      </c>
      <c r="F404" s="1">
        <f>IFERROR(__xludf.DUMMYFUNCTION("""COMPUTED_VALUE"""),2306992041)</f>
        <v>2306992041</v>
      </c>
      <c r="G404" s="1"/>
      <c r="H404" s="1" t="str">
        <f>IFERROR(__xludf.DUMMYFUNCTION("""COMPUTED_VALUE"""),"AERHON KIM GAGALANG SALAZAR")</f>
        <v>AERHON KIM GAGALANG SALAZAR</v>
      </c>
      <c r="I404" s="1">
        <f>IFERROR(__xludf.DUMMYFUNCTION("""COMPUTED_VALUE"""),94864018119)</f>
        <v>94864018119</v>
      </c>
      <c r="J404" s="1">
        <f>IFERROR(__xludf.DUMMYFUNCTION("""COMPUTED_VALUE"""),9184554312)</f>
        <v>9184554312</v>
      </c>
      <c r="K404" s="1" t="str">
        <f>IFERROR(__xludf.DUMMYFUNCTION("""COMPUTED_VALUE"""),"SALAZARAERHONKIM360@GMAIL.COM")</f>
        <v>SALAZARAERHONKIM360@GMAIL.COM</v>
      </c>
      <c r="L404" s="1" t="str">
        <f>IFERROR(__xludf.DUMMYFUNCTION("""COMPUTED_VALUE"""),"430")</f>
        <v>430</v>
      </c>
      <c r="M404" s="1" t="str">
        <f>IFERROR(__xludf.DUMMYFUNCTION("""COMPUTED_VALUE"""),"PUROK 174")</f>
        <v>PUROK 174</v>
      </c>
      <c r="N404" s="1"/>
      <c r="O404" s="1" t="str">
        <f>IFERROR(__xludf.DUMMYFUNCTION("""COMPUTED_VALUE"""),"TGTLP25NP6")</f>
        <v>TGTLP25NP6</v>
      </c>
      <c r="P404" s="1" t="str">
        <f>IFERROR(__xludf.DUMMYFUNCTION("""COMPUTED_VALUE"""),"14.110836 120.993027")</f>
        <v>14.110836 120.993027</v>
      </c>
      <c r="Q404" s="1" t="str">
        <f>IFERROR(__xludf.DUMMYFUNCTION("""COMPUTED_VALUE"""),"SUNGAY NORTH")</f>
        <v>SUNGAY NORTH</v>
      </c>
      <c r="R404" s="1" t="str">
        <f>IFERROR(__xludf.DUMMYFUNCTION("""COMPUTED_VALUE"""),"TAGAYTAY")</f>
        <v>TAGAYTAY</v>
      </c>
      <c r="S404" s="1" t="str">
        <f>IFERROR(__xludf.DUMMYFUNCTION("""COMPUTED_VALUE"""),"PREPAID 999")</f>
        <v>PREPAID 999</v>
      </c>
      <c r="T404" s="1" t="str">
        <f>IFERROR(__xludf.DUMMYFUNCTION("""COMPUTED_VALUE"""),"APPROVED")</f>
        <v>APPROVED</v>
      </c>
      <c r="U404" s="1"/>
      <c r="V404" s="1"/>
      <c r="W404" s="1"/>
    </row>
    <row r="405" customHeight="1" spans="1:23">
      <c r="A405" s="3">
        <f>IFERROR(__xludf.DUMMYFUNCTION("""COMPUTED_VALUE"""),46066)</f>
        <v>46066</v>
      </c>
      <c r="B405" s="1" t="str">
        <f>IFERROR(__xludf.DUMMYFUNCTION("""COMPUTED_VALUE"""),"VILLANAS , EVANGELINE")</f>
        <v>VILLANAS , EVANGELINE</v>
      </c>
      <c r="C405" s="1" t="str">
        <f>IFERROR(__xludf.DUMMYFUNCTION("""COMPUTED_VALUE"""),"ORGANIC")</f>
        <v>ORGANIC</v>
      </c>
      <c r="D405" s="1" t="str">
        <f>IFERROR(__xludf.DUMMYFUNCTION("""COMPUTED_VALUE"""),"REMOLLO LEA")</f>
        <v>REMOLLO LEA</v>
      </c>
      <c r="E405" s="1" t="str">
        <f>IFERROR(__xludf.DUMMYFUNCTION("""COMPUTED_VALUE"""),"PLDT")</f>
        <v>PLDT</v>
      </c>
      <c r="F405" s="1">
        <f>IFERROR(__xludf.DUMMYFUNCTION("""COMPUTED_VALUE"""),2306993446)</f>
        <v>2306993446</v>
      </c>
      <c r="G405" s="1"/>
      <c r="H405" s="1" t="str">
        <f>IFERROR(__xludf.DUMMYFUNCTION("""COMPUTED_VALUE"""),"GERMIN MARCELIN CONDAHAN")</f>
        <v>GERMIN MARCELIN CONDAHAN</v>
      </c>
      <c r="I405" s="1">
        <f>IFERROR(__xludf.DUMMYFUNCTION("""COMPUTED_VALUE"""),951601139)</f>
        <v>951601139</v>
      </c>
      <c r="J405" s="1">
        <f>IFERROR(__xludf.DUMMYFUNCTION("""COMPUTED_VALUE"""),9464131984)</f>
        <v>9464131984</v>
      </c>
      <c r="K405" s="1" t="str">
        <f>IFERROR(__xludf.DUMMYFUNCTION("""COMPUTED_VALUE"""),"GERMILLVERGARA@GMAIL.COM")</f>
        <v>GERMILLVERGARA@GMAIL.COM</v>
      </c>
      <c r="L405" s="1" t="str">
        <f>IFERROR(__xludf.DUMMYFUNCTION("""COMPUTED_VALUE"""),"BLK 30 LOT 2")</f>
        <v>BLK 30 LOT 2</v>
      </c>
      <c r="M405" s="1" t="str">
        <f>IFERROR(__xludf.DUMMYFUNCTION("""COMPUTED_VALUE"""),"AREA F")</f>
        <v>AREA F</v>
      </c>
      <c r="N405" s="1"/>
      <c r="O405" s="1" t="str">
        <f>IFERROR(__xludf.DUMMYFUNCTION("""COMPUTED_VALUE"""),"GMZLP251NP2")</f>
        <v>GMZLP251NP2</v>
      </c>
      <c r="P405" s="1" t="str">
        <f>IFERROR(__xludf.DUMMYFUNCTION("""COMPUTED_VALUE"""),"14.3110701 121.01444")</f>
        <v>14.3110701 121.01444</v>
      </c>
      <c r="Q405" s="1" t="str">
        <f>IFERROR(__xludf.DUMMYFUNCTION("""COMPUTED_VALUE"""),"INOCENCIO SALUD")</f>
        <v>INOCENCIO SALUD</v>
      </c>
      <c r="R405" s="1" t="str">
        <f>IFERROR(__xludf.DUMMYFUNCTION("""COMPUTED_VALUE"""),"GEN MARIANO ALVAREZ")</f>
        <v>GEN MARIANO ALVAREZ</v>
      </c>
      <c r="S405" s="1" t="str">
        <f>IFERROR(__xludf.DUMMYFUNCTION("""COMPUTED_VALUE"""),"FIBR PLAN 1399")</f>
        <v>FIBR PLAN 1399</v>
      </c>
      <c r="T405" s="1" t="str">
        <f>IFERROR(__xludf.DUMMYFUNCTION("""COMPUTED_VALUE"""),"APPROVED")</f>
        <v>APPROVED</v>
      </c>
      <c r="U405" s="1"/>
      <c r="V405" s="1"/>
      <c r="W405" s="1"/>
    </row>
    <row r="406" customHeight="1" spans="1:23">
      <c r="A406" s="3">
        <f>IFERROR(__xludf.DUMMYFUNCTION("""COMPUTED_VALUE"""),46066)</f>
        <v>46066</v>
      </c>
      <c r="B406" s="1" t="str">
        <f>IFERROR(__xludf.DUMMYFUNCTION("""COMPUTED_VALUE"""),"TISTON, CEDRICK")</f>
        <v>TISTON, CEDRICK</v>
      </c>
      <c r="C406" s="1" t="str">
        <f>IFERROR(__xludf.DUMMYFUNCTION("""COMPUTED_VALUE"""),"ORGANIC")</f>
        <v>ORGANIC</v>
      </c>
      <c r="D406" s="1" t="str">
        <f>IFERROR(__xludf.DUMMYFUNCTION("""COMPUTED_VALUE"""),"REMOLLO LEA")</f>
        <v>REMOLLO LEA</v>
      </c>
      <c r="E406" s="1" t="str">
        <f>IFERROR(__xludf.DUMMYFUNCTION("""COMPUTED_VALUE"""),"PLDT")</f>
        <v>PLDT</v>
      </c>
      <c r="F406" s="1"/>
      <c r="G406" s="1"/>
      <c r="H406" s="1" t="str">
        <f>IFERROR(__xludf.DUMMYFUNCTION("""COMPUTED_VALUE"""),"JOHN BERTH RICARDE NUEZCA")</f>
        <v>JOHN BERTH RICARDE NUEZCA</v>
      </c>
      <c r="I406" s="1">
        <f>IFERROR(__xludf.DUMMYFUNCTION("""COMPUTED_VALUE"""),9495661764)</f>
        <v>9495661764</v>
      </c>
      <c r="J406" s="1">
        <f>IFERROR(__xludf.DUMMYFUNCTION("""COMPUTED_VALUE"""),9216568449)</f>
        <v>9216568449</v>
      </c>
      <c r="K406" s="1" t="str">
        <f>IFERROR(__xludf.DUMMYFUNCTION("""COMPUTED_VALUE"""),"NUEZCAJOHNBERTS@GMAIL.COM")</f>
        <v>NUEZCAJOHNBERTS@GMAIL.COM</v>
      </c>
      <c r="L406" s="1" t="str">
        <f>IFERROR(__xludf.DUMMYFUNCTION("""COMPUTED_VALUE"""),"178")</f>
        <v>178</v>
      </c>
      <c r="M406" s="1" t="str">
        <f>IFERROR(__xludf.DUMMYFUNCTION("""COMPUTED_VALUE"""),"SANTOL")</f>
        <v>SANTOL</v>
      </c>
      <c r="N406" s="1"/>
      <c r="O406" s="1"/>
      <c r="P406" s="1"/>
      <c r="Q406" s="1" t="str">
        <f>IFERROR(__xludf.DUMMYFUNCTION("""COMPUTED_VALUE"""),"BANCAL")</f>
        <v>BANCAL</v>
      </c>
      <c r="R406" s="1" t="str">
        <f>IFERROR(__xludf.DUMMYFUNCTION("""COMPUTED_VALUE"""),"CARMONA")</f>
        <v>CARMONA</v>
      </c>
      <c r="S406" s="1" t="str">
        <f>IFERROR(__xludf.DUMMYFUNCTION("""COMPUTED_VALUE"""),"FIBR PLAN 1399")</f>
        <v>FIBR PLAN 1399</v>
      </c>
      <c r="T406" s="1" t="str">
        <f>IFERROR(__xludf.DUMMYFUNCTION("""COMPUTED_VALUE"""),"CANCELLED ")</f>
        <v>CANCELLED </v>
      </c>
      <c r="U406" s="1" t="str">
        <f>IFERROR(__xludf.DUMMYFUNCTION("""COMPUTED_VALUE"""),"NO LONGLAT AND CAFAC ALSO NEED FOR SURVEY OF POLE AVAILABLE")</f>
        <v>NO LONGLAT AND CAFAC ALSO NEED FOR SURVEY OF POLE AVAILABLE</v>
      </c>
      <c r="V406" s="1"/>
      <c r="W406" s="1"/>
    </row>
    <row r="407" customHeight="1" spans="1:23">
      <c r="A407" s="3">
        <f>IFERROR(__xludf.DUMMYFUNCTION("""COMPUTED_VALUE"""),46066)</f>
        <v>46066</v>
      </c>
      <c r="B407" s="1" t="str">
        <f>IFERROR(__xludf.DUMMYFUNCTION("""COMPUTED_VALUE"""),"MIRASOL, RAYRALYN")</f>
        <v>MIRASOL, RAYRALYN</v>
      </c>
      <c r="C407" s="1" t="str">
        <f>IFERROR(__xludf.DUMMYFUNCTION("""COMPUTED_VALUE"""),"ORGANIC")</f>
        <v>ORGANIC</v>
      </c>
      <c r="D407" s="1" t="str">
        <f>IFERROR(__xludf.DUMMYFUNCTION("""COMPUTED_VALUE"""),"REMOLLO LEA")</f>
        <v>REMOLLO LEA</v>
      </c>
      <c r="E407" s="1" t="str">
        <f>IFERROR(__xludf.DUMMYFUNCTION("""COMPUTED_VALUE"""),"PLDT")</f>
        <v>PLDT</v>
      </c>
      <c r="F407" s="1">
        <f>IFERROR(__xludf.DUMMYFUNCTION("""COMPUTED_VALUE"""),2306994441)</f>
        <v>2306994441</v>
      </c>
      <c r="G407" s="1"/>
      <c r="H407" s="1" t="str">
        <f>IFERROR(__xludf.DUMMYFUNCTION("""COMPUTED_VALUE"""),"JOSEPHINE DAEN PETRONIO")</f>
        <v>JOSEPHINE DAEN PETRONIO</v>
      </c>
      <c r="I407" s="1">
        <f>IFERROR(__xludf.DUMMYFUNCTION("""COMPUTED_VALUE"""),9925676736)</f>
        <v>9925676736</v>
      </c>
      <c r="J407" s="1"/>
      <c r="K407" s="1" t="str">
        <f>IFERROR(__xludf.DUMMYFUNCTION("""COMPUTED_VALUE"""),"LADYSKEPTRON1995@GMAIL.COM")</f>
        <v>LADYSKEPTRON1995@GMAIL.COM</v>
      </c>
      <c r="L407" s="1" t="str">
        <f>IFERROR(__xludf.DUMMYFUNCTION("""COMPUTED_VALUE"""),"BLK 7 LOY 8")</f>
        <v>BLK 7 LOY 8</v>
      </c>
      <c r="M407" s="1" t="str">
        <f>IFERROR(__xludf.DUMMYFUNCTION("""COMPUTED_VALUE"""),"ANTLEA ")</f>
        <v>ANTLEA </v>
      </c>
      <c r="N407" s="1"/>
      <c r="O407" s="1" t="str">
        <f>IFERROR(__xludf.DUMMYFUNCTION("""COMPUTED_VALUE"""),"GMZLP133NP2")</f>
        <v>GMZLP133NP2</v>
      </c>
      <c r="P407" s="1" t="str">
        <f>IFERROR(__xludf.DUMMYFUNCTION("""COMPUTED_VALUE"""),"14.312979 121.020602")</f>
        <v>14.312979 121.020602</v>
      </c>
      <c r="Q407" s="1" t="str">
        <f>IFERROR(__xludf.DUMMYFUNCTION("""COMPUTED_VALUE"""),"INOCENCIO SALUD")</f>
        <v>INOCENCIO SALUD</v>
      </c>
      <c r="R407" s="1" t="str">
        <f>IFERROR(__xludf.DUMMYFUNCTION("""COMPUTED_VALUE"""),"GEN MARIANO ALVAREZ")</f>
        <v>GEN MARIANO ALVAREZ</v>
      </c>
      <c r="S407" s="1" t="str">
        <f>IFERROR(__xludf.DUMMYFUNCTION("""COMPUTED_VALUE"""),"FIBR PLAN 1399")</f>
        <v>FIBR PLAN 1399</v>
      </c>
      <c r="T407" s="1" t="str">
        <f>IFERROR(__xludf.DUMMYFUNCTION("""COMPUTED_VALUE"""),"APPROVED")</f>
        <v>APPROVED</v>
      </c>
      <c r="U407" s="1" t="str">
        <f>IFERROR(__xludf.DUMMYFUNCTION("""COMPUTED_VALUE"""),"CBR UNCONTACTABLE")</f>
        <v>CBR UNCONTACTABLE</v>
      </c>
      <c r="V407" s="1"/>
      <c r="W407" s="1"/>
    </row>
    <row r="408" customHeight="1" spans="1:23">
      <c r="A408" s="3">
        <f>IFERROR(__xludf.DUMMYFUNCTION("""COMPUTED_VALUE"""),46066)</f>
        <v>46066</v>
      </c>
      <c r="B408" s="1" t="str">
        <f>IFERROR(__xludf.DUMMYFUNCTION("""COMPUTED_VALUE"""),"DE LEON, MERLY")</f>
        <v>DE LEON, MERLY</v>
      </c>
      <c r="C408" s="1" t="str">
        <f>IFERROR(__xludf.DUMMYFUNCTION("""COMPUTED_VALUE"""),"ORGANIC")</f>
        <v>ORGANIC</v>
      </c>
      <c r="D408" s="1" t="str">
        <f>IFERROR(__xludf.DUMMYFUNCTION("""COMPUTED_VALUE"""),"REMOLLO LEA")</f>
        <v>REMOLLO LEA</v>
      </c>
      <c r="E408" s="1" t="str">
        <f>IFERROR(__xludf.DUMMYFUNCTION("""COMPUTED_VALUE"""),"PLDT")</f>
        <v>PLDT</v>
      </c>
      <c r="F408" s="1"/>
      <c r="G408" s="1"/>
      <c r="H408" s="1" t="str">
        <f>IFERROR(__xludf.DUMMYFUNCTION("""COMPUTED_VALUE"""),"HANNA JANE LEGACION MOQUIA")</f>
        <v>HANNA JANE LEGACION MOQUIA</v>
      </c>
      <c r="I408" s="1">
        <f>IFERROR(__xludf.DUMMYFUNCTION("""COMPUTED_VALUE"""),9127543865)</f>
        <v>9127543865</v>
      </c>
      <c r="J408" s="1">
        <f>IFERROR(__xludf.DUMMYFUNCTION("""COMPUTED_VALUE"""),9703930075)</f>
        <v>9703930075</v>
      </c>
      <c r="K408" s="1" t="str">
        <f>IFERROR(__xludf.DUMMYFUNCTION("""COMPUTED_VALUE"""),"JOHNAARONMEDINA")</f>
        <v>JOHNAARONMEDINA</v>
      </c>
      <c r="L408" s="1" t="str">
        <f>IFERROR(__xludf.DUMMYFUNCTION("""COMPUTED_VALUE"""),"115")</f>
        <v>115</v>
      </c>
      <c r="M408" s="1" t="str">
        <f>IFERROR(__xludf.DUMMYFUNCTION("""COMPUTED_VALUE"""),"AQUILA")</f>
        <v>AQUILA</v>
      </c>
      <c r="N408" s="1"/>
      <c r="O408" s="1" t="str">
        <f>IFERROR(__xludf.DUMMYFUNCTION("""COMPUTED_VALUE"""),"GMZLP133NP2")</f>
        <v>GMZLP133NP2</v>
      </c>
      <c r="P408" s="1" t="str">
        <f>IFERROR(__xludf.DUMMYFUNCTION("""COMPUTED_VALUE"""),"14.313009 121.020684")</f>
        <v>14.313009 121.020684</v>
      </c>
      <c r="Q408" s="1" t="str">
        <f>IFERROR(__xludf.DUMMYFUNCTION("""COMPUTED_VALUE"""),"INOCENCIO SALUD")</f>
        <v>INOCENCIO SALUD</v>
      </c>
      <c r="R408" s="1" t="str">
        <f>IFERROR(__xludf.DUMMYFUNCTION("""COMPUTED_VALUE"""),"GEN MARIANO ALVAREZ")</f>
        <v>GEN MARIANO ALVAREZ</v>
      </c>
      <c r="S408" s="1" t="str">
        <f>IFERROR(__xludf.DUMMYFUNCTION("""COMPUTED_VALUE"""),"FIBR PLAN 1399")</f>
        <v>FIBR PLAN 1399</v>
      </c>
      <c r="T408" s="1" t="str">
        <f>IFERROR(__xludf.DUMMYFUNCTION("""COMPUTED_VALUE"""),"FOR CALLBACK / CANNOT BE REACHED")</f>
        <v>FOR CALLBACK / CANNOT BE REACHED</v>
      </c>
      <c r="U408" s="1" t="str">
        <f>IFERROR(__xludf.DUMMYFUNCTION("""COMPUTED_VALUE"""),"CBR UNCONTACTABLE")</f>
        <v>CBR UNCONTACTABLE</v>
      </c>
      <c r="V408" s="1"/>
      <c r="W408" s="1"/>
    </row>
    <row r="409" customHeight="1" spans="1:23">
      <c r="A409" s="3">
        <f>IFERROR(__xludf.DUMMYFUNCTION("""COMPUTED_VALUE"""),46066)</f>
        <v>46066</v>
      </c>
      <c r="B409" s="1" t="str">
        <f>IFERROR(__xludf.DUMMYFUNCTION("""COMPUTED_VALUE"""),"DELIMA, RHEABELLE GARCIA")</f>
        <v>DELIMA, RHEABELLE GARCIA</v>
      </c>
      <c r="C409" s="1" t="str">
        <f>IFERROR(__xludf.DUMMYFUNCTION("""COMPUTED_VALUE"""),"FLA")</f>
        <v>FLA</v>
      </c>
      <c r="D409" s="1" t="str">
        <f>IFERROR(__xludf.DUMMYFUNCTION("""COMPUTED_VALUE"""),"JERIC NAVARRO")</f>
        <v>JERIC NAVARRO</v>
      </c>
      <c r="E409" s="1" t="str">
        <f>IFERROR(__xludf.DUMMYFUNCTION("""COMPUTED_VALUE"""),"RED FIBER")</f>
        <v>RED FIBER</v>
      </c>
      <c r="F409" s="1"/>
      <c r="G409" s="1"/>
      <c r="H409" s="1" t="str">
        <f>IFERROR(__xludf.DUMMYFUNCTION("""COMPUTED_VALUE"""),"GABRIEL ANGELO GLORIANI MINOZA")</f>
        <v>GABRIEL ANGELO GLORIANI MINOZA</v>
      </c>
      <c r="I409" s="1">
        <f>IFERROR(__xludf.DUMMYFUNCTION("""COMPUTED_VALUE"""),9958572291)</f>
        <v>9958572291</v>
      </c>
      <c r="J409" s="1"/>
      <c r="K409" s="1" t="str">
        <f>IFERROR(__xludf.DUMMYFUNCTION("""COMPUTED_VALUE"""),"MINOZAGAB07@GMAIL.COM")</f>
        <v>MINOZAGAB07@GMAIL.COM</v>
      </c>
      <c r="L409" s="1" t="str">
        <f>IFERROR(__xludf.DUMMYFUNCTION("""COMPUTED_VALUE"""),"69")</f>
        <v>69</v>
      </c>
      <c r="M409" s="1" t="str">
        <f>IFERROR(__xludf.DUMMYFUNCTION("""COMPUTED_VALUE"""),"PEREY")</f>
        <v>PEREY</v>
      </c>
      <c r="N409" s="1"/>
      <c r="O409" s="1"/>
      <c r="P409" s="1"/>
      <c r="Q409" s="1" t="str">
        <f>IFERROR(__xludf.DUMMYFUNCTION("""COMPUTED_VALUE"""),"BARANGAY 6 (POB.)")</f>
        <v>BARANGAY 6 (POB.)</v>
      </c>
      <c r="R409" s="1" t="str">
        <f>IFERROR(__xludf.DUMMYFUNCTION("""COMPUTED_VALUE"""),"MENDEZ")</f>
        <v>MENDEZ</v>
      </c>
      <c r="S409" s="1" t="str">
        <f>IFERROR(__xludf.DUMMYFUNCTION("""COMPUTED_VALUE"""),"RED FIBER PLAN 1400")</f>
        <v>RED FIBER PLAN 1400</v>
      </c>
      <c r="T409" s="1" t="str">
        <f>IFERROR(__xludf.DUMMYFUNCTION("""COMPUTED_VALUE"""),"APPROVED")</f>
        <v>APPROVED</v>
      </c>
      <c r="U409" s="1"/>
      <c r="V409" s="1"/>
      <c r="W409" s="1"/>
    </row>
    <row r="410" customHeight="1" spans="1:23">
      <c r="A410" s="3">
        <f>IFERROR(__xludf.DUMMYFUNCTION("""COMPUTED_VALUE"""),46067)</f>
        <v>46067</v>
      </c>
      <c r="B410" s="1" t="str">
        <f>IFERROR(__xludf.DUMMYFUNCTION("""COMPUTED_VALUE"""),"MALIWAT MARK ELVIN")</f>
        <v>MALIWAT MARK ELVIN</v>
      </c>
      <c r="C410" s="1" t="str">
        <f>IFERROR(__xludf.DUMMYFUNCTION("""COMPUTED_VALUE"""),"FLA")</f>
        <v>FLA</v>
      </c>
      <c r="D410" s="1" t="str">
        <f>IFERROR(__xludf.DUMMYFUNCTION("""COMPUTED_VALUE"""),"JERIC NAVARRO")</f>
        <v>JERIC NAVARRO</v>
      </c>
      <c r="E410" s="1" t="str">
        <f>IFERROR(__xludf.DUMMYFUNCTION("""COMPUTED_VALUE"""),"PLDT")</f>
        <v>PLDT</v>
      </c>
      <c r="F410" s="1">
        <f>IFERROR(__xludf.DUMMYFUNCTION("""COMPUTED_VALUE"""),2307011079)</f>
        <v>2307011079</v>
      </c>
      <c r="G410" s="1"/>
      <c r="H410" s="1" t="str">
        <f>IFERROR(__xludf.DUMMYFUNCTION("""COMPUTED_VALUE"""),"RONBIE MUDAL TALABI")</f>
        <v>RONBIE MUDAL TALABI</v>
      </c>
      <c r="I410" s="1">
        <f>IFERROR(__xludf.DUMMYFUNCTION("""COMPUTED_VALUE"""),9692169252)</f>
        <v>9692169252</v>
      </c>
      <c r="J410" s="1">
        <f>IFERROR(__xludf.DUMMYFUNCTION("""COMPUTED_VALUE"""),9182791227)</f>
        <v>9182791227</v>
      </c>
      <c r="K410" s="1" t="str">
        <f>IFERROR(__xludf.DUMMYFUNCTION("""COMPUTED_VALUE"""),"LYNBABYMUDZ@GMAIL.COM")</f>
        <v>LYNBABYMUDZ@GMAIL.COM</v>
      </c>
      <c r="L410" s="1" t="str">
        <f>IFERROR(__xludf.DUMMYFUNCTION("""COMPUTED_VALUE"""),"BLK 15 LOT 6")</f>
        <v>BLK 15 LOT 6</v>
      </c>
      <c r="M410" s="1" t="str">
        <f>IFERROR(__xludf.DUMMYFUNCTION("""COMPUTED_VALUE"""),"WHITE GARDENIA")</f>
        <v>WHITE GARDENIA</v>
      </c>
      <c r="N410" s="1" t="str">
        <f>IFERROR(__xludf.DUMMYFUNCTION("""COMPUTED_VALUE"""),"CAPITOL HILLS SUBDV")</f>
        <v>CAPITOL HILLS SUBDV</v>
      </c>
      <c r="O410" s="1" t="str">
        <f>IFERROR(__xludf.DUMMYFUNCTION("""COMPUTED_VALUE"""),"TMSLP337NP6/5/4")</f>
        <v>TMSLP337NP6/5/4</v>
      </c>
      <c r="P410" s="1" t="str">
        <f>IFERROR(__xludf.DUMMYFUNCTION("""COMPUTED_VALUE"""),"14.275432733109323, 120.86442922454938")</f>
        <v>14.275432733109323, 120.86442922454938</v>
      </c>
      <c r="Q410" s="1" t="str">
        <f>IFERROR(__xludf.DUMMYFUNCTION("""COMPUTED_VALUE"""),"LAPIDARIO (BAYOG)")</f>
        <v>LAPIDARIO (BAYOG)</v>
      </c>
      <c r="R410" s="1" t="str">
        <f>IFERROR(__xludf.DUMMYFUNCTION("""COMPUTED_VALUE"""),"TRECE MARTIREZ CITY")</f>
        <v>TRECE MARTIREZ CITY</v>
      </c>
      <c r="S410" s="1" t="str">
        <f>IFERROR(__xludf.DUMMYFUNCTION("""COMPUTED_VALUE"""),"FIBR PLAN 1399")</f>
        <v>FIBR PLAN 1399</v>
      </c>
      <c r="T410" s="1" t="str">
        <f>IFERROR(__xludf.DUMMYFUNCTION("""COMPUTED_VALUE"""),"APPROVED")</f>
        <v>APPROVED</v>
      </c>
      <c r="U410" s="1"/>
      <c r="V410" s="1"/>
      <c r="W410" s="1"/>
    </row>
    <row r="411" customHeight="1" spans="1:23">
      <c r="A411" s="3">
        <f>IFERROR(__xludf.DUMMYFUNCTION("""COMPUTED_VALUE"""),46067)</f>
        <v>46067</v>
      </c>
      <c r="B411" s="1" t="str">
        <f>IFERROR(__xludf.DUMMYFUNCTION("""COMPUTED_VALUE"""),"CONCEPCION, ALJAY")</f>
        <v>CONCEPCION, ALJAY</v>
      </c>
      <c r="C411" s="1" t="str">
        <f>IFERROR(__xludf.DUMMYFUNCTION("""COMPUTED_VALUE"""),"ORGANIC")</f>
        <v>ORGANIC</v>
      </c>
      <c r="D411" s="1" t="str">
        <f>IFERROR(__xludf.DUMMYFUNCTION("""COMPUTED_VALUE"""),"REMOLLO LEA")</f>
        <v>REMOLLO LEA</v>
      </c>
      <c r="E411" s="1" t="str">
        <f>IFERROR(__xludf.DUMMYFUNCTION("""COMPUTED_VALUE"""),"PLDT")</f>
        <v>PLDT</v>
      </c>
      <c r="F411" s="1"/>
      <c r="G411" s="1"/>
      <c r="H411" s="1" t="str">
        <f>IFERROR(__xludf.DUMMYFUNCTION("""COMPUTED_VALUE"""),"EDWIN JR OLIVAN ADRIANO")</f>
        <v>EDWIN JR OLIVAN ADRIANO</v>
      </c>
      <c r="I411" s="1">
        <f>IFERROR(__xludf.DUMMYFUNCTION("""COMPUTED_VALUE"""),9664061060)</f>
        <v>9664061060</v>
      </c>
      <c r="J411" s="1"/>
      <c r="K411" s="1" t="str">
        <f>IFERROR(__xludf.DUMMYFUNCTION("""COMPUTED_VALUE"""),"EDWINGONGCHAER@GMAIL.COM")</f>
        <v>EDWINGONGCHAER@GMAIL.COM</v>
      </c>
      <c r="L411" s="1" t="str">
        <f>IFERROR(__xludf.DUMMYFUNCTION("""COMPUTED_VALUE"""),"9147")</f>
        <v>9147</v>
      </c>
      <c r="M411" s="1" t="str">
        <f>IFERROR(__xludf.DUMMYFUNCTION("""COMPUTED_VALUE"""),"COFFEE COUNTRY")</f>
        <v>COFFEE COUNTRY</v>
      </c>
      <c r="N411" s="1"/>
      <c r="O411" s="1"/>
      <c r="P411" s="1"/>
      <c r="Q411" s="1" t="str">
        <f>IFERROR(__xludf.DUMMYFUNCTION("""COMPUTED_VALUE"""),"PANUNGYANAN")</f>
        <v>PANUNGYANAN</v>
      </c>
      <c r="R411" s="1" t="str">
        <f>IFERROR(__xludf.DUMMYFUNCTION("""COMPUTED_VALUE"""),"MENDEZ")</f>
        <v>MENDEZ</v>
      </c>
      <c r="S411" s="1" t="str">
        <f>IFERROR(__xludf.DUMMYFUNCTION("""COMPUTED_VALUE"""),"FIBR PLAN 1399")</f>
        <v>FIBR PLAN 1399</v>
      </c>
      <c r="T411" s="1" t="str">
        <f>IFERROR(__xludf.DUMMYFUNCTION("""COMPUTED_VALUE"""),"HOLD")</f>
        <v>HOLD</v>
      </c>
      <c r="U411" s="1" t="str">
        <f>IFERROR(__xludf.DUMMYFUNCTION("""COMPUTED_VALUE"""),"DONE CALLOUT 0306")</f>
        <v>DONE CALLOUT 0306</v>
      </c>
      <c r="V411" s="1"/>
      <c r="W411" s="1"/>
    </row>
    <row r="412" customHeight="1" spans="1:23">
      <c r="A412" s="3">
        <f>IFERROR(__xludf.DUMMYFUNCTION("""COMPUTED_VALUE"""),46067)</f>
        <v>46067</v>
      </c>
      <c r="B412" s="1" t="str">
        <f>IFERROR(__xludf.DUMMYFUNCTION("""COMPUTED_VALUE"""),"ESCARCHA, MA ALMA  ESCOTO")</f>
        <v>ESCARCHA, MA ALMA  ESCOTO</v>
      </c>
      <c r="C412" s="1" t="str">
        <f>IFERROR(__xludf.DUMMYFUNCTION("""COMPUTED_VALUE"""),"ORGANIC")</f>
        <v>ORGANIC</v>
      </c>
      <c r="D412" s="1" t="str">
        <f>IFERROR(__xludf.DUMMYFUNCTION("""COMPUTED_VALUE"""),"REMOLLO LEA")</f>
        <v>REMOLLO LEA</v>
      </c>
      <c r="E412" s="1" t="str">
        <f>IFERROR(__xludf.DUMMYFUNCTION("""COMPUTED_VALUE"""),"PLDT")</f>
        <v>PLDT</v>
      </c>
      <c r="F412" s="1"/>
      <c r="G412" s="1"/>
      <c r="H412" s="1" t="str">
        <f>IFERROR(__xludf.DUMMYFUNCTION("""COMPUTED_VALUE"""),"SAMMY GARCIA SAPINOSO")</f>
        <v>SAMMY GARCIA SAPINOSO</v>
      </c>
      <c r="I412" s="1">
        <f>IFERROR(__xludf.DUMMYFUNCTION("""COMPUTED_VALUE"""),9561645115)</f>
        <v>9561645115</v>
      </c>
      <c r="J412" s="1">
        <f>IFERROR(__xludf.DUMMYFUNCTION("""COMPUTED_VALUE"""),9164913032)</f>
        <v>9164913032</v>
      </c>
      <c r="K412" s="1" t="str">
        <f>IFERROR(__xludf.DUMMYFUNCTION("""COMPUTED_VALUE"""),"ARNIEDIAZ@GMAIL.COM")</f>
        <v>ARNIEDIAZ@GMAIL.COM</v>
      </c>
      <c r="L412" s="1" t="str">
        <f>IFERROR(__xludf.DUMMYFUNCTION("""COMPUTED_VALUE"""),"383")</f>
        <v>383</v>
      </c>
      <c r="M412" s="1" t="str">
        <f>IFERROR(__xludf.DUMMYFUNCTION("""COMPUTED_VALUE"""),"ALFONSO")</f>
        <v>ALFONSO</v>
      </c>
      <c r="N412" s="1"/>
      <c r="O412" s="1"/>
      <c r="P412" s="1"/>
      <c r="Q412" s="1" t="str">
        <f>IFERROR(__xludf.DUMMYFUNCTION("""COMPUTED_VALUE"""),"PANUNGYANAN")</f>
        <v>PANUNGYANAN</v>
      </c>
      <c r="R412" s="1" t="str">
        <f>IFERROR(__xludf.DUMMYFUNCTION("""COMPUTED_VALUE"""),"MENDEZ")</f>
        <v>MENDEZ</v>
      </c>
      <c r="S412" s="1" t="str">
        <f>IFERROR(__xludf.DUMMYFUNCTION("""COMPUTED_VALUE"""),"FIBR PLAN 1399")</f>
        <v>FIBR PLAN 1399</v>
      </c>
      <c r="T412" s="1" t="str">
        <f>IFERROR(__xludf.DUMMYFUNCTION("""COMPUTED_VALUE"""),"HOLD")</f>
        <v>HOLD</v>
      </c>
      <c r="U412" s="1" t="str">
        <f>IFERROR(__xludf.DUMMYFUNCTION("""COMPUTED_VALUE"""),"DONE CALLOUT 0306")</f>
        <v>DONE CALLOUT 0306</v>
      </c>
      <c r="V412" s="1"/>
      <c r="W412" s="1"/>
    </row>
    <row r="413" customHeight="1" spans="1:23">
      <c r="A413" s="3">
        <f>IFERROR(__xludf.DUMMYFUNCTION("""COMPUTED_VALUE"""),46067)</f>
        <v>46067</v>
      </c>
      <c r="B413" s="1" t="str">
        <f>IFERROR(__xludf.DUMMYFUNCTION("""COMPUTED_VALUE"""),"TISTON, CEDRICK")</f>
        <v>TISTON, CEDRICK</v>
      </c>
      <c r="C413" s="1" t="str">
        <f>IFERROR(__xludf.DUMMYFUNCTION("""COMPUTED_VALUE"""),"ORGANIC")</f>
        <v>ORGANIC</v>
      </c>
      <c r="D413" s="1" t="str">
        <f>IFERROR(__xludf.DUMMYFUNCTION("""COMPUTED_VALUE"""),"REMOLLO LEA")</f>
        <v>REMOLLO LEA</v>
      </c>
      <c r="E413" s="1" t="str">
        <f>IFERROR(__xludf.DUMMYFUNCTION("""COMPUTED_VALUE"""),"PLDT")</f>
        <v>PLDT</v>
      </c>
      <c r="F413" s="1">
        <f>IFERROR(__xludf.DUMMYFUNCTION("""COMPUTED_VALUE"""),2307030869)</f>
        <v>2307030869</v>
      </c>
      <c r="G413" s="1"/>
      <c r="H413" s="1" t="str">
        <f>IFERROR(__xludf.DUMMYFUNCTION("""COMPUTED_VALUE"""),"PRINCESS ANN ABELLERA ABELARDO")</f>
        <v>PRINCESS ANN ABELLERA ABELARDO</v>
      </c>
      <c r="I413" s="1">
        <f>IFERROR(__xludf.DUMMYFUNCTION("""COMPUTED_VALUE"""),9606821889)</f>
        <v>9606821889</v>
      </c>
      <c r="J413" s="1"/>
      <c r="K413" s="1" t="str">
        <f>IFERROR(__xludf.DUMMYFUNCTION("""COMPUTED_VALUE"""),"PRINCESS.ABELARDO22@YAHOO.COM")</f>
        <v>PRINCESS.ABELARDO22@YAHOO.COM</v>
      </c>
      <c r="L413" s="1" t="str">
        <f>IFERROR(__xludf.DUMMYFUNCTION("""COMPUTED_VALUE"""),"BLK 11 LOT 1")</f>
        <v>BLK 11 LOT 1</v>
      </c>
      <c r="M413" s="1" t="str">
        <f>IFERROR(__xludf.DUMMYFUNCTION("""COMPUTED_VALUE"""),"CABUCO")</f>
        <v>CABUCO</v>
      </c>
      <c r="N413" s="1"/>
      <c r="O413" s="1"/>
      <c r="P413" s="1"/>
      <c r="Q413" s="1" t="str">
        <f>IFERROR(__xludf.DUMMYFUNCTION("""COMPUTED_VALUE"""),"CABUCO")</f>
        <v>CABUCO</v>
      </c>
      <c r="R413" s="1" t="str">
        <f>IFERROR(__xludf.DUMMYFUNCTION("""COMPUTED_VALUE"""),"TRECE MARTIREZ CITY")</f>
        <v>TRECE MARTIREZ CITY</v>
      </c>
      <c r="S413" s="1" t="str">
        <f>IFERROR(__xludf.DUMMYFUNCTION("""COMPUTED_VALUE"""),"FIBR PLAN 1699")</f>
        <v>FIBR PLAN 1699</v>
      </c>
      <c r="T413" s="1" t="str">
        <f>IFERROR(__xludf.DUMMYFUNCTION("""COMPUTED_VALUE"""),"RETURN FOR COMPLIANCE - AGENT")</f>
        <v>RETURN FOR COMPLIANCE - AGENT</v>
      </c>
      <c r="U413" s="1" t="str">
        <f>IFERROR(__xludf.DUMMYFUNCTION("""COMPUTED_VALUE"""),"CNT LOCATE LONGLAT // CBR RINGING ONLY")</f>
        <v>CNT LOCATE LONGLAT // CBR RINGING ONLY</v>
      </c>
      <c r="V413" s="1"/>
      <c r="W413" s="1"/>
    </row>
    <row r="414" customHeight="1" spans="1:23">
      <c r="A414" s="3">
        <f>IFERROR(__xludf.DUMMYFUNCTION("""COMPUTED_VALUE"""),46067)</f>
        <v>46067</v>
      </c>
      <c r="B414" s="1" t="str">
        <f>IFERROR(__xludf.DUMMYFUNCTION("""COMPUTED_VALUE"""),"MALIWAT MARK ELVIN")</f>
        <v>MALIWAT MARK ELVIN</v>
      </c>
      <c r="C414" s="1" t="str">
        <f>IFERROR(__xludf.DUMMYFUNCTION("""COMPUTED_VALUE"""),"FLA")</f>
        <v>FLA</v>
      </c>
      <c r="D414" s="1" t="str">
        <f>IFERROR(__xludf.DUMMYFUNCTION("""COMPUTED_VALUE"""),"JERIC NAVARRO")</f>
        <v>JERIC NAVARRO</v>
      </c>
      <c r="E414" s="1" t="str">
        <f>IFERROR(__xludf.DUMMYFUNCTION("""COMPUTED_VALUE"""),"PLDT")</f>
        <v>PLDT</v>
      </c>
      <c r="F414" s="1">
        <f>IFERROR(__xludf.DUMMYFUNCTION("""COMPUTED_VALUE"""),2307014714)</f>
        <v>2307014714</v>
      </c>
      <c r="G414" s="1"/>
      <c r="H414" s="1" t="str">
        <f>IFERROR(__xludf.DUMMYFUNCTION("""COMPUTED_VALUE"""),"JOEL RODRIGUEZ SANTOSIDAD")</f>
        <v>JOEL RODRIGUEZ SANTOSIDAD</v>
      </c>
      <c r="I414" s="1">
        <f>IFERROR(__xludf.DUMMYFUNCTION("""COMPUTED_VALUE"""),9215857043)</f>
        <v>9215857043</v>
      </c>
      <c r="J414" s="1"/>
      <c r="K414" s="1" t="str">
        <f>IFERROR(__xludf.DUMMYFUNCTION("""COMPUTED_VALUE"""),"URBANSTORE.JOANAMAE@GMAIL.COM")</f>
        <v>URBANSTORE.JOANAMAE@GMAIL.COM</v>
      </c>
      <c r="L414" s="1" t="str">
        <f>IFERROR(__xludf.DUMMYFUNCTION("""COMPUTED_VALUE"""),"215")</f>
        <v>215</v>
      </c>
      <c r="M414" s="1" t="str">
        <f>IFERROR(__xludf.DUMMYFUNCTION("""COMPUTED_VALUE"""),"BLISS")</f>
        <v>BLISS</v>
      </c>
      <c r="N414" s="1" t="str">
        <f>IFERROR(__xludf.DUMMYFUNCTION("""COMPUTED_VALUE"""),"CLISS COMPOUND ")</f>
        <v>CLISS COMPOUND </v>
      </c>
      <c r="O414" s="1" t="str">
        <f>IFERROR(__xludf.DUMMYFUNCTION("""COMPUTED_VALUE"""),"SILLP14NP3/2 SILLP13NP3")</f>
        <v>SILLP14NP3/2 SILLP13NP3</v>
      </c>
      <c r="P414" s="1" t="str">
        <f>IFERROR(__xludf.DUMMYFUNCTION("""COMPUTED_VALUE"""),"14.261585 120.971961")</f>
        <v>14.261585 120.971961</v>
      </c>
      <c r="Q414" s="1" t="str">
        <f>IFERROR(__xludf.DUMMYFUNCTION("""COMPUTED_VALUE"""),"BIGA II")</f>
        <v>BIGA II</v>
      </c>
      <c r="R414" s="1" t="str">
        <f>IFERROR(__xludf.DUMMYFUNCTION("""COMPUTED_VALUE"""),"SILANG")</f>
        <v>SILANG</v>
      </c>
      <c r="S414" s="1" t="str">
        <f>IFERROR(__xludf.DUMMYFUNCTION("""COMPUTED_VALUE"""),"FIBR PLAN 1399")</f>
        <v>FIBR PLAN 1399</v>
      </c>
      <c r="T414" s="1" t="str">
        <f>IFERROR(__xludf.DUMMYFUNCTION("""COMPUTED_VALUE"""),"APPROVED")</f>
        <v>APPROVED</v>
      </c>
      <c r="U414" s="1"/>
      <c r="V414" s="1"/>
      <c r="W414" s="1"/>
    </row>
    <row r="415" customHeight="1" spans="1:23">
      <c r="A415" s="3">
        <f>IFERROR(__xludf.DUMMYFUNCTION("""COMPUTED_VALUE"""),46067)</f>
        <v>46067</v>
      </c>
      <c r="B415" s="1" t="str">
        <f>IFERROR(__xludf.DUMMYFUNCTION("""COMPUTED_VALUE"""),"CARPIO, STEPHANIE NICOLE")</f>
        <v>CARPIO, STEPHANIE NICOLE</v>
      </c>
      <c r="C415" s="1" t="str">
        <f>IFERROR(__xludf.DUMMYFUNCTION("""COMPUTED_VALUE"""),"FLA")</f>
        <v>FLA</v>
      </c>
      <c r="D415" s="1" t="str">
        <f>IFERROR(__xludf.DUMMYFUNCTION("""COMPUTED_VALUE"""),"JERIC NAVARRO")</f>
        <v>JERIC NAVARRO</v>
      </c>
      <c r="E415" s="1" t="str">
        <f>IFERROR(__xludf.DUMMYFUNCTION("""COMPUTED_VALUE"""),"PLDT")</f>
        <v>PLDT</v>
      </c>
      <c r="F415" s="1">
        <f>IFERROR(__xludf.DUMMYFUNCTION("""COMPUTED_VALUE"""),2307015439)</f>
        <v>2307015439</v>
      </c>
      <c r="G415" s="1"/>
      <c r="H415" s="1" t="str">
        <f>IFERROR(__xludf.DUMMYFUNCTION("""COMPUTED_VALUE"""),"JOEL CUSTODIO BARRERA")</f>
        <v>JOEL CUSTODIO BARRERA</v>
      </c>
      <c r="I415" s="1">
        <f>IFERROR(__xludf.DUMMYFUNCTION("""COMPUTED_VALUE"""),9062398767)</f>
        <v>9062398767</v>
      </c>
      <c r="J415" s="1">
        <f>IFERROR(__xludf.DUMMYFUNCTION("""COMPUTED_VALUE"""),961328487)</f>
        <v>961328487</v>
      </c>
      <c r="K415" s="1" t="str">
        <f>IFERROR(__xludf.DUMMYFUNCTION("""COMPUTED_VALUE"""),"JCBARRERA@ICLOUD.COM")</f>
        <v>JCBARRERA@ICLOUD.COM</v>
      </c>
      <c r="L415" s="1" t="str">
        <f>IFERROR(__xludf.DUMMYFUNCTION("""COMPUTED_VALUE"""),"70")</f>
        <v>70</v>
      </c>
      <c r="M415" s="1" t="str">
        <f>IFERROR(__xludf.DUMMYFUNCTION("""COMPUTED_VALUE"""),"PANTIHAN 4")</f>
        <v>PANTIHAN 4</v>
      </c>
      <c r="N415" s="1"/>
      <c r="O415" s="1" t="str">
        <f>IFERROR(__xludf.DUMMYFUNCTION("""COMPUTED_VALUE"""),"MGNLP048NP3, MGNLP048NP5, MGNLP048NP6, MGNLP048NP7, MGNLP048NP8")</f>
        <v>MGNLP048NP3, MGNLP048NP5, MGNLP048NP6, MGNLP048NP7, MGNLP048NP8</v>
      </c>
      <c r="P415" s="1"/>
      <c r="Q415" s="1" t="str">
        <f>IFERROR(__xludf.DUMMYFUNCTION("""COMPUTED_VALUE"""),"PANTIHAN IV (POOK NI SARA)")</f>
        <v>PANTIHAN IV (POOK NI SARA)</v>
      </c>
      <c r="R415" s="1" t="str">
        <f>IFERROR(__xludf.DUMMYFUNCTION("""COMPUTED_VALUE"""),"MARAGONDON")</f>
        <v>MARAGONDON</v>
      </c>
      <c r="S415" s="1" t="str">
        <f>IFERROR(__xludf.DUMMYFUNCTION("""COMPUTED_VALUE"""),"FIBR PLAN 2699")</f>
        <v>FIBR PLAN 2699</v>
      </c>
      <c r="T415" s="1" t="str">
        <f>IFERROR(__xludf.DUMMYFUNCTION("""COMPUTED_VALUE"""),"APPROVED")</f>
        <v>APPROVED</v>
      </c>
      <c r="U415" s="1"/>
      <c r="V415" s="1"/>
      <c r="W415" s="1"/>
    </row>
    <row r="416" customHeight="1" spans="1:23">
      <c r="A416" s="3">
        <f>IFERROR(__xludf.DUMMYFUNCTION("""COMPUTED_VALUE"""),46067)</f>
        <v>46067</v>
      </c>
      <c r="B416" s="1" t="str">
        <f>IFERROR(__xludf.DUMMYFUNCTION("""COMPUTED_VALUE"""),"MAGDARAOG, KENNETH")</f>
        <v>MAGDARAOG, KENNETH</v>
      </c>
      <c r="C416" s="1" t="str">
        <f>IFERROR(__xludf.DUMMYFUNCTION("""COMPUTED_VALUE"""),"ORGANIC")</f>
        <v>ORGANIC</v>
      </c>
      <c r="D416" s="1" t="str">
        <f>IFERROR(__xludf.DUMMYFUNCTION("""COMPUTED_VALUE"""),"REMOLLO LEA")</f>
        <v>REMOLLO LEA</v>
      </c>
      <c r="E416" s="1" t="str">
        <f>IFERROR(__xludf.DUMMYFUNCTION("""COMPUTED_VALUE"""),"PLDT")</f>
        <v>PLDT</v>
      </c>
      <c r="F416" s="1">
        <f>IFERROR(__xludf.DUMMYFUNCTION("""COMPUTED_VALUE"""),2307018408)</f>
        <v>2307018408</v>
      </c>
      <c r="G416" s="1"/>
      <c r="H416" s="1" t="str">
        <f>IFERROR(__xludf.DUMMYFUNCTION("""COMPUTED_VALUE"""),"ANGEL GABIN CORONEL")</f>
        <v>ANGEL GABIN CORONEL</v>
      </c>
      <c r="I416" s="1">
        <f>IFERROR(__xludf.DUMMYFUNCTION("""COMPUTED_VALUE"""),9641499745)</f>
        <v>9641499745</v>
      </c>
      <c r="J416" s="1">
        <f>IFERROR(__xludf.DUMMYFUNCTION("""COMPUTED_VALUE"""),9480109617)</f>
        <v>9480109617</v>
      </c>
      <c r="K416" s="1" t="str">
        <f>IFERROR(__xludf.DUMMYFUNCTION("""COMPUTED_VALUE"""),"JULLIANACONDERO@GMAIL.COM")</f>
        <v>JULLIANACONDERO@GMAIL.COM</v>
      </c>
      <c r="L416" s="1" t="str">
        <f>IFERROR(__xludf.DUMMYFUNCTION("""COMPUTED_VALUE"""),"311")</f>
        <v>311</v>
      </c>
      <c r="M416" s="1" t="str">
        <f>IFERROR(__xludf.DUMMYFUNCTION("""COMPUTED_VALUE"""),"NEON")</f>
        <v>NEON</v>
      </c>
      <c r="N416" s="1"/>
      <c r="O416" s="1" t="str">
        <f>IFERROR(__xludf.DUMMYFUNCTION("""COMPUTED_VALUE"""),"GMZLP75NP1 GMZLP73NP8/3")</f>
        <v>GMZLP75NP1 GMZLP73NP8/3</v>
      </c>
      <c r="P416" s="1"/>
      <c r="Q416" s="1" t="str">
        <f>IFERROR(__xludf.DUMMYFUNCTION("""COMPUTED_VALUE"""),"EPIFANIO MALIA")</f>
        <v>EPIFANIO MALIA</v>
      </c>
      <c r="R416" s="1" t="str">
        <f>IFERROR(__xludf.DUMMYFUNCTION("""COMPUTED_VALUE"""),"GEN MARIANO ALVAREZ")</f>
        <v>GEN MARIANO ALVAREZ</v>
      </c>
      <c r="S416" s="1" t="str">
        <f>IFERROR(__xludf.DUMMYFUNCTION("""COMPUTED_VALUE"""),"FIBR PLAN 1399")</f>
        <v>FIBR PLAN 1399</v>
      </c>
      <c r="T416" s="1" t="str">
        <f>IFERROR(__xludf.DUMMYFUNCTION("""COMPUTED_VALUE"""),"APPROVED")</f>
        <v>APPROVED</v>
      </c>
      <c r="U416" s="1"/>
      <c r="V416" s="1"/>
      <c r="W416" s="1"/>
    </row>
    <row r="417" customHeight="1" spans="1:23">
      <c r="A417" s="3">
        <f>IFERROR(__xludf.DUMMYFUNCTION("""COMPUTED_VALUE"""),46067)</f>
        <v>46067</v>
      </c>
      <c r="B417" s="1" t="str">
        <f>IFERROR(__xludf.DUMMYFUNCTION("""COMPUTED_VALUE"""),"VILLANAS , EVANGELINE")</f>
        <v>VILLANAS , EVANGELINE</v>
      </c>
      <c r="C417" s="1" t="str">
        <f>IFERROR(__xludf.DUMMYFUNCTION("""COMPUTED_VALUE"""),"ORGANIC")</f>
        <v>ORGANIC</v>
      </c>
      <c r="D417" s="1" t="str">
        <f>IFERROR(__xludf.DUMMYFUNCTION("""COMPUTED_VALUE"""),"REMOLLO LEA")</f>
        <v>REMOLLO LEA</v>
      </c>
      <c r="E417" s="1" t="str">
        <f>IFERROR(__xludf.DUMMYFUNCTION("""COMPUTED_VALUE"""),"PLDT")</f>
        <v>PLDT</v>
      </c>
      <c r="F417" s="1">
        <f>IFERROR(__xludf.DUMMYFUNCTION("""COMPUTED_VALUE"""),2307018953)</f>
        <v>2307018953</v>
      </c>
      <c r="G417" s="1"/>
      <c r="H417" s="1" t="str">
        <f>IFERROR(__xludf.DUMMYFUNCTION("""COMPUTED_VALUE"""),"MARY JANE PRONCE ESPERAZ")</f>
        <v>MARY JANE PRONCE ESPERAZ</v>
      </c>
      <c r="I417" s="1">
        <f>IFERROR(__xludf.DUMMYFUNCTION("""COMPUTED_VALUE"""),9483229266)</f>
        <v>9483229266</v>
      </c>
      <c r="J417" s="1"/>
      <c r="K417" s="1" t="str">
        <f>IFERROR(__xludf.DUMMYFUNCTION("""COMPUTED_VALUE"""),"MARYJANEESPERAZ@GMAIL.COM")</f>
        <v>MARYJANEESPERAZ@GMAIL.COM</v>
      </c>
      <c r="L417" s="1" t="str">
        <f>IFERROR(__xludf.DUMMYFUNCTION("""COMPUTED_VALUE"""),"224")</f>
        <v>224</v>
      </c>
      <c r="M417" s="1" t="str">
        <f>IFERROR(__xludf.DUMMYFUNCTION("""COMPUTED_VALUE"""),"ELISES")</f>
        <v>ELISES</v>
      </c>
      <c r="N417" s="1"/>
      <c r="O417" s="1" t="str">
        <f>IFERROR(__xludf.DUMMYFUNCTION("""COMPUTED_VALUE"""),"GMZLP123NP1")</f>
        <v>GMZLP123NP1</v>
      </c>
      <c r="P417" s="1"/>
      <c r="Q417" s="1" t="str">
        <f>IFERROR(__xludf.DUMMYFUNCTION("""COMPUTED_VALUE"""),"KORONEL JOSE P. ELISES (AREA E)")</f>
        <v>KORONEL JOSE P. ELISES (AREA E)</v>
      </c>
      <c r="R417" s="1" t="str">
        <f>IFERROR(__xludf.DUMMYFUNCTION("""COMPUTED_VALUE"""),"GEN MARIANO ALVAREZ")</f>
        <v>GEN MARIANO ALVAREZ</v>
      </c>
      <c r="S417" s="1" t="str">
        <f>IFERROR(__xludf.DUMMYFUNCTION("""COMPUTED_VALUE"""),"FIBR PLAN 1399")</f>
        <v>FIBR PLAN 1399</v>
      </c>
      <c r="T417" s="1" t="str">
        <f>IFERROR(__xludf.DUMMYFUNCTION("""COMPUTED_VALUE"""),"APPROVED")</f>
        <v>APPROVED</v>
      </c>
      <c r="U417" s="1"/>
      <c r="V417" s="1"/>
      <c r="W417" s="1"/>
    </row>
    <row r="418" customHeight="1" spans="1:23">
      <c r="A418" s="3">
        <f>IFERROR(__xludf.DUMMYFUNCTION("""COMPUTED_VALUE"""),46068)</f>
        <v>46068</v>
      </c>
      <c r="B418" s="1" t="str">
        <f>IFERROR(__xludf.DUMMYFUNCTION("""COMPUTED_VALUE"""),"FRANCISCO , ROSELYN")</f>
        <v>FRANCISCO , ROSELYN</v>
      </c>
      <c r="C418" s="1" t="str">
        <f>IFERROR(__xludf.DUMMYFUNCTION("""COMPUTED_VALUE"""),"FLA")</f>
        <v>FLA</v>
      </c>
      <c r="D418" s="1" t="str">
        <f>IFERROR(__xludf.DUMMYFUNCTION("""COMPUTED_VALUE"""),"JERIC NAVARRO")</f>
        <v>JERIC NAVARRO</v>
      </c>
      <c r="E418" s="1" t="str">
        <f>IFERROR(__xludf.DUMMYFUNCTION("""COMPUTED_VALUE"""),"PLDT")</f>
        <v>PLDT</v>
      </c>
      <c r="F418" s="1">
        <f>IFERROR(__xludf.DUMMYFUNCTION("""COMPUTED_VALUE"""),2307030153)</f>
        <v>2307030153</v>
      </c>
      <c r="G418" s="1"/>
      <c r="H418" s="1" t="str">
        <f>IFERROR(__xludf.DUMMYFUNCTION("""COMPUTED_VALUE"""),"MIKAELLA DONALDO GASCON")</f>
        <v>MIKAELLA DONALDO GASCON</v>
      </c>
      <c r="I418" s="1">
        <f>IFERROR(__xludf.DUMMYFUNCTION("""COMPUTED_VALUE"""),9513274101)</f>
        <v>9513274101</v>
      </c>
      <c r="J418" s="1">
        <f>IFERROR(__xludf.DUMMYFUNCTION("""COMPUTED_VALUE"""),9489256812)</f>
        <v>9489256812</v>
      </c>
      <c r="K418" s="1" t="str">
        <f>IFERROR(__xludf.DUMMYFUNCTION("""COMPUTED_VALUE"""),"MIKAELLAGASCON1302006@GMAIL.COM")</f>
        <v>MIKAELLAGASCON1302006@GMAIL.COM</v>
      </c>
      <c r="L418" s="1" t="str">
        <f>IFERROR(__xludf.DUMMYFUNCTION("""COMPUTED_VALUE"""),"BLK 4 LOT 2")</f>
        <v>BLK 4 LOT 2</v>
      </c>
      <c r="M418" s="1" t="str">
        <f>IFERROR(__xludf.DUMMYFUNCTION("""COMPUTED_VALUE"""),"PHASE 2B")</f>
        <v>PHASE 2B</v>
      </c>
      <c r="N418" s="1" t="str">
        <f>IFERROR(__xludf.DUMMYFUNCTION("""COMPUTED_VALUE"""),"BELGIUM ST")</f>
        <v>BELGIUM ST</v>
      </c>
      <c r="O418" s="1" t="str">
        <f>IFERROR(__xludf.DUMMYFUNCTION("""COMPUTED_VALUE"""),"GMZLP63NP3/4/5/6")</f>
        <v>GMZLP63NP3/4/5/6</v>
      </c>
      <c r="P418" s="1" t="str">
        <f>IFERROR(__xludf.DUMMYFUNCTION("""COMPUTED_VALUE"""),"14.321407002382518, 121.02222668798242")</f>
        <v>14.321407002382518, 121.02222668798242</v>
      </c>
      <c r="Q418" s="1" t="str">
        <f>IFERROR(__xludf.DUMMYFUNCTION("""COMPUTED_VALUE"""),"FRANCISCO DE CASTRO (SUNSHINE VILL.)")</f>
        <v>FRANCISCO DE CASTRO (SUNSHINE VILL.)</v>
      </c>
      <c r="R418" s="1" t="str">
        <f>IFERROR(__xludf.DUMMYFUNCTION("""COMPUTED_VALUE"""),"GEN MARIANO ALVAREZ")</f>
        <v>GEN MARIANO ALVAREZ</v>
      </c>
      <c r="S418" s="1" t="str">
        <f>IFERROR(__xludf.DUMMYFUNCTION("""COMPUTED_VALUE"""),"FIBR PLAN 1399")</f>
        <v>FIBR PLAN 1399</v>
      </c>
      <c r="T418" s="1" t="str">
        <f>IFERROR(__xludf.DUMMYFUNCTION("""COMPUTED_VALUE"""),"APPROVED")</f>
        <v>APPROVED</v>
      </c>
      <c r="U418" s="1"/>
      <c r="V418" s="1"/>
      <c r="W418" s="1"/>
    </row>
    <row r="419" customHeight="1" spans="1:23">
      <c r="A419" s="3">
        <f>IFERROR(__xludf.DUMMYFUNCTION("""COMPUTED_VALUE"""),46068)</f>
        <v>46068</v>
      </c>
      <c r="B419" s="1" t="str">
        <f>IFERROR(__xludf.DUMMYFUNCTION("""COMPUTED_VALUE"""),"CESTINA, CHERRELYN")</f>
        <v>CESTINA, CHERRELYN</v>
      </c>
      <c r="C419" s="1" t="str">
        <f>IFERROR(__xludf.DUMMYFUNCTION("""COMPUTED_VALUE"""),"FLA")</f>
        <v>FLA</v>
      </c>
      <c r="D419" s="1" t="str">
        <f>IFERROR(__xludf.DUMMYFUNCTION("""COMPUTED_VALUE"""),"JERIC NAVARRO")</f>
        <v>JERIC NAVARRO</v>
      </c>
      <c r="E419" s="1" t="str">
        <f>IFERROR(__xludf.DUMMYFUNCTION("""COMPUTED_VALUE"""),"PLDT")</f>
        <v>PLDT</v>
      </c>
      <c r="F419" s="1">
        <f>IFERROR(__xludf.DUMMYFUNCTION("""COMPUTED_VALUE"""),2307031074)</f>
        <v>2307031074</v>
      </c>
      <c r="G419" s="1"/>
      <c r="H419" s="1" t="str">
        <f>IFERROR(__xludf.DUMMYFUNCTION("""COMPUTED_VALUE"""),"NILO CATAPUSAN OBINA")</f>
        <v>NILO CATAPUSAN OBINA</v>
      </c>
      <c r="I419" s="1">
        <f>IFERROR(__xludf.DUMMYFUNCTION("""COMPUTED_VALUE"""),9397131659)</f>
        <v>9397131659</v>
      </c>
      <c r="J419" s="1">
        <f>IFERROR(__xludf.DUMMYFUNCTION("""COMPUTED_VALUE"""),9615598175)</f>
        <v>9615598175</v>
      </c>
      <c r="K419" s="1" t="str">
        <f>IFERROR(__xludf.DUMMYFUNCTION("""COMPUTED_VALUE"""),"URBANLINKTRUCKINGSERVICES@GMAIL.COM")</f>
        <v>URBANLINKTRUCKINGSERVICES@GMAIL.COM</v>
      </c>
      <c r="L419" s="1" t="str">
        <f>IFERROR(__xludf.DUMMYFUNCTION("""COMPUTED_VALUE"""),"BLK 3 LOT 10")</f>
        <v>BLK 3 LOT 10</v>
      </c>
      <c r="M419" s="1" t="str">
        <f>IFERROR(__xludf.DUMMYFUNCTION("""COMPUTED_VALUE"""),"MS12")</f>
        <v>MS12</v>
      </c>
      <c r="N419" s="1" t="str">
        <f>IFERROR(__xludf.DUMMYFUNCTION("""COMPUTED_VALUE"""),"LANCASTER")</f>
        <v>LANCASTER</v>
      </c>
      <c r="O419" s="1" t="str">
        <f>IFERROR(__xludf.DUMMYFUNCTION("""COMPUTED_VALUE"""),"GTSLP341NP3/5/6 GTSLP338NP2")</f>
        <v>GTSLP341NP3/5/6 GTSLP338NP2</v>
      </c>
      <c r="P419" s="1" t="str">
        <f>IFERROR(__xludf.DUMMYFUNCTION("""COMPUTED_VALUE"""),"14.3702770 120.9002510")</f>
        <v>14.3702770 120.9002510</v>
      </c>
      <c r="Q419" s="1" t="str">
        <f>IFERROR(__xludf.DUMMYFUNCTION("""COMPUTED_VALUE"""),"PASONG CAMACHILE I")</f>
        <v>PASONG CAMACHILE I</v>
      </c>
      <c r="R419" s="1" t="str">
        <f>IFERROR(__xludf.DUMMYFUNCTION("""COMPUTED_VALUE"""),"GENERAL TRIAS")</f>
        <v>GENERAL TRIAS</v>
      </c>
      <c r="S419" s="1" t="str">
        <f>IFERROR(__xludf.DUMMYFUNCTION("""COMPUTED_VALUE"""),"FIBR PLAN 1799")</f>
        <v>FIBR PLAN 1799</v>
      </c>
      <c r="T419" s="1" t="str">
        <f>IFERROR(__xludf.DUMMYFUNCTION("""COMPUTED_VALUE"""),"APPROVED")</f>
        <v>APPROVED</v>
      </c>
      <c r="U419" s="1"/>
      <c r="V419" s="1"/>
      <c r="W419" s="1"/>
    </row>
    <row r="420" customHeight="1" spans="1:23">
      <c r="A420" s="3">
        <f>IFERROR(__xludf.DUMMYFUNCTION("""COMPUTED_VALUE"""),46068)</f>
        <v>46068</v>
      </c>
      <c r="B420" s="1" t="str">
        <f>IFERROR(__xludf.DUMMYFUNCTION("""COMPUTED_VALUE"""),"CESTINA, CHERRELYN")</f>
        <v>CESTINA, CHERRELYN</v>
      </c>
      <c r="C420" s="1" t="str">
        <f>IFERROR(__xludf.DUMMYFUNCTION("""COMPUTED_VALUE"""),"FLA")</f>
        <v>FLA</v>
      </c>
      <c r="D420" s="1" t="str">
        <f>IFERROR(__xludf.DUMMYFUNCTION("""COMPUTED_VALUE"""),"JERIC NAVARRO")</f>
        <v>JERIC NAVARRO</v>
      </c>
      <c r="E420" s="1" t="str">
        <f>IFERROR(__xludf.DUMMYFUNCTION("""COMPUTED_VALUE"""),"PLDT")</f>
        <v>PLDT</v>
      </c>
      <c r="F420" s="1">
        <f>IFERROR(__xludf.DUMMYFUNCTION("""COMPUTED_VALUE"""),2307029713)</f>
        <v>2307029713</v>
      </c>
      <c r="G420" s="1"/>
      <c r="H420" s="1" t="str">
        <f>IFERROR(__xludf.DUMMYFUNCTION("""COMPUTED_VALUE"""),"NORIEL MANDOCDOC BRANA")</f>
        <v>NORIEL MANDOCDOC BRANA</v>
      </c>
      <c r="I420" s="1">
        <f>IFERROR(__xludf.DUMMYFUNCTION("""COMPUTED_VALUE"""),9662772910)</f>
        <v>9662772910</v>
      </c>
      <c r="J420" s="1">
        <f>IFERROR(__xludf.DUMMYFUNCTION("""COMPUTED_VALUE"""),9511203293)</f>
        <v>9511203293</v>
      </c>
      <c r="K420" s="1" t="str">
        <f>IFERROR(__xludf.DUMMYFUNCTION("""COMPUTED_VALUE"""),"ROJOJONJON655@GMAIL.COM")</f>
        <v>ROJOJONJON655@GMAIL.COM</v>
      </c>
      <c r="L420" s="1" t="str">
        <f>IFERROR(__xludf.DUMMYFUNCTION("""COMPUTED_VALUE"""),"BLK 17 LOT 23")</f>
        <v>BLK 17 LOT 23</v>
      </c>
      <c r="M420" s="1" t="str">
        <f>IFERROR(__xludf.DUMMYFUNCTION("""COMPUTED_VALUE"""),"PHASE 2")</f>
        <v>PHASE 2</v>
      </c>
      <c r="N420" s="1" t="str">
        <f>IFERROR(__xludf.DUMMYFUNCTION("""COMPUTED_VALUE"""),"GREEN ESTATE")</f>
        <v>GREEN ESTATE</v>
      </c>
      <c r="O420" s="1" t="str">
        <f>IFERROR(__xludf.DUMMYFUNCTION("""COMPUTED_VALUE"""),"IMULP983NP3/4/5/6")</f>
        <v>IMULP983NP3/4/5/6</v>
      </c>
      <c r="P420" s="1" t="str">
        <f>IFERROR(__xludf.DUMMYFUNCTION("""COMPUTED_VALUE"""),"14.378831 120.927205")</f>
        <v>14.378831 120.927205</v>
      </c>
      <c r="Q420" s="1" t="str">
        <f>IFERROR(__xludf.DUMMYFUNCTION("""COMPUTED_VALUE"""),"MALAGASANG I-F")</f>
        <v>MALAGASANG I-F</v>
      </c>
      <c r="R420" s="1" t="str">
        <f>IFERROR(__xludf.DUMMYFUNCTION("""COMPUTED_VALUE"""),"IMUS")</f>
        <v>IMUS</v>
      </c>
      <c r="S420" s="1" t="str">
        <f>IFERROR(__xludf.DUMMYFUNCTION("""COMPUTED_VALUE"""),"FIBR PLAN 1399")</f>
        <v>FIBR PLAN 1399</v>
      </c>
      <c r="T420" s="1" t="str">
        <f>IFERROR(__xludf.DUMMYFUNCTION("""COMPUTED_VALUE"""),"APPROVED")</f>
        <v>APPROVED</v>
      </c>
      <c r="U420" s="1"/>
      <c r="V420" s="1"/>
      <c r="W420" s="1"/>
    </row>
    <row r="421" customHeight="1" spans="1:23">
      <c r="A421" s="3">
        <f>IFERROR(__xludf.DUMMYFUNCTION("""COMPUTED_VALUE"""),46068)</f>
        <v>46068</v>
      </c>
      <c r="B421" s="1" t="str">
        <f>IFERROR(__xludf.DUMMYFUNCTION("""COMPUTED_VALUE"""),"LUBGUBAN,MERLYN")</f>
        <v>LUBGUBAN,MERLYN</v>
      </c>
      <c r="C421" s="1" t="str">
        <f>IFERROR(__xludf.DUMMYFUNCTION("""COMPUTED_VALUE"""),"FLA")</f>
        <v>FLA</v>
      </c>
      <c r="D421" s="1" t="str">
        <f>IFERROR(__xludf.DUMMYFUNCTION("""COMPUTED_VALUE"""),"JERIC NAVARRO")</f>
        <v>JERIC NAVARRO</v>
      </c>
      <c r="E421" s="1" t="str">
        <f>IFERROR(__xludf.DUMMYFUNCTION("""COMPUTED_VALUE"""),"HOME BIZZ")</f>
        <v>HOME BIZZ</v>
      </c>
      <c r="F421" s="1">
        <f>IFERROR(__xludf.DUMMYFUNCTION("""COMPUTED_VALUE"""),2307032170)</f>
        <v>2307032170</v>
      </c>
      <c r="G421" s="1"/>
      <c r="H421" s="1" t="str">
        <f>IFERROR(__xludf.DUMMYFUNCTION("""COMPUTED_VALUE"""),"ALIJAH COMPUTER SHOP")</f>
        <v>ALIJAH COMPUTER SHOP</v>
      </c>
      <c r="I421" s="1">
        <f>IFERROR(__xludf.DUMMYFUNCTION("""COMPUTED_VALUE"""),9085130565)</f>
        <v>9085130565</v>
      </c>
      <c r="J421" s="1">
        <f>IFERROR(__xludf.DUMMYFUNCTION("""COMPUTED_VALUE"""),9464638432)</f>
        <v>9464638432</v>
      </c>
      <c r="K421" s="1" t="str">
        <f>IFERROR(__xludf.DUMMYFUNCTION("""COMPUTED_VALUE"""),"BERNALIAN527@GMAIL.COM")</f>
        <v>BERNALIAN527@GMAIL.COM</v>
      </c>
      <c r="L421" s="1" t="str">
        <f>IFERROR(__xludf.DUMMYFUNCTION("""COMPUTED_VALUE"""),"BLK 3 LOT 13")</f>
        <v>BLK 3 LOT 13</v>
      </c>
      <c r="M421" s="1" t="str">
        <f>IFERROR(__xludf.DUMMYFUNCTION("""COMPUTED_VALUE"""),"SECTION 7")</f>
        <v>SECTION 7</v>
      </c>
      <c r="N421" s="1" t="str">
        <f>IFERROR(__xludf.DUMMYFUNCTION("""COMPUTED_VALUE"""),"SUNNY BROOKE 1")</f>
        <v>SUNNY BROOKE 1</v>
      </c>
      <c r="O421" s="1" t="str">
        <f>IFERROR(__xludf.DUMMYFUNCTION("""COMPUTED_VALUE"""),"GTSLP048NP3/4/5")</f>
        <v>GTSLP048NP3/4/5</v>
      </c>
      <c r="P421" s="1" t="str">
        <f>IFERROR(__xludf.DUMMYFUNCTION("""COMPUTED_VALUE"""),"14.314686 120.912030")</f>
        <v>14.314686 120.912030</v>
      </c>
      <c r="Q421" s="1" t="str">
        <f>IFERROR(__xludf.DUMMYFUNCTION("""COMPUTED_VALUE"""),"SAN FRANCISCO")</f>
        <v>SAN FRANCISCO</v>
      </c>
      <c r="R421" s="1" t="str">
        <f>IFERROR(__xludf.DUMMYFUNCTION("""COMPUTED_VALUE"""),"GENERAL TRIAS")</f>
        <v>GENERAL TRIAS</v>
      </c>
      <c r="S421" s="1" t="str">
        <f>IFERROR(__xludf.DUMMYFUNCTION("""COMPUTED_VALUE"""),"HOMEBIZZ 2699")</f>
        <v>HOMEBIZZ 2699</v>
      </c>
      <c r="T421" s="1" t="str">
        <f>IFERROR(__xludf.DUMMYFUNCTION("""COMPUTED_VALUE"""),"APPROVED")</f>
        <v>APPROVED</v>
      </c>
      <c r="U421" s="1"/>
      <c r="V421" s="1"/>
      <c r="W421" s="1"/>
    </row>
    <row r="422" customHeight="1" spans="1:23">
      <c r="A422" s="3">
        <f>IFERROR(__xludf.DUMMYFUNCTION("""COMPUTED_VALUE"""),46068)</f>
        <v>46068</v>
      </c>
      <c r="B422" s="1" t="str">
        <f>IFERROR(__xludf.DUMMYFUNCTION("""COMPUTED_VALUE"""),"DE VERA, MARIVIC")</f>
        <v>DE VERA, MARIVIC</v>
      </c>
      <c r="C422" s="1" t="str">
        <f>IFERROR(__xludf.DUMMYFUNCTION("""COMPUTED_VALUE"""),"ORGANIC")</f>
        <v>ORGANIC</v>
      </c>
      <c r="D422" s="1" t="str">
        <f>IFERROR(__xludf.DUMMYFUNCTION("""COMPUTED_VALUE"""),"REMOLLO LEA")</f>
        <v>REMOLLO LEA</v>
      </c>
      <c r="E422" s="1" t="str">
        <f>IFERROR(__xludf.DUMMYFUNCTION("""COMPUTED_VALUE"""),"PLDT")</f>
        <v>PLDT</v>
      </c>
      <c r="F422" s="1">
        <f>IFERROR(__xludf.DUMMYFUNCTION("""COMPUTED_VALUE"""),2307031414)</f>
        <v>2307031414</v>
      </c>
      <c r="G422" s="1"/>
      <c r="H422" s="1" t="str">
        <f>IFERROR(__xludf.DUMMYFUNCTION("""COMPUTED_VALUE"""),"VERONICA BATINO DIMANDAL")</f>
        <v>VERONICA BATINO DIMANDAL</v>
      </c>
      <c r="I422" s="1">
        <f>IFERROR(__xludf.DUMMYFUNCTION("""COMPUTED_VALUE"""),9280031816)</f>
        <v>9280031816</v>
      </c>
      <c r="J422" s="1">
        <f>IFERROR(__xludf.DUMMYFUNCTION("""COMPUTED_VALUE"""),9985507880)</f>
        <v>9985507880</v>
      </c>
      <c r="K422" s="1" t="str">
        <f>IFERROR(__xludf.DUMMYFUNCTION("""COMPUTED_VALUE"""),"CPRINT711@GMAIL.COM")</f>
        <v>CPRINT711@GMAIL.COM</v>
      </c>
      <c r="L422" s="1" t="str">
        <f>IFERROR(__xludf.DUMMYFUNCTION("""COMPUTED_VALUE"""),"207")</f>
        <v>207</v>
      </c>
      <c r="M422" s="1" t="str">
        <f>IFERROR(__xludf.DUMMYFUNCTION("""COMPUTED_VALUE"""),"MUNTING ILOG RD")</f>
        <v>MUNTING ILOG RD</v>
      </c>
      <c r="N422" s="1"/>
      <c r="O422" s="1" t="str">
        <f>IFERROR(__xludf.DUMMYFUNCTION("""COMPUTED_VALUE"""),"SILLP640NP1/2/3")</f>
        <v>SILLP640NP1/2/3</v>
      </c>
      <c r="P422" s="1" t="str">
        <f>IFERROR(__xludf.DUMMYFUNCTION("""COMPUTED_VALUE"""),"14.219635 120.996170")</f>
        <v>14.219635 120.996170</v>
      </c>
      <c r="Q422" s="1" t="str">
        <f>IFERROR(__xludf.DUMMYFUNCTION("""COMPUTED_VALUE"""),"MUNTING ILOG")</f>
        <v>MUNTING ILOG</v>
      </c>
      <c r="R422" s="1" t="str">
        <f>IFERROR(__xludf.DUMMYFUNCTION("""COMPUTED_VALUE"""),"SILANG")</f>
        <v>SILANG</v>
      </c>
      <c r="S422" s="1" t="str">
        <f>IFERROR(__xludf.DUMMYFUNCTION("""COMPUTED_VALUE"""),"FIBR PLAN 1399")</f>
        <v>FIBR PLAN 1399</v>
      </c>
      <c r="T422" s="1" t="str">
        <f>IFERROR(__xludf.DUMMYFUNCTION("""COMPUTED_VALUE"""),"APPROVED")</f>
        <v>APPROVED</v>
      </c>
      <c r="U422" s="1"/>
      <c r="V422" s="1"/>
      <c r="W422" s="1"/>
    </row>
    <row r="423" customHeight="1" spans="1:23">
      <c r="A423" s="3">
        <f>IFERROR(__xludf.DUMMYFUNCTION("""COMPUTED_VALUE"""),46068)</f>
        <v>46068</v>
      </c>
      <c r="B423" s="1" t="str">
        <f>IFERROR(__xludf.DUMMYFUNCTION("""COMPUTED_VALUE"""),"MIRASOL, RAYRALYN")</f>
        <v>MIRASOL, RAYRALYN</v>
      </c>
      <c r="C423" s="1" t="str">
        <f>IFERROR(__xludf.DUMMYFUNCTION("""COMPUTED_VALUE"""),"ORGANIC")</f>
        <v>ORGANIC</v>
      </c>
      <c r="D423" s="1" t="str">
        <f>IFERROR(__xludf.DUMMYFUNCTION("""COMPUTED_VALUE"""),"REMOLLO LEA")</f>
        <v>REMOLLO LEA</v>
      </c>
      <c r="E423" s="1" t="str">
        <f>IFERROR(__xludf.DUMMYFUNCTION("""COMPUTED_VALUE"""),"PLDT")</f>
        <v>PLDT</v>
      </c>
      <c r="F423" s="1">
        <f>IFERROR(__xludf.DUMMYFUNCTION("""COMPUTED_VALUE"""),2307031939)</f>
        <v>2307031939</v>
      </c>
      <c r="G423" s="1"/>
      <c r="H423" s="1" t="str">
        <f>IFERROR(__xludf.DUMMYFUNCTION("""COMPUTED_VALUE"""),"REYNALDO JR DEL ROSARIO SISON")</f>
        <v>REYNALDO JR DEL ROSARIO SISON</v>
      </c>
      <c r="I423" s="1">
        <f>IFERROR(__xludf.DUMMYFUNCTION("""COMPUTED_VALUE"""),9619095216)</f>
        <v>9619095216</v>
      </c>
      <c r="J423" s="1"/>
      <c r="K423" s="1" t="str">
        <f>IFERROR(__xludf.DUMMYFUNCTION("""COMPUTED_VALUE"""),"FHAYESISON47@GMAIL.COM")</f>
        <v>FHAYESISON47@GMAIL.COM</v>
      </c>
      <c r="L423" s="1" t="str">
        <f>IFERROR(__xludf.DUMMYFUNCTION("""COMPUTED_VALUE"""),"BLK 10 LOT 41")</f>
        <v>BLK 10 LOT 41</v>
      </c>
      <c r="M423" s="1" t="str">
        <f>IFERROR(__xludf.DUMMYFUNCTION("""COMPUTED_VALUE"""),"AREA F")</f>
        <v>AREA F</v>
      </c>
      <c r="N423" s="1"/>
      <c r="O423" s="1" t="str">
        <f>IFERROR(__xludf.DUMMYFUNCTION("""COMPUTED_VALUE"""),"GMZLP181NP3/4 GMZLP17NP1")</f>
        <v>GMZLP181NP3/4 GMZLP17NP1</v>
      </c>
      <c r="P423" s="1" t="str">
        <f>IFERROR(__xludf.DUMMYFUNCTION("""COMPUTED_VALUE"""),"14.309858 121.013152")</f>
        <v>14.309858 121.013152</v>
      </c>
      <c r="Q423" s="1" t="str">
        <f>IFERROR(__xludf.DUMMYFUNCTION("""COMPUTED_VALUE"""),"ALDIANO OLAES")</f>
        <v>ALDIANO OLAES</v>
      </c>
      <c r="R423" s="1" t="str">
        <f>IFERROR(__xludf.DUMMYFUNCTION("""COMPUTED_VALUE"""),"GEN MARIANO ALVAREZ")</f>
        <v>GEN MARIANO ALVAREZ</v>
      </c>
      <c r="S423" s="1" t="str">
        <f>IFERROR(__xludf.DUMMYFUNCTION("""COMPUTED_VALUE"""),"PREPAID 999")</f>
        <v>PREPAID 999</v>
      </c>
      <c r="T423" s="1" t="str">
        <f>IFERROR(__xludf.DUMMYFUNCTION("""COMPUTED_VALUE"""),"APPROVED")</f>
        <v>APPROVED</v>
      </c>
      <c r="U423" s="1"/>
      <c r="V423" s="1"/>
      <c r="W423" s="1"/>
    </row>
    <row r="424" customHeight="1" spans="1:23">
      <c r="A424" s="3">
        <f>IFERROR(__xludf.DUMMYFUNCTION("""COMPUTED_VALUE"""),46068)</f>
        <v>46068</v>
      </c>
      <c r="B424" s="1" t="str">
        <f>IFERROR(__xludf.DUMMYFUNCTION("""COMPUTED_VALUE"""),"GABAY, MANUEL")</f>
        <v>GABAY, MANUEL</v>
      </c>
      <c r="C424" s="1" t="str">
        <f>IFERROR(__xludf.DUMMYFUNCTION("""COMPUTED_VALUE"""),"FLA")</f>
        <v>FLA</v>
      </c>
      <c r="D424" s="1" t="str">
        <f>IFERROR(__xludf.DUMMYFUNCTION("""COMPUTED_VALUE"""),"JERIC NAVARRO")</f>
        <v>JERIC NAVARRO</v>
      </c>
      <c r="E424" s="1" t="str">
        <f>IFERROR(__xludf.DUMMYFUNCTION("""COMPUTED_VALUE"""),"PLDT")</f>
        <v>PLDT</v>
      </c>
      <c r="F424" s="1"/>
      <c r="G424" s="1"/>
      <c r="H424" s="1" t="str">
        <f>IFERROR(__xludf.DUMMYFUNCTION("""COMPUTED_VALUE"""),"YESHUA BLAZE DORITAN")</f>
        <v>YESHUA BLAZE DORITAN</v>
      </c>
      <c r="I424" s="1">
        <f>IFERROR(__xludf.DUMMYFUNCTION("""COMPUTED_VALUE"""),9175128274)</f>
        <v>9175128274</v>
      </c>
      <c r="J424" s="1">
        <f>IFERROR(__xludf.DUMMYFUNCTION("""COMPUTED_VALUE"""),9774464113)</f>
        <v>9774464113</v>
      </c>
      <c r="K424" s="1" t="str">
        <f>IFERROR(__xludf.DUMMYFUNCTION("""COMPUTED_VALUE"""),"BEETEACOFFEE08@GMAIL.COM")</f>
        <v>BEETEACOFFEE08@GMAIL.COM</v>
      </c>
      <c r="L424" s="1" t="str">
        <f>IFERROR(__xludf.DUMMYFUNCTION("""COMPUTED_VALUE"""),"BLK C2 LOT 26")</f>
        <v>BLK C2 LOT 26</v>
      </c>
      <c r="M424" s="1" t="str">
        <f>IFERROR(__xludf.DUMMYFUNCTION("""COMPUTED_VALUE"""),"CONG RD")</f>
        <v>CONG RD</v>
      </c>
      <c r="N424" s="1"/>
      <c r="O424" s="1"/>
      <c r="P424" s="1"/>
      <c r="Q424" s="1" t="str">
        <f>IFERROR(__xludf.DUMMYFUNCTION("""COMPUTED_VALUE"""),"SAN GABRIEL (AREA K)")</f>
        <v>SAN GABRIEL (AREA K)</v>
      </c>
      <c r="R424" s="1" t="str">
        <f>IFERROR(__xludf.DUMMYFUNCTION("""COMPUTED_VALUE"""),"GEN MARIANO ALVAREZ")</f>
        <v>GEN MARIANO ALVAREZ</v>
      </c>
      <c r="S424" s="1" t="str">
        <f>IFERROR(__xludf.DUMMYFUNCTION("""COMPUTED_VALUE"""),"FIBR PLAN 1299")</f>
        <v>FIBR PLAN 1299</v>
      </c>
      <c r="T424" s="1" t="str">
        <f>IFERROR(__xludf.DUMMYFUNCTION("""COMPUTED_VALUE"""),"HOLD")</f>
        <v>HOLD</v>
      </c>
      <c r="U424" s="1" t="str">
        <f>IFERROR(__xludf.DUMMYFUNCTION("""COMPUTED_VALUE"""),"UNSCANABLE ID")</f>
        <v>UNSCANABLE ID</v>
      </c>
      <c r="V424" s="1"/>
      <c r="W424" s="1"/>
    </row>
    <row r="425" customHeight="1" spans="1:23">
      <c r="A425" s="3">
        <f>IFERROR(__xludf.DUMMYFUNCTION("""COMPUTED_VALUE"""),46068)</f>
        <v>46068</v>
      </c>
      <c r="B425" s="1" t="str">
        <f>IFERROR(__xludf.DUMMYFUNCTION("""COMPUTED_VALUE"""),"GABAY, MANUEL")</f>
        <v>GABAY, MANUEL</v>
      </c>
      <c r="C425" s="1" t="str">
        <f>IFERROR(__xludf.DUMMYFUNCTION("""COMPUTED_VALUE"""),"FLA")</f>
        <v>FLA</v>
      </c>
      <c r="D425" s="1" t="str">
        <f>IFERROR(__xludf.DUMMYFUNCTION("""COMPUTED_VALUE"""),"JERIC NAVARRO")</f>
        <v>JERIC NAVARRO</v>
      </c>
      <c r="E425" s="1" t="str">
        <f>IFERROR(__xludf.DUMMYFUNCTION("""COMPUTED_VALUE"""),"PLDT")</f>
        <v>PLDT</v>
      </c>
      <c r="F425" s="1">
        <f>IFERROR(__xludf.DUMMYFUNCTION("""COMPUTED_VALUE"""),2307033255)</f>
        <v>2307033255</v>
      </c>
      <c r="G425" s="1"/>
      <c r="H425" s="1" t="str">
        <f>IFERROR(__xludf.DUMMYFUNCTION("""COMPUTED_VALUE"""),"JOEWARD BELANDRES REGIS")</f>
        <v>JOEWARD BELANDRES REGIS</v>
      </c>
      <c r="I425" s="1">
        <f>IFERROR(__xludf.DUMMYFUNCTION("""COMPUTED_VALUE"""),9152066653)</f>
        <v>9152066653</v>
      </c>
      <c r="J425" s="1">
        <f>IFERROR(__xludf.DUMMYFUNCTION("""COMPUTED_VALUE"""),9260515625)</f>
        <v>9260515625</v>
      </c>
      <c r="K425" s="1" t="str">
        <f>IFERROR(__xludf.DUMMYFUNCTION("""COMPUTED_VALUE"""),"JOEWARDREGIS5@GMAIL.COM")</f>
        <v>JOEWARDREGIS5@GMAIL.COM</v>
      </c>
      <c r="L425" s="1" t="str">
        <f>IFERROR(__xludf.DUMMYFUNCTION("""COMPUTED_VALUE"""),"440")</f>
        <v>440</v>
      </c>
      <c r="M425" s="1" t="str">
        <f>IFERROR(__xludf.DUMMYFUNCTION("""COMPUTED_VALUE"""),"MUNTING ILOG RD")</f>
        <v>MUNTING ILOG RD</v>
      </c>
      <c r="N425" s="1"/>
      <c r="O425" s="1" t="str">
        <f>IFERROR(__xludf.DUMMYFUNCTION("""COMPUTED_VALUE"""),"SILLP641NP4")</f>
        <v>SILLP641NP4</v>
      </c>
      <c r="P425" s="1" t="str">
        <f>IFERROR(__xludf.DUMMYFUNCTION("""COMPUTED_VALUE"""),"14.219152 120.998471")</f>
        <v>14.219152 120.998471</v>
      </c>
      <c r="Q425" s="1" t="str">
        <f>IFERROR(__xludf.DUMMYFUNCTION("""COMPUTED_VALUE"""),"MUNTING ILOG")</f>
        <v>MUNTING ILOG</v>
      </c>
      <c r="R425" s="1" t="str">
        <f>IFERROR(__xludf.DUMMYFUNCTION("""COMPUTED_VALUE"""),"SILANG")</f>
        <v>SILANG</v>
      </c>
      <c r="S425" s="1" t="str">
        <f>IFERROR(__xludf.DUMMYFUNCTION("""COMPUTED_VALUE"""),"FIBR PLAN 1599")</f>
        <v>FIBR PLAN 1599</v>
      </c>
      <c r="T425" s="1" t="str">
        <f>IFERROR(__xludf.DUMMYFUNCTION("""COMPUTED_VALUE"""),"APPROVED")</f>
        <v>APPROVED</v>
      </c>
      <c r="U425" s="1"/>
      <c r="V425" s="1"/>
      <c r="W425" s="1"/>
    </row>
    <row r="426" customHeight="1" spans="1:23">
      <c r="A426" s="3">
        <f>IFERROR(__xludf.DUMMYFUNCTION("""COMPUTED_VALUE"""),46068)</f>
        <v>46068</v>
      </c>
      <c r="B426" s="1" t="str">
        <f>IFERROR(__xludf.DUMMYFUNCTION("""COMPUTED_VALUE"""),"MALIWAT MARK ELVIN")</f>
        <v>MALIWAT MARK ELVIN</v>
      </c>
      <c r="C426" s="1" t="str">
        <f>IFERROR(__xludf.DUMMYFUNCTION("""COMPUTED_VALUE"""),"FLA")</f>
        <v>FLA</v>
      </c>
      <c r="D426" s="1" t="str">
        <f>IFERROR(__xludf.DUMMYFUNCTION("""COMPUTED_VALUE"""),"JERIC NAVARRO")</f>
        <v>JERIC NAVARRO</v>
      </c>
      <c r="E426" s="1" t="str">
        <f>IFERROR(__xludf.DUMMYFUNCTION("""COMPUTED_VALUE"""),"PLDT")</f>
        <v>PLDT</v>
      </c>
      <c r="F426" s="1">
        <f>IFERROR(__xludf.DUMMYFUNCTION("""COMPUTED_VALUE"""),2307034512)</f>
        <v>2307034512</v>
      </c>
      <c r="G426" s="1"/>
      <c r="H426" s="1" t="str">
        <f>IFERROR(__xludf.DUMMYFUNCTION("""COMPUTED_VALUE"""),"JOHN REY EBUENGA DETECIO")</f>
        <v>JOHN REY EBUENGA DETECIO</v>
      </c>
      <c r="I426" s="1">
        <f>IFERROR(__xludf.DUMMYFUNCTION("""COMPUTED_VALUE"""),9924462017)</f>
        <v>9924462017</v>
      </c>
      <c r="J426" s="1"/>
      <c r="K426" s="1" t="str">
        <f>IFERROR(__xludf.DUMMYFUNCTION("""COMPUTED_VALUE"""),"DETACIOJOHNREY@GMAIL.COM")</f>
        <v>DETACIOJOHNREY@GMAIL.COM</v>
      </c>
      <c r="L426" s="1" t="str">
        <f>IFERROR(__xludf.DUMMYFUNCTION("""COMPUTED_VALUE"""),"162")</f>
        <v>162</v>
      </c>
      <c r="M426" s="1" t="str">
        <f>IFERROR(__xludf.DUMMYFUNCTION("""COMPUTED_VALUE"""),"SITIO PUTOL")</f>
        <v>SITIO PUTOL</v>
      </c>
      <c r="N426" s="1"/>
      <c r="O426" s="1" t="str">
        <f>IFERROR(__xludf.DUMMYFUNCTION("""COMPUTED_VALUE"""),"SILLP30NP2/3 SILLP78NP1/3")</f>
        <v>SILLP30NP2/3 SILLP78NP1/3</v>
      </c>
      <c r="P426" s="1" t="str">
        <f>IFERROR(__xludf.DUMMYFUNCTION("""COMPUTED_VALUE"""),"14.229341 121.000283")</f>
        <v>14.229341 121.000283</v>
      </c>
      <c r="Q426" s="1" t="str">
        <f>IFERROR(__xludf.DUMMYFUNCTION("""COMPUTED_VALUE"""),"TIBIG")</f>
        <v>TIBIG</v>
      </c>
      <c r="R426" s="1" t="str">
        <f>IFERROR(__xludf.DUMMYFUNCTION("""COMPUTED_VALUE"""),"SILANG")</f>
        <v>SILANG</v>
      </c>
      <c r="S426" s="1" t="str">
        <f>IFERROR(__xludf.DUMMYFUNCTION("""COMPUTED_VALUE"""),"FIBR PLAN 1399")</f>
        <v>FIBR PLAN 1399</v>
      </c>
      <c r="T426" s="1" t="str">
        <f>IFERROR(__xludf.DUMMYFUNCTION("""COMPUTED_VALUE"""),"APPROVED")</f>
        <v>APPROVED</v>
      </c>
      <c r="U426" s="1"/>
      <c r="V426" s="1"/>
      <c r="W426" s="1"/>
    </row>
    <row r="427" customHeight="1" spans="1:23">
      <c r="A427" s="3">
        <f>IFERROR(__xludf.DUMMYFUNCTION("""COMPUTED_VALUE"""),46068)</f>
        <v>46068</v>
      </c>
      <c r="B427" s="1" t="str">
        <f>IFERROR(__xludf.DUMMYFUNCTION("""COMPUTED_VALUE"""),"MALIWAT MARK ELVIN")</f>
        <v>MALIWAT MARK ELVIN</v>
      </c>
      <c r="C427" s="1" t="str">
        <f>IFERROR(__xludf.DUMMYFUNCTION("""COMPUTED_VALUE"""),"FLA")</f>
        <v>FLA</v>
      </c>
      <c r="D427" s="1" t="str">
        <f>IFERROR(__xludf.DUMMYFUNCTION("""COMPUTED_VALUE"""),"JERIC NAVARRO")</f>
        <v>JERIC NAVARRO</v>
      </c>
      <c r="E427" s="1" t="str">
        <f>IFERROR(__xludf.DUMMYFUNCTION("""COMPUTED_VALUE"""),"PLDT")</f>
        <v>PLDT</v>
      </c>
      <c r="F427" s="1">
        <f>IFERROR(__xludf.DUMMYFUNCTION("""COMPUTED_VALUE"""),2307033441)</f>
        <v>2307033441</v>
      </c>
      <c r="G427" s="1"/>
      <c r="H427" s="1" t="str">
        <f>IFERROR(__xludf.DUMMYFUNCTION("""COMPUTED_VALUE"""),"WELLMAR BALISTA LEGASPI")</f>
        <v>WELLMAR BALISTA LEGASPI</v>
      </c>
      <c r="I427" s="1">
        <f>IFERROR(__xludf.DUMMYFUNCTION("""COMPUTED_VALUE"""),9998057107)</f>
        <v>9998057107</v>
      </c>
      <c r="J427" s="1">
        <f>IFERROR(__xludf.DUMMYFUNCTION("""COMPUTED_VALUE"""),9517538520)</f>
        <v>9517538520</v>
      </c>
      <c r="K427" s="1" t="str">
        <f>IFERROR(__xludf.DUMMYFUNCTION("""COMPUTED_VALUE"""),"WELLMARLEGASPI9@GMAIL.COM")</f>
        <v>WELLMARLEGASPI9@GMAIL.COM</v>
      </c>
      <c r="L427" s="1" t="str">
        <f>IFERROR(__xludf.DUMMYFUNCTION("""COMPUTED_VALUE"""),"BLK 11 LOT 18")</f>
        <v>BLK 11 LOT 18</v>
      </c>
      <c r="M427" s="1" t="str">
        <f>IFERROR(__xludf.DUMMYFUNCTION("""COMPUTED_VALUE"""),"PHASE 5")</f>
        <v>PHASE 5</v>
      </c>
      <c r="N427" s="1" t="str">
        <f>IFERROR(__xludf.DUMMYFUNCTION("""COMPUTED_VALUE"""),"TERRAVERDE RESIDENCES")</f>
        <v>TERRAVERDE RESIDENCES</v>
      </c>
      <c r="O427" s="1" t="str">
        <f>IFERROR(__xludf.DUMMYFUNCTION("""COMPUTED_VALUE"""),"CMNLP268NP2/3")</f>
        <v>CMNLP268NP2/3</v>
      </c>
      <c r="P427" s="1" t="str">
        <f>IFERROR(__xludf.DUMMYFUNCTION("""COMPUTED_VALUE"""),"14.29984 121.018906")</f>
        <v>14.29984 121.018906</v>
      </c>
      <c r="Q427" s="1" t="str">
        <f>IFERROR(__xludf.DUMMYFUNCTION("""COMPUTED_VALUE"""),"BANCAL")</f>
        <v>BANCAL</v>
      </c>
      <c r="R427" s="1" t="str">
        <f>IFERROR(__xludf.DUMMYFUNCTION("""COMPUTED_VALUE"""),"CARMONA")</f>
        <v>CARMONA</v>
      </c>
      <c r="S427" s="1" t="str">
        <f>IFERROR(__xludf.DUMMYFUNCTION("""COMPUTED_VALUE"""),"FIBR PLAN 1799")</f>
        <v>FIBR PLAN 1799</v>
      </c>
      <c r="T427" s="1" t="str">
        <f>IFERROR(__xludf.DUMMYFUNCTION("""COMPUTED_VALUE"""),"APPROVED")</f>
        <v>APPROVED</v>
      </c>
      <c r="U427" s="1"/>
      <c r="V427" s="1"/>
      <c r="W427" s="1"/>
    </row>
    <row r="428" customHeight="1" spans="1:23">
      <c r="A428" s="3">
        <f>IFERROR(__xludf.DUMMYFUNCTION("""COMPUTED_VALUE"""),46068)</f>
        <v>46068</v>
      </c>
      <c r="B428" s="1" t="str">
        <f>IFERROR(__xludf.DUMMYFUNCTION("""COMPUTED_VALUE"""),"VILLANAS , EVANGELINE")</f>
        <v>VILLANAS , EVANGELINE</v>
      </c>
      <c r="C428" s="1" t="str">
        <f>IFERROR(__xludf.DUMMYFUNCTION("""COMPUTED_VALUE"""),"ORGANIC")</f>
        <v>ORGANIC</v>
      </c>
      <c r="D428" s="1" t="str">
        <f>IFERROR(__xludf.DUMMYFUNCTION("""COMPUTED_VALUE"""),"REMOLLO LEA")</f>
        <v>REMOLLO LEA</v>
      </c>
      <c r="E428" s="1" t="str">
        <f>IFERROR(__xludf.DUMMYFUNCTION("""COMPUTED_VALUE"""),"PLDT")</f>
        <v>PLDT</v>
      </c>
      <c r="F428" s="1">
        <f>IFERROR(__xludf.DUMMYFUNCTION("""COMPUTED_VALUE"""),2307036736)</f>
        <v>2307036736</v>
      </c>
      <c r="G428" s="1"/>
      <c r="H428" s="1" t="str">
        <f>IFERROR(__xludf.DUMMYFUNCTION("""COMPUTED_VALUE"""),"DEVORAH PALIMA MONATO")</f>
        <v>DEVORAH PALIMA MONATO</v>
      </c>
      <c r="I428" s="1">
        <f>IFERROR(__xludf.DUMMYFUNCTION("""COMPUTED_VALUE"""),9483638168)</f>
        <v>9483638168</v>
      </c>
      <c r="J428" s="1"/>
      <c r="K428" s="1" t="str">
        <f>IFERROR(__xludf.DUMMYFUNCTION("""COMPUTED_VALUE"""),"DEVORAHMONATO36@GMAIL.COM")</f>
        <v>DEVORAHMONATO36@GMAIL.COM</v>
      </c>
      <c r="L428" s="1" t="str">
        <f>IFERROR(__xludf.DUMMYFUNCTION("""COMPUTED_VALUE"""),"BLK 6 LOT 43")</f>
        <v>BLK 6 LOT 43</v>
      </c>
      <c r="M428" s="1" t="str">
        <f>IFERROR(__xludf.DUMMYFUNCTION("""COMPUTED_VALUE"""),"DACON")</f>
        <v>DACON</v>
      </c>
      <c r="N428" s="1"/>
      <c r="O428" s="1" t="str">
        <f>IFERROR(__xludf.DUMMYFUNCTION("""COMPUTED_VALUE"""),"GMZLP25NP3/4")</f>
        <v>GMZLP25NP3/4</v>
      </c>
      <c r="P428" s="1" t="str">
        <f>IFERROR(__xludf.DUMMYFUNCTION("""COMPUTED_VALUE"""),"14.288307 121.001209")</f>
        <v>14.288307 121.001209</v>
      </c>
      <c r="Q428" s="1" t="str">
        <f>IFERROR(__xludf.DUMMYFUNCTION("""COMPUTED_VALUE"""),"MACARIO DACON")</f>
        <v>MACARIO DACON</v>
      </c>
      <c r="R428" s="1" t="str">
        <f>IFERROR(__xludf.DUMMYFUNCTION("""COMPUTED_VALUE"""),"GEN MARIANO ALVAREZ")</f>
        <v>GEN MARIANO ALVAREZ</v>
      </c>
      <c r="S428" s="1" t="str">
        <f>IFERROR(__xludf.DUMMYFUNCTION("""COMPUTED_VALUE"""),"FIBR PLAN 1599")</f>
        <v>FIBR PLAN 1599</v>
      </c>
      <c r="T428" s="1" t="str">
        <f>IFERROR(__xludf.DUMMYFUNCTION("""COMPUTED_VALUE"""),"APPROVED")</f>
        <v>APPROVED</v>
      </c>
      <c r="U428" s="1"/>
      <c r="V428" s="1"/>
      <c r="W428" s="1"/>
    </row>
    <row r="429" customHeight="1" spans="1:23">
      <c r="A429" s="3">
        <f>IFERROR(__xludf.DUMMYFUNCTION("""COMPUTED_VALUE"""),46068)</f>
        <v>46068</v>
      </c>
      <c r="B429" s="1" t="str">
        <f>IFERROR(__xludf.DUMMYFUNCTION("""COMPUTED_VALUE"""),"MALIWAT MARK ELVIN")</f>
        <v>MALIWAT MARK ELVIN</v>
      </c>
      <c r="C429" s="1" t="str">
        <f>IFERROR(__xludf.DUMMYFUNCTION("""COMPUTED_VALUE"""),"FLA")</f>
        <v>FLA</v>
      </c>
      <c r="D429" s="1" t="str">
        <f>IFERROR(__xludf.DUMMYFUNCTION("""COMPUTED_VALUE"""),"JERIC NAVARRO")</f>
        <v>JERIC NAVARRO</v>
      </c>
      <c r="E429" s="1" t="str">
        <f>IFERROR(__xludf.DUMMYFUNCTION("""COMPUTED_VALUE"""),"PLDT")</f>
        <v>PLDT</v>
      </c>
      <c r="F429" s="1">
        <f>IFERROR(__xludf.DUMMYFUNCTION("""COMPUTED_VALUE"""),2307035099)</f>
        <v>2307035099</v>
      </c>
      <c r="G429" s="1"/>
      <c r="H429" s="1" t="str">
        <f>IFERROR(__xludf.DUMMYFUNCTION("""COMPUTED_VALUE"""),"JOHN REY BARTE PAYONGAYONG")</f>
        <v>JOHN REY BARTE PAYONGAYONG</v>
      </c>
      <c r="I429" s="1">
        <f>IFERROR(__xludf.DUMMYFUNCTION("""COMPUTED_VALUE"""),9164347641)</f>
        <v>9164347641</v>
      </c>
      <c r="J429" s="1"/>
      <c r="K429" s="1" t="str">
        <f>IFERROR(__xludf.DUMMYFUNCTION("""COMPUTED_VALUE"""),"MELAY03TANZ@GMAIL.COM")</f>
        <v>MELAY03TANZ@GMAIL.COM</v>
      </c>
      <c r="L429" s="1" t="str">
        <f>IFERROR(__xludf.DUMMYFUNCTION("""COMPUTED_VALUE"""),"BLK 1 LOT 2")</f>
        <v>BLK 1 LOT 2</v>
      </c>
      <c r="M429" s="1" t="str">
        <f>IFERROR(__xludf.DUMMYFUNCTION("""COMPUTED_VALUE"""),"2ND ST")</f>
        <v>2ND ST</v>
      </c>
      <c r="N429" s="1" t="str">
        <f>IFERROR(__xludf.DUMMYFUNCTION("""COMPUTED_VALUE"""),"ELYSIAN SUBS")</f>
        <v>ELYSIAN SUBS</v>
      </c>
      <c r="O429" s="1" t="str">
        <f>IFERROR(__xludf.DUMMYFUNCTION("""COMPUTED_VALUE"""),"IMULPA32NP4")</f>
        <v>IMULPA32NP4</v>
      </c>
      <c r="P429" s="1" t="str">
        <f>IFERROR(__xludf.DUMMYFUNCTION("""COMPUTED_VALUE"""),"14.379564594514601, 120.94249101966503")</f>
        <v>14.379564594514601, 120.94249101966503</v>
      </c>
      <c r="Q429" s="1" t="str">
        <f>IFERROR(__xludf.DUMMYFUNCTION("""COMPUTED_VALUE"""),"ANABU II-C")</f>
        <v>ANABU II-C</v>
      </c>
      <c r="R429" s="1" t="str">
        <f>IFERROR(__xludf.DUMMYFUNCTION("""COMPUTED_VALUE"""),"IMUS")</f>
        <v>IMUS</v>
      </c>
      <c r="S429" s="1" t="str">
        <f>IFERROR(__xludf.DUMMYFUNCTION("""COMPUTED_VALUE"""),"PREPAID 999")</f>
        <v>PREPAID 999</v>
      </c>
      <c r="T429" s="1" t="str">
        <f>IFERROR(__xludf.DUMMYFUNCTION("""COMPUTED_VALUE"""),"APPROVED")</f>
        <v>APPROVED</v>
      </c>
      <c r="U429" s="1"/>
      <c r="V429" s="1"/>
      <c r="W429" s="1"/>
    </row>
    <row r="430" customHeight="1" spans="1:23">
      <c r="A430" s="3">
        <f>IFERROR(__xludf.DUMMYFUNCTION("""COMPUTED_VALUE"""),46068)</f>
        <v>46068</v>
      </c>
      <c r="B430" s="1" t="str">
        <f>IFERROR(__xludf.DUMMYFUNCTION("""COMPUTED_VALUE"""),"NAVARRO, JERIC")</f>
        <v>NAVARRO, JERIC</v>
      </c>
      <c r="C430" s="1" t="str">
        <f>IFERROR(__xludf.DUMMYFUNCTION("""COMPUTED_VALUE"""),"FLA")</f>
        <v>FLA</v>
      </c>
      <c r="D430" s="1" t="str">
        <f>IFERROR(__xludf.DUMMYFUNCTION("""COMPUTED_VALUE"""),"JERIC NAVARRO")</f>
        <v>JERIC NAVARRO</v>
      </c>
      <c r="E430" s="1" t="str">
        <f>IFERROR(__xludf.DUMMYFUNCTION("""COMPUTED_VALUE"""),"PLDT")</f>
        <v>PLDT</v>
      </c>
      <c r="F430" s="1">
        <f>IFERROR(__xludf.DUMMYFUNCTION("""COMPUTED_VALUE"""),2307036792)</f>
        <v>2307036792</v>
      </c>
      <c r="G430" s="1"/>
      <c r="H430" s="1" t="str">
        <f>IFERROR(__xludf.DUMMYFUNCTION("""COMPUTED_VALUE"""),"EDELYN MEDRANO ESCUDERO")</f>
        <v>EDELYN MEDRANO ESCUDERO</v>
      </c>
      <c r="I430" s="1">
        <f>IFERROR(__xludf.DUMMYFUNCTION("""COMPUTED_VALUE"""),9178297953)</f>
        <v>9178297953</v>
      </c>
      <c r="J430" s="1"/>
      <c r="K430" s="1" t="str">
        <f>IFERROR(__xludf.DUMMYFUNCTION("""COMPUTED_VALUE"""),"EMESCUDERO1080@GMAIL.COM")</f>
        <v>EMESCUDERO1080@GMAIL.COM</v>
      </c>
      <c r="L430" s="1" t="str">
        <f>IFERROR(__xludf.DUMMYFUNCTION("""COMPUTED_VALUE"""),"BLK 30 LOT 2")</f>
        <v>BLK 30 LOT 2</v>
      </c>
      <c r="M430" s="1" t="str">
        <f>IFERROR(__xludf.DUMMYFUNCTION("""COMPUTED_VALUE"""),"VENETO")</f>
        <v>VENETO</v>
      </c>
      <c r="N430" s="1" t="str">
        <f>IFERROR(__xludf.DUMMYFUNCTION("""COMPUTED_VALUE"""),"RIVIERA")</f>
        <v>RIVIERA</v>
      </c>
      <c r="O430" s="1"/>
      <c r="P430" s="1"/>
      <c r="Q430" s="1" t="str">
        <f>IFERROR(__xludf.DUMMYFUNCTION("""COMPUTED_VALUE"""),"BILUSO")</f>
        <v>BILUSO</v>
      </c>
      <c r="R430" s="1" t="str">
        <f>IFERROR(__xludf.DUMMYFUNCTION("""COMPUTED_VALUE"""),"SILANG")</f>
        <v>SILANG</v>
      </c>
      <c r="S430" s="1" t="str">
        <f>IFERROR(__xludf.DUMMYFUNCTION("""COMPUTED_VALUE"""),"FIBR PLAN 1799")</f>
        <v>FIBR PLAN 1799</v>
      </c>
      <c r="T430" s="1" t="str">
        <f>IFERROR(__xludf.DUMMYFUNCTION("""COMPUTED_VALUE"""),"APPROVED")</f>
        <v>APPROVED</v>
      </c>
      <c r="U430" s="1"/>
      <c r="V430" s="1"/>
      <c r="W430" s="1"/>
    </row>
    <row r="431" customHeight="1" spans="1:23">
      <c r="A431" s="3">
        <f>IFERROR(__xludf.DUMMYFUNCTION("""COMPUTED_VALUE"""),46068)</f>
        <v>46068</v>
      </c>
      <c r="B431" s="1" t="str">
        <f>IFERROR(__xludf.DUMMYFUNCTION("""COMPUTED_VALUE"""),"AYON MANUEL")</f>
        <v>AYON MANUEL</v>
      </c>
      <c r="C431" s="1" t="str">
        <f>IFERROR(__xludf.DUMMYFUNCTION("""COMPUTED_VALUE"""),"FLA")</f>
        <v>FLA</v>
      </c>
      <c r="D431" s="1" t="str">
        <f>IFERROR(__xludf.DUMMYFUNCTION("""COMPUTED_VALUE"""),"JERIC NAVARRO")</f>
        <v>JERIC NAVARRO</v>
      </c>
      <c r="E431" s="1" t="str">
        <f>IFERROR(__xludf.DUMMYFUNCTION("""COMPUTED_VALUE"""),"PLDT")</f>
        <v>PLDT</v>
      </c>
      <c r="F431" s="1">
        <f>IFERROR(__xludf.DUMMYFUNCTION("""COMPUTED_VALUE"""),2307037300)</f>
        <v>2307037300</v>
      </c>
      <c r="G431" s="1"/>
      <c r="H431" s="1" t="str">
        <f>IFERROR(__xludf.DUMMYFUNCTION("""COMPUTED_VALUE"""),"MERILINDA MALOLES DE BELEN")</f>
        <v>MERILINDA MALOLES DE BELEN</v>
      </c>
      <c r="I431" s="1">
        <f>IFERROR(__xludf.DUMMYFUNCTION("""COMPUTED_VALUE"""),9568227833)</f>
        <v>9568227833</v>
      </c>
      <c r="J431" s="1">
        <f>IFERROR(__xludf.DUMMYFUNCTION("""COMPUTED_VALUE"""),9563106092)</f>
        <v>9563106092</v>
      </c>
      <c r="K431" s="1" t="str">
        <f>IFERROR(__xludf.DUMMYFUNCTION("""COMPUTED_VALUE"""),"MICKELTEN18@GMAIL.COM")</f>
        <v>MICKELTEN18@GMAIL.COM</v>
      </c>
      <c r="L431" s="1" t="str">
        <f>IFERROR(__xludf.DUMMYFUNCTION("""COMPUTED_VALUE"""),"9800")</f>
        <v>9800</v>
      </c>
      <c r="M431" s="1" t="str">
        <f>IFERROR(__xludf.DUMMYFUNCTION("""COMPUTED_VALUE"""),"MUNTING ILOG RD")</f>
        <v>MUNTING ILOG RD</v>
      </c>
      <c r="N431" s="1"/>
      <c r="O431" s="1" t="str">
        <f>IFERROR(__xludf.DUMMYFUNCTION("""COMPUTED_VALUE"""),"SILLP640NP1/2/3")</f>
        <v>SILLP640NP1/2/3</v>
      </c>
      <c r="P431" s="1"/>
      <c r="Q431" s="1" t="str">
        <f>IFERROR(__xludf.DUMMYFUNCTION("""COMPUTED_VALUE"""),"MUNTING ILOG")</f>
        <v>MUNTING ILOG</v>
      </c>
      <c r="R431" s="1" t="str">
        <f>IFERROR(__xludf.DUMMYFUNCTION("""COMPUTED_VALUE"""),"SILANG")</f>
        <v>SILANG</v>
      </c>
      <c r="S431" s="1" t="str">
        <f>IFERROR(__xludf.DUMMYFUNCTION("""COMPUTED_VALUE"""),"FIBR PLAN 1399")</f>
        <v>FIBR PLAN 1399</v>
      </c>
      <c r="T431" s="1" t="str">
        <f>IFERROR(__xludf.DUMMYFUNCTION("""COMPUTED_VALUE"""),"APPROVED")</f>
        <v>APPROVED</v>
      </c>
      <c r="U431" s="1"/>
      <c r="V431" s="1"/>
      <c r="W431" s="1"/>
    </row>
    <row r="432" customHeight="1" spans="1:23">
      <c r="A432" s="3">
        <f>IFERROR(__xludf.DUMMYFUNCTION("""COMPUTED_VALUE"""),46069)</f>
        <v>46069</v>
      </c>
      <c r="B432" s="1" t="str">
        <f>IFERROR(__xludf.DUMMYFUNCTION("""COMPUTED_VALUE"""),"MALIWAT MARK ELVIN")</f>
        <v>MALIWAT MARK ELVIN</v>
      </c>
      <c r="C432" s="1" t="str">
        <f>IFERROR(__xludf.DUMMYFUNCTION("""COMPUTED_VALUE"""),"FLA")</f>
        <v>FLA</v>
      </c>
      <c r="D432" s="1" t="str">
        <f>IFERROR(__xludf.DUMMYFUNCTION("""COMPUTED_VALUE"""),"JERIC NAVARRO")</f>
        <v>JERIC NAVARRO</v>
      </c>
      <c r="E432" s="1" t="str">
        <f>IFERROR(__xludf.DUMMYFUNCTION("""COMPUTED_VALUE"""),"PLDT")</f>
        <v>PLDT</v>
      </c>
      <c r="F432" s="1">
        <f>IFERROR(__xludf.DUMMYFUNCTION("""COMPUTED_VALUE"""),2307044534)</f>
        <v>2307044534</v>
      </c>
      <c r="G432" s="1"/>
      <c r="H432" s="1" t="str">
        <f>IFERROR(__xludf.DUMMYFUNCTION("""COMPUTED_VALUE"""),"LOURDES RAFOL TICOT")</f>
        <v>LOURDES RAFOL TICOT</v>
      </c>
      <c r="I432" s="1">
        <f>IFERROR(__xludf.DUMMYFUNCTION("""COMPUTED_VALUE"""),9622994886)</f>
        <v>9622994886</v>
      </c>
      <c r="J432" s="1">
        <f>IFERROR(__xludf.DUMMYFUNCTION("""COMPUTED_VALUE"""),9958901444)</f>
        <v>9958901444</v>
      </c>
      <c r="K432" s="1" t="str">
        <f>IFERROR(__xludf.DUMMYFUNCTION("""COMPUTED_VALUE"""),"IART0115@GMAIL.COM")</f>
        <v>IART0115@GMAIL.COM</v>
      </c>
      <c r="L432" s="1" t="str">
        <f>IFERROR(__xludf.DUMMYFUNCTION("""COMPUTED_VALUE"""),"BLK 9 LOT 35")</f>
        <v>BLK 9 LOT 35</v>
      </c>
      <c r="M432" s="1" t="str">
        <f>IFERROR(__xludf.DUMMYFUNCTION("""COMPUTED_VALUE"""),"ORCHID")</f>
        <v>ORCHID</v>
      </c>
      <c r="N432" s="1" t="str">
        <f>IFERROR(__xludf.DUMMYFUNCTION("""COMPUTED_VALUE"""),"VINE VILLAGE")</f>
        <v>VINE VILLAGE</v>
      </c>
      <c r="O432" s="1" t="str">
        <f>IFERROR(__xludf.DUMMYFUNCTION("""COMPUTED_VALUE"""),"DASLP872NP3/5")</f>
        <v>DASLP872NP3/5</v>
      </c>
      <c r="P432" s="1" t="str">
        <f>IFERROR(__xludf.DUMMYFUNCTION("""COMPUTED_VALUE"""),"14.3081815 120.9477881")</f>
        <v>14.3081815 120.9477881</v>
      </c>
      <c r="Q432" s="1" t="str">
        <f>IFERROR(__xludf.DUMMYFUNCTION("""COMPUTED_VALUE"""),"SAN AGUSTIN I")</f>
        <v>SAN AGUSTIN I</v>
      </c>
      <c r="R432" s="1" t="str">
        <f>IFERROR(__xludf.DUMMYFUNCTION("""COMPUTED_VALUE"""),"DASMARINAS")</f>
        <v>DASMARINAS</v>
      </c>
      <c r="S432" s="1" t="str">
        <f>IFERROR(__xludf.DUMMYFUNCTION("""COMPUTED_VALUE"""),"FIBR PLAN 1699")</f>
        <v>FIBR PLAN 1699</v>
      </c>
      <c r="T432" s="1" t="str">
        <f>IFERROR(__xludf.DUMMYFUNCTION("""COMPUTED_VALUE"""),"APPROVED")</f>
        <v>APPROVED</v>
      </c>
      <c r="U432" s="1"/>
      <c r="V432" s="1"/>
      <c r="W432" s="1"/>
    </row>
    <row r="433" customHeight="1" spans="1:23">
      <c r="A433" s="3">
        <f>IFERROR(__xludf.DUMMYFUNCTION("""COMPUTED_VALUE"""),46069)</f>
        <v>46069</v>
      </c>
      <c r="B433" s="1" t="str">
        <f>IFERROR(__xludf.DUMMYFUNCTION("""COMPUTED_VALUE"""),"MAGDARAOG, KENNETH")</f>
        <v>MAGDARAOG, KENNETH</v>
      </c>
      <c r="C433" s="1" t="str">
        <f>IFERROR(__xludf.DUMMYFUNCTION("""COMPUTED_VALUE"""),"ORGANIC")</f>
        <v>ORGANIC</v>
      </c>
      <c r="D433" s="1" t="str">
        <f>IFERROR(__xludf.DUMMYFUNCTION("""COMPUTED_VALUE"""),"REMOLLO LEA")</f>
        <v>REMOLLO LEA</v>
      </c>
      <c r="E433" s="1" t="str">
        <f>IFERROR(__xludf.DUMMYFUNCTION("""COMPUTED_VALUE"""),"PLDT")</f>
        <v>PLDT</v>
      </c>
      <c r="F433" s="1">
        <f>IFERROR(__xludf.DUMMYFUNCTION("""COMPUTED_VALUE"""),2307045748)</f>
        <v>2307045748</v>
      </c>
      <c r="G433" s="1"/>
      <c r="H433" s="1" t="str">
        <f>IFERROR(__xludf.DUMMYFUNCTION("""COMPUTED_VALUE"""),"AIZA MOLOBOCO MOTIOS")</f>
        <v>AIZA MOLOBOCO MOTIOS</v>
      </c>
      <c r="I433" s="1">
        <f>IFERROR(__xludf.DUMMYFUNCTION("""COMPUTED_VALUE"""),9913742378)</f>
        <v>9913742378</v>
      </c>
      <c r="J433" s="1">
        <f>IFERROR(__xludf.DUMMYFUNCTION("""COMPUTED_VALUE"""),9928612131)</f>
        <v>9928612131</v>
      </c>
      <c r="K433" s="1" t="str">
        <f>IFERROR(__xludf.DUMMYFUNCTION("""COMPUTED_VALUE"""),"AIZAMOLOBOCOMOTIOS@GMAIL.COM")</f>
        <v>AIZAMOLOBOCOMOTIOS@GMAIL.COM</v>
      </c>
      <c r="L433" s="1" t="str">
        <f>IFERROR(__xludf.DUMMYFUNCTION("""COMPUTED_VALUE"""),"23")</f>
        <v>23</v>
      </c>
      <c r="M433" s="1" t="str">
        <f>IFERROR(__xludf.DUMMYFUNCTION("""COMPUTED_VALUE"""),"GREGORIA RD")</f>
        <v>GREGORIA RD</v>
      </c>
      <c r="N433" s="1"/>
      <c r="O433" s="1" t="str">
        <f>IFERROR(__xludf.DUMMYFUNCTION("""COMPUTED_VALUE"""),"GMZLP854NP3 GMZLP233NP1 GMZLP249NP4 GMZLP30NP2")</f>
        <v>GMZLP854NP3 GMZLP233NP1 GMZLP249NP4 GMZLP30NP2</v>
      </c>
      <c r="P433" s="1" t="str">
        <f>IFERROR(__xludf.DUMMYFUNCTION("""COMPUTED_VALUE"""),"14.326164 121.032059")</f>
        <v>14.326164 121.032059</v>
      </c>
      <c r="Q433" s="1" t="str">
        <f>IFERROR(__xludf.DUMMYFUNCTION("""COMPUTED_VALUE"""),"GREGORIA DE JESUS")</f>
        <v>GREGORIA DE JESUS</v>
      </c>
      <c r="R433" s="1" t="str">
        <f>IFERROR(__xludf.DUMMYFUNCTION("""COMPUTED_VALUE"""),"GEN MARIANO ALVAREZ")</f>
        <v>GEN MARIANO ALVAREZ</v>
      </c>
      <c r="S433" s="1" t="str">
        <f>IFERROR(__xludf.DUMMYFUNCTION("""COMPUTED_VALUE"""),"PREPAID 999")</f>
        <v>PREPAID 999</v>
      </c>
      <c r="T433" s="1" t="str">
        <f>IFERROR(__xludf.DUMMYFUNCTION("""COMPUTED_VALUE"""),"APPROVED")</f>
        <v>APPROVED</v>
      </c>
      <c r="U433" s="1"/>
      <c r="V433" s="1"/>
      <c r="W433" s="1"/>
    </row>
    <row r="434" customHeight="1" spans="1:23">
      <c r="A434" s="3">
        <f>IFERROR(__xludf.DUMMYFUNCTION("""COMPUTED_VALUE"""),46069)</f>
        <v>46069</v>
      </c>
      <c r="B434" s="1" t="str">
        <f>IFERROR(__xludf.DUMMYFUNCTION("""COMPUTED_VALUE"""),"ROXAS, CEDRICK")</f>
        <v>ROXAS, CEDRICK</v>
      </c>
      <c r="C434" s="1" t="str">
        <f>IFERROR(__xludf.DUMMYFUNCTION("""COMPUTED_VALUE"""),"FLA")</f>
        <v>FLA</v>
      </c>
      <c r="D434" s="1" t="str">
        <f>IFERROR(__xludf.DUMMYFUNCTION("""COMPUTED_VALUE"""),"JERIC NAVARRO")</f>
        <v>JERIC NAVARRO</v>
      </c>
      <c r="E434" s="1" t="str">
        <f>IFERROR(__xludf.DUMMYFUNCTION("""COMPUTED_VALUE"""),"PLDT")</f>
        <v>PLDT</v>
      </c>
      <c r="F434" s="1">
        <f>IFERROR(__xludf.DUMMYFUNCTION("""COMPUTED_VALUE"""),2307046007)</f>
        <v>2307046007</v>
      </c>
      <c r="G434" s="1"/>
      <c r="H434" s="1" t="str">
        <f>IFERROR(__xludf.DUMMYFUNCTION("""COMPUTED_VALUE"""),"MANILYN BUSCANO LUZON")</f>
        <v>MANILYN BUSCANO LUZON</v>
      </c>
      <c r="I434" s="1">
        <f>IFERROR(__xludf.DUMMYFUNCTION("""COMPUTED_VALUE"""),9560035986)</f>
        <v>9560035986</v>
      </c>
      <c r="J434" s="1">
        <f>IFERROR(__xludf.DUMMYFUNCTION("""COMPUTED_VALUE"""),9278881935)</f>
        <v>9278881935</v>
      </c>
      <c r="K434" s="1" t="str">
        <f>IFERROR(__xludf.DUMMYFUNCTION("""COMPUTED_VALUE"""),"VAFHELB@GMAIL.COM")</f>
        <v>VAFHELB@GMAIL.COM</v>
      </c>
      <c r="L434" s="1" t="str">
        <f>IFERROR(__xludf.DUMMYFUNCTION("""COMPUTED_VALUE"""),"BLK 8 LOT 5")</f>
        <v>BLK 8 LOT 5</v>
      </c>
      <c r="M434" s="1" t="str">
        <f>IFERROR(__xludf.DUMMYFUNCTION("""COMPUTED_VALUE"""),"GOLD ST")</f>
        <v>GOLD ST</v>
      </c>
      <c r="N434" s="1" t="str">
        <f>IFERROR(__xludf.DUMMYFUNCTION("""COMPUTED_VALUE"""),"CAMELLA NORTH SPRINGS")</f>
        <v>CAMELLA NORTH SPRINGS</v>
      </c>
      <c r="O434" s="1" t="str">
        <f>IFERROR(__xludf.DUMMYFUNCTION("""COMPUTED_VALUE"""),"BCRLP203NP4/5/6")</f>
        <v>BCRLP203NP4/5/6</v>
      </c>
      <c r="P434" s="1" t="str">
        <f>IFERROR(__xludf.DUMMYFUNCTION("""COMPUTED_VALUE"""),"14.392602 120.990219")</f>
        <v>14.392602 120.990219</v>
      </c>
      <c r="Q434" s="1" t="str">
        <f>IFERROR(__xludf.DUMMYFUNCTION("""COMPUTED_VALUE"""),"MOLINO III")</f>
        <v>MOLINO III</v>
      </c>
      <c r="R434" s="1" t="str">
        <f>IFERROR(__xludf.DUMMYFUNCTION("""COMPUTED_VALUE"""),"BACOOR")</f>
        <v>BACOOR</v>
      </c>
      <c r="S434" s="1" t="str">
        <f>IFERROR(__xludf.DUMMYFUNCTION("""COMPUTED_VALUE"""),"FIBR PLAN 1799")</f>
        <v>FIBR PLAN 1799</v>
      </c>
      <c r="T434" s="1" t="str">
        <f>IFERROR(__xludf.DUMMYFUNCTION("""COMPUTED_VALUE"""),"APPROVED")</f>
        <v>APPROVED</v>
      </c>
      <c r="U434" s="1"/>
      <c r="V434" s="1"/>
      <c r="W434" s="1"/>
    </row>
    <row r="435" customHeight="1" spans="1:23">
      <c r="A435" s="3">
        <f>IFERROR(__xludf.DUMMYFUNCTION("""COMPUTED_VALUE"""),46069)</f>
        <v>46069</v>
      </c>
      <c r="B435" s="1" t="str">
        <f>IFERROR(__xludf.DUMMYFUNCTION("""COMPUTED_VALUE"""),"AYON MANUEL")</f>
        <v>AYON MANUEL</v>
      </c>
      <c r="C435" s="1" t="str">
        <f>IFERROR(__xludf.DUMMYFUNCTION("""COMPUTED_VALUE"""),"FLA")</f>
        <v>FLA</v>
      </c>
      <c r="D435" s="1" t="str">
        <f>IFERROR(__xludf.DUMMYFUNCTION("""COMPUTED_VALUE"""),"JERIC NAVARRO")</f>
        <v>JERIC NAVARRO</v>
      </c>
      <c r="E435" s="1" t="str">
        <f>IFERROR(__xludf.DUMMYFUNCTION("""COMPUTED_VALUE"""),"PLDT")</f>
        <v>PLDT</v>
      </c>
      <c r="F435" s="1">
        <f>IFERROR(__xludf.DUMMYFUNCTION("""COMPUTED_VALUE"""),2307047235)</f>
        <v>2307047235</v>
      </c>
      <c r="G435" s="1"/>
      <c r="H435" s="1" t="str">
        <f>IFERROR(__xludf.DUMMYFUNCTION("""COMPUTED_VALUE"""),"ARDEE DAQUIATAN SAN PEDRO")</f>
        <v>ARDEE DAQUIATAN SAN PEDRO</v>
      </c>
      <c r="I435" s="1">
        <f>IFERROR(__xludf.DUMMYFUNCTION("""COMPUTED_VALUE"""),9777074341)</f>
        <v>9777074341</v>
      </c>
      <c r="J435" s="1">
        <f>IFERROR(__xludf.DUMMYFUNCTION("""COMPUTED_VALUE"""),9914667367)</f>
        <v>9914667367</v>
      </c>
      <c r="K435" s="1" t="str">
        <f>IFERROR(__xludf.DUMMYFUNCTION("""COMPUTED_VALUE"""),"ARDEE.D.SANPEDRO@GMAIL.COM")</f>
        <v>ARDEE.D.SANPEDRO@GMAIL.COM</v>
      </c>
      <c r="L435" s="1" t="str">
        <f>IFERROR(__xludf.DUMMYFUNCTION("""COMPUTED_VALUE"""),"BLK 14 LOT 17")</f>
        <v>BLK 14 LOT 17</v>
      </c>
      <c r="M435" s="1" t="str">
        <f>IFERROR(__xludf.DUMMYFUNCTION("""COMPUTED_VALUE"""),"PHASE 5")</f>
        <v>PHASE 5</v>
      </c>
      <c r="N435" s="1" t="str">
        <f>IFERROR(__xludf.DUMMYFUNCTION("""COMPUTED_VALUE"""),"TERRAVERDE RESIDENCES")</f>
        <v>TERRAVERDE RESIDENCES</v>
      </c>
      <c r="O435" s="1" t="str">
        <f>IFERROR(__xludf.DUMMYFUNCTION("""COMPUTED_VALUE"""),"CMNLP271NP5")</f>
        <v>CMNLP271NP5</v>
      </c>
      <c r="P435" s="1" t="str">
        <f>IFERROR(__xludf.DUMMYFUNCTION("""COMPUTED_VALUE"""),"14.299051 121.017660")</f>
        <v>14.299051 121.017660</v>
      </c>
      <c r="Q435" s="1" t="str">
        <f>IFERROR(__xludf.DUMMYFUNCTION("""COMPUTED_VALUE"""),"BANCAL")</f>
        <v>BANCAL</v>
      </c>
      <c r="R435" s="1" t="str">
        <f>IFERROR(__xludf.DUMMYFUNCTION("""COMPUTED_VALUE"""),"CARMONA")</f>
        <v>CARMONA</v>
      </c>
      <c r="S435" s="1" t="str">
        <f>IFERROR(__xludf.DUMMYFUNCTION("""COMPUTED_VALUE"""),"FIBR PLAN 1399")</f>
        <v>FIBR PLAN 1399</v>
      </c>
      <c r="T435" s="1" t="str">
        <f>IFERROR(__xludf.DUMMYFUNCTION("""COMPUTED_VALUE"""),"APPROVED")</f>
        <v>APPROVED</v>
      </c>
      <c r="U435" s="1"/>
      <c r="V435" s="1"/>
      <c r="W435" s="1"/>
    </row>
    <row r="436" customHeight="1" spans="1:23">
      <c r="A436" s="3">
        <f>IFERROR(__xludf.DUMMYFUNCTION("""COMPUTED_VALUE"""),46069)</f>
        <v>46069</v>
      </c>
      <c r="B436" s="1" t="str">
        <f>IFERROR(__xludf.DUMMYFUNCTION("""COMPUTED_VALUE"""),"AYON MANUEL")</f>
        <v>AYON MANUEL</v>
      </c>
      <c r="C436" s="1" t="str">
        <f>IFERROR(__xludf.DUMMYFUNCTION("""COMPUTED_VALUE"""),"FLA")</f>
        <v>FLA</v>
      </c>
      <c r="D436" s="1" t="str">
        <f>IFERROR(__xludf.DUMMYFUNCTION("""COMPUTED_VALUE"""),"JERIC NAVARRO")</f>
        <v>JERIC NAVARRO</v>
      </c>
      <c r="E436" s="1" t="str">
        <f>IFERROR(__xludf.DUMMYFUNCTION("""COMPUTED_VALUE"""),"PLDT")</f>
        <v>PLDT</v>
      </c>
      <c r="F436" s="1">
        <f>IFERROR(__xludf.DUMMYFUNCTION("""COMPUTED_VALUE"""),2307049136)</f>
        <v>2307049136</v>
      </c>
      <c r="G436" s="1"/>
      <c r="H436" s="1" t="str">
        <f>IFERROR(__xludf.DUMMYFUNCTION("""COMPUTED_VALUE"""),"BLOOMFIELDS HOA")</f>
        <v>BLOOMFIELDS HOA</v>
      </c>
      <c r="I436" s="1">
        <f>IFERROR(__xludf.DUMMYFUNCTION("""COMPUTED_VALUE"""),9471060092)</f>
        <v>9471060092</v>
      </c>
      <c r="J436" s="1">
        <f>IFERROR(__xludf.DUMMYFUNCTION("""COMPUTED_VALUE"""),9471060093)</f>
        <v>9471060093</v>
      </c>
      <c r="K436" s="1" t="str">
        <f>IFERROR(__xludf.DUMMYFUNCTION("""COMPUTED_VALUE"""),"CAMILLEAGEGAIL.MOJICA@STATEPROPERTIES.PH")</f>
        <v>CAMILLEAGEGAIL.MOJICA@STATEPROPERTIES.PH</v>
      </c>
      <c r="L436" s="1" t="str">
        <f>IFERROR(__xludf.DUMMYFUNCTION("""COMPUTED_VALUE"""),"BLK 2 LOT 1")</f>
        <v>BLK 2 LOT 1</v>
      </c>
      <c r="M436" s="1" t="str">
        <f>IFERROR(__xludf.DUMMYFUNCTION("""COMPUTED_VALUE"""),"BLOOMFIELDS")</f>
        <v>BLOOMFIELDS</v>
      </c>
      <c r="N436" s="1"/>
      <c r="O436" s="1" t="str">
        <f>IFERROR(__xludf.DUMMYFUNCTION("""COMPUTED_VALUE"""),"TGTLP164NP2/3/4/5")</f>
        <v>TGTLP164NP2/3/4/5</v>
      </c>
      <c r="P436" s="1" t="str">
        <f>IFERROR(__xludf.DUMMYFUNCTION("""COMPUTED_VALUE"""),"14.098466 120.942369")</f>
        <v>14.098466 120.942369</v>
      </c>
      <c r="Q436" s="1" t="str">
        <f>IFERROR(__xludf.DUMMYFUNCTION("""COMPUTED_VALUE"""),"MAHARLIKA WEST")</f>
        <v>MAHARLIKA WEST</v>
      </c>
      <c r="R436" s="1" t="str">
        <f>IFERROR(__xludf.DUMMYFUNCTION("""COMPUTED_VALUE"""),"TAGAYTAY")</f>
        <v>TAGAYTAY</v>
      </c>
      <c r="S436" s="1" t="str">
        <f>IFERROR(__xludf.DUMMYFUNCTION("""COMPUTED_VALUE"""),"HOMEBIZZ 1299")</f>
        <v>HOMEBIZZ 1299</v>
      </c>
      <c r="T436" s="1" t="str">
        <f>IFERROR(__xludf.DUMMYFUNCTION("""COMPUTED_VALUE"""),"APPROVED")</f>
        <v>APPROVED</v>
      </c>
      <c r="U436" s="1"/>
      <c r="V436" s="1"/>
      <c r="W436" s="1"/>
    </row>
    <row r="437" customHeight="1" spans="1:23">
      <c r="A437" s="3">
        <f>IFERROR(__xludf.DUMMYFUNCTION("""COMPUTED_VALUE"""),46069)</f>
        <v>46069</v>
      </c>
      <c r="B437" s="1" t="str">
        <f>IFERROR(__xludf.DUMMYFUNCTION("""COMPUTED_VALUE"""),"FRANCISCO , ROSELYN")</f>
        <v>FRANCISCO , ROSELYN</v>
      </c>
      <c r="C437" s="1" t="str">
        <f>IFERROR(__xludf.DUMMYFUNCTION("""COMPUTED_VALUE"""),"FLA")</f>
        <v>FLA</v>
      </c>
      <c r="D437" s="1" t="str">
        <f>IFERROR(__xludf.DUMMYFUNCTION("""COMPUTED_VALUE"""),"JERIC NAVARRO")</f>
        <v>JERIC NAVARRO</v>
      </c>
      <c r="E437" s="1" t="str">
        <f>IFERROR(__xludf.DUMMYFUNCTION("""COMPUTED_VALUE"""),"PLDT")</f>
        <v>PLDT</v>
      </c>
      <c r="F437" s="1">
        <f>IFERROR(__xludf.DUMMYFUNCTION("""COMPUTED_VALUE"""),2307048011)</f>
        <v>2307048011</v>
      </c>
      <c r="G437" s="1"/>
      <c r="H437" s="1" t="str">
        <f>IFERROR(__xludf.DUMMYFUNCTION("""COMPUTED_VALUE"""),"ROXANNE HERNANDEZ BUCAL")</f>
        <v>ROXANNE HERNANDEZ BUCAL</v>
      </c>
      <c r="I437" s="1">
        <f>IFERROR(__xludf.DUMMYFUNCTION("""COMPUTED_VALUE"""),9508726471)</f>
        <v>9508726471</v>
      </c>
      <c r="J437" s="1">
        <f>IFERROR(__xludf.DUMMYFUNCTION("""COMPUTED_VALUE"""),9531562310)</f>
        <v>9531562310</v>
      </c>
      <c r="K437" s="1" t="str">
        <f>IFERROR(__xludf.DUMMYFUNCTION("""COMPUTED_VALUE"""),"ROXYIEHB@GMAIL.COM")</f>
        <v>ROXYIEHB@GMAIL.COM</v>
      </c>
      <c r="L437" s="1" t="str">
        <f>IFERROR(__xludf.DUMMYFUNCTION("""COMPUTED_VALUE"""),"6")</f>
        <v>6</v>
      </c>
      <c r="M437" s="1" t="str">
        <f>IFERROR(__xludf.DUMMYFUNCTION("""COMPUTED_VALUE"""),"JP RIZAL")</f>
        <v>JP RIZAL</v>
      </c>
      <c r="N437" s="1"/>
      <c r="O437" s="1" t="str">
        <f>IFERROR(__xludf.DUMMYFUNCTION("""COMPUTED_VALUE"""),"GAOLP014NP7 GAOLP015NP8")</f>
        <v>GAOLP014NP7 GAOLP015NP8</v>
      </c>
      <c r="P437" s="1" t="str">
        <f>IFERROR(__xludf.DUMMYFUNCTION("""COMPUTED_VALUE"""),"14.186948 120.794147")</f>
        <v>14.186948 120.794147</v>
      </c>
      <c r="Q437" s="1" t="str">
        <f>IFERROR(__xludf.DUMMYFUNCTION("""COMPUTED_VALUE"""),"POBLACION III")</f>
        <v>POBLACION III</v>
      </c>
      <c r="R437" s="1" t="str">
        <f>IFERROR(__xludf.DUMMYFUNCTION("""COMPUTED_VALUE"""),"GENERAL EMILIO AGUINALDO")</f>
        <v>GENERAL EMILIO AGUINALDO</v>
      </c>
      <c r="S437" s="1" t="str">
        <f>IFERROR(__xludf.DUMMYFUNCTION("""COMPUTED_VALUE"""),"FIBR PLAN 1399")</f>
        <v>FIBR PLAN 1399</v>
      </c>
      <c r="T437" s="1" t="str">
        <f>IFERROR(__xludf.DUMMYFUNCTION("""COMPUTED_VALUE"""),"APPROVED")</f>
        <v>APPROVED</v>
      </c>
      <c r="U437" s="1"/>
      <c r="V437" s="1"/>
      <c r="W437" s="1"/>
    </row>
    <row r="438" customHeight="1" spans="1:23">
      <c r="A438" s="3">
        <f>IFERROR(__xludf.DUMMYFUNCTION("""COMPUTED_VALUE"""),46069)</f>
        <v>46069</v>
      </c>
      <c r="B438" s="1" t="str">
        <f>IFERROR(__xludf.DUMMYFUNCTION("""COMPUTED_VALUE"""),"SAMURAY, MARINELLE GACILLIOS")</f>
        <v>SAMURAY, MARINELLE GACILLIOS</v>
      </c>
      <c r="C438" s="1" t="str">
        <f>IFERROR(__xludf.DUMMYFUNCTION("""COMPUTED_VALUE"""),"ORGANIC")</f>
        <v>ORGANIC</v>
      </c>
      <c r="D438" s="1" t="str">
        <f>IFERROR(__xludf.DUMMYFUNCTION("""COMPUTED_VALUE"""),"REMOLLO LEA")</f>
        <v>REMOLLO LEA</v>
      </c>
      <c r="E438" s="1" t="str">
        <f>IFERROR(__xludf.DUMMYFUNCTION("""COMPUTED_VALUE"""),"PLDT")</f>
        <v>PLDT</v>
      </c>
      <c r="F438" s="1"/>
      <c r="G438" s="1"/>
      <c r="H438" s="1" t="str">
        <f>IFERROR(__xludf.DUMMYFUNCTION("""COMPUTED_VALUE"""),"COLITA DOBLADO BUENCIBELLO ")</f>
        <v>COLITA DOBLADO BUENCIBELLO </v>
      </c>
      <c r="I438" s="1">
        <f>IFERROR(__xludf.DUMMYFUNCTION("""COMPUTED_VALUE"""),9709442544)</f>
        <v>9709442544</v>
      </c>
      <c r="J438" s="1"/>
      <c r="K438" s="1" t="str">
        <f>IFERROR(__xludf.DUMMYFUNCTION("""COMPUTED_VALUE"""),"JIOANN06ABELCRUZ@GMAIL.COM")</f>
        <v>JIOANN06ABELCRUZ@GMAIL.COM</v>
      </c>
      <c r="L438" s="1" t="str">
        <f>IFERROR(__xludf.DUMMYFUNCTION("""COMPUTED_VALUE"""),"97")</f>
        <v>97</v>
      </c>
      <c r="M438" s="1" t="str">
        <f>IFERROR(__xludf.DUMMYFUNCTION("""COMPUTED_VALUE"""),"PUROK 6")</f>
        <v>PUROK 6</v>
      </c>
      <c r="N438" s="1" t="str">
        <f>IFERROR(__xludf.DUMMYFUNCTION("""COMPUTED_VALUE"""),"LOOBAN ST")</f>
        <v>LOOBAN ST</v>
      </c>
      <c r="O438" s="1" t="str">
        <f>IFERROR(__xludf.DUMMYFUNCTION("""COMPUTED_VALUE"""),"SILLP511NP5 SILLP614NP1")</f>
        <v>SILLP511NP5 SILLP614NP1</v>
      </c>
      <c r="P438" s="1" t="str">
        <f>IFERROR(__xludf.DUMMYFUNCTION("""COMPUTED_VALUE"""),"14.216064 121.000089")</f>
        <v>14.216064 121.000089</v>
      </c>
      <c r="Q438" s="1" t="str">
        <f>IFERROR(__xludf.DUMMYFUNCTION("""COMPUTED_VALUE"""),"MUNTING ILOG")</f>
        <v>MUNTING ILOG</v>
      </c>
      <c r="R438" s="1" t="str">
        <f>IFERROR(__xludf.DUMMYFUNCTION("""COMPUTED_VALUE"""),"SILANG")</f>
        <v>SILANG</v>
      </c>
      <c r="S438" s="1" t="str">
        <f>IFERROR(__xludf.DUMMYFUNCTION("""COMPUTED_VALUE"""),"FIBR PLAN 1399")</f>
        <v>FIBR PLAN 1399</v>
      </c>
      <c r="T438" s="1" t="str">
        <f>IFERROR(__xludf.DUMMYFUNCTION("""COMPUTED_VALUE"""),"HOLD")</f>
        <v>HOLD</v>
      </c>
      <c r="U438" s="1" t="str">
        <f>IFERROR(__xludf.DUMMYFUNCTION("""COMPUTED_VALUE"""),"AS PER SUBS NO CASH OUT DAW")</f>
        <v>AS PER SUBS NO CASH OUT DAW</v>
      </c>
      <c r="V438" s="1"/>
      <c r="W438" s="1"/>
    </row>
    <row r="439" customHeight="1" spans="1:23">
      <c r="A439" s="3">
        <f>IFERROR(__xludf.DUMMYFUNCTION("""COMPUTED_VALUE"""),46069)</f>
        <v>46069</v>
      </c>
      <c r="B439" s="1" t="str">
        <f>IFERROR(__xludf.DUMMYFUNCTION("""COMPUTED_VALUE"""),"MIRASOL, RAYRALYN")</f>
        <v>MIRASOL, RAYRALYN</v>
      </c>
      <c r="C439" s="1" t="str">
        <f>IFERROR(__xludf.DUMMYFUNCTION("""COMPUTED_VALUE"""),"ORGANIC")</f>
        <v>ORGANIC</v>
      </c>
      <c r="D439" s="1" t="str">
        <f>IFERROR(__xludf.DUMMYFUNCTION("""COMPUTED_VALUE"""),"REMOLLO LEA")</f>
        <v>REMOLLO LEA</v>
      </c>
      <c r="E439" s="1" t="str">
        <f>IFERROR(__xludf.DUMMYFUNCTION("""COMPUTED_VALUE"""),"PLDT")</f>
        <v>PLDT</v>
      </c>
      <c r="F439" s="1">
        <f>IFERROR(__xludf.DUMMYFUNCTION("""COMPUTED_VALUE"""),2307049189)</f>
        <v>2307049189</v>
      </c>
      <c r="G439" s="1"/>
      <c r="H439" s="1" t="str">
        <f>IFERROR(__xludf.DUMMYFUNCTION("""COMPUTED_VALUE"""),"ERIKA GAMBAT CERELLES")</f>
        <v>ERIKA GAMBAT CERELLES</v>
      </c>
      <c r="I439" s="1">
        <f>IFERROR(__xludf.DUMMYFUNCTION("""COMPUTED_VALUE"""),9649926885)</f>
        <v>9649926885</v>
      </c>
      <c r="J439" s="1"/>
      <c r="K439" s="1" t="str">
        <f>IFERROR(__xludf.DUMMYFUNCTION("""COMPUTED_VALUE"""),"FRANCISFRIAS026@GMAIL.COM")</f>
        <v>FRANCISFRIAS026@GMAIL.COM</v>
      </c>
      <c r="L439" s="1" t="str">
        <f>IFERROR(__xludf.DUMMYFUNCTION("""COMPUTED_VALUE"""),"44")</f>
        <v>44</v>
      </c>
      <c r="M439" s="1" t="str">
        <f>IFERROR(__xludf.DUMMYFUNCTION("""COMPUTED_VALUE"""),"PUROK 6")</f>
        <v>PUROK 6</v>
      </c>
      <c r="N439" s="1"/>
      <c r="O439" s="1" t="str">
        <f>IFERROR(__xludf.DUMMYFUNCTION("""COMPUTED_VALUE"""),"SILLP511NP5 SILLP614NP1")</f>
        <v>SILLP511NP5 SILLP614NP1</v>
      </c>
      <c r="P439" s="1" t="str">
        <f>IFERROR(__xludf.DUMMYFUNCTION("""COMPUTED_VALUE"""),"14.216440 121.00066")</f>
        <v>14.216440 121.00066</v>
      </c>
      <c r="Q439" s="1" t="str">
        <f>IFERROR(__xludf.DUMMYFUNCTION("""COMPUTED_VALUE"""),"MUNTING ILOG")</f>
        <v>MUNTING ILOG</v>
      </c>
      <c r="R439" s="1" t="str">
        <f>IFERROR(__xludf.DUMMYFUNCTION("""COMPUTED_VALUE"""),"SILANG")</f>
        <v>SILANG</v>
      </c>
      <c r="S439" s="1" t="str">
        <f>IFERROR(__xludf.DUMMYFUNCTION("""COMPUTED_VALUE"""),"PREPAID 999")</f>
        <v>PREPAID 999</v>
      </c>
      <c r="T439" s="1" t="str">
        <f>IFERROR(__xludf.DUMMYFUNCTION("""COMPUTED_VALUE"""),"APPROVED")</f>
        <v>APPROVED</v>
      </c>
      <c r="U439" s="1"/>
      <c r="V439" s="1"/>
      <c r="W439" s="1"/>
    </row>
    <row r="440" customHeight="1" spans="1:23">
      <c r="A440" s="3">
        <f>IFERROR(__xludf.DUMMYFUNCTION("""COMPUTED_VALUE"""),46069)</f>
        <v>46069</v>
      </c>
      <c r="B440" s="1" t="str">
        <f>IFERROR(__xludf.DUMMYFUNCTION("""COMPUTED_VALUE"""),"MAGDARAOG, KENNETH")</f>
        <v>MAGDARAOG, KENNETH</v>
      </c>
      <c r="C440" s="1" t="str">
        <f>IFERROR(__xludf.DUMMYFUNCTION("""COMPUTED_VALUE"""),"ORGANIC")</f>
        <v>ORGANIC</v>
      </c>
      <c r="D440" s="1" t="str">
        <f>IFERROR(__xludf.DUMMYFUNCTION("""COMPUTED_VALUE"""),"REMOLLO LEA")</f>
        <v>REMOLLO LEA</v>
      </c>
      <c r="E440" s="1" t="str">
        <f>IFERROR(__xludf.DUMMYFUNCTION("""COMPUTED_VALUE"""),"PLDT")</f>
        <v>PLDT</v>
      </c>
      <c r="F440" s="1">
        <f>IFERROR(__xludf.DUMMYFUNCTION("""COMPUTED_VALUE"""),2307056790)</f>
        <v>2307056790</v>
      </c>
      <c r="G440" s="1"/>
      <c r="H440" s="1" t="str">
        <f>IFERROR(__xludf.DUMMYFUNCTION("""COMPUTED_VALUE"""),"LANI BALANON MAAPOY")</f>
        <v>LANI BALANON MAAPOY</v>
      </c>
      <c r="I440" s="1">
        <f>IFERROR(__xludf.DUMMYFUNCTION("""COMPUTED_VALUE"""),9295039355)</f>
        <v>9295039355</v>
      </c>
      <c r="J440" s="1">
        <f>IFERROR(__xludf.DUMMYFUNCTION("""COMPUTED_VALUE"""),9628025931)</f>
        <v>9628025931</v>
      </c>
      <c r="K440" s="1" t="str">
        <f>IFERROR(__xludf.DUMMYFUNCTION("""COMPUTED_VALUE"""),"LADYREDWOW@GMAIL.COM")</f>
        <v>LADYREDWOW@GMAIL.COM</v>
      </c>
      <c r="L440" s="1" t="str">
        <f>IFERROR(__xludf.DUMMYFUNCTION("""COMPUTED_VALUE"""),"BLK 3 LOT 14")</f>
        <v>BLK 3 LOT 14</v>
      </c>
      <c r="M440" s="1" t="str">
        <f>IFERROR(__xludf.DUMMYFUNCTION("""COMPUTED_VALUE"""),"VENUS ")</f>
        <v>VENUS </v>
      </c>
      <c r="N440" s="1" t="str">
        <f>IFERROR(__xludf.DUMMYFUNCTION("""COMPUTED_VALUE"""),"PERPETUAL 7")</f>
        <v>PERPETUAL 7</v>
      </c>
      <c r="O440" s="1" t="str">
        <f>IFERROR(__xludf.DUMMYFUNCTION("""COMPUTED_VALUE"""),"BCRLP55NP1/4 BCRLP559NP1/2 BCR LPC90NP1/5")</f>
        <v>BCRLP55NP1/4 BCRLP559NP1/2 BCR LPC90NP1/5</v>
      </c>
      <c r="P440" s="1" t="str">
        <f>IFERROR(__xludf.DUMMYFUNCTION("""COMPUTED_VALUE"""),"14.429386 120.949926")</f>
        <v>14.429386 120.949926</v>
      </c>
      <c r="Q440" s="1" t="str">
        <f>IFERROR(__xludf.DUMMYFUNCTION("""COMPUTED_VALUE"""),"MAMBOG V")</f>
        <v>MAMBOG V</v>
      </c>
      <c r="R440" s="1" t="str">
        <f>IFERROR(__xludf.DUMMYFUNCTION("""COMPUTED_VALUE"""),"BACOOR")</f>
        <v>BACOOR</v>
      </c>
      <c r="S440" s="1" t="str">
        <f>IFERROR(__xludf.DUMMYFUNCTION("""COMPUTED_VALUE"""),"FIBR PLAN 1699")</f>
        <v>FIBR PLAN 1699</v>
      </c>
      <c r="T440" s="1" t="str">
        <f>IFERROR(__xludf.DUMMYFUNCTION("""COMPUTED_VALUE"""),"APPROVED")</f>
        <v>APPROVED</v>
      </c>
      <c r="U440" s="1"/>
      <c r="V440" s="1"/>
      <c r="W440" s="1"/>
    </row>
    <row r="441" customHeight="1" spans="1:23">
      <c r="A441" s="3">
        <f>IFERROR(__xludf.DUMMYFUNCTION("""COMPUTED_VALUE"""),46069)</f>
        <v>46069</v>
      </c>
      <c r="B441" s="1" t="str">
        <f>IFERROR(__xludf.DUMMYFUNCTION("""COMPUTED_VALUE"""),"OPS SIR ZIM")</f>
        <v>OPS SIR ZIM</v>
      </c>
      <c r="C441" s="1" t="str">
        <f>IFERROR(__xludf.DUMMYFUNCTION("""COMPUTED_VALUE"""),"FLA")</f>
        <v>FLA</v>
      </c>
      <c r="D441" s="1" t="str">
        <f>IFERROR(__xludf.DUMMYFUNCTION("""COMPUTED_VALUE"""),"JERIC NAVARRO")</f>
        <v>JERIC NAVARRO</v>
      </c>
      <c r="E441" s="1" t="str">
        <f>IFERROR(__xludf.DUMMYFUNCTION("""COMPUTED_VALUE"""),"PLDT")</f>
        <v>PLDT</v>
      </c>
      <c r="F441" s="1">
        <f>IFERROR(__xludf.DUMMYFUNCTION("""COMPUTED_VALUE"""),2307052746)</f>
        <v>2307052746</v>
      </c>
      <c r="G441" s="1"/>
      <c r="H441" s="1" t="str">
        <f>IFERROR(__xludf.DUMMYFUNCTION("""COMPUTED_VALUE"""),"MARY ROSE PAYAOAN MENDOZA")</f>
        <v>MARY ROSE PAYAOAN MENDOZA</v>
      </c>
      <c r="I441" s="1">
        <f>IFERROR(__xludf.DUMMYFUNCTION("""COMPUTED_VALUE"""),9567786473)</f>
        <v>9567786473</v>
      </c>
      <c r="J441" s="1">
        <f>IFERROR(__xludf.DUMMYFUNCTION("""COMPUTED_VALUE"""),9358420041)</f>
        <v>9358420041</v>
      </c>
      <c r="K441" s="1" t="str">
        <f>IFERROR(__xludf.DUMMYFUNCTION("""COMPUTED_VALUE"""),"MRPAYAOAN@GMAIL.COM")</f>
        <v>MRPAYAOAN@GMAIL.COM</v>
      </c>
      <c r="L441" s="1" t="str">
        <f>IFERROR(__xludf.DUMMYFUNCTION("""COMPUTED_VALUE"""),"BLK 35 LOT 4/6")</f>
        <v>BLK 35 LOT 4/6</v>
      </c>
      <c r="M441" s="1" t="str">
        <f>IFERROR(__xludf.DUMMYFUNCTION("""COMPUTED_VALUE"""),"FUJITSU")</f>
        <v>FUJITSU</v>
      </c>
      <c r="N441" s="1" t="str">
        <f>IFERROR(__xludf.DUMMYFUNCTION("""COMPUTED_VALUE"""),"CYBERVILLE")</f>
        <v>CYBERVILLE</v>
      </c>
      <c r="O441" s="1" t="str">
        <f>IFERROR(__xludf.DUMMYFUNCTION("""COMPUTED_VALUE"""),"GTSLPA31NP2/3 GTSLPA31NP1")</f>
        <v>GTSLPA31NP2/3 GTSLPA31NP1</v>
      </c>
      <c r="P441" s="1" t="str">
        <f>IFERROR(__xludf.DUMMYFUNCTION("""COMPUTED_VALUE"""),"14.351870 120.9213010")</f>
        <v>14.351870 120.9213010</v>
      </c>
      <c r="Q441" s="1" t="str">
        <f>IFERROR(__xludf.DUMMYFUNCTION("""COMPUTED_VALUE"""),"SANTIAGO")</f>
        <v>SANTIAGO</v>
      </c>
      <c r="R441" s="1" t="str">
        <f>IFERROR(__xludf.DUMMYFUNCTION("""COMPUTED_VALUE"""),"GENERAL TRIAS")</f>
        <v>GENERAL TRIAS</v>
      </c>
      <c r="S441" s="1" t="str">
        <f>IFERROR(__xludf.DUMMYFUNCTION("""COMPUTED_VALUE"""),"FIBR PLAN 2499")</f>
        <v>FIBR PLAN 2499</v>
      </c>
      <c r="T441" s="1" t="str">
        <f>IFERROR(__xludf.DUMMYFUNCTION("""COMPUTED_VALUE"""),"APPROVED")</f>
        <v>APPROVED</v>
      </c>
      <c r="U441" s="1"/>
      <c r="V441" s="1"/>
      <c r="W441" s="1"/>
    </row>
    <row r="442" customHeight="1" spans="1:23">
      <c r="A442" s="3">
        <f>IFERROR(__xludf.DUMMYFUNCTION("""COMPUTED_VALUE"""),46069)</f>
        <v>46069</v>
      </c>
      <c r="B442" s="1" t="str">
        <f>IFERROR(__xludf.DUMMYFUNCTION("""COMPUTED_VALUE"""),"VILLANAS , EVANGELINE")</f>
        <v>VILLANAS , EVANGELINE</v>
      </c>
      <c r="C442" s="1" t="str">
        <f>IFERROR(__xludf.DUMMYFUNCTION("""COMPUTED_VALUE"""),"ORGANIC")</f>
        <v>ORGANIC</v>
      </c>
      <c r="D442" s="1" t="str">
        <f>IFERROR(__xludf.DUMMYFUNCTION("""COMPUTED_VALUE"""),"REMOLLO LEA")</f>
        <v>REMOLLO LEA</v>
      </c>
      <c r="E442" s="1" t="str">
        <f>IFERROR(__xludf.DUMMYFUNCTION("""COMPUTED_VALUE"""),"PLDT")</f>
        <v>PLDT</v>
      </c>
      <c r="F442" s="1">
        <f>IFERROR(__xludf.DUMMYFUNCTION("""COMPUTED_VALUE"""),2307058809)</f>
        <v>2307058809</v>
      </c>
      <c r="G442" s="1"/>
      <c r="H442" s="1" t="str">
        <f>IFERROR(__xludf.DUMMYFUNCTION("""COMPUTED_VALUE"""),"SHANE PRINCESS JOY PEREY DIMARANAN")</f>
        <v>SHANE PRINCESS JOY PEREY DIMARANAN</v>
      </c>
      <c r="I442" s="1">
        <f>IFERROR(__xludf.DUMMYFUNCTION("""COMPUTED_VALUE"""),9777738872)</f>
        <v>9777738872</v>
      </c>
      <c r="J442" s="1"/>
      <c r="K442" s="1" t="str">
        <f>IFERROR(__xludf.DUMMYFUNCTION("""COMPUTED_VALUE"""),"DIMARANANSHANE@GMAIL.COM")</f>
        <v>DIMARANANSHANE@GMAIL.COM</v>
      </c>
      <c r="L442" s="1" t="str">
        <f>IFERROR(__xludf.DUMMYFUNCTION("""COMPUTED_VALUE"""),"102")</f>
        <v>102</v>
      </c>
      <c r="M442" s="1" t="str">
        <f>IFERROR(__xludf.DUMMYFUNCTION("""COMPUTED_VALUE"""),"GALICIA")</f>
        <v>GALICIA</v>
      </c>
      <c r="N442" s="1"/>
      <c r="O442" s="1" t="str">
        <f>IFERROR(__xludf.DUMMYFUNCTION("""COMPUTED_VALUE"""),"MDZLP2NP8/7 MDZLP046NP2")</f>
        <v>MDZLP2NP8/7 MDZLP046NP2</v>
      </c>
      <c r="P442" s="1" t="str">
        <f>IFERROR(__xludf.DUMMYFUNCTION("""COMPUTED_VALUE"""),"14.128384 120.905370")</f>
        <v>14.128384 120.905370</v>
      </c>
      <c r="Q442" s="1" t="str">
        <f>IFERROR(__xludf.DUMMYFUNCTION("""COMPUTED_VALUE"""),"GALICIA I")</f>
        <v>GALICIA I</v>
      </c>
      <c r="R442" s="1" t="str">
        <f>IFERROR(__xludf.DUMMYFUNCTION("""COMPUTED_VALUE"""),"MENDEZ")</f>
        <v>MENDEZ</v>
      </c>
      <c r="S442" s="1" t="str">
        <f>IFERROR(__xludf.DUMMYFUNCTION("""COMPUTED_VALUE"""),"PREPAID 999")</f>
        <v>PREPAID 999</v>
      </c>
      <c r="T442" s="1" t="str">
        <f>IFERROR(__xludf.DUMMYFUNCTION("""COMPUTED_VALUE"""),"APPROVED")</f>
        <v>APPROVED</v>
      </c>
      <c r="U442" s="1"/>
      <c r="V442" s="1"/>
      <c r="W442" s="1"/>
    </row>
    <row r="443" customHeight="1" spans="1:23">
      <c r="A443" s="3">
        <f>IFERROR(__xludf.DUMMYFUNCTION("""COMPUTED_VALUE"""),46069)</f>
        <v>46069</v>
      </c>
      <c r="B443" s="1" t="str">
        <f>IFERROR(__xludf.DUMMYFUNCTION("""COMPUTED_VALUE"""),"CONCEPCION, ALJAY")</f>
        <v>CONCEPCION, ALJAY</v>
      </c>
      <c r="C443" s="1" t="str">
        <f>IFERROR(__xludf.DUMMYFUNCTION("""COMPUTED_VALUE"""),"ORGANIC")</f>
        <v>ORGANIC</v>
      </c>
      <c r="D443" s="1" t="str">
        <f>IFERROR(__xludf.DUMMYFUNCTION("""COMPUTED_VALUE"""),"REMOLLO LEA")</f>
        <v>REMOLLO LEA</v>
      </c>
      <c r="E443" s="1" t="str">
        <f>IFERROR(__xludf.DUMMYFUNCTION("""COMPUTED_VALUE"""),"PLDT")</f>
        <v>PLDT</v>
      </c>
      <c r="F443" s="1">
        <f>IFERROR(__xludf.DUMMYFUNCTION("""COMPUTED_VALUE"""),2307058657)</f>
        <v>2307058657</v>
      </c>
      <c r="G443" s="1"/>
      <c r="H443" s="1" t="str">
        <f>IFERROR(__xludf.DUMMYFUNCTION("""COMPUTED_VALUE"""),"JESSA OTOD FONOLLERA")</f>
        <v>JESSA OTOD FONOLLERA</v>
      </c>
      <c r="I443" s="1">
        <f>IFERROR(__xludf.DUMMYFUNCTION("""COMPUTED_VALUE"""),9350760190)</f>
        <v>9350760190</v>
      </c>
      <c r="J443" s="1"/>
      <c r="K443" s="1" t="str">
        <f>IFERROR(__xludf.DUMMYFUNCTION("""COMPUTED_VALUE"""),"FONOLLERAJESSA09@GMAIL.COM")</f>
        <v>FONOLLERAJESSA09@GMAIL.COM</v>
      </c>
      <c r="L443" s="1" t="str">
        <f>IFERROR(__xludf.DUMMYFUNCTION("""COMPUTED_VALUE"""),"1")</f>
        <v>1</v>
      </c>
      <c r="M443" s="1" t="str">
        <f>IFERROR(__xludf.DUMMYFUNCTION("""COMPUTED_VALUE"""),"ANULING RD")</f>
        <v>ANULING RD</v>
      </c>
      <c r="N443" s="1"/>
      <c r="O443" s="1" t="str">
        <f>IFERROR(__xludf.DUMMYFUNCTION("""COMPUTED_VALUE"""),"MDZLP050NP2/3/8")</f>
        <v>MDZLP050NP2/3/8</v>
      </c>
      <c r="P443" s="1" t="str">
        <f>IFERROR(__xludf.DUMMYFUNCTION("""COMPUTED_VALUE"""),"14.127944 120.887805")</f>
        <v>14.127944 120.887805</v>
      </c>
      <c r="Q443" s="1" t="str">
        <f>IFERROR(__xludf.DUMMYFUNCTION("""COMPUTED_VALUE"""),"ANULING CERCA II")</f>
        <v>ANULING CERCA II</v>
      </c>
      <c r="R443" s="1" t="str">
        <f>IFERROR(__xludf.DUMMYFUNCTION("""COMPUTED_VALUE"""),"MENDEZ")</f>
        <v>MENDEZ</v>
      </c>
      <c r="S443" s="1" t="str">
        <f>IFERROR(__xludf.DUMMYFUNCTION("""COMPUTED_VALUE"""),"FIBR PLAN 1399")</f>
        <v>FIBR PLAN 1399</v>
      </c>
      <c r="T443" s="1" t="str">
        <f>IFERROR(__xludf.DUMMYFUNCTION("""COMPUTED_VALUE"""),"APPROVED")</f>
        <v>APPROVED</v>
      </c>
      <c r="U443" s="1"/>
      <c r="V443" s="1"/>
      <c r="W443" s="1"/>
    </row>
    <row r="444" customHeight="1" spans="1:23">
      <c r="A444" s="3">
        <f>IFERROR(__xludf.DUMMYFUNCTION("""COMPUTED_VALUE"""),46070)</f>
        <v>46070</v>
      </c>
      <c r="B444" s="1" t="str">
        <f>IFERROR(__xludf.DUMMYFUNCTION("""COMPUTED_VALUE"""),"MALIWAT MARK ELVIN")</f>
        <v>MALIWAT MARK ELVIN</v>
      </c>
      <c r="C444" s="1" t="str">
        <f>IFERROR(__xludf.DUMMYFUNCTION("""COMPUTED_VALUE"""),"FLA")</f>
        <v>FLA</v>
      </c>
      <c r="D444" s="1" t="str">
        <f>IFERROR(__xludf.DUMMYFUNCTION("""COMPUTED_VALUE"""),"JERIC NAVARRO")</f>
        <v>JERIC NAVARRO</v>
      </c>
      <c r="E444" s="1" t="str">
        <f>IFERROR(__xludf.DUMMYFUNCTION("""COMPUTED_VALUE"""),"PLDT")</f>
        <v>PLDT</v>
      </c>
      <c r="F444" s="1">
        <f>IFERROR(__xludf.DUMMYFUNCTION("""COMPUTED_VALUE"""),2307070102)</f>
        <v>2307070102</v>
      </c>
      <c r="G444" s="1"/>
      <c r="H444" s="1" t="str">
        <f>IFERROR(__xludf.DUMMYFUNCTION("""COMPUTED_VALUE"""),"JOELA CLARITO SANTOSIDAD")</f>
        <v>JOELA CLARITO SANTOSIDAD</v>
      </c>
      <c r="I444" s="1">
        <f>IFERROR(__xludf.DUMMYFUNCTION("""COMPUTED_VALUE"""),9215857043)</f>
        <v>9215857043</v>
      </c>
      <c r="J444" s="1">
        <f>IFERROR(__xludf.DUMMYFUNCTION("""COMPUTED_VALUE"""),9684460725)</f>
        <v>9684460725</v>
      </c>
      <c r="K444" s="1" t="str">
        <f>IFERROR(__xludf.DUMMYFUNCTION("""COMPUTED_VALUE"""),"URBANSTORE.JOANAMAE@GMAIL.COM")</f>
        <v>URBANSTORE.JOANAMAE@GMAIL.COM</v>
      </c>
      <c r="L444" s="1" t="str">
        <f>IFERROR(__xludf.DUMMYFUNCTION("""COMPUTED_VALUE"""),"215 ME")</f>
        <v>215 ME</v>
      </c>
      <c r="M444" s="1" t="str">
        <f>IFERROR(__xludf.DUMMYFUNCTION("""COMPUTED_VALUE"""),"BLISS CPD")</f>
        <v>BLISS CPD</v>
      </c>
      <c r="N444" s="1"/>
      <c r="O444" s="1" t="str">
        <f>IFERROR(__xludf.DUMMYFUNCTION("""COMPUTED_VALUE"""),"SILLP14NP1/4 SILPLP13NP3")</f>
        <v>SILLP14NP1/4 SILPLP13NP3</v>
      </c>
      <c r="P444" s="1" t="str">
        <f>IFERROR(__xludf.DUMMYFUNCTION("""COMPUTED_VALUE"""),"14.258943 120.972154")</f>
        <v>14.258943 120.972154</v>
      </c>
      <c r="Q444" s="1" t="str">
        <f>IFERROR(__xludf.DUMMYFUNCTION("""COMPUTED_VALUE"""),"BIGA II")</f>
        <v>BIGA II</v>
      </c>
      <c r="R444" s="1" t="str">
        <f>IFERROR(__xludf.DUMMYFUNCTION("""COMPUTED_VALUE"""),"SILANG")</f>
        <v>SILANG</v>
      </c>
      <c r="S444" s="1" t="str">
        <f>IFERROR(__xludf.DUMMYFUNCTION("""COMPUTED_VALUE"""),"FIBR PLAN 1399")</f>
        <v>FIBR PLAN 1399</v>
      </c>
      <c r="T444" s="1" t="str">
        <f>IFERROR(__xludf.DUMMYFUNCTION("""COMPUTED_VALUE"""),"APPROVED")</f>
        <v>APPROVED</v>
      </c>
      <c r="U444" s="1"/>
      <c r="V444" s="1"/>
      <c r="W444" s="1"/>
    </row>
    <row r="445" customHeight="1" spans="1:23">
      <c r="A445" s="3">
        <f>IFERROR(__xludf.DUMMYFUNCTION("""COMPUTED_VALUE"""),46070)</f>
        <v>46070</v>
      </c>
      <c r="B445" s="1" t="str">
        <f>IFERROR(__xludf.DUMMYFUNCTION("""COMPUTED_VALUE"""),"MALIWAT MARK ELVIN")</f>
        <v>MALIWAT MARK ELVIN</v>
      </c>
      <c r="C445" s="1" t="str">
        <f>IFERROR(__xludf.DUMMYFUNCTION("""COMPUTED_VALUE"""),"FLA")</f>
        <v>FLA</v>
      </c>
      <c r="D445" s="1" t="str">
        <f>IFERROR(__xludf.DUMMYFUNCTION("""COMPUTED_VALUE"""),"JERIC NAVARRO")</f>
        <v>JERIC NAVARRO</v>
      </c>
      <c r="E445" s="1" t="str">
        <f>IFERROR(__xludf.DUMMYFUNCTION("""COMPUTED_VALUE"""),"PLDT")</f>
        <v>PLDT</v>
      </c>
      <c r="F445" s="1">
        <f>IFERROR(__xludf.DUMMYFUNCTION("""COMPUTED_VALUE"""),2307070104)</f>
        <v>2307070104</v>
      </c>
      <c r="G445" s="1"/>
      <c r="H445" s="1" t="str">
        <f>IFERROR(__xludf.DUMMYFUNCTION("""COMPUTED_VALUE"""),"FERDINAND VELASQUEZ AGUILAR")</f>
        <v>FERDINAND VELASQUEZ AGUILAR</v>
      </c>
      <c r="I445" s="1">
        <f>IFERROR(__xludf.DUMMYFUNCTION("""COMPUTED_VALUE"""),9270442856)</f>
        <v>9270442856</v>
      </c>
      <c r="J445" s="1"/>
      <c r="K445" s="1" t="str">
        <f>IFERROR(__xludf.DUMMYFUNCTION("""COMPUTED_VALUE"""),"DREFAGUILAR22@GMAIL.COM")</f>
        <v>DREFAGUILAR22@GMAIL.COM</v>
      </c>
      <c r="L445" s="1" t="str">
        <f>IFERROR(__xludf.DUMMYFUNCTION("""COMPUTED_VALUE"""),"6085")</f>
        <v>6085</v>
      </c>
      <c r="M445" s="1" t="str">
        <f>IFERROR(__xludf.DUMMYFUNCTION("""COMPUTED_VALUE"""),"TAPIA")</f>
        <v>TAPIA</v>
      </c>
      <c r="N445" s="1"/>
      <c r="O445" s="1" t="str">
        <f>IFERROR(__xludf.DUMMYFUNCTION("""COMPUTED_VALUE"""),"GTSLP965NP2/3/4/5")</f>
        <v>GTSLP965NP2/3/4/5</v>
      </c>
      <c r="P445" s="1" t="str">
        <f>IFERROR(__xludf.DUMMYFUNCTION("""COMPUTED_VALUE"""),"14.358514 120.881108")</f>
        <v>14.358514 120.881108</v>
      </c>
      <c r="Q445" s="1" t="str">
        <f>IFERROR(__xludf.DUMMYFUNCTION("""COMPUTED_VALUE"""),"TAPIA")</f>
        <v>TAPIA</v>
      </c>
      <c r="R445" s="1" t="str">
        <f>IFERROR(__xludf.DUMMYFUNCTION("""COMPUTED_VALUE"""),"GENERAL TRIAS")</f>
        <v>GENERAL TRIAS</v>
      </c>
      <c r="S445" s="1" t="str">
        <f>IFERROR(__xludf.DUMMYFUNCTION("""COMPUTED_VALUE"""),"FIBR PLAN 1399")</f>
        <v>FIBR PLAN 1399</v>
      </c>
      <c r="T445" s="1" t="str">
        <f>IFERROR(__xludf.DUMMYFUNCTION("""COMPUTED_VALUE"""),"APPROVED")</f>
        <v>APPROVED</v>
      </c>
      <c r="U445" s="1"/>
      <c r="V445" s="1"/>
      <c r="W445" s="1"/>
    </row>
    <row r="446" customHeight="1" spans="1:23">
      <c r="A446" s="3">
        <f>IFERROR(__xludf.DUMMYFUNCTION("""COMPUTED_VALUE"""),46070)</f>
        <v>46070</v>
      </c>
      <c r="B446" s="1" t="str">
        <f>IFERROR(__xludf.DUMMYFUNCTION("""COMPUTED_VALUE"""),"LLEGUE. RON VINCENT")</f>
        <v>LLEGUE. RON VINCENT</v>
      </c>
      <c r="C446" s="1" t="str">
        <f>IFERROR(__xludf.DUMMYFUNCTION("""COMPUTED_VALUE"""),"ORGANIC")</f>
        <v>ORGANIC</v>
      </c>
      <c r="D446" s="1" t="str">
        <f>IFERROR(__xludf.DUMMYFUNCTION("""COMPUTED_VALUE"""),"ALOS, CHARLS")</f>
        <v>ALOS, CHARLS</v>
      </c>
      <c r="E446" s="1" t="str">
        <f>IFERROR(__xludf.DUMMYFUNCTION("""COMPUTED_VALUE"""),"RED FIBER")</f>
        <v>RED FIBER</v>
      </c>
      <c r="F446" s="1"/>
      <c r="G446" s="1"/>
      <c r="H446" s="1" t="str">
        <f>IFERROR(__xludf.DUMMYFUNCTION("""COMPUTED_VALUE"""),"SHIENA RICA DIMARANAN SAMSON")</f>
        <v>SHIENA RICA DIMARANAN SAMSON</v>
      </c>
      <c r="I446" s="1">
        <f>IFERROR(__xludf.DUMMYFUNCTION("""COMPUTED_VALUE"""),9105730676)</f>
        <v>9105730676</v>
      </c>
      <c r="J446" s="1"/>
      <c r="K446" s="1" t="str">
        <f>IFERROR(__xludf.DUMMYFUNCTION("""COMPUTED_VALUE"""),"RSSAMSON2@GAMIL.COM")</f>
        <v>RSSAMSON2@GAMIL.COM</v>
      </c>
      <c r="L446" s="1" t="str">
        <f>IFERROR(__xludf.DUMMYFUNCTION("""COMPUTED_VALUE"""),"9031")</f>
        <v>9031</v>
      </c>
      <c r="M446" s="1" t="str">
        <f>IFERROR(__xludf.DUMMYFUNCTION("""COMPUTED_VALUE"""),"LLAMADO ST")</f>
        <v>LLAMADO ST</v>
      </c>
      <c r="N446" s="1"/>
      <c r="O446" s="1" t="str">
        <f>IFERROR(__xludf.DUMMYFUNCTION("""COMPUTED_VALUE"""),"CVTLCP81NP1/2")</f>
        <v>CVTLCP81NP1/2</v>
      </c>
      <c r="P446" s="1" t="str">
        <f>IFERROR(__xludf.DUMMYFUNCTION("""COMPUTED_VALUE"""),"14.138280 120899953")</f>
        <v>14.138280 120899953</v>
      </c>
      <c r="Q446" s="1" t="str">
        <f>IFERROR(__xludf.DUMMYFUNCTION("""COMPUTED_VALUE"""),"ASIS I")</f>
        <v>ASIS I</v>
      </c>
      <c r="R446" s="1" t="str">
        <f>IFERROR(__xludf.DUMMYFUNCTION("""COMPUTED_VALUE"""),"MENDEZ")</f>
        <v>MENDEZ</v>
      </c>
      <c r="S446" s="1" t="str">
        <f>IFERROR(__xludf.DUMMYFUNCTION("""COMPUTED_VALUE"""),"RED FIBER PLAN 1000")</f>
        <v>RED FIBER PLAN 1000</v>
      </c>
      <c r="T446" s="1" t="str">
        <f>IFERROR(__xludf.DUMMYFUNCTION("""COMPUTED_VALUE"""),"APPROVED")</f>
        <v>APPROVED</v>
      </c>
      <c r="U446" s="1"/>
      <c r="V446" s="1"/>
      <c r="W446" s="1"/>
    </row>
    <row r="447" customHeight="1" spans="1:23">
      <c r="A447" s="3">
        <f>IFERROR(__xludf.DUMMYFUNCTION("""COMPUTED_VALUE"""),46070)</f>
        <v>46070</v>
      </c>
      <c r="B447" s="1" t="str">
        <f>IFERROR(__xludf.DUMMYFUNCTION("""COMPUTED_VALUE"""),"DE VERA, MARIVIC")</f>
        <v>DE VERA, MARIVIC</v>
      </c>
      <c r="C447" s="1" t="str">
        <f>IFERROR(__xludf.DUMMYFUNCTION("""COMPUTED_VALUE"""),"ORGANIC")</f>
        <v>ORGANIC</v>
      </c>
      <c r="D447" s="1" t="str">
        <f>IFERROR(__xludf.DUMMYFUNCTION("""COMPUTED_VALUE"""),"ALINGARO, CINDY")</f>
        <v>ALINGARO, CINDY</v>
      </c>
      <c r="E447" s="1" t="str">
        <f>IFERROR(__xludf.DUMMYFUNCTION("""COMPUTED_VALUE"""),"PLDT")</f>
        <v>PLDT</v>
      </c>
      <c r="F447" s="1">
        <f>IFERROR(__xludf.DUMMYFUNCTION("""COMPUTED_VALUE"""),2307076210)</f>
        <v>2307076210</v>
      </c>
      <c r="G447" s="1"/>
      <c r="H447" s="1" t="str">
        <f>IFERROR(__xludf.DUMMYFUNCTION("""COMPUTED_VALUE"""),"CHESKA MARIE GILONGOS PAGKALINAWAN")</f>
        <v>CHESKA MARIE GILONGOS PAGKALINAWAN</v>
      </c>
      <c r="I447" s="1">
        <f>IFERROR(__xludf.DUMMYFUNCTION("""COMPUTED_VALUE"""),9617000295)</f>
        <v>9617000295</v>
      </c>
      <c r="J447" s="1"/>
      <c r="K447" s="1" t="str">
        <f>IFERROR(__xludf.DUMMYFUNCTION("""COMPUTED_VALUE"""),"CHSKPGKLNWN@GMAIL.COM")</f>
        <v>CHSKPGKLNWN@GMAIL.COM</v>
      </c>
      <c r="L447" s="1" t="str">
        <f>IFERROR(__xludf.DUMMYFUNCTION("""COMPUTED_VALUE"""),"BLK 2 LOT 11")</f>
        <v>BLK 2 LOT 11</v>
      </c>
      <c r="M447" s="1" t="str">
        <f>IFERROR(__xludf.DUMMYFUNCTION("""COMPUTED_VALUE"""),"PHASE 4")</f>
        <v>PHASE 4</v>
      </c>
      <c r="N447" s="1" t="str">
        <f>IFERROR(__xludf.DUMMYFUNCTION("""COMPUTED_VALUE"""),"CARENVILLE")</f>
        <v>CARENVILLE</v>
      </c>
      <c r="O447" s="1" t="str">
        <f>IFERROR(__xludf.DUMMYFUNCTION("""COMPUTED_VALUE"""),"KAWLP79NP2 KAWLP80NP1/2/3/4/5/6/7/8")</f>
        <v>KAWLP79NP2 KAWLP80NP1/2/3/4/5/6/7/8</v>
      </c>
      <c r="P447" s="1" t="str">
        <f>IFERROR(__xludf.DUMMYFUNCTION("""COMPUTED_VALUE"""),"14.432544 120.889914")</f>
        <v>14.432544 120.889914</v>
      </c>
      <c r="Q447" s="1" t="str">
        <f>IFERROR(__xludf.DUMMYFUNCTION("""COMPUTED_VALUE"""),"MAGDALO")</f>
        <v>MAGDALO</v>
      </c>
      <c r="R447" s="1" t="str">
        <f>IFERROR(__xludf.DUMMYFUNCTION("""COMPUTED_VALUE"""),"KAWIT")</f>
        <v>KAWIT</v>
      </c>
      <c r="S447" s="1" t="str">
        <f>IFERROR(__xludf.DUMMYFUNCTION("""COMPUTED_VALUE"""),"FIBR PLAN 1399")</f>
        <v>FIBR PLAN 1399</v>
      </c>
      <c r="T447" s="1" t="str">
        <f>IFERROR(__xludf.DUMMYFUNCTION("""COMPUTED_VALUE"""),"APPROVED")</f>
        <v>APPROVED</v>
      </c>
      <c r="U447" s="1"/>
      <c r="V447" s="1"/>
      <c r="W447" s="1"/>
    </row>
    <row r="448" customHeight="1" spans="1:23">
      <c r="A448" s="3">
        <f>IFERROR(__xludf.DUMMYFUNCTION("""COMPUTED_VALUE"""),46070)</f>
        <v>46070</v>
      </c>
      <c r="B448" s="1" t="str">
        <f>IFERROR(__xludf.DUMMYFUNCTION("""COMPUTED_VALUE"""),"FARO, REFRANTA")</f>
        <v>FARO, REFRANTA</v>
      </c>
      <c r="C448" s="1" t="str">
        <f>IFERROR(__xludf.DUMMYFUNCTION("""COMPUTED_VALUE"""),"ORGANIC")</f>
        <v>ORGANIC</v>
      </c>
      <c r="D448" s="1" t="str">
        <f>IFERROR(__xludf.DUMMYFUNCTION("""COMPUTED_VALUE"""),"REMOLLO LEA")</f>
        <v>REMOLLO LEA</v>
      </c>
      <c r="E448" s="1" t="str">
        <f>IFERROR(__xludf.DUMMYFUNCTION("""COMPUTED_VALUE"""),"PLDT")</f>
        <v>PLDT</v>
      </c>
      <c r="F448" s="1">
        <f>IFERROR(__xludf.DUMMYFUNCTION("""COMPUTED_VALUE"""),2307076397)</f>
        <v>2307076397</v>
      </c>
      <c r="G448" s="1"/>
      <c r="H448" s="1" t="str">
        <f>IFERROR(__xludf.DUMMYFUNCTION("""COMPUTED_VALUE"""),"MARK IVAN GUEVARRA DETRUZ")</f>
        <v>MARK IVAN GUEVARRA DETRUZ</v>
      </c>
      <c r="I448" s="1">
        <f>IFERROR(__xludf.DUMMYFUNCTION("""COMPUTED_VALUE"""),9850389167)</f>
        <v>9850389167</v>
      </c>
      <c r="J448" s="1"/>
      <c r="K448" s="1" t="str">
        <f>IFERROR(__xludf.DUMMYFUNCTION("""COMPUTED_VALUE"""),"IMDTRZ@GMAIL.COM")</f>
        <v>IMDTRZ@GMAIL.COM</v>
      </c>
      <c r="L448" s="1" t="str">
        <f>IFERROR(__xludf.DUMMYFUNCTION("""COMPUTED_VALUE"""),"582")</f>
        <v>582</v>
      </c>
      <c r="M448" s="1" t="str">
        <f>IFERROR(__xludf.DUMMYFUNCTION("""COMPUTED_VALUE"""),"PUROK 6")</f>
        <v>PUROK 6</v>
      </c>
      <c r="N448" s="1"/>
      <c r="O448" s="1" t="str">
        <f>IFERROR(__xludf.DUMMYFUNCTION("""COMPUTED_VALUE"""),"SILLP641NP2 SILLP640NP1/2/3")</f>
        <v>SILLP641NP2 SILLP640NP1/2/3</v>
      </c>
      <c r="P448" s="1" t="str">
        <f>IFERROR(__xludf.DUMMYFUNCTION("""COMPUTED_VALUE"""),"14.219014 121.001791")</f>
        <v>14.219014 121.001791</v>
      </c>
      <c r="Q448" s="1" t="str">
        <f>IFERROR(__xludf.DUMMYFUNCTION("""COMPUTED_VALUE"""),"MUNTING ILOG")</f>
        <v>MUNTING ILOG</v>
      </c>
      <c r="R448" s="1" t="str">
        <f>IFERROR(__xludf.DUMMYFUNCTION("""COMPUTED_VALUE"""),"SILANG")</f>
        <v>SILANG</v>
      </c>
      <c r="S448" s="1" t="str">
        <f>IFERROR(__xludf.DUMMYFUNCTION("""COMPUTED_VALUE"""),"FIBR PLAN 1599")</f>
        <v>FIBR PLAN 1599</v>
      </c>
      <c r="T448" s="1" t="str">
        <f>IFERROR(__xludf.DUMMYFUNCTION("""COMPUTED_VALUE"""),"APPROVED")</f>
        <v>APPROVED</v>
      </c>
      <c r="U448" s="1"/>
      <c r="V448" s="1"/>
      <c r="W448" s="1"/>
    </row>
    <row r="449" customHeight="1" spans="1:23">
      <c r="A449" s="3">
        <f>IFERROR(__xludf.DUMMYFUNCTION("""COMPUTED_VALUE"""),46070)</f>
        <v>46070</v>
      </c>
      <c r="B449" s="1" t="str">
        <f>IFERROR(__xludf.DUMMYFUNCTION("""COMPUTED_VALUE"""),"SAMURAY, MARINELLE GACILLIOS")</f>
        <v>SAMURAY, MARINELLE GACILLIOS</v>
      </c>
      <c r="C449" s="1" t="str">
        <f>IFERROR(__xludf.DUMMYFUNCTION("""COMPUTED_VALUE"""),"ORGANIC")</f>
        <v>ORGANIC</v>
      </c>
      <c r="D449" s="1" t="str">
        <f>IFERROR(__xludf.DUMMYFUNCTION("""COMPUTED_VALUE"""),"ALINGARO, CINDY")</f>
        <v>ALINGARO, CINDY</v>
      </c>
      <c r="E449" s="1" t="str">
        <f>IFERROR(__xludf.DUMMYFUNCTION("""COMPUTED_VALUE"""),"RED FIBER")</f>
        <v>RED FIBER</v>
      </c>
      <c r="F449" s="1"/>
      <c r="G449" s="1"/>
      <c r="H449" s="1" t="str">
        <f>IFERROR(__xludf.DUMMYFUNCTION("""COMPUTED_VALUE"""),"FAITH BONGAO DE GRANO")</f>
        <v>FAITH BONGAO DE GRANO</v>
      </c>
      <c r="I449" s="1">
        <f>IFERROR(__xludf.DUMMYFUNCTION("""COMPUTED_VALUE"""),9051168456)</f>
        <v>9051168456</v>
      </c>
      <c r="J449" s="1"/>
      <c r="K449" s="1" t="str">
        <f>IFERROR(__xludf.DUMMYFUNCTION("""COMPUTED_VALUE"""),"DEGRANOFAITH1995@GMAIL.COM")</f>
        <v>DEGRANOFAITH1995@GMAIL.COM</v>
      </c>
      <c r="L449" s="1" t="str">
        <f>IFERROR(__xludf.DUMMYFUNCTION("""COMPUTED_VALUE"""),"203")</f>
        <v>203</v>
      </c>
      <c r="M449" s="1" t="str">
        <f>IFERROR(__xludf.DUMMYFUNCTION("""COMPUTED_VALUE"""),"LUKSHIN")</f>
        <v>LUKSHIN</v>
      </c>
      <c r="N449" s="1"/>
      <c r="O449" s="1" t="str">
        <f>IFERROR(__xludf.DUMMYFUNCTION("""COMPUTED_VALUE"""),"LCP49NP1")</f>
        <v>LCP49NP1</v>
      </c>
      <c r="P449" s="1" t="str">
        <f>IFERROR(__xludf.DUMMYFUNCTION("""COMPUTED_VALUE"""),"14.097178 120.880869")</f>
        <v>14.097178 120.880869</v>
      </c>
      <c r="Q449" s="1" t="str">
        <f>IFERROR(__xludf.DUMMYFUNCTION("""COMPUTED_VALUE"""),"LUKSUHIN")</f>
        <v>LUKSUHIN</v>
      </c>
      <c r="R449" s="1" t="str">
        <f>IFERROR(__xludf.DUMMYFUNCTION("""COMPUTED_VALUE"""),"ALFONSO")</f>
        <v>ALFONSO</v>
      </c>
      <c r="S449" s="1" t="str">
        <f>IFERROR(__xludf.DUMMYFUNCTION("""COMPUTED_VALUE"""),"RED FIBER PLAN 1000")</f>
        <v>RED FIBER PLAN 1000</v>
      </c>
      <c r="T449" s="1" t="str">
        <f>IFERROR(__xludf.DUMMYFUNCTION("""COMPUTED_VALUE"""),"APPROVED")</f>
        <v>APPROVED</v>
      </c>
      <c r="U449" s="1"/>
      <c r="V449" s="1"/>
      <c r="W449" s="1"/>
    </row>
    <row r="450" customHeight="1" spans="1:23">
      <c r="A450" s="3">
        <f>IFERROR(__xludf.DUMMYFUNCTION("""COMPUTED_VALUE"""),46070)</f>
        <v>46070</v>
      </c>
      <c r="B450" s="1" t="str">
        <f>IFERROR(__xludf.DUMMYFUNCTION("""COMPUTED_VALUE"""),"GABAY, MANUEL")</f>
        <v>GABAY, MANUEL</v>
      </c>
      <c r="C450" s="1" t="str">
        <f>IFERROR(__xludf.DUMMYFUNCTION("""COMPUTED_VALUE"""),"FLA")</f>
        <v>FLA</v>
      </c>
      <c r="D450" s="1" t="str">
        <f>IFERROR(__xludf.DUMMYFUNCTION("""COMPUTED_VALUE"""),"JERIC NAVARRO")</f>
        <v>JERIC NAVARRO</v>
      </c>
      <c r="E450" s="1" t="str">
        <f>IFERROR(__xludf.DUMMYFUNCTION("""COMPUTED_VALUE"""),"PLDT")</f>
        <v>PLDT</v>
      </c>
      <c r="F450" s="1">
        <f>IFERROR(__xludf.DUMMYFUNCTION("""COMPUTED_VALUE"""),2307077210)</f>
        <v>2307077210</v>
      </c>
      <c r="G450" s="1"/>
      <c r="H450" s="1" t="str">
        <f>IFERROR(__xludf.DUMMYFUNCTION("""COMPUTED_VALUE"""),"LANCE ELAGO VERTUS")</f>
        <v>LANCE ELAGO VERTUS</v>
      </c>
      <c r="I450" s="1">
        <f>IFERROR(__xludf.DUMMYFUNCTION("""COMPUTED_VALUE"""),9763357070)</f>
        <v>9763357070</v>
      </c>
      <c r="J450" s="1"/>
      <c r="K450" s="1" t="str">
        <f>IFERROR(__xludf.DUMMYFUNCTION("""COMPUTED_VALUE"""),"LANCEVERTUS967@GMAIL.COM")</f>
        <v>LANCEVERTUS967@GMAIL.COM</v>
      </c>
      <c r="L450" s="1" t="str">
        <f>IFERROR(__xludf.DUMMYFUNCTION("""COMPUTED_VALUE"""),"343")</f>
        <v>343</v>
      </c>
      <c r="M450" s="1" t="str">
        <f>IFERROR(__xludf.DUMMYFUNCTION("""COMPUTED_VALUE"""),"MUNTING ILOG RD")</f>
        <v>MUNTING ILOG RD</v>
      </c>
      <c r="N450" s="1"/>
      <c r="O450" s="1" t="str">
        <f>IFERROR(__xludf.DUMMYFUNCTION("""COMPUTED_VALUE"""),"SILLP641NP2 SILLP640NP1/2/3")</f>
        <v>SILLP641NP2 SILLP640NP1/2/3</v>
      </c>
      <c r="P450" s="1" t="str">
        <f>IFERROR(__xludf.DUMMYFUNCTION("""COMPUTED_VALUE"""),"14.21915 120.99735")</f>
        <v>14.21915 120.99735</v>
      </c>
      <c r="Q450" s="1" t="str">
        <f>IFERROR(__xludf.DUMMYFUNCTION("""COMPUTED_VALUE"""),"MUNTING ILOG")</f>
        <v>MUNTING ILOG</v>
      </c>
      <c r="R450" s="1" t="str">
        <f>IFERROR(__xludf.DUMMYFUNCTION("""COMPUTED_VALUE"""),"SILANG")</f>
        <v>SILANG</v>
      </c>
      <c r="S450" s="1" t="str">
        <f>IFERROR(__xludf.DUMMYFUNCTION("""COMPUTED_VALUE"""),"FIBR PLAN 1599")</f>
        <v>FIBR PLAN 1599</v>
      </c>
      <c r="T450" s="1" t="str">
        <f>IFERROR(__xludf.DUMMYFUNCTION("""COMPUTED_VALUE"""),"APPROVED")</f>
        <v>APPROVED</v>
      </c>
      <c r="U450" s="1"/>
      <c r="V450" s="1"/>
      <c r="W450" s="1"/>
    </row>
    <row r="451" customHeight="1" spans="1:23">
      <c r="A451" s="3">
        <f>IFERROR(__xludf.DUMMYFUNCTION("""COMPUTED_VALUE"""),46070)</f>
        <v>46070</v>
      </c>
      <c r="B451" s="1" t="str">
        <f>IFERROR(__xludf.DUMMYFUNCTION("""COMPUTED_VALUE"""),"GABAY, MANUEL")</f>
        <v>GABAY, MANUEL</v>
      </c>
      <c r="C451" s="1" t="str">
        <f>IFERROR(__xludf.DUMMYFUNCTION("""COMPUTED_VALUE"""),"FLA")</f>
        <v>FLA</v>
      </c>
      <c r="D451" s="1" t="str">
        <f>IFERROR(__xludf.DUMMYFUNCTION("""COMPUTED_VALUE"""),"JERIC NAVARRO")</f>
        <v>JERIC NAVARRO</v>
      </c>
      <c r="E451" s="1" t="str">
        <f>IFERROR(__xludf.DUMMYFUNCTION("""COMPUTED_VALUE"""),"PLDT")</f>
        <v>PLDT</v>
      </c>
      <c r="F451" s="1">
        <f>IFERROR(__xludf.DUMMYFUNCTION("""COMPUTED_VALUE"""),2307079401)</f>
        <v>2307079401</v>
      </c>
      <c r="G451" s="1"/>
      <c r="H451" s="1" t="str">
        <f>IFERROR(__xludf.DUMMYFUNCTION("""COMPUTED_VALUE"""),"MARY JANE AGUIRON CONDEZ")</f>
        <v>MARY JANE AGUIRON CONDEZ</v>
      </c>
      <c r="I451" s="1">
        <f>IFERROR(__xludf.DUMMYFUNCTION("""COMPUTED_VALUE"""),9094521258)</f>
        <v>9094521258</v>
      </c>
      <c r="J451" s="1">
        <f>IFERROR(__xludf.DUMMYFUNCTION("""COMPUTED_VALUE"""),9638710568)</f>
        <v>9638710568</v>
      </c>
      <c r="K451" s="1" t="str">
        <f>IFERROR(__xludf.DUMMYFUNCTION("""COMPUTED_VALUE"""),"MARYJANECONDEZ47@GMAIL.COM")</f>
        <v>MARYJANECONDEZ47@GMAIL.COM</v>
      </c>
      <c r="L451" s="1" t="str">
        <f>IFERROR(__xludf.DUMMYFUNCTION("""COMPUTED_VALUE"""),"330")</f>
        <v>330</v>
      </c>
      <c r="M451" s="1" t="str">
        <f>IFERROR(__xludf.DUMMYFUNCTION("""COMPUTED_VALUE"""),"MUNTING ILOG RD")</f>
        <v>MUNTING ILOG RD</v>
      </c>
      <c r="N451" s="1"/>
      <c r="O451" s="1" t="str">
        <f>IFERROR(__xludf.DUMMYFUNCTION("""COMPUTED_VALUE"""),"SILLP641NP2 SILLP640NP1/2/3")</f>
        <v>SILLP641NP2 SILLP640NP1/2/3</v>
      </c>
      <c r="P451" s="1" t="str">
        <f>IFERROR(__xludf.DUMMYFUNCTION("""COMPUTED_VALUE"""),"14.219149 120.99713")</f>
        <v>14.219149 120.99713</v>
      </c>
      <c r="Q451" s="1" t="str">
        <f>IFERROR(__xludf.DUMMYFUNCTION("""COMPUTED_VALUE"""),"MUNTING ILOG")</f>
        <v>MUNTING ILOG</v>
      </c>
      <c r="R451" s="1" t="str">
        <f>IFERROR(__xludf.DUMMYFUNCTION("""COMPUTED_VALUE"""),"SILANG")</f>
        <v>SILANG</v>
      </c>
      <c r="S451" s="1" t="str">
        <f>IFERROR(__xludf.DUMMYFUNCTION("""COMPUTED_VALUE"""),"FIBR PLAN 1399")</f>
        <v>FIBR PLAN 1399</v>
      </c>
      <c r="T451" s="1" t="str">
        <f>IFERROR(__xludf.DUMMYFUNCTION("""COMPUTED_VALUE"""),"APPROVED")</f>
        <v>APPROVED</v>
      </c>
      <c r="U451" s="1"/>
      <c r="V451" s="1"/>
      <c r="W451" s="1"/>
    </row>
    <row r="452" customHeight="1" spans="1:23">
      <c r="A452" s="3">
        <f>IFERROR(__xludf.DUMMYFUNCTION("""COMPUTED_VALUE"""),46070)</f>
        <v>46070</v>
      </c>
      <c r="B452" s="1" t="str">
        <f>IFERROR(__xludf.DUMMYFUNCTION("""COMPUTED_VALUE"""),"IVNO, RAZZEL")</f>
        <v>IVNO, RAZZEL</v>
      </c>
      <c r="C452" s="1" t="str">
        <f>IFERROR(__xludf.DUMMYFUNCTION("""COMPUTED_VALUE"""),"FLA")</f>
        <v>FLA</v>
      </c>
      <c r="D452" s="1" t="str">
        <f>IFERROR(__xludf.DUMMYFUNCTION("""COMPUTED_VALUE"""),"JERIC NAVARRO")</f>
        <v>JERIC NAVARRO</v>
      </c>
      <c r="E452" s="1" t="str">
        <f>IFERROR(__xludf.DUMMYFUNCTION("""COMPUTED_VALUE"""),"PLDT")</f>
        <v>PLDT</v>
      </c>
      <c r="F452" s="1">
        <f>IFERROR(__xludf.DUMMYFUNCTION("""COMPUTED_VALUE"""),2307079981)</f>
        <v>2307079981</v>
      </c>
      <c r="G452" s="1"/>
      <c r="H452" s="1" t="str">
        <f>IFERROR(__xludf.DUMMYFUNCTION("""COMPUTED_VALUE"""),"MICHAEL HEBRON MORENO")</f>
        <v>MICHAEL HEBRON MORENO</v>
      </c>
      <c r="I452" s="1">
        <f>IFERROR(__xludf.DUMMYFUNCTION("""COMPUTED_VALUE"""),9681760276)</f>
        <v>9681760276</v>
      </c>
      <c r="J452" s="1">
        <f>IFERROR(__xludf.DUMMYFUNCTION("""COMPUTED_VALUE"""),9776048173)</f>
        <v>9776048173</v>
      </c>
      <c r="K452" s="1" t="str">
        <f>IFERROR(__xludf.DUMMYFUNCTION("""COMPUTED_VALUE"""),"MYKANNES@GMAIL.COM")</f>
        <v>MYKANNES@GMAIL.COM</v>
      </c>
      <c r="L452" s="1" t="str">
        <f>IFERROR(__xludf.DUMMYFUNCTION("""COMPUTED_VALUE"""),"BLK 11 LOT 53")</f>
        <v>BLK 11 LOT 53</v>
      </c>
      <c r="M452" s="1" t="str">
        <f>IFERROR(__xludf.DUMMYFUNCTION("""COMPUTED_VALUE"""),"ISHIKAWA ST")</f>
        <v>ISHIKAWA ST</v>
      </c>
      <c r="N452" s="1" t="str">
        <f>IFERROR(__xludf.DUMMYFUNCTION("""COMPUTED_VALUE"""),"KINARI PHASE 1")</f>
        <v>KINARI PHASE 1</v>
      </c>
      <c r="O452" s="1" t="str">
        <f>IFERROR(__xludf.DUMMYFUNCTION("""COMPUTED_VALUE"""),"CMNLP161NP3/6 CMNLP160NP3/7")</f>
        <v>CMNLP161NP3/6 CMNLP160NP3/7</v>
      </c>
      <c r="P452" s="1" t="str">
        <f>IFERROR(__xludf.DUMMYFUNCTION("""COMPUTED_VALUE"""),"14.293171 121.046411")</f>
        <v>14.293171 121.046411</v>
      </c>
      <c r="Q452" s="1" t="str">
        <f>IFERROR(__xludf.DUMMYFUNCTION("""COMPUTED_VALUE"""),"LANTIC")</f>
        <v>LANTIC</v>
      </c>
      <c r="R452" s="1" t="str">
        <f>IFERROR(__xludf.DUMMYFUNCTION("""COMPUTED_VALUE"""),"CARMONA")</f>
        <v>CARMONA</v>
      </c>
      <c r="S452" s="1" t="str">
        <f>IFERROR(__xludf.DUMMYFUNCTION("""COMPUTED_VALUE"""),"FIBR PLAN 1399")</f>
        <v>FIBR PLAN 1399</v>
      </c>
      <c r="T452" s="1" t="str">
        <f>IFERROR(__xludf.DUMMYFUNCTION("""COMPUTED_VALUE"""),"APPROVED")</f>
        <v>APPROVED</v>
      </c>
      <c r="U452" s="1"/>
      <c r="V452" s="1"/>
      <c r="W452" s="1"/>
    </row>
    <row r="453" customHeight="1" spans="1:23">
      <c r="A453" s="3">
        <f>IFERROR(__xludf.DUMMYFUNCTION("""COMPUTED_VALUE"""),46070)</f>
        <v>46070</v>
      </c>
      <c r="B453" s="1" t="str">
        <f>IFERROR(__xludf.DUMMYFUNCTION("""COMPUTED_VALUE"""),"DE LEON, MERLY")</f>
        <v>DE LEON, MERLY</v>
      </c>
      <c r="C453" s="1" t="str">
        <f>IFERROR(__xludf.DUMMYFUNCTION("""COMPUTED_VALUE"""),"ORGANIC")</f>
        <v>ORGANIC</v>
      </c>
      <c r="D453" s="1" t="str">
        <f>IFERROR(__xludf.DUMMYFUNCTION("""COMPUTED_VALUE"""),"ALINGARO, CINDY")</f>
        <v>ALINGARO, CINDY</v>
      </c>
      <c r="E453" s="1" t="str">
        <f>IFERROR(__xludf.DUMMYFUNCTION("""COMPUTED_VALUE"""),"PLDT")</f>
        <v>PLDT</v>
      </c>
      <c r="F453" s="1">
        <f>IFERROR(__xludf.DUMMYFUNCTION("""COMPUTED_VALUE"""),2307080520)</f>
        <v>2307080520</v>
      </c>
      <c r="G453" s="1"/>
      <c r="H453" s="1" t="str">
        <f>IFERROR(__xludf.DUMMYFUNCTION("""COMPUTED_VALUE"""),"NORHAINA RATUNEL SARANSANAN")</f>
        <v>NORHAINA RATUNEL SARANSANAN</v>
      </c>
      <c r="I453" s="1">
        <f>IFERROR(__xludf.DUMMYFUNCTION("""COMPUTED_VALUE"""),9068760196)</f>
        <v>9068760196</v>
      </c>
      <c r="J453" s="1"/>
      <c r="K453" s="1" t="str">
        <f>IFERROR(__xludf.DUMMYFUNCTION("""COMPUTED_VALUE"""),"HANIASARABSARANSAMAN@GMAIL.COM")</f>
        <v>HANIASARABSARANSAMAN@GMAIL.COM</v>
      </c>
      <c r="L453" s="1" t="str">
        <f>IFERROR(__xludf.DUMMYFUNCTION("""COMPUTED_VALUE"""),"BLK 2 LOT 9")</f>
        <v>BLK 2 LOT 9</v>
      </c>
      <c r="M453" s="1" t="str">
        <f>IFERROR(__xludf.DUMMYFUNCTION("""COMPUTED_VALUE"""),"PHASE 2A")</f>
        <v>PHASE 2A</v>
      </c>
      <c r="N453" s="1"/>
      <c r="O453" s="1" t="str">
        <f>IFERROR(__xludf.DUMMYFUNCTION("""COMPUTED_VALUE"""),"SILLP65NP5/6/7/8")</f>
        <v>SILLP65NP5/6/7/8</v>
      </c>
      <c r="P453" s="1" t="str">
        <f>IFERROR(__xludf.DUMMYFUNCTION("""COMPUTED_VALUE"""),"14.271719 120.994887")</f>
        <v>14.271719 120.994887</v>
      </c>
      <c r="Q453" s="1" t="str">
        <f>IFERROR(__xludf.DUMMYFUNCTION("""COMPUTED_VALUE"""),"ANAHAW I")</f>
        <v>ANAHAW I</v>
      </c>
      <c r="R453" s="1" t="str">
        <f>IFERROR(__xludf.DUMMYFUNCTION("""COMPUTED_VALUE"""),"SILANG")</f>
        <v>SILANG</v>
      </c>
      <c r="S453" s="1" t="str">
        <f>IFERROR(__xludf.DUMMYFUNCTION("""COMPUTED_VALUE"""),"PREPAID 999")</f>
        <v>PREPAID 999</v>
      </c>
      <c r="T453" s="1" t="str">
        <f>IFERROR(__xludf.DUMMYFUNCTION("""COMPUTED_VALUE"""),"APPROVED")</f>
        <v>APPROVED</v>
      </c>
      <c r="U453" s="1"/>
      <c r="V453" s="1"/>
      <c r="W453" s="1"/>
    </row>
    <row r="454" customHeight="1" spans="1:23">
      <c r="A454" s="3">
        <f>IFERROR(__xludf.DUMMYFUNCTION("""COMPUTED_VALUE"""),46070)</f>
        <v>46070</v>
      </c>
      <c r="B454" s="1" t="str">
        <f>IFERROR(__xludf.DUMMYFUNCTION("""COMPUTED_VALUE"""),"CONCEPCION, ALJAY")</f>
        <v>CONCEPCION, ALJAY</v>
      </c>
      <c r="C454" s="1" t="str">
        <f>IFERROR(__xludf.DUMMYFUNCTION("""COMPUTED_VALUE"""),"ORGANIC")</f>
        <v>ORGANIC</v>
      </c>
      <c r="D454" s="1" t="str">
        <f>IFERROR(__xludf.DUMMYFUNCTION("""COMPUTED_VALUE"""),"ALINGARO, CINDY")</f>
        <v>ALINGARO, CINDY</v>
      </c>
      <c r="E454" s="1" t="str">
        <f>IFERROR(__xludf.DUMMYFUNCTION("""COMPUTED_VALUE"""),"PLDT")</f>
        <v>PLDT</v>
      </c>
      <c r="F454" s="1">
        <f>IFERROR(__xludf.DUMMYFUNCTION("""COMPUTED_VALUE"""),2307080906)</f>
        <v>2307080906</v>
      </c>
      <c r="G454" s="1"/>
      <c r="H454" s="1" t="str">
        <f>IFERROR(__xludf.DUMMYFUNCTION("""COMPUTED_VALUE"""),"REINDHART CASTILLO GERMINO")</f>
        <v>REINDHART CASTILLO GERMINO</v>
      </c>
      <c r="I454" s="1">
        <f>IFERROR(__xludf.DUMMYFUNCTION("""COMPUTED_VALUE"""),9496736142)</f>
        <v>9496736142</v>
      </c>
      <c r="J454" s="1"/>
      <c r="K454" s="1" t="str">
        <f>IFERROR(__xludf.DUMMYFUNCTION("""COMPUTED_VALUE"""),"REINCG@GAMIL.COM")</f>
        <v>REINCG@GAMIL.COM</v>
      </c>
      <c r="L454" s="1" t="str">
        <f>IFERROR(__xludf.DUMMYFUNCTION("""COMPUTED_VALUE"""),"LOT 3A")</f>
        <v>LOT 3A</v>
      </c>
      <c r="M454" s="1" t="str">
        <f>IFERROR(__xludf.DUMMYFUNCTION("""COMPUTED_VALUE"""),"TOLENTINO ST")</f>
        <v>TOLENTINO ST</v>
      </c>
      <c r="N454" s="1" t="str">
        <f>IFERROR(__xludf.DUMMYFUNCTION("""COMPUTED_VALUE"""),"EGR APPARTMENT")</f>
        <v>EGR APPARTMENT</v>
      </c>
      <c r="O454" s="1" t="str">
        <f>IFERROR(__xludf.DUMMYFUNCTION("""COMPUTED_VALUE"""),"SILLP116NP1/2")</f>
        <v>SILLP116NP1/2</v>
      </c>
      <c r="P454" s="1" t="str">
        <f>IFERROR(__xludf.DUMMYFUNCTION("""COMPUTED_VALUE"""),"14.217607 121.032558")</f>
        <v>14.217607 121.032558</v>
      </c>
      <c r="Q454" s="1" t="str">
        <f>IFERROR(__xludf.DUMMYFUNCTION("""COMPUTED_VALUE"""),"PUTING KAHOY")</f>
        <v>PUTING KAHOY</v>
      </c>
      <c r="R454" s="1" t="str">
        <f>IFERROR(__xludf.DUMMYFUNCTION("""COMPUTED_VALUE"""),"SILANG")</f>
        <v>SILANG</v>
      </c>
      <c r="S454" s="1" t="str">
        <f>IFERROR(__xludf.DUMMYFUNCTION("""COMPUTED_VALUE"""),"PREPAID 999")</f>
        <v>PREPAID 999</v>
      </c>
      <c r="T454" s="1" t="str">
        <f>IFERROR(__xludf.DUMMYFUNCTION("""COMPUTED_VALUE"""),"APPROVED")</f>
        <v>APPROVED</v>
      </c>
      <c r="U454" s="1"/>
      <c r="V454" s="1"/>
      <c r="W454" s="1"/>
    </row>
    <row r="455" customHeight="1" spans="1:23">
      <c r="A455" s="3">
        <f>IFERROR(__xludf.DUMMYFUNCTION("""COMPUTED_VALUE"""),46071)</f>
        <v>46071</v>
      </c>
      <c r="B455" s="1" t="str">
        <f>IFERROR(__xludf.DUMMYFUNCTION("""COMPUTED_VALUE"""),"MAAM DONNA")</f>
        <v>MAAM DONNA</v>
      </c>
      <c r="C455" s="1" t="str">
        <f>IFERROR(__xludf.DUMMYFUNCTION("""COMPUTED_VALUE"""),"FLA")</f>
        <v>FLA</v>
      </c>
      <c r="D455" s="1" t="str">
        <f>IFERROR(__xludf.DUMMYFUNCTION("""COMPUTED_VALUE"""),"JERIC NAVARRO")</f>
        <v>JERIC NAVARRO</v>
      </c>
      <c r="E455" s="1" t="str">
        <f>IFERROR(__xludf.DUMMYFUNCTION("""COMPUTED_VALUE"""),"PLDT")</f>
        <v>PLDT</v>
      </c>
      <c r="F455" s="1">
        <f>IFERROR(__xludf.DUMMYFUNCTION("""COMPUTED_VALUE"""),2307093062)</f>
        <v>2307093062</v>
      </c>
      <c r="G455" s="1"/>
      <c r="H455" s="1" t="str">
        <f>IFERROR(__xludf.DUMMYFUNCTION("""COMPUTED_VALUE"""),"ROWENA CABILLO BERMUDEZ")</f>
        <v>ROWENA CABILLO BERMUDEZ</v>
      </c>
      <c r="I455" s="1">
        <f>IFERROR(__xludf.DUMMYFUNCTION("""COMPUTED_VALUE"""),9653925433)</f>
        <v>9653925433</v>
      </c>
      <c r="J455" s="1"/>
      <c r="K455" s="1" t="str">
        <f>IFERROR(__xludf.DUMMYFUNCTION("""COMPUTED_VALUE"""),"RHOWIEBO123@GMAIL.COM")</f>
        <v>RHOWIEBO123@GMAIL.COM</v>
      </c>
      <c r="L455" s="1" t="str">
        <f>IFERROR(__xludf.DUMMYFUNCTION("""COMPUTED_VALUE"""),"3595")</f>
        <v>3595</v>
      </c>
      <c r="M455" s="1" t="str">
        <f>IFERROR(__xludf.DUMMYFUNCTION("""COMPUTED_VALUE"""),"SITIO TINUNGAN")</f>
        <v>SITIO TINUNGAN</v>
      </c>
      <c r="N455" s="1"/>
      <c r="O455" s="1" t="str">
        <f>IFERROR(__xludf.DUMMYFUNCTION("""COMPUTED_VALUE"""),"GTSLP082NP3/4/5 GTSLP982NP3")</f>
        <v>GTSLP082NP3/4/5 GTSLP982NP3</v>
      </c>
      <c r="P455" s="1" t="str">
        <f>IFERROR(__xludf.DUMMYFUNCTION("""COMPUTED_VALUE"""),"14.291695 120.902384")</f>
        <v>14.291695 120.902384</v>
      </c>
      <c r="Q455" s="1" t="str">
        <f>IFERROR(__xludf.DUMMYFUNCTION("""COMPUTED_VALUE"""),"MANGGAHAN")</f>
        <v>MANGGAHAN</v>
      </c>
      <c r="R455" s="1" t="str">
        <f>IFERROR(__xludf.DUMMYFUNCTION("""COMPUTED_VALUE"""),"GENERAL TRIAS")</f>
        <v>GENERAL TRIAS</v>
      </c>
      <c r="S455" s="1" t="str">
        <f>IFERROR(__xludf.DUMMYFUNCTION("""COMPUTED_VALUE"""),"FIBR PLAN 2099")</f>
        <v>FIBR PLAN 2099</v>
      </c>
      <c r="T455" s="1" t="str">
        <f>IFERROR(__xludf.DUMMYFUNCTION("""COMPUTED_VALUE"""),"APPROVED")</f>
        <v>APPROVED</v>
      </c>
      <c r="U455" s="1"/>
      <c r="V455" s="1"/>
      <c r="W455" s="1"/>
    </row>
    <row r="456" customHeight="1" spans="1:23">
      <c r="A456" s="3">
        <f>IFERROR(__xludf.DUMMYFUNCTION("""COMPUTED_VALUE"""),46071)</f>
        <v>46071</v>
      </c>
      <c r="B456" s="1" t="str">
        <f>IFERROR(__xludf.DUMMYFUNCTION("""COMPUTED_VALUE"""),"MALIWAT MARK ELVIN")</f>
        <v>MALIWAT MARK ELVIN</v>
      </c>
      <c r="C456" s="1" t="str">
        <f>IFERROR(__xludf.DUMMYFUNCTION("""COMPUTED_VALUE"""),"FLA")</f>
        <v>FLA</v>
      </c>
      <c r="D456" s="1" t="str">
        <f>IFERROR(__xludf.DUMMYFUNCTION("""COMPUTED_VALUE"""),"JERIC NAVARRO")</f>
        <v>JERIC NAVARRO</v>
      </c>
      <c r="E456" s="1" t="str">
        <f>IFERROR(__xludf.DUMMYFUNCTION("""COMPUTED_VALUE"""),"PLDT")</f>
        <v>PLDT</v>
      </c>
      <c r="F456" s="1">
        <f>IFERROR(__xludf.DUMMYFUNCTION("""COMPUTED_VALUE"""),2307093614)</f>
        <v>2307093614</v>
      </c>
      <c r="G456" s="1"/>
      <c r="H456" s="1" t="str">
        <f>IFERROR(__xludf.DUMMYFUNCTION("""COMPUTED_VALUE"""),"DARIUS CLAVE QUIMBAO")</f>
        <v>DARIUS CLAVE QUIMBAO</v>
      </c>
      <c r="I456" s="1">
        <f>IFERROR(__xludf.DUMMYFUNCTION("""COMPUTED_VALUE"""),9760006291)</f>
        <v>9760006291</v>
      </c>
      <c r="J456" s="1"/>
      <c r="K456" s="1" t="str">
        <f>IFERROR(__xludf.DUMMYFUNCTION("""COMPUTED_VALUE"""),"DARIUSCLAVE@GMAIL.COM")</f>
        <v>DARIUSCLAVE@GMAIL.COM</v>
      </c>
      <c r="L456" s="1" t="str">
        <f>IFERROR(__xludf.DUMMYFUNCTION("""COMPUTED_VALUE"""),"594")</f>
        <v>594</v>
      </c>
      <c r="M456" s="1" t="str">
        <f>IFERROR(__xludf.DUMMYFUNCTION("""COMPUTED_VALUE"""),"UPPER MOONLIGHT")</f>
        <v>UPPER MOONLIGHT</v>
      </c>
      <c r="N456" s="1"/>
      <c r="O456" s="1" t="str">
        <f>IFERROR(__xludf.DUMMYFUNCTION("""COMPUTED_VALUE"""),"GMZLP223NP6")</f>
        <v>GMZLP223NP6</v>
      </c>
      <c r="P456" s="1" t="str">
        <f>IFERROR(__xludf.DUMMYFUNCTION("""COMPUTED_VALUE"""),"14.326883 121.032844")</f>
        <v>14.326883 121.032844</v>
      </c>
      <c r="Q456" s="1" t="str">
        <f>IFERROR(__xludf.DUMMYFUNCTION("""COMPUTED_VALUE"""),"GREGORIA DE JESUS")</f>
        <v>GREGORIA DE JESUS</v>
      </c>
      <c r="R456" s="1" t="str">
        <f>IFERROR(__xludf.DUMMYFUNCTION("""COMPUTED_VALUE"""),"GEN MARIANO ALVAREZ")</f>
        <v>GEN MARIANO ALVAREZ</v>
      </c>
      <c r="S456" s="1" t="str">
        <f>IFERROR(__xludf.DUMMYFUNCTION("""COMPUTED_VALUE"""),"PREPAID 999")</f>
        <v>PREPAID 999</v>
      </c>
      <c r="T456" s="1" t="str">
        <f>IFERROR(__xludf.DUMMYFUNCTION("""COMPUTED_VALUE"""),"APPROVED")</f>
        <v>APPROVED</v>
      </c>
      <c r="U456" s="1"/>
      <c r="V456" s="1"/>
      <c r="W456" s="1"/>
    </row>
    <row r="457" customHeight="1" spans="1:23">
      <c r="A457" s="3">
        <f>IFERROR(__xludf.DUMMYFUNCTION("""COMPUTED_VALUE"""),46071)</f>
        <v>46071</v>
      </c>
      <c r="B457" s="1" t="str">
        <f>IFERROR(__xludf.DUMMYFUNCTION("""COMPUTED_VALUE"""),"MALIWAT MARK ELVIN")</f>
        <v>MALIWAT MARK ELVIN</v>
      </c>
      <c r="C457" s="1" t="str">
        <f>IFERROR(__xludf.DUMMYFUNCTION("""COMPUTED_VALUE"""),"FLA")</f>
        <v>FLA</v>
      </c>
      <c r="D457" s="1" t="str">
        <f>IFERROR(__xludf.DUMMYFUNCTION("""COMPUTED_VALUE"""),"JERIC NAVARRO")</f>
        <v>JERIC NAVARRO</v>
      </c>
      <c r="E457" s="1" t="str">
        <f>IFERROR(__xludf.DUMMYFUNCTION("""COMPUTED_VALUE"""),"PLDT")</f>
        <v>PLDT</v>
      </c>
      <c r="F457" s="1">
        <f>IFERROR(__xludf.DUMMYFUNCTION("""COMPUTED_VALUE"""),2307094262)</f>
        <v>2307094262</v>
      </c>
      <c r="G457" s="1"/>
      <c r="H457" s="1" t="str">
        <f>IFERROR(__xludf.DUMMYFUNCTION("""COMPUTED_VALUE"""),"DARYL ESTINOR HAZ")</f>
        <v>DARYL ESTINOR HAZ</v>
      </c>
      <c r="I457" s="1">
        <f>IFERROR(__xludf.DUMMYFUNCTION("""COMPUTED_VALUE"""),9261339300)</f>
        <v>9261339300</v>
      </c>
      <c r="J457" s="1">
        <f>IFERROR(__xludf.DUMMYFUNCTION("""COMPUTED_VALUE"""),9467135949)</f>
        <v>9467135949</v>
      </c>
      <c r="K457" s="1" t="str">
        <f>IFERROR(__xludf.DUMMYFUNCTION("""COMPUTED_VALUE"""),"DARYLHAZ38@GMAIL.COM")</f>
        <v>DARYLHAZ38@GMAIL.COM</v>
      </c>
      <c r="L457" s="1" t="str">
        <f>IFERROR(__xludf.DUMMYFUNCTION("""COMPUTED_VALUE"""),"BLK 52 LOT 5/7/9")</f>
        <v>BLK 52 LOT 5/7/9</v>
      </c>
      <c r="M457" s="1" t="str">
        <f>IFERROR(__xludf.DUMMYFUNCTION("""COMPUTED_VALUE"""),"GLENRIDGE")</f>
        <v>GLENRIDGE</v>
      </c>
      <c r="N457" s="1" t="str">
        <f>IFERROR(__xludf.DUMMYFUNCTION("""COMPUTED_VALUE"""),"GOVERHILLS ")</f>
        <v>GOVERHILLS </v>
      </c>
      <c r="O457" s="1" t="str">
        <f>IFERROR(__xludf.DUMMYFUNCTION("""COMPUTED_VALUE"""),"GTSLP982NP3/4/5")</f>
        <v>GTSLP982NP3/4/5</v>
      </c>
      <c r="P457" s="1" t="str">
        <f>IFERROR(__xludf.DUMMYFUNCTION("""COMPUTED_VALUE"""),"14.285867 120.916333")</f>
        <v>14.285867 120.916333</v>
      </c>
      <c r="Q457" s="1" t="str">
        <f>IFERROR(__xludf.DUMMYFUNCTION("""COMPUTED_VALUE"""),"BICLATAN")</f>
        <v>BICLATAN</v>
      </c>
      <c r="R457" s="1" t="str">
        <f>IFERROR(__xludf.DUMMYFUNCTION("""COMPUTED_VALUE"""),"GENERAL TRIAS")</f>
        <v>GENERAL TRIAS</v>
      </c>
      <c r="S457" s="1" t="str">
        <f>IFERROR(__xludf.DUMMYFUNCTION("""COMPUTED_VALUE"""),"FIBR PLAN 1399")</f>
        <v>FIBR PLAN 1399</v>
      </c>
      <c r="T457" s="1" t="str">
        <f>IFERROR(__xludf.DUMMYFUNCTION("""COMPUTED_VALUE"""),"APPROVED")</f>
        <v>APPROVED</v>
      </c>
      <c r="U457" s="1"/>
      <c r="V457" s="1"/>
      <c r="W457" s="1"/>
    </row>
    <row r="458" customHeight="1" spans="1:23">
      <c r="A458" s="3">
        <f>IFERROR(__xludf.DUMMYFUNCTION("""COMPUTED_VALUE"""),46071)</f>
        <v>46071</v>
      </c>
      <c r="B458" s="1" t="str">
        <f>IFERROR(__xludf.DUMMYFUNCTION("""COMPUTED_VALUE"""),"CARPIO, STEPHANIE NICOLE")</f>
        <v>CARPIO, STEPHANIE NICOLE</v>
      </c>
      <c r="C458" s="1" t="str">
        <f>IFERROR(__xludf.DUMMYFUNCTION("""COMPUTED_VALUE"""),"FLA")</f>
        <v>FLA</v>
      </c>
      <c r="D458" s="1" t="str">
        <f>IFERROR(__xludf.DUMMYFUNCTION("""COMPUTED_VALUE"""),"JERIC NAVARRO")</f>
        <v>JERIC NAVARRO</v>
      </c>
      <c r="E458" s="1" t="str">
        <f>IFERROR(__xludf.DUMMYFUNCTION("""COMPUTED_VALUE"""),"PLDT")</f>
        <v>PLDT</v>
      </c>
      <c r="F458" s="1">
        <f>IFERROR(__xludf.DUMMYFUNCTION("""COMPUTED_VALUE"""),2307091412)</f>
        <v>2307091412</v>
      </c>
      <c r="G458" s="1"/>
      <c r="H458" s="1" t="str">
        <f>IFERROR(__xludf.DUMMYFUNCTION("""COMPUTED_VALUE"""),"JOHN PAULO JAMANZAR MARIANO")</f>
        <v>JOHN PAULO JAMANZAR MARIANO</v>
      </c>
      <c r="I458" s="1">
        <f>IFERROR(__xludf.DUMMYFUNCTION("""COMPUTED_VALUE"""),9777645113)</f>
        <v>9777645113</v>
      </c>
      <c r="J458" s="1">
        <f>IFERROR(__xludf.DUMMYFUNCTION("""COMPUTED_VALUE"""),9773222645)</f>
        <v>9773222645</v>
      </c>
      <c r="K458" s="1" t="str">
        <f>IFERROR(__xludf.DUMMYFUNCTION("""COMPUTED_VALUE"""),"JPM.KEENSTINCT@GMAIL.COM")</f>
        <v>JPM.KEENSTINCT@GMAIL.COM</v>
      </c>
      <c r="L458" s="1" t="str">
        <f>IFERROR(__xludf.DUMMYFUNCTION("""COMPUTED_VALUE"""),"48C")</f>
        <v>48C</v>
      </c>
      <c r="M458" s="1" t="str">
        <f>IFERROR(__xludf.DUMMYFUNCTION("""COMPUTED_VALUE"""),"GOMEZ ST")</f>
        <v>GOMEZ ST</v>
      </c>
      <c r="N458" s="1"/>
      <c r="O458" s="1" t="str">
        <f>IFERROR(__xludf.DUMMYFUNCTION("""COMPUTED_VALUE"""),"CVELP240NP1")</f>
        <v>CVELP240NP1</v>
      </c>
      <c r="P458" s="1" t="str">
        <f>IFERROR(__xludf.DUMMYFUNCTION("""COMPUTED_VALUE"""),"14.481470 120.910138")</f>
        <v>14.481470 120.910138</v>
      </c>
      <c r="Q458" s="1" t="str">
        <f>IFERROR(__xludf.DUMMYFUNCTION("""COMPUTED_VALUE"""),"BARANGAY 62-A (KANGKONG A)")</f>
        <v>BARANGAY 62-A (KANGKONG A)</v>
      </c>
      <c r="R458" s="1" t="str">
        <f>IFERROR(__xludf.DUMMYFUNCTION("""COMPUTED_VALUE"""),"CAVITE CITY")</f>
        <v>CAVITE CITY</v>
      </c>
      <c r="S458" s="1" t="str">
        <f>IFERROR(__xludf.DUMMYFUNCTION("""COMPUTED_VALUE"""),"FIBR PLAN 1399")</f>
        <v>FIBR PLAN 1399</v>
      </c>
      <c r="T458" s="1" t="str">
        <f>IFERROR(__xludf.DUMMYFUNCTION("""COMPUTED_VALUE"""),"APPROVED")</f>
        <v>APPROVED</v>
      </c>
      <c r="U458" s="1"/>
      <c r="V458" s="1"/>
      <c r="W458" s="1"/>
    </row>
    <row r="459" customHeight="1" spans="1:23">
      <c r="A459" s="3">
        <f>IFERROR(__xludf.DUMMYFUNCTION("""COMPUTED_VALUE"""),46071)</f>
        <v>46071</v>
      </c>
      <c r="B459" s="1" t="str">
        <f>IFERROR(__xludf.DUMMYFUNCTION("""COMPUTED_VALUE"""),"CARPIO, STEPHANIE NICOLE")</f>
        <v>CARPIO, STEPHANIE NICOLE</v>
      </c>
      <c r="C459" s="1" t="str">
        <f>IFERROR(__xludf.DUMMYFUNCTION("""COMPUTED_VALUE"""),"FLA")</f>
        <v>FLA</v>
      </c>
      <c r="D459" s="1" t="str">
        <f>IFERROR(__xludf.DUMMYFUNCTION("""COMPUTED_VALUE"""),"JERIC NAVARRO")</f>
        <v>JERIC NAVARRO</v>
      </c>
      <c r="E459" s="1" t="str">
        <f>IFERROR(__xludf.DUMMYFUNCTION("""COMPUTED_VALUE"""),"PLDT")</f>
        <v>PLDT</v>
      </c>
      <c r="F459" s="1">
        <f>IFERROR(__xludf.DUMMYFUNCTION("""COMPUTED_VALUE"""),2307091864)</f>
        <v>2307091864</v>
      </c>
      <c r="G459" s="1"/>
      <c r="H459" s="1" t="str">
        <f>IFERROR(__xludf.DUMMYFUNCTION("""COMPUTED_VALUE"""),"JACKIE LOU DE GRANO ANGELES")</f>
        <v>JACKIE LOU DE GRANO ANGELES</v>
      </c>
      <c r="I459" s="1">
        <f>IFERROR(__xludf.DUMMYFUNCTION("""COMPUTED_VALUE"""),9167722951)</f>
        <v>9167722951</v>
      </c>
      <c r="J459" s="1"/>
      <c r="K459" s="1" t="str">
        <f>IFERROR(__xludf.DUMMYFUNCTION("""COMPUTED_VALUE"""),"JACKANGELES1722@GMAIL.COM")</f>
        <v>JACKANGELES1722@GMAIL.COM</v>
      </c>
      <c r="L459" s="1" t="str">
        <f>IFERROR(__xludf.DUMMYFUNCTION("""COMPUTED_VALUE"""),"230")</f>
        <v>230</v>
      </c>
      <c r="M459" s="1" t="str">
        <f>IFERROR(__xludf.DUMMYFUNCTION("""COMPUTED_VALUE"""),"VILLAREAL ")</f>
        <v>VILLAREAL </v>
      </c>
      <c r="N459" s="1"/>
      <c r="O459" s="1" t="str">
        <f>IFERROR(__xludf.DUMMYFUNCTION("""COMPUTED_VALUE"""),"CVELP131NP1")</f>
        <v>CVELP131NP1</v>
      </c>
      <c r="P459" s="1" t="str">
        <f>IFERROR(__xludf.DUMMYFUNCTION("""COMPUTED_VALUE"""),"14.481047 120.892898")</f>
        <v>14.481047 120.892898</v>
      </c>
      <c r="Q459" s="1" t="str">
        <f>IFERROR(__xludf.DUMMYFUNCTION("""COMPUTED_VALUE"""),"BARANGAY 33 (BUWAN-BUWAN)")</f>
        <v>BARANGAY 33 (BUWAN-BUWAN)</v>
      </c>
      <c r="R459" s="1" t="str">
        <f>IFERROR(__xludf.DUMMYFUNCTION("""COMPUTED_VALUE"""),"CAVITE CITY")</f>
        <v>CAVITE CITY</v>
      </c>
      <c r="S459" s="1" t="str">
        <f>IFERROR(__xludf.DUMMYFUNCTION("""COMPUTED_VALUE"""),"FIBR PLAN 1699")</f>
        <v>FIBR PLAN 1699</v>
      </c>
      <c r="T459" s="1" t="str">
        <f>IFERROR(__xludf.DUMMYFUNCTION("""COMPUTED_VALUE"""),"APPROVED")</f>
        <v>APPROVED</v>
      </c>
      <c r="U459" s="1"/>
      <c r="V459" s="1"/>
      <c r="W459" s="1"/>
    </row>
    <row r="460" customHeight="1" spans="1:23">
      <c r="A460" s="3">
        <f>IFERROR(__xludf.DUMMYFUNCTION("""COMPUTED_VALUE"""),46071)</f>
        <v>46071</v>
      </c>
      <c r="B460" s="1" t="str">
        <f>IFERROR(__xludf.DUMMYFUNCTION("""COMPUTED_VALUE"""),"GABAY, MANUEL")</f>
        <v>GABAY, MANUEL</v>
      </c>
      <c r="C460" s="1" t="str">
        <f>IFERROR(__xludf.DUMMYFUNCTION("""COMPUTED_VALUE"""),"FLA")</f>
        <v>FLA</v>
      </c>
      <c r="D460" s="1" t="str">
        <f>IFERROR(__xludf.DUMMYFUNCTION("""COMPUTED_VALUE"""),"JERIC NAVARRO")</f>
        <v>JERIC NAVARRO</v>
      </c>
      <c r="E460" s="1" t="str">
        <f>IFERROR(__xludf.DUMMYFUNCTION("""COMPUTED_VALUE"""),"PLDT")</f>
        <v>PLDT</v>
      </c>
      <c r="F460" s="1">
        <f>IFERROR(__xludf.DUMMYFUNCTION("""COMPUTED_VALUE"""),2307099982)</f>
        <v>2307099982</v>
      </c>
      <c r="G460" s="1"/>
      <c r="H460" s="1" t="str">
        <f>IFERROR(__xludf.DUMMYFUNCTION("""COMPUTED_VALUE"""),"VIRGILIO MENDOZA ROZUL")</f>
        <v>VIRGILIO MENDOZA ROZUL</v>
      </c>
      <c r="I460" s="1">
        <f>IFERROR(__xludf.DUMMYFUNCTION("""COMPUTED_VALUE"""),9974902157)</f>
        <v>9974902157</v>
      </c>
      <c r="J460" s="1">
        <f>IFERROR(__xludf.DUMMYFUNCTION("""COMPUTED_VALUE"""),9683212497)</f>
        <v>9683212497</v>
      </c>
      <c r="K460" s="1" t="str">
        <f>IFERROR(__xludf.DUMMYFUNCTION("""COMPUTED_VALUE"""),"VER4493@GMAIL.COM")</f>
        <v>VER4493@GMAIL.COM</v>
      </c>
      <c r="L460" s="1" t="str">
        <f>IFERROR(__xludf.DUMMYFUNCTION("""COMPUTED_VALUE"""),"291")</f>
        <v>291</v>
      </c>
      <c r="M460" s="1" t="str">
        <f>IFERROR(__xludf.DUMMYFUNCTION("""COMPUTED_VALUE"""),"MUNTING ILOG RD")</f>
        <v>MUNTING ILOG RD</v>
      </c>
      <c r="N460" s="1"/>
      <c r="O460" s="1" t="str">
        <f>IFERROR(__xludf.DUMMYFUNCTION("""COMPUTED_VALUE"""),"SILLP641NP2 SILLP640NP1/2/3")</f>
        <v>SILLP641NP2 SILLP640NP1/2/3</v>
      </c>
      <c r="P460" s="1" t="str">
        <f>IFERROR(__xludf.DUMMYFUNCTION("""COMPUTED_VALUE"""),"14.2190022 120.997036")</f>
        <v>14.2190022 120.997036</v>
      </c>
      <c r="Q460" s="1" t="str">
        <f>IFERROR(__xludf.DUMMYFUNCTION("""COMPUTED_VALUE"""),"MUNTING ILOG")</f>
        <v>MUNTING ILOG</v>
      </c>
      <c r="R460" s="1" t="str">
        <f>IFERROR(__xludf.DUMMYFUNCTION("""COMPUTED_VALUE"""),"SILANG")</f>
        <v>SILANG</v>
      </c>
      <c r="S460" s="1" t="str">
        <f>IFERROR(__xludf.DUMMYFUNCTION("""COMPUTED_VALUE"""),"FIBR PLAN 1599")</f>
        <v>FIBR PLAN 1599</v>
      </c>
      <c r="T460" s="1" t="str">
        <f>IFERROR(__xludf.DUMMYFUNCTION("""COMPUTED_VALUE"""),"APPROVED")</f>
        <v>APPROVED</v>
      </c>
      <c r="U460" s="1"/>
      <c r="V460" s="1"/>
      <c r="W460" s="1"/>
    </row>
    <row r="461" customHeight="1" spans="1:23">
      <c r="A461" s="3">
        <f>IFERROR(__xludf.DUMMYFUNCTION("""COMPUTED_VALUE"""),46071)</f>
        <v>46071</v>
      </c>
      <c r="B461" s="1" t="str">
        <f>IFERROR(__xludf.DUMMYFUNCTION("""COMPUTED_VALUE"""),"CONCEPCION, ALJAY")</f>
        <v>CONCEPCION, ALJAY</v>
      </c>
      <c r="C461" s="1" t="str">
        <f>IFERROR(__xludf.DUMMYFUNCTION("""COMPUTED_VALUE"""),"ORGANIC")</f>
        <v>ORGANIC</v>
      </c>
      <c r="D461" s="1" t="str">
        <f>IFERROR(__xludf.DUMMYFUNCTION("""COMPUTED_VALUE"""),"REMOLLO LEA")</f>
        <v>REMOLLO LEA</v>
      </c>
      <c r="E461" s="1" t="str">
        <f>IFERROR(__xludf.DUMMYFUNCTION("""COMPUTED_VALUE"""),"RED FIBER")</f>
        <v>RED FIBER</v>
      </c>
      <c r="F461" s="1"/>
      <c r="G461" s="1"/>
      <c r="H461" s="1" t="str">
        <f>IFERROR(__xludf.DUMMYFUNCTION("""COMPUTED_VALUE"""),"PATRICK CRUCILLO ALANO")</f>
        <v>PATRICK CRUCILLO ALANO</v>
      </c>
      <c r="I461" s="1">
        <f>IFERROR(__xludf.DUMMYFUNCTION("""COMPUTED_VALUE"""),9691833482)</f>
        <v>9691833482</v>
      </c>
      <c r="J461" s="1"/>
      <c r="K461" s="1" t="str">
        <f>IFERROR(__xludf.DUMMYFUNCTION("""COMPUTED_VALUE"""),"PATRICKALANO179@GMAIL.COM")</f>
        <v>PATRICKALANO179@GMAIL.COM</v>
      </c>
      <c r="L461" s="1" t="str">
        <f>IFERROR(__xludf.DUMMYFUNCTION("""COMPUTED_VALUE"""),"68")</f>
        <v>68</v>
      </c>
      <c r="M461" s="1" t="str">
        <f>IFERROR(__xludf.DUMMYFUNCTION("""COMPUTED_VALUE"""),"PUROK 166")</f>
        <v>PUROK 166</v>
      </c>
      <c r="N461" s="1"/>
      <c r="O461" s="1" t="str">
        <f>IFERROR(__xludf.DUMMYFUNCTION("""COMPUTED_VALUE"""),"CVT2LPC12NP1 CVTLCP70NP1")</f>
        <v>CVT2LPC12NP1 CVTLCP70NP1</v>
      </c>
      <c r="P461" s="1" t="str">
        <f>IFERROR(__xludf.DUMMYFUNCTION("""COMPUTED_VALUE"""),"14.117954 120.960661")</f>
        <v>14.117954 120.960661</v>
      </c>
      <c r="Q461" s="1" t="str">
        <f>IFERROR(__xludf.DUMMYFUNCTION("""COMPUTED_VALUE"""),"SILANG CROSSING EAST")</f>
        <v>SILANG CROSSING EAST</v>
      </c>
      <c r="R461" s="1" t="str">
        <f>IFERROR(__xludf.DUMMYFUNCTION("""COMPUTED_VALUE"""),"TAGAYTAY")</f>
        <v>TAGAYTAY</v>
      </c>
      <c r="S461" s="1" t="str">
        <f>IFERROR(__xludf.DUMMYFUNCTION("""COMPUTED_VALUE"""),"RED FIBER PLAN 1000")</f>
        <v>RED FIBER PLAN 1000</v>
      </c>
      <c r="T461" s="1" t="str">
        <f>IFERROR(__xludf.DUMMYFUNCTION("""COMPUTED_VALUE"""),"APPROVED")</f>
        <v>APPROVED</v>
      </c>
      <c r="U461" s="1"/>
      <c r="V461" s="1"/>
      <c r="W461" s="1"/>
    </row>
    <row r="462" customHeight="1" spans="1:23">
      <c r="A462" s="3">
        <f>IFERROR(__xludf.DUMMYFUNCTION("""COMPUTED_VALUE"""),46071)</f>
        <v>46071</v>
      </c>
      <c r="B462" s="1" t="str">
        <f>IFERROR(__xludf.DUMMYFUNCTION("""COMPUTED_VALUE"""),"OPS SIR ZIM")</f>
        <v>OPS SIR ZIM</v>
      </c>
      <c r="C462" s="1" t="str">
        <f>IFERROR(__xludf.DUMMYFUNCTION("""COMPUTED_VALUE"""),"FLA")</f>
        <v>FLA</v>
      </c>
      <c r="D462" s="1" t="str">
        <f>IFERROR(__xludf.DUMMYFUNCTION("""COMPUTED_VALUE"""),"JERIC NAVARRO")</f>
        <v>JERIC NAVARRO</v>
      </c>
      <c r="E462" s="1" t="str">
        <f>IFERROR(__xludf.DUMMYFUNCTION("""COMPUTED_VALUE"""),"PLDT")</f>
        <v>PLDT</v>
      </c>
      <c r="F462" s="1">
        <f>IFERROR(__xludf.DUMMYFUNCTION("""COMPUTED_VALUE"""),2307101971)</f>
        <v>2307101971</v>
      </c>
      <c r="G462" s="1"/>
      <c r="H462" s="1" t="str">
        <f>IFERROR(__xludf.DUMMYFUNCTION("""COMPUTED_VALUE"""),"ANGELINE REGIS FELIX")</f>
        <v>ANGELINE REGIS FELIX</v>
      </c>
      <c r="I462" s="1">
        <f>IFERROR(__xludf.DUMMYFUNCTION("""COMPUTED_VALUE"""),9245221945)</f>
        <v>9245221945</v>
      </c>
      <c r="J462" s="1">
        <f>IFERROR(__xludf.DUMMYFUNCTION("""COMPUTED_VALUE"""),9565576259)</f>
        <v>9565576259</v>
      </c>
      <c r="K462" s="1" t="str">
        <f>IFERROR(__xludf.DUMMYFUNCTION("""COMPUTED_VALUE"""),"FANGELINE16@GMAIL.COM")</f>
        <v>FANGELINE16@GMAIL.COM</v>
      </c>
      <c r="L462" s="1" t="str">
        <f>IFERROR(__xludf.DUMMYFUNCTION("""COMPUTED_VALUE"""),"66")</f>
        <v>66</v>
      </c>
      <c r="M462" s="1" t="str">
        <f>IFERROR(__xludf.DUMMYFUNCTION("""COMPUTED_VALUE"""),"KANLURAN")</f>
        <v>KANLURAN</v>
      </c>
      <c r="N462" s="1"/>
      <c r="O462" s="1" t="str">
        <f>IFERROR(__xludf.DUMMYFUNCTION("""COMPUTED_VALUE"""),"SILLP77NP5/6/7 ")</f>
        <v>SILLP77NP5/6/7 </v>
      </c>
      <c r="P462" s="1" t="str">
        <f>IFERROR(__xludf.DUMMYFUNCTION("""COMPUTED_VALUE"""),"14.226795 120.999823")</f>
        <v>14.226795 120.999823</v>
      </c>
      <c r="Q462" s="1" t="str">
        <f>IFERROR(__xludf.DUMMYFUNCTION("""COMPUTED_VALUE"""),"TIBIG")</f>
        <v>TIBIG</v>
      </c>
      <c r="R462" s="1" t="str">
        <f>IFERROR(__xludf.DUMMYFUNCTION("""COMPUTED_VALUE"""),"SILANG")</f>
        <v>SILANG</v>
      </c>
      <c r="S462" s="1" t="str">
        <f>IFERROR(__xludf.DUMMYFUNCTION("""COMPUTED_VALUE"""),"FIBR PLAN 1699")</f>
        <v>FIBR PLAN 1699</v>
      </c>
      <c r="T462" s="1" t="str">
        <f>IFERROR(__xludf.DUMMYFUNCTION("""COMPUTED_VALUE"""),"APPROVED")</f>
        <v>APPROVED</v>
      </c>
      <c r="U462" s="1"/>
      <c r="V462" s="1"/>
      <c r="W462" s="1"/>
    </row>
    <row r="463" customHeight="1" spans="1:23">
      <c r="A463" s="3">
        <f>IFERROR(__xludf.DUMMYFUNCTION("""COMPUTED_VALUE"""),46071)</f>
        <v>46071</v>
      </c>
      <c r="B463" s="1" t="str">
        <f>IFERROR(__xludf.DUMMYFUNCTION("""COMPUTED_VALUE"""),"MALIWAT MARK ELVIN")</f>
        <v>MALIWAT MARK ELVIN</v>
      </c>
      <c r="C463" s="1" t="str">
        <f>IFERROR(__xludf.DUMMYFUNCTION("""COMPUTED_VALUE"""),"FLA")</f>
        <v>FLA</v>
      </c>
      <c r="D463" s="1" t="str">
        <f>IFERROR(__xludf.DUMMYFUNCTION("""COMPUTED_VALUE"""),"JERIC NAVARRO")</f>
        <v>JERIC NAVARRO</v>
      </c>
      <c r="E463" s="1" t="str">
        <f>IFERROR(__xludf.DUMMYFUNCTION("""COMPUTED_VALUE"""),"PLDT")</f>
        <v>PLDT</v>
      </c>
      <c r="F463" s="1">
        <f>IFERROR(__xludf.DUMMYFUNCTION("""COMPUTED_VALUE"""),2307103392)</f>
        <v>2307103392</v>
      </c>
      <c r="G463" s="1"/>
      <c r="H463" s="1" t="str">
        <f>IFERROR(__xludf.DUMMYFUNCTION("""COMPUTED_VALUE"""),"PRINCESS ALTHEA MAE DIEGO REYES")</f>
        <v>PRINCESS ALTHEA MAE DIEGO REYES</v>
      </c>
      <c r="I463" s="1">
        <f>IFERROR(__xludf.DUMMYFUNCTION("""COMPUTED_VALUE"""),9366670126)</f>
        <v>9366670126</v>
      </c>
      <c r="J463" s="1">
        <f>IFERROR(__xludf.DUMMYFUNCTION("""COMPUTED_VALUE"""),9617132226)</f>
        <v>9617132226</v>
      </c>
      <c r="K463" s="1" t="str">
        <f>IFERROR(__xludf.DUMMYFUNCTION("""COMPUTED_VALUE"""),"ALTHEASEYERLYNCHO822@GMAIL.COM")</f>
        <v>ALTHEASEYERLYNCHO822@GMAIL.COM</v>
      </c>
      <c r="L463" s="1" t="str">
        <f>IFERROR(__xludf.DUMMYFUNCTION("""COMPUTED_VALUE"""),"BLK 12 LOT 16")</f>
        <v>BLK 12 LOT 16</v>
      </c>
      <c r="M463" s="1" t="str">
        <f>IFERROR(__xludf.DUMMYFUNCTION("""COMPUTED_VALUE"""),"TULIP ST")</f>
        <v>TULIP ST</v>
      </c>
      <c r="N463" s="1" t="str">
        <f>IFERROR(__xludf.DUMMYFUNCTION("""COMPUTED_VALUE"""),"VILLA LUISA")</f>
        <v>VILLA LUISA</v>
      </c>
      <c r="O463" s="1" t="str">
        <f>IFERROR(__xludf.DUMMYFUNCTION("""COMPUTED_VALUE"""),"DASLP163NP2/3")</f>
        <v>DASLP163NP2/3</v>
      </c>
      <c r="P463" s="1" t="str">
        <f>IFERROR(__xludf.DUMMYFUNCTION("""COMPUTED_VALUE"""),"14.317189 120.9393003")</f>
        <v>14.317189 120.9393003</v>
      </c>
      <c r="Q463" s="1" t="str">
        <f>IFERROR(__xludf.DUMMYFUNCTION("""COMPUTED_VALUE"""),"SAN AGUSTIN III")</f>
        <v>SAN AGUSTIN III</v>
      </c>
      <c r="R463" s="1" t="str">
        <f>IFERROR(__xludf.DUMMYFUNCTION("""COMPUTED_VALUE"""),"DASMARINAS")</f>
        <v>DASMARINAS</v>
      </c>
      <c r="S463" s="1" t="str">
        <f>IFERROR(__xludf.DUMMYFUNCTION("""COMPUTED_VALUE"""),"FIBR PLAN 1599")</f>
        <v>FIBR PLAN 1599</v>
      </c>
      <c r="T463" s="1" t="str">
        <f>IFERROR(__xludf.DUMMYFUNCTION("""COMPUTED_VALUE"""),"APPROVED")</f>
        <v>APPROVED</v>
      </c>
      <c r="U463" s="1"/>
      <c r="V463" s="1"/>
      <c r="W463" s="1"/>
    </row>
    <row r="464" customHeight="1" spans="1:23">
      <c r="A464" s="3">
        <f>IFERROR(__xludf.DUMMYFUNCTION("""COMPUTED_VALUE"""),46071)</f>
        <v>46071</v>
      </c>
      <c r="B464" s="1" t="str">
        <f>IFERROR(__xludf.DUMMYFUNCTION("""COMPUTED_VALUE"""),"MALIWAT MARK ELVIN")</f>
        <v>MALIWAT MARK ELVIN</v>
      </c>
      <c r="C464" s="1" t="str">
        <f>IFERROR(__xludf.DUMMYFUNCTION("""COMPUTED_VALUE"""),"FLA")</f>
        <v>FLA</v>
      </c>
      <c r="D464" s="1" t="str">
        <f>IFERROR(__xludf.DUMMYFUNCTION("""COMPUTED_VALUE"""),"JERIC NAVARRO")</f>
        <v>JERIC NAVARRO</v>
      </c>
      <c r="E464" s="1" t="str">
        <f>IFERROR(__xludf.DUMMYFUNCTION("""COMPUTED_VALUE"""),"PLDT")</f>
        <v>PLDT</v>
      </c>
      <c r="F464" s="1"/>
      <c r="G464" s="1"/>
      <c r="H464" s="1" t="str">
        <f>IFERROR(__xludf.DUMMYFUNCTION("""COMPUTED_VALUE"""),"HERMIE 111 ACENA CUENCA")</f>
        <v>HERMIE 111 ACENA CUENCA</v>
      </c>
      <c r="I464" s="1">
        <f>IFERROR(__xludf.DUMMYFUNCTION("""COMPUTED_VALUE"""),9245023531)</f>
        <v>9245023531</v>
      </c>
      <c r="J464" s="1">
        <f>IFERROR(__xludf.DUMMYFUNCTION("""COMPUTED_VALUE"""),9537829456)</f>
        <v>9537829456</v>
      </c>
      <c r="K464" s="1" t="str">
        <f>IFERROR(__xludf.DUMMYFUNCTION("""COMPUTED_VALUE"""),"GNOBZCUENCA@GMAIL.COM")</f>
        <v>GNOBZCUENCA@GMAIL.COM</v>
      </c>
      <c r="L464" s="1" t="str">
        <f>IFERROR(__xludf.DUMMYFUNCTION("""COMPUTED_VALUE"""),"BLK 24 LOT 2")</f>
        <v>BLK 24 LOT 2</v>
      </c>
      <c r="M464" s="1" t="str">
        <f>IFERROR(__xludf.DUMMYFUNCTION("""COMPUTED_VALUE"""),"62 ST")</f>
        <v>62 ST</v>
      </c>
      <c r="N464" s="1"/>
      <c r="O464" s="1" t="str">
        <f>IFERROR(__xludf.DUMMYFUNCTION("""COMPUTED_VALUE"""),"DASLP040NP6/7/8")</f>
        <v>DASLP040NP6/7/8</v>
      </c>
      <c r="P464" s="1" t="str">
        <f>IFERROR(__xludf.DUMMYFUNCTION("""COMPUTED_VALUE"""),"14.303283 120.942375")</f>
        <v>14.303283 120.942375</v>
      </c>
      <c r="Q464" s="1" t="str">
        <f>IFERROR(__xludf.DUMMYFUNCTION("""COMPUTED_VALUE"""),"SAN AGUSTIN I")</f>
        <v>SAN AGUSTIN I</v>
      </c>
      <c r="R464" s="1" t="str">
        <f>IFERROR(__xludf.DUMMYFUNCTION("""COMPUTED_VALUE"""),"DASMARINAS")</f>
        <v>DASMARINAS</v>
      </c>
      <c r="S464" s="1" t="str">
        <f>IFERROR(__xludf.DUMMYFUNCTION("""COMPUTED_VALUE"""),"FIBR PLAN 1399")</f>
        <v>FIBR PLAN 1399</v>
      </c>
      <c r="T464" s="1" t="str">
        <f>IFERROR(__xludf.DUMMYFUNCTION("""COMPUTED_VALUE"""),"HOLD")</f>
        <v>HOLD</v>
      </c>
      <c r="U464" s="1" t="str">
        <f>IFERROR(__xludf.DUMMYFUNCTION("""COMPUTED_VALUE"""),"WITH OPEN SR")</f>
        <v>WITH OPEN SR</v>
      </c>
      <c r="V464" s="1"/>
      <c r="W464" s="1"/>
    </row>
    <row r="465" customHeight="1" spans="1:23">
      <c r="A465" s="3">
        <f>IFERROR(__xludf.DUMMYFUNCTION("""COMPUTED_VALUE"""),46071)</f>
        <v>46071</v>
      </c>
      <c r="B465" s="1" t="str">
        <f>IFERROR(__xludf.DUMMYFUNCTION("""COMPUTED_VALUE"""),"FARO, REFRANTA")</f>
        <v>FARO, REFRANTA</v>
      </c>
      <c r="C465" s="1" t="str">
        <f>IFERROR(__xludf.DUMMYFUNCTION("""COMPUTED_VALUE"""),"ORGANIC")</f>
        <v>ORGANIC</v>
      </c>
      <c r="D465" s="1" t="str">
        <f>IFERROR(__xludf.DUMMYFUNCTION("""COMPUTED_VALUE"""),"REMOLLO LEA")</f>
        <v>REMOLLO LEA</v>
      </c>
      <c r="E465" s="1" t="str">
        <f>IFERROR(__xludf.DUMMYFUNCTION("""COMPUTED_VALUE"""),"PLDT")</f>
        <v>PLDT</v>
      </c>
      <c r="F465" s="1"/>
      <c r="G465" s="1"/>
      <c r="H465" s="1" t="str">
        <f>IFERROR(__xludf.DUMMYFUNCTION("""COMPUTED_VALUE"""),"FLORENTINO DELA CRUZ ASAS")</f>
        <v>FLORENTINO DELA CRUZ ASAS</v>
      </c>
      <c r="I465" s="1">
        <f>IFERROR(__xludf.DUMMYFUNCTION("""COMPUTED_VALUE"""),9166993142)</f>
        <v>9166993142</v>
      </c>
      <c r="J465" s="1"/>
      <c r="K465" s="1" t="str">
        <f>IFERROR(__xludf.DUMMYFUNCTION("""COMPUTED_VALUE"""),"FLRNDASAS@GMAIL.COM")</f>
        <v>FLRNDASAS@GMAIL.COM</v>
      </c>
      <c r="L465" s="1" t="str">
        <f>IFERROR(__xludf.DUMMYFUNCTION("""COMPUTED_VALUE"""),"137")</f>
        <v>137</v>
      </c>
      <c r="M465" s="1" t="str">
        <f>IFERROR(__xludf.DUMMYFUNCTION("""COMPUTED_VALUE"""),"HALANG RD")</f>
        <v>HALANG RD</v>
      </c>
      <c r="N465" s="1"/>
      <c r="O465" s="1" t="str">
        <f>IFERROR(__xludf.DUMMYFUNCTION("""COMPUTED_VALUE"""),"AMALP43NP1/3/4")</f>
        <v>AMALP43NP1/3/4</v>
      </c>
      <c r="P465" s="1" t="str">
        <f>IFERROR(__xludf.DUMMYFUNCTION("""COMPUTED_VALUE"""),"14.206269 120.919916")</f>
        <v>14.206269 120.919916</v>
      </c>
      <c r="Q465" s="1" t="str">
        <f>IFERROR(__xludf.DUMMYFUNCTION("""COMPUTED_VALUE"""),"HALANG")</f>
        <v>HALANG</v>
      </c>
      <c r="R465" s="1" t="str">
        <f>IFERROR(__xludf.DUMMYFUNCTION("""COMPUTED_VALUE"""),"AMADEO")</f>
        <v>AMADEO</v>
      </c>
      <c r="S465" s="1" t="str">
        <f>IFERROR(__xludf.DUMMYFUNCTION("""COMPUTED_VALUE"""),"FIBR PLAN 1599")</f>
        <v>FIBR PLAN 1599</v>
      </c>
      <c r="T465" s="1" t="str">
        <f>IFERROR(__xludf.DUMMYFUNCTION("""COMPUTED_VALUE"""),"HOLD")</f>
        <v>HOLD</v>
      </c>
      <c r="U465" s="1" t="str">
        <f>IFERROR(__xludf.DUMMYFUNCTION("""COMPUTED_VALUE"""),"NO FFTH NAP FULL")</f>
        <v>NO FFTH NAP FULL</v>
      </c>
      <c r="V465" s="1"/>
      <c r="W465" s="1"/>
    </row>
    <row r="466" customHeight="1" spans="1:23">
      <c r="A466" s="3">
        <f>IFERROR(__xludf.DUMMYFUNCTION("""COMPUTED_VALUE"""),46071)</f>
        <v>46071</v>
      </c>
      <c r="B466" s="1" t="str">
        <f>IFERROR(__xludf.DUMMYFUNCTION("""COMPUTED_VALUE"""),"AQUINO, LUIS")</f>
        <v>AQUINO, LUIS</v>
      </c>
      <c r="C466" s="1" t="str">
        <f>IFERROR(__xludf.DUMMYFUNCTION("""COMPUTED_VALUE"""),"ORGANIC")</f>
        <v>ORGANIC</v>
      </c>
      <c r="D466" s="1" t="str">
        <f>IFERROR(__xludf.DUMMYFUNCTION("""COMPUTED_VALUE"""),"ALOS, CHARLS")</f>
        <v>ALOS, CHARLS</v>
      </c>
      <c r="E466" s="1" t="str">
        <f>IFERROR(__xludf.DUMMYFUNCTION("""COMPUTED_VALUE"""),"HOME BIZZ")</f>
        <v>HOME BIZZ</v>
      </c>
      <c r="F466" s="1">
        <f>IFERROR(__xludf.DUMMYFUNCTION("""COMPUTED_VALUE"""),2307104892)</f>
        <v>2307104892</v>
      </c>
      <c r="G466" s="1"/>
      <c r="H466" s="1" t="str">
        <f>IFERROR(__xludf.DUMMYFUNCTION("""COMPUTED_VALUE"""),"F&amp;M DOCTOR ANIMAL BITE")</f>
        <v>F&amp;M DOCTOR ANIMAL BITE</v>
      </c>
      <c r="I466" s="1">
        <f>IFERROR(__xludf.DUMMYFUNCTION("""COMPUTED_VALUE"""),9496883105)</f>
        <v>9496883105</v>
      </c>
      <c r="J466" s="1">
        <f>IFERROR(__xludf.DUMMYFUNCTION("""COMPUTED_VALUE"""),9760681894)</f>
        <v>9760681894</v>
      </c>
      <c r="K466" s="1" t="str">
        <f>IFERROR(__xludf.DUMMYFUNCTION("""COMPUTED_VALUE"""),"NIKKA.FRANCE@GMAIL.COM")</f>
        <v>NIKKA.FRANCE@GMAIL.COM</v>
      </c>
      <c r="L466" s="1" t="str">
        <f>IFERROR(__xludf.DUMMYFUNCTION("""COMPUTED_VALUE"""),"316")</f>
        <v>316</v>
      </c>
      <c r="M466" s="1" t="str">
        <f>IFERROR(__xludf.DUMMYFUNCTION("""COMPUTED_VALUE"""),"STA ROSA RD")</f>
        <v>STA ROSA RD</v>
      </c>
      <c r="N466" s="1"/>
      <c r="O466" s="1" t="str">
        <f>IFERROR(__xludf.DUMMYFUNCTION("""COMPUTED_VALUE"""),"SILLP103NP2/3")</f>
        <v>SILLP103NP2/3</v>
      </c>
      <c r="P466" s="1" t="str">
        <f>IFERROR(__xludf.DUMMYFUNCTION("""COMPUTED_VALUE"""),"14.216928 121.033855")</f>
        <v>14.216928 121.033855</v>
      </c>
      <c r="Q466" s="1" t="str">
        <f>IFERROR(__xludf.DUMMYFUNCTION("""COMPUTED_VALUE"""),"PUTING KAHOY")</f>
        <v>PUTING KAHOY</v>
      </c>
      <c r="R466" s="1" t="str">
        <f>IFERROR(__xludf.DUMMYFUNCTION("""COMPUTED_VALUE"""),"SILANG")</f>
        <v>SILANG</v>
      </c>
      <c r="S466" s="1" t="str">
        <f>IFERROR(__xludf.DUMMYFUNCTION("""COMPUTED_VALUE"""),"HOMEBIZZ 1299")</f>
        <v>HOMEBIZZ 1299</v>
      </c>
      <c r="T466" s="1" t="str">
        <f>IFERROR(__xludf.DUMMYFUNCTION("""COMPUTED_VALUE"""),"APPROVED")</f>
        <v>APPROVED</v>
      </c>
      <c r="U466" s="1"/>
      <c r="V466" s="1"/>
      <c r="W466" s="1"/>
    </row>
    <row r="467" customHeight="1" spans="1:23">
      <c r="A467" s="3">
        <f>IFERROR(__xludf.DUMMYFUNCTION("""COMPUTED_VALUE"""),46071)</f>
        <v>46071</v>
      </c>
      <c r="B467" s="1" t="str">
        <f>IFERROR(__xludf.DUMMYFUNCTION("""COMPUTED_VALUE"""),"MALIWAT MARK ELVIN")</f>
        <v>MALIWAT MARK ELVIN</v>
      </c>
      <c r="C467" s="1" t="str">
        <f>IFERROR(__xludf.DUMMYFUNCTION("""COMPUTED_VALUE"""),"FLA")</f>
        <v>FLA</v>
      </c>
      <c r="D467" s="1" t="str">
        <f>IFERROR(__xludf.DUMMYFUNCTION("""COMPUTED_VALUE"""),"JERIC NAVARRO")</f>
        <v>JERIC NAVARRO</v>
      </c>
      <c r="E467" s="1" t="str">
        <f>IFERROR(__xludf.DUMMYFUNCTION("""COMPUTED_VALUE"""),"PLDT")</f>
        <v>PLDT</v>
      </c>
      <c r="F467" s="1">
        <f>IFERROR(__xludf.DUMMYFUNCTION("""COMPUTED_VALUE"""),2307106819)</f>
        <v>2307106819</v>
      </c>
      <c r="G467" s="1"/>
      <c r="H467" s="1" t="str">
        <f>IFERROR(__xludf.DUMMYFUNCTION("""COMPUTED_VALUE"""),"JOMAR MENOZA BALDADO")</f>
        <v>JOMAR MENOZA BALDADO</v>
      </c>
      <c r="I467" s="1">
        <f>IFERROR(__xludf.DUMMYFUNCTION("""COMPUTED_VALUE"""),9357816748)</f>
        <v>9357816748</v>
      </c>
      <c r="J467" s="1">
        <f>IFERROR(__xludf.DUMMYFUNCTION("""COMPUTED_VALUE"""),9532959712)</f>
        <v>9532959712</v>
      </c>
      <c r="K467" s="1" t="str">
        <f>IFERROR(__xludf.DUMMYFUNCTION("""COMPUTED_VALUE"""),"JOMARBALDADO6@GMAIL.COM")</f>
        <v>JOMARBALDADO6@GMAIL.COM</v>
      </c>
      <c r="L467" s="1" t="str">
        <f>IFERROR(__xludf.DUMMYFUNCTION("""COMPUTED_VALUE"""),"10377")</f>
        <v>10377</v>
      </c>
      <c r="M467" s="1" t="str">
        <f>IFERROR(__xludf.DUMMYFUNCTION("""COMPUTED_VALUE"""),"SAN PABLO")</f>
        <v>SAN PABLO</v>
      </c>
      <c r="N467" s="1"/>
      <c r="O467" s="1" t="str">
        <f>IFERROR(__xludf.DUMMYFUNCTION("""COMPUTED_VALUE"""),"CMNLP1021/4/5/6")</f>
        <v>CMNLP1021/4/5/6</v>
      </c>
      <c r="P467" s="1" t="str">
        <f>IFERROR(__xludf.DUMMYFUNCTION("""COMPUTED_VALUE"""),"14.321014 121.053448")</f>
        <v>14.321014 121.053448</v>
      </c>
      <c r="Q467" s="1" t="str">
        <f>IFERROR(__xludf.DUMMYFUNCTION("""COMPUTED_VALUE"""),"CABILANG BAYBAY")</f>
        <v>CABILANG BAYBAY</v>
      </c>
      <c r="R467" s="1" t="str">
        <f>IFERROR(__xludf.DUMMYFUNCTION("""COMPUTED_VALUE"""),"CARMONA")</f>
        <v>CARMONA</v>
      </c>
      <c r="S467" s="1" t="str">
        <f>IFERROR(__xludf.DUMMYFUNCTION("""COMPUTED_VALUE"""),"FIBR PLAN 1399")</f>
        <v>FIBR PLAN 1399</v>
      </c>
      <c r="T467" s="1" t="str">
        <f>IFERROR(__xludf.DUMMYFUNCTION("""COMPUTED_VALUE"""),"APPROVED")</f>
        <v>APPROVED</v>
      </c>
      <c r="U467" s="1"/>
      <c r="V467" s="1"/>
      <c r="W467" s="1"/>
    </row>
    <row r="468" customHeight="1" spans="1:23">
      <c r="A468" s="3">
        <f>IFERROR(__xludf.DUMMYFUNCTION("""COMPUTED_VALUE"""),46071)</f>
        <v>46071</v>
      </c>
      <c r="B468" s="1" t="str">
        <f>IFERROR(__xludf.DUMMYFUNCTION("""COMPUTED_VALUE"""),"OPS JHONDEE")</f>
        <v>OPS JHONDEE</v>
      </c>
      <c r="C468" s="1" t="str">
        <f>IFERROR(__xludf.DUMMYFUNCTION("""COMPUTED_VALUE"""),"FLA")</f>
        <v>FLA</v>
      </c>
      <c r="D468" s="1" t="str">
        <f>IFERROR(__xludf.DUMMYFUNCTION("""COMPUTED_VALUE"""),"JERIC NAVARRO")</f>
        <v>JERIC NAVARRO</v>
      </c>
      <c r="E468" s="1" t="str">
        <f>IFERROR(__xludf.DUMMYFUNCTION("""COMPUTED_VALUE"""),"PLDT")</f>
        <v>PLDT</v>
      </c>
      <c r="F468" s="1">
        <f>IFERROR(__xludf.DUMMYFUNCTION("""COMPUTED_VALUE"""),2307107817)</f>
        <v>2307107817</v>
      </c>
      <c r="G468" s="1"/>
      <c r="H468" s="1" t="str">
        <f>IFERROR(__xludf.DUMMYFUNCTION("""COMPUTED_VALUE"""),"JERREMIAH AMON RODIS")</f>
        <v>JERREMIAH AMON RODIS</v>
      </c>
      <c r="I468" s="1">
        <f>IFERROR(__xludf.DUMMYFUNCTION("""COMPUTED_VALUE"""),9983799826)</f>
        <v>9983799826</v>
      </c>
      <c r="J468" s="1">
        <f>IFERROR(__xludf.DUMMYFUNCTION("""COMPUTED_VALUE"""),9762467609)</f>
        <v>9762467609</v>
      </c>
      <c r="K468" s="1" t="str">
        <f>IFERROR(__xludf.DUMMYFUNCTION("""COMPUTED_VALUE"""),"JERREMIAHRODIS1210@GMAIL.COM")</f>
        <v>JERREMIAHRODIS1210@GMAIL.COM</v>
      </c>
      <c r="L468" s="1" t="str">
        <f>IFERROR(__xludf.DUMMYFUNCTION("""COMPUTED_VALUE"""),"109")</f>
        <v>109</v>
      </c>
      <c r="M468" s="1" t="str">
        <f>IFERROR(__xludf.DUMMYFUNCTION("""COMPUTED_VALUE"""),"LALAN RD")</f>
        <v>LALAN RD</v>
      </c>
      <c r="N468" s="1"/>
      <c r="O468" s="1" t="str">
        <f>IFERROR(__xludf.DUMMYFUNCTION("""COMPUTED_VALUE"""),"SILLP551NP2 SILLP434NP1/2")</f>
        <v>SILLP551NP2 SILLP434NP1/2</v>
      </c>
      <c r="P468" s="1" t="str">
        <f>IFERROR(__xludf.DUMMYFUNCTION("""COMPUTED_VALUE"""),"14.165760 120.958954")</f>
        <v>14.165760 120.958954</v>
      </c>
      <c r="Q468" s="1" t="str">
        <f>IFERROR(__xludf.DUMMYFUNCTION("""COMPUTED_VALUE"""),"LALAAN II")</f>
        <v>LALAAN II</v>
      </c>
      <c r="R468" s="1" t="str">
        <f>IFERROR(__xludf.DUMMYFUNCTION("""COMPUTED_VALUE"""),"SILANG")</f>
        <v>SILANG</v>
      </c>
      <c r="S468" s="1" t="str">
        <f>IFERROR(__xludf.DUMMYFUNCTION("""COMPUTED_VALUE"""),"FIBR PLAN 1699")</f>
        <v>FIBR PLAN 1699</v>
      </c>
      <c r="T468" s="1" t="str">
        <f>IFERROR(__xludf.DUMMYFUNCTION("""COMPUTED_VALUE"""),"APPROVED")</f>
        <v>APPROVED</v>
      </c>
      <c r="U468" s="1"/>
      <c r="V468" s="1"/>
      <c r="W468" s="1"/>
    </row>
    <row r="469" customHeight="1" spans="1:23">
      <c r="A469" s="3">
        <f>IFERROR(__xludf.DUMMYFUNCTION("""COMPUTED_VALUE"""),46072)</f>
        <v>46072</v>
      </c>
      <c r="B469" s="1" t="str">
        <f>IFERROR(__xludf.DUMMYFUNCTION("""COMPUTED_VALUE"""),"AYON MANUEL")</f>
        <v>AYON MANUEL</v>
      </c>
      <c r="C469" s="1" t="str">
        <f>IFERROR(__xludf.DUMMYFUNCTION("""COMPUTED_VALUE"""),"FLA")</f>
        <v>FLA</v>
      </c>
      <c r="D469" s="1" t="str">
        <f>IFERROR(__xludf.DUMMYFUNCTION("""COMPUTED_VALUE"""),"JERIC NAVARRO")</f>
        <v>JERIC NAVARRO</v>
      </c>
      <c r="E469" s="1" t="str">
        <f>IFERROR(__xludf.DUMMYFUNCTION("""COMPUTED_VALUE"""),"PLDT")</f>
        <v>PLDT</v>
      </c>
      <c r="F469" s="1">
        <f>IFERROR(__xludf.DUMMYFUNCTION("""COMPUTED_VALUE"""),2307136698)</f>
        <v>2307136698</v>
      </c>
      <c r="G469" s="1"/>
      <c r="H469" s="1" t="str">
        <f>IFERROR(__xludf.DUMMYFUNCTION("""COMPUTED_VALUE"""),"MA ELAINE PURGATORIO VALLE")</f>
        <v>MA ELAINE PURGATORIO VALLE</v>
      </c>
      <c r="I469" s="1">
        <f>IFERROR(__xludf.DUMMYFUNCTION("""COMPUTED_VALUE"""),9351238029)</f>
        <v>9351238029</v>
      </c>
      <c r="J469" s="1">
        <f>IFERROR(__xludf.DUMMYFUNCTION("""COMPUTED_VALUE"""),9976373909)</f>
        <v>9976373909</v>
      </c>
      <c r="K469" s="1" t="str">
        <f>IFERROR(__xludf.DUMMYFUNCTION("""COMPUTED_VALUE"""),"DELVALLLEMAELANIE7@GMAIL.COM")</f>
        <v>DELVALLLEMAELANIE7@GMAIL.COM</v>
      </c>
      <c r="L469" s="1" t="str">
        <f>IFERROR(__xludf.DUMMYFUNCTION("""COMPUTED_VALUE"""),"3855")</f>
        <v>3855</v>
      </c>
      <c r="M469" s="1" t="str">
        <f>IFERROR(__xludf.DUMMYFUNCTION("""COMPUTED_VALUE"""),"SITIO BAYUNGAN")</f>
        <v>SITIO BAYUNGAN</v>
      </c>
      <c r="N469" s="1"/>
      <c r="O469" s="1"/>
      <c r="P469" s="1"/>
      <c r="Q469" s="1" t="str">
        <f>IFERROR(__xludf.DUMMYFUNCTION("""COMPUTED_VALUE"""),"KAONG")</f>
        <v>KAONG</v>
      </c>
      <c r="R469" s="1" t="str">
        <f>IFERROR(__xludf.DUMMYFUNCTION("""COMPUTED_VALUE"""),"SILANG")</f>
        <v>SILANG</v>
      </c>
      <c r="S469" s="1" t="str">
        <f>IFERROR(__xludf.DUMMYFUNCTION("""COMPUTED_VALUE"""),"FIBR PLAN 999 W/ CIGNAL")</f>
        <v>FIBR PLAN 999 W/ CIGNAL</v>
      </c>
      <c r="T469" s="1" t="str">
        <f>IFERROR(__xludf.DUMMYFUNCTION("""COMPUTED_VALUE"""),"APPROVED")</f>
        <v>APPROVED</v>
      </c>
      <c r="U469" s="1"/>
      <c r="V469" s="1"/>
      <c r="W469" s="1"/>
    </row>
    <row r="470" customHeight="1" spans="1:23">
      <c r="A470" s="3">
        <f>IFERROR(__xludf.DUMMYFUNCTION("""COMPUTED_VALUE"""),46072)</f>
        <v>46072</v>
      </c>
      <c r="B470" s="1" t="str">
        <f>IFERROR(__xludf.DUMMYFUNCTION("""COMPUTED_VALUE"""),"AYON MANUEL")</f>
        <v>AYON MANUEL</v>
      </c>
      <c r="C470" s="1" t="str">
        <f>IFERROR(__xludf.DUMMYFUNCTION("""COMPUTED_VALUE"""),"FLA")</f>
        <v>FLA</v>
      </c>
      <c r="D470" s="1" t="str">
        <f>IFERROR(__xludf.DUMMYFUNCTION("""COMPUTED_VALUE"""),"JERIC NAVARRO")</f>
        <v>JERIC NAVARRO</v>
      </c>
      <c r="E470" s="1" t="str">
        <f>IFERROR(__xludf.DUMMYFUNCTION("""COMPUTED_VALUE"""),"PLDT")</f>
        <v>PLDT</v>
      </c>
      <c r="F470" s="1">
        <f>IFERROR(__xludf.DUMMYFUNCTION("""COMPUTED_VALUE"""),2307136374)</f>
        <v>2307136374</v>
      </c>
      <c r="G470" s="1"/>
      <c r="H470" s="1" t="str">
        <f>IFERROR(__xludf.DUMMYFUNCTION("""COMPUTED_VALUE"""),"MICHAEL ANGELO LAO BALITAN")</f>
        <v>MICHAEL ANGELO LAO BALITAN</v>
      </c>
      <c r="I470" s="1">
        <f>IFERROR(__xludf.DUMMYFUNCTION("""COMPUTED_VALUE"""),9692483817)</f>
        <v>9692483817</v>
      </c>
      <c r="J470" s="1">
        <f>IFERROR(__xludf.DUMMYFUNCTION("""COMPUTED_VALUE"""),9289014540)</f>
        <v>9289014540</v>
      </c>
      <c r="K470" s="1" t="str">
        <f>IFERROR(__xludf.DUMMYFUNCTION("""COMPUTED_VALUE"""),"MARCOAMBAYEC8@GMAIL.COM")</f>
        <v>MARCOAMBAYEC8@GMAIL.COM</v>
      </c>
      <c r="L470" s="1" t="str">
        <f>IFERROR(__xludf.DUMMYFUNCTION("""COMPUTED_VALUE"""),"10186")</f>
        <v>10186</v>
      </c>
      <c r="M470" s="1" t="str">
        <f>IFERROR(__xludf.DUMMYFUNCTION("""COMPUTED_VALUE"""),"SITIO BAYUNGAN")</f>
        <v>SITIO BAYUNGAN</v>
      </c>
      <c r="N470" s="1"/>
      <c r="O470" s="1"/>
      <c r="P470" s="1"/>
      <c r="Q470" s="1" t="str">
        <f>IFERROR(__xludf.DUMMYFUNCTION("""COMPUTED_VALUE"""),"KAONG")</f>
        <v>KAONG</v>
      </c>
      <c r="R470" s="1" t="str">
        <f>IFERROR(__xludf.DUMMYFUNCTION("""COMPUTED_VALUE"""),"SILANG")</f>
        <v>SILANG</v>
      </c>
      <c r="S470" s="1" t="str">
        <f>IFERROR(__xludf.DUMMYFUNCTION("""COMPUTED_VALUE"""),"FIBR PLAN 1399")</f>
        <v>FIBR PLAN 1399</v>
      </c>
      <c r="T470" s="1" t="str">
        <f>IFERROR(__xludf.DUMMYFUNCTION("""COMPUTED_VALUE"""),"APPROVED")</f>
        <v>APPROVED</v>
      </c>
      <c r="U470" s="1"/>
      <c r="V470" s="1"/>
      <c r="W470" s="1"/>
    </row>
    <row r="471" customHeight="1" spans="1:23">
      <c r="A471" s="3">
        <f>IFERROR(__xludf.DUMMYFUNCTION("""COMPUTED_VALUE"""),46072)</f>
        <v>46072</v>
      </c>
      <c r="B471" s="1" t="str">
        <f>IFERROR(__xludf.DUMMYFUNCTION("""COMPUTED_VALUE"""),"AYON MANUEL")</f>
        <v>AYON MANUEL</v>
      </c>
      <c r="C471" s="1" t="str">
        <f>IFERROR(__xludf.DUMMYFUNCTION("""COMPUTED_VALUE"""),"FLA")</f>
        <v>FLA</v>
      </c>
      <c r="D471" s="1" t="str">
        <f>IFERROR(__xludf.DUMMYFUNCTION("""COMPUTED_VALUE"""),"JERIC NAVARRO")</f>
        <v>JERIC NAVARRO</v>
      </c>
      <c r="E471" s="1" t="str">
        <f>IFERROR(__xludf.DUMMYFUNCTION("""COMPUTED_VALUE"""),"PLDT")</f>
        <v>PLDT</v>
      </c>
      <c r="F471" s="1">
        <f>IFERROR(__xludf.DUMMYFUNCTION("""COMPUTED_VALUE"""),2307135399)</f>
        <v>2307135399</v>
      </c>
      <c r="G471" s="1"/>
      <c r="H471" s="1" t="str">
        <f>IFERROR(__xludf.DUMMYFUNCTION("""COMPUTED_VALUE"""),"JENIFER LIBERTINO DAGAMAS")</f>
        <v>JENIFER LIBERTINO DAGAMAS</v>
      </c>
      <c r="I471" s="1">
        <f>IFERROR(__xludf.DUMMYFUNCTION("""COMPUTED_VALUE"""),9091314597)</f>
        <v>9091314597</v>
      </c>
      <c r="J471" s="1">
        <f>IFERROR(__xludf.DUMMYFUNCTION("""COMPUTED_VALUE"""),9125807817)</f>
        <v>9125807817</v>
      </c>
      <c r="K471" s="1" t="str">
        <f>IFERROR(__xludf.DUMMYFUNCTION("""COMPUTED_VALUE"""),"DAGAMASCRIS@GMAIL.COM")</f>
        <v>DAGAMASCRIS@GMAIL.COM</v>
      </c>
      <c r="L471" s="1" t="str">
        <f>IFERROR(__xludf.DUMMYFUNCTION("""COMPUTED_VALUE"""),"9547")</f>
        <v>9547</v>
      </c>
      <c r="M471" s="1" t="str">
        <f>IFERROR(__xludf.DUMMYFUNCTION("""COMPUTED_VALUE"""),"IBAYONG ILAT")</f>
        <v>IBAYONG ILAT</v>
      </c>
      <c r="N471" s="1"/>
      <c r="O471" s="1"/>
      <c r="P471" s="1"/>
      <c r="Q471" s="1" t="str">
        <f>IFERROR(__xludf.DUMMYFUNCTION("""COMPUTED_VALUE"""),"KAONG")</f>
        <v>KAONG</v>
      </c>
      <c r="R471" s="1" t="str">
        <f>IFERROR(__xludf.DUMMYFUNCTION("""COMPUTED_VALUE"""),"SILANG")</f>
        <v>SILANG</v>
      </c>
      <c r="S471" s="1" t="str">
        <f>IFERROR(__xludf.DUMMYFUNCTION("""COMPUTED_VALUE"""),"FIBR PLAN 999 W/ CIGNAL")</f>
        <v>FIBR PLAN 999 W/ CIGNAL</v>
      </c>
      <c r="T471" s="1" t="str">
        <f>IFERROR(__xludf.DUMMYFUNCTION("""COMPUTED_VALUE"""),"APPROVED")</f>
        <v>APPROVED</v>
      </c>
      <c r="U471" s="1"/>
      <c r="V471" s="1"/>
      <c r="W471" s="1"/>
    </row>
    <row r="472" customHeight="1" spans="1:23">
      <c r="A472" s="3">
        <f>IFERROR(__xludf.DUMMYFUNCTION("""COMPUTED_VALUE"""),46072)</f>
        <v>46072</v>
      </c>
      <c r="B472" s="1" t="str">
        <f>IFERROR(__xludf.DUMMYFUNCTION("""COMPUTED_VALUE"""),"AYON MANUEL")</f>
        <v>AYON MANUEL</v>
      </c>
      <c r="C472" s="1" t="str">
        <f>IFERROR(__xludf.DUMMYFUNCTION("""COMPUTED_VALUE"""),"FLA")</f>
        <v>FLA</v>
      </c>
      <c r="D472" s="1" t="str">
        <f>IFERROR(__xludf.DUMMYFUNCTION("""COMPUTED_VALUE"""),"JERIC NAVARRO")</f>
        <v>JERIC NAVARRO</v>
      </c>
      <c r="E472" s="1" t="str">
        <f>IFERROR(__xludf.DUMMYFUNCTION("""COMPUTED_VALUE"""),"PLDT")</f>
        <v>PLDT</v>
      </c>
      <c r="F472" s="1">
        <f>IFERROR(__xludf.DUMMYFUNCTION("""COMPUTED_VALUE"""),2307136075)</f>
        <v>2307136075</v>
      </c>
      <c r="G472" s="1"/>
      <c r="H472" s="1" t="str">
        <f>IFERROR(__xludf.DUMMYFUNCTION("""COMPUTED_VALUE"""),"ADORA BERMUEZ SUMADSAD")</f>
        <v>ADORA BERMUEZ SUMADSAD</v>
      </c>
      <c r="I472" s="1">
        <f>IFERROR(__xludf.DUMMYFUNCTION("""COMPUTED_VALUE"""),9568809150)</f>
        <v>9568809150</v>
      </c>
      <c r="J472" s="1">
        <f>IFERROR(__xludf.DUMMYFUNCTION("""COMPUTED_VALUE"""),9154888634)</f>
        <v>9154888634</v>
      </c>
      <c r="K472" s="1" t="str">
        <f>IFERROR(__xludf.DUMMYFUNCTION("""COMPUTED_VALUE"""),"STARFEM2020@GMAIL.COM")</f>
        <v>STARFEM2020@GMAIL.COM</v>
      </c>
      <c r="L472" s="1" t="str">
        <f>IFERROR(__xludf.DUMMYFUNCTION("""COMPUTED_VALUE"""),"9051")</f>
        <v>9051</v>
      </c>
      <c r="M472" s="1" t="str">
        <f>IFERROR(__xludf.DUMMYFUNCTION("""COMPUTED_VALUE"""),"BAYUGAN RD")</f>
        <v>BAYUGAN RD</v>
      </c>
      <c r="N472" s="1"/>
      <c r="O472" s="1"/>
      <c r="P472" s="1"/>
      <c r="Q472" s="1" t="str">
        <f>IFERROR(__xludf.DUMMYFUNCTION("""COMPUTED_VALUE"""),"KAONG")</f>
        <v>KAONG</v>
      </c>
      <c r="R472" s="1" t="str">
        <f>IFERROR(__xludf.DUMMYFUNCTION("""COMPUTED_VALUE"""),"SILANG")</f>
        <v>SILANG</v>
      </c>
      <c r="S472" s="1" t="str">
        <f>IFERROR(__xludf.DUMMYFUNCTION("""COMPUTED_VALUE"""),"FIBR PLAN 999 W/ CIGNAL")</f>
        <v>FIBR PLAN 999 W/ CIGNAL</v>
      </c>
      <c r="T472" s="1" t="str">
        <f>IFERROR(__xludf.DUMMYFUNCTION("""COMPUTED_VALUE"""),"APPROVED")</f>
        <v>APPROVED</v>
      </c>
      <c r="U472" s="1"/>
      <c r="V472" s="1"/>
      <c r="W472" s="1"/>
    </row>
    <row r="473" customHeight="1" spans="1:23">
      <c r="A473" s="3">
        <f>IFERROR(__xludf.DUMMYFUNCTION("""COMPUTED_VALUE"""),46072)</f>
        <v>46072</v>
      </c>
      <c r="B473" s="1" t="str">
        <f>IFERROR(__xludf.DUMMYFUNCTION("""COMPUTED_VALUE"""),"AYON MANUEL")</f>
        <v>AYON MANUEL</v>
      </c>
      <c r="C473" s="1" t="str">
        <f>IFERROR(__xludf.DUMMYFUNCTION("""COMPUTED_VALUE"""),"FLA")</f>
        <v>FLA</v>
      </c>
      <c r="D473" s="1" t="str">
        <f>IFERROR(__xludf.DUMMYFUNCTION("""COMPUTED_VALUE"""),"JERIC NAVARRO")</f>
        <v>JERIC NAVARRO</v>
      </c>
      <c r="E473" s="1" t="str">
        <f>IFERROR(__xludf.DUMMYFUNCTION("""COMPUTED_VALUE"""),"PLDT")</f>
        <v>PLDT</v>
      </c>
      <c r="F473" s="1"/>
      <c r="G473" s="1"/>
      <c r="H473" s="1" t="str">
        <f>IFERROR(__xludf.DUMMYFUNCTION("""COMPUTED_VALUE"""),"MARICEL BORLASA GANJE ")</f>
        <v>MARICEL BORLASA GANJE </v>
      </c>
      <c r="I473" s="1">
        <f>IFERROR(__xludf.DUMMYFUNCTION("""COMPUTED_VALUE"""),9757351886)</f>
        <v>9757351886</v>
      </c>
      <c r="J473" s="1">
        <f>IFERROR(__xludf.DUMMYFUNCTION("""COMPUTED_VALUE"""),9974472746)</f>
        <v>9974472746</v>
      </c>
      <c r="K473" s="1" t="str">
        <f>IFERROR(__xludf.DUMMYFUNCTION("""COMPUTED_VALUE"""),"CELMINE030922@GMAIL.COM")</f>
        <v>CELMINE030922@GMAIL.COM</v>
      </c>
      <c r="L473" s="1"/>
      <c r="M473" s="1" t="str">
        <f>IFERROR(__xludf.DUMMYFUNCTION("""COMPUTED_VALUE"""),"IBAYONG ILAT")</f>
        <v>IBAYONG ILAT</v>
      </c>
      <c r="N473" s="1"/>
      <c r="O473" s="1"/>
      <c r="P473" s="1"/>
      <c r="Q473" s="1" t="str">
        <f>IFERROR(__xludf.DUMMYFUNCTION("""COMPUTED_VALUE"""),"KAONG")</f>
        <v>KAONG</v>
      </c>
      <c r="R473" s="1" t="str">
        <f>IFERROR(__xludf.DUMMYFUNCTION("""COMPUTED_VALUE"""),"SILANG")</f>
        <v>SILANG</v>
      </c>
      <c r="S473" s="1"/>
      <c r="T473" s="1" t="str">
        <f>IFERROR(__xludf.DUMMYFUNCTION("""COMPUTED_VALUE"""),"HOLD")</f>
        <v>HOLD</v>
      </c>
      <c r="U473" s="1" t="str">
        <f>IFERROR(__xludf.DUMMYFUNCTION("""COMPUTED_VALUE"""),"NO PLAN AND HOUSE NUMBEHOLDR")</f>
        <v>NO PLAN AND HOUSE NUMBEHOLDR</v>
      </c>
      <c r="V473" s="1"/>
      <c r="W473" s="1"/>
    </row>
    <row r="474" customHeight="1" spans="1:23">
      <c r="A474" s="3">
        <f>IFERROR(__xludf.DUMMYFUNCTION("""COMPUTED_VALUE"""),46072)</f>
        <v>46072</v>
      </c>
      <c r="B474" s="1" t="str">
        <f>IFERROR(__xludf.DUMMYFUNCTION("""COMPUTED_VALUE"""),"AYON MANUEL")</f>
        <v>AYON MANUEL</v>
      </c>
      <c r="C474" s="1" t="str">
        <f>IFERROR(__xludf.DUMMYFUNCTION("""COMPUTED_VALUE"""),"FLA")</f>
        <v>FLA</v>
      </c>
      <c r="D474" s="1" t="str">
        <f>IFERROR(__xludf.DUMMYFUNCTION("""COMPUTED_VALUE"""),"JERIC NAVARRO")</f>
        <v>JERIC NAVARRO</v>
      </c>
      <c r="E474" s="1" t="str">
        <f>IFERROR(__xludf.DUMMYFUNCTION("""COMPUTED_VALUE"""),"PLDT")</f>
        <v>PLDT</v>
      </c>
      <c r="F474" s="1">
        <f>IFERROR(__xludf.DUMMYFUNCTION("""COMPUTED_VALUE"""),2307138086)</f>
        <v>2307138086</v>
      </c>
      <c r="G474" s="1"/>
      <c r="H474" s="1" t="str">
        <f>IFERROR(__xludf.DUMMYFUNCTION("""COMPUTED_VALUE"""),"REGLOR SALUDAR ARADO")</f>
        <v>REGLOR SALUDAR ARADO</v>
      </c>
      <c r="I474" s="1">
        <f>IFERROR(__xludf.DUMMYFUNCTION("""COMPUTED_VALUE"""),9095806401)</f>
        <v>9095806401</v>
      </c>
      <c r="J474" s="1">
        <f>IFERROR(__xludf.DUMMYFUNCTION("""COMPUTED_VALUE"""),9127514031)</f>
        <v>9127514031</v>
      </c>
      <c r="K474" s="1" t="str">
        <f>IFERROR(__xludf.DUMMYFUNCTION("""COMPUTED_VALUE"""),"ARADOREGLOR@GMAIL.COM")</f>
        <v>ARADOREGLOR@GMAIL.COM</v>
      </c>
      <c r="L474" s="1" t="str">
        <f>IFERROR(__xludf.DUMMYFUNCTION("""COMPUTED_VALUE"""),"4118")</f>
        <v>4118</v>
      </c>
      <c r="M474" s="1" t="str">
        <f>IFERROR(__xludf.DUMMYFUNCTION("""COMPUTED_VALUE"""),"IBAYONG ILAT")</f>
        <v>IBAYONG ILAT</v>
      </c>
      <c r="N474" s="1"/>
      <c r="O474" s="1"/>
      <c r="P474" s="1"/>
      <c r="Q474" s="1" t="str">
        <f>IFERROR(__xludf.DUMMYFUNCTION("""COMPUTED_VALUE"""),"KAONG")</f>
        <v>KAONG</v>
      </c>
      <c r="R474" s="1" t="str">
        <f>IFERROR(__xludf.DUMMYFUNCTION("""COMPUTED_VALUE"""),"SILANG")</f>
        <v>SILANG</v>
      </c>
      <c r="S474" s="1" t="str">
        <f>IFERROR(__xludf.DUMMYFUNCTION("""COMPUTED_VALUE"""),"PREPAID 999")</f>
        <v>PREPAID 999</v>
      </c>
      <c r="T474" s="1" t="str">
        <f>IFERROR(__xludf.DUMMYFUNCTION("""COMPUTED_VALUE"""),"APPROVED")</f>
        <v>APPROVED</v>
      </c>
      <c r="U474" s="1"/>
      <c r="V474" s="1"/>
      <c r="W474" s="1"/>
    </row>
    <row r="475" customHeight="1" spans="1:23">
      <c r="A475" s="3">
        <f>IFERROR(__xludf.DUMMYFUNCTION("""COMPUTED_VALUE"""),46072)</f>
        <v>46072</v>
      </c>
      <c r="B475" s="1" t="str">
        <f>IFERROR(__xludf.DUMMYFUNCTION("""COMPUTED_VALUE"""),"DE VERA, MARIVIC")</f>
        <v>DE VERA, MARIVIC</v>
      </c>
      <c r="C475" s="1" t="str">
        <f>IFERROR(__xludf.DUMMYFUNCTION("""COMPUTED_VALUE"""),"ORGANIC")</f>
        <v>ORGANIC</v>
      </c>
      <c r="D475" s="1" t="str">
        <f>IFERROR(__xludf.DUMMYFUNCTION("""COMPUTED_VALUE"""),"REMOLLO LEA")</f>
        <v>REMOLLO LEA</v>
      </c>
      <c r="E475" s="1" t="str">
        <f>IFERROR(__xludf.DUMMYFUNCTION("""COMPUTED_VALUE"""),"PLDT")</f>
        <v>PLDT</v>
      </c>
      <c r="F475" s="1">
        <f>IFERROR(__xludf.DUMMYFUNCTION("""COMPUTED_VALUE"""),2307145935)</f>
        <v>2307145935</v>
      </c>
      <c r="G475" s="1"/>
      <c r="H475" s="1" t="str">
        <f>IFERROR(__xludf.DUMMYFUNCTION("""COMPUTED_VALUE"""),"JANINE GRACE ENRIQUE CARAAN")</f>
        <v>JANINE GRACE ENRIQUE CARAAN</v>
      </c>
      <c r="I475" s="1">
        <f>IFERROR(__xludf.DUMMYFUNCTION("""COMPUTED_VALUE"""),9277748338)</f>
        <v>9277748338</v>
      </c>
      <c r="J475" s="1"/>
      <c r="K475" s="1" t="str">
        <f>IFERROR(__xludf.DUMMYFUNCTION("""COMPUTED_VALUE"""),"JCARAAN02@GMAIL.COM")</f>
        <v>JCARAAN02@GMAIL.COM</v>
      </c>
      <c r="L475" s="1" t="str">
        <f>IFERROR(__xludf.DUMMYFUNCTION("""COMPUTED_VALUE"""),"3557")</f>
        <v>3557</v>
      </c>
      <c r="M475" s="1" t="str">
        <f>IFERROR(__xludf.DUMMYFUNCTION("""COMPUTED_VALUE"""),"BAYUNGAN")</f>
        <v>BAYUNGAN</v>
      </c>
      <c r="N475" s="1"/>
      <c r="O475" s="1"/>
      <c r="P475" s="1"/>
      <c r="Q475" s="1" t="str">
        <f>IFERROR(__xludf.DUMMYFUNCTION("""COMPUTED_VALUE"""),"KAONG")</f>
        <v>KAONG</v>
      </c>
      <c r="R475" s="1" t="str">
        <f>IFERROR(__xludf.DUMMYFUNCTION("""COMPUTED_VALUE"""),"SILANG")</f>
        <v>SILANG</v>
      </c>
      <c r="S475" s="1" t="str">
        <f>IFERROR(__xludf.DUMMYFUNCTION("""COMPUTED_VALUE"""),"PREPAID 999")</f>
        <v>PREPAID 999</v>
      </c>
      <c r="T475" s="1" t="str">
        <f>IFERROR(__xludf.DUMMYFUNCTION("""COMPUTED_VALUE"""),"APPROVED")</f>
        <v>APPROVED</v>
      </c>
      <c r="U475" s="1"/>
      <c r="V475" s="1"/>
      <c r="W475" s="1"/>
    </row>
    <row r="476" customHeight="1" spans="1:23">
      <c r="A476" s="3">
        <f>IFERROR(__xludf.DUMMYFUNCTION("""COMPUTED_VALUE"""),46072)</f>
        <v>46072</v>
      </c>
      <c r="B476" s="1" t="str">
        <f>IFERROR(__xludf.DUMMYFUNCTION("""COMPUTED_VALUE"""),"REMOLLO, LEA")</f>
        <v>REMOLLO, LEA</v>
      </c>
      <c r="C476" s="1" t="str">
        <f>IFERROR(__xludf.DUMMYFUNCTION("""COMPUTED_VALUE"""),"FLA")</f>
        <v>FLA</v>
      </c>
      <c r="D476" s="1" t="str">
        <f>IFERROR(__xludf.DUMMYFUNCTION("""COMPUTED_VALUE"""),"JERIC NAVARRO")</f>
        <v>JERIC NAVARRO</v>
      </c>
      <c r="E476" s="1" t="str">
        <f>IFERROR(__xludf.DUMMYFUNCTION("""COMPUTED_VALUE"""),"PLDT")</f>
        <v>PLDT</v>
      </c>
      <c r="F476" s="1">
        <f>IFERROR(__xludf.DUMMYFUNCTION("""COMPUTED_VALUE"""),2307143422)</f>
        <v>2307143422</v>
      </c>
      <c r="G476" s="1"/>
      <c r="H476" s="1" t="str">
        <f>IFERROR(__xludf.DUMMYFUNCTION("""COMPUTED_VALUE"""),"PRINCESS TIFFANY ALVARADO ENDENO")</f>
        <v>PRINCESS TIFFANY ALVARADO ENDENO</v>
      </c>
      <c r="I476" s="1">
        <f>IFERROR(__xludf.DUMMYFUNCTION("""COMPUTED_VALUE"""),9604159340)</f>
        <v>9604159340</v>
      </c>
      <c r="J476" s="1"/>
      <c r="K476" s="1" t="str">
        <f>IFERROR(__xludf.DUMMYFUNCTION("""COMPUTED_VALUE"""),"PRINCESSTIFFANYALVARADO@GMAIL.COM")</f>
        <v>PRINCESSTIFFANYALVARADO@GMAIL.COM</v>
      </c>
      <c r="L476" s="1" t="str">
        <f>IFERROR(__xludf.DUMMYFUNCTION("""COMPUTED_VALUE"""),"310")</f>
        <v>310</v>
      </c>
      <c r="M476" s="1" t="str">
        <f>IFERROR(__xludf.DUMMYFUNCTION("""COMPUTED_VALUE"""),"SITIO BAYUNGAN")</f>
        <v>SITIO BAYUNGAN</v>
      </c>
      <c r="N476" s="1"/>
      <c r="O476" s="1"/>
      <c r="P476" s="1"/>
      <c r="Q476" s="1" t="str">
        <f>IFERROR(__xludf.DUMMYFUNCTION("""COMPUTED_VALUE"""),"KAONG")</f>
        <v>KAONG</v>
      </c>
      <c r="R476" s="1" t="str">
        <f>IFERROR(__xludf.DUMMYFUNCTION("""COMPUTED_VALUE"""),"SILANG")</f>
        <v>SILANG</v>
      </c>
      <c r="S476" s="1" t="str">
        <f>IFERROR(__xludf.DUMMYFUNCTION("""COMPUTED_VALUE"""),"FIBR PLAN 1599")</f>
        <v>FIBR PLAN 1599</v>
      </c>
      <c r="T476" s="1" t="str">
        <f>IFERROR(__xludf.DUMMYFUNCTION("""COMPUTED_VALUE"""),"APPROVED")</f>
        <v>APPROVED</v>
      </c>
      <c r="U476" s="1"/>
      <c r="V476" s="1"/>
      <c r="W476" s="1"/>
    </row>
    <row r="477" customHeight="1" spans="1:23">
      <c r="A477" s="3">
        <f>IFERROR(__xludf.DUMMYFUNCTION("""COMPUTED_VALUE"""),46072)</f>
        <v>46072</v>
      </c>
      <c r="B477" s="1" t="str">
        <f>IFERROR(__xludf.DUMMYFUNCTION("""COMPUTED_VALUE"""),"CONCEPCION, ALJAY")</f>
        <v>CONCEPCION, ALJAY</v>
      </c>
      <c r="C477" s="1" t="str">
        <f>IFERROR(__xludf.DUMMYFUNCTION("""COMPUTED_VALUE"""),"ORGANIC")</f>
        <v>ORGANIC</v>
      </c>
      <c r="D477" s="1" t="str">
        <f>IFERROR(__xludf.DUMMYFUNCTION("""COMPUTED_VALUE"""),"REMOLLO LEA")</f>
        <v>REMOLLO LEA</v>
      </c>
      <c r="E477" s="1" t="str">
        <f>IFERROR(__xludf.DUMMYFUNCTION("""COMPUTED_VALUE"""),"PLDT")</f>
        <v>PLDT</v>
      </c>
      <c r="F477" s="1">
        <f>IFERROR(__xludf.DUMMYFUNCTION("""COMPUTED_VALUE"""),2307147337)</f>
        <v>2307147337</v>
      </c>
      <c r="G477" s="1"/>
      <c r="H477" s="1" t="str">
        <f>IFERROR(__xludf.DUMMYFUNCTION("""COMPUTED_VALUE"""),"FELIX PAUBSANON COSTANILLA")</f>
        <v>FELIX PAUBSANON COSTANILLA</v>
      </c>
      <c r="I477" s="1">
        <f>IFERROR(__xludf.DUMMYFUNCTION("""COMPUTED_VALUE"""),9473692878)</f>
        <v>9473692878</v>
      </c>
      <c r="J477" s="1"/>
      <c r="K477" s="1" t="str">
        <f>IFERROR(__xludf.DUMMYFUNCTION("""COMPUTED_VALUE"""),"1422FPAULBSANON@GMAIL.COM")</f>
        <v>1422FPAULBSANON@GMAIL.COM</v>
      </c>
      <c r="L477" s="1" t="str">
        <f>IFERROR(__xludf.DUMMYFUNCTION("""COMPUTED_VALUE"""),"85")</f>
        <v>85</v>
      </c>
      <c r="M477" s="1" t="str">
        <f>IFERROR(__xludf.DUMMYFUNCTION("""COMPUTED_VALUE"""),"SITIO BAYUNGAN")</f>
        <v>SITIO BAYUNGAN</v>
      </c>
      <c r="N477" s="1"/>
      <c r="O477" s="1"/>
      <c r="P477" s="1"/>
      <c r="Q477" s="1" t="str">
        <f>IFERROR(__xludf.DUMMYFUNCTION("""COMPUTED_VALUE"""),"KAONG")</f>
        <v>KAONG</v>
      </c>
      <c r="R477" s="1" t="str">
        <f>IFERROR(__xludf.DUMMYFUNCTION("""COMPUTED_VALUE"""),"SILANG")</f>
        <v>SILANG</v>
      </c>
      <c r="S477" s="1" t="str">
        <f>IFERROR(__xludf.DUMMYFUNCTION("""COMPUTED_VALUE"""),"FIBR PLAN 1399")</f>
        <v>FIBR PLAN 1399</v>
      </c>
      <c r="T477" s="1" t="str">
        <f>IFERROR(__xludf.DUMMYFUNCTION("""COMPUTED_VALUE"""),"APPROVED")</f>
        <v>APPROVED</v>
      </c>
      <c r="U477" s="1"/>
      <c r="V477" s="1"/>
      <c r="W477" s="1"/>
    </row>
    <row r="478" customHeight="1" spans="1:23">
      <c r="A478" s="3">
        <f>IFERROR(__xludf.DUMMYFUNCTION("""COMPUTED_VALUE"""),46072)</f>
        <v>46072</v>
      </c>
      <c r="B478" s="1" t="str">
        <f>IFERROR(__xludf.DUMMYFUNCTION("""COMPUTED_VALUE"""),"ESCARCHA, MA ALMA  ESCOTO")</f>
        <v>ESCARCHA, MA ALMA  ESCOTO</v>
      </c>
      <c r="C478" s="1" t="str">
        <f>IFERROR(__xludf.DUMMYFUNCTION("""COMPUTED_VALUE"""),"ORGANIC")</f>
        <v>ORGANIC</v>
      </c>
      <c r="D478" s="1" t="str">
        <f>IFERROR(__xludf.DUMMYFUNCTION("""COMPUTED_VALUE"""),"REMOLLO LEA")</f>
        <v>REMOLLO LEA</v>
      </c>
      <c r="E478" s="1" t="str">
        <f>IFERROR(__xludf.DUMMYFUNCTION("""COMPUTED_VALUE"""),"PLDT")</f>
        <v>PLDT</v>
      </c>
      <c r="F478" s="1">
        <f>IFERROR(__xludf.DUMMYFUNCTION("""COMPUTED_VALUE"""),2307168833)</f>
        <v>2307168833</v>
      </c>
      <c r="G478" s="1"/>
      <c r="H478" s="1" t="str">
        <f>IFERROR(__xludf.DUMMYFUNCTION("""COMPUTED_VALUE"""),"MARILOU MERINGUEZ BABAYRAN")</f>
        <v>MARILOU MERINGUEZ BABAYRAN</v>
      </c>
      <c r="I478" s="1">
        <f>IFERROR(__xludf.DUMMYFUNCTION("""COMPUTED_VALUE"""),9283990016)</f>
        <v>9283990016</v>
      </c>
      <c r="J478" s="1"/>
      <c r="K478" s="1" t="str">
        <f>IFERROR(__xludf.DUMMYFUNCTION("""COMPUTED_VALUE"""),"MARILOUBABAYRAN@GMAIL.COM")</f>
        <v>MARILOUBABAYRAN@GMAIL.COM</v>
      </c>
      <c r="L478" s="1" t="str">
        <f>IFERROR(__xludf.DUMMYFUNCTION("""COMPUTED_VALUE"""),"16")</f>
        <v>16</v>
      </c>
      <c r="M478" s="1" t="str">
        <f>IFERROR(__xludf.DUMMYFUNCTION("""COMPUTED_VALUE"""),"SITIO BAYUNGAN")</f>
        <v>SITIO BAYUNGAN</v>
      </c>
      <c r="N478" s="1"/>
      <c r="O478" s="1"/>
      <c r="P478" s="1"/>
      <c r="Q478" s="1" t="str">
        <f>IFERROR(__xludf.DUMMYFUNCTION("""COMPUTED_VALUE"""),"KAONG")</f>
        <v>KAONG</v>
      </c>
      <c r="R478" s="1" t="str">
        <f>IFERROR(__xludf.DUMMYFUNCTION("""COMPUTED_VALUE"""),"SILANG")</f>
        <v>SILANG</v>
      </c>
      <c r="S478" s="1" t="str">
        <f>IFERROR(__xludf.DUMMYFUNCTION("""COMPUTED_VALUE"""),"FIBR PLAN 1399")</f>
        <v>FIBR PLAN 1399</v>
      </c>
      <c r="T478" s="1" t="str">
        <f>IFERROR(__xludf.DUMMYFUNCTION("""COMPUTED_VALUE"""),"APPROVED")</f>
        <v>APPROVED</v>
      </c>
      <c r="U478" s="1" t="str">
        <f>IFERROR(__xludf.DUMMYFUNCTION("""COMPUTED_VALUE"""),"CBR CNT BE REACH")</f>
        <v>CBR CNT BE REACH</v>
      </c>
      <c r="V478" s="1"/>
      <c r="W478" s="1"/>
    </row>
    <row r="479" customHeight="1" spans="1:23">
      <c r="A479" s="3">
        <f>IFERROR(__xludf.DUMMYFUNCTION("""COMPUTED_VALUE"""),46072)</f>
        <v>46072</v>
      </c>
      <c r="B479" s="1" t="str">
        <f>IFERROR(__xludf.DUMMYFUNCTION("""COMPUTED_VALUE"""),"ESCARCHA, MA ALMA  ESCOTO")</f>
        <v>ESCARCHA, MA ALMA  ESCOTO</v>
      </c>
      <c r="C479" s="1" t="str">
        <f>IFERROR(__xludf.DUMMYFUNCTION("""COMPUTED_VALUE"""),"ORGANIC")</f>
        <v>ORGANIC</v>
      </c>
      <c r="D479" s="1" t="str">
        <f>IFERROR(__xludf.DUMMYFUNCTION("""COMPUTED_VALUE"""),"REMOLLO LEA")</f>
        <v>REMOLLO LEA</v>
      </c>
      <c r="E479" s="1" t="str">
        <f>IFERROR(__xludf.DUMMYFUNCTION("""COMPUTED_VALUE"""),"PLDT")</f>
        <v>PLDT</v>
      </c>
      <c r="F479" s="1"/>
      <c r="G479" s="1"/>
      <c r="H479" s="1" t="str">
        <f>IFERROR(__xludf.DUMMYFUNCTION("""COMPUTED_VALUE"""),"LUNESTO JR ANCAN MINTO")</f>
        <v>LUNESTO JR ANCAN MINTO</v>
      </c>
      <c r="I479" s="1">
        <f>IFERROR(__xludf.DUMMYFUNCTION("""COMPUTED_VALUE"""),9665970135)</f>
        <v>9665970135</v>
      </c>
      <c r="J479" s="1">
        <f>IFERROR(__xludf.DUMMYFUNCTION("""COMPUTED_VALUE"""),9977688201)</f>
        <v>9977688201</v>
      </c>
      <c r="K479" s="1" t="str">
        <f>IFERROR(__xludf.DUMMYFUNCTION("""COMPUTED_VALUE"""),"MINTOJHAYR@GMAIL.COM")</f>
        <v>MINTOJHAYR@GMAIL.COM</v>
      </c>
      <c r="L479" s="1" t="str">
        <f>IFERROR(__xludf.DUMMYFUNCTION("""COMPUTED_VALUE"""),"243")</f>
        <v>243</v>
      </c>
      <c r="M479" s="1" t="str">
        <f>IFERROR(__xludf.DUMMYFUNCTION("""COMPUTED_VALUE"""),"SITIO BAYUNGAN")</f>
        <v>SITIO BAYUNGAN</v>
      </c>
      <c r="N479" s="1"/>
      <c r="O479" s="1"/>
      <c r="P479" s="1"/>
      <c r="Q479" s="1" t="str">
        <f>IFERROR(__xludf.DUMMYFUNCTION("""COMPUTED_VALUE"""),"KAONG")</f>
        <v>KAONG</v>
      </c>
      <c r="R479" s="1" t="str">
        <f>IFERROR(__xludf.DUMMYFUNCTION("""COMPUTED_VALUE"""),"SILANG")</f>
        <v>SILANG</v>
      </c>
      <c r="S479" s="1" t="str">
        <f>IFERROR(__xludf.DUMMYFUNCTION("""COMPUTED_VALUE"""),"FIBR PLAN 1399")</f>
        <v>FIBR PLAN 1399</v>
      </c>
      <c r="T479" s="1" t="str">
        <f>IFERROR(__xludf.DUMMYFUNCTION("""COMPUTED_VALUE"""),"HOLD")</f>
        <v>HOLD</v>
      </c>
      <c r="U479" s="1" t="str">
        <f>IFERROR(__xludf.DUMMYFUNCTION("""COMPUTED_VALUE"""),"NEXT MONTH AS PER SUBS SABI NO CASH OUT")</f>
        <v>NEXT MONTH AS PER SUBS SABI NO CASH OUT</v>
      </c>
      <c r="V479" s="1"/>
      <c r="W479" s="1"/>
    </row>
    <row r="480" customHeight="1" spans="1:23">
      <c r="A480" s="3">
        <f>IFERROR(__xludf.DUMMYFUNCTION("""COMPUTED_VALUE"""),46072)</f>
        <v>46072</v>
      </c>
      <c r="B480" s="1" t="str">
        <f>IFERROR(__xludf.DUMMYFUNCTION("""COMPUTED_VALUE"""),"SAMURAY, MARINELLE GACILLIOS")</f>
        <v>SAMURAY, MARINELLE GACILLIOS</v>
      </c>
      <c r="C480" s="1" t="str">
        <f>IFERROR(__xludf.DUMMYFUNCTION("""COMPUTED_VALUE"""),"ORGANIC")</f>
        <v>ORGANIC</v>
      </c>
      <c r="D480" s="1" t="str">
        <f>IFERROR(__xludf.DUMMYFUNCTION("""COMPUTED_VALUE"""),"REMOLLO LEA")</f>
        <v>REMOLLO LEA</v>
      </c>
      <c r="E480" s="1" t="str">
        <f>IFERROR(__xludf.DUMMYFUNCTION("""COMPUTED_VALUE"""),"PLDT")</f>
        <v>PLDT</v>
      </c>
      <c r="F480" s="1"/>
      <c r="G480" s="1"/>
      <c r="H480" s="1" t="str">
        <f>IFERROR(__xludf.DUMMYFUNCTION("""COMPUTED_VALUE"""),"JOHAIRA ONGA SANGUILA")</f>
        <v>JOHAIRA ONGA SANGUILA</v>
      </c>
      <c r="I480" s="1">
        <f>IFERROR(__xludf.DUMMYFUNCTION("""COMPUTED_VALUE"""),9274175626)</f>
        <v>9274175626</v>
      </c>
      <c r="J480" s="1"/>
      <c r="K480" s="1" t="str">
        <f>IFERROR(__xludf.DUMMYFUNCTION("""COMPUTED_VALUE"""),"SANGUILAJOHAIRA37@GMAIL.COM")</f>
        <v>SANGUILAJOHAIRA37@GMAIL.COM</v>
      </c>
      <c r="L480" s="1" t="str">
        <f>IFERROR(__xludf.DUMMYFUNCTION("""COMPUTED_VALUE"""),"46")</f>
        <v>46</v>
      </c>
      <c r="M480" s="1" t="str">
        <f>IFERROR(__xludf.DUMMYFUNCTION("""COMPUTED_VALUE"""),"SITIO BAYUNGAN")</f>
        <v>SITIO BAYUNGAN</v>
      </c>
      <c r="N480" s="1"/>
      <c r="O480" s="1"/>
      <c r="P480" s="1"/>
      <c r="Q480" s="1" t="str">
        <f>IFERROR(__xludf.DUMMYFUNCTION("""COMPUTED_VALUE"""),"KAONG")</f>
        <v>KAONG</v>
      </c>
      <c r="R480" s="1" t="str">
        <f>IFERROR(__xludf.DUMMYFUNCTION("""COMPUTED_VALUE"""),"SILANG")</f>
        <v>SILANG</v>
      </c>
      <c r="S480" s="1" t="str">
        <f>IFERROR(__xludf.DUMMYFUNCTION("""COMPUTED_VALUE"""),"FIBR PLAN 1399")</f>
        <v>FIBR PLAN 1399</v>
      </c>
      <c r="T480" s="1" t="str">
        <f>IFERROR(__xludf.DUMMYFUNCTION("""COMPUTED_VALUE"""),"CANCELLED ")</f>
        <v>CANCELLED </v>
      </c>
      <c r="U480" s="1" t="str">
        <f>IFERROR(__xludf.DUMMYFUNCTION("""COMPUTED_VALUE"""),"PER MAAM LEA GINAMIT LANG DAW ANG DETAILS NI SUBS AT HNDI NA SYA DOON NAKA TIRA KAYA BINALIKAN NALANG AT PAPAAPPLY YUNG OWNER NG BAHAY")</f>
        <v>PER MAAM LEA GINAMIT LANG DAW ANG DETAILS NI SUBS AT HNDI NA SYA DOON NAKA TIRA KAYA BINALIKAN NALANG AT PAPAAPPLY YUNG OWNER NG BAHAY</v>
      </c>
      <c r="V480" s="1"/>
      <c r="W480" s="1"/>
    </row>
    <row r="481" customHeight="1" spans="1:23">
      <c r="A481" s="3">
        <f>IFERROR(__xludf.DUMMYFUNCTION("""COMPUTED_VALUE"""),46072)</f>
        <v>46072</v>
      </c>
      <c r="B481" s="1" t="str">
        <f>IFERROR(__xludf.DUMMYFUNCTION("""COMPUTED_VALUE"""),"SAMURAY, MARINELLE GACILLIOS")</f>
        <v>SAMURAY, MARINELLE GACILLIOS</v>
      </c>
      <c r="C481" s="1" t="str">
        <f>IFERROR(__xludf.DUMMYFUNCTION("""COMPUTED_VALUE"""),"ORGANIC")</f>
        <v>ORGANIC</v>
      </c>
      <c r="D481" s="1" t="str">
        <f>IFERROR(__xludf.DUMMYFUNCTION("""COMPUTED_VALUE"""),"REMOLLO LEA")</f>
        <v>REMOLLO LEA</v>
      </c>
      <c r="E481" s="1" t="str">
        <f>IFERROR(__xludf.DUMMYFUNCTION("""COMPUTED_VALUE"""),"PLDT")</f>
        <v>PLDT</v>
      </c>
      <c r="F481" s="1">
        <f>IFERROR(__xludf.DUMMYFUNCTION("""COMPUTED_VALUE"""),2307147453)</f>
        <v>2307147453</v>
      </c>
      <c r="G481" s="1"/>
      <c r="H481" s="1" t="str">
        <f>IFERROR(__xludf.DUMMYFUNCTION("""COMPUTED_VALUE"""),"ROVELYN TANGALIN PABLICO")</f>
        <v>ROVELYN TANGALIN PABLICO</v>
      </c>
      <c r="I481" s="1">
        <f>IFERROR(__xludf.DUMMYFUNCTION("""COMPUTED_VALUE"""),9976079595)</f>
        <v>9976079595</v>
      </c>
      <c r="J481" s="1"/>
      <c r="K481" s="1" t="str">
        <f>IFERROR(__xludf.DUMMYFUNCTION("""COMPUTED_VALUE"""),"RUBYPABLICO447@GMAIL.COM")</f>
        <v>RUBYPABLICO447@GMAIL.COM</v>
      </c>
      <c r="L481" s="1" t="str">
        <f>IFERROR(__xludf.DUMMYFUNCTION("""COMPUTED_VALUE"""),"6")</f>
        <v>6</v>
      </c>
      <c r="M481" s="1" t="str">
        <f>IFERROR(__xludf.DUMMYFUNCTION("""COMPUTED_VALUE"""),"SITIO BAYUNGAN")</f>
        <v>SITIO BAYUNGAN</v>
      </c>
      <c r="N481" s="1"/>
      <c r="O481" s="1"/>
      <c r="P481" s="1"/>
      <c r="Q481" s="1" t="str">
        <f>IFERROR(__xludf.DUMMYFUNCTION("""COMPUTED_VALUE"""),"KAONG")</f>
        <v>KAONG</v>
      </c>
      <c r="R481" s="1" t="str">
        <f>IFERROR(__xludf.DUMMYFUNCTION("""COMPUTED_VALUE"""),"SILANG")</f>
        <v>SILANG</v>
      </c>
      <c r="S481" s="1" t="str">
        <f>IFERROR(__xludf.DUMMYFUNCTION("""COMPUTED_VALUE"""),"FIBR PLAN 1399")</f>
        <v>FIBR PLAN 1399</v>
      </c>
      <c r="T481" s="1" t="str">
        <f>IFERROR(__xludf.DUMMYFUNCTION("""COMPUTED_VALUE"""),"APPROVED")</f>
        <v>APPROVED</v>
      </c>
      <c r="U481" s="1"/>
      <c r="V481" s="1"/>
      <c r="W481" s="1"/>
    </row>
    <row r="482" customHeight="1" spans="1:23">
      <c r="A482" s="3">
        <f>IFERROR(__xludf.DUMMYFUNCTION("""COMPUTED_VALUE"""),46072)</f>
        <v>46072</v>
      </c>
      <c r="B482" s="1" t="str">
        <f>IFERROR(__xludf.DUMMYFUNCTION("""COMPUTED_VALUE"""),"DE VERA, MARIVIC")</f>
        <v>DE VERA, MARIVIC</v>
      </c>
      <c r="C482" s="1" t="str">
        <f>IFERROR(__xludf.DUMMYFUNCTION("""COMPUTED_VALUE"""),"ORGANIC")</f>
        <v>ORGANIC</v>
      </c>
      <c r="D482" s="1" t="str">
        <f>IFERROR(__xludf.DUMMYFUNCTION("""COMPUTED_VALUE"""),"REMOLLO LEA")</f>
        <v>REMOLLO LEA</v>
      </c>
      <c r="E482" s="1" t="str">
        <f>IFERROR(__xludf.DUMMYFUNCTION("""COMPUTED_VALUE"""),"PLDT")</f>
        <v>PLDT</v>
      </c>
      <c r="F482" s="1"/>
      <c r="G482" s="1"/>
      <c r="H482" s="1" t="str">
        <f>IFERROR(__xludf.DUMMYFUNCTION("""COMPUTED_VALUE"""),"ROQUE RAMOS DUMIP-IG")</f>
        <v>ROQUE RAMOS DUMIP-IG</v>
      </c>
      <c r="I482" s="1">
        <f>IFERROR(__xludf.DUMMYFUNCTION("""COMPUTED_VALUE"""),9936538425)</f>
        <v>9936538425</v>
      </c>
      <c r="J482" s="1">
        <f>IFERROR(__xludf.DUMMYFUNCTION("""COMPUTED_VALUE"""),9922473975)</f>
        <v>9922473975</v>
      </c>
      <c r="K482" s="1" t="str">
        <f>IFERROR(__xludf.DUMMYFUNCTION("""COMPUTED_VALUE"""),"ABISOTRIXIAMAE@GMAIL.COM")</f>
        <v>ABISOTRIXIAMAE@GMAIL.COM</v>
      </c>
      <c r="L482" s="1" t="str">
        <f>IFERROR(__xludf.DUMMYFUNCTION("""COMPUTED_VALUE"""),"275")</f>
        <v>275</v>
      </c>
      <c r="M482" s="1" t="str">
        <f>IFERROR(__xludf.DUMMYFUNCTION("""COMPUTED_VALUE"""),"SITIO BAYUNGAN")</f>
        <v>SITIO BAYUNGAN</v>
      </c>
      <c r="N482" s="1"/>
      <c r="O482" s="1"/>
      <c r="P482" s="1"/>
      <c r="Q482" s="1" t="str">
        <f>IFERROR(__xludf.DUMMYFUNCTION("""COMPUTED_VALUE"""),"KAONG")</f>
        <v>KAONG</v>
      </c>
      <c r="R482" s="1" t="str">
        <f>IFERROR(__xludf.DUMMYFUNCTION("""COMPUTED_VALUE"""),"SILANG")</f>
        <v>SILANG</v>
      </c>
      <c r="S482" s="1" t="str">
        <f>IFERROR(__xludf.DUMMYFUNCTION("""COMPUTED_VALUE"""),"FIBR PLAN 1399")</f>
        <v>FIBR PLAN 1399</v>
      </c>
      <c r="T482" s="1" t="str">
        <f>IFERROR(__xludf.DUMMYFUNCTION("""COMPUTED_VALUE"""),"FOR CALLBACK / CANNOT BE REACHED")</f>
        <v>FOR CALLBACK / CANNOT BE REACHED</v>
      </c>
      <c r="U482" s="1" t="str">
        <f>IFERROR(__xludf.DUMMYFUNCTION("""COMPUTED_VALUE"""),"RINGINHG ONLY BOTH CBR")</f>
        <v>RINGINHG ONLY BOTH CBR</v>
      </c>
      <c r="V482" s="1"/>
      <c r="W482" s="1"/>
    </row>
    <row r="483" customHeight="1" spans="1:23">
      <c r="A483" s="3">
        <f>IFERROR(__xludf.DUMMYFUNCTION("""COMPUTED_VALUE"""),46072)</f>
        <v>46072</v>
      </c>
      <c r="B483" s="1" t="str">
        <f>IFERROR(__xludf.DUMMYFUNCTION("""COMPUTED_VALUE"""),"ESCARCHA, MA ALMA  ESCOTO")</f>
        <v>ESCARCHA, MA ALMA  ESCOTO</v>
      </c>
      <c r="C483" s="1" t="str">
        <f>IFERROR(__xludf.DUMMYFUNCTION("""COMPUTED_VALUE"""),"ORGANIC")</f>
        <v>ORGANIC</v>
      </c>
      <c r="D483" s="1" t="str">
        <f>IFERROR(__xludf.DUMMYFUNCTION("""COMPUTED_VALUE"""),"REMOLLO LEA")</f>
        <v>REMOLLO LEA</v>
      </c>
      <c r="E483" s="1" t="str">
        <f>IFERROR(__xludf.DUMMYFUNCTION("""COMPUTED_VALUE"""),"PLDT")</f>
        <v>PLDT</v>
      </c>
      <c r="F483" s="1">
        <f>IFERROR(__xludf.DUMMYFUNCTION("""COMPUTED_VALUE"""),2307154144)</f>
        <v>2307154144</v>
      </c>
      <c r="G483" s="1"/>
      <c r="H483" s="1" t="str">
        <f>IFERROR(__xludf.DUMMYFUNCTION("""COMPUTED_VALUE"""),"EDWIN LAYLAY ATILLANO")</f>
        <v>EDWIN LAYLAY ATILLANO</v>
      </c>
      <c r="I483" s="1">
        <f>IFERROR(__xludf.DUMMYFUNCTION("""COMPUTED_VALUE"""),9070869276)</f>
        <v>9070869276</v>
      </c>
      <c r="J483" s="1"/>
      <c r="K483" s="1" t="str">
        <f>IFERROR(__xludf.DUMMYFUNCTION("""COMPUTED_VALUE"""),"EDWINSTILL01@GMAIL.COM")</f>
        <v>EDWINSTILL01@GMAIL.COM</v>
      </c>
      <c r="L483" s="1" t="str">
        <f>IFERROR(__xludf.DUMMYFUNCTION("""COMPUTED_VALUE"""),"186")</f>
        <v>186</v>
      </c>
      <c r="M483" s="1" t="str">
        <f>IFERROR(__xludf.DUMMYFUNCTION("""COMPUTED_VALUE"""),"IBAYONG ILAT")</f>
        <v>IBAYONG ILAT</v>
      </c>
      <c r="N483" s="1"/>
      <c r="O483" s="1"/>
      <c r="P483" s="1"/>
      <c r="Q483" s="1" t="str">
        <f>IFERROR(__xludf.DUMMYFUNCTION("""COMPUTED_VALUE"""),"KAONG")</f>
        <v>KAONG</v>
      </c>
      <c r="R483" s="1" t="str">
        <f>IFERROR(__xludf.DUMMYFUNCTION("""COMPUTED_VALUE"""),"SILANG")</f>
        <v>SILANG</v>
      </c>
      <c r="S483" s="1" t="str">
        <f>IFERROR(__xludf.DUMMYFUNCTION("""COMPUTED_VALUE"""),"FIBR PLAN 2499")</f>
        <v>FIBR PLAN 2499</v>
      </c>
      <c r="T483" s="1" t="str">
        <f>IFERROR(__xludf.DUMMYFUNCTION("""COMPUTED_VALUE"""),"APPROVED")</f>
        <v>APPROVED</v>
      </c>
      <c r="U483" s="1"/>
      <c r="V483" s="1"/>
      <c r="W483" s="1"/>
    </row>
    <row r="484" customHeight="1" spans="1:23">
      <c r="A484" s="3">
        <f>IFERROR(__xludf.DUMMYFUNCTION("""COMPUTED_VALUE"""),46072)</f>
        <v>46072</v>
      </c>
      <c r="B484" s="1" t="str">
        <f>IFERROR(__xludf.DUMMYFUNCTION("""COMPUTED_VALUE"""),"GABAY, MANUEL")</f>
        <v>GABAY, MANUEL</v>
      </c>
      <c r="C484" s="1" t="str">
        <f>IFERROR(__xludf.DUMMYFUNCTION("""COMPUTED_VALUE"""),"FLA")</f>
        <v>FLA</v>
      </c>
      <c r="D484" s="1" t="str">
        <f>IFERROR(__xludf.DUMMYFUNCTION("""COMPUTED_VALUE"""),"JERIC NAVARRO")</f>
        <v>JERIC NAVARRO</v>
      </c>
      <c r="E484" s="1" t="str">
        <f>IFERROR(__xludf.DUMMYFUNCTION("""COMPUTED_VALUE"""),"PLDT")</f>
        <v>PLDT</v>
      </c>
      <c r="F484" s="1">
        <f>IFERROR(__xludf.DUMMYFUNCTION("""COMPUTED_VALUE"""),2307142224)</f>
        <v>2307142224</v>
      </c>
      <c r="G484" s="1"/>
      <c r="H484" s="1" t="str">
        <f>IFERROR(__xludf.DUMMYFUNCTION("""COMPUTED_VALUE"""),"ERNIELYN RIMAS URBANO")</f>
        <v>ERNIELYN RIMAS URBANO</v>
      </c>
      <c r="I484" s="1">
        <f>IFERROR(__xludf.DUMMYFUNCTION("""COMPUTED_VALUE"""),9555686059)</f>
        <v>9555686059</v>
      </c>
      <c r="J484" s="1"/>
      <c r="K484" s="1" t="str">
        <f>IFERROR(__xludf.DUMMYFUNCTION("""COMPUTED_VALUE"""),"ERNIELYNURBANO@GMAIL.COM")</f>
        <v>ERNIELYNURBANO@GMAIL.COM</v>
      </c>
      <c r="L484" s="1"/>
      <c r="M484" s="1" t="str">
        <f>IFERROR(__xludf.DUMMYFUNCTION("""COMPUTED_VALUE"""),"IBAYONG ILAT")</f>
        <v>IBAYONG ILAT</v>
      </c>
      <c r="N484" s="1"/>
      <c r="O484" s="1"/>
      <c r="P484" s="1"/>
      <c r="Q484" s="1" t="str">
        <f>IFERROR(__xludf.DUMMYFUNCTION("""COMPUTED_VALUE"""),"KAONG")</f>
        <v>KAONG</v>
      </c>
      <c r="R484" s="1" t="str">
        <f>IFERROR(__xludf.DUMMYFUNCTION("""COMPUTED_VALUE"""),"SILANG")</f>
        <v>SILANG</v>
      </c>
      <c r="S484" s="1" t="str">
        <f>IFERROR(__xludf.DUMMYFUNCTION("""COMPUTED_VALUE"""),"SWITCH PLAN 1599")</f>
        <v>SWITCH PLAN 1599</v>
      </c>
      <c r="T484" s="1" t="str">
        <f>IFERROR(__xludf.DUMMYFUNCTION("""COMPUTED_VALUE"""),"APPROVED")</f>
        <v>APPROVED</v>
      </c>
      <c r="U484" s="1"/>
      <c r="V484" s="1"/>
      <c r="W484" s="1"/>
    </row>
    <row r="485" customHeight="1" spans="1:23">
      <c r="A485" s="3">
        <f>IFERROR(__xludf.DUMMYFUNCTION("""COMPUTED_VALUE"""),46072)</f>
        <v>46072</v>
      </c>
      <c r="B485" s="1" t="str">
        <f>IFERROR(__xludf.DUMMYFUNCTION("""COMPUTED_VALUE"""),"AYON MANUEL")</f>
        <v>AYON MANUEL</v>
      </c>
      <c r="C485" s="1" t="str">
        <f>IFERROR(__xludf.DUMMYFUNCTION("""COMPUTED_VALUE"""),"FLA")</f>
        <v>FLA</v>
      </c>
      <c r="D485" s="1" t="str">
        <f>IFERROR(__xludf.DUMMYFUNCTION("""COMPUTED_VALUE"""),"JERIC NAVARRO")</f>
        <v>JERIC NAVARRO</v>
      </c>
      <c r="E485" s="1" t="str">
        <f>IFERROR(__xludf.DUMMYFUNCTION("""COMPUTED_VALUE"""),"PLDT")</f>
        <v>PLDT</v>
      </c>
      <c r="F485" s="1">
        <f>IFERROR(__xludf.DUMMYFUNCTION("""COMPUTED_VALUE"""),2307137896)</f>
        <v>2307137896</v>
      </c>
      <c r="G485" s="1"/>
      <c r="H485" s="1" t="str">
        <f>IFERROR(__xludf.DUMMYFUNCTION("""COMPUTED_VALUE"""),"RONALDO VALLADORES CASTANARES")</f>
        <v>RONALDO VALLADORES CASTANARES</v>
      </c>
      <c r="I485" s="1">
        <f>IFERROR(__xludf.DUMMYFUNCTION("""COMPUTED_VALUE"""),9452504439)</f>
        <v>9452504439</v>
      </c>
      <c r="J485" s="1">
        <f>IFERROR(__xludf.DUMMYFUNCTION("""COMPUTED_VALUE"""),9970858313)</f>
        <v>9970858313</v>
      </c>
      <c r="K485" s="1" t="str">
        <f>IFERROR(__xludf.DUMMYFUNCTION("""COMPUTED_VALUE"""),"RONALDOCASTANARES123@GMAIL.COM")</f>
        <v>RONALDOCASTANARES123@GMAIL.COM</v>
      </c>
      <c r="L485" s="1" t="str">
        <f>IFERROR(__xludf.DUMMYFUNCTION("""COMPUTED_VALUE"""),"9314")</f>
        <v>9314</v>
      </c>
      <c r="M485" s="1" t="str">
        <f>IFERROR(__xludf.DUMMYFUNCTION("""COMPUTED_VALUE"""),"IBAYONG ILAT")</f>
        <v>IBAYONG ILAT</v>
      </c>
      <c r="N485" s="1"/>
      <c r="O485" s="1"/>
      <c r="P485" s="1"/>
      <c r="Q485" s="1" t="str">
        <f>IFERROR(__xludf.DUMMYFUNCTION("""COMPUTED_VALUE"""),"KAONG")</f>
        <v>KAONG</v>
      </c>
      <c r="R485" s="1" t="str">
        <f>IFERROR(__xludf.DUMMYFUNCTION("""COMPUTED_VALUE"""),"SILANG")</f>
        <v>SILANG</v>
      </c>
      <c r="S485" s="1" t="str">
        <f>IFERROR(__xludf.DUMMYFUNCTION("""COMPUTED_VALUE"""),"FIBR PLAN 1599")</f>
        <v>FIBR PLAN 1599</v>
      </c>
      <c r="T485" s="1" t="str">
        <f>IFERROR(__xludf.DUMMYFUNCTION("""COMPUTED_VALUE"""),"APPROVED")</f>
        <v>APPROVED</v>
      </c>
      <c r="U485" s="1"/>
      <c r="V485" s="1"/>
      <c r="W485" s="1"/>
    </row>
    <row r="486" customHeight="1" spans="1:23">
      <c r="A486" s="3">
        <f>IFERROR(__xludf.DUMMYFUNCTION("""COMPUTED_VALUE"""),46072)</f>
        <v>46072</v>
      </c>
      <c r="B486" s="1" t="str">
        <f>IFERROR(__xludf.DUMMYFUNCTION("""COMPUTED_VALUE"""),"AYON MANUEL")</f>
        <v>AYON MANUEL</v>
      </c>
      <c r="C486" s="1" t="str">
        <f>IFERROR(__xludf.DUMMYFUNCTION("""COMPUTED_VALUE"""),"FLA")</f>
        <v>FLA</v>
      </c>
      <c r="D486" s="1" t="str">
        <f>IFERROR(__xludf.DUMMYFUNCTION("""COMPUTED_VALUE"""),"JERIC NAVARRO")</f>
        <v>JERIC NAVARRO</v>
      </c>
      <c r="E486" s="1" t="str">
        <f>IFERROR(__xludf.DUMMYFUNCTION("""COMPUTED_VALUE"""),"PLDT")</f>
        <v>PLDT</v>
      </c>
      <c r="F486" s="1">
        <f>IFERROR(__xludf.DUMMYFUNCTION("""COMPUTED_VALUE"""),2307138202)</f>
        <v>2307138202</v>
      </c>
      <c r="G486" s="1"/>
      <c r="H486" s="1" t="str">
        <f>IFERROR(__xludf.DUMMYFUNCTION("""COMPUTED_VALUE"""),"ELIZABETH ZURITA CANADA")</f>
        <v>ELIZABETH ZURITA CANADA</v>
      </c>
      <c r="I486" s="1">
        <f>IFERROR(__xludf.DUMMYFUNCTION("""COMPUTED_VALUE"""),9173205268)</f>
        <v>9173205268</v>
      </c>
      <c r="J486" s="1">
        <f>IFERROR(__xludf.DUMMYFUNCTION("""COMPUTED_VALUE"""),9397846965)</f>
        <v>9397846965</v>
      </c>
      <c r="K486" s="1" t="str">
        <f>IFERROR(__xludf.DUMMYFUNCTION("""COMPUTED_VALUE"""),"CANADARECAVATION@GMAIL.COM")</f>
        <v>CANADARECAVATION@GMAIL.COM</v>
      </c>
      <c r="L486" s="1" t="str">
        <f>IFERROR(__xludf.DUMMYFUNCTION("""COMPUTED_VALUE"""),"10149")</f>
        <v>10149</v>
      </c>
      <c r="M486" s="1" t="str">
        <f>IFERROR(__xludf.DUMMYFUNCTION("""COMPUTED_VALUE"""),"IBAYONG ILAT")</f>
        <v>IBAYONG ILAT</v>
      </c>
      <c r="N486" s="1"/>
      <c r="O486" s="1"/>
      <c r="P486" s="1"/>
      <c r="Q486" s="1" t="str">
        <f>IFERROR(__xludf.DUMMYFUNCTION("""COMPUTED_VALUE"""),"KAONG")</f>
        <v>KAONG</v>
      </c>
      <c r="R486" s="1" t="str">
        <f>IFERROR(__xludf.DUMMYFUNCTION("""COMPUTED_VALUE"""),"SILANG")</f>
        <v>SILANG</v>
      </c>
      <c r="S486" s="1" t="str">
        <f>IFERROR(__xludf.DUMMYFUNCTION("""COMPUTED_VALUE"""),"FIBR PLAN 2499")</f>
        <v>FIBR PLAN 2499</v>
      </c>
      <c r="T486" s="1" t="str">
        <f>IFERROR(__xludf.DUMMYFUNCTION("""COMPUTED_VALUE"""),"APPROVED")</f>
        <v>APPROVED</v>
      </c>
      <c r="U486" s="1"/>
      <c r="V486" s="1"/>
      <c r="W486" s="1"/>
    </row>
    <row r="487" customHeight="1" spans="1:23">
      <c r="A487" s="3">
        <f>IFERROR(__xludf.DUMMYFUNCTION("""COMPUTED_VALUE"""),46072)</f>
        <v>46072</v>
      </c>
      <c r="B487" s="1" t="str">
        <f>IFERROR(__xludf.DUMMYFUNCTION("""COMPUTED_VALUE"""),"AYON MANUEL")</f>
        <v>AYON MANUEL</v>
      </c>
      <c r="C487" s="1" t="str">
        <f>IFERROR(__xludf.DUMMYFUNCTION("""COMPUTED_VALUE"""),"FLA")</f>
        <v>FLA</v>
      </c>
      <c r="D487" s="1" t="str">
        <f>IFERROR(__xludf.DUMMYFUNCTION("""COMPUTED_VALUE"""),"JERIC NAVARRO")</f>
        <v>JERIC NAVARRO</v>
      </c>
      <c r="E487" s="1" t="str">
        <f>IFERROR(__xludf.DUMMYFUNCTION("""COMPUTED_VALUE"""),"PLDT")</f>
        <v>PLDT</v>
      </c>
      <c r="F487" s="1">
        <f>IFERROR(__xludf.DUMMYFUNCTION("""COMPUTED_VALUE"""),2307137162)</f>
        <v>2307137162</v>
      </c>
      <c r="G487" s="1"/>
      <c r="H487" s="1" t="str">
        <f>IFERROR(__xludf.DUMMYFUNCTION("""COMPUTED_VALUE"""),"HARVEY VALENZUELA BAUSTISTA")</f>
        <v>HARVEY VALENZUELA BAUSTISTA</v>
      </c>
      <c r="I487" s="1">
        <f>IFERROR(__xludf.DUMMYFUNCTION("""COMPUTED_VALUE"""),9206007541)</f>
        <v>9206007541</v>
      </c>
      <c r="J487" s="1">
        <f>IFERROR(__xludf.DUMMYFUNCTION("""COMPUTED_VALUE"""),9773067849)</f>
        <v>9773067849</v>
      </c>
      <c r="K487" s="1" t="str">
        <f>IFERROR(__xludf.DUMMYFUNCTION("""COMPUTED_VALUE"""),"BAUTISTAHARVEY024@GMAIL.COM")</f>
        <v>BAUTISTAHARVEY024@GMAIL.COM</v>
      </c>
      <c r="L487" s="1" t="str">
        <f>IFERROR(__xludf.DUMMYFUNCTION("""COMPUTED_VALUE"""),"9874B")</f>
        <v>9874B</v>
      </c>
      <c r="M487" s="1" t="str">
        <f>IFERROR(__xludf.DUMMYFUNCTION("""COMPUTED_VALUE"""),"SITIO BAYUNGAN")</f>
        <v>SITIO BAYUNGAN</v>
      </c>
      <c r="N487" s="1"/>
      <c r="O487" s="1"/>
      <c r="P487" s="1"/>
      <c r="Q487" s="1" t="str">
        <f>IFERROR(__xludf.DUMMYFUNCTION("""COMPUTED_VALUE"""),"KAONG")</f>
        <v>KAONG</v>
      </c>
      <c r="R487" s="1" t="str">
        <f>IFERROR(__xludf.DUMMYFUNCTION("""COMPUTED_VALUE"""),"SILANG")</f>
        <v>SILANG</v>
      </c>
      <c r="S487" s="1" t="str">
        <f>IFERROR(__xludf.DUMMYFUNCTION("""COMPUTED_VALUE"""),"FIBR PLAN 1799")</f>
        <v>FIBR PLAN 1799</v>
      </c>
      <c r="T487" s="1" t="str">
        <f>IFERROR(__xludf.DUMMYFUNCTION("""COMPUTED_VALUE"""),"APPROVED")</f>
        <v>APPROVED</v>
      </c>
      <c r="U487" s="1"/>
      <c r="V487" s="1"/>
      <c r="W487" s="1"/>
    </row>
    <row r="488" customHeight="1" spans="1:23">
      <c r="A488" s="3">
        <f>IFERROR(__xludf.DUMMYFUNCTION("""COMPUTED_VALUE"""),46072)</f>
        <v>46072</v>
      </c>
      <c r="B488" s="1" t="str">
        <f>IFERROR(__xludf.DUMMYFUNCTION("""COMPUTED_VALUE"""),"AYON MANUEL")</f>
        <v>AYON MANUEL</v>
      </c>
      <c r="C488" s="1" t="str">
        <f>IFERROR(__xludf.DUMMYFUNCTION("""COMPUTED_VALUE"""),"FLA")</f>
        <v>FLA</v>
      </c>
      <c r="D488" s="1" t="str">
        <f>IFERROR(__xludf.DUMMYFUNCTION("""COMPUTED_VALUE"""),"JERIC NAVARRO")</f>
        <v>JERIC NAVARRO</v>
      </c>
      <c r="E488" s="1" t="str">
        <f>IFERROR(__xludf.DUMMYFUNCTION("""COMPUTED_VALUE"""),"PLDT")</f>
        <v>PLDT</v>
      </c>
      <c r="F488" s="1">
        <f>IFERROR(__xludf.DUMMYFUNCTION("""COMPUTED_VALUE"""),2307137425)</f>
        <v>2307137425</v>
      </c>
      <c r="G488" s="1"/>
      <c r="H488" s="1" t="str">
        <f>IFERROR(__xludf.DUMMYFUNCTION("""COMPUTED_VALUE"""),"JEZTER MENDOZA BARZAGA")</f>
        <v>JEZTER MENDOZA BARZAGA</v>
      </c>
      <c r="I488" s="1">
        <f>IFERROR(__xludf.DUMMYFUNCTION("""COMPUTED_VALUE"""),9452147936)</f>
        <v>9452147936</v>
      </c>
      <c r="J488" s="1">
        <f>IFERROR(__xludf.DUMMYFUNCTION("""COMPUTED_VALUE"""),9610361324)</f>
        <v>9610361324</v>
      </c>
      <c r="K488" s="1" t="str">
        <f>IFERROR(__xludf.DUMMYFUNCTION("""COMPUTED_VALUE"""),"JEZTERBARZAG122302@GMAIL.COM")</f>
        <v>JEZTERBARZAG122302@GMAIL.COM</v>
      </c>
      <c r="L488" s="1" t="str">
        <f>IFERROR(__xludf.DUMMYFUNCTION("""COMPUTED_VALUE"""),"9001")</f>
        <v>9001</v>
      </c>
      <c r="M488" s="1" t="str">
        <f>IFERROR(__xludf.DUMMYFUNCTION("""COMPUTED_VALUE"""),"IBAYONG ILOG")</f>
        <v>IBAYONG ILOG</v>
      </c>
      <c r="N488" s="1"/>
      <c r="O488" s="1"/>
      <c r="P488" s="1"/>
      <c r="Q488" s="1" t="str">
        <f>IFERROR(__xludf.DUMMYFUNCTION("""COMPUTED_VALUE"""),"KAONG")</f>
        <v>KAONG</v>
      </c>
      <c r="R488" s="1" t="str">
        <f>IFERROR(__xludf.DUMMYFUNCTION("""COMPUTED_VALUE"""),"SILANG")</f>
        <v>SILANG</v>
      </c>
      <c r="S488" s="1" t="str">
        <f>IFERROR(__xludf.DUMMYFUNCTION("""COMPUTED_VALUE"""),"FIBR PLAN 1299")</f>
        <v>FIBR PLAN 1299</v>
      </c>
      <c r="T488" s="1" t="str">
        <f>IFERROR(__xludf.DUMMYFUNCTION("""COMPUTED_VALUE"""),"APPROVED")</f>
        <v>APPROVED</v>
      </c>
      <c r="U488" s="1"/>
      <c r="V488" s="1"/>
      <c r="W488" s="1"/>
    </row>
    <row r="489" customHeight="1" spans="1:23">
      <c r="A489" s="3">
        <f>IFERROR(__xludf.DUMMYFUNCTION("""COMPUTED_VALUE"""),46072)</f>
        <v>46072</v>
      </c>
      <c r="B489" s="1" t="str">
        <f>IFERROR(__xludf.DUMMYFUNCTION("""COMPUTED_VALUE"""),"AYON MANUEL")</f>
        <v>AYON MANUEL</v>
      </c>
      <c r="C489" s="1" t="str">
        <f>IFERROR(__xludf.DUMMYFUNCTION("""COMPUTED_VALUE"""),"FLA")</f>
        <v>FLA</v>
      </c>
      <c r="D489" s="1" t="str">
        <f>IFERROR(__xludf.DUMMYFUNCTION("""COMPUTED_VALUE"""),"JERIC NAVARRO")</f>
        <v>JERIC NAVARRO</v>
      </c>
      <c r="E489" s="1" t="str">
        <f>IFERROR(__xludf.DUMMYFUNCTION("""COMPUTED_VALUE"""),"PLDT")</f>
        <v>PLDT</v>
      </c>
      <c r="F489" s="1">
        <f>IFERROR(__xludf.DUMMYFUNCTION("""COMPUTED_VALUE"""),2307137628)</f>
        <v>2307137628</v>
      </c>
      <c r="G489" s="1"/>
      <c r="H489" s="1" t="str">
        <f>IFERROR(__xludf.DUMMYFUNCTION("""COMPUTED_VALUE"""),"MELCHOR CANDADO BAUTISTA")</f>
        <v>MELCHOR CANDADO BAUTISTA</v>
      </c>
      <c r="I489" s="1">
        <f>IFERROR(__xludf.DUMMYFUNCTION("""COMPUTED_VALUE"""),9084649755)</f>
        <v>9084649755</v>
      </c>
      <c r="J489" s="1">
        <f>IFERROR(__xludf.DUMMYFUNCTION("""COMPUTED_VALUE"""),9206007541)</f>
        <v>9206007541</v>
      </c>
      <c r="K489" s="1" t="str">
        <f>IFERROR(__xludf.DUMMYFUNCTION("""COMPUTED_VALUE"""),"BUSTISTAMHEL105@GMAIL.COM")</f>
        <v>BUSTISTAMHEL105@GMAIL.COM</v>
      </c>
      <c r="L489" s="1" t="str">
        <f>IFERROR(__xludf.DUMMYFUNCTION("""COMPUTED_VALUE"""),"9874")</f>
        <v>9874</v>
      </c>
      <c r="M489" s="1" t="str">
        <f>IFERROR(__xludf.DUMMYFUNCTION("""COMPUTED_VALUE"""),"IBAYONG ILOG")</f>
        <v>IBAYONG ILOG</v>
      </c>
      <c r="N489" s="1"/>
      <c r="O489" s="1"/>
      <c r="P489" s="1"/>
      <c r="Q489" s="1" t="str">
        <f>IFERROR(__xludf.DUMMYFUNCTION("""COMPUTED_VALUE"""),"KAONG")</f>
        <v>KAONG</v>
      </c>
      <c r="R489" s="1" t="str">
        <f>IFERROR(__xludf.DUMMYFUNCTION("""COMPUTED_VALUE"""),"SILANG")</f>
        <v>SILANG</v>
      </c>
      <c r="S489" s="1" t="str">
        <f>IFERROR(__xludf.DUMMYFUNCTION("""COMPUTED_VALUE"""),"FIBR PLAN 1399")</f>
        <v>FIBR PLAN 1399</v>
      </c>
      <c r="T489" s="1" t="str">
        <f>IFERROR(__xludf.DUMMYFUNCTION("""COMPUTED_VALUE"""),"APPROVED")</f>
        <v>APPROVED</v>
      </c>
      <c r="U489" s="1"/>
      <c r="V489" s="1"/>
      <c r="W489" s="1"/>
    </row>
    <row r="490" customHeight="1" spans="1:23">
      <c r="A490" s="3">
        <f>IFERROR(__xludf.DUMMYFUNCTION("""COMPUTED_VALUE"""),46072)</f>
        <v>46072</v>
      </c>
      <c r="B490" s="1" t="str">
        <f>IFERROR(__xludf.DUMMYFUNCTION("""COMPUTED_VALUE"""),"MAGDARAOG, KENNETH")</f>
        <v>MAGDARAOG, KENNETH</v>
      </c>
      <c r="C490" s="1" t="str">
        <f>IFERROR(__xludf.DUMMYFUNCTION("""COMPUTED_VALUE"""),"ORGANIC")</f>
        <v>ORGANIC</v>
      </c>
      <c r="D490" s="1" t="str">
        <f>IFERROR(__xludf.DUMMYFUNCTION("""COMPUTED_VALUE"""),"REMOLLO LEA")</f>
        <v>REMOLLO LEA</v>
      </c>
      <c r="E490" s="1" t="str">
        <f>IFERROR(__xludf.DUMMYFUNCTION("""COMPUTED_VALUE"""),"PLDT")</f>
        <v>PLDT</v>
      </c>
      <c r="F490" s="1"/>
      <c r="G490" s="1"/>
      <c r="H490" s="1" t="str">
        <f>IFERROR(__xludf.DUMMYFUNCTION("""COMPUTED_VALUE"""),"MARISEL PADUA ALONZO")</f>
        <v>MARISEL PADUA ALONZO</v>
      </c>
      <c r="I490" s="1">
        <f>IFERROR(__xludf.DUMMYFUNCTION("""COMPUTED_VALUE"""),9620909052)</f>
        <v>9620909052</v>
      </c>
      <c r="J490" s="1">
        <f>IFERROR(__xludf.DUMMYFUNCTION("""COMPUTED_VALUE"""),9123934283)</f>
        <v>9123934283</v>
      </c>
      <c r="K490" s="1" t="str">
        <f>IFERROR(__xludf.DUMMYFUNCTION("""COMPUTED_VALUE"""),"MARISEL.ALONZO26@GMAIL.COM")</f>
        <v>MARISEL.ALONZO26@GMAIL.COM</v>
      </c>
      <c r="L490" s="1" t="str">
        <f>IFERROR(__xludf.DUMMYFUNCTION("""COMPUTED_VALUE"""),"223")</f>
        <v>223</v>
      </c>
      <c r="M490" s="1" t="str">
        <f>IFERROR(__xludf.DUMMYFUNCTION("""COMPUTED_VALUE"""),"KAONG")</f>
        <v>KAONG</v>
      </c>
      <c r="N490" s="1"/>
      <c r="O490" s="1"/>
      <c r="P490" s="1"/>
      <c r="Q490" s="1" t="str">
        <f>IFERROR(__xludf.DUMMYFUNCTION("""COMPUTED_VALUE"""),"KAONG")</f>
        <v>KAONG</v>
      </c>
      <c r="R490" s="1" t="str">
        <f>IFERROR(__xludf.DUMMYFUNCTION("""COMPUTED_VALUE"""),"SILANG")</f>
        <v>SILANG</v>
      </c>
      <c r="S490" s="1" t="str">
        <f>IFERROR(__xludf.DUMMYFUNCTION("""COMPUTED_VALUE"""),"FIBR PLAN 1399")</f>
        <v>FIBR PLAN 1399</v>
      </c>
      <c r="T490" s="1" t="str">
        <f>IFERROR(__xludf.DUMMYFUNCTION("""COMPUTED_VALUE"""),"FOR CALLBACK / CANNOT BE REACHED")</f>
        <v>FOR CALLBACK / CANNOT BE REACHED</v>
      </c>
      <c r="U490" s="1" t="str">
        <f>IFERROR(__xludf.DUMMYFUNCTION("""COMPUTED_VALUE"""),"FOR CALLBACK 2:30 BUKAS FEB 21/cbr ringing only")</f>
        <v>FOR CALLBACK 2:30 BUKAS FEB 21/cbr ringing only</v>
      </c>
      <c r="V490" s="1"/>
      <c r="W490" s="1"/>
    </row>
    <row r="491" customHeight="1" spans="1:23">
      <c r="A491" s="3">
        <f>IFERROR(__xludf.DUMMYFUNCTION("""COMPUTED_VALUE"""),46072)</f>
        <v>46072</v>
      </c>
      <c r="B491" s="1" t="str">
        <f>IFERROR(__xludf.DUMMYFUNCTION("""COMPUTED_VALUE"""),"FARO, REFRANTA")</f>
        <v>FARO, REFRANTA</v>
      </c>
      <c r="C491" s="1" t="str">
        <f>IFERROR(__xludf.DUMMYFUNCTION("""COMPUTED_VALUE"""),"ORGANIC")</f>
        <v>ORGANIC</v>
      </c>
      <c r="D491" s="1" t="str">
        <f>IFERROR(__xludf.DUMMYFUNCTION("""COMPUTED_VALUE"""),"REMOLLO LEA")</f>
        <v>REMOLLO LEA</v>
      </c>
      <c r="E491" s="1" t="str">
        <f>IFERROR(__xludf.DUMMYFUNCTION("""COMPUTED_VALUE"""),"PLDT")</f>
        <v>PLDT</v>
      </c>
      <c r="F491" s="1">
        <f>IFERROR(__xludf.DUMMYFUNCTION("""COMPUTED_VALUE"""),2307170244)</f>
        <v>2307170244</v>
      </c>
      <c r="G491" s="1"/>
      <c r="H491" s="1" t="str">
        <f>IFERROR(__xludf.DUMMYFUNCTION("""COMPUTED_VALUE"""),"VANESSA LIWANAG MIRANDA")</f>
        <v>VANESSA LIWANAG MIRANDA</v>
      </c>
      <c r="I491" s="1">
        <f>IFERROR(__xludf.DUMMYFUNCTION("""COMPUTED_VALUE"""),9060645274)</f>
        <v>9060645274</v>
      </c>
      <c r="J491" s="1"/>
      <c r="K491" s="1" t="str">
        <f>IFERROR(__xludf.DUMMYFUNCTION("""COMPUTED_VALUE"""),"LIWANAGVANESSA1985@GMAIL.COM")</f>
        <v>LIWANAGVANESSA1985@GMAIL.COM</v>
      </c>
      <c r="L491" s="1" t="str">
        <f>IFERROR(__xludf.DUMMYFUNCTION("""COMPUTED_VALUE"""),"137")</f>
        <v>137</v>
      </c>
      <c r="M491" s="1" t="str">
        <f>IFERROR(__xludf.DUMMYFUNCTION("""COMPUTED_VALUE"""),"KARSADAHAN")</f>
        <v>KARSADAHAN</v>
      </c>
      <c r="N491" s="1"/>
      <c r="O491" s="1"/>
      <c r="P491" s="1"/>
      <c r="Q491" s="1" t="str">
        <f>IFERROR(__xludf.DUMMYFUNCTION("""COMPUTED_VALUE"""),"KAONG")</f>
        <v>KAONG</v>
      </c>
      <c r="R491" s="1" t="str">
        <f>IFERROR(__xludf.DUMMYFUNCTION("""COMPUTED_VALUE"""),"SILANG")</f>
        <v>SILANG</v>
      </c>
      <c r="S491" s="1" t="str">
        <f>IFERROR(__xludf.DUMMYFUNCTION("""COMPUTED_VALUE"""),"FIBR PLAN 1599")</f>
        <v>FIBR PLAN 1599</v>
      </c>
      <c r="T491" s="1" t="str">
        <f>IFERROR(__xludf.DUMMYFUNCTION("""COMPUTED_VALUE"""),"APPROVED")</f>
        <v>APPROVED</v>
      </c>
      <c r="U491" s="1"/>
      <c r="V491" s="1"/>
      <c r="W491" s="1"/>
    </row>
    <row r="492" customHeight="1" spans="1:23">
      <c r="A492" s="3">
        <f>IFERROR(__xludf.DUMMYFUNCTION("""COMPUTED_VALUE"""),46072)</f>
        <v>46072</v>
      </c>
      <c r="B492" s="1" t="str">
        <f>IFERROR(__xludf.DUMMYFUNCTION("""COMPUTED_VALUE"""),"CANTANERO JUNEL")</f>
        <v>CANTANERO JUNEL</v>
      </c>
      <c r="C492" s="1" t="str">
        <f>IFERROR(__xludf.DUMMYFUNCTION("""COMPUTED_VALUE"""),"ORGANIC")</f>
        <v>ORGANIC</v>
      </c>
      <c r="D492" s="1" t="str">
        <f>IFERROR(__xludf.DUMMYFUNCTION("""COMPUTED_VALUE"""),"REMOLLO LEA")</f>
        <v>REMOLLO LEA</v>
      </c>
      <c r="E492" s="1" t="str">
        <f>IFERROR(__xludf.DUMMYFUNCTION("""COMPUTED_VALUE"""),"PLDT")</f>
        <v>PLDT</v>
      </c>
      <c r="F492" s="1"/>
      <c r="G492" s="1"/>
      <c r="H492" s="1" t="str">
        <f>IFERROR(__xludf.DUMMYFUNCTION("""COMPUTED_VALUE"""),"JANNA POLBOSA LUNA")</f>
        <v>JANNA POLBOSA LUNA</v>
      </c>
      <c r="I492" s="1">
        <f>IFERROR(__xludf.DUMMYFUNCTION("""COMPUTED_VALUE"""),9385619965)</f>
        <v>9385619965</v>
      </c>
      <c r="J492" s="1"/>
      <c r="K492" s="1" t="str">
        <f>IFERROR(__xludf.DUMMYFUNCTION("""COMPUTED_VALUE"""),"JANNABELCHES42@GMAIL.COM")</f>
        <v>JANNABELCHES42@GMAIL.COM</v>
      </c>
      <c r="L492" s="1" t="str">
        <f>IFERROR(__xludf.DUMMYFUNCTION("""COMPUTED_VALUE"""),"112")</f>
        <v>112</v>
      </c>
      <c r="M492" s="1" t="str">
        <f>IFERROR(__xludf.DUMMYFUNCTION("""COMPUTED_VALUE"""),"KARSADAHAN")</f>
        <v>KARSADAHAN</v>
      </c>
      <c r="N492" s="1"/>
      <c r="O492" s="1"/>
      <c r="P492" s="1"/>
      <c r="Q492" s="1" t="str">
        <f>IFERROR(__xludf.DUMMYFUNCTION("""COMPUTED_VALUE"""),"KAONG")</f>
        <v>KAONG</v>
      </c>
      <c r="R492" s="1" t="str">
        <f>IFERROR(__xludf.DUMMYFUNCTION("""COMPUTED_VALUE"""),"SILANG")</f>
        <v>SILANG</v>
      </c>
      <c r="S492" s="1" t="str">
        <f>IFERROR(__xludf.DUMMYFUNCTION("""COMPUTED_VALUE"""),"PREPAID 999")</f>
        <v>PREPAID 999</v>
      </c>
      <c r="T492" s="1" t="str">
        <f>IFERROR(__xludf.DUMMYFUNCTION("""COMPUTED_VALUE"""),"HOLD")</f>
        <v>HOLD</v>
      </c>
      <c r="U492" s="1" t="str">
        <f>IFERROR(__xludf.DUMMYFUNCTION("""COMPUTED_VALUE"""),"PER SUBS TATAWAG NALANG KAPAG MAY BUDGET NA MADAMI PA DAW SYA BAYADIN SA ANAK NYA SA MANILA")</f>
        <v>PER SUBS TATAWAG NALANG KAPAG MAY BUDGET NA MADAMI PA DAW SYA BAYADIN SA ANAK NYA SA MANILA</v>
      </c>
      <c r="V492" s="1"/>
      <c r="W492" s="1"/>
    </row>
    <row r="493" customHeight="1" spans="1:23">
      <c r="A493" s="3">
        <f>IFERROR(__xludf.DUMMYFUNCTION("""COMPUTED_VALUE"""),46072)</f>
        <v>46072</v>
      </c>
      <c r="B493" s="1" t="str">
        <f>IFERROR(__xludf.DUMMYFUNCTION("""COMPUTED_VALUE"""),"GARCIA EDWIN")</f>
        <v>GARCIA EDWIN</v>
      </c>
      <c r="C493" s="1" t="str">
        <f>IFERROR(__xludf.DUMMYFUNCTION("""COMPUTED_VALUE"""),"ORGANIC")</f>
        <v>ORGANIC</v>
      </c>
      <c r="D493" s="1" t="str">
        <f>IFERROR(__xludf.DUMMYFUNCTION("""COMPUTED_VALUE"""),"REMOLLO LEA")</f>
        <v>REMOLLO LEA</v>
      </c>
      <c r="E493" s="1" t="str">
        <f>IFERROR(__xludf.DUMMYFUNCTION("""COMPUTED_VALUE"""),"PLDT")</f>
        <v>PLDT</v>
      </c>
      <c r="F493" s="1">
        <f>IFERROR(__xludf.DUMMYFUNCTION("""COMPUTED_VALUE"""),2307146783)</f>
        <v>2307146783</v>
      </c>
      <c r="G493" s="1"/>
      <c r="H493" s="1" t="str">
        <f>IFERROR(__xludf.DUMMYFUNCTION("""COMPUTED_VALUE"""),"MARIBEL DECLARO PENA")</f>
        <v>MARIBEL DECLARO PENA</v>
      </c>
      <c r="I493" s="1">
        <f>IFERROR(__xludf.DUMMYFUNCTION("""COMPUTED_VALUE"""),9757050837)</f>
        <v>9757050837</v>
      </c>
      <c r="J493" s="1"/>
      <c r="K493" s="1" t="str">
        <f>IFERROR(__xludf.DUMMYFUNCTION("""COMPUTED_VALUE"""),"CONTIGAMANNY805@YAHOO.COM")</f>
        <v>CONTIGAMANNY805@YAHOO.COM</v>
      </c>
      <c r="L493" s="1" t="str">
        <f>IFERROR(__xludf.DUMMYFUNCTION("""COMPUTED_VALUE"""),"75")</f>
        <v>75</v>
      </c>
      <c r="M493" s="1" t="str">
        <f>IFERROR(__xludf.DUMMYFUNCTION("""COMPUTED_VALUE"""),"IBAYONG ILOG")</f>
        <v>IBAYONG ILOG</v>
      </c>
      <c r="N493" s="1"/>
      <c r="O493" s="1"/>
      <c r="P493" s="1"/>
      <c r="Q493" s="1" t="str">
        <f>IFERROR(__xludf.DUMMYFUNCTION("""COMPUTED_VALUE"""),"KAONG")</f>
        <v>KAONG</v>
      </c>
      <c r="R493" s="1" t="str">
        <f>IFERROR(__xludf.DUMMYFUNCTION("""COMPUTED_VALUE"""),"SILANG")</f>
        <v>SILANG</v>
      </c>
      <c r="S493" s="1" t="str">
        <f>IFERROR(__xludf.DUMMYFUNCTION("""COMPUTED_VALUE"""),"PREPAID 999")</f>
        <v>PREPAID 999</v>
      </c>
      <c r="T493" s="1" t="str">
        <f>IFERROR(__xludf.DUMMYFUNCTION("""COMPUTED_VALUE"""),"APPROVED")</f>
        <v>APPROVED</v>
      </c>
      <c r="U493" s="1"/>
      <c r="V493" s="1"/>
      <c r="W493" s="1"/>
    </row>
    <row r="494" customHeight="1" spans="1:23">
      <c r="A494" s="3">
        <f>IFERROR(__xludf.DUMMYFUNCTION("""COMPUTED_VALUE"""),46072)</f>
        <v>46072</v>
      </c>
      <c r="B494" s="1" t="str">
        <f>IFERROR(__xludf.DUMMYFUNCTION("""COMPUTED_VALUE"""),"TISTON, CEDRICK")</f>
        <v>TISTON, CEDRICK</v>
      </c>
      <c r="C494" s="1" t="str">
        <f>IFERROR(__xludf.DUMMYFUNCTION("""COMPUTED_VALUE"""),"ORGANIC")</f>
        <v>ORGANIC</v>
      </c>
      <c r="D494" s="1" t="str">
        <f>IFERROR(__xludf.DUMMYFUNCTION("""COMPUTED_VALUE"""),"REMOLLO LEA")</f>
        <v>REMOLLO LEA</v>
      </c>
      <c r="E494" s="1" t="str">
        <f>IFERROR(__xludf.DUMMYFUNCTION("""COMPUTED_VALUE"""),"PLDT")</f>
        <v>PLDT</v>
      </c>
      <c r="F494" s="1">
        <f>IFERROR(__xludf.DUMMYFUNCTION("""COMPUTED_VALUE"""),2307145490)</f>
        <v>2307145490</v>
      </c>
      <c r="G494" s="1"/>
      <c r="H494" s="1" t="str">
        <f>IFERROR(__xludf.DUMMYFUNCTION("""COMPUTED_VALUE"""),"MELCA UROT FUENTES")</f>
        <v>MELCA UROT FUENTES</v>
      </c>
      <c r="I494" s="1">
        <f>IFERROR(__xludf.DUMMYFUNCTION("""COMPUTED_VALUE"""),9814475327)</f>
        <v>9814475327</v>
      </c>
      <c r="J494" s="1">
        <f>IFERROR(__xludf.DUMMYFUNCTION("""COMPUTED_VALUE"""),9958293108)</f>
        <v>9958293108</v>
      </c>
      <c r="K494" s="1" t="str">
        <f>IFERROR(__xludf.DUMMYFUNCTION("""COMPUTED_VALUE"""),"JENNIFERSAGARINOINOC@GMAIL.COM")</f>
        <v>JENNIFERSAGARINOINOC@GMAIL.COM</v>
      </c>
      <c r="L494" s="1" t="str">
        <f>IFERROR(__xludf.DUMMYFUNCTION("""COMPUTED_VALUE"""),"1")</f>
        <v>1</v>
      </c>
      <c r="M494" s="1" t="str">
        <f>IFERROR(__xludf.DUMMYFUNCTION("""COMPUTED_VALUE"""),"IBAYONG ILOG")</f>
        <v>IBAYONG ILOG</v>
      </c>
      <c r="N494" s="1"/>
      <c r="O494" s="1"/>
      <c r="P494" s="1"/>
      <c r="Q494" s="1" t="str">
        <f>IFERROR(__xludf.DUMMYFUNCTION("""COMPUTED_VALUE"""),"KAONG")</f>
        <v>KAONG</v>
      </c>
      <c r="R494" s="1" t="str">
        <f>IFERROR(__xludf.DUMMYFUNCTION("""COMPUTED_VALUE"""),"SILANG")</f>
        <v>SILANG</v>
      </c>
      <c r="S494" s="1" t="str">
        <f>IFERROR(__xludf.DUMMYFUNCTION("""COMPUTED_VALUE"""),"FIBR PLAN 1399")</f>
        <v>FIBR PLAN 1399</v>
      </c>
      <c r="T494" s="1" t="str">
        <f>IFERROR(__xludf.DUMMYFUNCTION("""COMPUTED_VALUE"""),"APPROVED")</f>
        <v>APPROVED</v>
      </c>
      <c r="U494" s="1"/>
      <c r="V494" s="1"/>
      <c r="W494" s="1"/>
    </row>
    <row r="495" customHeight="1" spans="1:23">
      <c r="A495" s="3">
        <f>IFERROR(__xludf.DUMMYFUNCTION("""COMPUTED_VALUE"""),46072)</f>
        <v>46072</v>
      </c>
      <c r="B495" s="1" t="str">
        <f>IFERROR(__xludf.DUMMYFUNCTION("""COMPUTED_VALUE"""),"ESCARCHA, MA ALMA  ESCOTO")</f>
        <v>ESCARCHA, MA ALMA  ESCOTO</v>
      </c>
      <c r="C495" s="1" t="str">
        <f>IFERROR(__xludf.DUMMYFUNCTION("""COMPUTED_VALUE"""),"ORGANIC")</f>
        <v>ORGANIC</v>
      </c>
      <c r="D495" s="1" t="str">
        <f>IFERROR(__xludf.DUMMYFUNCTION("""COMPUTED_VALUE"""),"REMOLLO LEA")</f>
        <v>REMOLLO LEA</v>
      </c>
      <c r="E495" s="1" t="str">
        <f>IFERROR(__xludf.DUMMYFUNCTION("""COMPUTED_VALUE"""),"PLDT")</f>
        <v>PLDT</v>
      </c>
      <c r="F495" s="1">
        <f>IFERROR(__xludf.DUMMYFUNCTION("""COMPUTED_VALUE"""),2307145226)</f>
        <v>2307145226</v>
      </c>
      <c r="G495" s="1"/>
      <c r="H495" s="1" t="str">
        <f>IFERROR(__xludf.DUMMYFUNCTION("""COMPUTED_VALUE"""),"KIEL BRYLLE TOLENTINO BOBADILLA")</f>
        <v>KIEL BRYLLE TOLENTINO BOBADILLA</v>
      </c>
      <c r="I495" s="1">
        <f>IFERROR(__xludf.DUMMYFUNCTION("""COMPUTED_VALUE"""),9705215612)</f>
        <v>9705215612</v>
      </c>
      <c r="J495" s="1"/>
      <c r="K495" s="1" t="str">
        <f>IFERROR(__xludf.DUMMYFUNCTION("""COMPUTED_VALUE"""),"MICHINDIANNE@GAIL.COM")</f>
        <v>MICHINDIANNE@GAIL.COM</v>
      </c>
      <c r="L495" s="1" t="str">
        <f>IFERROR(__xludf.DUMMYFUNCTION("""COMPUTED_VALUE"""),"133")</f>
        <v>133</v>
      </c>
      <c r="M495" s="1" t="str">
        <f>IFERROR(__xludf.DUMMYFUNCTION("""COMPUTED_VALUE"""),"IBAYONG ILOG")</f>
        <v>IBAYONG ILOG</v>
      </c>
      <c r="N495" s="1"/>
      <c r="O495" s="1"/>
      <c r="P495" s="1"/>
      <c r="Q495" s="1" t="str">
        <f>IFERROR(__xludf.DUMMYFUNCTION("""COMPUTED_VALUE"""),"KAONG")</f>
        <v>KAONG</v>
      </c>
      <c r="R495" s="1" t="str">
        <f>IFERROR(__xludf.DUMMYFUNCTION("""COMPUTED_VALUE"""),"SILANG")</f>
        <v>SILANG</v>
      </c>
      <c r="S495" s="1" t="str">
        <f>IFERROR(__xludf.DUMMYFUNCTION("""COMPUTED_VALUE"""),"FIBR PLAN 1399")</f>
        <v>FIBR PLAN 1399</v>
      </c>
      <c r="T495" s="1" t="str">
        <f>IFERROR(__xludf.DUMMYFUNCTION("""COMPUTED_VALUE"""),"APPROVED")</f>
        <v>APPROVED</v>
      </c>
      <c r="U495" s="1"/>
      <c r="V495" s="1"/>
      <c r="W495" s="1"/>
    </row>
    <row r="496" customHeight="1" spans="1:23">
      <c r="A496" s="3">
        <f>IFERROR(__xludf.DUMMYFUNCTION("""COMPUTED_VALUE"""),46072)</f>
        <v>46072</v>
      </c>
      <c r="B496" s="1" t="str">
        <f>IFERROR(__xludf.DUMMYFUNCTION("""COMPUTED_VALUE"""),"ESCARCHA, MA ALMA  ESCOTO")</f>
        <v>ESCARCHA, MA ALMA  ESCOTO</v>
      </c>
      <c r="C496" s="1" t="str">
        <f>IFERROR(__xludf.DUMMYFUNCTION("""COMPUTED_VALUE"""),"ORGANIC")</f>
        <v>ORGANIC</v>
      </c>
      <c r="D496" s="1" t="str">
        <f>IFERROR(__xludf.DUMMYFUNCTION("""COMPUTED_VALUE"""),"REMOLLO LEA")</f>
        <v>REMOLLO LEA</v>
      </c>
      <c r="E496" s="1" t="str">
        <f>IFERROR(__xludf.DUMMYFUNCTION("""COMPUTED_VALUE"""),"PLDT")</f>
        <v>PLDT</v>
      </c>
      <c r="F496" s="1">
        <f>IFERROR(__xludf.DUMMYFUNCTION("""COMPUTED_VALUE"""),2307145636)</f>
        <v>2307145636</v>
      </c>
      <c r="G496" s="1"/>
      <c r="H496" s="1" t="str">
        <f>IFERROR(__xludf.DUMMYFUNCTION("""COMPUTED_VALUE"""),"DEVINA BENOSA PAYTAN")</f>
        <v>DEVINA BENOSA PAYTAN</v>
      </c>
      <c r="I496" s="1">
        <f>IFERROR(__xludf.DUMMYFUNCTION("""COMPUTED_VALUE"""),9106886703)</f>
        <v>9106886703</v>
      </c>
      <c r="J496" s="1">
        <f>IFERROR(__xludf.DUMMYFUNCTION("""COMPUTED_VALUE"""),96611331845)</f>
        <v>96611331845</v>
      </c>
      <c r="K496" s="1" t="str">
        <f>IFERROR(__xludf.DUMMYFUNCTION("""COMPUTED_VALUE"""),"VINE05PREPTANB@GMAIL.COM")</f>
        <v>VINE05PREPTANB@GMAIL.COM</v>
      </c>
      <c r="L496" s="1" t="str">
        <f>IFERROR(__xludf.DUMMYFUNCTION("""COMPUTED_VALUE"""),"46")</f>
        <v>46</v>
      </c>
      <c r="M496" s="1" t="str">
        <f>IFERROR(__xludf.DUMMYFUNCTION("""COMPUTED_VALUE"""),"KAONG")</f>
        <v>KAONG</v>
      </c>
      <c r="N496" s="1"/>
      <c r="O496" s="1"/>
      <c r="P496" s="1"/>
      <c r="Q496" s="1" t="str">
        <f>IFERROR(__xludf.DUMMYFUNCTION("""COMPUTED_VALUE"""),"KAONG")</f>
        <v>KAONG</v>
      </c>
      <c r="R496" s="1" t="str">
        <f>IFERROR(__xludf.DUMMYFUNCTION("""COMPUTED_VALUE"""),"SILANG")</f>
        <v>SILANG</v>
      </c>
      <c r="S496" s="1" t="str">
        <f>IFERROR(__xludf.DUMMYFUNCTION("""COMPUTED_VALUE"""),"PREPAID 999")</f>
        <v>PREPAID 999</v>
      </c>
      <c r="T496" s="1" t="str">
        <f>IFERROR(__xludf.DUMMYFUNCTION("""COMPUTED_VALUE"""),"APPROVED")</f>
        <v>APPROVED</v>
      </c>
      <c r="U496" s="1"/>
      <c r="V496" s="1"/>
      <c r="W496" s="1"/>
    </row>
    <row r="497" customHeight="1" spans="1:23">
      <c r="A497" s="3">
        <f>IFERROR(__xludf.DUMMYFUNCTION("""COMPUTED_VALUE"""),46072)</f>
        <v>46072</v>
      </c>
      <c r="B497" s="1" t="str">
        <f>IFERROR(__xludf.DUMMYFUNCTION("""COMPUTED_VALUE"""),"MCNULTY KRYSTEL")</f>
        <v>MCNULTY KRYSTEL</v>
      </c>
      <c r="C497" s="1" t="str">
        <f>IFERROR(__xludf.DUMMYFUNCTION("""COMPUTED_VALUE"""),"ORGANIC")</f>
        <v>ORGANIC</v>
      </c>
      <c r="D497" s="1" t="str">
        <f>IFERROR(__xludf.DUMMYFUNCTION("""COMPUTED_VALUE"""),"REMOLLO LEA")</f>
        <v>REMOLLO LEA</v>
      </c>
      <c r="E497" s="1" t="str">
        <f>IFERROR(__xludf.DUMMYFUNCTION("""COMPUTED_VALUE"""),"PLDT")</f>
        <v>PLDT</v>
      </c>
      <c r="F497" s="1">
        <f>IFERROR(__xludf.DUMMYFUNCTION("""COMPUTED_VALUE"""),2307143019)</f>
        <v>2307143019</v>
      </c>
      <c r="G497" s="1"/>
      <c r="H497" s="1" t="str">
        <f>IFERROR(__xludf.DUMMYFUNCTION("""COMPUTED_VALUE"""),"NELIE TRINIDAD ARCIAGA")</f>
        <v>NELIE TRINIDAD ARCIAGA</v>
      </c>
      <c r="I497" s="1">
        <f>IFERROR(__xludf.DUMMYFUNCTION("""COMPUTED_VALUE"""),9070644935)</f>
        <v>9070644935</v>
      </c>
      <c r="J497" s="1"/>
      <c r="K497" s="1" t="str">
        <f>IFERROR(__xludf.DUMMYFUNCTION("""COMPUTED_VALUE"""),"ERWINNAVAL034@GMAIL.COM")</f>
        <v>ERWINNAVAL034@GMAIL.COM</v>
      </c>
      <c r="L497" s="1" t="str">
        <f>IFERROR(__xludf.DUMMYFUNCTION("""COMPUTED_VALUE"""),"9978")</f>
        <v>9978</v>
      </c>
      <c r="M497" s="1" t="str">
        <f>IFERROR(__xludf.DUMMYFUNCTION("""COMPUTED_VALUE"""),"SITIO HANOPOL")</f>
        <v>SITIO HANOPOL</v>
      </c>
      <c r="N497" s="1"/>
      <c r="O497" s="1"/>
      <c r="P497" s="1"/>
      <c r="Q497" s="1" t="str">
        <f>IFERROR(__xludf.DUMMYFUNCTION("""COMPUTED_VALUE"""),"KAONG")</f>
        <v>KAONG</v>
      </c>
      <c r="R497" s="1" t="str">
        <f>IFERROR(__xludf.DUMMYFUNCTION("""COMPUTED_VALUE"""),"SILANG")</f>
        <v>SILANG</v>
      </c>
      <c r="S497" s="1" t="str">
        <f>IFERROR(__xludf.DUMMYFUNCTION("""COMPUTED_VALUE"""),"PREPAID 999")</f>
        <v>PREPAID 999</v>
      </c>
      <c r="T497" s="1" t="str">
        <f>IFERROR(__xludf.DUMMYFUNCTION("""COMPUTED_VALUE"""),"APPROVED")</f>
        <v>APPROVED</v>
      </c>
      <c r="U497" s="1"/>
      <c r="V497" s="1"/>
      <c r="W497" s="1"/>
    </row>
    <row r="498" customHeight="1" spans="1:23">
      <c r="A498" s="3">
        <f>IFERROR(__xludf.DUMMYFUNCTION("""COMPUTED_VALUE"""),46072)</f>
        <v>46072</v>
      </c>
      <c r="B498" s="1" t="str">
        <f>IFERROR(__xludf.DUMMYFUNCTION("""COMPUTED_VALUE"""),"ESCARCHA, MA ALMA  ESCOTO")</f>
        <v>ESCARCHA, MA ALMA  ESCOTO</v>
      </c>
      <c r="C498" s="1" t="str">
        <f>IFERROR(__xludf.DUMMYFUNCTION("""COMPUTED_VALUE"""),"ORGANIC")</f>
        <v>ORGANIC</v>
      </c>
      <c r="D498" s="1" t="str">
        <f>IFERROR(__xludf.DUMMYFUNCTION("""COMPUTED_VALUE"""),"REMOLLO LEA")</f>
        <v>REMOLLO LEA</v>
      </c>
      <c r="E498" s="1" t="str">
        <f>IFERROR(__xludf.DUMMYFUNCTION("""COMPUTED_VALUE"""),"PLDT")</f>
        <v>PLDT</v>
      </c>
      <c r="F498" s="1">
        <f>IFERROR(__xludf.DUMMYFUNCTION("""COMPUTED_VALUE"""),2307118971)</f>
        <v>2307118971</v>
      </c>
      <c r="G498" s="1"/>
      <c r="H498" s="1" t="str">
        <f>IFERROR(__xludf.DUMMYFUNCTION("""COMPUTED_VALUE"""),"GAYLE PREXY OGANIA GO")</f>
        <v>GAYLE PREXY OGANIA GO</v>
      </c>
      <c r="I498" s="1">
        <f>IFERROR(__xludf.DUMMYFUNCTION("""COMPUTED_VALUE"""),9922536197)</f>
        <v>9922536197</v>
      </c>
      <c r="J498" s="1">
        <f>IFERROR(__xludf.DUMMYFUNCTION("""COMPUTED_VALUE"""),9702885482)</f>
        <v>9702885482</v>
      </c>
      <c r="K498" s="1" t="str">
        <f>IFERROR(__xludf.DUMMYFUNCTION("""COMPUTED_VALUE"""),"GOGAYLEPREXY4@GMAIL.COM")</f>
        <v>GOGAYLEPREXY4@GMAIL.COM</v>
      </c>
      <c r="L498" s="1" t="str">
        <f>IFERROR(__xludf.DUMMYFUNCTION("""COMPUTED_VALUE"""),"13198")</f>
        <v>13198</v>
      </c>
      <c r="M498" s="1" t="str">
        <f>IFERROR(__xludf.DUMMYFUNCTION("""COMPUTED_VALUE"""),"PUROK 49")</f>
        <v>PUROK 49</v>
      </c>
      <c r="N498" s="1" t="str">
        <f>IFERROR(__xludf.DUMMYFUNCTION("""COMPUTED_VALUE"""),"MARYRIGDE")</f>
        <v>MARYRIGDE</v>
      </c>
      <c r="O498" s="1" t="str">
        <f>IFERROR(__xludf.DUMMYFUNCTION("""COMPUTED_VALUE"""),"TGTLP298NP3")</f>
        <v>TGTLP298NP3</v>
      </c>
      <c r="P498" s="1" t="str">
        <f>IFERROR(__xludf.DUMMYFUNCTION("""COMPUTED_VALUE"""),"14.128188 121.001795")</f>
        <v>14.128188 121.001795</v>
      </c>
      <c r="Q498" s="1" t="str">
        <f>IFERROR(__xludf.DUMMYFUNCTION("""COMPUTED_VALUE"""),"IRUHIN WEST")</f>
        <v>IRUHIN WEST</v>
      </c>
      <c r="R498" s="1" t="str">
        <f>IFERROR(__xludf.DUMMYFUNCTION("""COMPUTED_VALUE"""),"TAGAYTAY")</f>
        <v>TAGAYTAY</v>
      </c>
      <c r="S498" s="1" t="str">
        <f>IFERROR(__xludf.DUMMYFUNCTION("""COMPUTED_VALUE"""),"FIBR PLAN 1299")</f>
        <v>FIBR PLAN 1299</v>
      </c>
      <c r="T498" s="1" t="str">
        <f>IFERROR(__xludf.DUMMYFUNCTION("""COMPUTED_VALUE"""),"APPROVED")</f>
        <v>APPROVED</v>
      </c>
      <c r="U498" s="1"/>
      <c r="V498" s="1"/>
      <c r="W498" s="1"/>
    </row>
    <row r="499" customHeight="1" spans="1:23">
      <c r="A499" s="3">
        <f>IFERROR(__xludf.DUMMYFUNCTION("""COMPUTED_VALUE"""),46072)</f>
        <v>46072</v>
      </c>
      <c r="B499" s="1" t="str">
        <f>IFERROR(__xludf.DUMMYFUNCTION("""COMPUTED_VALUE"""),"FRANCISCO , ROSELYN")</f>
        <v>FRANCISCO , ROSELYN</v>
      </c>
      <c r="C499" s="1" t="str">
        <f>IFERROR(__xludf.DUMMYFUNCTION("""COMPUTED_VALUE"""),"FLA")</f>
        <v>FLA</v>
      </c>
      <c r="D499" s="1" t="str">
        <f>IFERROR(__xludf.DUMMYFUNCTION("""COMPUTED_VALUE"""),"JERIC NAVARRO")</f>
        <v>JERIC NAVARRO</v>
      </c>
      <c r="E499" s="1" t="str">
        <f>IFERROR(__xludf.DUMMYFUNCTION("""COMPUTED_VALUE"""),"PLDT")</f>
        <v>PLDT</v>
      </c>
      <c r="F499" s="1">
        <f>IFERROR(__xludf.DUMMYFUNCTION("""COMPUTED_VALUE"""),2307119912)</f>
        <v>2307119912</v>
      </c>
      <c r="G499" s="1"/>
      <c r="H499" s="1" t="str">
        <f>IFERROR(__xludf.DUMMYFUNCTION("""COMPUTED_VALUE"""),"FERNANDO BARANTES TENEDORA")</f>
        <v>FERNANDO BARANTES TENEDORA</v>
      </c>
      <c r="I499" s="1">
        <f>IFERROR(__xludf.DUMMYFUNCTION("""COMPUTED_VALUE"""),9693136026)</f>
        <v>9693136026</v>
      </c>
      <c r="J499" s="1">
        <f>IFERROR(__xludf.DUMMYFUNCTION("""COMPUTED_VALUE"""),9196015559)</f>
        <v>9196015559</v>
      </c>
      <c r="K499" s="1" t="str">
        <f>IFERROR(__xludf.DUMMYFUNCTION("""COMPUTED_VALUE"""),"NICATENEDORA1994@GMAIL.COM")</f>
        <v>NICATENEDORA1994@GMAIL.COM</v>
      </c>
      <c r="L499" s="1" t="str">
        <f>IFERROR(__xludf.DUMMYFUNCTION("""COMPUTED_VALUE"""),"BLK 7 LOT 24")</f>
        <v>BLK 7 LOT 24</v>
      </c>
      <c r="M499" s="1" t="str">
        <f>IFERROR(__xludf.DUMMYFUNCTION("""COMPUTED_VALUE"""),"DRAKKAR")</f>
        <v>DRAKKAR</v>
      </c>
      <c r="N499" s="1" t="str">
        <f>IFERROR(__xludf.DUMMYFUNCTION("""COMPUTED_VALUE"""),"MOLINO HOMES ")</f>
        <v>MOLINO HOMES </v>
      </c>
      <c r="O499" s="1" t="str">
        <f>IFERROR(__xludf.DUMMYFUNCTION("""COMPUTED_VALUE"""),"BCRLP961NP5")</f>
        <v>BCRLP961NP5</v>
      </c>
      <c r="P499" s="1" t="str">
        <f>IFERROR(__xludf.DUMMYFUNCTION("""COMPUTED_VALUE"""),"14.3902208 | 120.9734918")</f>
        <v>14.3902208 | 120.9734918</v>
      </c>
      <c r="Q499" s="1" t="str">
        <f>IFERROR(__xludf.DUMMYFUNCTION("""COMPUTED_VALUE"""),"MOLINO III")</f>
        <v>MOLINO III</v>
      </c>
      <c r="R499" s="1" t="str">
        <f>IFERROR(__xludf.DUMMYFUNCTION("""COMPUTED_VALUE"""),"BACOOR")</f>
        <v>BACOOR</v>
      </c>
      <c r="S499" s="1" t="str">
        <f>IFERROR(__xludf.DUMMYFUNCTION("""COMPUTED_VALUE"""),"FIBR PLAN 1799")</f>
        <v>FIBR PLAN 1799</v>
      </c>
      <c r="T499" s="1" t="str">
        <f>IFERROR(__xludf.DUMMYFUNCTION("""COMPUTED_VALUE"""),"APPROVED")</f>
        <v>APPROVED</v>
      </c>
      <c r="U499" s="1"/>
      <c r="V499" s="1"/>
      <c r="W499" s="1"/>
    </row>
    <row r="500" customHeight="1" spans="1:23">
      <c r="A500" s="3">
        <f>IFERROR(__xludf.DUMMYFUNCTION("""COMPUTED_VALUE"""),46072)</f>
        <v>46072</v>
      </c>
      <c r="B500" s="1" t="str">
        <f>IFERROR(__xludf.DUMMYFUNCTION("""COMPUTED_VALUE"""),"FRANCISCO , ROSELYN")</f>
        <v>FRANCISCO , ROSELYN</v>
      </c>
      <c r="C500" s="1" t="str">
        <f>IFERROR(__xludf.DUMMYFUNCTION("""COMPUTED_VALUE"""),"FLA")</f>
        <v>FLA</v>
      </c>
      <c r="D500" s="1" t="str">
        <f>IFERROR(__xludf.DUMMYFUNCTION("""COMPUTED_VALUE"""),"JERIC NAVARRO")</f>
        <v>JERIC NAVARRO</v>
      </c>
      <c r="E500" s="1" t="str">
        <f>IFERROR(__xludf.DUMMYFUNCTION("""COMPUTED_VALUE"""),"PLDT")</f>
        <v>PLDT</v>
      </c>
      <c r="F500" s="1">
        <f>IFERROR(__xludf.DUMMYFUNCTION("""COMPUTED_VALUE"""),2307120513)</f>
        <v>2307120513</v>
      </c>
      <c r="G500" s="1"/>
      <c r="H500" s="1" t="str">
        <f>IFERROR(__xludf.DUMMYFUNCTION("""COMPUTED_VALUE"""),"JEDH FRANCIS BARBERAN")</f>
        <v>JEDH FRANCIS BARBERAN</v>
      </c>
      <c r="I500" s="1">
        <f>IFERROR(__xludf.DUMMYFUNCTION("""COMPUTED_VALUE"""),9628907537)</f>
        <v>9628907537</v>
      </c>
      <c r="J500" s="1">
        <f>IFERROR(__xludf.DUMMYFUNCTION("""COMPUTED_VALUE"""),9637768300)</f>
        <v>9637768300</v>
      </c>
      <c r="K500" s="1" t="str">
        <f>IFERROR(__xludf.DUMMYFUNCTION("""COMPUTED_VALUE"""),"JEDHBARBERANFWD@GMAIL.COM")</f>
        <v>JEDHBARBERANFWD@GMAIL.COM</v>
      </c>
      <c r="L500" s="1" t="str">
        <f>IFERROR(__xludf.DUMMYFUNCTION("""COMPUTED_VALUE"""),"BLK 7 LOT 81")</f>
        <v>BLK 7 LOT 81</v>
      </c>
      <c r="M500" s="1" t="str">
        <f>IFERROR(__xludf.DUMMYFUNCTION("""COMPUTED_VALUE"""),"SIBUYAN")</f>
        <v>SIBUYAN</v>
      </c>
      <c r="N500" s="1" t="str">
        <f>IFERROR(__xludf.DUMMYFUNCTION("""COMPUTED_VALUE"""),"NOSTALJI")</f>
        <v>NOSTALJI</v>
      </c>
      <c r="O500" s="1" t="str">
        <f>IFERROR(__xludf.DUMMYFUNCTION("""COMPUTED_VALUE"""),"DASLP345NP8")</f>
        <v>DASLP345NP8</v>
      </c>
      <c r="P500" s="1" t="str">
        <f>IFERROR(__xludf.DUMMYFUNCTION("""COMPUTED_VALUE"""),"14.2853485 | 120.9864211")</f>
        <v>14.2853485 | 120.9864211</v>
      </c>
      <c r="Q500" s="1" t="str">
        <f>IFERROR(__xludf.DUMMYFUNCTION("""COMPUTED_VALUE"""),"PALIPARAN I")</f>
        <v>PALIPARAN I</v>
      </c>
      <c r="R500" s="1" t="str">
        <f>IFERROR(__xludf.DUMMYFUNCTION("""COMPUTED_VALUE"""),"DASMARINAS")</f>
        <v>DASMARINAS</v>
      </c>
      <c r="S500" s="1" t="str">
        <f>IFERROR(__xludf.DUMMYFUNCTION("""COMPUTED_VALUE"""),"FIBR PLAN 1399")</f>
        <v>FIBR PLAN 1399</v>
      </c>
      <c r="T500" s="1" t="str">
        <f>IFERROR(__xludf.DUMMYFUNCTION("""COMPUTED_VALUE"""),"APPROVED")</f>
        <v>APPROVED</v>
      </c>
      <c r="U500" s="1"/>
      <c r="V500" s="1"/>
      <c r="W500" s="1"/>
    </row>
    <row r="501" customHeight="1" spans="1:23">
      <c r="A501" s="3">
        <f>IFERROR(__xludf.DUMMYFUNCTION("""COMPUTED_VALUE"""),46072)</f>
        <v>46072</v>
      </c>
      <c r="B501" s="1" t="str">
        <f>IFERROR(__xludf.DUMMYFUNCTION("""COMPUTED_VALUE"""),"MALIWAT MARK ELVIN")</f>
        <v>MALIWAT MARK ELVIN</v>
      </c>
      <c r="C501" s="1" t="str">
        <f>IFERROR(__xludf.DUMMYFUNCTION("""COMPUTED_VALUE"""),"FLA")</f>
        <v>FLA</v>
      </c>
      <c r="D501" s="1" t="str">
        <f>IFERROR(__xludf.DUMMYFUNCTION("""COMPUTED_VALUE"""),"JERIC NAVARRO")</f>
        <v>JERIC NAVARRO</v>
      </c>
      <c r="E501" s="1" t="str">
        <f>IFERROR(__xludf.DUMMYFUNCTION("""COMPUTED_VALUE"""),"PLDT")</f>
        <v>PLDT</v>
      </c>
      <c r="F501" s="1">
        <f>IFERROR(__xludf.DUMMYFUNCTION("""COMPUTED_VALUE"""),2307121322)</f>
        <v>2307121322</v>
      </c>
      <c r="G501" s="1"/>
      <c r="H501" s="1" t="str">
        <f>IFERROR(__xludf.DUMMYFUNCTION("""COMPUTED_VALUE"""),"ROLAND JOHN CONSULTA TORRES")</f>
        <v>ROLAND JOHN CONSULTA TORRES</v>
      </c>
      <c r="I501" s="1">
        <f>IFERROR(__xludf.DUMMYFUNCTION("""COMPUTED_VALUE"""),9612079968)</f>
        <v>9612079968</v>
      </c>
      <c r="J501" s="1"/>
      <c r="K501" s="1" t="str">
        <f>IFERROR(__xludf.DUMMYFUNCTION("""COMPUTED_VALUE"""),"RJ.TORRES29SEP@GMAIL.COM")</f>
        <v>RJ.TORRES29SEP@GMAIL.COM</v>
      </c>
      <c r="L501" s="1" t="str">
        <f>IFERROR(__xludf.DUMMYFUNCTION("""COMPUTED_VALUE"""),"BLK 7 LOT 7")</f>
        <v>BLK 7 LOT 7</v>
      </c>
      <c r="M501" s="1" t="str">
        <f>IFERROR(__xludf.DUMMYFUNCTION("""COMPUTED_VALUE"""),"CHENEY RD")</f>
        <v>CHENEY RD</v>
      </c>
      <c r="N501" s="1" t="str">
        <f>IFERROR(__xludf.DUMMYFUNCTION("""COMPUTED_VALUE"""),"TAGAYTAY ROYALLE ESTATE")</f>
        <v>TAGAYTAY ROYALLE ESTATE</v>
      </c>
      <c r="O501" s="1" t="str">
        <f>IFERROR(__xludf.DUMMYFUNCTION("""COMPUTED_VALUE"""),"ALFLP71NP5/8")</f>
        <v>ALFLP71NP5/8</v>
      </c>
      <c r="P501" s="1" t="str">
        <f>IFERROR(__xludf.DUMMYFUNCTION("""COMPUTED_VALUE"""),"14.0914746760119 | 120.84638732697")</f>
        <v>14.0914746760119 | 120.84638732697</v>
      </c>
      <c r="Q501" s="1" t="str">
        <f>IFERROR(__xludf.DUMMYFUNCTION("""COMPUTED_VALUE"""),"BUCK ESTATE")</f>
        <v>BUCK ESTATE</v>
      </c>
      <c r="R501" s="1" t="str">
        <f>IFERROR(__xludf.DUMMYFUNCTION("""COMPUTED_VALUE"""),"ALFONSO")</f>
        <v>ALFONSO</v>
      </c>
      <c r="S501" s="1" t="str">
        <f>IFERROR(__xludf.DUMMYFUNCTION("""COMPUTED_VALUE"""),"FIBR PLAN 1699")</f>
        <v>FIBR PLAN 1699</v>
      </c>
      <c r="T501" s="1" t="str">
        <f>IFERROR(__xludf.DUMMYFUNCTION("""COMPUTED_VALUE"""),"APPROVED")</f>
        <v>APPROVED</v>
      </c>
      <c r="U501" s="1"/>
      <c r="V501" s="1"/>
      <c r="W501" s="1"/>
    </row>
    <row r="502" customHeight="1" spans="1:23">
      <c r="A502" s="3">
        <f>IFERROR(__xludf.DUMMYFUNCTION("""COMPUTED_VALUE"""),46072)</f>
        <v>46072</v>
      </c>
      <c r="B502" s="1" t="str">
        <f>IFERROR(__xludf.DUMMYFUNCTION("""COMPUTED_VALUE"""),"MALIWAT MARK ELVIN")</f>
        <v>MALIWAT MARK ELVIN</v>
      </c>
      <c r="C502" s="1" t="str">
        <f>IFERROR(__xludf.DUMMYFUNCTION("""COMPUTED_VALUE"""),"FLA")</f>
        <v>FLA</v>
      </c>
      <c r="D502" s="1" t="str">
        <f>IFERROR(__xludf.DUMMYFUNCTION("""COMPUTED_VALUE"""),"JERIC NAVARRO")</f>
        <v>JERIC NAVARRO</v>
      </c>
      <c r="E502" s="1" t="str">
        <f>IFERROR(__xludf.DUMMYFUNCTION("""COMPUTED_VALUE"""),"PLDT")</f>
        <v>PLDT</v>
      </c>
      <c r="F502" s="1">
        <f>IFERROR(__xludf.DUMMYFUNCTION("""COMPUTED_VALUE"""),2307122496)</f>
        <v>2307122496</v>
      </c>
      <c r="G502" s="1"/>
      <c r="H502" s="1" t="str">
        <f>IFERROR(__xludf.DUMMYFUNCTION("""COMPUTED_VALUE"""),"MARI NIKKO PENANO HERNANDO")</f>
        <v>MARI NIKKO PENANO HERNANDO</v>
      </c>
      <c r="I502" s="1">
        <f>IFERROR(__xludf.DUMMYFUNCTION("""COMPUTED_VALUE"""),9662567651)</f>
        <v>9662567651</v>
      </c>
      <c r="J502" s="1">
        <f>IFERROR(__xludf.DUMMYFUNCTION("""COMPUTED_VALUE"""),9554307284)</f>
        <v>9554307284</v>
      </c>
      <c r="K502" s="1" t="str">
        <f>IFERROR(__xludf.DUMMYFUNCTION("""COMPUTED_VALUE"""),"HERNANDONIKKO@GMAIL.COM")</f>
        <v>HERNANDONIKKO@GMAIL.COM</v>
      </c>
      <c r="L502" s="1" t="str">
        <f>IFERROR(__xludf.DUMMYFUNCTION("""COMPUTED_VALUE"""),"BLK 7 LOT 4")</f>
        <v>BLK 7 LOT 4</v>
      </c>
      <c r="M502" s="1" t="str">
        <f>IFERROR(__xludf.DUMMYFUNCTION("""COMPUTED_VALUE"""),"LINCOLN")</f>
        <v>LINCOLN</v>
      </c>
      <c r="N502" s="1" t="str">
        <f>IFERROR(__xludf.DUMMYFUNCTION("""COMPUTED_VALUE"""),"TAGAYTAY ROYALLE ESTATE")</f>
        <v>TAGAYTAY ROYALLE ESTATE</v>
      </c>
      <c r="O502" s="1" t="str">
        <f>IFERROR(__xludf.DUMMYFUNCTION("""COMPUTED_VALUE"""),"ALFLP71NP5/8")</f>
        <v>ALFLP71NP5/8</v>
      </c>
      <c r="P502" s="1" t="str">
        <f>IFERROR(__xludf.DUMMYFUNCTION("""COMPUTED_VALUE"""),"14.0833355342009 | 120.863304896851")</f>
        <v>14.0833355342009 | 120.863304896851</v>
      </c>
      <c r="Q502" s="1" t="str">
        <f>IFERROR(__xludf.DUMMYFUNCTION("""COMPUTED_VALUE"""),"BUCK ESTATE")</f>
        <v>BUCK ESTATE</v>
      </c>
      <c r="R502" s="1" t="str">
        <f>IFERROR(__xludf.DUMMYFUNCTION("""COMPUTED_VALUE"""),"ALFONSO")</f>
        <v>ALFONSO</v>
      </c>
      <c r="S502" s="1" t="str">
        <f>IFERROR(__xludf.DUMMYFUNCTION("""COMPUTED_VALUE"""),"FIBR PLAN 1799")</f>
        <v>FIBR PLAN 1799</v>
      </c>
      <c r="T502" s="1" t="str">
        <f>IFERROR(__xludf.DUMMYFUNCTION("""COMPUTED_VALUE"""),"APPROVED")</f>
        <v>APPROVED</v>
      </c>
      <c r="U502" s="1"/>
      <c r="V502" s="1"/>
      <c r="W502" s="1"/>
    </row>
    <row r="503" customHeight="1" spans="1:23">
      <c r="A503" s="3">
        <f>IFERROR(__xludf.DUMMYFUNCTION("""COMPUTED_VALUE"""),46072)</f>
        <v>46072</v>
      </c>
      <c r="B503" s="1" t="str">
        <f>IFERROR(__xludf.DUMMYFUNCTION("""COMPUTED_VALUE"""),"MALIWAT MARK ELVIN")</f>
        <v>MALIWAT MARK ELVIN</v>
      </c>
      <c r="C503" s="1" t="str">
        <f>IFERROR(__xludf.DUMMYFUNCTION("""COMPUTED_VALUE"""),"FLA")</f>
        <v>FLA</v>
      </c>
      <c r="D503" s="1" t="str">
        <f>IFERROR(__xludf.DUMMYFUNCTION("""COMPUTED_VALUE"""),"JERIC NAVARRO")</f>
        <v>JERIC NAVARRO</v>
      </c>
      <c r="E503" s="1" t="str">
        <f>IFERROR(__xludf.DUMMYFUNCTION("""COMPUTED_VALUE"""),"PLDT")</f>
        <v>PLDT</v>
      </c>
      <c r="F503" s="1">
        <f>IFERROR(__xludf.DUMMYFUNCTION("""COMPUTED_VALUE"""),2307127343)</f>
        <v>2307127343</v>
      </c>
      <c r="G503" s="1"/>
      <c r="H503" s="1" t="str">
        <f>IFERROR(__xludf.DUMMYFUNCTION("""COMPUTED_VALUE"""),"HENRY ROSALES MAQUILAN")</f>
        <v>HENRY ROSALES MAQUILAN</v>
      </c>
      <c r="I503" s="1">
        <f>IFERROR(__xludf.DUMMYFUNCTION("""COMPUTED_VALUE"""),9389381967)</f>
        <v>9389381967</v>
      </c>
      <c r="J503" s="1"/>
      <c r="K503" s="1" t="str">
        <f>IFERROR(__xludf.DUMMYFUNCTION("""COMPUTED_VALUE"""),"MAQUILANHENRY5@GMAIL.COM")</f>
        <v>MAQUILANHENRY5@GMAIL.COM</v>
      </c>
      <c r="L503" s="1" t="str">
        <f>IFERROR(__xludf.DUMMYFUNCTION("""COMPUTED_VALUE"""),"BLK 30 LOT 29")</f>
        <v>BLK 30 LOT 29</v>
      </c>
      <c r="M503" s="1" t="str">
        <f>IFERROR(__xludf.DUMMYFUNCTION("""COMPUTED_VALUE"""),"TABAYOC")</f>
        <v>TABAYOC</v>
      </c>
      <c r="N503" s="1" t="str">
        <f>IFERROR(__xludf.DUMMYFUNCTION("""COMPUTED_VALUE"""),"PHASE 3")</f>
        <v>PHASE 3</v>
      </c>
      <c r="O503" s="1" t="str">
        <f>IFERROR(__xludf.DUMMYFUNCTION("""COMPUTED_VALUE"""),"BCRLPC6NP2/4/6")</f>
        <v>BCRLPC6NP2/4/6</v>
      </c>
      <c r="P503" s="1" t="str">
        <f>IFERROR(__xludf.DUMMYFUNCTION("""COMPUTED_VALUE"""),"14.3896758 | 121.0066167")</f>
        <v>14.3896758 | 121.0066167</v>
      </c>
      <c r="Q503" s="1" t="str">
        <f>IFERROR(__xludf.DUMMYFUNCTION("""COMPUTED_VALUE"""),"MOLINO VII")</f>
        <v>MOLINO VII</v>
      </c>
      <c r="R503" s="1" t="str">
        <f>IFERROR(__xludf.DUMMYFUNCTION("""COMPUTED_VALUE"""),"BACOOR")</f>
        <v>BACOOR</v>
      </c>
      <c r="S503" s="1" t="str">
        <f>IFERROR(__xludf.DUMMYFUNCTION("""COMPUTED_VALUE"""),"FIBR PLAN 1399")</f>
        <v>FIBR PLAN 1399</v>
      </c>
      <c r="T503" s="1" t="str">
        <f>IFERROR(__xludf.DUMMYFUNCTION("""COMPUTED_VALUE"""),"APPROVED")</f>
        <v>APPROVED</v>
      </c>
      <c r="U503" s="1"/>
      <c r="V503" s="1"/>
      <c r="W503" s="1"/>
    </row>
    <row r="504" customHeight="1" spans="1:23">
      <c r="A504" s="3">
        <f>IFERROR(__xludf.DUMMYFUNCTION("""COMPUTED_VALUE"""),46072)</f>
        <v>46072</v>
      </c>
      <c r="B504" s="1" t="str">
        <f>IFERROR(__xludf.DUMMYFUNCTION("""COMPUTED_VALUE"""),"TISTON, CEDRICK")</f>
        <v>TISTON, CEDRICK</v>
      </c>
      <c r="C504" s="1" t="str">
        <f>IFERROR(__xludf.DUMMYFUNCTION("""COMPUTED_VALUE"""),"ORGANIC")</f>
        <v>ORGANIC</v>
      </c>
      <c r="D504" s="1" t="str">
        <f>IFERROR(__xludf.DUMMYFUNCTION("""COMPUTED_VALUE"""),"REMOLLO LEA")</f>
        <v>REMOLLO LEA</v>
      </c>
      <c r="E504" s="1" t="str">
        <f>IFERROR(__xludf.DUMMYFUNCTION("""COMPUTED_VALUE"""),"PLDT")</f>
        <v>PLDT</v>
      </c>
      <c r="F504" s="1">
        <f>IFERROR(__xludf.DUMMYFUNCTION("""COMPUTED_VALUE"""),2307130138)</f>
        <v>2307130138</v>
      </c>
      <c r="G504" s="1"/>
      <c r="H504" s="1" t="str">
        <f>IFERROR(__xludf.DUMMYFUNCTION("""COMPUTED_VALUE"""),"VIVIAN DELIMA CASACLANG")</f>
        <v>VIVIAN DELIMA CASACLANG</v>
      </c>
      <c r="I504" s="1">
        <f>IFERROR(__xludf.DUMMYFUNCTION("""COMPUTED_VALUE"""),9178331127)</f>
        <v>9178331127</v>
      </c>
      <c r="J504" s="1"/>
      <c r="K504" s="1" t="str">
        <f>IFERROR(__xludf.DUMMYFUNCTION("""COMPUTED_VALUE"""),"VDCASACLANG@GMAIL.COM")</f>
        <v>VDCASACLANG@GMAIL.COM</v>
      </c>
      <c r="L504" s="1" t="str">
        <f>IFERROR(__xludf.DUMMYFUNCTION("""COMPUTED_VALUE"""),"BLK 50 LOT 30")</f>
        <v>BLK 50 LOT 30</v>
      </c>
      <c r="M504" s="1" t="str">
        <f>IFERROR(__xludf.DUMMYFUNCTION("""COMPUTED_VALUE"""),"PHASE 4")</f>
        <v>PHASE 4</v>
      </c>
      <c r="N504" s="1" t="str">
        <f>IFERROR(__xludf.DUMMYFUNCTION("""COMPUTED_VALUE"""),"ALTA TIERA")</f>
        <v>ALTA TIERA</v>
      </c>
      <c r="O504" s="1" t="str">
        <f>IFERROR(__xludf.DUMMYFUNCTION("""COMPUTED_VALUE"""),"GMZLP243NP3/4")</f>
        <v>GMZLP243NP3/4</v>
      </c>
      <c r="P504" s="1" t="str">
        <f>IFERROR(__xludf.DUMMYFUNCTION("""COMPUTED_VALUE"""),"14.313600 121.009734")</f>
        <v>14.313600 121.009734</v>
      </c>
      <c r="Q504" s="1" t="str">
        <f>IFERROR(__xludf.DUMMYFUNCTION("""COMPUTED_VALUE"""),"ALDIANO OLAES")</f>
        <v>ALDIANO OLAES</v>
      </c>
      <c r="R504" s="1" t="str">
        <f>IFERROR(__xludf.DUMMYFUNCTION("""COMPUTED_VALUE"""),"GEN MARIANO ALVAREZ")</f>
        <v>GEN MARIANO ALVAREZ</v>
      </c>
      <c r="S504" s="1" t="str">
        <f>IFERROR(__xludf.DUMMYFUNCTION("""COMPUTED_VALUE"""),"FIBR PLAN 1599")</f>
        <v>FIBR PLAN 1599</v>
      </c>
      <c r="T504" s="1" t="str">
        <f>IFERROR(__xludf.DUMMYFUNCTION("""COMPUTED_VALUE"""),"APPROVED")</f>
        <v>APPROVED</v>
      </c>
      <c r="U504" s="1"/>
      <c r="V504" s="1"/>
      <c r="W504" s="1"/>
    </row>
    <row r="505" customHeight="1" spans="1:23">
      <c r="A505" s="3">
        <f>IFERROR(__xludf.DUMMYFUNCTION("""COMPUTED_VALUE"""),46072)</f>
        <v>46072</v>
      </c>
      <c r="B505" s="1" t="str">
        <f>IFERROR(__xludf.DUMMYFUNCTION("""COMPUTED_VALUE"""),"ESCARCHA, MA ALMA  ESCOTO")</f>
        <v>ESCARCHA, MA ALMA  ESCOTO</v>
      </c>
      <c r="C505" s="1" t="str">
        <f>IFERROR(__xludf.DUMMYFUNCTION("""COMPUTED_VALUE"""),"ORGANIC")</f>
        <v>ORGANIC</v>
      </c>
      <c r="D505" s="1" t="str">
        <f>IFERROR(__xludf.DUMMYFUNCTION("""COMPUTED_VALUE"""),"REMOLLO LEA")</f>
        <v>REMOLLO LEA</v>
      </c>
      <c r="E505" s="1" t="str">
        <f>IFERROR(__xludf.DUMMYFUNCTION("""COMPUTED_VALUE"""),"PLDT")</f>
        <v>PLDT</v>
      </c>
      <c r="F505" s="1"/>
      <c r="G505" s="1"/>
      <c r="H505" s="1" t="str">
        <f>IFERROR(__xludf.DUMMYFUNCTION("""COMPUTED_VALUE"""),"RIZABEL CAAG ROMATIGUE")</f>
        <v>RIZABEL CAAG ROMATIGUE</v>
      </c>
      <c r="I505" s="1">
        <f>IFERROR(__xludf.DUMMYFUNCTION("""COMPUTED_VALUE"""),9616401685)</f>
        <v>9616401685</v>
      </c>
      <c r="J505" s="1"/>
      <c r="K505" s="1" t="str">
        <f>IFERROR(__xludf.DUMMYFUNCTION("""COMPUTED_VALUE"""),"AKOSIPOGIROMANTIGUE@GMAIL.COM")</f>
        <v>AKOSIPOGIROMANTIGUE@GMAIL.COM</v>
      </c>
      <c r="L505" s="1" t="str">
        <f>IFERROR(__xludf.DUMMYFUNCTION("""COMPUTED_VALUE"""),"420")</f>
        <v>420</v>
      </c>
      <c r="M505" s="1" t="str">
        <f>IFERROR(__xludf.DUMMYFUNCTION("""COMPUTED_VALUE"""),"SITIO HANOPOL")</f>
        <v>SITIO HANOPOL</v>
      </c>
      <c r="N505" s="1"/>
      <c r="O505" s="1" t="str">
        <f>IFERROR(__xludf.DUMMYFUNCTION("""COMPUTED_VALUE"""),"SILLP639NP2")</f>
        <v>SILLP639NP2</v>
      </c>
      <c r="P505" s="1"/>
      <c r="Q505" s="1" t="str">
        <f>IFERROR(__xludf.DUMMYFUNCTION("""COMPUTED_VALUE"""),"KAONG")</f>
        <v>KAONG</v>
      </c>
      <c r="R505" s="1" t="str">
        <f>IFERROR(__xludf.DUMMYFUNCTION("""COMPUTED_VALUE"""),"SILANG")</f>
        <v>SILANG</v>
      </c>
      <c r="S505" s="1" t="str">
        <f>IFERROR(__xludf.DUMMYFUNCTION("""COMPUTED_VALUE"""),"FIBR PLAN 999 W/ CIGNAL")</f>
        <v>FIBR PLAN 999 W/ CIGNAL</v>
      </c>
      <c r="T505" s="1" t="str">
        <f>IFERROR(__xludf.DUMMYFUNCTION("""COMPUTED_VALUE"""),"HOLD")</f>
        <v>HOLD</v>
      </c>
      <c r="U505" s="1" t="str">
        <f>IFERROR(__xludf.DUMMYFUNCTION("""COMPUTED_VALUE"""),"NAG AANTAY LANG DAW NG PADALA SA KANYA AS PER ALMA")</f>
        <v>NAG AANTAY LANG DAW NG PADALA SA KANYA AS PER ALMA</v>
      </c>
      <c r="V505" s="1"/>
      <c r="W505" s="1"/>
    </row>
    <row r="506" customHeight="1" spans="1:23">
      <c r="A506" s="3">
        <f>IFERROR(__xludf.DUMMYFUNCTION("""COMPUTED_VALUE"""),46072)</f>
        <v>46072</v>
      </c>
      <c r="B506" s="1" t="str">
        <f>IFERROR(__xludf.DUMMYFUNCTION("""COMPUTED_VALUE"""),"FARO, REFRANTA")</f>
        <v>FARO, REFRANTA</v>
      </c>
      <c r="C506" s="1" t="str">
        <f>IFERROR(__xludf.DUMMYFUNCTION("""COMPUTED_VALUE"""),"ORGANIC")</f>
        <v>ORGANIC</v>
      </c>
      <c r="D506" s="1" t="str">
        <f>IFERROR(__xludf.DUMMYFUNCTION("""COMPUTED_VALUE"""),"REMOLLO LEA")</f>
        <v>REMOLLO LEA</v>
      </c>
      <c r="E506" s="1" t="str">
        <f>IFERROR(__xludf.DUMMYFUNCTION("""COMPUTED_VALUE"""),"PLDT")</f>
        <v>PLDT</v>
      </c>
      <c r="F506" s="1">
        <f>IFERROR(__xludf.DUMMYFUNCTION("""COMPUTED_VALUE"""),2307142574)</f>
        <v>2307142574</v>
      </c>
      <c r="G506" s="1"/>
      <c r="H506" s="1" t="str">
        <f>IFERROR(__xludf.DUMMYFUNCTION("""COMPUTED_VALUE"""),"ANALYN MORTA BLANCA")</f>
        <v>ANALYN MORTA BLANCA</v>
      </c>
      <c r="I506" s="1">
        <f>IFERROR(__xludf.DUMMYFUNCTION("""COMPUTED_VALUE"""),9851218799)</f>
        <v>9851218799</v>
      </c>
      <c r="J506" s="1"/>
      <c r="K506" s="1" t="str">
        <f>IFERROR(__xludf.DUMMYFUNCTION("""COMPUTED_VALUE"""),"KAISELYNBLANCA@GMAIL.COM")</f>
        <v>KAISELYNBLANCA@GMAIL.COM</v>
      </c>
      <c r="L506" s="1" t="str">
        <f>IFERROR(__xludf.DUMMYFUNCTION("""COMPUTED_VALUE"""),"9367")</f>
        <v>9367</v>
      </c>
      <c r="M506" s="1" t="str">
        <f>IFERROR(__xludf.DUMMYFUNCTION("""COMPUTED_VALUE"""),"POOK NA MUNTI")</f>
        <v>POOK NA MUNTI</v>
      </c>
      <c r="N506" s="1"/>
      <c r="O506" s="1" t="str">
        <f>IFERROR(__xludf.DUMMYFUNCTION("""COMPUTED_VALUE"""),"SILLP599NP7/8")</f>
        <v>SILLP599NP7/8</v>
      </c>
      <c r="P506" s="1"/>
      <c r="Q506" s="1" t="str">
        <f>IFERROR(__xludf.DUMMYFUNCTION("""COMPUTED_VALUE"""),"KAONG")</f>
        <v>KAONG</v>
      </c>
      <c r="R506" s="1" t="str">
        <f>IFERROR(__xludf.DUMMYFUNCTION("""COMPUTED_VALUE"""),"SILANG")</f>
        <v>SILANG</v>
      </c>
      <c r="S506" s="1" t="str">
        <f>IFERROR(__xludf.DUMMYFUNCTION("""COMPUTED_VALUE"""),"FIBR PLAN 1599")</f>
        <v>FIBR PLAN 1599</v>
      </c>
      <c r="T506" s="1" t="str">
        <f>IFERROR(__xludf.DUMMYFUNCTION("""COMPUTED_VALUE"""),"APPROVED")</f>
        <v>APPROVED</v>
      </c>
      <c r="U506" s="1"/>
      <c r="V506" s="1"/>
      <c r="W506" s="1"/>
    </row>
    <row r="507" customHeight="1" spans="1:23">
      <c r="A507" s="3">
        <f>IFERROR(__xludf.DUMMYFUNCTION("""COMPUTED_VALUE"""),46072)</f>
        <v>46072</v>
      </c>
      <c r="B507" s="1" t="str">
        <f>IFERROR(__xludf.DUMMYFUNCTION("""COMPUTED_VALUE"""),"DE VERA, MARIVIC")</f>
        <v>DE VERA, MARIVIC</v>
      </c>
      <c r="C507" s="1" t="str">
        <f>IFERROR(__xludf.DUMMYFUNCTION("""COMPUTED_VALUE"""),"ORGANIC")</f>
        <v>ORGANIC</v>
      </c>
      <c r="D507" s="1" t="str">
        <f>IFERROR(__xludf.DUMMYFUNCTION("""COMPUTED_VALUE"""),"REMOLLO LEA")</f>
        <v>REMOLLO LEA</v>
      </c>
      <c r="E507" s="1" t="str">
        <f>IFERROR(__xludf.DUMMYFUNCTION("""COMPUTED_VALUE"""),"PLDT")</f>
        <v>PLDT</v>
      </c>
      <c r="F507" s="1">
        <f>IFERROR(__xludf.DUMMYFUNCTION("""COMPUTED_VALUE"""),2307146264)</f>
        <v>2307146264</v>
      </c>
      <c r="G507" s="1"/>
      <c r="H507" s="1" t="str">
        <f>IFERROR(__xludf.DUMMYFUNCTION("""COMPUTED_VALUE"""),"EVARESTO P OCENADA")</f>
        <v>EVARESTO P OCENADA</v>
      </c>
      <c r="I507" s="1">
        <f>IFERROR(__xludf.DUMMYFUNCTION("""COMPUTED_VALUE"""),9432076575)</f>
        <v>9432076575</v>
      </c>
      <c r="J507" s="1"/>
      <c r="K507" s="1" t="str">
        <f>IFERROR(__xludf.DUMMYFUNCTION("""COMPUTED_VALUE"""),"EVARESTOOCENADA@GMAIL.COM")</f>
        <v>EVARESTOOCENADA@GMAIL.COM</v>
      </c>
      <c r="L507" s="1" t="str">
        <f>IFERROR(__xludf.DUMMYFUNCTION("""COMPUTED_VALUE"""),"130")</f>
        <v>130</v>
      </c>
      <c r="M507" s="1" t="str">
        <f>IFERROR(__xludf.DUMMYFUNCTION("""COMPUTED_VALUE"""),"POOK NA MUNTI")</f>
        <v>POOK NA MUNTI</v>
      </c>
      <c r="N507" s="1"/>
      <c r="O507" s="1" t="str">
        <f>IFERROR(__xludf.DUMMYFUNCTION("""COMPUTED_VALUE"""),"SILLP599NP4")</f>
        <v>SILLP599NP4</v>
      </c>
      <c r="P507" s="1" t="str">
        <f>IFERROR(__xludf.DUMMYFUNCTION("""COMPUTED_VALUE"""),"14.242487 120.999712")</f>
        <v>14.242487 120.999712</v>
      </c>
      <c r="Q507" s="1" t="str">
        <f>IFERROR(__xludf.DUMMYFUNCTION("""COMPUTED_VALUE"""),"KAONG")</f>
        <v>KAONG</v>
      </c>
      <c r="R507" s="1" t="str">
        <f>IFERROR(__xludf.DUMMYFUNCTION("""COMPUTED_VALUE"""),"SILANG")</f>
        <v>SILANG</v>
      </c>
      <c r="S507" s="1" t="str">
        <f>IFERROR(__xludf.DUMMYFUNCTION("""COMPUTED_VALUE"""),"FIBR PLAN 1399")</f>
        <v>FIBR PLAN 1399</v>
      </c>
      <c r="T507" s="1" t="str">
        <f>IFERROR(__xludf.DUMMYFUNCTION("""COMPUTED_VALUE"""),"APPROVED")</f>
        <v>APPROVED</v>
      </c>
      <c r="U507" s="1"/>
      <c r="V507" s="1"/>
      <c r="W507" s="1"/>
    </row>
    <row r="508" customHeight="1" spans="1:23">
      <c r="A508" s="3">
        <f>IFERROR(__xludf.DUMMYFUNCTION("""COMPUTED_VALUE"""),46072)</f>
        <v>46072</v>
      </c>
      <c r="B508" s="1" t="str">
        <f>IFERROR(__xludf.DUMMYFUNCTION("""COMPUTED_VALUE"""),"DACALCAP RUBEN")</f>
        <v>DACALCAP RUBEN</v>
      </c>
      <c r="C508" s="1" t="str">
        <f>IFERROR(__xludf.DUMMYFUNCTION("""COMPUTED_VALUE"""),"FLA")</f>
        <v>FLA</v>
      </c>
      <c r="D508" s="1" t="str">
        <f>IFERROR(__xludf.DUMMYFUNCTION("""COMPUTED_VALUE"""),"JERIC NAVARRO")</f>
        <v>JERIC NAVARRO</v>
      </c>
      <c r="E508" s="1" t="str">
        <f>IFERROR(__xludf.DUMMYFUNCTION("""COMPUTED_VALUE"""),"PLDT")</f>
        <v>PLDT</v>
      </c>
      <c r="F508" s="1">
        <f>IFERROR(__xludf.DUMMYFUNCTION("""COMPUTED_VALUE"""),2307132477)</f>
        <v>2307132477</v>
      </c>
      <c r="G508" s="1"/>
      <c r="H508" s="1" t="str">
        <f>IFERROR(__xludf.DUMMYFUNCTION("""COMPUTED_VALUE"""),"DAVE BRAIN FEBRIA BARTOLOME")</f>
        <v>DAVE BRAIN FEBRIA BARTOLOME</v>
      </c>
      <c r="I508" s="1">
        <f>IFERROR(__xludf.DUMMYFUNCTION("""COMPUTED_VALUE"""),9695232734)</f>
        <v>9695232734</v>
      </c>
      <c r="J508" s="1"/>
      <c r="K508" s="1" t="str">
        <f>IFERROR(__xludf.DUMMYFUNCTION("""COMPUTED_VALUE"""),"DAVEBARTOLOMEBRIAN@GMAIL.COM")</f>
        <v>DAVEBARTOLOMEBRIAN@GMAIL.COM</v>
      </c>
      <c r="L508" s="1" t="str">
        <f>IFERROR(__xludf.DUMMYFUNCTION("""COMPUTED_VALUE"""),"1740")</f>
        <v>1740</v>
      </c>
      <c r="M508" s="1" t="str">
        <f>IFERROR(__xludf.DUMMYFUNCTION("""COMPUTED_VALUE"""),"PAREDES ST")</f>
        <v>PAREDES ST</v>
      </c>
      <c r="N508" s="1"/>
      <c r="O508" s="1" t="str">
        <f>IFERROR(__xludf.DUMMYFUNCTION("""COMPUTED_VALUE"""),"SILLP1551/2/3/4 SILLP154NP7")</f>
        <v>SILLP1551/2/3/4 SILLP154NP7</v>
      </c>
      <c r="P508" s="1" t="str">
        <f>IFERROR(__xludf.DUMMYFUNCTION("""COMPUTED_VALUE"""),"14.226546800301 | 120.97585128109")</f>
        <v>14.226546800301 | 120.97585128109</v>
      </c>
      <c r="Q508" s="1" t="str">
        <f>IFERROR(__xludf.DUMMYFUNCTION("""COMPUTED_VALUE"""),"SAN VICENTE I")</f>
        <v>SAN VICENTE I</v>
      </c>
      <c r="R508" s="1" t="str">
        <f>IFERROR(__xludf.DUMMYFUNCTION("""COMPUTED_VALUE"""),"SILANG")</f>
        <v>SILANG</v>
      </c>
      <c r="S508" s="1" t="str">
        <f>IFERROR(__xludf.DUMMYFUNCTION("""COMPUTED_VALUE"""),"FIBR PLAN 1799")</f>
        <v>FIBR PLAN 1799</v>
      </c>
      <c r="T508" s="1" t="str">
        <f>IFERROR(__xludf.DUMMYFUNCTION("""COMPUTED_VALUE"""),"APPROVED")</f>
        <v>APPROVED</v>
      </c>
      <c r="U508" s="1"/>
      <c r="V508" s="1"/>
      <c r="W508" s="1"/>
    </row>
    <row r="509" customHeight="1" spans="1:23">
      <c r="A509" s="3">
        <f>IFERROR(__xludf.DUMMYFUNCTION("""COMPUTED_VALUE"""),46072)</f>
        <v>46072</v>
      </c>
      <c r="B509" s="1" t="str">
        <f>IFERROR(__xludf.DUMMYFUNCTION("""COMPUTED_VALUE"""),"AYON MANUEL")</f>
        <v>AYON MANUEL</v>
      </c>
      <c r="C509" s="1" t="str">
        <f>IFERROR(__xludf.DUMMYFUNCTION("""COMPUTED_VALUE"""),"FLA")</f>
        <v>FLA</v>
      </c>
      <c r="D509" s="1" t="str">
        <f>IFERROR(__xludf.DUMMYFUNCTION("""COMPUTED_VALUE"""),"JERIC NAVARRO")</f>
        <v>JERIC NAVARRO</v>
      </c>
      <c r="E509" s="1" t="str">
        <f>IFERROR(__xludf.DUMMYFUNCTION("""COMPUTED_VALUE"""),"PLDT")</f>
        <v>PLDT</v>
      </c>
      <c r="F509" s="1">
        <f>IFERROR(__xludf.DUMMYFUNCTION("""COMPUTED_VALUE"""),2307143784)</f>
        <v>2307143784</v>
      </c>
      <c r="G509" s="1"/>
      <c r="H509" s="1" t="str">
        <f>IFERROR(__xludf.DUMMYFUNCTION("""COMPUTED_VALUE"""),"ARVIE SACLO BELOSTRINO")</f>
        <v>ARVIE SACLO BELOSTRINO</v>
      </c>
      <c r="I509" s="1">
        <f>IFERROR(__xludf.DUMMYFUNCTION("""COMPUTED_VALUE"""),9701785368)</f>
        <v>9701785368</v>
      </c>
      <c r="J509" s="1">
        <f>IFERROR(__xludf.DUMMYFUNCTION("""COMPUTED_VALUE"""),9126021723)</f>
        <v>9126021723</v>
      </c>
      <c r="K509" s="1" t="str">
        <f>IFERROR(__xludf.DUMMYFUNCTION("""COMPUTED_VALUE"""),"BELASTRINORV@GMAIL.COM")</f>
        <v>BELASTRINORV@GMAIL.COM</v>
      </c>
      <c r="L509" s="1" t="str">
        <f>IFERROR(__xludf.DUMMYFUNCTION("""COMPUTED_VALUE"""),"7B")</f>
        <v>7B</v>
      </c>
      <c r="M509" s="1" t="str">
        <f>IFERROR(__xludf.DUMMYFUNCTION("""COMPUTED_VALUE"""),"IBAYONG ILAT")</f>
        <v>IBAYONG ILAT</v>
      </c>
      <c r="N509" s="1"/>
      <c r="O509" s="1" t="str">
        <f>IFERROR(__xludf.DUMMYFUNCTION("""COMPUTED_VALUE"""),"SILLP638NP2")</f>
        <v>SILLP638NP2</v>
      </c>
      <c r="P509" s="1"/>
      <c r="Q509" s="1" t="str">
        <f>IFERROR(__xludf.DUMMYFUNCTION("""COMPUTED_VALUE"""),"KAONG")</f>
        <v>KAONG</v>
      </c>
      <c r="R509" s="1" t="str">
        <f>IFERROR(__xludf.DUMMYFUNCTION("""COMPUTED_VALUE"""),"SILANG")</f>
        <v>SILANG</v>
      </c>
      <c r="S509" s="1" t="str">
        <f>IFERROR(__xludf.DUMMYFUNCTION("""COMPUTED_VALUE"""),"FIBR PLAN 1399")</f>
        <v>FIBR PLAN 1399</v>
      </c>
      <c r="T509" s="1" t="str">
        <f>IFERROR(__xludf.DUMMYFUNCTION("""COMPUTED_VALUE"""),"APPROVED")</f>
        <v>APPROVED</v>
      </c>
      <c r="U509" s="1"/>
      <c r="V509" s="1"/>
      <c r="W509" s="1"/>
    </row>
    <row r="510" customHeight="1" spans="1:23">
      <c r="A510" s="3">
        <f>IFERROR(__xludf.DUMMYFUNCTION("""COMPUTED_VALUE"""),46072)</f>
        <v>46072</v>
      </c>
      <c r="B510" s="1" t="str">
        <f>IFERROR(__xludf.DUMMYFUNCTION("""COMPUTED_VALUE"""),"DE VERA, MARIVIC")</f>
        <v>DE VERA, MARIVIC</v>
      </c>
      <c r="C510" s="1" t="str">
        <f>IFERROR(__xludf.DUMMYFUNCTION("""COMPUTED_VALUE"""),"ORGANIC")</f>
        <v>ORGANIC</v>
      </c>
      <c r="D510" s="1" t="str">
        <f>IFERROR(__xludf.DUMMYFUNCTION("""COMPUTED_VALUE"""),"REMOLLO LEA")</f>
        <v>REMOLLO LEA</v>
      </c>
      <c r="E510" s="1" t="str">
        <f>IFERROR(__xludf.DUMMYFUNCTION("""COMPUTED_VALUE"""),"PLDT")</f>
        <v>PLDT</v>
      </c>
      <c r="F510" s="1">
        <f>IFERROR(__xludf.DUMMYFUNCTION("""COMPUTED_VALUE"""),2307146264)</f>
        <v>2307146264</v>
      </c>
      <c r="G510" s="1"/>
      <c r="H510" s="1" t="str">
        <f>IFERROR(__xludf.DUMMYFUNCTION("""COMPUTED_VALUE"""),"EVARESTO JR PACUAN OCENADA")</f>
        <v>EVARESTO JR PACUAN OCENADA</v>
      </c>
      <c r="I510" s="1">
        <f>IFERROR(__xludf.DUMMYFUNCTION("""COMPUTED_VALUE"""),9932076576)</f>
        <v>9932076576</v>
      </c>
      <c r="J510" s="1"/>
      <c r="K510" s="1" t="str">
        <f>IFERROR(__xludf.DUMMYFUNCTION("""COMPUTED_VALUE"""),"EVARESTOOCANEDAJR@GMAIL.COM")</f>
        <v>EVARESTOOCANEDAJR@GMAIL.COM</v>
      </c>
      <c r="L510" s="1" t="str">
        <f>IFERROR(__xludf.DUMMYFUNCTION("""COMPUTED_VALUE"""),"130")</f>
        <v>130</v>
      </c>
      <c r="M510" s="1" t="str">
        <f>IFERROR(__xludf.DUMMYFUNCTION("""COMPUTED_VALUE"""),"SITIO POOK MUNTI")</f>
        <v>SITIO POOK MUNTI</v>
      </c>
      <c r="N510" s="1"/>
      <c r="O510" s="1"/>
      <c r="P510" s="1"/>
      <c r="Q510" s="1" t="str">
        <f>IFERROR(__xludf.DUMMYFUNCTION("""COMPUTED_VALUE"""),"KAYSUYO")</f>
        <v>KAYSUYO</v>
      </c>
      <c r="R510" s="1" t="str">
        <f>IFERROR(__xludf.DUMMYFUNCTION("""COMPUTED_VALUE"""),"SILANG")</f>
        <v>SILANG</v>
      </c>
      <c r="S510" s="1" t="str">
        <f>IFERROR(__xludf.DUMMYFUNCTION("""COMPUTED_VALUE"""),"FIBR PLAN 1399")</f>
        <v>FIBR PLAN 1399</v>
      </c>
      <c r="T510" s="1" t="str">
        <f>IFERROR(__xludf.DUMMYFUNCTION("""COMPUTED_VALUE"""),"APPROVED")</f>
        <v>APPROVED</v>
      </c>
      <c r="U510" s="1"/>
      <c r="V510" s="1"/>
      <c r="W510" s="1"/>
    </row>
    <row r="511" customHeight="1" spans="1:23">
      <c r="A511" s="3">
        <f>IFERROR(__xludf.DUMMYFUNCTION("""COMPUTED_VALUE"""),46073)</f>
        <v>46073</v>
      </c>
      <c r="B511" s="1" t="str">
        <f>IFERROR(__xludf.DUMMYFUNCTION("""COMPUTED_VALUE"""),"MCNULTY KRYSTEL")</f>
        <v>MCNULTY KRYSTEL</v>
      </c>
      <c r="C511" s="1" t="str">
        <f>IFERROR(__xludf.DUMMYFUNCTION("""COMPUTED_VALUE"""),"ORGANIC")</f>
        <v>ORGANIC</v>
      </c>
      <c r="D511" s="1" t="str">
        <f>IFERROR(__xludf.DUMMYFUNCTION("""COMPUTED_VALUE"""),"ALINGARO, CINDY")</f>
        <v>ALINGARO, CINDY</v>
      </c>
      <c r="E511" s="1" t="str">
        <f>IFERROR(__xludf.DUMMYFUNCTION("""COMPUTED_VALUE"""),"PLDT")</f>
        <v>PLDT</v>
      </c>
      <c r="F511" s="1">
        <f>IFERROR(__xludf.DUMMYFUNCTION("""COMPUTED_VALUE"""),2307147965)</f>
        <v>2307147965</v>
      </c>
      <c r="G511" s="1"/>
      <c r="H511" s="1" t="str">
        <f>IFERROR(__xludf.DUMMYFUNCTION("""COMPUTED_VALUE"""),"TRISTAN HILAPO LANCETA")</f>
        <v>TRISTAN HILAPO LANCETA</v>
      </c>
      <c r="I511" s="1">
        <f>IFERROR(__xludf.DUMMYFUNCTION("""COMPUTED_VALUE"""),9303733470)</f>
        <v>9303733470</v>
      </c>
      <c r="J511" s="1"/>
      <c r="K511" s="1" t="str">
        <f>IFERROR(__xludf.DUMMYFUNCTION("""COMPUTED_VALUE"""),"TANLANCETA@GMAIL.COM")</f>
        <v>TANLANCETA@GMAIL.COM</v>
      </c>
      <c r="L511" s="1" t="str">
        <f>IFERROR(__xludf.DUMMYFUNCTION("""COMPUTED_VALUE"""),"23")</f>
        <v>23</v>
      </c>
      <c r="M511" s="1" t="str">
        <f>IFERROR(__xludf.DUMMYFUNCTION("""COMPUTED_VALUE"""),"SITIO BAYUNGAN")</f>
        <v>SITIO BAYUNGAN</v>
      </c>
      <c r="N511" s="1"/>
      <c r="O511" s="1" t="str">
        <f>IFERROR(__xludf.DUMMYFUNCTION("""COMPUTED_VALUE"""),"SILLP569NP2")</f>
        <v>SILLP569NP2</v>
      </c>
      <c r="P511" s="1" t="str">
        <f>IFERROR(__xludf.DUMMYFUNCTION("""COMPUTED_VALUE"""),"14.245697 | 120.998526")</f>
        <v>14.245697 | 120.998526</v>
      </c>
      <c r="Q511" s="1" t="str">
        <f>IFERROR(__xludf.DUMMYFUNCTION("""COMPUTED_VALUE"""),"KAONG")</f>
        <v>KAONG</v>
      </c>
      <c r="R511" s="1" t="str">
        <f>IFERROR(__xludf.DUMMYFUNCTION("""COMPUTED_VALUE"""),"SILANG")</f>
        <v>SILANG</v>
      </c>
      <c r="S511" s="1" t="str">
        <f>IFERROR(__xludf.DUMMYFUNCTION("""COMPUTED_VALUE"""),"PREPAID 999")</f>
        <v>PREPAID 999</v>
      </c>
      <c r="T511" s="1" t="str">
        <f>IFERROR(__xludf.DUMMYFUNCTION("""COMPUTED_VALUE"""),"APPROVED")</f>
        <v>APPROVED</v>
      </c>
      <c r="U511" s="1"/>
      <c r="V511" s="1"/>
      <c r="W511" s="1"/>
    </row>
    <row r="512" customHeight="1" spans="1:23">
      <c r="A512" s="3">
        <f>IFERROR(__xludf.DUMMYFUNCTION("""COMPUTED_VALUE"""),46073)</f>
        <v>46073</v>
      </c>
      <c r="B512" s="1" t="str">
        <f>IFERROR(__xludf.DUMMYFUNCTION("""COMPUTED_VALUE"""),"LLEGUE. RON VINCENT")</f>
        <v>LLEGUE. RON VINCENT</v>
      </c>
      <c r="C512" s="1" t="str">
        <f>IFERROR(__xludf.DUMMYFUNCTION("""COMPUTED_VALUE"""),"ORGANIC")</f>
        <v>ORGANIC</v>
      </c>
      <c r="D512" s="1" t="str">
        <f>IFERROR(__xludf.DUMMYFUNCTION("""COMPUTED_VALUE"""),"ALOS, CHARLS")</f>
        <v>ALOS, CHARLS</v>
      </c>
      <c r="E512" s="1" t="str">
        <f>IFERROR(__xludf.DUMMYFUNCTION("""COMPUTED_VALUE"""),"RED FIBER")</f>
        <v>RED FIBER</v>
      </c>
      <c r="F512" s="1"/>
      <c r="G512" s="1"/>
      <c r="H512" s="1" t="str">
        <f>IFERROR(__xludf.DUMMYFUNCTION("""COMPUTED_VALUE"""),"RICKY JR MAYOR TALADRO")</f>
        <v>RICKY JR MAYOR TALADRO</v>
      </c>
      <c r="I512" s="1">
        <f>IFERROR(__xludf.DUMMYFUNCTION("""COMPUTED_VALUE"""),9672492093)</f>
        <v>9672492093</v>
      </c>
      <c r="J512" s="1"/>
      <c r="K512" s="1" t="str">
        <f>IFERROR(__xludf.DUMMYFUNCTION("""COMPUTED_VALUE"""),"RICKYTALADRO89@GMAIL.COM")</f>
        <v>RICKYTALADRO89@GMAIL.COM</v>
      </c>
      <c r="L512" s="1" t="str">
        <f>IFERROR(__xludf.DUMMYFUNCTION("""COMPUTED_VALUE"""),"7076")</f>
        <v>7076</v>
      </c>
      <c r="M512" s="1" t="str">
        <f>IFERROR(__xludf.DUMMYFUNCTION("""COMPUTED_VALUE"""),"PUROK 168")</f>
        <v>PUROK 168</v>
      </c>
      <c r="N512" s="1"/>
      <c r="O512" s="1" t="str">
        <f>IFERROR(__xludf.DUMMYFUNCTION("""COMPUTED_VALUE"""),"CVTLCP70NAP1")</f>
        <v>CVTLCP70NAP1</v>
      </c>
      <c r="P512" s="1" t="str">
        <f>IFERROR(__xludf.DUMMYFUNCTION("""COMPUTED_VALUE"""),"14.118028 | 120.95935385")</f>
        <v>14.118028 | 120.95935385</v>
      </c>
      <c r="Q512" s="1" t="str">
        <f>IFERROR(__xludf.DUMMYFUNCTION("""COMPUTED_VALUE"""),"SILANG CROSSING WEST")</f>
        <v>SILANG CROSSING WEST</v>
      </c>
      <c r="R512" s="1" t="str">
        <f>IFERROR(__xludf.DUMMYFUNCTION("""COMPUTED_VALUE"""),"TAGAYTAY")</f>
        <v>TAGAYTAY</v>
      </c>
      <c r="S512" s="1" t="str">
        <f>IFERROR(__xludf.DUMMYFUNCTION("""COMPUTED_VALUE"""),"RED FIBER PLAN 1400")</f>
        <v>RED FIBER PLAN 1400</v>
      </c>
      <c r="T512" s="1" t="str">
        <f>IFERROR(__xludf.DUMMYFUNCTION("""COMPUTED_VALUE"""),"APPROVED")</f>
        <v>APPROVED</v>
      </c>
      <c r="U512" s="1"/>
      <c r="V512" s="1"/>
      <c r="W512" s="1"/>
    </row>
    <row r="513" customHeight="1" spans="1:23">
      <c r="A513" s="3">
        <f>IFERROR(__xludf.DUMMYFUNCTION("""COMPUTED_VALUE"""),46073)</f>
        <v>46073</v>
      </c>
      <c r="B513" s="1" t="str">
        <f>IFERROR(__xludf.DUMMYFUNCTION("""COMPUTED_VALUE"""),"GABAY, MANUEL")</f>
        <v>GABAY, MANUEL</v>
      </c>
      <c r="C513" s="1" t="str">
        <f>IFERROR(__xludf.DUMMYFUNCTION("""COMPUTED_VALUE"""),"FLA")</f>
        <v>FLA</v>
      </c>
      <c r="D513" s="1" t="str">
        <f>IFERROR(__xludf.DUMMYFUNCTION("""COMPUTED_VALUE"""),"JERIC NAVARRO")</f>
        <v>JERIC NAVARRO</v>
      </c>
      <c r="E513" s="1" t="str">
        <f>IFERROR(__xludf.DUMMYFUNCTION("""COMPUTED_VALUE"""),"PLDT")</f>
        <v>PLDT</v>
      </c>
      <c r="F513" s="1">
        <f>IFERROR(__xludf.DUMMYFUNCTION("""COMPUTED_VALUE"""),2307149440)</f>
        <v>2307149440</v>
      </c>
      <c r="G513" s="1"/>
      <c r="H513" s="1" t="str">
        <f>IFERROR(__xludf.DUMMYFUNCTION("""COMPUTED_VALUE"""),"LAY LANIE ORANA EVANGELISTA")</f>
        <v>LAY LANIE ORANA EVANGELISTA</v>
      </c>
      <c r="I513" s="1">
        <f>IFERROR(__xludf.DUMMYFUNCTION("""COMPUTED_VALUE"""),9150464246)</f>
        <v>9150464246</v>
      </c>
      <c r="J513" s="1">
        <f>IFERROR(__xludf.DUMMYFUNCTION("""COMPUTED_VALUE"""),9451457625)</f>
        <v>9451457625</v>
      </c>
      <c r="K513" s="1" t="str">
        <f>IFERROR(__xludf.DUMMYFUNCTION("""COMPUTED_VALUE"""),"LANIELON10@GMAIL.COM")</f>
        <v>LANIELON10@GMAIL.COM</v>
      </c>
      <c r="L513" s="1" t="str">
        <f>IFERROR(__xludf.DUMMYFUNCTION("""COMPUTED_VALUE"""),"33")</f>
        <v>33</v>
      </c>
      <c r="M513" s="1" t="str">
        <f>IFERROR(__xludf.DUMMYFUNCTION("""COMPUTED_VALUE"""),"IBAYONG ILAT")</f>
        <v>IBAYONG ILAT</v>
      </c>
      <c r="N513" s="1"/>
      <c r="O513" s="1" t="str">
        <f>IFERROR(__xludf.DUMMYFUNCTION("""COMPUTED_VALUE"""),"SILLP639NP2")</f>
        <v>SILLP639NP2</v>
      </c>
      <c r="P513" s="1" t="str">
        <f>IFERROR(__xludf.DUMMYFUNCTION("""COMPUTED_VALUE"""),"14.247651 | 121.001445")</f>
        <v>14.247651 | 121.001445</v>
      </c>
      <c r="Q513" s="1" t="str">
        <f>IFERROR(__xludf.DUMMYFUNCTION("""COMPUTED_VALUE"""),"KAONG")</f>
        <v>KAONG</v>
      </c>
      <c r="R513" s="1" t="str">
        <f>IFERROR(__xludf.DUMMYFUNCTION("""COMPUTED_VALUE"""),"SILANG")</f>
        <v>SILANG</v>
      </c>
      <c r="S513" s="1" t="str">
        <f>IFERROR(__xludf.DUMMYFUNCTION("""COMPUTED_VALUE"""),"FIBR PLAN 1399")</f>
        <v>FIBR PLAN 1399</v>
      </c>
      <c r="T513" s="1" t="str">
        <f>IFERROR(__xludf.DUMMYFUNCTION("""COMPUTED_VALUE"""),"APPROVED")</f>
        <v>APPROVED</v>
      </c>
      <c r="U513" s="1"/>
      <c r="V513" s="1"/>
      <c r="W513" s="1"/>
    </row>
    <row r="514" customHeight="1" spans="1:23">
      <c r="A514" s="3">
        <f>IFERROR(__xludf.DUMMYFUNCTION("""COMPUTED_VALUE"""),46073)</f>
        <v>46073</v>
      </c>
      <c r="B514" s="1" t="str">
        <f>IFERROR(__xludf.DUMMYFUNCTION("""COMPUTED_VALUE"""),"REMOLLO, LEA")</f>
        <v>REMOLLO, LEA</v>
      </c>
      <c r="C514" s="1" t="str">
        <f>IFERROR(__xludf.DUMMYFUNCTION("""COMPUTED_VALUE"""),"FLA")</f>
        <v>FLA</v>
      </c>
      <c r="D514" s="1" t="str">
        <f>IFERROR(__xludf.DUMMYFUNCTION("""COMPUTED_VALUE"""),"JERIC NAVARRO")</f>
        <v>JERIC NAVARRO</v>
      </c>
      <c r="E514" s="1" t="str">
        <f>IFERROR(__xludf.DUMMYFUNCTION("""COMPUTED_VALUE"""),"PLDT")</f>
        <v>PLDT</v>
      </c>
      <c r="F514" s="1">
        <f>IFERROR(__xludf.DUMMYFUNCTION("""COMPUTED_VALUE"""),2307149423)</f>
        <v>2307149423</v>
      </c>
      <c r="G514" s="1"/>
      <c r="H514" s="1" t="str">
        <f>IFERROR(__xludf.DUMMYFUNCTION("""COMPUTED_VALUE"""),"ARVIN SESALIM PON-AN")</f>
        <v>ARVIN SESALIM PON-AN</v>
      </c>
      <c r="I514" s="1">
        <f>IFERROR(__xludf.DUMMYFUNCTION("""COMPUTED_VALUE"""),9474076532)</f>
        <v>9474076532</v>
      </c>
      <c r="J514" s="1"/>
      <c r="K514" s="1" t="str">
        <f>IFERROR(__xludf.DUMMYFUNCTION("""COMPUTED_VALUE"""),"PONANARVIN18@GMAIL.COM")</f>
        <v>PONANARVIN18@GMAIL.COM</v>
      </c>
      <c r="L514" s="1" t="str">
        <f>IFERROR(__xludf.DUMMYFUNCTION("""COMPUTED_VALUE"""),"282")</f>
        <v>282</v>
      </c>
      <c r="M514" s="1" t="str">
        <f>IFERROR(__xludf.DUMMYFUNCTION("""COMPUTED_VALUE"""),"PUROK 2")</f>
        <v>PUROK 2</v>
      </c>
      <c r="N514" s="1"/>
      <c r="O514" s="1" t="str">
        <f>IFERROR(__xludf.DUMMYFUNCTION("""COMPUTED_VALUE"""),"SILLP184NP")</f>
        <v>SILLP184NP</v>
      </c>
      <c r="P514" s="1" t="str">
        <f>IFERROR(__xludf.DUMMYFUNCTION("""COMPUTED_VALUE"""),"14.1904119/120.9602045")</f>
        <v>14.1904119/120.9602045</v>
      </c>
      <c r="Q514" s="1" t="str">
        <f>IFERROR(__xludf.DUMMYFUNCTION("""COMPUTED_VALUE"""),"LALAAN II")</f>
        <v>LALAAN II</v>
      </c>
      <c r="R514" s="1" t="str">
        <f>IFERROR(__xludf.DUMMYFUNCTION("""COMPUTED_VALUE"""),"SILANG")</f>
        <v>SILANG</v>
      </c>
      <c r="S514" s="1" t="str">
        <f>IFERROR(__xludf.DUMMYFUNCTION("""COMPUTED_VALUE"""),"FIBR PLAN 999 W/ CIGNAL")</f>
        <v>FIBR PLAN 999 W/ CIGNAL</v>
      </c>
      <c r="T514" s="1" t="str">
        <f>IFERROR(__xludf.DUMMYFUNCTION("""COMPUTED_VALUE"""),"APPROVED")</f>
        <v>APPROVED</v>
      </c>
      <c r="U514" s="1"/>
      <c r="V514" s="1"/>
      <c r="W514" s="1"/>
    </row>
    <row r="515" customHeight="1" spans="1:23">
      <c r="A515" s="3">
        <f>IFERROR(__xludf.DUMMYFUNCTION("""COMPUTED_VALUE"""),46073)</f>
        <v>46073</v>
      </c>
      <c r="B515" s="1" t="str">
        <f>IFERROR(__xludf.DUMMYFUNCTION("""COMPUTED_VALUE"""),"CONCEPCION, ALJAY")</f>
        <v>CONCEPCION, ALJAY</v>
      </c>
      <c r="C515" s="1" t="str">
        <f>IFERROR(__xludf.DUMMYFUNCTION("""COMPUTED_VALUE"""),"ORGANIC")</f>
        <v>ORGANIC</v>
      </c>
      <c r="D515" s="1" t="str">
        <f>IFERROR(__xludf.DUMMYFUNCTION("""COMPUTED_VALUE"""),"REMOLLO LEA")</f>
        <v>REMOLLO LEA</v>
      </c>
      <c r="E515" s="1" t="str">
        <f>IFERROR(__xludf.DUMMYFUNCTION("""COMPUTED_VALUE"""),"RED FIBER")</f>
        <v>RED FIBER</v>
      </c>
      <c r="F515" s="1"/>
      <c r="G515" s="1"/>
      <c r="H515" s="1" t="str">
        <f>IFERROR(__xludf.DUMMYFUNCTION("""COMPUTED_VALUE"""),"AILENE PENDON DE JESUS")</f>
        <v>AILENE PENDON DE JESUS</v>
      </c>
      <c r="I515" s="1">
        <f>IFERROR(__xludf.DUMMYFUNCTION("""COMPUTED_VALUE"""),9516660228)</f>
        <v>9516660228</v>
      </c>
      <c r="J515" s="1"/>
      <c r="K515" s="1" t="str">
        <f>IFERROR(__xludf.DUMMYFUNCTION("""COMPUTED_VALUE"""),"JERVINAXELDEJESUS@GMAIL.COM")</f>
        <v>JERVINAXELDEJESUS@GMAIL.COM</v>
      </c>
      <c r="L515" s="1" t="str">
        <f>IFERROR(__xludf.DUMMYFUNCTION("""COMPUTED_VALUE"""),"311")</f>
        <v>311</v>
      </c>
      <c r="M515" s="1" t="str">
        <f>IFERROR(__xludf.DUMMYFUNCTION("""COMPUTED_VALUE"""),"MABINI")</f>
        <v>MABINI</v>
      </c>
      <c r="N515" s="1"/>
      <c r="O515" s="1" t="str">
        <f>IFERROR(__xludf.DUMMYFUNCTION("""COMPUTED_VALUE"""),"CVTLCP58NAP4")</f>
        <v>CVTLCP58NAP4</v>
      </c>
      <c r="P515" s="1" t="str">
        <f>IFERROR(__xludf.DUMMYFUNCTION("""COMPUTED_VALUE"""),"14.131825 | 120.906815")</f>
        <v>14.131825 | 120.906815</v>
      </c>
      <c r="Q515" s="1" t="str">
        <f>IFERROR(__xludf.DUMMYFUNCTION("""COMPUTED_VALUE"""),"ASIS III")</f>
        <v>ASIS III</v>
      </c>
      <c r="R515" s="1" t="str">
        <f>IFERROR(__xludf.DUMMYFUNCTION("""COMPUTED_VALUE"""),"MENDEZ")</f>
        <v>MENDEZ</v>
      </c>
      <c r="S515" s="1" t="str">
        <f>IFERROR(__xludf.DUMMYFUNCTION("""COMPUTED_VALUE"""),"RED FIBER PLAN 1000")</f>
        <v>RED FIBER PLAN 1000</v>
      </c>
      <c r="T515" s="1" t="str">
        <f>IFERROR(__xludf.DUMMYFUNCTION("""COMPUTED_VALUE"""),"CANCELLED ")</f>
        <v>CANCELLED </v>
      </c>
      <c r="U515" s="1" t="str">
        <f>IFERROR(__xludf.DUMMYFUNCTION("""COMPUTED_VALUE"""),"SUBS CANCEL PER AGENT")</f>
        <v>SUBS CANCEL PER AGENT</v>
      </c>
      <c r="V515" s="1"/>
      <c r="W515" s="1"/>
    </row>
    <row r="516" customHeight="1" spans="1:23">
      <c r="A516" s="3">
        <f>IFERROR(__xludf.DUMMYFUNCTION("""COMPUTED_VALUE"""),46073)</f>
        <v>46073</v>
      </c>
      <c r="B516" s="1" t="str">
        <f>IFERROR(__xludf.DUMMYFUNCTION("""COMPUTED_VALUE"""),"ESCARCHA, MA ALMA  ESCOTO")</f>
        <v>ESCARCHA, MA ALMA  ESCOTO</v>
      </c>
      <c r="C516" s="1" t="str">
        <f>IFERROR(__xludf.DUMMYFUNCTION("""COMPUTED_VALUE"""),"ORGANIC")</f>
        <v>ORGANIC</v>
      </c>
      <c r="D516" s="1" t="str">
        <f>IFERROR(__xludf.DUMMYFUNCTION("""COMPUTED_VALUE"""),"REMOLLO LEA")</f>
        <v>REMOLLO LEA</v>
      </c>
      <c r="E516" s="1" t="str">
        <f>IFERROR(__xludf.DUMMYFUNCTION("""COMPUTED_VALUE"""),"RED FIBER")</f>
        <v>RED FIBER</v>
      </c>
      <c r="F516" s="1"/>
      <c r="G516" s="1"/>
      <c r="H516" s="1" t="str">
        <f>IFERROR(__xludf.DUMMYFUNCTION("""COMPUTED_VALUE"""),"ELEN ISOBAL YAMO")</f>
        <v>ELEN ISOBAL YAMO</v>
      </c>
      <c r="I516" s="1">
        <f>IFERROR(__xludf.DUMMYFUNCTION("""COMPUTED_VALUE"""),9287665975)</f>
        <v>9287665975</v>
      </c>
      <c r="J516" s="1"/>
      <c r="K516" s="1" t="str">
        <f>IFERROR(__xludf.DUMMYFUNCTION("""COMPUTED_VALUE"""),"ELLENYAMO663@GMAIL.COM")</f>
        <v>ELLENYAMO663@GMAIL.COM</v>
      </c>
      <c r="L516" s="1" t="str">
        <f>IFERROR(__xludf.DUMMYFUNCTION("""COMPUTED_VALUE"""),"9310")</f>
        <v>9310</v>
      </c>
      <c r="M516" s="1" t="str">
        <f>IFERROR(__xludf.DUMMYFUNCTION("""COMPUTED_VALUE"""),"JP RIZAL")</f>
        <v>JP RIZAL</v>
      </c>
      <c r="N516" s="1"/>
      <c r="O516" s="1" t="str">
        <f>IFERROR(__xludf.DUMMYFUNCTION("""COMPUTED_VALUE"""),"CVTLCP58NAP4")</f>
        <v>CVTLCP58NAP4</v>
      </c>
      <c r="P516" s="1" t="str">
        <f>IFERROR(__xludf.DUMMYFUNCTION("""COMPUTED_VALUE"""),"14.131825 | 120.906815")</f>
        <v>14.131825 | 120.906815</v>
      </c>
      <c r="Q516" s="1" t="str">
        <f>IFERROR(__xludf.DUMMYFUNCTION("""COMPUTED_VALUE"""),"ASIS III")</f>
        <v>ASIS III</v>
      </c>
      <c r="R516" s="1" t="str">
        <f>IFERROR(__xludf.DUMMYFUNCTION("""COMPUTED_VALUE"""),"MENDEZ")</f>
        <v>MENDEZ</v>
      </c>
      <c r="S516" s="1" t="str">
        <f>IFERROR(__xludf.DUMMYFUNCTION("""COMPUTED_VALUE"""),"RED FIBER PLAN 1000")</f>
        <v>RED FIBER PLAN 1000</v>
      </c>
      <c r="T516" s="1" t="str">
        <f>IFERROR(__xludf.DUMMYFUNCTION("""COMPUTED_VALUE"""),"APPROVED")</f>
        <v>APPROVED</v>
      </c>
      <c r="U516" s="1" t="str">
        <f>IFERROR(__xludf.DUMMYFUNCTION("""COMPUTED_VALUE"""),"2/22/2026 MAG BABAYAD")</f>
        <v>2/22/2026 MAG BABAYAD</v>
      </c>
      <c r="V516" s="1"/>
      <c r="W516" s="1"/>
    </row>
    <row r="517" customHeight="1" spans="1:23">
      <c r="A517" s="3">
        <f>IFERROR(__xludf.DUMMYFUNCTION("""COMPUTED_VALUE"""),46073)</f>
        <v>46073</v>
      </c>
      <c r="B517" s="1" t="str">
        <f>IFERROR(__xludf.DUMMYFUNCTION("""COMPUTED_VALUE"""),"ABGAO, LEO TAGANNA")</f>
        <v>ABGAO, LEO TAGANNA</v>
      </c>
      <c r="C517" s="1" t="str">
        <f>IFERROR(__xludf.DUMMYFUNCTION("""COMPUTED_VALUE"""),"ORGANIC")</f>
        <v>ORGANIC</v>
      </c>
      <c r="D517" s="1" t="str">
        <f>IFERROR(__xludf.DUMMYFUNCTION("""COMPUTED_VALUE"""),"ALOS, CHARLS")</f>
        <v>ALOS, CHARLS</v>
      </c>
      <c r="E517" s="1" t="str">
        <f>IFERROR(__xludf.DUMMYFUNCTION("""COMPUTED_VALUE"""),"RED FIBER")</f>
        <v>RED FIBER</v>
      </c>
      <c r="F517" s="1"/>
      <c r="G517" s="1"/>
      <c r="H517" s="1" t="str">
        <f>IFERROR(__xludf.DUMMYFUNCTION("""COMPUTED_VALUE"""),"ERLINDA PEREY GATPANDAN")</f>
        <v>ERLINDA PEREY GATPANDAN</v>
      </c>
      <c r="I517" s="1">
        <f>IFERROR(__xludf.DUMMYFUNCTION("""COMPUTED_VALUE"""),9812279597)</f>
        <v>9812279597</v>
      </c>
      <c r="J517" s="1"/>
      <c r="K517" s="1" t="str">
        <f>IFERROR(__xludf.DUMMYFUNCTION("""COMPUTED_VALUE"""),"LEONARDOGATPANDAN0411@GMAIL.COM")</f>
        <v>LEONARDOGATPANDAN0411@GMAIL.COM</v>
      </c>
      <c r="L517" s="1" t="str">
        <f>IFERROR(__xludf.DUMMYFUNCTION("""COMPUTED_VALUE"""),"372")</f>
        <v>372</v>
      </c>
      <c r="M517" s="1" t="str">
        <f>IFERROR(__xludf.DUMMYFUNCTION("""COMPUTED_VALUE"""),"JP RIZAL")</f>
        <v>JP RIZAL</v>
      </c>
      <c r="N517" s="1"/>
      <c r="O517" s="1" t="str">
        <f>IFERROR(__xludf.DUMMYFUNCTION("""COMPUTED_VALUE"""),"CVTLCP58NAP4")</f>
        <v>CVTLCP58NAP4</v>
      </c>
      <c r="P517" s="1" t="str">
        <f>IFERROR(__xludf.DUMMYFUNCTION("""COMPUTED_VALUE"""),"14.131825 | 120.906815")</f>
        <v>14.131825 | 120.906815</v>
      </c>
      <c r="Q517" s="1" t="str">
        <f>IFERROR(__xludf.DUMMYFUNCTION("""COMPUTED_VALUE"""),"ASIS III")</f>
        <v>ASIS III</v>
      </c>
      <c r="R517" s="1" t="str">
        <f>IFERROR(__xludf.DUMMYFUNCTION("""COMPUTED_VALUE"""),"MENDEZ")</f>
        <v>MENDEZ</v>
      </c>
      <c r="S517" s="1" t="str">
        <f>IFERROR(__xludf.DUMMYFUNCTION("""COMPUTED_VALUE"""),"RED FIBER PLAN 1000")</f>
        <v>RED FIBER PLAN 1000</v>
      </c>
      <c r="T517" s="1" t="str">
        <f>IFERROR(__xludf.DUMMYFUNCTION("""COMPUTED_VALUE"""),"RETURN FOR COMPLIANCE - AGENT")</f>
        <v>RETURN FOR COMPLIANCE - AGENT</v>
      </c>
      <c r="U517" s="1" t="str">
        <f>IFERROR(__xludf.DUMMYFUNCTION("""COMPUTED_VALUE"""),"INCORRECT CBR")</f>
        <v>INCORRECT CBR</v>
      </c>
      <c r="V517" s="1"/>
      <c r="W517" s="1"/>
    </row>
    <row r="518" customHeight="1" spans="1:23">
      <c r="A518" s="3">
        <f>IFERROR(__xludf.DUMMYFUNCTION("""COMPUTED_VALUE"""),46073)</f>
        <v>46073</v>
      </c>
      <c r="B518" s="1" t="str">
        <f>IFERROR(__xludf.DUMMYFUNCTION("""COMPUTED_VALUE"""),"CANTANERO JUNEL")</f>
        <v>CANTANERO JUNEL</v>
      </c>
      <c r="C518" s="1" t="str">
        <f>IFERROR(__xludf.DUMMYFUNCTION("""COMPUTED_VALUE"""),"ORGANIC")</f>
        <v>ORGANIC</v>
      </c>
      <c r="D518" s="1" t="str">
        <f>IFERROR(__xludf.DUMMYFUNCTION("""COMPUTED_VALUE"""),"ALINGARO, CINDY")</f>
        <v>ALINGARO, CINDY</v>
      </c>
      <c r="E518" s="1" t="str">
        <f>IFERROR(__xludf.DUMMYFUNCTION("""COMPUTED_VALUE"""),"PLDT")</f>
        <v>PLDT</v>
      </c>
      <c r="F518" s="1">
        <f>IFERROR(__xludf.DUMMYFUNCTION("""COMPUTED_VALUE"""),2307150731)</f>
        <v>2307150731</v>
      </c>
      <c r="G518" s="1"/>
      <c r="H518" s="1" t="str">
        <f>IFERROR(__xludf.DUMMYFUNCTION("""COMPUTED_VALUE"""),"MA CRISTINA ALIA TUAZON")</f>
        <v>MA CRISTINA ALIA TUAZON</v>
      </c>
      <c r="I518" s="1">
        <f>IFERROR(__xludf.DUMMYFUNCTION("""COMPUTED_VALUE"""),9302665802)</f>
        <v>9302665802</v>
      </c>
      <c r="J518" s="1"/>
      <c r="K518" s="1" t="str">
        <f>IFERROR(__xludf.DUMMYFUNCTION("""COMPUTED_VALUE"""),"MARIACRISTINATUAZON@GMAIL.COM")</f>
        <v>MARIACRISTINATUAZON@GMAIL.COM</v>
      </c>
      <c r="L518" s="1" t="str">
        <f>IFERROR(__xludf.DUMMYFUNCTION("""COMPUTED_VALUE"""),"9018")</f>
        <v>9018</v>
      </c>
      <c r="M518" s="1" t="str">
        <f>IFERROR(__xludf.DUMMYFUNCTION("""COMPUTED_VALUE"""),"HANOPOL")</f>
        <v>HANOPOL</v>
      </c>
      <c r="N518" s="1"/>
      <c r="O518" s="1" t="str">
        <f>IFERROR(__xludf.DUMMYFUNCTION("""COMPUTED_VALUE"""),"SILLP639NP2")</f>
        <v>SILLP639NP2</v>
      </c>
      <c r="P518" s="1" t="str">
        <f>IFERROR(__xludf.DUMMYFUNCTION("""COMPUTED_VALUE"""),"14.3896758 | 121.0066167")</f>
        <v>14.3896758 | 121.0066167</v>
      </c>
      <c r="Q518" s="1" t="str">
        <f>IFERROR(__xludf.DUMMYFUNCTION("""COMPUTED_VALUE"""),"KAONG")</f>
        <v>KAONG</v>
      </c>
      <c r="R518" s="1" t="str">
        <f>IFERROR(__xludf.DUMMYFUNCTION("""COMPUTED_VALUE"""),"SILANG")</f>
        <v>SILANG</v>
      </c>
      <c r="S518" s="1" t="str">
        <f>IFERROR(__xludf.DUMMYFUNCTION("""COMPUTED_VALUE"""),"PREPAID 999")</f>
        <v>PREPAID 999</v>
      </c>
      <c r="T518" s="1" t="str">
        <f>IFERROR(__xludf.DUMMYFUNCTION("""COMPUTED_VALUE"""),"APPROVED")</f>
        <v>APPROVED</v>
      </c>
      <c r="U518" s="1"/>
      <c r="V518" s="1"/>
      <c r="W518" s="1"/>
    </row>
    <row r="519" customHeight="1" spans="1:23">
      <c r="A519" s="3">
        <f>IFERROR(__xludf.DUMMYFUNCTION("""COMPUTED_VALUE"""),46073)</f>
        <v>46073</v>
      </c>
      <c r="B519" s="1" t="str">
        <f>IFERROR(__xludf.DUMMYFUNCTION("""COMPUTED_VALUE"""),"GABAY, MANUEL")</f>
        <v>GABAY, MANUEL</v>
      </c>
      <c r="C519" s="1" t="str">
        <f>IFERROR(__xludf.DUMMYFUNCTION("""COMPUTED_VALUE"""),"FLA")</f>
        <v>FLA</v>
      </c>
      <c r="D519" s="1" t="str">
        <f>IFERROR(__xludf.DUMMYFUNCTION("""COMPUTED_VALUE"""),"JERIC NAVARRO")</f>
        <v>JERIC NAVARRO</v>
      </c>
      <c r="E519" s="1" t="str">
        <f>IFERROR(__xludf.DUMMYFUNCTION("""COMPUTED_VALUE"""),"PLDT")</f>
        <v>PLDT</v>
      </c>
      <c r="F519" s="1">
        <f>IFERROR(__xludf.DUMMYFUNCTION("""COMPUTED_VALUE"""),2307152197)</f>
        <v>2307152197</v>
      </c>
      <c r="G519" s="1"/>
      <c r="H519" s="1" t="str">
        <f>IFERROR(__xludf.DUMMYFUNCTION("""COMPUTED_VALUE"""),"CASELYN PAGUINAWAN DESACOLA")</f>
        <v>CASELYN PAGUINAWAN DESACOLA</v>
      </c>
      <c r="I519" s="1">
        <f>IFERROR(__xludf.DUMMYFUNCTION("""COMPUTED_VALUE"""),9309857796)</f>
        <v>9309857796</v>
      </c>
      <c r="J519" s="1"/>
      <c r="K519" s="1" t="str">
        <f>IFERROR(__xludf.DUMMYFUNCTION("""COMPUTED_VALUE"""),"KITAYLEEPAGLINAWAN56@GMAIL.COM")</f>
        <v>KITAYLEEPAGLINAWAN56@GMAIL.COM</v>
      </c>
      <c r="L519" s="1" t="str">
        <f>IFERROR(__xludf.DUMMYFUNCTION("""COMPUTED_VALUE"""),"170")</f>
        <v>170</v>
      </c>
      <c r="M519" s="1" t="str">
        <f>IFERROR(__xludf.DUMMYFUNCTION("""COMPUTED_VALUE"""),"MUNTING ILOG RD")</f>
        <v>MUNTING ILOG RD</v>
      </c>
      <c r="N519" s="1"/>
      <c r="O519" s="1" t="str">
        <f>IFERROR(__xludf.DUMMYFUNCTION("""COMPUTED_VALUE"""),"SILLP640NP2")</f>
        <v>SILLP640NP2</v>
      </c>
      <c r="P519" s="1" t="str">
        <f>IFERROR(__xludf.DUMMYFUNCTION("""COMPUTED_VALUE"""),"14.218992|120.995542")</f>
        <v>14.218992|120.995542</v>
      </c>
      <c r="Q519" s="1" t="str">
        <f>IFERROR(__xludf.DUMMYFUNCTION("""COMPUTED_VALUE"""),"MUNTING ILOG")</f>
        <v>MUNTING ILOG</v>
      </c>
      <c r="R519" s="1" t="str">
        <f>IFERROR(__xludf.DUMMYFUNCTION("""COMPUTED_VALUE"""),"SILANG")</f>
        <v>SILANG</v>
      </c>
      <c r="S519" s="1" t="str">
        <f>IFERROR(__xludf.DUMMYFUNCTION("""COMPUTED_VALUE"""),"FIBR PLAN 1599")</f>
        <v>FIBR PLAN 1599</v>
      </c>
      <c r="T519" s="1" t="str">
        <f>IFERROR(__xludf.DUMMYFUNCTION("""COMPUTED_VALUE"""),"APPROVED")</f>
        <v>APPROVED</v>
      </c>
      <c r="U519" s="1"/>
      <c r="V519" s="1"/>
      <c r="W519" s="1"/>
    </row>
    <row r="520" customHeight="1" spans="1:23">
      <c r="A520" s="3">
        <f>IFERROR(__xludf.DUMMYFUNCTION("""COMPUTED_VALUE"""),46073)</f>
        <v>46073</v>
      </c>
      <c r="B520" s="1" t="str">
        <f>IFERROR(__xludf.DUMMYFUNCTION("""COMPUTED_VALUE"""),"REMOLLO, LEA")</f>
        <v>REMOLLO, LEA</v>
      </c>
      <c r="C520" s="1" t="str">
        <f>IFERROR(__xludf.DUMMYFUNCTION("""COMPUTED_VALUE"""),"FLA")</f>
        <v>FLA</v>
      </c>
      <c r="D520" s="1" t="str">
        <f>IFERROR(__xludf.DUMMYFUNCTION("""COMPUTED_VALUE"""),"JERIC NAVARRO")</f>
        <v>JERIC NAVARRO</v>
      </c>
      <c r="E520" s="1" t="str">
        <f>IFERROR(__xludf.DUMMYFUNCTION("""COMPUTED_VALUE"""),"PLDT")</f>
        <v>PLDT</v>
      </c>
      <c r="F520" s="1">
        <f>IFERROR(__xludf.DUMMYFUNCTION("""COMPUTED_VALUE"""),2307152952)</f>
        <v>2307152952</v>
      </c>
      <c r="G520" s="1"/>
      <c r="H520" s="1" t="str">
        <f>IFERROR(__xludf.DUMMYFUNCTION("""COMPUTED_VALUE"""),"ROSY CANICULA MALINGE")</f>
        <v>ROSY CANICULA MALINGE</v>
      </c>
      <c r="I520" s="1">
        <f>IFERROR(__xludf.DUMMYFUNCTION("""COMPUTED_VALUE"""),9678040211)</f>
        <v>9678040211</v>
      </c>
      <c r="J520" s="1"/>
      <c r="K520" s="1" t="str">
        <f>IFERROR(__xludf.DUMMYFUNCTION("""COMPUTED_VALUE"""),"PAPANATO1970@GMAIL.COM")</f>
        <v>PAPANATO1970@GMAIL.COM</v>
      </c>
      <c r="L520" s="1" t="str">
        <f>IFERROR(__xludf.DUMMYFUNCTION("""COMPUTED_VALUE"""),"215")</f>
        <v>215</v>
      </c>
      <c r="M520" s="1" t="str">
        <f>IFERROR(__xludf.DUMMYFUNCTION("""COMPUTED_VALUE"""),"BLISS")</f>
        <v>BLISS</v>
      </c>
      <c r="N520" s="1"/>
      <c r="O520" s="1" t="str">
        <f>IFERROR(__xludf.DUMMYFUNCTION("""COMPUTED_VALUE"""),"SILLP14NP5")</f>
        <v>SILLP14NP5</v>
      </c>
      <c r="P520" s="1" t="str">
        <f>IFERROR(__xludf.DUMMYFUNCTION("""COMPUTED_VALUE"""),"14.261555|120.971945")</f>
        <v>14.261555|120.971945</v>
      </c>
      <c r="Q520" s="1" t="str">
        <f>IFERROR(__xludf.DUMMYFUNCTION("""COMPUTED_VALUE"""),"BIGA II")</f>
        <v>BIGA II</v>
      </c>
      <c r="R520" s="1" t="str">
        <f>IFERROR(__xludf.DUMMYFUNCTION("""COMPUTED_VALUE"""),"SILANG")</f>
        <v>SILANG</v>
      </c>
      <c r="S520" s="1" t="str">
        <f>IFERROR(__xludf.DUMMYFUNCTION("""COMPUTED_VALUE"""),"FIBR PLAN 1399")</f>
        <v>FIBR PLAN 1399</v>
      </c>
      <c r="T520" s="1" t="str">
        <f>IFERROR(__xludf.DUMMYFUNCTION("""COMPUTED_VALUE"""),"APPROVED")</f>
        <v>APPROVED</v>
      </c>
      <c r="U520" s="1"/>
      <c r="V520" s="1"/>
      <c r="W520" s="1"/>
    </row>
    <row r="521" customHeight="1" spans="1:23">
      <c r="A521" s="3">
        <f>IFERROR(__xludf.DUMMYFUNCTION("""COMPUTED_VALUE"""),46073)</f>
        <v>46073</v>
      </c>
      <c r="B521" s="1" t="str">
        <f>IFERROR(__xludf.DUMMYFUNCTION("""COMPUTED_VALUE"""),"AYON MANUEL")</f>
        <v>AYON MANUEL</v>
      </c>
      <c r="C521" s="1" t="str">
        <f>IFERROR(__xludf.DUMMYFUNCTION("""COMPUTED_VALUE"""),"FLA")</f>
        <v>FLA</v>
      </c>
      <c r="D521" s="1" t="str">
        <f>IFERROR(__xludf.DUMMYFUNCTION("""COMPUTED_VALUE"""),"JERIC NAVARRO")</f>
        <v>JERIC NAVARRO</v>
      </c>
      <c r="E521" s="1" t="str">
        <f>IFERROR(__xludf.DUMMYFUNCTION("""COMPUTED_VALUE"""),"PLDT")</f>
        <v>PLDT</v>
      </c>
      <c r="F521" s="1">
        <f>IFERROR(__xludf.DUMMYFUNCTION("""COMPUTED_VALUE"""),2307153461)</f>
        <v>2307153461</v>
      </c>
      <c r="G521" s="1"/>
      <c r="H521" s="1" t="str">
        <f>IFERROR(__xludf.DUMMYFUNCTION("""COMPUTED_VALUE"""),"JENNIFER GARCIA WANDAGA")</f>
        <v>JENNIFER GARCIA WANDAGA</v>
      </c>
      <c r="I521" s="1">
        <f>IFERROR(__xludf.DUMMYFUNCTION("""COMPUTED_VALUE"""),9915317033)</f>
        <v>9915317033</v>
      </c>
      <c r="J521" s="1">
        <f>IFERROR(__xludf.DUMMYFUNCTION("""COMPUTED_VALUE"""),9559919507)</f>
        <v>9559919507</v>
      </c>
      <c r="K521" s="1"/>
      <c r="L521" s="1" t="str">
        <f>IFERROR(__xludf.DUMMYFUNCTION("""COMPUTED_VALUE"""),"9573")</f>
        <v>9573</v>
      </c>
      <c r="M521" s="1" t="str">
        <f>IFERROR(__xludf.DUMMYFUNCTION("""COMPUTED_VALUE"""),"SITIO PANTAY")</f>
        <v>SITIO PANTAY</v>
      </c>
      <c r="N521" s="1"/>
      <c r="O521" s="1" t="str">
        <f>IFERROR(__xludf.DUMMYFUNCTION("""COMPUTED_VALUE"""),"SILLP639NP5")</f>
        <v>SILLP639NP5</v>
      </c>
      <c r="P521" s="1" t="str">
        <f>IFERROR(__xludf.DUMMYFUNCTION("""COMPUTED_VALUE"""),"14.255854 121.004419")</f>
        <v>14.255854 121.004419</v>
      </c>
      <c r="Q521" s="1" t="str">
        <f>IFERROR(__xludf.DUMMYFUNCTION("""COMPUTED_VALUE"""),"MAGUYAM")</f>
        <v>MAGUYAM</v>
      </c>
      <c r="R521" s="1" t="str">
        <f>IFERROR(__xludf.DUMMYFUNCTION("""COMPUTED_VALUE"""),"SILANG")</f>
        <v>SILANG</v>
      </c>
      <c r="S521" s="1" t="str">
        <f>IFERROR(__xludf.DUMMYFUNCTION("""COMPUTED_VALUE"""),"FIBR PLAN 1399")</f>
        <v>FIBR PLAN 1399</v>
      </c>
      <c r="T521" s="1" t="str">
        <f>IFERROR(__xludf.DUMMYFUNCTION("""COMPUTED_VALUE"""),"APPROVED")</f>
        <v>APPROVED</v>
      </c>
      <c r="U521" s="1"/>
      <c r="V521" s="1"/>
      <c r="W521" s="1"/>
    </row>
    <row r="522" customHeight="1" spans="1:23">
      <c r="A522" s="3">
        <f>IFERROR(__xludf.DUMMYFUNCTION("""COMPUTED_VALUE"""),46073)</f>
        <v>46073</v>
      </c>
      <c r="B522" s="1" t="str">
        <f>IFERROR(__xludf.DUMMYFUNCTION("""COMPUTED_VALUE"""),"REMOLLO, LEA")</f>
        <v>REMOLLO, LEA</v>
      </c>
      <c r="C522" s="1" t="str">
        <f>IFERROR(__xludf.DUMMYFUNCTION("""COMPUTED_VALUE"""),"FLA")</f>
        <v>FLA</v>
      </c>
      <c r="D522" s="1" t="str">
        <f>IFERROR(__xludf.DUMMYFUNCTION("""COMPUTED_VALUE"""),"JERIC NAVARRO")</f>
        <v>JERIC NAVARRO</v>
      </c>
      <c r="E522" s="1" t="str">
        <f>IFERROR(__xludf.DUMMYFUNCTION("""COMPUTED_VALUE"""),"PLDT")</f>
        <v>PLDT</v>
      </c>
      <c r="F522" s="1">
        <f>IFERROR(__xludf.DUMMYFUNCTION("""COMPUTED_VALUE"""),2307155288)</f>
        <v>2307155288</v>
      </c>
      <c r="G522" s="1"/>
      <c r="H522" s="1" t="str">
        <f>IFERROR(__xludf.DUMMYFUNCTION("""COMPUTED_VALUE"""),"REYNALDO MALINGI ARCILLAS")</f>
        <v>REYNALDO MALINGI ARCILLAS</v>
      </c>
      <c r="I522" s="1">
        <f>IFERROR(__xludf.DUMMYFUNCTION("""COMPUTED_VALUE"""),9458874651)</f>
        <v>9458874651</v>
      </c>
      <c r="J522" s="1"/>
      <c r="K522" s="1" t="str">
        <f>IFERROR(__xludf.DUMMYFUNCTION("""COMPUTED_VALUE"""),"ARCILLASROSUALDA5@GMAIL.COM")</f>
        <v>ARCILLASROSUALDA5@GMAIL.COM</v>
      </c>
      <c r="L522" s="1" t="str">
        <f>IFERROR(__xludf.DUMMYFUNCTION("""COMPUTED_VALUE"""),"216")</f>
        <v>216</v>
      </c>
      <c r="M522" s="1" t="str">
        <f>IFERROR(__xludf.DUMMYFUNCTION("""COMPUTED_VALUE"""),"PUROK 6")</f>
        <v>PUROK 6</v>
      </c>
      <c r="N522" s="1"/>
      <c r="O522" s="1" t="str">
        <f>IFERROR(__xludf.DUMMYFUNCTION("""COMPUTED_VALUE"""),"SILLP14NP3/4/5")</f>
        <v>SILLP14NP3/4/5</v>
      </c>
      <c r="P522" s="1" t="str">
        <f>IFERROR(__xludf.DUMMYFUNCTION("""COMPUTED_VALUE"""),"14.2601301|120.972067")</f>
        <v>14.2601301|120.972067</v>
      </c>
      <c r="Q522" s="1" t="str">
        <f>IFERROR(__xludf.DUMMYFUNCTION("""COMPUTED_VALUE"""),"BIGA II")</f>
        <v>BIGA II</v>
      </c>
      <c r="R522" s="1" t="str">
        <f>IFERROR(__xludf.DUMMYFUNCTION("""COMPUTED_VALUE"""),"SILANG")</f>
        <v>SILANG</v>
      </c>
      <c r="S522" s="1" t="str">
        <f>IFERROR(__xludf.DUMMYFUNCTION("""COMPUTED_VALUE"""),"FIBR PLAN 1399")</f>
        <v>FIBR PLAN 1399</v>
      </c>
      <c r="T522" s="1" t="str">
        <f>IFERROR(__xludf.DUMMYFUNCTION("""COMPUTED_VALUE"""),"APPROVED")</f>
        <v>APPROVED</v>
      </c>
      <c r="U522" s="1"/>
      <c r="V522" s="1"/>
      <c r="W522" s="1"/>
    </row>
    <row r="523" customHeight="1" spans="1:23">
      <c r="A523" s="3">
        <f>IFERROR(__xludf.DUMMYFUNCTION("""COMPUTED_VALUE"""),46073)</f>
        <v>46073</v>
      </c>
      <c r="B523" s="1" t="str">
        <f>IFERROR(__xludf.DUMMYFUNCTION("""COMPUTED_VALUE"""),"GABAY, MANUEL")</f>
        <v>GABAY, MANUEL</v>
      </c>
      <c r="C523" s="1" t="str">
        <f>IFERROR(__xludf.DUMMYFUNCTION("""COMPUTED_VALUE"""),"FLA")</f>
        <v>FLA</v>
      </c>
      <c r="D523" s="1" t="str">
        <f>IFERROR(__xludf.DUMMYFUNCTION("""COMPUTED_VALUE"""),"JERIC NAVARRO")</f>
        <v>JERIC NAVARRO</v>
      </c>
      <c r="E523" s="1" t="str">
        <f>IFERROR(__xludf.DUMMYFUNCTION("""COMPUTED_VALUE"""),"PLDT")</f>
        <v>PLDT</v>
      </c>
      <c r="F523" s="1">
        <f>IFERROR(__xludf.DUMMYFUNCTION("""COMPUTED_VALUE"""),2307155309)</f>
        <v>2307155309</v>
      </c>
      <c r="G523" s="1"/>
      <c r="H523" s="1" t="str">
        <f>IFERROR(__xludf.DUMMYFUNCTION("""COMPUTED_VALUE"""),"GLORIA ENRIQUEZ AMON")</f>
        <v>GLORIA ENRIQUEZ AMON</v>
      </c>
      <c r="I523" s="1">
        <f>IFERROR(__xludf.DUMMYFUNCTION("""COMPUTED_VALUE"""),9685556400)</f>
        <v>9685556400</v>
      </c>
      <c r="J523" s="1"/>
      <c r="K523" s="1" t="str">
        <f>IFERROR(__xludf.DUMMYFUNCTION("""COMPUTED_VALUE"""),"GLORIAENRIQUEZAMON@GMAIL.COM")</f>
        <v>GLORIAENRIQUEZAMON@GMAIL.COM</v>
      </c>
      <c r="L523" s="1" t="str">
        <f>IFERROR(__xludf.DUMMYFUNCTION("""COMPUTED_VALUE"""),"202")</f>
        <v>202</v>
      </c>
      <c r="M523" s="1" t="str">
        <f>IFERROR(__xludf.DUMMYFUNCTION("""COMPUTED_VALUE"""),"SITIO POOK MUNTI")</f>
        <v>SITIO POOK MUNTI</v>
      </c>
      <c r="N523" s="1"/>
      <c r="O523" s="1" t="str">
        <f>IFERROR(__xludf.DUMMYFUNCTION("""COMPUTED_VALUE"""),"SILLP639NP3/2/1")</f>
        <v>SILLP639NP3/2/1</v>
      </c>
      <c r="P523" s="1" t="str">
        <f>IFERROR(__xludf.DUMMYFUNCTION("""COMPUTED_VALUE"""),"14.245080 |120.999940")</f>
        <v>14.245080 |120.999940</v>
      </c>
      <c r="Q523" s="1" t="str">
        <f>IFERROR(__xludf.DUMMYFUNCTION("""COMPUTED_VALUE"""),"KAONG")</f>
        <v>KAONG</v>
      </c>
      <c r="R523" s="1" t="str">
        <f>IFERROR(__xludf.DUMMYFUNCTION("""COMPUTED_VALUE"""),"SILANG")</f>
        <v>SILANG</v>
      </c>
      <c r="S523" s="1" t="str">
        <f>IFERROR(__xludf.DUMMYFUNCTION("""COMPUTED_VALUE"""),"FIBR PLAN 1399")</f>
        <v>FIBR PLAN 1399</v>
      </c>
      <c r="T523" s="1" t="str">
        <f>IFERROR(__xludf.DUMMYFUNCTION("""COMPUTED_VALUE"""),"APPROVED")</f>
        <v>APPROVED</v>
      </c>
      <c r="U523" s="1"/>
      <c r="V523" s="1"/>
      <c r="W523" s="1"/>
    </row>
    <row r="524" customHeight="1" spans="1:23">
      <c r="A524" s="3">
        <f>IFERROR(__xludf.DUMMYFUNCTION("""COMPUTED_VALUE"""),46074)</f>
        <v>46074</v>
      </c>
      <c r="B524" s="1" t="str">
        <f>IFERROR(__xludf.DUMMYFUNCTION("""COMPUTED_VALUE"""),"DE LEON, MERLY")</f>
        <v>DE LEON, MERLY</v>
      </c>
      <c r="C524" s="1" t="str">
        <f>IFERROR(__xludf.DUMMYFUNCTION("""COMPUTED_VALUE"""),"ORGANIC")</f>
        <v>ORGANIC</v>
      </c>
      <c r="D524" s="1" t="str">
        <f>IFERROR(__xludf.DUMMYFUNCTION("""COMPUTED_VALUE"""),"REMOLLO LEA")</f>
        <v>REMOLLO LEA</v>
      </c>
      <c r="E524" s="1" t="str">
        <f>IFERROR(__xludf.DUMMYFUNCTION("""COMPUTED_VALUE"""),"PLDT")</f>
        <v>PLDT</v>
      </c>
      <c r="F524" s="1">
        <f>IFERROR(__xludf.DUMMYFUNCTION("""COMPUTED_VALUE"""),2307172113)</f>
        <v>2307172113</v>
      </c>
      <c r="G524" s="1"/>
      <c r="H524" s="1" t="str">
        <f>IFERROR(__xludf.DUMMYFUNCTION("""COMPUTED_VALUE"""),"CLAUDINE GUEVARA POBLETE")</f>
        <v>CLAUDINE GUEVARA POBLETE</v>
      </c>
      <c r="I524" s="1">
        <f>IFERROR(__xludf.DUMMYFUNCTION("""COMPUTED_VALUE"""),9692253192)</f>
        <v>9692253192</v>
      </c>
      <c r="J524" s="1">
        <f>IFERROR(__xludf.DUMMYFUNCTION("""COMPUTED_VALUE"""),9672495762)</f>
        <v>9672495762</v>
      </c>
      <c r="K524" s="1" t="str">
        <f>IFERROR(__xludf.DUMMYFUNCTION("""COMPUTED_VALUE"""),"CLAUDINEPOBLETE26@GMAIL.COM")</f>
        <v>CLAUDINEPOBLETE26@GMAIL.COM</v>
      </c>
      <c r="L524" s="1" t="str">
        <f>IFERROR(__xludf.DUMMYFUNCTION("""COMPUTED_VALUE"""),"357")</f>
        <v>357</v>
      </c>
      <c r="M524" s="1" t="str">
        <f>IFERROR(__xludf.DUMMYFUNCTION("""COMPUTED_VALUE"""),"MUNTING ILOG RD")</f>
        <v>MUNTING ILOG RD</v>
      </c>
      <c r="N524" s="1"/>
      <c r="O524" s="1" t="str">
        <f>IFERROR(__xludf.DUMMYFUNCTION("""COMPUTED_VALUE"""),"SILLP641NP2")</f>
        <v>SILLP641NP2</v>
      </c>
      <c r="P524" s="1"/>
      <c r="Q524" s="1" t="str">
        <f>IFERROR(__xludf.DUMMYFUNCTION("""COMPUTED_VALUE"""),"MUNTING ILOG")</f>
        <v>MUNTING ILOG</v>
      </c>
      <c r="R524" s="1" t="str">
        <f>IFERROR(__xludf.DUMMYFUNCTION("""COMPUTED_VALUE"""),"SILANG")</f>
        <v>SILANG</v>
      </c>
      <c r="S524" s="1" t="str">
        <f>IFERROR(__xludf.DUMMYFUNCTION("""COMPUTED_VALUE"""),"FIBR PLAN 1399")</f>
        <v>FIBR PLAN 1399</v>
      </c>
      <c r="T524" s="1" t="str">
        <f>IFERROR(__xludf.DUMMYFUNCTION("""COMPUTED_VALUE"""),"APPROVED")</f>
        <v>APPROVED</v>
      </c>
      <c r="U524" s="1"/>
      <c r="V524" s="1"/>
      <c r="W524" s="1"/>
    </row>
    <row r="525" customHeight="1" spans="1:23">
      <c r="A525" s="3">
        <f>IFERROR(__xludf.DUMMYFUNCTION("""COMPUTED_VALUE"""),46074)</f>
        <v>46074</v>
      </c>
      <c r="B525" s="1" t="str">
        <f>IFERROR(__xludf.DUMMYFUNCTION("""COMPUTED_VALUE"""),"FRANCISCO , ROSELYN")</f>
        <v>FRANCISCO , ROSELYN</v>
      </c>
      <c r="C525" s="1" t="str">
        <f>IFERROR(__xludf.DUMMYFUNCTION("""COMPUTED_VALUE"""),"FLA")</f>
        <v>FLA</v>
      </c>
      <c r="D525" s="1" t="str">
        <f>IFERROR(__xludf.DUMMYFUNCTION("""COMPUTED_VALUE"""),"JERIC NAVARRO")</f>
        <v>JERIC NAVARRO</v>
      </c>
      <c r="E525" s="1" t="str">
        <f>IFERROR(__xludf.DUMMYFUNCTION("""COMPUTED_VALUE"""),"PLDT")</f>
        <v>PLDT</v>
      </c>
      <c r="F525" s="1">
        <f>IFERROR(__xludf.DUMMYFUNCTION("""COMPUTED_VALUE"""),2307167256)</f>
        <v>2307167256</v>
      </c>
      <c r="G525" s="1"/>
      <c r="H525" s="1" t="str">
        <f>IFERROR(__xludf.DUMMYFUNCTION("""COMPUTED_VALUE"""),"ANGELICA CRUZ ODI")</f>
        <v>ANGELICA CRUZ ODI</v>
      </c>
      <c r="I525" s="1">
        <f>IFERROR(__xludf.DUMMYFUNCTION("""COMPUTED_VALUE"""),9637768300)</f>
        <v>9637768300</v>
      </c>
      <c r="J525" s="1">
        <f>IFERROR(__xludf.DUMMYFUNCTION("""COMPUTED_VALUE"""),9283701246)</f>
        <v>9283701246</v>
      </c>
      <c r="K525" s="1" t="str">
        <f>IFERROR(__xludf.DUMMYFUNCTION("""COMPUTED_VALUE"""),"ANGELICA.ODI0406@GMAIL.COM")</f>
        <v>ANGELICA.ODI0406@GMAIL.COM</v>
      </c>
      <c r="L525" s="1" t="str">
        <f>IFERROR(__xludf.DUMMYFUNCTION("""COMPUTED_VALUE"""),"BLK 7 LOT 81")</f>
        <v>BLK 7 LOT 81</v>
      </c>
      <c r="M525" s="1" t="str">
        <f>IFERROR(__xludf.DUMMYFUNCTION("""COMPUTED_VALUE"""),"SIBUYAN")</f>
        <v>SIBUYAN</v>
      </c>
      <c r="N525" s="1" t="str">
        <f>IFERROR(__xludf.DUMMYFUNCTION("""COMPUTED_VALUE"""),"ENCALVE")</f>
        <v>ENCALVE</v>
      </c>
      <c r="O525" s="1" t="str">
        <f>IFERROR(__xludf.DUMMYFUNCTION("""COMPUTED_VALUE"""),"DASLP345NP8")</f>
        <v>DASLP345NP8</v>
      </c>
      <c r="P525" s="1" t="str">
        <f>IFERROR(__xludf.DUMMYFUNCTION("""COMPUTED_VALUE"""),"14.2853485 | 120.9864211")</f>
        <v>14.2853485 | 120.9864211</v>
      </c>
      <c r="Q525" s="1" t="str">
        <f>IFERROR(__xludf.DUMMYFUNCTION("""COMPUTED_VALUE"""),"PALIPARAN I")</f>
        <v>PALIPARAN I</v>
      </c>
      <c r="R525" s="1" t="str">
        <f>IFERROR(__xludf.DUMMYFUNCTION("""COMPUTED_VALUE"""),"DASMARINAS")</f>
        <v>DASMARINAS</v>
      </c>
      <c r="S525" s="1" t="str">
        <f>IFERROR(__xludf.DUMMYFUNCTION("""COMPUTED_VALUE"""),"FIBR PLAN 1399")</f>
        <v>FIBR PLAN 1399</v>
      </c>
      <c r="T525" s="1" t="str">
        <f>IFERROR(__xludf.DUMMYFUNCTION("""COMPUTED_VALUE"""),"APPROVED")</f>
        <v>APPROVED</v>
      </c>
      <c r="U525" s="1"/>
      <c r="V525" s="1"/>
      <c r="W525" s="1"/>
    </row>
    <row r="526" customHeight="1" spans="1:23">
      <c r="A526" s="3">
        <f>IFERROR(__xludf.DUMMYFUNCTION("""COMPUTED_VALUE"""),46074)</f>
        <v>46074</v>
      </c>
      <c r="B526" s="1" t="str">
        <f>IFERROR(__xludf.DUMMYFUNCTION("""COMPUTED_VALUE"""),"DE VERA, MARIVIC")</f>
        <v>DE VERA, MARIVIC</v>
      </c>
      <c r="C526" s="1" t="str">
        <f>IFERROR(__xludf.DUMMYFUNCTION("""COMPUTED_VALUE"""),"ORGANIC")</f>
        <v>ORGANIC</v>
      </c>
      <c r="D526" s="1" t="str">
        <f>IFERROR(__xludf.DUMMYFUNCTION("""COMPUTED_VALUE"""),"REMOLLO LEA")</f>
        <v>REMOLLO LEA</v>
      </c>
      <c r="E526" s="1" t="str">
        <f>IFERROR(__xludf.DUMMYFUNCTION("""COMPUTED_VALUE"""),"PLDT")</f>
        <v>PLDT</v>
      </c>
      <c r="F526" s="1">
        <f>IFERROR(__xludf.DUMMYFUNCTION("""COMPUTED_VALUE"""),2307171368)</f>
        <v>2307171368</v>
      </c>
      <c r="G526" s="1"/>
      <c r="H526" s="1" t="str">
        <f>IFERROR(__xludf.DUMMYFUNCTION("""COMPUTED_VALUE"""),"MIGUELITO SUMADSAD AMON")</f>
        <v>MIGUELITO SUMADSAD AMON</v>
      </c>
      <c r="I526" s="1">
        <f>IFERROR(__xludf.DUMMYFUNCTION("""COMPUTED_VALUE"""),9367722900)</f>
        <v>9367722900</v>
      </c>
      <c r="J526" s="1">
        <f>IFERROR(__xludf.DUMMYFUNCTION("""COMPUTED_VALUE"""),9943345442)</f>
        <v>9943345442</v>
      </c>
      <c r="K526" s="1" t="str">
        <f>IFERROR(__xludf.DUMMYFUNCTION("""COMPUTED_VALUE"""),"MIGS.AMON@GMAIL.COM")</f>
        <v>MIGS.AMON@GMAIL.COM</v>
      </c>
      <c r="L526" s="1" t="str">
        <f>IFERROR(__xludf.DUMMYFUNCTION("""COMPUTED_VALUE"""),"213")</f>
        <v>213</v>
      </c>
      <c r="M526" s="1" t="str">
        <f>IFERROR(__xludf.DUMMYFUNCTION("""COMPUTED_VALUE"""),"KARSADAHAN")</f>
        <v>KARSADAHAN</v>
      </c>
      <c r="N526" s="1"/>
      <c r="O526" s="1" t="str">
        <f>IFERROR(__xludf.DUMMYFUNCTION("""COMPUTED_VALUE"""),"SILLP569NP6/7/8 SILLP589NP4")</f>
        <v>SILLP569NP6/7/8 SILLP589NP4</v>
      </c>
      <c r="P526" s="1" t="str">
        <f>IFERROR(__xludf.DUMMYFUNCTION("""COMPUTED_VALUE"""),"14.244592 120.996872")</f>
        <v>14.244592 120.996872</v>
      </c>
      <c r="Q526" s="1" t="str">
        <f>IFERROR(__xludf.DUMMYFUNCTION("""COMPUTED_VALUE"""),"KAONG")</f>
        <v>KAONG</v>
      </c>
      <c r="R526" s="1" t="str">
        <f>IFERROR(__xludf.DUMMYFUNCTION("""COMPUTED_VALUE"""),"SILANG")</f>
        <v>SILANG</v>
      </c>
      <c r="S526" s="1" t="str">
        <f>IFERROR(__xludf.DUMMYFUNCTION("""COMPUTED_VALUE"""),"FIBR PLAN 1399")</f>
        <v>FIBR PLAN 1399</v>
      </c>
      <c r="T526" s="1" t="str">
        <f>IFERROR(__xludf.DUMMYFUNCTION("""COMPUTED_VALUE"""),"APPROVED")</f>
        <v>APPROVED</v>
      </c>
      <c r="U526" s="1"/>
      <c r="V526" s="1"/>
      <c r="W526" s="1"/>
    </row>
    <row r="527" customHeight="1" spans="1:23">
      <c r="A527" s="3">
        <f>IFERROR(__xludf.DUMMYFUNCTION("""COMPUTED_VALUE"""),46074)</f>
        <v>46074</v>
      </c>
      <c r="B527" s="1" t="str">
        <f>IFERROR(__xludf.DUMMYFUNCTION("""COMPUTED_VALUE"""),"NAVARRO, JERIC")</f>
        <v>NAVARRO, JERIC</v>
      </c>
      <c r="C527" s="1" t="str">
        <f>IFERROR(__xludf.DUMMYFUNCTION("""COMPUTED_VALUE"""),"FLA")</f>
        <v>FLA</v>
      </c>
      <c r="D527" s="1" t="str">
        <f>IFERROR(__xludf.DUMMYFUNCTION("""COMPUTED_VALUE"""),"JERIC NAVARRO")</f>
        <v>JERIC NAVARRO</v>
      </c>
      <c r="E527" s="1" t="str">
        <f>IFERROR(__xludf.DUMMYFUNCTION("""COMPUTED_VALUE"""),"RED FIBER")</f>
        <v>RED FIBER</v>
      </c>
      <c r="F527" s="1"/>
      <c r="G527" s="1"/>
      <c r="H527" s="1" t="str">
        <f>IFERROR(__xludf.DUMMYFUNCTION("""COMPUTED_VALUE"""),"MISCHELLE MARIGMEN LUTAP")</f>
        <v>MISCHELLE MARIGMEN LUTAP</v>
      </c>
      <c r="I527" s="1">
        <f>IFERROR(__xludf.DUMMYFUNCTION("""COMPUTED_VALUE"""),9082060297)</f>
        <v>9082060297</v>
      </c>
      <c r="J527" s="1">
        <f>IFERROR(__xludf.DUMMYFUNCTION("""COMPUTED_VALUE"""),9673684116)</f>
        <v>9673684116</v>
      </c>
      <c r="K527" s="1" t="str">
        <f>IFERROR(__xludf.DUMMYFUNCTION("""COMPUTED_VALUE"""),"MISCHO0727@GMAIL.COM")</f>
        <v>MISCHO0727@GMAIL.COM</v>
      </c>
      <c r="L527" s="1" t="str">
        <f>IFERROR(__xludf.DUMMYFUNCTION("""COMPUTED_VALUE"""),"2605")</f>
        <v>2605</v>
      </c>
      <c r="M527" s="1" t="str">
        <f>IFERROR(__xludf.DUMMYFUNCTION("""COMPUTED_VALUE"""),"NATIONAL HIGHWAY")</f>
        <v>NATIONAL HIGHWAY</v>
      </c>
      <c r="N527" s="1"/>
      <c r="O527" s="1"/>
      <c r="P527" s="1"/>
      <c r="Q527" s="1"/>
      <c r="R527" s="1"/>
      <c r="S527" s="1" t="str">
        <f>IFERROR(__xludf.DUMMYFUNCTION("""COMPUTED_VALUE"""),"RED FIBER PLAN 1000")</f>
        <v>RED FIBER PLAN 1000</v>
      </c>
      <c r="T527" s="1" t="str">
        <f>IFERROR(__xludf.DUMMYFUNCTION("""COMPUTED_VALUE"""),"APPROVED")</f>
        <v>APPROVED</v>
      </c>
      <c r="U527" s="1"/>
      <c r="V527" s="1"/>
      <c r="W527" s="1"/>
    </row>
    <row r="528" customHeight="1" spans="1:23">
      <c r="A528" s="3">
        <f>IFERROR(__xludf.DUMMYFUNCTION("""COMPUTED_VALUE"""),46074)</f>
        <v>46074</v>
      </c>
      <c r="B528" s="1" t="str">
        <f>IFERROR(__xludf.DUMMYFUNCTION("""COMPUTED_VALUE"""),"ALINGARO, CINDY")</f>
        <v>ALINGARO, CINDY</v>
      </c>
      <c r="C528" s="1" t="str">
        <f>IFERROR(__xludf.DUMMYFUNCTION("""COMPUTED_VALUE"""),"FLA")</f>
        <v>FLA</v>
      </c>
      <c r="D528" s="1" t="str">
        <f>IFERROR(__xludf.DUMMYFUNCTION("""COMPUTED_VALUE"""),"JERIC NAVARRO")</f>
        <v>JERIC NAVARRO</v>
      </c>
      <c r="E528" s="1" t="str">
        <f>IFERROR(__xludf.DUMMYFUNCTION("""COMPUTED_VALUE"""),"PLDT")</f>
        <v>PLDT</v>
      </c>
      <c r="F528" s="1">
        <f>IFERROR(__xludf.DUMMYFUNCTION("""COMPUTED_VALUE"""),2307173866)</f>
        <v>2307173866</v>
      </c>
      <c r="G528" s="1"/>
      <c r="H528" s="1" t="str">
        <f>IFERROR(__xludf.DUMMYFUNCTION("""COMPUTED_VALUE"""),"JORGE ANGELO MENDOZA PANGALINAN")</f>
        <v>JORGE ANGELO MENDOZA PANGALINAN</v>
      </c>
      <c r="I528" s="1">
        <f>IFERROR(__xludf.DUMMYFUNCTION("""COMPUTED_VALUE"""),9765417686)</f>
        <v>9765417686</v>
      </c>
      <c r="J528" s="1">
        <f>IFERROR(__xludf.DUMMYFUNCTION("""COMPUTED_VALUE"""),9955110268)</f>
        <v>9955110268</v>
      </c>
      <c r="K528" s="1" t="str">
        <f>IFERROR(__xludf.DUMMYFUNCTION("""COMPUTED_VALUE"""),"JORGEANGELICOPANGANIBAN@GMAIL.COM")</f>
        <v>JORGEANGELICOPANGANIBAN@GMAIL.COM</v>
      </c>
      <c r="L528" s="1" t="str">
        <f>IFERROR(__xludf.DUMMYFUNCTION("""COMPUTED_VALUE"""),"228")</f>
        <v>228</v>
      </c>
      <c r="M528" s="1" t="str">
        <f>IFERROR(__xludf.DUMMYFUNCTION("""COMPUTED_VALUE"""),"PUROK 3")</f>
        <v>PUROK 3</v>
      </c>
      <c r="N528" s="1"/>
      <c r="O528" s="1" t="str">
        <f>IFERROR(__xludf.DUMMYFUNCTION("""COMPUTED_VALUE"""),"SILLP640NP3")</f>
        <v>SILLP640NP3</v>
      </c>
      <c r="P528" s="1"/>
      <c r="Q528" s="1" t="str">
        <f>IFERROR(__xludf.DUMMYFUNCTION("""COMPUTED_VALUE"""),"MUNTING ILOG")</f>
        <v>MUNTING ILOG</v>
      </c>
      <c r="R528" s="1" t="str">
        <f>IFERROR(__xludf.DUMMYFUNCTION("""COMPUTED_VALUE"""),"SILANG")</f>
        <v>SILANG</v>
      </c>
      <c r="S528" s="1" t="str">
        <f>IFERROR(__xludf.DUMMYFUNCTION("""COMPUTED_VALUE"""),"FIBR PLAN 2499")</f>
        <v>FIBR PLAN 2499</v>
      </c>
      <c r="T528" s="1" t="str">
        <f>IFERROR(__xludf.DUMMYFUNCTION("""COMPUTED_VALUE"""),"APPROVED")</f>
        <v>APPROVED</v>
      </c>
      <c r="U528" s="1"/>
      <c r="V528" s="1"/>
      <c r="W528" s="1"/>
    </row>
    <row r="529" customHeight="1" spans="1:23">
      <c r="A529" s="3">
        <f>IFERROR(__xludf.DUMMYFUNCTION("""COMPUTED_VALUE"""),46074)</f>
        <v>46074</v>
      </c>
      <c r="B529" s="1" t="str">
        <f>IFERROR(__xludf.DUMMYFUNCTION("""COMPUTED_VALUE"""),"CANTANERO JUNEL")</f>
        <v>CANTANERO JUNEL</v>
      </c>
      <c r="C529" s="1" t="str">
        <f>IFERROR(__xludf.DUMMYFUNCTION("""COMPUTED_VALUE"""),"ORGANIC")</f>
        <v>ORGANIC</v>
      </c>
      <c r="D529" s="1" t="str">
        <f>IFERROR(__xludf.DUMMYFUNCTION("""COMPUTED_VALUE"""),"REMOLLO LEA")</f>
        <v>REMOLLO LEA</v>
      </c>
      <c r="E529" s="1" t="str">
        <f>IFERROR(__xludf.DUMMYFUNCTION("""COMPUTED_VALUE"""),"PLDT")</f>
        <v>PLDT</v>
      </c>
      <c r="F529" s="1">
        <f>IFERROR(__xludf.DUMMYFUNCTION("""COMPUTED_VALUE"""),2307173560)</f>
        <v>2307173560</v>
      </c>
      <c r="G529" s="1"/>
      <c r="H529" s="1" t="str">
        <f>IFERROR(__xludf.DUMMYFUNCTION("""COMPUTED_VALUE"""),"GERALD DELA CRUZ INTO")</f>
        <v>GERALD DELA CRUZ INTO</v>
      </c>
      <c r="I529" s="1">
        <f>IFERROR(__xludf.DUMMYFUNCTION("""COMPUTED_VALUE"""),9269681187)</f>
        <v>9269681187</v>
      </c>
      <c r="J529" s="1"/>
      <c r="K529" s="1" t="str">
        <f>IFERROR(__xludf.DUMMYFUNCTION("""COMPUTED_VALUE"""),"GINTO05201990@GMAIL.COM")</f>
        <v>GINTO05201990@GMAIL.COM</v>
      </c>
      <c r="L529" s="1" t="str">
        <f>IFERROR(__xludf.DUMMYFUNCTION("""COMPUTED_VALUE"""),"9148")</f>
        <v>9148</v>
      </c>
      <c r="M529" s="1" t="str">
        <f>IFERROR(__xludf.DUMMYFUNCTION("""COMPUTED_VALUE"""),"SITIO BAYUGAN")</f>
        <v>SITIO BAYUGAN</v>
      </c>
      <c r="N529" s="1"/>
      <c r="O529" s="1" t="str">
        <f>IFERROR(__xludf.DUMMYFUNCTION("""COMPUTED_VALUE"""),"SILLP638NP1")</f>
        <v>SILLP638NP1</v>
      </c>
      <c r="P529" s="1" t="str">
        <f>IFERROR(__xludf.DUMMYFUNCTION("""COMPUTED_VALUE"""),"14.246767 120.996076")</f>
        <v>14.246767 120.996076</v>
      </c>
      <c r="Q529" s="1" t="str">
        <f>IFERROR(__xludf.DUMMYFUNCTION("""COMPUTED_VALUE"""),"KAONG")</f>
        <v>KAONG</v>
      </c>
      <c r="R529" s="1" t="str">
        <f>IFERROR(__xludf.DUMMYFUNCTION("""COMPUTED_VALUE"""),"SILANG")</f>
        <v>SILANG</v>
      </c>
      <c r="S529" s="1" t="str">
        <f>IFERROR(__xludf.DUMMYFUNCTION("""COMPUTED_VALUE"""),"PREPAID 999")</f>
        <v>PREPAID 999</v>
      </c>
      <c r="T529" s="1" t="str">
        <f>IFERROR(__xludf.DUMMYFUNCTION("""COMPUTED_VALUE"""),"APPROVED")</f>
        <v>APPROVED</v>
      </c>
      <c r="U529" s="1"/>
      <c r="V529" s="1"/>
      <c r="W529" s="1"/>
    </row>
    <row r="530" customHeight="1" spans="1:23">
      <c r="A530" s="3">
        <f>IFERROR(__xludf.DUMMYFUNCTION("""COMPUTED_VALUE"""),46074)</f>
        <v>46074</v>
      </c>
      <c r="B530" s="1" t="str">
        <f>IFERROR(__xludf.DUMMYFUNCTION("""COMPUTED_VALUE"""),"CANTANERO JUNEL")</f>
        <v>CANTANERO JUNEL</v>
      </c>
      <c r="C530" s="1" t="str">
        <f>IFERROR(__xludf.DUMMYFUNCTION("""COMPUTED_VALUE"""),"ORGANIC")</f>
        <v>ORGANIC</v>
      </c>
      <c r="D530" s="1" t="str">
        <f>IFERROR(__xludf.DUMMYFUNCTION("""COMPUTED_VALUE"""),"REMOLLO LEA")</f>
        <v>REMOLLO LEA</v>
      </c>
      <c r="E530" s="1" t="str">
        <f>IFERROR(__xludf.DUMMYFUNCTION("""COMPUTED_VALUE"""),"PLDT")</f>
        <v>PLDT</v>
      </c>
      <c r="F530" s="1">
        <f>IFERROR(__xludf.DUMMYFUNCTION("""COMPUTED_VALUE"""),2307174273)</f>
        <v>2307174273</v>
      </c>
      <c r="G530" s="1"/>
      <c r="H530" s="1" t="str">
        <f>IFERROR(__xludf.DUMMYFUNCTION("""COMPUTED_VALUE"""),"CELEDONIA MICOSA ATIENZA")</f>
        <v>CELEDONIA MICOSA ATIENZA</v>
      </c>
      <c r="I530" s="1">
        <f>IFERROR(__xludf.DUMMYFUNCTION("""COMPUTED_VALUE"""),9309201681)</f>
        <v>9309201681</v>
      </c>
      <c r="J530" s="1"/>
      <c r="K530" s="1" t="str">
        <f>IFERROR(__xludf.DUMMYFUNCTION("""COMPUTED_VALUE"""),"DONNAUNICAHIJA@GMAIL.COM")</f>
        <v>DONNAUNICAHIJA@GMAIL.COM</v>
      </c>
      <c r="L530" s="1" t="str">
        <f>IFERROR(__xludf.DUMMYFUNCTION("""COMPUTED_VALUE"""),"2660")</f>
        <v>2660</v>
      </c>
      <c r="M530" s="1" t="str">
        <f>IFERROR(__xludf.DUMMYFUNCTION("""COMPUTED_VALUE"""),"SITIO HANPOL")</f>
        <v>SITIO HANPOL</v>
      </c>
      <c r="N530" s="1"/>
      <c r="O530" s="1" t="str">
        <f>IFERROR(__xludf.DUMMYFUNCTION("""COMPUTED_VALUE"""),"SILLP639NP3")</f>
        <v>SILLP639NP3</v>
      </c>
      <c r="P530" s="1" t="str">
        <f>IFERROR(__xludf.DUMMYFUNCTION("""COMPUTED_VALUE"""),"14.246082 121.0011525")</f>
        <v>14.246082 121.0011525</v>
      </c>
      <c r="Q530" s="1" t="str">
        <f>IFERROR(__xludf.DUMMYFUNCTION("""COMPUTED_VALUE"""),"KAONG")</f>
        <v>KAONG</v>
      </c>
      <c r="R530" s="1" t="str">
        <f>IFERROR(__xludf.DUMMYFUNCTION("""COMPUTED_VALUE"""),"SILANG")</f>
        <v>SILANG</v>
      </c>
      <c r="S530" s="1" t="str">
        <f>IFERROR(__xludf.DUMMYFUNCTION("""COMPUTED_VALUE"""),"FIBR PLAN 999 W/ CIGNAL")</f>
        <v>FIBR PLAN 999 W/ CIGNAL</v>
      </c>
      <c r="T530" s="1" t="str">
        <f>IFERROR(__xludf.DUMMYFUNCTION("""COMPUTED_VALUE"""),"APPROVED")</f>
        <v>APPROVED</v>
      </c>
      <c r="U530" s="1"/>
      <c r="V530" s="1"/>
      <c r="W530" s="1"/>
    </row>
    <row r="531" customHeight="1" spans="1:23">
      <c r="A531" s="3">
        <f>IFERROR(__xludf.DUMMYFUNCTION("""COMPUTED_VALUE"""),46074)</f>
        <v>46074</v>
      </c>
      <c r="B531" s="1" t="str">
        <f>IFERROR(__xludf.DUMMYFUNCTION("""COMPUTED_VALUE"""),"AYON MANUEL")</f>
        <v>AYON MANUEL</v>
      </c>
      <c r="C531" s="1" t="str">
        <f>IFERROR(__xludf.DUMMYFUNCTION("""COMPUTED_VALUE"""),"FLA")</f>
        <v>FLA</v>
      </c>
      <c r="D531" s="1" t="str">
        <f>IFERROR(__xludf.DUMMYFUNCTION("""COMPUTED_VALUE"""),"JERIC NAVARRO")</f>
        <v>JERIC NAVARRO</v>
      </c>
      <c r="E531" s="1" t="str">
        <f>IFERROR(__xludf.DUMMYFUNCTION("""COMPUTED_VALUE"""),"PLDT")</f>
        <v>PLDT</v>
      </c>
      <c r="F531" s="1">
        <f>IFERROR(__xludf.DUMMYFUNCTION("""COMPUTED_VALUE"""),2307173359)</f>
        <v>2307173359</v>
      </c>
      <c r="G531" s="1"/>
      <c r="H531" s="1" t="str">
        <f>IFERROR(__xludf.DUMMYFUNCTION("""COMPUTED_VALUE"""),"ALFREDO MALABANAN ZURITA")</f>
        <v>ALFREDO MALABANAN ZURITA</v>
      </c>
      <c r="I531" s="1">
        <f>IFERROR(__xludf.DUMMYFUNCTION("""COMPUTED_VALUE"""),9462136671)</f>
        <v>9462136671</v>
      </c>
      <c r="J531" s="1">
        <f>IFERROR(__xludf.DUMMYFUNCTION("""COMPUTED_VALUE"""),9471804612)</f>
        <v>9471804612</v>
      </c>
      <c r="K531" s="1" t="str">
        <f>IFERROR(__xludf.DUMMYFUNCTION("""COMPUTED_VALUE"""),"ALFREDZURITA2@GMAIL.COM")</f>
        <v>ALFREDZURITA2@GMAIL.COM</v>
      </c>
      <c r="L531" s="1" t="str">
        <f>IFERROR(__xludf.DUMMYFUNCTION("""COMPUTED_VALUE"""),"10149")</f>
        <v>10149</v>
      </c>
      <c r="M531" s="1" t="str">
        <f>IFERROR(__xludf.DUMMYFUNCTION("""COMPUTED_VALUE"""),"IBAYONG ILOG")</f>
        <v>IBAYONG ILOG</v>
      </c>
      <c r="N531" s="1"/>
      <c r="O531" s="1"/>
      <c r="P531" s="1"/>
      <c r="Q531" s="1" t="str">
        <f>IFERROR(__xludf.DUMMYFUNCTION("""COMPUTED_VALUE"""),"KAONG")</f>
        <v>KAONG</v>
      </c>
      <c r="R531" s="1" t="str">
        <f>IFERROR(__xludf.DUMMYFUNCTION("""COMPUTED_VALUE"""),"SILANG")</f>
        <v>SILANG</v>
      </c>
      <c r="S531" s="1" t="str">
        <f>IFERROR(__xludf.DUMMYFUNCTION("""COMPUTED_VALUE"""),"FIBR PLAN 2499")</f>
        <v>FIBR PLAN 2499</v>
      </c>
      <c r="T531" s="1" t="str">
        <f>IFERROR(__xludf.DUMMYFUNCTION("""COMPUTED_VALUE"""),"APPROVED")</f>
        <v>APPROVED</v>
      </c>
      <c r="U531" s="1"/>
      <c r="V531" s="1"/>
      <c r="W531" s="1"/>
    </row>
    <row r="532" customHeight="1" spans="1:23">
      <c r="A532" s="3">
        <f>IFERROR(__xludf.DUMMYFUNCTION("""COMPUTED_VALUE"""),46074)</f>
        <v>46074</v>
      </c>
      <c r="B532" s="1" t="str">
        <f>IFERROR(__xludf.DUMMYFUNCTION("""COMPUTED_VALUE"""),"BARENG LANCER")</f>
        <v>BARENG LANCER</v>
      </c>
      <c r="C532" s="1" t="str">
        <f>IFERROR(__xludf.DUMMYFUNCTION("""COMPUTED_VALUE"""),"ORGANIC")</f>
        <v>ORGANIC</v>
      </c>
      <c r="D532" s="1" t="str">
        <f>IFERROR(__xludf.DUMMYFUNCTION("""COMPUTED_VALUE"""),"REMOLLO LEA")</f>
        <v>REMOLLO LEA</v>
      </c>
      <c r="E532" s="1" t="str">
        <f>IFERROR(__xludf.DUMMYFUNCTION("""COMPUTED_VALUE"""),"RED FIBER")</f>
        <v>RED FIBER</v>
      </c>
      <c r="F532" s="1"/>
      <c r="G532" s="1"/>
      <c r="H532" s="1" t="str">
        <f>IFERROR(__xludf.DUMMYFUNCTION("""COMPUTED_VALUE"""),"ELSBETH ESCANO FERAER")</f>
        <v>ELSBETH ESCANO FERAER</v>
      </c>
      <c r="I532" s="1">
        <f>IFERROR(__xludf.DUMMYFUNCTION("""COMPUTED_VALUE"""),9750539928)</f>
        <v>9750539928</v>
      </c>
      <c r="J532" s="1"/>
      <c r="K532" s="1" t="str">
        <f>IFERROR(__xludf.DUMMYFUNCTION("""COMPUTED_VALUE"""),"ELSBETHFERAER120491@GMAIL.COM")</f>
        <v>ELSBETHFERAER120491@GMAIL.COM</v>
      </c>
      <c r="L532" s="1" t="str">
        <f>IFERROR(__xludf.DUMMYFUNCTION("""COMPUTED_VALUE"""),"338")</f>
        <v>338</v>
      </c>
      <c r="M532" s="1" t="str">
        <f>IFERROR(__xludf.DUMMYFUNCTION("""COMPUTED_VALUE"""),"CRISANTO DELOS REYES")</f>
        <v>CRISANTO DELOS REYES</v>
      </c>
      <c r="N532" s="1"/>
      <c r="O532" s="1" t="str">
        <f>IFERROR(__xludf.DUMMYFUNCTION("""COMPUTED_VALUE"""),"CVT2LCP36NP4")</f>
        <v>CVT2LCP36NP4</v>
      </c>
      <c r="P532" s="1" t="str">
        <f>IFERROR(__xludf.DUMMYFUNCTION("""COMPUTED_VALUE"""),"14.125808 120.93485")</f>
        <v>14.125808 120.93485</v>
      </c>
      <c r="Q532" s="1" t="str">
        <f>IFERROR(__xludf.DUMMYFUNCTION("""COMPUTED_VALUE"""),"SALABAN")</f>
        <v>SALABAN</v>
      </c>
      <c r="R532" s="1" t="str">
        <f>IFERROR(__xludf.DUMMYFUNCTION("""COMPUTED_VALUE"""),"AMADEO")</f>
        <v>AMADEO</v>
      </c>
      <c r="S532" s="1" t="str">
        <f>IFERROR(__xludf.DUMMYFUNCTION("""COMPUTED_VALUE"""),"RED FIBER PLAN 1000")</f>
        <v>RED FIBER PLAN 1000</v>
      </c>
      <c r="T532" s="1" t="str">
        <f>IFERROR(__xludf.DUMMYFUNCTION("""COMPUTED_VALUE"""),"APPROVED")</f>
        <v>APPROVED</v>
      </c>
      <c r="U532" s="1"/>
      <c r="V532" s="1"/>
      <c r="W532" s="1"/>
    </row>
    <row r="533" customHeight="1" spans="1:23">
      <c r="A533" s="3">
        <f>IFERROR(__xludf.DUMMYFUNCTION("""COMPUTED_VALUE"""),46074)</f>
        <v>46074</v>
      </c>
      <c r="B533" s="1" t="str">
        <f>IFERROR(__xludf.DUMMYFUNCTION("""COMPUTED_VALUE"""),"FERNANDEZ JERIC")</f>
        <v>FERNANDEZ JERIC</v>
      </c>
      <c r="C533" s="1" t="str">
        <f>IFERROR(__xludf.DUMMYFUNCTION("""COMPUTED_VALUE"""),"ORGANIC")</f>
        <v>ORGANIC</v>
      </c>
      <c r="D533" s="1" t="str">
        <f>IFERROR(__xludf.DUMMYFUNCTION("""COMPUTED_VALUE"""),"REMOLLO LEA")</f>
        <v>REMOLLO LEA</v>
      </c>
      <c r="E533" s="1" t="str">
        <f>IFERROR(__xludf.DUMMYFUNCTION("""COMPUTED_VALUE"""),"RED FIBER")</f>
        <v>RED FIBER</v>
      </c>
      <c r="F533" s="1"/>
      <c r="G533" s="1"/>
      <c r="H533" s="1" t="str">
        <f>IFERROR(__xludf.DUMMYFUNCTION("""COMPUTED_VALUE"""),"ALLAN SEGUIRA VENTOLINA")</f>
        <v>ALLAN SEGUIRA VENTOLINA</v>
      </c>
      <c r="I533" s="1">
        <f>IFERROR(__xludf.DUMMYFUNCTION("""COMPUTED_VALUE"""),9616098264)</f>
        <v>9616098264</v>
      </c>
      <c r="J533" s="1"/>
      <c r="K533" s="1" t="str">
        <f>IFERROR(__xludf.DUMMYFUNCTION("""COMPUTED_VALUE"""),"ALLANVENTOLINA@YAHOO.COM")</f>
        <v>ALLANVENTOLINA@YAHOO.COM</v>
      </c>
      <c r="L533" s="1" t="str">
        <f>IFERROR(__xludf.DUMMYFUNCTION("""COMPUTED_VALUE"""),"339")</f>
        <v>339</v>
      </c>
      <c r="M533" s="1" t="str">
        <f>IFERROR(__xludf.DUMMYFUNCTION("""COMPUTED_VALUE"""),"CRISANTO DELOS REYES")</f>
        <v>CRISANTO DELOS REYES</v>
      </c>
      <c r="N533" s="1"/>
      <c r="O533" s="1" t="str">
        <f>IFERROR(__xludf.DUMMYFUNCTION("""COMPUTED_VALUE"""),"CVT2LCP36NP4")</f>
        <v>CVT2LCP36NP4</v>
      </c>
      <c r="P533" s="1" t="str">
        <f>IFERROR(__xludf.DUMMYFUNCTION("""COMPUTED_VALUE"""),"14.125889 120.934761")</f>
        <v>14.125889 120.934761</v>
      </c>
      <c r="Q533" s="1" t="str">
        <f>IFERROR(__xludf.DUMMYFUNCTION("""COMPUTED_VALUE"""),"SALABAN")</f>
        <v>SALABAN</v>
      </c>
      <c r="R533" s="1" t="str">
        <f>IFERROR(__xludf.DUMMYFUNCTION("""COMPUTED_VALUE"""),"AMADEO")</f>
        <v>AMADEO</v>
      </c>
      <c r="S533" s="1" t="str">
        <f>IFERROR(__xludf.DUMMYFUNCTION("""COMPUTED_VALUE"""),"RED FIBER PLAN 1400")</f>
        <v>RED FIBER PLAN 1400</v>
      </c>
      <c r="T533" s="1" t="str">
        <f>IFERROR(__xludf.DUMMYFUNCTION("""COMPUTED_VALUE"""),"APPROVED")</f>
        <v>APPROVED</v>
      </c>
      <c r="U533" s="1"/>
      <c r="V533" s="1"/>
      <c r="W533" s="1"/>
    </row>
    <row r="534" customHeight="1" spans="1:23">
      <c r="A534" s="3">
        <f>IFERROR(__xludf.DUMMYFUNCTION("""COMPUTED_VALUE"""),46074)</f>
        <v>46074</v>
      </c>
      <c r="B534" s="1" t="str">
        <f>IFERROR(__xludf.DUMMYFUNCTION("""COMPUTED_VALUE"""),"GABAY, MANUEL")</f>
        <v>GABAY, MANUEL</v>
      </c>
      <c r="C534" s="1" t="str">
        <f>IFERROR(__xludf.DUMMYFUNCTION("""COMPUTED_VALUE"""),"FLA")</f>
        <v>FLA</v>
      </c>
      <c r="D534" s="1" t="str">
        <f>IFERROR(__xludf.DUMMYFUNCTION("""COMPUTED_VALUE"""),"JERIC NAVARRO")</f>
        <v>JERIC NAVARRO</v>
      </c>
      <c r="E534" s="1" t="str">
        <f>IFERROR(__xludf.DUMMYFUNCTION("""COMPUTED_VALUE"""),"PLDT")</f>
        <v>PLDT</v>
      </c>
      <c r="F534" s="1">
        <f>IFERROR(__xludf.DUMMYFUNCTION("""COMPUTED_VALUE"""),2307174737)</f>
        <v>2307174737</v>
      </c>
      <c r="G534" s="1"/>
      <c r="H534" s="1" t="str">
        <f>IFERROR(__xludf.DUMMYFUNCTION("""COMPUTED_VALUE"""),"JOCELYN SERASPE TUIZA")</f>
        <v>JOCELYN SERASPE TUIZA</v>
      </c>
      <c r="I534" s="1">
        <f>IFERROR(__xludf.DUMMYFUNCTION("""COMPUTED_VALUE"""),9063980224)</f>
        <v>9063980224</v>
      </c>
      <c r="J534" s="1">
        <f>IFERROR(__xludf.DUMMYFUNCTION("""COMPUTED_VALUE"""),9309249543)</f>
        <v>9309249543</v>
      </c>
      <c r="K534" s="1" t="str">
        <f>IFERROR(__xludf.DUMMYFUNCTION("""COMPUTED_VALUE"""),"JPTUIZA@GMAIL.COM")</f>
        <v>JPTUIZA@GMAIL.COM</v>
      </c>
      <c r="L534" s="1" t="str">
        <f>IFERROR(__xludf.DUMMYFUNCTION("""COMPUTED_VALUE"""),"307")</f>
        <v>307</v>
      </c>
      <c r="M534" s="1" t="str">
        <f>IFERROR(__xludf.DUMMYFUNCTION("""COMPUTED_VALUE"""),"KARSADAHAN")</f>
        <v>KARSADAHAN</v>
      </c>
      <c r="N534" s="1"/>
      <c r="O534" s="1" t="str">
        <f>IFERROR(__xludf.DUMMYFUNCTION("""COMPUTED_VALUE"""),"SILLP639MP1/2/3/4/5/6/7/8 SILP638NP1/2/3/4/5/6/7/8")</f>
        <v>SILLP639MP1/2/3/4/5/6/7/8 SILP638NP1/2/3/4/5/6/7/8</v>
      </c>
      <c r="P534" s="1" t="str">
        <f>IFERROR(__xludf.DUMMYFUNCTION("""COMPUTED_VALUE"""),"14.245141 120.999338")</f>
        <v>14.245141 120.999338</v>
      </c>
      <c r="Q534" s="1" t="str">
        <f>IFERROR(__xludf.DUMMYFUNCTION("""COMPUTED_VALUE"""),"KAONG")</f>
        <v>KAONG</v>
      </c>
      <c r="R534" s="1" t="str">
        <f>IFERROR(__xludf.DUMMYFUNCTION("""COMPUTED_VALUE"""),"SILANG")</f>
        <v>SILANG</v>
      </c>
      <c r="S534" s="1" t="str">
        <f>IFERROR(__xludf.DUMMYFUNCTION("""COMPUTED_VALUE"""),"FIBR PLAN 1599")</f>
        <v>FIBR PLAN 1599</v>
      </c>
      <c r="T534" s="1" t="str">
        <f>IFERROR(__xludf.DUMMYFUNCTION("""COMPUTED_VALUE"""),"APPROVED")</f>
        <v>APPROVED</v>
      </c>
      <c r="U534" s="1"/>
      <c r="V534" s="1"/>
      <c r="W534" s="1"/>
    </row>
    <row r="535" customHeight="1" spans="1:23">
      <c r="A535" s="3">
        <f>IFERROR(__xludf.DUMMYFUNCTION("""COMPUTED_VALUE"""),46074)</f>
        <v>46074</v>
      </c>
      <c r="B535" s="1" t="str">
        <f>IFERROR(__xludf.DUMMYFUNCTION("""COMPUTED_VALUE"""),"DELA ROSA, JENNELYN")</f>
        <v>DELA ROSA, JENNELYN</v>
      </c>
      <c r="C535" s="1" t="str">
        <f>IFERROR(__xludf.DUMMYFUNCTION("""COMPUTED_VALUE"""),"ORGANIC")</f>
        <v>ORGANIC</v>
      </c>
      <c r="D535" s="1" t="str">
        <f>IFERROR(__xludf.DUMMYFUNCTION("""COMPUTED_VALUE"""),"REMOLLO LEA")</f>
        <v>REMOLLO LEA</v>
      </c>
      <c r="E535" s="1" t="str">
        <f>IFERROR(__xludf.DUMMYFUNCTION("""COMPUTED_VALUE"""),"PLDT")</f>
        <v>PLDT</v>
      </c>
      <c r="F535" s="1"/>
      <c r="G535" s="1"/>
      <c r="H535" s="1" t="str">
        <f>IFERROR(__xludf.DUMMYFUNCTION("""COMPUTED_VALUE"""),"JOHN REY PENDOT FERNANDEZ")</f>
        <v>JOHN REY PENDOT FERNANDEZ</v>
      </c>
      <c r="I535" s="1">
        <f>IFERROR(__xludf.DUMMYFUNCTION("""COMPUTED_VALUE"""),9944827876)</f>
        <v>9944827876</v>
      </c>
      <c r="J535" s="1"/>
      <c r="K535" s="1" t="str">
        <f>IFERROR(__xludf.DUMMYFUNCTION("""COMPUTED_VALUE"""),"JOHNFERNANDEZ13@GMAIL.COM")</f>
        <v>JOHNFERNANDEZ13@GMAIL.COM</v>
      </c>
      <c r="L535" s="1" t="str">
        <f>IFERROR(__xludf.DUMMYFUNCTION("""COMPUTED_VALUE"""),"184")</f>
        <v>184</v>
      </c>
      <c r="M535" s="1" t="str">
        <f>IFERROR(__xludf.DUMMYFUNCTION("""COMPUTED_VALUE"""),"ENZO RODRIGUEZ ST")</f>
        <v>ENZO RODRIGUEZ ST</v>
      </c>
      <c r="N535" s="1"/>
      <c r="O535" s="1" t="str">
        <f>IFERROR(__xludf.DUMMYFUNCTION("""COMPUTED_VALUE"""),"TGTLP185NP5")</f>
        <v>TGTLP185NP5</v>
      </c>
      <c r="P535" s="1" t="str">
        <f>IFERROR(__xludf.DUMMYFUNCTION("""COMPUTED_VALUE"""),"14.125806 120.934786")</f>
        <v>14.125806 120.934786</v>
      </c>
      <c r="Q535" s="1" t="str">
        <f>IFERROR(__xludf.DUMMYFUNCTION("""COMPUTED_VALUE"""),"MAHARLIKA EAST")</f>
        <v>MAHARLIKA EAST</v>
      </c>
      <c r="R535" s="1" t="str">
        <f>IFERROR(__xludf.DUMMYFUNCTION("""COMPUTED_VALUE"""),"TAGAYTAY")</f>
        <v>TAGAYTAY</v>
      </c>
      <c r="S535" s="1" t="str">
        <f>IFERROR(__xludf.DUMMYFUNCTION("""COMPUTED_VALUE"""),"FIBR PLAN 1599")</f>
        <v>FIBR PLAN 1599</v>
      </c>
      <c r="T535" s="1" t="str">
        <f>IFERROR(__xludf.DUMMYFUNCTION("""COMPUTED_VALUE"""),"HOLD")</f>
        <v>HOLD</v>
      </c>
      <c r="U535" s="1"/>
      <c r="V535" s="1"/>
      <c r="W535" s="1"/>
    </row>
    <row r="536" customHeight="1" spans="1:23">
      <c r="A536" s="3">
        <f>IFERROR(__xludf.DUMMYFUNCTION("""COMPUTED_VALUE"""),46074)</f>
        <v>46074</v>
      </c>
      <c r="B536" s="1" t="str">
        <f>IFERROR(__xludf.DUMMYFUNCTION("""COMPUTED_VALUE"""),"REMOLLO, LEA")</f>
        <v>REMOLLO, LEA</v>
      </c>
      <c r="C536" s="1" t="str">
        <f>IFERROR(__xludf.DUMMYFUNCTION("""COMPUTED_VALUE"""),"FLA")</f>
        <v>FLA</v>
      </c>
      <c r="D536" s="1" t="str">
        <f>IFERROR(__xludf.DUMMYFUNCTION("""COMPUTED_VALUE"""),"JERIC NAVARRO")</f>
        <v>JERIC NAVARRO</v>
      </c>
      <c r="E536" s="1" t="str">
        <f>IFERROR(__xludf.DUMMYFUNCTION("""COMPUTED_VALUE"""),"PLDT")</f>
        <v>PLDT</v>
      </c>
      <c r="F536" s="1">
        <f>IFERROR(__xludf.DUMMYFUNCTION("""COMPUTED_VALUE"""),2307174876)</f>
        <v>2307174876</v>
      </c>
      <c r="G536" s="1"/>
      <c r="H536" s="1" t="str">
        <f>IFERROR(__xludf.DUMMYFUNCTION("""COMPUTED_VALUE"""),"VELENTINO MANDAL BAUTISTA")</f>
        <v>VELENTINO MANDAL BAUTISTA</v>
      </c>
      <c r="I536" s="1">
        <f>IFERROR(__xludf.DUMMYFUNCTION("""COMPUTED_VALUE"""),9272255596)</f>
        <v>9272255596</v>
      </c>
      <c r="J536" s="1"/>
      <c r="K536" s="1" t="str">
        <f>IFERROR(__xludf.DUMMYFUNCTION("""COMPUTED_VALUE"""),"TERESITABAUTISTA55@YAHOO.COM")</f>
        <v>TERESITABAUTISTA55@YAHOO.COM</v>
      </c>
      <c r="L536" s="1" t="str">
        <f>IFERROR(__xludf.DUMMYFUNCTION("""COMPUTED_VALUE"""),"198")</f>
        <v>198</v>
      </c>
      <c r="M536" s="1" t="str">
        <f>IFERROR(__xludf.DUMMYFUNCTION("""COMPUTED_VALUE"""),"IBAYONG ILOG")</f>
        <v>IBAYONG ILOG</v>
      </c>
      <c r="N536" s="1"/>
      <c r="O536" s="1" t="str">
        <f>IFERROR(__xludf.DUMMYFUNCTION("""COMPUTED_VALUE"""),"SILLP638NP3")</f>
        <v>SILLP638NP3</v>
      </c>
      <c r="P536" s="1" t="str">
        <f>IFERROR(__xludf.DUMMYFUNCTION("""COMPUTED_VALUE"""),"14.251154 120.991796")</f>
        <v>14.251154 120.991796</v>
      </c>
      <c r="Q536" s="1" t="str">
        <f>IFERROR(__xludf.DUMMYFUNCTION("""COMPUTED_VALUE"""),"KAONG")</f>
        <v>KAONG</v>
      </c>
      <c r="R536" s="1" t="str">
        <f>IFERROR(__xludf.DUMMYFUNCTION("""COMPUTED_VALUE"""),"SILANG")</f>
        <v>SILANG</v>
      </c>
      <c r="S536" s="1" t="str">
        <f>IFERROR(__xludf.DUMMYFUNCTION("""COMPUTED_VALUE"""),"FIBR PLAN 1799")</f>
        <v>FIBR PLAN 1799</v>
      </c>
      <c r="T536" s="1" t="str">
        <f>IFERROR(__xludf.DUMMYFUNCTION("""COMPUTED_VALUE"""),"APPROVED")</f>
        <v>APPROVED</v>
      </c>
      <c r="U536" s="1"/>
      <c r="V536" s="1"/>
      <c r="W536" s="1"/>
    </row>
    <row r="537" customHeight="1" spans="1:23">
      <c r="A537" s="3">
        <f>IFERROR(__xludf.DUMMYFUNCTION("""COMPUTED_VALUE"""),46074)</f>
        <v>46074</v>
      </c>
      <c r="B537" s="1" t="str">
        <f>IFERROR(__xludf.DUMMYFUNCTION("""COMPUTED_VALUE"""),"TISTON, CEDRICK")</f>
        <v>TISTON, CEDRICK</v>
      </c>
      <c r="C537" s="1" t="str">
        <f>IFERROR(__xludf.DUMMYFUNCTION("""COMPUTED_VALUE"""),"ORGANIC")</f>
        <v>ORGANIC</v>
      </c>
      <c r="D537" s="1" t="str">
        <f>IFERROR(__xludf.DUMMYFUNCTION("""COMPUTED_VALUE"""),"REMOLLO LEA")</f>
        <v>REMOLLO LEA</v>
      </c>
      <c r="E537" s="1" t="str">
        <f>IFERROR(__xludf.DUMMYFUNCTION("""COMPUTED_VALUE"""),"PLDT")</f>
        <v>PLDT</v>
      </c>
      <c r="F537" s="1">
        <f>IFERROR(__xludf.DUMMYFUNCTION("""COMPUTED_VALUE"""),2307176550)</f>
        <v>2307176550</v>
      </c>
      <c r="G537" s="1"/>
      <c r="H537" s="1" t="str">
        <f>IFERROR(__xludf.DUMMYFUNCTION("""COMPUTED_VALUE"""),"RONALD ANGELES FABIE")</f>
        <v>RONALD ANGELES FABIE</v>
      </c>
      <c r="I537" s="1">
        <f>IFERROR(__xludf.DUMMYFUNCTION("""COMPUTED_VALUE"""),9661765760)</f>
        <v>9661765760</v>
      </c>
      <c r="J537" s="1">
        <f>IFERROR(__xludf.DUMMYFUNCTION("""COMPUTED_VALUE"""),9225800329)</f>
        <v>9225800329</v>
      </c>
      <c r="K537" s="1" t="str">
        <f>IFERROR(__xludf.DUMMYFUNCTION("""COMPUTED_VALUE"""),"RONALD.FABIE29@GMAIL.COM")</f>
        <v>RONALD.FABIE29@GMAIL.COM</v>
      </c>
      <c r="L537" s="1" t="str">
        <f>IFERROR(__xludf.DUMMYFUNCTION("""COMPUTED_VALUE"""),"BLK 14 LOT 4")</f>
        <v>BLK 14 LOT 4</v>
      </c>
      <c r="M537" s="1" t="str">
        <f>IFERROR(__xludf.DUMMYFUNCTION("""COMPUTED_VALUE"""),"PHASE 5")</f>
        <v>PHASE 5</v>
      </c>
      <c r="N537" s="1"/>
      <c r="O537" s="1" t="str">
        <f>IFERROR(__xludf.DUMMYFUNCTION("""COMPUTED_VALUE"""),"SILLP305NP3/4/5")</f>
        <v>SILLP305NP3/4/5</v>
      </c>
      <c r="P537" s="1"/>
      <c r="Q537" s="1" t="str">
        <f>IFERROR(__xludf.DUMMYFUNCTION("""COMPUTED_VALUE"""),"BANABA")</f>
        <v>BANABA</v>
      </c>
      <c r="R537" s="1" t="str">
        <f>IFERROR(__xludf.DUMMYFUNCTION("""COMPUTED_VALUE"""),"GEN MARIANO ALVAREZ")</f>
        <v>GEN MARIANO ALVAREZ</v>
      </c>
      <c r="S537" s="1" t="str">
        <f>IFERROR(__xludf.DUMMYFUNCTION("""COMPUTED_VALUE"""),"FIBR PLAN 1599")</f>
        <v>FIBR PLAN 1599</v>
      </c>
      <c r="T537" s="1" t="str">
        <f>IFERROR(__xludf.DUMMYFUNCTION("""COMPUTED_VALUE"""),"APPROVED")</f>
        <v>APPROVED</v>
      </c>
      <c r="U537" s="1"/>
      <c r="V537" s="1"/>
      <c r="W537" s="1"/>
    </row>
    <row r="538" customHeight="1" spans="1:23">
      <c r="A538" s="3">
        <f>IFERROR(__xludf.DUMMYFUNCTION("""COMPUTED_VALUE"""),46074)</f>
        <v>46074</v>
      </c>
      <c r="B538" s="1" t="str">
        <f>IFERROR(__xludf.DUMMYFUNCTION("""COMPUTED_VALUE"""),"GABAY, MANUEL")</f>
        <v>GABAY, MANUEL</v>
      </c>
      <c r="C538" s="1" t="str">
        <f>IFERROR(__xludf.DUMMYFUNCTION("""COMPUTED_VALUE"""),"FLA")</f>
        <v>FLA</v>
      </c>
      <c r="D538" s="1" t="str">
        <f>IFERROR(__xludf.DUMMYFUNCTION("""COMPUTED_VALUE"""),"JERIC NAVARRO")</f>
        <v>JERIC NAVARRO</v>
      </c>
      <c r="E538" s="1" t="str">
        <f>IFERROR(__xludf.DUMMYFUNCTION("""COMPUTED_VALUE"""),"PLDT")</f>
        <v>PLDT</v>
      </c>
      <c r="F538" s="1">
        <f>IFERROR(__xludf.DUMMYFUNCTION("""COMPUTED_VALUE"""),2307177002)</f>
        <v>2307177002</v>
      </c>
      <c r="G538" s="1"/>
      <c r="H538" s="1" t="str">
        <f>IFERROR(__xludf.DUMMYFUNCTION("""COMPUTED_VALUE"""),"DENVER HABON DE FIESTA")</f>
        <v>DENVER HABON DE FIESTA</v>
      </c>
      <c r="I538" s="1">
        <f>IFERROR(__xludf.DUMMYFUNCTION("""COMPUTED_VALUE"""),9158169200)</f>
        <v>9158169200</v>
      </c>
      <c r="J538" s="1">
        <f>IFERROR(__xludf.DUMMYFUNCTION("""COMPUTED_VALUE"""),9063687040)</f>
        <v>9063687040</v>
      </c>
      <c r="K538" s="1" t="str">
        <f>IFERROR(__xludf.DUMMYFUNCTION("""COMPUTED_VALUE"""),"DZINVER@GMAIL.COM")</f>
        <v>DZINVER@GMAIL.COM</v>
      </c>
      <c r="L538" s="1" t="str">
        <f>IFERROR(__xludf.DUMMYFUNCTION("""COMPUTED_VALUE"""),"2525")</f>
        <v>2525</v>
      </c>
      <c r="M538" s="1" t="str">
        <f>IFERROR(__xludf.DUMMYFUNCTION("""COMPUTED_VALUE"""),"SITIO HANAPOL")</f>
        <v>SITIO HANAPOL</v>
      </c>
      <c r="N538" s="1"/>
      <c r="O538" s="1" t="str">
        <f>IFERROR(__xludf.DUMMYFUNCTION("""COMPUTED_VALUE"""),"SILLP639MP1/2/3/4/5/6/7/8 SILP638NP1/2/3/4/5/6/7/8")</f>
        <v>SILLP639MP1/2/3/4/5/6/7/8 SILP638NP1/2/3/4/5/6/7/8</v>
      </c>
      <c r="P538" s="1" t="str">
        <f>IFERROR(__xludf.DUMMYFUNCTION("""COMPUTED_VALUE"""),"14.2466005 121.003855")</f>
        <v>14.2466005 121.003855</v>
      </c>
      <c r="Q538" s="1" t="str">
        <f>IFERROR(__xludf.DUMMYFUNCTION("""COMPUTED_VALUE"""),"KAONG")</f>
        <v>KAONG</v>
      </c>
      <c r="R538" s="1" t="str">
        <f>IFERROR(__xludf.DUMMYFUNCTION("""COMPUTED_VALUE"""),"SILANG")</f>
        <v>SILANG</v>
      </c>
      <c r="S538" s="1" t="str">
        <f>IFERROR(__xludf.DUMMYFUNCTION("""COMPUTED_VALUE"""),"FIBR PLAN 1599")</f>
        <v>FIBR PLAN 1599</v>
      </c>
      <c r="T538" s="1" t="str">
        <f>IFERROR(__xludf.DUMMYFUNCTION("""COMPUTED_VALUE"""),"APPROVED")</f>
        <v>APPROVED</v>
      </c>
      <c r="U538" s="1"/>
      <c r="V538" s="1"/>
      <c r="W538" s="1"/>
    </row>
    <row r="539" customHeight="1" spans="1:23">
      <c r="A539" s="3">
        <f>IFERROR(__xludf.DUMMYFUNCTION("""COMPUTED_VALUE"""),46074)</f>
        <v>46074</v>
      </c>
      <c r="B539" s="1" t="str">
        <f>IFERROR(__xludf.DUMMYFUNCTION("""COMPUTED_VALUE"""),"CABRERA JILLIENE")</f>
        <v>CABRERA JILLIENE</v>
      </c>
      <c r="C539" s="1" t="str">
        <f>IFERROR(__xludf.DUMMYFUNCTION("""COMPUTED_VALUE"""),"ORGANIC")</f>
        <v>ORGANIC</v>
      </c>
      <c r="D539" s="1" t="str">
        <f>IFERROR(__xludf.DUMMYFUNCTION("""COMPUTED_VALUE"""),"REMOLLO LEA")</f>
        <v>REMOLLO LEA</v>
      </c>
      <c r="E539" s="1" t="str">
        <f>IFERROR(__xludf.DUMMYFUNCTION("""COMPUTED_VALUE"""),"PLDT")</f>
        <v>PLDT</v>
      </c>
      <c r="F539" s="1">
        <f>IFERROR(__xludf.DUMMYFUNCTION("""COMPUTED_VALUE"""),2307177843)</f>
        <v>2307177843</v>
      </c>
      <c r="G539" s="1"/>
      <c r="H539" s="1" t="str">
        <f>IFERROR(__xludf.DUMMYFUNCTION("""COMPUTED_VALUE"""),"JORELIN TAMBA DAYPUYART")</f>
        <v>JORELIN TAMBA DAYPUYART</v>
      </c>
      <c r="I539" s="1">
        <f>IFERROR(__xludf.DUMMYFUNCTION("""COMPUTED_VALUE"""),9810475103)</f>
        <v>9810475103</v>
      </c>
      <c r="J539" s="1">
        <f>IFERROR(__xludf.DUMMYFUNCTION("""COMPUTED_VALUE"""),9994885907)</f>
        <v>9994885907</v>
      </c>
      <c r="K539" s="1" t="str">
        <f>IFERROR(__xludf.DUMMYFUNCTION("""COMPUTED_VALUE"""),"DAYPUYARYJORELIN@GMAIL.COM")</f>
        <v>DAYPUYARYJORELIN@GMAIL.COM</v>
      </c>
      <c r="L539" s="1" t="str">
        <f>IFERROR(__xludf.DUMMYFUNCTION("""COMPUTED_VALUE"""),"BLK 40 LOT ")</f>
        <v>BLK 40 LOT </v>
      </c>
      <c r="M539" s="1" t="str">
        <f>IFERROR(__xludf.DUMMYFUNCTION("""COMPUTED_VALUE"""),"PHASE 6")</f>
        <v>PHASE 6</v>
      </c>
      <c r="N539" s="1"/>
      <c r="O539" s="1" t="str">
        <f>IFERROR(__xludf.DUMMYFUNCTION("""COMPUTED_VALUE"""),"SILLP306BP4 SILLP453NP1/3")</f>
        <v>SILLP306BP4 SILLP453NP1/3</v>
      </c>
      <c r="P539" s="1"/>
      <c r="Q539" s="1" t="str">
        <f>IFERROR(__xludf.DUMMYFUNCTION("""COMPUTED_VALUE"""),"BANABA")</f>
        <v>BANABA</v>
      </c>
      <c r="R539" s="1" t="str">
        <f>IFERROR(__xludf.DUMMYFUNCTION("""COMPUTED_VALUE"""),"SILANG")</f>
        <v>SILANG</v>
      </c>
      <c r="S539" s="1" t="str">
        <f>IFERROR(__xludf.DUMMYFUNCTION("""COMPUTED_VALUE"""),"FIBR PLAN 1399")</f>
        <v>FIBR PLAN 1399</v>
      </c>
      <c r="T539" s="1" t="str">
        <f>IFERROR(__xludf.DUMMYFUNCTION("""COMPUTED_VALUE"""),"APPROVED")</f>
        <v>APPROVED</v>
      </c>
      <c r="U539" s="1"/>
      <c r="V539" s="1"/>
      <c r="W539" s="1"/>
    </row>
    <row r="540" customHeight="1" spans="1:23">
      <c r="A540" s="3">
        <f>IFERROR(__xludf.DUMMYFUNCTION("""COMPUTED_VALUE"""),46074)</f>
        <v>46074</v>
      </c>
      <c r="B540" s="1" t="str">
        <f>IFERROR(__xludf.DUMMYFUNCTION("""COMPUTED_VALUE"""),"FARO, REFRANTA")</f>
        <v>FARO, REFRANTA</v>
      </c>
      <c r="C540" s="1" t="str">
        <f>IFERROR(__xludf.DUMMYFUNCTION("""COMPUTED_VALUE"""),"ORGANIC")</f>
        <v>ORGANIC</v>
      </c>
      <c r="D540" s="1" t="str">
        <f>IFERROR(__xludf.DUMMYFUNCTION("""COMPUTED_VALUE"""),"REMOLLO LEA")</f>
        <v>REMOLLO LEA</v>
      </c>
      <c r="E540" s="1" t="str">
        <f>IFERROR(__xludf.DUMMYFUNCTION("""COMPUTED_VALUE"""),"PLDT")</f>
        <v>PLDT</v>
      </c>
      <c r="F540" s="1">
        <f>IFERROR(__xludf.DUMMYFUNCTION("""COMPUTED_VALUE"""),2307178542)</f>
        <v>2307178542</v>
      </c>
      <c r="G540" s="1"/>
      <c r="H540" s="1" t="str">
        <f>IFERROR(__xludf.DUMMYFUNCTION("""COMPUTED_VALUE"""),"KENNIEDY PAREDES LOYOLA")</f>
        <v>KENNIEDY PAREDES LOYOLA</v>
      </c>
      <c r="I540" s="1">
        <f>IFERROR(__xludf.DUMMYFUNCTION("""COMPUTED_VALUE"""),9060645274)</f>
        <v>9060645274</v>
      </c>
      <c r="J540" s="1"/>
      <c r="K540" s="1" t="str">
        <f>IFERROR(__xludf.DUMMYFUNCTION("""COMPUTED_VALUE"""),"LIWANAGVANESSA1985@GMAIL.COM")</f>
        <v>LIWANAGVANESSA1985@GMAIL.COM</v>
      </c>
      <c r="L540" s="1" t="str">
        <f>IFERROR(__xludf.DUMMYFUNCTION("""COMPUTED_VALUE"""),"137")</f>
        <v>137</v>
      </c>
      <c r="M540" s="1" t="str">
        <f>IFERROR(__xludf.DUMMYFUNCTION("""COMPUTED_VALUE"""),"KARSADAHAN")</f>
        <v>KARSADAHAN</v>
      </c>
      <c r="N540" s="1"/>
      <c r="O540" s="1"/>
      <c r="P540" s="1"/>
      <c r="Q540" s="1" t="str">
        <f>IFERROR(__xludf.DUMMYFUNCTION("""COMPUTED_VALUE"""),"KAONG")</f>
        <v>KAONG</v>
      </c>
      <c r="R540" s="1" t="str">
        <f>IFERROR(__xludf.DUMMYFUNCTION("""COMPUTED_VALUE"""),"SILANG")</f>
        <v>SILANG</v>
      </c>
      <c r="S540" s="1" t="str">
        <f>IFERROR(__xludf.DUMMYFUNCTION("""COMPUTED_VALUE"""),"FIBR PLAN 1599")</f>
        <v>FIBR PLAN 1599</v>
      </c>
      <c r="T540" s="1" t="str">
        <f>IFERROR(__xludf.DUMMYFUNCTION("""COMPUTED_VALUE"""),"APPROVED")</f>
        <v>APPROVED</v>
      </c>
      <c r="U540" s="1"/>
      <c r="V540" s="1"/>
      <c r="W540" s="1"/>
    </row>
    <row r="541" customHeight="1" spans="1:23">
      <c r="A541" s="3">
        <f>IFERROR(__xludf.DUMMYFUNCTION("""COMPUTED_VALUE"""),46074)</f>
        <v>46074</v>
      </c>
      <c r="B541" s="1" t="str">
        <f>IFERROR(__xludf.DUMMYFUNCTION("""COMPUTED_VALUE"""),"MIRASOL, RAYRALYN")</f>
        <v>MIRASOL, RAYRALYN</v>
      </c>
      <c r="C541" s="1" t="str">
        <f>IFERROR(__xludf.DUMMYFUNCTION("""COMPUTED_VALUE"""),"ORGANIC")</f>
        <v>ORGANIC</v>
      </c>
      <c r="D541" s="1" t="str">
        <f>IFERROR(__xludf.DUMMYFUNCTION("""COMPUTED_VALUE"""),"REMOLLO LEA")</f>
        <v>REMOLLO LEA</v>
      </c>
      <c r="E541" s="1" t="str">
        <f>IFERROR(__xludf.DUMMYFUNCTION("""COMPUTED_VALUE"""),"HOME BIZZ")</f>
        <v>HOME BIZZ</v>
      </c>
      <c r="F541" s="1">
        <f>IFERROR(__xludf.DUMMYFUNCTION("""COMPUTED_VALUE"""),2307208450)</f>
        <v>2307208450</v>
      </c>
      <c r="G541" s="1"/>
      <c r="H541" s="1" t="str">
        <f>IFERROR(__xludf.DUMMYFUNCTION("""COMPUTED_VALUE"""),"GNR MOTORCYCLE PARTS ACESSORIES")</f>
        <v>GNR MOTORCYCLE PARTS ACESSORIES</v>
      </c>
      <c r="I541" s="1">
        <f>IFERROR(__xludf.DUMMYFUNCTION("""COMPUTED_VALUE"""),9762994948)</f>
        <v>9762994948</v>
      </c>
      <c r="J541" s="1">
        <f>IFERROR(__xludf.DUMMYFUNCTION("""COMPUTED_VALUE"""),9763930383)</f>
        <v>9763930383</v>
      </c>
      <c r="K541" s="1" t="str">
        <f>IFERROR(__xludf.DUMMYFUNCTION("""COMPUTED_VALUE"""),"GREASEANDRESIN@GMAIL.COM")</f>
        <v>GREASEANDRESIN@GMAIL.COM</v>
      </c>
      <c r="L541" s="1" t="str">
        <f>IFERROR(__xludf.DUMMYFUNCTION("""COMPUTED_VALUE"""),"14")</f>
        <v>14</v>
      </c>
      <c r="M541" s="1" t="str">
        <f>IFERROR(__xludf.DUMMYFUNCTION("""COMPUTED_VALUE"""),"KARSADAHAN")</f>
        <v>KARSADAHAN</v>
      </c>
      <c r="N541" s="1"/>
      <c r="O541" s="1"/>
      <c r="P541" s="1"/>
      <c r="Q541" s="1" t="str">
        <f>IFERROR(__xludf.DUMMYFUNCTION("""COMPUTED_VALUE"""),"KAONG")</f>
        <v>KAONG</v>
      </c>
      <c r="R541" s="1" t="str">
        <f>IFERROR(__xludf.DUMMYFUNCTION("""COMPUTED_VALUE"""),"SILANG")</f>
        <v>SILANG</v>
      </c>
      <c r="S541" s="1" t="str">
        <f>IFERROR(__xludf.DUMMYFUNCTION("""COMPUTED_VALUE"""),"HOMEBIZZ 1699")</f>
        <v>HOMEBIZZ 1699</v>
      </c>
      <c r="T541" s="1" t="str">
        <f>IFERROR(__xludf.DUMMYFUNCTION("""COMPUTED_VALUE"""),"APPROVED")</f>
        <v>APPROVED</v>
      </c>
      <c r="U541" s="1"/>
      <c r="V541" s="1"/>
      <c r="W541" s="1"/>
    </row>
    <row r="542" customHeight="1" spans="1:23">
      <c r="A542" s="3">
        <f>IFERROR(__xludf.DUMMYFUNCTION("""COMPUTED_VALUE"""),46075)</f>
        <v>46075</v>
      </c>
      <c r="B542" s="1" t="str">
        <f>IFERROR(__xludf.DUMMYFUNCTION("""COMPUTED_VALUE"""),"DE VERA, MARIVIC")</f>
        <v>DE VERA, MARIVIC</v>
      </c>
      <c r="C542" s="1" t="str">
        <f>IFERROR(__xludf.DUMMYFUNCTION("""COMPUTED_VALUE"""),"ORGANIC")</f>
        <v>ORGANIC</v>
      </c>
      <c r="D542" s="1" t="str">
        <f>IFERROR(__xludf.DUMMYFUNCTION("""COMPUTED_VALUE"""),"REMOLLO LEA")</f>
        <v>REMOLLO LEA</v>
      </c>
      <c r="E542" s="1" t="str">
        <f>IFERROR(__xludf.DUMMYFUNCTION("""COMPUTED_VALUE"""),"PLDT")</f>
        <v>PLDT</v>
      </c>
      <c r="F542" s="1">
        <f>IFERROR(__xludf.DUMMYFUNCTION("""COMPUTED_VALUE"""),2307187233)</f>
        <v>2307187233</v>
      </c>
      <c r="G542" s="1"/>
      <c r="H542" s="1" t="str">
        <f>IFERROR(__xludf.DUMMYFUNCTION("""COMPUTED_VALUE"""),"JERMEL MICALLER NOLLA")</f>
        <v>JERMEL MICALLER NOLLA</v>
      </c>
      <c r="I542" s="1">
        <f>IFERROR(__xludf.DUMMYFUNCTION("""COMPUTED_VALUE"""),9951026542)</f>
        <v>9951026542</v>
      </c>
      <c r="J542" s="1"/>
      <c r="K542" s="1" t="str">
        <f>IFERROR(__xludf.DUMMYFUNCTION("""COMPUTED_VALUE"""),"JERMELNOLLA5@GMAIL.COM")</f>
        <v>JERMELNOLLA5@GMAIL.COM</v>
      </c>
      <c r="L542" s="1" t="str">
        <f>IFERROR(__xludf.DUMMYFUNCTION("""COMPUTED_VALUE"""),"959")</f>
        <v>959</v>
      </c>
      <c r="M542" s="1" t="str">
        <f>IFERROR(__xludf.DUMMYFUNCTION("""COMPUTED_VALUE"""),"MUNTING ILOG RD")</f>
        <v>MUNTING ILOG RD</v>
      </c>
      <c r="N542" s="1"/>
      <c r="O542" s="1" t="str">
        <f>IFERROR(__xludf.DUMMYFUNCTION("""COMPUTED_VALUE"""),"SILLP511NP1/2")</f>
        <v>SILLP511NP1/2</v>
      </c>
      <c r="P542" s="1" t="str">
        <f>IFERROR(__xludf.DUMMYFUNCTION("""COMPUTED_VALUE"""),"14.219709 121.002921")</f>
        <v>14.219709 121.002921</v>
      </c>
      <c r="Q542" s="1" t="str">
        <f>IFERROR(__xludf.DUMMYFUNCTION("""COMPUTED_VALUE"""),"MUNTING ILOG")</f>
        <v>MUNTING ILOG</v>
      </c>
      <c r="R542" s="1" t="str">
        <f>IFERROR(__xludf.DUMMYFUNCTION("""COMPUTED_VALUE"""),"SILANG")</f>
        <v>SILANG</v>
      </c>
      <c r="S542" s="1" t="str">
        <f>IFERROR(__xludf.DUMMYFUNCTION("""COMPUTED_VALUE"""),"FIBR PLAN 1599")</f>
        <v>FIBR PLAN 1599</v>
      </c>
      <c r="T542" s="1" t="str">
        <f>IFERROR(__xludf.DUMMYFUNCTION("""COMPUTED_VALUE"""),"APPROVED")</f>
        <v>APPROVED</v>
      </c>
      <c r="U542" s="1"/>
      <c r="V542" s="1"/>
      <c r="W542" s="1"/>
    </row>
    <row r="543" customHeight="1" spans="1:23">
      <c r="A543" s="3">
        <f>IFERROR(__xludf.DUMMYFUNCTION("""COMPUTED_VALUE"""),46075)</f>
        <v>46075</v>
      </c>
      <c r="B543" s="1" t="str">
        <f>IFERROR(__xludf.DUMMYFUNCTION("""COMPUTED_VALUE"""),"DE LEON, MERLY")</f>
        <v>DE LEON, MERLY</v>
      </c>
      <c r="C543" s="1" t="str">
        <f>IFERROR(__xludf.DUMMYFUNCTION("""COMPUTED_VALUE"""),"ORGANIC")</f>
        <v>ORGANIC</v>
      </c>
      <c r="D543" s="1" t="str">
        <f>IFERROR(__xludf.DUMMYFUNCTION("""COMPUTED_VALUE"""),"REMOLLO LEA")</f>
        <v>REMOLLO LEA</v>
      </c>
      <c r="E543" s="1" t="str">
        <f>IFERROR(__xludf.DUMMYFUNCTION("""COMPUTED_VALUE"""),"PLDT")</f>
        <v>PLDT</v>
      </c>
      <c r="F543" s="1">
        <f>IFERROR(__xludf.DUMMYFUNCTION("""COMPUTED_VALUE"""),2307188207)</f>
        <v>2307188207</v>
      </c>
      <c r="G543" s="1"/>
      <c r="H543" s="1" t="str">
        <f>IFERROR(__xludf.DUMMYFUNCTION("""COMPUTED_VALUE"""),"MARIA KRSITINA SELISANA TESORO")</f>
        <v>MARIA KRSITINA SELISANA TESORO</v>
      </c>
      <c r="I543" s="1">
        <f>IFERROR(__xludf.DUMMYFUNCTION("""COMPUTED_VALUE"""),9214047435)</f>
        <v>9214047435</v>
      </c>
      <c r="J543" s="1"/>
      <c r="K543" s="1" t="str">
        <f>IFERROR(__xludf.DUMMYFUNCTION("""COMPUTED_VALUE"""),"MARIAKRISTINA8@GMAIL.COM")</f>
        <v>MARIAKRISTINA8@GMAIL.COM</v>
      </c>
      <c r="L543" s="1" t="str">
        <f>IFERROR(__xludf.DUMMYFUNCTION("""COMPUTED_VALUE"""),"120")</f>
        <v>120</v>
      </c>
      <c r="M543" s="1" t="str">
        <f>IFERROR(__xludf.DUMMYFUNCTION("""COMPUTED_VALUE"""),"CASA ILDEFONSO")</f>
        <v>CASA ILDEFONSO</v>
      </c>
      <c r="N543" s="1"/>
      <c r="O543" s="1" t="str">
        <f>IFERROR(__xludf.DUMMYFUNCTION("""COMPUTED_VALUE"""),"SILLP638NP1/2")</f>
        <v>SILLP638NP1/2</v>
      </c>
      <c r="P543" s="1"/>
      <c r="Q543" s="1" t="str">
        <f>IFERROR(__xludf.DUMMYFUNCTION("""COMPUTED_VALUE"""),"MALAKING TATYAO")</f>
        <v>MALAKING TATYAO</v>
      </c>
      <c r="R543" s="1" t="str">
        <f>IFERROR(__xludf.DUMMYFUNCTION("""COMPUTED_VALUE"""),"SILANG")</f>
        <v>SILANG</v>
      </c>
      <c r="S543" s="1" t="str">
        <f>IFERROR(__xludf.DUMMYFUNCTION("""COMPUTED_VALUE"""),"FIBR PLAN 1399")</f>
        <v>FIBR PLAN 1399</v>
      </c>
      <c r="T543" s="1" t="str">
        <f>IFERROR(__xludf.DUMMYFUNCTION("""COMPUTED_VALUE"""),"APPROVED")</f>
        <v>APPROVED</v>
      </c>
      <c r="U543" s="1"/>
      <c r="V543" s="1"/>
      <c r="W543" s="1"/>
    </row>
    <row r="544" customHeight="1" spans="1:23">
      <c r="A544" s="3">
        <f>IFERROR(__xludf.DUMMYFUNCTION("""COMPUTED_VALUE"""),46075)</f>
        <v>46075</v>
      </c>
      <c r="B544" s="1" t="str">
        <f>IFERROR(__xludf.DUMMYFUNCTION("""COMPUTED_VALUE"""),"GABAY, MANUEL")</f>
        <v>GABAY, MANUEL</v>
      </c>
      <c r="C544" s="1" t="str">
        <f>IFERROR(__xludf.DUMMYFUNCTION("""COMPUTED_VALUE"""),"FLA")</f>
        <v>FLA</v>
      </c>
      <c r="D544" s="1" t="str">
        <f>IFERROR(__xludf.DUMMYFUNCTION("""COMPUTED_VALUE"""),"JERIC NAVARRO")</f>
        <v>JERIC NAVARRO</v>
      </c>
      <c r="E544" s="1" t="str">
        <f>IFERROR(__xludf.DUMMYFUNCTION("""COMPUTED_VALUE"""),"PLDT")</f>
        <v>PLDT</v>
      </c>
      <c r="F544" s="1">
        <f>IFERROR(__xludf.DUMMYFUNCTION("""COMPUTED_VALUE"""),2307190029)</f>
        <v>2307190029</v>
      </c>
      <c r="G544" s="1"/>
      <c r="H544" s="1" t="str">
        <f>IFERROR(__xludf.DUMMYFUNCTION("""COMPUTED_VALUE"""),"NICANOR RAMOS AGUILAR")</f>
        <v>NICANOR RAMOS AGUILAR</v>
      </c>
      <c r="I544" s="1">
        <f>IFERROR(__xludf.DUMMYFUNCTION("""COMPUTED_VALUE"""),9675823064)</f>
        <v>9675823064</v>
      </c>
      <c r="J544" s="1">
        <f>IFERROR(__xludf.DUMMYFUNCTION("""COMPUTED_VALUE"""),9066811844)</f>
        <v>9066811844</v>
      </c>
      <c r="K544" s="1" t="str">
        <f>IFERROR(__xludf.DUMMYFUNCTION("""COMPUTED_VALUE"""),"NICAAGUILAR77@YAHOO.COM")</f>
        <v>NICAAGUILAR77@YAHOO.COM</v>
      </c>
      <c r="L544" s="1" t="str">
        <f>IFERROR(__xludf.DUMMYFUNCTION("""COMPUTED_VALUE"""),"9185")</f>
        <v>9185</v>
      </c>
      <c r="M544" s="1" t="str">
        <f>IFERROR(__xludf.DUMMYFUNCTION("""COMPUTED_VALUE"""),"IBAYONG ILOG")</f>
        <v>IBAYONG ILOG</v>
      </c>
      <c r="N544" s="1"/>
      <c r="O544" s="1" t="str">
        <f>IFERROR(__xludf.DUMMYFUNCTION("""COMPUTED_VALUE"""),"SILLP639NP1/2/3/4/5/6/7/8 SILLP638NP1/2/3/4/5/6/7/8")</f>
        <v>SILLP639NP1/2/3/4/5/6/7/8 SILLP638NP1/2/3/4/5/6/7/8</v>
      </c>
      <c r="P544" s="1" t="str">
        <f>IFERROR(__xludf.DUMMYFUNCTION("""COMPUTED_VALUE"""),"14.2477522 121.002201")</f>
        <v>14.2477522 121.002201</v>
      </c>
      <c r="Q544" s="1" t="str">
        <f>IFERROR(__xludf.DUMMYFUNCTION("""COMPUTED_VALUE"""),"KAONG")</f>
        <v>KAONG</v>
      </c>
      <c r="R544" s="1" t="str">
        <f>IFERROR(__xludf.DUMMYFUNCTION("""COMPUTED_VALUE"""),"SILANG")</f>
        <v>SILANG</v>
      </c>
      <c r="S544" s="1" t="str">
        <f>IFERROR(__xludf.DUMMYFUNCTION("""COMPUTED_VALUE"""),"FIBR PLAN 1399")</f>
        <v>FIBR PLAN 1399</v>
      </c>
      <c r="T544" s="1" t="str">
        <f>IFERROR(__xludf.DUMMYFUNCTION("""COMPUTED_VALUE"""),"APPROVED")</f>
        <v>APPROVED</v>
      </c>
      <c r="U544" s="1"/>
      <c r="V544" s="1"/>
      <c r="W544" s="1"/>
    </row>
    <row r="545" customHeight="1" spans="1:23">
      <c r="A545" s="3">
        <f>IFERROR(__xludf.DUMMYFUNCTION("""COMPUTED_VALUE"""),46075)</f>
        <v>46075</v>
      </c>
      <c r="B545" s="1" t="str">
        <f>IFERROR(__xludf.DUMMYFUNCTION("""COMPUTED_VALUE"""),"ESCARCHA, MA ALMA  ESCOTO")</f>
        <v>ESCARCHA, MA ALMA  ESCOTO</v>
      </c>
      <c r="C545" s="1" t="str">
        <f>IFERROR(__xludf.DUMMYFUNCTION("""COMPUTED_VALUE"""),"ORGANIC")</f>
        <v>ORGANIC</v>
      </c>
      <c r="D545" s="1" t="str">
        <f>IFERROR(__xludf.DUMMYFUNCTION("""COMPUTED_VALUE"""),"REMOLLO LEA")</f>
        <v>REMOLLO LEA</v>
      </c>
      <c r="E545" s="1" t="str">
        <f>IFERROR(__xludf.DUMMYFUNCTION("""COMPUTED_VALUE"""),"PLDT")</f>
        <v>PLDT</v>
      </c>
      <c r="F545" s="1">
        <f>IFERROR(__xludf.DUMMYFUNCTION("""COMPUTED_VALUE"""),2307191861)</f>
        <v>2307191861</v>
      </c>
      <c r="G545" s="1"/>
      <c r="H545" s="1" t="str">
        <f>IFERROR(__xludf.DUMMYFUNCTION("""COMPUTED_VALUE"""),"RICHELLE LANCHICO LEYBA")</f>
        <v>RICHELLE LANCHICO LEYBA</v>
      </c>
      <c r="I545" s="1">
        <f>IFERROR(__xludf.DUMMYFUNCTION("""COMPUTED_VALUE"""),9669307706)</f>
        <v>9669307706</v>
      </c>
      <c r="J545" s="1"/>
      <c r="K545" s="1" t="str">
        <f>IFERROR(__xludf.DUMMYFUNCTION("""COMPUTED_VALUE"""),"LEYBARICHELLE717@GMAIL.COM")</f>
        <v>LEYBARICHELLE717@GMAIL.COM</v>
      </c>
      <c r="L545" s="1" t="str">
        <f>IFERROR(__xludf.DUMMYFUNCTION("""COMPUTED_VALUE"""),"274")</f>
        <v>274</v>
      </c>
      <c r="M545" s="1" t="str">
        <f>IFERROR(__xludf.DUMMYFUNCTION("""COMPUTED_VALUE"""),"KAONG")</f>
        <v>KAONG</v>
      </c>
      <c r="N545" s="1"/>
      <c r="O545" s="1" t="str">
        <f>IFERROR(__xludf.DUMMYFUNCTION("""COMPUTED_VALUE"""),"SILLP638NP1 SILP598NP5")</f>
        <v>SILLP638NP1 SILP598NP5</v>
      </c>
      <c r="P545" s="1"/>
      <c r="Q545" s="1" t="str">
        <f>IFERROR(__xludf.DUMMYFUNCTION("""COMPUTED_VALUE"""),"KAONG")</f>
        <v>KAONG</v>
      </c>
      <c r="R545" s="1" t="str">
        <f>IFERROR(__xludf.DUMMYFUNCTION("""COMPUTED_VALUE"""),"SILANG")</f>
        <v>SILANG</v>
      </c>
      <c r="S545" s="1" t="str">
        <f>IFERROR(__xludf.DUMMYFUNCTION("""COMPUTED_VALUE"""),"FIBR PLAN 1399")</f>
        <v>FIBR PLAN 1399</v>
      </c>
      <c r="T545" s="1" t="str">
        <f>IFERROR(__xludf.DUMMYFUNCTION("""COMPUTED_VALUE"""),"APPROVED")</f>
        <v>APPROVED</v>
      </c>
      <c r="U545" s="1"/>
      <c r="V545" s="1"/>
      <c r="W545" s="1"/>
    </row>
    <row r="546" customHeight="1" spans="1:23">
      <c r="A546" s="3">
        <f>IFERROR(__xludf.DUMMYFUNCTION("""COMPUTED_VALUE"""),46075)</f>
        <v>46075</v>
      </c>
      <c r="B546" s="1" t="str">
        <f>IFERROR(__xludf.DUMMYFUNCTION("""COMPUTED_VALUE"""),"AYON MANUEL")</f>
        <v>AYON MANUEL</v>
      </c>
      <c r="C546" s="1" t="str">
        <f>IFERROR(__xludf.DUMMYFUNCTION("""COMPUTED_VALUE"""),"FLA")</f>
        <v>FLA</v>
      </c>
      <c r="D546" s="1" t="str">
        <f>IFERROR(__xludf.DUMMYFUNCTION("""COMPUTED_VALUE"""),"JERIC NAVARRO")</f>
        <v>JERIC NAVARRO</v>
      </c>
      <c r="E546" s="1" t="str">
        <f>IFERROR(__xludf.DUMMYFUNCTION("""COMPUTED_VALUE"""),"PLDT")</f>
        <v>PLDT</v>
      </c>
      <c r="F546" s="1"/>
      <c r="G546" s="1"/>
      <c r="H546" s="1" t="str">
        <f>IFERROR(__xludf.DUMMYFUNCTION("""COMPUTED_VALUE"""),"MAGUEL BALLINAN PARAISO")</f>
        <v>MAGUEL BALLINAN PARAISO</v>
      </c>
      <c r="I546" s="1">
        <f>IFERROR(__xludf.DUMMYFUNCTION("""COMPUTED_VALUE"""),9610775606)</f>
        <v>9610775606</v>
      </c>
      <c r="J546" s="1">
        <f>IFERROR(__xludf.DUMMYFUNCTION("""COMPUTED_VALUE"""),9562356045)</f>
        <v>9562356045</v>
      </c>
      <c r="K546" s="1" t="str">
        <f>IFERROR(__xludf.DUMMYFUNCTION("""COMPUTED_VALUE"""),"PARADISEMIGZ132@GMAIL.COM")</f>
        <v>PARADISEMIGZ132@GMAIL.COM</v>
      </c>
      <c r="L546" s="1" t="str">
        <f>IFERROR(__xludf.DUMMYFUNCTION("""COMPUTED_VALUE"""),"9009")</f>
        <v>9009</v>
      </c>
      <c r="M546" s="1" t="str">
        <f>IFERROR(__xludf.DUMMYFUNCTION("""COMPUTED_VALUE"""),"IBAYONG ILOG")</f>
        <v>IBAYONG ILOG</v>
      </c>
      <c r="N546" s="1"/>
      <c r="O546" s="1" t="str">
        <f>IFERROR(__xludf.DUMMYFUNCTION("""COMPUTED_VALUE"""),"SILLP638NP1 SILP598NP5")</f>
        <v>SILLP638NP1 SILP598NP5</v>
      </c>
      <c r="P546" s="1"/>
      <c r="Q546" s="1" t="str">
        <f>IFERROR(__xludf.DUMMYFUNCTION("""COMPUTED_VALUE"""),"KAONG")</f>
        <v>KAONG</v>
      </c>
      <c r="R546" s="1" t="str">
        <f>IFERROR(__xludf.DUMMYFUNCTION("""COMPUTED_VALUE"""),"SILANG")</f>
        <v>SILANG</v>
      </c>
      <c r="S546" s="1" t="str">
        <f>IFERROR(__xludf.DUMMYFUNCTION("""COMPUTED_VALUE"""),"FIBR PLAN 1399")</f>
        <v>FIBR PLAN 1399</v>
      </c>
      <c r="T546" s="1" t="str">
        <f>IFERROR(__xludf.DUMMYFUNCTION("""COMPUTED_VALUE"""),"APPROVED")</f>
        <v>APPROVED</v>
      </c>
      <c r="U546" s="1"/>
      <c r="V546" s="1"/>
      <c r="W546" s="1"/>
    </row>
    <row r="547" customHeight="1" spans="1:23">
      <c r="A547" s="3">
        <f>IFERROR(__xludf.DUMMYFUNCTION("""COMPUTED_VALUE"""),46075)</f>
        <v>46075</v>
      </c>
      <c r="B547" s="1" t="str">
        <f>IFERROR(__xludf.DUMMYFUNCTION("""COMPUTED_VALUE"""),"CANTANERO JUNEL")</f>
        <v>CANTANERO JUNEL</v>
      </c>
      <c r="C547" s="1" t="str">
        <f>IFERROR(__xludf.DUMMYFUNCTION("""COMPUTED_VALUE"""),"ORGANIC")</f>
        <v>ORGANIC</v>
      </c>
      <c r="D547" s="1" t="str">
        <f>IFERROR(__xludf.DUMMYFUNCTION("""COMPUTED_VALUE"""),"REMOLLO LEA")</f>
        <v>REMOLLO LEA</v>
      </c>
      <c r="E547" s="1" t="str">
        <f>IFERROR(__xludf.DUMMYFUNCTION("""COMPUTED_VALUE"""),"PLDT")</f>
        <v>PLDT</v>
      </c>
      <c r="F547" s="1">
        <f>IFERROR(__xludf.DUMMYFUNCTION("""COMPUTED_VALUE"""),2307190618)</f>
        <v>2307190618</v>
      </c>
      <c r="G547" s="1"/>
      <c r="H547" s="1" t="str">
        <f>IFERROR(__xludf.DUMMYFUNCTION("""COMPUTED_VALUE"""),"AGATON MAGNAYE ATIENZA")</f>
        <v>AGATON MAGNAYE ATIENZA</v>
      </c>
      <c r="I547" s="1">
        <f>IFERROR(__xludf.DUMMYFUNCTION("""COMPUTED_VALUE"""),9166851682)</f>
        <v>9166851682</v>
      </c>
      <c r="J547" s="1"/>
      <c r="K547" s="1" t="str">
        <f>IFERROR(__xludf.DUMMYFUNCTION("""COMPUTED_VALUE"""),"AGATONATIENZA24@GMAIL.COM")</f>
        <v>AGATONATIENZA24@GMAIL.COM</v>
      </c>
      <c r="L547" s="1" t="str">
        <f>IFERROR(__xludf.DUMMYFUNCTION("""COMPUTED_VALUE"""),"342")</f>
        <v>342</v>
      </c>
      <c r="M547" s="1" t="str">
        <f>IFERROR(__xludf.DUMMYFUNCTION("""COMPUTED_VALUE"""),"SITIO BAYUGAN")</f>
        <v>SITIO BAYUGAN</v>
      </c>
      <c r="N547" s="1"/>
      <c r="O547" s="1" t="str">
        <f>IFERROR(__xludf.DUMMYFUNCTION("""COMPUTED_VALUE"""),"SILLP638NP1 SILLP598NP5/7")</f>
        <v>SILLP638NP1 SILLP598NP5/7</v>
      </c>
      <c r="P547" s="1"/>
      <c r="Q547" s="1" t="str">
        <f>IFERROR(__xludf.DUMMYFUNCTION("""COMPUTED_VALUE"""),"KAONG")</f>
        <v>KAONG</v>
      </c>
      <c r="R547" s="1" t="str">
        <f>IFERROR(__xludf.DUMMYFUNCTION("""COMPUTED_VALUE"""),"SILANG")</f>
        <v>SILANG</v>
      </c>
      <c r="S547" s="1" t="str">
        <f>IFERROR(__xludf.DUMMYFUNCTION("""COMPUTED_VALUE"""),"FIBR PLAN 999 W/ CIGNAL")</f>
        <v>FIBR PLAN 999 W/ CIGNAL</v>
      </c>
      <c r="T547" s="1" t="str">
        <f>IFERROR(__xludf.DUMMYFUNCTION("""COMPUTED_VALUE"""),"APPROVED")</f>
        <v>APPROVED</v>
      </c>
      <c r="U547" s="1"/>
      <c r="V547" s="1"/>
      <c r="W547" s="1"/>
    </row>
    <row r="548" customHeight="1" spans="1:23">
      <c r="A548" s="3">
        <f>IFERROR(__xludf.DUMMYFUNCTION("""COMPUTED_VALUE"""),46075)</f>
        <v>46075</v>
      </c>
      <c r="B548" s="1" t="str">
        <f>IFERROR(__xludf.DUMMYFUNCTION("""COMPUTED_VALUE"""),"CALZITA JAJIE")</f>
        <v>CALZITA JAJIE</v>
      </c>
      <c r="C548" s="1" t="str">
        <f>IFERROR(__xludf.DUMMYFUNCTION("""COMPUTED_VALUE"""),"ORGANIC")</f>
        <v>ORGANIC</v>
      </c>
      <c r="D548" s="1" t="str">
        <f>IFERROR(__xludf.DUMMYFUNCTION("""COMPUTED_VALUE"""),"ALOS, CHARLS")</f>
        <v>ALOS, CHARLS</v>
      </c>
      <c r="E548" s="1" t="str">
        <f>IFERROR(__xludf.DUMMYFUNCTION("""COMPUTED_VALUE"""),"RED FIBER")</f>
        <v>RED FIBER</v>
      </c>
      <c r="F548" s="1"/>
      <c r="G548" s="1"/>
      <c r="H548" s="1" t="str">
        <f>IFERROR(__xludf.DUMMYFUNCTION("""COMPUTED_VALUE"""),"EDNA DESINGANO GATPANDAN")</f>
        <v>EDNA DESINGANO GATPANDAN</v>
      </c>
      <c r="I548" s="1">
        <f>IFERROR(__xludf.DUMMYFUNCTION("""COMPUTED_VALUE"""),9639194858)</f>
        <v>9639194858</v>
      </c>
      <c r="J548" s="1"/>
      <c r="K548" s="1" t="str">
        <f>IFERROR(__xludf.DUMMYFUNCTION("""COMPUTED_VALUE"""),"EDNAARATEA04@GMAIL.COM")</f>
        <v>EDNAARATEA04@GMAIL.COM</v>
      </c>
      <c r="L548" s="1" t="str">
        <f>IFERROR(__xludf.DUMMYFUNCTION("""COMPUTED_VALUE"""),"9")</f>
        <v>9</v>
      </c>
      <c r="M548" s="1" t="str">
        <f>IFERROR(__xludf.DUMMYFUNCTION("""COMPUTED_VALUE"""),"MENDOZA ST")</f>
        <v>MENDOZA ST</v>
      </c>
      <c r="N548" s="1"/>
      <c r="O548" s="1" t="str">
        <f>IFERROR(__xludf.DUMMYFUNCTION("""COMPUTED_VALUE"""),"CVTL2LCP56NP1")</f>
        <v>CVTL2LCP56NP1</v>
      </c>
      <c r="P548" s="1" t="str">
        <f>IFERROR(__xludf.DUMMYFUNCTION("""COMPUTED_VALUE"""),"14.125087 120.907125")</f>
        <v>14.125087 120.907125</v>
      </c>
      <c r="Q548" s="1" t="str">
        <f>IFERROR(__xludf.DUMMYFUNCTION("""COMPUTED_VALUE"""),"GALICIA III")</f>
        <v>GALICIA III</v>
      </c>
      <c r="R548" s="1" t="str">
        <f>IFERROR(__xludf.DUMMYFUNCTION("""COMPUTED_VALUE"""),"MENDEZ")</f>
        <v>MENDEZ</v>
      </c>
      <c r="S548" s="1" t="str">
        <f>IFERROR(__xludf.DUMMYFUNCTION("""COMPUTED_VALUE"""),"RED FIBER PLAN 1000")</f>
        <v>RED FIBER PLAN 1000</v>
      </c>
      <c r="T548" s="1" t="str">
        <f>IFERROR(__xludf.DUMMYFUNCTION("""COMPUTED_VALUE"""),"APPROVED")</f>
        <v>APPROVED</v>
      </c>
      <c r="U548" s="1"/>
      <c r="V548" s="1"/>
      <c r="W548" s="1"/>
    </row>
    <row r="549" customHeight="1" spans="1:23">
      <c r="A549" s="3">
        <f>IFERROR(__xludf.DUMMYFUNCTION("""COMPUTED_VALUE"""),46075)</f>
        <v>46075</v>
      </c>
      <c r="B549" s="1" t="str">
        <f>IFERROR(__xludf.DUMMYFUNCTION("""COMPUTED_VALUE"""),"AQUINO, LUIS")</f>
        <v>AQUINO, LUIS</v>
      </c>
      <c r="C549" s="1" t="str">
        <f>IFERROR(__xludf.DUMMYFUNCTION("""COMPUTED_VALUE"""),"ORGANIC")</f>
        <v>ORGANIC</v>
      </c>
      <c r="D549" s="1" t="str">
        <f>IFERROR(__xludf.DUMMYFUNCTION("""COMPUTED_VALUE"""),"ALOS, CHARLS")</f>
        <v>ALOS, CHARLS</v>
      </c>
      <c r="E549" s="1" t="str">
        <f>IFERROR(__xludf.DUMMYFUNCTION("""COMPUTED_VALUE"""),"RED FIBER")</f>
        <v>RED FIBER</v>
      </c>
      <c r="F549" s="1"/>
      <c r="G549" s="1"/>
      <c r="H549" s="1" t="str">
        <f>IFERROR(__xludf.DUMMYFUNCTION("""COMPUTED_VALUE"""),"MARY JANE GATPANDAN ARATEA")</f>
        <v>MARY JANE GATPANDAN ARATEA</v>
      </c>
      <c r="I549" s="1">
        <f>IFERROR(__xludf.DUMMYFUNCTION("""COMPUTED_VALUE"""),9926281780)</f>
        <v>9926281780</v>
      </c>
      <c r="J549" s="1"/>
      <c r="K549" s="1" t="str">
        <f>IFERROR(__xludf.DUMMYFUNCTION("""COMPUTED_VALUE"""),"ARATEAMARYJANE14@GMAIL.COM")</f>
        <v>ARATEAMARYJANE14@GMAIL.COM</v>
      </c>
      <c r="L549" s="1" t="str">
        <f>IFERROR(__xludf.DUMMYFUNCTION("""COMPUTED_VALUE"""),"907211")</f>
        <v>907211</v>
      </c>
      <c r="M549" s="1" t="str">
        <f>IFERROR(__xludf.DUMMYFUNCTION("""COMPUTED_VALUE"""),"MENDEZ RD")</f>
        <v>MENDEZ RD</v>
      </c>
      <c r="N549" s="1"/>
      <c r="O549" s="1" t="str">
        <f>IFERROR(__xludf.DUMMYFUNCTION("""COMPUTED_VALUE"""),"CVT2LCP55NP1")</f>
        <v>CVT2LCP55NP1</v>
      </c>
      <c r="P549" s="1" t="str">
        <f>IFERROR(__xludf.DUMMYFUNCTION("""COMPUTED_VALUE"""),"14.125902 120.908616")</f>
        <v>14.125902 120.908616</v>
      </c>
      <c r="Q549" s="1" t="str">
        <f>IFERROR(__xludf.DUMMYFUNCTION("""COMPUTED_VALUE"""),"GALICIA II")</f>
        <v>GALICIA II</v>
      </c>
      <c r="R549" s="1" t="str">
        <f>IFERROR(__xludf.DUMMYFUNCTION("""COMPUTED_VALUE"""),"MENDEZ")</f>
        <v>MENDEZ</v>
      </c>
      <c r="S549" s="1" t="str">
        <f>IFERROR(__xludf.DUMMYFUNCTION("""COMPUTED_VALUE"""),"RED FIBER PLAN 1000")</f>
        <v>RED FIBER PLAN 1000</v>
      </c>
      <c r="T549" s="1" t="str">
        <f>IFERROR(__xludf.DUMMYFUNCTION("""COMPUTED_VALUE"""),"APPROVED")</f>
        <v>APPROVED</v>
      </c>
      <c r="U549" s="1"/>
      <c r="V549" s="1"/>
      <c r="W549" s="1"/>
    </row>
    <row r="550" customHeight="1" spans="1:23">
      <c r="A550" s="3">
        <f>IFERROR(__xludf.DUMMYFUNCTION("""COMPUTED_VALUE"""),46075)</f>
        <v>46075</v>
      </c>
      <c r="B550" s="1" t="str">
        <f>IFERROR(__xludf.DUMMYFUNCTION("""COMPUTED_VALUE"""),"LLEGUE. RON VINCENT")</f>
        <v>LLEGUE. RON VINCENT</v>
      </c>
      <c r="C550" s="1" t="str">
        <f>IFERROR(__xludf.DUMMYFUNCTION("""COMPUTED_VALUE"""),"ORGANIC")</f>
        <v>ORGANIC</v>
      </c>
      <c r="D550" s="1" t="str">
        <f>IFERROR(__xludf.DUMMYFUNCTION("""COMPUTED_VALUE"""),"ALOS, CHARLS")</f>
        <v>ALOS, CHARLS</v>
      </c>
      <c r="E550" s="1" t="str">
        <f>IFERROR(__xludf.DUMMYFUNCTION("""COMPUTED_VALUE"""),"RED FIBER")</f>
        <v>RED FIBER</v>
      </c>
      <c r="F550" s="1"/>
      <c r="G550" s="1"/>
      <c r="H550" s="1" t="str">
        <f>IFERROR(__xludf.DUMMYFUNCTION("""COMPUTED_VALUE"""),"JOHN MICHAEL PAGWAGAN ESPIRITU")</f>
        <v>JOHN MICHAEL PAGWAGAN ESPIRITU</v>
      </c>
      <c r="I550" s="1">
        <f>IFERROR(__xludf.DUMMYFUNCTION("""COMPUTED_VALUE"""),9094398380)</f>
        <v>9094398380</v>
      </c>
      <c r="J550" s="1"/>
      <c r="K550" s="1" t="str">
        <f>IFERROR(__xludf.DUMMYFUNCTION("""COMPUTED_VALUE"""),"JMSHESHANNESPIRITU@GMAIL.COM")</f>
        <v>JMSHESHANNESPIRITU@GMAIL.COM</v>
      </c>
      <c r="L550" s="1" t="str">
        <f>IFERROR(__xludf.DUMMYFUNCTION("""COMPUTED_VALUE"""),"UNIT 4")</f>
        <v>UNIT 4</v>
      </c>
      <c r="M550" s="1" t="str">
        <f>IFERROR(__xludf.DUMMYFUNCTION("""COMPUTED_VALUE"""),"LLAMADO ST")</f>
        <v>LLAMADO ST</v>
      </c>
      <c r="N550" s="1"/>
      <c r="O550" s="1" t="str">
        <f>IFERROR(__xludf.DUMMYFUNCTION("""COMPUTED_VALUE"""),"CVT2LCP55NP1")</f>
        <v>CVT2LCP55NP1</v>
      </c>
      <c r="P550" s="1" t="str">
        <f>IFERROR(__xludf.DUMMYFUNCTION("""COMPUTED_VALUE"""),"14.12521 120.906846")</f>
        <v>14.12521 120.906846</v>
      </c>
      <c r="Q550" s="1" t="str">
        <f>IFERROR(__xludf.DUMMYFUNCTION("""COMPUTED_VALUE"""),"GALICIA II")</f>
        <v>GALICIA II</v>
      </c>
      <c r="R550" s="1" t="str">
        <f>IFERROR(__xludf.DUMMYFUNCTION("""COMPUTED_VALUE"""),"MENDEZ")</f>
        <v>MENDEZ</v>
      </c>
      <c r="S550" s="1" t="str">
        <f>IFERROR(__xludf.DUMMYFUNCTION("""COMPUTED_VALUE"""),"RED FIBER PLAN 1000")</f>
        <v>RED FIBER PLAN 1000</v>
      </c>
      <c r="T550" s="1" t="str">
        <f>IFERROR(__xludf.DUMMYFUNCTION("""COMPUTED_VALUE"""),"APPROVED")</f>
        <v>APPROVED</v>
      </c>
      <c r="U550" s="1"/>
      <c r="V550" s="1"/>
      <c r="W550" s="1"/>
    </row>
    <row r="551" customHeight="1" spans="1:23">
      <c r="A551" s="3">
        <f>IFERROR(__xludf.DUMMYFUNCTION("""COMPUTED_VALUE"""),46075)</f>
        <v>46075</v>
      </c>
      <c r="B551" s="1" t="str">
        <f>IFERROR(__xludf.DUMMYFUNCTION("""COMPUTED_VALUE"""),"AYON MANUEL")</f>
        <v>AYON MANUEL</v>
      </c>
      <c r="C551" s="1" t="str">
        <f>IFERROR(__xludf.DUMMYFUNCTION("""COMPUTED_VALUE"""),"FLA")</f>
        <v>FLA</v>
      </c>
      <c r="D551" s="1" t="str">
        <f>IFERROR(__xludf.DUMMYFUNCTION("""COMPUTED_VALUE"""),"JERIC NAVARRO")</f>
        <v>JERIC NAVARRO</v>
      </c>
      <c r="E551" s="1" t="str">
        <f>IFERROR(__xludf.DUMMYFUNCTION("""COMPUTED_VALUE"""),"PLDT")</f>
        <v>PLDT</v>
      </c>
      <c r="F551" s="1">
        <f>IFERROR(__xludf.DUMMYFUNCTION("""COMPUTED_VALUE"""),2307192287)</f>
        <v>2307192287</v>
      </c>
      <c r="G551" s="1"/>
      <c r="H551" s="1" t="str">
        <f>IFERROR(__xludf.DUMMYFUNCTION("""COMPUTED_VALUE"""),"JOEWEL BOLOR BUSA")</f>
        <v>JOEWEL BOLOR BUSA</v>
      </c>
      <c r="I551" s="1">
        <f>IFERROR(__xludf.DUMMYFUNCTION("""COMPUTED_VALUE"""),9610775606)</f>
        <v>9610775606</v>
      </c>
      <c r="J551" s="1">
        <f>IFERROR(__xludf.DUMMYFUNCTION("""COMPUTED_VALUE"""),9562356045)</f>
        <v>9562356045</v>
      </c>
      <c r="K551" s="1" t="str">
        <f>IFERROR(__xludf.DUMMYFUNCTION("""COMPUTED_VALUE"""),"PARADISEMIGZ132@GMAIL.COM")</f>
        <v>PARADISEMIGZ132@GMAIL.COM</v>
      </c>
      <c r="L551" s="1" t="str">
        <f>IFERROR(__xludf.DUMMYFUNCTION("""COMPUTED_VALUE"""),"9009")</f>
        <v>9009</v>
      </c>
      <c r="M551" s="1" t="str">
        <f>IFERROR(__xludf.DUMMYFUNCTION("""COMPUTED_VALUE"""),"IBAYONG ILOG")</f>
        <v>IBAYONG ILOG</v>
      </c>
      <c r="N551" s="1"/>
      <c r="O551" s="1" t="str">
        <f>IFERROR(__xludf.DUMMYFUNCTION("""COMPUTED_VALUE"""),"SILLP638NP1 SILP598NP5")</f>
        <v>SILLP638NP1 SILP598NP5</v>
      </c>
      <c r="P551" s="1"/>
      <c r="Q551" s="1" t="str">
        <f>IFERROR(__xludf.DUMMYFUNCTION("""COMPUTED_VALUE"""),"KAONG")</f>
        <v>KAONG</v>
      </c>
      <c r="R551" s="1" t="str">
        <f>IFERROR(__xludf.DUMMYFUNCTION("""COMPUTED_VALUE"""),"SILANG")</f>
        <v>SILANG</v>
      </c>
      <c r="S551" s="1" t="str">
        <f>IFERROR(__xludf.DUMMYFUNCTION("""COMPUTED_VALUE"""),"FIBR PLAN 1399")</f>
        <v>FIBR PLAN 1399</v>
      </c>
      <c r="T551" s="1" t="str">
        <f>IFERROR(__xludf.DUMMYFUNCTION("""COMPUTED_VALUE"""),"APPROVED")</f>
        <v>APPROVED</v>
      </c>
      <c r="U551" s="1"/>
      <c r="V551" s="1"/>
      <c r="W551" s="1"/>
    </row>
    <row r="552" customHeight="1" spans="1:23">
      <c r="A552" s="3">
        <f>IFERROR(__xludf.DUMMYFUNCTION("""COMPUTED_VALUE"""),46075)</f>
        <v>46075</v>
      </c>
      <c r="B552" s="1" t="str">
        <f>IFERROR(__xludf.DUMMYFUNCTION("""COMPUTED_VALUE"""),"MIRASOL, RAYRALYN")</f>
        <v>MIRASOL, RAYRALYN</v>
      </c>
      <c r="C552" s="1" t="str">
        <f>IFERROR(__xludf.DUMMYFUNCTION("""COMPUTED_VALUE"""),"ORGANIC")</f>
        <v>ORGANIC</v>
      </c>
      <c r="D552" s="1" t="str">
        <f>IFERROR(__xludf.DUMMYFUNCTION("""COMPUTED_VALUE"""),"REMOLLO LEA")</f>
        <v>REMOLLO LEA</v>
      </c>
      <c r="E552" s="1" t="str">
        <f>IFERROR(__xludf.DUMMYFUNCTION("""COMPUTED_VALUE"""),"PLDT")</f>
        <v>PLDT</v>
      </c>
      <c r="F552" s="1">
        <f>IFERROR(__xludf.DUMMYFUNCTION("""COMPUTED_VALUE"""),2307192542)</f>
        <v>2307192542</v>
      </c>
      <c r="G552" s="1"/>
      <c r="H552" s="1" t="str">
        <f>IFERROR(__xludf.DUMMYFUNCTION("""COMPUTED_VALUE"""),"ROBERTO BRAGAIS HERMOCILLA")</f>
        <v>ROBERTO BRAGAIS HERMOCILLA</v>
      </c>
      <c r="I552" s="1">
        <f>IFERROR(__xludf.DUMMYFUNCTION("""COMPUTED_VALUE"""),9635089912)</f>
        <v>9635089912</v>
      </c>
      <c r="J552" s="1"/>
      <c r="K552" s="1" t="str">
        <f>IFERROR(__xludf.DUMMYFUNCTION("""COMPUTED_VALUE"""),"ROBERTOBRAGAIS569@GMAIL.COM")</f>
        <v>ROBERTOBRAGAIS569@GMAIL.COM</v>
      </c>
      <c r="L552" s="1" t="str">
        <f>IFERROR(__xludf.DUMMYFUNCTION("""COMPUTED_VALUE"""),"9354")</f>
        <v>9354</v>
      </c>
      <c r="M552" s="1" t="str">
        <f>IFERROR(__xludf.DUMMYFUNCTION("""COMPUTED_VALUE"""),"KARSADAHAN")</f>
        <v>KARSADAHAN</v>
      </c>
      <c r="N552" s="1"/>
      <c r="O552" s="1" t="str">
        <f>IFERROR(__xludf.DUMMYFUNCTION("""COMPUTED_VALUE"""),"SILLP569NP3/6/7 SILP570NP1")</f>
        <v>SILLP569NP3/6/7 SILP570NP1</v>
      </c>
      <c r="P552" s="1" t="str">
        <f>IFERROR(__xludf.DUMMYFUNCTION("""COMPUTED_VALUE"""),"14.243146 120.995426")</f>
        <v>14.243146 120.995426</v>
      </c>
      <c r="Q552" s="1" t="str">
        <f>IFERROR(__xludf.DUMMYFUNCTION("""COMPUTED_VALUE"""),"KAONG")</f>
        <v>KAONG</v>
      </c>
      <c r="R552" s="1" t="str">
        <f>IFERROR(__xludf.DUMMYFUNCTION("""COMPUTED_VALUE"""),"SILANG")</f>
        <v>SILANG</v>
      </c>
      <c r="S552" s="1" t="str">
        <f>IFERROR(__xludf.DUMMYFUNCTION("""COMPUTED_VALUE"""),"FIBR PLAN 1299")</f>
        <v>FIBR PLAN 1299</v>
      </c>
      <c r="T552" s="1" t="str">
        <f>IFERROR(__xludf.DUMMYFUNCTION("""COMPUTED_VALUE"""),"APPROVED")</f>
        <v>APPROVED</v>
      </c>
      <c r="U552" s="1"/>
      <c r="V552" s="1"/>
      <c r="W552" s="1"/>
    </row>
    <row r="553" customHeight="1" spans="1:23">
      <c r="A553" s="3">
        <f>IFERROR(__xludf.DUMMYFUNCTION("""COMPUTED_VALUE"""),46076)</f>
        <v>46076</v>
      </c>
      <c r="B553" s="1" t="str">
        <f>IFERROR(__xludf.DUMMYFUNCTION("""COMPUTED_VALUE"""),"MAGDARAOG, KENNETH")</f>
        <v>MAGDARAOG, KENNETH</v>
      </c>
      <c r="C553" s="1" t="str">
        <f>IFERROR(__xludf.DUMMYFUNCTION("""COMPUTED_VALUE"""),"ORGANIC")</f>
        <v>ORGANIC</v>
      </c>
      <c r="D553" s="1" t="str">
        <f>IFERROR(__xludf.DUMMYFUNCTION("""COMPUTED_VALUE"""),"REMOLLO LEA")</f>
        <v>REMOLLO LEA</v>
      </c>
      <c r="E553" s="1" t="str">
        <f>IFERROR(__xludf.DUMMYFUNCTION("""COMPUTED_VALUE"""),"PLDT")</f>
        <v>PLDT</v>
      </c>
      <c r="F553" s="1">
        <f>IFERROR(__xludf.DUMMYFUNCTION("""COMPUTED_VALUE"""),2307209471)</f>
        <v>2307209471</v>
      </c>
      <c r="G553" s="1"/>
      <c r="H553" s="1" t="str">
        <f>IFERROR(__xludf.DUMMYFUNCTION("""COMPUTED_VALUE"""),"JAZZMINE ZWITCHEL NUEVO MONTRAE")</f>
        <v>JAZZMINE ZWITCHEL NUEVO MONTRAE</v>
      </c>
      <c r="I553" s="1">
        <f>IFERROR(__xludf.DUMMYFUNCTION("""COMPUTED_VALUE"""),935608693)</f>
        <v>935608693</v>
      </c>
      <c r="J553" s="1">
        <f>IFERROR(__xludf.DUMMYFUNCTION("""COMPUTED_VALUE"""),9915578270)</f>
        <v>9915578270</v>
      </c>
      <c r="K553" s="1" t="str">
        <f>IFERROR(__xludf.DUMMYFUNCTION("""COMPUTED_VALUE"""),"JZWITCHELTREY@GMAIL.COM")</f>
        <v>JZWITCHELTREY@GMAIL.COM</v>
      </c>
      <c r="L553" s="1" t="str">
        <f>IFERROR(__xludf.DUMMYFUNCTION("""COMPUTED_VALUE"""),"410")</f>
        <v>410</v>
      </c>
      <c r="M553" s="1" t="str">
        <f>IFERROR(__xludf.DUMMYFUNCTION("""COMPUTED_VALUE"""),"BAYUNGAN")</f>
        <v>BAYUNGAN</v>
      </c>
      <c r="N553" s="1"/>
      <c r="O553" s="1" t="str">
        <f>IFERROR(__xludf.DUMMYFUNCTION("""COMPUTED_VALUE"""),"SILLP598NP7/5 SILP638NP1")</f>
        <v>SILLP598NP7/5 SILP638NP1</v>
      </c>
      <c r="P553" s="1"/>
      <c r="Q553" s="1" t="str">
        <f>IFERROR(__xludf.DUMMYFUNCTION("""COMPUTED_VALUE"""),"KAONG")</f>
        <v>KAONG</v>
      </c>
      <c r="R553" s="1" t="str">
        <f>IFERROR(__xludf.DUMMYFUNCTION("""COMPUTED_VALUE"""),"SILANG")</f>
        <v>SILANG</v>
      </c>
      <c r="S553" s="1" t="str">
        <f>IFERROR(__xludf.DUMMYFUNCTION("""COMPUTED_VALUE"""),"PREPAID 999")</f>
        <v>PREPAID 999</v>
      </c>
      <c r="T553" s="1" t="str">
        <f>IFERROR(__xludf.DUMMYFUNCTION("""COMPUTED_VALUE"""),"APPROVED")</f>
        <v>APPROVED</v>
      </c>
      <c r="U553" s="1"/>
      <c r="V553" s="1"/>
      <c r="W553" s="1"/>
    </row>
    <row r="554" customHeight="1" spans="1:23">
      <c r="A554" s="3">
        <f>IFERROR(__xludf.DUMMYFUNCTION("""COMPUTED_VALUE"""),46076)</f>
        <v>46076</v>
      </c>
      <c r="B554" s="1" t="str">
        <f>IFERROR(__xludf.DUMMYFUNCTION("""COMPUTED_VALUE"""),"SAMURAY, MARINELLE GACILLIOS")</f>
        <v>SAMURAY, MARINELLE GACILLIOS</v>
      </c>
      <c r="C554" s="1" t="str">
        <f>IFERROR(__xludf.DUMMYFUNCTION("""COMPUTED_VALUE"""),"ORGANIC")</f>
        <v>ORGANIC</v>
      </c>
      <c r="D554" s="1" t="str">
        <f>IFERROR(__xludf.DUMMYFUNCTION("""COMPUTED_VALUE"""),"REMOLLO LEA")</f>
        <v>REMOLLO LEA</v>
      </c>
      <c r="E554" s="1" t="str">
        <f>IFERROR(__xludf.DUMMYFUNCTION("""COMPUTED_VALUE"""),"PLDT")</f>
        <v>PLDT</v>
      </c>
      <c r="F554" s="1">
        <f>IFERROR(__xludf.DUMMYFUNCTION("""COMPUTED_VALUE"""),2307205606)</f>
        <v>2307205606</v>
      </c>
      <c r="G554" s="1"/>
      <c r="H554" s="1" t="str">
        <f>IFERROR(__xludf.DUMMYFUNCTION("""COMPUTED_VALUE"""),"RHEA KRISTEL SARDOMA BARGOLA")</f>
        <v>RHEA KRISTEL SARDOMA BARGOLA</v>
      </c>
      <c r="I554" s="1">
        <f>IFERROR(__xludf.DUMMYFUNCTION("""COMPUTED_VALUE"""),9464884090)</f>
        <v>9464884090</v>
      </c>
      <c r="J554" s="1"/>
      <c r="K554" s="1" t="str">
        <f>IFERROR(__xludf.DUMMYFUNCTION("""COMPUTED_VALUE"""),"RHEAKRISTELBARGOLA@GMAIL.COM")</f>
        <v>RHEAKRISTELBARGOLA@GMAIL.COM</v>
      </c>
      <c r="L554" s="1" t="str">
        <f>IFERROR(__xludf.DUMMYFUNCTION("""COMPUTED_VALUE"""),"13")</f>
        <v>13</v>
      </c>
      <c r="M554" s="1" t="str">
        <f>IFERROR(__xludf.DUMMYFUNCTION("""COMPUTED_VALUE"""),"BAYUGAN RD")</f>
        <v>BAYUGAN RD</v>
      </c>
      <c r="N554" s="1"/>
      <c r="O554" s="1" t="str">
        <f>IFERROR(__xludf.DUMMYFUNCTION("""COMPUTED_VALUE"""),"SILLP263NP3")</f>
        <v>SILLP263NP3</v>
      </c>
      <c r="P554" s="1" t="str">
        <f>IFERROR(__xludf.DUMMYFUNCTION("""COMPUTED_VALUE"""),"14.249325 120.996172")</f>
        <v>14.249325 120.996172</v>
      </c>
      <c r="Q554" s="1" t="str">
        <f>IFERROR(__xludf.DUMMYFUNCTION("""COMPUTED_VALUE"""),"KAONG")</f>
        <v>KAONG</v>
      </c>
      <c r="R554" s="1" t="str">
        <f>IFERROR(__xludf.DUMMYFUNCTION("""COMPUTED_VALUE"""),"SILANG")</f>
        <v>SILANG</v>
      </c>
      <c r="S554" s="1" t="str">
        <f>IFERROR(__xludf.DUMMYFUNCTION("""COMPUTED_VALUE"""),"PREPAID 999")</f>
        <v>PREPAID 999</v>
      </c>
      <c r="T554" s="1" t="str">
        <f>IFERROR(__xludf.DUMMYFUNCTION("""COMPUTED_VALUE"""),"APPROVED")</f>
        <v>APPROVED</v>
      </c>
      <c r="U554" s="1"/>
      <c r="V554" s="1"/>
      <c r="W554" s="1"/>
    </row>
    <row r="555" customHeight="1" spans="1:23">
      <c r="A555" s="3">
        <f>IFERROR(__xludf.DUMMYFUNCTION("""COMPUTED_VALUE"""),46076)</f>
        <v>46076</v>
      </c>
      <c r="B555" s="1" t="str">
        <f>IFERROR(__xludf.DUMMYFUNCTION("""COMPUTED_VALUE"""),"GABAY, MANUEL")</f>
        <v>GABAY, MANUEL</v>
      </c>
      <c r="C555" s="1" t="str">
        <f>IFERROR(__xludf.DUMMYFUNCTION("""COMPUTED_VALUE"""),"FLA")</f>
        <v>FLA</v>
      </c>
      <c r="D555" s="1" t="str">
        <f>IFERROR(__xludf.DUMMYFUNCTION("""COMPUTED_VALUE"""),"JERIC NAVARRO")</f>
        <v>JERIC NAVARRO</v>
      </c>
      <c r="E555" s="1" t="str">
        <f>IFERROR(__xludf.DUMMYFUNCTION("""COMPUTED_VALUE"""),"PLDT")</f>
        <v>PLDT</v>
      </c>
      <c r="F555" s="1">
        <f>IFERROR(__xludf.DUMMYFUNCTION("""COMPUTED_VALUE"""),2307204765)</f>
        <v>2307204765</v>
      </c>
      <c r="G555" s="1"/>
      <c r="H555" s="1" t="str">
        <f>IFERROR(__xludf.DUMMYFUNCTION("""COMPUTED_VALUE"""),"EDWIN VIRANO SIBOLINO")</f>
        <v>EDWIN VIRANO SIBOLINO</v>
      </c>
      <c r="I555" s="1">
        <f>IFERROR(__xludf.DUMMYFUNCTION("""COMPUTED_VALUE"""),9703180479)</f>
        <v>9703180479</v>
      </c>
      <c r="J555" s="1">
        <f>IFERROR(__xludf.DUMMYFUNCTION("""COMPUTED_VALUE"""),9942399289)</f>
        <v>9942399289</v>
      </c>
      <c r="K555" s="1" t="str">
        <f>IFERROR(__xludf.DUMMYFUNCTION("""COMPUTED_VALUE"""),"EDWINSIBOLINO288@GMAIL.COM")</f>
        <v>EDWINSIBOLINO288@GMAIL.COM</v>
      </c>
      <c r="L555" s="1" t="str">
        <f>IFERROR(__xludf.DUMMYFUNCTION("""COMPUTED_VALUE"""),"67")</f>
        <v>67</v>
      </c>
      <c r="M555" s="1" t="str">
        <f>IFERROR(__xludf.DUMMYFUNCTION("""COMPUTED_VALUE"""),"HANAPOL")</f>
        <v>HANAPOL</v>
      </c>
      <c r="N555" s="1"/>
      <c r="O555" s="1" t="str">
        <f>IFERROR(__xludf.DUMMYFUNCTION("""COMPUTED_VALUE"""),"SILLP639NP1/2/3/4/5/6/7/8")</f>
        <v>SILLP639NP1/2/3/4/5/6/7/8</v>
      </c>
      <c r="P555" s="1" t="str">
        <f>IFERROR(__xludf.DUMMYFUNCTION("""COMPUTED_VALUE"""),"14.245950 121.006636")</f>
        <v>14.245950 121.006636</v>
      </c>
      <c r="Q555" s="1" t="str">
        <f>IFERROR(__xludf.DUMMYFUNCTION("""COMPUTED_VALUE"""),"KAONG")</f>
        <v>KAONG</v>
      </c>
      <c r="R555" s="1" t="str">
        <f>IFERROR(__xludf.DUMMYFUNCTION("""COMPUTED_VALUE"""),"SILANG")</f>
        <v>SILANG</v>
      </c>
      <c r="S555" s="1" t="str">
        <f>IFERROR(__xludf.DUMMYFUNCTION("""COMPUTED_VALUE"""),"FIBR PLAN 1399")</f>
        <v>FIBR PLAN 1399</v>
      </c>
      <c r="T555" s="1" t="str">
        <f>IFERROR(__xludf.DUMMYFUNCTION("""COMPUTED_VALUE"""),"APPROVED")</f>
        <v>APPROVED</v>
      </c>
      <c r="U555" s="1"/>
      <c r="V555" s="1"/>
      <c r="W555" s="1"/>
    </row>
    <row r="556" customHeight="1" spans="1:23">
      <c r="A556" s="3">
        <f>IFERROR(__xludf.DUMMYFUNCTION("""COMPUTED_VALUE"""),46076)</f>
        <v>46076</v>
      </c>
      <c r="B556" s="1" t="str">
        <f>IFERROR(__xludf.DUMMYFUNCTION("""COMPUTED_VALUE"""),"DACALCAP RUBEN")</f>
        <v>DACALCAP RUBEN</v>
      </c>
      <c r="C556" s="1" t="str">
        <f>IFERROR(__xludf.DUMMYFUNCTION("""COMPUTED_VALUE"""),"FLA")</f>
        <v>FLA</v>
      </c>
      <c r="D556" s="1" t="str">
        <f>IFERROR(__xludf.DUMMYFUNCTION("""COMPUTED_VALUE"""),"JERIC NAVARRO")</f>
        <v>JERIC NAVARRO</v>
      </c>
      <c r="E556" s="1" t="str">
        <f>IFERROR(__xludf.DUMMYFUNCTION("""COMPUTED_VALUE"""),"PLDT")</f>
        <v>PLDT</v>
      </c>
      <c r="F556" s="1">
        <f>IFERROR(__xludf.DUMMYFUNCTION("""COMPUTED_VALUE"""),2307208275)</f>
        <v>2307208275</v>
      </c>
      <c r="G556" s="1"/>
      <c r="H556" s="1" t="str">
        <f>IFERROR(__xludf.DUMMYFUNCTION("""COMPUTED_VALUE"""),"JOLLY FERNANDEZ ESCANO")</f>
        <v>JOLLY FERNANDEZ ESCANO</v>
      </c>
      <c r="I556" s="1">
        <f>IFERROR(__xludf.DUMMYFUNCTION("""COMPUTED_VALUE"""),9190771463)</f>
        <v>9190771463</v>
      </c>
      <c r="J556" s="1"/>
      <c r="K556" s="1" t="str">
        <f>IFERROR(__xludf.DUMMYFUNCTION("""COMPUTED_VALUE"""),"JOLLY.ESCANO@GMAIL.COM")</f>
        <v>JOLLY.ESCANO@GMAIL.COM</v>
      </c>
      <c r="L556" s="1" t="str">
        <f>IFERROR(__xludf.DUMMYFUNCTION("""COMPUTED_VALUE"""),"BLK 169")</f>
        <v>BLK 169</v>
      </c>
      <c r="M556" s="1" t="str">
        <f>IFERROR(__xludf.DUMMYFUNCTION("""COMPUTED_VALUE"""),"ASISAN")</f>
        <v>ASISAN</v>
      </c>
      <c r="N556" s="1"/>
      <c r="O556" s="1"/>
      <c r="P556" s="1"/>
      <c r="Q556" s="1" t="str">
        <f>IFERROR(__xludf.DUMMYFUNCTION("""COMPUTED_VALUE"""),"ASISAN")</f>
        <v>ASISAN</v>
      </c>
      <c r="R556" s="1" t="str">
        <f>IFERROR(__xludf.DUMMYFUNCTION("""COMPUTED_VALUE"""),"TAGAYTAY")</f>
        <v>TAGAYTAY</v>
      </c>
      <c r="S556" s="1" t="str">
        <f>IFERROR(__xludf.DUMMYFUNCTION("""COMPUTED_VALUE"""),"PREPAID 999")</f>
        <v>PREPAID 999</v>
      </c>
      <c r="T556" s="1" t="str">
        <f>IFERROR(__xludf.DUMMYFUNCTION("""COMPUTED_VALUE"""),"APPROVED")</f>
        <v>APPROVED</v>
      </c>
      <c r="U556" s="1"/>
      <c r="V556" s="1"/>
      <c r="W556" s="1"/>
    </row>
    <row r="557" customHeight="1" spans="1:23">
      <c r="A557" s="3">
        <f>IFERROR(__xludf.DUMMYFUNCTION("""COMPUTED_VALUE"""),46076)</f>
        <v>46076</v>
      </c>
      <c r="B557" s="1" t="str">
        <f>IFERROR(__xludf.DUMMYFUNCTION("""COMPUTED_VALUE"""),"AYON MANUEL")</f>
        <v>AYON MANUEL</v>
      </c>
      <c r="C557" s="1" t="str">
        <f>IFERROR(__xludf.DUMMYFUNCTION("""COMPUTED_VALUE"""),"FLA")</f>
        <v>FLA</v>
      </c>
      <c r="D557" s="1" t="str">
        <f>IFERROR(__xludf.DUMMYFUNCTION("""COMPUTED_VALUE"""),"JERIC NAVARRO")</f>
        <v>JERIC NAVARRO</v>
      </c>
      <c r="E557" s="1" t="str">
        <f>IFERROR(__xludf.DUMMYFUNCTION("""COMPUTED_VALUE"""),"PLDT")</f>
        <v>PLDT</v>
      </c>
      <c r="F557" s="1">
        <f>IFERROR(__xludf.DUMMYFUNCTION("""COMPUTED_VALUE"""),2307208877)</f>
        <v>2307208877</v>
      </c>
      <c r="G557" s="1"/>
      <c r="H557" s="1" t="str">
        <f>IFERROR(__xludf.DUMMYFUNCTION("""COMPUTED_VALUE"""),"ENRIQUE LOPEZ LOCSIN")</f>
        <v>ENRIQUE LOPEZ LOCSIN</v>
      </c>
      <c r="I557" s="1">
        <f>IFERROR(__xludf.DUMMYFUNCTION("""COMPUTED_VALUE"""),9178393878)</f>
        <v>9178393878</v>
      </c>
      <c r="J557" s="1">
        <f>IFERROR(__xludf.DUMMYFUNCTION("""COMPUTED_VALUE"""),9998814271)</f>
        <v>9998814271</v>
      </c>
      <c r="K557" s="1" t="str">
        <f>IFERROR(__xludf.DUMMYFUNCTION("""COMPUTED_VALUE"""),"ELLOCSIN@YAHOO.COM")</f>
        <v>ELLOCSIN@YAHOO.COM</v>
      </c>
      <c r="L557" s="1" t="str">
        <f>IFERROR(__xludf.DUMMYFUNCTION("""COMPUTED_VALUE"""),"BLK 8 LOT 12")</f>
        <v>BLK 8 LOT 12</v>
      </c>
      <c r="M557" s="1" t="str">
        <f>IFERROR(__xludf.DUMMYFUNCTION("""COMPUTED_VALUE"""),"PHASE 3")</f>
        <v>PHASE 3</v>
      </c>
      <c r="N557" s="1" t="str">
        <f>IFERROR(__xludf.DUMMYFUNCTION("""COMPUTED_VALUE"""),"MANILA SOUTWOODS")</f>
        <v>MANILA SOUTWOODS</v>
      </c>
      <c r="O557" s="1"/>
      <c r="P557" s="1"/>
      <c r="Q557" s="1" t="str">
        <f>IFERROR(__xludf.DUMMYFUNCTION("""COMPUTED_VALUE"""),"CABILANG BAYBAY")</f>
        <v>CABILANG BAYBAY</v>
      </c>
      <c r="R557" s="1" t="str">
        <f>IFERROR(__xludf.DUMMYFUNCTION("""COMPUTED_VALUE"""),"CARMONA")</f>
        <v>CARMONA</v>
      </c>
      <c r="S557" s="1" t="str">
        <f>IFERROR(__xludf.DUMMYFUNCTION("""COMPUTED_VALUE"""),"FIBR PLAN 1399")</f>
        <v>FIBR PLAN 1399</v>
      </c>
      <c r="T557" s="1" t="str">
        <f>IFERROR(__xludf.DUMMYFUNCTION("""COMPUTED_VALUE"""),"APPROVED")</f>
        <v>APPROVED</v>
      </c>
      <c r="U557" s="1"/>
      <c r="V557" s="1"/>
      <c r="W557" s="1"/>
    </row>
    <row r="558" customHeight="1" spans="1:23">
      <c r="A558" s="3">
        <f>IFERROR(__xludf.DUMMYFUNCTION("""COMPUTED_VALUE"""),46076)</f>
        <v>46076</v>
      </c>
      <c r="B558" s="1" t="str">
        <f>IFERROR(__xludf.DUMMYFUNCTION("""COMPUTED_VALUE"""),"GABAY, MANUEL")</f>
        <v>GABAY, MANUEL</v>
      </c>
      <c r="C558" s="1" t="str">
        <f>IFERROR(__xludf.DUMMYFUNCTION("""COMPUTED_VALUE"""),"FLA")</f>
        <v>FLA</v>
      </c>
      <c r="D558" s="1" t="str">
        <f>IFERROR(__xludf.DUMMYFUNCTION("""COMPUTED_VALUE"""),"JERIC NAVARRO")</f>
        <v>JERIC NAVARRO</v>
      </c>
      <c r="E558" s="1" t="str">
        <f>IFERROR(__xludf.DUMMYFUNCTION("""COMPUTED_VALUE"""),"PLDT")</f>
        <v>PLDT</v>
      </c>
      <c r="F558" s="1">
        <f>IFERROR(__xludf.DUMMYFUNCTION("""COMPUTED_VALUE"""),2307210122)</f>
        <v>2307210122</v>
      </c>
      <c r="G558" s="1"/>
      <c r="H558" s="1" t="str">
        <f>IFERROR(__xludf.DUMMYFUNCTION("""COMPUTED_VALUE"""),"LIMUEL HERNNDEZ BARLAO")</f>
        <v>LIMUEL HERNNDEZ BARLAO</v>
      </c>
      <c r="I558" s="1">
        <f>IFERROR(__xludf.DUMMYFUNCTION("""COMPUTED_VALUE"""),9957699028)</f>
        <v>9957699028</v>
      </c>
      <c r="J558" s="1">
        <f>IFERROR(__xludf.DUMMYFUNCTION("""COMPUTED_VALUE"""),9998187646)</f>
        <v>9998187646</v>
      </c>
      <c r="K558" s="1" t="str">
        <f>IFERROR(__xludf.DUMMYFUNCTION("""COMPUTED_VALUE"""),"LIMUELBARLAO45@GMAIL.COM")</f>
        <v>LIMUELBARLAO45@GMAIL.COM</v>
      </c>
      <c r="L558" s="1" t="str">
        <f>IFERROR(__xludf.DUMMYFUNCTION("""COMPUTED_VALUE"""),"9083")</f>
        <v>9083</v>
      </c>
      <c r="M558" s="1" t="str">
        <f>IFERROR(__xludf.DUMMYFUNCTION("""COMPUTED_VALUE"""),"HANOPOL")</f>
        <v>HANOPOL</v>
      </c>
      <c r="N558" s="1"/>
      <c r="O558" s="1" t="str">
        <f>IFERROR(__xludf.DUMMYFUNCTION("""COMPUTED_VALUE"""),"SILLP639NP1/2/3/4/5/6/7/8")</f>
        <v>SILLP639NP1/2/3/4/5/6/7/8</v>
      </c>
      <c r="P558" s="1"/>
      <c r="Q558" s="1" t="str">
        <f>IFERROR(__xludf.DUMMYFUNCTION("""COMPUTED_VALUE"""),"KAONG")</f>
        <v>KAONG</v>
      </c>
      <c r="R558" s="1" t="str">
        <f>IFERROR(__xludf.DUMMYFUNCTION("""COMPUTED_VALUE"""),"SILANG")</f>
        <v>SILANG</v>
      </c>
      <c r="S558" s="1" t="str">
        <f>IFERROR(__xludf.DUMMYFUNCTION("""COMPUTED_VALUE"""),"SWITCH PLAN 1599")</f>
        <v>SWITCH PLAN 1599</v>
      </c>
      <c r="T558" s="1" t="str">
        <f>IFERROR(__xludf.DUMMYFUNCTION("""COMPUTED_VALUE"""),"APPROVED")</f>
        <v>APPROVED</v>
      </c>
      <c r="U558" s="1"/>
      <c r="V558" s="1"/>
      <c r="W558" s="1"/>
    </row>
    <row r="559" customHeight="1" spans="1:23">
      <c r="A559" s="3">
        <f>IFERROR(__xludf.DUMMYFUNCTION("""COMPUTED_VALUE"""),46076)</f>
        <v>46076</v>
      </c>
      <c r="B559" s="1" t="str">
        <f>IFERROR(__xludf.DUMMYFUNCTION("""COMPUTED_VALUE"""),"REMOLLO, LEA")</f>
        <v>REMOLLO, LEA</v>
      </c>
      <c r="C559" s="1" t="str">
        <f>IFERROR(__xludf.DUMMYFUNCTION("""COMPUTED_VALUE"""),"FLA")</f>
        <v>FLA</v>
      </c>
      <c r="D559" s="1" t="str">
        <f>IFERROR(__xludf.DUMMYFUNCTION("""COMPUTED_VALUE"""),"JERIC NAVARRO")</f>
        <v>JERIC NAVARRO</v>
      </c>
      <c r="E559" s="1" t="str">
        <f>IFERROR(__xludf.DUMMYFUNCTION("""COMPUTED_VALUE"""),"PLDT")</f>
        <v>PLDT</v>
      </c>
      <c r="F559" s="1">
        <f>IFERROR(__xludf.DUMMYFUNCTION("""COMPUTED_VALUE"""),2307210159)</f>
        <v>2307210159</v>
      </c>
      <c r="G559" s="1"/>
      <c r="H559" s="1" t="str">
        <f>IFERROR(__xludf.DUMMYFUNCTION("""COMPUTED_VALUE"""),"PORFERIA NATIVIDAD VILLAR")</f>
        <v>PORFERIA NATIVIDAD VILLAR</v>
      </c>
      <c r="I559" s="1">
        <f>IFERROR(__xludf.DUMMYFUNCTION("""COMPUTED_VALUE"""),9616372822)</f>
        <v>9616372822</v>
      </c>
      <c r="J559" s="1"/>
      <c r="K559" s="1" t="str">
        <f>IFERROR(__xludf.DUMMYFUNCTION("""COMPUTED_VALUE"""),"VILLARFLORPRIANATIVIDAD@GMAIL.COM")</f>
        <v>VILLARFLORPRIANATIVIDAD@GMAIL.COM</v>
      </c>
      <c r="L559" s="1" t="str">
        <f>IFERROR(__xludf.DUMMYFUNCTION("""COMPUTED_VALUE"""),"1920")</f>
        <v>1920</v>
      </c>
      <c r="M559" s="1" t="str">
        <f>IFERROR(__xludf.DUMMYFUNCTION("""COMPUTED_VALUE"""),"IBAYONG ILAT")</f>
        <v>IBAYONG ILAT</v>
      </c>
      <c r="N559" s="1"/>
      <c r="O559" s="1" t="str">
        <f>IFERROR(__xludf.DUMMYFUNCTION("""COMPUTED_VALUE"""),"SILP369NP3")</f>
        <v>SILP369NP3</v>
      </c>
      <c r="P559" s="1"/>
      <c r="Q559" s="1" t="str">
        <f>IFERROR(__xludf.DUMMYFUNCTION("""COMPUTED_VALUE"""),"KAONG")</f>
        <v>KAONG</v>
      </c>
      <c r="R559" s="1" t="str">
        <f>IFERROR(__xludf.DUMMYFUNCTION("""COMPUTED_VALUE"""),"SILANG")</f>
        <v>SILANG</v>
      </c>
      <c r="S559" s="1" t="str">
        <f>IFERROR(__xludf.DUMMYFUNCTION("""COMPUTED_VALUE"""),"PREPAID 999")</f>
        <v>PREPAID 999</v>
      </c>
      <c r="T559" s="1" t="str">
        <f>IFERROR(__xludf.DUMMYFUNCTION("""COMPUTED_VALUE"""),"APPROVED")</f>
        <v>APPROVED</v>
      </c>
      <c r="U559" s="1"/>
      <c r="V559" s="1"/>
      <c r="W559" s="1"/>
    </row>
    <row r="560" customHeight="1" spans="1:23">
      <c r="A560" s="3">
        <f>IFERROR(__xludf.DUMMYFUNCTION("""COMPUTED_VALUE"""),46076)</f>
        <v>46076</v>
      </c>
      <c r="B560" s="1" t="str">
        <f>IFERROR(__xludf.DUMMYFUNCTION("""COMPUTED_VALUE"""),"MALIWAT MARK ELVIN")</f>
        <v>MALIWAT MARK ELVIN</v>
      </c>
      <c r="C560" s="1" t="str">
        <f>IFERROR(__xludf.DUMMYFUNCTION("""COMPUTED_VALUE"""),"FLA")</f>
        <v>FLA</v>
      </c>
      <c r="D560" s="1" t="str">
        <f>IFERROR(__xludf.DUMMYFUNCTION("""COMPUTED_VALUE"""),"JERIC NAVARRO")</f>
        <v>JERIC NAVARRO</v>
      </c>
      <c r="E560" s="1" t="str">
        <f>IFERROR(__xludf.DUMMYFUNCTION("""COMPUTED_VALUE"""),"PLDT")</f>
        <v>PLDT</v>
      </c>
      <c r="F560" s="1">
        <f>IFERROR(__xludf.DUMMYFUNCTION("""COMPUTED_VALUE"""),2307212730)</f>
        <v>2307212730</v>
      </c>
      <c r="G560" s="1"/>
      <c r="H560" s="1" t="str">
        <f>IFERROR(__xludf.DUMMYFUNCTION("""COMPUTED_VALUE"""),"VERGLORY PERAMIDE VANDERLIPE")</f>
        <v>VERGLORY PERAMIDE VANDERLIPE</v>
      </c>
      <c r="I560" s="1">
        <f>IFERROR(__xludf.DUMMYFUNCTION("""COMPUTED_VALUE"""),9272235665)</f>
        <v>9272235665</v>
      </c>
      <c r="J560" s="1">
        <f>IFERROR(__xludf.DUMMYFUNCTION("""COMPUTED_VALUE"""),9272235774)</f>
        <v>9272235774</v>
      </c>
      <c r="K560" s="1" t="str">
        <f>IFERROR(__xludf.DUMMYFUNCTION("""COMPUTED_VALUE"""),"VPERAMIDE@YAHOO.COM")</f>
        <v>VPERAMIDE@YAHOO.COM</v>
      </c>
      <c r="L560" s="1" t="str">
        <f>IFERROR(__xludf.DUMMYFUNCTION("""COMPUTED_VALUE"""),"BLK 22 LOT 62")</f>
        <v>BLK 22 LOT 62</v>
      </c>
      <c r="M560" s="1" t="str">
        <f>IFERROR(__xludf.DUMMYFUNCTION("""COMPUTED_VALUE"""),"PHASE 1")</f>
        <v>PHASE 1</v>
      </c>
      <c r="N560" s="1" t="str">
        <f>IFERROR(__xludf.DUMMYFUNCTION("""COMPUTED_VALUE"""),"GREEN GATE")</f>
        <v>GREEN GATE</v>
      </c>
      <c r="O560" s="1" t="str">
        <f>IFERROR(__xludf.DUMMYFUNCTION("""COMPUTED_VALUE"""),"IMULPD16NP3/4/5 IMULPD15NP3/5")</f>
        <v>IMULPD16NP3/4/5 IMULPD15NP3/5</v>
      </c>
      <c r="P560" s="1"/>
      <c r="Q560" s="1" t="str">
        <f>IFERROR(__xludf.DUMMYFUNCTION("""COMPUTED_VALUE"""),"MALAGASANG II-A")</f>
        <v>MALAGASANG II-A</v>
      </c>
      <c r="R560" s="1" t="str">
        <f>IFERROR(__xludf.DUMMYFUNCTION("""COMPUTED_VALUE"""),"IMUS")</f>
        <v>IMUS</v>
      </c>
      <c r="S560" s="1" t="str">
        <f>IFERROR(__xludf.DUMMYFUNCTION("""COMPUTED_VALUE"""),"FIBR PLAN 2499")</f>
        <v>FIBR PLAN 2499</v>
      </c>
      <c r="T560" s="1" t="str">
        <f>IFERROR(__xludf.DUMMYFUNCTION("""COMPUTED_VALUE"""),"APPROVED")</f>
        <v>APPROVED</v>
      </c>
      <c r="U560" s="1"/>
      <c r="V560" s="1"/>
      <c r="W560" s="1"/>
    </row>
    <row r="561" customHeight="1" spans="1:23">
      <c r="A561" s="3">
        <f>IFERROR(__xludf.DUMMYFUNCTION("""COMPUTED_VALUE"""),46076)</f>
        <v>46076</v>
      </c>
      <c r="B561" s="1" t="str">
        <f>IFERROR(__xludf.DUMMYFUNCTION("""COMPUTED_VALUE"""),"DE LEON, MERLY")</f>
        <v>DE LEON, MERLY</v>
      </c>
      <c r="C561" s="1" t="str">
        <f>IFERROR(__xludf.DUMMYFUNCTION("""COMPUTED_VALUE"""),"ORGANIC")</f>
        <v>ORGANIC</v>
      </c>
      <c r="D561" s="1" t="str">
        <f>IFERROR(__xludf.DUMMYFUNCTION("""COMPUTED_VALUE"""),"REMOLLO LEA")</f>
        <v>REMOLLO LEA</v>
      </c>
      <c r="E561" s="1" t="str">
        <f>IFERROR(__xludf.DUMMYFUNCTION("""COMPUTED_VALUE"""),"PLDT")</f>
        <v>PLDT</v>
      </c>
      <c r="F561" s="1">
        <f>IFERROR(__xludf.DUMMYFUNCTION("""COMPUTED_VALUE"""),2307213887)</f>
        <v>2307213887</v>
      </c>
      <c r="G561" s="1"/>
      <c r="H561" s="1" t="str">
        <f>IFERROR(__xludf.DUMMYFUNCTION("""COMPUTED_VALUE"""),"JHANA ZAFRA GONZAGA")</f>
        <v>JHANA ZAFRA GONZAGA</v>
      </c>
      <c r="I561" s="1">
        <f>IFERROR(__xludf.DUMMYFUNCTION("""COMPUTED_VALUE"""),9701060293)</f>
        <v>9701060293</v>
      </c>
      <c r="J561" s="1">
        <f>IFERROR(__xludf.DUMMYFUNCTION("""COMPUTED_VALUE"""),9508329453)</f>
        <v>9508329453</v>
      </c>
      <c r="K561" s="1" t="str">
        <f>IFERROR(__xludf.DUMMYFUNCTION("""COMPUTED_VALUE"""),"JHAYGONZAGAZAFRA@GMAIL.COM")</f>
        <v>JHAYGONZAGAZAFRA@GMAIL.COM</v>
      </c>
      <c r="L561" s="1" t="str">
        <f>IFERROR(__xludf.DUMMYFUNCTION("""COMPUTED_VALUE"""),"115")</f>
        <v>115</v>
      </c>
      <c r="M561" s="1" t="str">
        <f>IFERROR(__xludf.DUMMYFUNCTION("""COMPUTED_VALUE"""),"HALFWAY ST")</f>
        <v>HALFWAY ST</v>
      </c>
      <c r="N561" s="1"/>
      <c r="O561" s="1" t="str">
        <f>IFERROR(__xludf.DUMMYFUNCTION("""COMPUTED_VALUE"""),"SILLP290NP2")</f>
        <v>SILLP290NP2</v>
      </c>
      <c r="P561" s="1" t="str">
        <f>IFERROR(__xludf.DUMMYFUNCTION("""COMPUTED_VALUE"""),"14.218987 120.996049")</f>
        <v>14.218987 120.996049</v>
      </c>
      <c r="Q561" s="1" t="str">
        <f>IFERROR(__xludf.DUMMYFUNCTION("""COMPUTED_VALUE"""),"MUNTING ILOG")</f>
        <v>MUNTING ILOG</v>
      </c>
      <c r="R561" s="1" t="str">
        <f>IFERROR(__xludf.DUMMYFUNCTION("""COMPUTED_VALUE"""),"SILANG")</f>
        <v>SILANG</v>
      </c>
      <c r="S561" s="1" t="str">
        <f>IFERROR(__xludf.DUMMYFUNCTION("""COMPUTED_VALUE"""),"PREPAID 999")</f>
        <v>PREPAID 999</v>
      </c>
      <c r="T561" s="1" t="str">
        <f>IFERROR(__xludf.DUMMYFUNCTION("""COMPUTED_VALUE"""),"APPROVED")</f>
        <v>APPROVED</v>
      </c>
      <c r="U561" s="1"/>
      <c r="V561" s="1"/>
      <c r="W561" s="1"/>
    </row>
    <row r="562" customHeight="1" spans="1:23">
      <c r="A562" s="3">
        <f>IFERROR(__xludf.DUMMYFUNCTION("""COMPUTED_VALUE"""),46076)</f>
        <v>46076</v>
      </c>
      <c r="B562" s="1" t="str">
        <f>IFERROR(__xludf.DUMMYFUNCTION("""COMPUTED_VALUE"""),"DE VERA, MARIVIC")</f>
        <v>DE VERA, MARIVIC</v>
      </c>
      <c r="C562" s="1" t="str">
        <f>IFERROR(__xludf.DUMMYFUNCTION("""COMPUTED_VALUE"""),"ORGANIC")</f>
        <v>ORGANIC</v>
      </c>
      <c r="D562" s="1" t="str">
        <f>IFERROR(__xludf.DUMMYFUNCTION("""COMPUTED_VALUE"""),"REMOLLO LEA")</f>
        <v>REMOLLO LEA</v>
      </c>
      <c r="E562" s="1" t="str">
        <f>IFERROR(__xludf.DUMMYFUNCTION("""COMPUTED_VALUE"""),"PLDT")</f>
        <v>PLDT</v>
      </c>
      <c r="F562" s="1">
        <f>IFERROR(__xludf.DUMMYFUNCTION("""COMPUTED_VALUE"""),2307241613)</f>
        <v>2307241613</v>
      </c>
      <c r="G562" s="1"/>
      <c r="H562" s="1" t="str">
        <f>IFERROR(__xludf.DUMMYFUNCTION("""COMPUTED_VALUE"""),"JAIME DOLOR POBLETE")</f>
        <v>JAIME DOLOR POBLETE</v>
      </c>
      <c r="I562" s="1">
        <f>IFERROR(__xludf.DUMMYFUNCTION("""COMPUTED_VALUE"""),9217832096)</f>
        <v>9217832096</v>
      </c>
      <c r="J562" s="1">
        <f>IFERROR(__xludf.DUMMYFUNCTION("""COMPUTED_VALUE"""),9369055388)</f>
        <v>9369055388</v>
      </c>
      <c r="K562" s="1" t="str">
        <f>IFERROR(__xludf.DUMMYFUNCTION("""COMPUTED_VALUE"""),"JAIMEPOBLETE21@GMAIL.COM")</f>
        <v>JAIMEPOBLETE21@GMAIL.COM</v>
      </c>
      <c r="L562" s="1" t="str">
        <f>IFERROR(__xludf.DUMMYFUNCTION("""COMPUTED_VALUE"""),"3")</f>
        <v>3</v>
      </c>
      <c r="M562" s="1" t="str">
        <f>IFERROR(__xludf.DUMMYFUNCTION("""COMPUTED_VALUE"""),"KARSADAHAN")</f>
        <v>KARSADAHAN</v>
      </c>
      <c r="N562" s="1"/>
      <c r="O562" s="1" t="str">
        <f>IFERROR(__xludf.DUMMYFUNCTION("""COMPUTED_VALUE"""),"SILLP569NP4")</f>
        <v>SILLP569NP4</v>
      </c>
      <c r="P562" s="1"/>
      <c r="Q562" s="1" t="str">
        <f>IFERROR(__xludf.DUMMYFUNCTION("""COMPUTED_VALUE"""),"KAONG")</f>
        <v>KAONG</v>
      </c>
      <c r="R562" s="1" t="str">
        <f>IFERROR(__xludf.DUMMYFUNCTION("""COMPUTED_VALUE"""),"SILANG")</f>
        <v>SILANG</v>
      </c>
      <c r="S562" s="1" t="str">
        <f>IFERROR(__xludf.DUMMYFUNCTION("""COMPUTED_VALUE"""),"FIBR PLAN 1599")</f>
        <v>FIBR PLAN 1599</v>
      </c>
      <c r="T562" s="1" t="str">
        <f>IFERROR(__xludf.DUMMYFUNCTION("""COMPUTED_VALUE"""),"APPROVED")</f>
        <v>APPROVED</v>
      </c>
      <c r="U562" s="1" t="str">
        <f>IFERROR(__xludf.DUMMYFUNCTION("""COMPUTED_VALUE"""),"PLS PROVIDE OTHER POID")</f>
        <v>PLS PROVIDE OTHER POID</v>
      </c>
      <c r="V562" s="1"/>
      <c r="W562" s="1"/>
    </row>
    <row r="563" customHeight="1" spans="1:23">
      <c r="A563" s="3">
        <f>IFERROR(__xludf.DUMMYFUNCTION("""COMPUTED_VALUE"""),46076)</f>
        <v>46076</v>
      </c>
      <c r="B563" s="1" t="str">
        <f>IFERROR(__xludf.DUMMYFUNCTION("""COMPUTED_VALUE"""),"FARO, REFRANTA")</f>
        <v>FARO, REFRANTA</v>
      </c>
      <c r="C563" s="1" t="str">
        <f>IFERROR(__xludf.DUMMYFUNCTION("""COMPUTED_VALUE"""),"ORGANIC")</f>
        <v>ORGANIC</v>
      </c>
      <c r="D563" s="1" t="str">
        <f>IFERROR(__xludf.DUMMYFUNCTION("""COMPUTED_VALUE"""),"REMOLLO LEA")</f>
        <v>REMOLLO LEA</v>
      </c>
      <c r="E563" s="1" t="str">
        <f>IFERROR(__xludf.DUMMYFUNCTION("""COMPUTED_VALUE"""),"PLDT")</f>
        <v>PLDT</v>
      </c>
      <c r="F563" s="1">
        <f>IFERROR(__xludf.DUMMYFUNCTION("""COMPUTED_VALUE"""),2307219597)</f>
        <v>2307219597</v>
      </c>
      <c r="G563" s="1"/>
      <c r="H563" s="1" t="str">
        <f>IFERROR(__xludf.DUMMYFUNCTION("""COMPUTED_VALUE"""),"MARIO ROSALES ULAN")</f>
        <v>MARIO ROSALES ULAN</v>
      </c>
      <c r="I563" s="1">
        <f>IFERROR(__xludf.DUMMYFUNCTION("""COMPUTED_VALUE"""),9923751617)</f>
        <v>9923751617</v>
      </c>
      <c r="J563" s="1"/>
      <c r="K563" s="1" t="str">
        <f>IFERROR(__xludf.DUMMYFUNCTION("""COMPUTED_VALUE"""),"MARIOULAN25@GMAIL.COM")</f>
        <v>MARIOULAN25@GMAIL.COM</v>
      </c>
      <c r="L563" s="1" t="str">
        <f>IFERROR(__xludf.DUMMYFUNCTION("""COMPUTED_VALUE"""),"BLK 15 LOT 2")</f>
        <v>BLK 15 LOT 2</v>
      </c>
      <c r="M563" s="1" t="str">
        <f>IFERROR(__xludf.DUMMYFUNCTION("""COMPUTED_VALUE"""),"ANAHAW")</f>
        <v>ANAHAW</v>
      </c>
      <c r="N563" s="1"/>
      <c r="O563" s="1"/>
      <c r="P563" s="1"/>
      <c r="Q563" s="1" t="str">
        <f>IFERROR(__xludf.DUMMYFUNCTION("""COMPUTED_VALUE"""),"ANAHAW I")</f>
        <v>ANAHAW I</v>
      </c>
      <c r="R563" s="1" t="str">
        <f>IFERROR(__xludf.DUMMYFUNCTION("""COMPUTED_VALUE"""),"SILANG")</f>
        <v>SILANG</v>
      </c>
      <c r="S563" s="1" t="str">
        <f>IFERROR(__xludf.DUMMYFUNCTION("""COMPUTED_VALUE"""),"PREPAID 999")</f>
        <v>PREPAID 999</v>
      </c>
      <c r="T563" s="1" t="str">
        <f>IFERROR(__xludf.DUMMYFUNCTION("""COMPUTED_VALUE"""),"APPROVED")</f>
        <v>APPROVED</v>
      </c>
      <c r="U563" s="1"/>
      <c r="V563" s="1"/>
      <c r="W563" s="1"/>
    </row>
    <row r="564" customHeight="1" spans="1:23">
      <c r="A564" s="3">
        <f>IFERROR(__xludf.DUMMYFUNCTION("""COMPUTED_VALUE"""),46076)</f>
        <v>46076</v>
      </c>
      <c r="B564" s="1" t="str">
        <f>IFERROR(__xludf.DUMMYFUNCTION("""COMPUTED_VALUE"""),"DELA ROSA, JENNELYN")</f>
        <v>DELA ROSA, JENNELYN</v>
      </c>
      <c r="C564" s="1" t="str">
        <f>IFERROR(__xludf.DUMMYFUNCTION("""COMPUTED_VALUE"""),"ORGANIC")</f>
        <v>ORGANIC</v>
      </c>
      <c r="D564" s="1" t="str">
        <f>IFERROR(__xludf.DUMMYFUNCTION("""COMPUTED_VALUE"""),"ALOS, CHARLS")</f>
        <v>ALOS, CHARLS</v>
      </c>
      <c r="E564" s="1" t="str">
        <f>IFERROR(__xludf.DUMMYFUNCTION("""COMPUTED_VALUE"""),"PLDT")</f>
        <v>PLDT</v>
      </c>
      <c r="F564" s="1">
        <f>IFERROR(__xludf.DUMMYFUNCTION("""COMPUTED_VALUE"""),2307220115)</f>
        <v>2307220115</v>
      </c>
      <c r="G564" s="1"/>
      <c r="H564" s="1" t="str">
        <f>IFERROR(__xludf.DUMMYFUNCTION("""COMPUTED_VALUE"""),"ROSEANN COLINA GARCIA")</f>
        <v>ROSEANN COLINA GARCIA</v>
      </c>
      <c r="I564" s="1">
        <f>IFERROR(__xludf.DUMMYFUNCTION("""COMPUTED_VALUE"""),9278730896)</f>
        <v>9278730896</v>
      </c>
      <c r="J564" s="1">
        <f>IFERROR(__xludf.DUMMYFUNCTION("""COMPUTED_VALUE"""),9774003751)</f>
        <v>9774003751</v>
      </c>
      <c r="K564" s="1" t="str">
        <f>IFERROR(__xludf.DUMMYFUNCTION("""COMPUTED_VALUE"""),"ISAYCOLINA@GMAIL.COM")</f>
        <v>ISAYCOLINA@GMAIL.COM</v>
      </c>
      <c r="L564" s="1" t="str">
        <f>IFERROR(__xludf.DUMMYFUNCTION("""COMPUTED_VALUE"""),"BLK 46 LOT 6")</f>
        <v>BLK 46 LOT 6</v>
      </c>
      <c r="M564" s="1" t="str">
        <f>IFERROR(__xludf.DUMMYFUNCTION("""COMPUTED_VALUE"""),"PHASE 1B")</f>
        <v>PHASE 1B</v>
      </c>
      <c r="N564" s="1"/>
      <c r="O564" s="1" t="str">
        <f>IFERROR(__xludf.DUMMYFUNCTION("""COMPUTED_VALUE"""),"SILLP492NP3/8")</f>
        <v>SILLP492NP3/8</v>
      </c>
      <c r="P564" s="1" t="str">
        <f>IFERROR(__xludf.DUMMYFUNCTION("""COMPUTED_VALUE"""),"14.273894 120.991975")</f>
        <v>14.273894 120.991975</v>
      </c>
      <c r="Q564" s="1" t="str">
        <f>IFERROR(__xludf.DUMMYFUNCTION("""COMPUTED_VALUE"""),"ACACIA")</f>
        <v>ACACIA</v>
      </c>
      <c r="R564" s="1" t="str">
        <f>IFERROR(__xludf.DUMMYFUNCTION("""COMPUTED_VALUE"""),"SILANG")</f>
        <v>SILANG</v>
      </c>
      <c r="S564" s="1" t="str">
        <f>IFERROR(__xludf.DUMMYFUNCTION("""COMPUTED_VALUE"""),"FIBR PLAN 1399")</f>
        <v>FIBR PLAN 1399</v>
      </c>
      <c r="T564" s="1" t="str">
        <f>IFERROR(__xludf.DUMMYFUNCTION("""COMPUTED_VALUE"""),"APPROVED")</f>
        <v>APPROVED</v>
      </c>
      <c r="U564" s="1"/>
      <c r="V564" s="1"/>
      <c r="W564" s="1"/>
    </row>
    <row r="565" customHeight="1" spans="1:23">
      <c r="A565" s="3">
        <f>IFERROR(__xludf.DUMMYFUNCTION("""COMPUTED_VALUE"""),46077)</f>
        <v>46077</v>
      </c>
      <c r="B565" s="1" t="str">
        <f>IFERROR(__xludf.DUMMYFUNCTION("""COMPUTED_VALUE"""),"GABAY, MANUEL")</f>
        <v>GABAY, MANUEL</v>
      </c>
      <c r="C565" s="1" t="str">
        <f>IFERROR(__xludf.DUMMYFUNCTION("""COMPUTED_VALUE"""),"FLA")</f>
        <v>FLA</v>
      </c>
      <c r="D565" s="1" t="str">
        <f>IFERROR(__xludf.DUMMYFUNCTION("""COMPUTED_VALUE"""),"JERIC NAVARRO")</f>
        <v>JERIC NAVARRO</v>
      </c>
      <c r="E565" s="1" t="str">
        <f>IFERROR(__xludf.DUMMYFUNCTION("""COMPUTED_VALUE"""),"PLDT")</f>
        <v>PLDT</v>
      </c>
      <c r="F565" s="1">
        <f>IFERROR(__xludf.DUMMYFUNCTION("""COMPUTED_VALUE"""),2307232874)</f>
        <v>2307232874</v>
      </c>
      <c r="G565" s="1"/>
      <c r="H565" s="1" t="str">
        <f>IFERROR(__xludf.DUMMYFUNCTION("""COMPUTED_VALUE"""),"APPLE JOYCE PAGSALIGAN BARLAO")</f>
        <v>APPLE JOYCE PAGSALIGAN BARLAO</v>
      </c>
      <c r="I565" s="1">
        <f>IFERROR(__xludf.DUMMYFUNCTION("""COMPUTED_VALUE"""),9753368127)</f>
        <v>9753368127</v>
      </c>
      <c r="J565" s="1">
        <f>IFERROR(__xludf.DUMMYFUNCTION("""COMPUTED_VALUE"""),9959044854)</f>
        <v>9959044854</v>
      </c>
      <c r="K565" s="1" t="str">
        <f>IFERROR(__xludf.DUMMYFUNCTION("""COMPUTED_VALUE"""),"APPLEBARLAO@GMAIL.COM")</f>
        <v>APPLEBARLAO@GMAIL.COM</v>
      </c>
      <c r="L565" s="1" t="str">
        <f>IFERROR(__xludf.DUMMYFUNCTION("""COMPUTED_VALUE"""),"88")</f>
        <v>88</v>
      </c>
      <c r="M565" s="1" t="str">
        <f>IFERROR(__xludf.DUMMYFUNCTION("""COMPUTED_VALUE"""),"HANOPOL")</f>
        <v>HANOPOL</v>
      </c>
      <c r="N565" s="1"/>
      <c r="O565" s="1" t="str">
        <f>IFERROR(__xludf.DUMMYFUNCTION("""COMPUTED_VALUE"""),"SILLP639NP1TONP5 ")</f>
        <v>SILLP639NP1TONP5 </v>
      </c>
      <c r="P565" s="1" t="str">
        <f>IFERROR(__xludf.DUMMYFUNCTION("""COMPUTED_VALUE"""),"14.245629 121.002042")</f>
        <v>14.245629 121.002042</v>
      </c>
      <c r="Q565" s="1" t="str">
        <f>IFERROR(__xludf.DUMMYFUNCTION("""COMPUTED_VALUE"""),"KAONG")</f>
        <v>KAONG</v>
      </c>
      <c r="R565" s="1" t="str">
        <f>IFERROR(__xludf.DUMMYFUNCTION("""COMPUTED_VALUE"""),"SILANG")</f>
        <v>SILANG</v>
      </c>
      <c r="S565" s="1" t="str">
        <f>IFERROR(__xludf.DUMMYFUNCTION("""COMPUTED_VALUE"""),"FIBR PLAN 1399")</f>
        <v>FIBR PLAN 1399</v>
      </c>
      <c r="T565" s="1" t="str">
        <f>IFERROR(__xludf.DUMMYFUNCTION("""COMPUTED_VALUE"""),"APPROVED")</f>
        <v>APPROVED</v>
      </c>
      <c r="U565" s="1"/>
      <c r="V565" s="1"/>
      <c r="W565" s="1"/>
    </row>
    <row r="566" customHeight="1" spans="1:23">
      <c r="A566" s="3">
        <f>IFERROR(__xludf.DUMMYFUNCTION("""COMPUTED_VALUE"""),46077)</f>
        <v>46077</v>
      </c>
      <c r="B566" s="1" t="str">
        <f>IFERROR(__xludf.DUMMYFUNCTION("""COMPUTED_VALUE"""),"GABAY, MANUEL")</f>
        <v>GABAY, MANUEL</v>
      </c>
      <c r="C566" s="1" t="str">
        <f>IFERROR(__xludf.DUMMYFUNCTION("""COMPUTED_VALUE"""),"FLA")</f>
        <v>FLA</v>
      </c>
      <c r="D566" s="1" t="str">
        <f>IFERROR(__xludf.DUMMYFUNCTION("""COMPUTED_VALUE"""),"JERIC NAVARRO")</f>
        <v>JERIC NAVARRO</v>
      </c>
      <c r="E566" s="1" t="str">
        <f>IFERROR(__xludf.DUMMYFUNCTION("""COMPUTED_VALUE"""),"PLDT")</f>
        <v>PLDT</v>
      </c>
      <c r="F566" s="1">
        <f>IFERROR(__xludf.DUMMYFUNCTION("""COMPUTED_VALUE"""),2307237627)</f>
        <v>2307237627</v>
      </c>
      <c r="G566" s="1"/>
      <c r="H566" s="1" t="str">
        <f>IFERROR(__xludf.DUMMYFUNCTION("""COMPUTED_VALUE"""),"MARILYN BANICO KO")</f>
        <v>MARILYN BANICO KO</v>
      </c>
      <c r="I566" s="1">
        <f>IFERROR(__xludf.DUMMYFUNCTION("""COMPUTED_VALUE"""),9178979889)</f>
        <v>9178979889</v>
      </c>
      <c r="J566" s="1">
        <f>IFERROR(__xludf.DUMMYFUNCTION("""COMPUTED_VALUE"""),9175587898)</f>
        <v>9175587898</v>
      </c>
      <c r="K566" s="1" t="str">
        <f>IFERROR(__xludf.DUMMYFUNCTION("""COMPUTED_VALUE"""),"CLASSICLEISUREINTRAVEL_07@YAHOO.COM")</f>
        <v>CLASSICLEISUREINTRAVEL_07@YAHOO.COM</v>
      </c>
      <c r="L566" s="1" t="str">
        <f>IFERROR(__xludf.DUMMYFUNCTION("""COMPUTED_VALUE"""),"8521C")</f>
        <v>8521C</v>
      </c>
      <c r="M566" s="1" t="str">
        <f>IFERROR(__xludf.DUMMYFUNCTION("""COMPUTED_VALUE"""),"GENEROSITY")</f>
        <v>GENEROSITY</v>
      </c>
      <c r="N566" s="1"/>
      <c r="O566" s="1" t="str">
        <f>IFERROR(__xludf.DUMMYFUNCTION("""COMPUTED_VALUE"""),"TGTLP351NP1TONP8")</f>
        <v>TGTLP351NP1TONP8</v>
      </c>
      <c r="P566" s="1" t="str">
        <f>IFERROR(__xludf.DUMMYFUNCTION("""COMPUTED_VALUE"""),"14.105028, 120.903861")</f>
        <v>14.105028, 120.903861</v>
      </c>
      <c r="Q566" s="1" t="str">
        <f>IFERROR(__xludf.DUMMYFUNCTION("""COMPUTED_VALUE"""),"GUINHAWA SOUTH")</f>
        <v>GUINHAWA SOUTH</v>
      </c>
      <c r="R566" s="1" t="str">
        <f>IFERROR(__xludf.DUMMYFUNCTION("""COMPUTED_VALUE"""),"TAGAYTAY")</f>
        <v>TAGAYTAY</v>
      </c>
      <c r="S566" s="1" t="str">
        <f>IFERROR(__xludf.DUMMYFUNCTION("""COMPUTED_VALUE"""),"FIBR PLAN 1799")</f>
        <v>FIBR PLAN 1799</v>
      </c>
      <c r="T566" s="1" t="str">
        <f>IFERROR(__xludf.DUMMYFUNCTION("""COMPUTED_VALUE"""),"APPROVED")</f>
        <v>APPROVED</v>
      </c>
      <c r="U566" s="1"/>
      <c r="V566" s="1"/>
      <c r="W566" s="1"/>
    </row>
    <row r="567" customHeight="1" spans="1:23">
      <c r="A567" s="3">
        <f>IFERROR(__xludf.DUMMYFUNCTION("""COMPUTED_VALUE"""),46077)</f>
        <v>46077</v>
      </c>
      <c r="B567" s="1" t="str">
        <f>IFERROR(__xludf.DUMMYFUNCTION("""COMPUTED_VALUE"""),"MALIWAT MARK ELVIN")</f>
        <v>MALIWAT MARK ELVIN</v>
      </c>
      <c r="C567" s="1" t="str">
        <f>IFERROR(__xludf.DUMMYFUNCTION("""COMPUTED_VALUE"""),"FLA")</f>
        <v>FLA</v>
      </c>
      <c r="D567" s="1" t="str">
        <f>IFERROR(__xludf.DUMMYFUNCTION("""COMPUTED_VALUE"""),"JERIC NAVARRO")</f>
        <v>JERIC NAVARRO</v>
      </c>
      <c r="E567" s="1" t="str">
        <f>IFERROR(__xludf.DUMMYFUNCTION("""COMPUTED_VALUE"""),"PLDT")</f>
        <v>PLDT</v>
      </c>
      <c r="F567" s="1">
        <f>IFERROR(__xludf.DUMMYFUNCTION("""COMPUTED_VALUE"""),2307238795)</f>
        <v>2307238795</v>
      </c>
      <c r="G567" s="1"/>
      <c r="H567" s="1" t="str">
        <f>IFERROR(__xludf.DUMMYFUNCTION("""COMPUTED_VALUE"""),"ROBERTO MEJOS SURIO")</f>
        <v>ROBERTO MEJOS SURIO</v>
      </c>
      <c r="I567" s="1">
        <f>IFERROR(__xludf.DUMMYFUNCTION("""COMPUTED_VALUE"""),9934299282)</f>
        <v>9934299282</v>
      </c>
      <c r="J567" s="1">
        <f>IFERROR(__xludf.DUMMYFUNCTION("""COMPUTED_VALUE"""),9943437211)</f>
        <v>9943437211</v>
      </c>
      <c r="K567" s="1" t="str">
        <f>IFERROR(__xludf.DUMMYFUNCTION("""COMPUTED_VALUE"""),"ROBERTOSURIO.1977@GMAIL.COM")</f>
        <v>ROBERTOSURIO.1977@GMAIL.COM</v>
      </c>
      <c r="L567" s="1" t="str">
        <f>IFERROR(__xludf.DUMMYFUNCTION("""COMPUTED_VALUE"""),"279")</f>
        <v>279</v>
      </c>
      <c r="M567" s="1" t="str">
        <f>IFERROR(__xludf.DUMMYFUNCTION("""COMPUTED_VALUE"""),"PIER")</f>
        <v>PIER</v>
      </c>
      <c r="N567" s="1"/>
      <c r="O567" s="1" t="str">
        <f>IFERROR(__xludf.DUMMYFUNCTION("""COMPUTED_VALUE"""),"ALFLP42NP4, ALFLP42NP7, ALFLP42NP8")</f>
        <v>ALFLP42NP4, ALFLP42NP7, ALFLP42NP8</v>
      </c>
      <c r="P567" s="1"/>
      <c r="Q567" s="1" t="str">
        <f>IFERROR(__xludf.DUMMYFUNCTION("""COMPUTED_VALUE"""),"MARAHAN I")</f>
        <v>MARAHAN I</v>
      </c>
      <c r="R567" s="1" t="str">
        <f>IFERROR(__xludf.DUMMYFUNCTION("""COMPUTED_VALUE"""),"ALFONSO")</f>
        <v>ALFONSO</v>
      </c>
      <c r="S567" s="1" t="str">
        <f>IFERROR(__xludf.DUMMYFUNCTION("""COMPUTED_VALUE"""),"FIBR PLAN 1399")</f>
        <v>FIBR PLAN 1399</v>
      </c>
      <c r="T567" s="1" t="str">
        <f>IFERROR(__xludf.DUMMYFUNCTION("""COMPUTED_VALUE"""),"APPROVED")</f>
        <v>APPROVED</v>
      </c>
      <c r="U567" s="1"/>
      <c r="V567" s="1"/>
      <c r="W567" s="1"/>
    </row>
    <row r="568" customHeight="1" spans="1:23">
      <c r="A568" s="3">
        <f>IFERROR(__xludf.DUMMYFUNCTION("""COMPUTED_VALUE"""),46077)</f>
        <v>46077</v>
      </c>
      <c r="B568" s="1" t="str">
        <f>IFERROR(__xludf.DUMMYFUNCTION("""COMPUTED_VALUE"""),"AQUINO, LUIS")</f>
        <v>AQUINO, LUIS</v>
      </c>
      <c r="C568" s="1" t="str">
        <f>IFERROR(__xludf.DUMMYFUNCTION("""COMPUTED_VALUE"""),"ORGANIC")</f>
        <v>ORGANIC</v>
      </c>
      <c r="D568" s="1" t="str">
        <f>IFERROR(__xludf.DUMMYFUNCTION("""COMPUTED_VALUE"""),"ALOS, CHARLS")</f>
        <v>ALOS, CHARLS</v>
      </c>
      <c r="E568" s="1" t="str">
        <f>IFERROR(__xludf.DUMMYFUNCTION("""COMPUTED_VALUE"""),"RED FIBER")</f>
        <v>RED FIBER</v>
      </c>
      <c r="F568" s="1"/>
      <c r="G568" s="1">
        <f>IFERROR(__xludf.DUMMYFUNCTION("""COMPUTED_VALUE"""),6845416491)</f>
        <v>6845416491</v>
      </c>
      <c r="H568" s="1" t="str">
        <f>IFERROR(__xludf.DUMMYFUNCTION("""COMPUTED_VALUE"""),"MARLON MARAVILLA GABON")</f>
        <v>MARLON MARAVILLA GABON</v>
      </c>
      <c r="I568" s="1">
        <f>IFERROR(__xludf.DUMMYFUNCTION("""COMPUTED_VALUE"""),9519086256)</f>
        <v>9519086256</v>
      </c>
      <c r="J568" s="1">
        <f>IFERROR(__xludf.DUMMYFUNCTION("""COMPUTED_VALUE"""),969180347)</f>
        <v>969180347</v>
      </c>
      <c r="K568" s="1" t="str">
        <f>IFERROR(__xludf.DUMMYFUNCTION("""COMPUTED_VALUE"""),"GABONMARLON025@GMAIL.COM")</f>
        <v>GABONMARLON025@GMAIL.COM</v>
      </c>
      <c r="L568" s="1" t="str">
        <f>IFERROR(__xludf.DUMMYFUNCTION("""COMPUTED_VALUE"""),"1707")</f>
        <v>1707</v>
      </c>
      <c r="M568" s="1" t="str">
        <f>IFERROR(__xludf.DUMMYFUNCTION("""COMPUTED_VALUE"""),"JP RIZAL")</f>
        <v>JP RIZAL</v>
      </c>
      <c r="N568" s="1"/>
      <c r="O568" s="1" t="str">
        <f>IFERROR(__xludf.DUMMYFUNCTION("""COMPUTED_VALUE"""),"CVT 2 LCP 69 NP 4")</f>
        <v>CVT 2 LCP 69 NP 4</v>
      </c>
      <c r="P568" s="1" t="str">
        <f>IFERROR(__xludf.DUMMYFUNCTION("""COMPUTED_VALUE"""),"14.136514 | 120.902104")</f>
        <v>14.136514 | 120.902104</v>
      </c>
      <c r="Q568" s="1" t="str">
        <f>IFERROR(__xludf.DUMMYFUNCTION("""COMPUTED_VALUE"""),"ASIS III")</f>
        <v>ASIS III</v>
      </c>
      <c r="R568" s="1" t="str">
        <f>IFERROR(__xludf.DUMMYFUNCTION("""COMPUTED_VALUE"""),"MENDEZ")</f>
        <v>MENDEZ</v>
      </c>
      <c r="S568" s="1" t="str">
        <f>IFERROR(__xludf.DUMMYFUNCTION("""COMPUTED_VALUE"""),"RED FIBER PLAN 1000")</f>
        <v>RED FIBER PLAN 1000</v>
      </c>
      <c r="T568" s="1" t="str">
        <f>IFERROR(__xludf.DUMMYFUNCTION("""COMPUTED_VALUE"""),"APPROVED")</f>
        <v>APPROVED</v>
      </c>
      <c r="U568" s="1"/>
      <c r="V568" s="1"/>
      <c r="W568" s="1"/>
    </row>
    <row r="569" customHeight="1" spans="1:23">
      <c r="A569" s="3">
        <f>IFERROR(__xludf.DUMMYFUNCTION("""COMPUTED_VALUE"""),46077)</f>
        <v>46077</v>
      </c>
      <c r="B569" s="1" t="str">
        <f>IFERROR(__xludf.DUMMYFUNCTION("""COMPUTED_VALUE"""),"MIRASOL, RAYRALYN")</f>
        <v>MIRASOL, RAYRALYN</v>
      </c>
      <c r="C569" s="1" t="str">
        <f>IFERROR(__xludf.DUMMYFUNCTION("""COMPUTED_VALUE"""),"ORGANIC")</f>
        <v>ORGANIC</v>
      </c>
      <c r="D569" s="1" t="str">
        <f>IFERROR(__xludf.DUMMYFUNCTION("""COMPUTED_VALUE"""),"ALINGARO, CINDY")</f>
        <v>ALINGARO, CINDY</v>
      </c>
      <c r="E569" s="1" t="str">
        <f>IFERROR(__xludf.DUMMYFUNCTION("""COMPUTED_VALUE"""),"PLDT")</f>
        <v>PLDT</v>
      </c>
      <c r="F569" s="1">
        <f>IFERROR(__xludf.DUMMYFUNCTION("""COMPUTED_VALUE"""),2307240193)</f>
        <v>2307240193</v>
      </c>
      <c r="G569" s="1"/>
      <c r="H569" s="1" t="str">
        <f>IFERROR(__xludf.DUMMYFUNCTION("""COMPUTED_VALUE"""),"ENGELBERTO BENDER SODE JR")</f>
        <v>ENGELBERTO BENDER SODE JR</v>
      </c>
      <c r="I569" s="1">
        <f>IFERROR(__xludf.DUMMYFUNCTION("""COMPUTED_VALUE"""),9611481148)</f>
        <v>9611481148</v>
      </c>
      <c r="J569" s="1"/>
      <c r="K569" s="1" t="str">
        <f>IFERROR(__xludf.DUMMYFUNCTION("""COMPUTED_VALUE"""),"DENSODE@GMAIL.COM")</f>
        <v>DENSODE@GMAIL.COM</v>
      </c>
      <c r="L569" s="1" t="str">
        <f>IFERROR(__xludf.DUMMYFUNCTION("""COMPUTED_VALUE"""),"BLK 6 LOT 1")</f>
        <v>BLK 6 LOT 1</v>
      </c>
      <c r="M569" s="1" t="str">
        <f>IFERROR(__xludf.DUMMYFUNCTION("""COMPUTED_VALUE"""),"SAN GABRIEL")</f>
        <v>SAN GABRIEL</v>
      </c>
      <c r="N569" s="1" t="str">
        <f>IFERROR(__xludf.DUMMYFUNCTION("""COMPUTED_VALUE"""),"AREA K")</f>
        <v>AREA K</v>
      </c>
      <c r="O569" s="1" t="str">
        <f>IFERROR(__xludf.DUMMYFUNCTION("""COMPUTED_VALUE"""),"GMZLP15NP3")</f>
        <v>GMZLP15NP3</v>
      </c>
      <c r="P569" s="1"/>
      <c r="Q569" s="1" t="str">
        <f>IFERROR(__xludf.DUMMYFUNCTION("""COMPUTED_VALUE"""),"SAN GABRIEL POB. (BGY. 4)")</f>
        <v>SAN GABRIEL POB. (BGY. 4)</v>
      </c>
      <c r="R569" s="1" t="str">
        <f>IFERROR(__xludf.DUMMYFUNCTION("""COMPUTED_VALUE"""),"GEN MARIANO ALVAREZ")</f>
        <v>GEN MARIANO ALVAREZ</v>
      </c>
      <c r="S569" s="1" t="str">
        <f>IFERROR(__xludf.DUMMYFUNCTION("""COMPUTED_VALUE"""),"FIBR PLAN 1399")</f>
        <v>FIBR PLAN 1399</v>
      </c>
      <c r="T569" s="1" t="str">
        <f>IFERROR(__xludf.DUMMYFUNCTION("""COMPUTED_VALUE"""),"APPROVED")</f>
        <v>APPROVED</v>
      </c>
      <c r="U569" s="1"/>
      <c r="V569" s="1"/>
      <c r="W569" s="1"/>
    </row>
    <row r="570" customHeight="1" spans="1:23">
      <c r="A570" s="3">
        <f>IFERROR(__xludf.DUMMYFUNCTION("""COMPUTED_VALUE"""),46077)</f>
        <v>46077</v>
      </c>
      <c r="B570" s="1" t="str">
        <f>IFERROR(__xludf.DUMMYFUNCTION("""COMPUTED_VALUE"""),"CANTANERO JUNEL")</f>
        <v>CANTANERO JUNEL</v>
      </c>
      <c r="C570" s="1" t="str">
        <f>IFERROR(__xludf.DUMMYFUNCTION("""COMPUTED_VALUE"""),"ORGANIC")</f>
        <v>ORGANIC</v>
      </c>
      <c r="D570" s="1" t="str">
        <f>IFERROR(__xludf.DUMMYFUNCTION("""COMPUTED_VALUE"""),"ALINGARO, CINDY")</f>
        <v>ALINGARO, CINDY</v>
      </c>
      <c r="E570" s="1" t="str">
        <f>IFERROR(__xludf.DUMMYFUNCTION("""COMPUTED_VALUE"""),"PLDT")</f>
        <v>PLDT</v>
      </c>
      <c r="F570" s="1">
        <f>IFERROR(__xludf.DUMMYFUNCTION("""COMPUTED_VALUE"""),2307241050)</f>
        <v>2307241050</v>
      </c>
      <c r="G570" s="1"/>
      <c r="H570" s="1" t="str">
        <f>IFERROR(__xludf.DUMMYFUNCTION("""COMPUTED_VALUE"""),"MICHELLE OLIT CARAMOAN")</f>
        <v>MICHELLE OLIT CARAMOAN</v>
      </c>
      <c r="I570" s="1">
        <f>IFERROR(__xludf.DUMMYFUNCTION("""COMPUTED_VALUE"""),9100891508)</f>
        <v>9100891508</v>
      </c>
      <c r="J570" s="1"/>
      <c r="K570" s="1" t="str">
        <f>IFERROR(__xludf.DUMMYFUNCTION("""COMPUTED_VALUE"""),"MICHELLECARAMOAN1@GMAIL.COM")</f>
        <v>MICHELLECARAMOAN1@GMAIL.COM</v>
      </c>
      <c r="L570" s="1" t="str">
        <f>IFERROR(__xludf.DUMMYFUNCTION("""COMPUTED_VALUE"""),"BLK 10 LOT 16")</f>
        <v>BLK 10 LOT 16</v>
      </c>
      <c r="M570" s="1" t="str">
        <f>IFERROR(__xludf.DUMMYFUNCTION("""COMPUTED_VALUE"""),"GRANADOS")</f>
        <v>GRANADOS</v>
      </c>
      <c r="N570" s="1"/>
      <c r="O570" s="1" t="str">
        <f>IFERROR(__xludf.DUMMYFUNCTION("""COMPUTED_VALUE"""),"GMZLP69NP8")</f>
        <v>GMZLP69NP8</v>
      </c>
      <c r="P570" s="1"/>
      <c r="Q570" s="1" t="str">
        <f>IFERROR(__xludf.DUMMYFUNCTION("""COMPUTED_VALUE"""),"PANTALEON GRANADOS (AREA G)")</f>
        <v>PANTALEON GRANADOS (AREA G)</v>
      </c>
      <c r="R570" s="1" t="str">
        <f>IFERROR(__xludf.DUMMYFUNCTION("""COMPUTED_VALUE"""),"GEN MARIANO ALVAREZ")</f>
        <v>GEN MARIANO ALVAREZ</v>
      </c>
      <c r="S570" s="1" t="str">
        <f>IFERROR(__xludf.DUMMYFUNCTION("""COMPUTED_VALUE"""),"PREPAID 999")</f>
        <v>PREPAID 999</v>
      </c>
      <c r="T570" s="1" t="str">
        <f>IFERROR(__xludf.DUMMYFUNCTION("""COMPUTED_VALUE"""),"APPROVED")</f>
        <v>APPROVED</v>
      </c>
      <c r="U570" s="1"/>
      <c r="V570" s="1"/>
      <c r="W570" s="1"/>
    </row>
    <row r="571" customHeight="1" spans="1:23">
      <c r="A571" s="3">
        <f>IFERROR(__xludf.DUMMYFUNCTION("""COMPUTED_VALUE"""),46077)</f>
        <v>46077</v>
      </c>
      <c r="B571" s="1" t="str">
        <f>IFERROR(__xludf.DUMMYFUNCTION("""COMPUTED_VALUE"""),"TISTON, CEDRICK")</f>
        <v>TISTON, CEDRICK</v>
      </c>
      <c r="C571" s="1" t="str">
        <f>IFERROR(__xludf.DUMMYFUNCTION("""COMPUTED_VALUE"""),"ORGANIC")</f>
        <v>ORGANIC</v>
      </c>
      <c r="D571" s="1" t="str">
        <f>IFERROR(__xludf.DUMMYFUNCTION("""COMPUTED_VALUE"""),"ALINGARO, CINDY")</f>
        <v>ALINGARO, CINDY</v>
      </c>
      <c r="E571" s="1" t="str">
        <f>IFERROR(__xludf.DUMMYFUNCTION("""COMPUTED_VALUE"""),"PLDT")</f>
        <v>PLDT</v>
      </c>
      <c r="F571" s="1">
        <f>IFERROR(__xludf.DUMMYFUNCTION("""COMPUTED_VALUE"""),2307243144)</f>
        <v>2307243144</v>
      </c>
      <c r="G571" s="1"/>
      <c r="H571" s="1" t="str">
        <f>IFERROR(__xludf.DUMMYFUNCTION("""COMPUTED_VALUE"""),"FIT ELITE CORPORATION")</f>
        <v>FIT ELITE CORPORATION</v>
      </c>
      <c r="I571" s="1">
        <f>IFERROR(__xludf.DUMMYFUNCTION("""COMPUTED_VALUE"""),9550840909)</f>
        <v>9550840909</v>
      </c>
      <c r="J571" s="1">
        <f>IFERROR(__xludf.DUMMYFUNCTION("""COMPUTED_VALUE"""),9398157013)</f>
        <v>9398157013</v>
      </c>
      <c r="K571" s="1" t="str">
        <f>IFERROR(__xludf.DUMMYFUNCTION("""COMPUTED_VALUE"""),"SECRETARYFUTUREFORCE@GMAIL.COM")</f>
        <v>SECRETARYFUTUREFORCE@GMAIL.COM</v>
      </c>
      <c r="L571" s="1" t="str">
        <f>IFERROR(__xludf.DUMMYFUNCTION("""COMPUTED_VALUE"""),"BLK 9 LOT 13")</f>
        <v>BLK 9 LOT 13</v>
      </c>
      <c r="M571" s="1" t="str">
        <f>IFERROR(__xludf.DUMMYFUNCTION("""COMPUTED_VALUE"""),"METROSOUTH")</f>
        <v>METROSOUTH</v>
      </c>
      <c r="N571" s="1" t="str">
        <f>IFERROR(__xludf.DUMMYFUNCTION("""COMPUTED_VALUE"""),"METROSOUTH SUBDIVIION")</f>
        <v>METROSOUTH SUBDIVIION</v>
      </c>
      <c r="O571" s="1" t="str">
        <f>IFERROR(__xludf.DUMMYFUNCTION("""COMPUTED_VALUE"""),"GTSLP772NP7/8")</f>
        <v>GTSLP772NP7/8</v>
      </c>
      <c r="P571" s="1" t="str">
        <f>IFERROR(__xludf.DUMMYFUNCTION("""COMPUTED_VALUE"""),"14.291873906429881, 120.90660863800348")</f>
        <v>14.291873906429881, 120.90660863800348</v>
      </c>
      <c r="Q571" s="1" t="str">
        <f>IFERROR(__xludf.DUMMYFUNCTION("""COMPUTED_VALUE"""),"MANGGAHAN")</f>
        <v>MANGGAHAN</v>
      </c>
      <c r="R571" s="1" t="str">
        <f>IFERROR(__xludf.DUMMYFUNCTION("""COMPUTED_VALUE"""),"GENERAL TRIAS")</f>
        <v>GENERAL TRIAS</v>
      </c>
      <c r="S571" s="1" t="str">
        <f>IFERROR(__xludf.DUMMYFUNCTION("""COMPUTED_VALUE"""),"HOMEBIZZ 1699")</f>
        <v>HOMEBIZZ 1699</v>
      </c>
      <c r="T571" s="1" t="str">
        <f>IFERROR(__xludf.DUMMYFUNCTION("""COMPUTED_VALUE"""),"APPROVED")</f>
        <v>APPROVED</v>
      </c>
      <c r="U571" s="1"/>
      <c r="V571" s="1"/>
      <c r="W571" s="1"/>
    </row>
    <row r="572" customHeight="1" spans="1:23">
      <c r="A572" s="3">
        <f>IFERROR(__xludf.DUMMYFUNCTION("""COMPUTED_VALUE"""),46077)</f>
        <v>46077</v>
      </c>
      <c r="B572" s="1" t="str">
        <f>IFERROR(__xludf.DUMMYFUNCTION("""COMPUTED_VALUE"""),"CONCEPCION, ALJAY")</f>
        <v>CONCEPCION, ALJAY</v>
      </c>
      <c r="C572" s="1" t="str">
        <f>IFERROR(__xludf.DUMMYFUNCTION("""COMPUTED_VALUE"""),"ORGANIC")</f>
        <v>ORGANIC</v>
      </c>
      <c r="D572" s="1" t="str">
        <f>IFERROR(__xludf.DUMMYFUNCTION("""COMPUTED_VALUE"""),"ALOS, CHARLS")</f>
        <v>ALOS, CHARLS</v>
      </c>
      <c r="E572" s="1" t="str">
        <f>IFERROR(__xludf.DUMMYFUNCTION("""COMPUTED_VALUE"""),"PLDT")</f>
        <v>PLDT</v>
      </c>
      <c r="F572" s="1">
        <f>IFERROR(__xludf.DUMMYFUNCTION("""COMPUTED_VALUE"""),2307243669)</f>
        <v>2307243669</v>
      </c>
      <c r="G572" s="1"/>
      <c r="H572" s="1" t="str">
        <f>IFERROR(__xludf.DUMMYFUNCTION("""COMPUTED_VALUE"""),"GAUDENCIO PERLAS DE JESUS")</f>
        <v>GAUDENCIO PERLAS DE JESUS</v>
      </c>
      <c r="I572" s="1">
        <f>IFERROR(__xludf.DUMMYFUNCTION("""COMPUTED_VALUE"""),9123987913)</f>
        <v>9123987913</v>
      </c>
      <c r="J572" s="1"/>
      <c r="K572" s="1" t="str">
        <f>IFERROR(__xludf.DUMMYFUNCTION("""COMPUTED_VALUE"""),"DEJESUSJEANETH52@GMAIL.COM")</f>
        <v>DEJESUSJEANETH52@GMAIL.COM</v>
      </c>
      <c r="L572" s="1" t="str">
        <f>IFERROR(__xludf.DUMMYFUNCTION("""COMPUTED_VALUE"""),"4815")</f>
        <v>4815</v>
      </c>
      <c r="M572" s="1" t="str">
        <f>IFERROR(__xludf.DUMMYFUNCTION("""COMPUTED_VALUE"""),"TIBIG")</f>
        <v>TIBIG</v>
      </c>
      <c r="N572" s="1"/>
      <c r="O572" s="1" t="str">
        <f>IFERROR(__xludf.DUMMYFUNCTION("""COMPUTED_VALUE"""),"SILLP680NP2")</f>
        <v>SILLP680NP2</v>
      </c>
      <c r="P572" s="1" t="str">
        <f>IFERROR(__xludf.DUMMYFUNCTION("""COMPUTED_VALUE"""),"14.227455 | 121.00022")</f>
        <v>14.227455 | 121.00022</v>
      </c>
      <c r="Q572" s="1" t="str">
        <f>IFERROR(__xludf.DUMMYFUNCTION("""COMPUTED_VALUE"""),"TIBIG")</f>
        <v>TIBIG</v>
      </c>
      <c r="R572" s="1" t="str">
        <f>IFERROR(__xludf.DUMMYFUNCTION("""COMPUTED_VALUE"""),"SILANG")</f>
        <v>SILANG</v>
      </c>
      <c r="S572" s="1" t="str">
        <f>IFERROR(__xludf.DUMMYFUNCTION("""COMPUTED_VALUE"""),"FIBR PLAN 1399")</f>
        <v>FIBR PLAN 1399</v>
      </c>
      <c r="T572" s="1" t="str">
        <f>IFERROR(__xludf.DUMMYFUNCTION("""COMPUTED_VALUE"""),"APPROVED")</f>
        <v>APPROVED</v>
      </c>
      <c r="U572" s="1"/>
      <c r="V572" s="1"/>
      <c r="W572" s="1"/>
    </row>
    <row r="573" customHeight="1" spans="1:23">
      <c r="A573" s="3">
        <f>IFERROR(__xludf.DUMMYFUNCTION("""COMPUTED_VALUE"""),46077)</f>
        <v>46077</v>
      </c>
      <c r="B573" s="1" t="str">
        <f>IFERROR(__xludf.DUMMYFUNCTION("""COMPUTED_VALUE"""),"ESCARCHA, MA ALMA  ESCOTO")</f>
        <v>ESCARCHA, MA ALMA  ESCOTO</v>
      </c>
      <c r="C573" s="1" t="str">
        <f>IFERROR(__xludf.DUMMYFUNCTION("""COMPUTED_VALUE"""),"ORGANIC")</f>
        <v>ORGANIC</v>
      </c>
      <c r="D573" s="1" t="str">
        <f>IFERROR(__xludf.DUMMYFUNCTION("""COMPUTED_VALUE"""),"ALINGARO, CINDY")</f>
        <v>ALINGARO, CINDY</v>
      </c>
      <c r="E573" s="1" t="str">
        <f>IFERROR(__xludf.DUMMYFUNCTION("""COMPUTED_VALUE"""),"PLDT")</f>
        <v>PLDT</v>
      </c>
      <c r="F573" s="1">
        <f>IFERROR(__xludf.DUMMYFUNCTION("""COMPUTED_VALUE"""),2307244084)</f>
        <v>2307244084</v>
      </c>
      <c r="G573" s="1"/>
      <c r="H573" s="1" t="str">
        <f>IFERROR(__xludf.DUMMYFUNCTION("""COMPUTED_VALUE"""),"SOLITA QUINONES GEALOGO")</f>
        <v>SOLITA QUINONES GEALOGO</v>
      </c>
      <c r="I573" s="1">
        <f>IFERROR(__xludf.DUMMYFUNCTION("""COMPUTED_VALUE"""),9053604031)</f>
        <v>9053604031</v>
      </c>
      <c r="J573" s="1"/>
      <c r="K573" s="1" t="str">
        <f>IFERROR(__xludf.DUMMYFUNCTION("""COMPUTED_VALUE"""),"KAP.ANAS@GMAIL.COM")</f>
        <v>KAP.ANAS@GMAIL.COM</v>
      </c>
      <c r="L573" s="1" t="str">
        <f>IFERROR(__xludf.DUMMYFUNCTION("""COMPUTED_VALUE"""),"BLK 22 LOT 23")</f>
        <v>BLK 22 LOT 23</v>
      </c>
      <c r="M573" s="1" t="str">
        <f>IFERROR(__xludf.DUMMYFUNCTION("""COMPUTED_VALUE"""),"TEACHERS VILL")</f>
        <v>TEACHERS VILL</v>
      </c>
      <c r="N573" s="1" t="str">
        <f>IFERROR(__xludf.DUMMYFUNCTION("""COMPUTED_VALUE"""),"TEACHERS VILLAGE")</f>
        <v>TEACHERS VILLAGE</v>
      </c>
      <c r="O573" s="1" t="str">
        <f>IFERROR(__xludf.DUMMYFUNCTION("""COMPUTED_VALUE"""),"GMZLP78NP4")</f>
        <v>GMZLP78NP4</v>
      </c>
      <c r="P573" s="1" t="str">
        <f>IFERROR(__xludf.DUMMYFUNCTION("""COMPUTED_VALUE"""),"14.291292 | 121.006312")</f>
        <v>14.291292 | 121.006312</v>
      </c>
      <c r="Q573" s="1" t="str">
        <f>IFERROR(__xludf.DUMMYFUNCTION("""COMPUTED_VALUE"""),"SAN GABRIEL (AREA K)")</f>
        <v>SAN GABRIEL (AREA K)</v>
      </c>
      <c r="R573" s="1" t="str">
        <f>IFERROR(__xludf.DUMMYFUNCTION("""COMPUTED_VALUE"""),"GEN MARIANO ALVAREZ")</f>
        <v>GEN MARIANO ALVAREZ</v>
      </c>
      <c r="S573" s="1" t="str">
        <f>IFERROR(__xludf.DUMMYFUNCTION("""COMPUTED_VALUE"""),"PREPAID 999")</f>
        <v>PREPAID 999</v>
      </c>
      <c r="T573" s="1" t="str">
        <f>IFERROR(__xludf.DUMMYFUNCTION("""COMPUTED_VALUE"""),"APPROVED")</f>
        <v>APPROVED</v>
      </c>
      <c r="U573" s="1"/>
      <c r="V573" s="1"/>
      <c r="W573" s="1"/>
    </row>
    <row r="574" customHeight="1" spans="1:23">
      <c r="A574" s="3">
        <f>IFERROR(__xludf.DUMMYFUNCTION("""COMPUTED_VALUE"""),46078)</f>
        <v>46078</v>
      </c>
      <c r="B574" s="1" t="str">
        <f>IFERROR(__xludf.DUMMYFUNCTION("""COMPUTED_VALUE"""),"MAGDARAOG, KENNETH")</f>
        <v>MAGDARAOG, KENNETH</v>
      </c>
      <c r="C574" s="1" t="str">
        <f>IFERROR(__xludf.DUMMYFUNCTION("""COMPUTED_VALUE"""),"ORGANIC")</f>
        <v>ORGANIC</v>
      </c>
      <c r="D574" s="1" t="str">
        <f>IFERROR(__xludf.DUMMYFUNCTION("""COMPUTED_VALUE"""),"ALINGARO, CINDY")</f>
        <v>ALINGARO, CINDY</v>
      </c>
      <c r="E574" s="1" t="str">
        <f>IFERROR(__xludf.DUMMYFUNCTION("""COMPUTED_VALUE"""),"PLDT")</f>
        <v>PLDT</v>
      </c>
      <c r="F574" s="1">
        <f>IFERROR(__xludf.DUMMYFUNCTION("""COMPUTED_VALUE"""),2307254532)</f>
        <v>2307254532</v>
      </c>
      <c r="G574" s="1"/>
      <c r="H574" s="1" t="str">
        <f>IFERROR(__xludf.DUMMYFUNCTION("""COMPUTED_VALUE"""),"NATHANIEL LICMUAN BAWALAS")</f>
        <v>NATHANIEL LICMUAN BAWALAS</v>
      </c>
      <c r="I574" s="1">
        <f>IFERROR(__xludf.DUMMYFUNCTION("""COMPUTED_VALUE"""),9568404021)</f>
        <v>9568404021</v>
      </c>
      <c r="J574" s="1">
        <f>IFERROR(__xludf.DUMMYFUNCTION("""COMPUTED_VALUE"""),9486975756)</f>
        <v>9486975756</v>
      </c>
      <c r="K574" s="1" t="str">
        <f>IFERROR(__xludf.DUMMYFUNCTION("""COMPUTED_VALUE"""),"NATHANIELBAWALAS@GMAIL.COM")</f>
        <v>NATHANIELBAWALAS@GMAIL.COM</v>
      </c>
      <c r="L574" s="1" t="str">
        <f>IFERROR(__xludf.DUMMYFUNCTION("""COMPUTED_VALUE"""),"551")</f>
        <v>551</v>
      </c>
      <c r="M574" s="1" t="str">
        <f>IFERROR(__xludf.DUMMYFUNCTION("""COMPUTED_VALUE"""),"MUNTING ILOG RD")</f>
        <v>MUNTING ILOG RD</v>
      </c>
      <c r="N574" s="1"/>
      <c r="O574" s="1" t="str">
        <f>IFERROR(__xludf.DUMMYFUNCTION("""COMPUTED_VALUE"""),"SILLP511NP5 SILLP614NP1")</f>
        <v>SILLP511NP5 SILLP614NP1</v>
      </c>
      <c r="P574" s="1" t="str">
        <f>IFERROR(__xludf.DUMMYFUNCTION("""COMPUTED_VALUE"""),"14.215245 121.000357")</f>
        <v>14.215245 121.000357</v>
      </c>
      <c r="Q574" s="1" t="str">
        <f>IFERROR(__xludf.DUMMYFUNCTION("""COMPUTED_VALUE"""),"MUNTING ILOG")</f>
        <v>MUNTING ILOG</v>
      </c>
      <c r="R574" s="1" t="str">
        <f>IFERROR(__xludf.DUMMYFUNCTION("""COMPUTED_VALUE"""),"SILANG")</f>
        <v>SILANG</v>
      </c>
      <c r="S574" s="1" t="str">
        <f>IFERROR(__xludf.DUMMYFUNCTION("""COMPUTED_VALUE"""),"FIBR PLAN 1399")</f>
        <v>FIBR PLAN 1399</v>
      </c>
      <c r="T574" s="1" t="str">
        <f>IFERROR(__xludf.DUMMYFUNCTION("""COMPUTED_VALUE"""),"APPROVED")</f>
        <v>APPROVED</v>
      </c>
      <c r="U574" s="1"/>
      <c r="V574" s="1"/>
      <c r="W574" s="1"/>
    </row>
    <row r="575" customHeight="1" spans="1:23">
      <c r="A575" s="3">
        <f>IFERROR(__xludf.DUMMYFUNCTION("""COMPUTED_VALUE"""),46078)</f>
        <v>46078</v>
      </c>
      <c r="B575" s="1" t="str">
        <f>IFERROR(__xludf.DUMMYFUNCTION("""COMPUTED_VALUE"""),"AQUINO, LUIS")</f>
        <v>AQUINO, LUIS</v>
      </c>
      <c r="C575" s="1" t="str">
        <f>IFERROR(__xludf.DUMMYFUNCTION("""COMPUTED_VALUE"""),"ORGANIC")</f>
        <v>ORGANIC</v>
      </c>
      <c r="D575" s="1" t="str">
        <f>IFERROR(__xludf.DUMMYFUNCTION("""COMPUTED_VALUE"""),"ALOS, CHARLS")</f>
        <v>ALOS, CHARLS</v>
      </c>
      <c r="E575" s="1" t="str">
        <f>IFERROR(__xludf.DUMMYFUNCTION("""COMPUTED_VALUE"""),"PLDT")</f>
        <v>PLDT</v>
      </c>
      <c r="F575" s="1">
        <f>IFERROR(__xludf.DUMMYFUNCTION("""COMPUTED_VALUE"""),2307255195)</f>
        <v>2307255195</v>
      </c>
      <c r="G575" s="1"/>
      <c r="H575" s="1" t="str">
        <f>IFERROR(__xludf.DUMMYFUNCTION("""COMPUTED_VALUE"""),"RIZA LAGARSE REBAY")</f>
        <v>RIZA LAGARSE REBAY</v>
      </c>
      <c r="I575" s="1">
        <f>IFERROR(__xludf.DUMMYFUNCTION("""COMPUTED_VALUE"""),9991960694)</f>
        <v>9991960694</v>
      </c>
      <c r="J575" s="1"/>
      <c r="K575" s="1" t="str">
        <f>IFERROR(__xludf.DUMMYFUNCTION("""COMPUTED_VALUE"""),"JENNIEFERIZ5@GMAIL.OM")</f>
        <v>JENNIEFERIZ5@GMAIL.OM</v>
      </c>
      <c r="L575" s="1" t="str">
        <f>IFERROR(__xludf.DUMMYFUNCTION("""COMPUTED_VALUE"""),"BLK 6")</f>
        <v>BLK 6</v>
      </c>
      <c r="M575" s="1" t="str">
        <f>IFERROR(__xludf.DUMMYFUNCTION("""COMPUTED_VALUE"""),"EXCESS LOT")</f>
        <v>EXCESS LOT</v>
      </c>
      <c r="N575" s="1"/>
      <c r="O575" s="1" t="str">
        <f>IFERROR(__xludf.DUMMYFUNCTION("""COMPUTED_VALUE"""),"GMZLP146NP2 GMZLP145NP6")</f>
        <v>GMZLP146NP2 GMZLP145NP6</v>
      </c>
      <c r="P575" s="1" t="str">
        <f>IFERROR(__xludf.DUMMYFUNCTION("""COMPUTED_VALUE"""),"14.30478 121.011125")</f>
        <v>14.30478 121.011125</v>
      </c>
      <c r="Q575" s="1" t="str">
        <f>IFERROR(__xludf.DUMMYFUNCTION("""COMPUTED_VALUE"""),"POBLACION V (BARANGAY V)")</f>
        <v>POBLACION V (BARANGAY V)</v>
      </c>
      <c r="R575" s="1" t="str">
        <f>IFERROR(__xludf.DUMMYFUNCTION("""COMPUTED_VALUE"""),"GEN MARIANO ALVAREZ")</f>
        <v>GEN MARIANO ALVAREZ</v>
      </c>
      <c r="S575" s="1" t="str">
        <f>IFERROR(__xludf.DUMMYFUNCTION("""COMPUTED_VALUE"""),"FIBR PLAN 999 W/ CIGNAL")</f>
        <v>FIBR PLAN 999 W/ CIGNAL</v>
      </c>
      <c r="T575" s="1" t="str">
        <f>IFERROR(__xludf.DUMMYFUNCTION("""COMPUTED_VALUE"""),"APPROVED")</f>
        <v>APPROVED</v>
      </c>
      <c r="U575" s="1"/>
      <c r="V575" s="1"/>
      <c r="W575" s="1"/>
    </row>
    <row r="576" customHeight="1" spans="1:23">
      <c r="A576" s="3">
        <f>IFERROR(__xludf.DUMMYFUNCTION("""COMPUTED_VALUE"""),46078)</f>
        <v>46078</v>
      </c>
      <c r="B576" s="1" t="str">
        <f>IFERROR(__xludf.DUMMYFUNCTION("""COMPUTED_VALUE"""),"DELA ROSA, JENNELYN")</f>
        <v>DELA ROSA, JENNELYN</v>
      </c>
      <c r="C576" s="1" t="str">
        <f>IFERROR(__xludf.DUMMYFUNCTION("""COMPUTED_VALUE"""),"ORGANIC")</f>
        <v>ORGANIC</v>
      </c>
      <c r="D576" s="1" t="str">
        <f>IFERROR(__xludf.DUMMYFUNCTION("""COMPUTED_VALUE"""),"ALOS, CHARLS")</f>
        <v>ALOS, CHARLS</v>
      </c>
      <c r="E576" s="1" t="str">
        <f>IFERROR(__xludf.DUMMYFUNCTION("""COMPUTED_VALUE"""),"PLDT")</f>
        <v>PLDT</v>
      </c>
      <c r="F576" s="1">
        <f>IFERROR(__xludf.DUMMYFUNCTION("""COMPUTED_VALUE"""),2307255734)</f>
        <v>2307255734</v>
      </c>
      <c r="G576" s="1"/>
      <c r="H576" s="1" t="str">
        <f>IFERROR(__xludf.DUMMYFUNCTION("""COMPUTED_VALUE"""),"JANET GAZA LOMO")</f>
        <v>JANET GAZA LOMO</v>
      </c>
      <c r="I576" s="1">
        <f>IFERROR(__xludf.DUMMYFUNCTION("""COMPUTED_VALUE"""),9934053449)</f>
        <v>9934053449</v>
      </c>
      <c r="J576" s="1"/>
      <c r="K576" s="1" t="str">
        <f>IFERROR(__xludf.DUMMYFUNCTION("""COMPUTED_VALUE"""),"ROSEMARIELOMO06@GMAIL.COM")</f>
        <v>ROSEMARIELOMO06@GMAIL.COM</v>
      </c>
      <c r="L576" s="1" t="str">
        <f>IFERROR(__xludf.DUMMYFUNCTION("""COMPUTED_VALUE"""),"BLK 41 LOT 2")</f>
        <v>BLK 41 LOT 2</v>
      </c>
      <c r="M576" s="1" t="str">
        <f>IFERROR(__xludf.DUMMYFUNCTION("""COMPUTED_VALUE"""),"PHASE 3")</f>
        <v>PHASE 3</v>
      </c>
      <c r="N576" s="1"/>
      <c r="O576" s="1" t="str">
        <f>IFERROR(__xludf.DUMMYFUNCTION("""COMPUTED_VALUE"""),"SILLP68NP8 SILLP888NP3/5")</f>
        <v>SILLP68NP8 SILLP888NP3/5</v>
      </c>
      <c r="P576" s="1" t="str">
        <f>IFERROR(__xludf.DUMMYFUNCTION("""COMPUTED_VALUE"""),"14.270645 120.997813")</f>
        <v>14.270645 120.997813</v>
      </c>
      <c r="Q576" s="1" t="str">
        <f>IFERROR(__xludf.DUMMYFUNCTION("""COMPUTED_VALUE"""),"YAKAL")</f>
        <v>YAKAL</v>
      </c>
      <c r="R576" s="1" t="str">
        <f>IFERROR(__xludf.DUMMYFUNCTION("""COMPUTED_VALUE"""),"SILANG")</f>
        <v>SILANG</v>
      </c>
      <c r="S576" s="1" t="str">
        <f>IFERROR(__xludf.DUMMYFUNCTION("""COMPUTED_VALUE"""),"FIBR PLAN 1399")</f>
        <v>FIBR PLAN 1399</v>
      </c>
      <c r="T576" s="1" t="str">
        <f>IFERROR(__xludf.DUMMYFUNCTION("""COMPUTED_VALUE"""),"APPROVED")</f>
        <v>APPROVED</v>
      </c>
      <c r="U576" s="1"/>
      <c r="V576" s="1"/>
      <c r="W576" s="1"/>
    </row>
    <row r="577" customHeight="1" spans="1:23">
      <c r="A577" s="3">
        <f>IFERROR(__xludf.DUMMYFUNCTION("""COMPUTED_VALUE"""),46078)</f>
        <v>46078</v>
      </c>
      <c r="B577" s="1" t="str">
        <f>IFERROR(__xludf.DUMMYFUNCTION("""COMPUTED_VALUE"""),"DACALCAP RUBEN")</f>
        <v>DACALCAP RUBEN</v>
      </c>
      <c r="C577" s="1" t="str">
        <f>IFERROR(__xludf.DUMMYFUNCTION("""COMPUTED_VALUE"""),"FLA")</f>
        <v>FLA</v>
      </c>
      <c r="D577" s="1" t="str">
        <f>IFERROR(__xludf.DUMMYFUNCTION("""COMPUTED_VALUE"""),"JERIC NAVARRO")</f>
        <v>JERIC NAVARRO</v>
      </c>
      <c r="E577" s="1" t="str">
        <f>IFERROR(__xludf.DUMMYFUNCTION("""COMPUTED_VALUE"""),"PLDT")</f>
        <v>PLDT</v>
      </c>
      <c r="F577" s="1">
        <f>IFERROR(__xludf.DUMMYFUNCTION("""COMPUTED_VALUE"""),2307256374)</f>
        <v>2307256374</v>
      </c>
      <c r="G577" s="1"/>
      <c r="H577" s="1" t="str">
        <f>IFERROR(__xludf.DUMMYFUNCTION("""COMPUTED_VALUE"""),"TERESITA EMBRADO GARCIA")</f>
        <v>TERESITA EMBRADO GARCIA</v>
      </c>
      <c r="I577" s="1">
        <f>IFERROR(__xludf.DUMMYFUNCTION("""COMPUTED_VALUE"""),9678170102)</f>
        <v>9678170102</v>
      </c>
      <c r="J577" s="1">
        <f>IFERROR(__xludf.DUMMYFUNCTION("""COMPUTED_VALUE"""),9684265150)</f>
        <v>9684265150</v>
      </c>
      <c r="K577" s="1" t="str">
        <f>IFERROR(__xludf.DUMMYFUNCTION("""COMPUTED_VALUE"""),"ELUCKYCHRISTIAN@GMAIL.COM")</f>
        <v>ELUCKYCHRISTIAN@GMAIL.COM</v>
      </c>
      <c r="L577" s="1" t="str">
        <f>IFERROR(__xludf.DUMMYFUNCTION("""COMPUTED_VALUE"""),"BLK 79 LOT 33")</f>
        <v>BLK 79 LOT 33</v>
      </c>
      <c r="M577" s="1" t="str">
        <f>IFERROR(__xludf.DUMMYFUNCTION("""COMPUTED_VALUE"""),"PHASE 4")</f>
        <v>PHASE 4</v>
      </c>
      <c r="N577" s="1" t="str">
        <f>IFERROR(__xludf.DUMMYFUNCTION("""COMPUTED_VALUE"""),"MABUHAY CITY")</f>
        <v>MABUHAY CITY</v>
      </c>
      <c r="O577" s="1" t="str">
        <f>IFERROR(__xludf.DUMMYFUNCTION("""COMPUTED_VALUE"""),"DASLP361NP5/64 DASLPD51NP4")</f>
        <v>DASLP361NP5/64 DASLPD51NP4</v>
      </c>
      <c r="P577" s="1" t="str">
        <f>IFERROR(__xludf.DUMMYFUNCTION("""COMPUTED_VALUE"""),"14.321757 120.993545")</f>
        <v>14.321757 120.993545</v>
      </c>
      <c r="Q577" s="1" t="str">
        <f>IFERROR(__xludf.DUMMYFUNCTION("""COMPUTED_VALUE"""),"PALIPARAN III")</f>
        <v>PALIPARAN III</v>
      </c>
      <c r="R577" s="1" t="str">
        <f>IFERROR(__xludf.DUMMYFUNCTION("""COMPUTED_VALUE"""),"DASMARINAS")</f>
        <v>DASMARINAS</v>
      </c>
      <c r="S577" s="1" t="str">
        <f>IFERROR(__xludf.DUMMYFUNCTION("""COMPUTED_VALUE"""),"FIBR PLAN 1399")</f>
        <v>FIBR PLAN 1399</v>
      </c>
      <c r="T577" s="1" t="str">
        <f>IFERROR(__xludf.DUMMYFUNCTION("""COMPUTED_VALUE"""),"APPROVED")</f>
        <v>APPROVED</v>
      </c>
      <c r="U577" s="1"/>
      <c r="V577" s="1"/>
      <c r="W577" s="1"/>
    </row>
    <row r="578" customHeight="1" spans="1:23">
      <c r="A578" s="3">
        <f>IFERROR(__xludf.DUMMYFUNCTION("""COMPUTED_VALUE"""),46078)</f>
        <v>46078</v>
      </c>
      <c r="B578" s="1" t="str">
        <f>IFERROR(__xludf.DUMMYFUNCTION("""COMPUTED_VALUE"""),"SAMURAY, MARINELLE GACILLIOS")</f>
        <v>SAMURAY, MARINELLE GACILLIOS</v>
      </c>
      <c r="C578" s="1" t="str">
        <f>IFERROR(__xludf.DUMMYFUNCTION("""COMPUTED_VALUE"""),"ORGANIC")</f>
        <v>ORGANIC</v>
      </c>
      <c r="D578" s="1" t="str">
        <f>IFERROR(__xludf.DUMMYFUNCTION("""COMPUTED_VALUE"""),"ALINGARO, CINDY")</f>
        <v>ALINGARO, CINDY</v>
      </c>
      <c r="E578" s="1" t="str">
        <f>IFERROR(__xludf.DUMMYFUNCTION("""COMPUTED_VALUE"""),"PLDT")</f>
        <v>PLDT</v>
      </c>
      <c r="F578" s="1">
        <f>IFERROR(__xludf.DUMMYFUNCTION("""COMPUTED_VALUE"""),2307262311)</f>
        <v>2307262311</v>
      </c>
      <c r="G578" s="1"/>
      <c r="H578" s="1" t="str">
        <f>IFERROR(__xludf.DUMMYFUNCTION("""COMPUTED_VALUE"""),"ELVIRA DETRUZ DAYUTAN ")</f>
        <v>ELVIRA DETRUZ DAYUTAN </v>
      </c>
      <c r="I578" s="1">
        <f>IFERROR(__xludf.DUMMYFUNCTION("""COMPUTED_VALUE"""),9946122447)</f>
        <v>9946122447</v>
      </c>
      <c r="J578" s="1"/>
      <c r="K578" s="1" t="str">
        <f>IFERROR(__xludf.DUMMYFUNCTION("""COMPUTED_VALUE"""),"ELVIRADAYUTAN@GMAIL.COM")</f>
        <v>ELVIRADAYUTAN@GMAIL.COM</v>
      </c>
      <c r="L578" s="1" t="str">
        <f>IFERROR(__xludf.DUMMYFUNCTION("""COMPUTED_VALUE"""),"522")</f>
        <v>522</v>
      </c>
      <c r="M578" s="1" t="str">
        <f>IFERROR(__xludf.DUMMYFUNCTION("""COMPUTED_VALUE"""),"PUROK 6")</f>
        <v>PUROK 6</v>
      </c>
      <c r="N578" s="1"/>
      <c r="O578" s="1" t="str">
        <f>IFERROR(__xludf.DUMMYFUNCTION("""COMPUTED_VALUE"""),"SILP591NP1 SILP511NP5 SILLP614NP1")</f>
        <v>SILP591NP1 SILP511NP5 SILLP614NP1</v>
      </c>
      <c r="P578" s="1" t="str">
        <f>IFERROR(__xludf.DUMMYFUNCTION("""COMPUTED_VALUE"""),"14.216767 121.000423")</f>
        <v>14.216767 121.000423</v>
      </c>
      <c r="Q578" s="1" t="str">
        <f>IFERROR(__xludf.DUMMYFUNCTION("""COMPUTED_VALUE"""),"MUNTING ILOG")</f>
        <v>MUNTING ILOG</v>
      </c>
      <c r="R578" s="1" t="str">
        <f>IFERROR(__xludf.DUMMYFUNCTION("""COMPUTED_VALUE"""),"SILANG")</f>
        <v>SILANG</v>
      </c>
      <c r="S578" s="1" t="str">
        <f>IFERROR(__xludf.DUMMYFUNCTION("""COMPUTED_VALUE"""),"PREPAID 999")</f>
        <v>PREPAID 999</v>
      </c>
      <c r="T578" s="1" t="str">
        <f>IFERROR(__xludf.DUMMYFUNCTION("""COMPUTED_VALUE"""),"APPROVED")</f>
        <v>APPROVED</v>
      </c>
      <c r="U578" s="1"/>
      <c r="V578" s="1"/>
      <c r="W578" s="1"/>
    </row>
    <row r="579" customHeight="1" spans="1:23">
      <c r="A579" s="3">
        <f>IFERROR(__xludf.DUMMYFUNCTION("""COMPUTED_VALUE"""),46078)</f>
        <v>46078</v>
      </c>
      <c r="B579" s="1" t="str">
        <f>IFERROR(__xludf.DUMMYFUNCTION("""COMPUTED_VALUE"""),"FARO, REFRANTA")</f>
        <v>FARO, REFRANTA</v>
      </c>
      <c r="C579" s="1" t="str">
        <f>IFERROR(__xludf.DUMMYFUNCTION("""COMPUTED_VALUE"""),"ORGANIC")</f>
        <v>ORGANIC</v>
      </c>
      <c r="D579" s="1" t="str">
        <f>IFERROR(__xludf.DUMMYFUNCTION("""COMPUTED_VALUE"""),"ALINGARO, CINDY")</f>
        <v>ALINGARO, CINDY</v>
      </c>
      <c r="E579" s="1" t="str">
        <f>IFERROR(__xludf.DUMMYFUNCTION("""COMPUTED_VALUE"""),"PLDT")</f>
        <v>PLDT</v>
      </c>
      <c r="F579" s="1">
        <f>IFERROR(__xludf.DUMMYFUNCTION("""COMPUTED_VALUE"""),2307263594)</f>
        <v>2307263594</v>
      </c>
      <c r="G579" s="1"/>
      <c r="H579" s="1" t="str">
        <f>IFERROR(__xludf.DUMMYFUNCTION("""COMPUTED_VALUE"""),"CEJANE VILLARIN CAUBO")</f>
        <v>CEJANE VILLARIN CAUBO</v>
      </c>
      <c r="I579" s="1">
        <f>IFERROR(__xludf.DUMMYFUNCTION("""COMPUTED_VALUE"""),9093449854)</f>
        <v>9093449854</v>
      </c>
      <c r="J579" s="1"/>
      <c r="K579" s="1" t="str">
        <f>IFERROR(__xludf.DUMMYFUNCTION("""COMPUTED_VALUE"""),"AISAT.CUABO222085@GMAIL.COM")</f>
        <v>AISAT.CUABO222085@GMAIL.COM</v>
      </c>
      <c r="L579" s="1" t="str">
        <f>IFERROR(__xludf.DUMMYFUNCTION("""COMPUTED_VALUE"""),"127")</f>
        <v>127</v>
      </c>
      <c r="M579" s="1" t="str">
        <f>IFERROR(__xludf.DUMMYFUNCTION("""COMPUTED_VALUE"""),"KANLURAN")</f>
        <v>KANLURAN</v>
      </c>
      <c r="N579" s="1"/>
      <c r="O579" s="1" t="str">
        <f>IFERROR(__xludf.DUMMYFUNCTION("""COMPUTED_VALUE"""),"SILLP77NP5")</f>
        <v>SILLP77NP5</v>
      </c>
      <c r="P579" s="1" t="str">
        <f>IFERROR(__xludf.DUMMYFUNCTION("""COMPUTED_VALUE"""),"14.226735 120.999605")</f>
        <v>14.226735 120.999605</v>
      </c>
      <c r="Q579" s="1" t="str">
        <f>IFERROR(__xludf.DUMMYFUNCTION("""COMPUTED_VALUE"""),"TIBIG")</f>
        <v>TIBIG</v>
      </c>
      <c r="R579" s="1" t="str">
        <f>IFERROR(__xludf.DUMMYFUNCTION("""COMPUTED_VALUE"""),"SILANG")</f>
        <v>SILANG</v>
      </c>
      <c r="S579" s="1" t="str">
        <f>IFERROR(__xludf.DUMMYFUNCTION("""COMPUTED_VALUE"""),"FIBR PLAN 1599")</f>
        <v>FIBR PLAN 1599</v>
      </c>
      <c r="T579" s="1" t="str">
        <f>IFERROR(__xludf.DUMMYFUNCTION("""COMPUTED_VALUE"""),"APPROVED")</f>
        <v>APPROVED</v>
      </c>
      <c r="U579" s="1"/>
      <c r="V579" s="1"/>
      <c r="W579" s="1"/>
    </row>
    <row r="580" customHeight="1" spans="1:23">
      <c r="A580" s="3">
        <f>IFERROR(__xludf.DUMMYFUNCTION("""COMPUTED_VALUE"""),46078)</f>
        <v>46078</v>
      </c>
      <c r="B580" s="1" t="str">
        <f>IFERROR(__xludf.DUMMYFUNCTION("""COMPUTED_VALUE"""),"MALIWAT MARK ELVIN")</f>
        <v>MALIWAT MARK ELVIN</v>
      </c>
      <c r="C580" s="1" t="str">
        <f>IFERROR(__xludf.DUMMYFUNCTION("""COMPUTED_VALUE"""),"FLA")</f>
        <v>FLA</v>
      </c>
      <c r="D580" s="1" t="str">
        <f>IFERROR(__xludf.DUMMYFUNCTION("""COMPUTED_VALUE"""),"JERIC NAVARRO")</f>
        <v>JERIC NAVARRO</v>
      </c>
      <c r="E580" s="1" t="str">
        <f>IFERROR(__xludf.DUMMYFUNCTION("""COMPUTED_VALUE"""),"PLDT")</f>
        <v>PLDT</v>
      </c>
      <c r="F580" s="1">
        <f>IFERROR(__xludf.DUMMYFUNCTION("""COMPUTED_VALUE"""),2307264525)</f>
        <v>2307264525</v>
      </c>
      <c r="G580" s="1"/>
      <c r="H580" s="1" t="str">
        <f>IFERROR(__xludf.DUMMYFUNCTION("""COMPUTED_VALUE"""),"VINCENT ROSETE BACSA")</f>
        <v>VINCENT ROSETE BACSA</v>
      </c>
      <c r="I580" s="1">
        <f>IFERROR(__xludf.DUMMYFUNCTION("""COMPUTED_VALUE"""),9850449766)</f>
        <v>9850449766</v>
      </c>
      <c r="J580" s="1">
        <f>IFERROR(__xludf.DUMMYFUNCTION("""COMPUTED_VALUE"""),9939473718)</f>
        <v>9939473718</v>
      </c>
      <c r="K580" s="1" t="str">
        <f>IFERROR(__xludf.DUMMYFUNCTION("""COMPUTED_VALUE"""),"GEORGINAMNDZ28@GMAIL.COM")</f>
        <v>GEORGINAMNDZ28@GMAIL.COM</v>
      </c>
      <c r="L580" s="1" t="str">
        <f>IFERROR(__xludf.DUMMYFUNCTION("""COMPUTED_VALUE"""),"266")</f>
        <v>266</v>
      </c>
      <c r="M580" s="1" t="str">
        <f>IFERROR(__xludf.DUMMYFUNCTION("""COMPUTED_VALUE"""),"LE GOVERNORS DRIVE")</f>
        <v>LE GOVERNORS DRIVE</v>
      </c>
      <c r="N580" s="1"/>
      <c r="O580" s="1" t="str">
        <f>IFERROR(__xludf.DUMMYFUNCTION("""COMPUTED_VALUE"""),"TMZLP161NP7")</f>
        <v>TMZLP161NP7</v>
      </c>
      <c r="P580" s="1" t="str">
        <f>IFERROR(__xludf.DUMMYFUNCTION("""COMPUTED_VALUE"""),"14.280047 120.87216")</f>
        <v>14.280047 120.87216</v>
      </c>
      <c r="Q580" s="1" t="str">
        <f>IFERROR(__xludf.DUMMYFUNCTION("""COMPUTED_VALUE"""),"SAN AGUSTIN")</f>
        <v>SAN AGUSTIN</v>
      </c>
      <c r="R580" s="1" t="str">
        <f>IFERROR(__xludf.DUMMYFUNCTION("""COMPUTED_VALUE"""),"TRECE MARTIREZ CITY")</f>
        <v>TRECE MARTIREZ CITY</v>
      </c>
      <c r="S580" s="1" t="str">
        <f>IFERROR(__xludf.DUMMYFUNCTION("""COMPUTED_VALUE"""),"FIBR PLAN 1299")</f>
        <v>FIBR PLAN 1299</v>
      </c>
      <c r="T580" s="1" t="str">
        <f>IFERROR(__xludf.DUMMYFUNCTION("""COMPUTED_VALUE"""),"APPROVED")</f>
        <v>APPROVED</v>
      </c>
      <c r="U580" s="1"/>
      <c r="V580" s="1"/>
      <c r="W580" s="1"/>
    </row>
    <row r="581" customHeight="1" spans="1:23">
      <c r="A581" s="3">
        <f>IFERROR(__xludf.DUMMYFUNCTION("""COMPUTED_VALUE"""),46078)</f>
        <v>46078</v>
      </c>
      <c r="B581" s="1" t="str">
        <f>IFERROR(__xludf.DUMMYFUNCTION("""COMPUTED_VALUE"""),"GABAY, MANUEL")</f>
        <v>GABAY, MANUEL</v>
      </c>
      <c r="C581" s="1" t="str">
        <f>IFERROR(__xludf.DUMMYFUNCTION("""COMPUTED_VALUE"""),"FLA")</f>
        <v>FLA</v>
      </c>
      <c r="D581" s="1" t="str">
        <f>IFERROR(__xludf.DUMMYFUNCTION("""COMPUTED_VALUE"""),"JERIC NAVARRO")</f>
        <v>JERIC NAVARRO</v>
      </c>
      <c r="E581" s="1" t="str">
        <f>IFERROR(__xludf.DUMMYFUNCTION("""COMPUTED_VALUE"""),"PLDT")</f>
        <v>PLDT</v>
      </c>
      <c r="F581" s="1">
        <f>IFERROR(__xludf.DUMMYFUNCTION("""COMPUTED_VALUE"""),2307265251)</f>
        <v>2307265251</v>
      </c>
      <c r="G581" s="1"/>
      <c r="H581" s="1" t="str">
        <f>IFERROR(__xludf.DUMMYFUNCTION("""COMPUTED_VALUE"""),"MIRASOL LANCHIHO MANUEL")</f>
        <v>MIRASOL LANCHIHO MANUEL</v>
      </c>
      <c r="I581" s="1">
        <f>IFERROR(__xludf.DUMMYFUNCTION("""COMPUTED_VALUE"""),9386457521)</f>
        <v>9386457521</v>
      </c>
      <c r="J581" s="1">
        <f>IFERROR(__xludf.DUMMYFUNCTION("""COMPUTED_VALUE"""),9983736276)</f>
        <v>9983736276</v>
      </c>
      <c r="K581" s="1" t="str">
        <f>IFERROR(__xludf.DUMMYFUNCTION("""COMPUTED_VALUE"""),"LANCHICOMIRASOL6@GMAIL.COM")</f>
        <v>LANCHICOMIRASOL6@GMAIL.COM</v>
      </c>
      <c r="L581" s="1" t="str">
        <f>IFERROR(__xludf.DUMMYFUNCTION("""COMPUTED_VALUE"""),"3220")</f>
        <v>3220</v>
      </c>
      <c r="M581" s="1" t="str">
        <f>IFERROR(__xludf.DUMMYFUNCTION("""COMPUTED_VALUE"""),"SITIO POOK MUNTI")</f>
        <v>SITIO POOK MUNTI</v>
      </c>
      <c r="N581" s="1"/>
      <c r="O581" s="1" t="str">
        <f>IFERROR(__xludf.DUMMYFUNCTION("""COMPUTED_VALUE"""),"SILLP369NP1/2/3/4/5/6/7/8 SILLP638NP1/2/3/4/5/6/7/8")</f>
        <v>SILLP369NP1/2/3/4/5/6/7/8 SILLP638NP1/2/3/4/5/6/7/8</v>
      </c>
      <c r="P581" s="1" t="str">
        <f>IFERROR(__xludf.DUMMYFUNCTION("""COMPUTED_VALUE"""),"14.244111 121.000302")</f>
        <v>14.244111 121.000302</v>
      </c>
      <c r="Q581" s="1" t="str">
        <f>IFERROR(__xludf.DUMMYFUNCTION("""COMPUTED_VALUE"""),"MUNTING ILOG")</f>
        <v>MUNTING ILOG</v>
      </c>
      <c r="R581" s="1" t="str">
        <f>IFERROR(__xludf.DUMMYFUNCTION("""COMPUTED_VALUE"""),"SILANG")</f>
        <v>SILANG</v>
      </c>
      <c r="S581" s="1" t="str">
        <f>IFERROR(__xludf.DUMMYFUNCTION("""COMPUTED_VALUE"""),"FIBR PLAN 1599")</f>
        <v>FIBR PLAN 1599</v>
      </c>
      <c r="T581" s="1" t="str">
        <f>IFERROR(__xludf.DUMMYFUNCTION("""COMPUTED_VALUE"""),"APPROVED")</f>
        <v>APPROVED</v>
      </c>
      <c r="U581" s="1"/>
      <c r="V581" s="1"/>
      <c r="W581" s="1"/>
    </row>
    <row r="582" customHeight="1" spans="1:23">
      <c r="A582" s="3">
        <f>IFERROR(__xludf.DUMMYFUNCTION("""COMPUTED_VALUE"""),46078)</f>
        <v>46078</v>
      </c>
      <c r="B582" s="1" t="str">
        <f>IFERROR(__xludf.DUMMYFUNCTION("""COMPUTED_VALUE"""),"MAGDARAOG, KENNETH")</f>
        <v>MAGDARAOG, KENNETH</v>
      </c>
      <c r="C582" s="1" t="str">
        <f>IFERROR(__xludf.DUMMYFUNCTION("""COMPUTED_VALUE"""),"ORGANIC")</f>
        <v>ORGANIC</v>
      </c>
      <c r="D582" s="1" t="str">
        <f>IFERROR(__xludf.DUMMYFUNCTION("""COMPUTED_VALUE"""),"ALINGARO, CINDY")</f>
        <v>ALINGARO, CINDY</v>
      </c>
      <c r="E582" s="1" t="str">
        <f>IFERROR(__xludf.DUMMYFUNCTION("""COMPUTED_VALUE"""),"PLDT")</f>
        <v>PLDT</v>
      </c>
      <c r="F582" s="1">
        <f>IFERROR(__xludf.DUMMYFUNCTION("""COMPUTED_VALUE"""),2307265859)</f>
        <v>2307265859</v>
      </c>
      <c r="G582" s="1"/>
      <c r="H582" s="1" t="str">
        <f>IFERROR(__xludf.DUMMYFUNCTION("""COMPUTED_VALUE"""),"JOSELITO BUSTAMANTE MLICDEM")</f>
        <v>JOSELITO BUSTAMANTE MLICDEM</v>
      </c>
      <c r="I582" s="1">
        <f>IFERROR(__xludf.DUMMYFUNCTION("""COMPUTED_VALUE"""),9930883948)</f>
        <v>9930883948</v>
      </c>
      <c r="J582" s="1">
        <f>IFERROR(__xludf.DUMMYFUNCTION("""COMPUTED_VALUE"""),9672153804)</f>
        <v>9672153804</v>
      </c>
      <c r="K582" s="1" t="str">
        <f>IFERROR(__xludf.DUMMYFUNCTION("""COMPUTED_VALUE"""),"MALICDEMMJ2@GMAIL.COM")</f>
        <v>MALICDEMMJ2@GMAIL.COM</v>
      </c>
      <c r="L582" s="1" t="str">
        <f>IFERROR(__xludf.DUMMYFUNCTION("""COMPUTED_VALUE"""),"173")</f>
        <v>173</v>
      </c>
      <c r="M582" s="1" t="str">
        <f>IFERROR(__xludf.DUMMYFUNCTION("""COMPUTED_VALUE"""),"IBAYONG ILAT")</f>
        <v>IBAYONG ILAT</v>
      </c>
      <c r="N582" s="1"/>
      <c r="O582" s="1" t="str">
        <f>IFERROR(__xludf.DUMMYFUNCTION("""COMPUTED_VALUE"""),"SILLP639NP3 SILLP568NP6")</f>
        <v>SILLP639NP3 SILLP568NP6</v>
      </c>
      <c r="P582" s="1" t="str">
        <f>IFERROR(__xludf.DUMMYFUNCTION("""COMPUTED_VALUE"""),"14.247807 121.003471")</f>
        <v>14.247807 121.003471</v>
      </c>
      <c r="Q582" s="1" t="str">
        <f>IFERROR(__xludf.DUMMYFUNCTION("""COMPUTED_VALUE"""),"KAONG")</f>
        <v>KAONG</v>
      </c>
      <c r="R582" s="1" t="str">
        <f>IFERROR(__xludf.DUMMYFUNCTION("""COMPUTED_VALUE"""),"SILANG")</f>
        <v>SILANG</v>
      </c>
      <c r="S582" s="1" t="str">
        <f>IFERROR(__xludf.DUMMYFUNCTION("""COMPUTED_VALUE"""),"FIBR PLAN 1399")</f>
        <v>FIBR PLAN 1399</v>
      </c>
      <c r="T582" s="1" t="str">
        <f>IFERROR(__xludf.DUMMYFUNCTION("""COMPUTED_VALUE"""),"APPROVED")</f>
        <v>APPROVED</v>
      </c>
      <c r="U582" s="1"/>
      <c r="V582" s="1"/>
      <c r="W582" s="1"/>
    </row>
    <row r="583" customHeight="1" spans="1:23">
      <c r="A583" s="3">
        <f>IFERROR(__xludf.DUMMYFUNCTION("""COMPUTED_VALUE"""),46078)</f>
        <v>46078</v>
      </c>
      <c r="B583" s="1" t="str">
        <f>IFERROR(__xludf.DUMMYFUNCTION("""COMPUTED_VALUE"""),"CONCEPCION, ALJAY")</f>
        <v>CONCEPCION, ALJAY</v>
      </c>
      <c r="C583" s="1" t="str">
        <f>IFERROR(__xludf.DUMMYFUNCTION("""COMPUTED_VALUE"""),"ORGANIC")</f>
        <v>ORGANIC</v>
      </c>
      <c r="D583" s="1" t="str">
        <f>IFERROR(__xludf.DUMMYFUNCTION("""COMPUTED_VALUE"""),"ALOS, CHARLS")</f>
        <v>ALOS, CHARLS</v>
      </c>
      <c r="E583" s="1" t="str">
        <f>IFERROR(__xludf.DUMMYFUNCTION("""COMPUTED_VALUE"""),"RED FIBER")</f>
        <v>RED FIBER</v>
      </c>
      <c r="F583" s="1"/>
      <c r="G583" s="1"/>
      <c r="H583" s="1" t="str">
        <f>IFERROR(__xludf.DUMMYFUNCTION("""COMPUTED_VALUE"""),"EDWIN GUTIEREZ ALEGRE")</f>
        <v>EDWIN GUTIEREZ ALEGRE</v>
      </c>
      <c r="I583" s="1">
        <f>IFERROR(__xludf.DUMMYFUNCTION("""COMPUTED_VALUE"""),9932779862)</f>
        <v>9932779862</v>
      </c>
      <c r="J583" s="1"/>
      <c r="K583" s="1" t="str">
        <f>IFERROR(__xludf.DUMMYFUNCTION("""COMPUTED_VALUE"""),"EDWINALEGRE73@GMAIL.COM")</f>
        <v>EDWINALEGRE73@GMAIL.COM</v>
      </c>
      <c r="L583" s="1" t="str">
        <f>IFERROR(__xludf.DUMMYFUNCTION("""COMPUTED_VALUE"""),"810")</f>
        <v>810</v>
      </c>
      <c r="M583" s="1" t="str">
        <f>IFERROR(__xludf.DUMMYFUNCTION("""COMPUTED_VALUE"""),"JP RIZAL")</f>
        <v>JP RIZAL</v>
      </c>
      <c r="N583" s="1"/>
      <c r="O583" s="1" t="str">
        <f>IFERROR(__xludf.DUMMYFUNCTION("""COMPUTED_VALUE"""),"CVT2LCP55NP1")</f>
        <v>CVT2LCP55NP1</v>
      </c>
      <c r="P583" s="1" t="str">
        <f>IFERROR(__xludf.DUMMYFUNCTION("""COMPUTED_VALUE"""),"14.124887 120.906573")</f>
        <v>14.124887 120.906573</v>
      </c>
      <c r="Q583" s="1" t="str">
        <f>IFERROR(__xludf.DUMMYFUNCTION("""COMPUTED_VALUE"""),"GALICIA II")</f>
        <v>GALICIA II</v>
      </c>
      <c r="R583" s="1" t="str">
        <f>IFERROR(__xludf.DUMMYFUNCTION("""COMPUTED_VALUE"""),"MENDEZ")</f>
        <v>MENDEZ</v>
      </c>
      <c r="S583" s="1" t="str">
        <f>IFERROR(__xludf.DUMMYFUNCTION("""COMPUTED_VALUE"""),"RED FIBER PLAN 1000")</f>
        <v>RED FIBER PLAN 1000</v>
      </c>
      <c r="T583" s="1" t="str">
        <f>IFERROR(__xludf.DUMMYFUNCTION("""COMPUTED_VALUE"""),"APPROVED")</f>
        <v>APPROVED</v>
      </c>
      <c r="U583" s="1"/>
      <c r="V583" s="1"/>
      <c r="W583" s="1"/>
    </row>
    <row r="584" customHeight="1" spans="1:23">
      <c r="A584" s="3">
        <f>IFERROR(__xludf.DUMMYFUNCTION("""COMPUTED_VALUE"""),46078)</f>
        <v>46078</v>
      </c>
      <c r="B584" s="1" t="str">
        <f>IFERROR(__xludf.DUMMYFUNCTION("""COMPUTED_VALUE"""),"NAVARRO, JERIC")</f>
        <v>NAVARRO, JERIC</v>
      </c>
      <c r="C584" s="1" t="str">
        <f>IFERROR(__xludf.DUMMYFUNCTION("""COMPUTED_VALUE"""),"FLA")</f>
        <v>FLA</v>
      </c>
      <c r="D584" s="1" t="str">
        <f>IFERROR(__xludf.DUMMYFUNCTION("""COMPUTED_VALUE"""),"JERIC NAVARRO")</f>
        <v>JERIC NAVARRO</v>
      </c>
      <c r="E584" s="1" t="str">
        <f>IFERROR(__xludf.DUMMYFUNCTION("""COMPUTED_VALUE"""),"PLDT")</f>
        <v>PLDT</v>
      </c>
      <c r="F584" s="1">
        <f>IFERROR(__xludf.DUMMYFUNCTION("""COMPUTED_VALUE"""),2307268040)</f>
        <v>2307268040</v>
      </c>
      <c r="G584" s="1"/>
      <c r="H584" s="1" t="str">
        <f>IFERROR(__xludf.DUMMYFUNCTION("""COMPUTED_VALUE"""),"RODEL CONSTANTINO ROMUALDO")</f>
        <v>RODEL CONSTANTINO ROMUALDO</v>
      </c>
      <c r="I584" s="1">
        <f>IFERROR(__xludf.DUMMYFUNCTION("""COMPUTED_VALUE"""),9473509531)</f>
        <v>9473509531</v>
      </c>
      <c r="J584" s="1">
        <f>IFERROR(__xludf.DUMMYFUNCTION("""COMPUTED_VALUE"""),9702993529)</f>
        <v>9702993529</v>
      </c>
      <c r="K584" s="1" t="str">
        <f>IFERROR(__xludf.DUMMYFUNCTION("""COMPUTED_VALUE"""),"RODELROMUALDO@GMAIL.COM")</f>
        <v>RODELROMUALDO@GMAIL.COM</v>
      </c>
      <c r="L584" s="1" t="str">
        <f>IFERROR(__xludf.DUMMYFUNCTION("""COMPUTED_VALUE"""),"178")</f>
        <v>178</v>
      </c>
      <c r="M584" s="1" t="str">
        <f>IFERROR(__xludf.DUMMYFUNCTION("""COMPUTED_VALUE"""),"4K")</f>
        <v>4K</v>
      </c>
      <c r="N584" s="1"/>
      <c r="O584" s="1" t="str">
        <f>IFERROR(__xludf.DUMMYFUNCTION("""COMPUTED_VALUE"""),"KAWLP61NP4/5/6")</f>
        <v>KAWLP61NP4/5/6</v>
      </c>
      <c r="P584" s="1"/>
      <c r="Q584" s="1" t="str">
        <f>IFERROR(__xludf.DUMMYFUNCTION("""COMPUTED_VALUE"""),"TABON II")</f>
        <v>TABON II</v>
      </c>
      <c r="R584" s="1" t="str">
        <f>IFERROR(__xludf.DUMMYFUNCTION("""COMPUTED_VALUE"""),"KAWIT")</f>
        <v>KAWIT</v>
      </c>
      <c r="S584" s="1" t="str">
        <f>IFERROR(__xludf.DUMMYFUNCTION("""COMPUTED_VALUE"""),"FIBR PLAN 1399")</f>
        <v>FIBR PLAN 1399</v>
      </c>
      <c r="T584" s="1" t="str">
        <f>IFERROR(__xludf.DUMMYFUNCTION("""COMPUTED_VALUE"""),"APPROVED")</f>
        <v>APPROVED</v>
      </c>
      <c r="U584" s="1"/>
      <c r="V584" s="1"/>
      <c r="W584" s="1"/>
    </row>
    <row r="585" customHeight="1" spans="1:23">
      <c r="A585" s="3">
        <f>IFERROR(__xludf.DUMMYFUNCTION("""COMPUTED_VALUE"""),46078)</f>
        <v>46078</v>
      </c>
      <c r="B585" s="1" t="str">
        <f>IFERROR(__xludf.DUMMYFUNCTION("""COMPUTED_VALUE"""),"FERNANDEZ JERIC")</f>
        <v>FERNANDEZ JERIC</v>
      </c>
      <c r="C585" s="1" t="str">
        <f>IFERROR(__xludf.DUMMYFUNCTION("""COMPUTED_VALUE"""),"ORGANIC")</f>
        <v>ORGANIC</v>
      </c>
      <c r="D585" s="1" t="str">
        <f>IFERROR(__xludf.DUMMYFUNCTION("""COMPUTED_VALUE"""),"ALOS, CHARLS")</f>
        <v>ALOS, CHARLS</v>
      </c>
      <c r="E585" s="1" t="str">
        <f>IFERROR(__xludf.DUMMYFUNCTION("""COMPUTED_VALUE"""),"RED FIBER")</f>
        <v>RED FIBER</v>
      </c>
      <c r="F585" s="1"/>
      <c r="G585" s="1"/>
      <c r="H585" s="1" t="str">
        <f>IFERROR(__xludf.DUMMYFUNCTION("""COMPUTED_VALUE"""),"LIZONIA DIMARANAN SAMSON")</f>
        <v>LIZONIA DIMARANAN SAMSON</v>
      </c>
      <c r="I585" s="1">
        <f>IFERROR(__xludf.DUMMYFUNCTION("""COMPUTED_VALUE"""),9218532217)</f>
        <v>9218532217</v>
      </c>
      <c r="J585" s="1"/>
      <c r="K585" s="1" t="str">
        <f>IFERROR(__xludf.DUMMYFUNCTION("""COMPUTED_VALUE"""),"JHANGSAMSON16@GMAIL.COM")</f>
        <v>JHANGSAMSON16@GMAIL.COM</v>
      </c>
      <c r="L585" s="1" t="str">
        <f>IFERROR(__xludf.DUMMYFUNCTION("""COMPUTED_VALUE"""),"118")</f>
        <v>118</v>
      </c>
      <c r="M585" s="1" t="str">
        <f>IFERROR(__xludf.DUMMYFUNCTION("""COMPUTED_VALUE"""),"J ZMAORA")</f>
        <v>J ZMAORA</v>
      </c>
      <c r="N585" s="1"/>
      <c r="O585" s="1" t="str">
        <f>IFERROR(__xludf.DUMMYFUNCTION("""COMPUTED_VALUE"""),"CVTLPCP61NP4")</f>
        <v>CVTLPCP61NP4</v>
      </c>
      <c r="P585" s="1" t="str">
        <f>IFERROR(__xludf.DUMMYFUNCTION("""COMPUTED_VALUE"""),"14.13898 120.897997")</f>
        <v>14.13898 120.897997</v>
      </c>
      <c r="Q585" s="1" t="str">
        <f>IFERROR(__xludf.DUMMYFUNCTION("""COMPUTED_VALUE"""),"ASIS I")</f>
        <v>ASIS I</v>
      </c>
      <c r="R585" s="1" t="str">
        <f>IFERROR(__xludf.DUMMYFUNCTION("""COMPUTED_VALUE"""),"MENDEZ")</f>
        <v>MENDEZ</v>
      </c>
      <c r="S585" s="1" t="str">
        <f>IFERROR(__xludf.DUMMYFUNCTION("""COMPUTED_VALUE"""),"RED FIBER PLAN 1400")</f>
        <v>RED FIBER PLAN 1400</v>
      </c>
      <c r="T585" s="1" t="str">
        <f>IFERROR(__xludf.DUMMYFUNCTION("""COMPUTED_VALUE"""),"APPROVED")</f>
        <v>APPROVED</v>
      </c>
      <c r="U585" s="1"/>
      <c r="V585" s="1"/>
      <c r="W585" s="1"/>
    </row>
    <row r="586" customHeight="1" spans="1:23">
      <c r="A586" s="3">
        <f>IFERROR(__xludf.DUMMYFUNCTION("""COMPUTED_VALUE"""),46078)</f>
        <v>46078</v>
      </c>
      <c r="B586" s="1" t="str">
        <f>IFERROR(__xludf.DUMMYFUNCTION("""COMPUTED_VALUE"""),"CONCEPCION, ALJAY")</f>
        <v>CONCEPCION, ALJAY</v>
      </c>
      <c r="C586" s="1" t="str">
        <f>IFERROR(__xludf.DUMMYFUNCTION("""COMPUTED_VALUE"""),"ORGANIC")</f>
        <v>ORGANIC</v>
      </c>
      <c r="D586" s="1" t="str">
        <f>IFERROR(__xludf.DUMMYFUNCTION("""COMPUTED_VALUE"""),"ALOS, CHARLS")</f>
        <v>ALOS, CHARLS</v>
      </c>
      <c r="E586" s="1" t="str">
        <f>IFERROR(__xludf.DUMMYFUNCTION("""COMPUTED_VALUE"""),"RED FIBER")</f>
        <v>RED FIBER</v>
      </c>
      <c r="F586" s="1"/>
      <c r="G586" s="1"/>
      <c r="H586" s="1" t="str">
        <f>IFERROR(__xludf.DUMMYFUNCTION("""COMPUTED_VALUE"""),"MAY BAUTISTA CABAROG")</f>
        <v>MAY BAUTISTA CABAROG</v>
      </c>
      <c r="I586" s="1">
        <f>IFERROR(__xludf.DUMMYFUNCTION("""COMPUTED_VALUE"""),9853682912)</f>
        <v>9853682912</v>
      </c>
      <c r="J586" s="1"/>
      <c r="K586" s="1" t="str">
        <f>IFERROR(__xludf.DUMMYFUNCTION("""COMPUTED_VALUE"""),"MHAYB655@GMAIL.COM")</f>
        <v>MHAYB655@GMAIL.COM</v>
      </c>
      <c r="L586" s="1" t="str">
        <f>IFERROR(__xludf.DUMMYFUNCTION("""COMPUTED_VALUE"""),"347")</f>
        <v>347</v>
      </c>
      <c r="M586" s="1" t="str">
        <f>IFERROR(__xludf.DUMMYFUNCTION("""COMPUTED_VALUE"""),"ZAMORA")</f>
        <v>ZAMORA</v>
      </c>
      <c r="N586" s="1"/>
      <c r="O586" s="1" t="str">
        <f>IFERROR(__xludf.DUMMYFUNCTION("""COMPUTED_VALUE"""),"CVTLCP61NP4")</f>
        <v>CVTLCP61NP4</v>
      </c>
      <c r="P586" s="1" t="str">
        <f>IFERROR(__xludf.DUMMYFUNCTION("""COMPUTED_VALUE"""),"14.137124 120.900086")</f>
        <v>14.137124 120.900086</v>
      </c>
      <c r="Q586" s="1" t="str">
        <f>IFERROR(__xludf.DUMMYFUNCTION("""COMPUTED_VALUE"""),"ASIS I")</f>
        <v>ASIS I</v>
      </c>
      <c r="R586" s="1" t="str">
        <f>IFERROR(__xludf.DUMMYFUNCTION("""COMPUTED_VALUE"""),"MENDEZ")</f>
        <v>MENDEZ</v>
      </c>
      <c r="S586" s="1" t="str">
        <f>IFERROR(__xludf.DUMMYFUNCTION("""COMPUTED_VALUE"""),"RED FIBER PLAN 1000")</f>
        <v>RED FIBER PLAN 1000</v>
      </c>
      <c r="T586" s="1" t="str">
        <f>IFERROR(__xludf.DUMMYFUNCTION("""COMPUTED_VALUE"""),"APPROVED")</f>
        <v>APPROVED</v>
      </c>
      <c r="U586" s="1"/>
      <c r="V586" s="1"/>
      <c r="W586" s="1"/>
    </row>
    <row r="587" customHeight="1" spans="1:23">
      <c r="A587" s="3">
        <f>IFERROR(__xludf.DUMMYFUNCTION("""COMPUTED_VALUE"""),46078)</f>
        <v>46078</v>
      </c>
      <c r="B587" s="1" t="str">
        <f>IFERROR(__xludf.DUMMYFUNCTION("""COMPUTED_VALUE"""),"DE VERA, MARIVIC")</f>
        <v>DE VERA, MARIVIC</v>
      </c>
      <c r="C587" s="1" t="str">
        <f>IFERROR(__xludf.DUMMYFUNCTION("""COMPUTED_VALUE"""),"ORGANIC")</f>
        <v>ORGANIC</v>
      </c>
      <c r="D587" s="1" t="str">
        <f>IFERROR(__xludf.DUMMYFUNCTION("""COMPUTED_VALUE"""),"ALINGARO, CINDY")</f>
        <v>ALINGARO, CINDY</v>
      </c>
      <c r="E587" s="1" t="str">
        <f>IFERROR(__xludf.DUMMYFUNCTION("""COMPUTED_VALUE"""),"PLDT")</f>
        <v>PLDT</v>
      </c>
      <c r="F587" s="1">
        <f>IFERROR(__xludf.DUMMYFUNCTION("""COMPUTED_VALUE"""),2307270522)</f>
        <v>2307270522</v>
      </c>
      <c r="G587" s="1"/>
      <c r="H587" s="1" t="str">
        <f>IFERROR(__xludf.DUMMYFUNCTION("""COMPUTED_VALUE"""),"JOSEPHINE MANAGA ARLIGUE")</f>
        <v>JOSEPHINE MANAGA ARLIGUE</v>
      </c>
      <c r="I587" s="1">
        <f>IFERROR(__xludf.DUMMYFUNCTION("""COMPUTED_VALUE"""),9808705167)</f>
        <v>9808705167</v>
      </c>
      <c r="J587" s="1"/>
      <c r="K587" s="1" t="str">
        <f>IFERROR(__xludf.DUMMYFUNCTION("""COMPUTED_VALUE"""),"DITANBILOG4@GMAIL.COM")</f>
        <v>DITANBILOG4@GMAIL.COM</v>
      </c>
      <c r="L587" s="1" t="str">
        <f>IFERROR(__xludf.DUMMYFUNCTION("""COMPUTED_VALUE"""),"626")</f>
        <v>626</v>
      </c>
      <c r="M587" s="1" t="str">
        <f>IFERROR(__xludf.DUMMYFUNCTION("""COMPUTED_VALUE"""),"PULIDO")</f>
        <v>PULIDO</v>
      </c>
      <c r="N587" s="1"/>
      <c r="O587" s="1" t="str">
        <f>IFERROR(__xludf.DUMMYFUNCTION("""COMPUTED_VALUE"""),"GMZLP103NP8 GMZLP105NP2/4 GMZLP22NP7")</f>
        <v>GMZLP103NP8 GMZLP105NP2/4 GMZLP22NP7</v>
      </c>
      <c r="P587" s="1" t="str">
        <f>IFERROR(__xludf.DUMMYFUNCTION("""COMPUTED_VALUE"""),"14.308310 121.019893")</f>
        <v>14.308310 121.019893</v>
      </c>
      <c r="Q587" s="1" t="str">
        <f>IFERROR(__xludf.DUMMYFUNCTION("""COMPUTED_VALUE"""),"BERNARDO PULIDO (AREA H)")</f>
        <v>BERNARDO PULIDO (AREA H)</v>
      </c>
      <c r="R587" s="1" t="str">
        <f>IFERROR(__xludf.DUMMYFUNCTION("""COMPUTED_VALUE"""),"GEN MARIANO ALVAREZ")</f>
        <v>GEN MARIANO ALVAREZ</v>
      </c>
      <c r="S587" s="1" t="str">
        <f>IFERROR(__xludf.DUMMYFUNCTION("""COMPUTED_VALUE"""),"PREPAID 999")</f>
        <v>PREPAID 999</v>
      </c>
      <c r="T587" s="1" t="str">
        <f>IFERROR(__xludf.DUMMYFUNCTION("""COMPUTED_VALUE"""),"APPROVED")</f>
        <v>APPROVED</v>
      </c>
      <c r="U587" s="1"/>
      <c r="V587" s="1"/>
      <c r="W587" s="1"/>
    </row>
    <row r="588" customHeight="1" spans="1:23">
      <c r="A588" s="3">
        <f>IFERROR(__xludf.DUMMYFUNCTION("""COMPUTED_VALUE"""),46078)</f>
        <v>46078</v>
      </c>
      <c r="B588" s="1" t="str">
        <f>IFERROR(__xludf.DUMMYFUNCTION("""COMPUTED_VALUE"""),"CABUGAYAN MARDIJOHN")</f>
        <v>CABUGAYAN MARDIJOHN</v>
      </c>
      <c r="C588" s="1" t="str">
        <f>IFERROR(__xludf.DUMMYFUNCTION("""COMPUTED_VALUE"""),"ORGANIC")</f>
        <v>ORGANIC</v>
      </c>
      <c r="D588" s="1" t="str">
        <f>IFERROR(__xludf.DUMMYFUNCTION("""COMPUTED_VALUE"""),"ALOS, CHARLS")</f>
        <v>ALOS, CHARLS</v>
      </c>
      <c r="E588" s="1" t="str">
        <f>IFERROR(__xludf.DUMMYFUNCTION("""COMPUTED_VALUE"""),"RED FIBER")</f>
        <v>RED FIBER</v>
      </c>
      <c r="F588" s="1"/>
      <c r="G588" s="1"/>
      <c r="H588" s="1" t="str">
        <f>IFERROR(__xludf.DUMMYFUNCTION("""COMPUTED_VALUE"""),"ANGELO SLAGADO ALEGRE")</f>
        <v>ANGELO SLAGADO ALEGRE</v>
      </c>
      <c r="I588" s="1">
        <f>IFERROR(__xludf.DUMMYFUNCTION("""COMPUTED_VALUE"""),9660141214)</f>
        <v>9660141214</v>
      </c>
      <c r="J588" s="1"/>
      <c r="K588" s="1" t="str">
        <f>IFERROR(__xludf.DUMMYFUNCTION("""COMPUTED_VALUE"""),"ANGELOALEGRE0218@GMAIL.COM")</f>
        <v>ANGELOALEGRE0218@GMAIL.COM</v>
      </c>
      <c r="L588" s="1" t="str">
        <f>IFERROR(__xludf.DUMMYFUNCTION("""COMPUTED_VALUE"""),"286")</f>
        <v>286</v>
      </c>
      <c r="M588" s="1" t="str">
        <f>IFERROR(__xludf.DUMMYFUNCTION("""COMPUTED_VALUE"""),"OLD SABUNGAN")</f>
        <v>OLD SABUNGAN</v>
      </c>
      <c r="N588" s="1"/>
      <c r="O588" s="1" t="str">
        <f>IFERROR(__xludf.DUMMYFUNCTION("""COMPUTED_VALUE"""),"CVT2LCP54NP2")</f>
        <v>CVT2LCP54NP2</v>
      </c>
      <c r="P588" s="1" t="str">
        <f>IFERROR(__xludf.DUMMYFUNCTION("""COMPUTED_VALUE"""),"14.124274 120.910502")</f>
        <v>14.124274 120.910502</v>
      </c>
      <c r="Q588" s="1" t="str">
        <f>IFERROR(__xludf.DUMMYFUNCTION("""COMPUTED_VALUE"""),"GALICIA III")</f>
        <v>GALICIA III</v>
      </c>
      <c r="R588" s="1" t="str">
        <f>IFERROR(__xludf.DUMMYFUNCTION("""COMPUTED_VALUE"""),"MENDEZ")</f>
        <v>MENDEZ</v>
      </c>
      <c r="S588" s="1" t="str">
        <f>IFERROR(__xludf.DUMMYFUNCTION("""COMPUTED_VALUE"""),"RED FIBER PLAN 1400")</f>
        <v>RED FIBER PLAN 1400</v>
      </c>
      <c r="T588" s="1" t="str">
        <f>IFERROR(__xludf.DUMMYFUNCTION("""COMPUTED_VALUE"""),"APPROVED")</f>
        <v>APPROVED</v>
      </c>
      <c r="U588" s="1"/>
      <c r="V588" s="1"/>
      <c r="W588" s="1"/>
    </row>
    <row r="589" customHeight="1" spans="1:23">
      <c r="A589" s="3">
        <f>IFERROR(__xludf.DUMMYFUNCTION("""COMPUTED_VALUE"""),46078)</f>
        <v>46078</v>
      </c>
      <c r="B589" s="1" t="str">
        <f>IFERROR(__xludf.DUMMYFUNCTION("""COMPUTED_VALUE"""),"AQUINO, LUIS")</f>
        <v>AQUINO, LUIS</v>
      </c>
      <c r="C589" s="1" t="str">
        <f>IFERROR(__xludf.DUMMYFUNCTION("""COMPUTED_VALUE"""),"ORGANIC")</f>
        <v>ORGANIC</v>
      </c>
      <c r="D589" s="1" t="str">
        <f>IFERROR(__xludf.DUMMYFUNCTION("""COMPUTED_VALUE"""),"ALOS, CHARLS")</f>
        <v>ALOS, CHARLS</v>
      </c>
      <c r="E589" s="1" t="str">
        <f>IFERROR(__xludf.DUMMYFUNCTION("""COMPUTED_VALUE"""),"RED FIBER")</f>
        <v>RED FIBER</v>
      </c>
      <c r="F589" s="1"/>
      <c r="G589" s="1"/>
      <c r="H589" s="1" t="str">
        <f>IFERROR(__xludf.DUMMYFUNCTION("""COMPUTED_VALUE"""),"ROBERTO GARCIA GARCIA")</f>
        <v>ROBERTO GARCIA GARCIA</v>
      </c>
      <c r="I589" s="1">
        <f>IFERROR(__xludf.DUMMYFUNCTION("""COMPUTED_VALUE"""),9307452595)</f>
        <v>9307452595</v>
      </c>
      <c r="J589" s="1"/>
      <c r="K589" s="1" t="str">
        <f>IFERROR(__xludf.DUMMYFUNCTION("""COMPUTED_VALUE"""),"YUISVARRA@GMAIL.COM")</f>
        <v>YUISVARRA@GMAIL.COM</v>
      </c>
      <c r="L589" s="1" t="str">
        <f>IFERROR(__xludf.DUMMYFUNCTION("""COMPUTED_VALUE"""),"175 A")</f>
        <v>175 A</v>
      </c>
      <c r="M589" s="1" t="str">
        <f>IFERROR(__xludf.DUMMYFUNCTION("""COMPUTED_VALUE"""),"KALYE POGI")</f>
        <v>KALYE POGI</v>
      </c>
      <c r="N589" s="1"/>
      <c r="O589" s="1" t="str">
        <f>IFERROR(__xludf.DUMMYFUNCTION("""COMPUTED_VALUE"""),"CVTLP2LCP35NP4")</f>
        <v>CVTLP2LCP35NP4</v>
      </c>
      <c r="P589" s="1" t="str">
        <f>IFERROR(__xludf.DUMMYFUNCTION("""COMPUTED_VALUE"""),"14.118622 120.936648")</f>
        <v>14.118622 120.936648</v>
      </c>
      <c r="Q589" s="1" t="str">
        <f>IFERROR(__xludf.DUMMYFUNCTION("""COMPUTED_VALUE"""),"KAYBAGAL NORTH")</f>
        <v>KAYBAGAL NORTH</v>
      </c>
      <c r="R589" s="1" t="str">
        <f>IFERROR(__xludf.DUMMYFUNCTION("""COMPUTED_VALUE"""),"TAGAYTAY")</f>
        <v>TAGAYTAY</v>
      </c>
      <c r="S589" s="1" t="str">
        <f>IFERROR(__xludf.DUMMYFUNCTION("""COMPUTED_VALUE"""),"RED FIBER PLAN 1000")</f>
        <v>RED FIBER PLAN 1000</v>
      </c>
      <c r="T589" s="1" t="str">
        <f>IFERROR(__xludf.DUMMYFUNCTION("""COMPUTED_VALUE"""),"APPROVED")</f>
        <v>APPROVED</v>
      </c>
      <c r="U589" s="1"/>
      <c r="V589" s="1"/>
      <c r="W589" s="1"/>
    </row>
    <row r="590" customHeight="1" spans="1:23">
      <c r="A590" s="3">
        <f>IFERROR(__xludf.DUMMYFUNCTION("""COMPUTED_VALUE"""),45714)</f>
        <v>45714</v>
      </c>
      <c r="B590" s="1" t="str">
        <f>IFERROR(__xludf.DUMMYFUNCTION("""COMPUTED_VALUE"""),"LUBGUBAN,MERLYN")</f>
        <v>LUBGUBAN,MERLYN</v>
      </c>
      <c r="C590" s="1" t="str">
        <f>IFERROR(__xludf.DUMMYFUNCTION("""COMPUTED_VALUE"""),"FLA")</f>
        <v>FLA</v>
      </c>
      <c r="D590" s="1" t="str">
        <f>IFERROR(__xludf.DUMMYFUNCTION("""COMPUTED_VALUE"""),"JERIC NAVARRO")</f>
        <v>JERIC NAVARRO</v>
      </c>
      <c r="E590" s="1" t="str">
        <f>IFERROR(__xludf.DUMMYFUNCTION("""COMPUTED_VALUE"""),"PLDT")</f>
        <v>PLDT</v>
      </c>
      <c r="F590" s="1">
        <f>IFERROR(__xludf.DUMMYFUNCTION("""COMPUTED_VALUE"""),2307285114)</f>
        <v>2307285114</v>
      </c>
      <c r="G590" s="1"/>
      <c r="H590" s="1" t="str">
        <f>IFERROR(__xludf.DUMMYFUNCTION("""COMPUTED_VALUE"""),"GRACE CUBANGBANG ABAD")</f>
        <v>GRACE CUBANGBANG ABAD</v>
      </c>
      <c r="I590" s="1">
        <f>IFERROR(__xludf.DUMMYFUNCTION("""COMPUTED_VALUE"""),9564752255)</f>
        <v>9564752255</v>
      </c>
      <c r="J590" s="1"/>
      <c r="K590" s="1" t="str">
        <f>IFERROR(__xludf.DUMMYFUNCTION("""COMPUTED_VALUE"""),"ULOUCHAUZOMA@GMAIL.COM")</f>
        <v>ULOUCHAUZOMA@GMAIL.COM</v>
      </c>
      <c r="L590" s="1" t="str">
        <f>IFERROR(__xludf.DUMMYFUNCTION("""COMPUTED_VALUE"""),"14")</f>
        <v>14</v>
      </c>
      <c r="M590" s="1" t="str">
        <f>IFERROR(__xludf.DUMMYFUNCTION("""COMPUTED_VALUE"""),"SIMERA")</f>
        <v>SIMERA</v>
      </c>
      <c r="N590" s="1"/>
      <c r="O590" s="1" t="str">
        <f>IFERROR(__xludf.DUMMYFUNCTION("""COMPUTED_VALUE"""),"DASLPD62NP4/5/6")</f>
        <v>DASLPD62NP4/5/6</v>
      </c>
      <c r="P590" s="1" t="str">
        <f>IFERROR(__xludf.DUMMYFUNCTION("""COMPUTED_VALUE"""),"14.291174 120.977124")</f>
        <v>14.291174 120.977124</v>
      </c>
      <c r="Q590" s="1" t="str">
        <f>IFERROR(__xludf.DUMMYFUNCTION("""COMPUTED_VALUE"""),"SAMPALOC III")</f>
        <v>SAMPALOC III</v>
      </c>
      <c r="R590" s="1" t="str">
        <f>IFERROR(__xludf.DUMMYFUNCTION("""COMPUTED_VALUE"""),"DASMARINAS")</f>
        <v>DASMARINAS</v>
      </c>
      <c r="S590" s="1" t="str">
        <f>IFERROR(__xludf.DUMMYFUNCTION("""COMPUTED_VALUE"""),"FIBR PLAN 1599")</f>
        <v>FIBR PLAN 1599</v>
      </c>
      <c r="T590" s="1" t="str">
        <f>IFERROR(__xludf.DUMMYFUNCTION("""COMPUTED_VALUE"""),"APPROVED")</f>
        <v>APPROVED</v>
      </c>
      <c r="U590" s="1"/>
      <c r="V590" s="1"/>
      <c r="W590" s="1"/>
    </row>
    <row r="591" customHeight="1" spans="1:23">
      <c r="A591" s="3">
        <f>IFERROR(__xludf.DUMMYFUNCTION("""COMPUTED_VALUE"""),45714)</f>
        <v>45714</v>
      </c>
      <c r="B591" s="1" t="str">
        <f>IFERROR(__xludf.DUMMYFUNCTION("""COMPUTED_VALUE"""),"AQUINO, LUIS")</f>
        <v>AQUINO, LUIS</v>
      </c>
      <c r="C591" s="1" t="str">
        <f>IFERROR(__xludf.DUMMYFUNCTION("""COMPUTED_VALUE"""),"ORGANIC")</f>
        <v>ORGANIC</v>
      </c>
      <c r="D591" s="1" t="str">
        <f>IFERROR(__xludf.DUMMYFUNCTION("""COMPUTED_VALUE"""),"ALOS, CHARLS")</f>
        <v>ALOS, CHARLS</v>
      </c>
      <c r="E591" s="1" t="str">
        <f>IFERROR(__xludf.DUMMYFUNCTION("""COMPUTED_VALUE"""),"PLDT")</f>
        <v>PLDT</v>
      </c>
      <c r="F591" s="1">
        <f>IFERROR(__xludf.DUMMYFUNCTION("""COMPUTED_VALUE"""),2307290033)</f>
        <v>2307290033</v>
      </c>
      <c r="G591" s="1"/>
      <c r="H591" s="1" t="str">
        <f>IFERROR(__xludf.DUMMYFUNCTION("""COMPUTED_VALUE"""),"SYRAH RODRIGUEZ MANSIBANG")</f>
        <v>SYRAH RODRIGUEZ MANSIBANG</v>
      </c>
      <c r="I591" s="1">
        <f>IFERROR(__xludf.DUMMYFUNCTION("""COMPUTED_VALUE"""),9951288518)</f>
        <v>9951288518</v>
      </c>
      <c r="J591" s="1"/>
      <c r="K591" s="1" t="str">
        <f>IFERROR(__xludf.DUMMYFUNCTION("""COMPUTED_VALUE"""),"HARYS1011@GMAIL.COM")</f>
        <v>HARYS1011@GMAIL.COM</v>
      </c>
      <c r="L591" s="1" t="str">
        <f>IFERROR(__xludf.DUMMYFUNCTION("""COMPUTED_VALUE"""),"11182")</f>
        <v>11182</v>
      </c>
      <c r="M591" s="1" t="str">
        <f>IFERROR(__xludf.DUMMYFUNCTION("""COMPUTED_VALUE"""),"LAGUSAN DRIVE")</f>
        <v>LAGUSAN DRIVE</v>
      </c>
      <c r="N591" s="1"/>
      <c r="O591" s="1" t="str">
        <f>IFERROR(__xludf.DUMMYFUNCTION("""COMPUTED_VALUE"""),"TFTLP231NP4 TGTLP82NP1/2/4")</f>
        <v>TFTLP231NP4 TGTLP82NP1/2/4</v>
      </c>
      <c r="P591" s="1" t="str">
        <f>IFERROR(__xludf.DUMMYFUNCTION("""COMPUTED_VALUE"""),"14.131763 120.974763")</f>
        <v>14.131763 120.974763</v>
      </c>
      <c r="Q591" s="1" t="str">
        <f>IFERROR(__xludf.DUMMYFUNCTION("""COMPUTED_VALUE"""),"TOLENTINO WEST")</f>
        <v>TOLENTINO WEST</v>
      </c>
      <c r="R591" s="1" t="str">
        <f>IFERROR(__xludf.DUMMYFUNCTION("""COMPUTED_VALUE"""),"TAGAYTAY")</f>
        <v>TAGAYTAY</v>
      </c>
      <c r="S591" s="1" t="str">
        <f>IFERROR(__xludf.DUMMYFUNCTION("""COMPUTED_VALUE"""),"FIBR PLAN 1399")</f>
        <v>FIBR PLAN 1399</v>
      </c>
      <c r="T591" s="1" t="str">
        <f>IFERROR(__xludf.DUMMYFUNCTION("""COMPUTED_VALUE"""),"APPROVED")</f>
        <v>APPROVED</v>
      </c>
      <c r="U591" s="1"/>
      <c r="V591" s="1"/>
      <c r="W591" s="1"/>
    </row>
    <row r="592" customHeight="1" spans="1:23">
      <c r="A592" s="3">
        <f>IFERROR(__xludf.DUMMYFUNCTION("""COMPUTED_VALUE"""),45714)</f>
        <v>45714</v>
      </c>
      <c r="B592" s="1" t="str">
        <f>IFERROR(__xludf.DUMMYFUNCTION("""COMPUTED_VALUE"""),"OPS IAN SUMILANG")</f>
        <v>OPS IAN SUMILANG</v>
      </c>
      <c r="C592" s="1" t="str">
        <f>IFERROR(__xludf.DUMMYFUNCTION("""COMPUTED_VALUE"""),"FLA")</f>
        <v>FLA</v>
      </c>
      <c r="D592" s="1" t="str">
        <f>IFERROR(__xludf.DUMMYFUNCTION("""COMPUTED_VALUE"""),"JERIC NAVARRO")</f>
        <v>JERIC NAVARRO</v>
      </c>
      <c r="E592" s="1" t="str">
        <f>IFERROR(__xludf.DUMMYFUNCTION("""COMPUTED_VALUE"""),"PLDT")</f>
        <v>PLDT</v>
      </c>
      <c r="F592" s="1">
        <f>IFERROR(__xludf.DUMMYFUNCTION("""COMPUTED_VALUE"""),2307290632)</f>
        <v>2307290632</v>
      </c>
      <c r="G592" s="1"/>
      <c r="H592" s="1" t="str">
        <f>IFERROR(__xludf.DUMMYFUNCTION("""COMPUTED_VALUE"""),"CARL JEREMY DELA CRUXZ VERDADERO")</f>
        <v>CARL JEREMY DELA CRUXZ VERDADERO</v>
      </c>
      <c r="I592" s="1">
        <f>IFERROR(__xludf.DUMMYFUNCTION("""COMPUTED_VALUE"""),9217524245)</f>
        <v>9217524245</v>
      </c>
      <c r="J592" s="1"/>
      <c r="K592" s="1" t="str">
        <f>IFERROR(__xludf.DUMMYFUNCTION("""COMPUTED_VALUE"""),"CARLDAGASCARL@GMAIL.COM")</f>
        <v>CARLDAGASCARL@GMAIL.COM</v>
      </c>
      <c r="L592" s="1" t="str">
        <f>IFERROR(__xludf.DUMMYFUNCTION("""COMPUTED_VALUE"""),"BLK 44 LOT 17")</f>
        <v>BLK 44 LOT 17</v>
      </c>
      <c r="M592" s="1" t="str">
        <f>IFERROR(__xludf.DUMMYFUNCTION("""COMPUTED_VALUE"""),"FATIMA")</f>
        <v>FATIMA</v>
      </c>
      <c r="N592" s="1"/>
      <c r="O592" s="1" t="str">
        <f>IFERROR(__xludf.DUMMYFUNCTION("""COMPUTED_VALUE"""),"DASLP769NP1-8")</f>
        <v>DASLP769NP1-8</v>
      </c>
      <c r="P592" s="1"/>
      <c r="Q592" s="1" t="str">
        <f>IFERROR(__xludf.DUMMYFUNCTION("""COMPUTED_VALUE"""),"FATIMA II")</f>
        <v>FATIMA II</v>
      </c>
      <c r="R592" s="1" t="str">
        <f>IFERROR(__xludf.DUMMYFUNCTION("""COMPUTED_VALUE"""),"DASMARINAS")</f>
        <v>DASMARINAS</v>
      </c>
      <c r="S592" s="1" t="str">
        <f>IFERROR(__xludf.DUMMYFUNCTION("""COMPUTED_VALUE"""),"FIBR PLAN 1399")</f>
        <v>FIBR PLAN 1399</v>
      </c>
      <c r="T592" s="1" t="str">
        <f>IFERROR(__xludf.DUMMYFUNCTION("""COMPUTED_VALUE"""),"APPROVED")</f>
        <v>APPROVED</v>
      </c>
      <c r="U592" s="1"/>
      <c r="V592" s="1"/>
      <c r="W592" s="1"/>
    </row>
    <row r="593" customHeight="1" spans="1:23">
      <c r="A593" s="3">
        <f>IFERROR(__xludf.DUMMYFUNCTION("""COMPUTED_VALUE"""),45714)</f>
        <v>45714</v>
      </c>
      <c r="B593" s="1" t="str">
        <f>IFERROR(__xludf.DUMMYFUNCTION("""COMPUTED_VALUE"""),"REMOLLO, LEA")</f>
        <v>REMOLLO, LEA</v>
      </c>
      <c r="C593" s="1" t="str">
        <f>IFERROR(__xludf.DUMMYFUNCTION("""COMPUTED_VALUE"""),"FLA")</f>
        <v>FLA</v>
      </c>
      <c r="D593" s="1" t="str">
        <f>IFERROR(__xludf.DUMMYFUNCTION("""COMPUTED_VALUE"""),"JERIC NAVARRO")</f>
        <v>JERIC NAVARRO</v>
      </c>
      <c r="E593" s="1" t="str">
        <f>IFERROR(__xludf.DUMMYFUNCTION("""COMPUTED_VALUE"""),"PLDT")</f>
        <v>PLDT</v>
      </c>
      <c r="F593" s="1">
        <f>IFERROR(__xludf.DUMMYFUNCTION("""COMPUTED_VALUE"""),2307291051)</f>
        <v>2307291051</v>
      </c>
      <c r="G593" s="1"/>
      <c r="H593" s="1" t="str">
        <f>IFERROR(__xludf.DUMMYFUNCTION("""COMPUTED_VALUE"""),"MARY ANN BALSA ARABIS")</f>
        <v>MARY ANN BALSA ARABIS</v>
      </c>
      <c r="I593" s="1">
        <f>IFERROR(__xludf.DUMMYFUNCTION("""COMPUTED_VALUE"""),9977103112)</f>
        <v>9977103112</v>
      </c>
      <c r="J593" s="1"/>
      <c r="K593" s="1" t="str">
        <f>IFERROR(__xludf.DUMMYFUNCTION("""COMPUTED_VALUE"""),"MARYANARABIS@GMAIL.COM")</f>
        <v>MARYANARABIS@GMAIL.COM</v>
      </c>
      <c r="L593" s="1" t="str">
        <f>IFERROR(__xludf.DUMMYFUNCTION("""COMPUTED_VALUE"""),"108")</f>
        <v>108</v>
      </c>
      <c r="M593" s="1" t="str">
        <f>IFERROR(__xludf.DUMMYFUNCTION("""COMPUTED_VALUE"""),"ILAYA LOOBAN")</f>
        <v>ILAYA LOOBAN</v>
      </c>
      <c r="N593" s="1"/>
      <c r="O593" s="1" t="str">
        <f>IFERROR(__xludf.DUMMYFUNCTION("""COMPUTED_VALUE"""),"SILLP614NP1")</f>
        <v>SILLP614NP1</v>
      </c>
      <c r="P593" s="1" t="str">
        <f>IFERROR(__xludf.DUMMYFUNCTION("""COMPUTED_VALUE"""),"14.215037 121.000662")</f>
        <v>14.215037 121.000662</v>
      </c>
      <c r="Q593" s="1" t="str">
        <f>IFERROR(__xludf.DUMMYFUNCTION("""COMPUTED_VALUE"""),"MUNTING ILOG")</f>
        <v>MUNTING ILOG</v>
      </c>
      <c r="R593" s="1" t="str">
        <f>IFERROR(__xludf.DUMMYFUNCTION("""COMPUTED_VALUE"""),"SILANG")</f>
        <v>SILANG</v>
      </c>
      <c r="S593" s="1" t="str">
        <f>IFERROR(__xludf.DUMMYFUNCTION("""COMPUTED_VALUE"""),"FIBR PLAN 1399")</f>
        <v>FIBR PLAN 1399</v>
      </c>
      <c r="T593" s="1" t="str">
        <f>IFERROR(__xludf.DUMMYFUNCTION("""COMPUTED_VALUE"""),"APPROVED")</f>
        <v>APPROVED</v>
      </c>
      <c r="U593" s="1"/>
      <c r="V593" s="1"/>
      <c r="W593" s="1"/>
    </row>
    <row r="594" customHeight="1" spans="1:23">
      <c r="A594" s="3">
        <f>IFERROR(__xludf.DUMMYFUNCTION("""COMPUTED_VALUE"""),45714)</f>
        <v>45714</v>
      </c>
      <c r="B594" s="1" t="str">
        <f>IFERROR(__xludf.DUMMYFUNCTION("""COMPUTED_VALUE"""),"MCNULTY KRYSTEL")</f>
        <v>MCNULTY KRYSTEL</v>
      </c>
      <c r="C594" s="1" t="str">
        <f>IFERROR(__xludf.DUMMYFUNCTION("""COMPUTED_VALUE"""),"ORGANIC")</f>
        <v>ORGANIC</v>
      </c>
      <c r="D594" s="1" t="str">
        <f>IFERROR(__xludf.DUMMYFUNCTION("""COMPUTED_VALUE"""),"ALINGARO, CINDY")</f>
        <v>ALINGARO, CINDY</v>
      </c>
      <c r="E594" s="1" t="str">
        <f>IFERROR(__xludf.DUMMYFUNCTION("""COMPUTED_VALUE"""),"PLDT")</f>
        <v>PLDT</v>
      </c>
      <c r="F594" s="1">
        <f>IFERROR(__xludf.DUMMYFUNCTION("""COMPUTED_VALUE"""),2307292154)</f>
        <v>2307292154</v>
      </c>
      <c r="G594" s="1"/>
      <c r="H594" s="1" t="str">
        <f>IFERROR(__xludf.DUMMYFUNCTION("""COMPUTED_VALUE"""),"RENALYN MUANO LEGARTO")</f>
        <v>RENALYN MUANO LEGARTO</v>
      </c>
      <c r="I594" s="1">
        <f>IFERROR(__xludf.DUMMYFUNCTION("""COMPUTED_VALUE"""),9917716882)</f>
        <v>9917716882</v>
      </c>
      <c r="J594" s="1"/>
      <c r="K594" s="1" t="str">
        <f>IFERROR(__xludf.DUMMYFUNCTION("""COMPUTED_VALUE"""),"NYTANERBENARENZ@GMAIL.COM")</f>
        <v>NYTANERBENARENZ@GMAIL.COM</v>
      </c>
      <c r="L594" s="1" t="str">
        <f>IFERROR(__xludf.DUMMYFUNCTION("""COMPUTED_VALUE"""),"BLK 28 LOT 38")</f>
        <v>BLK 28 LOT 38</v>
      </c>
      <c r="M594" s="1" t="str">
        <f>IFERROR(__xludf.DUMMYFUNCTION("""COMPUTED_VALUE"""),"PULIDO")</f>
        <v>PULIDO</v>
      </c>
      <c r="N594" s="1"/>
      <c r="O594" s="1" t="str">
        <f>IFERROR(__xludf.DUMMYFUNCTION("""COMPUTED_VALUE"""),"GMZLP205NP2 GMZLP22NP7 GMZLP903NP8")</f>
        <v>GMZLP205NP2 GMZLP22NP7 GMZLP903NP8</v>
      </c>
      <c r="P594" s="1" t="str">
        <f>IFERROR(__xludf.DUMMYFUNCTION("""COMPUTED_VALUE"""),"14.308604 121.018021")</f>
        <v>14.308604 121.018021</v>
      </c>
      <c r="Q594" s="1" t="str">
        <f>IFERROR(__xludf.DUMMYFUNCTION("""COMPUTED_VALUE"""),"BERNARDO PULIDO (AREA H)")</f>
        <v>BERNARDO PULIDO (AREA H)</v>
      </c>
      <c r="R594" s="1" t="str">
        <f>IFERROR(__xludf.DUMMYFUNCTION("""COMPUTED_VALUE"""),"GEN MARIANO ALVAREZ")</f>
        <v>GEN MARIANO ALVAREZ</v>
      </c>
      <c r="S594" s="1" t="str">
        <f>IFERROR(__xludf.DUMMYFUNCTION("""COMPUTED_VALUE"""),"PREPAID 999")</f>
        <v>PREPAID 999</v>
      </c>
      <c r="T594" s="1" t="str">
        <f>IFERROR(__xludf.DUMMYFUNCTION("""COMPUTED_VALUE"""),"APPROVED")</f>
        <v>APPROVED</v>
      </c>
      <c r="U594" s="1"/>
      <c r="V594" s="1"/>
      <c r="W594" s="1"/>
    </row>
    <row r="595" customHeight="1" spans="1:23">
      <c r="A595" s="3">
        <f>IFERROR(__xludf.DUMMYFUNCTION("""COMPUTED_VALUE"""),45714)</f>
        <v>45714</v>
      </c>
      <c r="B595" s="1" t="str">
        <f>IFERROR(__xludf.DUMMYFUNCTION("""COMPUTED_VALUE"""),"MALIWAT MARK ELVIN")</f>
        <v>MALIWAT MARK ELVIN</v>
      </c>
      <c r="C595" s="1" t="str">
        <f>IFERROR(__xludf.DUMMYFUNCTION("""COMPUTED_VALUE"""),"FLA")</f>
        <v>FLA</v>
      </c>
      <c r="D595" s="1" t="str">
        <f>IFERROR(__xludf.DUMMYFUNCTION("""COMPUTED_VALUE"""),"JERIC NAVARRO")</f>
        <v>JERIC NAVARRO</v>
      </c>
      <c r="E595" s="1" t="str">
        <f>IFERROR(__xludf.DUMMYFUNCTION("""COMPUTED_VALUE"""),"PLDT")</f>
        <v>PLDT</v>
      </c>
      <c r="F595" s="1">
        <f>IFERROR(__xludf.DUMMYFUNCTION("""COMPUTED_VALUE"""),2307293118)</f>
        <v>2307293118</v>
      </c>
      <c r="G595" s="1"/>
      <c r="H595" s="1" t="str">
        <f>IFERROR(__xludf.DUMMYFUNCTION("""COMPUTED_VALUE"""),"NOEL FERRANCO FAJURA")</f>
        <v>NOEL FERRANCO FAJURA</v>
      </c>
      <c r="I595" s="1">
        <f>IFERROR(__xludf.DUMMYFUNCTION("""COMPUTED_VALUE"""),9186999223)</f>
        <v>9186999223</v>
      </c>
      <c r="J595" s="1">
        <f>IFERROR(__xludf.DUMMYFUNCTION("""COMPUTED_VALUE"""),9957383785)</f>
        <v>9957383785</v>
      </c>
      <c r="K595" s="1" t="str">
        <f>IFERROR(__xludf.DUMMYFUNCTION("""COMPUTED_VALUE"""),"NOELFERRANCOFAJURA@YAHOO.COM")</f>
        <v>NOELFERRANCOFAJURA@YAHOO.COM</v>
      </c>
      <c r="L595" s="1" t="str">
        <f>IFERROR(__xludf.DUMMYFUNCTION("""COMPUTED_VALUE"""),"BLK 8 LOT 24")</f>
        <v>BLK 8 LOT 24</v>
      </c>
      <c r="M595" s="1" t="str">
        <f>IFERROR(__xludf.DUMMYFUNCTION("""COMPUTED_VALUE"""),"PHASE 1")</f>
        <v>PHASE 1</v>
      </c>
      <c r="N595" s="1" t="str">
        <f>IFERROR(__xludf.DUMMYFUNCTION("""COMPUTED_VALUE"""),"GREEN GATE")</f>
        <v>GREEN GATE</v>
      </c>
      <c r="O595" s="1" t="str">
        <f>IFERROR(__xludf.DUMMYFUNCTION("""COMPUTED_VALUE"""),"IMULPD22NP2/3")</f>
        <v>IMULPD22NP2/3</v>
      </c>
      <c r="P595" s="1"/>
      <c r="Q595" s="1" t="str">
        <f>IFERROR(__xludf.DUMMYFUNCTION("""COMPUTED_VALUE"""),"MALAGASANG II-A")</f>
        <v>MALAGASANG II-A</v>
      </c>
      <c r="R595" s="1" t="str">
        <f>IFERROR(__xludf.DUMMYFUNCTION("""COMPUTED_VALUE"""),"IMUS")</f>
        <v>IMUS</v>
      </c>
      <c r="S595" s="1" t="str">
        <f>IFERROR(__xludf.DUMMYFUNCTION("""COMPUTED_VALUE"""),"SWITCH PLAN 1799")</f>
        <v>SWITCH PLAN 1799</v>
      </c>
      <c r="T595" s="1" t="str">
        <f>IFERROR(__xludf.DUMMYFUNCTION("""COMPUTED_VALUE"""),"APPROVED")</f>
        <v>APPROVED</v>
      </c>
      <c r="U595" s="1"/>
      <c r="V595" s="1"/>
      <c r="W595" s="1"/>
    </row>
    <row r="596" customHeight="1" spans="1:23">
      <c r="A596" s="3">
        <f>IFERROR(__xludf.DUMMYFUNCTION("""COMPUTED_VALUE"""),45714)</f>
        <v>45714</v>
      </c>
      <c r="B596" s="1" t="str">
        <f>IFERROR(__xludf.DUMMYFUNCTION("""COMPUTED_VALUE"""),"GABAY, MANUEL")</f>
        <v>GABAY, MANUEL</v>
      </c>
      <c r="C596" s="1" t="str">
        <f>IFERROR(__xludf.DUMMYFUNCTION("""COMPUTED_VALUE"""),"FLA")</f>
        <v>FLA</v>
      </c>
      <c r="D596" s="1" t="str">
        <f>IFERROR(__xludf.DUMMYFUNCTION("""COMPUTED_VALUE"""),"JERIC NAVARRO")</f>
        <v>JERIC NAVARRO</v>
      </c>
      <c r="E596" s="1" t="str">
        <f>IFERROR(__xludf.DUMMYFUNCTION("""COMPUTED_VALUE"""),"PLDT")</f>
        <v>PLDT</v>
      </c>
      <c r="F596" s="1">
        <f>IFERROR(__xludf.DUMMYFUNCTION("""COMPUTED_VALUE"""),2307293761)</f>
        <v>2307293761</v>
      </c>
      <c r="G596" s="1"/>
      <c r="H596" s="1" t="str">
        <f>IFERROR(__xludf.DUMMYFUNCTION("""COMPUTED_VALUE"""),"JOANNA MARIE ZOLETA YLAGAN")</f>
        <v>JOANNA MARIE ZOLETA YLAGAN</v>
      </c>
      <c r="I596" s="1">
        <f>IFERROR(__xludf.DUMMYFUNCTION("""COMPUTED_VALUE"""),9296991224)</f>
        <v>9296991224</v>
      </c>
      <c r="J596" s="1">
        <f>IFERROR(__xludf.DUMMYFUNCTION("""COMPUTED_VALUE"""),9627705046)</f>
        <v>9627705046</v>
      </c>
      <c r="K596" s="1" t="str">
        <f>IFERROR(__xludf.DUMMYFUNCTION("""COMPUTED_VALUE"""),"SACHIELYUAN1985@GMAIL.COM")</f>
        <v>SACHIELYUAN1985@GMAIL.COM</v>
      </c>
      <c r="L596" s="1" t="str">
        <f>IFERROR(__xludf.DUMMYFUNCTION("""COMPUTED_VALUE"""),"BLK 2 LOT 2")</f>
        <v>BLK 2 LOT 2</v>
      </c>
      <c r="M596" s="1" t="str">
        <f>IFERROR(__xludf.DUMMYFUNCTION("""COMPUTED_VALUE"""),"C68B")</f>
        <v>C68B</v>
      </c>
      <c r="N596" s="1"/>
      <c r="O596" s="1" t="str">
        <f>IFERROR(__xludf.DUMMYFUNCTION("""COMPUTED_VALUE"""),"GMZLP231NP1/8 GMZLP232NP1/8")</f>
        <v>GMZLP231NP1/8 GMZLP232NP1/8</v>
      </c>
      <c r="P596" s="1" t="str">
        <f>IFERROR(__xludf.DUMMYFUNCTION("""COMPUTED_VALUE"""),"14.328669 121.034824")</f>
        <v>14.328669 121.034824</v>
      </c>
      <c r="Q596" s="1" t="str">
        <f>IFERROR(__xludf.DUMMYFUNCTION("""COMPUTED_VALUE"""),"GREGORIA DE JESUS")</f>
        <v>GREGORIA DE JESUS</v>
      </c>
      <c r="R596" s="1" t="str">
        <f>IFERROR(__xludf.DUMMYFUNCTION("""COMPUTED_VALUE"""),"GEN MARIANO ALVAREZ")</f>
        <v>GEN MARIANO ALVAREZ</v>
      </c>
      <c r="S596" s="1" t="str">
        <f>IFERROR(__xludf.DUMMYFUNCTION("""COMPUTED_VALUE"""),"FIBR PLAN 1599")</f>
        <v>FIBR PLAN 1599</v>
      </c>
      <c r="T596" s="1" t="str">
        <f>IFERROR(__xludf.DUMMYFUNCTION("""COMPUTED_VALUE"""),"APPROVED")</f>
        <v>APPROVED</v>
      </c>
      <c r="U596" s="1"/>
      <c r="V596" s="1"/>
      <c r="W596" s="1"/>
    </row>
    <row r="597" customHeight="1" spans="1:23">
      <c r="A597" s="3">
        <f>IFERROR(__xludf.DUMMYFUNCTION("""COMPUTED_VALUE"""),45714)</f>
        <v>45714</v>
      </c>
      <c r="B597" s="1" t="str">
        <f>IFERROR(__xludf.DUMMYFUNCTION("""COMPUTED_VALUE"""),"DE VERA, MARIVIC")</f>
        <v>DE VERA, MARIVIC</v>
      </c>
      <c r="C597" s="1" t="str">
        <f>IFERROR(__xludf.DUMMYFUNCTION("""COMPUTED_VALUE"""),"ORGANIC")</f>
        <v>ORGANIC</v>
      </c>
      <c r="D597" s="1" t="str">
        <f>IFERROR(__xludf.DUMMYFUNCTION("""COMPUTED_VALUE"""),"ALINGARO, CINDY")</f>
        <v>ALINGARO, CINDY</v>
      </c>
      <c r="E597" s="1" t="str">
        <f>IFERROR(__xludf.DUMMYFUNCTION("""COMPUTED_VALUE"""),"PLDT")</f>
        <v>PLDT</v>
      </c>
      <c r="F597" s="1">
        <f>IFERROR(__xludf.DUMMYFUNCTION("""COMPUTED_VALUE"""),2307294171)</f>
        <v>2307294171</v>
      </c>
      <c r="G597" s="1"/>
      <c r="H597" s="1" t="str">
        <f>IFERROR(__xludf.DUMMYFUNCTION("""COMPUTED_VALUE"""),"ACE REMIGIO OLIVAREZ ARAYA")</f>
        <v>ACE REMIGIO OLIVAREZ ARAYA</v>
      </c>
      <c r="I597" s="1">
        <f>IFERROR(__xludf.DUMMYFUNCTION("""COMPUTED_VALUE"""),9956312448)</f>
        <v>9956312448</v>
      </c>
      <c r="J597" s="1">
        <f>IFERROR(__xludf.DUMMYFUNCTION("""COMPUTED_VALUE"""),9685002785)</f>
        <v>9685002785</v>
      </c>
      <c r="K597" s="1" t="str">
        <f>IFERROR(__xludf.DUMMYFUNCTION("""COMPUTED_VALUE"""),"ACEARAYA0501@GMAIL.COM")</f>
        <v>ACEARAYA0501@GMAIL.COM</v>
      </c>
      <c r="L597" s="1" t="str">
        <f>IFERROR(__xludf.DUMMYFUNCTION("""COMPUTED_VALUE"""),"BLK 7 LOT 23")</f>
        <v>BLK 7 LOT 23</v>
      </c>
      <c r="M597" s="1" t="str">
        <f>IFERROR(__xludf.DUMMYFUNCTION("""COMPUTED_VALUE"""),"PHASE 5")</f>
        <v>PHASE 5</v>
      </c>
      <c r="N597" s="1" t="str">
        <f>IFERROR(__xludf.DUMMYFUNCTION("""COMPUTED_VALUE"""),"TERRAVERDE RESIDENCES")</f>
        <v>TERRAVERDE RESIDENCES</v>
      </c>
      <c r="O597" s="1" t="str">
        <f>IFERROR(__xludf.DUMMYFUNCTION("""COMPUTED_VALUE"""),"CMNLP266NP3/4")</f>
        <v>CMNLP266NP3/4</v>
      </c>
      <c r="P597" s="1" t="str">
        <f>IFERROR(__xludf.DUMMYFUNCTION("""COMPUTED_VALUE"""),"14.298627 121.018351")</f>
        <v>14.298627 121.018351</v>
      </c>
      <c r="Q597" s="1" t="str">
        <f>IFERROR(__xludf.DUMMYFUNCTION("""COMPUTED_VALUE"""),"BANCAL")</f>
        <v>BANCAL</v>
      </c>
      <c r="R597" s="1" t="str">
        <f>IFERROR(__xludf.DUMMYFUNCTION("""COMPUTED_VALUE"""),"CARMONA")</f>
        <v>CARMONA</v>
      </c>
      <c r="S597" s="1" t="str">
        <f>IFERROR(__xludf.DUMMYFUNCTION("""COMPUTED_VALUE"""),"FIBR PLAN 1799")</f>
        <v>FIBR PLAN 1799</v>
      </c>
      <c r="T597" s="1" t="str">
        <f>IFERROR(__xludf.DUMMYFUNCTION("""COMPUTED_VALUE"""),"APPROVED")</f>
        <v>APPROVED</v>
      </c>
      <c r="U597" s="1"/>
      <c r="V597" s="1"/>
      <c r="W597" s="1"/>
    </row>
    <row r="598" customHeight="1" spans="1:23">
      <c r="A598" s="3">
        <f>IFERROR(__xludf.DUMMYFUNCTION("""COMPUTED_VALUE"""),46080)</f>
        <v>46080</v>
      </c>
      <c r="B598" s="1" t="str">
        <f>IFERROR(__xludf.DUMMYFUNCTION("""COMPUTED_VALUE"""),"AQUINO, LUIS")</f>
        <v>AQUINO, LUIS</v>
      </c>
      <c r="C598" s="1" t="str">
        <f>IFERROR(__xludf.DUMMYFUNCTION("""COMPUTED_VALUE"""),"ORGANIC")</f>
        <v>ORGANIC</v>
      </c>
      <c r="D598" s="1" t="str">
        <f>IFERROR(__xludf.DUMMYFUNCTION("""COMPUTED_VALUE"""),"ALOS, CHARLS")</f>
        <v>ALOS, CHARLS</v>
      </c>
      <c r="E598" s="1" t="str">
        <f>IFERROR(__xludf.DUMMYFUNCTION("""COMPUTED_VALUE"""),"RED FIBER")</f>
        <v>RED FIBER</v>
      </c>
      <c r="F598" s="1"/>
      <c r="G598" s="1"/>
      <c r="H598" s="1" t="str">
        <f>IFERROR(__xludf.DUMMYFUNCTION("""COMPUTED_VALUE"""),"MARVIN ALCANTARA EJADA")</f>
        <v>MARVIN ALCANTARA EJADA</v>
      </c>
      <c r="I598" s="1">
        <f>IFERROR(__xludf.DUMMYFUNCTION("""COMPUTED_VALUE"""),9979542549)</f>
        <v>9979542549</v>
      </c>
      <c r="J598" s="1"/>
      <c r="K598" s="1" t="str">
        <f>IFERROR(__xludf.DUMMYFUNCTION("""COMPUTED_VALUE"""),"EJADAMARVIN430@GMAIL.COM")</f>
        <v>EJADAMARVIN430@GMAIL.COM</v>
      </c>
      <c r="L598" s="1" t="str">
        <f>IFERROR(__xludf.DUMMYFUNCTION("""COMPUTED_VALUE"""),"BLK 50")</f>
        <v>BLK 50</v>
      </c>
      <c r="M598" s="1" t="str">
        <f>IFERROR(__xludf.DUMMYFUNCTION("""COMPUTED_VALUE"""),"EXCESS LOT")</f>
        <v>EXCESS LOT</v>
      </c>
      <c r="N598" s="1"/>
      <c r="O598" s="1" t="str">
        <f>IFERROR(__xludf.DUMMYFUNCTION("""COMPUTED_VALUE"""),"CVT3LCP25NAP3NAP4")</f>
        <v>CVT3LCP25NAP3NAP4</v>
      </c>
      <c r="P598" s="1" t="str">
        <f>IFERROR(__xludf.DUMMYFUNCTION("""COMPUTED_VALUE"""),"14.332261, 120.959442")</f>
        <v>14.332261, 120.959442</v>
      </c>
      <c r="Q598" s="1" t="str">
        <f>IFERROR(__xludf.DUMMYFUNCTION("""COMPUTED_VALUE"""),"DATU ESMAEL (BAGO-A-INGUD)")</f>
        <v>DATU ESMAEL (BAGO-A-INGUD)</v>
      </c>
      <c r="R598" s="1" t="str">
        <f>IFERROR(__xludf.DUMMYFUNCTION("""COMPUTED_VALUE"""),"DASMARINAS")</f>
        <v>DASMARINAS</v>
      </c>
      <c r="S598" s="1" t="str">
        <f>IFERROR(__xludf.DUMMYFUNCTION("""COMPUTED_VALUE"""),"RED FIBER PLAN 1400")</f>
        <v>RED FIBER PLAN 1400</v>
      </c>
      <c r="T598" s="1" t="str">
        <f>IFERROR(__xludf.DUMMYFUNCTION("""COMPUTED_VALUE"""),"APPROVED")</f>
        <v>APPROVED</v>
      </c>
      <c r="U598" s="1"/>
      <c r="V598" s="1"/>
      <c r="W598" s="1"/>
    </row>
    <row r="599" customHeight="1" spans="1:23">
      <c r="A599" s="3">
        <f>IFERROR(__xludf.DUMMYFUNCTION("""COMPUTED_VALUE"""),46080)</f>
        <v>46080</v>
      </c>
      <c r="B599" s="1" t="str">
        <f>IFERROR(__xludf.DUMMYFUNCTION("""COMPUTED_VALUE"""),"CANTANERO JUNEL")</f>
        <v>CANTANERO JUNEL</v>
      </c>
      <c r="C599" s="1" t="str">
        <f>IFERROR(__xludf.DUMMYFUNCTION("""COMPUTED_VALUE"""),"ORGANIC")</f>
        <v>ORGANIC</v>
      </c>
      <c r="D599" s="1" t="str">
        <f>IFERROR(__xludf.DUMMYFUNCTION("""COMPUTED_VALUE"""),"ALINGARO, CINDY")</f>
        <v>ALINGARO, CINDY</v>
      </c>
      <c r="E599" s="1" t="str">
        <f>IFERROR(__xludf.DUMMYFUNCTION("""COMPUTED_VALUE"""),"PLDT")</f>
        <v>PLDT</v>
      </c>
      <c r="F599" s="1">
        <f>IFERROR(__xludf.DUMMYFUNCTION("""COMPUTED_VALUE"""),2307305462)</f>
        <v>2307305462</v>
      </c>
      <c r="G599" s="1"/>
      <c r="H599" s="1" t="str">
        <f>IFERROR(__xludf.DUMMYFUNCTION("""COMPUTED_VALUE"""),"ALYSSA NOREN REBADULLA BERNAS")</f>
        <v>ALYSSA NOREN REBADULLA BERNAS</v>
      </c>
      <c r="I599" s="1">
        <f>IFERROR(__xludf.DUMMYFUNCTION("""COMPUTED_VALUE"""),9308464717)</f>
        <v>9308464717</v>
      </c>
      <c r="J599" s="1">
        <f>IFERROR(__xludf.DUMMYFUNCTION("""COMPUTED_VALUE"""),93084644717)</f>
        <v>93084644717</v>
      </c>
      <c r="K599" s="1" t="str">
        <f>IFERROR(__xludf.DUMMYFUNCTION("""COMPUTED_VALUE"""),"CRISTHELDOLORES11@GMAIL.COM")</f>
        <v>CRISTHELDOLORES11@GMAIL.COM</v>
      </c>
      <c r="L599" s="1" t="str">
        <f>IFERROR(__xludf.DUMMYFUNCTION("""COMPUTED_VALUE"""),"BLK 16 LOT 7")</f>
        <v>BLK 16 LOT 7</v>
      </c>
      <c r="M599" s="1" t="str">
        <f>IFERROR(__xludf.DUMMYFUNCTION("""COMPUTED_VALUE"""),"ANAHAW")</f>
        <v>ANAHAW</v>
      </c>
      <c r="N599" s="1"/>
      <c r="O599" s="1" t="str">
        <f>IFERROR(__xludf.DUMMYFUNCTION("""COMPUTED_VALUE"""),"SILLP454NP3")</f>
        <v>SILLP454NP3</v>
      </c>
      <c r="P599" s="1" t="str">
        <f>IFERROR(__xludf.DUMMYFUNCTION("""COMPUTED_VALUE"""),"14.272438 120.993899")</f>
        <v>14.272438 120.993899</v>
      </c>
      <c r="Q599" s="1" t="str">
        <f>IFERROR(__xludf.DUMMYFUNCTION("""COMPUTED_VALUE"""),"ANAHAW I")</f>
        <v>ANAHAW I</v>
      </c>
      <c r="R599" s="1" t="str">
        <f>IFERROR(__xludf.DUMMYFUNCTION("""COMPUTED_VALUE"""),"SILANG")</f>
        <v>SILANG</v>
      </c>
      <c r="S599" s="1" t="str">
        <f>IFERROR(__xludf.DUMMYFUNCTION("""COMPUTED_VALUE"""),"PREPAID 999")</f>
        <v>PREPAID 999</v>
      </c>
      <c r="T599" s="1" t="str">
        <f>IFERROR(__xludf.DUMMYFUNCTION("""COMPUTED_VALUE"""),"APPROVED")</f>
        <v>APPROVED</v>
      </c>
      <c r="U599" s="1"/>
      <c r="V599" s="1"/>
      <c r="W599" s="1"/>
    </row>
    <row r="600" customHeight="1" spans="1:23">
      <c r="A600" s="3">
        <f>IFERROR(__xludf.DUMMYFUNCTION("""COMPUTED_VALUE"""),46080)</f>
        <v>46080</v>
      </c>
      <c r="B600" s="1" t="str">
        <f>IFERROR(__xludf.DUMMYFUNCTION("""COMPUTED_VALUE"""),"AQUINO, LUIS")</f>
        <v>AQUINO, LUIS</v>
      </c>
      <c r="C600" s="1" t="str">
        <f>IFERROR(__xludf.DUMMYFUNCTION("""COMPUTED_VALUE"""),"ORGANIC")</f>
        <v>ORGANIC</v>
      </c>
      <c r="D600" s="1" t="str">
        <f>IFERROR(__xludf.DUMMYFUNCTION("""COMPUTED_VALUE"""),"ALOS, CHARLS")</f>
        <v>ALOS, CHARLS</v>
      </c>
      <c r="E600" s="1" t="str">
        <f>IFERROR(__xludf.DUMMYFUNCTION("""COMPUTED_VALUE"""),"PLDT")</f>
        <v>PLDT</v>
      </c>
      <c r="F600" s="1">
        <f>IFERROR(__xludf.DUMMYFUNCTION("""COMPUTED_VALUE"""),2307350660)</f>
        <v>2307350660</v>
      </c>
      <c r="G600" s="1">
        <f>IFERROR(__xludf.DUMMYFUNCTION("""COMPUTED_VALUE"""),444858008004)</f>
        <v>444858008004</v>
      </c>
      <c r="H600" s="1" t="str">
        <f>IFERROR(__xludf.DUMMYFUNCTION("""COMPUTED_VALUE"""),"EMELIE FLORES BUITIZON")</f>
        <v>EMELIE FLORES BUITIZON</v>
      </c>
      <c r="I600" s="1">
        <f>IFERROR(__xludf.DUMMYFUNCTION("""COMPUTED_VALUE"""),9959839066)</f>
        <v>9959839066</v>
      </c>
      <c r="J600" s="1"/>
      <c r="K600" s="1" t="str">
        <f>IFERROR(__xludf.DUMMYFUNCTION("""COMPUTED_VALUE"""),"JCUTE6620@GMAIL.COM")</f>
        <v>JCUTE6620@GMAIL.COM</v>
      </c>
      <c r="L600" s="1" t="str">
        <f>IFERROR(__xludf.DUMMYFUNCTION("""COMPUTED_VALUE"""),"BLK 11 LOT 31")</f>
        <v>BLK 11 LOT 31</v>
      </c>
      <c r="M600" s="1" t="str">
        <f>IFERROR(__xludf.DUMMYFUNCTION("""COMPUTED_VALUE"""),"PHASE  3")</f>
        <v>PHASE  3</v>
      </c>
      <c r="N600" s="1" t="str">
        <f>IFERROR(__xludf.DUMMYFUNCTION("""COMPUTED_VALUE"""),"MABUHAY HOMES 2000")</f>
        <v>MABUHAY HOMES 2000</v>
      </c>
      <c r="O600" s="1" t="str">
        <f>IFERROR(__xludf.DUMMYFUNCTION("""COMPUTED_VALUE"""),"DASLPB98NP4 DASLP318NP1 DASLP117NP8 DASLPE33NP3")</f>
        <v>DASLPB98NP4 DASLP318NP1 DASLP117NP8 DASLPE33NP3</v>
      </c>
      <c r="P600" s="1" t="str">
        <f>IFERROR(__xludf.DUMMYFUNCTION("""COMPUTED_VALUE"""),"14.306215 120.988002")</f>
        <v>14.306215 120.988002</v>
      </c>
      <c r="Q600" s="1" t="str">
        <f>IFERROR(__xludf.DUMMYFUNCTION("""COMPUTED_VALUE"""),"PALIPARAN II")</f>
        <v>PALIPARAN II</v>
      </c>
      <c r="R600" s="1" t="str">
        <f>IFERROR(__xludf.DUMMYFUNCTION("""COMPUTED_VALUE"""),"DASMARINAS")</f>
        <v>DASMARINAS</v>
      </c>
      <c r="S600" s="1" t="str">
        <f>IFERROR(__xludf.DUMMYFUNCTION("""COMPUTED_VALUE"""),"FIBR PLAN 1399")</f>
        <v>FIBR PLAN 1399</v>
      </c>
      <c r="T600" s="1" t="str">
        <f>IFERROR(__xludf.DUMMYFUNCTION("""COMPUTED_VALUE"""),"APPROVED")</f>
        <v>APPROVED</v>
      </c>
      <c r="U600" s="1"/>
      <c r="V600" s="1"/>
      <c r="W600" s="1"/>
    </row>
    <row r="601" customHeight="1" spans="1:23">
      <c r="A601" s="3">
        <f>IFERROR(__xludf.DUMMYFUNCTION("""COMPUTED_VALUE"""),46080)</f>
        <v>46080</v>
      </c>
      <c r="B601" s="1" t="str">
        <f>IFERROR(__xludf.DUMMYFUNCTION("""COMPUTED_VALUE"""),"DE VERA, MARIVIC")</f>
        <v>DE VERA, MARIVIC</v>
      </c>
      <c r="C601" s="1" t="str">
        <f>IFERROR(__xludf.DUMMYFUNCTION("""COMPUTED_VALUE"""),"ORGANIC")</f>
        <v>ORGANIC</v>
      </c>
      <c r="D601" s="1" t="str">
        <f>IFERROR(__xludf.DUMMYFUNCTION("""COMPUTED_VALUE"""),"ALINGARO, CINDY")</f>
        <v>ALINGARO, CINDY</v>
      </c>
      <c r="E601" s="1" t="str">
        <f>IFERROR(__xludf.DUMMYFUNCTION("""COMPUTED_VALUE"""),"PLDT")</f>
        <v>PLDT</v>
      </c>
      <c r="F601" s="1">
        <f>IFERROR(__xludf.DUMMYFUNCTION("""COMPUTED_VALUE"""),2307306680)</f>
        <v>2307306680</v>
      </c>
      <c r="G601" s="1"/>
      <c r="H601" s="1" t="str">
        <f>IFERROR(__xludf.DUMMYFUNCTION("""COMPUTED_VALUE"""),"SUNDAY ORNEL BONINA")</f>
        <v>SUNDAY ORNEL BONINA</v>
      </c>
      <c r="I601" s="1">
        <f>IFERROR(__xludf.DUMMYFUNCTION("""COMPUTED_VALUE"""),9366586047)</f>
        <v>9366586047</v>
      </c>
      <c r="J601" s="1">
        <f>IFERROR(__xludf.DUMMYFUNCTION("""COMPUTED_VALUE"""),9362912340)</f>
        <v>9362912340</v>
      </c>
      <c r="K601" s="1" t="str">
        <f>IFERROR(__xludf.DUMMYFUNCTION("""COMPUTED_VALUE"""),"BONINASUNDAY1@GMAIL.COM")</f>
        <v>BONINASUNDAY1@GMAIL.COM</v>
      </c>
      <c r="L601" s="1" t="str">
        <f>IFERROR(__xludf.DUMMYFUNCTION("""COMPUTED_VALUE"""),"2")</f>
        <v>2</v>
      </c>
      <c r="M601" s="1" t="str">
        <f>IFERROR(__xludf.DUMMYFUNCTION("""COMPUTED_VALUE"""),"KANLURAN")</f>
        <v>KANLURAN</v>
      </c>
      <c r="N601" s="1"/>
      <c r="O601" s="1" t="str">
        <f>IFERROR(__xludf.DUMMYFUNCTION("""COMPUTED_VALUE"""),"SILLP77NP1/8 SILLP630NP1/2/3/4/5")</f>
        <v>SILLP77NP1/8 SILLP630NP1/2/3/4/5</v>
      </c>
      <c r="P601" s="1" t="str">
        <f>IFERROR(__xludf.DUMMYFUNCTION("""COMPUTED_VALUE"""),"14.226155 120.999071")</f>
        <v>14.226155 120.999071</v>
      </c>
      <c r="Q601" s="1" t="str">
        <f>IFERROR(__xludf.DUMMYFUNCTION("""COMPUTED_VALUE"""),"TIBIG")</f>
        <v>TIBIG</v>
      </c>
      <c r="R601" s="1" t="str">
        <f>IFERROR(__xludf.DUMMYFUNCTION("""COMPUTED_VALUE"""),"SILANG")</f>
        <v>SILANG</v>
      </c>
      <c r="S601" s="1" t="str">
        <f>IFERROR(__xludf.DUMMYFUNCTION("""COMPUTED_VALUE"""),"PREPAID 999")</f>
        <v>PREPAID 999</v>
      </c>
      <c r="T601" s="1" t="str">
        <f>IFERROR(__xludf.DUMMYFUNCTION("""COMPUTED_VALUE"""),"APPROVED")</f>
        <v>APPROVED</v>
      </c>
      <c r="U601" s="1"/>
      <c r="V601" s="1"/>
      <c r="W601" s="1"/>
    </row>
    <row r="602" customHeight="1" spans="1:23">
      <c r="A602" s="3">
        <f>IFERROR(__xludf.DUMMYFUNCTION("""COMPUTED_VALUE"""),46080)</f>
        <v>46080</v>
      </c>
      <c r="B602" s="1" t="str">
        <f>IFERROR(__xludf.DUMMYFUNCTION("""COMPUTED_VALUE"""),"ABGAO, LEO TAGANNA")</f>
        <v>ABGAO, LEO TAGANNA</v>
      </c>
      <c r="C602" s="1" t="str">
        <f>IFERROR(__xludf.DUMMYFUNCTION("""COMPUTED_VALUE"""),"ORGANIC")</f>
        <v>ORGANIC</v>
      </c>
      <c r="D602" s="1" t="str">
        <f>IFERROR(__xludf.DUMMYFUNCTION("""COMPUTED_VALUE"""),"ALOS, CHARLS")</f>
        <v>ALOS, CHARLS</v>
      </c>
      <c r="E602" s="1" t="str">
        <f>IFERROR(__xludf.DUMMYFUNCTION("""COMPUTED_VALUE"""),"RED FIBER")</f>
        <v>RED FIBER</v>
      </c>
      <c r="F602" s="1"/>
      <c r="G602" s="1"/>
      <c r="H602" s="1" t="str">
        <f>IFERROR(__xludf.DUMMYFUNCTION("""COMPUTED_VALUE"""),"CHARLIE URGELLES RDRIQUEZ")</f>
        <v>CHARLIE URGELLES RDRIQUEZ</v>
      </c>
      <c r="I602" s="1">
        <f>IFERROR(__xludf.DUMMYFUNCTION("""COMPUTED_VALUE"""),9051989636)</f>
        <v>9051989636</v>
      </c>
      <c r="J602" s="1"/>
      <c r="K602" s="1" t="str">
        <f>IFERROR(__xludf.DUMMYFUNCTION("""COMPUTED_VALUE"""),"CINEMAXPROMAE@GMAIL.COM")</f>
        <v>CINEMAXPROMAE@GMAIL.COM</v>
      </c>
      <c r="L602" s="1" t="str">
        <f>IFERROR(__xludf.DUMMYFUNCTION("""COMPUTED_VALUE"""),"1602")</f>
        <v>1602</v>
      </c>
      <c r="M602" s="1" t="str">
        <f>IFERROR(__xludf.DUMMYFUNCTION("""COMPUTED_VALUE"""),"PUROK 150")</f>
        <v>PUROK 150</v>
      </c>
      <c r="N602" s="1"/>
      <c r="O602" s="1" t="str">
        <f>IFERROR(__xludf.DUMMYFUNCTION("""COMPUTED_VALUE"""),"CVT2LCP53NP4")</f>
        <v>CVT2LCP53NP4</v>
      </c>
      <c r="P602" s="1" t="str">
        <f>IFERROR(__xludf.DUMMYFUNCTION("""COMPUTED_VALUE"""),"14.114315 120.917168")</f>
        <v>14.114315 120.917168</v>
      </c>
      <c r="Q602" s="1" t="str">
        <f>IFERROR(__xludf.DUMMYFUNCTION("""COMPUTED_VALUE"""),"PATUTONG MALAKI NORTH")</f>
        <v>PATUTONG MALAKI NORTH</v>
      </c>
      <c r="R602" s="1" t="str">
        <f>IFERROR(__xludf.DUMMYFUNCTION("""COMPUTED_VALUE"""),"TAGAYTAY")</f>
        <v>TAGAYTAY</v>
      </c>
      <c r="S602" s="1" t="str">
        <f>IFERROR(__xludf.DUMMYFUNCTION("""COMPUTED_VALUE"""),"RED FIBER PLAN 1000")</f>
        <v>RED FIBER PLAN 1000</v>
      </c>
      <c r="T602" s="1" t="str">
        <f>IFERROR(__xludf.DUMMYFUNCTION("""COMPUTED_VALUE"""),"APPROVED")</f>
        <v>APPROVED</v>
      </c>
      <c r="U602" s="1"/>
      <c r="V602" s="1"/>
      <c r="W602" s="1"/>
    </row>
    <row r="603" customHeight="1" spans="1:23">
      <c r="A603" s="3">
        <f>IFERROR(__xludf.DUMMYFUNCTION("""COMPUTED_VALUE"""),46080)</f>
        <v>46080</v>
      </c>
      <c r="B603" s="1" t="str">
        <f>IFERROR(__xludf.DUMMYFUNCTION("""COMPUTED_VALUE"""),"MCNULTY KRYSTEL")</f>
        <v>MCNULTY KRYSTEL</v>
      </c>
      <c r="C603" s="1" t="str">
        <f>IFERROR(__xludf.DUMMYFUNCTION("""COMPUTED_VALUE"""),"ORGANIC")</f>
        <v>ORGANIC</v>
      </c>
      <c r="D603" s="1" t="str">
        <f>IFERROR(__xludf.DUMMYFUNCTION("""COMPUTED_VALUE"""),"ALINGARO, CINDY")</f>
        <v>ALINGARO, CINDY</v>
      </c>
      <c r="E603" s="1" t="str">
        <f>IFERROR(__xludf.DUMMYFUNCTION("""COMPUTED_VALUE"""),"PLDT")</f>
        <v>PLDT</v>
      </c>
      <c r="F603" s="1">
        <f>IFERROR(__xludf.DUMMYFUNCTION("""COMPUTED_VALUE"""),2307310351)</f>
        <v>2307310351</v>
      </c>
      <c r="G603" s="1"/>
      <c r="H603" s="1" t="str">
        <f>IFERROR(__xludf.DUMMYFUNCTION("""COMPUTED_VALUE"""),"BERNADETH BANIFACIO YAGO")</f>
        <v>BERNADETH BANIFACIO YAGO</v>
      </c>
      <c r="I603" s="1">
        <f>IFERROR(__xludf.DUMMYFUNCTION("""COMPUTED_VALUE"""),9063241580)</f>
        <v>9063241580</v>
      </c>
      <c r="J603" s="1"/>
      <c r="K603" s="1" t="str">
        <f>IFERROR(__xludf.DUMMYFUNCTION("""COMPUTED_VALUE"""),"BERNADETHYAGO04@GMAIL.COM")</f>
        <v>BERNADETHYAGO04@GMAIL.COM</v>
      </c>
      <c r="L603" s="1" t="str">
        <f>IFERROR(__xludf.DUMMYFUNCTION("""COMPUTED_VALUE"""),"BLK 197 LOT 3")</f>
        <v>BLK 197 LOT 3</v>
      </c>
      <c r="M603" s="1" t="str">
        <f>IFERROR(__xludf.DUMMYFUNCTION("""COMPUTED_VALUE"""),"ZONE 4")</f>
        <v>ZONE 4</v>
      </c>
      <c r="N603" s="1" t="str">
        <f>IFERROR(__xludf.DUMMYFUNCTION("""COMPUTED_VALUE"""),"AFP HOUSING")</f>
        <v>AFP HOUSING</v>
      </c>
      <c r="O603" s="1" t="str">
        <f>IFERROR(__xludf.DUMMYFUNCTION("""COMPUTED_VALUE"""),"SILLP331NP2")</f>
        <v>SILLP331NP2</v>
      </c>
      <c r="P603" s="1" t="str">
        <f>IFERROR(__xludf.DUMMYFUNCTION("""COMPUTED_VALUE"""),"14.276605 120.995522")</f>
        <v>14.276605 120.995522</v>
      </c>
      <c r="Q603" s="1" t="str">
        <f>IFERROR(__xludf.DUMMYFUNCTION("""COMPUTED_VALUE"""),"BULIHAN")</f>
        <v>BULIHAN</v>
      </c>
      <c r="R603" s="1" t="str">
        <f>IFERROR(__xludf.DUMMYFUNCTION("""COMPUTED_VALUE"""),"SILANG")</f>
        <v>SILANG</v>
      </c>
      <c r="S603" s="1" t="str">
        <f>IFERROR(__xludf.DUMMYFUNCTION("""COMPUTED_VALUE"""),"FIBR PLAN 999 W/ CIGNAL")</f>
        <v>FIBR PLAN 999 W/ CIGNAL</v>
      </c>
      <c r="T603" s="1" t="str">
        <f>IFERROR(__xludf.DUMMYFUNCTION("""COMPUTED_VALUE"""),"APPROVED")</f>
        <v>APPROVED</v>
      </c>
      <c r="U603" s="1"/>
      <c r="V603" s="1"/>
      <c r="W603" s="1"/>
    </row>
    <row r="604" customHeight="1" spans="1:23">
      <c r="A604" s="3">
        <f>IFERROR(__xludf.DUMMYFUNCTION("""COMPUTED_VALUE"""),46080)</f>
        <v>46080</v>
      </c>
      <c r="B604" s="1" t="str">
        <f>IFERROR(__xludf.DUMMYFUNCTION("""COMPUTED_VALUE"""),"FARO, REFRANTA")</f>
        <v>FARO, REFRANTA</v>
      </c>
      <c r="C604" s="1" t="str">
        <f>IFERROR(__xludf.DUMMYFUNCTION("""COMPUTED_VALUE"""),"ORGANIC")</f>
        <v>ORGANIC</v>
      </c>
      <c r="D604" s="1" t="str">
        <f>IFERROR(__xludf.DUMMYFUNCTION("""COMPUTED_VALUE"""),"ALINGARO, CINDY")</f>
        <v>ALINGARO, CINDY</v>
      </c>
      <c r="E604" s="1" t="str">
        <f>IFERROR(__xludf.DUMMYFUNCTION("""COMPUTED_VALUE"""),"PLDT")</f>
        <v>PLDT</v>
      </c>
      <c r="F604" s="1">
        <f>IFERROR(__xludf.DUMMYFUNCTION("""COMPUTED_VALUE"""),2307311033)</f>
        <v>2307311033</v>
      </c>
      <c r="G604" s="1"/>
      <c r="H604" s="1" t="str">
        <f>IFERROR(__xludf.DUMMYFUNCTION("""COMPUTED_VALUE"""),"MONICA BATINGAL MANGAOIL")</f>
        <v>MONICA BATINGAL MANGAOIL</v>
      </c>
      <c r="I604" s="1">
        <f>IFERROR(__xludf.DUMMYFUNCTION("""COMPUTED_VALUE"""),9368130442)</f>
        <v>9368130442</v>
      </c>
      <c r="J604" s="1">
        <f>IFERROR(__xludf.DUMMYFUNCTION("""COMPUTED_VALUE"""),9668473620)</f>
        <v>9668473620</v>
      </c>
      <c r="K604" s="1" t="str">
        <f>IFERROR(__xludf.DUMMYFUNCTION("""COMPUTED_VALUE"""),"BATINGALMONICA0916@GMAIL.COM")</f>
        <v>BATINGALMONICA0916@GMAIL.COM</v>
      </c>
      <c r="L604" s="1" t="str">
        <f>IFERROR(__xludf.DUMMYFUNCTION("""COMPUTED_VALUE"""),"BLK 25 LOT 17")</f>
        <v>BLK 25 LOT 17</v>
      </c>
      <c r="M604" s="1" t="str">
        <f>IFERROR(__xludf.DUMMYFUNCTION("""COMPUTED_VALUE"""),"NARRA")</f>
        <v>NARRA</v>
      </c>
      <c r="N604" s="1"/>
      <c r="O604" s="1" t="str">
        <f>IFERROR(__xludf.DUMMYFUNCTION("""COMPUTED_VALUE"""),"SILLP492NP1")</f>
        <v>SILLP492NP1</v>
      </c>
      <c r="P604" s="1" t="str">
        <f>IFERROR(__xludf.DUMMYFUNCTION("""COMPUTED_VALUE"""),"14.277914 120994044")</f>
        <v>14.277914 120994044</v>
      </c>
      <c r="Q604" s="1" t="str">
        <f>IFERROR(__xludf.DUMMYFUNCTION("""COMPUTED_VALUE"""),"NARRA I")</f>
        <v>NARRA I</v>
      </c>
      <c r="R604" s="1" t="str">
        <f>IFERROR(__xludf.DUMMYFUNCTION("""COMPUTED_VALUE"""),"SILANG")</f>
        <v>SILANG</v>
      </c>
      <c r="S604" s="1" t="str">
        <f>IFERROR(__xludf.DUMMYFUNCTION("""COMPUTED_VALUE"""),"FIBR PLAN 1399")</f>
        <v>FIBR PLAN 1399</v>
      </c>
      <c r="T604" s="1" t="str">
        <f>IFERROR(__xludf.DUMMYFUNCTION("""COMPUTED_VALUE"""),"APPROVED")</f>
        <v>APPROVED</v>
      </c>
      <c r="U604" s="1"/>
      <c r="V604" s="1"/>
      <c r="W604" s="1"/>
    </row>
    <row r="605" customHeight="1" spans="1:23">
      <c r="A605" s="3">
        <f>IFERROR(__xludf.DUMMYFUNCTION("""COMPUTED_VALUE"""),46080)</f>
        <v>46080</v>
      </c>
      <c r="B605" s="1" t="str">
        <f>IFERROR(__xludf.DUMMYFUNCTION("""COMPUTED_VALUE"""),"DE LEON, MERLY")</f>
        <v>DE LEON, MERLY</v>
      </c>
      <c r="C605" s="1" t="str">
        <f>IFERROR(__xludf.DUMMYFUNCTION("""COMPUTED_VALUE"""),"ORGANIC")</f>
        <v>ORGANIC</v>
      </c>
      <c r="D605" s="1" t="str">
        <f>IFERROR(__xludf.DUMMYFUNCTION("""COMPUTED_VALUE"""),"ALINGARO, CINDY")</f>
        <v>ALINGARO, CINDY</v>
      </c>
      <c r="E605" s="1" t="str">
        <f>IFERROR(__xludf.DUMMYFUNCTION("""COMPUTED_VALUE"""),"PLDT")</f>
        <v>PLDT</v>
      </c>
      <c r="F605" s="1">
        <f>IFERROR(__xludf.DUMMYFUNCTION("""COMPUTED_VALUE"""),2307312140)</f>
        <v>2307312140</v>
      </c>
      <c r="G605" s="1"/>
      <c r="H605" s="1" t="str">
        <f>IFERROR(__xludf.DUMMYFUNCTION("""COMPUTED_VALUE"""),"HANNAH JANE LEGACION MOQUIA")</f>
        <v>HANNAH JANE LEGACION MOQUIA</v>
      </c>
      <c r="I605" s="1">
        <f>IFERROR(__xludf.DUMMYFUNCTION("""COMPUTED_VALUE"""),9385651834)</f>
        <v>9385651834</v>
      </c>
      <c r="J605" s="1">
        <f>IFERROR(__xludf.DUMMYFUNCTION("""COMPUTED_VALUE"""),9703930075)</f>
        <v>9703930075</v>
      </c>
      <c r="K605" s="1" t="str">
        <f>IFERROR(__xludf.DUMMYFUNCTION("""COMPUTED_VALUE"""),"MOQUIAJOHNAARON@GMAIL.COM")</f>
        <v>MOQUIAJOHNAARON@GMAIL.COM</v>
      </c>
      <c r="L605" s="1" t="str">
        <f>IFERROR(__xludf.DUMMYFUNCTION("""COMPUTED_VALUE"""),"159")</f>
        <v>159</v>
      </c>
      <c r="M605" s="1" t="str">
        <f>IFERROR(__xludf.DUMMYFUNCTION("""COMPUTED_VALUE"""),"AKILA ST")</f>
        <v>AKILA ST</v>
      </c>
      <c r="N605" s="1"/>
      <c r="O605" s="1" t="str">
        <f>IFERROR(__xludf.DUMMYFUNCTION("""COMPUTED_VALUE"""),"GMZLP133NP2/3/4 GMZLP134NP2")</f>
        <v>GMZLP133NP2/3/4 GMZLP134NP2</v>
      </c>
      <c r="P605" s="1" t="str">
        <f>IFERROR(__xludf.DUMMYFUNCTION("""COMPUTED_VALUE"""),"14.312920 121.020680")</f>
        <v>14.312920 121.020680</v>
      </c>
      <c r="Q605" s="1" t="str">
        <f>IFERROR(__xludf.DUMMYFUNCTION("""COMPUTED_VALUE"""),"MACARIO DACON")</f>
        <v>MACARIO DACON</v>
      </c>
      <c r="R605" s="1" t="str">
        <f>IFERROR(__xludf.DUMMYFUNCTION("""COMPUTED_VALUE"""),"GEN MARIANO ALVAREZ")</f>
        <v>GEN MARIANO ALVAREZ</v>
      </c>
      <c r="S605" s="1" t="str">
        <f>IFERROR(__xludf.DUMMYFUNCTION("""COMPUTED_VALUE"""),"FIBR PLAN 1399")</f>
        <v>FIBR PLAN 1399</v>
      </c>
      <c r="T605" s="1" t="str">
        <f>IFERROR(__xludf.DUMMYFUNCTION("""COMPUTED_VALUE"""),"APPROVED")</f>
        <v>APPROVED</v>
      </c>
      <c r="U605" s="1"/>
      <c r="V605" s="1"/>
      <c r="W605" s="1"/>
    </row>
    <row r="606" customHeight="1" spans="1:23">
      <c r="A606" s="3">
        <f>IFERROR(__xludf.DUMMYFUNCTION("""COMPUTED_VALUE"""),46080)</f>
        <v>46080</v>
      </c>
      <c r="B606" s="1" t="str">
        <f>IFERROR(__xludf.DUMMYFUNCTION("""COMPUTED_VALUE"""),"DE VERA, MARIVIC")</f>
        <v>DE VERA, MARIVIC</v>
      </c>
      <c r="C606" s="1" t="str">
        <f>IFERROR(__xludf.DUMMYFUNCTION("""COMPUTED_VALUE"""),"ORGANIC")</f>
        <v>ORGANIC</v>
      </c>
      <c r="D606" s="1" t="str">
        <f>IFERROR(__xludf.DUMMYFUNCTION("""COMPUTED_VALUE"""),"ALINGARO, CINDY")</f>
        <v>ALINGARO, CINDY</v>
      </c>
      <c r="E606" s="1" t="str">
        <f>IFERROR(__xludf.DUMMYFUNCTION("""COMPUTED_VALUE"""),"PLDT")</f>
        <v>PLDT</v>
      </c>
      <c r="F606" s="1">
        <f>IFERROR(__xludf.DUMMYFUNCTION("""COMPUTED_VALUE"""),2307315265)</f>
        <v>2307315265</v>
      </c>
      <c r="G606" s="1"/>
      <c r="H606" s="1" t="str">
        <f>IFERROR(__xludf.DUMMYFUNCTION("""COMPUTED_VALUE"""),"MARK HOMER GATMAITAN AUSTRIA")</f>
        <v>MARK HOMER GATMAITAN AUSTRIA</v>
      </c>
      <c r="I606" s="1">
        <f>IFERROR(__xludf.DUMMYFUNCTION("""COMPUTED_VALUE"""),9165323219)</f>
        <v>9165323219</v>
      </c>
      <c r="J606" s="1"/>
      <c r="K606" s="1" t="str">
        <f>IFERROR(__xludf.DUMMYFUNCTION("""COMPUTED_VALUE"""),"AUSTRIAMARKHOMER@GAIL.COM")</f>
        <v>AUSTRIAMARKHOMER@GAIL.COM</v>
      </c>
      <c r="L606" s="1" t="str">
        <f>IFERROR(__xludf.DUMMYFUNCTION("""COMPUTED_VALUE"""),"1")</f>
        <v>1</v>
      </c>
      <c r="M606" s="1" t="str">
        <f>IFERROR(__xludf.DUMMYFUNCTION("""COMPUTED_VALUE"""),"BAHAYANG ")</f>
        <v>BAHAYANG </v>
      </c>
      <c r="N606" s="1"/>
      <c r="O606" s="1" t="str">
        <f>IFERROR(__xludf.DUMMYFUNCTION("""COMPUTED_VALUE"""),"SILLP639NP3 SILLP569NP1/3/4/6/7/8")</f>
        <v>SILLP639NP3 SILLP569NP1/3/4/6/7/8</v>
      </c>
      <c r="P606" s="1" t="str">
        <f>IFERROR(__xludf.DUMMYFUNCTION("""COMPUTED_VALUE"""),"14.244386 120.996594")</f>
        <v>14.244386 120.996594</v>
      </c>
      <c r="Q606" s="1" t="str">
        <f>IFERROR(__xludf.DUMMYFUNCTION("""COMPUTED_VALUE"""),"KAONG")</f>
        <v>KAONG</v>
      </c>
      <c r="R606" s="1" t="str">
        <f>IFERROR(__xludf.DUMMYFUNCTION("""COMPUTED_VALUE"""),"SILANG")</f>
        <v>SILANG</v>
      </c>
      <c r="S606" s="1" t="str">
        <f>IFERROR(__xludf.DUMMYFUNCTION("""COMPUTED_VALUE"""),"FIBR PLAN 1399")</f>
        <v>FIBR PLAN 1399</v>
      </c>
      <c r="T606" s="1" t="str">
        <f>IFERROR(__xludf.DUMMYFUNCTION("""COMPUTED_VALUE"""),"APPROVED")</f>
        <v>APPROVED</v>
      </c>
      <c r="U606" s="1"/>
      <c r="V606" s="1"/>
      <c r="W606" s="1"/>
    </row>
    <row r="607" customHeight="1" spans="1:23">
      <c r="A607" s="3">
        <f>IFERROR(__xludf.DUMMYFUNCTION("""COMPUTED_VALUE"""),46080)</f>
        <v>46080</v>
      </c>
      <c r="B607" s="1" t="str">
        <f>IFERROR(__xludf.DUMMYFUNCTION("""COMPUTED_VALUE"""),"VILLANAS , EVANGELINE")</f>
        <v>VILLANAS , EVANGELINE</v>
      </c>
      <c r="C607" s="1" t="str">
        <f>IFERROR(__xludf.DUMMYFUNCTION("""COMPUTED_VALUE"""),"ORGANIC")</f>
        <v>ORGANIC</v>
      </c>
      <c r="D607" s="1" t="str">
        <f>IFERROR(__xludf.DUMMYFUNCTION("""COMPUTED_VALUE"""),"ALINGARO, CINDY")</f>
        <v>ALINGARO, CINDY</v>
      </c>
      <c r="E607" s="1" t="str">
        <f>IFERROR(__xludf.DUMMYFUNCTION("""COMPUTED_VALUE"""),"PLDT")</f>
        <v>PLDT</v>
      </c>
      <c r="F607" s="1"/>
      <c r="G607" s="1"/>
      <c r="H607" s="1" t="str">
        <f>IFERROR(__xludf.DUMMYFUNCTION("""COMPUTED_VALUE"""),"CYRON CARL LORENZO CALVENTOS")</f>
        <v>CYRON CARL LORENZO CALVENTOS</v>
      </c>
      <c r="I607" s="1">
        <f>IFERROR(__xludf.DUMMYFUNCTION("""COMPUTED_VALUE"""),9954322372)</f>
        <v>9954322372</v>
      </c>
      <c r="J607" s="1"/>
      <c r="K607" s="1" t="str">
        <f>IFERROR(__xludf.DUMMYFUNCTION("""COMPUTED_VALUE"""),"CYRONCERVANTOS@GMAIL.COM")</f>
        <v>CYRONCERVANTOS@GMAIL.COM</v>
      </c>
      <c r="L607" s="1" t="str">
        <f>IFERROR(__xludf.DUMMYFUNCTION("""COMPUTED_VALUE"""),"BLK 31")</f>
        <v>BLK 31</v>
      </c>
      <c r="M607" s="1" t="str">
        <f>IFERROR(__xludf.DUMMYFUNCTION("""COMPUTED_VALUE"""),"EXCESS LOT")</f>
        <v>EXCESS LOT</v>
      </c>
      <c r="N607" s="1"/>
      <c r="O607" s="1" t="str">
        <f>IFERROR(__xludf.DUMMYFUNCTION("""COMPUTED_VALUE"""),"SILLP520NP5")</f>
        <v>SILLP520NP5</v>
      </c>
      <c r="P607" s="1" t="str">
        <f>IFERROR(__xludf.DUMMYFUNCTION("""COMPUTED_VALUE"""),"14.280274 120.994967")</f>
        <v>14.280274 120.994967</v>
      </c>
      <c r="Q607" s="1" t="str">
        <f>IFERROR(__xludf.DUMMYFUNCTION("""COMPUTED_VALUE"""),"NARRA I")</f>
        <v>NARRA I</v>
      </c>
      <c r="R607" s="1" t="str">
        <f>IFERROR(__xludf.DUMMYFUNCTION("""COMPUTED_VALUE"""),"SILANG")</f>
        <v>SILANG</v>
      </c>
      <c r="S607" s="1" t="str">
        <f>IFERROR(__xludf.DUMMYFUNCTION("""COMPUTED_VALUE"""),"PREPAID 999")</f>
        <v>PREPAID 999</v>
      </c>
      <c r="T607" s="1" t="str">
        <f>IFERROR(__xludf.DUMMYFUNCTION("""COMPUTED_VALUE"""),"HOLD")</f>
        <v>HOLD</v>
      </c>
      <c r="U607" s="1" t="str">
        <f>IFERROR(__xludf.DUMMYFUNCTION("""COMPUTED_VALUE"""),"undecided pa si subs")</f>
        <v>undecided pa si subs</v>
      </c>
      <c r="V607" s="1"/>
      <c r="W607" s="1"/>
    </row>
    <row r="608" customHeight="1" spans="1:23">
      <c r="A608" s="3">
        <f>IFERROR(__xludf.DUMMYFUNCTION("""COMPUTED_VALUE"""),46080)</f>
        <v>46080</v>
      </c>
      <c r="B608" s="1" t="str">
        <f>IFERROR(__xludf.DUMMYFUNCTION("""COMPUTED_VALUE"""),"CABRERA JILLIENE")</f>
        <v>CABRERA JILLIENE</v>
      </c>
      <c r="C608" s="1" t="str">
        <f>IFERROR(__xludf.DUMMYFUNCTION("""COMPUTED_VALUE"""),"ORGANIC")</f>
        <v>ORGANIC</v>
      </c>
      <c r="D608" s="1" t="str">
        <f>IFERROR(__xludf.DUMMYFUNCTION("""COMPUTED_VALUE"""),"ALOS, CHARLS")</f>
        <v>ALOS, CHARLS</v>
      </c>
      <c r="E608" s="1" t="str">
        <f>IFERROR(__xludf.DUMMYFUNCTION("""COMPUTED_VALUE"""),"PLDT")</f>
        <v>PLDT</v>
      </c>
      <c r="F608" s="1">
        <f>IFERROR(__xludf.DUMMYFUNCTION("""COMPUTED_VALUE"""),2307317386)</f>
        <v>2307317386</v>
      </c>
      <c r="G608" s="1"/>
      <c r="H608" s="1" t="str">
        <f>IFERROR(__xludf.DUMMYFUNCTION("""COMPUTED_VALUE"""),"ANGEL SISMUNDO TUMBANG ")</f>
        <v>ANGEL SISMUNDO TUMBANG </v>
      </c>
      <c r="I608" s="1">
        <f>IFERROR(__xludf.DUMMYFUNCTION("""COMPUTED_VALUE"""),9660059129)</f>
        <v>9660059129</v>
      </c>
      <c r="J608" s="1"/>
      <c r="K608" s="1" t="str">
        <f>IFERROR(__xludf.DUMMYFUNCTION("""COMPUTED_VALUE"""),"RODELOCON@GMAIL.COM")</f>
        <v>RODELOCON@GMAIL.COM</v>
      </c>
      <c r="L608" s="1" t="str">
        <f>IFERROR(__xludf.DUMMYFUNCTION("""COMPUTED_VALUE"""),"BLK 39 LOT 10")</f>
        <v>BLK 39 LOT 10</v>
      </c>
      <c r="M608" s="1" t="str">
        <f>IFERROR(__xludf.DUMMYFUNCTION("""COMPUTED_VALUE"""),"BANABA RD")</f>
        <v>BANABA RD</v>
      </c>
      <c r="N608" s="1"/>
      <c r="O608" s="1" t="str">
        <f>IFERROR(__xludf.DUMMYFUNCTION("""COMPUTED_VALUE"""),"SILLP307NP4 SILLP306NP3")</f>
        <v>SILLP307NP4 SILLP306NP3</v>
      </c>
      <c r="P608" s="1" t="str">
        <f>IFERROR(__xludf.DUMMYFUNCTION("""COMPUTED_VALUE"""),"14.281328 120.99326")</f>
        <v>14.281328 120.99326</v>
      </c>
      <c r="Q608" s="1" t="str">
        <f>IFERROR(__xludf.DUMMYFUNCTION("""COMPUTED_VALUE"""),"BANABA")</f>
        <v>BANABA</v>
      </c>
      <c r="R608" s="1" t="str">
        <f>IFERROR(__xludf.DUMMYFUNCTION("""COMPUTED_VALUE"""),"SILANG")</f>
        <v>SILANG</v>
      </c>
      <c r="S608" s="1" t="str">
        <f>IFERROR(__xludf.DUMMYFUNCTION("""COMPUTED_VALUE"""),"FIBR PLAN 1399")</f>
        <v>FIBR PLAN 1399</v>
      </c>
      <c r="T608" s="1" t="str">
        <f>IFERROR(__xludf.DUMMYFUNCTION("""COMPUTED_VALUE"""),"APPROVED")</f>
        <v>APPROVED</v>
      </c>
      <c r="U608" s="1"/>
      <c r="V608" s="1"/>
      <c r="W608" s="1"/>
    </row>
    <row r="609" customHeight="1" spans="1:23">
      <c r="A609" s="3">
        <f>IFERROR(__xludf.DUMMYFUNCTION("""COMPUTED_VALUE"""),46080)</f>
        <v>46080</v>
      </c>
      <c r="B609" s="1" t="str">
        <f>IFERROR(__xludf.DUMMYFUNCTION("""COMPUTED_VALUE"""),"MALIWAT MARK ELVIN")</f>
        <v>MALIWAT MARK ELVIN</v>
      </c>
      <c r="C609" s="1" t="str">
        <f>IFERROR(__xludf.DUMMYFUNCTION("""COMPUTED_VALUE"""),"FLA")</f>
        <v>FLA</v>
      </c>
      <c r="D609" s="1" t="str">
        <f>IFERROR(__xludf.DUMMYFUNCTION("""COMPUTED_VALUE"""),"JERIC NAVARRO")</f>
        <v>JERIC NAVARRO</v>
      </c>
      <c r="E609" s="1" t="str">
        <f>IFERROR(__xludf.DUMMYFUNCTION("""COMPUTED_VALUE"""),"PLDT")</f>
        <v>PLDT</v>
      </c>
      <c r="F609" s="1">
        <f>IFERROR(__xludf.DUMMYFUNCTION("""COMPUTED_VALUE"""),2307318017)</f>
        <v>2307318017</v>
      </c>
      <c r="G609" s="1"/>
      <c r="H609" s="1" t="str">
        <f>IFERROR(__xludf.DUMMYFUNCTION("""COMPUTED_VALUE"""),"KAYE CELYNNE VILLAMOR BARBA")</f>
        <v>KAYE CELYNNE VILLAMOR BARBA</v>
      </c>
      <c r="I609" s="1">
        <f>IFERROR(__xludf.DUMMYFUNCTION("""COMPUTED_VALUE"""),9951057489)</f>
        <v>9951057489</v>
      </c>
      <c r="J609" s="1">
        <f>IFERROR(__xludf.DUMMYFUNCTION("""COMPUTED_VALUE"""),9227906159)</f>
        <v>9227906159</v>
      </c>
      <c r="K609" s="1" t="str">
        <f>IFERROR(__xludf.DUMMYFUNCTION("""COMPUTED_VALUE"""),"KAYECIEBARBA.24@GMAIL.COM")</f>
        <v>KAYECIEBARBA.24@GMAIL.COM</v>
      </c>
      <c r="L609" s="1" t="str">
        <f>IFERROR(__xludf.DUMMYFUNCTION("""COMPUTED_VALUE"""),"BLK D6 LOT 3")</f>
        <v>BLK D6 LOT 3</v>
      </c>
      <c r="M609" s="1" t="str">
        <f>IFERROR(__xludf.DUMMYFUNCTION("""COMPUTED_VALUE"""),"SAN ANDRES RD")</f>
        <v>SAN ANDRES RD</v>
      </c>
      <c r="N609" s="1"/>
      <c r="O609" s="1" t="str">
        <f>IFERROR(__xludf.DUMMYFUNCTION("""COMPUTED_VALUE"""),"DASLPC82NP1NP2NP5NP6NP7NP8 ")</f>
        <v>DASLPC82NP1NP2NP5NP6NP7NP8 </v>
      </c>
      <c r="P609" s="1"/>
      <c r="Q609" s="1" t="str">
        <f>IFERROR(__xludf.DUMMYFUNCTION("""COMPUTED_VALUE"""),"SAN ANDRES II")</f>
        <v>SAN ANDRES II</v>
      </c>
      <c r="R609" s="1" t="str">
        <f>IFERROR(__xludf.DUMMYFUNCTION("""COMPUTED_VALUE"""),"DASMARINAS")</f>
        <v>DASMARINAS</v>
      </c>
      <c r="S609" s="1" t="str">
        <f>IFERROR(__xludf.DUMMYFUNCTION("""COMPUTED_VALUE"""),"FIBR PLAN 999 W/ CIGNAL")</f>
        <v>FIBR PLAN 999 W/ CIGNAL</v>
      </c>
      <c r="T609" s="1" t="str">
        <f>IFERROR(__xludf.DUMMYFUNCTION("""COMPUTED_VALUE"""),"APPROVED")</f>
        <v>APPROVED</v>
      </c>
      <c r="U609" s="1"/>
      <c r="V609" s="1"/>
      <c r="W609" s="1"/>
    </row>
    <row r="610" customHeight="1" spans="1:23">
      <c r="A610" s="3">
        <f>IFERROR(__xludf.DUMMYFUNCTION("""COMPUTED_VALUE"""),46080)</f>
        <v>46080</v>
      </c>
      <c r="B610" s="1" t="str">
        <f>IFERROR(__xludf.DUMMYFUNCTION("""COMPUTED_VALUE"""),"TISTON, CEDRICK")</f>
        <v>TISTON, CEDRICK</v>
      </c>
      <c r="C610" s="1" t="str">
        <f>IFERROR(__xludf.DUMMYFUNCTION("""COMPUTED_VALUE"""),"ORGANIC")</f>
        <v>ORGANIC</v>
      </c>
      <c r="D610" s="1" t="str">
        <f>IFERROR(__xludf.DUMMYFUNCTION("""COMPUTED_VALUE"""),"ALINGARO, CINDY")</f>
        <v>ALINGARO, CINDY</v>
      </c>
      <c r="E610" s="1" t="str">
        <f>IFERROR(__xludf.DUMMYFUNCTION("""COMPUTED_VALUE"""),"PLDT")</f>
        <v>PLDT</v>
      </c>
      <c r="F610" s="1"/>
      <c r="G610" s="1"/>
      <c r="H610" s="1" t="str">
        <f>IFERROR(__xludf.DUMMYFUNCTION("""COMPUTED_VALUE"""),"ROSIELYN BONGHANOY BUGAY")</f>
        <v>ROSIELYN BONGHANOY BUGAY</v>
      </c>
      <c r="I610" s="1">
        <f>IFERROR(__xludf.DUMMYFUNCTION("""COMPUTED_VALUE"""),9930629970)</f>
        <v>9930629970</v>
      </c>
      <c r="J610" s="1">
        <f>IFERROR(__xludf.DUMMYFUNCTION("""COMPUTED_VALUE"""),9934238914)</f>
        <v>9934238914</v>
      </c>
      <c r="K610" s="1" t="str">
        <f>IFERROR(__xludf.DUMMYFUNCTION("""COMPUTED_VALUE"""),"HANNIEBEELOVE@GMAIL.COM")</f>
        <v>HANNIEBEELOVE@GMAIL.COM</v>
      </c>
      <c r="L610" s="1" t="str">
        <f>IFERROR(__xludf.DUMMYFUNCTION("""COMPUTED_VALUE"""),"BLK 4 LOT 3")</f>
        <v>BLK 4 LOT 3</v>
      </c>
      <c r="M610" s="1" t="str">
        <f>IFERROR(__xludf.DUMMYFUNCTION("""COMPUTED_VALUE"""),"SILMER VILLAGE")</f>
        <v>SILMER VILLAGE</v>
      </c>
      <c r="N610" s="1"/>
      <c r="O610" s="1"/>
      <c r="P610" s="1"/>
      <c r="Q610" s="1" t="str">
        <f>IFERROR(__xludf.DUMMYFUNCTION("""COMPUTED_VALUE"""),"SAN FRANCISCO")</f>
        <v>SAN FRANCISCO</v>
      </c>
      <c r="R610" s="1"/>
      <c r="S610" s="1"/>
      <c r="T610" s="1" t="str">
        <f>IFERROR(__xludf.DUMMYFUNCTION("""COMPUTED_VALUE"""),"APPROVED")</f>
        <v>APPROVED</v>
      </c>
      <c r="U610" s="1"/>
      <c r="V610" s="1"/>
      <c r="W610" s="1"/>
    </row>
    <row r="611" customHeight="1" spans="1:23">
      <c r="A611" s="3">
        <f>IFERROR(__xludf.DUMMYFUNCTION("""COMPUTED_VALUE"""),46080)</f>
        <v>46080</v>
      </c>
      <c r="B611" s="1" t="str">
        <f>IFERROR(__xludf.DUMMYFUNCTION("""COMPUTED_VALUE"""),"MAGDARAOG, KENNETH")</f>
        <v>MAGDARAOG, KENNETH</v>
      </c>
      <c r="C611" s="1" t="str">
        <f>IFERROR(__xludf.DUMMYFUNCTION("""COMPUTED_VALUE"""),"ORGANIC")</f>
        <v>ORGANIC</v>
      </c>
      <c r="D611" s="1" t="str">
        <f>IFERROR(__xludf.DUMMYFUNCTION("""COMPUTED_VALUE"""),"ALINGARO, CINDY")</f>
        <v>ALINGARO, CINDY</v>
      </c>
      <c r="E611" s="1" t="str">
        <f>IFERROR(__xludf.DUMMYFUNCTION("""COMPUTED_VALUE"""),"PLDT")</f>
        <v>PLDT</v>
      </c>
      <c r="F611" s="1">
        <f>IFERROR(__xludf.DUMMYFUNCTION("""COMPUTED_VALUE"""),2307321364)</f>
        <v>2307321364</v>
      </c>
      <c r="G611" s="1"/>
      <c r="H611" s="1" t="str">
        <f>IFERROR(__xludf.DUMMYFUNCTION("""COMPUTED_VALUE"""),"ROMANA NUEVO ANDREADE")</f>
        <v>ROMANA NUEVO ANDREADE</v>
      </c>
      <c r="I611" s="1">
        <f>IFERROR(__xludf.DUMMYFUNCTION("""COMPUTED_VALUE"""),9915086274)</f>
        <v>9915086274</v>
      </c>
      <c r="J611" s="1">
        <f>IFERROR(__xludf.DUMMYFUNCTION("""COMPUTED_VALUE"""),9915086275)</f>
        <v>9915086275</v>
      </c>
      <c r="K611" s="1" t="str">
        <f>IFERROR(__xludf.DUMMYFUNCTION("""COMPUTED_VALUE"""),"MAANANDREADE1006@GMAIL.COM")</f>
        <v>MAANANDREADE1006@GMAIL.COM</v>
      </c>
      <c r="L611" s="1" t="str">
        <f>IFERROR(__xludf.DUMMYFUNCTION("""COMPUTED_VALUE"""),"410")</f>
        <v>410</v>
      </c>
      <c r="M611" s="1" t="str">
        <f>IFERROR(__xludf.DUMMYFUNCTION("""COMPUTED_VALUE"""),"BAYUGAN RD")</f>
        <v>BAYUGAN RD</v>
      </c>
      <c r="N611" s="1"/>
      <c r="O611" s="1" t="str">
        <f>IFERROR(__xludf.DUMMYFUNCTION("""COMPUTED_VALUE"""),"SILLP589NP7/5 SILLP638NP1")</f>
        <v>SILLP589NP7/5 SILLP638NP1</v>
      </c>
      <c r="P611" s="1"/>
      <c r="Q611" s="1" t="str">
        <f>IFERROR(__xludf.DUMMYFUNCTION("""COMPUTED_VALUE"""),"KAONG")</f>
        <v>KAONG</v>
      </c>
      <c r="R611" s="1" t="str">
        <f>IFERROR(__xludf.DUMMYFUNCTION("""COMPUTED_VALUE"""),"SILANG")</f>
        <v>SILANG</v>
      </c>
      <c r="S611" s="1" t="str">
        <f>IFERROR(__xludf.DUMMYFUNCTION("""COMPUTED_VALUE"""),"PREPAID 999")</f>
        <v>PREPAID 999</v>
      </c>
      <c r="T611" s="1" t="str">
        <f>IFERROR(__xludf.DUMMYFUNCTION("""COMPUTED_VALUE"""),"APPROVED")</f>
        <v>APPROVED</v>
      </c>
      <c r="U611" s="1"/>
      <c r="V611" s="1"/>
      <c r="W611" s="1"/>
    </row>
    <row r="612" customHeight="1" spans="1:23">
      <c r="A612" s="3">
        <f>IFERROR(__xludf.DUMMYFUNCTION("""COMPUTED_VALUE"""),46081)</f>
        <v>46081</v>
      </c>
      <c r="B612" s="1" t="str">
        <f>IFERROR(__xludf.DUMMYFUNCTION("""COMPUTED_VALUE"""),"CANTANERO JUNEL")</f>
        <v>CANTANERO JUNEL</v>
      </c>
      <c r="C612" s="1" t="str">
        <f>IFERROR(__xludf.DUMMYFUNCTION("""COMPUTED_VALUE"""),"ORGANIC")</f>
        <v>ORGANIC</v>
      </c>
      <c r="D612" s="1" t="str">
        <f>IFERROR(__xludf.DUMMYFUNCTION("""COMPUTED_VALUE"""),"ALINGARO, CINDY")</f>
        <v>ALINGARO, CINDY</v>
      </c>
      <c r="E612" s="1" t="str">
        <f>IFERROR(__xludf.DUMMYFUNCTION("""COMPUTED_VALUE"""),"PLDT")</f>
        <v>PLDT</v>
      </c>
      <c r="F612" s="1">
        <f>IFERROR(__xludf.DUMMYFUNCTION("""COMPUTED_VALUE"""),2307327237)</f>
        <v>2307327237</v>
      </c>
      <c r="G612" s="1"/>
      <c r="H612" s="1" t="str">
        <f>IFERROR(__xludf.DUMMYFUNCTION("""COMPUTED_VALUE"""),"JOSEPH UBALDO LABAYO")</f>
        <v>JOSEPH UBALDO LABAYO</v>
      </c>
      <c r="I612" s="1">
        <f>IFERROR(__xludf.DUMMYFUNCTION("""COMPUTED_VALUE"""),9975884029)</f>
        <v>9975884029</v>
      </c>
      <c r="J612" s="1"/>
      <c r="K612" s="1" t="str">
        <f>IFERROR(__xludf.DUMMYFUNCTION("""COMPUTED_VALUE"""),"JOSEPH.UBALDO02@GMAIL.COM")</f>
        <v>JOSEPH.UBALDO02@GMAIL.COM</v>
      </c>
      <c r="L612" s="1" t="str">
        <f>IFERROR(__xludf.DUMMYFUNCTION("""COMPUTED_VALUE"""),"BLK 25 LOT 15")</f>
        <v>BLK 25 LOT 15</v>
      </c>
      <c r="M612" s="1" t="str">
        <f>IFERROR(__xludf.DUMMYFUNCTION("""COMPUTED_VALUE"""),"ANAHAW")</f>
        <v>ANAHAW</v>
      </c>
      <c r="N612" s="1"/>
      <c r="O612" s="1" t="str">
        <f>IFERROR(__xludf.DUMMYFUNCTION("""COMPUTED_VALUE"""),"SILP64NP3/4")</f>
        <v>SILP64NP3/4</v>
      </c>
      <c r="P612" s="1" t="str">
        <f>IFERROR(__xludf.DUMMYFUNCTION("""COMPUTED_VALUE"""),"14.272654 120.996236")</f>
        <v>14.272654 120.996236</v>
      </c>
      <c r="Q612" s="1" t="str">
        <f>IFERROR(__xludf.DUMMYFUNCTION("""COMPUTED_VALUE"""),"ANAHAW II")</f>
        <v>ANAHAW II</v>
      </c>
      <c r="R612" s="1" t="str">
        <f>IFERROR(__xludf.DUMMYFUNCTION("""COMPUTED_VALUE"""),"SILANG")</f>
        <v>SILANG</v>
      </c>
      <c r="S612" s="1" t="str">
        <f>IFERROR(__xludf.DUMMYFUNCTION("""COMPUTED_VALUE"""),"PREPAID 999")</f>
        <v>PREPAID 999</v>
      </c>
      <c r="T612" s="1" t="str">
        <f>IFERROR(__xludf.DUMMYFUNCTION("""COMPUTED_VALUE"""),"APPROVED")</f>
        <v>APPROVED</v>
      </c>
      <c r="U612" s="1"/>
      <c r="V612" s="1"/>
      <c r="W612" s="1"/>
    </row>
    <row r="613" customHeight="1" spans="1:23">
      <c r="A613" s="3">
        <f>IFERROR(__xludf.DUMMYFUNCTION("""COMPUTED_VALUE"""),46081)</f>
        <v>46081</v>
      </c>
      <c r="B613" s="1" t="str">
        <f>IFERROR(__xludf.DUMMYFUNCTION("""COMPUTED_VALUE"""),"AYON MANUEL")</f>
        <v>AYON MANUEL</v>
      </c>
      <c r="C613" s="1" t="str">
        <f>IFERROR(__xludf.DUMMYFUNCTION("""COMPUTED_VALUE"""),"FLA")</f>
        <v>FLA</v>
      </c>
      <c r="D613" s="1" t="str">
        <f>IFERROR(__xludf.DUMMYFUNCTION("""COMPUTED_VALUE"""),"JERIC NAVARRO")</f>
        <v>JERIC NAVARRO</v>
      </c>
      <c r="E613" s="1" t="str">
        <f>IFERROR(__xludf.DUMMYFUNCTION("""COMPUTED_VALUE"""),"HOME BIZZ")</f>
        <v>HOME BIZZ</v>
      </c>
      <c r="F613" s="1">
        <f>IFERROR(__xludf.DUMMYFUNCTION("""COMPUTED_VALUE"""),2307327605)</f>
        <v>2307327605</v>
      </c>
      <c r="G613" s="1"/>
      <c r="H613" s="1" t="str">
        <f>IFERROR(__xludf.DUMMYFUNCTION("""COMPUTED_VALUE"""),"FAMODASO PACKAGING SUPPLIES ")</f>
        <v>FAMODASO PACKAGING SUPPLIES </v>
      </c>
      <c r="I613" s="1">
        <f>IFERROR(__xludf.DUMMYFUNCTION("""COMPUTED_VALUE"""),9178156130)</f>
        <v>9178156130</v>
      </c>
      <c r="J613" s="1">
        <f>IFERROR(__xludf.DUMMYFUNCTION("""COMPUTED_VALUE"""),9661481722)</f>
        <v>9661481722</v>
      </c>
      <c r="K613" s="1" t="str">
        <f>IFERROR(__xludf.DUMMYFUNCTION("""COMPUTED_VALUE"""),"GPSTSILANG@GMAIL.COM")</f>
        <v>GPSTSILANG@GMAIL.COM</v>
      </c>
      <c r="L613" s="1" t="str">
        <f>IFERROR(__xludf.DUMMYFUNCTION("""COMPUTED_VALUE"""),"UNIT 67")</f>
        <v>UNIT 67</v>
      </c>
      <c r="M613" s="1" t="str">
        <f>IFERROR(__xludf.DUMMYFUNCTION("""COMPUTED_VALUE"""),"ELITE GLOBOUS PRIME")</f>
        <v>ELITE GLOBOUS PRIME</v>
      </c>
      <c r="N613" s="1"/>
      <c r="O613" s="1" t="str">
        <f>IFERROR(__xludf.DUMMYFUNCTION("""COMPUTED_VALUE"""),"SILLP639NP5")</f>
        <v>SILLP639NP5</v>
      </c>
      <c r="P613" s="1"/>
      <c r="Q613" s="1" t="str">
        <f>IFERROR(__xludf.DUMMYFUNCTION("""COMPUTED_VALUE"""),"MAGUYAM")</f>
        <v>MAGUYAM</v>
      </c>
      <c r="R613" s="1" t="str">
        <f>IFERROR(__xludf.DUMMYFUNCTION("""COMPUTED_VALUE"""),"SILANG")</f>
        <v>SILANG</v>
      </c>
      <c r="S613" s="1" t="str">
        <f>IFERROR(__xludf.DUMMYFUNCTION("""COMPUTED_VALUE"""),"HOMEBIZZ 1699")</f>
        <v>HOMEBIZZ 1699</v>
      </c>
      <c r="T613" s="1" t="str">
        <f>IFERROR(__xludf.DUMMYFUNCTION("""COMPUTED_VALUE"""),"APPROVED")</f>
        <v>APPROVED</v>
      </c>
      <c r="U613" s="1"/>
      <c r="V613" s="1"/>
      <c r="W613" s="1"/>
    </row>
    <row r="614" customHeight="1" spans="1:23">
      <c r="A614" s="3">
        <f>IFERROR(__xludf.DUMMYFUNCTION("""COMPUTED_VALUE"""),46081)</f>
        <v>46081</v>
      </c>
      <c r="B614" s="1" t="str">
        <f>IFERROR(__xludf.DUMMYFUNCTION("""COMPUTED_VALUE"""),"ESCARCHA, MA ALMA  ESCOTO")</f>
        <v>ESCARCHA, MA ALMA  ESCOTO</v>
      </c>
      <c r="C614" s="1" t="str">
        <f>IFERROR(__xludf.DUMMYFUNCTION("""COMPUTED_VALUE"""),"ORGANIC")</f>
        <v>ORGANIC</v>
      </c>
      <c r="D614" s="1" t="str">
        <f>IFERROR(__xludf.DUMMYFUNCTION("""COMPUTED_VALUE"""),"ALINGARO, CINDY")</f>
        <v>ALINGARO, CINDY</v>
      </c>
      <c r="E614" s="1" t="str">
        <f>IFERROR(__xludf.DUMMYFUNCTION("""COMPUTED_VALUE"""),"PLDT")</f>
        <v>PLDT</v>
      </c>
      <c r="F614" s="1"/>
      <c r="G614" s="1"/>
      <c r="H614" s="1" t="str">
        <f>IFERROR(__xludf.DUMMYFUNCTION("""COMPUTED_VALUE"""),"BRAIN JEROME LANDICHO TERCERO")</f>
        <v>BRAIN JEROME LANDICHO TERCERO</v>
      </c>
      <c r="I614" s="1">
        <f>IFERROR(__xludf.DUMMYFUNCTION("""COMPUTED_VALUE"""),9616802991)</f>
        <v>9616802991</v>
      </c>
      <c r="J614" s="1">
        <f>IFERROR(__xludf.DUMMYFUNCTION("""COMPUTED_VALUE"""),9653588439)</f>
        <v>9653588439</v>
      </c>
      <c r="K614" s="1" t="str">
        <f>IFERROR(__xludf.DUMMYFUNCTION("""COMPUTED_VALUE"""),"T.BRAINJEROME@GMAIL.COM")</f>
        <v>T.BRAINJEROME@GMAIL.COM</v>
      </c>
      <c r="L614" s="1" t="str">
        <f>IFERROR(__xludf.DUMMYFUNCTION("""COMPUTED_VALUE"""),"4855")</f>
        <v>4855</v>
      </c>
      <c r="M614" s="1" t="str">
        <f>IFERROR(__xludf.DUMMYFUNCTION("""COMPUTED_VALUE"""),"PUTOL")</f>
        <v>PUTOL</v>
      </c>
      <c r="N614" s="1"/>
      <c r="O614" s="1" t="str">
        <f>IFERROR(__xludf.DUMMYFUNCTION("""COMPUTED_VALUE"""),"SILLP630NP3/4/5 SILLP78NP1/3")</f>
        <v>SILLP630NP3/4/5 SILLP78NP1/3</v>
      </c>
      <c r="P614" s="1" t="str">
        <f>IFERROR(__xludf.DUMMYFUNCTION("""COMPUTED_VALUE"""),"14.228174 121.00065")</f>
        <v>14.228174 121.00065</v>
      </c>
      <c r="Q614" s="1" t="str">
        <f>IFERROR(__xludf.DUMMYFUNCTION("""COMPUTED_VALUE"""),"TIBIG")</f>
        <v>TIBIG</v>
      </c>
      <c r="R614" s="1" t="str">
        <f>IFERROR(__xludf.DUMMYFUNCTION("""COMPUTED_VALUE"""),"SILANG")</f>
        <v>SILANG</v>
      </c>
      <c r="S614" s="1" t="str">
        <f>IFERROR(__xludf.DUMMYFUNCTION("""COMPUTED_VALUE"""),"FIBR PLAN 1299")</f>
        <v>FIBR PLAN 1299</v>
      </c>
      <c r="T614" s="1" t="str">
        <f>IFERROR(__xludf.DUMMYFUNCTION("""COMPUTED_VALUE"""),"APPROVED")</f>
        <v>APPROVED</v>
      </c>
      <c r="U614" s="1" t="str">
        <f>IFERROR(__xludf.DUMMYFUNCTION("""COMPUTED_VALUE"""),"WILLING TO ADVANCE PAYMENT BY MARCH 5")</f>
        <v>WILLING TO ADVANCE PAYMENT BY MARCH 5</v>
      </c>
      <c r="V614" s="1"/>
      <c r="W614" s="1"/>
    </row>
    <row r="615" customHeight="1" spans="1:23">
      <c r="A615" s="3">
        <f>IFERROR(__xludf.DUMMYFUNCTION("""COMPUTED_VALUE"""),46081)</f>
        <v>46081</v>
      </c>
      <c r="B615" s="1" t="str">
        <f>IFERROR(__xludf.DUMMYFUNCTION("""COMPUTED_VALUE"""),"CANTANERO JUNEL")</f>
        <v>CANTANERO JUNEL</v>
      </c>
      <c r="C615" s="1" t="str">
        <f>IFERROR(__xludf.DUMMYFUNCTION("""COMPUTED_VALUE"""),"ORGANIC")</f>
        <v>ORGANIC</v>
      </c>
      <c r="D615" s="1" t="str">
        <f>IFERROR(__xludf.DUMMYFUNCTION("""COMPUTED_VALUE"""),"ALINGARO, CINDY")</f>
        <v>ALINGARO, CINDY</v>
      </c>
      <c r="E615" s="1" t="str">
        <f>IFERROR(__xludf.DUMMYFUNCTION("""COMPUTED_VALUE"""),"PLDT")</f>
        <v>PLDT</v>
      </c>
      <c r="F615" s="1">
        <f>IFERROR(__xludf.DUMMYFUNCTION("""COMPUTED_VALUE"""),2307328180)</f>
        <v>2307328180</v>
      </c>
      <c r="G615" s="1"/>
      <c r="H615" s="1" t="str">
        <f>IFERROR(__xludf.DUMMYFUNCTION("""COMPUTED_VALUE"""),"DIONISIA DOMDOM TOLENTINO")</f>
        <v>DIONISIA DOMDOM TOLENTINO</v>
      </c>
      <c r="I615" s="1">
        <f>IFERROR(__xludf.DUMMYFUNCTION("""COMPUTED_VALUE"""),9674936529)</f>
        <v>9674936529</v>
      </c>
      <c r="J615" s="1"/>
      <c r="K615" s="1" t="str">
        <f>IFERROR(__xludf.DUMMYFUNCTION("""COMPUTED_VALUE"""),"JHONDY1144@GMAIL.COM")</f>
        <v>JHONDY1144@GMAIL.COM</v>
      </c>
      <c r="L615" s="1" t="str">
        <f>IFERROR(__xludf.DUMMYFUNCTION("""COMPUTED_VALUE"""),"226")</f>
        <v>226</v>
      </c>
      <c r="M615" s="1" t="str">
        <f>IFERROR(__xludf.DUMMYFUNCTION("""COMPUTED_VALUE"""),"SITIO PUTOL")</f>
        <v>SITIO PUTOL</v>
      </c>
      <c r="N615" s="1"/>
      <c r="O615" s="1" t="str">
        <f>IFERROR(__xludf.DUMMYFUNCTION("""COMPUTED_VALUE"""),"SILLP630NP3/4/5 SILLP78NP1/3")</f>
        <v>SILLP630NP3/4/5 SILLP78NP1/3</v>
      </c>
      <c r="P615" s="1" t="str">
        <f>IFERROR(__xludf.DUMMYFUNCTION("""COMPUTED_VALUE"""),"14.228794 121.000586")</f>
        <v>14.228794 121.000586</v>
      </c>
      <c r="Q615" s="1" t="str">
        <f>IFERROR(__xludf.DUMMYFUNCTION("""COMPUTED_VALUE"""),"TIBIG")</f>
        <v>TIBIG</v>
      </c>
      <c r="R615" s="1" t="str">
        <f>IFERROR(__xludf.DUMMYFUNCTION("""COMPUTED_VALUE"""),"SILANG")</f>
        <v>SILANG</v>
      </c>
      <c r="S615" s="1" t="str">
        <f>IFERROR(__xludf.DUMMYFUNCTION("""COMPUTED_VALUE"""),"PREPAID 999")</f>
        <v>PREPAID 999</v>
      </c>
      <c r="T615" s="1" t="str">
        <f>IFERROR(__xludf.DUMMYFUNCTION("""COMPUTED_VALUE"""),"APPROVED")</f>
        <v>APPROVED</v>
      </c>
      <c r="U615" s="1" t="str">
        <f>IFERROR(__xludf.DUMMYFUNCTION("""COMPUTED_VALUE"""),"VOUCH BY LEA")</f>
        <v>VOUCH BY LEA</v>
      </c>
      <c r="V615" s="1"/>
      <c r="W615" s="1"/>
    </row>
    <row r="616" customHeight="1" spans="1:23">
      <c r="A616" s="3">
        <f>IFERROR(__xludf.DUMMYFUNCTION("""COMPUTED_VALUE"""),46081)</f>
        <v>46081</v>
      </c>
      <c r="B616" s="1" t="str">
        <f>IFERROR(__xludf.DUMMYFUNCTION("""COMPUTED_VALUE"""),"DELA ROSA, JENNELYN")</f>
        <v>DELA ROSA, JENNELYN</v>
      </c>
      <c r="C616" s="1" t="str">
        <f>IFERROR(__xludf.DUMMYFUNCTION("""COMPUTED_VALUE"""),"ORGANIC")</f>
        <v>ORGANIC</v>
      </c>
      <c r="D616" s="1" t="str">
        <f>IFERROR(__xludf.DUMMYFUNCTION("""COMPUTED_VALUE"""),"ALOS, CHARLS")</f>
        <v>ALOS, CHARLS</v>
      </c>
      <c r="E616" s="1" t="str">
        <f>IFERROR(__xludf.DUMMYFUNCTION("""COMPUTED_VALUE"""),"RED FIBER")</f>
        <v>RED FIBER</v>
      </c>
      <c r="F616" s="1"/>
      <c r="G616" s="1"/>
      <c r="H616" s="1" t="str">
        <f>IFERROR(__xludf.DUMMYFUNCTION("""COMPUTED_VALUE"""),"RESTY VILLASERAN TOLOSA")</f>
        <v>RESTY VILLASERAN TOLOSA</v>
      </c>
      <c r="I616" s="1">
        <f>IFERROR(__xludf.DUMMYFUNCTION("""COMPUTED_VALUE"""),9853750817)</f>
        <v>9853750817</v>
      </c>
      <c r="J616" s="1"/>
      <c r="K616" s="1" t="str">
        <f>IFERROR(__xludf.DUMMYFUNCTION("""COMPUTED_VALUE"""),"JDELEONTOLOSA@GMAIL.COM")</f>
        <v>JDELEONTOLOSA@GMAIL.COM</v>
      </c>
      <c r="L616" s="1" t="str">
        <f>IFERROR(__xludf.DUMMYFUNCTION("""COMPUTED_VALUE"""),"369")</f>
        <v>369</v>
      </c>
      <c r="M616" s="1" t="str">
        <f>IFERROR(__xludf.DUMMYFUNCTION("""COMPUTED_VALUE"""),"CABALLE")</f>
        <v>CABALLE</v>
      </c>
      <c r="N616" s="1"/>
      <c r="O616" s="1" t="str">
        <f>IFERROR(__xludf.DUMMYFUNCTION("""COMPUTED_VALUE"""),"CVT2LCP61NP4")</f>
        <v>CVT2LCP61NP4</v>
      </c>
      <c r="P616" s="1" t="str">
        <f>IFERROR(__xludf.DUMMYFUNCTION("""COMPUTED_VALUE"""),"14.1374 120.899362")</f>
        <v>14.1374 120.899362</v>
      </c>
      <c r="Q616" s="1" t="str">
        <f>IFERROR(__xludf.DUMMYFUNCTION("""COMPUTED_VALUE"""),"ASIS I")</f>
        <v>ASIS I</v>
      </c>
      <c r="R616" s="1" t="str">
        <f>IFERROR(__xludf.DUMMYFUNCTION("""COMPUTED_VALUE"""),"MENDEZ")</f>
        <v>MENDEZ</v>
      </c>
      <c r="S616" s="1" t="str">
        <f>IFERROR(__xludf.DUMMYFUNCTION("""COMPUTED_VALUE"""),"RED FIBER PLAN 1000")</f>
        <v>RED FIBER PLAN 1000</v>
      </c>
      <c r="T616" s="1" t="str">
        <f>IFERROR(__xludf.DUMMYFUNCTION("""COMPUTED_VALUE"""),"APPROVED")</f>
        <v>APPROVED</v>
      </c>
      <c r="U616" s="1"/>
      <c r="V616" s="1"/>
      <c r="W616" s="1"/>
    </row>
    <row r="617" customHeight="1" spans="1:23">
      <c r="A617" s="3">
        <f>IFERROR(__xludf.DUMMYFUNCTION("""COMPUTED_VALUE"""),46081)</f>
        <v>46081</v>
      </c>
      <c r="B617" s="1" t="str">
        <f>IFERROR(__xludf.DUMMYFUNCTION("""COMPUTED_VALUE"""),"NAVARRO, JERIC")</f>
        <v>NAVARRO, JERIC</v>
      </c>
      <c r="C617" s="1" t="str">
        <f>IFERROR(__xludf.DUMMYFUNCTION("""COMPUTED_VALUE"""),"FLA")</f>
        <v>FLA</v>
      </c>
      <c r="D617" s="1" t="str">
        <f>IFERROR(__xludf.DUMMYFUNCTION("""COMPUTED_VALUE"""),"JERIC NAVARRO")</f>
        <v>JERIC NAVARRO</v>
      </c>
      <c r="E617" s="1" t="str">
        <f>IFERROR(__xludf.DUMMYFUNCTION("""COMPUTED_VALUE"""),"PLDT")</f>
        <v>PLDT</v>
      </c>
      <c r="F617" s="1">
        <f>IFERROR(__xludf.DUMMYFUNCTION("""COMPUTED_VALUE"""),2307333947)</f>
        <v>2307333947</v>
      </c>
      <c r="G617" s="1"/>
      <c r="H617" s="1" t="str">
        <f>IFERROR(__xludf.DUMMYFUNCTION("""COMPUTED_VALUE"""),"MARGARITA ARBILO ARCA")</f>
        <v>MARGARITA ARBILO ARCA</v>
      </c>
      <c r="I617" s="1">
        <f>IFERROR(__xludf.DUMMYFUNCTION("""COMPUTED_VALUE"""),9477667969)</f>
        <v>9477667969</v>
      </c>
      <c r="J617" s="1"/>
      <c r="K617" s="1" t="str">
        <f>IFERROR(__xludf.DUMMYFUNCTION("""COMPUTED_VALUE"""),"ARCAREYNANDREI@GMAIL.COM")</f>
        <v>ARCAREYNANDREI@GMAIL.COM</v>
      </c>
      <c r="L617" s="1" t="str">
        <f>IFERROR(__xludf.DUMMYFUNCTION("""COMPUTED_VALUE"""),"104")</f>
        <v>104</v>
      </c>
      <c r="M617" s="1" t="str">
        <f>IFERROR(__xludf.DUMMYFUNCTION("""COMPUTED_VALUE"""),"SANTO DOMINGO")</f>
        <v>SANTO DOMINGO</v>
      </c>
      <c r="N617" s="1"/>
      <c r="O617" s="1" t="str">
        <f>IFERROR(__xludf.DUMMYFUNCTION("""COMPUTED_VALUE"""),"TNZLP18NP6/8")</f>
        <v>TNZLP18NP6/8</v>
      </c>
      <c r="P617" s="1" t="str">
        <f>IFERROR(__xludf.DUMMYFUNCTION("""COMPUTED_VALUE"""),"14.399470 120.856621")</f>
        <v>14.399470 120.856621</v>
      </c>
      <c r="Q617" s="1" t="str">
        <f>IFERROR(__xludf.DUMMYFUNCTION("""COMPUTED_VALUE"""),"POBLACION IV")</f>
        <v>POBLACION IV</v>
      </c>
      <c r="R617" s="1" t="str">
        <f>IFERROR(__xludf.DUMMYFUNCTION("""COMPUTED_VALUE"""),"TANZA")</f>
        <v>TANZA</v>
      </c>
      <c r="S617" s="1" t="str">
        <f>IFERROR(__xludf.DUMMYFUNCTION("""COMPUTED_VALUE"""),"FIBR PLAN 1399")</f>
        <v>FIBR PLAN 1399</v>
      </c>
      <c r="T617" s="1" t="str">
        <f>IFERROR(__xludf.DUMMYFUNCTION("""COMPUTED_VALUE"""),"APPROVED")</f>
        <v>APPROVED</v>
      </c>
      <c r="U617" s="1"/>
      <c r="V617" s="1"/>
      <c r="W617" s="1"/>
    </row>
    <row r="618" customHeight="1" spans="1:23">
      <c r="A618" s="3">
        <f>IFERROR(__xludf.DUMMYFUNCTION("""COMPUTED_VALUE"""),46081)</f>
        <v>46081</v>
      </c>
      <c r="B618" s="1" t="str">
        <f>IFERROR(__xludf.DUMMYFUNCTION("""COMPUTED_VALUE"""),"CONCEPCION, ALJAY")</f>
        <v>CONCEPCION, ALJAY</v>
      </c>
      <c r="C618" s="1" t="str">
        <f>IFERROR(__xludf.DUMMYFUNCTION("""COMPUTED_VALUE"""),"ORGANIC")</f>
        <v>ORGANIC</v>
      </c>
      <c r="D618" s="1" t="str">
        <f>IFERROR(__xludf.DUMMYFUNCTION("""COMPUTED_VALUE"""),"ALOS, CHARLS")</f>
        <v>ALOS, CHARLS</v>
      </c>
      <c r="E618" s="1" t="str">
        <f>IFERROR(__xludf.DUMMYFUNCTION("""COMPUTED_VALUE"""),"RED FIBER")</f>
        <v>RED FIBER</v>
      </c>
      <c r="F618" s="1"/>
      <c r="G618" s="1"/>
      <c r="H618" s="1" t="str">
        <f>IFERROR(__xludf.DUMMYFUNCTION("""COMPUTED_VALUE"""),"KRIS ANNE TIMBAN")</f>
        <v>KRIS ANNE TIMBAN</v>
      </c>
      <c r="I618" s="1">
        <f>IFERROR(__xludf.DUMMYFUNCTION("""COMPUTED_VALUE"""),9217301657)</f>
        <v>9217301657</v>
      </c>
      <c r="J618" s="1"/>
      <c r="K618" s="1" t="str">
        <f>IFERROR(__xludf.DUMMYFUNCTION("""COMPUTED_VALUE"""),"TIMBANKRISANNE@GMAIL.COM")</f>
        <v>TIMBANKRISANNE@GMAIL.COM</v>
      </c>
      <c r="L618" s="1" t="str">
        <f>IFERROR(__xludf.DUMMYFUNCTION("""COMPUTED_VALUE"""),"BLK 9 LOT 10")</f>
        <v>BLK 9 LOT 10</v>
      </c>
      <c r="M618" s="1" t="str">
        <f>IFERROR(__xludf.DUMMYFUNCTION("""COMPUTED_VALUE"""),"PHASE 1")</f>
        <v>PHASE 1</v>
      </c>
      <c r="N618" s="1" t="str">
        <f>IFERROR(__xludf.DUMMYFUNCTION("""COMPUTED_VALUE"""),"TERRAVERDE")</f>
        <v>TERRAVERDE</v>
      </c>
      <c r="O618" s="1" t="str">
        <f>IFERROR(__xludf.DUMMYFUNCTION("""COMPUTED_VALUE"""),"CVT3LCP71NP1/2")</f>
        <v>CVT3LCP71NP1/2</v>
      </c>
      <c r="P618" s="1"/>
      <c r="Q618" s="1" t="str">
        <f>IFERROR(__xludf.DUMMYFUNCTION("""COMPUTED_VALUE"""),"BANCAL")</f>
        <v>BANCAL</v>
      </c>
      <c r="R618" s="1" t="str">
        <f>IFERROR(__xludf.DUMMYFUNCTION("""COMPUTED_VALUE"""),"CARMONA")</f>
        <v>CARMONA</v>
      </c>
      <c r="S618" s="1" t="str">
        <f>IFERROR(__xludf.DUMMYFUNCTION("""COMPUTED_VALUE"""),"RED FIBER PLAN 1000")</f>
        <v>RED FIBER PLAN 1000</v>
      </c>
      <c r="T618" s="1" t="str">
        <f>IFERROR(__xludf.DUMMYFUNCTION("""COMPUTED_VALUE"""),"APPROVED")</f>
        <v>APPROVED</v>
      </c>
      <c r="U618" s="1"/>
      <c r="V618" s="1"/>
      <c r="W618" s="1"/>
    </row>
    <row r="619" customHeight="1" spans="1:23">
      <c r="A619" s="3">
        <f>IFERROR(__xludf.DUMMYFUNCTION("""COMPUTED_VALUE"""),46081)</f>
        <v>46081</v>
      </c>
      <c r="B619" s="1" t="str">
        <f>IFERROR(__xludf.DUMMYFUNCTION("""COMPUTED_VALUE"""),"VILLANAS , EVANGELINE")</f>
        <v>VILLANAS , EVANGELINE</v>
      </c>
      <c r="C619" s="1" t="str">
        <f>IFERROR(__xludf.DUMMYFUNCTION("""COMPUTED_VALUE"""),"ORGANIC")</f>
        <v>ORGANIC</v>
      </c>
      <c r="D619" s="1" t="str">
        <f>IFERROR(__xludf.DUMMYFUNCTION("""COMPUTED_VALUE"""),"ALINGARO, CINDY")</f>
        <v>ALINGARO, CINDY</v>
      </c>
      <c r="E619" s="1" t="str">
        <f>IFERROR(__xludf.DUMMYFUNCTION("""COMPUTED_VALUE"""),"PLDT")</f>
        <v>PLDT</v>
      </c>
      <c r="F619" s="1">
        <f>IFERROR(__xludf.DUMMYFUNCTION("""COMPUTED_VALUE"""),2307334988)</f>
        <v>2307334988</v>
      </c>
      <c r="G619" s="1"/>
      <c r="H619" s="1" t="str">
        <f>IFERROR(__xludf.DUMMYFUNCTION("""COMPUTED_VALUE"""),"MARIE CHARLOTTE SEVILLA RAVANILLA")</f>
        <v>MARIE CHARLOTTE SEVILLA RAVANILLA</v>
      </c>
      <c r="I619" s="1">
        <f>IFERROR(__xludf.DUMMYFUNCTION("""COMPUTED_VALUE"""),9512230389)</f>
        <v>9512230389</v>
      </c>
      <c r="J619" s="1"/>
      <c r="K619" s="1" t="str">
        <f>IFERROR(__xludf.DUMMYFUNCTION("""COMPUTED_VALUE"""),"MARIECHARLOTTERAVANILLA@GMAIL.COM")</f>
        <v>MARIECHARLOTTERAVANILLA@GMAIL.COM</v>
      </c>
      <c r="L619" s="1" t="str">
        <f>IFERROR(__xludf.DUMMYFUNCTION("""COMPUTED_VALUE"""),"BLK 1 LOT 7")</f>
        <v>BLK 1 LOT 7</v>
      </c>
      <c r="M619" s="1" t="str">
        <f>IFERROR(__xludf.DUMMYFUNCTION("""COMPUTED_VALUE"""),"MAYON ST")</f>
        <v>MAYON ST</v>
      </c>
      <c r="N619" s="1"/>
      <c r="O619" s="1" t="str">
        <f>IFERROR(__xludf.DUMMYFUNCTION("""COMPUTED_VALUE"""),"GMZLP124NP4")</f>
        <v>GMZLP124NP4</v>
      </c>
      <c r="P619" s="1" t="str">
        <f>IFERROR(__xludf.DUMMYFUNCTION("""COMPUTED_VALUE"""),"14.314727 121.020442")</f>
        <v>14.314727 121.020442</v>
      </c>
      <c r="Q619" s="1" t="str">
        <f>IFERROR(__xludf.DUMMYFUNCTION("""COMPUTED_VALUE"""),"KORONEL JOSE P. ELISES (AREA E)")</f>
        <v>KORONEL JOSE P. ELISES (AREA E)</v>
      </c>
      <c r="R619" s="1" t="str">
        <f>IFERROR(__xludf.DUMMYFUNCTION("""COMPUTED_VALUE"""),"GEN MARIANO ALVAREZ")</f>
        <v>GEN MARIANO ALVAREZ</v>
      </c>
      <c r="S619" s="1" t="str">
        <f>IFERROR(__xludf.DUMMYFUNCTION("""COMPUTED_VALUE"""),"FIBR PLAN 1599")</f>
        <v>FIBR PLAN 1599</v>
      </c>
      <c r="T619" s="1" t="str">
        <f>IFERROR(__xludf.DUMMYFUNCTION("""COMPUTED_VALUE"""),"APPROVED")</f>
        <v>APPROVED</v>
      </c>
      <c r="U619" s="1"/>
      <c r="V619" s="1"/>
      <c r="W619" s="1"/>
    </row>
    <row r="620" customHeight="1" spans="1:23">
      <c r="A620" s="3">
        <f>IFERROR(__xludf.DUMMYFUNCTION("""COMPUTED_VALUE"""),46081)</f>
        <v>46081</v>
      </c>
      <c r="B620" s="1" t="str">
        <f>IFERROR(__xludf.DUMMYFUNCTION("""COMPUTED_VALUE"""),"NAVARRO, JERIC")</f>
        <v>NAVARRO, JERIC</v>
      </c>
      <c r="C620" s="1" t="str">
        <f>IFERROR(__xludf.DUMMYFUNCTION("""COMPUTED_VALUE"""),"FLA")</f>
        <v>FLA</v>
      </c>
      <c r="D620" s="1" t="str">
        <f>IFERROR(__xludf.DUMMYFUNCTION("""COMPUTED_VALUE"""),"JERIC NAVARRO")</f>
        <v>JERIC NAVARRO</v>
      </c>
      <c r="E620" s="1" t="str">
        <f>IFERROR(__xludf.DUMMYFUNCTION("""COMPUTED_VALUE"""),"PLDT")</f>
        <v>PLDT</v>
      </c>
      <c r="F620" s="1">
        <f>IFERROR(__xludf.DUMMYFUNCTION("""COMPUTED_VALUE"""),2307335502)</f>
        <v>2307335502</v>
      </c>
      <c r="G620" s="1"/>
      <c r="H620" s="1" t="str">
        <f>IFERROR(__xludf.DUMMYFUNCTION("""COMPUTED_VALUE"""),"JOHN EDRICK MONTANO DE FIESTA")</f>
        <v>JOHN EDRICK MONTANO DE FIESTA</v>
      </c>
      <c r="I620" s="1">
        <f>IFERROR(__xludf.DUMMYFUNCTION("""COMPUTED_VALUE"""),9454892007)</f>
        <v>9454892007</v>
      </c>
      <c r="J620" s="1">
        <f>IFERROR(__xludf.DUMMYFUNCTION("""COMPUTED_VALUE"""),9056992283)</f>
        <v>9056992283</v>
      </c>
      <c r="K620" s="1" t="str">
        <f>IFERROR(__xludf.DUMMYFUNCTION("""COMPUTED_VALUE"""),"JEDDEFIESTA7@GMAIL.COM")</f>
        <v>JEDDEFIESTA7@GMAIL.COM</v>
      </c>
      <c r="L620" s="1" t="str">
        <f>IFERROR(__xludf.DUMMYFUNCTION("""COMPUTED_VALUE"""),"59B")</f>
        <v>59B</v>
      </c>
      <c r="M620" s="1" t="str">
        <f>IFERROR(__xludf.DUMMYFUNCTION("""COMPUTED_VALUE"""),"SAN JUAN ")</f>
        <v>SAN JUAN </v>
      </c>
      <c r="N620" s="1"/>
      <c r="O620" s="1" t="str">
        <f>IFERROR(__xludf.DUMMYFUNCTION("""COMPUTED_VALUE"""),"TNZLPLP22NP7")</f>
        <v>TNZLPLP22NP7</v>
      </c>
      <c r="P620" s="1" t="str">
        <f>IFERROR(__xludf.DUMMYFUNCTION("""COMPUTED_VALUE"""),"14.399572 120.858899")</f>
        <v>14.399572 120.858899</v>
      </c>
      <c r="Q620" s="1" t="str">
        <f>IFERROR(__xludf.DUMMYFUNCTION("""COMPUTED_VALUE"""),"BARANGAY 1 (POB.)")</f>
        <v>BARANGAY 1 (POB.)</v>
      </c>
      <c r="R620" s="1" t="str">
        <f>IFERROR(__xludf.DUMMYFUNCTION("""COMPUTED_VALUE"""),"TANZA")</f>
        <v>TANZA</v>
      </c>
      <c r="S620" s="1" t="str">
        <f>IFERROR(__xludf.DUMMYFUNCTION("""COMPUTED_VALUE"""),"FIBR PLAN 1399")</f>
        <v>FIBR PLAN 1399</v>
      </c>
      <c r="T620" s="1" t="str">
        <f>IFERROR(__xludf.DUMMYFUNCTION("""COMPUTED_VALUE"""),"APPROVED")</f>
        <v>APPROVED</v>
      </c>
      <c r="U620" s="1"/>
      <c r="V620" s="1"/>
      <c r="W620" s="1"/>
    </row>
    <row r="621" customHeight="1" spans="1:23">
      <c r="A621" s="3">
        <f>IFERROR(__xludf.DUMMYFUNCTION("""COMPUTED_VALUE"""),46081)</f>
        <v>46081</v>
      </c>
      <c r="B621" s="1" t="str">
        <f>IFERROR(__xludf.DUMMYFUNCTION("""COMPUTED_VALUE"""),"GABAY, MANUEL")</f>
        <v>GABAY, MANUEL</v>
      </c>
      <c r="C621" s="1" t="str">
        <f>IFERROR(__xludf.DUMMYFUNCTION("""COMPUTED_VALUE"""),"FLA")</f>
        <v>FLA</v>
      </c>
      <c r="D621" s="1" t="str">
        <f>IFERROR(__xludf.DUMMYFUNCTION("""COMPUTED_VALUE"""),"JERIC NAVARRO")</f>
        <v>JERIC NAVARRO</v>
      </c>
      <c r="E621" s="1" t="str">
        <f>IFERROR(__xludf.DUMMYFUNCTION("""COMPUTED_VALUE"""),"PLDT")</f>
        <v>PLDT</v>
      </c>
      <c r="F621" s="1">
        <f>IFERROR(__xludf.DUMMYFUNCTION("""COMPUTED_VALUE"""),2307335772)</f>
        <v>2307335772</v>
      </c>
      <c r="G621" s="1"/>
      <c r="H621" s="1" t="str">
        <f>IFERROR(__xludf.DUMMYFUNCTION("""COMPUTED_VALUE"""),"TARAH MARIE MARTINEZ PEREY")</f>
        <v>TARAH MARIE MARTINEZ PEREY</v>
      </c>
      <c r="I621" s="1">
        <f>IFERROR(__xludf.DUMMYFUNCTION("""COMPUTED_VALUE"""),9168653267)</f>
        <v>9168653267</v>
      </c>
      <c r="J621" s="1"/>
      <c r="K621" s="1" t="str">
        <f>IFERROR(__xludf.DUMMYFUNCTION("""COMPUTED_VALUE"""),"TARAHMARIEPEREY@GMAIL.COM")</f>
        <v>TARAHMARIEPEREY@GMAIL.COM</v>
      </c>
      <c r="L621" s="1" t="str">
        <f>IFERROR(__xludf.DUMMYFUNCTION("""COMPUTED_VALUE"""),"10220")</f>
        <v>10220</v>
      </c>
      <c r="M621" s="1" t="str">
        <f>IFERROR(__xludf.DUMMYFUNCTION("""COMPUTED_VALUE"""),"MAYORS DRIVE")</f>
        <v>MAYORS DRIVE</v>
      </c>
      <c r="N621" s="1"/>
      <c r="O621" s="1" t="str">
        <f>IFERROR(__xludf.DUMMYFUNCTION("""COMPUTED_VALUE"""),"TGT LP-347 NP-1/2/3/4/5/6/7/8 ")</f>
        <v>TGT LP-347 NP-1/2/3/4/5/6/7/8 </v>
      </c>
      <c r="P621" s="1"/>
      <c r="Q621" s="1" t="str">
        <f>IFERROR(__xludf.DUMMYFUNCTION("""COMPUTED_VALUE"""),"MENDEZ CROSSING EAST")</f>
        <v>MENDEZ CROSSING EAST</v>
      </c>
      <c r="R621" s="1" t="str">
        <f>IFERROR(__xludf.DUMMYFUNCTION("""COMPUTED_VALUE"""),"TAGAYTAY")</f>
        <v>TAGAYTAY</v>
      </c>
      <c r="S621" s="1" t="str">
        <f>IFERROR(__xludf.DUMMYFUNCTION("""COMPUTED_VALUE"""),"FIBR PLAN 1399")</f>
        <v>FIBR PLAN 1399</v>
      </c>
      <c r="T621" s="1" t="str">
        <f>IFERROR(__xludf.DUMMYFUNCTION("""COMPUTED_VALUE"""),"APPROVED")</f>
        <v>APPROVED</v>
      </c>
      <c r="U621" s="1"/>
      <c r="V621" s="1"/>
      <c r="W621" s="1"/>
    </row>
    <row r="622" customHeight="1" spans="1:23">
      <c r="A622" s="3">
        <f>IFERROR(__xludf.DUMMYFUNCTION("""COMPUTED_VALUE"""),46082)</f>
        <v>46082</v>
      </c>
      <c r="B622" s="1" t="str">
        <f>IFERROR(__xludf.DUMMYFUNCTION("""COMPUTED_VALUE"""),"GABAY, MANUEL")</f>
        <v>GABAY, MANUEL</v>
      </c>
      <c r="C622" s="1" t="str">
        <f>IFERROR(__xludf.DUMMYFUNCTION("""COMPUTED_VALUE"""),"FLA")</f>
        <v>FLA</v>
      </c>
      <c r="D622" s="1" t="str">
        <f>IFERROR(__xludf.DUMMYFUNCTION("""COMPUTED_VALUE"""),"JERIC NAVARRO")</f>
        <v>JERIC NAVARRO</v>
      </c>
      <c r="E622" s="1" t="str">
        <f>IFERROR(__xludf.DUMMYFUNCTION("""COMPUTED_VALUE"""),"PLDT")</f>
        <v>PLDT</v>
      </c>
      <c r="F622" s="1">
        <f>IFERROR(__xludf.DUMMYFUNCTION("""COMPUTED_VALUE"""),2307345221)</f>
        <v>2307345221</v>
      </c>
      <c r="G622" s="1"/>
      <c r="H622" s="1" t="str">
        <f>IFERROR(__xludf.DUMMYFUNCTION("""COMPUTED_VALUE"""),"GERMAN VERANA LICMUAN")</f>
        <v>GERMAN VERANA LICMUAN</v>
      </c>
      <c r="I622" s="1">
        <f>IFERROR(__xludf.DUMMYFUNCTION("""COMPUTED_VALUE"""),9164261916)</f>
        <v>9164261916</v>
      </c>
      <c r="J622" s="1">
        <f>IFERROR(__xludf.DUMMYFUNCTION("""COMPUTED_VALUE"""),9652758423)</f>
        <v>9652758423</v>
      </c>
      <c r="K622" s="1" t="str">
        <f>IFERROR(__xludf.DUMMYFUNCTION("""COMPUTED_VALUE"""),"LICMUANGERMAN28@GMAIL.COM")</f>
        <v>LICMUANGERMAN28@GMAIL.COM</v>
      </c>
      <c r="L622" s="1" t="str">
        <f>IFERROR(__xludf.DUMMYFUNCTION("""COMPUTED_VALUE"""),"9103C")</f>
        <v>9103C</v>
      </c>
      <c r="M622" s="1" t="str">
        <f>IFERROR(__xludf.DUMMYFUNCTION("""COMPUTED_VALUE"""),"SITIO HANOPOL")</f>
        <v>SITIO HANOPOL</v>
      </c>
      <c r="N622" s="1"/>
      <c r="O622" s="1" t="str">
        <f>IFERROR(__xludf.DUMMYFUNCTION("""COMPUTED_VALUE"""),"SILLP639NP1-8")</f>
        <v>SILLP639NP1-8</v>
      </c>
      <c r="P622" s="1"/>
      <c r="Q622" s="1" t="str">
        <f>IFERROR(__xludf.DUMMYFUNCTION("""COMPUTED_VALUE"""),"KAONG")</f>
        <v>KAONG</v>
      </c>
      <c r="R622" s="1" t="str">
        <f>IFERROR(__xludf.DUMMYFUNCTION("""COMPUTED_VALUE"""),"SILANG")</f>
        <v>SILANG</v>
      </c>
      <c r="S622" s="1" t="str">
        <f>IFERROR(__xludf.DUMMYFUNCTION("""COMPUTED_VALUE"""),"CAVITE")</f>
        <v>CAVITE</v>
      </c>
      <c r="T622" s="1" t="str">
        <f>IFERROR(__xludf.DUMMYFUNCTION("""COMPUTED_VALUE"""),"SWITCH PLAN 1399")</f>
        <v>SWITCH PLAN 1399</v>
      </c>
      <c r="U622" s="1" t="str">
        <f>IFERROR(__xludf.DUMMYFUNCTION("""COMPUTED_VALUE"""),"APPROVED")</f>
        <v>APPROVED</v>
      </c>
      <c r="V622" s="1"/>
      <c r="W622" s="1"/>
    </row>
    <row r="623" customHeight="1" spans="1:23">
      <c r="A623" s="3">
        <f>IFERROR(__xludf.DUMMYFUNCTION("""COMPUTED_VALUE"""),46082)</f>
        <v>46082</v>
      </c>
      <c r="B623" s="1" t="str">
        <f>IFERROR(__xludf.DUMMYFUNCTION("""COMPUTED_VALUE"""),"GABAY, MANUEL")</f>
        <v>GABAY, MANUEL</v>
      </c>
      <c r="C623" s="1" t="str">
        <f>IFERROR(__xludf.DUMMYFUNCTION("""COMPUTED_VALUE"""),"FLA")</f>
        <v>FLA</v>
      </c>
      <c r="D623" s="1" t="str">
        <f>IFERROR(__xludf.DUMMYFUNCTION("""COMPUTED_VALUE"""),"JERIC NAVARRO")</f>
        <v>JERIC NAVARRO</v>
      </c>
      <c r="E623" s="1" t="str">
        <f>IFERROR(__xludf.DUMMYFUNCTION("""COMPUTED_VALUE"""),"PLDT")</f>
        <v>PLDT</v>
      </c>
      <c r="F623" s="1">
        <f>IFERROR(__xludf.DUMMYFUNCTION("""COMPUTED_VALUE"""),2307345728)</f>
        <v>2307345728</v>
      </c>
      <c r="G623" s="1"/>
      <c r="H623" s="1" t="str">
        <f>IFERROR(__xludf.DUMMYFUNCTION("""COMPUTED_VALUE"""),"MARYGRACE MANGUE CONTRERAS")</f>
        <v>MARYGRACE MANGUE CONTRERAS</v>
      </c>
      <c r="I623" s="1">
        <f>IFERROR(__xludf.DUMMYFUNCTION("""COMPUTED_VALUE"""),9090744013)</f>
        <v>9090744013</v>
      </c>
      <c r="J623" s="1">
        <f>IFERROR(__xludf.DUMMYFUNCTION("""COMPUTED_VALUE"""),9551120060)</f>
        <v>9551120060</v>
      </c>
      <c r="K623" s="1" t="str">
        <f>IFERROR(__xludf.DUMMYFUNCTION("""COMPUTED_VALUE"""),"CONTRERASGRACE@GMAIL.COM")</f>
        <v>CONTRERASGRACE@GMAIL.COM</v>
      </c>
      <c r="L623" s="1" t="str">
        <f>IFERROR(__xludf.DUMMYFUNCTION("""COMPUTED_VALUE"""),"BLK 35 LOT 5")</f>
        <v>BLK 35 LOT 5</v>
      </c>
      <c r="M623" s="1" t="str">
        <f>IFERROR(__xludf.DUMMYFUNCTION("""COMPUTED_VALUE"""),"PHASE 3")</f>
        <v>PHASE 3</v>
      </c>
      <c r="N623" s="1"/>
      <c r="O623" s="1" t="str">
        <f>IFERROR(__xludf.DUMMYFUNCTION("""COMPUTED_VALUE"""),"SILLP588NP6 SILLP66NP6")</f>
        <v>SILLP588NP6 SILLP66NP6</v>
      </c>
      <c r="P623" s="1" t="str">
        <f>IFERROR(__xludf.DUMMYFUNCTION("""COMPUTED_VALUE"""),"14.269781 120.997460")</f>
        <v>14.269781 120.997460</v>
      </c>
      <c r="Q623" s="1" t="str">
        <f>IFERROR(__xludf.DUMMYFUNCTION("""COMPUTED_VALUE"""),"YAKAL")</f>
        <v>YAKAL</v>
      </c>
      <c r="R623" s="1" t="str">
        <f>IFERROR(__xludf.DUMMYFUNCTION("""COMPUTED_VALUE"""),"SILANG")</f>
        <v>SILANG</v>
      </c>
      <c r="S623" s="1" t="str">
        <f>IFERROR(__xludf.DUMMYFUNCTION("""COMPUTED_VALUE"""),"CAVITE")</f>
        <v>CAVITE</v>
      </c>
      <c r="T623" s="1" t="str">
        <f>IFERROR(__xludf.DUMMYFUNCTION("""COMPUTED_VALUE"""),"PLAN 1399")</f>
        <v>PLAN 1399</v>
      </c>
      <c r="U623" s="1" t="str">
        <f>IFERROR(__xludf.DUMMYFUNCTION("""COMPUTED_VALUE"""),"APPROVED")</f>
        <v>APPROVED</v>
      </c>
      <c r="V623" s="1"/>
      <c r="W623" s="1"/>
    </row>
    <row r="624" customHeight="1" spans="1:23">
      <c r="A624" s="3">
        <f>IFERROR(__xludf.DUMMYFUNCTION("""COMPUTED_VALUE"""),46082)</f>
        <v>46082</v>
      </c>
      <c r="B624" s="1" t="str">
        <f>IFERROR(__xludf.DUMMYFUNCTION("""COMPUTED_VALUE"""),"DE LEON, MERLY")</f>
        <v>DE LEON, MERLY</v>
      </c>
      <c r="C624" s="1" t="str">
        <f>IFERROR(__xludf.DUMMYFUNCTION("""COMPUTED_VALUE"""),"ORGANIC")</f>
        <v>ORGANIC</v>
      </c>
      <c r="D624" s="1" t="str">
        <f>IFERROR(__xludf.DUMMYFUNCTION("""COMPUTED_VALUE"""),"REMOLLO LEA")</f>
        <v>REMOLLO LEA</v>
      </c>
      <c r="E624" s="1" t="str">
        <f>IFERROR(__xludf.DUMMYFUNCTION("""COMPUTED_VALUE"""),"PLDT")</f>
        <v>PLDT</v>
      </c>
      <c r="F624" s="1">
        <f>IFERROR(__xludf.DUMMYFUNCTION("""COMPUTED_VALUE"""),2307348337)</f>
        <v>2307348337</v>
      </c>
      <c r="G624" s="1"/>
      <c r="H624" s="1" t="str">
        <f>IFERROR(__xludf.DUMMYFUNCTION("""COMPUTED_VALUE"""),"SUZETTE PAULINE BALSAMO SAMERA")</f>
        <v>SUZETTE PAULINE BALSAMO SAMERA</v>
      </c>
      <c r="I624" s="1">
        <f>IFERROR(__xludf.DUMMYFUNCTION("""COMPUTED_VALUE"""),9627374029)</f>
        <v>9627374029</v>
      </c>
      <c r="J624" s="1">
        <f>IFERROR(__xludf.DUMMYFUNCTION("""COMPUTED_VALUE"""),9123674787)</f>
        <v>9123674787</v>
      </c>
      <c r="K624" s="1" t="str">
        <f>IFERROR(__xludf.DUMMYFUNCTION("""COMPUTED_VALUE"""),"SSUZETTEPAULINE@GMAIL.COM")</f>
        <v>SSUZETTEPAULINE@GMAIL.COM</v>
      </c>
      <c r="L624" s="1" t="str">
        <f>IFERROR(__xludf.DUMMYFUNCTION("""COMPUTED_VALUE"""),"68")</f>
        <v>68</v>
      </c>
      <c r="M624" s="1" t="str">
        <f>IFERROR(__xludf.DUMMYFUNCTION("""COMPUTED_VALUE"""),"SITIO GITNA")</f>
        <v>SITIO GITNA</v>
      </c>
      <c r="N624" s="1"/>
      <c r="O624" s="1" t="str">
        <f>IFERROR(__xludf.DUMMYFUNCTION("""COMPUTED_VALUE"""),"SILLP78NP1/3/5/7 SILLP630NP3/4/5")</f>
        <v>SILLP78NP1/3/5/7 SILLP630NP3/4/5</v>
      </c>
      <c r="P624" s="1" t="str">
        <f>IFERROR(__xludf.DUMMYFUNCTION("""COMPUTED_VALUE"""),"14.228154 121.001481")</f>
        <v>14.228154 121.001481</v>
      </c>
      <c r="Q624" s="1" t="str">
        <f>IFERROR(__xludf.DUMMYFUNCTION("""COMPUTED_VALUE"""),"TIBIG")</f>
        <v>TIBIG</v>
      </c>
      <c r="R624" s="1" t="str">
        <f>IFERROR(__xludf.DUMMYFUNCTION("""COMPUTED_VALUE"""),"SILANG")</f>
        <v>SILANG</v>
      </c>
      <c r="S624" s="1" t="str">
        <f>IFERROR(__xludf.DUMMYFUNCTION("""COMPUTED_VALUE"""),"CAVITE")</f>
        <v>CAVITE</v>
      </c>
      <c r="T624" s="1" t="str">
        <f>IFERROR(__xludf.DUMMYFUNCTION("""COMPUTED_VALUE"""),"PLAN 1299")</f>
        <v>PLAN 1299</v>
      </c>
      <c r="U624" s="1" t="str">
        <f>IFERROR(__xludf.DUMMYFUNCTION("""COMPUTED_VALUE"""),"APPROVED")</f>
        <v>APPROVED</v>
      </c>
      <c r="V624" s="1"/>
      <c r="W624" s="1"/>
    </row>
    <row r="625" customHeight="1" spans="1:23">
      <c r="A625" s="3">
        <f>IFERROR(__xludf.DUMMYFUNCTION("""COMPUTED_VALUE"""),46082)</f>
        <v>46082</v>
      </c>
      <c r="B625" s="1" t="str">
        <f>IFERROR(__xludf.DUMMYFUNCTION("""COMPUTED_VALUE"""),"CANTANERO JUNEL")</f>
        <v>CANTANERO JUNEL</v>
      </c>
      <c r="C625" s="1" t="str">
        <f>IFERROR(__xludf.DUMMYFUNCTION("""COMPUTED_VALUE"""),"ORGANIC")</f>
        <v>ORGANIC</v>
      </c>
      <c r="D625" s="1" t="str">
        <f>IFERROR(__xludf.DUMMYFUNCTION("""COMPUTED_VALUE"""),"REMOLLO LEA")</f>
        <v>REMOLLO LEA</v>
      </c>
      <c r="E625" s="1" t="str">
        <f>IFERROR(__xludf.DUMMYFUNCTION("""COMPUTED_VALUE"""),"PLDT")</f>
        <v>PLDT</v>
      </c>
      <c r="F625" s="1">
        <f>IFERROR(__xludf.DUMMYFUNCTION("""COMPUTED_VALUE"""),2307348695)</f>
        <v>2307348695</v>
      </c>
      <c r="G625" s="1"/>
      <c r="H625" s="1" t="str">
        <f>IFERROR(__xludf.DUMMYFUNCTION("""COMPUTED_VALUE"""),"SHAIRA TAM CASTRO")</f>
        <v>SHAIRA TAM CASTRO</v>
      </c>
      <c r="I625" s="1">
        <f>IFERROR(__xludf.DUMMYFUNCTION("""COMPUTED_VALUE"""),9108189362)</f>
        <v>9108189362</v>
      </c>
      <c r="J625" s="1"/>
      <c r="K625" s="1" t="str">
        <f>IFERROR(__xludf.DUMMYFUNCTION("""COMPUTED_VALUE"""),"ZHAITAM@GMAIL.COM")</f>
        <v>ZHAITAM@GMAIL.COM</v>
      </c>
      <c r="L625" s="1" t="str">
        <f>IFERROR(__xludf.DUMMYFUNCTION("""COMPUTED_VALUE"""),"69")</f>
        <v>69</v>
      </c>
      <c r="M625" s="1" t="str">
        <f>IFERROR(__xludf.DUMMYFUNCTION("""COMPUTED_VALUE"""),"TIBIG RD")</f>
        <v>TIBIG RD</v>
      </c>
      <c r="N625" s="1"/>
      <c r="O625" s="1" t="str">
        <f>IFERROR(__xludf.DUMMYFUNCTION("""COMPUTED_VALUE"""),"SILLP78NP1/3/5/7 SILLP630NP3/4/5")</f>
        <v>SILLP78NP1/3/5/7 SILLP630NP3/4/5</v>
      </c>
      <c r="P625" s="1" t="str">
        <f>IFERROR(__xludf.DUMMYFUNCTION("""COMPUTED_VALUE"""),"14.228386 121.001351")</f>
        <v>14.228386 121.001351</v>
      </c>
      <c r="Q625" s="1" t="str">
        <f>IFERROR(__xludf.DUMMYFUNCTION("""COMPUTED_VALUE"""),"TIBIG")</f>
        <v>TIBIG</v>
      </c>
      <c r="R625" s="1" t="str">
        <f>IFERROR(__xludf.DUMMYFUNCTION("""COMPUTED_VALUE"""),"SILANG")</f>
        <v>SILANG</v>
      </c>
      <c r="S625" s="1" t="str">
        <f>IFERROR(__xludf.DUMMYFUNCTION("""COMPUTED_VALUE"""),"CAVITE")</f>
        <v>CAVITE</v>
      </c>
      <c r="T625" s="1" t="str">
        <f>IFERROR(__xludf.DUMMYFUNCTION("""COMPUTED_VALUE"""),"PLAN 1599")</f>
        <v>PLAN 1599</v>
      </c>
      <c r="U625" s="1" t="str">
        <f>IFERROR(__xludf.DUMMYFUNCTION("""COMPUTED_VALUE"""),"APPROVED")</f>
        <v>APPROVED</v>
      </c>
      <c r="V625" s="1"/>
      <c r="W625" s="1"/>
    </row>
    <row r="626" customHeight="1" spans="1:23">
      <c r="A626" s="3">
        <f>IFERROR(__xludf.DUMMYFUNCTION("""COMPUTED_VALUE"""),46082)</f>
        <v>46082</v>
      </c>
      <c r="B626" s="1" t="str">
        <f>IFERROR(__xludf.DUMMYFUNCTION("""COMPUTED_VALUE"""),"MALIWAT MARK ELVIN")</f>
        <v>MALIWAT MARK ELVIN</v>
      </c>
      <c r="C626" s="1" t="str">
        <f>IFERROR(__xludf.DUMMYFUNCTION("""COMPUTED_VALUE"""),"FLA")</f>
        <v>FLA</v>
      </c>
      <c r="D626" s="1" t="str">
        <f>IFERROR(__xludf.DUMMYFUNCTION("""COMPUTED_VALUE"""),"JERIC NAVARRO")</f>
        <v>JERIC NAVARRO</v>
      </c>
      <c r="E626" s="1" t="str">
        <f>IFERROR(__xludf.DUMMYFUNCTION("""COMPUTED_VALUE"""),"PLDT")</f>
        <v>PLDT</v>
      </c>
      <c r="F626" s="1">
        <f>IFERROR(__xludf.DUMMYFUNCTION("""COMPUTED_VALUE"""),2307349005)</f>
        <v>2307349005</v>
      </c>
      <c r="G626" s="1"/>
      <c r="H626" s="1" t="str">
        <f>IFERROR(__xludf.DUMMYFUNCTION("""COMPUTED_VALUE"""),"KIMBERLY ROSALES AGOSTO")</f>
        <v>KIMBERLY ROSALES AGOSTO</v>
      </c>
      <c r="I626" s="1">
        <f>IFERROR(__xludf.DUMMYFUNCTION("""COMPUTED_VALUE"""),9262829653)</f>
        <v>9262829653</v>
      </c>
      <c r="J626" s="1">
        <f>IFERROR(__xludf.DUMMYFUNCTION("""COMPUTED_VALUE"""),9272320238)</f>
        <v>9272320238</v>
      </c>
      <c r="K626" s="1" t="str">
        <f>IFERROR(__xludf.DUMMYFUNCTION("""COMPUTED_VALUE"""),"KIMBERLYAGOSTO31@GMAIL.COM")</f>
        <v>KIMBERLYAGOSTO31@GMAIL.COM</v>
      </c>
      <c r="L626" s="1" t="str">
        <f>IFERROR(__xludf.DUMMYFUNCTION("""COMPUTED_VALUE"""),"BLK 19 LOT 9")</f>
        <v>BLK 19 LOT 9</v>
      </c>
      <c r="M626" s="1" t="str">
        <f>IFERROR(__xludf.DUMMYFUNCTION("""COMPUTED_VALUE"""),"CARNATION ST")</f>
        <v>CARNATION ST</v>
      </c>
      <c r="N626" s="1" t="str">
        <f>IFERROR(__xludf.DUMMYFUNCTION("""COMPUTED_VALUE"""),"CHRV")</f>
        <v>CHRV</v>
      </c>
      <c r="O626" s="1" t="str">
        <f>IFERROR(__xludf.DUMMYFUNCTION("""COMPUTED_VALUE"""),"DASLPE385NP5/6/7/8")</f>
        <v>DASLPE385NP5/6/7/8</v>
      </c>
      <c r="P626" s="1" t="str">
        <f>IFERROR(__xludf.DUMMYFUNCTION("""COMPUTED_VALUE"""),"14.309627 120.930367")</f>
        <v>14.309627 120.930367</v>
      </c>
      <c r="Q626" s="1" t="str">
        <f>IFERROR(__xludf.DUMMYFUNCTION("""COMPUTED_VALUE"""),"LANGKAAN II")</f>
        <v>LANGKAAN II</v>
      </c>
      <c r="R626" s="1" t="str">
        <f>IFERROR(__xludf.DUMMYFUNCTION("""COMPUTED_VALUE"""),"DASMARINAS")</f>
        <v>DASMARINAS</v>
      </c>
      <c r="S626" s="1" t="str">
        <f>IFERROR(__xludf.DUMMYFUNCTION("""COMPUTED_VALUE"""),"CAVITE")</f>
        <v>CAVITE</v>
      </c>
      <c r="T626" s="1" t="str">
        <f>IFERROR(__xludf.DUMMYFUNCTION("""COMPUTED_VALUE"""),"PLAN 1399")</f>
        <v>PLAN 1399</v>
      </c>
      <c r="U626" s="1" t="str">
        <f>IFERROR(__xludf.DUMMYFUNCTION("""COMPUTED_VALUE"""),"APPROVED")</f>
        <v>APPROVED</v>
      </c>
      <c r="V626" s="1"/>
      <c r="W626" s="1"/>
    </row>
    <row r="627" customHeight="1" spans="1:23">
      <c r="A627" s="3">
        <f>IFERROR(__xludf.DUMMYFUNCTION("""COMPUTED_VALUE"""),46082)</f>
        <v>46082</v>
      </c>
      <c r="B627" s="1" t="str">
        <f>IFERROR(__xludf.DUMMYFUNCTION("""COMPUTED_VALUE"""),"DELA ROSA, JENNELYN")</f>
        <v>DELA ROSA, JENNELYN</v>
      </c>
      <c r="C627" s="1" t="str">
        <f>IFERROR(__xludf.DUMMYFUNCTION("""COMPUTED_VALUE"""),"ORGANIC")</f>
        <v>ORGANIC</v>
      </c>
      <c r="D627" s="1" t="str">
        <f>IFERROR(__xludf.DUMMYFUNCTION("""COMPUTED_VALUE"""),"REMOLLO LEA")</f>
        <v>REMOLLO LEA</v>
      </c>
      <c r="E627" s="1" t="str">
        <f>IFERROR(__xludf.DUMMYFUNCTION("""COMPUTED_VALUE"""),"PLDT")</f>
        <v>PLDT</v>
      </c>
      <c r="F627" s="1">
        <f>IFERROR(__xludf.DUMMYFUNCTION("""COMPUTED_VALUE"""),2307349429)</f>
        <v>2307349429</v>
      </c>
      <c r="G627" s="1"/>
      <c r="H627" s="1" t="str">
        <f>IFERROR(__xludf.DUMMYFUNCTION("""COMPUTED_VALUE"""),"MARIO JR LOPENA MANALANSANG")</f>
        <v>MARIO JR LOPENA MANALANSANG</v>
      </c>
      <c r="I627" s="1">
        <f>IFERROR(__xludf.DUMMYFUNCTION("""COMPUTED_VALUE"""),9169916925)</f>
        <v>9169916925</v>
      </c>
      <c r="J627" s="1"/>
      <c r="K627" s="1" t="str">
        <f>IFERROR(__xludf.DUMMYFUNCTION("""COMPUTED_VALUE"""),"WHOOLYWOOPS25@GMAIL.COM")</f>
        <v>WHOOLYWOOPS25@GMAIL.COM</v>
      </c>
      <c r="L627" s="1" t="str">
        <f>IFERROR(__xludf.DUMMYFUNCTION("""COMPUTED_VALUE"""),"19")</f>
        <v>19</v>
      </c>
      <c r="M627" s="1" t="str">
        <f>IFERROR(__xludf.DUMMYFUNCTION("""COMPUTED_VALUE"""),"ALILIO DRIVE")</f>
        <v>ALILIO DRIVE</v>
      </c>
      <c r="N627" s="1"/>
      <c r="O627" s="1" t="str">
        <f>IFERROR(__xludf.DUMMYFUNCTION("""COMPUTED_VALUE"""),"ALFLP65NP1/2/3")</f>
        <v>ALFLP65NP1/2/3</v>
      </c>
      <c r="P627" s="1" t="str">
        <f>IFERROR(__xludf.DUMMYFUNCTION("""COMPUTED_VALUE"""),"14.083775 120.866805")</f>
        <v>14.083775 120.866805</v>
      </c>
      <c r="Q627" s="1" t="str">
        <f>IFERROR(__xludf.DUMMYFUNCTION("""COMPUTED_VALUE"""),"UPLI")</f>
        <v>UPLI</v>
      </c>
      <c r="R627" s="1" t="str">
        <f>IFERROR(__xludf.DUMMYFUNCTION("""COMPUTED_VALUE"""),"ALFONSO")</f>
        <v>ALFONSO</v>
      </c>
      <c r="S627" s="1" t="str">
        <f>IFERROR(__xludf.DUMMYFUNCTION("""COMPUTED_VALUE"""),"CAVITE")</f>
        <v>CAVITE</v>
      </c>
      <c r="T627" s="1" t="str">
        <f>IFERROR(__xludf.DUMMYFUNCTION("""COMPUTED_VALUE"""),"PLAN 1399")</f>
        <v>PLAN 1399</v>
      </c>
      <c r="U627" s="1" t="str">
        <f>IFERROR(__xludf.DUMMYFUNCTION("""COMPUTED_VALUE"""),"APPROVED")</f>
        <v>APPROVED</v>
      </c>
      <c r="V627" s="1"/>
      <c r="W627" s="1"/>
    </row>
    <row r="628" customHeight="1" spans="1:23">
      <c r="A628" s="3">
        <f>IFERROR(__xludf.DUMMYFUNCTION("""COMPUTED_VALUE"""),46082)</f>
        <v>46082</v>
      </c>
      <c r="B628" s="1" t="str">
        <f>IFERROR(__xludf.DUMMYFUNCTION("""COMPUTED_VALUE"""),"CANTANERO JUNEL")</f>
        <v>CANTANERO JUNEL</v>
      </c>
      <c r="C628" s="1" t="str">
        <f>IFERROR(__xludf.DUMMYFUNCTION("""COMPUTED_VALUE"""),"ORGANIC")</f>
        <v>ORGANIC</v>
      </c>
      <c r="D628" s="1" t="str">
        <f>IFERROR(__xludf.DUMMYFUNCTION("""COMPUTED_VALUE"""),"REMOLLO LEA")</f>
        <v>REMOLLO LEA</v>
      </c>
      <c r="E628" s="1" t="str">
        <f>IFERROR(__xludf.DUMMYFUNCTION("""COMPUTED_VALUE"""),"PLDT")</f>
        <v>PLDT</v>
      </c>
      <c r="F628" s="1">
        <f>IFERROR(__xludf.DUMMYFUNCTION("""COMPUTED_VALUE"""),2307351350)</f>
        <v>2307351350</v>
      </c>
      <c r="G628" s="1"/>
      <c r="H628" s="1" t="str">
        <f>IFERROR(__xludf.DUMMYFUNCTION("""COMPUTED_VALUE"""),"MEL CRISTOPER VERANDA VELANDO")</f>
        <v>MEL CRISTOPER VERANDA VELANDO</v>
      </c>
      <c r="I628" s="1">
        <f>IFERROR(__xludf.DUMMYFUNCTION("""COMPUTED_VALUE"""),9944696151)</f>
        <v>9944696151</v>
      </c>
      <c r="J628" s="1"/>
      <c r="K628" s="1" t="str">
        <f>IFERROR(__xludf.DUMMYFUNCTION("""COMPUTED_VALUE"""),"VELANDOMEL45@GMAIL.COM")</f>
        <v>VELANDOMEL45@GMAIL.COM</v>
      </c>
      <c r="L628" s="1" t="str">
        <f>IFERROR(__xludf.DUMMYFUNCTION("""COMPUTED_VALUE"""),"40")</f>
        <v>40</v>
      </c>
      <c r="M628" s="1" t="str">
        <f>IFERROR(__xludf.DUMMYFUNCTION("""COMPUTED_VALUE"""),"SITIO GITNA")</f>
        <v>SITIO GITNA</v>
      </c>
      <c r="N628" s="1"/>
      <c r="O628" s="1" t="str">
        <f>IFERROR(__xludf.DUMMYFUNCTION("""COMPUTED_VALUE"""),"SILLP78NP1/3/5/7 SILLP630NP3/4/5")</f>
        <v>SILLP78NP1/3/5/7 SILLP630NP3/4/5</v>
      </c>
      <c r="P628" s="1" t="str">
        <f>IFERROR(__xludf.DUMMYFUNCTION("""COMPUTED_VALUE"""),"14.228214 121.001657")</f>
        <v>14.228214 121.001657</v>
      </c>
      <c r="Q628" s="1" t="str">
        <f>IFERROR(__xludf.DUMMYFUNCTION("""COMPUTED_VALUE"""),"TIBIG")</f>
        <v>TIBIG</v>
      </c>
      <c r="R628" s="1" t="str">
        <f>IFERROR(__xludf.DUMMYFUNCTION("""COMPUTED_VALUE"""),"SILANG")</f>
        <v>SILANG</v>
      </c>
      <c r="S628" s="1" t="str">
        <f>IFERROR(__xludf.DUMMYFUNCTION("""COMPUTED_VALUE"""),"CAVITE")</f>
        <v>CAVITE</v>
      </c>
      <c r="T628" s="1" t="str">
        <f>IFERROR(__xludf.DUMMYFUNCTION("""COMPUTED_VALUE"""),"PREPAID")</f>
        <v>PREPAID</v>
      </c>
      <c r="U628" s="1" t="str">
        <f>IFERROR(__xludf.DUMMYFUNCTION("""COMPUTED_VALUE"""),"APPROVED")</f>
        <v>APPROVED</v>
      </c>
      <c r="V628" s="1"/>
      <c r="W628" s="1"/>
    </row>
    <row r="629" customHeight="1" spans="1:23">
      <c r="A629" s="3">
        <f>IFERROR(__xludf.DUMMYFUNCTION("""COMPUTED_VALUE"""),46082)</f>
        <v>46082</v>
      </c>
      <c r="B629" s="1" t="str">
        <f>IFERROR(__xludf.DUMMYFUNCTION("""COMPUTED_VALUE"""),"GABAY, MANUEL")</f>
        <v>GABAY, MANUEL</v>
      </c>
      <c r="C629" s="1" t="str">
        <f>IFERROR(__xludf.DUMMYFUNCTION("""COMPUTED_VALUE"""),"FLA")</f>
        <v>FLA</v>
      </c>
      <c r="D629" s="1" t="str">
        <f>IFERROR(__xludf.DUMMYFUNCTION("""COMPUTED_VALUE"""),"JERIC NAVARRO")</f>
        <v>JERIC NAVARRO</v>
      </c>
      <c r="E629" s="1" t="str">
        <f>IFERROR(__xludf.DUMMYFUNCTION("""COMPUTED_VALUE"""),"PLDT")</f>
        <v>PLDT</v>
      </c>
      <c r="F629" s="1">
        <f>IFERROR(__xludf.DUMMYFUNCTION("""COMPUTED_VALUE"""),2307349958)</f>
        <v>2307349958</v>
      </c>
      <c r="G629" s="1"/>
      <c r="H629" s="1" t="str">
        <f>IFERROR(__xludf.DUMMYFUNCTION("""COMPUTED_VALUE"""),"GINA BALILA CORNEL")</f>
        <v>GINA BALILA CORNEL</v>
      </c>
      <c r="I629" s="1">
        <f>IFERROR(__xludf.DUMMYFUNCTION("""COMPUTED_VALUE"""),9487034762)</f>
        <v>9487034762</v>
      </c>
      <c r="J629" s="1">
        <f>IFERROR(__xludf.DUMMYFUNCTION("""COMPUTED_VALUE"""),9977127653)</f>
        <v>9977127653</v>
      </c>
      <c r="K629" s="1" t="str">
        <f>IFERROR(__xludf.DUMMYFUNCTION("""COMPUTED_VALUE"""),"GINAVIDALLO19@GMAIL.COM")</f>
        <v>GINAVIDALLO19@GMAIL.COM</v>
      </c>
      <c r="L629" s="1" t="str">
        <f>IFERROR(__xludf.DUMMYFUNCTION("""COMPUTED_VALUE"""),"25")</f>
        <v>25</v>
      </c>
      <c r="M629" s="1" t="str">
        <f>IFERROR(__xludf.DUMMYFUNCTION("""COMPUTED_VALUE"""),"IBAYONG ILAT")</f>
        <v>IBAYONG ILAT</v>
      </c>
      <c r="N629" s="1"/>
      <c r="O629" s="1" t="str">
        <f>IFERROR(__xludf.DUMMYFUNCTION("""COMPUTED_VALUE"""),"SILLP639NP4/5/6/3")</f>
        <v>SILLP639NP4/5/6/3</v>
      </c>
      <c r="P629" s="1" t="str">
        <f>IFERROR(__xludf.DUMMYFUNCTION("""COMPUTED_VALUE"""),"14.250105 121.002290")</f>
        <v>14.250105 121.002290</v>
      </c>
      <c r="Q629" s="1" t="str">
        <f>IFERROR(__xludf.DUMMYFUNCTION("""COMPUTED_VALUE"""),"KAONG")</f>
        <v>KAONG</v>
      </c>
      <c r="R629" s="1" t="str">
        <f>IFERROR(__xludf.DUMMYFUNCTION("""COMPUTED_VALUE"""),"SILANG")</f>
        <v>SILANG</v>
      </c>
      <c r="S629" s="1" t="str">
        <f>IFERROR(__xludf.DUMMYFUNCTION("""COMPUTED_VALUE"""),"CAVITE")</f>
        <v>CAVITE</v>
      </c>
      <c r="T629" s="1" t="str">
        <f>IFERROR(__xludf.DUMMYFUNCTION("""COMPUTED_VALUE"""),"PLAN 1599")</f>
        <v>PLAN 1599</v>
      </c>
      <c r="U629" s="1" t="str">
        <f>IFERROR(__xludf.DUMMYFUNCTION("""COMPUTED_VALUE"""),"APPROVED")</f>
        <v>APPROVED</v>
      </c>
      <c r="V629" s="1"/>
      <c r="W629" s="1"/>
    </row>
    <row r="630" customHeight="1" spans="1:23">
      <c r="A630" s="3">
        <f>IFERROR(__xludf.DUMMYFUNCTION("""COMPUTED_VALUE"""),46082)</f>
        <v>46082</v>
      </c>
      <c r="B630" s="1" t="str">
        <f>IFERROR(__xludf.DUMMYFUNCTION("""COMPUTED_VALUE"""),"MIRASOL, RAYRALYN")</f>
        <v>MIRASOL, RAYRALYN</v>
      </c>
      <c r="C630" s="1" t="str">
        <f>IFERROR(__xludf.DUMMYFUNCTION("""COMPUTED_VALUE"""),"ORGANIC")</f>
        <v>ORGANIC</v>
      </c>
      <c r="D630" s="1" t="str">
        <f>IFERROR(__xludf.DUMMYFUNCTION("""COMPUTED_VALUE"""),"REMOLLO LEA")</f>
        <v>REMOLLO LEA</v>
      </c>
      <c r="E630" s="1" t="str">
        <f>IFERROR(__xludf.DUMMYFUNCTION("""COMPUTED_VALUE"""),"PLDT")</f>
        <v>PLDT</v>
      </c>
      <c r="F630" s="1">
        <f>IFERROR(__xludf.DUMMYFUNCTION("""COMPUTED_VALUE"""),2307350430)</f>
        <v>2307350430</v>
      </c>
      <c r="G630" s="1"/>
      <c r="H630" s="1" t="str">
        <f>IFERROR(__xludf.DUMMYFUNCTION("""COMPUTED_VALUE"""),"CRISTINE ALBORO SABALBORO")</f>
        <v>CRISTINE ALBORO SABALBORO</v>
      </c>
      <c r="I630" s="1">
        <f>IFERROR(__xludf.DUMMYFUNCTION("""COMPUTED_VALUE"""),9125695012)</f>
        <v>9125695012</v>
      </c>
      <c r="J630" s="1">
        <f>IFERROR(__xludf.DUMMYFUNCTION("""COMPUTED_VALUE"""),9162110496)</f>
        <v>9162110496</v>
      </c>
      <c r="K630" s="1" t="str">
        <f>IFERROR(__xludf.DUMMYFUNCTION("""COMPUTED_VALUE"""),"CHRISTINESABALBORO08@GMAIL.COM")</f>
        <v>CHRISTINESABALBORO08@GMAIL.COM</v>
      </c>
      <c r="L630" s="1" t="str">
        <f>IFERROR(__xludf.DUMMYFUNCTION("""COMPUTED_VALUE"""),"BLK 14 LOT 13")</f>
        <v>BLK 14 LOT 13</v>
      </c>
      <c r="M630" s="1" t="str">
        <f>IFERROR(__xludf.DUMMYFUNCTION("""COMPUTED_VALUE"""),"ZONE 1")</f>
        <v>ZONE 1</v>
      </c>
      <c r="N630" s="1"/>
      <c r="O630" s="1" t="str">
        <f>IFERROR(__xludf.DUMMYFUNCTION("""COMPUTED_VALUE"""),"SILLP527NP1/7")</f>
        <v>SILLP527NP1/7</v>
      </c>
      <c r="P630" s="1"/>
      <c r="Q630" s="1" t="str">
        <f>IFERROR(__xludf.DUMMYFUNCTION("""COMPUTED_VALUE"""),"BULIHAN")</f>
        <v>BULIHAN</v>
      </c>
      <c r="R630" s="1" t="str">
        <f>IFERROR(__xludf.DUMMYFUNCTION("""COMPUTED_VALUE"""),"SILANG")</f>
        <v>SILANG</v>
      </c>
      <c r="S630" s="1" t="str">
        <f>IFERROR(__xludf.DUMMYFUNCTION("""COMPUTED_VALUE"""),"CAVITE")</f>
        <v>CAVITE</v>
      </c>
      <c r="T630" s="1" t="str">
        <f>IFERROR(__xludf.DUMMYFUNCTION("""COMPUTED_VALUE"""),"PLAN 1399")</f>
        <v>PLAN 1399</v>
      </c>
      <c r="U630" s="1" t="str">
        <f>IFERROR(__xludf.DUMMYFUNCTION("""COMPUTED_VALUE"""),"APPROVED")</f>
        <v>APPROVED</v>
      </c>
      <c r="V630" s="1"/>
      <c r="W630" s="1"/>
    </row>
    <row r="631" customHeight="1" spans="1:23">
      <c r="A631" s="3">
        <f>IFERROR(__xludf.DUMMYFUNCTION("""COMPUTED_VALUE"""),46082)</f>
        <v>46082</v>
      </c>
      <c r="B631" s="1" t="str">
        <f>IFERROR(__xludf.DUMMYFUNCTION("""COMPUTED_VALUE"""),"NAVARRO, JERIC")</f>
        <v>NAVARRO, JERIC</v>
      </c>
      <c r="C631" s="1" t="str">
        <f>IFERROR(__xludf.DUMMYFUNCTION("""COMPUTED_VALUE"""),"FLA")</f>
        <v>FLA</v>
      </c>
      <c r="D631" s="1" t="str">
        <f>IFERROR(__xludf.DUMMYFUNCTION("""COMPUTED_VALUE"""),"JERIC NAVARRO")</f>
        <v>JERIC NAVARRO</v>
      </c>
      <c r="E631" s="1" t="str">
        <f>IFERROR(__xludf.DUMMYFUNCTION("""COMPUTED_VALUE"""),"PLDT")</f>
        <v>PLDT</v>
      </c>
      <c r="F631" s="1">
        <f>IFERROR(__xludf.DUMMYFUNCTION("""COMPUTED_VALUE"""),2307367556)</f>
        <v>2307367556</v>
      </c>
      <c r="G631" s="1"/>
      <c r="H631" s="1" t="str">
        <f>IFERROR(__xludf.DUMMYFUNCTION("""COMPUTED_VALUE"""),"REGINA DEONEZA SALE")</f>
        <v>REGINA DEONEZA SALE</v>
      </c>
      <c r="I631" s="1">
        <f>IFERROR(__xludf.DUMMYFUNCTION("""COMPUTED_VALUE"""),9519054869)</f>
        <v>9519054869</v>
      </c>
      <c r="J631" s="1">
        <f>IFERROR(__xludf.DUMMYFUNCTION("""COMPUTED_VALUE"""),9682941397)</f>
        <v>9682941397</v>
      </c>
      <c r="K631" s="1" t="str">
        <f>IFERROR(__xludf.DUMMYFUNCTION("""COMPUTED_VALUE"""),"REGINADEONZASALE@GMAIL.COM")</f>
        <v>REGINADEONZASALE@GMAIL.COM</v>
      </c>
      <c r="L631" s="1" t="str">
        <f>IFERROR(__xludf.DUMMYFUNCTION("""COMPUTED_VALUE"""),"354")</f>
        <v>354</v>
      </c>
      <c r="M631" s="1" t="str">
        <f>IFERROR(__xludf.DUMMYFUNCTION("""COMPUTED_VALUE"""),"BANABA ISLAND")</f>
        <v>BANABA ISLAND</v>
      </c>
      <c r="N631" s="1"/>
      <c r="O631" s="1" t="str">
        <f>IFERROR(__xludf.DUMMYFUNCTION("""COMPUTED_VALUE"""),"TNZLP53NP1/2/3")</f>
        <v>TNZLP53NP1/2/3</v>
      </c>
      <c r="P631" s="1" t="str">
        <f>IFERROR(__xludf.DUMMYFUNCTION("""COMPUTED_VALUE"""),"14.395040 120.847349")</f>
        <v>14.395040 120.847349</v>
      </c>
      <c r="Q631" s="1" t="str">
        <f>IFERROR(__xludf.DUMMYFUNCTION("""COMPUTED_VALUE"""),"DAANG AMAYA II")</f>
        <v>DAANG AMAYA II</v>
      </c>
      <c r="R631" s="1" t="str">
        <f>IFERROR(__xludf.DUMMYFUNCTION("""COMPUTED_VALUE"""),"TANZA")</f>
        <v>TANZA</v>
      </c>
      <c r="S631" s="1" t="str">
        <f>IFERROR(__xludf.DUMMYFUNCTION("""COMPUTED_VALUE"""),"CAVITE")</f>
        <v>CAVITE</v>
      </c>
      <c r="T631" s="1" t="str">
        <f>IFERROR(__xludf.DUMMYFUNCTION("""COMPUTED_VALUE"""),"PLAN 1299")</f>
        <v>PLAN 1299</v>
      </c>
      <c r="U631" s="1" t="str">
        <f>IFERROR(__xludf.DUMMYFUNCTION("""COMPUTED_VALUE"""),"APPROVED")</f>
        <v>APPROVED</v>
      </c>
      <c r="V631" s="1" t="str">
        <f>IFERROR(__xludf.DUMMYFUNCTION("""COMPUTED_VALUE"""),"PLS PROVIDE ID")</f>
        <v>PLS PROVIDE ID</v>
      </c>
      <c r="W631" s="1"/>
    </row>
    <row r="632" customHeight="1" spans="1:23">
      <c r="A632" s="3">
        <f>IFERROR(__xludf.DUMMYFUNCTION("""COMPUTED_VALUE"""),46082)</f>
        <v>46082</v>
      </c>
      <c r="B632" s="1" t="str">
        <f>IFERROR(__xludf.DUMMYFUNCTION("""COMPUTED_VALUE"""),"ESCARCHA, MA ALMA  ESCOTO")</f>
        <v>ESCARCHA, MA ALMA  ESCOTO</v>
      </c>
      <c r="C632" s="1" t="str">
        <f>IFERROR(__xludf.DUMMYFUNCTION("""COMPUTED_VALUE"""),"ORGANIC")</f>
        <v>ORGANIC</v>
      </c>
      <c r="D632" s="1" t="str">
        <f>IFERROR(__xludf.DUMMYFUNCTION("""COMPUTED_VALUE"""),"REMOLLO LEA")</f>
        <v>REMOLLO LEA</v>
      </c>
      <c r="E632" s="1" t="str">
        <f>IFERROR(__xludf.DUMMYFUNCTION("""COMPUTED_VALUE"""),"PLDT")</f>
        <v>PLDT</v>
      </c>
      <c r="F632" s="1"/>
      <c r="G632" s="1"/>
      <c r="H632" s="1" t="str">
        <f>IFERROR(__xludf.DUMMYFUNCTION("""COMPUTED_VALUE"""),"CHERRIELYN SEROT MAGNASE")</f>
        <v>CHERRIELYN SEROT MAGNASE</v>
      </c>
      <c r="I632" s="1">
        <f>IFERROR(__xludf.DUMMYFUNCTION("""COMPUTED_VALUE"""),9674402759)</f>
        <v>9674402759</v>
      </c>
      <c r="J632" s="1">
        <f>IFERROR(__xludf.DUMMYFUNCTION("""COMPUTED_VALUE"""),9632658975)</f>
        <v>9632658975</v>
      </c>
      <c r="K632" s="1" t="str">
        <f>IFERROR(__xludf.DUMMYFUNCTION("""COMPUTED_VALUE"""),"CHEMAGNASE87@GMAIL.COM")</f>
        <v>CHEMAGNASE87@GMAIL.COM</v>
      </c>
      <c r="L632" s="1" t="str">
        <f>IFERROR(__xludf.DUMMYFUNCTION("""COMPUTED_VALUE"""),"105")</f>
        <v>105</v>
      </c>
      <c r="M632" s="1" t="str">
        <f>IFERROR(__xludf.DUMMYFUNCTION("""COMPUTED_VALUE"""),"PUROK 6")</f>
        <v>PUROK 6</v>
      </c>
      <c r="N632" s="1"/>
      <c r="O632" s="1" t="str">
        <f>IFERROR(__xludf.DUMMYFUNCTION("""COMPUTED_VALUE"""),"SILLP614NP1")</f>
        <v>SILLP614NP1</v>
      </c>
      <c r="P632" s="1" t="str">
        <f>IFERROR(__xludf.DUMMYFUNCTION("""COMPUTED_VALUE"""),"14.214985 121.000551")</f>
        <v>14.214985 121.000551</v>
      </c>
      <c r="Q632" s="1" t="str">
        <f>IFERROR(__xludf.DUMMYFUNCTION("""COMPUTED_VALUE"""),"MUNTING ILOG")</f>
        <v>MUNTING ILOG</v>
      </c>
      <c r="R632" s="1" t="str">
        <f>IFERROR(__xludf.DUMMYFUNCTION("""COMPUTED_VALUE"""),"SILANG")</f>
        <v>SILANG</v>
      </c>
      <c r="S632" s="1" t="str">
        <f>IFERROR(__xludf.DUMMYFUNCTION("""COMPUTED_VALUE"""),"CAVITE")</f>
        <v>CAVITE</v>
      </c>
      <c r="T632" s="1" t="str">
        <f>IFERROR(__xludf.DUMMYFUNCTION("""COMPUTED_VALUE"""),"PLAN 1299")</f>
        <v>PLAN 1299</v>
      </c>
      <c r="U632" s="1" t="str">
        <f>IFERROR(__xludf.DUMMYFUNCTION("""COMPUTED_VALUE"""),"HOLD")</f>
        <v>HOLD</v>
      </c>
      <c r="V632" s="1" t="str">
        <f>IFERROR(__xludf.DUMMYFUNCTION("""COMPUTED_VALUE"""),"TATAPUSIN PA DAW YUNG PINAGAGAWANG BAHAY")</f>
        <v>TATAPUSIN PA DAW YUNG PINAGAGAWANG BAHAY</v>
      </c>
      <c r="W632" s="1"/>
    </row>
    <row r="633" customHeight="1" spans="1:23">
      <c r="A633" s="3">
        <f>IFERROR(__xludf.DUMMYFUNCTION("""COMPUTED_VALUE"""),46082)</f>
        <v>46082</v>
      </c>
      <c r="B633" s="1" t="str">
        <f>IFERROR(__xludf.DUMMYFUNCTION("""COMPUTED_VALUE"""),"MIRASOL, RAYRALYN")</f>
        <v>MIRASOL, RAYRALYN</v>
      </c>
      <c r="C633" s="1" t="str">
        <f>IFERROR(__xludf.DUMMYFUNCTION("""COMPUTED_VALUE"""),"ORGANIC")</f>
        <v>ORGANIC</v>
      </c>
      <c r="D633" s="1" t="str">
        <f>IFERROR(__xludf.DUMMYFUNCTION("""COMPUTED_VALUE"""),"REMOLLO LEA")</f>
        <v>REMOLLO LEA</v>
      </c>
      <c r="E633" s="1" t="str">
        <f>IFERROR(__xludf.DUMMYFUNCTION("""COMPUTED_VALUE"""),"PLDT")</f>
        <v>PLDT</v>
      </c>
      <c r="F633" s="1">
        <f>IFERROR(__xludf.DUMMYFUNCTION("""COMPUTED_VALUE"""),2307366602)</f>
        <v>2307366602</v>
      </c>
      <c r="G633" s="1"/>
      <c r="H633" s="1" t="str">
        <f>IFERROR(__xludf.DUMMYFUNCTION("""COMPUTED_VALUE"""),"ULLYSIS BRAVO ESTRADA")</f>
        <v>ULLYSIS BRAVO ESTRADA</v>
      </c>
      <c r="I633" s="1">
        <f>IFERROR(__xludf.DUMMYFUNCTION("""COMPUTED_VALUE"""),9464252157)</f>
        <v>9464252157</v>
      </c>
      <c r="J633" s="1"/>
      <c r="K633" s="1" t="str">
        <f>IFERROR(__xludf.DUMMYFUNCTION("""COMPUTED_VALUE"""),"ULLYSYSESTRADA9@GMAIL.COM")</f>
        <v>ULLYSYSESTRADA9@GMAIL.COM</v>
      </c>
      <c r="L633" s="1" t="str">
        <f>IFERROR(__xludf.DUMMYFUNCTION("""COMPUTED_VALUE"""),"BLK 22 LOT 29")</f>
        <v>BLK 22 LOT 29</v>
      </c>
      <c r="M633" s="1" t="str">
        <f>IFERROR(__xludf.DUMMYFUNCTION("""COMPUTED_VALUE"""),"STRAWBERRY HILLS")</f>
        <v>STRAWBERRY HILLS</v>
      </c>
      <c r="N633" s="1"/>
      <c r="O633" s="1" t="str">
        <f>IFERROR(__xludf.DUMMYFUNCTION("""COMPUTED_VALUE"""),"GMZLP259NP2 GMZLP260NP2")</f>
        <v>GMZLP259NP2 GMZLP260NP2</v>
      </c>
      <c r="P633" s="1"/>
      <c r="Q633" s="1" t="str">
        <f>IFERROR(__xludf.DUMMYFUNCTION("""COMPUTED_VALUE"""),"FRANCISCO REYES")</f>
        <v>FRANCISCO REYES</v>
      </c>
      <c r="R633" s="1" t="str">
        <f>IFERROR(__xludf.DUMMYFUNCTION("""COMPUTED_VALUE"""),"GEN MARIANO ALVAREZ")</f>
        <v>GEN MARIANO ALVAREZ</v>
      </c>
      <c r="S633" s="1" t="str">
        <f>IFERROR(__xludf.DUMMYFUNCTION("""COMPUTED_VALUE"""),"CAVITE")</f>
        <v>CAVITE</v>
      </c>
      <c r="T633" s="1" t="str">
        <f>IFERROR(__xludf.DUMMYFUNCTION("""COMPUTED_VALUE"""),"PLAN 1399")</f>
        <v>PLAN 1399</v>
      </c>
      <c r="U633" s="1" t="str">
        <f>IFERROR(__xludf.DUMMYFUNCTION("""COMPUTED_VALUE"""),"APPROVED")</f>
        <v>APPROVED</v>
      </c>
      <c r="V633" s="1" t="str">
        <f>IFERROR(__xludf.DUMMYFUNCTION("""COMPUTED_VALUE"""),"PLS PROVIDE LONG LAT")</f>
        <v>PLS PROVIDE LONG LAT</v>
      </c>
      <c r="W633" s="1"/>
    </row>
    <row r="634" customHeight="1" spans="1:23">
      <c r="A634" s="3">
        <f>IFERROR(__xludf.DUMMYFUNCTION("""COMPUTED_VALUE"""),46083)</f>
        <v>46083</v>
      </c>
      <c r="B634" s="1" t="str">
        <f>IFERROR(__xludf.DUMMYFUNCTION("""COMPUTED_VALUE"""),"CARPIO, STEPHANIE NICOLE")</f>
        <v>CARPIO, STEPHANIE NICOLE</v>
      </c>
      <c r="C634" s="1" t="str">
        <f>IFERROR(__xludf.DUMMYFUNCTION("""COMPUTED_VALUE"""),"FLA")</f>
        <v>FLA</v>
      </c>
      <c r="D634" s="1" t="str">
        <f>IFERROR(__xludf.DUMMYFUNCTION("""COMPUTED_VALUE"""),"JERIC NAVARRO")</f>
        <v>JERIC NAVARRO</v>
      </c>
      <c r="E634" s="1" t="str">
        <f>IFERROR(__xludf.DUMMYFUNCTION("""COMPUTED_VALUE"""),"PLDT")</f>
        <v>PLDT</v>
      </c>
      <c r="F634" s="1">
        <f>IFERROR(__xludf.DUMMYFUNCTION("""COMPUTED_VALUE"""),2307368724)</f>
        <v>2307368724</v>
      </c>
      <c r="G634" s="1"/>
      <c r="H634" s="1" t="str">
        <f>IFERROR(__xludf.DUMMYFUNCTION("""COMPUTED_VALUE"""),"AERIC PAUL RICO SALGATAR")</f>
        <v>AERIC PAUL RICO SALGATAR</v>
      </c>
      <c r="I634" s="1">
        <f>IFERROR(__xludf.DUMMYFUNCTION("""COMPUTED_VALUE"""),9212039512)</f>
        <v>9212039512</v>
      </c>
      <c r="J634" s="1"/>
      <c r="K634" s="1" t="str">
        <f>IFERROR(__xludf.DUMMYFUNCTION("""COMPUTED_VALUE"""),"SALGATARAERICPAUL@GMAIL.COM")</f>
        <v>SALGATARAERICPAUL@GMAIL.COM</v>
      </c>
      <c r="L634" s="1" t="str">
        <f>IFERROR(__xludf.DUMMYFUNCTION("""COMPUTED_VALUE"""),"812A")</f>
        <v>812A</v>
      </c>
      <c r="M634" s="1" t="str">
        <f>IFERROR(__xludf.DUMMYFUNCTION("""COMPUTED_VALUE"""),"DR SALAMANCA")</f>
        <v>DR SALAMANCA</v>
      </c>
      <c r="N634" s="1"/>
      <c r="O634" s="1" t="str">
        <f>IFERROR(__xludf.DUMMYFUNCTION("""COMPUTED_VALUE"""),"CVELP129NP2/3/4/5")</f>
        <v>CVELP129NP2/3/4/5</v>
      </c>
      <c r="P634" s="1"/>
      <c r="Q634" s="1" t="str">
        <f>IFERROR(__xludf.DUMMYFUNCTION("""COMPUTED_VALUE"""),"BARANGAY 59 (SITAW)")</f>
        <v>BARANGAY 59 (SITAW)</v>
      </c>
      <c r="R634" s="1" t="str">
        <f>IFERROR(__xludf.DUMMYFUNCTION("""COMPUTED_VALUE"""),"CAVITE CITY")</f>
        <v>CAVITE CITY</v>
      </c>
      <c r="S634" s="1" t="str">
        <f>IFERROR(__xludf.DUMMYFUNCTION("""COMPUTED_VALUE"""),"CAVITE")</f>
        <v>CAVITE</v>
      </c>
      <c r="T634" s="1" t="str">
        <f>IFERROR(__xludf.DUMMYFUNCTION("""COMPUTED_VALUE"""),"PLAN 1399")</f>
        <v>PLAN 1399</v>
      </c>
      <c r="U634" s="1" t="str">
        <f>IFERROR(__xludf.DUMMYFUNCTION("""COMPUTED_VALUE"""),"APPROVED")</f>
        <v>APPROVED</v>
      </c>
      <c r="V634" s="1"/>
      <c r="W634" s="1"/>
    </row>
    <row r="635" customHeight="1" spans="1:23">
      <c r="A635" s="3">
        <f>IFERROR(__xludf.DUMMYFUNCTION("""COMPUTED_VALUE"""),46083)</f>
        <v>46083</v>
      </c>
      <c r="B635" s="1" t="str">
        <f>IFERROR(__xludf.DUMMYFUNCTION("""COMPUTED_VALUE"""),"AYON MANUEL")</f>
        <v>AYON MANUEL</v>
      </c>
      <c r="C635" s="1" t="str">
        <f>IFERROR(__xludf.DUMMYFUNCTION("""COMPUTED_VALUE"""),"FLA")</f>
        <v>FLA</v>
      </c>
      <c r="D635" s="1" t="str">
        <f>IFERROR(__xludf.DUMMYFUNCTION("""COMPUTED_VALUE"""),"JERIC NAVARRO")</f>
        <v>JERIC NAVARRO</v>
      </c>
      <c r="E635" s="1" t="str">
        <f>IFERROR(__xludf.DUMMYFUNCTION("""COMPUTED_VALUE"""),"PLDT")</f>
        <v>PLDT</v>
      </c>
      <c r="F635" s="1">
        <f>IFERROR(__xludf.DUMMYFUNCTION("""COMPUTED_VALUE"""),2307372309)</f>
        <v>2307372309</v>
      </c>
      <c r="G635" s="1"/>
      <c r="H635" s="1" t="str">
        <f>IFERROR(__xludf.DUMMYFUNCTION("""COMPUTED_VALUE"""),"JONAR RODULFO ENCARNACION")</f>
        <v>JONAR RODULFO ENCARNACION</v>
      </c>
      <c r="I635" s="1">
        <f>IFERROR(__xludf.DUMMYFUNCTION("""COMPUTED_VALUE"""),9177726513)</f>
        <v>9177726513</v>
      </c>
      <c r="J635" s="1">
        <f>IFERROR(__xludf.DUMMYFUNCTION("""COMPUTED_VALUE"""),9088208072)</f>
        <v>9088208072</v>
      </c>
      <c r="K635" s="1" t="str">
        <f>IFERROR(__xludf.DUMMYFUNCTION("""COMPUTED_VALUE"""),"JONSHE16@YAHOO.COM")</f>
        <v>JONSHE16@YAHOO.COM</v>
      </c>
      <c r="L635" s="1" t="str">
        <f>IFERROR(__xludf.DUMMYFUNCTION("""COMPUTED_VALUE"""),"BLK 9A LOT 10")</f>
        <v>BLK 9A LOT 10</v>
      </c>
      <c r="M635" s="1" t="str">
        <f>IFERROR(__xludf.DUMMYFUNCTION("""COMPUTED_VALUE"""),"PHASE 2A")</f>
        <v>PHASE 2A</v>
      </c>
      <c r="N635" s="1" t="str">
        <f>IFERROR(__xludf.DUMMYFUNCTION("""COMPUTED_VALUE"""),"GREENWOODS")</f>
        <v>GREENWOODS</v>
      </c>
      <c r="O635" s="1"/>
      <c r="P635" s="1"/>
      <c r="Q635" s="1" t="str">
        <f>IFERROR(__xludf.DUMMYFUNCTION("""COMPUTED_VALUE"""),"PALIPARAN I")</f>
        <v>PALIPARAN I</v>
      </c>
      <c r="R635" s="1" t="str">
        <f>IFERROR(__xludf.DUMMYFUNCTION("""COMPUTED_VALUE"""),"DASMARINAS")</f>
        <v>DASMARINAS</v>
      </c>
      <c r="S635" s="1" t="str">
        <f>IFERROR(__xludf.DUMMYFUNCTION("""COMPUTED_VALUE"""),"CAVITE")</f>
        <v>CAVITE</v>
      </c>
      <c r="T635" s="1" t="str">
        <f>IFERROR(__xludf.DUMMYFUNCTION("""COMPUTED_VALUE"""),"PLAN 2099")</f>
        <v>PLAN 2099</v>
      </c>
      <c r="U635" s="1" t="str">
        <f>IFERROR(__xludf.DUMMYFUNCTION("""COMPUTED_VALUE"""),"APPROVED")</f>
        <v>APPROVED</v>
      </c>
      <c r="V635" s="1"/>
      <c r="W635" s="1"/>
    </row>
    <row r="636" customHeight="1" spans="1:23">
      <c r="A636" s="3">
        <f>IFERROR(__xludf.DUMMYFUNCTION("""COMPUTED_VALUE"""),46083)</f>
        <v>46083</v>
      </c>
      <c r="B636" s="1" t="str">
        <f>IFERROR(__xludf.DUMMYFUNCTION("""COMPUTED_VALUE"""),"AQUINO, LUIS")</f>
        <v>AQUINO, LUIS</v>
      </c>
      <c r="C636" s="1" t="str">
        <f>IFERROR(__xludf.DUMMYFUNCTION("""COMPUTED_VALUE"""),"ORGANIC")</f>
        <v>ORGANIC</v>
      </c>
      <c r="D636" s="1" t="str">
        <f>IFERROR(__xludf.DUMMYFUNCTION("""COMPUTED_VALUE"""),"ALOS, CHARLS")</f>
        <v>ALOS, CHARLS</v>
      </c>
      <c r="E636" s="1" t="str">
        <f>IFERROR(__xludf.DUMMYFUNCTION("""COMPUTED_VALUE"""),"PLDT")</f>
        <v>PLDT</v>
      </c>
      <c r="F636" s="1">
        <f>IFERROR(__xludf.DUMMYFUNCTION("""COMPUTED_VALUE"""),2307372467)</f>
        <v>2307372467</v>
      </c>
      <c r="G636" s="1"/>
      <c r="H636" s="1" t="str">
        <f>IFERROR(__xludf.DUMMYFUNCTION("""COMPUTED_VALUE"""),"RICARDO JR DE ASIS NOBLE")</f>
        <v>RICARDO JR DE ASIS NOBLE</v>
      </c>
      <c r="I636" s="1">
        <f>IFERROR(__xludf.DUMMYFUNCTION("""COMPUTED_VALUE"""),9670695169)</f>
        <v>9670695169</v>
      </c>
      <c r="J636" s="1"/>
      <c r="K636" s="1" t="str">
        <f>IFERROR(__xludf.DUMMYFUNCTION("""COMPUTED_VALUE"""),"AGN10031980@GMAIL.COM")</f>
        <v>AGN10031980@GMAIL.COM</v>
      </c>
      <c r="L636" s="1" t="str">
        <f>IFERROR(__xludf.DUMMYFUNCTION("""COMPUTED_VALUE"""),"BLK 49 LOT 1")</f>
        <v>BLK 49 LOT 1</v>
      </c>
      <c r="M636" s="1" t="str">
        <f>IFERROR(__xludf.DUMMYFUNCTION("""COMPUTED_VALUE"""),"IPIL RD")</f>
        <v>IPIL RD</v>
      </c>
      <c r="N636" s="1"/>
      <c r="O636" s="1" t="str">
        <f>IFERROR(__xludf.DUMMYFUNCTION("""COMPUTED_VALUE"""),"SILLP63NP1/2")</f>
        <v>SILLP63NP1/2</v>
      </c>
      <c r="P636" s="1" t="str">
        <f>IFERROR(__xludf.DUMMYFUNCTION("""COMPUTED_VALUE"""),"14.274462 120.993891")</f>
        <v>14.274462 120.993891</v>
      </c>
      <c r="Q636" s="1" t="str">
        <f>IFERROR(__xludf.DUMMYFUNCTION("""COMPUTED_VALUE"""),"IPIL I")</f>
        <v>IPIL I</v>
      </c>
      <c r="R636" s="1" t="str">
        <f>IFERROR(__xludf.DUMMYFUNCTION("""COMPUTED_VALUE"""),"SILANG")</f>
        <v>SILANG</v>
      </c>
      <c r="S636" s="1" t="str">
        <f>IFERROR(__xludf.DUMMYFUNCTION("""COMPUTED_VALUE"""),"CAVITE")</f>
        <v>CAVITE</v>
      </c>
      <c r="T636" s="1" t="str">
        <f>IFERROR(__xludf.DUMMYFUNCTION("""COMPUTED_VALUE"""),"PLAN 1299")</f>
        <v>PLAN 1299</v>
      </c>
      <c r="U636" s="1" t="str">
        <f>IFERROR(__xludf.DUMMYFUNCTION("""COMPUTED_VALUE"""),"APPROVED")</f>
        <v>APPROVED</v>
      </c>
      <c r="V636" s="1"/>
      <c r="W636" s="1"/>
    </row>
    <row r="637" customHeight="1" spans="1:23">
      <c r="A637" s="3">
        <f>IFERROR(__xludf.DUMMYFUNCTION("""COMPUTED_VALUE"""),46083)</f>
        <v>46083</v>
      </c>
      <c r="B637" s="1" t="str">
        <f>IFERROR(__xludf.DUMMYFUNCTION("""COMPUTED_VALUE"""),"CONCEPCION, ALJAY")</f>
        <v>CONCEPCION, ALJAY</v>
      </c>
      <c r="C637" s="1" t="str">
        <f>IFERROR(__xludf.DUMMYFUNCTION("""COMPUTED_VALUE"""),"ORGANIC")</f>
        <v>ORGANIC</v>
      </c>
      <c r="D637" s="1" t="str">
        <f>IFERROR(__xludf.DUMMYFUNCTION("""COMPUTED_VALUE"""),"ALINGARO, CINDY")</f>
        <v>ALINGARO, CINDY</v>
      </c>
      <c r="E637" s="1" t="str">
        <f>IFERROR(__xludf.DUMMYFUNCTION("""COMPUTED_VALUE"""),"PLDT")</f>
        <v>PLDT</v>
      </c>
      <c r="F637" s="1">
        <f>IFERROR(__xludf.DUMMYFUNCTION("""COMPUTED_VALUE"""),2307378528)</f>
        <v>2307378528</v>
      </c>
      <c r="G637" s="1"/>
      <c r="H637" s="1" t="str">
        <f>IFERROR(__xludf.DUMMYFUNCTION("""COMPUTED_VALUE"""),"RAMONA DELA CRUZ HABANA")</f>
        <v>RAMONA DELA CRUZ HABANA</v>
      </c>
      <c r="I637" s="1">
        <f>IFERROR(__xludf.DUMMYFUNCTION("""COMPUTED_VALUE"""),9452096299)</f>
        <v>9452096299</v>
      </c>
      <c r="J637" s="1"/>
      <c r="K637" s="1" t="str">
        <f>IFERROR(__xludf.DUMMYFUNCTION("""COMPUTED_VALUE"""),"ROMONAHABANA8@GMAIL.COM")</f>
        <v>ROMONAHABANA8@GMAIL.COM</v>
      </c>
      <c r="L637" s="1" t="str">
        <f>IFERROR(__xludf.DUMMYFUNCTION("""COMPUTED_VALUE"""),"67")</f>
        <v>67</v>
      </c>
      <c r="M637" s="1" t="str">
        <f>IFERROR(__xludf.DUMMYFUNCTION("""COMPUTED_VALUE"""),"ZAMBALES")</f>
        <v>ZAMBALES</v>
      </c>
      <c r="N637" s="1"/>
      <c r="O637" s="1" t="str">
        <f>IFERROR(__xludf.DUMMYFUNCTION("""COMPUTED_VALUE"""),"TGTLP34NP4")</f>
        <v>TGTLP34NP4</v>
      </c>
      <c r="P637" s="1" t="str">
        <f>IFERROR(__xludf.DUMMYFUNCTION("""COMPUTED_VALUE"""),"14.126815 120.98322")</f>
        <v>14.126815 120.98322</v>
      </c>
      <c r="Q637" s="1" t="str">
        <f>IFERROR(__xludf.DUMMYFUNCTION("""COMPUTED_VALUE"""),"SAN FRANCISCO")</f>
        <v>SAN FRANCISCO</v>
      </c>
      <c r="R637" s="1" t="str">
        <f>IFERROR(__xludf.DUMMYFUNCTION("""COMPUTED_VALUE"""),"TAGAYTAY")</f>
        <v>TAGAYTAY</v>
      </c>
      <c r="S637" s="1" t="str">
        <f>IFERROR(__xludf.DUMMYFUNCTION("""COMPUTED_VALUE"""),"CAVITE")</f>
        <v>CAVITE</v>
      </c>
      <c r="T637" s="1" t="str">
        <f>IFERROR(__xludf.DUMMYFUNCTION("""COMPUTED_VALUE"""),"PREPAID")</f>
        <v>PREPAID</v>
      </c>
      <c r="U637" s="1" t="str">
        <f>IFERROR(__xludf.DUMMYFUNCTION("""COMPUTED_VALUE"""),"APPROVED")</f>
        <v>APPROVED</v>
      </c>
      <c r="V637" s="1"/>
      <c r="W637" s="1"/>
    </row>
    <row r="638" customHeight="1" spans="1:23">
      <c r="A638" s="3">
        <f>IFERROR(__xludf.DUMMYFUNCTION("""COMPUTED_VALUE"""),46083)</f>
        <v>46083</v>
      </c>
      <c r="B638" s="1" t="str">
        <f>IFERROR(__xludf.DUMMYFUNCTION("""COMPUTED_VALUE"""),"CABUGAYAN MARDIJOHN")</f>
        <v>CABUGAYAN MARDIJOHN</v>
      </c>
      <c r="C638" s="1" t="str">
        <f>IFERROR(__xludf.DUMMYFUNCTION("""COMPUTED_VALUE"""),"ORGANIC")</f>
        <v>ORGANIC</v>
      </c>
      <c r="D638" s="1" t="str">
        <f>IFERROR(__xludf.DUMMYFUNCTION("""COMPUTED_VALUE"""),"ALOS, CHARLS")</f>
        <v>ALOS, CHARLS</v>
      </c>
      <c r="E638" s="1" t="str">
        <f>IFERROR(__xludf.DUMMYFUNCTION("""COMPUTED_VALUE"""),"PLDT")</f>
        <v>PLDT</v>
      </c>
      <c r="F638" s="1">
        <f>IFERROR(__xludf.DUMMYFUNCTION("""COMPUTED_VALUE"""),2307379719)</f>
        <v>2307379719</v>
      </c>
      <c r="G638" s="1"/>
      <c r="H638" s="1" t="str">
        <f>IFERROR(__xludf.DUMMYFUNCTION("""COMPUTED_VALUE"""),"MARJORIE LORENTE ROBLES")</f>
        <v>MARJORIE LORENTE ROBLES</v>
      </c>
      <c r="I638" s="1">
        <f>IFERROR(__xludf.DUMMYFUNCTION("""COMPUTED_VALUE"""),9989593531)</f>
        <v>9989593531</v>
      </c>
      <c r="J638" s="1"/>
      <c r="K638" s="1" t="str">
        <f>IFERROR(__xludf.DUMMYFUNCTION("""COMPUTED_VALUE"""),"MARJZROBLES22@GMAIL.COM")</f>
        <v>MARJZROBLES22@GMAIL.COM</v>
      </c>
      <c r="L638" s="1" t="str">
        <f>IFERROR(__xludf.DUMMYFUNCTION("""COMPUTED_VALUE"""),"19")</f>
        <v>19</v>
      </c>
      <c r="M638" s="1" t="str">
        <f>IFERROR(__xludf.DUMMYFUNCTION("""COMPUTED_VALUE"""),"UNIT E")</f>
        <v>UNIT E</v>
      </c>
      <c r="N638" s="1"/>
      <c r="O638" s="1" t="str">
        <f>IFERROR(__xludf.DUMMYFUNCTION("""COMPUTED_VALUE"""),"ALFLP65NP1")</f>
        <v>ALFLP65NP1</v>
      </c>
      <c r="P638" s="1" t="str">
        <f>IFERROR(__xludf.DUMMYFUNCTION("""COMPUTED_VALUE"""),"14.083771 120.866784")</f>
        <v>14.083771 120.866784</v>
      </c>
      <c r="Q638" s="1" t="str">
        <f>IFERROR(__xludf.DUMMYFUNCTION("""COMPUTED_VALUE"""),"UPLI")</f>
        <v>UPLI</v>
      </c>
      <c r="R638" s="1" t="str">
        <f>IFERROR(__xludf.DUMMYFUNCTION("""COMPUTED_VALUE"""),"ALFONSO")</f>
        <v>ALFONSO</v>
      </c>
      <c r="S638" s="1" t="str">
        <f>IFERROR(__xludf.DUMMYFUNCTION("""COMPUTED_VALUE"""),"CAVITE")</f>
        <v>CAVITE</v>
      </c>
      <c r="T638" s="1" t="str">
        <f>IFERROR(__xludf.DUMMYFUNCTION("""COMPUTED_VALUE"""),"PLAN 1699")</f>
        <v>PLAN 1699</v>
      </c>
      <c r="U638" s="1" t="str">
        <f>IFERROR(__xludf.DUMMYFUNCTION("""COMPUTED_VALUE"""),"APPROVED")</f>
        <v>APPROVED</v>
      </c>
      <c r="V638" s="1"/>
      <c r="W638" s="1"/>
    </row>
    <row r="639" customHeight="1" spans="1:23">
      <c r="A639" s="3">
        <f>IFERROR(__xludf.DUMMYFUNCTION("""COMPUTED_VALUE"""),46083)</f>
        <v>46083</v>
      </c>
      <c r="B639" s="1" t="str">
        <f>IFERROR(__xludf.DUMMYFUNCTION("""COMPUTED_VALUE"""),"DE LEON, MERLY")</f>
        <v>DE LEON, MERLY</v>
      </c>
      <c r="C639" s="1" t="str">
        <f>IFERROR(__xludf.DUMMYFUNCTION("""COMPUTED_VALUE"""),"ORGANIC")</f>
        <v>ORGANIC</v>
      </c>
      <c r="D639" s="1" t="str">
        <f>IFERROR(__xludf.DUMMYFUNCTION("""COMPUTED_VALUE"""),"ALINGARO, CINDY")</f>
        <v>ALINGARO, CINDY</v>
      </c>
      <c r="E639" s="1" t="str">
        <f>IFERROR(__xludf.DUMMYFUNCTION("""COMPUTED_VALUE"""),"PLDT")</f>
        <v>PLDT</v>
      </c>
      <c r="F639" s="1">
        <f>IFERROR(__xludf.DUMMYFUNCTION("""COMPUTED_VALUE"""),2307385555)</f>
        <v>2307385555</v>
      </c>
      <c r="G639" s="1"/>
      <c r="H639" s="1" t="str">
        <f>IFERROR(__xludf.DUMMYFUNCTION("""COMPUTED_VALUE"""),"JODINE AMADO MARCOS")</f>
        <v>JODINE AMADO MARCOS</v>
      </c>
      <c r="I639" s="1">
        <f>IFERROR(__xludf.DUMMYFUNCTION("""COMPUTED_VALUE"""),9813523855)</f>
        <v>9813523855</v>
      </c>
      <c r="J639" s="1">
        <f>IFERROR(__xludf.DUMMYFUNCTION("""COMPUTED_VALUE"""),9814446344)</f>
        <v>9814446344</v>
      </c>
      <c r="K639" s="1" t="str">
        <f>IFERROR(__xludf.DUMMYFUNCTION("""COMPUTED_VALUE"""),"AMADOMARCOS08@GMAIL.COM")</f>
        <v>AMADOMARCOS08@GMAIL.COM</v>
      </c>
      <c r="L639" s="1" t="str">
        <f>IFERROR(__xludf.DUMMYFUNCTION("""COMPUTED_VALUE"""),"BLK 3 LOT 21")</f>
        <v>BLK 3 LOT 21</v>
      </c>
      <c r="M639" s="1" t="str">
        <f>IFERROR(__xludf.DUMMYFUNCTION("""COMPUTED_VALUE"""),"GRANADOS")</f>
        <v>GRANADOS</v>
      </c>
      <c r="N639" s="1"/>
      <c r="O639" s="1" t="str">
        <f>IFERROR(__xludf.DUMMYFUNCTION("""COMPUTED_VALUE"""),"GMZLP72NP1/2/3")</f>
        <v>GMZLP72NP1/2/3</v>
      </c>
      <c r="P639" s="1"/>
      <c r="Q639" s="1" t="str">
        <f>IFERROR(__xludf.DUMMYFUNCTION("""COMPUTED_VALUE"""),"PANTALEON GRANADOS (AREA G)")</f>
        <v>PANTALEON GRANADOS (AREA G)</v>
      </c>
      <c r="R639" s="1" t="str">
        <f>IFERROR(__xludf.DUMMYFUNCTION("""COMPUTED_VALUE"""),"GEN MARIANO ALVAREZ")</f>
        <v>GEN MARIANO ALVAREZ</v>
      </c>
      <c r="S639" s="1" t="str">
        <f>IFERROR(__xludf.DUMMYFUNCTION("""COMPUTED_VALUE"""),"CAVITE")</f>
        <v>CAVITE</v>
      </c>
      <c r="T639" s="1" t="str">
        <f>IFERROR(__xludf.DUMMYFUNCTION("""COMPUTED_VALUE"""),"PREPAID")</f>
        <v>PREPAID</v>
      </c>
      <c r="U639" s="1" t="str">
        <f>IFERROR(__xludf.DUMMYFUNCTION("""COMPUTED_VALUE"""),"APPROVED")</f>
        <v>APPROVED</v>
      </c>
      <c r="V639" s="1"/>
      <c r="W639" s="1"/>
    </row>
    <row r="640" customHeight="1" spans="1:23">
      <c r="A640" s="3">
        <f>IFERROR(__xludf.DUMMYFUNCTION("""COMPUTED_VALUE"""),46083)</f>
        <v>46083</v>
      </c>
      <c r="B640" s="1" t="str">
        <f>IFERROR(__xludf.DUMMYFUNCTION("""COMPUTED_VALUE"""),"REMOLLO, LEA")</f>
        <v>REMOLLO, LEA</v>
      </c>
      <c r="C640" s="1" t="str">
        <f>IFERROR(__xludf.DUMMYFUNCTION("""COMPUTED_VALUE"""),"FLA")</f>
        <v>FLA</v>
      </c>
      <c r="D640" s="1" t="str">
        <f>IFERROR(__xludf.DUMMYFUNCTION("""COMPUTED_VALUE"""),"JERIC NAVARRO")</f>
        <v>JERIC NAVARRO</v>
      </c>
      <c r="E640" s="1" t="str">
        <f>IFERROR(__xludf.DUMMYFUNCTION("""COMPUTED_VALUE"""),"PLDT")</f>
        <v>PLDT</v>
      </c>
      <c r="F640" s="1">
        <f>IFERROR(__xludf.DUMMYFUNCTION("""COMPUTED_VALUE"""),2307387074)</f>
        <v>2307387074</v>
      </c>
      <c r="G640" s="1"/>
      <c r="H640" s="1" t="str">
        <f>IFERROR(__xludf.DUMMYFUNCTION("""COMPUTED_VALUE"""),"MARIA CORAZON CECILLIA HERNANDEZ PINEDA")</f>
        <v>MARIA CORAZON CECILLIA HERNANDEZ PINEDA</v>
      </c>
      <c r="I640" s="1">
        <f>IFERROR(__xludf.DUMMYFUNCTION("""COMPUTED_VALUE"""),9562004856)</f>
        <v>9562004856</v>
      </c>
      <c r="J640" s="1"/>
      <c r="K640" s="1" t="str">
        <f>IFERROR(__xludf.DUMMYFUNCTION("""COMPUTED_VALUE"""),"MARCORCECPINEDA@GMAIL.COM")</f>
        <v>MARCORCECPINEDA@GMAIL.COM</v>
      </c>
      <c r="L640" s="1" t="str">
        <f>IFERROR(__xludf.DUMMYFUNCTION("""COMPUTED_VALUE"""),"BLK 12 LOT 6")</f>
        <v>BLK 12 LOT 6</v>
      </c>
      <c r="M640" s="1" t="str">
        <f>IFERROR(__xludf.DUMMYFUNCTION("""COMPUTED_VALUE"""),"SUNTRUST")</f>
        <v>SUNTRUST</v>
      </c>
      <c r="N640" s="1"/>
      <c r="O640" s="1"/>
      <c r="P640" s="1"/>
      <c r="Q640" s="1" t="str">
        <f>IFERROR(__xludf.DUMMYFUNCTION("""COMPUTED_VALUE"""),"HOYO")</f>
        <v>HOYO</v>
      </c>
      <c r="R640" s="1" t="str">
        <f>IFERROR(__xludf.DUMMYFUNCTION("""COMPUTED_VALUE"""),"SILANG")</f>
        <v>SILANG</v>
      </c>
      <c r="S640" s="1" t="str">
        <f>IFERROR(__xludf.DUMMYFUNCTION("""COMPUTED_VALUE"""),"CAVITE")</f>
        <v>CAVITE</v>
      </c>
      <c r="T640" s="1" t="str">
        <f>IFERROR(__xludf.DUMMYFUNCTION("""COMPUTED_VALUE"""),"PLAN 1599")</f>
        <v>PLAN 1599</v>
      </c>
      <c r="U640" s="1" t="str">
        <f>IFERROR(__xludf.DUMMYFUNCTION("""COMPUTED_VALUE"""),"APPROVED")</f>
        <v>APPROVED</v>
      </c>
      <c r="V640" s="1"/>
      <c r="W640" s="1"/>
    </row>
    <row r="641" customHeight="1" spans="1:23">
      <c r="A641" s="3">
        <f>IFERROR(__xludf.DUMMYFUNCTION("""COMPUTED_VALUE"""),46083)</f>
        <v>46083</v>
      </c>
      <c r="B641" s="1" t="str">
        <f>IFERROR(__xludf.DUMMYFUNCTION("""COMPUTED_VALUE"""),"REMOLLO, LEA")</f>
        <v>REMOLLO, LEA</v>
      </c>
      <c r="C641" s="1" t="str">
        <f>IFERROR(__xludf.DUMMYFUNCTION("""COMPUTED_VALUE"""),"FLA")</f>
        <v>FLA</v>
      </c>
      <c r="D641" s="1" t="str">
        <f>IFERROR(__xludf.DUMMYFUNCTION("""COMPUTED_VALUE"""),"JERIC NAVARRO")</f>
        <v>JERIC NAVARRO</v>
      </c>
      <c r="E641" s="1" t="str">
        <f>IFERROR(__xludf.DUMMYFUNCTION("""COMPUTED_VALUE"""),"PLDT")</f>
        <v>PLDT</v>
      </c>
      <c r="F641" s="1">
        <f>IFERROR(__xludf.DUMMYFUNCTION("""COMPUTED_VALUE"""),2307386999)</f>
        <v>2307386999</v>
      </c>
      <c r="G641" s="1"/>
      <c r="H641" s="1" t="str">
        <f>IFERROR(__xludf.DUMMYFUNCTION("""COMPUTED_VALUE"""),"JAAZRIEL OMANDAC MENDOZA")</f>
        <v>JAAZRIEL OMANDAC MENDOZA</v>
      </c>
      <c r="I641" s="1">
        <f>IFERROR(__xludf.DUMMYFUNCTION("""COMPUTED_VALUE"""),9958669273)</f>
        <v>9958669273</v>
      </c>
      <c r="J641" s="1"/>
      <c r="K641" s="1" t="str">
        <f>IFERROR(__xludf.DUMMYFUNCTION("""COMPUTED_VALUE"""),"JAAZRIELMENDOZA23@GMAIL.COM")</f>
        <v>JAAZRIELMENDOZA23@GMAIL.COM</v>
      </c>
      <c r="L641" s="1" t="str">
        <f>IFERROR(__xludf.DUMMYFUNCTION("""COMPUTED_VALUE"""),"BLK 69 LOT 33")</f>
        <v>BLK 69 LOT 33</v>
      </c>
      <c r="M641" s="1" t="str">
        <f>IFERROR(__xludf.DUMMYFUNCTION("""COMPUTED_VALUE"""),"MARKET SITE")</f>
        <v>MARKET SITE</v>
      </c>
      <c r="N641" s="1"/>
      <c r="O641" s="1"/>
      <c r="P641" s="1"/>
      <c r="Q641" s="1" t="str">
        <f>IFERROR(__xludf.DUMMYFUNCTION("""COMPUTED_VALUE"""),"HOYO")</f>
        <v>HOYO</v>
      </c>
      <c r="R641" s="1" t="str">
        <f>IFERROR(__xludf.DUMMYFUNCTION("""COMPUTED_VALUE"""),"SILANG")</f>
        <v>SILANG</v>
      </c>
      <c r="S641" s="1" t="str">
        <f>IFERROR(__xludf.DUMMYFUNCTION("""COMPUTED_VALUE"""),"CAVITE")</f>
        <v>CAVITE</v>
      </c>
      <c r="T641" s="1" t="str">
        <f>IFERROR(__xludf.DUMMYFUNCTION("""COMPUTED_VALUE"""),"PLAN 1599")</f>
        <v>PLAN 1599</v>
      </c>
      <c r="U641" s="1" t="str">
        <f>IFERROR(__xludf.DUMMYFUNCTION("""COMPUTED_VALUE"""),"APPROVED")</f>
        <v>APPROVED</v>
      </c>
      <c r="V641" s="1"/>
      <c r="W641" s="1"/>
    </row>
    <row r="642" customHeight="1" spans="1:23">
      <c r="A642" s="3">
        <f>IFERROR(__xludf.DUMMYFUNCTION("""COMPUTED_VALUE"""),46083)</f>
        <v>46083</v>
      </c>
      <c r="B642" s="1" t="str">
        <f>IFERROR(__xludf.DUMMYFUNCTION("""COMPUTED_VALUE"""),"CABRERA JILLIENE")</f>
        <v>CABRERA JILLIENE</v>
      </c>
      <c r="C642" s="1" t="str">
        <f>IFERROR(__xludf.DUMMYFUNCTION("""COMPUTED_VALUE"""),"ORGANIC")</f>
        <v>ORGANIC</v>
      </c>
      <c r="D642" s="1" t="str">
        <f>IFERROR(__xludf.DUMMYFUNCTION("""COMPUTED_VALUE"""),"ALOS, CHARLS")</f>
        <v>ALOS, CHARLS</v>
      </c>
      <c r="E642" s="1" t="str">
        <f>IFERROR(__xludf.DUMMYFUNCTION("""COMPUTED_VALUE"""),"PLDT")</f>
        <v>PLDT</v>
      </c>
      <c r="F642" s="1">
        <f>IFERROR(__xludf.DUMMYFUNCTION("""COMPUTED_VALUE"""),2307387416)</f>
        <v>2307387416</v>
      </c>
      <c r="G642" s="1"/>
      <c r="H642" s="1" t="str">
        <f>IFERROR(__xludf.DUMMYFUNCTION("""COMPUTED_VALUE"""),"JOHN KIRBY CAJIPE ESCALADA")</f>
        <v>JOHN KIRBY CAJIPE ESCALADA</v>
      </c>
      <c r="I642" s="1">
        <f>IFERROR(__xludf.DUMMYFUNCTION("""COMPUTED_VALUE"""),9169985543)</f>
        <v>9169985543</v>
      </c>
      <c r="J642" s="1"/>
      <c r="K642" s="1" t="str">
        <f>IFERROR(__xludf.DUMMYFUNCTION("""COMPUTED_VALUE"""),"ESCALADACHERRY73@GMAIL.COM")</f>
        <v>ESCALADACHERRY73@GMAIL.COM</v>
      </c>
      <c r="L642" s="1" t="str">
        <f>IFERROR(__xludf.DUMMYFUNCTION("""COMPUTED_VALUE"""),"BLK 7 LOT 33")</f>
        <v>BLK 7 LOT 33</v>
      </c>
      <c r="M642" s="1" t="str">
        <f>IFERROR(__xludf.DUMMYFUNCTION("""COMPUTED_VALUE"""),"LUMBRERAS")</f>
        <v>LUMBRERAS</v>
      </c>
      <c r="N642" s="1"/>
      <c r="O642" s="1" t="str">
        <f>IFERROR(__xludf.DUMMYFUNCTION("""COMPUTED_VALUE"""),"GMZLP166NP8")</f>
        <v>GMZLP166NP8</v>
      </c>
      <c r="P642" s="1" t="str">
        <f>IFERROR(__xludf.DUMMYFUNCTION("""COMPUTED_VALUE"""),"14.291067 121.001501")</f>
        <v>14.291067 121.001501</v>
      </c>
      <c r="Q642" s="1" t="str">
        <f>IFERROR(__xludf.DUMMYFUNCTION("""COMPUTED_VALUE"""),"JACINTO LUMBRERAS")</f>
        <v>JACINTO LUMBRERAS</v>
      </c>
      <c r="R642" s="1" t="str">
        <f>IFERROR(__xludf.DUMMYFUNCTION("""COMPUTED_VALUE"""),"GEN MARIANO ALVAREZ")</f>
        <v>GEN MARIANO ALVAREZ</v>
      </c>
      <c r="S642" s="1" t="str">
        <f>IFERROR(__xludf.DUMMYFUNCTION("""COMPUTED_VALUE"""),"CAVITE")</f>
        <v>CAVITE</v>
      </c>
      <c r="T642" s="1" t="str">
        <f>IFERROR(__xludf.DUMMYFUNCTION("""COMPUTED_VALUE"""),"PLAN 1399")</f>
        <v>PLAN 1399</v>
      </c>
      <c r="U642" s="1" t="str">
        <f>IFERROR(__xludf.DUMMYFUNCTION("""COMPUTED_VALUE"""),"APPROVED")</f>
        <v>APPROVED</v>
      </c>
      <c r="V642" s="1"/>
      <c r="W642" s="1"/>
    </row>
    <row r="643" customHeight="1" spans="1:23">
      <c r="A643" s="3">
        <f>IFERROR(__xludf.DUMMYFUNCTION("""COMPUTED_VALUE"""),46084)</f>
        <v>46084</v>
      </c>
      <c r="B643" s="1" t="str">
        <f>IFERROR(__xludf.DUMMYFUNCTION("""COMPUTED_VALUE"""),"ALINGARO, CINDY")</f>
        <v>ALINGARO, CINDY</v>
      </c>
      <c r="C643" s="1" t="str">
        <f>IFERROR(__xludf.DUMMYFUNCTION("""COMPUTED_VALUE"""),"FLA")</f>
        <v>FLA</v>
      </c>
      <c r="D643" s="1" t="str">
        <f>IFERROR(__xludf.DUMMYFUNCTION("""COMPUTED_VALUE"""),"JERIC NAVARRO")</f>
        <v>JERIC NAVARRO</v>
      </c>
      <c r="E643" s="1" t="str">
        <f>IFERROR(__xludf.DUMMYFUNCTION("""COMPUTED_VALUE"""),"PLDT")</f>
        <v>PLDT</v>
      </c>
      <c r="F643" s="1">
        <f>IFERROR(__xludf.DUMMYFUNCTION("""COMPUTED_VALUE"""),2307397838)</f>
        <v>2307397838</v>
      </c>
      <c r="G643" s="1"/>
      <c r="H643" s="1" t="str">
        <f>IFERROR(__xludf.DUMMYFUNCTION("""COMPUTED_VALUE"""),"MICHAEL GUARDIANA BALTAZAR")</f>
        <v>MICHAEL GUARDIANA BALTAZAR</v>
      </c>
      <c r="I643" s="1">
        <f>IFERROR(__xludf.DUMMYFUNCTION("""COMPUTED_VALUE"""),9943345131)</f>
        <v>9943345131</v>
      </c>
      <c r="J643" s="1"/>
      <c r="K643" s="1" t="str">
        <f>IFERROR(__xludf.DUMMYFUNCTION("""COMPUTED_VALUE"""),"BHONNIEPASCUA292@GMAIL.COM")</f>
        <v>BHONNIEPASCUA292@GMAIL.COM</v>
      </c>
      <c r="L643" s="1" t="str">
        <f>IFERROR(__xludf.DUMMYFUNCTION("""COMPUTED_VALUE"""),"1023C")</f>
        <v>1023C</v>
      </c>
      <c r="M643" s="1" t="str">
        <f>IFERROR(__xludf.DUMMYFUNCTION("""COMPUTED_VALUE"""),"SAN ANTONIO RD")</f>
        <v>SAN ANTONIO RD</v>
      </c>
      <c r="N643" s="1"/>
      <c r="O643" s="1" t="str">
        <f>IFERROR(__xludf.DUMMYFUNCTION("""COMPUTED_VALUE"""),"NTALP079NP6/7/8")</f>
        <v>NTALP079NP6/7/8</v>
      </c>
      <c r="P643" s="1"/>
      <c r="Q643" s="1" t="str">
        <f>IFERROR(__xludf.DUMMYFUNCTION("""COMPUTED_VALUE"""),"SAN ANTONIO I")</f>
        <v>SAN ANTONIO I</v>
      </c>
      <c r="R643" s="1" t="str">
        <f>IFERROR(__xludf.DUMMYFUNCTION("""COMPUTED_VALUE"""),"NOVELETA")</f>
        <v>NOVELETA</v>
      </c>
      <c r="S643" s="1" t="str">
        <f>IFERROR(__xludf.DUMMYFUNCTION("""COMPUTED_VALUE"""),"CAVITE")</f>
        <v>CAVITE</v>
      </c>
      <c r="T643" s="1" t="str">
        <f>IFERROR(__xludf.DUMMYFUNCTION("""COMPUTED_VALUE"""),"PLAN 1399")</f>
        <v>PLAN 1399</v>
      </c>
      <c r="U643" s="1" t="str">
        <f>IFERROR(__xludf.DUMMYFUNCTION("""COMPUTED_VALUE"""),"APPROVED")</f>
        <v>APPROVED</v>
      </c>
      <c r="V643" s="1"/>
      <c r="W643" s="1"/>
    </row>
    <row r="644" customHeight="1" spans="1:23">
      <c r="A644" s="3">
        <f>IFERROR(__xludf.DUMMYFUNCTION("""COMPUTED_VALUE"""),46084)</f>
        <v>46084</v>
      </c>
      <c r="B644" s="1" t="str">
        <f>IFERROR(__xludf.DUMMYFUNCTION("""COMPUTED_VALUE"""),"ALINGARO, CINDY")</f>
        <v>ALINGARO, CINDY</v>
      </c>
      <c r="C644" s="1" t="str">
        <f>IFERROR(__xludf.DUMMYFUNCTION("""COMPUTED_VALUE"""),"FLA")</f>
        <v>FLA</v>
      </c>
      <c r="D644" s="1" t="str">
        <f>IFERROR(__xludf.DUMMYFUNCTION("""COMPUTED_VALUE"""),"JERIC NAVARRO")</f>
        <v>JERIC NAVARRO</v>
      </c>
      <c r="E644" s="1" t="str">
        <f>IFERROR(__xludf.DUMMYFUNCTION("""COMPUTED_VALUE"""),"PLDT")</f>
        <v>PLDT</v>
      </c>
      <c r="F644" s="1">
        <f>IFERROR(__xludf.DUMMYFUNCTION("""COMPUTED_VALUE"""),2307395543)</f>
        <v>2307395543</v>
      </c>
      <c r="G644" s="1"/>
      <c r="H644" s="1" t="str">
        <f>IFERROR(__xludf.DUMMYFUNCTION("""COMPUTED_VALUE"""),"VIRGINIA ESTAL DELACRUZ")</f>
        <v>VIRGINIA ESTAL DELACRUZ</v>
      </c>
      <c r="I644" s="1">
        <f>IFERROR(__xludf.DUMMYFUNCTION("""COMPUTED_VALUE"""),9608155806)</f>
        <v>9608155806</v>
      </c>
      <c r="J644" s="1"/>
      <c r="K644" s="1" t="str">
        <f>IFERROR(__xludf.DUMMYFUNCTION("""COMPUTED_VALUE"""),"GLADIETORRES3@GMAIL.COM")</f>
        <v>GLADIETORRES3@GMAIL.COM</v>
      </c>
      <c r="L644" s="1" t="str">
        <f>IFERROR(__xludf.DUMMYFUNCTION("""COMPUTED_VALUE"""),"5665A")</f>
        <v>5665A</v>
      </c>
      <c r="M644" s="1" t="str">
        <f>IFERROR(__xludf.DUMMYFUNCTION("""COMPUTED_VALUE"""),"BANGLADESH ST")</f>
        <v>BANGLADESH ST</v>
      </c>
      <c r="N644" s="1"/>
      <c r="O644" s="1" t="str">
        <f>IFERROR(__xludf.DUMMYFUNCTION("""COMPUTED_VALUE"""),"ALFLP121NP4/5/6")</f>
        <v>ALFLP121NP4/5/6</v>
      </c>
      <c r="P644" s="1"/>
      <c r="Q644" s="1" t="str">
        <f>IFERROR(__xludf.DUMMYFUNCTION("""COMPUTED_VALUE"""),"LUKSUHIN ILAYA")</f>
        <v>LUKSUHIN ILAYA</v>
      </c>
      <c r="R644" s="1" t="str">
        <f>IFERROR(__xludf.DUMMYFUNCTION("""COMPUTED_VALUE"""),"ALFONSO")</f>
        <v>ALFONSO</v>
      </c>
      <c r="S644" s="1" t="str">
        <f>IFERROR(__xludf.DUMMYFUNCTION("""COMPUTED_VALUE"""),"CAVITE")</f>
        <v>CAVITE</v>
      </c>
      <c r="T644" s="1" t="str">
        <f>IFERROR(__xludf.DUMMYFUNCTION("""COMPUTED_VALUE"""),"PLAN 1399")</f>
        <v>PLAN 1399</v>
      </c>
      <c r="U644" s="1" t="str">
        <f>IFERROR(__xludf.DUMMYFUNCTION("""COMPUTED_VALUE"""),"APPROVED")</f>
        <v>APPROVED</v>
      </c>
      <c r="V644" s="1"/>
      <c r="W644" s="1"/>
    </row>
    <row r="645" customHeight="1" spans="1:23">
      <c r="A645" s="3">
        <f>IFERROR(__xludf.DUMMYFUNCTION("""COMPUTED_VALUE"""),46084)</f>
        <v>46084</v>
      </c>
      <c r="B645" s="1" t="str">
        <f>IFERROR(__xludf.DUMMYFUNCTION("""COMPUTED_VALUE"""),"SIR JHONDEE")</f>
        <v>SIR JHONDEE</v>
      </c>
      <c r="C645" s="1" t="str">
        <f>IFERROR(__xludf.DUMMYFUNCTION("""COMPUTED_VALUE"""),"FLA")</f>
        <v>FLA</v>
      </c>
      <c r="D645" s="1" t="str">
        <f>IFERROR(__xludf.DUMMYFUNCTION("""COMPUTED_VALUE"""),"JERIC NAVARRO")</f>
        <v>JERIC NAVARRO</v>
      </c>
      <c r="E645" s="1" t="str">
        <f>IFERROR(__xludf.DUMMYFUNCTION("""COMPUTED_VALUE"""),"PLDT")</f>
        <v>PLDT</v>
      </c>
      <c r="F645" s="1">
        <f>IFERROR(__xludf.DUMMYFUNCTION("""COMPUTED_VALUE"""),2307397888)</f>
        <v>2307397888</v>
      </c>
      <c r="G645" s="1"/>
      <c r="H645" s="1" t="str">
        <f>IFERROR(__xludf.DUMMYFUNCTION("""COMPUTED_VALUE"""),"GELINE RODIS ALANO")</f>
        <v>GELINE RODIS ALANO</v>
      </c>
      <c r="I645" s="1">
        <f>IFERROR(__xludf.DUMMYFUNCTION("""COMPUTED_VALUE"""),9944664207)</f>
        <v>9944664207</v>
      </c>
      <c r="J645" s="1">
        <f>IFERROR(__xludf.DUMMYFUNCTION("""COMPUTED_VALUE"""),9920085377)</f>
        <v>9920085377</v>
      </c>
      <c r="K645" s="1" t="str">
        <f>IFERROR(__xludf.DUMMYFUNCTION("""COMPUTED_VALUE"""),"ZHYTHIN28@GMAIL.COM")</f>
        <v>ZHYTHIN28@GMAIL.COM</v>
      </c>
      <c r="L645" s="1" t="str">
        <f>IFERROR(__xludf.DUMMYFUNCTION("""COMPUTED_VALUE"""),"4")</f>
        <v>4</v>
      </c>
      <c r="M645" s="1" t="str">
        <f>IFERROR(__xludf.DUMMYFUNCTION("""COMPUTED_VALUE"""),"PEREA ")</f>
        <v>PEREA </v>
      </c>
      <c r="N645" s="1"/>
      <c r="O645" s="1" t="str">
        <f>IFERROR(__xludf.DUMMYFUNCTION("""COMPUTED_VALUE"""),"ALFLP160NP1/2/3/4/5")</f>
        <v>ALFLP160NP1/2/3/4/5</v>
      </c>
      <c r="P645" s="1"/>
      <c r="Q645" s="1" t="str">
        <f>IFERROR(__xludf.DUMMYFUNCTION("""COMPUTED_VALUE"""),"PALUMLUM")</f>
        <v>PALUMLUM</v>
      </c>
      <c r="R645" s="1" t="str">
        <f>IFERROR(__xludf.DUMMYFUNCTION("""COMPUTED_VALUE"""),"ALFONSO")</f>
        <v>ALFONSO</v>
      </c>
      <c r="S645" s="1" t="str">
        <f>IFERROR(__xludf.DUMMYFUNCTION("""COMPUTED_VALUE"""),"CAVITE")</f>
        <v>CAVITE</v>
      </c>
      <c r="T645" s="1" t="str">
        <f>IFERROR(__xludf.DUMMYFUNCTION("""COMPUTED_VALUE"""),"PLAN 1399")</f>
        <v>PLAN 1399</v>
      </c>
      <c r="U645" s="1" t="str">
        <f>IFERROR(__xludf.DUMMYFUNCTION("""COMPUTED_VALUE"""),"APPROVED")</f>
        <v>APPROVED</v>
      </c>
      <c r="V645" s="1"/>
      <c r="W645" s="1"/>
    </row>
    <row r="646" customHeight="1" spans="1:23">
      <c r="A646" s="3">
        <f>IFERROR(__xludf.DUMMYFUNCTION("""COMPUTED_VALUE"""),46084)</f>
        <v>46084</v>
      </c>
      <c r="B646" s="1" t="str">
        <f>IFERROR(__xludf.DUMMYFUNCTION("""COMPUTED_VALUE"""),"MAGDARAOG, KENNETH")</f>
        <v>MAGDARAOG, KENNETH</v>
      </c>
      <c r="C646" s="1" t="str">
        <f>IFERROR(__xludf.DUMMYFUNCTION("""COMPUTED_VALUE"""),"ORGANIC")</f>
        <v>ORGANIC</v>
      </c>
      <c r="D646" s="1" t="str">
        <f>IFERROR(__xludf.DUMMYFUNCTION("""COMPUTED_VALUE"""),"ALINGARO, CINDY")</f>
        <v>ALINGARO, CINDY</v>
      </c>
      <c r="E646" s="1" t="str">
        <f>IFERROR(__xludf.DUMMYFUNCTION("""COMPUTED_VALUE"""),"PLDT")</f>
        <v>PLDT</v>
      </c>
      <c r="F646" s="1"/>
      <c r="G646" s="1"/>
      <c r="H646" s="1" t="str">
        <f>IFERROR(__xludf.DUMMYFUNCTION("""COMPUTED_VALUE"""),"BEVELYN LOMA GUIRIBA")</f>
        <v>BEVELYN LOMA GUIRIBA</v>
      </c>
      <c r="I646" s="1">
        <f>IFERROR(__xludf.DUMMYFUNCTION("""COMPUTED_VALUE"""),9568526004)</f>
        <v>9568526004</v>
      </c>
      <c r="J646" s="1">
        <f>IFERROR(__xludf.DUMMYFUNCTION("""COMPUTED_VALUE"""),9951058457)</f>
        <v>9951058457</v>
      </c>
      <c r="K646" s="1" t="str">
        <f>IFERROR(__xludf.DUMMYFUNCTION("""COMPUTED_VALUE"""),"GUIRIBABEVELYN362@GMAI.COM")</f>
        <v>GUIRIBABEVELYN362@GMAI.COM</v>
      </c>
      <c r="L646" s="1" t="str">
        <f>IFERROR(__xludf.DUMMYFUNCTION("""COMPUTED_VALUE"""),"15")</f>
        <v>15</v>
      </c>
      <c r="M646" s="1" t="str">
        <f>IFERROR(__xludf.DUMMYFUNCTION("""COMPUTED_VALUE"""),"BUCAL")</f>
        <v>BUCAL</v>
      </c>
      <c r="N646" s="1"/>
      <c r="O646" s="1" t="str">
        <f>IFERROR(__xludf.DUMMYFUNCTION("""COMPUTED_VALUE"""),"AMALP113NP1 AMALPD83NP2/3/4/5")</f>
        <v>AMALP113NP1 AMALPD83NP2/3/4/5</v>
      </c>
      <c r="P646" s="1"/>
      <c r="Q646" s="1" t="str">
        <f>IFERROR(__xludf.DUMMYFUNCTION("""COMPUTED_VALUE"""),"BUCAL")</f>
        <v>BUCAL</v>
      </c>
      <c r="R646" s="1" t="str">
        <f>IFERROR(__xludf.DUMMYFUNCTION("""COMPUTED_VALUE"""),"AMADEO")</f>
        <v>AMADEO</v>
      </c>
      <c r="S646" s="1" t="str">
        <f>IFERROR(__xludf.DUMMYFUNCTION("""COMPUTED_VALUE"""),"CAVITE")</f>
        <v>CAVITE</v>
      </c>
      <c r="T646" s="1" t="str">
        <f>IFERROR(__xludf.DUMMYFUNCTION("""COMPUTED_VALUE"""),"PLAN 1399")</f>
        <v>PLAN 1399</v>
      </c>
      <c r="U646" s="1" t="str">
        <f>IFERROR(__xludf.DUMMYFUNCTION("""COMPUTED_VALUE"""),"CANCELLED ")</f>
        <v>CANCELLED </v>
      </c>
      <c r="V646" s="1" t="str">
        <f>IFERROR(__xludf.DUMMYFUNCTION("""COMPUTED_VALUE"""),"AS PER SUBS CANCELLED NALANG DAW AYAW NA NG ASAWA NYA")</f>
        <v>AS PER SUBS CANCELLED NALANG DAW AYAW NA NG ASAWA NYA</v>
      </c>
      <c r="W646" s="1"/>
    </row>
    <row r="647" customHeight="1" spans="1:23">
      <c r="A647" s="3">
        <f>IFERROR(__xludf.DUMMYFUNCTION("""COMPUTED_VALUE"""),46084)</f>
        <v>46084</v>
      </c>
      <c r="B647" s="1" t="str">
        <f>IFERROR(__xludf.DUMMYFUNCTION("""COMPUTED_VALUE"""),"ESCARCHA, MA ALMA  ESCOTO")</f>
        <v>ESCARCHA, MA ALMA  ESCOTO</v>
      </c>
      <c r="C647" s="1" t="str">
        <f>IFERROR(__xludf.DUMMYFUNCTION("""COMPUTED_VALUE"""),"ORGANIC")</f>
        <v>ORGANIC</v>
      </c>
      <c r="D647" s="1" t="str">
        <f>IFERROR(__xludf.DUMMYFUNCTION("""COMPUTED_VALUE"""),"ALINGARO, CINDY")</f>
        <v>ALINGARO, CINDY</v>
      </c>
      <c r="E647" s="1" t="str">
        <f>IFERROR(__xludf.DUMMYFUNCTION("""COMPUTED_VALUE"""),"PLDT")</f>
        <v>PLDT</v>
      </c>
      <c r="F647" s="1">
        <f>IFERROR(__xludf.DUMMYFUNCTION("""COMPUTED_VALUE"""),2307407937)</f>
        <v>2307407937</v>
      </c>
      <c r="G647" s="1"/>
      <c r="H647" s="1" t="str">
        <f>IFERROR(__xludf.DUMMYFUNCTION("""COMPUTED_VALUE"""),"BERYL ARCIDE ESMERALDA")</f>
        <v>BERYL ARCIDE ESMERALDA</v>
      </c>
      <c r="I647" s="1">
        <f>IFERROR(__xludf.DUMMYFUNCTION("""COMPUTED_VALUE"""),9657434798)</f>
        <v>9657434798</v>
      </c>
      <c r="J647" s="1">
        <f>IFERROR(__xludf.DUMMYFUNCTION("""COMPUTED_VALUE"""),9308243360)</f>
        <v>9308243360</v>
      </c>
      <c r="K647" s="1" t="str">
        <f>IFERROR(__xludf.DUMMYFUNCTION("""COMPUTED_VALUE"""),"GARSIATOLIBAS@GMAIL.COM")</f>
        <v>GARSIATOLIBAS@GMAIL.COM</v>
      </c>
      <c r="L647" s="1" t="str">
        <f>IFERROR(__xludf.DUMMYFUNCTION("""COMPUTED_VALUE"""),"144")</f>
        <v>144</v>
      </c>
      <c r="M647" s="1" t="str">
        <f>IFERROR(__xludf.DUMMYFUNCTION("""COMPUTED_VALUE"""),"BUCAL")</f>
        <v>BUCAL</v>
      </c>
      <c r="N647" s="1"/>
      <c r="O647" s="1" t="str">
        <f>IFERROR(__xludf.DUMMYFUNCTION("""COMPUTED_VALUE"""),"AMALP113NP1 AMALPD83NP2/3/4/5")</f>
        <v>AMALP113NP1 AMALPD83NP2/3/4/5</v>
      </c>
      <c r="P647" s="1"/>
      <c r="Q647" s="1" t="str">
        <f>IFERROR(__xludf.DUMMYFUNCTION("""COMPUTED_VALUE"""),"BUCAL")</f>
        <v>BUCAL</v>
      </c>
      <c r="R647" s="1" t="str">
        <f>IFERROR(__xludf.DUMMYFUNCTION("""COMPUTED_VALUE"""),"AMADEO")</f>
        <v>AMADEO</v>
      </c>
      <c r="S647" s="1" t="str">
        <f>IFERROR(__xludf.DUMMYFUNCTION("""COMPUTED_VALUE"""),"CAVITE")</f>
        <v>CAVITE</v>
      </c>
      <c r="T647" s="1" t="str">
        <f>IFERROR(__xludf.DUMMYFUNCTION("""COMPUTED_VALUE"""),"PLAN 1299")</f>
        <v>PLAN 1299</v>
      </c>
      <c r="U647" s="1" t="str">
        <f>IFERROR(__xludf.DUMMYFUNCTION("""COMPUTED_VALUE"""),"APPROVED")</f>
        <v>APPROVED</v>
      </c>
      <c r="V647" s="1" t="str">
        <f>IFERROR(__xludf.DUMMYFUNCTION("""COMPUTED_VALUE"""),"PLS PROVIDE ID WITH SAME SIGNATURE")</f>
        <v>PLS PROVIDE ID WITH SAME SIGNATURE</v>
      </c>
      <c r="W647" s="1"/>
    </row>
    <row r="648" customHeight="1" spans="1:23">
      <c r="A648" s="3">
        <f>IFERROR(__xludf.DUMMYFUNCTION("""COMPUTED_VALUE"""),46084)</f>
        <v>46084</v>
      </c>
      <c r="B648" s="1" t="str">
        <f>IFERROR(__xludf.DUMMYFUNCTION("""COMPUTED_VALUE"""),"AYON MANUEL")</f>
        <v>AYON MANUEL</v>
      </c>
      <c r="C648" s="1" t="str">
        <f>IFERROR(__xludf.DUMMYFUNCTION("""COMPUTED_VALUE"""),"FLA")</f>
        <v>FLA</v>
      </c>
      <c r="D648" s="1" t="str">
        <f>IFERROR(__xludf.DUMMYFUNCTION("""COMPUTED_VALUE"""),"JERIC NAVARRO")</f>
        <v>JERIC NAVARRO</v>
      </c>
      <c r="E648" s="1" t="str">
        <f>IFERROR(__xludf.DUMMYFUNCTION("""COMPUTED_VALUE"""),"PLDT")</f>
        <v>PLDT</v>
      </c>
      <c r="F648" s="1">
        <f>IFERROR(__xludf.DUMMYFUNCTION("""COMPUTED_VALUE"""),2307403547)</f>
        <v>2307403547</v>
      </c>
      <c r="G648" s="1"/>
      <c r="H648" s="1" t="str">
        <f>IFERROR(__xludf.DUMMYFUNCTION("""COMPUTED_VALUE"""),"ROZELLE TANEDO MOJICA")</f>
        <v>ROZELLE TANEDO MOJICA</v>
      </c>
      <c r="I648" s="1">
        <f>IFERROR(__xludf.DUMMYFUNCTION("""COMPUTED_VALUE"""),9066271588)</f>
        <v>9066271588</v>
      </c>
      <c r="J648" s="1">
        <f>IFERROR(__xludf.DUMMYFUNCTION("""COMPUTED_VALUE"""),9096518242)</f>
        <v>9096518242</v>
      </c>
      <c r="K648" s="1" t="str">
        <f>IFERROR(__xludf.DUMMYFUNCTION("""COMPUTED_VALUE"""),"MOJICAROZELLE4@GAIL.COM")</f>
        <v>MOJICAROZELLE4@GAIL.COM</v>
      </c>
      <c r="L648" s="1" t="str">
        <f>IFERROR(__xludf.DUMMYFUNCTION("""COMPUTED_VALUE"""),"917")</f>
        <v>917</v>
      </c>
      <c r="M648" s="1" t="str">
        <f>IFERROR(__xludf.DUMMYFUNCTION("""COMPUTED_VALUE"""),"HANOPOL")</f>
        <v>HANOPOL</v>
      </c>
      <c r="N648" s="1"/>
      <c r="O648" s="1" t="str">
        <f>IFERROR(__xludf.DUMMYFUNCTION("""COMPUTED_VALUE"""),"SILP639NP2")</f>
        <v>SILP639NP2</v>
      </c>
      <c r="P648" s="1"/>
      <c r="Q648" s="1" t="str">
        <f>IFERROR(__xludf.DUMMYFUNCTION("""COMPUTED_VALUE"""),"KAONG")</f>
        <v>KAONG</v>
      </c>
      <c r="R648" s="1" t="str">
        <f>IFERROR(__xludf.DUMMYFUNCTION("""COMPUTED_VALUE"""),"SILANG")</f>
        <v>SILANG</v>
      </c>
      <c r="S648" s="1" t="str">
        <f>IFERROR(__xludf.DUMMYFUNCTION("""COMPUTED_VALUE"""),"CAVITE")</f>
        <v>CAVITE</v>
      </c>
      <c r="T648" s="1" t="str">
        <f>IFERROR(__xludf.DUMMYFUNCTION("""COMPUTED_VALUE"""),"PLAN 1399")</f>
        <v>PLAN 1399</v>
      </c>
      <c r="U648" s="1" t="str">
        <f>IFERROR(__xludf.DUMMYFUNCTION("""COMPUTED_VALUE"""),"APPROVED")</f>
        <v>APPROVED</v>
      </c>
      <c r="V648" s="1"/>
      <c r="W648" s="1"/>
    </row>
    <row r="649" customHeight="1" spans="1:23">
      <c r="A649" s="3">
        <f>IFERROR(__xludf.DUMMYFUNCTION("""COMPUTED_VALUE"""),46084)</f>
        <v>46084</v>
      </c>
      <c r="B649" s="1" t="str">
        <f>IFERROR(__xludf.DUMMYFUNCTION("""COMPUTED_VALUE"""),"AYON MANUEL")</f>
        <v>AYON MANUEL</v>
      </c>
      <c r="C649" s="1" t="str">
        <f>IFERROR(__xludf.DUMMYFUNCTION("""COMPUTED_VALUE"""),"FLA")</f>
        <v>FLA</v>
      </c>
      <c r="D649" s="1" t="str">
        <f>IFERROR(__xludf.DUMMYFUNCTION("""COMPUTED_VALUE"""),"JERIC NAVARRO")</f>
        <v>JERIC NAVARRO</v>
      </c>
      <c r="E649" s="1" t="str">
        <f>IFERROR(__xludf.DUMMYFUNCTION("""COMPUTED_VALUE"""),"PLDT")</f>
        <v>PLDT</v>
      </c>
      <c r="F649" s="1">
        <f>IFERROR(__xludf.DUMMYFUNCTION("""COMPUTED_VALUE"""),2307403959)</f>
        <v>2307403959</v>
      </c>
      <c r="G649" s="1"/>
      <c r="H649" s="1" t="str">
        <f>IFERROR(__xludf.DUMMYFUNCTION("""COMPUTED_VALUE"""),"ROEL MAGPANTAY TENORIO")</f>
        <v>ROEL MAGPANTAY TENORIO</v>
      </c>
      <c r="I649" s="1">
        <f>IFERROR(__xludf.DUMMYFUNCTION("""COMPUTED_VALUE"""),9165558263)</f>
        <v>9165558263</v>
      </c>
      <c r="J649" s="1">
        <f>IFERROR(__xludf.DUMMYFUNCTION("""COMPUTED_VALUE"""),9152761589)</f>
        <v>9152761589</v>
      </c>
      <c r="K649" s="1" t="str">
        <f>IFERROR(__xludf.DUMMYFUNCTION("""COMPUTED_VALUE"""),"ROELMAGPANTAY16@GMAIL.COM")</f>
        <v>ROELMAGPANTAY16@GMAIL.COM</v>
      </c>
      <c r="L649" s="1" t="str">
        <f>IFERROR(__xludf.DUMMYFUNCTION("""COMPUTED_VALUE"""),"9145")</f>
        <v>9145</v>
      </c>
      <c r="M649" s="1" t="str">
        <f>IFERROR(__xludf.DUMMYFUNCTION("""COMPUTED_VALUE"""),"MAGUYAM RD")</f>
        <v>MAGUYAM RD</v>
      </c>
      <c r="N649" s="1"/>
      <c r="O649" s="1" t="str">
        <f>IFERROR(__xludf.DUMMYFUNCTION("""COMPUTED_VALUE"""),"SILLP369NP5")</f>
        <v>SILLP369NP5</v>
      </c>
      <c r="P649" s="1"/>
      <c r="Q649" s="1" t="str">
        <f>IFERROR(__xludf.DUMMYFUNCTION("""COMPUTED_VALUE"""),"KAONG")</f>
        <v>KAONG</v>
      </c>
      <c r="R649" s="1" t="str">
        <f>IFERROR(__xludf.DUMMYFUNCTION("""COMPUTED_VALUE"""),"SILANG")</f>
        <v>SILANG</v>
      </c>
      <c r="S649" s="1" t="str">
        <f>IFERROR(__xludf.DUMMYFUNCTION("""COMPUTED_VALUE"""),"CAVITE")</f>
        <v>CAVITE</v>
      </c>
      <c r="T649" s="1" t="str">
        <f>IFERROR(__xludf.DUMMYFUNCTION("""COMPUTED_VALUE"""),"PLAN 1399")</f>
        <v>PLAN 1399</v>
      </c>
      <c r="U649" s="1" t="str">
        <f>IFERROR(__xludf.DUMMYFUNCTION("""COMPUTED_VALUE"""),"APPROVED")</f>
        <v>APPROVED</v>
      </c>
      <c r="V649" s="1"/>
      <c r="W649" s="1"/>
    </row>
    <row r="650" customHeight="1" spans="1:23">
      <c r="A650" s="3">
        <f>IFERROR(__xludf.DUMMYFUNCTION("""COMPUTED_VALUE"""),46084)</f>
        <v>46084</v>
      </c>
      <c r="B650" s="1" t="str">
        <f>IFERROR(__xludf.DUMMYFUNCTION("""COMPUTED_VALUE"""),"AYON MANUEL")</f>
        <v>AYON MANUEL</v>
      </c>
      <c r="C650" s="1" t="str">
        <f>IFERROR(__xludf.DUMMYFUNCTION("""COMPUTED_VALUE"""),"FLA")</f>
        <v>FLA</v>
      </c>
      <c r="D650" s="1" t="str">
        <f>IFERROR(__xludf.DUMMYFUNCTION("""COMPUTED_VALUE"""),"JERIC NAVARRO")</f>
        <v>JERIC NAVARRO</v>
      </c>
      <c r="E650" s="1" t="str">
        <f>IFERROR(__xludf.DUMMYFUNCTION("""COMPUTED_VALUE"""),"PLDT")</f>
        <v>PLDT</v>
      </c>
      <c r="F650" s="1">
        <f>IFERROR(__xludf.DUMMYFUNCTION("""COMPUTED_VALUE"""),2307404119)</f>
        <v>2307404119</v>
      </c>
      <c r="G650" s="1"/>
      <c r="H650" s="1" t="str">
        <f>IFERROR(__xludf.DUMMYFUNCTION("""COMPUTED_VALUE"""),"RHEA MAI CAAG VERONA")</f>
        <v>RHEA MAI CAAG VERONA</v>
      </c>
      <c r="I650" s="1">
        <f>IFERROR(__xludf.DUMMYFUNCTION("""COMPUTED_VALUE"""),9291237783)</f>
        <v>9291237783</v>
      </c>
      <c r="J650" s="1">
        <f>IFERROR(__xludf.DUMMYFUNCTION("""COMPUTED_VALUE"""),9936897069)</f>
        <v>9936897069</v>
      </c>
      <c r="K650" s="1" t="str">
        <f>IFERROR(__xludf.DUMMYFUNCTION("""COMPUTED_VALUE"""),"VERONARHEA021822@GMAIL.COM")</f>
        <v>VERONARHEA021822@GMAIL.COM</v>
      </c>
      <c r="L650" s="1" t="str">
        <f>IFERROR(__xludf.DUMMYFUNCTION("""COMPUTED_VALUE"""),"9034")</f>
        <v>9034</v>
      </c>
      <c r="M650" s="1" t="str">
        <f>IFERROR(__xludf.DUMMYFUNCTION("""COMPUTED_VALUE"""),"HANOPOL")</f>
        <v>HANOPOL</v>
      </c>
      <c r="N650" s="1"/>
      <c r="O650" s="1" t="str">
        <f>IFERROR(__xludf.DUMMYFUNCTION("""COMPUTED_VALUE"""),"SILP639NP2")</f>
        <v>SILP639NP2</v>
      </c>
      <c r="P650" s="1"/>
      <c r="Q650" s="1" t="str">
        <f>IFERROR(__xludf.DUMMYFUNCTION("""COMPUTED_VALUE"""),"KAONG")</f>
        <v>KAONG</v>
      </c>
      <c r="R650" s="1" t="str">
        <f>IFERROR(__xludf.DUMMYFUNCTION("""COMPUTED_VALUE"""),"SILANG")</f>
        <v>SILANG</v>
      </c>
      <c r="S650" s="1" t="str">
        <f>IFERROR(__xludf.DUMMYFUNCTION("""COMPUTED_VALUE"""),"CAVITE")</f>
        <v>CAVITE</v>
      </c>
      <c r="T650" s="1" t="str">
        <f>IFERROR(__xludf.DUMMYFUNCTION("""COMPUTED_VALUE"""),"PLAN 999 WITH CIGNAL CABLE")</f>
        <v>PLAN 999 WITH CIGNAL CABLE</v>
      </c>
      <c r="U650" s="1" t="str">
        <f>IFERROR(__xludf.DUMMYFUNCTION("""COMPUTED_VALUE"""),"APPROVED")</f>
        <v>APPROVED</v>
      </c>
      <c r="V650" s="1"/>
      <c r="W650" s="1"/>
    </row>
    <row r="651" customHeight="1" spans="1:23">
      <c r="A651" s="3">
        <f>IFERROR(__xludf.DUMMYFUNCTION("""COMPUTED_VALUE"""),46084)</f>
        <v>46084</v>
      </c>
      <c r="B651" s="1" t="str">
        <f>IFERROR(__xludf.DUMMYFUNCTION("""COMPUTED_VALUE"""),"FERNANDEZ JERIC")</f>
        <v>FERNANDEZ JERIC</v>
      </c>
      <c r="C651" s="1" t="str">
        <f>IFERROR(__xludf.DUMMYFUNCTION("""COMPUTED_VALUE"""),"ORGANIC")</f>
        <v>ORGANIC</v>
      </c>
      <c r="D651" s="1" t="str">
        <f>IFERROR(__xludf.DUMMYFUNCTION("""COMPUTED_VALUE"""),"ALOS, CHARLS")</f>
        <v>ALOS, CHARLS</v>
      </c>
      <c r="E651" s="1" t="str">
        <f>IFERROR(__xludf.DUMMYFUNCTION("""COMPUTED_VALUE"""),"PLDT")</f>
        <v>PLDT</v>
      </c>
      <c r="F651" s="1">
        <f>IFERROR(__xludf.DUMMYFUNCTION("""COMPUTED_VALUE"""),2307407572)</f>
        <v>2307407572</v>
      </c>
      <c r="G651" s="1"/>
      <c r="H651" s="1" t="str">
        <f>IFERROR(__xludf.DUMMYFUNCTION("""COMPUTED_VALUE"""),"RHYVIN BALAG RAGOS")</f>
        <v>RHYVIN BALAG RAGOS</v>
      </c>
      <c r="I651" s="1">
        <f>IFERROR(__xludf.DUMMYFUNCTION("""COMPUTED_VALUE"""),9925324641)</f>
        <v>9925324641</v>
      </c>
      <c r="J651" s="1">
        <f>IFERROR(__xludf.DUMMYFUNCTION("""COMPUTED_VALUE"""),9305735291)</f>
        <v>9305735291</v>
      </c>
      <c r="K651" s="1" t="str">
        <f>IFERROR(__xludf.DUMMYFUNCTION("""COMPUTED_VALUE"""),"RAGOSRAIVEN9@GMAIL.COM")</f>
        <v>RAGOSRAIVEN9@GMAIL.COM</v>
      </c>
      <c r="L651" s="1" t="str">
        <f>IFERROR(__xludf.DUMMYFUNCTION("""COMPUTED_VALUE"""),"16")</f>
        <v>16</v>
      </c>
      <c r="M651" s="1" t="str">
        <f>IFERROR(__xludf.DUMMYFUNCTION("""COMPUTED_VALUE"""),"VILLAARLENE ")</f>
        <v>VILLAARLENE </v>
      </c>
      <c r="N651" s="1"/>
      <c r="O651" s="1" t="str">
        <f>IFERROR(__xludf.DUMMYFUNCTION("""COMPUTED_VALUE"""),"TGTLP60NP3 TGTLP214NP6")</f>
        <v>TGTLP60NP3 TGTLP214NP6</v>
      </c>
      <c r="P651" s="1"/>
      <c r="Q651" s="1" t="str">
        <f>IFERROR(__xludf.DUMMYFUNCTION("""COMPUTED_VALUE"""),"PATUTONG MALAKI SOUTH")</f>
        <v>PATUTONG MALAKI SOUTH</v>
      </c>
      <c r="R651" s="1" t="str">
        <f>IFERROR(__xludf.DUMMYFUNCTION("""COMPUTED_VALUE"""),"TAGAYTAY")</f>
        <v>TAGAYTAY</v>
      </c>
      <c r="S651" s="1" t="str">
        <f>IFERROR(__xludf.DUMMYFUNCTION("""COMPUTED_VALUE"""),"CAVITE")</f>
        <v>CAVITE</v>
      </c>
      <c r="T651" s="1" t="str">
        <f>IFERROR(__xludf.DUMMYFUNCTION("""COMPUTED_VALUE"""),"PLAN 1399")</f>
        <v>PLAN 1399</v>
      </c>
      <c r="U651" s="1" t="str">
        <f>IFERROR(__xludf.DUMMYFUNCTION("""COMPUTED_VALUE"""),"APPROVED")</f>
        <v>APPROVED</v>
      </c>
      <c r="V651" s="1"/>
      <c r="W651" s="1"/>
    </row>
    <row r="652" customHeight="1" spans="1:23">
      <c r="A652" s="3">
        <f>IFERROR(__xludf.DUMMYFUNCTION("""COMPUTED_VALUE"""),46084)</f>
        <v>46084</v>
      </c>
      <c r="B652" s="1" t="str">
        <f>IFERROR(__xludf.DUMMYFUNCTION("""COMPUTED_VALUE"""),"FRANCISCO , ROSELYN")</f>
        <v>FRANCISCO , ROSELYN</v>
      </c>
      <c r="C652" s="1" t="str">
        <f>IFERROR(__xludf.DUMMYFUNCTION("""COMPUTED_VALUE"""),"FLA")</f>
        <v>FLA</v>
      </c>
      <c r="D652" s="1" t="str">
        <f>IFERROR(__xludf.DUMMYFUNCTION("""COMPUTED_VALUE"""),"JERIC NAVARRO")</f>
        <v>JERIC NAVARRO</v>
      </c>
      <c r="E652" s="1" t="str">
        <f>IFERROR(__xludf.DUMMYFUNCTION("""COMPUTED_VALUE"""),"PLDT")</f>
        <v>PLDT</v>
      </c>
      <c r="F652" s="1">
        <f>IFERROR(__xludf.DUMMYFUNCTION("""COMPUTED_VALUE"""),2307406830)</f>
        <v>2307406830</v>
      </c>
      <c r="G652" s="1"/>
      <c r="H652" s="1" t="str">
        <f>IFERROR(__xludf.DUMMYFUNCTION("""COMPUTED_VALUE"""),"MEDELINE FERNANDEZ MITRA")</f>
        <v>MEDELINE FERNANDEZ MITRA</v>
      </c>
      <c r="I652" s="1">
        <f>IFERROR(__xludf.DUMMYFUNCTION("""COMPUTED_VALUE"""),9649193721)</f>
        <v>9649193721</v>
      </c>
      <c r="J652" s="1">
        <f>IFERROR(__xludf.DUMMYFUNCTION("""COMPUTED_VALUE"""),9283701245)</f>
        <v>9283701245</v>
      </c>
      <c r="K652" s="1" t="str">
        <f>IFERROR(__xludf.DUMMYFUNCTION("""COMPUTED_VALUE"""),"MICHAELWILLAMSSMW778976@GMAIL.COM")</f>
        <v>MICHAELWILLAMSSMW778976@GMAIL.COM</v>
      </c>
      <c r="L652" s="1" t="str">
        <f>IFERROR(__xludf.DUMMYFUNCTION("""COMPUTED_VALUE"""),"BLK 19 LOT 3")</f>
        <v>BLK 19 LOT 3</v>
      </c>
      <c r="M652" s="1" t="str">
        <f>IFERROR(__xludf.DUMMYFUNCTION("""COMPUTED_VALUE"""),"ANITIQUE ST")</f>
        <v>ANITIQUE ST</v>
      </c>
      <c r="N652" s="1" t="str">
        <f>IFERROR(__xludf.DUMMYFUNCTION("""COMPUTED_VALUE"""),"NOSTALJI")</f>
        <v>NOSTALJI</v>
      </c>
      <c r="O652" s="1" t="str">
        <f>IFERROR(__xludf.DUMMYFUNCTION("""COMPUTED_VALUE"""),"DASLP345NP6/7/8")</f>
        <v>DASLP345NP6/7/8</v>
      </c>
      <c r="P652" s="1"/>
      <c r="Q652" s="1" t="str">
        <f>IFERROR(__xludf.DUMMYFUNCTION("""COMPUTED_VALUE"""),"PALIPARAN I")</f>
        <v>PALIPARAN I</v>
      </c>
      <c r="R652" s="1" t="str">
        <f>IFERROR(__xludf.DUMMYFUNCTION("""COMPUTED_VALUE"""),"DASMARINAS")</f>
        <v>DASMARINAS</v>
      </c>
      <c r="S652" s="1" t="str">
        <f>IFERROR(__xludf.DUMMYFUNCTION("""COMPUTED_VALUE"""),"CAVITE")</f>
        <v>CAVITE</v>
      </c>
      <c r="T652" s="1" t="str">
        <f>IFERROR(__xludf.DUMMYFUNCTION("""COMPUTED_VALUE"""),"PLAN 1399")</f>
        <v>PLAN 1399</v>
      </c>
      <c r="U652" s="1" t="str">
        <f>IFERROR(__xludf.DUMMYFUNCTION("""COMPUTED_VALUE"""),"APPROVED")</f>
        <v>APPROVED</v>
      </c>
      <c r="V652" s="1"/>
      <c r="W652" s="1"/>
    </row>
    <row r="653" customHeight="1" spans="1:23">
      <c r="A653" s="3">
        <f>IFERROR(__xludf.DUMMYFUNCTION("""COMPUTED_VALUE"""),46084)</f>
        <v>46084</v>
      </c>
      <c r="B653" s="1" t="str">
        <f>IFERROR(__xludf.DUMMYFUNCTION("""COMPUTED_VALUE"""),"NAEOSA, JULLIE")</f>
        <v>NAEOSA, JULLIE</v>
      </c>
      <c r="C653" s="1" t="str">
        <f>IFERROR(__xludf.DUMMYFUNCTION("""COMPUTED_VALUE"""),"ORGANIC")</f>
        <v>ORGANIC</v>
      </c>
      <c r="D653" s="1" t="str">
        <f>IFERROR(__xludf.DUMMYFUNCTION("""COMPUTED_VALUE"""),"ALINGARO, CINDY")</f>
        <v>ALINGARO, CINDY</v>
      </c>
      <c r="E653" s="1" t="str">
        <f>IFERROR(__xludf.DUMMYFUNCTION("""COMPUTED_VALUE"""),"PLDT")</f>
        <v>PLDT</v>
      </c>
      <c r="F653" s="1"/>
      <c r="G653" s="1"/>
      <c r="H653" s="1" t="str">
        <f>IFERROR(__xludf.DUMMYFUNCTION("""COMPUTED_VALUE"""),"DOROETEO CATAMBANG MENDOZA")</f>
        <v>DOROETEO CATAMBANG MENDOZA</v>
      </c>
      <c r="I653" s="1">
        <f>IFERROR(__xludf.DUMMYFUNCTION("""COMPUTED_VALUE"""),9489995022)</f>
        <v>9489995022</v>
      </c>
      <c r="J653" s="1"/>
      <c r="K653" s="1" t="str">
        <f>IFERROR(__xludf.DUMMYFUNCTION("""COMPUTED_VALUE"""),"MENDOZAADOR05@GMAIL.COM")</f>
        <v>MENDOZAADOR05@GMAIL.COM</v>
      </c>
      <c r="L653" s="1" t="str">
        <f>IFERROR(__xludf.DUMMYFUNCTION("""COMPUTED_VALUE"""),"9004")</f>
        <v>9004</v>
      </c>
      <c r="M653" s="1" t="str">
        <f>IFERROR(__xludf.DUMMYFUNCTION("""COMPUTED_VALUE"""),"BAYOT")</f>
        <v>BAYOT</v>
      </c>
      <c r="N653" s="1"/>
      <c r="O653" s="1" t="str">
        <f>IFERROR(__xludf.DUMMYFUNCTION("""COMPUTED_VALUE"""),"AMALP33NP6")</f>
        <v>AMALP33NP6</v>
      </c>
      <c r="P653" s="1"/>
      <c r="Q653" s="1" t="str">
        <f>IFERROR(__xludf.DUMMYFUNCTION("""COMPUTED_VALUE"""),"BARANGAY 3 (POB.)")</f>
        <v>BARANGAY 3 (POB.)</v>
      </c>
      <c r="R653" s="1" t="str">
        <f>IFERROR(__xludf.DUMMYFUNCTION("""COMPUTED_VALUE"""),"AMADEO")</f>
        <v>AMADEO</v>
      </c>
      <c r="S653" s="1" t="str">
        <f>IFERROR(__xludf.DUMMYFUNCTION("""COMPUTED_VALUE"""),"CAVITE")</f>
        <v>CAVITE</v>
      </c>
      <c r="T653" s="1" t="str">
        <f>IFERROR(__xludf.DUMMYFUNCTION("""COMPUTED_VALUE"""),"PLAN 1299")</f>
        <v>PLAN 1299</v>
      </c>
      <c r="U653" s="1" t="str">
        <f>IFERROR(__xludf.DUMMYFUNCTION("""COMPUTED_VALUE"""),"HOLD")</f>
        <v>HOLD</v>
      </c>
      <c r="V653" s="1" t="str">
        <f>IFERROR(__xludf.DUMMYFUNCTION("""COMPUTED_VALUE"""),"WILLING TO ADVANCE PAYMENT BY MONDAY")</f>
        <v>WILLING TO ADVANCE PAYMENT BY MONDAY</v>
      </c>
      <c r="W653" s="1"/>
    </row>
    <row r="654" customHeight="1" spans="1:23">
      <c r="A654" s="3">
        <f>IFERROR(__xludf.DUMMYFUNCTION("""COMPUTED_VALUE"""),46084)</f>
        <v>46084</v>
      </c>
      <c r="B654" s="1" t="str">
        <f>IFERROR(__xludf.DUMMYFUNCTION("""COMPUTED_VALUE"""),"CABRERA JILLIENE")</f>
        <v>CABRERA JILLIENE</v>
      </c>
      <c r="C654" s="1" t="str">
        <f>IFERROR(__xludf.DUMMYFUNCTION("""COMPUTED_VALUE"""),"ORGANIC")</f>
        <v>ORGANIC</v>
      </c>
      <c r="D654" s="1" t="str">
        <f>IFERROR(__xludf.DUMMYFUNCTION("""COMPUTED_VALUE"""),"ALOS, CHARLS")</f>
        <v>ALOS, CHARLS</v>
      </c>
      <c r="E654" s="1" t="str">
        <f>IFERROR(__xludf.DUMMYFUNCTION("""COMPUTED_VALUE"""),"RED FIBER")</f>
        <v>RED FIBER</v>
      </c>
      <c r="F654" s="1"/>
      <c r="G654" s="1"/>
      <c r="H654" s="1" t="str">
        <f>IFERROR(__xludf.DUMMYFUNCTION("""COMPUTED_VALUE"""),"FERRIZ VILLLALAS ENRIQUEZ")</f>
        <v>FERRIZ VILLLALAS ENRIQUEZ</v>
      </c>
      <c r="I654" s="1">
        <f>IFERROR(__xludf.DUMMYFUNCTION("""COMPUTED_VALUE"""),9817915769)</f>
        <v>9817915769</v>
      </c>
      <c r="J654" s="1"/>
      <c r="K654" s="1" t="str">
        <f>IFERROR(__xludf.DUMMYFUNCTION("""COMPUTED_VALUE"""),"ENRIQUEZFERRIZ321@GMAIL.COM")</f>
        <v>ENRIQUEZFERRIZ321@GMAIL.COM</v>
      </c>
      <c r="L654" s="1" t="str">
        <f>IFERROR(__xludf.DUMMYFUNCTION("""COMPUTED_VALUE"""),"420")</f>
        <v>420</v>
      </c>
      <c r="M654" s="1" t="str">
        <f>IFERROR(__xludf.DUMMYFUNCTION("""COMPUTED_VALUE"""),"MENDOZA ")</f>
        <v>MENDOZA </v>
      </c>
      <c r="N654" s="1"/>
      <c r="O654" s="1" t="str">
        <f>IFERROR(__xludf.DUMMYFUNCTION("""COMPUTED_VALUE"""),"CVTLP2LCP55NP1")</f>
        <v>CVTLP2LCP55NP1</v>
      </c>
      <c r="P654" s="1"/>
      <c r="Q654" s="1" t="str">
        <f>IFERROR(__xludf.DUMMYFUNCTION("""COMPUTED_VALUE"""),"GALICIA III")</f>
        <v>GALICIA III</v>
      </c>
      <c r="R654" s="1" t="str">
        <f>IFERROR(__xludf.DUMMYFUNCTION("""COMPUTED_VALUE"""),"MENDEZ")</f>
        <v>MENDEZ</v>
      </c>
      <c r="S654" s="1" t="str">
        <f>IFERROR(__xludf.DUMMYFUNCTION("""COMPUTED_VALUE"""),"CAVITE")</f>
        <v>CAVITE</v>
      </c>
      <c r="T654" s="1" t="str">
        <f>IFERROR(__xludf.DUMMYFUNCTION("""COMPUTED_VALUE"""),"RED PLAN 1000")</f>
        <v>RED PLAN 1000</v>
      </c>
      <c r="U654" s="1" t="str">
        <f>IFERROR(__xludf.DUMMYFUNCTION("""COMPUTED_VALUE"""),"APPROVED")</f>
        <v>APPROVED</v>
      </c>
      <c r="V654" s="1"/>
      <c r="W654" s="1"/>
    </row>
    <row r="655" customHeight="1" spans="1:23">
      <c r="A655" s="3">
        <f>IFERROR(__xludf.DUMMYFUNCTION("""COMPUTED_VALUE"""),46084)</f>
        <v>46084</v>
      </c>
      <c r="B655" s="1" t="str">
        <f>IFERROR(__xludf.DUMMYFUNCTION("""COMPUTED_VALUE"""),"OPS SIR BETZ")</f>
        <v>OPS SIR BETZ</v>
      </c>
      <c r="C655" s="1" t="str">
        <f>IFERROR(__xludf.DUMMYFUNCTION("""COMPUTED_VALUE"""),"FLA")</f>
        <v>FLA</v>
      </c>
      <c r="D655" s="1" t="str">
        <f>IFERROR(__xludf.DUMMYFUNCTION("""COMPUTED_VALUE"""),"JERIC NAVARRO")</f>
        <v>JERIC NAVARRO</v>
      </c>
      <c r="E655" s="1" t="str">
        <f>IFERROR(__xludf.DUMMYFUNCTION("""COMPUTED_VALUE"""),"PLDT")</f>
        <v>PLDT</v>
      </c>
      <c r="F655" s="1">
        <f>IFERROR(__xludf.DUMMYFUNCTION("""COMPUTED_VALUE"""),2307412648)</f>
        <v>2307412648</v>
      </c>
      <c r="G655" s="1"/>
      <c r="H655" s="1" t="str">
        <f>IFERROR(__xludf.DUMMYFUNCTION("""COMPUTED_VALUE"""),"JOMARIE CAHILIG AGUELO")</f>
        <v>JOMARIE CAHILIG AGUELO</v>
      </c>
      <c r="I655" s="1">
        <f>IFERROR(__xludf.DUMMYFUNCTION("""COMPUTED_VALUE"""),9977108272)</f>
        <v>9977108272</v>
      </c>
      <c r="J655" s="1"/>
      <c r="K655" s="1" t="str">
        <f>IFERROR(__xludf.DUMMYFUNCTION("""COMPUTED_VALUE"""),"MILESTONE21PERSONEL@GMAIL.COM")</f>
        <v>MILESTONE21PERSONEL@GMAIL.COM</v>
      </c>
      <c r="L655" s="1" t="str">
        <f>IFERROR(__xludf.DUMMYFUNCTION("""COMPUTED_VALUE"""),"BLK 1 LO64")</f>
        <v>BLK 1 LO64</v>
      </c>
      <c r="M655" s="1" t="str">
        <f>IFERROR(__xludf.DUMMYFUNCTION("""COMPUTED_VALUE"""),"SAN MIGUEL 1")</f>
        <v>SAN MIGUEL 1</v>
      </c>
      <c r="N655" s="1"/>
      <c r="O655" s="1"/>
      <c r="P655" s="1"/>
      <c r="Q655" s="1" t="str">
        <f>IFERROR(__xludf.DUMMYFUNCTION("""COMPUTED_VALUE"""),"MOLINO IV")</f>
        <v>MOLINO IV</v>
      </c>
      <c r="R655" s="1" t="str">
        <f>IFERROR(__xludf.DUMMYFUNCTION("""COMPUTED_VALUE"""),"BACOOR")</f>
        <v>BACOOR</v>
      </c>
      <c r="S655" s="1" t="str">
        <f>IFERROR(__xludf.DUMMYFUNCTION("""COMPUTED_VALUE"""),"CAVITE")</f>
        <v>CAVITE</v>
      </c>
      <c r="T655" s="1" t="str">
        <f>IFERROR(__xludf.DUMMYFUNCTION("""COMPUTED_VALUE"""),"PLAN 1299")</f>
        <v>PLAN 1299</v>
      </c>
      <c r="U655" s="1" t="str">
        <f>IFERROR(__xludf.DUMMYFUNCTION("""COMPUTED_VALUE"""),"APPROVED")</f>
        <v>APPROVED</v>
      </c>
      <c r="V655" s="1"/>
      <c r="W655" s="1"/>
    </row>
    <row r="656" customHeight="1" spans="1:23">
      <c r="A656" s="3">
        <f>IFERROR(__xludf.DUMMYFUNCTION("""COMPUTED_VALUE"""),46084)</f>
        <v>46084</v>
      </c>
      <c r="B656" s="1" t="str">
        <f>IFERROR(__xludf.DUMMYFUNCTION("""COMPUTED_VALUE"""),"AYON MANUEL")</f>
        <v>AYON MANUEL</v>
      </c>
      <c r="C656" s="1" t="str">
        <f>IFERROR(__xludf.DUMMYFUNCTION("""COMPUTED_VALUE"""),"FLA")</f>
        <v>FLA</v>
      </c>
      <c r="D656" s="1" t="str">
        <f>IFERROR(__xludf.DUMMYFUNCTION("""COMPUTED_VALUE"""),"JERIC NAVARRO")</f>
        <v>JERIC NAVARRO</v>
      </c>
      <c r="E656" s="1" t="str">
        <f>IFERROR(__xludf.DUMMYFUNCTION("""COMPUTED_VALUE"""),"PLDT")</f>
        <v>PLDT</v>
      </c>
      <c r="F656" s="1">
        <f>IFERROR(__xludf.DUMMYFUNCTION("""COMPUTED_VALUE"""),2307413512)</f>
        <v>2307413512</v>
      </c>
      <c r="G656" s="1"/>
      <c r="H656" s="1" t="str">
        <f>IFERROR(__xludf.DUMMYFUNCTION("""COMPUTED_VALUE"""),"JANN ALLAN AMULONG CANLAS")</f>
        <v>JANN ALLAN AMULONG CANLAS</v>
      </c>
      <c r="I656" s="1">
        <f>IFERROR(__xludf.DUMMYFUNCTION("""COMPUTED_VALUE"""),9501912488)</f>
        <v>9501912488</v>
      </c>
      <c r="J656" s="1">
        <f>IFERROR(__xludf.DUMMYFUNCTION("""COMPUTED_VALUE"""),9276429531)</f>
        <v>9276429531</v>
      </c>
      <c r="K656" s="1" t="str">
        <f>IFERROR(__xludf.DUMMYFUNCTION("""COMPUTED_VALUE"""),"JONALLANC@GMAIL.COM")</f>
        <v>JONALLANC@GMAIL.COM</v>
      </c>
      <c r="L656" s="1" t="str">
        <f>IFERROR(__xludf.DUMMYFUNCTION("""COMPUTED_VALUE"""),"1153")</f>
        <v>1153</v>
      </c>
      <c r="M656" s="1" t="str">
        <f>IFERROR(__xludf.DUMMYFUNCTION("""COMPUTED_VALUE"""),"LOMA")</f>
        <v>LOMA</v>
      </c>
      <c r="N656" s="1"/>
      <c r="O656" s="1" t="str">
        <f>IFERROR(__xludf.DUMMYFUNCTION("""COMPUTED_VALUE"""),"AMALP23NP3/4/5")</f>
        <v>AMALP23NP3/4/5</v>
      </c>
      <c r="P656" s="1"/>
      <c r="Q656" s="1" t="str">
        <f>IFERROR(__xludf.DUMMYFUNCTION("""COMPUTED_VALUE"""),"LOMA")</f>
        <v>LOMA</v>
      </c>
      <c r="R656" s="1" t="str">
        <f>IFERROR(__xludf.DUMMYFUNCTION("""COMPUTED_VALUE"""),"AMADEO")</f>
        <v>AMADEO</v>
      </c>
      <c r="S656" s="1" t="str">
        <f>IFERROR(__xludf.DUMMYFUNCTION("""COMPUTED_VALUE"""),"CAVITE")</f>
        <v>CAVITE</v>
      </c>
      <c r="T656" s="1" t="str">
        <f>IFERROR(__xludf.DUMMYFUNCTION("""COMPUTED_VALUE"""),"PLAN 1799")</f>
        <v>PLAN 1799</v>
      </c>
      <c r="U656" s="1" t="str">
        <f>IFERROR(__xludf.DUMMYFUNCTION("""COMPUTED_VALUE"""),"APPROVED")</f>
        <v>APPROVED</v>
      </c>
      <c r="V656" s="1"/>
      <c r="W656" s="1"/>
    </row>
    <row r="657" customHeight="1" spans="1:23">
      <c r="A657" s="3">
        <f>IFERROR(__xludf.DUMMYFUNCTION("""COMPUTED_VALUE"""),46084)</f>
        <v>46084</v>
      </c>
      <c r="B657" s="1" t="str">
        <f>IFERROR(__xludf.DUMMYFUNCTION("""COMPUTED_VALUE"""),"FARO, REFRANTA")</f>
        <v>FARO, REFRANTA</v>
      </c>
      <c r="C657" s="1" t="str">
        <f>IFERROR(__xludf.DUMMYFUNCTION("""COMPUTED_VALUE"""),"ORGANIC")</f>
        <v>ORGANIC</v>
      </c>
      <c r="D657" s="1" t="str">
        <f>IFERROR(__xludf.DUMMYFUNCTION("""COMPUTED_VALUE"""),"ALINGARO, CINDY")</f>
        <v>ALINGARO, CINDY</v>
      </c>
      <c r="E657" s="1" t="str">
        <f>IFERROR(__xludf.DUMMYFUNCTION("""COMPUTED_VALUE"""),"PLDT")</f>
        <v>PLDT</v>
      </c>
      <c r="F657" s="1">
        <f>IFERROR(__xludf.DUMMYFUNCTION("""COMPUTED_VALUE"""),2307413622)</f>
        <v>2307413622</v>
      </c>
      <c r="G657" s="1"/>
      <c r="H657" s="1" t="str">
        <f>IFERROR(__xludf.DUMMYFUNCTION("""COMPUTED_VALUE"""),"PRINCESS ANGELENE SIBAYAN ANCHETA")</f>
        <v>PRINCESS ANGELENE SIBAYAN ANCHETA</v>
      </c>
      <c r="I657" s="1">
        <f>IFERROR(__xludf.DUMMYFUNCTION("""COMPUTED_VALUE"""),9272719114)</f>
        <v>9272719114</v>
      </c>
      <c r="J657" s="1"/>
      <c r="K657" s="1" t="str">
        <f>IFERROR(__xludf.DUMMYFUNCTION("""COMPUTED_VALUE"""),"PRINCESSANCHETA630@GMAIL.COM")</f>
        <v>PRINCESSANCHETA630@GMAIL.COM</v>
      </c>
      <c r="L657" s="1" t="str">
        <f>IFERROR(__xludf.DUMMYFUNCTION("""COMPUTED_VALUE"""),"73")</f>
        <v>73</v>
      </c>
      <c r="M657" s="1" t="str">
        <f>IFERROR(__xludf.DUMMYFUNCTION("""COMPUTED_VALUE"""),"CUADRA RIVE")</f>
        <v>CUADRA RIVE</v>
      </c>
      <c r="N657" s="1"/>
      <c r="O657" s="1" t="str">
        <f>IFERROR(__xludf.DUMMYFUNCTION("""COMPUTED_VALUE"""),"TGTLP353NP4")</f>
        <v>TGTLP353NP4</v>
      </c>
      <c r="P657" s="1" t="str">
        <f>IFERROR(__xludf.DUMMYFUNCTION("""COMPUTED_VALUE"""),"14.112753 120.901579")</f>
        <v>14.112753 120.901579</v>
      </c>
      <c r="Q657" s="1" t="str">
        <f>IFERROR(__xludf.DUMMYFUNCTION("""COMPUTED_VALUE"""),"GUINHAWA NORTH")</f>
        <v>GUINHAWA NORTH</v>
      </c>
      <c r="R657" s="1" t="str">
        <f>IFERROR(__xludf.DUMMYFUNCTION("""COMPUTED_VALUE"""),"TAGAYTAY")</f>
        <v>TAGAYTAY</v>
      </c>
      <c r="S657" s="1" t="str">
        <f>IFERROR(__xludf.DUMMYFUNCTION("""COMPUTED_VALUE"""),"CAVITE")</f>
        <v>CAVITE</v>
      </c>
      <c r="T657" s="1" t="str">
        <f>IFERROR(__xludf.DUMMYFUNCTION("""COMPUTED_VALUE"""),"PLAN 1399")</f>
        <v>PLAN 1399</v>
      </c>
      <c r="U657" s="1" t="str">
        <f>IFERROR(__xludf.DUMMYFUNCTION("""COMPUTED_VALUE"""),"APPROVED")</f>
        <v>APPROVED</v>
      </c>
      <c r="V657" s="1"/>
      <c r="W657" s="1"/>
    </row>
    <row r="658" customHeight="1" spans="1:23">
      <c r="A658" s="3">
        <f>IFERROR(__xludf.DUMMYFUNCTION("""COMPUTED_VALUE"""),46084)</f>
        <v>46084</v>
      </c>
      <c r="B658" s="1" t="str">
        <f>IFERROR(__xludf.DUMMYFUNCTION("""COMPUTED_VALUE"""),"DELA ROSA, JENNELYN")</f>
        <v>DELA ROSA, JENNELYN</v>
      </c>
      <c r="C658" s="1" t="str">
        <f>IFERROR(__xludf.DUMMYFUNCTION("""COMPUTED_VALUE"""),"ORGANIC")</f>
        <v>ORGANIC</v>
      </c>
      <c r="D658" s="1" t="str">
        <f>IFERROR(__xludf.DUMMYFUNCTION("""COMPUTED_VALUE"""),"ALOS, CHARLS")</f>
        <v>ALOS, CHARLS</v>
      </c>
      <c r="E658" s="1" t="str">
        <f>IFERROR(__xludf.DUMMYFUNCTION("""COMPUTED_VALUE"""),"PLDT")</f>
        <v>PLDT</v>
      </c>
      <c r="F658" s="1"/>
      <c r="G658" s="1"/>
      <c r="H658" s="1" t="str">
        <f>IFERROR(__xludf.DUMMYFUNCTION("""COMPUTED_VALUE"""),"LORELYN BANAL ACERON")</f>
        <v>LORELYN BANAL ACERON</v>
      </c>
      <c r="I658" s="1">
        <f>IFERROR(__xludf.DUMMYFUNCTION("""COMPUTED_VALUE"""),9512998357)</f>
        <v>9512998357</v>
      </c>
      <c r="J658" s="1"/>
      <c r="K658" s="1" t="str">
        <f>IFERROR(__xludf.DUMMYFUNCTION("""COMPUTED_VALUE"""),"LORELYNACERON1@GMAIL.COM")</f>
        <v>LORELYNACERON1@GMAIL.COM</v>
      </c>
      <c r="L658" s="1" t="str">
        <f>IFERROR(__xludf.DUMMYFUNCTION("""COMPUTED_VALUE"""),"BLK 3A LOT 68")</f>
        <v>BLK 3A LOT 68</v>
      </c>
      <c r="M658" s="1" t="str">
        <f>IFERROR(__xludf.DUMMYFUNCTION("""COMPUTED_VALUE"""),"TIAGO RD")</f>
        <v>TIAGO RD</v>
      </c>
      <c r="N658" s="1"/>
      <c r="O658" s="1" t="str">
        <f>IFERROR(__xludf.DUMMYFUNCTION("""COMPUTED_VALUE"""),"GMZLP47NP1 GMZLP215NP2")</f>
        <v>GMZLP47NP1 GMZLP215NP2</v>
      </c>
      <c r="P658" s="1" t="str">
        <f>IFERROR(__xludf.DUMMYFUNCTION("""COMPUTED_VALUE"""),"14.329212 121.034307")</f>
        <v>14.329212 121.034307</v>
      </c>
      <c r="Q658" s="1" t="str">
        <f>IFERROR(__xludf.DUMMYFUNCTION("""COMPUTED_VALUE"""),"TINIENTE TIAGO")</f>
        <v>TINIENTE TIAGO</v>
      </c>
      <c r="R658" s="1" t="str">
        <f>IFERROR(__xludf.DUMMYFUNCTION("""COMPUTED_VALUE"""),"GEN MARIANO ALVAREZ")</f>
        <v>GEN MARIANO ALVAREZ</v>
      </c>
      <c r="S658" s="1" t="str">
        <f>IFERROR(__xludf.DUMMYFUNCTION("""COMPUTED_VALUE"""),"CAVITE")</f>
        <v>CAVITE</v>
      </c>
      <c r="T658" s="1" t="str">
        <f>IFERROR(__xludf.DUMMYFUNCTION("""COMPUTED_VALUE"""),"PLAN 1599")</f>
        <v>PLAN 1599</v>
      </c>
      <c r="U658" s="1" t="str">
        <f>IFERROR(__xludf.DUMMYFUNCTION("""COMPUTED_VALUE"""),"FOR CALLBACK / CANNOT BE REACHED")</f>
        <v>FOR CALLBACK / CANNOT BE REACHED</v>
      </c>
      <c r="V658" s="1" t="str">
        <f>IFERROR(__xludf.DUMMYFUNCTION("""COMPUTED_VALUE"""),"PAG UUSAPAN DAW NILANG MAG ASAWA KUNG KAILAN MAKAKAPAG BAYAD")</f>
        <v>PAG UUSAPAN DAW NILANG MAG ASAWA KUNG KAILAN MAKAKAPAG BAYAD</v>
      </c>
      <c r="W658" s="1"/>
    </row>
    <row r="659" customHeight="1" spans="1:23">
      <c r="A659" s="3">
        <f>IFERROR(__xludf.DUMMYFUNCTION("""COMPUTED_VALUE"""),46085)</f>
        <v>46085</v>
      </c>
      <c r="B659" s="1" t="str">
        <f>IFERROR(__xludf.DUMMYFUNCTION("""COMPUTED_VALUE"""),"ALINGARO, CINDY")</f>
        <v>ALINGARO, CINDY</v>
      </c>
      <c r="C659" s="1" t="str">
        <f>IFERROR(__xludf.DUMMYFUNCTION("""COMPUTED_VALUE"""),"FLA")</f>
        <v>FLA</v>
      </c>
      <c r="D659" s="1" t="str">
        <f>IFERROR(__xludf.DUMMYFUNCTION("""COMPUTED_VALUE"""),"JERIC NAVARRO")</f>
        <v>JERIC NAVARRO</v>
      </c>
      <c r="E659" s="1" t="str">
        <f>IFERROR(__xludf.DUMMYFUNCTION("""COMPUTED_VALUE"""),"PLDT")</f>
        <v>PLDT</v>
      </c>
      <c r="F659" s="1">
        <f>IFERROR(__xludf.DUMMYFUNCTION("""COMPUTED_VALUE"""),2307425081)</f>
        <v>2307425081</v>
      </c>
      <c r="G659" s="1"/>
      <c r="H659" s="1" t="str">
        <f>IFERROR(__xludf.DUMMYFUNCTION("""COMPUTED_VALUE"""),"BHONNIE MORENO PASCUA")</f>
        <v>BHONNIE MORENO PASCUA</v>
      </c>
      <c r="I659" s="1">
        <f>IFERROR(__xludf.DUMMYFUNCTION("""COMPUTED_VALUE"""),9560290442)</f>
        <v>9560290442</v>
      </c>
      <c r="J659" s="1"/>
      <c r="K659" s="1" t="str">
        <f>IFERROR(__xludf.DUMMYFUNCTION("""COMPUTED_VALUE"""),"DANICACARIGA1@GMAIL.COM")</f>
        <v>DANICACARIGA1@GMAIL.COM</v>
      </c>
      <c r="L659" s="1" t="str">
        <f>IFERROR(__xludf.DUMMYFUNCTION("""COMPUTED_VALUE"""),"317A")</f>
        <v>317A</v>
      </c>
      <c r="M659" s="1" t="str">
        <f>IFERROR(__xludf.DUMMYFUNCTION("""COMPUTED_VALUE"""),"SAN ANTONIO RD")</f>
        <v>SAN ANTONIO RD</v>
      </c>
      <c r="N659" s="1"/>
      <c r="O659" s="1" t="str">
        <f>IFERROR(__xludf.DUMMYFUNCTION("""COMPUTED_VALUE"""),"NTALP34NP7/4")</f>
        <v>NTALP34NP7/4</v>
      </c>
      <c r="P659" s="1"/>
      <c r="Q659" s="1" t="str">
        <f>IFERROR(__xludf.DUMMYFUNCTION("""COMPUTED_VALUE"""),"SAN ANTONIO II")</f>
        <v>SAN ANTONIO II</v>
      </c>
      <c r="R659" s="1" t="str">
        <f>IFERROR(__xludf.DUMMYFUNCTION("""COMPUTED_VALUE"""),"NOVELETA")</f>
        <v>NOVELETA</v>
      </c>
      <c r="S659" s="1" t="str">
        <f>IFERROR(__xludf.DUMMYFUNCTION("""COMPUTED_VALUE"""),"CAVITE")</f>
        <v>CAVITE</v>
      </c>
      <c r="T659" s="1" t="str">
        <f>IFERROR(__xludf.DUMMYFUNCTION("""COMPUTED_VALUE"""),"PLAN 1399")</f>
        <v>PLAN 1399</v>
      </c>
      <c r="U659" s="1" t="str">
        <f>IFERROR(__xludf.DUMMYFUNCTION("""COMPUTED_VALUE"""),"APPROVED")</f>
        <v>APPROVED</v>
      </c>
      <c r="V659" s="1"/>
      <c r="W659" s="1"/>
    </row>
    <row r="660" customHeight="1" spans="1:23">
      <c r="A660" s="3">
        <f>IFERROR(__xludf.DUMMYFUNCTION("""COMPUTED_VALUE"""),46085)</f>
        <v>46085</v>
      </c>
      <c r="B660" s="1" t="str">
        <f>IFERROR(__xludf.DUMMYFUNCTION("""COMPUTED_VALUE"""),"AQUINO, LUIS")</f>
        <v>AQUINO, LUIS</v>
      </c>
      <c r="C660" s="1" t="str">
        <f>IFERROR(__xludf.DUMMYFUNCTION("""COMPUTED_VALUE"""),"ORGANIC")</f>
        <v>ORGANIC</v>
      </c>
      <c r="D660" s="1" t="str">
        <f>IFERROR(__xludf.DUMMYFUNCTION("""COMPUTED_VALUE"""),"ALOS, CHARLS")</f>
        <v>ALOS, CHARLS</v>
      </c>
      <c r="E660" s="1" t="str">
        <f>IFERROR(__xludf.DUMMYFUNCTION("""COMPUTED_VALUE"""),"PLDT")</f>
        <v>PLDT</v>
      </c>
      <c r="F660" s="1">
        <f>IFERROR(__xludf.DUMMYFUNCTION("""COMPUTED_VALUE"""),2307495445)</f>
        <v>2307495445</v>
      </c>
      <c r="G660" s="1"/>
      <c r="H660" s="1" t="str">
        <f>IFERROR(__xludf.DUMMYFUNCTION("""COMPUTED_VALUE"""),"DANILO DELA MATA BESMANO")</f>
        <v>DANILO DELA MATA BESMANO</v>
      </c>
      <c r="I660" s="1">
        <f>IFERROR(__xludf.DUMMYFUNCTION("""COMPUTED_VALUE"""),9060258007)</f>
        <v>9060258007</v>
      </c>
      <c r="J660" s="1"/>
      <c r="K660" s="1" t="str">
        <f>IFERROR(__xludf.DUMMYFUNCTION("""COMPUTED_VALUE"""),"DANBESMANO0516@GMAIL.COM")</f>
        <v>DANBESMANO0516@GMAIL.COM</v>
      </c>
      <c r="L660" s="1" t="str">
        <f>IFERROR(__xludf.DUMMYFUNCTION("""COMPUTED_VALUE"""),"46")</f>
        <v>46</v>
      </c>
      <c r="M660" s="1" t="str">
        <f>IFERROR(__xludf.DUMMYFUNCTION("""COMPUTED_VALUE"""),"SITIO MUZON")</f>
        <v>SITIO MUZON</v>
      </c>
      <c r="N660" s="1"/>
      <c r="O660" s="1"/>
      <c r="P660" s="1"/>
      <c r="Q660" s="1" t="str">
        <f>IFERROR(__xludf.DUMMYFUNCTION("""COMPUTED_VALUE"""),"PUTING KAHOY")</f>
        <v>PUTING KAHOY</v>
      </c>
      <c r="R660" s="1" t="str">
        <f>IFERROR(__xludf.DUMMYFUNCTION("""COMPUTED_VALUE"""),"SILANG")</f>
        <v>SILANG</v>
      </c>
      <c r="S660" s="1" t="str">
        <f>IFERROR(__xludf.DUMMYFUNCTION("""COMPUTED_VALUE"""),"CAVITE")</f>
        <v>CAVITE</v>
      </c>
      <c r="T660" s="1" t="str">
        <f>IFERROR(__xludf.DUMMYFUNCTION("""COMPUTED_VALUE"""),"PLAN 1399")</f>
        <v>PLAN 1399</v>
      </c>
      <c r="U660" s="1" t="str">
        <f>IFERROR(__xludf.DUMMYFUNCTION("""COMPUTED_VALUE"""),"APPROVED")</f>
        <v>APPROVED</v>
      </c>
      <c r="V660" s="1" t="str">
        <f>IFERROR(__xludf.DUMMYFUNCTION("""COMPUTED_VALUE"""),"ENDORSED")</f>
        <v>ENDORSED</v>
      </c>
      <c r="W660" s="1"/>
    </row>
    <row r="661" customHeight="1" spans="1:23">
      <c r="A661" s="3">
        <f>IFERROR(__xludf.DUMMYFUNCTION("""COMPUTED_VALUE"""),46085)</f>
        <v>46085</v>
      </c>
      <c r="B661" s="1" t="str">
        <f>IFERROR(__xludf.DUMMYFUNCTION("""COMPUTED_VALUE"""),"ESCARCHA, MA ALMA  ESCOTO")</f>
        <v>ESCARCHA, MA ALMA  ESCOTO</v>
      </c>
      <c r="C661" s="1" t="str">
        <f>IFERROR(__xludf.DUMMYFUNCTION("""COMPUTED_VALUE"""),"ORGANIC")</f>
        <v>ORGANIC</v>
      </c>
      <c r="D661" s="1" t="str">
        <f>IFERROR(__xludf.DUMMYFUNCTION("""COMPUTED_VALUE"""),"ALINGARO, CINDY")</f>
        <v>ALINGARO, CINDY</v>
      </c>
      <c r="E661" s="1" t="str">
        <f>IFERROR(__xludf.DUMMYFUNCTION("""COMPUTED_VALUE"""),"PLDT")</f>
        <v>PLDT</v>
      </c>
      <c r="F661" s="1">
        <f>IFERROR(__xludf.DUMMYFUNCTION("""COMPUTED_VALUE"""),2307435333)</f>
        <v>2307435333</v>
      </c>
      <c r="G661" s="1"/>
      <c r="H661" s="1" t="str">
        <f>IFERROR(__xludf.DUMMYFUNCTION("""COMPUTED_VALUE"""),"WARREN ROMERO ARAGON")</f>
        <v>WARREN ROMERO ARAGON</v>
      </c>
      <c r="I661" s="1">
        <f>IFERROR(__xludf.DUMMYFUNCTION("""COMPUTED_VALUE"""),9068219089)</f>
        <v>9068219089</v>
      </c>
      <c r="J661" s="1"/>
      <c r="K661" s="1" t="str">
        <f>IFERROR(__xludf.DUMMYFUNCTION("""COMPUTED_VALUE"""),"JULLIAESTILO06@GMAIL.COM")</f>
        <v>JULLIAESTILO06@GMAIL.COM</v>
      </c>
      <c r="L661" s="1" t="str">
        <f>IFERROR(__xludf.DUMMYFUNCTION("""COMPUTED_VALUE"""),"15121")</f>
        <v>15121</v>
      </c>
      <c r="M661" s="1" t="str">
        <f>IFERROR(__xludf.DUMMYFUNCTION("""COMPUTED_VALUE"""),"SITIO HANOPOL")</f>
        <v>SITIO HANOPOL</v>
      </c>
      <c r="N661" s="1"/>
      <c r="O661" s="1" t="str">
        <f>IFERROR(__xludf.DUMMYFUNCTION("""COMPUTED_VALUE"""),"SILLP639NP1")</f>
        <v>SILLP639NP1</v>
      </c>
      <c r="P661" s="1" t="str">
        <f>IFERROR(__xludf.DUMMYFUNCTION("""COMPUTED_VALUE"""),"14.24605 121.001751")</f>
        <v>14.24605 121.001751</v>
      </c>
      <c r="Q661" s="1" t="str">
        <f>IFERROR(__xludf.DUMMYFUNCTION("""COMPUTED_VALUE"""),"KAONG")</f>
        <v>KAONG</v>
      </c>
      <c r="R661" s="1" t="str">
        <f>IFERROR(__xludf.DUMMYFUNCTION("""COMPUTED_VALUE"""),"SILANG")</f>
        <v>SILANG</v>
      </c>
      <c r="S661" s="1" t="str">
        <f>IFERROR(__xludf.DUMMYFUNCTION("""COMPUTED_VALUE"""),"CAVITE")</f>
        <v>CAVITE</v>
      </c>
      <c r="T661" s="1" t="str">
        <f>IFERROR(__xludf.DUMMYFUNCTION("""COMPUTED_VALUE"""),"PLAN 1699")</f>
        <v>PLAN 1699</v>
      </c>
      <c r="U661" s="1" t="str">
        <f>IFERROR(__xludf.DUMMYFUNCTION("""COMPUTED_VALUE"""),"APPROVED")</f>
        <v>APPROVED</v>
      </c>
      <c r="V661" s="1"/>
      <c r="W661" s="1"/>
    </row>
    <row r="662" customHeight="1" spans="1:23">
      <c r="A662" s="3">
        <f>IFERROR(__xludf.DUMMYFUNCTION("""COMPUTED_VALUE"""),46085)</f>
        <v>46085</v>
      </c>
      <c r="B662" s="1" t="str">
        <f>IFERROR(__xludf.DUMMYFUNCTION("""COMPUTED_VALUE"""),"CABUGAYAN MARDIJOHN")</f>
        <v>CABUGAYAN MARDIJOHN</v>
      </c>
      <c r="C662" s="1" t="str">
        <f>IFERROR(__xludf.DUMMYFUNCTION("""COMPUTED_VALUE"""),"ORGANIC")</f>
        <v>ORGANIC</v>
      </c>
      <c r="D662" s="1" t="str">
        <f>IFERROR(__xludf.DUMMYFUNCTION("""COMPUTED_VALUE"""),"ALOS, CHARLS")</f>
        <v>ALOS, CHARLS</v>
      </c>
      <c r="E662" s="1" t="str">
        <f>IFERROR(__xludf.DUMMYFUNCTION("""COMPUTED_VALUE"""),"PLDT")</f>
        <v>PLDT</v>
      </c>
      <c r="F662" s="1">
        <f>IFERROR(__xludf.DUMMYFUNCTION("""COMPUTED_VALUE"""),2307499762)</f>
        <v>2307499762</v>
      </c>
      <c r="G662" s="1"/>
      <c r="H662" s="1" t="str">
        <f>IFERROR(__xludf.DUMMYFUNCTION("""COMPUTED_VALUE"""),"JORDAN BAYA CAGANG")</f>
        <v>JORDAN BAYA CAGANG</v>
      </c>
      <c r="I662" s="1">
        <f>IFERROR(__xludf.DUMMYFUNCTION("""COMPUTED_VALUE"""),9947884087)</f>
        <v>9947884087</v>
      </c>
      <c r="J662" s="1"/>
      <c r="K662" s="1" t="str">
        <f>IFERROR(__xludf.DUMMYFUNCTION("""COMPUTED_VALUE"""),"JORDANCAGANG003@GMAIL.COM")</f>
        <v>JORDANCAGANG003@GMAIL.COM</v>
      </c>
      <c r="L662" s="1" t="str">
        <f>IFERROR(__xludf.DUMMYFUNCTION("""COMPUTED_VALUE"""),"116")</f>
        <v>116</v>
      </c>
      <c r="M662" s="1" t="str">
        <f>IFERROR(__xludf.DUMMYFUNCTION("""COMPUTED_VALUE"""),"SITIO MUZON")</f>
        <v>SITIO MUZON</v>
      </c>
      <c r="N662" s="1"/>
      <c r="O662" s="1" t="str">
        <f>IFERROR(__xludf.DUMMYFUNCTION("""COMPUTED_VALUE"""),"SILLP645NP1")</f>
        <v>SILLP645NP1</v>
      </c>
      <c r="P662" s="1" t="str">
        <f>IFERROR(__xludf.DUMMYFUNCTION("""COMPUTED_VALUE"""),"14.224697 121.04776")</f>
        <v>14.224697 121.04776</v>
      </c>
      <c r="Q662" s="1" t="str">
        <f>IFERROR(__xludf.DUMMYFUNCTION("""COMPUTED_VALUE"""),"PUTING KAHOY")</f>
        <v>PUTING KAHOY</v>
      </c>
      <c r="R662" s="1" t="str">
        <f>IFERROR(__xludf.DUMMYFUNCTION("""COMPUTED_VALUE"""),"SILANG")</f>
        <v>SILANG</v>
      </c>
      <c r="S662" s="1" t="str">
        <f>IFERROR(__xludf.DUMMYFUNCTION("""COMPUTED_VALUE"""),"CAVITE")</f>
        <v>CAVITE</v>
      </c>
      <c r="T662" s="1" t="str">
        <f>IFERROR(__xludf.DUMMYFUNCTION("""COMPUTED_VALUE"""),"PLAN 1699")</f>
        <v>PLAN 1699</v>
      </c>
      <c r="U662" s="1" t="str">
        <f>IFERROR(__xludf.DUMMYFUNCTION("""COMPUTED_VALUE"""),"APPROVED")</f>
        <v>APPROVED</v>
      </c>
      <c r="V662" s="1" t="str">
        <f>IFERROR(__xludf.DUMMYFUNCTION("""COMPUTED_VALUE"""),"ENDORSED")</f>
        <v>ENDORSED</v>
      </c>
      <c r="W662" s="1"/>
    </row>
    <row r="663" customHeight="1" spans="1:23">
      <c r="A663" s="3">
        <f>IFERROR(__xludf.DUMMYFUNCTION("""COMPUTED_VALUE"""),46085)</f>
        <v>46085</v>
      </c>
      <c r="B663" s="1" t="str">
        <f>IFERROR(__xludf.DUMMYFUNCTION("""COMPUTED_VALUE"""),"ABGAO, LEO TAGANNA")</f>
        <v>ABGAO, LEO TAGANNA</v>
      </c>
      <c r="C663" s="1" t="str">
        <f>IFERROR(__xludf.DUMMYFUNCTION("""COMPUTED_VALUE"""),"ORGANIC")</f>
        <v>ORGANIC</v>
      </c>
      <c r="D663" s="1" t="str">
        <f>IFERROR(__xludf.DUMMYFUNCTION("""COMPUTED_VALUE"""),"ALOS, CHARLS")</f>
        <v>ALOS, CHARLS</v>
      </c>
      <c r="E663" s="1" t="str">
        <f>IFERROR(__xludf.DUMMYFUNCTION("""COMPUTED_VALUE"""),"PLDT")</f>
        <v>PLDT</v>
      </c>
      <c r="F663" s="1"/>
      <c r="G663" s="1"/>
      <c r="H663" s="1" t="str">
        <f>IFERROR(__xludf.DUMMYFUNCTION("""COMPUTED_VALUE"""),"ELLA MAY JIMENEZ CANTILLER")</f>
        <v>ELLA MAY JIMENEZ CANTILLER</v>
      </c>
      <c r="I663" s="1">
        <f>IFERROR(__xludf.DUMMYFUNCTION("""COMPUTED_VALUE"""),9364194131)</f>
        <v>9364194131</v>
      </c>
      <c r="J663" s="1"/>
      <c r="K663" s="1" t="str">
        <f>IFERROR(__xludf.DUMMYFUNCTION("""COMPUTED_VALUE"""),"ELLACANTILLER@GMAIL.COM")</f>
        <v>ELLACANTILLER@GMAIL.COM</v>
      </c>
      <c r="L663" s="1" t="str">
        <f>IFERROR(__xludf.DUMMYFUNCTION("""COMPUTED_VALUE"""),"2000")</f>
        <v>2000</v>
      </c>
      <c r="M663" s="1" t="str">
        <f>IFERROR(__xludf.DUMMYFUNCTION("""COMPUTED_VALUE"""),"SITIO MUZON")</f>
        <v>SITIO MUZON</v>
      </c>
      <c r="N663" s="1"/>
      <c r="O663" s="1" t="str">
        <f>IFERROR(__xludf.DUMMYFUNCTION("""COMPUTED_VALUE"""),"SILLP645NP1")</f>
        <v>SILLP645NP1</v>
      </c>
      <c r="P663" s="1" t="str">
        <f>IFERROR(__xludf.DUMMYFUNCTION("""COMPUTED_VALUE"""),"14.225731 121.047394")</f>
        <v>14.225731 121.047394</v>
      </c>
      <c r="Q663" s="1" t="str">
        <f>IFERROR(__xludf.DUMMYFUNCTION("""COMPUTED_VALUE"""),"PUTING KAHOY")</f>
        <v>PUTING KAHOY</v>
      </c>
      <c r="R663" s="1" t="str">
        <f>IFERROR(__xludf.DUMMYFUNCTION("""COMPUTED_VALUE"""),"SILANG")</f>
        <v>SILANG</v>
      </c>
      <c r="S663" s="1" t="str">
        <f>IFERROR(__xludf.DUMMYFUNCTION("""COMPUTED_VALUE"""),"CAVITE")</f>
        <v>CAVITE</v>
      </c>
      <c r="T663" s="1" t="str">
        <f>IFERROR(__xludf.DUMMYFUNCTION("""COMPUTED_VALUE"""),"PLAN 1399")</f>
        <v>PLAN 1399</v>
      </c>
      <c r="U663" s="1" t="str">
        <f>IFERROR(__xludf.DUMMYFUNCTION("""COMPUTED_VALUE"""),"HOLD")</f>
        <v>HOLD</v>
      </c>
      <c r="V663" s="1" t="str">
        <f>IFERROR(__xludf.DUMMYFUNCTION("""COMPUTED_VALUE"""),"AS PER SUBS PAG UUSAPAN DAW MUNA NILANG MAG ASAWA ")</f>
        <v>AS PER SUBS PAG UUSAPAN DAW MUNA NILANG MAG ASAWA </v>
      </c>
      <c r="W663" s="1"/>
    </row>
    <row r="664" customHeight="1" spans="1:23">
      <c r="A664" s="3">
        <f>IFERROR(__xludf.DUMMYFUNCTION("""COMPUTED_VALUE"""),46085)</f>
        <v>46085</v>
      </c>
      <c r="B664" s="1" t="str">
        <f>IFERROR(__xludf.DUMMYFUNCTION("""COMPUTED_VALUE"""),"MALIWAT MARK ELVIN")</f>
        <v>MALIWAT MARK ELVIN</v>
      </c>
      <c r="C664" s="1" t="str">
        <f>IFERROR(__xludf.DUMMYFUNCTION("""COMPUTED_VALUE"""),"FLA")</f>
        <v>FLA</v>
      </c>
      <c r="D664" s="1" t="str">
        <f>IFERROR(__xludf.DUMMYFUNCTION("""COMPUTED_VALUE"""),"JERIC NAVARRO")</f>
        <v>JERIC NAVARRO</v>
      </c>
      <c r="E664" s="1" t="str">
        <f>IFERROR(__xludf.DUMMYFUNCTION("""COMPUTED_VALUE"""),"PLDT")</f>
        <v>PLDT</v>
      </c>
      <c r="F664" s="1">
        <f>IFERROR(__xludf.DUMMYFUNCTION("""COMPUTED_VALUE"""),2307493859)</f>
        <v>2307493859</v>
      </c>
      <c r="G664" s="1"/>
      <c r="H664" s="1" t="str">
        <f>IFERROR(__xludf.DUMMYFUNCTION("""COMPUTED_VALUE"""),"RAMCORE GLASS AND ALUMINUM TRADING")</f>
        <v>RAMCORE GLASS AND ALUMINUM TRADING</v>
      </c>
      <c r="I664" s="1">
        <f>IFERROR(__xludf.DUMMYFUNCTION("""COMPUTED_VALUE"""),9171770695)</f>
        <v>9171770695</v>
      </c>
      <c r="J664" s="1"/>
      <c r="K664" s="1" t="str">
        <f>IFERROR(__xludf.DUMMYFUNCTION("""COMPUTED_VALUE"""),"RAMCORE.AG@GMAIL.COM")</f>
        <v>RAMCORE.AG@GMAIL.COM</v>
      </c>
      <c r="L664" s="1" t="str">
        <f>IFERROR(__xludf.DUMMYFUNCTION("""COMPUTED_VALUE"""),"7")</f>
        <v>7</v>
      </c>
      <c r="M664" s="1" t="str">
        <f>IFERROR(__xludf.DUMMYFUNCTION("""COMPUTED_VALUE"""),"SITIO MUZON")</f>
        <v>SITIO MUZON</v>
      </c>
      <c r="N664" s="1"/>
      <c r="O664" s="1" t="str">
        <f>IFERROR(__xludf.DUMMYFUNCTION("""COMPUTED_VALUE"""),"SILLP645NP1")</f>
        <v>SILLP645NP1</v>
      </c>
      <c r="P664" s="1"/>
      <c r="Q664" s="1" t="str">
        <f>IFERROR(__xludf.DUMMYFUNCTION("""COMPUTED_VALUE"""),"PUTING KAHOY")</f>
        <v>PUTING KAHOY</v>
      </c>
      <c r="R664" s="1" t="str">
        <f>IFERROR(__xludf.DUMMYFUNCTION("""COMPUTED_VALUE"""),"SILANG")</f>
        <v>SILANG</v>
      </c>
      <c r="S664" s="1" t="str">
        <f>IFERROR(__xludf.DUMMYFUNCTION("""COMPUTED_VALUE"""),"CAVITE")</f>
        <v>CAVITE</v>
      </c>
      <c r="T664" s="1" t="str">
        <f>IFERROR(__xludf.DUMMYFUNCTION("""COMPUTED_VALUE"""),"HOME BIZZ 1299")</f>
        <v>HOME BIZZ 1299</v>
      </c>
      <c r="U664" s="1" t="str">
        <f>IFERROR(__xludf.DUMMYFUNCTION("""COMPUTED_VALUE"""),"APPROVED")</f>
        <v>APPROVED</v>
      </c>
      <c r="V664" s="1" t="str">
        <f>IFERROR(__xludf.DUMMYFUNCTION("""COMPUTED_VALUE"""),"ENDORSED")</f>
        <v>ENDORSED</v>
      </c>
      <c r="W664" s="1"/>
    </row>
    <row r="665" customHeight="1" spans="1:23">
      <c r="A665" s="3">
        <f>IFERROR(__xludf.DUMMYFUNCTION("""COMPUTED_VALUE"""),46085)</f>
        <v>46085</v>
      </c>
      <c r="B665" s="1" t="str">
        <f>IFERROR(__xludf.DUMMYFUNCTION("""COMPUTED_VALUE"""),"MALIWAT MARK ELVIN")</f>
        <v>MALIWAT MARK ELVIN</v>
      </c>
      <c r="C665" s="1" t="str">
        <f>IFERROR(__xludf.DUMMYFUNCTION("""COMPUTED_VALUE"""),"FLA")</f>
        <v>FLA</v>
      </c>
      <c r="D665" s="1" t="str">
        <f>IFERROR(__xludf.DUMMYFUNCTION("""COMPUTED_VALUE"""),"JERIC NAVARRO")</f>
        <v>JERIC NAVARRO</v>
      </c>
      <c r="E665" s="1" t="str">
        <f>IFERROR(__xludf.DUMMYFUNCTION("""COMPUTED_VALUE"""),"PLDT")</f>
        <v>PLDT</v>
      </c>
      <c r="F665" s="1">
        <f>IFERROR(__xludf.DUMMYFUNCTION("""COMPUTED_VALUE"""),2307436373)</f>
        <v>2307436373</v>
      </c>
      <c r="G665" s="1"/>
      <c r="H665" s="1" t="str">
        <f>IFERROR(__xludf.DUMMYFUNCTION("""COMPUTED_VALUE"""),"ANNALYN LABRADOR HABLA")</f>
        <v>ANNALYN LABRADOR HABLA</v>
      </c>
      <c r="I665" s="1">
        <f>IFERROR(__xludf.DUMMYFUNCTION("""COMPUTED_VALUE"""),9424694430)</f>
        <v>9424694430</v>
      </c>
      <c r="J665" s="1"/>
      <c r="K665" s="1" t="str">
        <f>IFERROR(__xludf.DUMMYFUNCTION("""COMPUTED_VALUE"""),"ANNALYNHBL@GMAIL.COM")</f>
        <v>ANNALYNHBL@GMAIL.COM</v>
      </c>
      <c r="L665" s="1" t="str">
        <f>IFERROR(__xludf.DUMMYFUNCTION("""COMPUTED_VALUE"""),"BLK 25 LOT 3")</f>
        <v>BLK 25 LOT 3</v>
      </c>
      <c r="M665" s="1" t="str">
        <f>IFERROR(__xludf.DUMMYFUNCTION("""COMPUTED_VALUE"""),"21 ST")</f>
        <v>21 ST</v>
      </c>
      <c r="N665" s="1" t="str">
        <f>IFERROR(__xludf.DUMMYFUNCTION("""COMPUTED_VALUE"""),"CHRV")</f>
        <v>CHRV</v>
      </c>
      <c r="O665" s="1" t="str">
        <f>IFERROR(__xludf.DUMMYFUNCTION("""COMPUTED_VALUE"""),"DASLPE385NP5/6/7/8")</f>
        <v>DASLPE385NP5/6/7/8</v>
      </c>
      <c r="P665" s="1"/>
      <c r="Q665" s="1" t="str">
        <f>IFERROR(__xludf.DUMMYFUNCTION("""COMPUTED_VALUE"""),"LANGKAAN II")</f>
        <v>LANGKAAN II</v>
      </c>
      <c r="R665" s="1" t="str">
        <f>IFERROR(__xludf.DUMMYFUNCTION("""COMPUTED_VALUE"""),"DASMARINAS")</f>
        <v>DASMARINAS</v>
      </c>
      <c r="S665" s="1" t="str">
        <f>IFERROR(__xludf.DUMMYFUNCTION("""COMPUTED_VALUE"""),"CAVITE")</f>
        <v>CAVITE</v>
      </c>
      <c r="T665" s="1" t="str">
        <f>IFERROR(__xludf.DUMMYFUNCTION("""COMPUTED_VALUE"""),"PLAN 1399")</f>
        <v>PLAN 1399</v>
      </c>
      <c r="U665" s="1" t="str">
        <f>IFERROR(__xludf.DUMMYFUNCTION("""COMPUTED_VALUE"""),"APPROVED")</f>
        <v>APPROVED</v>
      </c>
      <c r="V665" s="1"/>
      <c r="W665" s="1"/>
    </row>
    <row r="666" customHeight="1" spans="1:23">
      <c r="A666" s="3">
        <f>IFERROR(__xludf.DUMMYFUNCTION("""COMPUTED_VALUE"""),46085)</f>
        <v>46085</v>
      </c>
      <c r="B666" s="1" t="str">
        <f>IFERROR(__xludf.DUMMYFUNCTION("""COMPUTED_VALUE"""),"MCNULTY KRYSTEL")</f>
        <v>MCNULTY KRYSTEL</v>
      </c>
      <c r="C666" s="1" t="str">
        <f>IFERROR(__xludf.DUMMYFUNCTION("""COMPUTED_VALUE"""),"ORGANIC")</f>
        <v>ORGANIC</v>
      </c>
      <c r="D666" s="1" t="str">
        <f>IFERROR(__xludf.DUMMYFUNCTION("""COMPUTED_VALUE"""),"ALINGARO, CINDY")</f>
        <v>ALINGARO, CINDY</v>
      </c>
      <c r="E666" s="1" t="str">
        <f>IFERROR(__xludf.DUMMYFUNCTION("""COMPUTED_VALUE"""),"PLDT")</f>
        <v>PLDT</v>
      </c>
      <c r="F666" s="1">
        <f>IFERROR(__xludf.DUMMYFUNCTION("""COMPUTED_VALUE"""),2307440533)</f>
        <v>2307440533</v>
      </c>
      <c r="G666" s="1"/>
      <c r="H666" s="1" t="str">
        <f>IFERROR(__xludf.DUMMYFUNCTION("""COMPUTED_VALUE"""),"KARL LOUIE DE JESUS REGIS")</f>
        <v>KARL LOUIE DE JESUS REGIS</v>
      </c>
      <c r="I666" s="1">
        <f>IFERROR(__xludf.DUMMYFUNCTION("""COMPUTED_VALUE"""),9954402009)</f>
        <v>9954402009</v>
      </c>
      <c r="J666" s="1"/>
      <c r="K666" s="1" t="str">
        <f>IFERROR(__xludf.DUMMYFUNCTION("""COMPUTED_VALUE"""),"DEJESUSKARLLOUIE@GMAIL.COM")</f>
        <v>DEJESUSKARLLOUIE@GMAIL.COM</v>
      </c>
      <c r="L666" s="1" t="str">
        <f>IFERROR(__xludf.DUMMYFUNCTION("""COMPUTED_VALUE"""),"10")</f>
        <v>10</v>
      </c>
      <c r="M666" s="1" t="str">
        <f>IFERROR(__xludf.DUMMYFUNCTION("""COMPUTED_VALUE"""),"HALFWAY ")</f>
        <v>HALFWAY </v>
      </c>
      <c r="N666" s="1"/>
      <c r="O666" s="1" t="str">
        <f>IFERROR(__xludf.DUMMYFUNCTION("""COMPUTED_VALUE"""),"SILP590NP1/2")</f>
        <v>SILP590NP1/2</v>
      </c>
      <c r="P666" s="1"/>
      <c r="Q666" s="1" t="str">
        <f>IFERROR(__xludf.DUMMYFUNCTION("""COMPUTED_VALUE"""),"MUNTING ILOG")</f>
        <v>MUNTING ILOG</v>
      </c>
      <c r="R666" s="1" t="str">
        <f>IFERROR(__xludf.DUMMYFUNCTION("""COMPUTED_VALUE"""),"SILANG")</f>
        <v>SILANG</v>
      </c>
      <c r="S666" s="1" t="str">
        <f>IFERROR(__xludf.DUMMYFUNCTION("""COMPUTED_VALUE"""),"CAVITE")</f>
        <v>CAVITE</v>
      </c>
      <c r="T666" s="1" t="str">
        <f>IFERROR(__xludf.DUMMYFUNCTION("""COMPUTED_VALUE"""),"PREPAID")</f>
        <v>PREPAID</v>
      </c>
      <c r="U666" s="1" t="str">
        <f>IFERROR(__xludf.DUMMYFUNCTION("""COMPUTED_VALUE"""),"APPROVED")</f>
        <v>APPROVED</v>
      </c>
      <c r="V666" s="1"/>
      <c r="W666" s="1"/>
    </row>
    <row r="667" customHeight="1" spans="1:23">
      <c r="A667" s="3">
        <f>IFERROR(__xludf.DUMMYFUNCTION("""COMPUTED_VALUE"""),46085)</f>
        <v>46085</v>
      </c>
      <c r="B667" s="1" t="str">
        <f>IFERROR(__xludf.DUMMYFUNCTION("""COMPUTED_VALUE"""),"GABAY, MANUEL")</f>
        <v>GABAY, MANUEL</v>
      </c>
      <c r="C667" s="1" t="str">
        <f>IFERROR(__xludf.DUMMYFUNCTION("""COMPUTED_VALUE"""),"FLA")</f>
        <v>FLA</v>
      </c>
      <c r="D667" s="1" t="str">
        <f>IFERROR(__xludf.DUMMYFUNCTION("""COMPUTED_VALUE"""),"JERIC NAVARRO")</f>
        <v>JERIC NAVARRO</v>
      </c>
      <c r="E667" s="1" t="str">
        <f>IFERROR(__xludf.DUMMYFUNCTION("""COMPUTED_VALUE"""),"PLDT")</f>
        <v>PLDT</v>
      </c>
      <c r="F667" s="1">
        <f>IFERROR(__xludf.DUMMYFUNCTION("""COMPUTED_VALUE"""),2307439526)</f>
        <v>2307439526</v>
      </c>
      <c r="G667" s="1"/>
      <c r="H667" s="1" t="str">
        <f>IFERROR(__xludf.DUMMYFUNCTION("""COMPUTED_VALUE"""),"REMIGIO ATIENZA OFREN")</f>
        <v>REMIGIO ATIENZA OFREN</v>
      </c>
      <c r="I667" s="1">
        <f>IFERROR(__xludf.DUMMYFUNCTION("""COMPUTED_VALUE"""),9660138220)</f>
        <v>9660138220</v>
      </c>
      <c r="J667" s="1">
        <f>IFERROR(__xludf.DUMMYFUNCTION("""COMPUTED_VALUE"""),9457292488)</f>
        <v>9457292488</v>
      </c>
      <c r="K667" s="1" t="str">
        <f>IFERROR(__xludf.DUMMYFUNCTION("""COMPUTED_VALUE"""),"REVOFREN2008@GMAIL.COM")</f>
        <v>REVOFREN2008@GMAIL.COM</v>
      </c>
      <c r="L667" s="1" t="str">
        <f>IFERROR(__xludf.DUMMYFUNCTION("""COMPUTED_VALUE"""),"269")</f>
        <v>269</v>
      </c>
      <c r="M667" s="1" t="str">
        <f>IFERROR(__xludf.DUMMYFUNCTION("""COMPUTED_VALUE"""),"IBAYONG ILAT")</f>
        <v>IBAYONG ILAT</v>
      </c>
      <c r="N667" s="1"/>
      <c r="O667" s="1" t="str">
        <f>IFERROR(__xludf.DUMMYFUNCTION("""COMPUTED_VALUE"""),"SILLP639NP3/4/5/6/7/8")</f>
        <v>SILLP639NP3/4/5/6/7/8</v>
      </c>
      <c r="P667" s="1" t="str">
        <f>IFERROR(__xludf.DUMMYFUNCTION("""COMPUTED_VALUE"""),"14.249407 121.004215")</f>
        <v>14.249407 121.004215</v>
      </c>
      <c r="Q667" s="1" t="str">
        <f>IFERROR(__xludf.DUMMYFUNCTION("""COMPUTED_VALUE"""),"KAONG")</f>
        <v>KAONG</v>
      </c>
      <c r="R667" s="1" t="str">
        <f>IFERROR(__xludf.DUMMYFUNCTION("""COMPUTED_VALUE"""),"SILANG")</f>
        <v>SILANG</v>
      </c>
      <c r="S667" s="1" t="str">
        <f>IFERROR(__xludf.DUMMYFUNCTION("""COMPUTED_VALUE"""),"CAVITE")</f>
        <v>CAVITE</v>
      </c>
      <c r="T667" s="1" t="str">
        <f>IFERROR(__xludf.DUMMYFUNCTION("""COMPUTED_VALUE"""),"PLAN 1599")</f>
        <v>PLAN 1599</v>
      </c>
      <c r="U667" s="1" t="str">
        <f>IFERROR(__xludf.DUMMYFUNCTION("""COMPUTED_VALUE"""),"APPROVED")</f>
        <v>APPROVED</v>
      </c>
      <c r="V667" s="1"/>
      <c r="W667" s="1"/>
    </row>
    <row r="668" customHeight="1" spans="1:23">
      <c r="A668" s="3">
        <f>IFERROR(__xludf.DUMMYFUNCTION("""COMPUTED_VALUE"""),46085)</f>
        <v>46085</v>
      </c>
      <c r="B668" s="1" t="str">
        <f>IFERROR(__xludf.DUMMYFUNCTION("""COMPUTED_VALUE"""),"CANTANERO JUNEL")</f>
        <v>CANTANERO JUNEL</v>
      </c>
      <c r="C668" s="1" t="str">
        <f>IFERROR(__xludf.DUMMYFUNCTION("""COMPUTED_VALUE"""),"ORGANIC")</f>
        <v>ORGANIC</v>
      </c>
      <c r="D668" s="1" t="str">
        <f>IFERROR(__xludf.DUMMYFUNCTION("""COMPUTED_VALUE"""),"ALINGARO, CINDY")</f>
        <v>ALINGARO, CINDY</v>
      </c>
      <c r="E668" s="1" t="str">
        <f>IFERROR(__xludf.DUMMYFUNCTION("""COMPUTED_VALUE"""),"PLDT")</f>
        <v>PLDT</v>
      </c>
      <c r="F668" s="1">
        <f>IFERROR(__xludf.DUMMYFUNCTION("""COMPUTED_VALUE"""),2307454253)</f>
        <v>2307454253</v>
      </c>
      <c r="G668" s="1"/>
      <c r="H668" s="1" t="str">
        <f>IFERROR(__xludf.DUMMYFUNCTION("""COMPUTED_VALUE"""),"JAY-ANNE CARAMOAN BALOLOY")</f>
        <v>JAY-ANNE CARAMOAN BALOLOY</v>
      </c>
      <c r="I668" s="1">
        <f>IFERROR(__xludf.DUMMYFUNCTION("""COMPUTED_VALUE"""),9630159188)</f>
        <v>9630159188</v>
      </c>
      <c r="J668" s="1">
        <f>IFERROR(__xludf.DUMMYFUNCTION("""COMPUTED_VALUE"""),9853747224)</f>
        <v>9853747224</v>
      </c>
      <c r="K668" s="1" t="str">
        <f>IFERROR(__xludf.DUMMYFUNCTION("""COMPUTED_VALUE"""),"JAYANNEBALOLOY1@GMAIL.COM")</f>
        <v>JAYANNEBALOLOY1@GMAIL.COM</v>
      </c>
      <c r="L668" s="1" t="str">
        <f>IFERROR(__xludf.DUMMYFUNCTION("""COMPUTED_VALUE"""),"BLK 2 ")</f>
        <v>BLK 2 </v>
      </c>
      <c r="M668" s="1" t="str">
        <f>IFERROR(__xludf.DUMMYFUNCTION("""COMPUTED_VALUE"""),"EXCESS LOT")</f>
        <v>EXCESS LOT</v>
      </c>
      <c r="N668" s="1"/>
      <c r="O668" s="1" t="str">
        <f>IFERROR(__xludf.DUMMYFUNCTION("""COMPUTED_VALUE"""),"GMZLP71NP6/7")</f>
        <v>GMZLP71NP6/7</v>
      </c>
      <c r="P668" s="1" t="str">
        <f>IFERROR(__xludf.DUMMYFUNCTION("""COMPUTED_VALUE"""),"14.307475 121.01284")</f>
        <v>14.307475 121.01284</v>
      </c>
      <c r="Q668" s="1" t="str">
        <f>IFERROR(__xludf.DUMMYFUNCTION("""COMPUTED_VALUE"""),"PANTALEON GRANADOS (AREA G)")</f>
        <v>PANTALEON GRANADOS (AREA G)</v>
      </c>
      <c r="R668" s="1" t="str">
        <f>IFERROR(__xludf.DUMMYFUNCTION("""COMPUTED_VALUE"""),"GEN MARIANO ALVAREZ")</f>
        <v>GEN MARIANO ALVAREZ</v>
      </c>
      <c r="S668" s="1" t="str">
        <f>IFERROR(__xludf.DUMMYFUNCTION("""COMPUTED_VALUE"""),"CAVITE")</f>
        <v>CAVITE</v>
      </c>
      <c r="T668" s="1" t="str">
        <f>IFERROR(__xludf.DUMMYFUNCTION("""COMPUTED_VALUE"""),"PREPAID")</f>
        <v>PREPAID</v>
      </c>
      <c r="U668" s="1" t="str">
        <f>IFERROR(__xludf.DUMMYFUNCTION("""COMPUTED_VALUE"""),"APPROVED")</f>
        <v>APPROVED</v>
      </c>
      <c r="V668" s="1"/>
      <c r="W668" s="1"/>
    </row>
    <row r="669" customHeight="1" spans="1:23">
      <c r="A669" s="3">
        <f>IFERROR(__xludf.DUMMYFUNCTION("""COMPUTED_VALUE"""),46086)</f>
        <v>46086</v>
      </c>
      <c r="B669" s="1" t="str">
        <f>IFERROR(__xludf.DUMMYFUNCTION("""COMPUTED_VALUE"""),"GABAY, MANUEL")</f>
        <v>GABAY, MANUEL</v>
      </c>
      <c r="C669" s="1" t="str">
        <f>IFERROR(__xludf.DUMMYFUNCTION("""COMPUTED_VALUE"""),"FLA")</f>
        <v>FLA</v>
      </c>
      <c r="D669" s="1" t="str">
        <f>IFERROR(__xludf.DUMMYFUNCTION("""COMPUTED_VALUE"""),"JERIC NAVARRO")</f>
        <v>JERIC NAVARRO</v>
      </c>
      <c r="E669" s="1" t="str">
        <f>IFERROR(__xludf.DUMMYFUNCTION("""COMPUTED_VALUE"""),"PLDT")</f>
        <v>PLDT</v>
      </c>
      <c r="F669" s="1">
        <f>IFERROR(__xludf.DUMMYFUNCTION("""COMPUTED_VALUE"""),2307451540)</f>
        <v>2307451540</v>
      </c>
      <c r="G669" s="1"/>
      <c r="H669" s="1" t="str">
        <f>IFERROR(__xludf.DUMMYFUNCTION("""COMPUTED_VALUE"""),"JORGE JR TEVES ZAFE")</f>
        <v>JORGE JR TEVES ZAFE</v>
      </c>
      <c r="I669" s="1">
        <f>IFERROR(__xludf.DUMMYFUNCTION("""COMPUTED_VALUE"""),9778533206)</f>
        <v>9778533206</v>
      </c>
      <c r="J669" s="1"/>
      <c r="K669" s="1" t="str">
        <f>IFERROR(__xludf.DUMMYFUNCTION("""COMPUTED_VALUE"""),"REDSTALLIONTRAINDING@YAHOO.COM")</f>
        <v>REDSTALLIONTRAINDING@YAHOO.COM</v>
      </c>
      <c r="L669" s="1" t="str">
        <f>IFERROR(__xludf.DUMMYFUNCTION("""COMPUTED_VALUE"""),"LOT 1B")</f>
        <v>LOT 1B</v>
      </c>
      <c r="M669" s="1" t="str">
        <f>IFERROR(__xludf.DUMMYFUNCTION("""COMPUTED_VALUE"""),"IBAYONG ILAT")</f>
        <v>IBAYONG ILAT</v>
      </c>
      <c r="N669" s="1"/>
      <c r="O669" s="1" t="str">
        <f>IFERROR(__xludf.DUMMYFUNCTION("""COMPUTED_VALUE"""),"SILLP638NP3")</f>
        <v>SILLP638NP3</v>
      </c>
      <c r="P669" s="1"/>
      <c r="Q669" s="1" t="str">
        <f>IFERROR(__xludf.DUMMYFUNCTION("""COMPUTED_VALUE"""),"KAONG")</f>
        <v>KAONG</v>
      </c>
      <c r="R669" s="1" t="str">
        <f>IFERROR(__xludf.DUMMYFUNCTION("""COMPUTED_VALUE"""),"SILANG")</f>
        <v>SILANG</v>
      </c>
      <c r="S669" s="1" t="str">
        <f>IFERROR(__xludf.DUMMYFUNCTION("""COMPUTED_VALUE"""),"CAVITE")</f>
        <v>CAVITE</v>
      </c>
      <c r="T669" s="1" t="str">
        <f>IFERROR(__xludf.DUMMYFUNCTION("""COMPUTED_VALUE"""),"PLAN 1599")</f>
        <v>PLAN 1599</v>
      </c>
      <c r="U669" s="1" t="str">
        <f>IFERROR(__xludf.DUMMYFUNCTION("""COMPUTED_VALUE"""),"APPROVED")</f>
        <v>APPROVED</v>
      </c>
      <c r="V669" s="1"/>
      <c r="W669" s="1"/>
    </row>
    <row r="670" customHeight="1" spans="1:23">
      <c r="A670" s="3">
        <f>IFERROR(__xludf.DUMMYFUNCTION("""COMPUTED_VALUE"""),46086)</f>
        <v>46086</v>
      </c>
      <c r="B670" s="1" t="str">
        <f>IFERROR(__xludf.DUMMYFUNCTION("""COMPUTED_VALUE"""),"MALIWAT MARK ELVIN")</f>
        <v>MALIWAT MARK ELVIN</v>
      </c>
      <c r="C670" s="1" t="str">
        <f>IFERROR(__xludf.DUMMYFUNCTION("""COMPUTED_VALUE"""),"FLA")</f>
        <v>FLA</v>
      </c>
      <c r="D670" s="1" t="str">
        <f>IFERROR(__xludf.DUMMYFUNCTION("""COMPUTED_VALUE"""),"JERIC NAVARRO")</f>
        <v>JERIC NAVARRO</v>
      </c>
      <c r="E670" s="1" t="str">
        <f>IFERROR(__xludf.DUMMYFUNCTION("""COMPUTED_VALUE"""),"PLDT")</f>
        <v>PLDT</v>
      </c>
      <c r="F670" s="1">
        <f>IFERROR(__xludf.DUMMYFUNCTION("""COMPUTED_VALUE"""),2307451867)</f>
        <v>2307451867</v>
      </c>
      <c r="G670" s="1"/>
      <c r="H670" s="1" t="str">
        <f>IFERROR(__xludf.DUMMYFUNCTION("""COMPUTED_VALUE"""),"IMELDA MANALO REY")</f>
        <v>IMELDA MANALO REY</v>
      </c>
      <c r="I670" s="1">
        <f>IFERROR(__xludf.DUMMYFUNCTION("""COMPUTED_VALUE"""),9603732909)</f>
        <v>9603732909</v>
      </c>
      <c r="J670" s="1">
        <f>IFERROR(__xludf.DUMMYFUNCTION("""COMPUTED_VALUE"""),9465774991)</f>
        <v>9465774991</v>
      </c>
      <c r="K670" s="1" t="str">
        <f>IFERROR(__xludf.DUMMYFUNCTION("""COMPUTED_VALUE"""),"IMELDAMANALOREY@GMAIL.COM")</f>
        <v>IMELDAMANALOREY@GMAIL.COM</v>
      </c>
      <c r="L670" s="1" t="str">
        <f>IFERROR(__xludf.DUMMYFUNCTION("""COMPUTED_VALUE"""),"BLK F5 LOT 3")</f>
        <v>BLK F5 LOT 3</v>
      </c>
      <c r="M670" s="1" t="str">
        <f>IFERROR(__xludf.DUMMYFUNCTION("""COMPUTED_VALUE"""),"STA CRISTA RD")</f>
        <v>STA CRISTA RD</v>
      </c>
      <c r="N670" s="1"/>
      <c r="O670" s="1" t="str">
        <f>IFERROR(__xludf.DUMMYFUNCTION("""COMPUTED_VALUE"""),"DASLPE11NP1/2/3/4/5")</f>
        <v>DASLPE11NP1/2/3/4/5</v>
      </c>
      <c r="P670" s="1"/>
      <c r="Q670" s="1" t="str">
        <f>IFERROR(__xludf.DUMMYFUNCTION("""COMPUTED_VALUE"""),"SANTA CRISTINA I")</f>
        <v>SANTA CRISTINA I</v>
      </c>
      <c r="R670" s="1" t="str">
        <f>IFERROR(__xludf.DUMMYFUNCTION("""COMPUTED_VALUE"""),"DASMARINAS")</f>
        <v>DASMARINAS</v>
      </c>
      <c r="S670" s="1" t="str">
        <f>IFERROR(__xludf.DUMMYFUNCTION("""COMPUTED_VALUE"""),"CAVITE")</f>
        <v>CAVITE</v>
      </c>
      <c r="T670" s="1" t="str">
        <f>IFERROR(__xludf.DUMMYFUNCTION("""COMPUTED_VALUE"""),"PLAN 2099")</f>
        <v>PLAN 2099</v>
      </c>
      <c r="U670" s="1" t="str">
        <f>IFERROR(__xludf.DUMMYFUNCTION("""COMPUTED_VALUE"""),"APPROVED")</f>
        <v>APPROVED</v>
      </c>
      <c r="V670" s="1"/>
      <c r="W670" s="1"/>
    </row>
    <row r="671" customHeight="1" spans="1:23">
      <c r="A671" s="3">
        <f>IFERROR(__xludf.DUMMYFUNCTION("""COMPUTED_VALUE"""),46086)</f>
        <v>46086</v>
      </c>
      <c r="B671" s="1" t="str">
        <f>IFERROR(__xludf.DUMMYFUNCTION("""COMPUTED_VALUE"""),"DELA ROSA, JENNELYN")</f>
        <v>DELA ROSA, JENNELYN</v>
      </c>
      <c r="C671" s="1" t="str">
        <f>IFERROR(__xludf.DUMMYFUNCTION("""COMPUTED_VALUE"""),"ORGANIC")</f>
        <v>ORGANIC</v>
      </c>
      <c r="D671" s="1" t="str">
        <f>IFERROR(__xludf.DUMMYFUNCTION("""COMPUTED_VALUE"""),"ALOS, CHARLS")</f>
        <v>ALOS, CHARLS</v>
      </c>
      <c r="E671" s="1" t="str">
        <f>IFERROR(__xludf.DUMMYFUNCTION("""COMPUTED_VALUE"""),"PLDT")</f>
        <v>PLDT</v>
      </c>
      <c r="F671" s="1">
        <f>IFERROR(__xludf.DUMMYFUNCTION("""COMPUTED_VALUE"""),2307453549)</f>
        <v>2307453549</v>
      </c>
      <c r="G671" s="1"/>
      <c r="H671" s="1" t="str">
        <f>IFERROR(__xludf.DUMMYFUNCTION("""COMPUTED_VALUE"""),"MIA FRANCIA LANUZA TIMAJO")</f>
        <v>MIA FRANCIA LANUZA TIMAJO</v>
      </c>
      <c r="I671" s="1">
        <f>IFERROR(__xludf.DUMMYFUNCTION("""COMPUTED_VALUE"""),9543248672)</f>
        <v>9543248672</v>
      </c>
      <c r="J671" s="1"/>
      <c r="K671" s="1" t="str">
        <f>IFERROR(__xludf.DUMMYFUNCTION("""COMPUTED_VALUE"""),"LANUZAVINCENT025@GMAIL.COM")</f>
        <v>LANUZAVINCENT025@GMAIL.COM</v>
      </c>
      <c r="L671" s="1" t="str">
        <f>IFERROR(__xludf.DUMMYFUNCTION("""COMPUTED_VALUE"""),"71")</f>
        <v>71</v>
      </c>
      <c r="M671" s="1" t="str">
        <f>IFERROR(__xludf.DUMMYFUNCTION("""COMPUTED_VALUE"""),"PHASE 1A")</f>
        <v>PHASE 1A</v>
      </c>
      <c r="N671" s="1"/>
      <c r="O671" s="1" t="str">
        <f>IFERROR(__xludf.DUMMYFUNCTION("""COMPUTED_VALUE"""),"SILLP485NP3/5")</f>
        <v>SILLP485NP3/5</v>
      </c>
      <c r="P671" s="1" t="str">
        <f>IFERROR(__xludf.DUMMYFUNCTION("""COMPUTED_VALUE"""),"14.279002 120.991632")</f>
        <v>14.279002 120.991632</v>
      </c>
      <c r="Q671" s="1" t="str">
        <f>IFERROR(__xludf.DUMMYFUNCTION("""COMPUTED_VALUE"""),"ACACIA")</f>
        <v>ACACIA</v>
      </c>
      <c r="R671" s="1" t="str">
        <f>IFERROR(__xludf.DUMMYFUNCTION("""COMPUTED_VALUE"""),"SILANG")</f>
        <v>SILANG</v>
      </c>
      <c r="S671" s="1" t="str">
        <f>IFERROR(__xludf.DUMMYFUNCTION("""COMPUTED_VALUE"""),"CAVITE")</f>
        <v>CAVITE</v>
      </c>
      <c r="T671" s="1" t="str">
        <f>IFERROR(__xludf.DUMMYFUNCTION("""COMPUTED_VALUE"""),"PLAN 1799")</f>
        <v>PLAN 1799</v>
      </c>
      <c r="U671" s="1" t="str">
        <f>IFERROR(__xludf.DUMMYFUNCTION("""COMPUTED_VALUE"""),"APPROVED")</f>
        <v>APPROVED</v>
      </c>
      <c r="V671" s="1"/>
      <c r="W671" s="1"/>
    </row>
    <row r="672" customHeight="1" spans="1:23">
      <c r="A672" s="3">
        <f>IFERROR(__xludf.DUMMYFUNCTION("""COMPUTED_VALUE"""),46086)</f>
        <v>46086</v>
      </c>
      <c r="B672" s="1" t="str">
        <f>IFERROR(__xludf.DUMMYFUNCTION("""COMPUTED_VALUE"""),"GABAY, MANUEL")</f>
        <v>GABAY, MANUEL</v>
      </c>
      <c r="C672" s="1" t="str">
        <f>IFERROR(__xludf.DUMMYFUNCTION("""COMPUTED_VALUE"""),"FLA")</f>
        <v>FLA</v>
      </c>
      <c r="D672" s="1" t="str">
        <f>IFERROR(__xludf.DUMMYFUNCTION("""COMPUTED_VALUE"""),"JERIC NAVARRO")</f>
        <v>JERIC NAVARRO</v>
      </c>
      <c r="E672" s="1" t="str">
        <f>IFERROR(__xludf.DUMMYFUNCTION("""COMPUTED_VALUE"""),"PLDT")</f>
        <v>PLDT</v>
      </c>
      <c r="F672" s="1">
        <f>IFERROR(__xludf.DUMMYFUNCTION("""COMPUTED_VALUE"""),2307499485)</f>
        <v>2307499485</v>
      </c>
      <c r="G672" s="1"/>
      <c r="H672" s="1" t="str">
        <f>IFERROR(__xludf.DUMMYFUNCTION("""COMPUTED_VALUE"""),"ERIKA CASTILLO VILLARUEL")</f>
        <v>ERIKA CASTILLO VILLARUEL</v>
      </c>
      <c r="I672" s="1">
        <f>IFERROR(__xludf.DUMMYFUNCTION("""COMPUTED_VALUE"""),9910227011)</f>
        <v>9910227011</v>
      </c>
      <c r="J672" s="1">
        <f>IFERROR(__xludf.DUMMYFUNCTION("""COMPUTED_VALUE"""),9483407573)</f>
        <v>9483407573</v>
      </c>
      <c r="K672" s="1" t="str">
        <f>IFERROR(__xludf.DUMMYFUNCTION("""COMPUTED_VALUE"""),"VILLARUELERIKA54@GMAIL.COM")</f>
        <v>VILLARUELERIKA54@GMAIL.COM</v>
      </c>
      <c r="L672" s="1" t="str">
        <f>IFERROR(__xludf.DUMMYFUNCTION("""COMPUTED_VALUE"""),"173")</f>
        <v>173</v>
      </c>
      <c r="M672" s="1" t="str">
        <f>IFERROR(__xludf.DUMMYFUNCTION("""COMPUTED_VALUE"""),"SITIO MUZON")</f>
        <v>SITIO MUZON</v>
      </c>
      <c r="N672" s="1"/>
      <c r="O672" s="1" t="str">
        <f>IFERROR(__xludf.DUMMYFUNCTION("""COMPUTED_VALUE"""),"SILLP644NP1/2/3/4/5")</f>
        <v>SILLP644NP1/2/3/4/5</v>
      </c>
      <c r="P672" s="1" t="str">
        <f>IFERROR(__xludf.DUMMYFUNCTION("""COMPUTED_VALUE"""),"14.226059 121.046318")</f>
        <v>14.226059 121.046318</v>
      </c>
      <c r="Q672" s="1" t="str">
        <f>IFERROR(__xludf.DUMMYFUNCTION("""COMPUTED_VALUE"""),"PUTING KAHOY")</f>
        <v>PUTING KAHOY</v>
      </c>
      <c r="R672" s="1" t="str">
        <f>IFERROR(__xludf.DUMMYFUNCTION("""COMPUTED_VALUE"""),"SILANG")</f>
        <v>SILANG</v>
      </c>
      <c r="S672" s="1" t="str">
        <f>IFERROR(__xludf.DUMMYFUNCTION("""COMPUTED_VALUE"""),"CAVITE")</f>
        <v>CAVITE</v>
      </c>
      <c r="T672" s="1" t="str">
        <f>IFERROR(__xludf.DUMMYFUNCTION("""COMPUTED_VALUE"""),"PLAN 1399")</f>
        <v>PLAN 1399</v>
      </c>
      <c r="U672" s="1" t="str">
        <f>IFERROR(__xludf.DUMMYFUNCTION("""COMPUTED_VALUE"""),"APPROVED")</f>
        <v>APPROVED</v>
      </c>
      <c r="V672" s="1" t="str">
        <f>IFERROR(__xludf.DUMMYFUNCTION("""COMPUTED_VALUE"""),"ENDORSED")</f>
        <v>ENDORSED</v>
      </c>
      <c r="W672" s="1"/>
    </row>
    <row r="673" customHeight="1" spans="1:23">
      <c r="A673" s="3">
        <f>IFERROR(__xludf.DUMMYFUNCTION("""COMPUTED_VALUE"""),46086)</f>
        <v>46086</v>
      </c>
      <c r="B673" s="1" t="str">
        <f>IFERROR(__xludf.DUMMYFUNCTION("""COMPUTED_VALUE"""),"DELGADO MILAGROSA")</f>
        <v>DELGADO MILAGROSA</v>
      </c>
      <c r="C673" s="1" t="str">
        <f>IFERROR(__xludf.DUMMYFUNCTION("""COMPUTED_VALUE"""),"ORGANIC")</f>
        <v>ORGANIC</v>
      </c>
      <c r="D673" s="1" t="str">
        <f>IFERROR(__xludf.DUMMYFUNCTION("""COMPUTED_VALUE"""),"ALINGARO, CINDY")</f>
        <v>ALINGARO, CINDY</v>
      </c>
      <c r="E673" s="1" t="str">
        <f>IFERROR(__xludf.DUMMYFUNCTION("""COMPUTED_VALUE"""),"PLDT")</f>
        <v>PLDT</v>
      </c>
      <c r="F673" s="1">
        <f>IFERROR(__xludf.DUMMYFUNCTION("""COMPUTED_VALUE"""),2307499320)</f>
        <v>2307499320</v>
      </c>
      <c r="G673" s="1"/>
      <c r="H673" s="1" t="str">
        <f>IFERROR(__xludf.DUMMYFUNCTION("""COMPUTED_VALUE"""),"MARICHU OTILLA LACATAN")</f>
        <v>MARICHU OTILLA LACATAN</v>
      </c>
      <c r="I673" s="1">
        <f>IFERROR(__xludf.DUMMYFUNCTION("""COMPUTED_VALUE"""),9662456625)</f>
        <v>9662456625</v>
      </c>
      <c r="J673" s="1"/>
      <c r="K673" s="1" t="str">
        <f>IFERROR(__xludf.DUMMYFUNCTION("""COMPUTED_VALUE"""),"LACATANMARICHU510@GMAIL.COM")</f>
        <v>LACATANMARICHU510@GMAIL.COM</v>
      </c>
      <c r="L673" s="1" t="str">
        <f>IFERROR(__xludf.DUMMYFUNCTION("""COMPUTED_VALUE"""),"99992")</f>
        <v>99992</v>
      </c>
      <c r="M673" s="1" t="str">
        <f>IFERROR(__xludf.DUMMYFUNCTION("""COMPUTED_VALUE"""),"SITIO MUZON")</f>
        <v>SITIO MUZON</v>
      </c>
      <c r="N673" s="1"/>
      <c r="O673" s="1" t="str">
        <f>IFERROR(__xludf.DUMMYFUNCTION("""COMPUTED_VALUE"""),"SILLP776NP2/3")</f>
        <v>SILLP776NP2/3</v>
      </c>
      <c r="P673" s="1" t="str">
        <f>IFERROR(__xludf.DUMMYFUNCTION("""COMPUTED_VALUE"""),"14.227127 121.046968")</f>
        <v>14.227127 121.046968</v>
      </c>
      <c r="Q673" s="1" t="str">
        <f>IFERROR(__xludf.DUMMYFUNCTION("""COMPUTED_VALUE"""),"PUTING KAHOY")</f>
        <v>PUTING KAHOY</v>
      </c>
      <c r="R673" s="1" t="str">
        <f>IFERROR(__xludf.DUMMYFUNCTION("""COMPUTED_VALUE"""),"SILANG")</f>
        <v>SILANG</v>
      </c>
      <c r="S673" s="1" t="str">
        <f>IFERROR(__xludf.DUMMYFUNCTION("""COMPUTED_VALUE"""),"CAVITE")</f>
        <v>CAVITE</v>
      </c>
      <c r="T673" s="1" t="str">
        <f>IFERROR(__xludf.DUMMYFUNCTION("""COMPUTED_VALUE"""),"PLAN 1299")</f>
        <v>PLAN 1299</v>
      </c>
      <c r="U673" s="1" t="str">
        <f>IFERROR(__xludf.DUMMYFUNCTION("""COMPUTED_VALUE"""),"APPROVED")</f>
        <v>APPROVED</v>
      </c>
      <c r="V673" s="1" t="str">
        <f>IFERROR(__xludf.DUMMYFUNCTION("""COMPUTED_VALUE"""),"VOUCH BY MAAM LEA/ WILLNG ABONOHAN NI LEA // ENDORSED")</f>
        <v>VOUCH BY MAAM LEA/ WILLNG ABONOHAN NI LEA // ENDORSED</v>
      </c>
      <c r="W673" s="1"/>
    </row>
    <row r="674" customHeight="1" spans="1:23">
      <c r="A674" s="3">
        <f>IFERROR(__xludf.DUMMYFUNCTION("""COMPUTED_VALUE"""),46086)</f>
        <v>46086</v>
      </c>
      <c r="B674" s="1" t="str">
        <f>IFERROR(__xludf.DUMMYFUNCTION("""COMPUTED_VALUE"""),"AYON MANUEL")</f>
        <v>AYON MANUEL</v>
      </c>
      <c r="C674" s="1" t="str">
        <f>IFERROR(__xludf.DUMMYFUNCTION("""COMPUTED_VALUE"""),"FLA")</f>
        <v>FLA</v>
      </c>
      <c r="D674" s="1" t="str">
        <f>IFERROR(__xludf.DUMMYFUNCTION("""COMPUTED_VALUE"""),"JERIC NAVARRO")</f>
        <v>JERIC NAVARRO</v>
      </c>
      <c r="E674" s="1" t="str">
        <f>IFERROR(__xludf.DUMMYFUNCTION("""COMPUTED_VALUE"""),"PLDT")</f>
        <v>PLDT</v>
      </c>
      <c r="F674" s="1">
        <f>IFERROR(__xludf.DUMMYFUNCTION("""COMPUTED_VALUE"""),2307499629)</f>
        <v>2307499629</v>
      </c>
      <c r="G674" s="1"/>
      <c r="H674" s="1" t="str">
        <f>IFERROR(__xludf.DUMMYFUNCTION("""COMPUTED_VALUE"""),"GIOVANI URGINO RIVERA")</f>
        <v>GIOVANI URGINO RIVERA</v>
      </c>
      <c r="I674" s="1">
        <f>IFERROR(__xludf.DUMMYFUNCTION("""COMPUTED_VALUE"""),9297240975)</f>
        <v>9297240975</v>
      </c>
      <c r="J674" s="1">
        <f>IFERROR(__xludf.DUMMYFUNCTION("""COMPUTED_VALUE"""),9950782824)</f>
        <v>9950782824</v>
      </c>
      <c r="K674" s="1" t="str">
        <f>IFERROR(__xludf.DUMMYFUNCTION("""COMPUTED_VALUE"""),"GIOVANIRIVERA@YAHOO.COM")</f>
        <v>GIOVANIRIVERA@YAHOO.COM</v>
      </c>
      <c r="L674" s="1" t="str">
        <f>IFERROR(__xludf.DUMMYFUNCTION("""COMPUTED_VALUE"""),"9001")</f>
        <v>9001</v>
      </c>
      <c r="M674" s="1" t="str">
        <f>IFERROR(__xludf.DUMMYFUNCTION("""COMPUTED_VALUE"""),"SITIO MUZON")</f>
        <v>SITIO MUZON</v>
      </c>
      <c r="N674" s="1"/>
      <c r="O674" s="1" t="str">
        <f>IFERROR(__xludf.DUMMYFUNCTION("""COMPUTED_VALUE"""),"SILLP644NP1/2/3/4/5")</f>
        <v>SILLP644NP1/2/3/4/5</v>
      </c>
      <c r="P674" s="1" t="str">
        <f>IFERROR(__xludf.DUMMYFUNCTION("""COMPUTED_VALUE"""),"14.226247 121.045810")</f>
        <v>14.226247 121.045810</v>
      </c>
      <c r="Q674" s="1" t="str">
        <f>IFERROR(__xludf.DUMMYFUNCTION("""COMPUTED_VALUE"""),"PUTING KAHOY")</f>
        <v>PUTING KAHOY</v>
      </c>
      <c r="R674" s="1" t="str">
        <f>IFERROR(__xludf.DUMMYFUNCTION("""COMPUTED_VALUE"""),"SILANG")</f>
        <v>SILANG</v>
      </c>
      <c r="S674" s="1" t="str">
        <f>IFERROR(__xludf.DUMMYFUNCTION("""COMPUTED_VALUE"""),"CAVITE")</f>
        <v>CAVITE</v>
      </c>
      <c r="T674" s="1" t="str">
        <f>IFERROR(__xludf.DUMMYFUNCTION("""COMPUTED_VALUE"""),"PLAN 999 WITH CIGNAL CABLE")</f>
        <v>PLAN 999 WITH CIGNAL CABLE</v>
      </c>
      <c r="U674" s="1" t="str">
        <f>IFERROR(__xludf.DUMMYFUNCTION("""COMPUTED_VALUE"""),"APPROVED")</f>
        <v>APPROVED</v>
      </c>
      <c r="V674" s="1" t="str">
        <f>IFERROR(__xludf.DUMMYFUNCTION("""COMPUTED_VALUE"""),"ENDORSED")</f>
        <v>ENDORSED</v>
      </c>
      <c r="W674" s="1"/>
    </row>
    <row r="675" customHeight="1" spans="1:23">
      <c r="A675" s="3">
        <f>IFERROR(__xludf.DUMMYFUNCTION("""COMPUTED_VALUE"""),46086)</f>
        <v>46086</v>
      </c>
      <c r="B675" s="1" t="str">
        <f>IFERROR(__xludf.DUMMYFUNCTION("""COMPUTED_VALUE"""),"FARO, REFRANTA")</f>
        <v>FARO, REFRANTA</v>
      </c>
      <c r="C675" s="1" t="str">
        <f>IFERROR(__xludf.DUMMYFUNCTION("""COMPUTED_VALUE"""),"ORGANIC")</f>
        <v>ORGANIC</v>
      </c>
      <c r="D675" s="1" t="str">
        <f>IFERROR(__xludf.DUMMYFUNCTION("""COMPUTED_VALUE"""),"ALINGARO, CINDY")</f>
        <v>ALINGARO, CINDY</v>
      </c>
      <c r="E675" s="1" t="str">
        <f>IFERROR(__xludf.DUMMYFUNCTION("""COMPUTED_VALUE"""),"PLDT")</f>
        <v>PLDT</v>
      </c>
      <c r="F675" s="1">
        <f>IFERROR(__xludf.DUMMYFUNCTION("""COMPUTED_VALUE"""),2307499075)</f>
        <v>2307499075</v>
      </c>
      <c r="G675" s="1"/>
      <c r="H675" s="1" t="str">
        <f>IFERROR(__xludf.DUMMYFUNCTION("""COMPUTED_VALUE"""),"JOSEPHINE CORTEZ TORREVILLAS")</f>
        <v>JOSEPHINE CORTEZ TORREVILLAS</v>
      </c>
      <c r="I675" s="1">
        <f>IFERROR(__xludf.DUMMYFUNCTION("""COMPUTED_VALUE"""),9664967182)</f>
        <v>9664967182</v>
      </c>
      <c r="J675" s="1"/>
      <c r="K675" s="1" t="str">
        <f>IFERROR(__xludf.DUMMYFUNCTION("""COMPUTED_VALUE"""),"JOSEPHINETORREVILLAS452@GMAIL.COM")</f>
        <v>JOSEPHINETORREVILLAS452@GMAIL.COM</v>
      </c>
      <c r="L675" s="1" t="str">
        <f>IFERROR(__xludf.DUMMYFUNCTION("""COMPUTED_VALUE"""),"25")</f>
        <v>25</v>
      </c>
      <c r="M675" s="1" t="str">
        <f>IFERROR(__xludf.DUMMYFUNCTION("""COMPUTED_VALUE"""),"SITIO MUZON")</f>
        <v>SITIO MUZON</v>
      </c>
      <c r="N675" s="1"/>
      <c r="O675" s="1" t="str">
        <f>IFERROR(__xludf.DUMMYFUNCTION("""COMPUTED_VALUE"""),"SILLP644NP1/2/3/4/5")</f>
        <v>SILLP644NP1/2/3/4/5</v>
      </c>
      <c r="P675" s="1" t="str">
        <f>IFERROR(__xludf.DUMMYFUNCTION("""COMPUTED_VALUE"""),"14.226332 121.046073")</f>
        <v>14.226332 121.046073</v>
      </c>
      <c r="Q675" s="1" t="str">
        <f>IFERROR(__xludf.DUMMYFUNCTION("""COMPUTED_VALUE"""),"PUTING KAHOY")</f>
        <v>PUTING KAHOY</v>
      </c>
      <c r="R675" s="1" t="str">
        <f>IFERROR(__xludf.DUMMYFUNCTION("""COMPUTED_VALUE"""),"SILANG")</f>
        <v>SILANG</v>
      </c>
      <c r="S675" s="1" t="str">
        <f>IFERROR(__xludf.DUMMYFUNCTION("""COMPUTED_VALUE"""),"CAVITE")</f>
        <v>CAVITE</v>
      </c>
      <c r="T675" s="1" t="str">
        <f>IFERROR(__xludf.DUMMYFUNCTION("""COMPUTED_VALUE"""),"PLAN 1399")</f>
        <v>PLAN 1399</v>
      </c>
      <c r="U675" s="1" t="str">
        <f>IFERROR(__xludf.DUMMYFUNCTION("""COMPUTED_VALUE"""),"APPROVED")</f>
        <v>APPROVED</v>
      </c>
      <c r="V675" s="1" t="str">
        <f>IFERROR(__xludf.DUMMYFUNCTION("""COMPUTED_VALUE"""),"ENDORSED")</f>
        <v>ENDORSED</v>
      </c>
      <c r="W675" s="1"/>
    </row>
    <row r="676" customHeight="1" spans="1:23">
      <c r="A676" s="3">
        <f>IFERROR(__xludf.DUMMYFUNCTION("""COMPUTED_VALUE"""),46086)</f>
        <v>46086</v>
      </c>
      <c r="B676" s="1" t="str">
        <f>IFERROR(__xludf.DUMMYFUNCTION("""COMPUTED_VALUE"""),"AQUINO, LUIS")</f>
        <v>AQUINO, LUIS</v>
      </c>
      <c r="C676" s="1" t="str">
        <f>IFERROR(__xludf.DUMMYFUNCTION("""COMPUTED_VALUE"""),"ORGANIC")</f>
        <v>ORGANIC</v>
      </c>
      <c r="D676" s="1" t="str">
        <f>IFERROR(__xludf.DUMMYFUNCTION("""COMPUTED_VALUE"""),"ALOS, CHARLS")</f>
        <v>ALOS, CHARLS</v>
      </c>
      <c r="E676" s="1" t="str">
        <f>IFERROR(__xludf.DUMMYFUNCTION("""COMPUTED_VALUE"""),"PLDT")</f>
        <v>PLDT</v>
      </c>
      <c r="F676" s="1">
        <f>IFERROR(__xludf.DUMMYFUNCTION("""COMPUTED_VALUE"""),2307458827)</f>
        <v>2307458827</v>
      </c>
      <c r="G676" s="1"/>
      <c r="H676" s="1" t="str">
        <f>IFERROR(__xludf.DUMMYFUNCTION("""COMPUTED_VALUE"""),"HIERLYN ALABADO ASENA")</f>
        <v>HIERLYN ALABADO ASENA</v>
      </c>
      <c r="I676" s="1">
        <f>IFERROR(__xludf.DUMMYFUNCTION("""COMPUTED_VALUE"""),9918650833)</f>
        <v>9918650833</v>
      </c>
      <c r="J676" s="1"/>
      <c r="K676" s="1" t="str">
        <f>IFERROR(__xludf.DUMMYFUNCTION("""COMPUTED_VALUE"""),"IRISMARTICEO2005@GMAIL.COM")</f>
        <v>IRISMARTICEO2005@GMAIL.COM</v>
      </c>
      <c r="L676" s="1" t="str">
        <f>IFERROR(__xludf.DUMMYFUNCTION("""COMPUTED_VALUE"""),"5130")</f>
        <v>5130</v>
      </c>
      <c r="M676" s="1" t="str">
        <f>IFERROR(__xludf.DUMMYFUNCTION("""COMPUTED_VALUE"""),"LUCSIHIN RD")</f>
        <v>LUCSIHIN RD</v>
      </c>
      <c r="N676" s="1"/>
      <c r="O676" s="1" t="str">
        <f>IFERROR(__xludf.DUMMYFUNCTION("""COMPUTED_VALUE"""),"TGTLP356NP5/6")</f>
        <v>TGTLP356NP5/6</v>
      </c>
      <c r="P676" s="1" t="str">
        <f>IFERROR(__xludf.DUMMYFUNCTION("""COMPUTED_VALUE"""),"14.132895 120.980858")</f>
        <v>14.132895 120.980858</v>
      </c>
      <c r="Q676" s="1" t="str">
        <f>IFERROR(__xludf.DUMMYFUNCTION("""COMPUTED_VALUE"""),"SAN FRANCISCO")</f>
        <v>SAN FRANCISCO</v>
      </c>
      <c r="R676" s="1" t="str">
        <f>IFERROR(__xludf.DUMMYFUNCTION("""COMPUTED_VALUE"""),"TAGAYTAY")</f>
        <v>TAGAYTAY</v>
      </c>
      <c r="S676" s="1" t="str">
        <f>IFERROR(__xludf.DUMMYFUNCTION("""COMPUTED_VALUE"""),"CAVITE")</f>
        <v>CAVITE</v>
      </c>
      <c r="T676" s="1" t="str">
        <f>IFERROR(__xludf.DUMMYFUNCTION("""COMPUTED_VALUE"""),"PLAN 1599")</f>
        <v>PLAN 1599</v>
      </c>
      <c r="U676" s="1" t="str">
        <f>IFERROR(__xludf.DUMMYFUNCTION("""COMPUTED_VALUE"""),"APPROVED")</f>
        <v>APPROVED</v>
      </c>
      <c r="V676" s="1"/>
      <c r="W676" s="1"/>
    </row>
    <row r="677" customHeight="1" spans="1:23">
      <c r="A677" s="3">
        <f>IFERROR(__xludf.DUMMYFUNCTION("""COMPUTED_VALUE"""),46086)</f>
        <v>46086</v>
      </c>
      <c r="B677" s="1" t="str">
        <f>IFERROR(__xludf.DUMMYFUNCTION("""COMPUTED_VALUE"""),"CONCEPCION, ALJAY")</f>
        <v>CONCEPCION, ALJAY</v>
      </c>
      <c r="C677" s="1" t="str">
        <f>IFERROR(__xludf.DUMMYFUNCTION("""COMPUTED_VALUE"""),"ORGANIC")</f>
        <v>ORGANIC</v>
      </c>
      <c r="D677" s="1" t="str">
        <f>IFERROR(__xludf.DUMMYFUNCTION("""COMPUTED_VALUE"""),"ALINGARO, CINDY")</f>
        <v>ALINGARO, CINDY</v>
      </c>
      <c r="E677" s="1" t="str">
        <f>IFERROR(__xludf.DUMMYFUNCTION("""COMPUTED_VALUE"""),"RED FIBER")</f>
        <v>RED FIBER</v>
      </c>
      <c r="F677" s="1"/>
      <c r="G677" s="1"/>
      <c r="H677" s="1" t="str">
        <f>IFERROR(__xludf.DUMMYFUNCTION("""COMPUTED_VALUE"""),"KITCHIE ODERIO GERMO")</f>
        <v>KITCHIE ODERIO GERMO</v>
      </c>
      <c r="I677" s="1">
        <f>IFERROR(__xludf.DUMMYFUNCTION("""COMPUTED_VALUE"""),9952431109)</f>
        <v>9952431109</v>
      </c>
      <c r="J677" s="1"/>
      <c r="K677" s="1" t="str">
        <f>IFERROR(__xludf.DUMMYFUNCTION("""COMPUTED_VALUE"""),"KITCHIEGERMO8@GMAIL.COM")</f>
        <v>KITCHIEGERMO8@GMAIL.COM</v>
      </c>
      <c r="L677" s="1" t="str">
        <f>IFERROR(__xludf.DUMMYFUNCTION("""COMPUTED_VALUE"""),"449")</f>
        <v>449</v>
      </c>
      <c r="M677" s="1" t="str">
        <f>IFERROR(__xludf.DUMMYFUNCTION("""COMPUTED_VALUE"""),"RIZAL ST")</f>
        <v>RIZAL ST</v>
      </c>
      <c r="N677" s="1"/>
      <c r="O677" s="1" t="str">
        <f>IFERROR(__xludf.DUMMYFUNCTION("""COMPUTED_VALUE"""),"CVT2LCP54NP2")</f>
        <v>CVT2LCP54NP2</v>
      </c>
      <c r="P677" s="1" t="str">
        <f>IFERROR(__xludf.DUMMYFUNCTION("""COMPUTED_VALUE"""),"14.124249 120.910484")</f>
        <v>14.124249 120.910484</v>
      </c>
      <c r="Q677" s="1" t="str">
        <f>IFERROR(__xludf.DUMMYFUNCTION("""COMPUTED_VALUE"""),"GALICIA III")</f>
        <v>GALICIA III</v>
      </c>
      <c r="R677" s="1" t="str">
        <f>IFERROR(__xludf.DUMMYFUNCTION("""COMPUTED_VALUE"""),"MENDEZ")</f>
        <v>MENDEZ</v>
      </c>
      <c r="S677" s="1" t="str">
        <f>IFERROR(__xludf.DUMMYFUNCTION("""COMPUTED_VALUE"""),"CAVITE")</f>
        <v>CAVITE</v>
      </c>
      <c r="T677" s="1" t="str">
        <f>IFERROR(__xludf.DUMMYFUNCTION("""COMPUTED_VALUE"""),"RED PLAN 1000")</f>
        <v>RED PLAN 1000</v>
      </c>
      <c r="U677" s="1" t="str">
        <f>IFERROR(__xludf.DUMMYFUNCTION("""COMPUTED_VALUE"""),"APPROVED")</f>
        <v>APPROVED</v>
      </c>
      <c r="V677" s="1"/>
      <c r="W677" s="1"/>
    </row>
    <row r="678" customHeight="1" spans="1:23">
      <c r="A678" s="3">
        <f>IFERROR(__xludf.DUMMYFUNCTION("""COMPUTED_VALUE"""),46086)</f>
        <v>46086</v>
      </c>
      <c r="B678" s="1" t="str">
        <f>IFERROR(__xludf.DUMMYFUNCTION("""COMPUTED_VALUE"""),"CONCEPCION, ALJAY")</f>
        <v>CONCEPCION, ALJAY</v>
      </c>
      <c r="C678" s="1" t="str">
        <f>IFERROR(__xludf.DUMMYFUNCTION("""COMPUTED_VALUE"""),"ORGANIC")</f>
        <v>ORGANIC</v>
      </c>
      <c r="D678" s="1" t="str">
        <f>IFERROR(__xludf.DUMMYFUNCTION("""COMPUTED_VALUE"""),"ALINGARO, CINDY")</f>
        <v>ALINGARO, CINDY</v>
      </c>
      <c r="E678" s="1" t="str">
        <f>IFERROR(__xludf.DUMMYFUNCTION("""COMPUTED_VALUE"""),"PLDT")</f>
        <v>PLDT</v>
      </c>
      <c r="F678" s="1"/>
      <c r="G678" s="1"/>
      <c r="H678" s="1" t="str">
        <f>IFERROR(__xludf.DUMMYFUNCTION("""COMPUTED_VALUE"""),"CARMEN ESPONILLA BAYONA")</f>
        <v>CARMEN ESPONILLA BAYONA</v>
      </c>
      <c r="I678" s="1">
        <f>IFERROR(__xludf.DUMMYFUNCTION("""COMPUTED_VALUE"""),9953601249)</f>
        <v>9953601249</v>
      </c>
      <c r="J678" s="1"/>
      <c r="K678" s="1" t="str">
        <f>IFERROR(__xludf.DUMMYFUNCTION("""COMPUTED_VALUE"""),"CARMENESPONILLABAYONA@GMAIL.COM")</f>
        <v>CARMENESPONILLABAYONA@GMAIL.COM</v>
      </c>
      <c r="L678" s="1" t="str">
        <f>IFERROR(__xludf.DUMMYFUNCTION("""COMPUTED_VALUE"""),"26")</f>
        <v>26</v>
      </c>
      <c r="M678" s="1" t="str">
        <f>IFERROR(__xludf.DUMMYFUNCTION("""COMPUTED_VALUE"""),"SITIO MUZON")</f>
        <v>SITIO MUZON</v>
      </c>
      <c r="N678" s="1"/>
      <c r="O678" s="1" t="str">
        <f>IFERROR(__xludf.DUMMYFUNCTION("""COMPUTED_VALUE"""),"SILLP644NP1/2/3/4/5")</f>
        <v>SILLP644NP1/2/3/4/5</v>
      </c>
      <c r="P678" s="1"/>
      <c r="Q678" s="1" t="str">
        <f>IFERROR(__xludf.DUMMYFUNCTION("""COMPUTED_VALUE"""),"PUTING KAHOY")</f>
        <v>PUTING KAHOY</v>
      </c>
      <c r="R678" s="1" t="str">
        <f>IFERROR(__xludf.DUMMYFUNCTION("""COMPUTED_VALUE"""),"SILANG")</f>
        <v>SILANG</v>
      </c>
      <c r="S678" s="1" t="str">
        <f>IFERROR(__xludf.DUMMYFUNCTION("""COMPUTED_VALUE"""),"CAVITE")</f>
        <v>CAVITE</v>
      </c>
      <c r="T678" s="1" t="str">
        <f>IFERROR(__xludf.DUMMYFUNCTION("""COMPUTED_VALUE"""),"PLAN 2099")</f>
        <v>PLAN 2099</v>
      </c>
      <c r="U678" s="1" t="str">
        <f>IFERROR(__xludf.DUMMYFUNCTION("""COMPUTED_VALUE"""),"CANCELLED ")</f>
        <v>CANCELLED </v>
      </c>
      <c r="V678" s="1" t="str">
        <f>IFERROR(__xludf.DUMMYFUNCTION("""COMPUTED_VALUE"""),"MAG UPDATE NALANG DAW SA AGENT PAG IPAPAGO NA")</f>
        <v>MAG UPDATE NALANG DAW SA AGENT PAG IPAPAGO NA</v>
      </c>
      <c r="W678" s="1"/>
    </row>
    <row r="679" customHeight="1" spans="1:23">
      <c r="A679" s="3">
        <f>IFERROR(__xludf.DUMMYFUNCTION("""COMPUTED_VALUE"""),46086)</f>
        <v>46086</v>
      </c>
      <c r="B679" s="1" t="str">
        <f>IFERROR(__xludf.DUMMYFUNCTION("""COMPUTED_VALUE"""),"FERNANDEZ JERIC")</f>
        <v>FERNANDEZ JERIC</v>
      </c>
      <c r="C679" s="1" t="str">
        <f>IFERROR(__xludf.DUMMYFUNCTION("""COMPUTED_VALUE"""),"ORGANIC")</f>
        <v>ORGANIC</v>
      </c>
      <c r="D679" s="1" t="str">
        <f>IFERROR(__xludf.DUMMYFUNCTION("""COMPUTED_VALUE"""),"ALOS, CHARLS")</f>
        <v>ALOS, CHARLS</v>
      </c>
      <c r="E679" s="1" t="str">
        <f>IFERROR(__xludf.DUMMYFUNCTION("""COMPUTED_VALUE"""),"PLDT")</f>
        <v>PLDT</v>
      </c>
      <c r="F679" s="1">
        <f>IFERROR(__xludf.DUMMYFUNCTION("""COMPUTED_VALUE"""),2307466735)</f>
        <v>2307466735</v>
      </c>
      <c r="G679" s="1"/>
      <c r="H679" s="1" t="str">
        <f>IFERROR(__xludf.DUMMYFUNCTION("""COMPUTED_VALUE"""),"EUSTAQUIO MOJICA MARQUEZ")</f>
        <v>EUSTAQUIO MOJICA MARQUEZ</v>
      </c>
      <c r="I679" s="1">
        <f>IFERROR(__xludf.DUMMYFUNCTION("""COMPUTED_VALUE"""),9666592018)</f>
        <v>9666592018</v>
      </c>
      <c r="J679" s="1"/>
      <c r="K679" s="1" t="str">
        <f>IFERROR(__xludf.DUMMYFUNCTION("""COMPUTED_VALUE"""),"MITCHIE.MITCH02@GMAIL.COM")</f>
        <v>MITCHIE.MITCH02@GMAIL.COM</v>
      </c>
      <c r="L679" s="1" t="str">
        <f>IFERROR(__xludf.DUMMYFUNCTION("""COMPUTED_VALUE"""),"1290")</f>
        <v>1290</v>
      </c>
      <c r="M679" s="1" t="str">
        <f>IFERROR(__xludf.DUMMYFUNCTION("""COMPUTED_VALUE"""),"KAPT SAYAS ST")</f>
        <v>KAPT SAYAS ST</v>
      </c>
      <c r="N679" s="1"/>
      <c r="O679" s="1" t="str">
        <f>IFERROR(__xludf.DUMMYFUNCTION("""COMPUTED_VALUE"""),"SILLP369NP1 SILLP161NP3")</f>
        <v>SILLP369NP1 SILLP161NP3</v>
      </c>
      <c r="P679" s="1" t="str">
        <f>IFERROR(__xludf.DUMMYFUNCTION("""COMPUTED_VALUE"""),"14.229874 120.972835")</f>
        <v>14.229874 120.972835</v>
      </c>
      <c r="Q679" s="1" t="str">
        <f>IFERROR(__xludf.DUMMYFUNCTION("""COMPUTED_VALUE"""),"SAN VICENTE I")</f>
        <v>SAN VICENTE I</v>
      </c>
      <c r="R679" s="1" t="str">
        <f>IFERROR(__xludf.DUMMYFUNCTION("""COMPUTED_VALUE"""),"SILANG")</f>
        <v>SILANG</v>
      </c>
      <c r="S679" s="1" t="str">
        <f>IFERROR(__xludf.DUMMYFUNCTION("""COMPUTED_VALUE"""),"CAVITE")</f>
        <v>CAVITE</v>
      </c>
      <c r="T679" s="1" t="str">
        <f>IFERROR(__xludf.DUMMYFUNCTION("""COMPUTED_VALUE"""),"PLAN 1399")</f>
        <v>PLAN 1399</v>
      </c>
      <c r="U679" s="1" t="str">
        <f>IFERROR(__xludf.DUMMYFUNCTION("""COMPUTED_VALUE"""),"APPROVED")</f>
        <v>APPROVED</v>
      </c>
      <c r="V679" s="1"/>
      <c r="W679" s="1"/>
    </row>
    <row r="680" customHeight="1" spans="1:23">
      <c r="A680" s="3">
        <f>IFERROR(__xludf.DUMMYFUNCTION("""COMPUTED_VALUE"""),46086)</f>
        <v>46086</v>
      </c>
      <c r="B680" s="1" t="str">
        <f>IFERROR(__xludf.DUMMYFUNCTION("""COMPUTED_VALUE"""),"ABGAO, LEO TAGANNA")</f>
        <v>ABGAO, LEO TAGANNA</v>
      </c>
      <c r="C680" s="1" t="str">
        <f>IFERROR(__xludf.DUMMYFUNCTION("""COMPUTED_VALUE"""),"ORGANIC")</f>
        <v>ORGANIC</v>
      </c>
      <c r="D680" s="1" t="str">
        <f>IFERROR(__xludf.DUMMYFUNCTION("""COMPUTED_VALUE"""),"ALOS, CHARLS")</f>
        <v>ALOS, CHARLS</v>
      </c>
      <c r="E680" s="1" t="str">
        <f>IFERROR(__xludf.DUMMYFUNCTION("""COMPUTED_VALUE"""),"PLDT")</f>
        <v>PLDT</v>
      </c>
      <c r="F680" s="1">
        <f>IFERROR(__xludf.DUMMYFUNCTION("""COMPUTED_VALUE"""),2307467644)</f>
        <v>2307467644</v>
      </c>
      <c r="G680" s="1"/>
      <c r="H680" s="1" t="str">
        <f>IFERROR(__xludf.DUMMYFUNCTION("""COMPUTED_VALUE"""),"ZENAIDA CARLOS DE LIMA")</f>
        <v>ZENAIDA CARLOS DE LIMA</v>
      </c>
      <c r="I680" s="1">
        <f>IFERROR(__xludf.DUMMYFUNCTION("""COMPUTED_VALUE"""),9218860118)</f>
        <v>9218860118</v>
      </c>
      <c r="J680" s="1"/>
      <c r="K680" s="1" t="str">
        <f>IFERROR(__xludf.DUMMYFUNCTION("""COMPUTED_VALUE"""),"ZENYDELIMA907@GMAIL.COM")</f>
        <v>ZENYDELIMA907@GMAIL.COM</v>
      </c>
      <c r="L680" s="1" t="str">
        <f>IFERROR(__xludf.DUMMYFUNCTION("""COMPUTED_VALUE"""),"178")</f>
        <v>178</v>
      </c>
      <c r="M680" s="1" t="str">
        <f>IFERROR(__xludf.DUMMYFUNCTION("""COMPUTED_VALUE"""),"TRAZA ")</f>
        <v>TRAZA </v>
      </c>
      <c r="N680" s="1"/>
      <c r="O680" s="1" t="str">
        <f>IFERROR(__xludf.DUMMYFUNCTION("""COMPUTED_VALUE"""),"SILLP274NP2")</f>
        <v>SILLP274NP2</v>
      </c>
      <c r="P680" s="1" t="str">
        <f>IFERROR(__xludf.DUMMYFUNCTION("""COMPUTED_VALUE"""),"14.241783 120.958027")</f>
        <v>14.241783 120.958027</v>
      </c>
      <c r="Q680" s="1" t="str">
        <f>IFERROR(__xludf.DUMMYFUNCTION("""COMPUTED_VALUE"""),"BILUSO")</f>
        <v>BILUSO</v>
      </c>
      <c r="R680" s="1" t="str">
        <f>IFERROR(__xludf.DUMMYFUNCTION("""COMPUTED_VALUE"""),"SILANG")</f>
        <v>SILANG</v>
      </c>
      <c r="S680" s="1" t="str">
        <f>IFERROR(__xludf.DUMMYFUNCTION("""COMPUTED_VALUE"""),"CAVITE")</f>
        <v>CAVITE</v>
      </c>
      <c r="T680" s="1" t="str">
        <f>IFERROR(__xludf.DUMMYFUNCTION("""COMPUTED_VALUE"""),"PLAN 1399")</f>
        <v>PLAN 1399</v>
      </c>
      <c r="U680" s="1" t="str">
        <f>IFERROR(__xludf.DUMMYFUNCTION("""COMPUTED_VALUE"""),"APPROVED")</f>
        <v>APPROVED</v>
      </c>
      <c r="V680" s="1"/>
      <c r="W680" s="1"/>
    </row>
    <row r="681" customHeight="1" spans="1:23">
      <c r="A681" s="3">
        <f>IFERROR(__xludf.DUMMYFUNCTION("""COMPUTED_VALUE"""),46086)</f>
        <v>46086</v>
      </c>
      <c r="B681" s="1" t="str">
        <f>IFERROR(__xludf.DUMMYFUNCTION("""COMPUTED_VALUE"""),"CABRERA JILLIENE")</f>
        <v>CABRERA JILLIENE</v>
      </c>
      <c r="C681" s="1" t="str">
        <f>IFERROR(__xludf.DUMMYFUNCTION("""COMPUTED_VALUE"""),"ORGANIC")</f>
        <v>ORGANIC</v>
      </c>
      <c r="D681" s="1" t="str">
        <f>IFERROR(__xludf.DUMMYFUNCTION("""COMPUTED_VALUE"""),"ALOS, CHARLS")</f>
        <v>ALOS, CHARLS</v>
      </c>
      <c r="E681" s="1" t="str">
        <f>IFERROR(__xludf.DUMMYFUNCTION("""COMPUTED_VALUE"""),"PLDT")</f>
        <v>PLDT</v>
      </c>
      <c r="F681" s="1">
        <f>IFERROR(__xludf.DUMMYFUNCTION("""COMPUTED_VALUE"""),2307472095)</f>
        <v>2307472095</v>
      </c>
      <c r="G681" s="1"/>
      <c r="H681" s="1" t="str">
        <f>IFERROR(__xludf.DUMMYFUNCTION("""COMPUTED_VALUE"""),"ARIAN JOY BALDESISMO ORARIO")</f>
        <v>ARIAN JOY BALDESISMO ORARIO</v>
      </c>
      <c r="I681" s="1">
        <f>IFERROR(__xludf.DUMMYFUNCTION("""COMPUTED_VALUE"""),9350399044)</f>
        <v>9350399044</v>
      </c>
      <c r="J681" s="1"/>
      <c r="K681" s="1" t="str">
        <f>IFERROR(__xludf.DUMMYFUNCTION("""COMPUTED_VALUE"""),"RS7052081@GMAIL.COM")</f>
        <v>RS7052081@GMAIL.COM</v>
      </c>
      <c r="L681" s="1" t="str">
        <f>IFERROR(__xludf.DUMMYFUNCTION("""COMPUTED_VALUE"""),"BLK 39 LOT 9")</f>
        <v>BLK 39 LOT 9</v>
      </c>
      <c r="M681" s="1" t="str">
        <f>IFERROR(__xludf.DUMMYFUNCTION("""COMPUTED_VALUE"""),"PHASE 6")</f>
        <v>PHASE 6</v>
      </c>
      <c r="N681" s="1"/>
      <c r="O681" s="1" t="str">
        <f>IFERROR(__xludf.DUMMYFUNCTION("""COMPUTED_VALUE"""),"SILLP306NP3")</f>
        <v>SILLP306NP3</v>
      </c>
      <c r="P681" s="1" t="str">
        <f>IFERROR(__xludf.DUMMYFUNCTION("""COMPUTED_VALUE"""),"14.28126 120.993252")</f>
        <v>14.28126 120.993252</v>
      </c>
      <c r="Q681" s="1" t="str">
        <f>IFERROR(__xludf.DUMMYFUNCTION("""COMPUTED_VALUE"""),"BANABA")</f>
        <v>BANABA</v>
      </c>
      <c r="R681" s="1" t="str">
        <f>IFERROR(__xludf.DUMMYFUNCTION("""COMPUTED_VALUE"""),"SILANG")</f>
        <v>SILANG</v>
      </c>
      <c r="S681" s="1" t="str">
        <f>IFERROR(__xludf.DUMMYFUNCTION("""COMPUTED_VALUE"""),"CAVITE")</f>
        <v>CAVITE</v>
      </c>
      <c r="T681" s="1" t="str">
        <f>IFERROR(__xludf.DUMMYFUNCTION("""COMPUTED_VALUE"""),"PLAN 1299")</f>
        <v>PLAN 1299</v>
      </c>
      <c r="U681" s="1" t="str">
        <f>IFERROR(__xludf.DUMMYFUNCTION("""COMPUTED_VALUE"""),"APPROVED")</f>
        <v>APPROVED</v>
      </c>
      <c r="V681" s="1"/>
      <c r="W681" s="1"/>
    </row>
    <row r="682" customHeight="1" spans="1:23">
      <c r="A682" s="3">
        <f>IFERROR(__xludf.DUMMYFUNCTION("""COMPUTED_VALUE"""),46087)</f>
        <v>46087</v>
      </c>
      <c r="B682" s="1" t="str">
        <f>IFERROR(__xludf.DUMMYFUNCTION("""COMPUTED_VALUE"""),"MALIWAT MARK ELVIN")</f>
        <v>MALIWAT MARK ELVIN</v>
      </c>
      <c r="C682" s="1" t="str">
        <f>IFERROR(__xludf.DUMMYFUNCTION("""COMPUTED_VALUE"""),"FLA")</f>
        <v>FLA</v>
      </c>
      <c r="D682" s="1" t="str">
        <f>IFERROR(__xludf.DUMMYFUNCTION("""COMPUTED_VALUE"""),"JERIC NAVARRO")</f>
        <v>JERIC NAVARRO</v>
      </c>
      <c r="E682" s="1" t="str">
        <f>IFERROR(__xludf.DUMMYFUNCTION("""COMPUTED_VALUE"""),"PLDT")</f>
        <v>PLDT</v>
      </c>
      <c r="F682" s="1">
        <f>IFERROR(__xludf.DUMMYFUNCTION("""COMPUTED_VALUE"""),2307482717)</f>
        <v>2307482717</v>
      </c>
      <c r="G682" s="1"/>
      <c r="H682" s="1" t="str">
        <f>IFERROR(__xludf.DUMMYFUNCTION("""COMPUTED_VALUE"""),"ETHEL MYRA QUEROL ESCURO")</f>
        <v>ETHEL MYRA QUEROL ESCURO</v>
      </c>
      <c r="I682" s="1">
        <f>IFERROR(__xludf.DUMMYFUNCTION("""COMPUTED_VALUE"""),9272363719)</f>
        <v>9272363719</v>
      </c>
      <c r="J682" s="1">
        <f>IFERROR(__xludf.DUMMYFUNCTION("""COMPUTED_VALUE"""),9563688248)</f>
        <v>9563688248</v>
      </c>
      <c r="K682" s="1" t="str">
        <f>IFERROR(__xludf.DUMMYFUNCTION("""COMPUTED_VALUE"""),"REDEEMEDBYGRACE888@GMAIL.COM")</f>
        <v>REDEEMEDBYGRACE888@GMAIL.COM</v>
      </c>
      <c r="L682" s="1" t="str">
        <f>IFERROR(__xludf.DUMMYFUNCTION("""COMPUTED_VALUE"""),"BLK 01 LOT 48")</f>
        <v>BLK 01 LOT 48</v>
      </c>
      <c r="M682" s="1" t="str">
        <f>IFERROR(__xludf.DUMMYFUNCTION("""COMPUTED_VALUE"""),"SAN MIGUEL 1")</f>
        <v>SAN MIGUEL 1</v>
      </c>
      <c r="N682" s="1"/>
      <c r="O682" s="1" t="str">
        <f>IFERROR(__xludf.DUMMYFUNCTION("""COMPUTED_VALUE"""),"BCRFELP257NP1/2/3/4/5")</f>
        <v>BCRFELP257NP1/2/3/4/5</v>
      </c>
      <c r="P682" s="1" t="str">
        <f>IFERROR(__xludf.DUMMYFUNCTION("""COMPUTED_VALUE"""),"14.370408 120.977129")</f>
        <v>14.370408 120.977129</v>
      </c>
      <c r="Q682" s="1" t="str">
        <f>IFERROR(__xludf.DUMMYFUNCTION("""COMPUTED_VALUE"""),"MOLINO IV")</f>
        <v>MOLINO IV</v>
      </c>
      <c r="R682" s="1" t="str">
        <f>IFERROR(__xludf.DUMMYFUNCTION("""COMPUTED_VALUE"""),"BACOOR")</f>
        <v>BACOOR</v>
      </c>
      <c r="S682" s="1" t="str">
        <f>IFERROR(__xludf.DUMMYFUNCTION("""COMPUTED_VALUE"""),"CAVITE")</f>
        <v>CAVITE</v>
      </c>
      <c r="T682" s="1" t="str">
        <f>IFERROR(__xludf.DUMMYFUNCTION("""COMPUTED_VALUE"""),"PLAN 1399")</f>
        <v>PLAN 1399</v>
      </c>
      <c r="U682" s="1" t="str">
        <f>IFERROR(__xludf.DUMMYFUNCTION("""COMPUTED_VALUE"""),"APPROVED")</f>
        <v>APPROVED</v>
      </c>
      <c r="V682" s="1"/>
      <c r="W682" s="1"/>
    </row>
    <row r="683" customHeight="1" spans="1:23">
      <c r="A683" s="3">
        <f>IFERROR(__xludf.DUMMYFUNCTION("""COMPUTED_VALUE"""),46087)</f>
        <v>46087</v>
      </c>
      <c r="B683" s="1" t="str">
        <f>IFERROR(__xludf.DUMMYFUNCTION("""COMPUTED_VALUE"""),"OPS SIR ZIM")</f>
        <v>OPS SIR ZIM</v>
      </c>
      <c r="C683" s="1" t="str">
        <f>IFERROR(__xludf.DUMMYFUNCTION("""COMPUTED_VALUE"""),"FLA")</f>
        <v>FLA</v>
      </c>
      <c r="D683" s="1" t="str">
        <f>IFERROR(__xludf.DUMMYFUNCTION("""COMPUTED_VALUE"""),"JERIC NAVARRO")</f>
        <v>JERIC NAVARRO</v>
      </c>
      <c r="E683" s="1" t="str">
        <f>IFERROR(__xludf.DUMMYFUNCTION("""COMPUTED_VALUE"""),"PLDT")</f>
        <v>PLDT</v>
      </c>
      <c r="F683" s="1">
        <f>IFERROR(__xludf.DUMMYFUNCTION("""COMPUTED_VALUE"""),2307485545)</f>
        <v>2307485545</v>
      </c>
      <c r="G683" s="1"/>
      <c r="H683" s="1" t="str">
        <f>IFERROR(__xludf.DUMMYFUNCTION("""COMPUTED_VALUE"""),"DOREAL MALAHAY MAGANA")</f>
        <v>DOREAL MALAHAY MAGANA</v>
      </c>
      <c r="I683" s="1">
        <f>IFERROR(__xludf.DUMMYFUNCTION("""COMPUTED_VALUE"""),9284353830)</f>
        <v>9284353830</v>
      </c>
      <c r="J683" s="1"/>
      <c r="K683" s="1" t="str">
        <f>IFERROR(__xludf.DUMMYFUNCTION("""COMPUTED_VALUE"""),"MAGANADOREAL1980@GMAIL.COM")</f>
        <v>MAGANADOREAL1980@GMAIL.COM</v>
      </c>
      <c r="L683" s="1" t="str">
        <f>IFERROR(__xludf.DUMMYFUNCTION("""COMPUTED_VALUE"""),"1")</f>
        <v>1</v>
      </c>
      <c r="M683" s="1" t="str">
        <f>IFERROR(__xludf.DUMMYFUNCTION("""COMPUTED_VALUE"""),"PUBLIC MARKET")</f>
        <v>PUBLIC MARKET</v>
      </c>
      <c r="N683" s="1"/>
      <c r="O683" s="1" t="str">
        <f>IFERROR(__xludf.DUMMYFUNCTION("""COMPUTED_VALUE"""),"MAGLP29NP6/7")</f>
        <v>MAGLP29NP6/7</v>
      </c>
      <c r="P683" s="1" t="str">
        <f>IFERROR(__xludf.DUMMYFUNCTION("""COMPUTED_VALUE"""),"14.1738720 120.7364107")</f>
        <v>14.1738720 120.7364107</v>
      </c>
      <c r="Q683" s="1" t="str">
        <f>IFERROR(__xludf.DUMMYFUNCTION("""COMPUTED_VALUE"""),"SAN AGUSTIN")</f>
        <v>SAN AGUSTIN</v>
      </c>
      <c r="R683" s="1" t="str">
        <f>IFERROR(__xludf.DUMMYFUNCTION("""COMPUTED_VALUE"""),"MAGALLANES")</f>
        <v>MAGALLANES</v>
      </c>
      <c r="S683" s="1" t="str">
        <f>IFERROR(__xludf.DUMMYFUNCTION("""COMPUTED_VALUE"""),"CAVITE")</f>
        <v>CAVITE</v>
      </c>
      <c r="T683" s="1" t="str">
        <f>IFERROR(__xludf.DUMMYFUNCTION("""COMPUTED_VALUE"""),"PLAN 1399")</f>
        <v>PLAN 1399</v>
      </c>
      <c r="U683" s="1" t="str">
        <f>IFERROR(__xludf.DUMMYFUNCTION("""COMPUTED_VALUE"""),"APPROVED")</f>
        <v>APPROVED</v>
      </c>
      <c r="V683" s="1"/>
      <c r="W683" s="1"/>
    </row>
    <row r="684" customHeight="1" spans="1:23">
      <c r="A684" s="3">
        <f>IFERROR(__xludf.DUMMYFUNCTION("""COMPUTED_VALUE"""),46087)</f>
        <v>46087</v>
      </c>
      <c r="B684" s="1" t="str">
        <f>IFERROR(__xludf.DUMMYFUNCTION("""COMPUTED_VALUE"""),"DE VERA, MARIVIC")</f>
        <v>DE VERA, MARIVIC</v>
      </c>
      <c r="C684" s="1" t="str">
        <f>IFERROR(__xludf.DUMMYFUNCTION("""COMPUTED_VALUE"""),"ORGANIC")</f>
        <v>ORGANIC</v>
      </c>
      <c r="D684" s="1" t="str">
        <f>IFERROR(__xludf.DUMMYFUNCTION("""COMPUTED_VALUE"""),"ALINGARO, CINDY")</f>
        <v>ALINGARO, CINDY</v>
      </c>
      <c r="E684" s="1" t="str">
        <f>IFERROR(__xludf.DUMMYFUNCTION("""COMPUTED_VALUE"""),"PLDT")</f>
        <v>PLDT</v>
      </c>
      <c r="F684" s="1">
        <f>IFERROR(__xludf.DUMMYFUNCTION("""COMPUTED_VALUE"""),2307486476)</f>
        <v>2307486476</v>
      </c>
      <c r="G684" s="1"/>
      <c r="H684" s="1" t="str">
        <f>IFERROR(__xludf.DUMMYFUNCTION("""COMPUTED_VALUE"""),"GLORIOSO I ALTAZAR BALIDIO")</f>
        <v>GLORIOSO I ALTAZAR BALIDIO</v>
      </c>
      <c r="I684" s="1">
        <f>IFERROR(__xludf.DUMMYFUNCTION("""COMPUTED_VALUE"""),9289780155)</f>
        <v>9289780155</v>
      </c>
      <c r="J684" s="1">
        <f>IFERROR(__xludf.DUMMYFUNCTION("""COMPUTED_VALUE"""),9938644506)</f>
        <v>9938644506</v>
      </c>
      <c r="K684" s="1" t="str">
        <f>IFERROR(__xludf.DUMMYFUNCTION("""COMPUTED_VALUE"""),"GORIONOIB@GMAIL.COM")</f>
        <v>GORIONOIB@GMAIL.COM</v>
      </c>
      <c r="L684" s="1" t="str">
        <f>IFERROR(__xludf.DUMMYFUNCTION("""COMPUTED_VALUE"""),"BLK 36 LOT 10")</f>
        <v>BLK 36 LOT 10</v>
      </c>
      <c r="M684" s="1" t="str">
        <f>IFERROR(__xludf.DUMMYFUNCTION("""COMPUTED_VALUE"""),"ZONE 7")</f>
        <v>ZONE 7</v>
      </c>
      <c r="N684" s="1" t="str">
        <f>IFERROR(__xludf.DUMMYFUNCTION("""COMPUTED_VALUE"""),"BUKLOD BAHAYAN")</f>
        <v>BUKLOD BAHAYAN</v>
      </c>
      <c r="O684" s="1" t="str">
        <f>IFERROR(__xludf.DUMMYFUNCTION("""COMPUTED_VALUE"""),"SILLP605NP5/6")</f>
        <v>SILLP605NP5/6</v>
      </c>
      <c r="P684" s="1" t="str">
        <f>IFERROR(__xludf.DUMMYFUNCTION("""COMPUTED_VALUE"""),"14.203862 121.015249")</f>
        <v>14.203862 121.015249</v>
      </c>
      <c r="Q684" s="1" t="str">
        <f>IFERROR(__xludf.DUMMYFUNCTION("""COMPUTED_VALUE"""),"TARTARIA")</f>
        <v>TARTARIA</v>
      </c>
      <c r="R684" s="1" t="str">
        <f>IFERROR(__xludf.DUMMYFUNCTION("""COMPUTED_VALUE"""),"SILANG")</f>
        <v>SILANG</v>
      </c>
      <c r="S684" s="1" t="str">
        <f>IFERROR(__xludf.DUMMYFUNCTION("""COMPUTED_VALUE"""),"CAVITE")</f>
        <v>CAVITE</v>
      </c>
      <c r="T684" s="1" t="str">
        <f>IFERROR(__xludf.DUMMYFUNCTION("""COMPUTED_VALUE"""),"PLAN 1399")</f>
        <v>PLAN 1399</v>
      </c>
      <c r="U684" s="1" t="str">
        <f>IFERROR(__xludf.DUMMYFUNCTION("""COMPUTED_VALUE"""),"APPROVED")</f>
        <v>APPROVED</v>
      </c>
      <c r="V684" s="1"/>
      <c r="W684" s="1"/>
    </row>
    <row r="685" customHeight="1" spans="1:23">
      <c r="A685" s="3">
        <f>IFERROR(__xludf.DUMMYFUNCTION("""COMPUTED_VALUE"""),46087)</f>
        <v>46087</v>
      </c>
      <c r="B685" s="1" t="str">
        <f>IFERROR(__xludf.DUMMYFUNCTION("""COMPUTED_VALUE"""),"GABAY, MANUEL")</f>
        <v>GABAY, MANUEL</v>
      </c>
      <c r="C685" s="1" t="str">
        <f>IFERROR(__xludf.DUMMYFUNCTION("""COMPUTED_VALUE"""),"FLA")</f>
        <v>FLA</v>
      </c>
      <c r="D685" s="1" t="str">
        <f>IFERROR(__xludf.DUMMYFUNCTION("""COMPUTED_VALUE"""),"JERIC NAVARRO")</f>
        <v>JERIC NAVARRO</v>
      </c>
      <c r="E685" s="1" t="str">
        <f>IFERROR(__xludf.DUMMYFUNCTION("""COMPUTED_VALUE"""),"PLDT")</f>
        <v>PLDT</v>
      </c>
      <c r="F685" s="1">
        <f>IFERROR(__xludf.DUMMYFUNCTION("""COMPUTED_VALUE"""),2307498859)</f>
        <v>2307498859</v>
      </c>
      <c r="G685" s="1"/>
      <c r="H685" s="1" t="str">
        <f>IFERROR(__xludf.DUMMYFUNCTION("""COMPUTED_VALUE"""),"MARK ALLEN MERCADO LAMSEN")</f>
        <v>MARK ALLEN MERCADO LAMSEN</v>
      </c>
      <c r="I685" s="1">
        <f>IFERROR(__xludf.DUMMYFUNCTION("""COMPUTED_VALUE"""),9487299978)</f>
        <v>9487299978</v>
      </c>
      <c r="J685" s="1">
        <f>IFERROR(__xludf.DUMMYFUNCTION("""COMPUTED_VALUE"""),9458726861)</f>
        <v>9458726861</v>
      </c>
      <c r="K685" s="1" t="str">
        <f>IFERROR(__xludf.DUMMYFUNCTION("""COMPUTED_VALUE"""),"MLANSENZ@GMAIL.COM")</f>
        <v>MLANSENZ@GMAIL.COM</v>
      </c>
      <c r="L685" s="1" t="str">
        <f>IFERROR(__xludf.DUMMYFUNCTION("""COMPUTED_VALUE"""),"47")</f>
        <v>47</v>
      </c>
      <c r="M685" s="1" t="str">
        <f>IFERROR(__xludf.DUMMYFUNCTION("""COMPUTED_VALUE"""),"MUZON")</f>
        <v>MUZON</v>
      </c>
      <c r="N685" s="1"/>
      <c r="O685" s="1" t="str">
        <f>IFERROR(__xludf.DUMMYFUNCTION("""COMPUTED_VALUE"""),"SILLP645NP3/4 SILLP644NP3/4/5")</f>
        <v>SILLP645NP3/4 SILLP644NP3/4/5</v>
      </c>
      <c r="P685" s="1" t="str">
        <f>IFERROR(__xludf.DUMMYFUNCTION("""COMPUTED_VALUE"""),"14.225318 121.046938")</f>
        <v>14.225318 121.046938</v>
      </c>
      <c r="Q685" s="1" t="str">
        <f>IFERROR(__xludf.DUMMYFUNCTION("""COMPUTED_VALUE"""),"PUTING KAHOY")</f>
        <v>PUTING KAHOY</v>
      </c>
      <c r="R685" s="1" t="str">
        <f>IFERROR(__xludf.DUMMYFUNCTION("""COMPUTED_VALUE"""),"SILANG")</f>
        <v>SILANG</v>
      </c>
      <c r="S685" s="1" t="str">
        <f>IFERROR(__xludf.DUMMYFUNCTION("""COMPUTED_VALUE"""),"CAVITE")</f>
        <v>CAVITE</v>
      </c>
      <c r="T685" s="1" t="str">
        <f>IFERROR(__xludf.DUMMYFUNCTION("""COMPUTED_VALUE"""),"PLAN 1399")</f>
        <v>PLAN 1399</v>
      </c>
      <c r="U685" s="1" t="str">
        <f>IFERROR(__xludf.DUMMYFUNCTION("""COMPUTED_VALUE"""),"APPROVED")</f>
        <v>APPROVED</v>
      </c>
      <c r="V685" s="1" t="str">
        <f>IFERROR(__xludf.DUMMYFUNCTION("""COMPUTED_VALUE"""),"ENDORSED")</f>
        <v>ENDORSED</v>
      </c>
      <c r="W685" s="1"/>
    </row>
    <row r="686" customHeight="1" spans="1:23">
      <c r="A686" s="3">
        <f>IFERROR(__xludf.DUMMYFUNCTION("""COMPUTED_VALUE"""),46087)</f>
        <v>46087</v>
      </c>
      <c r="B686" s="1" t="str">
        <f>IFERROR(__xludf.DUMMYFUNCTION("""COMPUTED_VALUE"""),"FARO, REFRANTA")</f>
        <v>FARO, REFRANTA</v>
      </c>
      <c r="C686" s="1" t="str">
        <f>IFERROR(__xludf.DUMMYFUNCTION("""COMPUTED_VALUE"""),"ORGANIC")</f>
        <v>ORGANIC</v>
      </c>
      <c r="D686" s="1" t="str">
        <f>IFERROR(__xludf.DUMMYFUNCTION("""COMPUTED_VALUE"""),"ALINGARO, CINDY")</f>
        <v>ALINGARO, CINDY</v>
      </c>
      <c r="E686" s="1" t="str">
        <f>IFERROR(__xludf.DUMMYFUNCTION("""COMPUTED_VALUE"""),"PLDT")</f>
        <v>PLDT</v>
      </c>
      <c r="F686" s="1"/>
      <c r="G686" s="1"/>
      <c r="H686" s="1" t="str">
        <f>IFERROR(__xludf.DUMMYFUNCTION("""COMPUTED_VALUE"""),"RONALD JUAT DELA CRUZ")</f>
        <v>RONALD JUAT DELA CRUZ</v>
      </c>
      <c r="I686" s="1">
        <f>IFERROR(__xludf.DUMMYFUNCTION("""COMPUTED_VALUE"""),9614336265)</f>
        <v>9614336265</v>
      </c>
      <c r="J686" s="1"/>
      <c r="K686" s="1" t="str">
        <f>IFERROR(__xludf.DUMMYFUNCTION("""COMPUTED_VALUE"""),"RONNIDELACRUZ10@GMAIL.COM")</f>
        <v>RONNIDELACRUZ10@GMAIL.COM</v>
      </c>
      <c r="L686" s="1" t="str">
        <f>IFERROR(__xludf.DUMMYFUNCTION("""COMPUTED_VALUE"""),"4")</f>
        <v>4</v>
      </c>
      <c r="M686" s="1" t="str">
        <f>IFERROR(__xludf.DUMMYFUNCTION("""COMPUTED_VALUE"""),"MAGLAVE DRV")</f>
        <v>MAGLAVE DRV</v>
      </c>
      <c r="N686" s="1"/>
      <c r="O686" s="1"/>
      <c r="P686" s="1"/>
      <c r="Q686" s="1" t="str">
        <f>IFERROR(__xludf.DUMMYFUNCTION("""COMPUTED_VALUE"""),"ANULING CERCA I")</f>
        <v>ANULING CERCA I</v>
      </c>
      <c r="R686" s="1" t="str">
        <f>IFERROR(__xludf.DUMMYFUNCTION("""COMPUTED_VALUE"""),"MENDEZ")</f>
        <v>MENDEZ</v>
      </c>
      <c r="S686" s="1" t="str">
        <f>IFERROR(__xludf.DUMMYFUNCTION("""COMPUTED_VALUE"""),"CAVITE")</f>
        <v>CAVITE</v>
      </c>
      <c r="T686" s="1" t="str">
        <f>IFERROR(__xludf.DUMMYFUNCTION("""COMPUTED_VALUE"""),"PLAN 1799")</f>
        <v>PLAN 1799</v>
      </c>
      <c r="U686" s="1" t="str">
        <f>IFERROR(__xludf.DUMMYFUNCTION("""COMPUTED_VALUE"""),"PRESELL")</f>
        <v>PRESELL</v>
      </c>
      <c r="V686" s="1" t="str">
        <f>IFERROR(__xludf.DUMMYFUNCTION("""COMPUTED_VALUE"""),"CRANFORD APPLICATION")</f>
        <v>CRANFORD APPLICATION</v>
      </c>
      <c r="W686" s="1"/>
    </row>
    <row r="687" customHeight="1" spans="1:23">
      <c r="A687" s="3">
        <f>IFERROR(__xludf.DUMMYFUNCTION("""COMPUTED_VALUE"""),46087)</f>
        <v>46087</v>
      </c>
      <c r="B687" s="1" t="str">
        <f>IFERROR(__xludf.DUMMYFUNCTION("""COMPUTED_VALUE"""),"LEADSTORE - ILANO, LIANDRO TEJAS")</f>
        <v>LEADSTORE - ILANO, LIANDRO TEJAS</v>
      </c>
      <c r="C687" s="1" t="str">
        <f>IFERROR(__xludf.DUMMYFUNCTION("""COMPUTED_VALUE"""),"FLA")</f>
        <v>FLA</v>
      </c>
      <c r="D687" s="1" t="str">
        <f>IFERROR(__xludf.DUMMYFUNCTION("""COMPUTED_VALUE"""),"JERIC NAVARRO")</f>
        <v>JERIC NAVARRO</v>
      </c>
      <c r="E687" s="1" t="str">
        <f>IFERROR(__xludf.DUMMYFUNCTION("""COMPUTED_VALUE"""),"PLDT")</f>
        <v>PLDT</v>
      </c>
      <c r="F687" s="1">
        <f>IFERROR(__xludf.DUMMYFUNCTION("""COMPUTED_VALUE"""),2307510881)</f>
        <v>2307510881</v>
      </c>
      <c r="G687" s="1"/>
      <c r="H687" s="1" t="str">
        <f>IFERROR(__xludf.DUMMYFUNCTION("""COMPUTED_VALUE"""),"XMLX ONLINE SHOP")</f>
        <v>XMLX ONLINE SHOP</v>
      </c>
      <c r="I687" s="1">
        <f>IFERROR(__xludf.DUMMYFUNCTION("""COMPUTED_VALUE"""),9456419550)</f>
        <v>9456419550</v>
      </c>
      <c r="J687" s="1">
        <f>IFERROR(__xludf.DUMMYFUNCTION("""COMPUTED_VALUE"""),9499953635)</f>
        <v>9499953635</v>
      </c>
      <c r="K687" s="1" t="str">
        <f>IFERROR(__xludf.DUMMYFUNCTION("""COMPUTED_VALUE"""),"E9671894855@GMAIL.COM")</f>
        <v>E9671894855@GMAIL.COM</v>
      </c>
      <c r="L687" s="1" t="str">
        <f>IFERROR(__xludf.DUMMYFUNCTION("""COMPUTED_VALUE"""),"1")</f>
        <v>1</v>
      </c>
      <c r="M687" s="1" t="str">
        <f>IFERROR(__xludf.DUMMYFUNCTION("""COMPUTED_VALUE"""),"XMLC ONLINE")</f>
        <v>XMLC ONLINE</v>
      </c>
      <c r="N687" s="1" t="str">
        <f>IFERROR(__xludf.DUMMYFUNCTION("""COMPUTED_VALUE"""),"PUROK ")</f>
        <v>PUROK </v>
      </c>
      <c r="O687" s="1"/>
      <c r="P687" s="1"/>
      <c r="Q687" s="1" t="str">
        <f>IFERROR(__xludf.DUMMYFUNCTION("""COMPUTED_VALUE"""),"SANTOL")</f>
        <v>SANTOL</v>
      </c>
      <c r="R687" s="1" t="str">
        <f>IFERROR(__xludf.DUMMYFUNCTION("""COMPUTED_VALUE"""),"TANZA")</f>
        <v>TANZA</v>
      </c>
      <c r="S687" s="1" t="str">
        <f>IFERROR(__xludf.DUMMYFUNCTION("""COMPUTED_VALUE"""),"CAVITE")</f>
        <v>CAVITE</v>
      </c>
      <c r="T687" s="1" t="str">
        <f>IFERROR(__xludf.DUMMYFUNCTION("""COMPUTED_VALUE"""),"PLAN 2099")</f>
        <v>PLAN 2099</v>
      </c>
      <c r="U687" s="1" t="str">
        <f>IFERROR(__xludf.DUMMYFUNCTION("""COMPUTED_VALUE"""),"APPROVED")</f>
        <v>APPROVED</v>
      </c>
      <c r="V687" s="1" t="str">
        <f>IFERROR(__xludf.DUMMYFUNCTION("""COMPUTED_VALUE"""),"INCOMPLETE DOCS NASABI NA DIN KAY IAN TODAY MARCH 6 ")</f>
        <v>INCOMPLETE DOCS NASABI NA DIN KAY IAN TODAY MARCH 6 </v>
      </c>
      <c r="W687" s="1"/>
    </row>
    <row r="688" customHeight="1" spans="1:23">
      <c r="A688" s="3">
        <f>IFERROR(__xludf.DUMMYFUNCTION("""COMPUTED_VALUE"""),46087)</f>
        <v>46087</v>
      </c>
      <c r="B688" s="1" t="str">
        <f>IFERROR(__xludf.DUMMYFUNCTION("""COMPUTED_VALUE"""),"DELA ROSA, JENNELYN")</f>
        <v>DELA ROSA, JENNELYN</v>
      </c>
      <c r="C688" s="1" t="str">
        <f>IFERROR(__xludf.DUMMYFUNCTION("""COMPUTED_VALUE"""),"ORGANIC")</f>
        <v>ORGANIC</v>
      </c>
      <c r="D688" s="1" t="str">
        <f>IFERROR(__xludf.DUMMYFUNCTION("""COMPUTED_VALUE"""),"ALOS, CHARLS")</f>
        <v>ALOS, CHARLS</v>
      </c>
      <c r="E688" s="1" t="str">
        <f>IFERROR(__xludf.DUMMYFUNCTION("""COMPUTED_VALUE"""),"RED FIBER")</f>
        <v>RED FIBER</v>
      </c>
      <c r="F688" s="1"/>
      <c r="G688" s="1"/>
      <c r="H688" s="1" t="str">
        <f>IFERROR(__xludf.DUMMYFUNCTION("""COMPUTED_VALUE"""),"RHEEM SADAH VIADO PANGANIBAN")</f>
        <v>RHEEM SADAH VIADO PANGANIBAN</v>
      </c>
      <c r="I688" s="1">
        <f>IFERROR(__xludf.DUMMYFUNCTION("""COMPUTED_VALUE"""),9553094416)</f>
        <v>9553094416</v>
      </c>
      <c r="J688" s="1"/>
      <c r="K688" s="1" t="str">
        <f>IFERROR(__xludf.DUMMYFUNCTION("""COMPUTED_VALUE"""),"SHAMYPANGANIBAN@GMAIL.COM")</f>
        <v>SHAMYPANGANIBAN@GMAIL.COM</v>
      </c>
      <c r="L688" s="1" t="str">
        <f>IFERROR(__xludf.DUMMYFUNCTION("""COMPUTED_VALUE"""),"20")</f>
        <v>20</v>
      </c>
      <c r="M688" s="1" t="str">
        <f>IFERROR(__xludf.DUMMYFUNCTION("""COMPUTED_VALUE"""),"H MOJICA")</f>
        <v>H MOJICA</v>
      </c>
      <c r="N688" s="1"/>
      <c r="O688" s="1" t="str">
        <f>IFERROR(__xludf.DUMMYFUNCTION("""COMPUTED_VALUE"""),"CVT 2 LCP 53 NAP 4")</f>
        <v>CVT 2 LCP 53 NAP 4</v>
      </c>
      <c r="P688" s="1" t="str">
        <f>IFERROR(__xludf.DUMMYFUNCTION("""COMPUTED_VALUE"""),"14.118426 120.917616")</f>
        <v>14.118426 120.917616</v>
      </c>
      <c r="Q688" s="1" t="str">
        <f>IFERROR(__xludf.DUMMYFUNCTION("""COMPUTED_VALUE"""),"GALICIA III")</f>
        <v>GALICIA III</v>
      </c>
      <c r="R688" s="1" t="str">
        <f>IFERROR(__xludf.DUMMYFUNCTION("""COMPUTED_VALUE"""),"MENDEZ")</f>
        <v>MENDEZ</v>
      </c>
      <c r="S688" s="1" t="str">
        <f>IFERROR(__xludf.DUMMYFUNCTION("""COMPUTED_VALUE"""),"CAVITE")</f>
        <v>CAVITE</v>
      </c>
      <c r="T688" s="1" t="str">
        <f>IFERROR(__xludf.DUMMYFUNCTION("""COMPUTED_VALUE"""),"RED PLAN 1000")</f>
        <v>RED PLAN 1000</v>
      </c>
      <c r="U688" s="1" t="str">
        <f>IFERROR(__xludf.DUMMYFUNCTION("""COMPUTED_VALUE"""),"APPROVED")</f>
        <v>APPROVED</v>
      </c>
      <c r="V688" s="1"/>
      <c r="W688" s="1"/>
    </row>
    <row r="689" customHeight="1" spans="1:23">
      <c r="A689" s="3">
        <f>IFERROR(__xludf.DUMMYFUNCTION("""COMPUTED_VALUE"""),46087)</f>
        <v>46087</v>
      </c>
      <c r="B689" s="1" t="str">
        <f>IFERROR(__xludf.DUMMYFUNCTION("""COMPUTED_VALUE"""),"DE VERA, MARIVIC")</f>
        <v>DE VERA, MARIVIC</v>
      </c>
      <c r="C689" s="1" t="str">
        <f>IFERROR(__xludf.DUMMYFUNCTION("""COMPUTED_VALUE"""),"ORGANIC")</f>
        <v>ORGANIC</v>
      </c>
      <c r="D689" s="1" t="str">
        <f>IFERROR(__xludf.DUMMYFUNCTION("""COMPUTED_VALUE"""),"ALINGARO, CINDY")</f>
        <v>ALINGARO, CINDY</v>
      </c>
      <c r="E689" s="1" t="str">
        <f>IFERROR(__xludf.DUMMYFUNCTION("""COMPUTED_VALUE"""),"RED FIBER")</f>
        <v>RED FIBER</v>
      </c>
      <c r="F689" s="1"/>
      <c r="G689" s="1"/>
      <c r="H689" s="1" t="str">
        <f>IFERROR(__xludf.DUMMYFUNCTION("""COMPUTED_VALUE"""),"STEPHANIE LEGASPI VILLANOBLES")</f>
        <v>STEPHANIE LEGASPI VILLANOBLES</v>
      </c>
      <c r="I689" s="1">
        <f>IFERROR(__xludf.DUMMYFUNCTION("""COMPUTED_VALUE"""),9914381169)</f>
        <v>9914381169</v>
      </c>
      <c r="J689" s="1"/>
      <c r="K689" s="1" t="str">
        <f>IFERROR(__xludf.DUMMYFUNCTION("""COMPUTED_VALUE"""),"VILLANOBLESTAPHIE@GMAIL.COM")</f>
        <v>VILLANOBLESTAPHIE@GMAIL.COM</v>
      </c>
      <c r="L689" s="1" t="str">
        <f>IFERROR(__xludf.DUMMYFUNCTION("""COMPUTED_VALUE"""),"10")</f>
        <v>10</v>
      </c>
      <c r="M689" s="1" t="str">
        <f>IFERROR(__xludf.DUMMYFUNCTION("""COMPUTED_VALUE"""),"MARKET SITE")</f>
        <v>MARKET SITE</v>
      </c>
      <c r="N689" s="1"/>
      <c r="O689" s="1" t="str">
        <f>IFERROR(__xludf.DUMMYFUNCTION("""COMPUTED_VALUE"""),"CVT 2 LCP 53 NAP 2")</f>
        <v>CVT 2 LCP 53 NAP 2</v>
      </c>
      <c r="P689" s="1" t="str">
        <f>IFERROR(__xludf.DUMMYFUNCTION("""COMPUTED_VALUE"""),"14.125434 120.907781")</f>
        <v>14.125434 120.907781</v>
      </c>
      <c r="Q689" s="1" t="str">
        <f>IFERROR(__xludf.DUMMYFUNCTION("""COMPUTED_VALUE"""),"GALICIA III")</f>
        <v>GALICIA III</v>
      </c>
      <c r="R689" s="1" t="str">
        <f>IFERROR(__xludf.DUMMYFUNCTION("""COMPUTED_VALUE"""),"MENDEZ")</f>
        <v>MENDEZ</v>
      </c>
      <c r="S689" s="1" t="str">
        <f>IFERROR(__xludf.DUMMYFUNCTION("""COMPUTED_VALUE"""),"CAVITE")</f>
        <v>CAVITE</v>
      </c>
      <c r="T689" s="1" t="str">
        <f>IFERROR(__xludf.DUMMYFUNCTION("""COMPUTED_VALUE"""),"RED PLAN 1000")</f>
        <v>RED PLAN 1000</v>
      </c>
      <c r="U689" s="1" t="str">
        <f>IFERROR(__xludf.DUMMYFUNCTION("""COMPUTED_VALUE"""),"APPROVED")</f>
        <v>APPROVED</v>
      </c>
      <c r="V689" s="1"/>
      <c r="W689" s="1"/>
    </row>
    <row r="690" customHeight="1" spans="1:23">
      <c r="A690" s="3">
        <f>IFERROR(__xludf.DUMMYFUNCTION("""COMPUTED_VALUE"""),46087)</f>
        <v>46087</v>
      </c>
      <c r="B690" s="1" t="str">
        <f>IFERROR(__xludf.DUMMYFUNCTION("""COMPUTED_VALUE"""),"LALOVE, PALOMA RAMOS")</f>
        <v>LALOVE, PALOMA RAMOS</v>
      </c>
      <c r="C690" s="1" t="str">
        <f>IFERROR(__xludf.DUMMYFUNCTION("""COMPUTED_VALUE"""),"ORGANIC")</f>
        <v>ORGANIC</v>
      </c>
      <c r="D690" s="1" t="str">
        <f>IFERROR(__xludf.DUMMYFUNCTION("""COMPUTED_VALUE"""),"ALINGARO, CINDY")</f>
        <v>ALINGARO, CINDY</v>
      </c>
      <c r="E690" s="1" t="str">
        <f>IFERROR(__xludf.DUMMYFUNCTION("""COMPUTED_VALUE"""),"RED FIBER")</f>
        <v>RED FIBER</v>
      </c>
      <c r="F690" s="1"/>
      <c r="G690" s="1"/>
      <c r="H690" s="1" t="str">
        <f>IFERROR(__xludf.DUMMYFUNCTION("""COMPUTED_VALUE"""),"FERDINAND ALLEGO VICEDO")</f>
        <v>FERDINAND ALLEGO VICEDO</v>
      </c>
      <c r="I690" s="1">
        <f>IFERROR(__xludf.DUMMYFUNCTION("""COMPUTED_VALUE"""),9970653010)</f>
        <v>9970653010</v>
      </c>
      <c r="J690" s="1"/>
      <c r="K690" s="1" t="str">
        <f>IFERROR(__xludf.DUMMYFUNCTION("""COMPUTED_VALUE"""),"FERDINANDVICEDO3@GMAIL.COM")</f>
        <v>FERDINANDVICEDO3@GMAIL.COM</v>
      </c>
      <c r="L690" s="1" t="str">
        <f>IFERROR(__xludf.DUMMYFUNCTION("""COMPUTED_VALUE"""),"160")</f>
        <v>160</v>
      </c>
      <c r="M690" s="1" t="str">
        <f>IFERROR(__xludf.DUMMYFUNCTION("""COMPUTED_VALUE"""),"C ALLAMADO")</f>
        <v>C ALLAMADO</v>
      </c>
      <c r="N690" s="1"/>
      <c r="O690" s="1" t="str">
        <f>IFERROR(__xludf.DUMMYFUNCTION("""COMPUTED_VALUE"""),"CVT 2 LCP 53 NAP 2")</f>
        <v>CVT 2 LCP 53 NAP 2</v>
      </c>
      <c r="P690" s="1" t="str">
        <f>IFERROR(__xludf.DUMMYFUNCTION("""COMPUTED_VALUE"""),"14.132133 120.902845")</f>
        <v>14.132133 120.902845</v>
      </c>
      <c r="Q690" s="1" t="str">
        <f>IFERROR(__xludf.DUMMYFUNCTION("""COMPUTED_VALUE"""),"BARANGAY V (POB.)")</f>
        <v>BARANGAY V (POB.)</v>
      </c>
      <c r="R690" s="1" t="str">
        <f>IFERROR(__xludf.DUMMYFUNCTION("""COMPUTED_VALUE"""),"MENDEZ")</f>
        <v>MENDEZ</v>
      </c>
      <c r="S690" s="1" t="str">
        <f>IFERROR(__xludf.DUMMYFUNCTION("""COMPUTED_VALUE"""),"CAVITE")</f>
        <v>CAVITE</v>
      </c>
      <c r="T690" s="1" t="str">
        <f>IFERROR(__xludf.DUMMYFUNCTION("""COMPUTED_VALUE"""),"RED PLAN 1000")</f>
        <v>RED PLAN 1000</v>
      </c>
      <c r="U690" s="1" t="str">
        <f>IFERROR(__xludf.DUMMYFUNCTION("""COMPUTED_VALUE"""),"APPROVED")</f>
        <v>APPROVED</v>
      </c>
      <c r="V690" s="1"/>
      <c r="W690" s="1"/>
    </row>
    <row r="691" customHeight="1" spans="1:23">
      <c r="A691" s="3">
        <f>IFERROR(__xludf.DUMMYFUNCTION("""COMPUTED_VALUE"""),46087)</f>
        <v>46087</v>
      </c>
      <c r="B691" s="1" t="str">
        <f>IFERROR(__xludf.DUMMYFUNCTION("""COMPUTED_VALUE"""),"FERNANDEZ JERIC")</f>
        <v>FERNANDEZ JERIC</v>
      </c>
      <c r="C691" s="1" t="str">
        <f>IFERROR(__xludf.DUMMYFUNCTION("""COMPUTED_VALUE"""),"ORGANIC")</f>
        <v>ORGANIC</v>
      </c>
      <c r="D691" s="1" t="str">
        <f>IFERROR(__xludf.DUMMYFUNCTION("""COMPUTED_VALUE"""),"ALINGARO, CINDY")</f>
        <v>ALINGARO, CINDY</v>
      </c>
      <c r="E691" s="1" t="str">
        <f>IFERROR(__xludf.DUMMYFUNCTION("""COMPUTED_VALUE"""),"PLDT")</f>
        <v>PLDT</v>
      </c>
      <c r="F691" s="1">
        <f>IFERROR(__xludf.DUMMYFUNCTION("""COMPUTED_VALUE"""),2307490381)</f>
        <v>2307490381</v>
      </c>
      <c r="G691" s="1"/>
      <c r="H691" s="1" t="str">
        <f>IFERROR(__xludf.DUMMYFUNCTION("""COMPUTED_VALUE"""),"SAMUEL MADERA MORADA")</f>
        <v>SAMUEL MADERA MORADA</v>
      </c>
      <c r="I691" s="1">
        <f>IFERROR(__xludf.DUMMYFUNCTION("""COMPUTED_VALUE"""),9506292671)</f>
        <v>9506292671</v>
      </c>
      <c r="J691" s="1"/>
      <c r="K691" s="1" t="str">
        <f>IFERROR(__xludf.DUMMYFUNCTION("""COMPUTED_VALUE"""),"GINAMORADA79@GMAIL.COM")</f>
        <v>GINAMORADA79@GMAIL.COM</v>
      </c>
      <c r="L691" s="1" t="str">
        <f>IFERROR(__xludf.DUMMYFUNCTION("""COMPUTED_VALUE"""),"4B")</f>
        <v>4B</v>
      </c>
      <c r="M691" s="1" t="str">
        <f>IFERROR(__xludf.DUMMYFUNCTION("""COMPUTED_VALUE"""),"BYPASS")</f>
        <v>BYPASS</v>
      </c>
      <c r="N691" s="1"/>
      <c r="O691" s="1" t="str">
        <f>IFERROR(__xludf.DUMMYFUNCTION("""COMPUTED_VALUE"""),"AMALP80NP3/4")</f>
        <v>AMALP80NP3/4</v>
      </c>
      <c r="P691" s="1" t="str">
        <f>IFERROR(__xludf.DUMMYFUNCTION("""COMPUTED_VALUE"""),"14.165875 120.924117")</f>
        <v>14.165875 120.924117</v>
      </c>
      <c r="Q691" s="1" t="str">
        <f>IFERROR(__xludf.DUMMYFUNCTION("""COMPUTED_VALUE"""),"POBLACION I")</f>
        <v>POBLACION I</v>
      </c>
      <c r="R691" s="1" t="str">
        <f>IFERROR(__xludf.DUMMYFUNCTION("""COMPUTED_VALUE"""),"MENDEZ")</f>
        <v>MENDEZ</v>
      </c>
      <c r="S691" s="1" t="str">
        <f>IFERROR(__xludf.DUMMYFUNCTION("""COMPUTED_VALUE"""),"CAVITE")</f>
        <v>CAVITE</v>
      </c>
      <c r="T691" s="1" t="str">
        <f>IFERROR(__xludf.DUMMYFUNCTION("""COMPUTED_VALUE"""),"PLAN 999 WITH CIGNAL CABLE")</f>
        <v>PLAN 999 WITH CIGNAL CABLE</v>
      </c>
      <c r="U691" s="1" t="str">
        <f>IFERROR(__xludf.DUMMYFUNCTION("""COMPUTED_VALUE"""),"APPROVED")</f>
        <v>APPROVED</v>
      </c>
      <c r="V691" s="1"/>
      <c r="W691" s="1"/>
    </row>
    <row r="692" customHeight="1" spans="1:23">
      <c r="A692" s="3">
        <f>IFERROR(__xludf.DUMMYFUNCTION("""COMPUTED_VALUE"""),46087)</f>
        <v>46087</v>
      </c>
      <c r="B692" s="1" t="str">
        <f>IFERROR(__xludf.DUMMYFUNCTION("""COMPUTED_VALUE"""),"AYON MANUEL")</f>
        <v>AYON MANUEL</v>
      </c>
      <c r="C692" s="1" t="str">
        <f>IFERROR(__xludf.DUMMYFUNCTION("""COMPUTED_VALUE"""),"FLA")</f>
        <v>FLA</v>
      </c>
      <c r="D692" s="1" t="str">
        <f>IFERROR(__xludf.DUMMYFUNCTION("""COMPUTED_VALUE"""),"JERIC NAVARRO")</f>
        <v>JERIC NAVARRO</v>
      </c>
      <c r="E692" s="1" t="str">
        <f>IFERROR(__xludf.DUMMYFUNCTION("""COMPUTED_VALUE"""),"PLDT")</f>
        <v>PLDT</v>
      </c>
      <c r="F692" s="1">
        <f>IFERROR(__xludf.DUMMYFUNCTION("""COMPUTED_VALUE"""),2307498439)</f>
        <v>2307498439</v>
      </c>
      <c r="G692" s="1"/>
      <c r="H692" s="1" t="str">
        <f>IFERROR(__xludf.DUMMYFUNCTION("""COMPUTED_VALUE"""),"JULIET MONREAL COYOCA")</f>
        <v>JULIET MONREAL COYOCA</v>
      </c>
      <c r="I692" s="1">
        <f>IFERROR(__xludf.DUMMYFUNCTION("""COMPUTED_VALUE"""),9162357272)</f>
        <v>9162357272</v>
      </c>
      <c r="J692" s="1">
        <f>IFERROR(__xludf.DUMMYFUNCTION("""COMPUTED_VALUE"""),9477335945)</f>
        <v>9477335945</v>
      </c>
      <c r="K692" s="1" t="str">
        <f>IFERROR(__xludf.DUMMYFUNCTION("""COMPUTED_VALUE"""),"JULESCOYOCA960472@GMAIL.COM")</f>
        <v>JULESCOYOCA960472@GMAIL.COM</v>
      </c>
      <c r="L692" s="1" t="str">
        <f>IFERROR(__xludf.DUMMYFUNCTION("""COMPUTED_VALUE"""),"BLK 1/2 LOT 1/2")</f>
        <v>BLK 1/2 LOT 1/2</v>
      </c>
      <c r="M692" s="1" t="str">
        <f>IFERROR(__xludf.DUMMYFUNCTION("""COMPUTED_VALUE"""),"SPRINGWOODS")</f>
        <v>SPRINGWOODS</v>
      </c>
      <c r="N692" s="1"/>
      <c r="O692" s="1"/>
      <c r="P692" s="1"/>
      <c r="Q692" s="1" t="str">
        <f>IFERROR(__xludf.DUMMYFUNCTION("""COMPUTED_VALUE"""),"BUCAL")</f>
        <v>BUCAL</v>
      </c>
      <c r="R692" s="1" t="str">
        <f>IFERROR(__xludf.DUMMYFUNCTION("""COMPUTED_VALUE"""),"MENDEZ")</f>
        <v>MENDEZ</v>
      </c>
      <c r="S692" s="1" t="str">
        <f>IFERROR(__xludf.DUMMYFUNCTION("""COMPUTED_VALUE"""),"CAVITE")</f>
        <v>CAVITE</v>
      </c>
      <c r="T692" s="1" t="str">
        <f>IFERROR(__xludf.DUMMYFUNCTION("""COMPUTED_VALUE"""),"FIBR UNLI ALL PLAN 2499")</f>
        <v>FIBR UNLI ALL PLAN 2499</v>
      </c>
      <c r="U692" s="1" t="str">
        <f>IFERROR(__xludf.DUMMYFUNCTION("""COMPUTED_VALUE"""),"APPROVED")</f>
        <v>APPROVED</v>
      </c>
      <c r="V692" s="1"/>
      <c r="W692" s="1"/>
    </row>
    <row r="693" customHeight="1" spans="1:23">
      <c r="A693" s="3">
        <f>IFERROR(__xludf.DUMMYFUNCTION("""COMPUTED_VALUE"""),46087)</f>
        <v>46087</v>
      </c>
      <c r="B693" s="1" t="str">
        <f>IFERROR(__xludf.DUMMYFUNCTION("""COMPUTED_VALUE"""),"AYON MANUEL")</f>
        <v>AYON MANUEL</v>
      </c>
      <c r="C693" s="1" t="str">
        <f>IFERROR(__xludf.DUMMYFUNCTION("""COMPUTED_VALUE"""),"FLA")</f>
        <v>FLA</v>
      </c>
      <c r="D693" s="1" t="str">
        <f>IFERROR(__xludf.DUMMYFUNCTION("""COMPUTED_VALUE"""),"JERIC NAVARRO")</f>
        <v>JERIC NAVARRO</v>
      </c>
      <c r="E693" s="1" t="str">
        <f>IFERROR(__xludf.DUMMYFUNCTION("""COMPUTED_VALUE"""),"PLDT")</f>
        <v>PLDT</v>
      </c>
      <c r="F693" s="1">
        <f>IFERROR(__xludf.DUMMYFUNCTION("""COMPUTED_VALUE"""),2307498606)</f>
        <v>2307498606</v>
      </c>
      <c r="G693" s="1"/>
      <c r="H693" s="1" t="str">
        <f>IFERROR(__xludf.DUMMYFUNCTION("""COMPUTED_VALUE"""),"ROWENA DIMAPILIS CALDO")</f>
        <v>ROWENA DIMAPILIS CALDO</v>
      </c>
      <c r="I693" s="1">
        <f>IFERROR(__xludf.DUMMYFUNCTION("""COMPUTED_VALUE"""),9665005387)</f>
        <v>9665005387</v>
      </c>
      <c r="J693" s="1">
        <f>IFERROR(__xludf.DUMMYFUNCTION("""COMPUTED_VALUE"""),9951281170)</f>
        <v>9951281170</v>
      </c>
      <c r="K693" s="1" t="str">
        <f>IFERROR(__xludf.DUMMYFUNCTION("""COMPUTED_VALUE"""),"ROWENACALDO@GMAIL.COM")</f>
        <v>ROWENACALDO@GMAIL.COM</v>
      </c>
      <c r="L693" s="1" t="str">
        <f>IFERROR(__xludf.DUMMYFUNCTION("""COMPUTED_VALUE"""),"BLK 4 LOT 2")</f>
        <v>BLK 4 LOT 2</v>
      </c>
      <c r="M693" s="1" t="str">
        <f>IFERROR(__xludf.DUMMYFUNCTION("""COMPUTED_VALUE"""),"SPRINGWOODS")</f>
        <v>SPRINGWOODS</v>
      </c>
      <c r="N693" s="1"/>
      <c r="O693" s="1"/>
      <c r="P693" s="1"/>
      <c r="Q693" s="1" t="str">
        <f>IFERROR(__xludf.DUMMYFUNCTION("""COMPUTED_VALUE"""),"BUCAL")</f>
        <v>BUCAL</v>
      </c>
      <c r="R693" s="1" t="str">
        <f>IFERROR(__xludf.DUMMYFUNCTION("""COMPUTED_VALUE"""),"MENDEZ")</f>
        <v>MENDEZ</v>
      </c>
      <c r="S693" s="1" t="str">
        <f>IFERROR(__xludf.DUMMYFUNCTION("""COMPUTED_VALUE"""),"CAVITE")</f>
        <v>CAVITE</v>
      </c>
      <c r="T693" s="1" t="str">
        <f>IFERROR(__xludf.DUMMYFUNCTION("""COMPUTED_VALUE"""),"FIBR PLAN 1699")</f>
        <v>FIBR PLAN 1699</v>
      </c>
      <c r="U693" s="1" t="str">
        <f>IFERROR(__xludf.DUMMYFUNCTION("""COMPUTED_VALUE"""),"APPROVED")</f>
        <v>APPROVED</v>
      </c>
      <c r="V693" s="1"/>
      <c r="W693" s="1"/>
    </row>
    <row r="694" customHeight="1" spans="1:23">
      <c r="A694" s="3">
        <f>IFERROR(__xludf.DUMMYFUNCTION("""COMPUTED_VALUE"""),46087)</f>
        <v>46087</v>
      </c>
      <c r="B694" s="1" t="str">
        <f>IFERROR(__xludf.DUMMYFUNCTION("""COMPUTED_VALUE"""),"AYON MANUEL")</f>
        <v>AYON MANUEL</v>
      </c>
      <c r="C694" s="1" t="str">
        <f>IFERROR(__xludf.DUMMYFUNCTION("""COMPUTED_VALUE"""),"FLA")</f>
        <v>FLA</v>
      </c>
      <c r="D694" s="1" t="str">
        <f>IFERROR(__xludf.DUMMYFUNCTION("""COMPUTED_VALUE"""),"JERIC NAVARRO")</f>
        <v>JERIC NAVARRO</v>
      </c>
      <c r="E694" s="1" t="str">
        <f>IFERROR(__xludf.DUMMYFUNCTION("""COMPUTED_VALUE"""),"PLDT")</f>
        <v>PLDT</v>
      </c>
      <c r="F694" s="1">
        <f>IFERROR(__xludf.DUMMYFUNCTION("""COMPUTED_VALUE"""),2307499287)</f>
        <v>2307499287</v>
      </c>
      <c r="G694" s="1"/>
      <c r="H694" s="1" t="str">
        <f>IFERROR(__xludf.DUMMYFUNCTION("""COMPUTED_VALUE"""),"FE LAUTENGCO URBANO")</f>
        <v>FE LAUTENGCO URBANO</v>
      </c>
      <c r="I694" s="1">
        <f>IFERROR(__xludf.DUMMYFUNCTION("""COMPUTED_VALUE"""),9928996549)</f>
        <v>9928996549</v>
      </c>
      <c r="J694" s="1">
        <f>IFERROR(__xludf.DUMMYFUNCTION("""COMPUTED_VALUE"""),9912024224)</f>
        <v>9912024224</v>
      </c>
      <c r="K694" s="1" t="str">
        <f>IFERROR(__xludf.DUMMYFUNCTION("""COMPUTED_VALUE"""),"URBANOFE46@GMAIL.COM")</f>
        <v>URBANOFE46@GMAIL.COM</v>
      </c>
      <c r="L694" s="1" t="str">
        <f>IFERROR(__xludf.DUMMYFUNCTION("""COMPUTED_VALUE"""),"BLK 1 LOT 1")</f>
        <v>BLK 1 LOT 1</v>
      </c>
      <c r="M694" s="1" t="str">
        <f>IFERROR(__xludf.DUMMYFUNCTION("""COMPUTED_VALUE"""),"SPRINGWOODS")</f>
        <v>SPRINGWOODS</v>
      </c>
      <c r="N694" s="1"/>
      <c r="O694" s="1"/>
      <c r="P694" s="1"/>
      <c r="Q694" s="1" t="str">
        <f>IFERROR(__xludf.DUMMYFUNCTION("""COMPUTED_VALUE"""),"BUCAL")</f>
        <v>BUCAL</v>
      </c>
      <c r="R694" s="1" t="str">
        <f>IFERROR(__xludf.DUMMYFUNCTION("""COMPUTED_VALUE"""),"MENDEZ")</f>
        <v>MENDEZ</v>
      </c>
      <c r="S694" s="1" t="str">
        <f>IFERROR(__xludf.DUMMYFUNCTION("""COMPUTED_VALUE"""),"CAVITE")</f>
        <v>CAVITE</v>
      </c>
      <c r="T694" s="1" t="str">
        <f>IFERROR(__xludf.DUMMYFUNCTION("""COMPUTED_VALUE"""),"FIBR UNLI ALL PLAN 999")</f>
        <v>FIBR UNLI ALL PLAN 999</v>
      </c>
      <c r="U694" s="1" t="str">
        <f>IFERROR(__xludf.DUMMYFUNCTION("""COMPUTED_VALUE"""),"APPROVED")</f>
        <v>APPROVED</v>
      </c>
      <c r="V694" s="1"/>
      <c r="W694" s="1"/>
    </row>
    <row r="695" customHeight="1" spans="1:23">
      <c r="A695" s="3">
        <f>IFERROR(__xludf.DUMMYFUNCTION("""COMPUTED_VALUE"""),46087)</f>
        <v>46087</v>
      </c>
      <c r="B695" s="1" t="str">
        <f>IFERROR(__xludf.DUMMYFUNCTION("""COMPUTED_VALUE"""),"AYON MANUEL")</f>
        <v>AYON MANUEL</v>
      </c>
      <c r="C695" s="1" t="str">
        <f>IFERROR(__xludf.DUMMYFUNCTION("""COMPUTED_VALUE"""),"FLA")</f>
        <v>FLA</v>
      </c>
      <c r="D695" s="1" t="str">
        <f>IFERROR(__xludf.DUMMYFUNCTION("""COMPUTED_VALUE"""),"JERIC NAVARRO")</f>
        <v>JERIC NAVARRO</v>
      </c>
      <c r="E695" s="1" t="str">
        <f>IFERROR(__xludf.DUMMYFUNCTION("""COMPUTED_VALUE"""),"PLDT")</f>
        <v>PLDT</v>
      </c>
      <c r="F695" s="1">
        <f>IFERROR(__xludf.DUMMYFUNCTION("""COMPUTED_VALUE"""),2307499413)</f>
        <v>2307499413</v>
      </c>
      <c r="G695" s="1"/>
      <c r="H695" s="1" t="str">
        <f>IFERROR(__xludf.DUMMYFUNCTION("""COMPUTED_VALUE"""),"ROLAND ALDA LALONG-ISIP")</f>
        <v>ROLAND ALDA LALONG-ISIP</v>
      </c>
      <c r="I695" s="1">
        <f>IFERROR(__xludf.DUMMYFUNCTION("""COMPUTED_VALUE"""),9654388893)</f>
        <v>9654388893</v>
      </c>
      <c r="J695" s="1">
        <f>IFERROR(__xludf.DUMMYFUNCTION("""COMPUTED_VALUE"""),9916853884)</f>
        <v>9916853884</v>
      </c>
      <c r="K695" s="1" t="str">
        <f>IFERROR(__xludf.DUMMYFUNCTION("""COMPUTED_VALUE"""),"ROLANDLALONGISIP79@GMAIL.COM")</f>
        <v>ROLANDLALONGISIP79@GMAIL.COM</v>
      </c>
      <c r="L695" s="1" t="str">
        <f>IFERROR(__xludf.DUMMYFUNCTION("""COMPUTED_VALUE"""),"BLK 4 LOT 7")</f>
        <v>BLK 4 LOT 7</v>
      </c>
      <c r="M695" s="1" t="str">
        <f>IFERROR(__xludf.DUMMYFUNCTION("""COMPUTED_VALUE"""),"SPRINGWOODS 3")</f>
        <v>SPRINGWOODS 3</v>
      </c>
      <c r="N695" s="1"/>
      <c r="O695" s="1"/>
      <c r="P695" s="1"/>
      <c r="Q695" s="1" t="str">
        <f>IFERROR(__xludf.DUMMYFUNCTION("""COMPUTED_VALUE"""),"BANAYAD")</f>
        <v>BANAYAD</v>
      </c>
      <c r="R695" s="1" t="str">
        <f>IFERROR(__xludf.DUMMYFUNCTION("""COMPUTED_VALUE"""),"MENDEZ")</f>
        <v>MENDEZ</v>
      </c>
      <c r="S695" s="1" t="str">
        <f>IFERROR(__xludf.DUMMYFUNCTION("""COMPUTED_VALUE"""),"CAVITE")</f>
        <v>CAVITE</v>
      </c>
      <c r="T695" s="1" t="str">
        <f>IFERROR(__xludf.DUMMYFUNCTION("""COMPUTED_VALUE"""),"FIBR NETFLIX PLAN 1599")</f>
        <v>FIBR NETFLIX PLAN 1599</v>
      </c>
      <c r="U695" s="1" t="str">
        <f>IFERROR(__xludf.DUMMYFUNCTION("""COMPUTED_VALUE"""),"APPROVED")</f>
        <v>APPROVED</v>
      </c>
      <c r="V695" s="1"/>
      <c r="W695" s="1"/>
    </row>
    <row r="696" customHeight="1" spans="1:23">
      <c r="A696" s="3">
        <f>IFERROR(__xludf.DUMMYFUNCTION("""COMPUTED_VALUE"""),46087)</f>
        <v>46087</v>
      </c>
      <c r="B696" s="1" t="str">
        <f>IFERROR(__xludf.DUMMYFUNCTION("""COMPUTED_VALUE"""),"MAGDARAOG, KENNETH")</f>
        <v>MAGDARAOG, KENNETH</v>
      </c>
      <c r="C696" s="1" t="str">
        <f>IFERROR(__xludf.DUMMYFUNCTION("""COMPUTED_VALUE"""),"ORGANIC")</f>
        <v>ORGANIC</v>
      </c>
      <c r="D696" s="1" t="str">
        <f>IFERROR(__xludf.DUMMYFUNCTION("""COMPUTED_VALUE"""),"ALINGARO, CINDY")</f>
        <v>ALINGARO, CINDY</v>
      </c>
      <c r="E696" s="1" t="str">
        <f>IFERROR(__xludf.DUMMYFUNCTION("""COMPUTED_VALUE"""),"PLDT")</f>
        <v>PLDT</v>
      </c>
      <c r="F696" s="1">
        <f>IFERROR(__xludf.DUMMYFUNCTION("""COMPUTED_VALUE"""),2307502834)</f>
        <v>2307502834</v>
      </c>
      <c r="G696" s="1"/>
      <c r="H696" s="1" t="str">
        <f>IFERROR(__xludf.DUMMYFUNCTION("""COMPUTED_VALUE"""),"CHERY ANN GATPANDAN MOJICA")</f>
        <v>CHERY ANN GATPANDAN MOJICA</v>
      </c>
      <c r="I696" s="1">
        <f>IFERROR(__xludf.DUMMYFUNCTION("""COMPUTED_VALUE"""),9054281583)</f>
        <v>9054281583</v>
      </c>
      <c r="J696" s="1"/>
      <c r="K696" s="1" t="str">
        <f>IFERROR(__xludf.DUMMYFUNCTION("""COMPUTED_VALUE"""),"CHERYANNMOJICA@GMAIL.COM")</f>
        <v>CHERYANNMOJICA@GMAIL.COM</v>
      </c>
      <c r="L696" s="1" t="str">
        <f>IFERROR(__xludf.DUMMYFUNCTION("""COMPUTED_VALUE"""),"74B")</f>
        <v>74B</v>
      </c>
      <c r="M696" s="1" t="str">
        <f>IFERROR(__xludf.DUMMYFUNCTION("""COMPUTED_VALUE"""),"GATPANDAN ")</f>
        <v>GATPANDAN </v>
      </c>
      <c r="N696" s="1"/>
      <c r="O696" s="1"/>
      <c r="P696" s="1"/>
      <c r="Q696" s="1" t="str">
        <f>IFERROR(__xludf.DUMMYFUNCTION("""COMPUTED_VALUE"""),"ANULING CERCA II")</f>
        <v>ANULING CERCA II</v>
      </c>
      <c r="R696" s="1" t="str">
        <f>IFERROR(__xludf.DUMMYFUNCTION("""COMPUTED_VALUE"""),"MENDEZ")</f>
        <v>MENDEZ</v>
      </c>
      <c r="S696" s="1" t="str">
        <f>IFERROR(__xludf.DUMMYFUNCTION("""COMPUTED_VALUE"""),"CAVITE")</f>
        <v>CAVITE</v>
      </c>
      <c r="T696" s="1" t="str">
        <f>IFERROR(__xludf.DUMMYFUNCTION("""COMPUTED_VALUE"""),"FIBR UNLI ALL PLAN 1399")</f>
        <v>FIBR UNLI ALL PLAN 1399</v>
      </c>
      <c r="U696" s="1" t="str">
        <f>IFERROR(__xludf.DUMMYFUNCTION("""COMPUTED_VALUE"""),"APPROVED")</f>
        <v>APPROVED</v>
      </c>
      <c r="V696" s="1"/>
      <c r="W696" s="1"/>
    </row>
    <row r="697" customHeight="1" spans="1:23">
      <c r="A697" s="3">
        <f>IFERROR(__xludf.DUMMYFUNCTION("""COMPUTED_VALUE"""),46087)</f>
        <v>46087</v>
      </c>
      <c r="B697" s="1" t="str">
        <f>IFERROR(__xludf.DUMMYFUNCTION("""COMPUTED_VALUE"""),"DELA ROSA, JENNELYN")</f>
        <v>DELA ROSA, JENNELYN</v>
      </c>
      <c r="C697" s="1" t="str">
        <f>IFERROR(__xludf.DUMMYFUNCTION("""COMPUTED_VALUE"""),"ORGANIC")</f>
        <v>ORGANIC</v>
      </c>
      <c r="D697" s="1" t="str">
        <f>IFERROR(__xludf.DUMMYFUNCTION("""COMPUTED_VALUE"""),"ALOS, CHARLS")</f>
        <v>ALOS, CHARLS</v>
      </c>
      <c r="E697" s="1" t="str">
        <f>IFERROR(__xludf.DUMMYFUNCTION("""COMPUTED_VALUE"""),"PLDT")</f>
        <v>PLDT</v>
      </c>
      <c r="F697" s="1">
        <f>IFERROR(__xludf.DUMMYFUNCTION("""COMPUTED_VALUE"""),2307498704)</f>
        <v>2307498704</v>
      </c>
      <c r="G697" s="1"/>
      <c r="H697" s="1" t="str">
        <f>IFERROR(__xludf.DUMMYFUNCTION("""COMPUTED_VALUE"""),"RODEL SABANGAN AQUINO")</f>
        <v>RODEL SABANGAN AQUINO</v>
      </c>
      <c r="I697" s="1">
        <f>IFERROR(__xludf.DUMMYFUNCTION("""COMPUTED_VALUE"""),9100593712)</f>
        <v>9100593712</v>
      </c>
      <c r="J697" s="1">
        <f>IFERROR(__xludf.DUMMYFUNCTION("""COMPUTED_VALUE"""),92759318239)</f>
        <v>92759318239</v>
      </c>
      <c r="K697" s="1" t="str">
        <f>IFERROR(__xludf.DUMMYFUNCTION("""COMPUTED_VALUE"""),"MAGDASALGLADYS18@GMAIL.COM")</f>
        <v>MAGDASALGLADYS18@GMAIL.COM</v>
      </c>
      <c r="L697" s="1" t="str">
        <f>IFERROR(__xludf.DUMMYFUNCTION("""COMPUTED_VALUE"""),"902")</f>
        <v>902</v>
      </c>
      <c r="M697" s="1" t="str">
        <f>IFERROR(__xludf.DUMMYFUNCTION("""COMPUTED_VALUE"""),"LLAMADO")</f>
        <v>LLAMADO</v>
      </c>
      <c r="N697" s="1"/>
      <c r="O697" s="1"/>
      <c r="P697" s="1"/>
      <c r="Q697" s="1" t="str">
        <f>IFERROR(__xludf.DUMMYFUNCTION("""COMPUTED_VALUE"""),"ASIS III")</f>
        <v>ASIS III</v>
      </c>
      <c r="R697" s="1" t="str">
        <f>IFERROR(__xludf.DUMMYFUNCTION("""COMPUTED_VALUE"""),"MENDEZ")</f>
        <v>MENDEZ</v>
      </c>
      <c r="S697" s="1" t="str">
        <f>IFERROR(__xludf.DUMMYFUNCTION("""COMPUTED_VALUE"""),"CAVITE")</f>
        <v>CAVITE</v>
      </c>
      <c r="T697" s="1" t="str">
        <f>IFERROR(__xludf.DUMMYFUNCTION("""COMPUTED_VALUE"""),"PREPAID FIBER UNLI")</f>
        <v>PREPAID FIBER UNLI</v>
      </c>
      <c r="U697" s="1" t="str">
        <f>IFERROR(__xludf.DUMMYFUNCTION("""COMPUTED_VALUE"""),"APPROVED")</f>
        <v>APPROVED</v>
      </c>
      <c r="V697" s="1"/>
      <c r="W697" s="1"/>
    </row>
    <row r="698" customHeight="1" spans="1:23">
      <c r="A698" s="3">
        <f>IFERROR(__xludf.DUMMYFUNCTION("""COMPUTED_VALUE"""),46087)</f>
        <v>46087</v>
      </c>
      <c r="B698" s="1" t="str">
        <f>IFERROR(__xludf.DUMMYFUNCTION("""COMPUTED_VALUE"""),"MALIWAT MARK ELVIN")</f>
        <v>MALIWAT MARK ELVIN</v>
      </c>
      <c r="C698" s="1" t="str">
        <f>IFERROR(__xludf.DUMMYFUNCTION("""COMPUTED_VALUE"""),"FLA")</f>
        <v>FLA</v>
      </c>
      <c r="D698" s="1" t="str">
        <f>IFERROR(__xludf.DUMMYFUNCTION("""COMPUTED_VALUE"""),"JERIC NAVARRO")</f>
        <v>JERIC NAVARRO</v>
      </c>
      <c r="E698" s="1" t="str">
        <f>IFERROR(__xludf.DUMMYFUNCTION("""COMPUTED_VALUE"""),"PLDT")</f>
        <v>PLDT</v>
      </c>
      <c r="F698" s="1">
        <f>IFERROR(__xludf.DUMMYFUNCTION("""COMPUTED_VALUE"""),2307498619)</f>
        <v>2307498619</v>
      </c>
      <c r="G698" s="1"/>
      <c r="H698" s="1" t="str">
        <f>IFERROR(__xludf.DUMMYFUNCTION("""COMPUTED_VALUE"""),"JENNIFER MESINA SAMBAS")</f>
        <v>JENNIFER MESINA SAMBAS</v>
      </c>
      <c r="I698" s="1">
        <f>IFERROR(__xludf.DUMMYFUNCTION("""COMPUTED_VALUE"""),9948448984)</f>
        <v>9948448984</v>
      </c>
      <c r="J698" s="1">
        <f>IFERROR(__xludf.DUMMYFUNCTION("""COMPUTED_VALUE"""),9945227687)</f>
        <v>9945227687</v>
      </c>
      <c r="K698" s="1" t="str">
        <f>IFERROR(__xludf.DUMMYFUNCTION("""COMPUTED_VALUE"""),"SAMBASENNIFER@GMAIL.COM")</f>
        <v>SAMBASENNIFER@GMAIL.COM</v>
      </c>
      <c r="L698" s="1" t="str">
        <f>IFERROR(__xludf.DUMMYFUNCTION("""COMPUTED_VALUE"""),"30")</f>
        <v>30</v>
      </c>
      <c r="M698" s="1" t="str">
        <f>IFERROR(__xludf.DUMMYFUNCTION("""COMPUTED_VALUE"""),"ACACIA")</f>
        <v>ACACIA</v>
      </c>
      <c r="N698" s="1"/>
      <c r="O698" s="1"/>
      <c r="P698" s="1"/>
      <c r="Q698" s="1" t="str">
        <f>IFERROR(__xludf.DUMMYFUNCTION("""COMPUTED_VALUE"""),"BANAYAD")</f>
        <v>BANAYAD</v>
      </c>
      <c r="R698" s="1" t="str">
        <f>IFERROR(__xludf.DUMMYFUNCTION("""COMPUTED_VALUE"""),"MENDEZ")</f>
        <v>MENDEZ</v>
      </c>
      <c r="S698" s="1" t="str">
        <f>IFERROR(__xludf.DUMMYFUNCTION("""COMPUTED_VALUE"""),"CAVITE")</f>
        <v>CAVITE</v>
      </c>
      <c r="T698" s="1" t="str">
        <f>IFERROR(__xludf.DUMMYFUNCTION("""COMPUTED_VALUE"""),"FIBR PLAN 2099")</f>
        <v>FIBR PLAN 2099</v>
      </c>
      <c r="U698" s="1" t="str">
        <f>IFERROR(__xludf.DUMMYFUNCTION("""COMPUTED_VALUE"""),"APPROVED")</f>
        <v>APPROVED</v>
      </c>
      <c r="V698" s="1"/>
      <c r="W698" s="1"/>
    </row>
    <row r="699" customHeight="1" spans="1:23">
      <c r="A699" s="3">
        <f>IFERROR(__xludf.DUMMYFUNCTION("""COMPUTED_VALUE"""),46087)</f>
        <v>46087</v>
      </c>
      <c r="B699" s="1" t="str">
        <f>IFERROR(__xludf.DUMMYFUNCTION("""COMPUTED_VALUE"""),"FERNANDEZ JERIC")</f>
        <v>FERNANDEZ JERIC</v>
      </c>
      <c r="C699" s="1" t="str">
        <f>IFERROR(__xludf.DUMMYFUNCTION("""COMPUTED_VALUE"""),"ORGANIC")</f>
        <v>ORGANIC</v>
      </c>
      <c r="D699" s="1" t="str">
        <f>IFERROR(__xludf.DUMMYFUNCTION("""COMPUTED_VALUE"""),"ALOS, CHARLS")</f>
        <v>ALOS, CHARLS</v>
      </c>
      <c r="E699" s="1" t="str">
        <f>IFERROR(__xludf.DUMMYFUNCTION("""COMPUTED_VALUE"""),"PLDT")</f>
        <v>PLDT</v>
      </c>
      <c r="F699" s="1">
        <f>IFERROR(__xludf.DUMMYFUNCTION("""COMPUTED_VALUE"""),2307497940)</f>
        <v>2307497940</v>
      </c>
      <c r="G699" s="1"/>
      <c r="H699" s="1" t="str">
        <f>IFERROR(__xludf.DUMMYFUNCTION("""COMPUTED_VALUE"""),"ROLANDO JR  HERMINO VELASCO")</f>
        <v>ROLANDO JR  HERMINO VELASCO</v>
      </c>
      <c r="I699" s="1">
        <f>IFERROR(__xludf.DUMMYFUNCTION("""COMPUTED_VALUE"""),9512844844)</f>
        <v>9512844844</v>
      </c>
      <c r="J699" s="1"/>
      <c r="K699" s="1" t="str">
        <f>IFERROR(__xludf.DUMMYFUNCTION("""COMPUTED_VALUE"""),"DELOSSANTOSANTONETTTE23@GMAIL.COM")</f>
        <v>DELOSSANTOSANTONETTTE23@GMAIL.COM</v>
      </c>
      <c r="L699" s="1" t="str">
        <f>IFERROR(__xludf.DUMMYFUNCTION("""COMPUTED_VALUE"""),"1")</f>
        <v>1</v>
      </c>
      <c r="M699" s="1" t="str">
        <f>IFERROR(__xludf.DUMMYFUNCTION("""COMPUTED_VALUE"""),"ANULING RD")</f>
        <v>ANULING RD</v>
      </c>
      <c r="N699" s="1"/>
      <c r="O699" s="1"/>
      <c r="P699" s="1"/>
      <c r="Q699" s="1" t="str">
        <f>IFERROR(__xludf.DUMMYFUNCTION("""COMPUTED_VALUE"""),"ANULING LEJOS II")</f>
        <v>ANULING LEJOS II</v>
      </c>
      <c r="R699" s="1" t="str">
        <f>IFERROR(__xludf.DUMMYFUNCTION("""COMPUTED_VALUE"""),"MENDEZ")</f>
        <v>MENDEZ</v>
      </c>
      <c r="S699" s="1" t="str">
        <f>IFERROR(__xludf.DUMMYFUNCTION("""COMPUTED_VALUE"""),"CAVITE")</f>
        <v>CAVITE</v>
      </c>
      <c r="T699" s="1" t="str">
        <f>IFERROR(__xludf.DUMMYFUNCTION("""COMPUTED_VALUE"""),"FIBR UNLI ALL PLAN 999")</f>
        <v>FIBR UNLI ALL PLAN 999</v>
      </c>
      <c r="U699" s="1" t="str">
        <f>IFERROR(__xludf.DUMMYFUNCTION("""COMPUTED_VALUE"""),"APPROVED")</f>
        <v>APPROVED</v>
      </c>
      <c r="V699" s="1"/>
      <c r="W699" s="1"/>
    </row>
    <row r="700" customHeight="1" spans="1:23">
      <c r="A700" s="3">
        <f>IFERROR(__xludf.DUMMYFUNCTION("""COMPUTED_VALUE"""),46087)</f>
        <v>46087</v>
      </c>
      <c r="B700" s="1" t="str">
        <f>IFERROR(__xludf.DUMMYFUNCTION("""COMPUTED_VALUE"""),"FARO, REFRANTA")</f>
        <v>FARO, REFRANTA</v>
      </c>
      <c r="C700" s="1" t="str">
        <f>IFERROR(__xludf.DUMMYFUNCTION("""COMPUTED_VALUE"""),"ORGANIC")</f>
        <v>ORGANIC</v>
      </c>
      <c r="D700" s="1" t="str">
        <f>IFERROR(__xludf.DUMMYFUNCTION("""COMPUTED_VALUE"""),"ALINGARO, CINDY")</f>
        <v>ALINGARO, CINDY</v>
      </c>
      <c r="E700" s="1" t="str">
        <f>IFERROR(__xludf.DUMMYFUNCTION("""COMPUTED_VALUE"""),"PLDT")</f>
        <v>PLDT</v>
      </c>
      <c r="F700" s="1">
        <f>IFERROR(__xludf.DUMMYFUNCTION("""COMPUTED_VALUE"""),2307497454)</f>
        <v>2307497454</v>
      </c>
      <c r="G700" s="1"/>
      <c r="H700" s="1" t="str">
        <f>IFERROR(__xludf.DUMMYFUNCTION("""COMPUTED_VALUE"""),"JHON MICHAEL GANCIA GADO")</f>
        <v>JHON MICHAEL GANCIA GADO</v>
      </c>
      <c r="I700" s="1">
        <f>IFERROR(__xludf.DUMMYFUNCTION("""COMPUTED_VALUE"""),9524531283)</f>
        <v>9524531283</v>
      </c>
      <c r="J700" s="1"/>
      <c r="K700" s="1" t="str">
        <f>IFERROR(__xludf.DUMMYFUNCTION("""COMPUTED_VALUE"""),"PETER1402.PH@GMAIL.COM")</f>
        <v>PETER1402.PH@GMAIL.COM</v>
      </c>
      <c r="L700" s="1" t="str">
        <f>IFERROR(__xludf.DUMMYFUNCTION("""COMPUTED_VALUE"""),"10")</f>
        <v>10</v>
      </c>
      <c r="M700" s="1" t="str">
        <f>IFERROR(__xludf.DUMMYFUNCTION("""COMPUTED_VALUE"""),"ANULING RD")</f>
        <v>ANULING RD</v>
      </c>
      <c r="N700" s="1"/>
      <c r="O700" s="1"/>
      <c r="P700" s="1"/>
      <c r="Q700" s="1" t="str">
        <f>IFERROR(__xludf.DUMMYFUNCTION("""COMPUTED_VALUE"""),"ANULING CERCA I")</f>
        <v>ANULING CERCA I</v>
      </c>
      <c r="R700" s="1" t="str">
        <f>IFERROR(__xludf.DUMMYFUNCTION("""COMPUTED_VALUE"""),"MENDEZ")</f>
        <v>MENDEZ</v>
      </c>
      <c r="S700" s="1" t="str">
        <f>IFERROR(__xludf.DUMMYFUNCTION("""COMPUTED_VALUE"""),"CAVITE")</f>
        <v>CAVITE</v>
      </c>
      <c r="T700" s="1" t="str">
        <f>IFERROR(__xludf.DUMMYFUNCTION("""COMPUTED_VALUE"""),"FIBR NETFLIX PLAN 1599")</f>
        <v>FIBR NETFLIX PLAN 1599</v>
      </c>
      <c r="U700" s="1" t="str">
        <f>IFERROR(__xludf.DUMMYFUNCTION("""COMPUTED_VALUE"""),"APPROVED")</f>
        <v>APPROVED</v>
      </c>
      <c r="V700" s="1"/>
      <c r="W700" s="1"/>
    </row>
    <row r="701" customHeight="1" spans="1:23">
      <c r="A701" s="3">
        <f>IFERROR(__xludf.DUMMYFUNCTION("""COMPUTED_VALUE"""),46087)</f>
        <v>46087</v>
      </c>
      <c r="B701" s="1" t="str">
        <f>IFERROR(__xludf.DUMMYFUNCTION("""COMPUTED_VALUE"""),"DE LEON, MERLY")</f>
        <v>DE LEON, MERLY</v>
      </c>
      <c r="C701" s="1" t="str">
        <f>IFERROR(__xludf.DUMMYFUNCTION("""COMPUTED_VALUE"""),"ORGANIC")</f>
        <v>ORGANIC</v>
      </c>
      <c r="D701" s="1" t="str">
        <f>IFERROR(__xludf.DUMMYFUNCTION("""COMPUTED_VALUE"""),"ALINGARO, CINDY")</f>
        <v>ALINGARO, CINDY</v>
      </c>
      <c r="E701" s="1" t="str">
        <f>IFERROR(__xludf.DUMMYFUNCTION("""COMPUTED_VALUE"""),"PLDT")</f>
        <v>PLDT</v>
      </c>
      <c r="F701" s="1">
        <f>IFERROR(__xludf.DUMMYFUNCTION("""COMPUTED_VALUE"""),2307497935)</f>
        <v>2307497935</v>
      </c>
      <c r="G701" s="1"/>
      <c r="H701" s="1" t="str">
        <f>IFERROR(__xludf.DUMMYFUNCTION("""COMPUTED_VALUE"""),"LETECIA SABEJON RAMENTO")</f>
        <v>LETECIA SABEJON RAMENTO</v>
      </c>
      <c r="I701" s="1">
        <f>IFERROR(__xludf.DUMMYFUNCTION("""COMPUTED_VALUE"""),9750674054)</f>
        <v>9750674054</v>
      </c>
      <c r="J701" s="1">
        <f>IFERROR(__xludf.DUMMYFUNCTION("""COMPUTED_VALUE"""),9530310106)</f>
        <v>9530310106</v>
      </c>
      <c r="K701" s="1" t="str">
        <f>IFERROR(__xludf.DUMMYFUNCTION("""COMPUTED_VALUE"""),"OCIDORAMEL06@GMAIL.COM")</f>
        <v>OCIDORAMEL06@GMAIL.COM</v>
      </c>
      <c r="L701" s="1" t="str">
        <f>IFERROR(__xludf.DUMMYFUNCTION("""COMPUTED_VALUE"""),"145")</f>
        <v>145</v>
      </c>
      <c r="M701" s="1" t="str">
        <f>IFERROR(__xludf.DUMMYFUNCTION("""COMPUTED_VALUE"""),"LITABAY FOUNDATION")</f>
        <v>LITABAY FOUNDATION</v>
      </c>
      <c r="N701" s="1"/>
      <c r="O701" s="1"/>
      <c r="P701" s="1"/>
      <c r="Q701" s="1" t="str">
        <f>IFERROR(__xludf.DUMMYFUNCTION("""COMPUTED_VALUE"""),"PANUNGYAN I")</f>
        <v>PANUNGYAN I</v>
      </c>
      <c r="R701" s="1" t="str">
        <f>IFERROR(__xludf.DUMMYFUNCTION("""COMPUTED_VALUE"""),"MENDEZ")</f>
        <v>MENDEZ</v>
      </c>
      <c r="S701" s="1" t="str">
        <f>IFERROR(__xludf.DUMMYFUNCTION("""COMPUTED_VALUE"""),"CAVITE")</f>
        <v>CAVITE</v>
      </c>
      <c r="T701" s="1" t="str">
        <f>IFERROR(__xludf.DUMMYFUNCTION("""COMPUTED_VALUE"""),"FIBR PLAN 1299")</f>
        <v>FIBR PLAN 1299</v>
      </c>
      <c r="U701" s="1" t="str">
        <f>IFERROR(__xludf.DUMMYFUNCTION("""COMPUTED_VALUE"""),"APPROVED")</f>
        <v>APPROVED</v>
      </c>
      <c r="V701" s="1"/>
      <c r="W701" s="1"/>
    </row>
    <row r="702" customHeight="1" spans="1:23">
      <c r="A702" s="3">
        <f>IFERROR(__xludf.DUMMYFUNCTION("""COMPUTED_VALUE"""),46087)</f>
        <v>46087</v>
      </c>
      <c r="B702" s="1" t="str">
        <f>IFERROR(__xludf.DUMMYFUNCTION("""COMPUTED_VALUE"""),"ESCARCHA, MA ALMA  ESCOTO")</f>
        <v>ESCARCHA, MA ALMA  ESCOTO</v>
      </c>
      <c r="C702" s="1" t="str">
        <f>IFERROR(__xludf.DUMMYFUNCTION("""COMPUTED_VALUE"""),"ORGANIC")</f>
        <v>ORGANIC</v>
      </c>
      <c r="D702" s="1" t="str">
        <f>IFERROR(__xludf.DUMMYFUNCTION("""COMPUTED_VALUE"""),"ALINGARO, CINDY")</f>
        <v>ALINGARO, CINDY</v>
      </c>
      <c r="E702" s="1" t="str">
        <f>IFERROR(__xludf.DUMMYFUNCTION("""COMPUTED_VALUE"""),"PLDT")</f>
        <v>PLDT</v>
      </c>
      <c r="F702" s="1">
        <f>IFERROR(__xludf.DUMMYFUNCTION("""COMPUTED_VALUE"""),2307495991)</f>
        <v>2307495991</v>
      </c>
      <c r="G702" s="1"/>
      <c r="H702" s="1" t="str">
        <f>IFERROR(__xludf.DUMMYFUNCTION("""COMPUTED_VALUE"""),"ROSALYN DELGADO PANTOSA")</f>
        <v>ROSALYN DELGADO PANTOSA</v>
      </c>
      <c r="I702" s="1">
        <f>IFERROR(__xludf.DUMMYFUNCTION("""COMPUTED_VALUE"""),9564154117)</f>
        <v>9564154117</v>
      </c>
      <c r="J702" s="1"/>
      <c r="K702" s="4" t="str">
        <f>IFERROR(__xludf.DUMMYFUNCTION("""COMPUTED_VALUE"""),"JUNAZANZA2GMAIL.COM")</f>
        <v>JUNAZANZA2GMAIL.COM</v>
      </c>
      <c r="L702" s="1" t="str">
        <f>IFERROR(__xludf.DUMMYFUNCTION("""COMPUTED_VALUE"""),"9060")</f>
        <v>9060</v>
      </c>
      <c r="M702" s="1" t="str">
        <f>IFERROR(__xludf.DUMMYFUNCTION("""COMPUTED_VALUE"""),"GATPANDAN ")</f>
        <v>GATPANDAN </v>
      </c>
      <c r="N702" s="1"/>
      <c r="O702" s="1"/>
      <c r="P702" s="1"/>
      <c r="Q702" s="1" t="str">
        <f>IFERROR(__xludf.DUMMYFUNCTION("""COMPUTED_VALUE"""),"ANULING CERCA II")</f>
        <v>ANULING CERCA II</v>
      </c>
      <c r="R702" s="1" t="str">
        <f>IFERROR(__xludf.DUMMYFUNCTION("""COMPUTED_VALUE"""),"MENDEZ")</f>
        <v>MENDEZ</v>
      </c>
      <c r="S702" s="1" t="str">
        <f>IFERROR(__xludf.DUMMYFUNCTION("""COMPUTED_VALUE"""),"CAVITE")</f>
        <v>CAVITE</v>
      </c>
      <c r="T702" s="1" t="str">
        <f>IFERROR(__xludf.DUMMYFUNCTION("""COMPUTED_VALUE"""),"PREPAID FIBER UNLI")</f>
        <v>PREPAID FIBER UNLI</v>
      </c>
      <c r="U702" s="1" t="str">
        <f>IFERROR(__xludf.DUMMYFUNCTION("""COMPUTED_VALUE"""),"APPROVED")</f>
        <v>APPROVED</v>
      </c>
      <c r="V702" s="1"/>
      <c r="W702" s="1"/>
    </row>
    <row r="703" customHeight="1" spans="1:23">
      <c r="A703" s="3">
        <f>IFERROR(__xludf.DUMMYFUNCTION("""COMPUTED_VALUE"""),46087)</f>
        <v>46087</v>
      </c>
      <c r="B703" s="1" t="str">
        <f>IFERROR(__xludf.DUMMYFUNCTION("""COMPUTED_VALUE"""),"REMOLLO, LEA")</f>
        <v>REMOLLO, LEA</v>
      </c>
      <c r="C703" s="1" t="str">
        <f>IFERROR(__xludf.DUMMYFUNCTION("""COMPUTED_VALUE"""),"FLA")</f>
        <v>FLA</v>
      </c>
      <c r="D703" s="1" t="str">
        <f>IFERROR(__xludf.DUMMYFUNCTION("""COMPUTED_VALUE"""),"JERIC NAVARRO")</f>
        <v>JERIC NAVARRO</v>
      </c>
      <c r="E703" s="1" t="str">
        <f>IFERROR(__xludf.DUMMYFUNCTION("""COMPUTED_VALUE"""),"PLDT")</f>
        <v>PLDT</v>
      </c>
      <c r="F703" s="1">
        <f>IFERROR(__xludf.DUMMYFUNCTION("""COMPUTED_VALUE"""),2307495748)</f>
        <v>2307495748</v>
      </c>
      <c r="G703" s="1"/>
      <c r="H703" s="1" t="str">
        <f>IFERROR(__xludf.DUMMYFUNCTION("""COMPUTED_VALUE"""),"STEVEN MICO DELOS REYES RAMOS")</f>
        <v>STEVEN MICO DELOS REYES RAMOS</v>
      </c>
      <c r="I703" s="1">
        <f>IFERROR(__xludf.DUMMYFUNCTION("""COMPUTED_VALUE"""),9357763927)</f>
        <v>9357763927</v>
      </c>
      <c r="J703" s="1"/>
      <c r="K703" s="1" t="str">
        <f>IFERROR(__xludf.DUMMYFUNCTION("""COMPUTED_VALUE"""),"RAMOSMIYANAISABELE@GMAIL.COM")</f>
        <v>RAMOSMIYANAISABELE@GMAIL.COM</v>
      </c>
      <c r="L703" s="1" t="str">
        <f>IFERROR(__xludf.DUMMYFUNCTION("""COMPUTED_VALUE"""),"1501")</f>
        <v>1501</v>
      </c>
      <c r="M703" s="1" t="str">
        <f>IFERROR(__xludf.DUMMYFUNCTION("""COMPUTED_VALUE"""),"GATPANDAN ")</f>
        <v>GATPANDAN </v>
      </c>
      <c r="N703" s="1"/>
      <c r="O703" s="1"/>
      <c r="P703" s="1"/>
      <c r="Q703" s="1" t="str">
        <f>IFERROR(__xludf.DUMMYFUNCTION("""COMPUTED_VALUE"""),"ANULING LEJOS I (ANULING)")</f>
        <v>ANULING LEJOS I (ANULING)</v>
      </c>
      <c r="R703" s="1" t="str">
        <f>IFERROR(__xludf.DUMMYFUNCTION("""COMPUTED_VALUE"""),"MENDEZ")</f>
        <v>MENDEZ</v>
      </c>
      <c r="S703" s="1" t="str">
        <f>IFERROR(__xludf.DUMMYFUNCTION("""COMPUTED_VALUE"""),"CAVITE")</f>
        <v>CAVITE</v>
      </c>
      <c r="T703" s="1" t="str">
        <f>IFERROR(__xludf.DUMMYFUNCTION("""COMPUTED_VALUE"""),"FIBR UNLI ALL PLAN 1399")</f>
        <v>FIBR UNLI ALL PLAN 1399</v>
      </c>
      <c r="U703" s="1" t="str">
        <f>IFERROR(__xludf.DUMMYFUNCTION("""COMPUTED_VALUE"""),"APPROVED")</f>
        <v>APPROVED</v>
      </c>
      <c r="V703" s="1"/>
      <c r="W703" s="1"/>
    </row>
    <row r="704" customHeight="1" spans="1:23">
      <c r="A704" s="3">
        <f>IFERROR(__xludf.DUMMYFUNCTION("""COMPUTED_VALUE"""),46087)</f>
        <v>46087</v>
      </c>
      <c r="B704" s="1" t="str">
        <f>IFERROR(__xludf.DUMMYFUNCTION("""COMPUTED_VALUE"""),"VILLANAS , EVANGELINE")</f>
        <v>VILLANAS , EVANGELINE</v>
      </c>
      <c r="C704" s="1" t="str">
        <f>IFERROR(__xludf.DUMMYFUNCTION("""COMPUTED_VALUE"""),"ORGANIC")</f>
        <v>ORGANIC</v>
      </c>
      <c r="D704" s="1" t="str">
        <f>IFERROR(__xludf.DUMMYFUNCTION("""COMPUTED_VALUE"""),"ALINGARO, CINDY")</f>
        <v>ALINGARO, CINDY</v>
      </c>
      <c r="E704" s="1" t="str">
        <f>IFERROR(__xludf.DUMMYFUNCTION("""COMPUTED_VALUE"""),"PLDT")</f>
        <v>PLDT</v>
      </c>
      <c r="F704" s="1">
        <f>IFERROR(__xludf.DUMMYFUNCTION("""COMPUTED_VALUE"""),2307495733)</f>
        <v>2307495733</v>
      </c>
      <c r="G704" s="1"/>
      <c r="H704" s="1" t="str">
        <f>IFERROR(__xludf.DUMMYFUNCTION("""COMPUTED_VALUE"""),"JAMES BERNARD OMIPON PERANA")</f>
        <v>JAMES BERNARD OMIPON PERANA</v>
      </c>
      <c r="I704" s="1">
        <f>IFERROR(__xludf.DUMMYFUNCTION("""COMPUTED_VALUE"""),9518722919)</f>
        <v>9518722919</v>
      </c>
      <c r="J704" s="1"/>
      <c r="K704" s="1" t="str">
        <f>IFERROR(__xludf.DUMMYFUNCTION("""COMPUTED_VALUE"""),"MAGSQOH07@GMAIL.COM")</f>
        <v>MAGSQOH07@GMAIL.COM</v>
      </c>
      <c r="L704" s="1" t="str">
        <f>IFERROR(__xludf.DUMMYFUNCTION("""COMPUTED_VALUE"""),"22")</f>
        <v>22</v>
      </c>
      <c r="M704" s="1" t="str">
        <f>IFERROR(__xludf.DUMMYFUNCTION("""COMPUTED_VALUE"""),"NARRA")</f>
        <v>NARRA</v>
      </c>
      <c r="N704" s="1"/>
      <c r="O704" s="1"/>
      <c r="P704" s="1"/>
      <c r="Q704" s="1" t="str">
        <f>IFERROR(__xludf.DUMMYFUNCTION("""COMPUTED_VALUE"""),"BANAYAD")</f>
        <v>BANAYAD</v>
      </c>
      <c r="R704" s="1" t="str">
        <f>IFERROR(__xludf.DUMMYFUNCTION("""COMPUTED_VALUE"""),"MENDEZ")</f>
        <v>MENDEZ</v>
      </c>
      <c r="S704" s="1" t="str">
        <f>IFERROR(__xludf.DUMMYFUNCTION("""COMPUTED_VALUE"""),"CAVITE")</f>
        <v>CAVITE</v>
      </c>
      <c r="T704" s="1" t="str">
        <f>IFERROR(__xludf.DUMMYFUNCTION("""COMPUTED_VALUE"""),"FIBR NETFLIX PLAN 1599")</f>
        <v>FIBR NETFLIX PLAN 1599</v>
      </c>
      <c r="U704" s="1" t="str">
        <f>IFERROR(__xludf.DUMMYFUNCTION("""COMPUTED_VALUE"""),"APPROVED")</f>
        <v>APPROVED</v>
      </c>
      <c r="V704" s="1"/>
      <c r="W704" s="1"/>
    </row>
    <row r="705" customHeight="1" spans="1:23">
      <c r="A705" s="3">
        <f>IFERROR(__xludf.DUMMYFUNCTION("""COMPUTED_VALUE"""),46087)</f>
        <v>46087</v>
      </c>
      <c r="B705" s="1" t="str">
        <f>IFERROR(__xludf.DUMMYFUNCTION("""COMPUTED_VALUE"""),"MAGDARAOG, KENNETH")</f>
        <v>MAGDARAOG, KENNETH</v>
      </c>
      <c r="C705" s="1" t="str">
        <f>IFERROR(__xludf.DUMMYFUNCTION("""COMPUTED_VALUE"""),"ORGANIC")</f>
        <v>ORGANIC</v>
      </c>
      <c r="D705" s="1" t="str">
        <f>IFERROR(__xludf.DUMMYFUNCTION("""COMPUTED_VALUE"""),"ALINGARO, CINDY")</f>
        <v>ALINGARO, CINDY</v>
      </c>
      <c r="E705" s="1" t="str">
        <f>IFERROR(__xludf.DUMMYFUNCTION("""COMPUTED_VALUE"""),"PLDT")</f>
        <v>PLDT</v>
      </c>
      <c r="F705" s="1">
        <f>IFERROR(__xludf.DUMMYFUNCTION("""COMPUTED_VALUE"""),2307495232)</f>
        <v>2307495232</v>
      </c>
      <c r="G705" s="1"/>
      <c r="H705" s="1" t="str">
        <f>IFERROR(__xludf.DUMMYFUNCTION("""COMPUTED_VALUE"""),"JESSIE TAGADAN SABANAO")</f>
        <v>JESSIE TAGADAN SABANAO</v>
      </c>
      <c r="I705" s="1">
        <f>IFERROR(__xludf.DUMMYFUNCTION("""COMPUTED_VALUE"""),9706959868)</f>
        <v>9706959868</v>
      </c>
      <c r="J705" s="1">
        <f>IFERROR(__xludf.DUMMYFUNCTION("""COMPUTED_VALUE"""),9913280418)</f>
        <v>9913280418</v>
      </c>
      <c r="K705" s="1" t="str">
        <f>IFERROR(__xludf.DUMMYFUNCTION("""COMPUTED_VALUE"""),"SABANAOJESSIE320@GMAIL.COM")</f>
        <v>SABANAOJESSIE320@GMAIL.COM</v>
      </c>
      <c r="L705" s="1" t="str">
        <f>IFERROR(__xludf.DUMMYFUNCTION("""COMPUTED_VALUE"""),"1418")</f>
        <v>1418</v>
      </c>
      <c r="M705" s="1" t="str">
        <f>IFERROR(__xludf.DUMMYFUNCTION("""COMPUTED_VALUE"""),"LITABAY")</f>
        <v>LITABAY</v>
      </c>
      <c r="N705" s="1"/>
      <c r="O705" s="1"/>
      <c r="P705" s="1"/>
      <c r="Q705" s="1" t="str">
        <f>IFERROR(__xludf.DUMMYFUNCTION("""COMPUTED_VALUE"""),"PANUNGYAN I")</f>
        <v>PANUNGYAN I</v>
      </c>
      <c r="R705" s="1" t="str">
        <f>IFERROR(__xludf.DUMMYFUNCTION("""COMPUTED_VALUE"""),"MENDEZ")</f>
        <v>MENDEZ</v>
      </c>
      <c r="S705" s="1" t="str">
        <f>IFERROR(__xludf.DUMMYFUNCTION("""COMPUTED_VALUE"""),"CAVITE")</f>
        <v>CAVITE</v>
      </c>
      <c r="T705" s="1" t="str">
        <f>IFERROR(__xludf.DUMMYFUNCTION("""COMPUTED_VALUE"""),"FIBR UNLI ALL PLAN 1399")</f>
        <v>FIBR UNLI ALL PLAN 1399</v>
      </c>
      <c r="U705" s="1" t="str">
        <f>IFERROR(__xludf.DUMMYFUNCTION("""COMPUTED_VALUE"""),"APPROVED")</f>
        <v>APPROVED</v>
      </c>
      <c r="V705" s="1"/>
      <c r="W705" s="1"/>
    </row>
    <row r="706" customHeight="1" spans="1:23">
      <c r="A706" s="3">
        <f>IFERROR(__xludf.DUMMYFUNCTION("""COMPUTED_VALUE"""),46087)</f>
        <v>46087</v>
      </c>
      <c r="B706" s="1" t="str">
        <f>IFERROR(__xludf.DUMMYFUNCTION("""COMPUTED_VALUE"""),"MAGDARAOG, KENNETH")</f>
        <v>MAGDARAOG, KENNETH</v>
      </c>
      <c r="C706" s="1" t="str">
        <f>IFERROR(__xludf.DUMMYFUNCTION("""COMPUTED_VALUE"""),"ORGANIC")</f>
        <v>ORGANIC</v>
      </c>
      <c r="D706" s="1" t="str">
        <f>IFERROR(__xludf.DUMMYFUNCTION("""COMPUTED_VALUE"""),"ALINGARO, CINDY")</f>
        <v>ALINGARO, CINDY</v>
      </c>
      <c r="E706" s="1" t="str">
        <f>IFERROR(__xludf.DUMMYFUNCTION("""COMPUTED_VALUE"""),"PLDT")</f>
        <v>PLDT</v>
      </c>
      <c r="F706" s="1">
        <f>IFERROR(__xludf.DUMMYFUNCTION("""COMPUTED_VALUE"""),2307494076)</f>
        <v>2307494076</v>
      </c>
      <c r="G706" s="1"/>
      <c r="H706" s="1" t="str">
        <f>IFERROR(__xludf.DUMMYFUNCTION("""COMPUTED_VALUE"""),"ANGELINA DOMINGO ALEGRE")</f>
        <v>ANGELINA DOMINGO ALEGRE</v>
      </c>
      <c r="I706" s="1">
        <f>IFERROR(__xludf.DUMMYFUNCTION("""COMPUTED_VALUE"""),9068057995)</f>
        <v>9068057995</v>
      </c>
      <c r="J706" s="1">
        <f>IFERROR(__xludf.DUMMYFUNCTION("""COMPUTED_VALUE"""),9944686481)</f>
        <v>9944686481</v>
      </c>
      <c r="K706" s="1" t="str">
        <f>IFERROR(__xludf.DUMMYFUNCTION("""COMPUTED_VALUE"""),"ANGELINAALEGRE@GMAIL.COM")</f>
        <v>ANGELINAALEGRE@GMAIL.COM</v>
      </c>
      <c r="L706" s="1" t="str">
        <f>IFERROR(__xludf.DUMMYFUNCTION("""COMPUTED_VALUE"""),"130")</f>
        <v>130</v>
      </c>
      <c r="M706" s="1" t="str">
        <f>IFERROR(__xludf.DUMMYFUNCTION("""COMPUTED_VALUE"""),"PULONG PANDAY")</f>
        <v>PULONG PANDAY</v>
      </c>
      <c r="N706" s="1"/>
      <c r="O706" s="1"/>
      <c r="P706" s="1"/>
      <c r="Q706" s="1" t="str">
        <f>IFERROR(__xludf.DUMMYFUNCTION("""COMPUTED_VALUE"""),"PANUNGYAN I")</f>
        <v>PANUNGYAN I</v>
      </c>
      <c r="R706" s="1" t="str">
        <f>IFERROR(__xludf.DUMMYFUNCTION("""COMPUTED_VALUE"""),"MENDEZ")</f>
        <v>MENDEZ</v>
      </c>
      <c r="S706" s="1" t="str">
        <f>IFERROR(__xludf.DUMMYFUNCTION("""COMPUTED_VALUE"""),"CAVITE")</f>
        <v>CAVITE</v>
      </c>
      <c r="T706" s="1" t="str">
        <f>IFERROR(__xludf.DUMMYFUNCTION("""COMPUTED_VALUE"""),"FIBR PLAN 1299")</f>
        <v>FIBR PLAN 1299</v>
      </c>
      <c r="U706" s="1" t="str">
        <f>IFERROR(__xludf.DUMMYFUNCTION("""COMPUTED_VALUE"""),"APPROVED")</f>
        <v>APPROVED</v>
      </c>
      <c r="V706" s="1"/>
      <c r="W706" s="1"/>
    </row>
    <row r="707" customHeight="1" spans="1:23">
      <c r="A707" s="3">
        <f>IFERROR(__xludf.DUMMYFUNCTION("""COMPUTED_VALUE"""),46087)</f>
        <v>46087</v>
      </c>
      <c r="B707" s="1" t="str">
        <f>IFERROR(__xludf.DUMMYFUNCTION("""COMPUTED_VALUE"""),"JONEL PILANTANGAN")</f>
        <v>JONEL PILANTANGAN</v>
      </c>
      <c r="C707" s="1" t="str">
        <f>IFERROR(__xludf.DUMMYFUNCTION("""COMPUTED_VALUE"""),"ORGANIC")</f>
        <v>ORGANIC</v>
      </c>
      <c r="D707" s="1" t="str">
        <f>IFERROR(__xludf.DUMMYFUNCTION("""COMPUTED_VALUE"""),"ALOS, CHARLS")</f>
        <v>ALOS, CHARLS</v>
      </c>
      <c r="E707" s="1" t="str">
        <f>IFERROR(__xludf.DUMMYFUNCTION("""COMPUTED_VALUE"""),"PLDT")</f>
        <v>PLDT</v>
      </c>
      <c r="F707" s="1">
        <f>IFERROR(__xludf.DUMMYFUNCTION("""COMPUTED_VALUE"""),2307493334)</f>
        <v>2307493334</v>
      </c>
      <c r="G707" s="1"/>
      <c r="H707" s="1" t="str">
        <f>IFERROR(__xludf.DUMMYFUNCTION("""COMPUTED_VALUE"""),"MARJORIE REZARI SANO")</f>
        <v>MARJORIE REZARI SANO</v>
      </c>
      <c r="I707" s="1">
        <f>IFERROR(__xludf.DUMMYFUNCTION("""COMPUTED_VALUE"""),9198168881)</f>
        <v>9198168881</v>
      </c>
      <c r="J707" s="1">
        <f>IFERROR(__xludf.DUMMYFUNCTION("""COMPUTED_VALUE"""),9173014997)</f>
        <v>9173014997</v>
      </c>
      <c r="K707" s="1" t="str">
        <f>IFERROR(__xludf.DUMMYFUNCTION("""COMPUTED_VALUE"""),"MARJORIESANO10100@GMAIL.COM")</f>
        <v>MARJORIESANO10100@GMAIL.COM</v>
      </c>
      <c r="L707" s="1" t="str">
        <f>IFERROR(__xludf.DUMMYFUNCTION("""COMPUTED_VALUE"""),"112")</f>
        <v>112</v>
      </c>
      <c r="M707" s="1" t="str">
        <f>IFERROR(__xludf.DUMMYFUNCTION("""COMPUTED_VALUE"""),"PHASE 1")</f>
        <v>PHASE 1</v>
      </c>
      <c r="N707" s="1"/>
      <c r="O707" s="1"/>
      <c r="P707" s="1"/>
      <c r="Q707" s="1" t="str">
        <f>IFERROR(__xludf.DUMMYFUNCTION("""COMPUTED_VALUE"""),"PANUNGYAN I")</f>
        <v>PANUNGYAN I</v>
      </c>
      <c r="R707" s="1" t="str">
        <f>IFERROR(__xludf.DUMMYFUNCTION("""COMPUTED_VALUE"""),"MENDEZ")</f>
        <v>MENDEZ</v>
      </c>
      <c r="S707" s="1" t="str">
        <f>IFERROR(__xludf.DUMMYFUNCTION("""COMPUTED_VALUE"""),"CAVITE")</f>
        <v>CAVITE</v>
      </c>
      <c r="T707" s="1" t="str">
        <f>IFERROR(__xludf.DUMMYFUNCTION("""COMPUTED_VALUE"""),"FIBR NETFLIX PLAN 1599")</f>
        <v>FIBR NETFLIX PLAN 1599</v>
      </c>
      <c r="U707" s="1" t="str">
        <f>IFERROR(__xludf.DUMMYFUNCTION("""COMPUTED_VALUE"""),"APPROVED")</f>
        <v>APPROVED</v>
      </c>
      <c r="V707" s="1"/>
      <c r="W707" s="1"/>
    </row>
    <row r="708" customHeight="1" spans="1:23">
      <c r="A708" s="3">
        <f>IFERROR(__xludf.DUMMYFUNCTION("""COMPUTED_VALUE"""),46087)</f>
        <v>46087</v>
      </c>
      <c r="B708" s="1" t="str">
        <f>IFERROR(__xludf.DUMMYFUNCTION("""COMPUTED_VALUE"""),"CONCEPCION, ALJAY")</f>
        <v>CONCEPCION, ALJAY</v>
      </c>
      <c r="C708" s="1" t="str">
        <f>IFERROR(__xludf.DUMMYFUNCTION("""COMPUTED_VALUE"""),"ORGANIC")</f>
        <v>ORGANIC</v>
      </c>
      <c r="D708" s="1" t="str">
        <f>IFERROR(__xludf.DUMMYFUNCTION("""COMPUTED_VALUE"""),"ALINGARO, CINDY")</f>
        <v>ALINGARO, CINDY</v>
      </c>
      <c r="E708" s="1" t="str">
        <f>IFERROR(__xludf.DUMMYFUNCTION("""COMPUTED_VALUE"""),"PLDT")</f>
        <v>PLDT</v>
      </c>
      <c r="F708" s="1">
        <f>IFERROR(__xludf.DUMMYFUNCTION("""COMPUTED_VALUE"""),2307492492)</f>
        <v>2307492492</v>
      </c>
      <c r="G708" s="1"/>
      <c r="H708" s="1" t="str">
        <f>IFERROR(__xludf.DUMMYFUNCTION("""COMPUTED_VALUE"""),"EDWIN JR OLIVAN ADRIANO")</f>
        <v>EDWIN JR OLIVAN ADRIANO</v>
      </c>
      <c r="I708" s="1">
        <f>IFERROR(__xludf.DUMMYFUNCTION("""COMPUTED_VALUE"""),9664061060)</f>
        <v>9664061060</v>
      </c>
      <c r="J708" s="1"/>
      <c r="K708" s="1" t="str">
        <f>IFERROR(__xludf.DUMMYFUNCTION("""COMPUTED_VALUE"""),"EDWINGONGCHAER@GMAIL.COM")</f>
        <v>EDWINGONGCHAER@GMAIL.COM</v>
      </c>
      <c r="L708" s="1" t="str">
        <f>IFERROR(__xludf.DUMMYFUNCTION("""COMPUTED_VALUE"""),"9147")</f>
        <v>9147</v>
      </c>
      <c r="M708" s="1" t="str">
        <f>IFERROR(__xludf.DUMMYFUNCTION("""COMPUTED_VALUE"""),"COFFEE COUNTRY")</f>
        <v>COFFEE COUNTRY</v>
      </c>
      <c r="N708" s="1"/>
      <c r="O708" s="1"/>
      <c r="P708" s="1"/>
      <c r="Q708" s="1" t="str">
        <f>IFERROR(__xludf.DUMMYFUNCTION("""COMPUTED_VALUE"""),"PANUNGYAN I")</f>
        <v>PANUNGYAN I</v>
      </c>
      <c r="R708" s="1" t="str">
        <f>IFERROR(__xludf.DUMMYFUNCTION("""COMPUTED_VALUE"""),"MENDEZ")</f>
        <v>MENDEZ</v>
      </c>
      <c r="S708" s="1" t="str">
        <f>IFERROR(__xludf.DUMMYFUNCTION("""COMPUTED_VALUE"""),"CAVITE")</f>
        <v>CAVITE</v>
      </c>
      <c r="T708" s="1" t="str">
        <f>IFERROR(__xludf.DUMMYFUNCTION("""COMPUTED_VALUE"""),"FIBR UNLI ALL PLAN 1399")</f>
        <v>FIBR UNLI ALL PLAN 1399</v>
      </c>
      <c r="U708" s="1" t="str">
        <f>IFERROR(__xludf.DUMMYFUNCTION("""COMPUTED_VALUE"""),"APPROVED")</f>
        <v>APPROVED</v>
      </c>
      <c r="V708" s="1"/>
      <c r="W708" s="1"/>
    </row>
    <row r="709" customHeight="1" spans="1:23">
      <c r="A709" s="3">
        <f>IFERROR(__xludf.DUMMYFUNCTION("""COMPUTED_VALUE"""),46087)</f>
        <v>46087</v>
      </c>
      <c r="B709" s="1" t="str">
        <f>IFERROR(__xludf.DUMMYFUNCTION("""COMPUTED_VALUE"""),"ESCARCHA, MA ALMA  ESCOTO")</f>
        <v>ESCARCHA, MA ALMA  ESCOTO</v>
      </c>
      <c r="C709" s="1" t="str">
        <f>IFERROR(__xludf.DUMMYFUNCTION("""COMPUTED_VALUE"""),"ORGANIC")</f>
        <v>ORGANIC</v>
      </c>
      <c r="D709" s="1" t="str">
        <f>IFERROR(__xludf.DUMMYFUNCTION("""COMPUTED_VALUE"""),"ALINGARO, CINDY")</f>
        <v>ALINGARO, CINDY</v>
      </c>
      <c r="E709" s="1" t="str">
        <f>IFERROR(__xludf.DUMMYFUNCTION("""COMPUTED_VALUE"""),"PLDT")</f>
        <v>PLDT</v>
      </c>
      <c r="F709" s="1">
        <f>IFERROR(__xludf.DUMMYFUNCTION("""COMPUTED_VALUE"""),2307491763)</f>
        <v>2307491763</v>
      </c>
      <c r="G709" s="1"/>
      <c r="H709" s="1" t="str">
        <f>IFERROR(__xludf.DUMMYFUNCTION("""COMPUTED_VALUE"""),"SAMMY GARCIA SAPINOSO")</f>
        <v>SAMMY GARCIA SAPINOSO</v>
      </c>
      <c r="I709" s="1">
        <f>IFERROR(__xludf.DUMMYFUNCTION("""COMPUTED_VALUE"""),9561645115)</f>
        <v>9561645115</v>
      </c>
      <c r="J709" s="1">
        <f>IFERROR(__xludf.DUMMYFUNCTION("""COMPUTED_VALUE"""),9164913032)</f>
        <v>9164913032</v>
      </c>
      <c r="K709" s="1" t="str">
        <f>IFERROR(__xludf.DUMMYFUNCTION("""COMPUTED_VALUE"""),"ARNIEDIAZ@GMAIL.COM")</f>
        <v>ARNIEDIAZ@GMAIL.COM</v>
      </c>
      <c r="L709" s="1" t="str">
        <f>IFERROR(__xludf.DUMMYFUNCTION("""COMPUTED_VALUE"""),"383")</f>
        <v>383</v>
      </c>
      <c r="M709" s="1" t="str">
        <f>IFERROR(__xludf.DUMMYFUNCTION("""COMPUTED_VALUE"""),"ALFONSO")</f>
        <v>ALFONSO</v>
      </c>
      <c r="N709" s="1"/>
      <c r="O709" s="1"/>
      <c r="P709" s="1"/>
      <c r="Q709" s="1" t="str">
        <f>IFERROR(__xludf.DUMMYFUNCTION("""COMPUTED_VALUE"""),"PANUNGYAN I")</f>
        <v>PANUNGYAN I</v>
      </c>
      <c r="R709" s="1" t="str">
        <f>IFERROR(__xludf.DUMMYFUNCTION("""COMPUTED_VALUE"""),"MENDEZ")</f>
        <v>MENDEZ</v>
      </c>
      <c r="S709" s="1" t="str">
        <f>IFERROR(__xludf.DUMMYFUNCTION("""COMPUTED_VALUE"""),"CAVITE")</f>
        <v>CAVITE</v>
      </c>
      <c r="T709" s="1" t="str">
        <f>IFERROR(__xludf.DUMMYFUNCTION("""COMPUTED_VALUE"""),"FIBR NETFLIX PLAN 1599")</f>
        <v>FIBR NETFLIX PLAN 1599</v>
      </c>
      <c r="U709" s="1" t="str">
        <f>IFERROR(__xludf.DUMMYFUNCTION("""COMPUTED_VALUE"""),"APPROVED")</f>
        <v>APPROVED</v>
      </c>
      <c r="V709" s="1"/>
      <c r="W709" s="1"/>
    </row>
    <row r="710" customHeight="1" spans="1:23">
      <c r="A710" s="3">
        <f>IFERROR(__xludf.DUMMYFUNCTION("""COMPUTED_VALUE"""),46088)</f>
        <v>46088</v>
      </c>
      <c r="B710" s="1" t="str">
        <f>IFERROR(__xludf.DUMMYFUNCTION("""COMPUTED_VALUE"""),"AYON MANUEL")</f>
        <v>AYON MANUEL</v>
      </c>
      <c r="C710" s="1" t="str">
        <f>IFERROR(__xludf.DUMMYFUNCTION("""COMPUTED_VALUE"""),"FLA")</f>
        <v>FLA</v>
      </c>
      <c r="D710" s="1" t="str">
        <f>IFERROR(__xludf.DUMMYFUNCTION("""COMPUTED_VALUE"""),"JERIC NAVARRO")</f>
        <v>JERIC NAVARRO</v>
      </c>
      <c r="E710" s="1" t="str">
        <f>IFERROR(__xludf.DUMMYFUNCTION("""COMPUTED_VALUE"""),"PLDT")</f>
        <v>PLDT</v>
      </c>
      <c r="F710" s="1">
        <f>IFERROR(__xludf.DUMMYFUNCTION("""COMPUTED_VALUE"""),2307503073)</f>
        <v>2307503073</v>
      </c>
      <c r="G710" s="1"/>
      <c r="H710" s="1" t="str">
        <f>IFERROR(__xludf.DUMMYFUNCTION("""COMPUTED_VALUE"""),"JOSELITO DE GUZMAN DE OCAMPO")</f>
        <v>JOSELITO DE GUZMAN DE OCAMPO</v>
      </c>
      <c r="I710" s="1">
        <f>IFERROR(__xludf.DUMMYFUNCTION("""COMPUTED_VALUE"""),9622056129)</f>
        <v>9622056129</v>
      </c>
      <c r="J710" s="1">
        <f>IFERROR(__xludf.DUMMYFUNCTION("""COMPUTED_VALUE"""),9994023930)</f>
        <v>9994023930</v>
      </c>
      <c r="K710" s="1" t="str">
        <f>IFERROR(__xludf.DUMMYFUNCTION("""COMPUTED_VALUE"""),"WHYNHIE21027@GMAIL.COM")</f>
        <v>WHYNHIE21027@GMAIL.COM</v>
      </c>
      <c r="L710" s="1" t="str">
        <f>IFERROR(__xludf.DUMMYFUNCTION("""COMPUTED_VALUE"""),"402")</f>
        <v>402</v>
      </c>
      <c r="M710" s="1" t="str">
        <f>IFERROR(__xludf.DUMMYFUNCTION("""COMPUTED_VALUE"""),"MAYSILI RD")</f>
        <v>MAYSILI RD</v>
      </c>
      <c r="N710" s="1"/>
      <c r="O710" s="1"/>
      <c r="P710" s="1"/>
      <c r="Q710" s="1" t="str">
        <f>IFERROR(__xludf.DUMMYFUNCTION("""COMPUTED_VALUE"""),"ASIS I")</f>
        <v>ASIS I</v>
      </c>
      <c r="R710" s="1" t="str">
        <f>IFERROR(__xludf.DUMMYFUNCTION("""COMPUTED_VALUE"""),"MENDEZ")</f>
        <v>MENDEZ</v>
      </c>
      <c r="S710" s="1" t="str">
        <f>IFERROR(__xludf.DUMMYFUNCTION("""COMPUTED_VALUE"""),"CAVITE")</f>
        <v>CAVITE</v>
      </c>
      <c r="T710" s="1" t="str">
        <f>IFERROR(__xludf.DUMMYFUNCTION("""COMPUTED_VALUE"""),"FIBR NETFLIX PLAN 1599")</f>
        <v>FIBR NETFLIX PLAN 1599</v>
      </c>
      <c r="U710" s="1" t="str">
        <f>IFERROR(__xludf.DUMMYFUNCTION("""COMPUTED_VALUE"""),"APPROVED")</f>
        <v>APPROVED</v>
      </c>
      <c r="V710" s="1"/>
      <c r="W710" s="1"/>
    </row>
    <row r="711" customHeight="1" spans="1:23">
      <c r="A711" s="3">
        <f>IFERROR(__xludf.DUMMYFUNCTION("""COMPUTED_VALUE"""),46088)</f>
        <v>46088</v>
      </c>
      <c r="B711" s="1" t="str">
        <f>IFERROR(__xludf.DUMMYFUNCTION("""COMPUTED_VALUE"""),"AYON MANUEL")</f>
        <v>AYON MANUEL</v>
      </c>
      <c r="C711" s="1" t="str">
        <f>IFERROR(__xludf.DUMMYFUNCTION("""COMPUTED_VALUE"""),"FLA")</f>
        <v>FLA</v>
      </c>
      <c r="D711" s="1" t="str">
        <f>IFERROR(__xludf.DUMMYFUNCTION("""COMPUTED_VALUE"""),"JERIC NAVARRO")</f>
        <v>JERIC NAVARRO</v>
      </c>
      <c r="E711" s="1" t="str">
        <f>IFERROR(__xludf.DUMMYFUNCTION("""COMPUTED_VALUE"""),"PLDT")</f>
        <v>PLDT</v>
      </c>
      <c r="F711" s="1">
        <f>IFERROR(__xludf.DUMMYFUNCTION("""COMPUTED_VALUE"""),2307503196)</f>
        <v>2307503196</v>
      </c>
      <c r="G711" s="1"/>
      <c r="H711" s="1" t="str">
        <f>IFERROR(__xludf.DUMMYFUNCTION("""COMPUTED_VALUE"""),"DINO KARLO FERNANDO ROCIDO")</f>
        <v>DINO KARLO FERNANDO ROCIDO</v>
      </c>
      <c r="I711" s="1">
        <f>IFERROR(__xludf.DUMMYFUNCTION("""COMPUTED_VALUE"""),9954651821)</f>
        <v>9954651821</v>
      </c>
      <c r="J711" s="1">
        <f>IFERROR(__xludf.DUMMYFUNCTION("""COMPUTED_VALUE"""),9175665991)</f>
        <v>9175665991</v>
      </c>
      <c r="K711" s="1" t="str">
        <f>IFERROR(__xludf.DUMMYFUNCTION("""COMPUTED_VALUE"""),"KARLOROCIDO@GMAIL.COM")</f>
        <v>KARLOROCIDO@GMAIL.COM</v>
      </c>
      <c r="L711" s="1" t="str">
        <f>IFERROR(__xludf.DUMMYFUNCTION("""COMPUTED_VALUE"""),"404")</f>
        <v>404</v>
      </c>
      <c r="M711" s="1" t="str">
        <f>IFERROR(__xludf.DUMMYFUNCTION("""COMPUTED_VALUE"""),"MAYSILI RD")</f>
        <v>MAYSILI RD</v>
      </c>
      <c r="N711" s="1"/>
      <c r="O711" s="1"/>
      <c r="P711" s="1"/>
      <c r="Q711" s="1" t="str">
        <f>IFERROR(__xludf.DUMMYFUNCTION("""COMPUTED_VALUE"""),"ASIS I")</f>
        <v>ASIS I</v>
      </c>
      <c r="R711" s="1" t="str">
        <f>IFERROR(__xludf.DUMMYFUNCTION("""COMPUTED_VALUE"""),"MENDEZ")</f>
        <v>MENDEZ</v>
      </c>
      <c r="S711" s="1" t="str">
        <f>IFERROR(__xludf.DUMMYFUNCTION("""COMPUTED_VALUE"""),"CAVITE")</f>
        <v>CAVITE</v>
      </c>
      <c r="T711" s="1" t="str">
        <f>IFERROR(__xludf.DUMMYFUNCTION("""COMPUTED_VALUE"""),"FIBR UNLI ALL PLAN 1799")</f>
        <v>FIBR UNLI ALL PLAN 1799</v>
      </c>
      <c r="U711" s="1" t="str">
        <f>IFERROR(__xludf.DUMMYFUNCTION("""COMPUTED_VALUE"""),"APPROVED")</f>
        <v>APPROVED</v>
      </c>
      <c r="V711" s="1"/>
      <c r="W711" s="1"/>
    </row>
    <row r="712" customHeight="1" spans="1:23">
      <c r="A712" s="3">
        <f>IFERROR(__xludf.DUMMYFUNCTION("""COMPUTED_VALUE"""),46088)</f>
        <v>46088</v>
      </c>
      <c r="B712" s="1" t="str">
        <f>IFERROR(__xludf.DUMMYFUNCTION("""COMPUTED_VALUE"""),"AYON MANUEL")</f>
        <v>AYON MANUEL</v>
      </c>
      <c r="C712" s="1" t="str">
        <f>IFERROR(__xludf.DUMMYFUNCTION("""COMPUTED_VALUE"""),"FLA")</f>
        <v>FLA</v>
      </c>
      <c r="D712" s="1" t="str">
        <f>IFERROR(__xludf.DUMMYFUNCTION("""COMPUTED_VALUE"""),"JERIC NAVARRO")</f>
        <v>JERIC NAVARRO</v>
      </c>
      <c r="E712" s="1" t="str">
        <f>IFERROR(__xludf.DUMMYFUNCTION("""COMPUTED_VALUE"""),"PLDT")</f>
        <v>PLDT</v>
      </c>
      <c r="F712" s="1">
        <f>IFERROR(__xludf.DUMMYFUNCTION("""COMPUTED_VALUE"""),2307504080)</f>
        <v>2307504080</v>
      </c>
      <c r="G712" s="1"/>
      <c r="H712" s="1" t="str">
        <f>IFERROR(__xludf.DUMMYFUNCTION("""COMPUTED_VALUE"""),"CERLON NASORRADA SIMBILLO")</f>
        <v>CERLON NASORRADA SIMBILLO</v>
      </c>
      <c r="I712" s="1">
        <f>IFERROR(__xludf.DUMMYFUNCTION("""COMPUTED_VALUE"""),9260125223)</f>
        <v>9260125223</v>
      </c>
      <c r="J712" s="1">
        <f>IFERROR(__xludf.DUMMYFUNCTION("""COMPUTED_VALUE"""),9625170696)</f>
        <v>9625170696</v>
      </c>
      <c r="K712" s="1" t="str">
        <f>IFERROR(__xludf.DUMMYFUNCTION("""COMPUTED_VALUE"""),"SIMBILLOCERLON349@GMAIL.COM")</f>
        <v>SIMBILLOCERLON349@GMAIL.COM</v>
      </c>
      <c r="L712" s="1" t="str">
        <f>IFERROR(__xludf.DUMMYFUNCTION("""COMPUTED_VALUE"""),"73")</f>
        <v>73</v>
      </c>
      <c r="M712" s="1" t="str">
        <f>IFERROR(__xludf.DUMMYFUNCTION("""COMPUTED_VALUE"""),"ALEGRE")</f>
        <v>ALEGRE</v>
      </c>
      <c r="N712" s="1"/>
      <c r="O712" s="1"/>
      <c r="P712" s="1"/>
      <c r="Q712" s="1" t="str">
        <f>IFERROR(__xludf.DUMMYFUNCTION("""COMPUTED_VALUE"""),"ASIS I")</f>
        <v>ASIS I</v>
      </c>
      <c r="R712" s="1" t="str">
        <f>IFERROR(__xludf.DUMMYFUNCTION("""COMPUTED_VALUE"""),"MENDEZ")</f>
        <v>MENDEZ</v>
      </c>
      <c r="S712" s="1" t="str">
        <f>IFERROR(__xludf.DUMMYFUNCTION("""COMPUTED_VALUE"""),"CAVITE")</f>
        <v>CAVITE</v>
      </c>
      <c r="T712" s="1" t="str">
        <f>IFERROR(__xludf.DUMMYFUNCTION("""COMPUTED_VALUE"""),"FIBR PLAN 1699")</f>
        <v>FIBR PLAN 1699</v>
      </c>
      <c r="U712" s="1" t="str">
        <f>IFERROR(__xludf.DUMMYFUNCTION("""COMPUTED_VALUE"""),"APPROVED")</f>
        <v>APPROVED</v>
      </c>
      <c r="V712" s="1"/>
      <c r="W712" s="1"/>
    </row>
    <row r="713" customHeight="1" spans="1:23">
      <c r="A713" s="3">
        <f>IFERROR(__xludf.DUMMYFUNCTION("""COMPUTED_VALUE"""),46088)</f>
        <v>46088</v>
      </c>
      <c r="B713" s="1" t="str">
        <f>IFERROR(__xludf.DUMMYFUNCTION("""COMPUTED_VALUE"""),"AYON MANUEL")</f>
        <v>AYON MANUEL</v>
      </c>
      <c r="C713" s="1" t="str">
        <f>IFERROR(__xludf.DUMMYFUNCTION("""COMPUTED_VALUE"""),"FLA")</f>
        <v>FLA</v>
      </c>
      <c r="D713" s="1" t="str">
        <f>IFERROR(__xludf.DUMMYFUNCTION("""COMPUTED_VALUE"""),"JERIC NAVARRO")</f>
        <v>JERIC NAVARRO</v>
      </c>
      <c r="E713" s="1" t="str">
        <f>IFERROR(__xludf.DUMMYFUNCTION("""COMPUTED_VALUE"""),"PLDT")</f>
        <v>PLDT</v>
      </c>
      <c r="F713" s="1">
        <f>IFERROR(__xludf.DUMMYFUNCTION("""COMPUTED_VALUE"""),2307527786)</f>
        <v>2307527786</v>
      </c>
      <c r="G713" s="1"/>
      <c r="H713" s="1" t="str">
        <f>IFERROR(__xludf.DUMMYFUNCTION("""COMPUTED_VALUE"""),"CARMELITA MAGLABE MACALALAD")</f>
        <v>CARMELITA MAGLABE MACALALAD</v>
      </c>
      <c r="I713" s="1">
        <f>IFERROR(__xludf.DUMMYFUNCTION("""COMPUTED_VALUE"""),9474328814)</f>
        <v>9474328814</v>
      </c>
      <c r="J713" s="1">
        <f>IFERROR(__xludf.DUMMYFUNCTION("""COMPUTED_VALUE"""),9955809382)</f>
        <v>9955809382</v>
      </c>
      <c r="K713" s="1" t="str">
        <f>IFERROR(__xludf.DUMMYFUNCTION("""COMPUTED_VALUE"""),"FROYDMATHEWMCALALAD@GMAIL.COM")</f>
        <v>FROYDMATHEWMCALALAD@GMAIL.COM</v>
      </c>
      <c r="L713" s="1" t="str">
        <f>IFERROR(__xludf.DUMMYFUNCTION("""COMPUTED_VALUE"""),"135")</f>
        <v>135</v>
      </c>
      <c r="M713" s="1" t="str">
        <f>IFERROR(__xludf.DUMMYFUNCTION("""COMPUTED_VALUE"""),"SAN PEDRO ST")</f>
        <v>SAN PEDRO ST</v>
      </c>
      <c r="N713" s="1"/>
      <c r="O713" s="1"/>
      <c r="P713" s="1"/>
      <c r="Q713" s="1" t="str">
        <f>IFERROR(__xludf.DUMMYFUNCTION("""COMPUTED_VALUE"""),"BUKAL")</f>
        <v>BUKAL</v>
      </c>
      <c r="R713" s="1" t="str">
        <f>IFERROR(__xludf.DUMMYFUNCTION("""COMPUTED_VALUE"""),"MENDEZ")</f>
        <v>MENDEZ</v>
      </c>
      <c r="S713" s="1" t="str">
        <f>IFERROR(__xludf.DUMMYFUNCTION("""COMPUTED_VALUE"""),"CAVITE")</f>
        <v>CAVITE</v>
      </c>
      <c r="T713" s="1" t="str">
        <f>IFERROR(__xludf.DUMMYFUNCTION("""COMPUTED_VALUE"""),"FIBR NETFLIX PLAN 1599")</f>
        <v>FIBR NETFLIX PLAN 1599</v>
      </c>
      <c r="U713" s="1" t="str">
        <f>IFERROR(__xludf.DUMMYFUNCTION("""COMPUTED_VALUE"""),"APPROVED")</f>
        <v>APPROVED</v>
      </c>
      <c r="V713" s="1"/>
      <c r="W713" s="1"/>
    </row>
    <row r="714" customHeight="1" spans="1:23">
      <c r="A714" s="3">
        <f>IFERROR(__xludf.DUMMYFUNCTION("""COMPUTED_VALUE"""),46088)</f>
        <v>46088</v>
      </c>
      <c r="B714" s="1" t="str">
        <f>IFERROR(__xludf.DUMMYFUNCTION("""COMPUTED_VALUE"""),"AYON MANUEL")</f>
        <v>AYON MANUEL</v>
      </c>
      <c r="C714" s="1" t="str">
        <f>IFERROR(__xludf.DUMMYFUNCTION("""COMPUTED_VALUE"""),"FLA")</f>
        <v>FLA</v>
      </c>
      <c r="D714" s="1" t="str">
        <f>IFERROR(__xludf.DUMMYFUNCTION("""COMPUTED_VALUE"""),"JERIC NAVARRO")</f>
        <v>JERIC NAVARRO</v>
      </c>
      <c r="E714" s="1" t="str">
        <f>IFERROR(__xludf.DUMMYFUNCTION("""COMPUTED_VALUE"""),"PLDT")</f>
        <v>PLDT</v>
      </c>
      <c r="F714" s="1">
        <f>IFERROR(__xludf.DUMMYFUNCTION("""COMPUTED_VALUE"""),2307505128)</f>
        <v>2307505128</v>
      </c>
      <c r="G714" s="1"/>
      <c r="H714" s="1" t="str">
        <f>IFERROR(__xludf.DUMMYFUNCTION("""COMPUTED_VALUE"""),"RAMEL ANGCONA OCIDO")</f>
        <v>RAMEL ANGCONA OCIDO</v>
      </c>
      <c r="I714" s="1">
        <f>IFERROR(__xludf.DUMMYFUNCTION("""COMPUTED_VALUE"""),9197771050)</f>
        <v>9197771050</v>
      </c>
      <c r="J714" s="1">
        <f>IFERROR(__xludf.DUMMYFUNCTION("""COMPUTED_VALUE"""),9205344730)</f>
        <v>9205344730</v>
      </c>
      <c r="K714" s="1" t="str">
        <f>IFERROR(__xludf.DUMMYFUNCTION("""COMPUTED_VALUE"""),"OCIDORAMEL06@GMAIL.COM")</f>
        <v>OCIDORAMEL06@GMAIL.COM</v>
      </c>
      <c r="L714" s="1" t="str">
        <f>IFERROR(__xludf.DUMMYFUNCTION("""COMPUTED_VALUE"""),"9678")</f>
        <v>9678</v>
      </c>
      <c r="M714" s="1" t="str">
        <f>IFERROR(__xludf.DUMMYFUNCTION("""COMPUTED_VALUE"""),"MAYSILI RD")</f>
        <v>MAYSILI RD</v>
      </c>
      <c r="N714" s="1"/>
      <c r="O714" s="1"/>
      <c r="P714" s="1"/>
      <c r="Q714" s="1" t="str">
        <f>IFERROR(__xludf.DUMMYFUNCTION("""COMPUTED_VALUE"""),"ASIS III")</f>
        <v>ASIS III</v>
      </c>
      <c r="R714" s="1" t="str">
        <f>IFERROR(__xludf.DUMMYFUNCTION("""COMPUTED_VALUE"""),"MENDEZ")</f>
        <v>MENDEZ</v>
      </c>
      <c r="S714" s="1" t="str">
        <f>IFERROR(__xludf.DUMMYFUNCTION("""COMPUTED_VALUE"""),"CAVITE")</f>
        <v>CAVITE</v>
      </c>
      <c r="T714" s="1" t="str">
        <f>IFERROR(__xludf.DUMMYFUNCTION("""COMPUTED_VALUE"""),"FIBR PLAN 1299")</f>
        <v>FIBR PLAN 1299</v>
      </c>
      <c r="U714" s="1" t="str">
        <f>IFERROR(__xludf.DUMMYFUNCTION("""COMPUTED_VALUE"""),"APPROVED")</f>
        <v>APPROVED</v>
      </c>
      <c r="V714" s="1"/>
      <c r="W714" s="1"/>
    </row>
    <row r="715" customHeight="1" spans="1:23">
      <c r="A715" s="3">
        <f>IFERROR(__xludf.DUMMYFUNCTION("""COMPUTED_VALUE"""),46088)</f>
        <v>46088</v>
      </c>
      <c r="B715" s="1" t="str">
        <f>IFERROR(__xludf.DUMMYFUNCTION("""COMPUTED_VALUE"""),"CANTANERO JUNEL")</f>
        <v>CANTANERO JUNEL</v>
      </c>
      <c r="C715" s="1" t="str">
        <f>IFERROR(__xludf.DUMMYFUNCTION("""COMPUTED_VALUE"""),"ORGANIC")</f>
        <v>ORGANIC</v>
      </c>
      <c r="D715" s="1" t="str">
        <f>IFERROR(__xludf.DUMMYFUNCTION("""COMPUTED_VALUE"""),"ALINGARO, CINDY")</f>
        <v>ALINGARO, CINDY</v>
      </c>
      <c r="E715" s="1" t="str">
        <f>IFERROR(__xludf.DUMMYFUNCTION("""COMPUTED_VALUE"""),"PLDT")</f>
        <v>PLDT</v>
      </c>
      <c r="F715" s="1">
        <f>IFERROR(__xludf.DUMMYFUNCTION("""COMPUTED_VALUE"""),2307506100)</f>
        <v>2307506100</v>
      </c>
      <c r="G715" s="1"/>
      <c r="H715" s="1" t="str">
        <f>IFERROR(__xludf.DUMMYFUNCTION("""COMPUTED_VALUE"""),"CHARMAINE ARENAS SARDINOLA")</f>
        <v>CHARMAINE ARENAS SARDINOLA</v>
      </c>
      <c r="I715" s="1">
        <f>IFERROR(__xludf.DUMMYFUNCTION("""COMPUTED_VALUE"""),965946106)</f>
        <v>965946106</v>
      </c>
      <c r="J715" s="1"/>
      <c r="K715" s="1" t="str">
        <f>IFERROR(__xludf.DUMMYFUNCTION("""COMPUTED_VALUE"""),"CHARMAINESARDINOLA6@GMAIL.COM")</f>
        <v>CHARMAINESARDINOLA6@GMAIL.COM</v>
      </c>
      <c r="L715" s="1" t="str">
        <f>IFERROR(__xludf.DUMMYFUNCTION("""COMPUTED_VALUE"""),"1816")</f>
        <v>1816</v>
      </c>
      <c r="M715" s="1" t="str">
        <f>IFERROR(__xludf.DUMMYFUNCTION("""COMPUTED_VALUE"""),"BANAYAD")</f>
        <v>BANAYAD</v>
      </c>
      <c r="N715" s="1"/>
      <c r="O715" s="1"/>
      <c r="P715" s="1"/>
      <c r="Q715" s="1" t="str">
        <f>IFERROR(__xludf.DUMMYFUNCTION("""COMPUTED_VALUE"""),"BANAYAD")</f>
        <v>BANAYAD</v>
      </c>
      <c r="R715" s="1" t="str">
        <f>IFERROR(__xludf.DUMMYFUNCTION("""COMPUTED_VALUE"""),"MENDEZ")</f>
        <v>MENDEZ</v>
      </c>
      <c r="S715" s="1" t="str">
        <f>IFERROR(__xludf.DUMMYFUNCTION("""COMPUTED_VALUE"""),"CAVITE")</f>
        <v>CAVITE</v>
      </c>
      <c r="T715" s="1" t="str">
        <f>IFERROR(__xludf.DUMMYFUNCTION("""COMPUTED_VALUE"""),"FIBR UNLI ALL PLAN 1399")</f>
        <v>FIBR UNLI ALL PLAN 1399</v>
      </c>
      <c r="U715" s="1" t="str">
        <f>IFERROR(__xludf.DUMMYFUNCTION("""COMPUTED_VALUE"""),"APPROVED")</f>
        <v>APPROVED</v>
      </c>
      <c r="V715" s="1"/>
      <c r="W715" s="1"/>
    </row>
    <row r="716" customHeight="1" spans="1:23">
      <c r="A716" s="3">
        <f>IFERROR(__xludf.DUMMYFUNCTION("""COMPUTED_VALUE"""),46088)</f>
        <v>46088</v>
      </c>
      <c r="B716" s="1" t="str">
        <f>IFERROR(__xludf.DUMMYFUNCTION("""COMPUTED_VALUE"""),"GABAY, MANUEL")</f>
        <v>GABAY, MANUEL</v>
      </c>
      <c r="C716" s="1" t="str">
        <f>IFERROR(__xludf.DUMMYFUNCTION("""COMPUTED_VALUE"""),"FLA")</f>
        <v>FLA</v>
      </c>
      <c r="D716" s="1" t="str">
        <f>IFERROR(__xludf.DUMMYFUNCTION("""COMPUTED_VALUE"""),"JERIC NAVARRO")</f>
        <v>JERIC NAVARRO</v>
      </c>
      <c r="E716" s="1" t="str">
        <f>IFERROR(__xludf.DUMMYFUNCTION("""COMPUTED_VALUE"""),"PLDT")</f>
        <v>PLDT</v>
      </c>
      <c r="F716" s="1">
        <f>IFERROR(__xludf.DUMMYFUNCTION("""COMPUTED_VALUE"""),2307506480)</f>
        <v>2307506480</v>
      </c>
      <c r="G716" s="1"/>
      <c r="H716" s="1" t="str">
        <f>IFERROR(__xludf.DUMMYFUNCTION("""COMPUTED_VALUE"""),"BERNARD JOSE BERNADO ARCEO")</f>
        <v>BERNARD JOSE BERNADO ARCEO</v>
      </c>
      <c r="I716" s="1">
        <f>IFERROR(__xludf.DUMMYFUNCTION("""COMPUTED_VALUE"""),9270122623)</f>
        <v>9270122623</v>
      </c>
      <c r="J716" s="1">
        <f>IFERROR(__xludf.DUMMYFUNCTION("""COMPUTED_VALUE"""),9277019914)</f>
        <v>9277019914</v>
      </c>
      <c r="K716" s="1" t="str">
        <f>IFERROR(__xludf.DUMMYFUNCTION("""COMPUTED_VALUE"""),"ARCEO.BERNARD014@GMAIL.COM")</f>
        <v>ARCEO.BERNARD014@GMAIL.COM</v>
      </c>
      <c r="L716" s="1" t="str">
        <f>IFERROR(__xludf.DUMMYFUNCTION("""COMPUTED_VALUE"""),"53")</f>
        <v>53</v>
      </c>
      <c r="M716" s="1" t="str">
        <f>IFERROR(__xludf.DUMMYFUNCTION("""COMPUTED_VALUE"""),"GATPANDAN ")</f>
        <v>GATPANDAN </v>
      </c>
      <c r="N716" s="1"/>
      <c r="O716" s="1"/>
      <c r="P716" s="1"/>
      <c r="Q716" s="1" t="str">
        <f>IFERROR(__xludf.DUMMYFUNCTION("""COMPUTED_VALUE"""),"ANULING LEJOS II")</f>
        <v>ANULING LEJOS II</v>
      </c>
      <c r="R716" s="1" t="str">
        <f>IFERROR(__xludf.DUMMYFUNCTION("""COMPUTED_VALUE"""),"MENDEZ")</f>
        <v>MENDEZ</v>
      </c>
      <c r="S716" s="1" t="str">
        <f>IFERROR(__xludf.DUMMYFUNCTION("""COMPUTED_VALUE"""),"CAVITE")</f>
        <v>CAVITE</v>
      </c>
      <c r="T716" s="1" t="str">
        <f>IFERROR(__xludf.DUMMYFUNCTION("""COMPUTED_VALUE"""),"FIBR NETFLIX PLAN 1599")</f>
        <v>FIBR NETFLIX PLAN 1599</v>
      </c>
      <c r="U716" s="1" t="str">
        <f>IFERROR(__xludf.DUMMYFUNCTION("""COMPUTED_VALUE"""),"APPROVED")</f>
        <v>APPROVED</v>
      </c>
      <c r="V716" s="1"/>
      <c r="W716" s="1"/>
    </row>
    <row r="717" customHeight="1" spans="1:23">
      <c r="A717" s="3">
        <f>IFERROR(__xludf.DUMMYFUNCTION("""COMPUTED_VALUE"""),46088)</f>
        <v>46088</v>
      </c>
      <c r="B717" s="1" t="str">
        <f>IFERROR(__xludf.DUMMYFUNCTION("""COMPUTED_VALUE"""),"ESCARCHA, MA ALMA  ESCOTO")</f>
        <v>ESCARCHA, MA ALMA  ESCOTO</v>
      </c>
      <c r="C717" s="1" t="str">
        <f>IFERROR(__xludf.DUMMYFUNCTION("""COMPUTED_VALUE"""),"ORGANIC")</f>
        <v>ORGANIC</v>
      </c>
      <c r="D717" s="1" t="str">
        <f>IFERROR(__xludf.DUMMYFUNCTION("""COMPUTED_VALUE"""),"ALINGARO, CINDY")</f>
        <v>ALINGARO, CINDY</v>
      </c>
      <c r="E717" s="1" t="str">
        <f>IFERROR(__xludf.DUMMYFUNCTION("""COMPUTED_VALUE"""),"PLDT")</f>
        <v>PLDT</v>
      </c>
      <c r="F717" s="1">
        <f>IFERROR(__xludf.DUMMYFUNCTION("""COMPUTED_VALUE"""),2307506729)</f>
        <v>2307506729</v>
      </c>
      <c r="G717" s="1"/>
      <c r="H717" s="1" t="str">
        <f>IFERROR(__xludf.DUMMYFUNCTION("""COMPUTED_VALUE"""),"JOMAR HERSANDO PERENA")</f>
        <v>JOMAR HERSANDO PERENA</v>
      </c>
      <c r="I717" s="1">
        <f>IFERROR(__xludf.DUMMYFUNCTION("""COMPUTED_VALUE"""),9504904305)</f>
        <v>9504904305</v>
      </c>
      <c r="J717" s="1">
        <f>IFERROR(__xludf.DUMMYFUNCTION("""COMPUTED_VALUE"""),9637999952)</f>
        <v>9637999952</v>
      </c>
      <c r="K717" s="1" t="str">
        <f>IFERROR(__xludf.DUMMYFUNCTION("""COMPUTED_VALUE"""),"AJPERENA19@GMAIL.COM")</f>
        <v>AJPERENA19@GMAIL.COM</v>
      </c>
      <c r="L717" s="1" t="str">
        <f>IFERROR(__xludf.DUMMYFUNCTION("""COMPUTED_VALUE"""),"BLK 3 LOT 6")</f>
        <v>BLK 3 LOT 6</v>
      </c>
      <c r="M717" s="1" t="str">
        <f>IFERROR(__xludf.DUMMYFUNCTION("""COMPUTED_VALUE"""),"PHASE 2A")</f>
        <v>PHASE 2A</v>
      </c>
      <c r="N717" s="1" t="str">
        <f>IFERROR(__xludf.DUMMYFUNCTION("""COMPUTED_VALUE"""),"LITA BAY")</f>
        <v>LITA BAY</v>
      </c>
      <c r="O717" s="1"/>
      <c r="P717" s="1"/>
      <c r="Q717" s="1" t="str">
        <f>IFERROR(__xludf.DUMMYFUNCTION("""COMPUTED_VALUE"""),"PANUNGYAN I")</f>
        <v>PANUNGYAN I</v>
      </c>
      <c r="R717" s="1" t="str">
        <f>IFERROR(__xludf.DUMMYFUNCTION("""COMPUTED_VALUE"""),"MENDEZ")</f>
        <v>MENDEZ</v>
      </c>
      <c r="S717" s="1" t="str">
        <f>IFERROR(__xludf.DUMMYFUNCTION("""COMPUTED_VALUE"""),"CAVITE")</f>
        <v>CAVITE</v>
      </c>
      <c r="T717" s="1" t="str">
        <f>IFERROR(__xludf.DUMMYFUNCTION("""COMPUTED_VALUE"""),"PREPAID FIBER UNLI")</f>
        <v>PREPAID FIBER UNLI</v>
      </c>
      <c r="U717" s="1" t="str">
        <f>IFERROR(__xludf.DUMMYFUNCTION("""COMPUTED_VALUE"""),"APPROVED")</f>
        <v>APPROVED</v>
      </c>
      <c r="V717" s="1"/>
      <c r="W717" s="1"/>
    </row>
    <row r="718" customHeight="1" spans="1:23">
      <c r="A718" s="3">
        <f>IFERROR(__xludf.DUMMYFUNCTION("""COMPUTED_VALUE"""),46088)</f>
        <v>46088</v>
      </c>
      <c r="B718" s="1" t="str">
        <f>IFERROR(__xludf.DUMMYFUNCTION("""COMPUTED_VALUE"""),"MALIWAT MARK ELVIN")</f>
        <v>MALIWAT MARK ELVIN</v>
      </c>
      <c r="C718" s="1" t="str">
        <f>IFERROR(__xludf.DUMMYFUNCTION("""COMPUTED_VALUE"""),"FLA")</f>
        <v>FLA</v>
      </c>
      <c r="D718" s="1" t="str">
        <f>IFERROR(__xludf.DUMMYFUNCTION("""COMPUTED_VALUE"""),"JERIC NAVARRO")</f>
        <v>JERIC NAVARRO</v>
      </c>
      <c r="E718" s="1" t="str">
        <f>IFERROR(__xludf.DUMMYFUNCTION("""COMPUTED_VALUE"""),"PLDT")</f>
        <v>PLDT</v>
      </c>
      <c r="F718" s="1">
        <f>IFERROR(__xludf.DUMMYFUNCTION("""COMPUTED_VALUE"""),2307508558)</f>
        <v>2307508558</v>
      </c>
      <c r="G718" s="1"/>
      <c r="H718" s="1" t="str">
        <f>IFERROR(__xludf.DUMMYFUNCTION("""COMPUTED_VALUE"""),"MERYLL SAMANIEGO MEDINA")</f>
        <v>MERYLL SAMANIEGO MEDINA</v>
      </c>
      <c r="I718" s="1">
        <f>IFERROR(__xludf.DUMMYFUNCTION("""COMPUTED_VALUE"""),9703907149)</f>
        <v>9703907149</v>
      </c>
      <c r="J718" s="1">
        <f>IFERROR(__xludf.DUMMYFUNCTION("""COMPUTED_VALUE"""),9852672926)</f>
        <v>9852672926</v>
      </c>
      <c r="K718" s="1" t="str">
        <f>IFERROR(__xludf.DUMMYFUNCTION("""COMPUTED_VALUE"""),"MEDINAMERYLL072@GMAIL.COM")</f>
        <v>MEDINAMERYLL072@GMAIL.COM</v>
      </c>
      <c r="L718" s="1" t="str">
        <f>IFERROR(__xludf.DUMMYFUNCTION("""COMPUTED_VALUE"""),"3479")</f>
        <v>3479</v>
      </c>
      <c r="M718" s="1" t="str">
        <f>IFERROR(__xludf.DUMMYFUNCTION("""COMPUTED_VALUE"""),"BUCAL RD")</f>
        <v>BUCAL RD</v>
      </c>
      <c r="N718" s="1"/>
      <c r="O718" s="1"/>
      <c r="P718" s="1"/>
      <c r="Q718" s="1" t="str">
        <f>IFERROR(__xludf.DUMMYFUNCTION("""COMPUTED_VALUE"""),"BUCAL II")</f>
        <v>BUCAL II</v>
      </c>
      <c r="R718" s="1" t="str">
        <f>IFERROR(__xludf.DUMMYFUNCTION("""COMPUTED_VALUE"""),"MARAGONDON")</f>
        <v>MARAGONDON</v>
      </c>
      <c r="S718" s="1" t="str">
        <f>IFERROR(__xludf.DUMMYFUNCTION("""COMPUTED_VALUE"""),"CAVITE")</f>
        <v>CAVITE</v>
      </c>
      <c r="T718" s="1" t="str">
        <f>IFERROR(__xludf.DUMMYFUNCTION("""COMPUTED_VALUE"""),"FIBR UNLI ALL PLAN 1399")</f>
        <v>FIBR UNLI ALL PLAN 1399</v>
      </c>
      <c r="U718" s="1" t="str">
        <f>IFERROR(__xludf.DUMMYFUNCTION("""COMPUTED_VALUE"""),"APPROVED")</f>
        <v>APPROVED</v>
      </c>
      <c r="V718" s="1"/>
      <c r="W718" s="1"/>
    </row>
    <row r="719" customHeight="1" spans="1:23">
      <c r="A719" s="3">
        <f>IFERROR(__xludf.DUMMYFUNCTION("""COMPUTED_VALUE"""),46088)</f>
        <v>46088</v>
      </c>
      <c r="B719" s="1" t="str">
        <f>IFERROR(__xludf.DUMMYFUNCTION("""COMPUTED_VALUE"""),"MAGDARAOG, KENNETH")</f>
        <v>MAGDARAOG, KENNETH</v>
      </c>
      <c r="C719" s="1" t="str">
        <f>IFERROR(__xludf.DUMMYFUNCTION("""COMPUTED_VALUE"""),"ORGANIC")</f>
        <v>ORGANIC</v>
      </c>
      <c r="D719" s="1" t="str">
        <f>IFERROR(__xludf.DUMMYFUNCTION("""COMPUTED_VALUE"""),"ALINGARO, CINDY")</f>
        <v>ALINGARO, CINDY</v>
      </c>
      <c r="E719" s="1" t="str">
        <f>IFERROR(__xludf.DUMMYFUNCTION("""COMPUTED_VALUE"""),"PLDT")</f>
        <v>PLDT</v>
      </c>
      <c r="F719" s="1">
        <f>IFERROR(__xludf.DUMMYFUNCTION("""COMPUTED_VALUE"""),2307510111)</f>
        <v>2307510111</v>
      </c>
      <c r="G719" s="1"/>
      <c r="H719" s="1" t="str">
        <f>IFERROR(__xludf.DUMMYFUNCTION("""COMPUTED_VALUE"""),"RENZ ROLDAN GATPANDAN FERMA")</f>
        <v>RENZ ROLDAN GATPANDAN FERMA</v>
      </c>
      <c r="I719" s="1">
        <f>IFERROR(__xludf.DUMMYFUNCTION("""COMPUTED_VALUE"""),9050629275)</f>
        <v>9050629275</v>
      </c>
      <c r="J719" s="1">
        <f>IFERROR(__xludf.DUMMYFUNCTION("""COMPUTED_VALUE"""),9050629725)</f>
        <v>9050629725</v>
      </c>
      <c r="K719" s="1" t="str">
        <f>IFERROR(__xludf.DUMMYFUNCTION("""COMPUTED_VALUE"""),"RENZFERMA@GMAIL.CM")</f>
        <v>RENZFERMA@GMAIL.CM</v>
      </c>
      <c r="L719" s="1" t="str">
        <f>IFERROR(__xludf.DUMMYFUNCTION("""COMPUTED_VALUE"""),"9065")</f>
        <v>9065</v>
      </c>
      <c r="M719" s="1" t="str">
        <f>IFERROR(__xludf.DUMMYFUNCTION("""COMPUTED_VALUE"""),"GATPANDAN ")</f>
        <v>GATPANDAN </v>
      </c>
      <c r="N719" s="1"/>
      <c r="O719" s="1"/>
      <c r="P719" s="1"/>
      <c r="Q719" s="1" t="str">
        <f>IFERROR(__xludf.DUMMYFUNCTION("""COMPUTED_VALUE"""),"ANULING CERCA II")</f>
        <v>ANULING CERCA II</v>
      </c>
      <c r="R719" s="1" t="str">
        <f>IFERROR(__xludf.DUMMYFUNCTION("""COMPUTED_VALUE"""),"MENDEZ")</f>
        <v>MENDEZ</v>
      </c>
      <c r="S719" s="1" t="str">
        <f>IFERROR(__xludf.DUMMYFUNCTION("""COMPUTED_VALUE"""),"CAVITE")</f>
        <v>CAVITE</v>
      </c>
      <c r="T719" s="1" t="str">
        <f>IFERROR(__xludf.DUMMYFUNCTION("""COMPUTED_VALUE"""),"FIBR UNLI ALL PLAN 1399")</f>
        <v>FIBR UNLI ALL PLAN 1399</v>
      </c>
      <c r="U719" s="1" t="str">
        <f>IFERROR(__xludf.DUMMYFUNCTION("""COMPUTED_VALUE"""),"APPROVED")</f>
        <v>APPROVED</v>
      </c>
      <c r="V719" s="1"/>
      <c r="W719" s="1"/>
    </row>
    <row r="720" customHeight="1" spans="1:23">
      <c r="A720" s="3">
        <f>IFERROR(__xludf.DUMMYFUNCTION("""COMPUTED_VALUE"""),46088)</f>
        <v>46088</v>
      </c>
      <c r="B720" s="1" t="str">
        <f>IFERROR(__xludf.DUMMYFUNCTION("""COMPUTED_VALUE"""),"MAGDARAOG, KENNETH")</f>
        <v>MAGDARAOG, KENNETH</v>
      </c>
      <c r="C720" s="1" t="str">
        <f>IFERROR(__xludf.DUMMYFUNCTION("""COMPUTED_VALUE"""),"ORGANIC")</f>
        <v>ORGANIC</v>
      </c>
      <c r="D720" s="1" t="str">
        <f>IFERROR(__xludf.DUMMYFUNCTION("""COMPUTED_VALUE"""),"ALINGARO, CINDY")</f>
        <v>ALINGARO, CINDY</v>
      </c>
      <c r="E720" s="1" t="str">
        <f>IFERROR(__xludf.DUMMYFUNCTION("""COMPUTED_VALUE"""),"PLDT")</f>
        <v>PLDT</v>
      </c>
      <c r="F720" s="1">
        <f>IFERROR(__xludf.DUMMYFUNCTION("""COMPUTED_VALUE"""),2307509117)</f>
        <v>2307509117</v>
      </c>
      <c r="G720" s="1"/>
      <c r="H720" s="1" t="str">
        <f>IFERROR(__xludf.DUMMYFUNCTION("""COMPUTED_VALUE"""),"NOEL DIMAPILIS RONARIO")</f>
        <v>NOEL DIMAPILIS RONARIO</v>
      </c>
      <c r="I720" s="1">
        <f>IFERROR(__xludf.DUMMYFUNCTION("""COMPUTED_VALUE"""),9432927441)</f>
        <v>9432927441</v>
      </c>
      <c r="J720" s="1">
        <f>IFERROR(__xludf.DUMMYFUNCTION("""COMPUTED_VALUE"""),9260149923)</f>
        <v>9260149923</v>
      </c>
      <c r="K720" s="1" t="str">
        <f>IFERROR(__xludf.DUMMYFUNCTION("""COMPUTED_VALUE"""),"NOEL22RONARIO@GMAIL.COM")</f>
        <v>NOEL22RONARIO@GMAIL.COM</v>
      </c>
      <c r="L720" s="1" t="str">
        <f>IFERROR(__xludf.DUMMYFUNCTION("""COMPUTED_VALUE"""),"38")</f>
        <v>38</v>
      </c>
      <c r="M720" s="1" t="str">
        <f>IFERROR(__xludf.DUMMYFUNCTION("""COMPUTED_VALUE"""),"ESPERANZA RD")</f>
        <v>ESPERANZA RD</v>
      </c>
      <c r="N720" s="1"/>
      <c r="O720" s="1"/>
      <c r="P720" s="1"/>
      <c r="Q720" s="1" t="str">
        <f>IFERROR(__xludf.DUMMYFUNCTION("""COMPUTED_VALUE"""),"ESPERANZA ILAYA")</f>
        <v>ESPERANZA ILAYA</v>
      </c>
      <c r="R720" s="1" t="str">
        <f>IFERROR(__xludf.DUMMYFUNCTION("""COMPUTED_VALUE"""),"ALFONSO")</f>
        <v>ALFONSO</v>
      </c>
      <c r="S720" s="1" t="str">
        <f>IFERROR(__xludf.DUMMYFUNCTION("""COMPUTED_VALUE"""),"CAVITE")</f>
        <v>CAVITE</v>
      </c>
      <c r="T720" s="1" t="str">
        <f>IFERROR(__xludf.DUMMYFUNCTION("""COMPUTED_VALUE"""),"FIBR PLAN 1299")</f>
        <v>FIBR PLAN 1299</v>
      </c>
      <c r="U720" s="1" t="str">
        <f>IFERROR(__xludf.DUMMYFUNCTION("""COMPUTED_VALUE"""),"APPROVED")</f>
        <v>APPROVED</v>
      </c>
      <c r="V720" s="1"/>
      <c r="W720" s="1"/>
    </row>
    <row r="721" customHeight="1" spans="1:23">
      <c r="A721" s="3">
        <f>IFERROR(__xludf.DUMMYFUNCTION("""COMPUTED_VALUE"""),46088)</f>
        <v>46088</v>
      </c>
      <c r="B721" s="1" t="str">
        <f>IFERROR(__xludf.DUMMYFUNCTION("""COMPUTED_VALUE"""),"DE VERA, MARIVIC")</f>
        <v>DE VERA, MARIVIC</v>
      </c>
      <c r="C721" s="1" t="str">
        <f>IFERROR(__xludf.DUMMYFUNCTION("""COMPUTED_VALUE"""),"ORGANIC")</f>
        <v>ORGANIC</v>
      </c>
      <c r="D721" s="1" t="str">
        <f>IFERROR(__xludf.DUMMYFUNCTION("""COMPUTED_VALUE"""),"ALINGARO, CINDY")</f>
        <v>ALINGARO, CINDY</v>
      </c>
      <c r="E721" s="1" t="str">
        <f>IFERROR(__xludf.DUMMYFUNCTION("""COMPUTED_VALUE"""),"PLDT")</f>
        <v>PLDT</v>
      </c>
      <c r="F721" s="1">
        <f>IFERROR(__xludf.DUMMYFUNCTION("""COMPUTED_VALUE"""),2307508580)</f>
        <v>2307508580</v>
      </c>
      <c r="G721" s="1"/>
      <c r="H721" s="1" t="str">
        <f>IFERROR(__xludf.DUMMYFUNCTION("""COMPUTED_VALUE"""),"LEO DITCHE MADRANO")</f>
        <v>LEO DITCHE MADRANO</v>
      </c>
      <c r="I721" s="1">
        <f>IFERROR(__xludf.DUMMYFUNCTION("""COMPUTED_VALUE"""),9391125893)</f>
        <v>9391125893</v>
      </c>
      <c r="J721" s="1"/>
      <c r="K721" s="1" t="str">
        <f>IFERROR(__xludf.DUMMYFUNCTION("""COMPUTED_VALUE"""),"TORREGASOLIBEAN@GMAIL.COM")</f>
        <v>TORREGASOLIBEAN@GMAIL.COM</v>
      </c>
      <c r="L721" s="1" t="str">
        <f>IFERROR(__xludf.DUMMYFUNCTION("""COMPUTED_VALUE"""),"313")</f>
        <v>313</v>
      </c>
      <c r="M721" s="1" t="str">
        <f>IFERROR(__xludf.DUMMYFUNCTION("""COMPUTED_VALUE"""),"PANUNGYAN RD")</f>
        <v>PANUNGYAN RD</v>
      </c>
      <c r="N721" s="1"/>
      <c r="O721" s="1"/>
      <c r="P721" s="1"/>
      <c r="Q721" s="1" t="str">
        <f>IFERROR(__xludf.DUMMYFUNCTION("""COMPUTED_VALUE"""),"PANUNGYAN I")</f>
        <v>PANUNGYAN I</v>
      </c>
      <c r="R721" s="1" t="str">
        <f>IFERROR(__xludf.DUMMYFUNCTION("""COMPUTED_VALUE"""),"MENDEZ")</f>
        <v>MENDEZ</v>
      </c>
      <c r="S721" s="1" t="str">
        <f>IFERROR(__xludf.DUMMYFUNCTION("""COMPUTED_VALUE"""),"CAVITE")</f>
        <v>CAVITE</v>
      </c>
      <c r="T721" s="1" t="str">
        <f>IFERROR(__xludf.DUMMYFUNCTION("""COMPUTED_VALUE"""),"FIBR UNLI ALL PLAN 1399")</f>
        <v>FIBR UNLI ALL PLAN 1399</v>
      </c>
      <c r="U721" s="1" t="str">
        <f>IFERROR(__xludf.DUMMYFUNCTION("""COMPUTED_VALUE"""),"APPROVED")</f>
        <v>APPROVED</v>
      </c>
      <c r="V721" s="1"/>
      <c r="W721" s="1"/>
    </row>
    <row r="722" customHeight="1" spans="1:23">
      <c r="A722" s="3">
        <f>IFERROR(__xludf.DUMMYFUNCTION("""COMPUTED_VALUE"""),46088)</f>
        <v>46088</v>
      </c>
      <c r="B722" s="1" t="str">
        <f>IFERROR(__xludf.DUMMYFUNCTION("""COMPUTED_VALUE"""),"FERNANDEZ JERIC")</f>
        <v>FERNANDEZ JERIC</v>
      </c>
      <c r="C722" s="1" t="str">
        <f>IFERROR(__xludf.DUMMYFUNCTION("""COMPUTED_VALUE"""),"ORGANIC")</f>
        <v>ORGANIC</v>
      </c>
      <c r="D722" s="1" t="str">
        <f>IFERROR(__xludf.DUMMYFUNCTION("""COMPUTED_VALUE"""),"ALOS, CHARLS")</f>
        <v>ALOS, CHARLS</v>
      </c>
      <c r="E722" s="1" t="str">
        <f>IFERROR(__xludf.DUMMYFUNCTION("""COMPUTED_VALUE"""),"PLDT")</f>
        <v>PLDT</v>
      </c>
      <c r="F722" s="1">
        <f>IFERROR(__xludf.DUMMYFUNCTION("""COMPUTED_VALUE"""),2307509048)</f>
        <v>2307509048</v>
      </c>
      <c r="G722" s="1"/>
      <c r="H722" s="1" t="str">
        <f>IFERROR(__xludf.DUMMYFUNCTION("""COMPUTED_VALUE"""),"MARIE JAY ATOLE BELLECA")</f>
        <v>MARIE JAY ATOLE BELLECA</v>
      </c>
      <c r="I722" s="1">
        <f>IFERROR(__xludf.DUMMYFUNCTION("""COMPUTED_VALUE"""),9152919383)</f>
        <v>9152919383</v>
      </c>
      <c r="J722" s="1"/>
      <c r="K722" s="1" t="str">
        <f>IFERROR(__xludf.DUMMYFUNCTION("""COMPUTED_VALUE"""),"MARIEBELLECA12345@GMAIL.COM")</f>
        <v>MARIEBELLECA12345@GMAIL.COM</v>
      </c>
      <c r="L722" s="1" t="str">
        <f>IFERROR(__xludf.DUMMYFUNCTION("""COMPUTED_VALUE"""),"68")</f>
        <v>68</v>
      </c>
      <c r="M722" s="1" t="str">
        <f>IFERROR(__xludf.DUMMYFUNCTION("""COMPUTED_VALUE"""),"MAKABUHAY ")</f>
        <v>MAKABUHAY </v>
      </c>
      <c r="N722" s="1"/>
      <c r="O722" s="1"/>
      <c r="P722" s="1"/>
      <c r="Q722" s="1" t="str">
        <f>IFERROR(__xludf.DUMMYFUNCTION("""COMPUTED_VALUE"""),"PUTING KAHOY")</f>
        <v>PUTING KAHOY</v>
      </c>
      <c r="R722" s="1" t="str">
        <f>IFERROR(__xludf.DUMMYFUNCTION("""COMPUTED_VALUE"""),"SILANG")</f>
        <v>SILANG</v>
      </c>
      <c r="S722" s="1" t="str">
        <f>IFERROR(__xludf.DUMMYFUNCTION("""COMPUTED_VALUE"""),"CAVITE")</f>
        <v>CAVITE</v>
      </c>
      <c r="T722" s="1" t="str">
        <f>IFERROR(__xludf.DUMMYFUNCTION("""COMPUTED_VALUE"""),"FIBR UNLI ALL PLAN 1399")</f>
        <v>FIBR UNLI ALL PLAN 1399</v>
      </c>
      <c r="U722" s="1" t="str">
        <f>IFERROR(__xludf.DUMMYFUNCTION("""COMPUTED_VALUE"""),"APPROVED")</f>
        <v>APPROVED</v>
      </c>
      <c r="V722" s="1"/>
      <c r="W722" s="1"/>
    </row>
    <row r="723" customHeight="1" spans="1:23">
      <c r="A723" s="3">
        <f>IFERROR(__xludf.DUMMYFUNCTION("""COMPUTED_VALUE"""),46088)</f>
        <v>46088</v>
      </c>
      <c r="B723" s="1" t="str">
        <f>IFERROR(__xludf.DUMMYFUNCTION("""COMPUTED_VALUE"""),"VILLANAS , EVANGELINE")</f>
        <v>VILLANAS , EVANGELINE</v>
      </c>
      <c r="C723" s="1" t="str">
        <f>IFERROR(__xludf.DUMMYFUNCTION("""COMPUTED_VALUE"""),"ORGANIC")</f>
        <v>ORGANIC</v>
      </c>
      <c r="D723" s="1" t="str">
        <f>IFERROR(__xludf.DUMMYFUNCTION("""COMPUTED_VALUE"""),"ALINGARO, CINDY")</f>
        <v>ALINGARO, CINDY</v>
      </c>
      <c r="E723" s="1" t="str">
        <f>IFERROR(__xludf.DUMMYFUNCTION("""COMPUTED_VALUE"""),"PLDT")</f>
        <v>PLDT</v>
      </c>
      <c r="F723" s="1">
        <f>IFERROR(__xludf.DUMMYFUNCTION("""COMPUTED_VALUE"""),2307510611)</f>
        <v>2307510611</v>
      </c>
      <c r="G723" s="1"/>
      <c r="H723" s="1" t="str">
        <f>IFERROR(__xludf.DUMMYFUNCTION("""COMPUTED_VALUE"""),"SEAN BRENT DIMAPILIS ATE")</f>
        <v>SEAN BRENT DIMAPILIS ATE</v>
      </c>
      <c r="I723" s="1">
        <f>IFERROR(__xludf.DUMMYFUNCTION("""COMPUTED_VALUE"""),9367075294)</f>
        <v>9367075294</v>
      </c>
      <c r="J723" s="1"/>
      <c r="K723" s="1" t="str">
        <f>IFERROR(__xludf.DUMMYFUNCTION("""COMPUTED_VALUE"""),"BRENTDIMAPILISZ@GMAIL.COM")</f>
        <v>BRENTDIMAPILISZ@GMAIL.COM</v>
      </c>
      <c r="L723" s="1" t="str">
        <f>IFERROR(__xludf.DUMMYFUNCTION("""COMPUTED_VALUE"""),"83")</f>
        <v>83</v>
      </c>
      <c r="M723" s="1" t="str">
        <f>IFERROR(__xludf.DUMMYFUNCTION("""COMPUTED_VALUE"""),"DIMAPILIS ST")</f>
        <v>DIMAPILIS ST</v>
      </c>
      <c r="N723" s="1"/>
      <c r="O723" s="1"/>
      <c r="P723" s="1"/>
      <c r="Q723" s="1" t="str">
        <f>IFERROR(__xludf.DUMMYFUNCTION("""COMPUTED_VALUE"""),"ANULING LEJOS II")</f>
        <v>ANULING LEJOS II</v>
      </c>
      <c r="R723" s="1" t="str">
        <f>IFERROR(__xludf.DUMMYFUNCTION("""COMPUTED_VALUE"""),"MENDEZ")</f>
        <v>MENDEZ</v>
      </c>
      <c r="S723" s="1" t="str">
        <f>IFERROR(__xludf.DUMMYFUNCTION("""COMPUTED_VALUE"""),"CAVITE")</f>
        <v>CAVITE</v>
      </c>
      <c r="T723" s="1" t="str">
        <f>IFERROR(__xludf.DUMMYFUNCTION("""COMPUTED_VALUE"""),"FIBR UNLI ALL PLAN 1399")</f>
        <v>FIBR UNLI ALL PLAN 1399</v>
      </c>
      <c r="U723" s="1" t="str">
        <f>IFERROR(__xludf.DUMMYFUNCTION("""COMPUTED_VALUE"""),"APPROVED")</f>
        <v>APPROVED</v>
      </c>
      <c r="V723" s="1"/>
      <c r="W723" s="1"/>
    </row>
    <row r="724" customHeight="1" spans="1:23">
      <c r="A724" s="3">
        <f>IFERROR(__xludf.DUMMYFUNCTION("""COMPUTED_VALUE"""),46088)</f>
        <v>46088</v>
      </c>
      <c r="B724" s="1" t="str">
        <f>IFERROR(__xludf.DUMMYFUNCTION("""COMPUTED_VALUE"""),"DE GUZMAN ANGELO")</f>
        <v>DE GUZMAN ANGELO</v>
      </c>
      <c r="C724" s="1" t="str">
        <f>IFERROR(__xludf.DUMMYFUNCTION("""COMPUTED_VALUE"""),"ORGANIC")</f>
        <v>ORGANIC</v>
      </c>
      <c r="D724" s="1" t="str">
        <f>IFERROR(__xludf.DUMMYFUNCTION("""COMPUTED_VALUE"""),"ALINGARO, CINDY")</f>
        <v>ALINGARO, CINDY</v>
      </c>
      <c r="E724" s="1" t="str">
        <f>IFERROR(__xludf.DUMMYFUNCTION("""COMPUTED_VALUE"""),"PLDT")</f>
        <v>PLDT</v>
      </c>
      <c r="F724" s="1">
        <f>IFERROR(__xludf.DUMMYFUNCTION("""COMPUTED_VALUE"""),2307511233)</f>
        <v>2307511233</v>
      </c>
      <c r="G724" s="1"/>
      <c r="H724" s="1" t="str">
        <f>IFERROR(__xludf.DUMMYFUNCTION("""COMPUTED_VALUE"""),"MICHAEL MONTES ESCABARTE")</f>
        <v>MICHAEL MONTES ESCABARTE</v>
      </c>
      <c r="I724" s="1">
        <f>IFERROR(__xludf.DUMMYFUNCTION("""COMPUTED_VALUE"""),9150465246)</f>
        <v>9150465246</v>
      </c>
      <c r="J724" s="1">
        <f>IFERROR(__xludf.DUMMYFUNCTION("""COMPUTED_VALUE"""),9278376910)</f>
        <v>9278376910</v>
      </c>
      <c r="K724" s="1" t="str">
        <f>IFERROR(__xludf.DUMMYFUNCTION("""COMPUTED_VALUE"""),"MAMAKOHKULET@GMAI.COM")</f>
        <v>MAMAKOHKULET@GMAI.COM</v>
      </c>
      <c r="L724" s="1" t="str">
        <f>IFERROR(__xludf.DUMMYFUNCTION("""COMPUTED_VALUE"""),"82")</f>
        <v>82</v>
      </c>
      <c r="M724" s="1" t="str">
        <f>IFERROR(__xludf.DUMMYFUNCTION("""COMPUTED_VALUE"""),"GATPANDAN ")</f>
        <v>GATPANDAN </v>
      </c>
      <c r="N724" s="1"/>
      <c r="O724" s="1"/>
      <c r="P724" s="1"/>
      <c r="Q724" s="1" t="str">
        <f>IFERROR(__xludf.DUMMYFUNCTION("""COMPUTED_VALUE"""),"ANULING LEJOS II")</f>
        <v>ANULING LEJOS II</v>
      </c>
      <c r="R724" s="1" t="str">
        <f>IFERROR(__xludf.DUMMYFUNCTION("""COMPUTED_VALUE"""),"MENDEZ")</f>
        <v>MENDEZ</v>
      </c>
      <c r="S724" s="1" t="str">
        <f>IFERROR(__xludf.DUMMYFUNCTION("""COMPUTED_VALUE"""),"CAVITE")</f>
        <v>CAVITE</v>
      </c>
      <c r="T724" s="1" t="str">
        <f>IFERROR(__xludf.DUMMYFUNCTION("""COMPUTED_VALUE"""),"FIBR PLAN 1299")</f>
        <v>FIBR PLAN 1299</v>
      </c>
      <c r="U724" s="1" t="str">
        <f>IFERROR(__xludf.DUMMYFUNCTION("""COMPUTED_VALUE"""),"APPROVED")</f>
        <v>APPROVED</v>
      </c>
      <c r="V724" s="1"/>
      <c r="W724" s="1"/>
    </row>
    <row r="725" customHeight="1" spans="1:23">
      <c r="A725" s="3">
        <f>IFERROR(__xludf.DUMMYFUNCTION("""COMPUTED_VALUE"""),46088)</f>
        <v>46088</v>
      </c>
      <c r="B725" s="1" t="str">
        <f>IFERROR(__xludf.DUMMYFUNCTION("""COMPUTED_VALUE"""),"AYON MANUEL")</f>
        <v>AYON MANUEL</v>
      </c>
      <c r="C725" s="1" t="str">
        <f>IFERROR(__xludf.DUMMYFUNCTION("""COMPUTED_VALUE"""),"FLA")</f>
        <v>FLA</v>
      </c>
      <c r="D725" s="1" t="str">
        <f>IFERROR(__xludf.DUMMYFUNCTION("""COMPUTED_VALUE"""),"JERIC NAVARRO")</f>
        <v>JERIC NAVARRO</v>
      </c>
      <c r="E725" s="1" t="str">
        <f>IFERROR(__xludf.DUMMYFUNCTION("""COMPUTED_VALUE"""),"PLDT")</f>
        <v>PLDT</v>
      </c>
      <c r="F725" s="1">
        <f>IFERROR(__xludf.DUMMYFUNCTION("""COMPUTED_VALUE"""),2307511400)</f>
        <v>2307511400</v>
      </c>
      <c r="G725" s="1"/>
      <c r="H725" s="1" t="str">
        <f>IFERROR(__xludf.DUMMYFUNCTION("""COMPUTED_VALUE"""),"MARI ANTOINETTE DE JESUS HERNANDEZ")</f>
        <v>MARI ANTOINETTE DE JESUS HERNANDEZ</v>
      </c>
      <c r="I725" s="1">
        <f>IFERROR(__xludf.DUMMYFUNCTION("""COMPUTED_VALUE"""),9254935756)</f>
        <v>9254935756</v>
      </c>
      <c r="J725" s="1">
        <f>IFERROR(__xludf.DUMMYFUNCTION("""COMPUTED_VALUE"""),9750980847)</f>
        <v>9750980847</v>
      </c>
      <c r="K725" s="1" t="str">
        <f>IFERROR(__xludf.DUMMYFUNCTION("""COMPUTED_VALUE"""),"NSGOFFICE.MSME@GMAIL.COM")</f>
        <v>NSGOFFICE.MSME@GMAIL.COM</v>
      </c>
      <c r="L725" s="1" t="str">
        <f>IFERROR(__xludf.DUMMYFUNCTION("""COMPUTED_VALUE"""),"9005")</f>
        <v>9005</v>
      </c>
      <c r="M725" s="1" t="str">
        <f>IFERROR(__xludf.DUMMYFUNCTION("""COMPUTED_VALUE"""),"KAP SALABAR RD")</f>
        <v>KAP SALABAR RD</v>
      </c>
      <c r="N725" s="1"/>
      <c r="O725" s="1"/>
      <c r="P725" s="1"/>
      <c r="Q725" s="1" t="str">
        <f>IFERROR(__xludf.DUMMYFUNCTION("""COMPUTED_VALUE"""),"BUCAL")</f>
        <v>BUCAL</v>
      </c>
      <c r="R725" s="1" t="str">
        <f>IFERROR(__xludf.DUMMYFUNCTION("""COMPUTED_VALUE"""),"MENDEZ")</f>
        <v>MENDEZ</v>
      </c>
      <c r="S725" s="1" t="str">
        <f>IFERROR(__xludf.DUMMYFUNCTION("""COMPUTED_VALUE"""),"CAVITE")</f>
        <v>CAVITE</v>
      </c>
      <c r="T725" s="1" t="str">
        <f>IFERROR(__xludf.DUMMYFUNCTION("""COMPUTED_VALUE"""),"FIBR UNLI ALL PLAN 2499")</f>
        <v>FIBR UNLI ALL PLAN 2499</v>
      </c>
      <c r="U725" s="1" t="str">
        <f>IFERROR(__xludf.DUMMYFUNCTION("""COMPUTED_VALUE"""),"APPROVED")</f>
        <v>APPROVED</v>
      </c>
      <c r="V725" s="1"/>
      <c r="W725" s="1"/>
    </row>
    <row r="726" customHeight="1" spans="1:23">
      <c r="A726" s="3">
        <f>IFERROR(__xludf.DUMMYFUNCTION("""COMPUTED_VALUE"""),46088)</f>
        <v>46088</v>
      </c>
      <c r="B726" s="1" t="str">
        <f>IFERROR(__xludf.DUMMYFUNCTION("""COMPUTED_VALUE"""),"AYON MANUEL")</f>
        <v>AYON MANUEL</v>
      </c>
      <c r="C726" s="1" t="str">
        <f>IFERROR(__xludf.DUMMYFUNCTION("""COMPUTED_VALUE"""),"FLA")</f>
        <v>FLA</v>
      </c>
      <c r="D726" s="1" t="str">
        <f>IFERROR(__xludf.DUMMYFUNCTION("""COMPUTED_VALUE"""),"JERIC NAVARRO")</f>
        <v>JERIC NAVARRO</v>
      </c>
      <c r="E726" s="1" t="str">
        <f>IFERROR(__xludf.DUMMYFUNCTION("""COMPUTED_VALUE"""),"PLDT")</f>
        <v>PLDT</v>
      </c>
      <c r="F726" s="1">
        <f>IFERROR(__xludf.DUMMYFUNCTION("""COMPUTED_VALUE"""),2307511680)</f>
        <v>2307511680</v>
      </c>
      <c r="G726" s="1"/>
      <c r="H726" s="1" t="str">
        <f>IFERROR(__xludf.DUMMYFUNCTION("""COMPUTED_VALUE"""),"ALOHA CAMPANO DE BELEN")</f>
        <v>ALOHA CAMPANO DE BELEN</v>
      </c>
      <c r="I726" s="1">
        <f>IFERROR(__xludf.DUMMYFUNCTION("""COMPUTED_VALUE"""),9153743480)</f>
        <v>9153743480</v>
      </c>
      <c r="J726" s="1">
        <f>IFERROR(__xludf.DUMMYFUNCTION("""COMPUTED_VALUE"""),9209417780)</f>
        <v>9209417780</v>
      </c>
      <c r="K726" s="1" t="str">
        <f>IFERROR(__xludf.DUMMYFUNCTION("""COMPUTED_VALUE"""),"DTLIGHTSANDSOUNDS@GMAIL.COM")</f>
        <v>DTLIGHTSANDSOUNDS@GMAIL.COM</v>
      </c>
      <c r="L726" s="1" t="str">
        <f>IFERROR(__xludf.DUMMYFUNCTION("""COMPUTED_VALUE"""),"118")</f>
        <v>118</v>
      </c>
      <c r="M726" s="1" t="str">
        <f>IFERROR(__xludf.DUMMYFUNCTION("""COMPUTED_VALUE"""),"MAYSILI RD")</f>
        <v>MAYSILI RD</v>
      </c>
      <c r="N726" s="1"/>
      <c r="O726" s="1"/>
      <c r="P726" s="1"/>
      <c r="Q726" s="1" t="str">
        <f>IFERROR(__xludf.DUMMYFUNCTION("""COMPUTED_VALUE"""),"ASIS I")</f>
        <v>ASIS I</v>
      </c>
      <c r="R726" s="1" t="str">
        <f>IFERROR(__xludf.DUMMYFUNCTION("""COMPUTED_VALUE"""),"MENDEZ")</f>
        <v>MENDEZ</v>
      </c>
      <c r="S726" s="1" t="str">
        <f>IFERROR(__xludf.DUMMYFUNCTION("""COMPUTED_VALUE"""),"CAVITE")</f>
        <v>CAVITE</v>
      </c>
      <c r="T726" s="1" t="str">
        <f>IFERROR(__xludf.DUMMYFUNCTION("""COMPUTED_VALUE"""),"FIBR UNLI ALL PLAN 3199")</f>
        <v>FIBR UNLI ALL PLAN 3199</v>
      </c>
      <c r="U726" s="1" t="str">
        <f>IFERROR(__xludf.DUMMYFUNCTION("""COMPUTED_VALUE"""),"APPROVED")</f>
        <v>APPROVED</v>
      </c>
      <c r="V726" s="1"/>
      <c r="W726" s="1"/>
    </row>
    <row r="727" customHeight="1" spans="1:23">
      <c r="A727" s="3">
        <f>IFERROR(__xludf.DUMMYFUNCTION("""COMPUTED_VALUE"""),46088)</f>
        <v>46088</v>
      </c>
      <c r="B727" s="1" t="str">
        <f>IFERROR(__xludf.DUMMYFUNCTION("""COMPUTED_VALUE"""),"AYON MANUEL")</f>
        <v>AYON MANUEL</v>
      </c>
      <c r="C727" s="1" t="str">
        <f>IFERROR(__xludf.DUMMYFUNCTION("""COMPUTED_VALUE"""),"FLA")</f>
        <v>FLA</v>
      </c>
      <c r="D727" s="1" t="str">
        <f>IFERROR(__xludf.DUMMYFUNCTION("""COMPUTED_VALUE"""),"JERIC NAVARRO")</f>
        <v>JERIC NAVARRO</v>
      </c>
      <c r="E727" s="1" t="str">
        <f>IFERROR(__xludf.DUMMYFUNCTION("""COMPUTED_VALUE"""),"PLDT")</f>
        <v>PLDT</v>
      </c>
      <c r="F727" s="1">
        <f>IFERROR(__xludf.DUMMYFUNCTION("""COMPUTED_VALUE"""),2307511739)</f>
        <v>2307511739</v>
      </c>
      <c r="G727" s="1"/>
      <c r="H727" s="1" t="str">
        <f>IFERROR(__xludf.DUMMYFUNCTION("""COMPUTED_VALUE"""),"ZALDY MAR SAGRIT BADILLOS")</f>
        <v>ZALDY MAR SAGRIT BADILLOS</v>
      </c>
      <c r="I727" s="1">
        <f>IFERROR(__xludf.DUMMYFUNCTION("""COMPUTED_VALUE"""),9296773215)</f>
        <v>9296773215</v>
      </c>
      <c r="J727" s="1">
        <f>IFERROR(__xludf.DUMMYFUNCTION("""COMPUTED_VALUE"""),9629658144)</f>
        <v>9629658144</v>
      </c>
      <c r="K727" s="1" t="str">
        <f>IFERROR(__xludf.DUMMYFUNCTION("""COMPUTED_VALUE"""),"EDNAJAVIER48@GMAIL.COM")</f>
        <v>EDNAJAVIER48@GMAIL.COM</v>
      </c>
      <c r="L727" s="1" t="str">
        <f>IFERROR(__xludf.DUMMYFUNCTION("""COMPUTED_VALUE"""),"10")</f>
        <v>10</v>
      </c>
      <c r="M727" s="1" t="str">
        <f>IFERROR(__xludf.DUMMYFUNCTION("""COMPUTED_VALUE"""),"APARTMENT UNIT C")</f>
        <v>APARTMENT UNIT C</v>
      </c>
      <c r="N727" s="1"/>
      <c r="O727" s="1"/>
      <c r="P727" s="1"/>
      <c r="Q727" s="1" t="str">
        <f>IFERROR(__xludf.DUMMYFUNCTION("""COMPUTED_VALUE"""),"ANULING CERCA I")</f>
        <v>ANULING CERCA I</v>
      </c>
      <c r="R727" s="1" t="str">
        <f>IFERROR(__xludf.DUMMYFUNCTION("""COMPUTED_VALUE"""),"MENDEZ")</f>
        <v>MENDEZ</v>
      </c>
      <c r="S727" s="1" t="str">
        <f>IFERROR(__xludf.DUMMYFUNCTION("""COMPUTED_VALUE"""),"CAVITE")</f>
        <v>CAVITE</v>
      </c>
      <c r="T727" s="1" t="str">
        <f>IFERROR(__xludf.DUMMYFUNCTION("""COMPUTED_VALUE"""),"FIBR UNLI ALL PLAN 2499")</f>
        <v>FIBR UNLI ALL PLAN 2499</v>
      </c>
      <c r="U727" s="1" t="str">
        <f>IFERROR(__xludf.DUMMYFUNCTION("""COMPUTED_VALUE"""),"APPROVED")</f>
        <v>APPROVED</v>
      </c>
      <c r="V727" s="1"/>
      <c r="W727" s="1"/>
    </row>
    <row r="728" customHeight="1" spans="1:23">
      <c r="A728" s="3">
        <f>IFERROR(__xludf.DUMMYFUNCTION("""COMPUTED_VALUE"""),46088)</f>
        <v>46088</v>
      </c>
      <c r="B728" s="1" t="str">
        <f>IFERROR(__xludf.DUMMYFUNCTION("""COMPUTED_VALUE"""),"AYON MANUEL")</f>
        <v>AYON MANUEL</v>
      </c>
      <c r="C728" s="1" t="str">
        <f>IFERROR(__xludf.DUMMYFUNCTION("""COMPUTED_VALUE"""),"FLA")</f>
        <v>FLA</v>
      </c>
      <c r="D728" s="1" t="str">
        <f>IFERROR(__xludf.DUMMYFUNCTION("""COMPUTED_VALUE"""),"JERIC NAVARRO")</f>
        <v>JERIC NAVARRO</v>
      </c>
      <c r="E728" s="1" t="str">
        <f>IFERROR(__xludf.DUMMYFUNCTION("""COMPUTED_VALUE"""),"PLDT")</f>
        <v>PLDT</v>
      </c>
      <c r="F728" s="1">
        <f>IFERROR(__xludf.DUMMYFUNCTION("""COMPUTED_VALUE"""),2307512056)</f>
        <v>2307512056</v>
      </c>
      <c r="G728" s="1"/>
      <c r="H728" s="1" t="str">
        <f>IFERROR(__xludf.DUMMYFUNCTION("""COMPUTED_VALUE"""),"WILLIAM VIDAMO MARAAN")</f>
        <v>WILLIAM VIDAMO MARAAN</v>
      </c>
      <c r="I728" s="1">
        <f>IFERROR(__xludf.DUMMYFUNCTION("""COMPUTED_VALUE"""),9995480775)</f>
        <v>9995480775</v>
      </c>
      <c r="J728" s="1">
        <f>IFERROR(__xludf.DUMMYFUNCTION("""COMPUTED_VALUE"""),9606815405)</f>
        <v>9606815405</v>
      </c>
      <c r="K728" s="1" t="str">
        <f>IFERROR(__xludf.DUMMYFUNCTION("""COMPUTED_VALUE"""),"WVMARAAN@YAHOO.COM")</f>
        <v>WVMARAAN@YAHOO.COM</v>
      </c>
      <c r="L728" s="1" t="str">
        <f>IFERROR(__xludf.DUMMYFUNCTION("""COMPUTED_VALUE"""),"144")</f>
        <v>144</v>
      </c>
      <c r="M728" s="1" t="str">
        <f>IFERROR(__xludf.DUMMYFUNCTION("""COMPUTED_VALUE"""),"PUNGOL RD")</f>
        <v>PUNGOL RD</v>
      </c>
      <c r="N728" s="1"/>
      <c r="O728" s="1"/>
      <c r="P728" s="1"/>
      <c r="Q728" s="1" t="str">
        <f>IFERROR(__xludf.DUMMYFUNCTION("""COMPUTED_VALUE"""),"PATUTONG MALAKI NORTH")</f>
        <v>PATUTONG MALAKI NORTH</v>
      </c>
      <c r="R728" s="1" t="str">
        <f>IFERROR(__xludf.DUMMYFUNCTION("""COMPUTED_VALUE"""),"TAGAYTAY")</f>
        <v>TAGAYTAY</v>
      </c>
      <c r="S728" s="1" t="str">
        <f>IFERROR(__xludf.DUMMYFUNCTION("""COMPUTED_VALUE"""),"CAVITE")</f>
        <v>CAVITE</v>
      </c>
      <c r="T728" s="1" t="str">
        <f>IFERROR(__xludf.DUMMYFUNCTION("""COMPUTED_VALUE"""),"FIBR UNLI ALL PLAN 2499")</f>
        <v>FIBR UNLI ALL PLAN 2499</v>
      </c>
      <c r="U728" s="1" t="str">
        <f>IFERROR(__xludf.DUMMYFUNCTION("""COMPUTED_VALUE"""),"APPROVED")</f>
        <v>APPROVED</v>
      </c>
      <c r="V728" s="1"/>
      <c r="W728" s="1"/>
    </row>
    <row r="729" customHeight="1" spans="1:23">
      <c r="A729" s="3">
        <f>IFERROR(__xludf.DUMMYFUNCTION("""COMPUTED_VALUE"""),46088)</f>
        <v>46088</v>
      </c>
      <c r="B729" s="1" t="str">
        <f>IFERROR(__xludf.DUMMYFUNCTION("""COMPUTED_VALUE"""),"AYON MANUEL")</f>
        <v>AYON MANUEL</v>
      </c>
      <c r="C729" s="1" t="str">
        <f>IFERROR(__xludf.DUMMYFUNCTION("""COMPUTED_VALUE"""),"FLA")</f>
        <v>FLA</v>
      </c>
      <c r="D729" s="1" t="str">
        <f>IFERROR(__xludf.DUMMYFUNCTION("""COMPUTED_VALUE"""),"JERIC NAVARRO")</f>
        <v>JERIC NAVARRO</v>
      </c>
      <c r="E729" s="1" t="str">
        <f>IFERROR(__xludf.DUMMYFUNCTION("""COMPUTED_VALUE"""),"PLDT")</f>
        <v>PLDT</v>
      </c>
      <c r="F729" s="1">
        <f>IFERROR(__xludf.DUMMYFUNCTION("""COMPUTED_VALUE"""),2307512026)</f>
        <v>2307512026</v>
      </c>
      <c r="G729" s="1"/>
      <c r="H729" s="1" t="str">
        <f>IFERROR(__xludf.DUMMYFUNCTION("""COMPUTED_VALUE"""),"CACHARINA KIRSTINE AURE PERENA")</f>
        <v>CACHARINA KIRSTINE AURE PERENA</v>
      </c>
      <c r="I729" s="1">
        <f>IFERROR(__xludf.DUMMYFUNCTION("""COMPUTED_VALUE"""),9454779637)</f>
        <v>9454779637</v>
      </c>
      <c r="J729" s="1">
        <f>IFERROR(__xludf.DUMMYFUNCTION("""COMPUTED_VALUE"""),9954397518)</f>
        <v>9954397518</v>
      </c>
      <c r="K729" s="1" t="str">
        <f>IFERROR(__xludf.DUMMYFUNCTION("""COMPUTED_VALUE"""),"ECHA.PERENA15@GMAIL.COM")</f>
        <v>ECHA.PERENA15@GMAIL.COM</v>
      </c>
      <c r="L729" s="1" t="str">
        <f>IFERROR(__xludf.DUMMYFUNCTION("""COMPUTED_VALUE"""),"LOT 2")</f>
        <v>LOT 2</v>
      </c>
      <c r="M729" s="1" t="str">
        <f>IFERROR(__xludf.DUMMYFUNCTION("""COMPUTED_VALUE"""),"KAP SALABAR RD")</f>
        <v>KAP SALABAR RD</v>
      </c>
      <c r="N729" s="1"/>
      <c r="O729" s="1"/>
      <c r="P729" s="1"/>
      <c r="Q729" s="1" t="str">
        <f>IFERROR(__xludf.DUMMYFUNCTION("""COMPUTED_VALUE"""),"BUCAL")</f>
        <v>BUCAL</v>
      </c>
      <c r="R729" s="1" t="str">
        <f>IFERROR(__xludf.DUMMYFUNCTION("""COMPUTED_VALUE"""),"MENDEZ")</f>
        <v>MENDEZ</v>
      </c>
      <c r="S729" s="1" t="str">
        <f>IFERROR(__xludf.DUMMYFUNCTION("""COMPUTED_VALUE"""),"CAVITE")</f>
        <v>CAVITE</v>
      </c>
      <c r="T729" s="1" t="str">
        <f>IFERROR(__xludf.DUMMYFUNCTION("""COMPUTED_VALUE"""),"FIBR UNLI ALL PLAN 1399")</f>
        <v>FIBR UNLI ALL PLAN 1399</v>
      </c>
      <c r="U729" s="1" t="str">
        <f>IFERROR(__xludf.DUMMYFUNCTION("""COMPUTED_VALUE"""),"APPROVED")</f>
        <v>APPROVED</v>
      </c>
      <c r="V729" s="1"/>
      <c r="W729" s="1"/>
    </row>
    <row r="730" customHeight="1" spans="1:23">
      <c r="A730" s="3">
        <f>IFERROR(__xludf.DUMMYFUNCTION("""COMPUTED_VALUE"""),46088)</f>
        <v>46088</v>
      </c>
      <c r="B730" s="1" t="str">
        <f>IFERROR(__xludf.DUMMYFUNCTION("""COMPUTED_VALUE"""),"AYON MANUEL")</f>
        <v>AYON MANUEL</v>
      </c>
      <c r="C730" s="1" t="str">
        <f>IFERROR(__xludf.DUMMYFUNCTION("""COMPUTED_VALUE"""),"FLA")</f>
        <v>FLA</v>
      </c>
      <c r="D730" s="1" t="str">
        <f>IFERROR(__xludf.DUMMYFUNCTION("""COMPUTED_VALUE"""),"JERIC NAVARRO")</f>
        <v>JERIC NAVARRO</v>
      </c>
      <c r="E730" s="1" t="str">
        <f>IFERROR(__xludf.DUMMYFUNCTION("""COMPUTED_VALUE"""),"PLDT")</f>
        <v>PLDT</v>
      </c>
      <c r="F730" s="1">
        <f>IFERROR(__xludf.DUMMYFUNCTION("""COMPUTED_VALUE"""),2307512619)</f>
        <v>2307512619</v>
      </c>
      <c r="G730" s="1"/>
      <c r="H730" s="1" t="str">
        <f>IFERROR(__xludf.DUMMYFUNCTION("""COMPUTED_VALUE"""),"R AND R JUNKSHOP")</f>
        <v>R AND R JUNKSHOP</v>
      </c>
      <c r="I730" s="1">
        <f>IFERROR(__xludf.DUMMYFUNCTION("""COMPUTED_VALUE"""),9512733400)</f>
        <v>9512733400</v>
      </c>
      <c r="J730" s="1">
        <f>IFERROR(__xludf.DUMMYFUNCTION("""COMPUTED_VALUE"""),9067417995)</f>
        <v>9067417995</v>
      </c>
      <c r="K730" s="1" t="str">
        <f>IFERROR(__xludf.DUMMYFUNCTION("""COMPUTED_VALUE"""),"NUESTRORONALYN8@GMAIL.COM")</f>
        <v>NUESTRORONALYN8@GMAIL.COM</v>
      </c>
      <c r="L730" s="1" t="str">
        <f>IFERROR(__xludf.DUMMYFUNCTION("""COMPUTED_VALUE"""),"665")</f>
        <v>665</v>
      </c>
      <c r="M730" s="1" t="str">
        <f>IFERROR(__xludf.DUMMYFUNCTION("""COMPUTED_VALUE"""),"MAYSILI RD")</f>
        <v>MAYSILI RD</v>
      </c>
      <c r="N730" s="1"/>
      <c r="O730" s="1"/>
      <c r="P730" s="1"/>
      <c r="Q730" s="1" t="str">
        <f>IFERROR(__xludf.DUMMYFUNCTION("""COMPUTED_VALUE"""),"ASIS III")</f>
        <v>ASIS III</v>
      </c>
      <c r="R730" s="1" t="str">
        <f>IFERROR(__xludf.DUMMYFUNCTION("""COMPUTED_VALUE"""),"MENDEZ")</f>
        <v>MENDEZ</v>
      </c>
      <c r="S730" s="1" t="str">
        <f>IFERROR(__xludf.DUMMYFUNCTION("""COMPUTED_VALUE"""),"CAVITE")</f>
        <v>CAVITE</v>
      </c>
      <c r="T730" s="1" t="str">
        <f>IFERROR(__xludf.DUMMYFUNCTION("""COMPUTED_VALUE"""),"FIBR PLAN 1299")</f>
        <v>FIBR PLAN 1299</v>
      </c>
      <c r="U730" s="1" t="str">
        <f>IFERROR(__xludf.DUMMYFUNCTION("""COMPUTED_VALUE"""),"APPROVED")</f>
        <v>APPROVED</v>
      </c>
      <c r="V730" s="1"/>
      <c r="W730" s="1"/>
    </row>
    <row r="731" customHeight="1" spans="1:23">
      <c r="A731" s="3">
        <f>IFERROR(__xludf.DUMMYFUNCTION("""COMPUTED_VALUE"""),46088)</f>
        <v>46088</v>
      </c>
      <c r="B731" s="1" t="str">
        <f>IFERROR(__xludf.DUMMYFUNCTION("""COMPUTED_VALUE"""),"AYON MANUEL")</f>
        <v>AYON MANUEL</v>
      </c>
      <c r="C731" s="1" t="str">
        <f>IFERROR(__xludf.DUMMYFUNCTION("""COMPUTED_VALUE"""),"FLA")</f>
        <v>FLA</v>
      </c>
      <c r="D731" s="1" t="str">
        <f>IFERROR(__xludf.DUMMYFUNCTION("""COMPUTED_VALUE"""),"JERIC NAVARRO")</f>
        <v>JERIC NAVARRO</v>
      </c>
      <c r="E731" s="1" t="str">
        <f>IFERROR(__xludf.DUMMYFUNCTION("""COMPUTED_VALUE"""),"PLDT")</f>
        <v>PLDT</v>
      </c>
      <c r="F731" s="1">
        <f>IFERROR(__xludf.DUMMYFUNCTION("""COMPUTED_VALUE"""),2307512806)</f>
        <v>2307512806</v>
      </c>
      <c r="G731" s="1"/>
      <c r="H731" s="1" t="str">
        <f>IFERROR(__xludf.DUMMYFUNCTION("""COMPUTED_VALUE"""),"PRIMITIVO JR TUPAS ACEBRON")</f>
        <v>PRIMITIVO JR TUPAS ACEBRON</v>
      </c>
      <c r="I731" s="1">
        <f>IFERROR(__xludf.DUMMYFUNCTION("""COMPUTED_VALUE"""),9752456808)</f>
        <v>9752456808</v>
      </c>
      <c r="J731" s="1">
        <f>IFERROR(__xludf.DUMMYFUNCTION("""COMPUTED_VALUE"""),9654685849)</f>
        <v>9654685849</v>
      </c>
      <c r="K731" s="1" t="str">
        <f>IFERROR(__xludf.DUMMYFUNCTION("""COMPUTED_VALUE"""),"ACEBRONPAUL15@GMAIL.COM")</f>
        <v>ACEBRONPAUL15@GMAIL.COM</v>
      </c>
      <c r="L731" s="1" t="str">
        <f>IFERROR(__xludf.DUMMYFUNCTION("""COMPUTED_VALUE"""),"1806")</f>
        <v>1806</v>
      </c>
      <c r="M731" s="1" t="str">
        <f>IFERROR(__xludf.DUMMYFUNCTION("""COMPUTED_VALUE"""),"BANAYAD RD")</f>
        <v>BANAYAD RD</v>
      </c>
      <c r="N731" s="1"/>
      <c r="O731" s="1"/>
      <c r="P731" s="1"/>
      <c r="Q731" s="1" t="str">
        <f>IFERROR(__xludf.DUMMYFUNCTION("""COMPUTED_VALUE"""),"BANAYAD")</f>
        <v>BANAYAD</v>
      </c>
      <c r="R731" s="1" t="str">
        <f>IFERROR(__xludf.DUMMYFUNCTION("""COMPUTED_VALUE"""),"MENDEZ")</f>
        <v>MENDEZ</v>
      </c>
      <c r="S731" s="1" t="str">
        <f>IFERROR(__xludf.DUMMYFUNCTION("""COMPUTED_VALUE"""),"CAVITE")</f>
        <v>CAVITE</v>
      </c>
      <c r="T731" s="1" t="str">
        <f>IFERROR(__xludf.DUMMYFUNCTION("""COMPUTED_VALUE"""),"FIBR UNLI ALL PLAN 999")</f>
        <v>FIBR UNLI ALL PLAN 999</v>
      </c>
      <c r="U731" s="1" t="str">
        <f>IFERROR(__xludf.DUMMYFUNCTION("""COMPUTED_VALUE"""),"APPROVED")</f>
        <v>APPROVED</v>
      </c>
      <c r="V731" s="1"/>
      <c r="W731" s="1"/>
    </row>
    <row r="732" customHeight="1" spans="1:23">
      <c r="A732" s="3">
        <f>IFERROR(__xludf.DUMMYFUNCTION("""COMPUTED_VALUE"""),46088)</f>
        <v>46088</v>
      </c>
      <c r="B732" s="1" t="str">
        <f>IFERROR(__xludf.DUMMYFUNCTION("""COMPUTED_VALUE"""),"CABRERA JILLIENE")</f>
        <v>CABRERA JILLIENE</v>
      </c>
      <c r="C732" s="1" t="str">
        <f>IFERROR(__xludf.DUMMYFUNCTION("""COMPUTED_VALUE"""),"ORGANIC")</f>
        <v>ORGANIC</v>
      </c>
      <c r="D732" s="1" t="str">
        <f>IFERROR(__xludf.DUMMYFUNCTION("""COMPUTED_VALUE"""),"ALOS, CHARLS")</f>
        <v>ALOS, CHARLS</v>
      </c>
      <c r="E732" s="1" t="str">
        <f>IFERROR(__xludf.DUMMYFUNCTION("""COMPUTED_VALUE"""),"PLDT")</f>
        <v>PLDT</v>
      </c>
      <c r="F732" s="1">
        <f>IFERROR(__xludf.DUMMYFUNCTION("""COMPUTED_VALUE"""),2307513290)</f>
        <v>2307513290</v>
      </c>
      <c r="G732" s="1"/>
      <c r="H732" s="1" t="str">
        <f>IFERROR(__xludf.DUMMYFUNCTION("""COMPUTED_VALUE"""),"MIA VILLEGAS FERNANDEZ ")</f>
        <v>MIA VILLEGAS FERNANDEZ </v>
      </c>
      <c r="I732" s="1">
        <f>IFERROR(__xludf.DUMMYFUNCTION("""COMPUTED_VALUE"""),9300281744)</f>
        <v>9300281744</v>
      </c>
      <c r="J732" s="1">
        <f>IFERROR(__xludf.DUMMYFUNCTION("""COMPUTED_VALUE"""),9589765487)</f>
        <v>9589765487</v>
      </c>
      <c r="K732" s="1" t="str">
        <f>IFERROR(__xludf.DUMMYFUNCTION("""COMPUTED_VALUE"""),"ROMELIEJOLITEDO2@GMAIL.COM")</f>
        <v>ROMELIEJOLITEDO2@GMAIL.COM</v>
      </c>
      <c r="L732" s="1" t="str">
        <f>IFERROR(__xludf.DUMMYFUNCTION("""COMPUTED_VALUE"""),"69")</f>
        <v>69</v>
      </c>
      <c r="M732" s="1" t="str">
        <f>IFERROR(__xludf.DUMMYFUNCTION("""COMPUTED_VALUE"""),"ACACIA")</f>
        <v>ACACIA</v>
      </c>
      <c r="N732" s="1"/>
      <c r="O732" s="1"/>
      <c r="P732" s="1"/>
      <c r="Q732" s="1" t="str">
        <f>IFERROR(__xludf.DUMMYFUNCTION("""COMPUTED_VALUE"""),"BANAYAD")</f>
        <v>BANAYAD</v>
      </c>
      <c r="R732" s="1" t="str">
        <f>IFERROR(__xludf.DUMMYFUNCTION("""COMPUTED_VALUE"""),"MENDEZ")</f>
        <v>MENDEZ</v>
      </c>
      <c r="S732" s="1" t="str">
        <f>IFERROR(__xludf.DUMMYFUNCTION("""COMPUTED_VALUE"""),"CAVITE")</f>
        <v>CAVITE</v>
      </c>
      <c r="T732" s="1" t="str">
        <f>IFERROR(__xludf.DUMMYFUNCTION("""COMPUTED_VALUE"""),"FIBR NETFLIX PLAN 1599")</f>
        <v>FIBR NETFLIX PLAN 1599</v>
      </c>
      <c r="U732" s="1" t="str">
        <f>IFERROR(__xludf.DUMMYFUNCTION("""COMPUTED_VALUE"""),"APPROVED")</f>
        <v>APPROVED</v>
      </c>
      <c r="V732" s="1"/>
      <c r="W732" s="1"/>
    </row>
    <row r="733" customHeight="1" spans="1:23">
      <c r="A733" s="3">
        <f>IFERROR(__xludf.DUMMYFUNCTION("""COMPUTED_VALUE"""),46088)</f>
        <v>46088</v>
      </c>
      <c r="B733" s="1" t="str">
        <f>IFERROR(__xludf.DUMMYFUNCTION("""COMPUTED_VALUE"""),"CONCEPCION, ALJAY")</f>
        <v>CONCEPCION, ALJAY</v>
      </c>
      <c r="C733" s="1" t="str">
        <f>IFERROR(__xludf.DUMMYFUNCTION("""COMPUTED_VALUE"""),"ORGANIC")</f>
        <v>ORGANIC</v>
      </c>
      <c r="D733" s="1" t="str">
        <f>IFERROR(__xludf.DUMMYFUNCTION("""COMPUTED_VALUE"""),"ALINGARO, CINDY")</f>
        <v>ALINGARO, CINDY</v>
      </c>
      <c r="E733" s="1" t="str">
        <f>IFERROR(__xludf.DUMMYFUNCTION("""COMPUTED_VALUE"""),"PLDT")</f>
        <v>PLDT</v>
      </c>
      <c r="F733" s="1">
        <f>IFERROR(__xludf.DUMMYFUNCTION("""COMPUTED_VALUE"""),2307513356)</f>
        <v>2307513356</v>
      </c>
      <c r="G733" s="1"/>
      <c r="H733" s="1" t="str">
        <f>IFERROR(__xludf.DUMMYFUNCTION("""COMPUTED_VALUE"""),"MARIA JENINA REYES REGIS")</f>
        <v>MARIA JENINA REYES REGIS</v>
      </c>
      <c r="I733" s="1">
        <f>IFERROR(__xludf.DUMMYFUNCTION("""COMPUTED_VALUE"""),9385773472)</f>
        <v>9385773472</v>
      </c>
      <c r="J733" s="1">
        <f>IFERROR(__xludf.DUMMYFUNCTION("""COMPUTED_VALUE"""),9054788951)</f>
        <v>9054788951</v>
      </c>
      <c r="K733" s="1" t="str">
        <f>IFERROR(__xludf.DUMMYFUNCTION("""COMPUTED_VALUE"""),"JENINEREGES1@GMAIL.COM")</f>
        <v>JENINEREGES1@GMAIL.COM</v>
      </c>
      <c r="L733" s="1" t="str">
        <f>IFERROR(__xludf.DUMMYFUNCTION("""COMPUTED_VALUE"""),"33")</f>
        <v>33</v>
      </c>
      <c r="M733" s="1" t="str">
        <f>IFERROR(__xludf.DUMMYFUNCTION("""COMPUTED_VALUE"""),"PUROK 6")</f>
        <v>PUROK 6</v>
      </c>
      <c r="N733" s="1"/>
      <c r="O733" s="1"/>
      <c r="P733" s="1"/>
      <c r="Q733" s="1" t="str">
        <f>IFERROR(__xludf.DUMMYFUNCTION("""COMPUTED_VALUE"""),"MUNTING ILOG")</f>
        <v>MUNTING ILOG</v>
      </c>
      <c r="R733" s="1" t="str">
        <f>IFERROR(__xludf.DUMMYFUNCTION("""COMPUTED_VALUE"""),"SILANG")</f>
        <v>SILANG</v>
      </c>
      <c r="S733" s="1" t="str">
        <f>IFERROR(__xludf.DUMMYFUNCTION("""COMPUTED_VALUE"""),"CAVITE")</f>
        <v>CAVITE</v>
      </c>
      <c r="T733" s="1" t="str">
        <f>IFERROR(__xludf.DUMMYFUNCTION("""COMPUTED_VALUE"""),"FIBR UNLI ALL PLAN 1399")</f>
        <v>FIBR UNLI ALL PLAN 1399</v>
      </c>
      <c r="U733" s="1" t="str">
        <f>IFERROR(__xludf.DUMMYFUNCTION("""COMPUTED_VALUE"""),"APPROVED")</f>
        <v>APPROVED</v>
      </c>
      <c r="V733" s="1"/>
      <c r="W733" s="1"/>
    </row>
    <row r="734" customHeight="1" spans="1:23">
      <c r="A734" s="3">
        <f>IFERROR(__xludf.DUMMYFUNCTION("""COMPUTED_VALUE"""),46088)</f>
        <v>46088</v>
      </c>
      <c r="B734" s="1" t="str">
        <f>IFERROR(__xludf.DUMMYFUNCTION("""COMPUTED_VALUE"""),"CONCEPCION, ALJAY")</f>
        <v>CONCEPCION, ALJAY</v>
      </c>
      <c r="C734" s="1" t="str">
        <f>IFERROR(__xludf.DUMMYFUNCTION("""COMPUTED_VALUE"""),"ORGANIC")</f>
        <v>ORGANIC</v>
      </c>
      <c r="D734" s="1" t="str">
        <f>IFERROR(__xludf.DUMMYFUNCTION("""COMPUTED_VALUE"""),"ALINGARO, CINDY")</f>
        <v>ALINGARO, CINDY</v>
      </c>
      <c r="E734" s="1" t="str">
        <f>IFERROR(__xludf.DUMMYFUNCTION("""COMPUTED_VALUE"""),"PLDT")</f>
        <v>PLDT</v>
      </c>
      <c r="F734" s="1">
        <f>IFERROR(__xludf.DUMMYFUNCTION("""COMPUTED_VALUE"""),2307581953)</f>
        <v>2307581953</v>
      </c>
      <c r="G734" s="1"/>
      <c r="H734" s="1" t="str">
        <f>IFERROR(__xludf.DUMMYFUNCTION("""COMPUTED_VALUE"""),"ERICA DELOS SANTOS REYES")</f>
        <v>ERICA DELOS SANTOS REYES</v>
      </c>
      <c r="I734" s="1">
        <f>IFERROR(__xludf.DUMMYFUNCTION("""COMPUTED_VALUE"""),9054355150)</f>
        <v>9054355150</v>
      </c>
      <c r="J734" s="1">
        <f>IFERROR(__xludf.DUMMYFUNCTION("""COMPUTED_VALUE"""),9282272206)</f>
        <v>9282272206</v>
      </c>
      <c r="K734" s="1" t="str">
        <f>IFERROR(__xludf.DUMMYFUNCTION("""COMPUTED_VALUE"""),"ERICDSREYES@GMAIL.COM")</f>
        <v>ERICDSREYES@GMAIL.COM</v>
      </c>
      <c r="L734" s="1" t="str">
        <f>IFERROR(__xludf.DUMMYFUNCTION("""COMPUTED_VALUE"""),"9263")</f>
        <v>9263</v>
      </c>
      <c r="M734" s="1" t="str">
        <f>IFERROR(__xludf.DUMMYFUNCTION("""COMPUTED_VALUE"""),"HALFWAY ")</f>
        <v>HALFWAY </v>
      </c>
      <c r="N734" s="1"/>
      <c r="O734" s="1"/>
      <c r="P734" s="1"/>
      <c r="Q734" s="1" t="str">
        <f>IFERROR(__xludf.DUMMYFUNCTION("""COMPUTED_VALUE"""),"MUNTING ILOG")</f>
        <v>MUNTING ILOG</v>
      </c>
      <c r="R734" s="1" t="str">
        <f>IFERROR(__xludf.DUMMYFUNCTION("""COMPUTED_VALUE"""),"SILANG")</f>
        <v>SILANG</v>
      </c>
      <c r="S734" s="1" t="str">
        <f>IFERROR(__xludf.DUMMYFUNCTION("""COMPUTED_VALUE"""),"CAVITE")</f>
        <v>CAVITE</v>
      </c>
      <c r="T734" s="1" t="str">
        <f>IFERROR(__xludf.DUMMYFUNCTION("""COMPUTED_VALUE"""),"SWITCH FIBR UNLI ALL PLAN 1399")</f>
        <v>SWITCH FIBR UNLI ALL PLAN 1399</v>
      </c>
      <c r="U734" s="1" t="str">
        <f>IFERROR(__xludf.DUMMYFUNCTION("""COMPUTED_VALUE"""),"APPROVED")</f>
        <v>APPROVED</v>
      </c>
      <c r="V734" s="1" t="str">
        <f>IFERROR(__xludf.DUMMYFUNCTION("""COMPUTED_VALUE"""),"3/10/2026")</f>
        <v>3/10/2026</v>
      </c>
      <c r="W734" s="1"/>
    </row>
    <row r="735" customHeight="1" spans="1:23">
      <c r="A735" s="3">
        <f>IFERROR(__xludf.DUMMYFUNCTION("""COMPUTED_VALUE"""),46088)</f>
        <v>46088</v>
      </c>
      <c r="B735" s="1" t="str">
        <f>IFERROR(__xludf.DUMMYFUNCTION("""COMPUTED_VALUE"""),"CONCEPCION, ALJAY")</f>
        <v>CONCEPCION, ALJAY</v>
      </c>
      <c r="C735" s="1" t="str">
        <f>IFERROR(__xludf.DUMMYFUNCTION("""COMPUTED_VALUE"""),"ORGANIC")</f>
        <v>ORGANIC</v>
      </c>
      <c r="D735" s="1" t="str">
        <f>IFERROR(__xludf.DUMMYFUNCTION("""COMPUTED_VALUE"""),"ALINGARO, CINDY")</f>
        <v>ALINGARO, CINDY</v>
      </c>
      <c r="E735" s="1" t="str">
        <f>IFERROR(__xludf.DUMMYFUNCTION("""COMPUTED_VALUE"""),"PLDT")</f>
        <v>PLDT</v>
      </c>
      <c r="F735" s="1">
        <f>IFERROR(__xludf.DUMMYFUNCTION("""COMPUTED_VALUE"""),2307520247)</f>
        <v>2307520247</v>
      </c>
      <c r="G735" s="1"/>
      <c r="H735" s="1" t="str">
        <f>IFERROR(__xludf.DUMMYFUNCTION("""COMPUTED_VALUE"""),"MARLON CASAS MINTO")</f>
        <v>MARLON CASAS MINTO</v>
      </c>
      <c r="I735" s="1">
        <f>IFERROR(__xludf.DUMMYFUNCTION("""COMPUTED_VALUE"""),9095784906)</f>
        <v>9095784906</v>
      </c>
      <c r="J735" s="1"/>
      <c r="K735" s="1" t="str">
        <f>IFERROR(__xludf.DUMMYFUNCTION("""COMPUTED_VALUE"""),"MARLONMINTO48@GMAIL.COM")</f>
        <v>MARLONMINTO48@GMAIL.COM</v>
      </c>
      <c r="L735" s="1" t="str">
        <f>IFERROR(__xludf.DUMMYFUNCTION("""COMPUTED_VALUE"""),"163")</f>
        <v>163</v>
      </c>
      <c r="M735" s="1" t="str">
        <f>IFERROR(__xludf.DUMMYFUNCTION("""COMPUTED_VALUE"""),"TIBIG RD")</f>
        <v>TIBIG RD</v>
      </c>
      <c r="N735" s="1"/>
      <c r="O735" s="1"/>
      <c r="P735" s="1"/>
      <c r="Q735" s="1" t="str">
        <f>IFERROR(__xludf.DUMMYFUNCTION("""COMPUTED_VALUE"""),"TIBIG")</f>
        <v>TIBIG</v>
      </c>
      <c r="R735" s="1" t="str">
        <f>IFERROR(__xludf.DUMMYFUNCTION("""COMPUTED_VALUE"""),"SILANG")</f>
        <v>SILANG</v>
      </c>
      <c r="S735" s="1" t="str">
        <f>IFERROR(__xludf.DUMMYFUNCTION("""COMPUTED_VALUE"""),"CAVITE")</f>
        <v>CAVITE</v>
      </c>
      <c r="T735" s="1" t="str">
        <f>IFERROR(__xludf.DUMMYFUNCTION("""COMPUTED_VALUE"""),"FIBR UNLI ALL PLAN 1399")</f>
        <v>FIBR UNLI ALL PLAN 1399</v>
      </c>
      <c r="U735" s="1" t="str">
        <f>IFERROR(__xludf.DUMMYFUNCTION("""COMPUTED_VALUE"""),"APPROVED")</f>
        <v>APPROVED</v>
      </c>
      <c r="V735" s="1"/>
      <c r="W735" s="1"/>
    </row>
    <row r="736" customHeight="1" spans="1:23">
      <c r="A736" s="3">
        <f>IFERROR(__xludf.DUMMYFUNCTION("""COMPUTED_VALUE"""),46089)</f>
        <v>46089</v>
      </c>
      <c r="B736" s="1" t="str">
        <f>IFERROR(__xludf.DUMMYFUNCTION("""COMPUTED_VALUE"""),"AYON MANUEL")</f>
        <v>AYON MANUEL</v>
      </c>
      <c r="C736" s="1" t="str">
        <f>IFERROR(__xludf.DUMMYFUNCTION("""COMPUTED_VALUE"""),"FLA")</f>
        <v>FLA</v>
      </c>
      <c r="D736" s="1" t="str">
        <f>IFERROR(__xludf.DUMMYFUNCTION("""COMPUTED_VALUE"""),"JERIC NAVARRO")</f>
        <v>JERIC NAVARRO</v>
      </c>
      <c r="E736" s="1" t="str">
        <f>IFERROR(__xludf.DUMMYFUNCTION("""COMPUTED_VALUE"""),"PLDT")</f>
        <v>PLDT</v>
      </c>
      <c r="F736" s="1">
        <f>IFERROR(__xludf.DUMMYFUNCTION("""COMPUTED_VALUE"""),2307522692)</f>
        <v>2307522692</v>
      </c>
      <c r="G736" s="1"/>
      <c r="H736" s="1" t="str">
        <f>IFERROR(__xludf.DUMMYFUNCTION("""COMPUTED_VALUE"""),"ARNEL RECINTO MENDOZA")</f>
        <v>ARNEL RECINTO MENDOZA</v>
      </c>
      <c r="I736" s="1">
        <f>IFERROR(__xludf.DUMMYFUNCTION("""COMPUTED_VALUE"""),9855431944)</f>
        <v>9855431944</v>
      </c>
      <c r="J736" s="1"/>
      <c r="K736" s="1" t="str">
        <f>IFERROR(__xludf.DUMMYFUNCTION("""COMPUTED_VALUE"""),"ARNELMENDOZA01963@GMAIL.COM")</f>
        <v>ARNELMENDOZA01963@GMAIL.COM</v>
      </c>
      <c r="L736" s="1" t="str">
        <f>IFERROR(__xludf.DUMMYFUNCTION("""COMPUTED_VALUE"""),"1149")</f>
        <v>1149</v>
      </c>
      <c r="M736" s="1" t="str">
        <f>IFERROR(__xludf.DUMMYFUNCTION("""COMPUTED_VALUE"""),"INDANG BANAYAD RD")</f>
        <v>INDANG BANAYAD RD</v>
      </c>
      <c r="N736" s="1"/>
      <c r="O736" s="1"/>
      <c r="P736" s="1"/>
      <c r="Q736" s="1" t="str">
        <f>IFERROR(__xludf.DUMMYFUNCTION("""COMPUTED_VALUE"""),"MIGUEL MOJICA")</f>
        <v>MIGUEL MOJICA</v>
      </c>
      <c r="R736" s="1" t="str">
        <f>IFERROR(__xludf.DUMMYFUNCTION("""COMPUTED_VALUE"""),"MENDEZ")</f>
        <v>MENDEZ</v>
      </c>
      <c r="S736" s="1" t="str">
        <f>IFERROR(__xludf.DUMMYFUNCTION("""COMPUTED_VALUE"""),"CAVITE")</f>
        <v>CAVITE</v>
      </c>
      <c r="T736" s="1" t="str">
        <f>IFERROR(__xludf.DUMMYFUNCTION("""COMPUTED_VALUE"""),"SWITCH FIBER UNLI ALL 1799")</f>
        <v>SWITCH FIBER UNLI ALL 1799</v>
      </c>
      <c r="U736" s="1" t="str">
        <f>IFERROR(__xludf.DUMMYFUNCTION("""COMPUTED_VALUE"""),"APPROVED")</f>
        <v>APPROVED</v>
      </c>
      <c r="V736" s="1"/>
      <c r="W736" s="1"/>
    </row>
    <row r="737" customHeight="1" spans="1:23">
      <c r="A737" s="3">
        <f>IFERROR(__xludf.DUMMYFUNCTION("""COMPUTED_VALUE"""),46089)</f>
        <v>46089</v>
      </c>
      <c r="B737" s="1" t="str">
        <f>IFERROR(__xludf.DUMMYFUNCTION("""COMPUTED_VALUE"""),"ESCARCHA, MA ALMA  ESCOTO")</f>
        <v>ESCARCHA, MA ALMA  ESCOTO</v>
      </c>
      <c r="C737" s="1" t="str">
        <f>IFERROR(__xludf.DUMMYFUNCTION("""COMPUTED_VALUE"""),"ORGANIC")</f>
        <v>ORGANIC</v>
      </c>
      <c r="D737" s="1" t="str">
        <f>IFERROR(__xludf.DUMMYFUNCTION("""COMPUTED_VALUE"""),"ALINGARO, CINDY")</f>
        <v>ALINGARO, CINDY</v>
      </c>
      <c r="E737" s="1" t="str">
        <f>IFERROR(__xludf.DUMMYFUNCTION("""COMPUTED_VALUE"""),"PLDT")</f>
        <v>PLDT</v>
      </c>
      <c r="F737" s="1">
        <f>IFERROR(__xludf.DUMMYFUNCTION("""COMPUTED_VALUE"""),2307539488)</f>
        <v>2307539488</v>
      </c>
      <c r="G737" s="1"/>
      <c r="H737" s="1" t="str">
        <f>IFERROR(__xludf.DUMMYFUNCTION("""COMPUTED_VALUE"""),"LANCE NICKOLE SAMALAGUE SABIO")</f>
        <v>LANCE NICKOLE SAMALAGUE SABIO</v>
      </c>
      <c r="I737" s="1">
        <f>IFERROR(__xludf.DUMMYFUNCTION("""COMPUTED_VALUE"""),9085397022)</f>
        <v>9085397022</v>
      </c>
      <c r="J737" s="1">
        <f>IFERROR(__xludf.DUMMYFUNCTION("""COMPUTED_VALUE"""),9467187419)</f>
        <v>9467187419</v>
      </c>
      <c r="K737" s="1" t="str">
        <f>IFERROR(__xludf.DUMMYFUNCTION("""COMPUTED_VALUE"""),"SABIOLANCE2@GMAIL.COM")</f>
        <v>SABIOLANCE2@GMAIL.COM</v>
      </c>
      <c r="L737" s="1" t="str">
        <f>IFERROR(__xludf.DUMMYFUNCTION("""COMPUTED_VALUE"""),"BLK 10 LOT 11")</f>
        <v>BLK 10 LOT 11</v>
      </c>
      <c r="M737" s="1" t="str">
        <f>IFERROR(__xludf.DUMMYFUNCTION("""COMPUTED_VALUE"""),"PARAGON VILLAGE")</f>
        <v>PARAGON VILLAGE</v>
      </c>
      <c r="N737" s="1"/>
      <c r="O737" s="1"/>
      <c r="P737" s="1"/>
      <c r="Q737" s="1" t="str">
        <f>IFERROR(__xludf.DUMMYFUNCTION("""COMPUTED_VALUE"""),"CABUCO")</f>
        <v>CABUCO</v>
      </c>
      <c r="R737" s="1" t="str">
        <f>IFERROR(__xludf.DUMMYFUNCTION("""COMPUTED_VALUE"""),"TRECE MARTIREZ CITY")</f>
        <v>TRECE MARTIREZ CITY</v>
      </c>
      <c r="S737" s="1" t="str">
        <f>IFERROR(__xludf.DUMMYFUNCTION("""COMPUTED_VALUE"""),"CAVITE")</f>
        <v>CAVITE</v>
      </c>
      <c r="T737" s="1" t="str">
        <f>IFERROR(__xludf.DUMMYFUNCTION("""COMPUTED_VALUE"""),"FIBR UNLI ALL PLAN 999")</f>
        <v>FIBR UNLI ALL PLAN 999</v>
      </c>
      <c r="U737" s="1" t="str">
        <f>IFERROR(__xludf.DUMMYFUNCTION("""COMPUTED_VALUE"""),"APPROVED")</f>
        <v>APPROVED</v>
      </c>
      <c r="V737" s="1"/>
      <c r="W737" s="1"/>
    </row>
    <row r="738" customHeight="1" spans="1:23">
      <c r="A738" s="3">
        <f>IFERROR(__xludf.DUMMYFUNCTION("""COMPUTED_VALUE"""),46089)</f>
        <v>46089</v>
      </c>
      <c r="B738" s="1" t="str">
        <f>IFERROR(__xludf.DUMMYFUNCTION("""COMPUTED_VALUE"""),"FERNANDEZ JERIC")</f>
        <v>FERNANDEZ JERIC</v>
      </c>
      <c r="C738" s="1" t="str">
        <f>IFERROR(__xludf.DUMMYFUNCTION("""COMPUTED_VALUE"""),"ORGANIC")</f>
        <v>ORGANIC</v>
      </c>
      <c r="D738" s="1" t="str">
        <f>IFERROR(__xludf.DUMMYFUNCTION("""COMPUTED_VALUE"""),"ALOS, CHARLS")</f>
        <v>ALOS, CHARLS</v>
      </c>
      <c r="E738" s="1" t="str">
        <f>IFERROR(__xludf.DUMMYFUNCTION("""COMPUTED_VALUE"""),"RED FIBER")</f>
        <v>RED FIBER</v>
      </c>
      <c r="F738" s="1"/>
      <c r="G738" s="1"/>
      <c r="H738" s="1" t="str">
        <f>IFERROR(__xludf.DUMMYFUNCTION("""COMPUTED_VALUE"""),"ROTA CUBIO VISTO")</f>
        <v>ROTA CUBIO VISTO</v>
      </c>
      <c r="I738" s="1">
        <f>IFERROR(__xludf.DUMMYFUNCTION("""COMPUTED_VALUE"""),9628925712)</f>
        <v>9628925712</v>
      </c>
      <c r="J738" s="1"/>
      <c r="K738" s="1" t="str">
        <f>IFERROR(__xludf.DUMMYFUNCTION("""COMPUTED_VALUE"""),"ROTA57218@GMAIL.COM")</f>
        <v>ROTA57218@GMAIL.COM</v>
      </c>
      <c r="L738" s="1" t="str">
        <f>IFERROR(__xludf.DUMMYFUNCTION("""COMPUTED_VALUE"""),"5")</f>
        <v>5</v>
      </c>
      <c r="M738" s="1" t="str">
        <f>IFERROR(__xludf.DUMMYFUNCTION("""COMPUTED_VALUE"""),"G BASA")</f>
        <v>G BASA</v>
      </c>
      <c r="N738" s="1"/>
      <c r="O738" s="1"/>
      <c r="P738" s="1"/>
      <c r="Q738" s="1" t="str">
        <f>IFERROR(__xludf.DUMMYFUNCTION("""COMPUTED_VALUE"""),"GALICIA III")</f>
        <v>GALICIA III</v>
      </c>
      <c r="R738" s="1" t="str">
        <f>IFERROR(__xludf.DUMMYFUNCTION("""COMPUTED_VALUE"""),"MENDEZ")</f>
        <v>MENDEZ</v>
      </c>
      <c r="S738" s="1" t="str">
        <f>IFERROR(__xludf.DUMMYFUNCTION("""COMPUTED_VALUE"""),"CAVITE")</f>
        <v>CAVITE</v>
      </c>
      <c r="T738" s="1" t="str">
        <f>IFERROR(__xludf.DUMMYFUNCTION("""COMPUTED_VALUE"""),"RED PLAN 1400")</f>
        <v>RED PLAN 1400</v>
      </c>
      <c r="U738" s="1" t="str">
        <f>IFERROR(__xludf.DUMMYFUNCTION("""COMPUTED_VALUE"""),"APPROVED")</f>
        <v>APPROVED</v>
      </c>
      <c r="V738" s="1"/>
      <c r="W738" s="1"/>
    </row>
    <row r="739" customHeight="1" spans="1:23">
      <c r="A739" s="3">
        <f>IFERROR(__xludf.DUMMYFUNCTION("""COMPUTED_VALUE"""),46089)</f>
        <v>46089</v>
      </c>
      <c r="B739" s="1" t="str">
        <f>IFERROR(__xludf.DUMMYFUNCTION("""COMPUTED_VALUE"""),"AYON MANUEL")</f>
        <v>AYON MANUEL</v>
      </c>
      <c r="C739" s="1" t="str">
        <f>IFERROR(__xludf.DUMMYFUNCTION("""COMPUTED_VALUE"""),"FLA")</f>
        <v>FLA</v>
      </c>
      <c r="D739" s="1" t="str">
        <f>IFERROR(__xludf.DUMMYFUNCTION("""COMPUTED_VALUE"""),"JERIC NAVARRO")</f>
        <v>JERIC NAVARRO</v>
      </c>
      <c r="E739" s="1" t="str">
        <f>IFERROR(__xludf.DUMMYFUNCTION("""COMPUTED_VALUE"""),"PLDT")</f>
        <v>PLDT</v>
      </c>
      <c r="F739" s="1">
        <f>IFERROR(__xludf.DUMMYFUNCTION("""COMPUTED_VALUE"""),2307525171)</f>
        <v>2307525171</v>
      </c>
      <c r="G739" s="1"/>
      <c r="H739" s="1" t="str">
        <f>IFERROR(__xludf.DUMMYFUNCTION("""COMPUTED_VALUE"""),"MARIANO VELERA ARANETA JR")</f>
        <v>MARIANO VELERA ARANETA JR</v>
      </c>
      <c r="I739" s="1">
        <f>IFERROR(__xludf.DUMMYFUNCTION("""COMPUTED_VALUE"""),9178114682)</f>
        <v>9178114682</v>
      </c>
      <c r="J739" s="1">
        <f>IFERROR(__xludf.DUMMYFUNCTION("""COMPUTED_VALUE"""),9175296053)</f>
        <v>9175296053</v>
      </c>
      <c r="K739" s="1" t="str">
        <f>IFERROR(__xludf.DUMMYFUNCTION("""COMPUTED_VALUE"""),"ARANETA.MARIANO@GMAIL.COM")</f>
        <v>ARANETA.MARIANO@GMAIL.COM</v>
      </c>
      <c r="L739" s="1" t="str">
        <f>IFERROR(__xludf.DUMMYFUNCTION("""COMPUTED_VALUE"""),"1340")</f>
        <v>1340</v>
      </c>
      <c r="M739" s="1" t="str">
        <f>IFERROR(__xludf.DUMMYFUNCTION("""COMPUTED_VALUE"""),"PUNGOL RD")</f>
        <v>PUNGOL RD</v>
      </c>
      <c r="N739" s="1"/>
      <c r="O739" s="1"/>
      <c r="P739" s="1"/>
      <c r="Q739" s="1" t="str">
        <f>IFERROR(__xludf.DUMMYFUNCTION("""COMPUTED_VALUE"""),"PATUTONG MALAKI NORTH")</f>
        <v>PATUTONG MALAKI NORTH</v>
      </c>
      <c r="R739" s="1" t="str">
        <f>IFERROR(__xludf.DUMMYFUNCTION("""COMPUTED_VALUE"""),"TAGAYTAY")</f>
        <v>TAGAYTAY</v>
      </c>
      <c r="S739" s="1" t="str">
        <f>IFERROR(__xludf.DUMMYFUNCTION("""COMPUTED_VALUE"""),"CAVITE")</f>
        <v>CAVITE</v>
      </c>
      <c r="T739" s="1" t="str">
        <f>IFERROR(__xludf.DUMMYFUNCTION("""COMPUTED_VALUE"""),"FIBR UNLI ALL PLAN 2499")</f>
        <v>FIBR UNLI ALL PLAN 2499</v>
      </c>
      <c r="U739" s="1" t="str">
        <f>IFERROR(__xludf.DUMMYFUNCTION("""COMPUTED_VALUE"""),"APPROVED")</f>
        <v>APPROVED</v>
      </c>
      <c r="V739" s="1"/>
      <c r="W739" s="1"/>
    </row>
    <row r="740" customHeight="1" spans="1:23">
      <c r="A740" s="3">
        <f>IFERROR(__xludf.DUMMYFUNCTION("""COMPUTED_VALUE"""),46089)</f>
        <v>46089</v>
      </c>
      <c r="B740" s="1" t="str">
        <f>IFERROR(__xludf.DUMMYFUNCTION("""COMPUTED_VALUE"""),"MAGDARAOG, KENNETH")</f>
        <v>MAGDARAOG, KENNETH</v>
      </c>
      <c r="C740" s="1" t="str">
        <f>IFERROR(__xludf.DUMMYFUNCTION("""COMPUTED_VALUE"""),"ORGANIC")</f>
        <v>ORGANIC</v>
      </c>
      <c r="D740" s="1" t="str">
        <f>IFERROR(__xludf.DUMMYFUNCTION("""COMPUTED_VALUE"""),"ALINGARO, CINDY")</f>
        <v>ALINGARO, CINDY</v>
      </c>
      <c r="E740" s="1" t="str">
        <f>IFERROR(__xludf.DUMMYFUNCTION("""COMPUTED_VALUE"""),"PLDT")</f>
        <v>PLDT</v>
      </c>
      <c r="F740" s="1">
        <f>IFERROR(__xludf.DUMMYFUNCTION("""COMPUTED_VALUE"""),2307525222)</f>
        <v>2307525222</v>
      </c>
      <c r="G740" s="1"/>
      <c r="H740" s="1" t="str">
        <f>IFERROR(__xludf.DUMMYFUNCTION("""COMPUTED_VALUE"""),"JORGE PEREY ROCILLO")</f>
        <v>JORGE PEREY ROCILLO</v>
      </c>
      <c r="I740" s="1">
        <f>IFERROR(__xludf.DUMMYFUNCTION("""COMPUTED_VALUE"""),9516477093)</f>
        <v>9516477093</v>
      </c>
      <c r="J740" s="1">
        <f>IFERROR(__xludf.DUMMYFUNCTION("""COMPUTED_VALUE"""),9549765487)</f>
        <v>9549765487</v>
      </c>
      <c r="K740" s="1" t="str">
        <f>IFERROR(__xludf.DUMMYFUNCTION("""COMPUTED_VALUE"""),"MELADORONEL2@GMAIL.COM")</f>
        <v>MELADORONEL2@GMAIL.COM</v>
      </c>
      <c r="L740" s="1" t="str">
        <f>IFERROR(__xludf.DUMMYFUNCTION("""COMPUTED_VALUE"""),"6")</f>
        <v>6</v>
      </c>
      <c r="M740" s="1" t="str">
        <f>IFERROR(__xludf.DUMMYFUNCTION("""COMPUTED_VALUE"""),"ACACIA")</f>
        <v>ACACIA</v>
      </c>
      <c r="N740" s="1"/>
      <c r="O740" s="1"/>
      <c r="P740" s="1"/>
      <c r="Q740" s="1" t="str">
        <f>IFERROR(__xludf.DUMMYFUNCTION("""COMPUTED_VALUE"""),"BANAYAD")</f>
        <v>BANAYAD</v>
      </c>
      <c r="R740" s="1" t="str">
        <f>IFERROR(__xludf.DUMMYFUNCTION("""COMPUTED_VALUE"""),"MENDEZ")</f>
        <v>MENDEZ</v>
      </c>
      <c r="S740" s="1" t="str">
        <f>IFERROR(__xludf.DUMMYFUNCTION("""COMPUTED_VALUE"""),"CAVITE")</f>
        <v>CAVITE</v>
      </c>
      <c r="T740" s="1" t="str">
        <f>IFERROR(__xludf.DUMMYFUNCTION("""COMPUTED_VALUE"""),"FIBR NETFLIX PLAN 1599")</f>
        <v>FIBR NETFLIX PLAN 1599</v>
      </c>
      <c r="U740" s="1" t="str">
        <f>IFERROR(__xludf.DUMMYFUNCTION("""COMPUTED_VALUE"""),"APPROVED")</f>
        <v>APPROVED</v>
      </c>
      <c r="V740" s="1"/>
      <c r="W740" s="1"/>
    </row>
    <row r="741" customHeight="1" spans="1:23">
      <c r="A741" s="3">
        <f>IFERROR(__xludf.DUMMYFUNCTION("""COMPUTED_VALUE"""),46089)</f>
        <v>46089</v>
      </c>
      <c r="B741" s="1" t="str">
        <f>IFERROR(__xludf.DUMMYFUNCTION("""COMPUTED_VALUE"""),"DELA ROSA, JENNELYN")</f>
        <v>DELA ROSA, JENNELYN</v>
      </c>
      <c r="C741" s="1" t="str">
        <f>IFERROR(__xludf.DUMMYFUNCTION("""COMPUTED_VALUE"""),"ORGANIC")</f>
        <v>ORGANIC</v>
      </c>
      <c r="D741" s="1" t="str">
        <f>IFERROR(__xludf.DUMMYFUNCTION("""COMPUTED_VALUE"""),"ALOS, CHARLS")</f>
        <v>ALOS, CHARLS</v>
      </c>
      <c r="E741" s="1" t="str">
        <f>IFERROR(__xludf.DUMMYFUNCTION("""COMPUTED_VALUE"""),"PLDT")</f>
        <v>PLDT</v>
      </c>
      <c r="F741" s="1">
        <f>IFERROR(__xludf.DUMMYFUNCTION("""COMPUTED_VALUE"""),2307525802)</f>
        <v>2307525802</v>
      </c>
      <c r="G741" s="1"/>
      <c r="H741" s="1" t="str">
        <f>IFERROR(__xludf.DUMMYFUNCTION("""COMPUTED_VALUE"""),"RHEEM SADAH VIADO PANGANIBAN")</f>
        <v>RHEEM SADAH VIADO PANGANIBAN</v>
      </c>
      <c r="I741" s="1">
        <f>IFERROR(__xludf.DUMMYFUNCTION("""COMPUTED_VALUE"""),9602986873)</f>
        <v>9602986873</v>
      </c>
      <c r="J741" s="1">
        <f>IFERROR(__xludf.DUMMYFUNCTION("""COMPUTED_VALUE"""),9602986873)</f>
        <v>9602986873</v>
      </c>
      <c r="K741" s="1" t="str">
        <f>IFERROR(__xludf.DUMMYFUNCTION("""COMPUTED_VALUE"""),"RHEENSADAH19@GMAIL.COM")</f>
        <v>RHEENSADAH19@GMAIL.COM</v>
      </c>
      <c r="L741" s="1" t="str">
        <f>IFERROR(__xludf.DUMMYFUNCTION("""COMPUTED_VALUE"""),"345")</f>
        <v>345</v>
      </c>
      <c r="M741" s="1" t="str">
        <f>IFERROR(__xludf.DUMMYFUNCTION("""COMPUTED_VALUE"""),"SALGADO0")</f>
        <v>SALGADO0</v>
      </c>
      <c r="N741" s="1"/>
      <c r="O741" s="1"/>
      <c r="P741" s="1"/>
      <c r="Q741" s="1" t="str">
        <f>IFERROR(__xludf.DUMMYFUNCTION("""COMPUTED_VALUE"""),"MIGUEL MOJICA")</f>
        <v>MIGUEL MOJICA</v>
      </c>
      <c r="R741" s="1" t="str">
        <f>IFERROR(__xludf.DUMMYFUNCTION("""COMPUTED_VALUE"""),"MENDEZ")</f>
        <v>MENDEZ</v>
      </c>
      <c r="S741" s="1" t="str">
        <f>IFERROR(__xludf.DUMMYFUNCTION("""COMPUTED_VALUE"""),"CAVITE")</f>
        <v>CAVITE</v>
      </c>
      <c r="T741" s="1" t="str">
        <f>IFERROR(__xludf.DUMMYFUNCTION("""COMPUTED_VALUE"""),"FIBR PLAN 1299")</f>
        <v>FIBR PLAN 1299</v>
      </c>
      <c r="U741" s="1" t="str">
        <f>IFERROR(__xludf.DUMMYFUNCTION("""COMPUTED_VALUE"""),"APPROVED")</f>
        <v>APPROVED</v>
      </c>
      <c r="V741" s="1"/>
      <c r="W741" s="1"/>
    </row>
    <row r="742" customHeight="1" spans="1:23">
      <c r="A742" s="3">
        <f>IFERROR(__xludf.DUMMYFUNCTION("""COMPUTED_VALUE"""),46089)</f>
        <v>46089</v>
      </c>
      <c r="B742" s="1" t="str">
        <f>IFERROR(__xludf.DUMMYFUNCTION("""COMPUTED_VALUE"""),"ALINGARO, CINDY")</f>
        <v>ALINGARO, CINDY</v>
      </c>
      <c r="C742" s="1" t="str">
        <f>IFERROR(__xludf.DUMMYFUNCTION("""COMPUTED_VALUE"""),"FLA")</f>
        <v>FLA</v>
      </c>
      <c r="D742" s="1" t="str">
        <f>IFERROR(__xludf.DUMMYFUNCTION("""COMPUTED_VALUE"""),"JERIC NAVARRO")</f>
        <v>JERIC NAVARRO</v>
      </c>
      <c r="E742" s="1" t="str">
        <f>IFERROR(__xludf.DUMMYFUNCTION("""COMPUTED_VALUE"""),"PLDT")</f>
        <v>PLDT</v>
      </c>
      <c r="F742" s="1">
        <f>IFERROR(__xludf.DUMMYFUNCTION("""COMPUTED_VALUE"""),2307521778)</f>
        <v>2307521778</v>
      </c>
      <c r="G742" s="1"/>
      <c r="H742" s="1" t="str">
        <f>IFERROR(__xludf.DUMMYFUNCTION("""COMPUTED_VALUE"""),"EDWIN PARRA DIMAPILIS")</f>
        <v>EDWIN PARRA DIMAPILIS</v>
      </c>
      <c r="I742" s="1">
        <f>IFERROR(__xludf.DUMMYFUNCTION("""COMPUTED_VALUE"""),9177045214)</f>
        <v>9177045214</v>
      </c>
      <c r="J742" s="1">
        <f>IFERROR(__xludf.DUMMYFUNCTION("""COMPUTED_VALUE"""),9189063285)</f>
        <v>9189063285</v>
      </c>
      <c r="K742" s="1" t="str">
        <f>IFERROR(__xludf.DUMMYFUNCTION("""COMPUTED_VALUE"""),"EP.DIMAPILIS.636@GMAIL.COM")</f>
        <v>EP.DIMAPILIS.636@GMAIL.COM</v>
      </c>
      <c r="L742" s="1" t="str">
        <f>IFERROR(__xludf.DUMMYFUNCTION("""COMPUTED_VALUE"""),"3")</f>
        <v>3</v>
      </c>
      <c r="M742" s="1" t="str">
        <f>IFERROR(__xludf.DUMMYFUNCTION("""COMPUTED_VALUE"""),"MADRAZO")</f>
        <v>MADRAZO</v>
      </c>
      <c r="N742" s="1"/>
      <c r="O742" s="1"/>
      <c r="P742" s="1"/>
      <c r="Q742" s="1" t="str">
        <f>IFERROR(__xludf.DUMMYFUNCTION("""COMPUTED_VALUE"""),"ANULING LEJOS I (ANULING)")</f>
        <v>ANULING LEJOS I (ANULING)</v>
      </c>
      <c r="R742" s="1" t="str">
        <f>IFERROR(__xludf.DUMMYFUNCTION("""COMPUTED_VALUE"""),"MENDEZ")</f>
        <v>MENDEZ</v>
      </c>
      <c r="S742" s="1" t="str">
        <f>IFERROR(__xludf.DUMMYFUNCTION("""COMPUTED_VALUE"""),"CAVITE")</f>
        <v>CAVITE</v>
      </c>
      <c r="T742" s="1" t="str">
        <f>IFERROR(__xludf.DUMMYFUNCTION("""COMPUTED_VALUE"""),"FIBR PLAN 2099")</f>
        <v>FIBR PLAN 2099</v>
      </c>
      <c r="U742" s="1" t="str">
        <f>IFERROR(__xludf.DUMMYFUNCTION("""COMPUTED_VALUE"""),"APPROVED")</f>
        <v>APPROVED</v>
      </c>
      <c r="V742" s="1"/>
      <c r="W742" s="1"/>
    </row>
    <row r="743" customHeight="1" spans="1:23">
      <c r="A743" s="3">
        <f>IFERROR(__xludf.DUMMYFUNCTION("""COMPUTED_VALUE"""),46089)</f>
        <v>46089</v>
      </c>
      <c r="B743" s="1" t="str">
        <f>IFERROR(__xludf.DUMMYFUNCTION("""COMPUTED_VALUE"""),"CABRERA JILLIENE")</f>
        <v>CABRERA JILLIENE</v>
      </c>
      <c r="C743" s="1" t="str">
        <f>IFERROR(__xludf.DUMMYFUNCTION("""COMPUTED_VALUE"""),"ORGANIC")</f>
        <v>ORGANIC</v>
      </c>
      <c r="D743" s="1" t="str">
        <f>IFERROR(__xludf.DUMMYFUNCTION("""COMPUTED_VALUE"""),"ALOS, CHARLS")</f>
        <v>ALOS, CHARLS</v>
      </c>
      <c r="E743" s="1" t="str">
        <f>IFERROR(__xludf.DUMMYFUNCTION("""COMPUTED_VALUE"""),"PLDT")</f>
        <v>PLDT</v>
      </c>
      <c r="F743" s="1">
        <f>IFERROR(__xludf.DUMMYFUNCTION("""COMPUTED_VALUE"""),2307527611)</f>
        <v>2307527611</v>
      </c>
      <c r="G743" s="1"/>
      <c r="H743" s="1" t="str">
        <f>IFERROR(__xludf.DUMMYFUNCTION("""COMPUTED_VALUE"""),"LANCE RAVEN IBAAN VILLA")</f>
        <v>LANCE RAVEN IBAAN VILLA</v>
      </c>
      <c r="I743" s="1">
        <f>IFERROR(__xludf.DUMMYFUNCTION("""COMPUTED_VALUE"""),9910408434)</f>
        <v>9910408434</v>
      </c>
      <c r="J743" s="1"/>
      <c r="K743" s="1" t="str">
        <f>IFERROR(__xludf.DUMMYFUNCTION("""COMPUTED_VALUE"""),"LANCERAVENVILLA@GMAIL.COM")</f>
        <v>LANCERAVENVILLA@GMAIL.COM</v>
      </c>
      <c r="L743" s="1" t="str">
        <f>IFERROR(__xludf.DUMMYFUNCTION("""COMPUTED_VALUE"""),"34")</f>
        <v>34</v>
      </c>
      <c r="M743" s="1" t="str">
        <f>IFERROR(__xludf.DUMMYFUNCTION("""COMPUTED_VALUE"""),"BANAYAD RD")</f>
        <v>BANAYAD RD</v>
      </c>
      <c r="N743" s="1"/>
      <c r="O743" s="1"/>
      <c r="P743" s="1"/>
      <c r="Q743" s="1" t="str">
        <f>IFERROR(__xludf.DUMMYFUNCTION("""COMPUTED_VALUE"""),"BANAYAD")</f>
        <v>BANAYAD</v>
      </c>
      <c r="R743" s="1" t="str">
        <f>IFERROR(__xludf.DUMMYFUNCTION("""COMPUTED_VALUE"""),"MENDEZ")</f>
        <v>MENDEZ</v>
      </c>
      <c r="S743" s="1" t="str">
        <f>IFERROR(__xludf.DUMMYFUNCTION("""COMPUTED_VALUE"""),"CAVITE")</f>
        <v>CAVITE</v>
      </c>
      <c r="T743" s="1" t="str">
        <f>IFERROR(__xludf.DUMMYFUNCTION("""COMPUTED_VALUE"""),"FIBR NETFLIX PLAN 1599")</f>
        <v>FIBR NETFLIX PLAN 1599</v>
      </c>
      <c r="U743" s="1" t="str">
        <f>IFERROR(__xludf.DUMMYFUNCTION("""COMPUTED_VALUE"""),"APPROVED")</f>
        <v>APPROVED</v>
      </c>
      <c r="V743" s="1"/>
      <c r="W743" s="1"/>
    </row>
    <row r="744" customHeight="1" spans="1:23">
      <c r="A744" s="3">
        <f>IFERROR(__xludf.DUMMYFUNCTION("""COMPUTED_VALUE"""),46089)</f>
        <v>46089</v>
      </c>
      <c r="B744" s="1" t="str">
        <f>IFERROR(__xludf.DUMMYFUNCTION("""COMPUTED_VALUE"""),"AQUINO, LUIS")</f>
        <v>AQUINO, LUIS</v>
      </c>
      <c r="C744" s="1" t="str">
        <f>IFERROR(__xludf.DUMMYFUNCTION("""COMPUTED_VALUE"""),"ORGANIC")</f>
        <v>ORGANIC</v>
      </c>
      <c r="D744" s="1" t="str">
        <f>IFERROR(__xludf.DUMMYFUNCTION("""COMPUTED_VALUE"""),"ALOS, CHARLS")</f>
        <v>ALOS, CHARLS</v>
      </c>
      <c r="E744" s="1" t="str">
        <f>IFERROR(__xludf.DUMMYFUNCTION("""COMPUTED_VALUE"""),"PLDT")</f>
        <v>PLDT</v>
      </c>
      <c r="F744" s="1">
        <f>IFERROR(__xludf.DUMMYFUNCTION("""COMPUTED_VALUE"""),2307528122)</f>
        <v>2307528122</v>
      </c>
      <c r="G744" s="1"/>
      <c r="H744" s="1" t="str">
        <f>IFERROR(__xludf.DUMMYFUNCTION("""COMPUTED_VALUE"""),"OLIVER PALAPALA MENESES")</f>
        <v>OLIVER PALAPALA MENESES</v>
      </c>
      <c r="I744" s="1">
        <f>IFERROR(__xludf.DUMMYFUNCTION("""COMPUTED_VALUE"""),9261333278)</f>
        <v>9261333278</v>
      </c>
      <c r="J744" s="1">
        <f>IFERROR(__xludf.DUMMYFUNCTION("""COMPUTED_VALUE"""),994418154)</f>
        <v>994418154</v>
      </c>
      <c r="K744" s="1" t="str">
        <f>IFERROR(__xludf.DUMMYFUNCTION("""COMPUTED_VALUE"""),"JAYLORDMENESES348@GMAIL.COM")</f>
        <v>JAYLORDMENESES348@GMAIL.COM</v>
      </c>
      <c r="L744" s="1" t="str">
        <f>IFERROR(__xludf.DUMMYFUNCTION("""COMPUTED_VALUE"""),"70003")</f>
        <v>70003</v>
      </c>
      <c r="M744" s="1" t="str">
        <f>IFERROR(__xludf.DUMMYFUNCTION("""COMPUTED_VALUE"""),"BANAYAD RD")</f>
        <v>BANAYAD RD</v>
      </c>
      <c r="N744" s="1"/>
      <c r="O744" s="1"/>
      <c r="P744" s="1"/>
      <c r="Q744" s="1" t="str">
        <f>IFERROR(__xludf.DUMMYFUNCTION("""COMPUTED_VALUE"""),"BANAYAD")</f>
        <v>BANAYAD</v>
      </c>
      <c r="R744" s="1" t="str">
        <f>IFERROR(__xludf.DUMMYFUNCTION("""COMPUTED_VALUE"""),"MENDEZ")</f>
        <v>MENDEZ</v>
      </c>
      <c r="S744" s="1" t="str">
        <f>IFERROR(__xludf.DUMMYFUNCTION("""COMPUTED_VALUE"""),"CAVITE")</f>
        <v>CAVITE</v>
      </c>
      <c r="T744" s="1" t="str">
        <f>IFERROR(__xludf.DUMMYFUNCTION("""COMPUTED_VALUE"""),"FIBR UNLI ALL PLAN 1399")</f>
        <v>FIBR UNLI ALL PLAN 1399</v>
      </c>
      <c r="U744" s="1" t="str">
        <f>IFERROR(__xludf.DUMMYFUNCTION("""COMPUTED_VALUE"""),"APPROVED")</f>
        <v>APPROVED</v>
      </c>
      <c r="V744" s="1"/>
      <c r="W744" s="1"/>
    </row>
    <row r="745" customHeight="1" spans="1:23">
      <c r="A745" s="3">
        <f>IFERROR(__xludf.DUMMYFUNCTION("""COMPUTED_VALUE"""),46089)</f>
        <v>46089</v>
      </c>
      <c r="B745" s="1" t="str">
        <f>IFERROR(__xludf.DUMMYFUNCTION("""COMPUTED_VALUE"""),"DE VERA, MARIVIC")</f>
        <v>DE VERA, MARIVIC</v>
      </c>
      <c r="C745" s="1" t="str">
        <f>IFERROR(__xludf.DUMMYFUNCTION("""COMPUTED_VALUE"""),"ORGANIC")</f>
        <v>ORGANIC</v>
      </c>
      <c r="D745" s="1" t="str">
        <f>IFERROR(__xludf.DUMMYFUNCTION("""COMPUTED_VALUE"""),"ALINGARO, CINDY")</f>
        <v>ALINGARO, CINDY</v>
      </c>
      <c r="E745" s="1" t="str">
        <f>IFERROR(__xludf.DUMMYFUNCTION("""COMPUTED_VALUE"""),"RED FIBER")</f>
        <v>RED FIBER</v>
      </c>
      <c r="F745" s="1"/>
      <c r="G745" s="1"/>
      <c r="H745" s="1" t="str">
        <f>IFERROR(__xludf.DUMMYFUNCTION("""COMPUTED_VALUE"""),"GREMAE MONZON ")</f>
        <v>GREMAE MONZON </v>
      </c>
      <c r="I745" s="1">
        <f>IFERROR(__xludf.DUMMYFUNCTION("""COMPUTED_VALUE"""),9560742559)</f>
        <v>9560742559</v>
      </c>
      <c r="J745" s="1"/>
      <c r="K745" s="1" t="str">
        <f>IFERROR(__xludf.DUMMYFUNCTION("""COMPUTED_VALUE"""),"ROCILLOBRIAN@GMAIL.COM")</f>
        <v>ROCILLOBRIAN@GMAIL.COM</v>
      </c>
      <c r="L745" s="1" t="str">
        <f>IFERROR(__xludf.DUMMYFUNCTION("""COMPUTED_VALUE"""),"1015")</f>
        <v>1015</v>
      </c>
      <c r="M745" s="1" t="str">
        <f>IFERROR(__xludf.DUMMYFUNCTION("""COMPUTED_VALUE"""),"GALICIA RD")</f>
        <v>GALICIA RD</v>
      </c>
      <c r="N745" s="1"/>
      <c r="O745" s="1"/>
      <c r="P745" s="1"/>
      <c r="Q745" s="1" t="str">
        <f>IFERROR(__xludf.DUMMYFUNCTION("""COMPUTED_VALUE"""),"GALICIA III")</f>
        <v>GALICIA III</v>
      </c>
      <c r="R745" s="1" t="str">
        <f>IFERROR(__xludf.DUMMYFUNCTION("""COMPUTED_VALUE"""),"MENDEZ")</f>
        <v>MENDEZ</v>
      </c>
      <c r="S745" s="1" t="str">
        <f>IFERROR(__xludf.DUMMYFUNCTION("""COMPUTED_VALUE"""),"CAVITE")</f>
        <v>CAVITE</v>
      </c>
      <c r="T745" s="1" t="str">
        <f>IFERROR(__xludf.DUMMYFUNCTION("""COMPUTED_VALUE"""),"RED PLAN 1000")</f>
        <v>RED PLAN 1000</v>
      </c>
      <c r="U745" s="1" t="str">
        <f>IFERROR(__xludf.DUMMYFUNCTION("""COMPUTED_VALUE"""),"APPROVED")</f>
        <v>APPROVED</v>
      </c>
      <c r="V745" s="1"/>
      <c r="W745" s="1"/>
    </row>
    <row r="746" customHeight="1" spans="1:23">
      <c r="A746" s="3">
        <f>IFERROR(__xludf.DUMMYFUNCTION("""COMPUTED_VALUE"""),46089)</f>
        <v>46089</v>
      </c>
      <c r="B746" s="1" t="str">
        <f>IFERROR(__xludf.DUMMYFUNCTION("""COMPUTED_VALUE"""),"MAGDARAOG, KENNETH")</f>
        <v>MAGDARAOG, KENNETH</v>
      </c>
      <c r="C746" s="1" t="str">
        <f>IFERROR(__xludf.DUMMYFUNCTION("""COMPUTED_VALUE"""),"ORGANIC")</f>
        <v>ORGANIC</v>
      </c>
      <c r="D746" s="1" t="str">
        <f>IFERROR(__xludf.DUMMYFUNCTION("""COMPUTED_VALUE"""),"ALINGARO, CINDY")</f>
        <v>ALINGARO, CINDY</v>
      </c>
      <c r="E746" s="1" t="str">
        <f>IFERROR(__xludf.DUMMYFUNCTION("""COMPUTED_VALUE"""),"PLDT")</f>
        <v>PLDT</v>
      </c>
      <c r="F746" s="1">
        <f>IFERROR(__xludf.DUMMYFUNCTION("""COMPUTED_VALUE"""),2307527980)</f>
        <v>2307527980</v>
      </c>
      <c r="G746" s="1"/>
      <c r="H746" s="1" t="str">
        <f>IFERROR(__xludf.DUMMYFUNCTION("""COMPUTED_VALUE"""),"ERLITA RAMENTO CASALE")</f>
        <v>ERLITA RAMENTO CASALE</v>
      </c>
      <c r="I746" s="1">
        <f>IFERROR(__xludf.DUMMYFUNCTION("""COMPUTED_VALUE"""),9530310106)</f>
        <v>9530310106</v>
      </c>
      <c r="J746" s="1"/>
      <c r="K746" s="1" t="str">
        <f>IFERROR(__xludf.DUMMYFUNCTION("""COMPUTED_VALUE"""),"ERLITA.CASALE@GMAIL.COM")</f>
        <v>ERLITA.CASALE@GMAIL.COM</v>
      </c>
      <c r="L746" s="1" t="str">
        <f>IFERROR(__xludf.DUMMYFUNCTION("""COMPUTED_VALUE"""),"32")</f>
        <v>32</v>
      </c>
      <c r="M746" s="1" t="str">
        <f>IFERROR(__xludf.DUMMYFUNCTION("""COMPUTED_VALUE"""),"LITABAY")</f>
        <v>LITABAY</v>
      </c>
      <c r="N746" s="1"/>
      <c r="O746" s="1"/>
      <c r="P746" s="1"/>
      <c r="Q746" s="1" t="str">
        <f>IFERROR(__xludf.DUMMYFUNCTION("""COMPUTED_VALUE"""),"PANUNGYAN I")</f>
        <v>PANUNGYAN I</v>
      </c>
      <c r="R746" s="1" t="str">
        <f>IFERROR(__xludf.DUMMYFUNCTION("""COMPUTED_VALUE"""),"MENDEZ")</f>
        <v>MENDEZ</v>
      </c>
      <c r="S746" s="1" t="str">
        <f>IFERROR(__xludf.DUMMYFUNCTION("""COMPUTED_VALUE"""),"CAVITE")</f>
        <v>CAVITE</v>
      </c>
      <c r="T746" s="1" t="str">
        <f>IFERROR(__xludf.DUMMYFUNCTION("""COMPUTED_VALUE"""),"FIBR PLAN 1299")</f>
        <v>FIBR PLAN 1299</v>
      </c>
      <c r="U746" s="1" t="str">
        <f>IFERROR(__xludf.DUMMYFUNCTION("""COMPUTED_VALUE"""),"APPROVED")</f>
        <v>APPROVED</v>
      </c>
      <c r="V746" s="1"/>
      <c r="W746" s="1"/>
    </row>
    <row r="747" customHeight="1" spans="1:23">
      <c r="A747" s="3">
        <f>IFERROR(__xludf.DUMMYFUNCTION("""COMPUTED_VALUE"""),46089)</f>
        <v>46089</v>
      </c>
      <c r="B747" s="1" t="str">
        <f>IFERROR(__xludf.DUMMYFUNCTION("""COMPUTED_VALUE"""),"AYON MANUEL")</f>
        <v>AYON MANUEL</v>
      </c>
      <c r="C747" s="1" t="str">
        <f>IFERROR(__xludf.DUMMYFUNCTION("""COMPUTED_VALUE"""),"FLA")</f>
        <v>FLA</v>
      </c>
      <c r="D747" s="1" t="str">
        <f>IFERROR(__xludf.DUMMYFUNCTION("""COMPUTED_VALUE"""),"JERIC NAVARRO")</f>
        <v>JERIC NAVARRO</v>
      </c>
      <c r="E747" s="1" t="str">
        <f>IFERROR(__xludf.DUMMYFUNCTION("""COMPUTED_VALUE"""),"PLDT")</f>
        <v>PLDT</v>
      </c>
      <c r="F747" s="1">
        <f>IFERROR(__xludf.DUMMYFUNCTION("""COMPUTED_VALUE"""),2307528434)</f>
        <v>2307528434</v>
      </c>
      <c r="G747" s="1"/>
      <c r="H747" s="1" t="str">
        <f>IFERROR(__xludf.DUMMYFUNCTION("""COMPUTED_VALUE"""),"DIONALYN TOMADA PILLEJERA")</f>
        <v>DIONALYN TOMADA PILLEJERA</v>
      </c>
      <c r="I747" s="1">
        <f>IFERROR(__xludf.DUMMYFUNCTION("""COMPUTED_VALUE"""),9458831431)</f>
        <v>9458831431</v>
      </c>
      <c r="J747" s="1">
        <f>IFERROR(__xludf.DUMMYFUNCTION("""COMPUTED_VALUE"""),9465982323)</f>
        <v>9465982323</v>
      </c>
      <c r="K747" s="1" t="str">
        <f>IFERROR(__xludf.DUMMYFUNCTION("""COMPUTED_VALUE"""),"DIONALYNPILLEJERA12@GMAIL.COM")</f>
        <v>DIONALYNPILLEJERA12@GMAIL.COM</v>
      </c>
      <c r="L747" s="1" t="str">
        <f>IFERROR(__xludf.DUMMYFUNCTION("""COMPUTED_VALUE"""),"9007")</f>
        <v>9007</v>
      </c>
      <c r="M747" s="1" t="str">
        <f>IFERROR(__xludf.DUMMYFUNCTION("""COMPUTED_VALUE"""),"PUNGOL RD")</f>
        <v>PUNGOL RD</v>
      </c>
      <c r="N747" s="1"/>
      <c r="O747" s="1"/>
      <c r="P747" s="1"/>
      <c r="Q747" s="1" t="str">
        <f>IFERROR(__xludf.DUMMYFUNCTION("""COMPUTED_VALUE"""),"PATUTONG MALAKI NORTH")</f>
        <v>PATUTONG MALAKI NORTH</v>
      </c>
      <c r="R747" s="1" t="str">
        <f>IFERROR(__xludf.DUMMYFUNCTION("""COMPUTED_VALUE"""),"TAGAYTAY")</f>
        <v>TAGAYTAY</v>
      </c>
      <c r="S747" s="1" t="str">
        <f>IFERROR(__xludf.DUMMYFUNCTION("""COMPUTED_VALUE"""),"CAVITE")</f>
        <v>CAVITE</v>
      </c>
      <c r="T747" s="1" t="str">
        <f>IFERROR(__xludf.DUMMYFUNCTION("""COMPUTED_VALUE"""),"FIBR UNLI ALL PLAN 1399")</f>
        <v>FIBR UNLI ALL PLAN 1399</v>
      </c>
      <c r="U747" s="1" t="str">
        <f>IFERROR(__xludf.DUMMYFUNCTION("""COMPUTED_VALUE"""),"APPROVED")</f>
        <v>APPROVED</v>
      </c>
      <c r="V747" s="1"/>
      <c r="W747" s="1"/>
    </row>
    <row r="748" customHeight="1" spans="1:23">
      <c r="A748" s="3">
        <f>IFERROR(__xludf.DUMMYFUNCTION("""COMPUTED_VALUE"""),46089)</f>
        <v>46089</v>
      </c>
      <c r="B748" s="1" t="str">
        <f>IFERROR(__xludf.DUMMYFUNCTION("""COMPUTED_VALUE"""),"AYON MANUEL")</f>
        <v>AYON MANUEL</v>
      </c>
      <c r="C748" s="1" t="str">
        <f>IFERROR(__xludf.DUMMYFUNCTION("""COMPUTED_VALUE"""),"FLA")</f>
        <v>FLA</v>
      </c>
      <c r="D748" s="1" t="str">
        <f>IFERROR(__xludf.DUMMYFUNCTION("""COMPUTED_VALUE"""),"JERIC NAVARRO")</f>
        <v>JERIC NAVARRO</v>
      </c>
      <c r="E748" s="1" t="str">
        <f>IFERROR(__xludf.DUMMYFUNCTION("""COMPUTED_VALUE"""),"PLDT")</f>
        <v>PLDT</v>
      </c>
      <c r="F748" s="1">
        <f>IFERROR(__xludf.DUMMYFUNCTION("""COMPUTED_VALUE"""),2307528548)</f>
        <v>2307528548</v>
      </c>
      <c r="G748" s="1"/>
      <c r="H748" s="1" t="str">
        <f>IFERROR(__xludf.DUMMYFUNCTION("""COMPUTED_VALUE"""),"CHRISTIAN PAUL ENCARNACION MIRABETE")</f>
        <v>CHRISTIAN PAUL ENCARNACION MIRABETE</v>
      </c>
      <c r="I748" s="1">
        <f>IFERROR(__xludf.DUMMYFUNCTION("""COMPUTED_VALUE"""),9153743480)</f>
        <v>9153743480</v>
      </c>
      <c r="J748" s="1">
        <f>IFERROR(__xludf.DUMMYFUNCTION("""COMPUTED_VALUE"""),9632748239)</f>
        <v>9632748239</v>
      </c>
      <c r="K748" s="1" t="str">
        <f>IFERROR(__xludf.DUMMYFUNCTION("""COMPUTED_VALUE"""),"CHRISTDTLIHTSANDSOUNDS@GMAIL.COM")</f>
        <v>CHRISTDTLIHTSANDSOUNDS@GMAIL.COM</v>
      </c>
      <c r="L748" s="1" t="str">
        <f>IFERROR(__xludf.DUMMYFUNCTION("""COMPUTED_VALUE"""),"118")</f>
        <v>118</v>
      </c>
      <c r="M748" s="1" t="str">
        <f>IFERROR(__xludf.DUMMYFUNCTION("""COMPUTED_VALUE"""),"MAYSILI RD")</f>
        <v>MAYSILI RD</v>
      </c>
      <c r="N748" s="1"/>
      <c r="O748" s="1"/>
      <c r="P748" s="1"/>
      <c r="Q748" s="1" t="str">
        <f>IFERROR(__xludf.DUMMYFUNCTION("""COMPUTED_VALUE"""),"ASIS III")</f>
        <v>ASIS III</v>
      </c>
      <c r="R748" s="1" t="str">
        <f>IFERROR(__xludf.DUMMYFUNCTION("""COMPUTED_VALUE"""),"MENDEZ")</f>
        <v>MENDEZ</v>
      </c>
      <c r="S748" s="1" t="str">
        <f>IFERROR(__xludf.DUMMYFUNCTION("""COMPUTED_VALUE"""),"CAVITE")</f>
        <v>CAVITE</v>
      </c>
      <c r="T748" s="1" t="str">
        <f>IFERROR(__xludf.DUMMYFUNCTION("""COMPUTED_VALUE"""),"FIBR UNLI ALL PLAN 3199")</f>
        <v>FIBR UNLI ALL PLAN 3199</v>
      </c>
      <c r="U748" s="1" t="str">
        <f>IFERROR(__xludf.DUMMYFUNCTION("""COMPUTED_VALUE"""),"APPROVED")</f>
        <v>APPROVED</v>
      </c>
      <c r="V748" s="1"/>
      <c r="W748" s="1"/>
    </row>
    <row r="749" customHeight="1" spans="1:23">
      <c r="A749" s="3">
        <f>IFERROR(__xludf.DUMMYFUNCTION("""COMPUTED_VALUE"""),46089)</f>
        <v>46089</v>
      </c>
      <c r="B749" s="1" t="str">
        <f>IFERROR(__xludf.DUMMYFUNCTION("""COMPUTED_VALUE"""),"GABAY, MANUEL")</f>
        <v>GABAY, MANUEL</v>
      </c>
      <c r="C749" s="1" t="str">
        <f>IFERROR(__xludf.DUMMYFUNCTION("""COMPUTED_VALUE"""),"FLA")</f>
        <v>FLA</v>
      </c>
      <c r="D749" s="1" t="str">
        <f>IFERROR(__xludf.DUMMYFUNCTION("""COMPUTED_VALUE"""),"JERIC NAVARRO")</f>
        <v>JERIC NAVARRO</v>
      </c>
      <c r="E749" s="1" t="str">
        <f>IFERROR(__xludf.DUMMYFUNCTION("""COMPUTED_VALUE"""),"PLDT")</f>
        <v>PLDT</v>
      </c>
      <c r="F749" s="1">
        <f>IFERROR(__xludf.DUMMYFUNCTION("""COMPUTED_VALUE"""),2307529144)</f>
        <v>2307529144</v>
      </c>
      <c r="G749" s="1"/>
      <c r="H749" s="1" t="str">
        <f>IFERROR(__xludf.DUMMYFUNCTION("""COMPUTED_VALUE"""),"ALMEE TUESDAY LOPEZ MASAJO")</f>
        <v>ALMEE TUESDAY LOPEZ MASAJO</v>
      </c>
      <c r="I749" s="1">
        <f>IFERROR(__xludf.DUMMYFUNCTION("""COMPUTED_VALUE"""),9605948502)</f>
        <v>9605948502</v>
      </c>
      <c r="J749" s="1"/>
      <c r="K749" s="1" t="str">
        <f>IFERROR(__xludf.DUMMYFUNCTION("""COMPUTED_VALUE"""),"DHEYMASAJO1818@GMAIL.COM")</f>
        <v>DHEYMASAJO1818@GMAIL.COM</v>
      </c>
      <c r="L749" s="1" t="str">
        <f>IFERROR(__xludf.DUMMYFUNCTION("""COMPUTED_VALUE"""),"1682")</f>
        <v>1682</v>
      </c>
      <c r="M749" s="1" t="str">
        <f>IFERROR(__xludf.DUMMYFUNCTION("""COMPUTED_VALUE"""),"SAN PEDRO ST")</f>
        <v>SAN PEDRO ST</v>
      </c>
      <c r="N749" s="1"/>
      <c r="O749" s="1"/>
      <c r="P749" s="1"/>
      <c r="Q749" s="1" t="str">
        <f>IFERROR(__xludf.DUMMYFUNCTION("""COMPUTED_VALUE"""),"BUKAL")</f>
        <v>BUKAL</v>
      </c>
      <c r="R749" s="1" t="str">
        <f>IFERROR(__xludf.DUMMYFUNCTION("""COMPUTED_VALUE"""),"MENDEZ")</f>
        <v>MENDEZ</v>
      </c>
      <c r="S749" s="1" t="str">
        <f>IFERROR(__xludf.DUMMYFUNCTION("""COMPUTED_VALUE"""),"CAVITE")</f>
        <v>CAVITE</v>
      </c>
      <c r="T749" s="1" t="str">
        <f>IFERROR(__xludf.DUMMYFUNCTION("""COMPUTED_VALUE"""),"FIBR UNLI ALL PLAN 1399")</f>
        <v>FIBR UNLI ALL PLAN 1399</v>
      </c>
      <c r="U749" s="1" t="str">
        <f>IFERROR(__xludf.DUMMYFUNCTION("""COMPUTED_VALUE"""),"APPROVED")</f>
        <v>APPROVED</v>
      </c>
      <c r="V749" s="1"/>
      <c r="W749" s="1"/>
    </row>
    <row r="750" customHeight="1" spans="1:23">
      <c r="A750" s="3">
        <f>IFERROR(__xludf.DUMMYFUNCTION("""COMPUTED_VALUE"""),46090)</f>
        <v>46090</v>
      </c>
      <c r="B750" s="1" t="str">
        <f>IFERROR(__xludf.DUMMYFUNCTION("""COMPUTED_VALUE"""),"MALIWAT MARK ELVIN")</f>
        <v>MALIWAT MARK ELVIN</v>
      </c>
      <c r="C750" s="1" t="str">
        <f>IFERROR(__xludf.DUMMYFUNCTION("""COMPUTED_VALUE"""),"FLA")</f>
        <v>FLA</v>
      </c>
      <c r="D750" s="1" t="str">
        <f>IFERROR(__xludf.DUMMYFUNCTION("""COMPUTED_VALUE"""),"JERIC NAVARRO")</f>
        <v>JERIC NAVARRO</v>
      </c>
      <c r="E750" s="1" t="str">
        <f>IFERROR(__xludf.DUMMYFUNCTION("""COMPUTED_VALUE"""),"PLDT")</f>
        <v>PLDT</v>
      </c>
      <c r="F750" s="1">
        <f>IFERROR(__xludf.DUMMYFUNCTION("""COMPUTED_VALUE"""),2307535894)</f>
        <v>2307535894</v>
      </c>
      <c r="G750" s="1"/>
      <c r="H750" s="1" t="str">
        <f>IFERROR(__xludf.DUMMYFUNCTION("""COMPUTED_VALUE"""),"JOWALD KLYDE CAOILI ORJLAO")</f>
        <v>JOWALD KLYDE CAOILI ORJLAO</v>
      </c>
      <c r="I750" s="1">
        <f>IFERROR(__xludf.DUMMYFUNCTION("""COMPUTED_VALUE"""),9935397884)</f>
        <v>9935397884</v>
      </c>
      <c r="J750" s="1">
        <f>IFERROR(__xludf.DUMMYFUNCTION("""COMPUTED_VALUE"""),9282738732)</f>
        <v>9282738732</v>
      </c>
      <c r="K750" s="1" t="str">
        <f>IFERROR(__xludf.DUMMYFUNCTION("""COMPUTED_VALUE"""),"ORJALO.KLYDE@GMAIL.COM")</f>
        <v>ORJALO.KLYDE@GMAIL.COM</v>
      </c>
      <c r="L750" s="1" t="str">
        <f>IFERROR(__xludf.DUMMYFUNCTION("""COMPUTED_VALUE"""),"BLK 13 LOT 11")</f>
        <v>BLK 13 LOT 11</v>
      </c>
      <c r="M750" s="1" t="str">
        <f>IFERROR(__xludf.DUMMYFUNCTION("""COMPUTED_VALUE"""),"PHASE 3")</f>
        <v>PHASE 3</v>
      </c>
      <c r="N750" s="1" t="str">
        <f>IFERROR(__xludf.DUMMYFUNCTION("""COMPUTED_VALUE"""),"COVINA VILLAGE")</f>
        <v>COVINA VILLAGE</v>
      </c>
      <c r="O750" s="1"/>
      <c r="P750" s="1"/>
      <c r="Q750" s="1" t="str">
        <f>IFERROR(__xludf.DUMMYFUNCTION("""COMPUTED_VALUE"""),"BUHAY NA TUBIG")</f>
        <v>BUHAY NA TUBIG</v>
      </c>
      <c r="R750" s="1" t="str">
        <f>IFERROR(__xludf.DUMMYFUNCTION("""COMPUTED_VALUE"""),"IMUS")</f>
        <v>IMUS</v>
      </c>
      <c r="S750" s="1" t="str">
        <f>IFERROR(__xludf.DUMMYFUNCTION("""COMPUTED_VALUE"""),"CAVITE")</f>
        <v>CAVITE</v>
      </c>
      <c r="T750" s="1" t="str">
        <f>IFERROR(__xludf.DUMMYFUNCTION("""COMPUTED_VALUE"""),"FIBR UNLI ALL PLAN 1399")</f>
        <v>FIBR UNLI ALL PLAN 1399</v>
      </c>
      <c r="U750" s="1" t="str">
        <f>IFERROR(__xludf.DUMMYFUNCTION("""COMPUTED_VALUE"""),"APPROVED")</f>
        <v>APPROVED</v>
      </c>
      <c r="V750" s="1"/>
      <c r="W750" s="1"/>
    </row>
    <row r="751" customHeight="1" spans="1:23">
      <c r="A751" s="3">
        <f>IFERROR(__xludf.DUMMYFUNCTION("""COMPUTED_VALUE"""),46090)</f>
        <v>46090</v>
      </c>
      <c r="B751" s="1" t="str">
        <f>IFERROR(__xludf.DUMMYFUNCTION("""COMPUTED_VALUE"""),"CABRERA JILLIENE")</f>
        <v>CABRERA JILLIENE</v>
      </c>
      <c r="C751" s="1" t="str">
        <f>IFERROR(__xludf.DUMMYFUNCTION("""COMPUTED_VALUE"""),"ORGANIC")</f>
        <v>ORGANIC</v>
      </c>
      <c r="D751" s="1" t="str">
        <f>IFERROR(__xludf.DUMMYFUNCTION("""COMPUTED_VALUE"""),"ALOS, CHARLS")</f>
        <v>ALOS, CHARLS</v>
      </c>
      <c r="E751" s="1" t="str">
        <f>IFERROR(__xludf.DUMMYFUNCTION("""COMPUTED_VALUE"""),"PLDT")</f>
        <v>PLDT</v>
      </c>
      <c r="F751" s="1">
        <f>IFERROR(__xludf.DUMMYFUNCTION("""COMPUTED_VALUE"""),2308254405)</f>
        <v>2308254405</v>
      </c>
      <c r="G751" s="1"/>
      <c r="H751" s="1" t="str">
        <f>IFERROR(__xludf.DUMMYFUNCTION("""COMPUTED_VALUE"""),"CHERIE TACAPAN MENDOZA")</f>
        <v>CHERIE TACAPAN MENDOZA</v>
      </c>
      <c r="I751" s="1">
        <f>IFERROR(__xludf.DUMMYFUNCTION("""COMPUTED_VALUE"""),9163291590)</f>
        <v>9163291590</v>
      </c>
      <c r="J751" s="1">
        <f>IFERROR(__xludf.DUMMYFUNCTION("""COMPUTED_VALUE"""),9212748390)</f>
        <v>9212748390</v>
      </c>
      <c r="K751" s="1" t="str">
        <f>IFERROR(__xludf.DUMMYFUNCTION("""COMPUTED_VALUE"""),"CHERIEMNEDOZA683@GMAIL.COM")</f>
        <v>CHERIEMNEDOZA683@GMAIL.COM</v>
      </c>
      <c r="L751" s="1" t="str">
        <f>IFERROR(__xludf.DUMMYFUNCTION("""COMPUTED_VALUE"""),"141")</f>
        <v>141</v>
      </c>
      <c r="M751" s="1" t="str">
        <f>IFERROR(__xludf.DUMMYFUNCTION("""COMPUTED_VALUE"""),"ANIANO MUZON")</f>
        <v>ANIANO MUZON</v>
      </c>
      <c r="N751" s="1"/>
      <c r="O751" s="1" t="str">
        <f>IFERROR(__xludf.DUMMYFUNCTION("""COMPUTED_VALUE"""),"MDZLP68NP6/8")</f>
        <v>MDZLP68NP6/8</v>
      </c>
      <c r="P751" s="1" t="str">
        <f>IFERROR(__xludf.DUMMYFUNCTION("""COMPUTED_VALUE"""),"14.144955 120.898108")</f>
        <v>14.144955 120.898108</v>
      </c>
      <c r="Q751" s="1" t="str">
        <f>IFERROR(__xludf.DUMMYFUNCTION("""COMPUTED_VALUE"""),"ASIS I")</f>
        <v>ASIS I</v>
      </c>
      <c r="R751" s="1" t="str">
        <f>IFERROR(__xludf.DUMMYFUNCTION("""COMPUTED_VALUE"""),"MENDEZ")</f>
        <v>MENDEZ</v>
      </c>
      <c r="S751" s="1" t="str">
        <f>IFERROR(__xludf.DUMMYFUNCTION("""COMPUTED_VALUE"""),"CAVITE")</f>
        <v>CAVITE</v>
      </c>
      <c r="T751" s="1" t="str">
        <f>IFERROR(__xludf.DUMMYFUNCTION("""COMPUTED_VALUE"""),"FIBR PLAN 1299")</f>
        <v>FIBR PLAN 1299</v>
      </c>
      <c r="U751" s="1" t="str">
        <f>IFERROR(__xludf.DUMMYFUNCTION("""COMPUTED_VALUE"""),"APPROVED")</f>
        <v>APPROVED</v>
      </c>
      <c r="V751" s="1" t="str">
        <f>IFERROR(__xludf.DUMMYFUNCTION("""COMPUTED_VALUE"""),"PLS PROVIDE HOUSE NUMBER/ WALA PA DAW SYANG MERALCO BILL BAGO PALANG SYA KAKALIPAT PLANG")</f>
        <v>PLS PROVIDE HOUSE NUMBER/ WALA PA DAW SYANG MERALCO BILL BAGO PALANG SYA KAKALIPAT PLANG</v>
      </c>
      <c r="W751" s="1"/>
    </row>
    <row r="752" customHeight="1" spans="1:23">
      <c r="A752" s="3">
        <f>IFERROR(__xludf.DUMMYFUNCTION("""COMPUTED_VALUE"""),46090)</f>
        <v>46090</v>
      </c>
      <c r="B752" s="1" t="str">
        <f>IFERROR(__xludf.DUMMYFUNCTION("""COMPUTED_VALUE"""),"DE LEON, MERLY")</f>
        <v>DE LEON, MERLY</v>
      </c>
      <c r="C752" s="1" t="str">
        <f>IFERROR(__xludf.DUMMYFUNCTION("""COMPUTED_VALUE"""),"ORGANIC")</f>
        <v>ORGANIC</v>
      </c>
      <c r="D752" s="1" t="str">
        <f>IFERROR(__xludf.DUMMYFUNCTION("""COMPUTED_VALUE"""),"ALINGARO, CINDY")</f>
        <v>ALINGARO, CINDY</v>
      </c>
      <c r="E752" s="1" t="str">
        <f>IFERROR(__xludf.DUMMYFUNCTION("""COMPUTED_VALUE"""),"PLDT")</f>
        <v>PLDT</v>
      </c>
      <c r="F752" s="1">
        <f>IFERROR(__xludf.DUMMYFUNCTION("""COMPUTED_VALUE"""),2307540652)</f>
        <v>2307540652</v>
      </c>
      <c r="G752" s="1"/>
      <c r="H752" s="1" t="str">
        <f>IFERROR(__xludf.DUMMYFUNCTION("""COMPUTED_VALUE"""),"EDUARDO BELLO ADVINCULA")</f>
        <v>EDUARDO BELLO ADVINCULA</v>
      </c>
      <c r="I752" s="1">
        <f>IFERROR(__xludf.DUMMYFUNCTION("""COMPUTED_VALUE"""),9168367210)</f>
        <v>9168367210</v>
      </c>
      <c r="J752" s="1"/>
      <c r="K752" s="1" t="str">
        <f>IFERROR(__xludf.DUMMYFUNCTION("""COMPUTED_VALUE"""),"BELLOEDDADVINCULA18@GMAIL.COM")</f>
        <v>BELLOEDDADVINCULA18@GMAIL.COM</v>
      </c>
      <c r="L752" s="1" t="str">
        <f>IFERROR(__xludf.DUMMYFUNCTION("""COMPUTED_VALUE"""),"9060")</f>
        <v>9060</v>
      </c>
      <c r="M752" s="1" t="str">
        <f>IFERROR(__xludf.DUMMYFUNCTION("""COMPUTED_VALUE"""),"GATPANDAN ")</f>
        <v>GATPANDAN </v>
      </c>
      <c r="N752" s="1"/>
      <c r="O752" s="1"/>
      <c r="P752" s="1"/>
      <c r="Q752" s="1" t="str">
        <f>IFERROR(__xludf.DUMMYFUNCTION("""COMPUTED_VALUE"""),"ANULING CERCA II")</f>
        <v>ANULING CERCA II</v>
      </c>
      <c r="R752" s="1" t="str">
        <f>IFERROR(__xludf.DUMMYFUNCTION("""COMPUTED_VALUE"""),"MENDEZ")</f>
        <v>MENDEZ</v>
      </c>
      <c r="S752" s="1" t="str">
        <f>IFERROR(__xludf.DUMMYFUNCTION("""COMPUTED_VALUE"""),"CAVITE")</f>
        <v>CAVITE</v>
      </c>
      <c r="T752" s="1" t="str">
        <f>IFERROR(__xludf.DUMMYFUNCTION("""COMPUTED_VALUE"""),"PREPAID FIBER UNLI")</f>
        <v>PREPAID FIBER UNLI</v>
      </c>
      <c r="U752" s="1" t="str">
        <f>IFERROR(__xludf.DUMMYFUNCTION("""COMPUTED_VALUE"""),"APPROVED")</f>
        <v>APPROVED</v>
      </c>
      <c r="V752" s="1"/>
      <c r="W752" s="1"/>
    </row>
    <row r="753" customHeight="1" spans="1:23">
      <c r="A753" s="3">
        <f>IFERROR(__xludf.DUMMYFUNCTION("""COMPUTED_VALUE"""),46090)</f>
        <v>46090</v>
      </c>
      <c r="B753" s="1" t="str">
        <f>IFERROR(__xludf.DUMMYFUNCTION("""COMPUTED_VALUE"""),"FARO, REFRANTA")</f>
        <v>FARO, REFRANTA</v>
      </c>
      <c r="C753" s="1" t="str">
        <f>IFERROR(__xludf.DUMMYFUNCTION("""COMPUTED_VALUE"""),"ORGANIC")</f>
        <v>ORGANIC</v>
      </c>
      <c r="D753" s="1" t="str">
        <f>IFERROR(__xludf.DUMMYFUNCTION("""COMPUTED_VALUE"""),"ALINGARO, CINDY")</f>
        <v>ALINGARO, CINDY</v>
      </c>
      <c r="E753" s="1" t="str">
        <f>IFERROR(__xludf.DUMMYFUNCTION("""COMPUTED_VALUE"""),"PLDT")</f>
        <v>PLDT</v>
      </c>
      <c r="F753" s="1">
        <f>IFERROR(__xludf.DUMMYFUNCTION("""COMPUTED_VALUE"""),2307543640)</f>
        <v>2307543640</v>
      </c>
      <c r="G753" s="1"/>
      <c r="H753" s="1" t="str">
        <f>IFERROR(__xludf.DUMMYFUNCTION("""COMPUTED_VALUE"""),"AILEEN RESTUTA RUIZ")</f>
        <v>AILEEN RESTUTA RUIZ</v>
      </c>
      <c r="I753" s="1">
        <f>IFERROR(__xludf.DUMMYFUNCTION("""COMPUTED_VALUE"""),9664967182)</f>
        <v>9664967182</v>
      </c>
      <c r="J753" s="1"/>
      <c r="K753" s="1" t="str">
        <f>IFERROR(__xludf.DUMMYFUNCTION("""COMPUTED_VALUE"""),"JEHLYN.UBC@GMAIL.COM")</f>
        <v>JEHLYN.UBC@GMAIL.COM</v>
      </c>
      <c r="L753" s="1" t="str">
        <f>IFERROR(__xludf.DUMMYFUNCTION("""COMPUTED_VALUE"""),"25")</f>
        <v>25</v>
      </c>
      <c r="M753" s="1" t="str">
        <f>IFERROR(__xludf.DUMMYFUNCTION("""COMPUTED_VALUE"""),"SITIO MUZON")</f>
        <v>SITIO MUZON</v>
      </c>
      <c r="N753" s="1"/>
      <c r="O753" s="1"/>
      <c r="P753" s="1"/>
      <c r="Q753" s="1" t="str">
        <f>IFERROR(__xludf.DUMMYFUNCTION("""COMPUTED_VALUE"""),"PUTING KAHOY")</f>
        <v>PUTING KAHOY</v>
      </c>
      <c r="R753" s="1" t="str">
        <f>IFERROR(__xludf.DUMMYFUNCTION("""COMPUTED_VALUE"""),"SILANG")</f>
        <v>SILANG</v>
      </c>
      <c r="S753" s="1" t="str">
        <f>IFERROR(__xludf.DUMMYFUNCTION("""COMPUTED_VALUE"""),"CAVITE")</f>
        <v>CAVITE</v>
      </c>
      <c r="T753" s="1" t="str">
        <f>IFERROR(__xludf.DUMMYFUNCTION("""COMPUTED_VALUE"""),"FIBR UNLI ALL PLAN 999")</f>
        <v>FIBR UNLI ALL PLAN 999</v>
      </c>
      <c r="U753" s="1" t="str">
        <f>IFERROR(__xludf.DUMMYFUNCTION("""COMPUTED_VALUE"""),"APPROVED")</f>
        <v>APPROVED</v>
      </c>
      <c r="V753" s="1"/>
      <c r="W753" s="1"/>
    </row>
    <row r="754" customHeight="1" spans="1:23">
      <c r="A754" s="3">
        <f>IFERROR(__xludf.DUMMYFUNCTION("""COMPUTED_VALUE"""),46090)</f>
        <v>46090</v>
      </c>
      <c r="B754" s="1" t="str">
        <f>IFERROR(__xludf.DUMMYFUNCTION("""COMPUTED_VALUE"""),"GABAY, MANUEL")</f>
        <v>GABAY, MANUEL</v>
      </c>
      <c r="C754" s="1" t="str">
        <f>IFERROR(__xludf.DUMMYFUNCTION("""COMPUTED_VALUE"""),"FLA")</f>
        <v>FLA</v>
      </c>
      <c r="D754" s="1" t="str">
        <f>IFERROR(__xludf.DUMMYFUNCTION("""COMPUTED_VALUE"""),"JERIC NAVARRO")</f>
        <v>JERIC NAVARRO</v>
      </c>
      <c r="E754" s="1" t="str">
        <f>IFERROR(__xludf.DUMMYFUNCTION("""COMPUTED_VALUE"""),"PLDT")</f>
        <v>PLDT</v>
      </c>
      <c r="F754" s="1">
        <f>IFERROR(__xludf.DUMMYFUNCTION("""COMPUTED_VALUE"""),2307544135)</f>
        <v>2307544135</v>
      </c>
      <c r="G754" s="1"/>
      <c r="H754" s="1" t="str">
        <f>IFERROR(__xludf.DUMMYFUNCTION("""COMPUTED_VALUE"""),"JAMES KENNETH MANGALIMAN ROSALES")</f>
        <v>JAMES KENNETH MANGALIMAN ROSALES</v>
      </c>
      <c r="I754" s="1">
        <f>IFERROR(__xludf.DUMMYFUNCTION("""COMPUTED_VALUE"""),9358047194)</f>
        <v>9358047194</v>
      </c>
      <c r="J754" s="1">
        <f>IFERROR(__xludf.DUMMYFUNCTION("""COMPUTED_VALUE"""),9972484711)</f>
        <v>9972484711</v>
      </c>
      <c r="K754" s="1" t="str">
        <f>IFERROR(__xludf.DUMMYFUNCTION("""COMPUTED_VALUE"""),"ROSALESJAMESKENNETH3@GMAIL.COM")</f>
        <v>ROSALESJAMESKENNETH3@GMAIL.COM</v>
      </c>
      <c r="L754" s="1" t="str">
        <f>IFERROR(__xludf.DUMMYFUNCTION("""COMPUTED_VALUE"""),"56")</f>
        <v>56</v>
      </c>
      <c r="M754" s="1" t="str">
        <f>IFERROR(__xludf.DUMMYFUNCTION("""COMPUTED_VALUE"""),"MUZON")</f>
        <v>MUZON</v>
      </c>
      <c r="N754" s="1"/>
      <c r="O754" s="1"/>
      <c r="P754" s="1"/>
      <c r="Q754" s="1" t="str">
        <f>IFERROR(__xludf.DUMMYFUNCTION("""COMPUTED_VALUE"""),"PUTING KAHOY")</f>
        <v>PUTING KAHOY</v>
      </c>
      <c r="R754" s="1" t="str">
        <f>IFERROR(__xludf.DUMMYFUNCTION("""COMPUTED_VALUE"""),"SILANG")</f>
        <v>SILANG</v>
      </c>
      <c r="S754" s="1" t="str">
        <f>IFERROR(__xludf.DUMMYFUNCTION("""COMPUTED_VALUE"""),"CAVITE")</f>
        <v>CAVITE</v>
      </c>
      <c r="T754" s="1" t="str">
        <f>IFERROR(__xludf.DUMMYFUNCTION("""COMPUTED_VALUE"""),"FIBR UNLI ALL PLAN 1399")</f>
        <v>FIBR UNLI ALL PLAN 1399</v>
      </c>
      <c r="U754" s="1" t="str">
        <f>IFERROR(__xludf.DUMMYFUNCTION("""COMPUTED_VALUE"""),"APPROVED")</f>
        <v>APPROVED</v>
      </c>
      <c r="V754" s="1"/>
      <c r="W754" s="1"/>
    </row>
    <row r="755" customHeight="1" spans="1:23">
      <c r="A755" s="3">
        <f>IFERROR(__xludf.DUMMYFUNCTION("""COMPUTED_VALUE"""),46090)</f>
        <v>46090</v>
      </c>
      <c r="B755" s="1" t="str">
        <f>IFERROR(__xludf.DUMMYFUNCTION("""COMPUTED_VALUE"""),"TISTON, CEDRICK")</f>
        <v>TISTON, CEDRICK</v>
      </c>
      <c r="C755" s="1" t="str">
        <f>IFERROR(__xludf.DUMMYFUNCTION("""COMPUTED_VALUE"""),"FLA")</f>
        <v>FLA</v>
      </c>
      <c r="D755" s="1" t="str">
        <f>IFERROR(__xludf.DUMMYFUNCTION("""COMPUTED_VALUE"""),"JERIC NAVARRO")</f>
        <v>JERIC NAVARRO</v>
      </c>
      <c r="E755" s="1" t="str">
        <f>IFERROR(__xludf.DUMMYFUNCTION("""COMPUTED_VALUE"""),"PLDT")</f>
        <v>PLDT</v>
      </c>
      <c r="F755" s="1">
        <f>IFERROR(__xludf.DUMMYFUNCTION("""COMPUTED_VALUE"""),2307544082)</f>
        <v>2307544082</v>
      </c>
      <c r="G755" s="1"/>
      <c r="H755" s="1" t="str">
        <f>IFERROR(__xludf.DUMMYFUNCTION("""COMPUTED_VALUE"""),"SHERYL NICOLAS ZAMORA")</f>
        <v>SHERYL NICOLAS ZAMORA</v>
      </c>
      <c r="I755" s="1">
        <f>IFERROR(__xludf.DUMMYFUNCTION("""COMPUTED_VALUE"""),9654905492)</f>
        <v>9654905492</v>
      </c>
      <c r="J755" s="1">
        <f>IFERROR(__xludf.DUMMYFUNCTION("""COMPUTED_VALUE"""),9539800278)</f>
        <v>9539800278</v>
      </c>
      <c r="K755" s="1" t="str">
        <f>IFERROR(__xludf.DUMMYFUNCTION("""COMPUTED_VALUE"""),"ZAMORASHERYL1@GMAIL.COM")</f>
        <v>ZAMORASHERYL1@GMAIL.COM</v>
      </c>
      <c r="L755" s="1" t="str">
        <f>IFERROR(__xludf.DUMMYFUNCTION("""COMPUTED_VALUE"""),"BLK 3 LOT 39")</f>
        <v>BLK 3 LOT 39</v>
      </c>
      <c r="M755" s="1" t="str">
        <f>IFERROR(__xludf.DUMMYFUNCTION("""COMPUTED_VALUE"""),"TEACHERS VILLAGE")</f>
        <v>TEACHERS VILLAGE</v>
      </c>
      <c r="N755" s="1"/>
      <c r="O755" s="1"/>
      <c r="P755" s="1"/>
      <c r="Q755" s="1" t="str">
        <f>IFERROR(__xludf.DUMMYFUNCTION("""COMPUTED_VALUE"""),"SAN GABRIEL (AREA K)")</f>
        <v>SAN GABRIEL (AREA K)</v>
      </c>
      <c r="R755" s="1" t="str">
        <f>IFERROR(__xludf.DUMMYFUNCTION("""COMPUTED_VALUE"""),"GEN MARIANO ALVAREZ")</f>
        <v>GEN MARIANO ALVAREZ</v>
      </c>
      <c r="S755" s="1" t="str">
        <f>IFERROR(__xludf.DUMMYFUNCTION("""COMPUTED_VALUE"""),"CAVITE")</f>
        <v>CAVITE</v>
      </c>
      <c r="T755" s="1" t="str">
        <f>IFERROR(__xludf.DUMMYFUNCTION("""COMPUTED_VALUE"""),"FIBR PLAN 1299")</f>
        <v>FIBR PLAN 1299</v>
      </c>
      <c r="U755" s="1" t="str">
        <f>IFERROR(__xludf.DUMMYFUNCTION("""COMPUTED_VALUE"""),"APPROVED")</f>
        <v>APPROVED</v>
      </c>
      <c r="V755" s="1"/>
      <c r="W755" s="1"/>
    </row>
    <row r="756" customHeight="1" spans="1:23">
      <c r="A756" s="3">
        <f>IFERROR(__xludf.DUMMYFUNCTION("""COMPUTED_VALUE"""),46090)</f>
        <v>46090</v>
      </c>
      <c r="B756" s="1" t="str">
        <f>IFERROR(__xludf.DUMMYFUNCTION("""COMPUTED_VALUE"""),"FARO, REFRANTA")</f>
        <v>FARO, REFRANTA</v>
      </c>
      <c r="C756" s="1" t="str">
        <f>IFERROR(__xludf.DUMMYFUNCTION("""COMPUTED_VALUE"""),"ORGANIC")</f>
        <v>ORGANIC</v>
      </c>
      <c r="D756" s="1" t="str">
        <f>IFERROR(__xludf.DUMMYFUNCTION("""COMPUTED_VALUE"""),"ALINGARO, CINDY")</f>
        <v>ALINGARO, CINDY</v>
      </c>
      <c r="E756" s="1" t="str">
        <f>IFERROR(__xludf.DUMMYFUNCTION("""COMPUTED_VALUE"""),"PLDT")</f>
        <v>PLDT</v>
      </c>
      <c r="F756" s="1">
        <f>IFERROR(__xludf.DUMMYFUNCTION("""COMPUTED_VALUE"""),2308342613)</f>
        <v>2308342613</v>
      </c>
      <c r="G756" s="1"/>
      <c r="H756" s="1" t="str">
        <f>IFERROR(__xludf.DUMMYFUNCTION("""COMPUTED_VALUE"""),"KING JEFRREY GATPANDAN CUADRA")</f>
        <v>KING JEFRREY GATPANDAN CUADRA</v>
      </c>
      <c r="I756" s="1">
        <f>IFERROR(__xludf.DUMMYFUNCTION("""COMPUTED_VALUE"""),9053179960)</f>
        <v>9053179960</v>
      </c>
      <c r="J756" s="1"/>
      <c r="K756" s="1" t="str">
        <f>IFERROR(__xludf.DUMMYFUNCTION("""COMPUTED_VALUE"""),"CKINGJEFRREY@GMAIL.COM")</f>
        <v>CKINGJEFRREY@GMAIL.COM</v>
      </c>
      <c r="L756" s="1" t="str">
        <f>IFERROR(__xludf.DUMMYFUNCTION("""COMPUTED_VALUE"""),"30")</f>
        <v>30</v>
      </c>
      <c r="M756" s="1" t="str">
        <f>IFERROR(__xludf.DUMMYFUNCTION("""COMPUTED_VALUE"""),"NEW SPRING RD")</f>
        <v>NEW SPRING RD</v>
      </c>
      <c r="N756" s="1"/>
      <c r="O756" s="1"/>
      <c r="P756" s="1"/>
      <c r="Q756" s="1" t="str">
        <f>IFERROR(__xludf.DUMMYFUNCTION("""COMPUTED_VALUE"""),"PANUNGYAN II")</f>
        <v>PANUNGYAN II</v>
      </c>
      <c r="R756" s="1" t="str">
        <f>IFERROR(__xludf.DUMMYFUNCTION("""COMPUTED_VALUE"""),"MENDEZ")</f>
        <v>MENDEZ</v>
      </c>
      <c r="S756" s="1" t="str">
        <f>IFERROR(__xludf.DUMMYFUNCTION("""COMPUTED_VALUE"""),"CAVITE")</f>
        <v>CAVITE</v>
      </c>
      <c r="T756" s="1" t="str">
        <f>IFERROR(__xludf.DUMMYFUNCTION("""COMPUTED_VALUE"""),"FIBR NETFLIX PLAN 1599")</f>
        <v>FIBR NETFLIX PLAN 1599</v>
      </c>
      <c r="U756" s="1" t="str">
        <f>IFERROR(__xludf.DUMMYFUNCTION("""COMPUTED_VALUE"""),"APPROVED")</f>
        <v>APPROVED</v>
      </c>
      <c r="V756" s="1"/>
      <c r="W756" s="1"/>
    </row>
    <row r="757" customHeight="1" spans="1:23">
      <c r="A757" s="3">
        <f>IFERROR(__xludf.DUMMYFUNCTION("""COMPUTED_VALUE"""),46090)</f>
        <v>46090</v>
      </c>
      <c r="B757" s="1" t="str">
        <f>IFERROR(__xludf.DUMMYFUNCTION("""COMPUTED_VALUE"""),"FARO, REFRANTA")</f>
        <v>FARO, REFRANTA</v>
      </c>
      <c r="C757" s="1" t="str">
        <f>IFERROR(__xludf.DUMMYFUNCTION("""COMPUTED_VALUE"""),"ORGANIC")</f>
        <v>ORGANIC</v>
      </c>
      <c r="D757" s="1" t="str">
        <f>IFERROR(__xludf.DUMMYFUNCTION("""COMPUTED_VALUE"""),"ALINGARO, CINDY")</f>
        <v>ALINGARO, CINDY</v>
      </c>
      <c r="E757" s="1" t="str">
        <f>IFERROR(__xludf.DUMMYFUNCTION("""COMPUTED_VALUE"""),"PLDT")</f>
        <v>PLDT</v>
      </c>
      <c r="F757" s="1">
        <f>IFERROR(__xludf.DUMMYFUNCTION("""COMPUTED_VALUE"""),2308342759)</f>
        <v>2308342759</v>
      </c>
      <c r="G757" s="1"/>
      <c r="H757" s="1" t="str">
        <f>IFERROR(__xludf.DUMMYFUNCTION("""COMPUTED_VALUE"""),"NORLENE TOLENTINO ACEDERA")</f>
        <v>NORLENE TOLENTINO ACEDERA</v>
      </c>
      <c r="I757" s="1">
        <f>IFERROR(__xludf.DUMMYFUNCTION("""COMPUTED_VALUE"""),9214606525)</f>
        <v>9214606525</v>
      </c>
      <c r="J757" s="1"/>
      <c r="K757" s="1" t="str">
        <f>IFERROR(__xludf.DUMMYFUNCTION("""COMPUTED_VALUE"""),"NORLEENACEDERA29@GMAIL,COM")</f>
        <v>NORLEENACEDERA29@GMAIL,COM</v>
      </c>
      <c r="L757" s="1" t="str">
        <f>IFERROR(__xludf.DUMMYFUNCTION("""COMPUTED_VALUE"""),"1")</f>
        <v>1</v>
      </c>
      <c r="M757" s="1" t="str">
        <f>IFERROR(__xludf.DUMMYFUNCTION("""COMPUTED_VALUE"""),"ZONE 4")</f>
        <v>ZONE 4</v>
      </c>
      <c r="N757" s="1"/>
      <c r="O757" s="1"/>
      <c r="P757" s="1"/>
      <c r="Q757" s="1" t="str">
        <f>IFERROR(__xludf.DUMMYFUNCTION("""COMPUTED_VALUE"""),"PANUNGYAN II")</f>
        <v>PANUNGYAN II</v>
      </c>
      <c r="R757" s="1" t="str">
        <f>IFERROR(__xludf.DUMMYFUNCTION("""COMPUTED_VALUE"""),"MENDEZ")</f>
        <v>MENDEZ</v>
      </c>
      <c r="S757" s="1" t="str">
        <f>IFERROR(__xludf.DUMMYFUNCTION("""COMPUTED_VALUE"""),"CAVITE")</f>
        <v>CAVITE</v>
      </c>
      <c r="T757" s="1" t="str">
        <f>IFERROR(__xludf.DUMMYFUNCTION("""COMPUTED_VALUE"""),"FIBR NETFLIX PLAN 1599")</f>
        <v>FIBR NETFLIX PLAN 1599</v>
      </c>
      <c r="U757" s="1" t="str">
        <f>IFERROR(__xludf.DUMMYFUNCTION("""COMPUTED_VALUE"""),"APPROVED")</f>
        <v>APPROVED</v>
      </c>
      <c r="V757" s="1"/>
      <c r="W757" s="1"/>
    </row>
    <row r="758" customHeight="1" spans="1:23">
      <c r="A758" s="3">
        <f>IFERROR(__xludf.DUMMYFUNCTION("""COMPUTED_VALUE"""),46091)</f>
        <v>46091</v>
      </c>
      <c r="B758" s="1" t="str">
        <f>IFERROR(__xludf.DUMMYFUNCTION("""COMPUTED_VALUE"""),"AYON MANUEL")</f>
        <v>AYON MANUEL</v>
      </c>
      <c r="C758" s="1" t="str">
        <f>IFERROR(__xludf.DUMMYFUNCTION("""COMPUTED_VALUE"""),"FLA")</f>
        <v>FLA</v>
      </c>
      <c r="D758" s="1" t="str">
        <f>IFERROR(__xludf.DUMMYFUNCTION("""COMPUTED_VALUE"""),"JERIC NAVARRO")</f>
        <v>JERIC NAVARRO</v>
      </c>
      <c r="E758" s="1" t="str">
        <f>IFERROR(__xludf.DUMMYFUNCTION("""COMPUTED_VALUE"""),"HOME BIZZ")</f>
        <v>HOME BIZZ</v>
      </c>
      <c r="F758" s="1">
        <f>IFERROR(__xludf.DUMMYFUNCTION("""COMPUTED_VALUE"""),2307560062)</f>
        <v>2307560062</v>
      </c>
      <c r="G758" s="1"/>
      <c r="H758" s="1" t="str">
        <f>IFERROR(__xludf.DUMMYFUNCTION("""COMPUTED_VALUE"""),"CARLS GYM")</f>
        <v>CARLS GYM</v>
      </c>
      <c r="I758" s="1">
        <f>IFERROR(__xludf.DUMMYFUNCTION("""COMPUTED_VALUE"""),9178828143)</f>
        <v>9178828143</v>
      </c>
      <c r="J758" s="1">
        <f>IFERROR(__xludf.DUMMYFUNCTION("""COMPUTED_VALUE"""),9178040951)</f>
        <v>9178040951</v>
      </c>
      <c r="K758" s="1" t="str">
        <f>IFERROR(__xludf.DUMMYFUNCTION("""COMPUTED_VALUE"""),"SALAYSAYCARLOS@YAHOO.COM")</f>
        <v>SALAYSAYCARLOS@YAHOO.COM</v>
      </c>
      <c r="L758" s="1" t="str">
        <f>IFERROR(__xludf.DUMMYFUNCTION("""COMPUTED_VALUE"""),"7")</f>
        <v>7</v>
      </c>
      <c r="M758" s="1" t="str">
        <f>IFERROR(__xludf.DUMMYFUNCTION("""COMPUTED_VALUE"""),"RCHLAND")</f>
        <v>RCHLAND</v>
      </c>
      <c r="N758" s="1"/>
      <c r="O758" s="1"/>
      <c r="P758" s="1"/>
      <c r="Q758" s="1" t="str">
        <f>IFERROR(__xludf.DUMMYFUNCTION("""COMPUTED_VALUE"""),"PUTING KAHOY")</f>
        <v>PUTING KAHOY</v>
      </c>
      <c r="R758" s="1" t="str">
        <f>IFERROR(__xludf.DUMMYFUNCTION("""COMPUTED_VALUE"""),"SILANG")</f>
        <v>SILANG</v>
      </c>
      <c r="S758" s="1" t="str">
        <f>IFERROR(__xludf.DUMMYFUNCTION("""COMPUTED_VALUE"""),"CAVITE")</f>
        <v>CAVITE</v>
      </c>
      <c r="T758" s="1" t="str">
        <f>IFERROR(__xludf.DUMMYFUNCTION("""COMPUTED_VALUE"""),"HOME BIZ PLAN 1699")</f>
        <v>HOME BIZ PLAN 1699</v>
      </c>
      <c r="U758" s="1" t="str">
        <f>IFERROR(__xludf.DUMMYFUNCTION("""COMPUTED_VALUE"""),"APPROVED")</f>
        <v>APPROVED</v>
      </c>
      <c r="V758" s="1"/>
      <c r="W758" s="1"/>
    </row>
    <row r="759" customHeight="1" spans="1:23">
      <c r="A759" s="3">
        <f>IFERROR(__xludf.DUMMYFUNCTION("""COMPUTED_VALUE"""),46091)</f>
        <v>46091</v>
      </c>
      <c r="B759" s="1" t="str">
        <f>IFERROR(__xludf.DUMMYFUNCTION("""COMPUTED_VALUE"""),"CONCEPCION, ALJAY")</f>
        <v>CONCEPCION, ALJAY</v>
      </c>
      <c r="C759" s="1" t="str">
        <f>IFERROR(__xludf.DUMMYFUNCTION("""COMPUTED_VALUE"""),"ORGANIC")</f>
        <v>ORGANIC</v>
      </c>
      <c r="D759" s="1" t="str">
        <f>IFERROR(__xludf.DUMMYFUNCTION("""COMPUTED_VALUE"""),"ALINGARO, CINDY")</f>
        <v>ALINGARO, CINDY</v>
      </c>
      <c r="E759" s="1" t="str">
        <f>IFERROR(__xludf.DUMMYFUNCTION("""COMPUTED_VALUE"""),"PLDT")</f>
        <v>PLDT</v>
      </c>
      <c r="F759" s="1">
        <f>IFERROR(__xludf.DUMMYFUNCTION("""COMPUTED_VALUE"""),2307560347)</f>
        <v>2307560347</v>
      </c>
      <c r="G759" s="1"/>
      <c r="H759" s="1" t="str">
        <f>IFERROR(__xludf.DUMMYFUNCTION("""COMPUTED_VALUE"""),"MARJORIE ENRIQUEZ DACARA")</f>
        <v>MARJORIE ENRIQUEZ DACARA</v>
      </c>
      <c r="I759" s="1">
        <f>IFERROR(__xludf.DUMMYFUNCTION("""COMPUTED_VALUE"""),9682834575)</f>
        <v>9682834575</v>
      </c>
      <c r="J759" s="1"/>
      <c r="K759" s="1" t="str">
        <f>IFERROR(__xludf.DUMMYFUNCTION("""COMPUTED_VALUE"""),"DACARAMARJORIE6@GMAIL.COM")</f>
        <v>DACARAMARJORIE6@GMAIL.COM</v>
      </c>
      <c r="L759" s="1" t="str">
        <f>IFERROR(__xludf.DUMMYFUNCTION("""COMPUTED_VALUE"""),"BLK 3A LOT 10")</f>
        <v>BLK 3A LOT 10</v>
      </c>
      <c r="M759" s="1" t="str">
        <f>IFERROR(__xludf.DUMMYFUNCTION("""COMPUTED_VALUE"""),"F REYES RD")</f>
        <v>F REYES RD</v>
      </c>
      <c r="N759" s="1"/>
      <c r="O759" s="1"/>
      <c r="P759" s="1"/>
      <c r="Q759" s="1" t="str">
        <f>IFERROR(__xludf.DUMMYFUNCTION("""COMPUTED_VALUE"""),"FRANCISCO REYES")</f>
        <v>FRANCISCO REYES</v>
      </c>
      <c r="R759" s="1" t="str">
        <f>IFERROR(__xludf.DUMMYFUNCTION("""COMPUTED_VALUE"""),"GEN MARIANO ALVAREZ")</f>
        <v>GEN MARIANO ALVAREZ</v>
      </c>
      <c r="S759" s="1" t="str">
        <f>IFERROR(__xludf.DUMMYFUNCTION("""COMPUTED_VALUE"""),"CAVITE")</f>
        <v>CAVITE</v>
      </c>
      <c r="T759" s="1" t="str">
        <f>IFERROR(__xludf.DUMMYFUNCTION("""COMPUTED_VALUE"""),"FIBR UNLI ALL PLAN 1399")</f>
        <v>FIBR UNLI ALL PLAN 1399</v>
      </c>
      <c r="U759" s="1" t="str">
        <f>IFERROR(__xludf.DUMMYFUNCTION("""COMPUTED_VALUE"""),"APPROVED")</f>
        <v>APPROVED</v>
      </c>
      <c r="V759" s="1"/>
      <c r="W759" s="1"/>
    </row>
    <row r="760" customHeight="1" spans="1:23">
      <c r="A760" s="3">
        <f>IFERROR(__xludf.DUMMYFUNCTION("""COMPUTED_VALUE"""),46091)</f>
        <v>46091</v>
      </c>
      <c r="B760" s="1" t="str">
        <f>IFERROR(__xludf.DUMMYFUNCTION("""COMPUTED_VALUE"""),"AQUINO, LUIS")</f>
        <v>AQUINO, LUIS</v>
      </c>
      <c r="C760" s="1" t="str">
        <f>IFERROR(__xludf.DUMMYFUNCTION("""COMPUTED_VALUE"""),"ORGANIC")</f>
        <v>ORGANIC</v>
      </c>
      <c r="D760" s="1" t="str">
        <f>IFERROR(__xludf.DUMMYFUNCTION("""COMPUTED_VALUE"""),"ALOS, CHARLS")</f>
        <v>ALOS, CHARLS</v>
      </c>
      <c r="E760" s="1" t="str">
        <f>IFERROR(__xludf.DUMMYFUNCTION("""COMPUTED_VALUE"""),"PLDT")</f>
        <v>PLDT</v>
      </c>
      <c r="F760" s="1">
        <f>IFERROR(__xludf.DUMMYFUNCTION("""COMPUTED_VALUE"""),2307560680)</f>
        <v>2307560680</v>
      </c>
      <c r="G760" s="1"/>
      <c r="H760" s="1" t="str">
        <f>IFERROR(__xludf.DUMMYFUNCTION("""COMPUTED_VALUE"""),"FERNANDO ESPEJO GANNAD")</f>
        <v>FERNANDO ESPEJO GANNAD</v>
      </c>
      <c r="I760" s="1">
        <f>IFERROR(__xludf.DUMMYFUNCTION("""COMPUTED_VALUE"""),9162149587)</f>
        <v>9162149587</v>
      </c>
      <c r="J760" s="1"/>
      <c r="K760" s="1" t="str">
        <f>IFERROR(__xludf.DUMMYFUNCTION("""COMPUTED_VALUE"""),"GANNADSHIENA@GMAIL.COM")</f>
        <v>GANNADSHIENA@GMAIL.COM</v>
      </c>
      <c r="L760" s="1" t="str">
        <f>IFERROR(__xludf.DUMMYFUNCTION("""COMPUTED_VALUE"""),"BLK 11 LOT 4")</f>
        <v>BLK 11 LOT 4</v>
      </c>
      <c r="M760" s="1" t="str">
        <f>IFERROR(__xludf.DUMMYFUNCTION("""COMPUTED_VALUE"""),"CAPT M BERTO")</f>
        <v>CAPT M BERTO</v>
      </c>
      <c r="N760" s="1"/>
      <c r="O760" s="1"/>
      <c r="P760" s="1"/>
      <c r="Q760" s="1" t="str">
        <f>IFERROR(__xludf.DUMMYFUNCTION("""COMPUTED_VALUE"""),"POBLACION IV")</f>
        <v>POBLACION IV</v>
      </c>
      <c r="R760" s="1" t="str">
        <f>IFERROR(__xludf.DUMMYFUNCTION("""COMPUTED_VALUE"""),"GEN MARIANO ALVAREZ")</f>
        <v>GEN MARIANO ALVAREZ</v>
      </c>
      <c r="S760" s="1" t="str">
        <f>IFERROR(__xludf.DUMMYFUNCTION("""COMPUTED_VALUE"""),"CAVITE")</f>
        <v>CAVITE</v>
      </c>
      <c r="T760" s="1" t="str">
        <f>IFERROR(__xludf.DUMMYFUNCTION("""COMPUTED_VALUE"""),"FIBR PLAN 1299")</f>
        <v>FIBR PLAN 1299</v>
      </c>
      <c r="U760" s="1" t="str">
        <f>IFERROR(__xludf.DUMMYFUNCTION("""COMPUTED_VALUE"""),"APPROVED")</f>
        <v>APPROVED</v>
      </c>
      <c r="V760" s="1"/>
      <c r="W760" s="1"/>
    </row>
    <row r="761" customHeight="1" spans="1:23">
      <c r="A761" s="3">
        <f>IFERROR(__xludf.DUMMYFUNCTION("""COMPUTED_VALUE"""),46091)</f>
        <v>46091</v>
      </c>
      <c r="B761" s="1" t="str">
        <f>IFERROR(__xludf.DUMMYFUNCTION("""COMPUTED_VALUE"""),"ESCARCHA, MA ALMA  ESCOTO")</f>
        <v>ESCARCHA, MA ALMA  ESCOTO</v>
      </c>
      <c r="C761" s="1" t="str">
        <f>IFERROR(__xludf.DUMMYFUNCTION("""COMPUTED_VALUE"""),"ORGANIC")</f>
        <v>ORGANIC</v>
      </c>
      <c r="D761" s="1" t="str">
        <f>IFERROR(__xludf.DUMMYFUNCTION("""COMPUTED_VALUE"""),"ALINGARO, CINDY")</f>
        <v>ALINGARO, CINDY</v>
      </c>
      <c r="E761" s="1" t="str">
        <f>IFERROR(__xludf.DUMMYFUNCTION("""COMPUTED_VALUE"""),"PLDT")</f>
        <v>PLDT</v>
      </c>
      <c r="F761" s="1">
        <f>IFERROR(__xludf.DUMMYFUNCTION("""COMPUTED_VALUE"""),2308510878)</f>
        <v>2308510878</v>
      </c>
      <c r="G761" s="1"/>
      <c r="H761" s="1" t="str">
        <f>IFERROR(__xludf.DUMMYFUNCTION("""COMPUTED_VALUE"""),"MARICRIS VILLAHERMOSA CORNELLO")</f>
        <v>MARICRIS VILLAHERMOSA CORNELLO</v>
      </c>
      <c r="I761" s="1">
        <f>IFERROR(__xludf.DUMMYFUNCTION("""COMPUTED_VALUE"""),9451095329)</f>
        <v>9451095329</v>
      </c>
      <c r="J761" s="1"/>
      <c r="K761" s="1" t="str">
        <f>IFERROR(__xludf.DUMMYFUNCTION("""COMPUTED_VALUE"""),"CRISVY1985@GMAIL.COM")</f>
        <v>CRISVY1985@GMAIL.COM</v>
      </c>
      <c r="L761" s="1" t="str">
        <f>IFERROR(__xludf.DUMMYFUNCTION("""COMPUTED_VALUE"""),"BLK H LOT 17")</f>
        <v>BLK H LOT 17</v>
      </c>
      <c r="M761" s="1" t="str">
        <f>IFERROR(__xludf.DUMMYFUNCTION("""COMPUTED_VALUE"""),"SANTAN ST")</f>
        <v>SANTAN ST</v>
      </c>
      <c r="N761" s="1"/>
      <c r="O761" s="1" t="str">
        <f>IFERROR(__xludf.DUMMYFUNCTION("""COMPUTED_VALUE"""),"TGTLP341NP1 TGTLP210NP1 TGTLP198NP2 TGTLP209NP1")</f>
        <v>TGTLP341NP1 TGTLP210NP1 TGTLP198NP2 TGTLP209NP1</v>
      </c>
      <c r="P761" s="1"/>
      <c r="Q761" s="1" t="str">
        <f>IFERROR(__xludf.DUMMYFUNCTION("""COMPUTED_VALUE"""),"IRUHIN WEST")</f>
        <v>IRUHIN WEST</v>
      </c>
      <c r="R761" s="1" t="str">
        <f>IFERROR(__xludf.DUMMYFUNCTION("""COMPUTED_VALUE"""),"TAGAYTAY")</f>
        <v>TAGAYTAY</v>
      </c>
      <c r="S761" s="1" t="str">
        <f>IFERROR(__xludf.DUMMYFUNCTION("""COMPUTED_VALUE"""),"CAVITE")</f>
        <v>CAVITE</v>
      </c>
      <c r="T761" s="1" t="str">
        <f>IFERROR(__xludf.DUMMYFUNCTION("""COMPUTED_VALUE"""),"FIBR PLAN 2699")</f>
        <v>FIBR PLAN 2699</v>
      </c>
      <c r="U761" s="1" t="str">
        <f>IFERROR(__xludf.DUMMYFUNCTION("""COMPUTED_VALUE"""),"APPROVED")</f>
        <v>APPROVED</v>
      </c>
      <c r="V761" s="1" t="str">
        <f>IFERROR(__xludf.DUMMYFUNCTION("""COMPUTED_VALUE"""),"PAYROLL 23-29")</f>
        <v>PAYROLL 23-29</v>
      </c>
      <c r="W761" s="1"/>
    </row>
    <row r="762" customHeight="1" spans="1:23">
      <c r="A762" s="3">
        <f>IFERROR(__xludf.DUMMYFUNCTION("""COMPUTED_VALUE"""),46091)</f>
        <v>46091</v>
      </c>
      <c r="B762" s="1" t="str">
        <f>IFERROR(__xludf.DUMMYFUNCTION("""COMPUTED_VALUE"""),"GABAY, MANUEL")</f>
        <v>GABAY, MANUEL</v>
      </c>
      <c r="C762" s="1" t="str">
        <f>IFERROR(__xludf.DUMMYFUNCTION("""COMPUTED_VALUE"""),"FLA")</f>
        <v>FLA</v>
      </c>
      <c r="D762" s="1" t="str">
        <f>IFERROR(__xludf.DUMMYFUNCTION("""COMPUTED_VALUE"""),"JERIC NAVARRO")</f>
        <v>JERIC NAVARRO</v>
      </c>
      <c r="E762" s="1" t="str">
        <f>IFERROR(__xludf.DUMMYFUNCTION("""COMPUTED_VALUE"""),"PLDT")</f>
        <v>PLDT</v>
      </c>
      <c r="F762" s="1">
        <f>IFERROR(__xludf.DUMMYFUNCTION("""COMPUTED_VALUE"""),2307563613)</f>
        <v>2307563613</v>
      </c>
      <c r="G762" s="1"/>
      <c r="H762" s="1" t="str">
        <f>IFERROR(__xludf.DUMMYFUNCTION("""COMPUTED_VALUE"""),"MARIECRIS LETAN REFUGIO ")</f>
        <v>MARIECRIS LETAN REFUGIO </v>
      </c>
      <c r="I762" s="1">
        <f>IFERROR(__xludf.DUMMYFUNCTION("""COMPUTED_VALUE"""),9568349275)</f>
        <v>9568349275</v>
      </c>
      <c r="J762" s="1">
        <f>IFERROR(__xludf.DUMMYFUNCTION("""COMPUTED_VALUE"""),9562292996)</f>
        <v>9562292996</v>
      </c>
      <c r="K762" s="1" t="str">
        <f>IFERROR(__xludf.DUMMYFUNCTION("""COMPUTED_VALUE"""),"REGUGIOMARIECRIS14@GMAIL.COM")</f>
        <v>REGUGIOMARIECRIS14@GMAIL.COM</v>
      </c>
      <c r="L762" s="1" t="str">
        <f>IFERROR(__xludf.DUMMYFUNCTION("""COMPUTED_VALUE"""),"8000 2A")</f>
        <v>8000 2A</v>
      </c>
      <c r="M762" s="1" t="str">
        <f>IFERROR(__xludf.DUMMYFUNCTION("""COMPUTED_VALUE"""),"REYES APARTMENT")</f>
        <v>REYES APARTMENT</v>
      </c>
      <c r="N762" s="1"/>
      <c r="O762" s="1" t="str">
        <f>IFERROR(__xludf.DUMMYFUNCTION("""COMPUTED_VALUE"""),"SILLP639NP2/3")</f>
        <v>SILLP639NP2/3</v>
      </c>
      <c r="P762" s="1"/>
      <c r="Q762" s="1" t="str">
        <f>IFERROR(__xludf.DUMMYFUNCTION("""COMPUTED_VALUE"""),"KAONG")</f>
        <v>KAONG</v>
      </c>
      <c r="R762" s="1" t="str">
        <f>IFERROR(__xludf.DUMMYFUNCTION("""COMPUTED_VALUE"""),"SILANG")</f>
        <v>SILANG</v>
      </c>
      <c r="S762" s="1" t="str">
        <f>IFERROR(__xludf.DUMMYFUNCTION("""COMPUTED_VALUE"""),"CAVITE")</f>
        <v>CAVITE</v>
      </c>
      <c r="T762" s="1" t="str">
        <f>IFERROR(__xludf.DUMMYFUNCTION("""COMPUTED_VALUE"""),"FIBR NETFLIX PLAN 1599")</f>
        <v>FIBR NETFLIX PLAN 1599</v>
      </c>
      <c r="U762" s="1" t="str">
        <f>IFERROR(__xludf.DUMMYFUNCTION("""COMPUTED_VALUE"""),"APPROVED")</f>
        <v>APPROVED</v>
      </c>
      <c r="V762" s="1"/>
      <c r="W762" s="1"/>
    </row>
    <row r="763" customHeight="1" spans="1:23">
      <c r="A763" s="3">
        <f>IFERROR(__xludf.DUMMYFUNCTION("""COMPUTED_VALUE"""),46091)</f>
        <v>46091</v>
      </c>
      <c r="B763" s="1" t="str">
        <f>IFERROR(__xludf.DUMMYFUNCTION("""COMPUTED_VALUE"""),"REMOLLO, LEA")</f>
        <v>REMOLLO, LEA</v>
      </c>
      <c r="C763" s="1" t="str">
        <f>IFERROR(__xludf.DUMMYFUNCTION("""COMPUTED_VALUE"""),"FLA")</f>
        <v>FLA</v>
      </c>
      <c r="D763" s="1" t="str">
        <f>IFERROR(__xludf.DUMMYFUNCTION("""COMPUTED_VALUE"""),"JERIC NAVARRO")</f>
        <v>JERIC NAVARRO</v>
      </c>
      <c r="E763" s="1" t="str">
        <f>IFERROR(__xludf.DUMMYFUNCTION("""COMPUTED_VALUE"""),"PLDT")</f>
        <v>PLDT</v>
      </c>
      <c r="F763" s="1">
        <f>IFERROR(__xludf.DUMMYFUNCTION("""COMPUTED_VALUE"""),2307567779)</f>
        <v>2307567779</v>
      </c>
      <c r="G763" s="1"/>
      <c r="H763" s="1" t="str">
        <f>IFERROR(__xludf.DUMMYFUNCTION("""COMPUTED_VALUE"""),"KRIZZAN JANE CARPIO LAGAHIT")</f>
        <v>KRIZZAN JANE CARPIO LAGAHIT</v>
      </c>
      <c r="I763" s="1">
        <f>IFERROR(__xludf.DUMMYFUNCTION("""COMPUTED_VALUE"""),9555938300)</f>
        <v>9555938300</v>
      </c>
      <c r="J763" s="1">
        <f>IFERROR(__xludf.DUMMYFUNCTION("""COMPUTED_VALUE"""),9543389649)</f>
        <v>9543389649</v>
      </c>
      <c r="K763" s="1" t="str">
        <f>IFERROR(__xludf.DUMMYFUNCTION("""COMPUTED_VALUE"""),"JANECAFRPO010293@GMAIL.COM")</f>
        <v>JANECAFRPO010293@GMAIL.COM</v>
      </c>
      <c r="L763" s="1" t="str">
        <f>IFERROR(__xludf.DUMMYFUNCTION("""COMPUTED_VALUE"""),"BLK 41 LOT 17")</f>
        <v>BLK 41 LOT 17</v>
      </c>
      <c r="M763" s="1" t="str">
        <f>IFERROR(__xludf.DUMMYFUNCTION("""COMPUTED_VALUE"""),"PHASE 3")</f>
        <v>PHASE 3</v>
      </c>
      <c r="N763" s="1" t="str">
        <f>IFERROR(__xludf.DUMMYFUNCTION("""COMPUTED_VALUE"""),"VIRONA SUNTRUST")</f>
        <v>VIRONA SUNTRUST</v>
      </c>
      <c r="O763" s="1"/>
      <c r="P763" s="1"/>
      <c r="Q763" s="1" t="str">
        <f>IFERROR(__xludf.DUMMYFUNCTION("""COMPUTED_VALUE"""),"LUMIL")</f>
        <v>LUMIL</v>
      </c>
      <c r="R763" s="1" t="str">
        <f>IFERROR(__xludf.DUMMYFUNCTION("""COMPUTED_VALUE"""),"SILANG")</f>
        <v>SILANG</v>
      </c>
      <c r="S763" s="1" t="str">
        <f>IFERROR(__xludf.DUMMYFUNCTION("""COMPUTED_VALUE"""),"CAVITE")</f>
        <v>CAVITE</v>
      </c>
      <c r="T763" s="1" t="str">
        <f>IFERROR(__xludf.DUMMYFUNCTION("""COMPUTED_VALUE"""),"FIBR NETFLIX PLAN 1599")</f>
        <v>FIBR NETFLIX PLAN 1599</v>
      </c>
      <c r="U763" s="1" t="str">
        <f>IFERROR(__xludf.DUMMYFUNCTION("""COMPUTED_VALUE"""),"APPROVED")</f>
        <v>APPROVED</v>
      </c>
      <c r="V763" s="1"/>
      <c r="W763" s="1"/>
    </row>
    <row r="764" customHeight="1" spans="1:23">
      <c r="A764" s="3">
        <f>IFERROR(__xludf.DUMMYFUNCTION("""COMPUTED_VALUE"""),46091)</f>
        <v>46091</v>
      </c>
      <c r="B764" s="1" t="str">
        <f>IFERROR(__xludf.DUMMYFUNCTION("""COMPUTED_VALUE"""),"DELA ROSA, JENNELYN")</f>
        <v>DELA ROSA, JENNELYN</v>
      </c>
      <c r="C764" s="1" t="str">
        <f>IFERROR(__xludf.DUMMYFUNCTION("""COMPUTED_VALUE"""),"ORGANIC")</f>
        <v>ORGANIC</v>
      </c>
      <c r="D764" s="1" t="str">
        <f>IFERROR(__xludf.DUMMYFUNCTION("""COMPUTED_VALUE"""),"ALOS, CHARLS")</f>
        <v>ALOS, CHARLS</v>
      </c>
      <c r="E764" s="1" t="str">
        <f>IFERROR(__xludf.DUMMYFUNCTION("""COMPUTED_VALUE"""),"PLDT")</f>
        <v>PLDT</v>
      </c>
      <c r="F764" s="1">
        <f>IFERROR(__xludf.DUMMYFUNCTION("""COMPUTED_VALUE"""),2307569023)</f>
        <v>2307569023</v>
      </c>
      <c r="G764" s="1"/>
      <c r="H764" s="1" t="str">
        <f>IFERROR(__xludf.DUMMYFUNCTION("""COMPUTED_VALUE"""),"HARRY MEDINA CREWS")</f>
        <v>HARRY MEDINA CREWS</v>
      </c>
      <c r="I764" s="1">
        <f>IFERROR(__xludf.DUMMYFUNCTION("""COMPUTED_VALUE"""),9750459060)</f>
        <v>9750459060</v>
      </c>
      <c r="J764" s="1"/>
      <c r="K764" s="1" t="str">
        <f>IFERROR(__xludf.DUMMYFUNCTION("""COMPUTED_VALUE"""),"CREWS2875@ICLOUD.COM")</f>
        <v>CREWS2875@ICLOUD.COM</v>
      </c>
      <c r="L764" s="1" t="str">
        <f>IFERROR(__xludf.DUMMYFUNCTION("""COMPUTED_VALUE"""),"BLK 25 LOT 3")</f>
        <v>BLK 25 LOT 3</v>
      </c>
      <c r="M764" s="1" t="str">
        <f>IFERROR(__xludf.DUMMYFUNCTION("""COMPUTED_VALUE"""),"LA PRAIRE ")</f>
        <v>LA PRAIRE </v>
      </c>
      <c r="N764" s="1"/>
      <c r="O764" s="1"/>
      <c r="P764" s="1"/>
      <c r="Q764" s="1" t="str">
        <f>IFERROR(__xludf.DUMMYFUNCTION("""COMPUTED_VALUE"""),"LUKSUHIN")</f>
        <v>LUKSUHIN</v>
      </c>
      <c r="R764" s="1" t="str">
        <f>IFERROR(__xludf.DUMMYFUNCTION("""COMPUTED_VALUE"""),"ALFONSO")</f>
        <v>ALFONSO</v>
      </c>
      <c r="S764" s="1" t="str">
        <f>IFERROR(__xludf.DUMMYFUNCTION("""COMPUTED_VALUE"""),"CAVITE")</f>
        <v>CAVITE</v>
      </c>
      <c r="T764" s="1" t="str">
        <f>IFERROR(__xludf.DUMMYFUNCTION("""COMPUTED_VALUE"""),"FIBR UNLI ALL PLAN 1799")</f>
        <v>FIBR UNLI ALL PLAN 1799</v>
      </c>
      <c r="U764" s="1" t="str">
        <f>IFERROR(__xludf.DUMMYFUNCTION("""COMPUTED_VALUE"""),"APPROVED")</f>
        <v>APPROVED</v>
      </c>
      <c r="V764" s="1"/>
      <c r="W764" s="1"/>
    </row>
    <row r="765" customHeight="1" spans="1:23">
      <c r="A765" s="3">
        <f>IFERROR(__xludf.DUMMYFUNCTION("""COMPUTED_VALUE"""),46091)</f>
        <v>46091</v>
      </c>
      <c r="B765" s="1" t="str">
        <f>IFERROR(__xludf.DUMMYFUNCTION("""COMPUTED_VALUE"""),"ESCARCHA, MA ALMA  ESCOTO")</f>
        <v>ESCARCHA, MA ALMA  ESCOTO</v>
      </c>
      <c r="C765" s="1" t="str">
        <f>IFERROR(__xludf.DUMMYFUNCTION("""COMPUTED_VALUE"""),"ORGANIC")</f>
        <v>ORGANIC</v>
      </c>
      <c r="D765" s="1" t="str">
        <f>IFERROR(__xludf.DUMMYFUNCTION("""COMPUTED_VALUE"""),"ALINGARO, CINDY")</f>
        <v>ALINGARO, CINDY</v>
      </c>
      <c r="E765" s="1" t="str">
        <f>IFERROR(__xludf.DUMMYFUNCTION("""COMPUTED_VALUE"""),"PLDT")</f>
        <v>PLDT</v>
      </c>
      <c r="F765" s="1">
        <f>IFERROR(__xludf.DUMMYFUNCTION("""COMPUTED_VALUE"""),2307629531)</f>
        <v>2307629531</v>
      </c>
      <c r="G765" s="1"/>
      <c r="H765" s="1" t="str">
        <f>IFERROR(__xludf.DUMMYFUNCTION("""COMPUTED_VALUE"""),"NYRA GEBILAGUIN LAGARE")</f>
        <v>NYRA GEBILAGUIN LAGARE</v>
      </c>
      <c r="I765" s="1">
        <f>IFERROR(__xludf.DUMMYFUNCTION("""COMPUTED_VALUE"""),9271654486)</f>
        <v>9271654486</v>
      </c>
      <c r="J765" s="1">
        <f>IFERROR(__xludf.DUMMYFUNCTION("""COMPUTED_VALUE"""),9673967450)</f>
        <v>9673967450</v>
      </c>
      <c r="K765" s="1" t="str">
        <f>IFERROR(__xludf.DUMMYFUNCTION("""COMPUTED_VALUE"""),"LAGARENYRA@GMAIL.COM")</f>
        <v>LAGARENYRA@GMAIL.COM</v>
      </c>
      <c r="L765" s="1" t="str">
        <f>IFERROR(__xludf.DUMMYFUNCTION("""COMPUTED_VALUE"""),"101A")</f>
        <v>101A</v>
      </c>
      <c r="M765" s="1" t="str">
        <f>IFERROR(__xludf.DUMMYFUNCTION("""COMPUTED_VALUE"""),"REAL ST")</f>
        <v>REAL ST</v>
      </c>
      <c r="N765" s="1"/>
      <c r="O765" s="1"/>
      <c r="P765" s="1"/>
      <c r="Q765" s="1" t="str">
        <f>IFERROR(__xludf.DUMMYFUNCTION("""COMPUTED_VALUE"""),"TOLEDO")</f>
        <v>TOLEDO</v>
      </c>
      <c r="R765" s="1" t="str">
        <f>IFERROR(__xludf.DUMMYFUNCTION("""COMPUTED_VALUE"""),"SILANG")</f>
        <v>SILANG</v>
      </c>
      <c r="S765" s="1" t="str">
        <f>IFERROR(__xludf.DUMMYFUNCTION("""COMPUTED_VALUE"""),"CAVITE")</f>
        <v>CAVITE</v>
      </c>
      <c r="T765" s="1" t="str">
        <f>IFERROR(__xludf.DUMMYFUNCTION("""COMPUTED_VALUE"""),"FIBR NETFLIX PLAN 1599")</f>
        <v>FIBR NETFLIX PLAN 1599</v>
      </c>
      <c r="U765" s="1" t="str">
        <f>IFERROR(__xludf.DUMMYFUNCTION("""COMPUTED_VALUE"""),"APPROVED")</f>
        <v>APPROVED</v>
      </c>
      <c r="V765" s="1"/>
      <c r="W765" s="1"/>
    </row>
    <row r="766" customHeight="1" spans="1:23">
      <c r="A766" s="3">
        <f>IFERROR(__xludf.DUMMYFUNCTION("""COMPUTED_VALUE"""),46091)</f>
        <v>46091</v>
      </c>
      <c r="B766" s="1" t="str">
        <f>IFERROR(__xludf.DUMMYFUNCTION("""COMPUTED_VALUE"""),"MAGDARAOG, KENNETH")</f>
        <v>MAGDARAOG, KENNETH</v>
      </c>
      <c r="C766" s="1" t="str">
        <f>IFERROR(__xludf.DUMMYFUNCTION("""COMPUTED_VALUE"""),"ORGANIC")</f>
        <v>ORGANIC</v>
      </c>
      <c r="D766" s="1" t="str">
        <f>IFERROR(__xludf.DUMMYFUNCTION("""COMPUTED_VALUE"""),"ALINGARO, CINDY")</f>
        <v>ALINGARO, CINDY</v>
      </c>
      <c r="E766" s="1" t="str">
        <f>IFERROR(__xludf.DUMMYFUNCTION("""COMPUTED_VALUE"""),"PLDT")</f>
        <v>PLDT</v>
      </c>
      <c r="F766" s="1">
        <f>IFERROR(__xludf.DUMMYFUNCTION("""COMPUTED_VALUE"""),2307574157)</f>
        <v>2307574157</v>
      </c>
      <c r="G766" s="1"/>
      <c r="H766" s="1" t="str">
        <f>IFERROR(__xludf.DUMMYFUNCTION("""COMPUTED_VALUE"""),"MARK JOSEPH FRIAS DANIEL")</f>
        <v>MARK JOSEPH FRIAS DANIEL</v>
      </c>
      <c r="I766" s="1">
        <f>IFERROR(__xludf.DUMMYFUNCTION("""COMPUTED_VALUE"""),9567154525)</f>
        <v>9567154525</v>
      </c>
      <c r="J766" s="1"/>
      <c r="K766" s="1" t="str">
        <f>IFERROR(__xludf.DUMMYFUNCTION("""COMPUTED_VALUE"""),"BABA111091@GMAIL.COM")</f>
        <v>BABA111091@GMAIL.COM</v>
      </c>
      <c r="L766" s="1" t="str">
        <f>IFERROR(__xludf.DUMMYFUNCTION("""COMPUTED_VALUE"""),"BLK 40 LOT 20")</f>
        <v>BLK 40 LOT 20</v>
      </c>
      <c r="M766" s="1" t="str">
        <f>IFERROR(__xludf.DUMMYFUNCTION("""COMPUTED_VALUE"""),"NARRA RD")</f>
        <v>NARRA RD</v>
      </c>
      <c r="N766" s="1"/>
      <c r="O766" s="1"/>
      <c r="P766" s="1"/>
      <c r="Q766" s="1" t="str">
        <f>IFERROR(__xludf.DUMMYFUNCTION("""COMPUTED_VALUE"""),"NARRA III")</f>
        <v>NARRA III</v>
      </c>
      <c r="R766" s="1" t="str">
        <f>IFERROR(__xludf.DUMMYFUNCTION("""COMPUTED_VALUE"""),"SILANG")</f>
        <v>SILANG</v>
      </c>
      <c r="S766" s="1" t="str">
        <f>IFERROR(__xludf.DUMMYFUNCTION("""COMPUTED_VALUE"""),"CAVITE")</f>
        <v>CAVITE</v>
      </c>
      <c r="T766" s="1" t="str">
        <f>IFERROR(__xludf.DUMMYFUNCTION("""COMPUTED_VALUE"""),"FIBR PLAN 1299")</f>
        <v>FIBR PLAN 1299</v>
      </c>
      <c r="U766" s="1" t="str">
        <f>IFERROR(__xludf.DUMMYFUNCTION("""COMPUTED_VALUE"""),"APPROVED")</f>
        <v>APPROVED</v>
      </c>
      <c r="V766" s="1"/>
      <c r="W766" s="1"/>
    </row>
    <row r="767" customHeight="1" spans="1:23">
      <c r="A767" s="3">
        <f>IFERROR(__xludf.DUMMYFUNCTION("""COMPUTED_VALUE"""),46092)</f>
        <v>46092</v>
      </c>
      <c r="B767" s="1" t="str">
        <f>IFERROR(__xludf.DUMMYFUNCTION("""COMPUTED_VALUE"""),"MAÑANITA, ERIKA")</f>
        <v>MAÑANITA, ERIKA</v>
      </c>
      <c r="C767" s="1" t="str">
        <f>IFERROR(__xludf.DUMMYFUNCTION("""COMPUTED_VALUE"""),"ORGANIC")</f>
        <v>ORGANIC</v>
      </c>
      <c r="D767" s="1" t="str">
        <f>IFERROR(__xludf.DUMMYFUNCTION("""COMPUTED_VALUE"""),"ALOS, CHARLS")</f>
        <v>ALOS, CHARLS</v>
      </c>
      <c r="E767" s="1" t="str">
        <f>IFERROR(__xludf.DUMMYFUNCTION("""COMPUTED_VALUE"""),"PLDT")</f>
        <v>PLDT</v>
      </c>
      <c r="F767" s="1">
        <f>IFERROR(__xludf.DUMMYFUNCTION("""COMPUTED_VALUE"""),2307588085)</f>
        <v>2307588085</v>
      </c>
      <c r="G767" s="1"/>
      <c r="H767" s="1" t="str">
        <f>IFERROR(__xludf.DUMMYFUNCTION("""COMPUTED_VALUE"""),"ANDREA GUILJJON TAMEDLIS")</f>
        <v>ANDREA GUILJJON TAMEDLIS</v>
      </c>
      <c r="I767" s="1">
        <f>IFERROR(__xludf.DUMMYFUNCTION("""COMPUTED_VALUE"""),9936483947)</f>
        <v>9936483947</v>
      </c>
      <c r="J767" s="1">
        <f>IFERROR(__xludf.DUMMYFUNCTION("""COMPUTED_VALUE"""),9946452065)</f>
        <v>9946452065</v>
      </c>
      <c r="K767" s="1" t="str">
        <f>IFERROR(__xludf.DUMMYFUNCTION("""COMPUTED_VALUE"""),"ANDREATAMEDLIS@GMAIL.COM")</f>
        <v>ANDREATAMEDLIS@GMAIL.COM</v>
      </c>
      <c r="L767" s="1" t="str">
        <f>IFERROR(__xludf.DUMMYFUNCTION("""COMPUTED_VALUE"""),"BLK 1 LOT 77")</f>
        <v>BLK 1 LOT 77</v>
      </c>
      <c r="M767" s="1" t="str">
        <f>IFERROR(__xludf.DUMMYFUNCTION("""COMPUTED_VALUE"""),"GALAXY")</f>
        <v>GALAXY</v>
      </c>
      <c r="N767" s="1" t="str">
        <f>IFERROR(__xludf.DUMMYFUNCTION("""COMPUTED_VALUE"""),"ARMSTRONG VILLAGE")</f>
        <v>ARMSTRONG VILLAGE</v>
      </c>
      <c r="O767" s="1" t="str">
        <f>IFERROR(__xludf.DUMMYFUNCTION("""COMPUTED_VALUE"""),"DASLP331NP6")</f>
        <v>DASLP331NP6</v>
      </c>
      <c r="P767" s="1" t="str">
        <f>IFERROR(__xludf.DUMMYFUNCTION("""COMPUTED_VALUE"""),"14.335742 120.985640")</f>
        <v>14.335742 120.985640</v>
      </c>
      <c r="Q767" s="1" t="str">
        <f>IFERROR(__xludf.DUMMYFUNCTION("""COMPUTED_VALUE"""),"SALAWAG")</f>
        <v>SALAWAG</v>
      </c>
      <c r="R767" s="1" t="str">
        <f>IFERROR(__xludf.DUMMYFUNCTION("""COMPUTED_VALUE"""),"DASMARINAS")</f>
        <v>DASMARINAS</v>
      </c>
      <c r="S767" s="1" t="str">
        <f>IFERROR(__xludf.DUMMYFUNCTION("""COMPUTED_VALUE"""),"CAVITE")</f>
        <v>CAVITE</v>
      </c>
      <c r="T767" s="1" t="str">
        <f>IFERROR(__xludf.DUMMYFUNCTION("""COMPUTED_VALUE"""),"FIBR PLAN 1299")</f>
        <v>FIBR PLAN 1299</v>
      </c>
      <c r="U767" s="1" t="str">
        <f>IFERROR(__xludf.DUMMYFUNCTION("""COMPUTED_VALUE"""),"APPROVED")</f>
        <v>APPROVED</v>
      </c>
      <c r="V767" s="1"/>
      <c r="W767" s="1"/>
    </row>
    <row r="768" customHeight="1" spans="1:23">
      <c r="A768" s="3">
        <f>IFERROR(__xludf.DUMMYFUNCTION("""COMPUTED_VALUE"""),46092)</f>
        <v>46092</v>
      </c>
      <c r="B768" s="1" t="str">
        <f>IFERROR(__xludf.DUMMYFUNCTION("""COMPUTED_VALUE"""),"DE VERA, MARIVIC")</f>
        <v>DE VERA, MARIVIC</v>
      </c>
      <c r="C768" s="1" t="str">
        <f>IFERROR(__xludf.DUMMYFUNCTION("""COMPUTED_VALUE"""),"ORGANIC")</f>
        <v>ORGANIC</v>
      </c>
      <c r="D768" s="1" t="str">
        <f>IFERROR(__xludf.DUMMYFUNCTION("""COMPUTED_VALUE"""),"ALINGARO, CINDY")</f>
        <v>ALINGARO, CINDY</v>
      </c>
      <c r="E768" s="1" t="str">
        <f>IFERROR(__xludf.DUMMYFUNCTION("""COMPUTED_VALUE"""),"PLDT")</f>
        <v>PLDT</v>
      </c>
      <c r="F768" s="1">
        <f>IFERROR(__xludf.DUMMYFUNCTION("""COMPUTED_VALUE"""),2307588410)</f>
        <v>2307588410</v>
      </c>
      <c r="G768" s="1"/>
      <c r="H768" s="1" t="str">
        <f>IFERROR(__xludf.DUMMYFUNCTION("""COMPUTED_VALUE"""),"ANGELICA SANCHEZ ISAAC")</f>
        <v>ANGELICA SANCHEZ ISAAC</v>
      </c>
      <c r="I768" s="1">
        <f>IFERROR(__xludf.DUMMYFUNCTION("""COMPUTED_VALUE"""),9705748093)</f>
        <v>9705748093</v>
      </c>
      <c r="J768" s="1"/>
      <c r="K768" s="1" t="str">
        <f>IFERROR(__xludf.DUMMYFUNCTION("""COMPUTED_VALUE"""),"LYCAISAAC29@GMAIL.COM")</f>
        <v>LYCAISAAC29@GMAIL.COM</v>
      </c>
      <c r="L768" s="1" t="str">
        <f>IFERROR(__xludf.DUMMYFUNCTION("""COMPUTED_VALUE"""),"208")</f>
        <v>208</v>
      </c>
      <c r="M768" s="1" t="str">
        <f>IFERROR(__xludf.DUMMYFUNCTION("""COMPUTED_VALUE"""),"LUKSUHIN IBABA")</f>
        <v>LUKSUHIN IBABA</v>
      </c>
      <c r="N768" s="1"/>
      <c r="O768" s="1" t="str">
        <f>IFERROR(__xludf.DUMMYFUNCTION("""COMPUTED_VALUE"""),"ALFLP139NP1 ALFLP204NP4")</f>
        <v>ALFLP139NP1 ALFLP204NP4</v>
      </c>
      <c r="P768" s="1" t="str">
        <f>IFERROR(__xludf.DUMMYFUNCTION("""COMPUTED_VALUE"""),"14.097233 120.879501")</f>
        <v>14.097233 120.879501</v>
      </c>
      <c r="Q768" s="1" t="str">
        <f>IFERROR(__xludf.DUMMYFUNCTION("""COMPUTED_VALUE"""),"LUKSUHIN")</f>
        <v>LUKSUHIN</v>
      </c>
      <c r="R768" s="1" t="str">
        <f>IFERROR(__xludf.DUMMYFUNCTION("""COMPUTED_VALUE"""),"ALFONSO")</f>
        <v>ALFONSO</v>
      </c>
      <c r="S768" s="1" t="str">
        <f>IFERROR(__xludf.DUMMYFUNCTION("""COMPUTED_VALUE"""),"CAVITE")</f>
        <v>CAVITE</v>
      </c>
      <c r="T768" s="1" t="str">
        <f>IFERROR(__xludf.DUMMYFUNCTION("""COMPUTED_VALUE"""),"PREPAID FIBER UNLI")</f>
        <v>PREPAID FIBER UNLI</v>
      </c>
      <c r="U768" s="1" t="str">
        <f>IFERROR(__xludf.DUMMYFUNCTION("""COMPUTED_VALUE"""),"APPROVED")</f>
        <v>APPROVED</v>
      </c>
      <c r="V768" s="1"/>
      <c r="W768" s="1"/>
    </row>
    <row r="769" customHeight="1" spans="1:23">
      <c r="A769" s="3">
        <f>IFERROR(__xludf.DUMMYFUNCTION("""COMPUTED_VALUE"""),46092)</f>
        <v>46092</v>
      </c>
      <c r="B769" s="1" t="str">
        <f>IFERROR(__xludf.DUMMYFUNCTION("""COMPUTED_VALUE"""),"REMOLLO, LEA")</f>
        <v>REMOLLO, LEA</v>
      </c>
      <c r="C769" s="1" t="str">
        <f>IFERROR(__xludf.DUMMYFUNCTION("""COMPUTED_VALUE"""),"FLA")</f>
        <v>FLA</v>
      </c>
      <c r="D769" s="1" t="str">
        <f>IFERROR(__xludf.DUMMYFUNCTION("""COMPUTED_VALUE"""),"JERIC NAVARRO")</f>
        <v>JERIC NAVARRO</v>
      </c>
      <c r="E769" s="1" t="str">
        <f>IFERROR(__xludf.DUMMYFUNCTION("""COMPUTED_VALUE"""),"PLDT")</f>
        <v>PLDT</v>
      </c>
      <c r="F769" s="1">
        <f>IFERROR(__xludf.DUMMYFUNCTION("""COMPUTED_VALUE"""),2307589149)</f>
        <v>2307589149</v>
      </c>
      <c r="G769" s="1"/>
      <c r="H769" s="1" t="str">
        <f>IFERROR(__xludf.DUMMYFUNCTION("""COMPUTED_VALUE"""),"HERMAN ALMONTE PEJI ")</f>
        <v>HERMAN ALMONTE PEJI </v>
      </c>
      <c r="I769" s="1">
        <f>IFERROR(__xludf.DUMMYFUNCTION("""COMPUTED_VALUE"""),9994752360)</f>
        <v>9994752360</v>
      </c>
      <c r="J769" s="1"/>
      <c r="K769" s="1" t="str">
        <f>IFERROR(__xludf.DUMMYFUNCTION("""COMPUTED_VALUE"""),"H.PEJI55@GMAIL.COM")</f>
        <v>H.PEJI55@GMAIL.COM</v>
      </c>
      <c r="L769" s="1" t="str">
        <f>IFERROR(__xludf.DUMMYFUNCTION("""COMPUTED_VALUE"""),"919")</f>
        <v>919</v>
      </c>
      <c r="M769" s="1" t="str">
        <f>IFERROR(__xludf.DUMMYFUNCTION("""COMPUTED_VALUE"""),"ZAMORA")</f>
        <v>ZAMORA</v>
      </c>
      <c r="N769" s="1"/>
      <c r="O769" s="1" t="str">
        <f>IFERROR(__xludf.DUMMYFUNCTION("""COMPUTED_VALUE"""),"MDZLP87NP3/4")</f>
        <v>MDZLP87NP3/4</v>
      </c>
      <c r="P769" s="1" t="str">
        <f>IFERROR(__xludf.DUMMYFUNCTION("""COMPUTED_VALUE"""),"14.141295 120.897039")</f>
        <v>14.141295 120.897039</v>
      </c>
      <c r="Q769" s="1" t="str">
        <f>IFERROR(__xludf.DUMMYFUNCTION("""COMPUTED_VALUE"""),"ASIS I")</f>
        <v>ASIS I</v>
      </c>
      <c r="R769" s="1" t="str">
        <f>IFERROR(__xludf.DUMMYFUNCTION("""COMPUTED_VALUE"""),"MENDEZ")</f>
        <v>MENDEZ</v>
      </c>
      <c r="S769" s="1" t="str">
        <f>IFERROR(__xludf.DUMMYFUNCTION("""COMPUTED_VALUE"""),"CAVITE")</f>
        <v>CAVITE</v>
      </c>
      <c r="T769" s="1" t="str">
        <f>IFERROR(__xludf.DUMMYFUNCTION("""COMPUTED_VALUE"""),"FIBR PLAN 1299")</f>
        <v>FIBR PLAN 1299</v>
      </c>
      <c r="U769" s="1" t="str">
        <f>IFERROR(__xludf.DUMMYFUNCTION("""COMPUTED_VALUE"""),"APPROVED")</f>
        <v>APPROVED</v>
      </c>
      <c r="V769" s="1"/>
      <c r="W769" s="1"/>
    </row>
    <row r="770" customHeight="1" spans="1:23">
      <c r="A770" s="3">
        <f>IFERROR(__xludf.DUMMYFUNCTION("""COMPUTED_VALUE"""),46092)</f>
        <v>46092</v>
      </c>
      <c r="B770" s="1" t="str">
        <f>IFERROR(__xludf.DUMMYFUNCTION("""COMPUTED_VALUE"""),"DE VERA, MARIVIC")</f>
        <v>DE VERA, MARIVIC</v>
      </c>
      <c r="C770" s="1" t="str">
        <f>IFERROR(__xludf.DUMMYFUNCTION("""COMPUTED_VALUE"""),"ORGANIC")</f>
        <v>ORGANIC</v>
      </c>
      <c r="D770" s="1" t="str">
        <f>IFERROR(__xludf.DUMMYFUNCTION("""COMPUTED_VALUE"""),"ALINGARO, CINDY")</f>
        <v>ALINGARO, CINDY</v>
      </c>
      <c r="E770" s="1" t="str">
        <f>IFERROR(__xludf.DUMMYFUNCTION("""COMPUTED_VALUE"""),"PLDT")</f>
        <v>PLDT</v>
      </c>
      <c r="F770" s="1">
        <f>IFERROR(__xludf.DUMMYFUNCTION("""COMPUTED_VALUE"""),2307589825)</f>
        <v>2307589825</v>
      </c>
      <c r="G770" s="1"/>
      <c r="H770" s="1" t="str">
        <f>IFERROR(__xludf.DUMMYFUNCTION("""COMPUTED_VALUE"""),"EMILIANA ARAS GARNADO")</f>
        <v>EMILIANA ARAS GARNADO</v>
      </c>
      <c r="I770" s="1">
        <f>IFERROR(__xludf.DUMMYFUNCTION("""COMPUTED_VALUE"""),9500192308)</f>
        <v>9500192308</v>
      </c>
      <c r="J770" s="1"/>
      <c r="K770" s="1" t="str">
        <f>IFERROR(__xludf.DUMMYFUNCTION("""COMPUTED_VALUE"""),"GARNADOEMILY@GMAIL.COM")</f>
        <v>GARNADOEMILY@GMAIL.COM</v>
      </c>
      <c r="L770" s="1" t="str">
        <f>IFERROR(__xludf.DUMMYFUNCTION("""COMPUTED_VALUE"""),"931")</f>
        <v>931</v>
      </c>
      <c r="M770" s="1" t="str">
        <f>IFERROR(__xludf.DUMMYFUNCTION("""COMPUTED_VALUE"""),"ZAMORA")</f>
        <v>ZAMORA</v>
      </c>
      <c r="N770" s="1"/>
      <c r="O770" s="1" t="str">
        <f>IFERROR(__xludf.DUMMYFUNCTION("""COMPUTED_VALUE"""),"MDZLP87NP3/4")</f>
        <v>MDZLP87NP3/4</v>
      </c>
      <c r="P770" s="1" t="str">
        <f>IFERROR(__xludf.DUMMYFUNCTION("""COMPUTED_VALUE"""),"14.141295 120.897039")</f>
        <v>14.141295 120.897039</v>
      </c>
      <c r="Q770" s="1" t="str">
        <f>IFERROR(__xludf.DUMMYFUNCTION("""COMPUTED_VALUE"""),"ASIS I")</f>
        <v>ASIS I</v>
      </c>
      <c r="R770" s="1" t="str">
        <f>IFERROR(__xludf.DUMMYFUNCTION("""COMPUTED_VALUE"""),"MENDEZ")</f>
        <v>MENDEZ</v>
      </c>
      <c r="S770" s="1" t="str">
        <f>IFERROR(__xludf.DUMMYFUNCTION("""COMPUTED_VALUE"""),"CAVITE")</f>
        <v>CAVITE</v>
      </c>
      <c r="T770" s="1" t="str">
        <f>IFERROR(__xludf.DUMMYFUNCTION("""COMPUTED_VALUE"""),"FIBR PLAN 1299")</f>
        <v>FIBR PLAN 1299</v>
      </c>
      <c r="U770" s="1" t="str">
        <f>IFERROR(__xludf.DUMMYFUNCTION("""COMPUTED_VALUE"""),"APPROVED")</f>
        <v>APPROVED</v>
      </c>
      <c r="V770" s="1"/>
      <c r="W770" s="1"/>
    </row>
    <row r="771" customHeight="1" spans="1:23">
      <c r="A771" s="3">
        <f>IFERROR(__xludf.DUMMYFUNCTION("""COMPUTED_VALUE"""),46092)</f>
        <v>46092</v>
      </c>
      <c r="B771" s="1" t="str">
        <f>IFERROR(__xludf.DUMMYFUNCTION("""COMPUTED_VALUE"""),"REMOLLO, LEA")</f>
        <v>REMOLLO, LEA</v>
      </c>
      <c r="C771" s="1" t="str">
        <f>IFERROR(__xludf.DUMMYFUNCTION("""COMPUTED_VALUE"""),"FLA")</f>
        <v>FLA</v>
      </c>
      <c r="D771" s="1" t="str">
        <f>IFERROR(__xludf.DUMMYFUNCTION("""COMPUTED_VALUE"""),"JERIC NAVARRO")</f>
        <v>JERIC NAVARRO</v>
      </c>
      <c r="E771" s="1" t="str">
        <f>IFERROR(__xludf.DUMMYFUNCTION("""COMPUTED_VALUE"""),"PLDT")</f>
        <v>PLDT</v>
      </c>
      <c r="F771" s="1">
        <f>IFERROR(__xludf.DUMMYFUNCTION("""COMPUTED_VALUE"""),2307590257)</f>
        <v>2307590257</v>
      </c>
      <c r="G771" s="1"/>
      <c r="H771" s="1" t="str">
        <f>IFERROR(__xludf.DUMMYFUNCTION("""COMPUTED_VALUE"""),"JHOWARD PEREY PEJI")</f>
        <v>JHOWARD PEREY PEJI</v>
      </c>
      <c r="I771" s="1">
        <f>IFERROR(__xludf.DUMMYFUNCTION("""COMPUTED_VALUE"""),9695902158)</f>
        <v>9695902158</v>
      </c>
      <c r="J771" s="1"/>
      <c r="K771" s="1" t="str">
        <f>IFERROR(__xludf.DUMMYFUNCTION("""COMPUTED_VALUE"""),"GIBSATIENZA@GMAIL.COM")</f>
        <v>GIBSATIENZA@GMAIL.COM</v>
      </c>
      <c r="L771" s="1" t="str">
        <f>IFERROR(__xludf.DUMMYFUNCTION("""COMPUTED_VALUE"""),"27")</f>
        <v>27</v>
      </c>
      <c r="M771" s="1" t="str">
        <f>IFERROR(__xludf.DUMMYFUNCTION("""COMPUTED_VALUE"""),"SAN PEDRO ST")</f>
        <v>SAN PEDRO ST</v>
      </c>
      <c r="N771" s="1"/>
      <c r="O771" s="1" t="str">
        <f>IFERROR(__xludf.DUMMYFUNCTION("""COMPUTED_VALUE"""),"MDZLP5NP5/6")</f>
        <v>MDZLP5NP5/6</v>
      </c>
      <c r="P771" s="1"/>
      <c r="Q771" s="1" t="str">
        <f>IFERROR(__xludf.DUMMYFUNCTION("""COMPUTED_VALUE"""),"BUKAL")</f>
        <v>BUKAL</v>
      </c>
      <c r="R771" s="1" t="str">
        <f>IFERROR(__xludf.DUMMYFUNCTION("""COMPUTED_VALUE"""),"MENDEZ")</f>
        <v>MENDEZ</v>
      </c>
      <c r="S771" s="1" t="str">
        <f>IFERROR(__xludf.DUMMYFUNCTION("""COMPUTED_VALUE"""),"CAVITE")</f>
        <v>CAVITE</v>
      </c>
      <c r="T771" s="1" t="str">
        <f>IFERROR(__xludf.DUMMYFUNCTION("""COMPUTED_VALUE"""),"FIBR PLAN 1299")</f>
        <v>FIBR PLAN 1299</v>
      </c>
      <c r="U771" s="1" t="str">
        <f>IFERROR(__xludf.DUMMYFUNCTION("""COMPUTED_VALUE"""),"APPROVED")</f>
        <v>APPROVED</v>
      </c>
      <c r="V771" s="1"/>
      <c r="W771" s="1"/>
    </row>
    <row r="772" customHeight="1" spans="1:23">
      <c r="A772" s="3">
        <f>IFERROR(__xludf.DUMMYFUNCTION("""COMPUTED_VALUE"""),46092)</f>
        <v>46092</v>
      </c>
      <c r="B772" s="1" t="str">
        <f>IFERROR(__xludf.DUMMYFUNCTION("""COMPUTED_VALUE"""),"NAEOSA, JULLIE")</f>
        <v>NAEOSA, JULLIE</v>
      </c>
      <c r="C772" s="1" t="str">
        <f>IFERROR(__xludf.DUMMYFUNCTION("""COMPUTED_VALUE"""),"ORGANIC")</f>
        <v>ORGANIC</v>
      </c>
      <c r="D772" s="1" t="str">
        <f>IFERROR(__xludf.DUMMYFUNCTION("""COMPUTED_VALUE"""),"ALINGARO, CINDY")</f>
        <v>ALINGARO, CINDY</v>
      </c>
      <c r="E772" s="1" t="str">
        <f>IFERROR(__xludf.DUMMYFUNCTION("""COMPUTED_VALUE"""),"PLDT")</f>
        <v>PLDT</v>
      </c>
      <c r="F772" s="1">
        <f>IFERROR(__xludf.DUMMYFUNCTION("""COMPUTED_VALUE"""),2307591837)</f>
        <v>2307591837</v>
      </c>
      <c r="G772" s="1"/>
      <c r="H772" s="1" t="str">
        <f>IFERROR(__xludf.DUMMYFUNCTION("""COMPUTED_VALUE"""),"DANTE MURILLO URQUIOLA ")</f>
        <v>DANTE MURILLO URQUIOLA </v>
      </c>
      <c r="I772" s="1">
        <f>IFERROR(__xludf.DUMMYFUNCTION("""COMPUTED_VALUE"""),9912070819)</f>
        <v>9912070819</v>
      </c>
      <c r="J772" s="1"/>
      <c r="K772" s="1" t="str">
        <f>IFERROR(__xludf.DUMMYFUNCTION("""COMPUTED_VALUE"""),"DSCOTT213@GMAIL.COM")</f>
        <v>DSCOTT213@GMAIL.COM</v>
      </c>
      <c r="L772" s="1" t="str">
        <f>IFERROR(__xludf.DUMMYFUNCTION("""COMPUTED_VALUE"""),"BLK 3 LOT 6")</f>
        <v>BLK 3 LOT 6</v>
      </c>
      <c r="M772" s="1" t="str">
        <f>IFERROR(__xludf.DUMMYFUNCTION("""COMPUTED_VALUE"""),"UNIT B")</f>
        <v>UNIT B</v>
      </c>
      <c r="N772" s="1"/>
      <c r="O772" s="1" t="str">
        <f>IFERROR(__xludf.DUMMYFUNCTION("""COMPUTED_VALUE"""),"GMZLP72NP5")</f>
        <v>GMZLP72NP5</v>
      </c>
      <c r="P772" s="1" t="str">
        <f>IFERROR(__xludf.DUMMYFUNCTION("""COMPUTED_VALUE"""),"14.307103 121.01321")</f>
        <v>14.307103 121.01321</v>
      </c>
      <c r="Q772" s="1" t="str">
        <f>IFERROR(__xludf.DUMMYFUNCTION("""COMPUTED_VALUE"""),"PANTALEON GRANADOS (AREA G)")</f>
        <v>PANTALEON GRANADOS (AREA G)</v>
      </c>
      <c r="R772" s="1" t="str">
        <f>IFERROR(__xludf.DUMMYFUNCTION("""COMPUTED_VALUE"""),"GEN MARIANO ALVAREZ")</f>
        <v>GEN MARIANO ALVAREZ</v>
      </c>
      <c r="S772" s="1" t="str">
        <f>IFERROR(__xludf.DUMMYFUNCTION("""COMPUTED_VALUE"""),"CAVITE")</f>
        <v>CAVITE</v>
      </c>
      <c r="T772" s="1" t="str">
        <f>IFERROR(__xludf.DUMMYFUNCTION("""COMPUTED_VALUE"""),"PREPAID FIBER UNLI")</f>
        <v>PREPAID FIBER UNLI</v>
      </c>
      <c r="U772" s="1" t="str">
        <f>IFERROR(__xludf.DUMMYFUNCTION("""COMPUTED_VALUE"""),"APPROVED")</f>
        <v>APPROVED</v>
      </c>
      <c r="V772" s="1"/>
      <c r="W772" s="1"/>
    </row>
    <row r="773" customHeight="1" spans="1:23">
      <c r="A773" s="3">
        <f>IFERROR(__xludf.DUMMYFUNCTION("""COMPUTED_VALUE"""),46093)</f>
        <v>46093</v>
      </c>
      <c r="B773" s="1" t="str">
        <f>IFERROR(__xludf.DUMMYFUNCTION("""COMPUTED_VALUE"""),"ESCARCHA, MA ALMA  ESCOTO")</f>
        <v>ESCARCHA, MA ALMA  ESCOTO</v>
      </c>
      <c r="C773" s="1" t="str">
        <f>IFERROR(__xludf.DUMMYFUNCTION("""COMPUTED_VALUE"""),"ORGANIC")</f>
        <v>ORGANIC</v>
      </c>
      <c r="D773" s="1" t="str">
        <f>IFERROR(__xludf.DUMMYFUNCTION("""COMPUTED_VALUE"""),"ALINGARO, CINDY")</f>
        <v>ALINGARO, CINDY</v>
      </c>
      <c r="E773" s="1" t="str">
        <f>IFERROR(__xludf.DUMMYFUNCTION("""COMPUTED_VALUE"""),"PLDT")</f>
        <v>PLDT</v>
      </c>
      <c r="F773" s="1">
        <f>IFERROR(__xludf.DUMMYFUNCTION("""COMPUTED_VALUE"""),2307606087)</f>
        <v>2307606087</v>
      </c>
      <c r="G773" s="1"/>
      <c r="H773" s="1" t="str">
        <f>IFERROR(__xludf.DUMMYFUNCTION("""COMPUTED_VALUE"""),"KIER MAPA MENDEZ")</f>
        <v>KIER MAPA MENDEZ</v>
      </c>
      <c r="I773" s="1">
        <f>IFERROR(__xludf.DUMMYFUNCTION("""COMPUTED_VALUE"""),9618215262)</f>
        <v>9618215262</v>
      </c>
      <c r="J773" s="1"/>
      <c r="K773" s="1" t="str">
        <f>IFERROR(__xludf.DUMMYFUNCTION("""COMPUTED_VALUE"""),"MENDEZKIER016@GMAIL.COM")</f>
        <v>MENDEZKIER016@GMAIL.COM</v>
      </c>
      <c r="L773" s="1" t="str">
        <f>IFERROR(__xludf.DUMMYFUNCTION("""COMPUTED_VALUE"""),"890")</f>
        <v>890</v>
      </c>
      <c r="M773" s="1" t="str">
        <f>IFERROR(__xludf.DUMMYFUNCTION("""COMPUTED_VALUE"""),"ZAMORA")</f>
        <v>ZAMORA</v>
      </c>
      <c r="N773" s="1"/>
      <c r="O773" s="1" t="str">
        <f>IFERROR(__xludf.DUMMYFUNCTION("""COMPUTED_VALUE"""),"MDZ087NP4")</f>
        <v>MDZ087NP4</v>
      </c>
      <c r="P773" s="1" t="str">
        <f>IFERROR(__xludf.DUMMYFUNCTION("""COMPUTED_VALUE"""),"14.140653 120.897635")</f>
        <v>14.140653 120.897635</v>
      </c>
      <c r="Q773" s="1" t="str">
        <f>IFERROR(__xludf.DUMMYFUNCTION("""COMPUTED_VALUE"""),"ASIS I")</f>
        <v>ASIS I</v>
      </c>
      <c r="R773" s="1" t="str">
        <f>IFERROR(__xludf.DUMMYFUNCTION("""COMPUTED_VALUE"""),"MENDEZ")</f>
        <v>MENDEZ</v>
      </c>
      <c r="S773" s="1" t="str">
        <f>IFERROR(__xludf.DUMMYFUNCTION("""COMPUTED_VALUE"""),"CAVITE")</f>
        <v>CAVITE</v>
      </c>
      <c r="T773" s="1" t="str">
        <f>IFERROR(__xludf.DUMMYFUNCTION("""COMPUTED_VALUE"""),"FIBR UNLI ALL PLAN 1399")</f>
        <v>FIBR UNLI ALL PLAN 1399</v>
      </c>
      <c r="U773" s="1" t="str">
        <f>IFERROR(__xludf.DUMMYFUNCTION("""COMPUTED_VALUE"""),"APPROVED")</f>
        <v>APPROVED</v>
      </c>
      <c r="V773" s="1"/>
      <c r="W773" s="1"/>
    </row>
    <row r="774" customHeight="1" spans="1:23">
      <c r="A774" s="3">
        <f>IFERROR(__xludf.DUMMYFUNCTION("""COMPUTED_VALUE"""),46093)</f>
        <v>46093</v>
      </c>
      <c r="B774" s="1" t="str">
        <f>IFERROR(__xludf.DUMMYFUNCTION("""COMPUTED_VALUE"""),"GABAY, MANUEL")</f>
        <v>GABAY, MANUEL</v>
      </c>
      <c r="C774" s="1" t="str">
        <f>IFERROR(__xludf.DUMMYFUNCTION("""COMPUTED_VALUE"""),"FLA")</f>
        <v>FLA</v>
      </c>
      <c r="D774" s="1" t="str">
        <f>IFERROR(__xludf.DUMMYFUNCTION("""COMPUTED_VALUE"""),"JERIC NAVARRO")</f>
        <v>JERIC NAVARRO</v>
      </c>
      <c r="E774" s="1" t="str">
        <f>IFERROR(__xludf.DUMMYFUNCTION("""COMPUTED_VALUE"""),"PLDT")</f>
        <v>PLDT</v>
      </c>
      <c r="F774" s="1">
        <f>IFERROR(__xludf.DUMMYFUNCTION("""COMPUTED_VALUE"""),2307606534)</f>
        <v>2307606534</v>
      </c>
      <c r="G774" s="1"/>
      <c r="H774" s="1" t="str">
        <f>IFERROR(__xludf.DUMMYFUNCTION("""COMPUTED_VALUE"""),"FREDERICK MAGBOO GLORIA")</f>
        <v>FREDERICK MAGBOO GLORIA</v>
      </c>
      <c r="I774" s="1">
        <f>IFERROR(__xludf.DUMMYFUNCTION("""COMPUTED_VALUE"""),9543341768)</f>
        <v>9543341768</v>
      </c>
      <c r="J774" s="1">
        <f>IFERROR(__xludf.DUMMYFUNCTION("""COMPUTED_VALUE"""),9619773681)</f>
        <v>9619773681</v>
      </c>
      <c r="K774" s="1" t="str">
        <f>IFERROR(__xludf.DUMMYFUNCTION("""COMPUTED_VALUE"""),"EMJELTRADING@GMAIL.COM")</f>
        <v>EMJELTRADING@GMAIL.COM</v>
      </c>
      <c r="L774" s="1" t="str">
        <f>IFERROR(__xludf.DUMMYFUNCTION("""COMPUTED_VALUE"""),"1650")</f>
        <v>1650</v>
      </c>
      <c r="M774" s="1" t="str">
        <f>IFERROR(__xludf.DUMMYFUNCTION("""COMPUTED_VALUE"""),"MAGLABE")</f>
        <v>MAGLABE</v>
      </c>
      <c r="N774" s="1" t="str">
        <f>IFERROR(__xludf.DUMMYFUNCTION("""COMPUTED_VALUE"""),"PUROK 36")</f>
        <v>PUROK 36</v>
      </c>
      <c r="O774" s="1" t="str">
        <f>IFERROR(__xludf.DUMMYFUNCTION("""COMPUTED_VALUE"""),"SILLP352NP1/2/3")</f>
        <v>SILLP352NP1/2/3</v>
      </c>
      <c r="P774" s="1" t="str">
        <f>IFERROR(__xludf.DUMMYFUNCTION("""COMPUTED_VALUE"""),"14.103654 120.903403")</f>
        <v>14.103654 120.903403</v>
      </c>
      <c r="Q774" s="1" t="str">
        <f>IFERROR(__xludf.DUMMYFUNCTION("""COMPUTED_VALUE"""),"GUINHAWA SOUTH")</f>
        <v>GUINHAWA SOUTH</v>
      </c>
      <c r="R774" s="1" t="str">
        <f>IFERROR(__xludf.DUMMYFUNCTION("""COMPUTED_VALUE"""),"TAGAYTAY")</f>
        <v>TAGAYTAY</v>
      </c>
      <c r="S774" s="1" t="str">
        <f>IFERROR(__xludf.DUMMYFUNCTION("""COMPUTED_VALUE"""),"CAVITE")</f>
        <v>CAVITE</v>
      </c>
      <c r="T774" s="1" t="str">
        <f>IFERROR(__xludf.DUMMYFUNCTION("""COMPUTED_VALUE"""),"FIBR UNLI ALL PLAN 1799")</f>
        <v>FIBR UNLI ALL PLAN 1799</v>
      </c>
      <c r="U774" s="1" t="str">
        <f>IFERROR(__xludf.DUMMYFUNCTION("""COMPUTED_VALUE"""),"APPROVED")</f>
        <v>APPROVED</v>
      </c>
      <c r="V774" s="1"/>
      <c r="W774" s="1"/>
    </row>
    <row r="775" customHeight="1" spans="1:23">
      <c r="A775" s="3">
        <f>IFERROR(__xludf.DUMMYFUNCTION("""COMPUTED_VALUE"""),46093)</f>
        <v>46093</v>
      </c>
      <c r="B775" s="1" t="str">
        <f>IFERROR(__xludf.DUMMYFUNCTION("""COMPUTED_VALUE"""),"DE VERA, MARIVIC")</f>
        <v>DE VERA, MARIVIC</v>
      </c>
      <c r="C775" s="1" t="str">
        <f>IFERROR(__xludf.DUMMYFUNCTION("""COMPUTED_VALUE"""),"ORGANIC")</f>
        <v>ORGANIC</v>
      </c>
      <c r="D775" s="1" t="str">
        <f>IFERROR(__xludf.DUMMYFUNCTION("""COMPUTED_VALUE"""),"ALINGARO, CINDY")</f>
        <v>ALINGARO, CINDY</v>
      </c>
      <c r="E775" s="1" t="str">
        <f>IFERROR(__xludf.DUMMYFUNCTION("""COMPUTED_VALUE"""),"PLDT")</f>
        <v>PLDT</v>
      </c>
      <c r="F775" s="1">
        <f>IFERROR(__xludf.DUMMYFUNCTION("""COMPUTED_VALUE"""),2307631437)</f>
        <v>2307631437</v>
      </c>
      <c r="G775" s="1"/>
      <c r="H775" s="1" t="str">
        <f>IFERROR(__xludf.DUMMYFUNCTION("""COMPUTED_VALUE"""),"MYRNA PATATOG HUNTER")</f>
        <v>MYRNA PATATOG HUNTER</v>
      </c>
      <c r="I775" s="1">
        <f>IFERROR(__xludf.DUMMYFUNCTION("""COMPUTED_VALUE"""),9771226890)</f>
        <v>9771226890</v>
      </c>
      <c r="J775" s="1">
        <f>IFERROR(__xludf.DUMMYFUNCTION("""COMPUTED_VALUE"""),9358086154)</f>
        <v>9358086154</v>
      </c>
      <c r="K775" s="1" t="str">
        <f>IFERROR(__xludf.DUMMYFUNCTION("""COMPUTED_VALUE"""),"MUMAI0418@GMAIL.COM")</f>
        <v>MUMAI0418@GMAIL.COM</v>
      </c>
      <c r="L775" s="1" t="str">
        <f>IFERROR(__xludf.DUMMYFUNCTION("""COMPUTED_VALUE"""),"185")</f>
        <v>185</v>
      </c>
      <c r="M775" s="1" t="str">
        <f>IFERROR(__xludf.DUMMYFUNCTION("""COMPUTED_VALUE"""),"PUROK 144")</f>
        <v>PUROK 144</v>
      </c>
      <c r="N775" s="1"/>
      <c r="O775" s="1"/>
      <c r="P775" s="1" t="str">
        <f>IFERROR(__xludf.DUMMYFUNCTION("""COMPUTED_VALUE"""),"14.116136 120.914991")</f>
        <v>14.116136 120.914991</v>
      </c>
      <c r="Q775" s="1" t="str">
        <f>IFERROR(__xludf.DUMMYFUNCTION("""COMPUTED_VALUE"""),"PATUTONG MALAKI NORTH")</f>
        <v>PATUTONG MALAKI NORTH</v>
      </c>
      <c r="R775" s="1" t="str">
        <f>IFERROR(__xludf.DUMMYFUNCTION("""COMPUTED_VALUE"""),"TAGAYTAY")</f>
        <v>TAGAYTAY</v>
      </c>
      <c r="S775" s="1" t="str">
        <f>IFERROR(__xludf.DUMMYFUNCTION("""COMPUTED_VALUE"""),"CAVITE")</f>
        <v>CAVITE</v>
      </c>
      <c r="T775" s="1" t="str">
        <f>IFERROR(__xludf.DUMMYFUNCTION("""COMPUTED_VALUE"""),"FIBR NETFLIX PLAN 1599")</f>
        <v>FIBR NETFLIX PLAN 1599</v>
      </c>
      <c r="U775" s="1" t="str">
        <f>IFERROR(__xludf.DUMMYFUNCTION("""COMPUTED_VALUE"""),"APPROVED")</f>
        <v>APPROVED</v>
      </c>
      <c r="V775" s="1"/>
      <c r="W775" s="1"/>
    </row>
    <row r="776" customHeight="1" spans="1:23">
      <c r="A776" s="3">
        <f>IFERROR(__xludf.DUMMYFUNCTION("""COMPUTED_VALUE"""),46093)</f>
        <v>46093</v>
      </c>
      <c r="B776" s="1" t="str">
        <f>IFERROR(__xludf.DUMMYFUNCTION("""COMPUTED_VALUE"""),"DE VERA, MARIVIC")</f>
        <v>DE VERA, MARIVIC</v>
      </c>
      <c r="C776" s="1" t="str">
        <f>IFERROR(__xludf.DUMMYFUNCTION("""COMPUTED_VALUE"""),"ORGANIC")</f>
        <v>ORGANIC</v>
      </c>
      <c r="D776" s="1" t="str">
        <f>IFERROR(__xludf.DUMMYFUNCTION("""COMPUTED_VALUE"""),"ALINGARO, CINDY")</f>
        <v>ALINGARO, CINDY</v>
      </c>
      <c r="E776" s="1" t="str">
        <f>IFERROR(__xludf.DUMMYFUNCTION("""COMPUTED_VALUE"""),"PLDT")</f>
        <v>PLDT</v>
      </c>
      <c r="F776" s="1">
        <f>IFERROR(__xludf.DUMMYFUNCTION("""COMPUTED_VALUE"""),2307611645)</f>
        <v>2307611645</v>
      </c>
      <c r="G776" s="1"/>
      <c r="H776" s="1" t="str">
        <f>IFERROR(__xludf.DUMMYFUNCTION("""COMPUTED_VALUE"""),"MARK LAWRENCE LIHAYLIHAY HUNTER")</f>
        <v>MARK LAWRENCE LIHAYLIHAY HUNTER</v>
      </c>
      <c r="I776" s="1">
        <f>IFERROR(__xludf.DUMMYFUNCTION("""COMPUTED_VALUE"""),9935001749)</f>
        <v>9935001749</v>
      </c>
      <c r="J776" s="1">
        <f>IFERROR(__xludf.DUMMYFUNCTION("""COMPUTED_VALUE"""),9691829797)</f>
        <v>9691829797</v>
      </c>
      <c r="K776" s="1" t="str">
        <f>IFERROR(__xludf.DUMMYFUNCTION("""COMPUTED_VALUE"""),"HUNTERMARK448@GMAIL.COM")</f>
        <v>HUNTERMARK448@GMAIL.COM</v>
      </c>
      <c r="L776" s="1" t="str">
        <f>IFERROR(__xludf.DUMMYFUNCTION("""COMPUTED_VALUE"""),"187")</f>
        <v>187</v>
      </c>
      <c r="M776" s="1" t="str">
        <f>IFERROR(__xludf.DUMMYFUNCTION("""COMPUTED_VALUE"""),"PUROK 144")</f>
        <v>PUROK 144</v>
      </c>
      <c r="N776" s="1"/>
      <c r="O776" s="1" t="str">
        <f>IFERROR(__xludf.DUMMYFUNCTION("""COMPUTED_VALUE"""),"MDZLP98NP2/3")</f>
        <v>MDZLP98NP2/3</v>
      </c>
      <c r="P776" s="1" t="str">
        <f>IFERROR(__xludf.DUMMYFUNCTION("""COMPUTED_VALUE"""),"14.116189 120.914785")</f>
        <v>14.116189 120.914785</v>
      </c>
      <c r="Q776" s="1" t="str">
        <f>IFERROR(__xludf.DUMMYFUNCTION("""COMPUTED_VALUE"""),"PATUTONG MALAKI NORTH")</f>
        <v>PATUTONG MALAKI NORTH</v>
      </c>
      <c r="R776" s="1" t="str">
        <f>IFERROR(__xludf.DUMMYFUNCTION("""COMPUTED_VALUE"""),"TAGAYTAY")</f>
        <v>TAGAYTAY</v>
      </c>
      <c r="S776" s="1" t="str">
        <f>IFERROR(__xludf.DUMMYFUNCTION("""COMPUTED_VALUE"""),"CAVITE")</f>
        <v>CAVITE</v>
      </c>
      <c r="T776" s="1" t="str">
        <f>IFERROR(__xludf.DUMMYFUNCTION("""COMPUTED_VALUE"""),"FIBR UNLI ALL PLAN 1399")</f>
        <v>FIBR UNLI ALL PLAN 1399</v>
      </c>
      <c r="U776" s="1" t="str">
        <f>IFERROR(__xludf.DUMMYFUNCTION("""COMPUTED_VALUE"""),"APPROVED")</f>
        <v>APPROVED</v>
      </c>
      <c r="V776" s="1"/>
      <c r="W776" s="1"/>
    </row>
    <row r="777" customHeight="1" spans="1:23">
      <c r="A777" s="3">
        <f>IFERROR(__xludf.DUMMYFUNCTION("""COMPUTED_VALUE"""),46093)</f>
        <v>46093</v>
      </c>
      <c r="B777" s="1" t="str">
        <f>IFERROR(__xludf.DUMMYFUNCTION("""COMPUTED_VALUE"""),"GABAY, MANUEL")</f>
        <v>GABAY, MANUEL</v>
      </c>
      <c r="C777" s="1" t="str">
        <f>IFERROR(__xludf.DUMMYFUNCTION("""COMPUTED_VALUE"""),"FLA")</f>
        <v>FLA</v>
      </c>
      <c r="D777" s="1" t="str">
        <f>IFERROR(__xludf.DUMMYFUNCTION("""COMPUTED_VALUE"""),"JERIC NAVARRO")</f>
        <v>JERIC NAVARRO</v>
      </c>
      <c r="E777" s="1" t="str">
        <f>IFERROR(__xludf.DUMMYFUNCTION("""COMPUTED_VALUE"""),"PLDT")</f>
        <v>PLDT</v>
      </c>
      <c r="F777" s="1">
        <f>IFERROR(__xludf.DUMMYFUNCTION("""COMPUTED_VALUE"""),2307610706)</f>
        <v>2307610706</v>
      </c>
      <c r="G777" s="1"/>
      <c r="H777" s="1" t="str">
        <f>IFERROR(__xludf.DUMMYFUNCTION("""COMPUTED_VALUE"""),"LORENZO BRAVO VERGARA")</f>
        <v>LORENZO BRAVO VERGARA</v>
      </c>
      <c r="I777" s="1">
        <f>IFERROR(__xludf.DUMMYFUNCTION("""COMPUTED_VALUE"""),9262545988)</f>
        <v>9262545988</v>
      </c>
      <c r="J777" s="1">
        <f>IFERROR(__xludf.DUMMYFUNCTION("""COMPUTED_VALUE"""),9472831918)</f>
        <v>9472831918</v>
      </c>
      <c r="K777" s="1" t="str">
        <f>IFERROR(__xludf.DUMMYFUNCTION("""COMPUTED_VALUE"""),"INLHAVWITHCOOKING@GMAIL.COM")</f>
        <v>INLHAVWITHCOOKING@GMAIL.COM</v>
      </c>
      <c r="L777" s="1" t="str">
        <f>IFERROR(__xludf.DUMMYFUNCTION("""COMPUTED_VALUE"""),"LOT 7")</f>
        <v>LOT 7</v>
      </c>
      <c r="M777" s="1" t="str">
        <f>IFERROR(__xludf.DUMMYFUNCTION("""COMPUTED_VALUE"""),"CRUZADO")</f>
        <v>CRUZADO</v>
      </c>
      <c r="N777" s="1"/>
      <c r="O777" s="1" t="str">
        <f>IFERROR(__xludf.DUMMYFUNCTION("""COMPUTED_VALUE"""),"TGTLP352NP1/2/3/4")</f>
        <v>TGTLP352NP1/2/3/4</v>
      </c>
      <c r="P777" s="1" t="str">
        <f>IFERROR(__xludf.DUMMYFUNCTION("""COMPUTED_VALUE"""),"14.108052 120.903271")</f>
        <v>14.108052 120.903271</v>
      </c>
      <c r="Q777" s="1" t="str">
        <f>IFERROR(__xludf.DUMMYFUNCTION("""COMPUTED_VALUE"""),"GUINHAWA NORTH")</f>
        <v>GUINHAWA NORTH</v>
      </c>
      <c r="R777" s="1" t="str">
        <f>IFERROR(__xludf.DUMMYFUNCTION("""COMPUTED_VALUE"""),"TAGAYTAY")</f>
        <v>TAGAYTAY</v>
      </c>
      <c r="S777" s="1" t="str">
        <f>IFERROR(__xludf.DUMMYFUNCTION("""COMPUTED_VALUE"""),"CAVITE")</f>
        <v>CAVITE</v>
      </c>
      <c r="T777" s="1" t="str">
        <f>IFERROR(__xludf.DUMMYFUNCTION("""COMPUTED_VALUE"""),"FIBR UNLI ALL PLAN 1399")</f>
        <v>FIBR UNLI ALL PLAN 1399</v>
      </c>
      <c r="U777" s="1" t="str">
        <f>IFERROR(__xludf.DUMMYFUNCTION("""COMPUTED_VALUE"""),"APPROVED")</f>
        <v>APPROVED</v>
      </c>
      <c r="V777" s="1"/>
      <c r="W777" s="1"/>
    </row>
    <row r="778" customHeight="1" spans="1:23">
      <c r="A778" s="3">
        <f>IFERROR(__xludf.DUMMYFUNCTION("""COMPUTED_VALUE"""),46093)</f>
        <v>46093</v>
      </c>
      <c r="B778" s="1" t="str">
        <f>IFERROR(__xludf.DUMMYFUNCTION("""COMPUTED_VALUE"""),"GABAY, MANUEL")</f>
        <v>GABAY, MANUEL</v>
      </c>
      <c r="C778" s="1" t="str">
        <f>IFERROR(__xludf.DUMMYFUNCTION("""COMPUTED_VALUE"""),"FLA")</f>
        <v>FLA</v>
      </c>
      <c r="D778" s="1" t="str">
        <f>IFERROR(__xludf.DUMMYFUNCTION("""COMPUTED_VALUE"""),"JERIC NAVARRO")</f>
        <v>JERIC NAVARRO</v>
      </c>
      <c r="E778" s="1" t="str">
        <f>IFERROR(__xludf.DUMMYFUNCTION("""COMPUTED_VALUE"""),"PLDT")</f>
        <v>PLDT</v>
      </c>
      <c r="F778" s="1">
        <f>IFERROR(__xludf.DUMMYFUNCTION("""COMPUTED_VALUE"""),2307613313)</f>
        <v>2307613313</v>
      </c>
      <c r="G778" s="1"/>
      <c r="H778" s="1" t="str">
        <f>IFERROR(__xludf.DUMMYFUNCTION("""COMPUTED_VALUE"""),"RIZALINO BRAVO VERGARA")</f>
        <v>RIZALINO BRAVO VERGARA</v>
      </c>
      <c r="I778" s="1">
        <f>IFERROR(__xludf.DUMMYFUNCTION("""COMPUTED_VALUE"""),92669108331)</f>
        <v>92669108331</v>
      </c>
      <c r="J778" s="1">
        <f>IFERROR(__xludf.DUMMYFUNCTION("""COMPUTED_VALUE"""),9674002422)</f>
        <v>9674002422</v>
      </c>
      <c r="K778" s="1" t="str">
        <f>IFERROR(__xludf.DUMMYFUNCTION("""COMPUTED_VALUE"""),"ARAGREVONIL@GMAIL.COM")</f>
        <v>ARAGREVONIL@GMAIL.COM</v>
      </c>
      <c r="L778" s="1" t="str">
        <f>IFERROR(__xludf.DUMMYFUNCTION("""COMPUTED_VALUE"""),"2110")</f>
        <v>2110</v>
      </c>
      <c r="M778" s="1" t="str">
        <f>IFERROR(__xludf.DUMMYFUNCTION("""COMPUTED_VALUE"""),"CRUZADO")</f>
        <v>CRUZADO</v>
      </c>
      <c r="N778" s="1"/>
      <c r="O778" s="1" t="str">
        <f>IFERROR(__xludf.DUMMYFUNCTION("""COMPUTED_VALUE"""),"TGTLP352NP1/2/3/4")</f>
        <v>TGTLP352NP1/2/3/4</v>
      </c>
      <c r="P778" s="1" t="str">
        <f>IFERROR(__xludf.DUMMYFUNCTION("""COMPUTED_VALUE"""),"14.10809 120.903334")</f>
        <v>14.10809 120.903334</v>
      </c>
      <c r="Q778" s="1" t="str">
        <f>IFERROR(__xludf.DUMMYFUNCTION("""COMPUTED_VALUE"""),"GUINHAWA NORTH")</f>
        <v>GUINHAWA NORTH</v>
      </c>
      <c r="R778" s="1" t="str">
        <f>IFERROR(__xludf.DUMMYFUNCTION("""COMPUTED_VALUE"""),"TAGAYTAY")</f>
        <v>TAGAYTAY</v>
      </c>
      <c r="S778" s="1" t="str">
        <f>IFERROR(__xludf.DUMMYFUNCTION("""COMPUTED_VALUE"""),"CAVITE")</f>
        <v>CAVITE</v>
      </c>
      <c r="T778" s="1" t="str">
        <f>IFERROR(__xludf.DUMMYFUNCTION("""COMPUTED_VALUE"""),"FIBR NETFLIX PLAN 1599")</f>
        <v>FIBR NETFLIX PLAN 1599</v>
      </c>
      <c r="U778" s="1" t="str">
        <f>IFERROR(__xludf.DUMMYFUNCTION("""COMPUTED_VALUE"""),"APPROVED")</f>
        <v>APPROVED</v>
      </c>
      <c r="V778" s="1"/>
      <c r="W778" s="1"/>
    </row>
    <row r="779" customHeight="1" spans="1:23">
      <c r="A779" s="3">
        <f>IFERROR(__xludf.DUMMYFUNCTION("""COMPUTED_VALUE"""),46093)</f>
        <v>46093</v>
      </c>
      <c r="B779" s="1" t="str">
        <f>IFERROR(__xludf.DUMMYFUNCTION("""COMPUTED_VALUE"""),"DE VERA, MARIVIC")</f>
        <v>DE VERA, MARIVIC</v>
      </c>
      <c r="C779" s="1" t="str">
        <f>IFERROR(__xludf.DUMMYFUNCTION("""COMPUTED_VALUE"""),"ORGANIC")</f>
        <v>ORGANIC</v>
      </c>
      <c r="D779" s="1" t="str">
        <f>IFERROR(__xludf.DUMMYFUNCTION("""COMPUTED_VALUE"""),"ALINGARO, CINDY")</f>
        <v>ALINGARO, CINDY</v>
      </c>
      <c r="E779" s="1" t="str">
        <f>IFERROR(__xludf.DUMMYFUNCTION("""COMPUTED_VALUE"""),"RED FIBER")</f>
        <v>RED FIBER</v>
      </c>
      <c r="F779" s="1"/>
      <c r="G779" s="1"/>
      <c r="H779" s="1" t="str">
        <f>IFERROR(__xludf.DUMMYFUNCTION("""COMPUTED_VALUE"""),"TERESITA ANDRALES AREVALO")</f>
        <v>TERESITA ANDRALES AREVALO</v>
      </c>
      <c r="I779" s="1">
        <f>IFERROR(__xludf.DUMMYFUNCTION("""COMPUTED_VALUE"""),9367135183)</f>
        <v>9367135183</v>
      </c>
      <c r="J779" s="1"/>
      <c r="K779" s="1" t="str">
        <f>IFERROR(__xludf.DUMMYFUNCTION("""COMPUTED_VALUE"""),"TERESITAAREVALO5779@YAHOO.COM")</f>
        <v>TERESITAAREVALO5779@YAHOO.COM</v>
      </c>
      <c r="L779" s="1" t="str">
        <f>IFERROR(__xludf.DUMMYFUNCTION("""COMPUTED_VALUE"""),"609")</f>
        <v>609</v>
      </c>
      <c r="M779" s="1" t="str">
        <f>IFERROR(__xludf.DUMMYFUNCTION("""COMPUTED_VALUE"""),"MARKET SITE")</f>
        <v>MARKET SITE</v>
      </c>
      <c r="N779" s="1"/>
      <c r="O779" s="1" t="str">
        <f>IFERROR(__xludf.DUMMYFUNCTION("""COMPUTED_VALUE"""),"CVT 2 LCP 54 NP1")</f>
        <v>CVT 2 LCP 54 NP1</v>
      </c>
      <c r="P779" s="1" t="str">
        <f>IFERROR(__xludf.DUMMYFUNCTION("""COMPUTED_VALUE"""),"14.125992 120.908834")</f>
        <v>14.125992 120.908834</v>
      </c>
      <c r="Q779" s="1" t="str">
        <f>IFERROR(__xludf.DUMMYFUNCTION("""COMPUTED_VALUE"""),"GALICIA II")</f>
        <v>GALICIA II</v>
      </c>
      <c r="R779" s="1" t="str">
        <f>IFERROR(__xludf.DUMMYFUNCTION("""COMPUTED_VALUE"""),"MENDEZ")</f>
        <v>MENDEZ</v>
      </c>
      <c r="S779" s="1" t="str">
        <f>IFERROR(__xludf.DUMMYFUNCTION("""COMPUTED_VALUE"""),"CAVITE")</f>
        <v>CAVITE</v>
      </c>
      <c r="T779" s="1" t="str">
        <f>IFERROR(__xludf.DUMMYFUNCTION("""COMPUTED_VALUE"""),"RED PLAN 1000")</f>
        <v>RED PLAN 1000</v>
      </c>
      <c r="U779" s="1" t="str">
        <f>IFERROR(__xludf.DUMMYFUNCTION("""COMPUTED_VALUE"""),"APPROVED")</f>
        <v>APPROVED</v>
      </c>
      <c r="V779" s="1"/>
      <c r="W779" s="1"/>
    </row>
    <row r="780" customHeight="1" spans="1:23">
      <c r="A780" s="3">
        <f>IFERROR(__xludf.DUMMYFUNCTION("""COMPUTED_VALUE"""),46093)</f>
        <v>46093</v>
      </c>
      <c r="B780" s="1" t="str">
        <f>IFERROR(__xludf.DUMMYFUNCTION("""COMPUTED_VALUE"""),"CABRERA JILLIENE")</f>
        <v>CABRERA JILLIENE</v>
      </c>
      <c r="C780" s="1" t="str">
        <f>IFERROR(__xludf.DUMMYFUNCTION("""COMPUTED_VALUE"""),"ORGANIC")</f>
        <v>ORGANIC</v>
      </c>
      <c r="D780" s="1" t="str">
        <f>IFERROR(__xludf.DUMMYFUNCTION("""COMPUTED_VALUE"""),"ALOS, CHARLS")</f>
        <v>ALOS, CHARLS</v>
      </c>
      <c r="E780" s="1" t="str">
        <f>IFERROR(__xludf.DUMMYFUNCTION("""COMPUTED_VALUE"""),"RED FIBER")</f>
        <v>RED FIBER</v>
      </c>
      <c r="F780" s="1"/>
      <c r="G780" s="1"/>
      <c r="H780" s="1" t="str">
        <f>IFERROR(__xludf.DUMMYFUNCTION("""COMPUTED_VALUE"""),"DEN JOSHUA AFABLE ALVIZ")</f>
        <v>DEN JOSHUA AFABLE ALVIZ</v>
      </c>
      <c r="I780" s="1">
        <f>IFERROR(__xludf.DUMMYFUNCTION("""COMPUTED_VALUE"""),9524765335)</f>
        <v>9524765335</v>
      </c>
      <c r="J780" s="1"/>
      <c r="K780" s="1" t="str">
        <f>IFERROR(__xludf.DUMMYFUNCTION("""COMPUTED_VALUE"""),"JOSHMAE0710@GMAIL.COM")</f>
        <v>JOSHMAE0710@GMAIL.COM</v>
      </c>
      <c r="L780" s="1" t="str">
        <f>IFERROR(__xludf.DUMMYFUNCTION("""COMPUTED_VALUE"""),"3630")</f>
        <v>3630</v>
      </c>
      <c r="M780" s="1" t="str">
        <f>IFERROR(__xludf.DUMMYFUNCTION("""COMPUTED_VALUE"""),"LE ")</f>
        <v>LE </v>
      </c>
      <c r="N780" s="1"/>
      <c r="O780" s="1" t="str">
        <f>IFERROR(__xludf.DUMMYFUNCTION("""COMPUTED_VALUE"""),"CVT 2 LCP 54 NP1")</f>
        <v>CVT 2 LCP 54 NP1</v>
      </c>
      <c r="P780" s="1" t="str">
        <f>IFERROR(__xludf.DUMMYFUNCTION("""COMPUTED_VALUE"""),"14.138819 120.964731")</f>
        <v>14.138819 120.964731</v>
      </c>
      <c r="Q780" s="1" t="str">
        <f>IFERROR(__xludf.DUMMYFUNCTION("""COMPUTED_VALUE"""),"MALABAG")</f>
        <v>MALABAG</v>
      </c>
      <c r="R780" s="1" t="str">
        <f>IFERROR(__xludf.DUMMYFUNCTION("""COMPUTED_VALUE"""),"SILANG")</f>
        <v>SILANG</v>
      </c>
      <c r="S780" s="1" t="str">
        <f>IFERROR(__xludf.DUMMYFUNCTION("""COMPUTED_VALUE"""),"CAVITE")</f>
        <v>CAVITE</v>
      </c>
      <c r="T780" s="1" t="str">
        <f>IFERROR(__xludf.DUMMYFUNCTION("""COMPUTED_VALUE"""),"RED PLAN 1400")</f>
        <v>RED PLAN 1400</v>
      </c>
      <c r="U780" s="1" t="str">
        <f>IFERROR(__xludf.DUMMYFUNCTION("""COMPUTED_VALUE"""),"APPROVED")</f>
        <v>APPROVED</v>
      </c>
      <c r="V780" s="1"/>
      <c r="W780" s="1"/>
    </row>
    <row r="781" customHeight="1" spans="1:23">
      <c r="A781" s="3">
        <f>IFERROR(__xludf.DUMMYFUNCTION("""COMPUTED_VALUE"""),46093)</f>
        <v>46093</v>
      </c>
      <c r="B781" s="1" t="str">
        <f>IFERROR(__xludf.DUMMYFUNCTION("""COMPUTED_VALUE"""),"MCNULTY KRYSTEL")</f>
        <v>MCNULTY KRYSTEL</v>
      </c>
      <c r="C781" s="1" t="str">
        <f>IFERROR(__xludf.DUMMYFUNCTION("""COMPUTED_VALUE"""),"ORGANIC")</f>
        <v>ORGANIC</v>
      </c>
      <c r="D781" s="1" t="str">
        <f>IFERROR(__xludf.DUMMYFUNCTION("""COMPUTED_VALUE"""),"ALINGARO, CINDY")</f>
        <v>ALINGARO, CINDY</v>
      </c>
      <c r="E781" s="1" t="str">
        <f>IFERROR(__xludf.DUMMYFUNCTION("""COMPUTED_VALUE"""),"RED FIBER")</f>
        <v>RED FIBER</v>
      </c>
      <c r="F781" s="1"/>
      <c r="G781" s="1"/>
      <c r="H781" s="1" t="str">
        <f>IFERROR(__xludf.DUMMYFUNCTION("""COMPUTED_VALUE"""),"JEAN LYDEL DE OCAMPO PROFETA")</f>
        <v>JEAN LYDEL DE OCAMPO PROFETA</v>
      </c>
      <c r="I781" s="1">
        <f>IFERROR(__xludf.DUMMYFUNCTION("""COMPUTED_VALUE"""),9094342171)</f>
        <v>9094342171</v>
      </c>
      <c r="J781" s="1">
        <f>IFERROR(__xludf.DUMMYFUNCTION("""COMPUTED_VALUE"""),9459613120)</f>
        <v>9459613120</v>
      </c>
      <c r="K781" s="1" t="str">
        <f>IFERROR(__xludf.DUMMYFUNCTION("""COMPUTED_VALUE"""),"JLPROFETA0708@GMAIL.COM")</f>
        <v>JLPROFETA0708@GMAIL.COM</v>
      </c>
      <c r="L781" s="1" t="str">
        <f>IFERROR(__xludf.DUMMYFUNCTION("""COMPUTED_VALUE"""),"3")</f>
        <v>3</v>
      </c>
      <c r="M781" s="1" t="str">
        <f>IFERROR(__xludf.DUMMYFUNCTION("""COMPUTED_VALUE"""),"OLIVAREZ ")</f>
        <v>OLIVAREZ </v>
      </c>
      <c r="N781" s="1"/>
      <c r="O781" s="1"/>
      <c r="P781" s="1" t="str">
        <f>IFERROR(__xludf.DUMMYFUNCTION("""COMPUTED_VALUE"""),"14.118113 120.961926")</f>
        <v>14.118113 120.961926</v>
      </c>
      <c r="Q781" s="1" t="str">
        <f>IFERROR(__xludf.DUMMYFUNCTION("""COMPUTED_VALUE"""),"SAN JOSE")</f>
        <v>SAN JOSE</v>
      </c>
      <c r="R781" s="1" t="str">
        <f>IFERROR(__xludf.DUMMYFUNCTION("""COMPUTED_VALUE"""),"TAGAYTAY")</f>
        <v>TAGAYTAY</v>
      </c>
      <c r="S781" s="1" t="str">
        <f>IFERROR(__xludf.DUMMYFUNCTION("""COMPUTED_VALUE"""),"CAVITE")</f>
        <v>CAVITE</v>
      </c>
      <c r="T781" s="1" t="str">
        <f>IFERROR(__xludf.DUMMYFUNCTION("""COMPUTED_VALUE"""),"RED PLAN 1000")</f>
        <v>RED PLAN 1000</v>
      </c>
      <c r="U781" s="1" t="str">
        <f>IFERROR(__xludf.DUMMYFUNCTION("""COMPUTED_VALUE"""),"APPROVED")</f>
        <v>APPROVED</v>
      </c>
      <c r="V781" s="1"/>
      <c r="W781" s="1"/>
    </row>
    <row r="782" customHeight="1" spans="1:23">
      <c r="A782" s="3">
        <f>IFERROR(__xludf.DUMMYFUNCTION("""COMPUTED_VALUE"""),46093)</f>
        <v>46093</v>
      </c>
      <c r="B782" s="1" t="str">
        <f>IFERROR(__xludf.DUMMYFUNCTION("""COMPUTED_VALUE"""),"AYON MANUEL")</f>
        <v>AYON MANUEL</v>
      </c>
      <c r="C782" s="1" t="str">
        <f>IFERROR(__xludf.DUMMYFUNCTION("""COMPUTED_VALUE"""),"FLA")</f>
        <v>FLA</v>
      </c>
      <c r="D782" s="1" t="str">
        <f>IFERROR(__xludf.DUMMYFUNCTION("""COMPUTED_VALUE"""),"JERIC NAVARRO")</f>
        <v>JERIC NAVARRO</v>
      </c>
      <c r="E782" s="1" t="str">
        <f>IFERROR(__xludf.DUMMYFUNCTION("""COMPUTED_VALUE"""),"PLDT")</f>
        <v>PLDT</v>
      </c>
      <c r="F782" s="1">
        <f>IFERROR(__xludf.DUMMYFUNCTION("""COMPUTED_VALUE"""),2307615826)</f>
        <v>2307615826</v>
      </c>
      <c r="G782" s="1"/>
      <c r="H782" s="1" t="str">
        <f>IFERROR(__xludf.DUMMYFUNCTION("""COMPUTED_VALUE"""),"CHERRY PENASO BOSTON")</f>
        <v>CHERRY PENASO BOSTON</v>
      </c>
      <c r="I782" s="1">
        <f>IFERROR(__xludf.DUMMYFUNCTION("""COMPUTED_VALUE"""),9925209715)</f>
        <v>9925209715</v>
      </c>
      <c r="J782" s="1">
        <f>IFERROR(__xludf.DUMMYFUNCTION("""COMPUTED_VALUE"""),9658331622)</f>
        <v>9658331622</v>
      </c>
      <c r="K782" s="1" t="str">
        <f>IFERROR(__xludf.DUMMYFUNCTION("""COMPUTED_VALUE"""),"CHERRYPENASO@GMAIL.COM")</f>
        <v>CHERRYPENASO@GMAIL.COM</v>
      </c>
      <c r="L782" s="1" t="str">
        <f>IFERROR(__xludf.DUMMYFUNCTION("""COMPUTED_VALUE"""),"9013")</f>
        <v>9013</v>
      </c>
      <c r="M782" s="1" t="str">
        <f>IFERROR(__xludf.DUMMYFUNCTION("""COMPUTED_VALUE"""),"ORGANIC FARM")</f>
        <v>ORGANIC FARM</v>
      </c>
      <c r="N782" s="1"/>
      <c r="O782" s="1" t="str">
        <f>IFERROR(__xludf.DUMMYFUNCTION("""COMPUTED_VALUE"""),"MDZLP78NP2")</f>
        <v>MDZLP78NP2</v>
      </c>
      <c r="P782" s="1"/>
      <c r="Q782" s="1" t="str">
        <f>IFERROR(__xludf.DUMMYFUNCTION("""COMPUTED_VALUE"""),"BANAYAD")</f>
        <v>BANAYAD</v>
      </c>
      <c r="R782" s="1" t="str">
        <f>IFERROR(__xludf.DUMMYFUNCTION("""COMPUTED_VALUE"""),"MENDEZ")</f>
        <v>MENDEZ</v>
      </c>
      <c r="S782" s="1" t="str">
        <f>IFERROR(__xludf.DUMMYFUNCTION("""COMPUTED_VALUE"""),"CAVITE")</f>
        <v>CAVITE</v>
      </c>
      <c r="T782" s="1" t="str">
        <f>IFERROR(__xludf.DUMMYFUNCTION("""COMPUTED_VALUE"""),"FIBR UNLI ALL PLAN 999")</f>
        <v>FIBR UNLI ALL PLAN 999</v>
      </c>
      <c r="U782" s="1" t="str">
        <f>IFERROR(__xludf.DUMMYFUNCTION("""COMPUTED_VALUE"""),"APPROVED")</f>
        <v>APPROVED</v>
      </c>
      <c r="V782" s="1"/>
      <c r="W782" s="1"/>
    </row>
    <row r="783" customHeight="1" spans="1:23">
      <c r="A783" s="3">
        <f>IFERROR(__xludf.DUMMYFUNCTION("""COMPUTED_VALUE"""),46093)</f>
        <v>46093</v>
      </c>
      <c r="B783" s="1" t="str">
        <f>IFERROR(__xludf.DUMMYFUNCTION("""COMPUTED_VALUE"""),"AYON MANUEL")</f>
        <v>AYON MANUEL</v>
      </c>
      <c r="C783" s="1" t="str">
        <f>IFERROR(__xludf.DUMMYFUNCTION("""COMPUTED_VALUE"""),"FLA")</f>
        <v>FLA</v>
      </c>
      <c r="D783" s="1" t="str">
        <f>IFERROR(__xludf.DUMMYFUNCTION("""COMPUTED_VALUE"""),"JERIC NAVARRO")</f>
        <v>JERIC NAVARRO</v>
      </c>
      <c r="E783" s="1" t="str">
        <f>IFERROR(__xludf.DUMMYFUNCTION("""COMPUTED_VALUE"""),"PLDT")</f>
        <v>PLDT</v>
      </c>
      <c r="F783" s="1">
        <f>IFERROR(__xludf.DUMMYFUNCTION("""COMPUTED_VALUE"""),2307616225)</f>
        <v>2307616225</v>
      </c>
      <c r="G783" s="1"/>
      <c r="H783" s="1" t="str">
        <f>IFERROR(__xludf.DUMMYFUNCTION("""COMPUTED_VALUE"""),"LEA ENCINAS BALAGBIS")</f>
        <v>LEA ENCINAS BALAGBIS</v>
      </c>
      <c r="I783" s="1">
        <f>IFERROR(__xludf.DUMMYFUNCTION("""COMPUTED_VALUE"""),9456416348)</f>
        <v>9456416348</v>
      </c>
      <c r="J783" s="1">
        <f>IFERROR(__xludf.DUMMYFUNCTION("""COMPUTED_VALUE"""),9560885964)</f>
        <v>9560885964</v>
      </c>
      <c r="K783" s="1" t="str">
        <f>IFERROR(__xludf.DUMMYFUNCTION("""COMPUTED_VALUE"""),"CREGINE273@GMAIL.COM")</f>
        <v>CREGINE273@GMAIL.COM</v>
      </c>
      <c r="L783" s="1" t="str">
        <f>IFERROR(__xludf.DUMMYFUNCTION("""COMPUTED_VALUE"""),"193")</f>
        <v>193</v>
      </c>
      <c r="M783" s="1" t="str">
        <f>IFERROR(__xludf.DUMMYFUNCTION("""COMPUTED_VALUE"""),"ULO SPRING ")</f>
        <v>ULO SPRING </v>
      </c>
      <c r="N783" s="1"/>
      <c r="O783" s="1" t="str">
        <f>IFERROR(__xludf.DUMMYFUNCTION("""COMPUTED_VALUE"""),"MDZLP78NP2")</f>
        <v>MDZLP78NP2</v>
      </c>
      <c r="P783" s="1"/>
      <c r="Q783" s="1" t="str">
        <f>IFERROR(__xludf.DUMMYFUNCTION("""COMPUTED_VALUE"""),"BANAYBANAY")</f>
        <v>BANAYBANAY</v>
      </c>
      <c r="R783" s="1" t="str">
        <f>IFERROR(__xludf.DUMMYFUNCTION("""COMPUTED_VALUE"""),"MENDEZ")</f>
        <v>MENDEZ</v>
      </c>
      <c r="S783" s="1" t="str">
        <f>IFERROR(__xludf.DUMMYFUNCTION("""COMPUTED_VALUE"""),"CAVITE")</f>
        <v>CAVITE</v>
      </c>
      <c r="T783" s="1" t="str">
        <f>IFERROR(__xludf.DUMMYFUNCTION("""COMPUTED_VALUE"""),"FIBR UNLI ALL PLAN 1399")</f>
        <v>FIBR UNLI ALL PLAN 1399</v>
      </c>
      <c r="U783" s="1" t="str">
        <f>IFERROR(__xludf.DUMMYFUNCTION("""COMPUTED_VALUE"""),"APPROVED")</f>
        <v>APPROVED</v>
      </c>
      <c r="V783" s="1"/>
      <c r="W783" s="1"/>
    </row>
    <row r="784" customHeight="1" spans="1:23">
      <c r="A784" s="3">
        <f>IFERROR(__xludf.DUMMYFUNCTION("""COMPUTED_VALUE"""),46093)</f>
        <v>46093</v>
      </c>
      <c r="B784" s="1" t="str">
        <f>IFERROR(__xludf.DUMMYFUNCTION("""COMPUTED_VALUE"""),"AYON MANUEL")</f>
        <v>AYON MANUEL</v>
      </c>
      <c r="C784" s="1" t="str">
        <f>IFERROR(__xludf.DUMMYFUNCTION("""COMPUTED_VALUE"""),"FLA")</f>
        <v>FLA</v>
      </c>
      <c r="D784" s="1" t="str">
        <f>IFERROR(__xludf.DUMMYFUNCTION("""COMPUTED_VALUE"""),"JERIC NAVARRO")</f>
        <v>JERIC NAVARRO</v>
      </c>
      <c r="E784" s="1" t="str">
        <f>IFERROR(__xludf.DUMMYFUNCTION("""COMPUTED_VALUE"""),"PLDT")</f>
        <v>PLDT</v>
      </c>
      <c r="F784" s="1">
        <f>IFERROR(__xludf.DUMMYFUNCTION("""COMPUTED_VALUE"""),2307616660)</f>
        <v>2307616660</v>
      </c>
      <c r="G784" s="1"/>
      <c r="H784" s="1" t="str">
        <f>IFERROR(__xludf.DUMMYFUNCTION("""COMPUTED_VALUE"""),"ELMER VICTORIO GRANADO")</f>
        <v>ELMER VICTORIO GRANADO</v>
      </c>
      <c r="I784" s="1">
        <f>IFERROR(__xludf.DUMMYFUNCTION("""COMPUTED_VALUE"""),9956733573)</f>
        <v>9956733573</v>
      </c>
      <c r="J784" s="1">
        <f>IFERROR(__xludf.DUMMYFUNCTION("""COMPUTED_VALUE"""),9567995452)</f>
        <v>9567995452</v>
      </c>
      <c r="K784" s="1" t="str">
        <f>IFERROR(__xludf.DUMMYFUNCTION("""COMPUTED_VALUE"""),"REMCE@HOTMAIL.COM")</f>
        <v>REMCE@HOTMAIL.COM</v>
      </c>
      <c r="L784" s="1" t="str">
        <f>IFERROR(__xludf.DUMMYFUNCTION("""COMPUTED_VALUE"""),"BLK 406 LOT 5")</f>
        <v>BLK 406 LOT 5</v>
      </c>
      <c r="M784" s="1" t="str">
        <f>IFERROR(__xludf.DUMMYFUNCTION("""COMPUTED_VALUE"""),"PHASE 4")</f>
        <v>PHASE 4</v>
      </c>
      <c r="N784" s="1" t="str">
        <f>IFERROR(__xludf.DUMMYFUNCTION("""COMPUTED_VALUE"""),"METROGATE SILANG ESTATE")</f>
        <v>METROGATE SILANG ESTATE</v>
      </c>
      <c r="O784" s="1" t="str">
        <f>IFERROR(__xludf.DUMMYFUNCTION("""COMPUTED_VALUE"""),"SILLP313NP6/4/5 SILLP543NP3")</f>
        <v>SILLP313NP6/4/5 SILLP543NP3</v>
      </c>
      <c r="P784" s="1"/>
      <c r="Q784" s="1" t="str">
        <f>IFERROR(__xludf.DUMMYFUNCTION("""COMPUTED_VALUE"""),"BILUSO")</f>
        <v>BILUSO</v>
      </c>
      <c r="R784" s="1" t="str">
        <f>IFERROR(__xludf.DUMMYFUNCTION("""COMPUTED_VALUE"""),"SILANG")</f>
        <v>SILANG</v>
      </c>
      <c r="S784" s="1" t="str">
        <f>IFERROR(__xludf.DUMMYFUNCTION("""COMPUTED_VALUE"""),"CAVITE")</f>
        <v>CAVITE</v>
      </c>
      <c r="T784" s="1" t="str">
        <f>IFERROR(__xludf.DUMMYFUNCTION("""COMPUTED_VALUE"""),"FIBR UNLI ALL PLAN 1399")</f>
        <v>FIBR UNLI ALL PLAN 1399</v>
      </c>
      <c r="U784" s="1" t="str">
        <f>IFERROR(__xludf.DUMMYFUNCTION("""COMPUTED_VALUE"""),"APPROVED")</f>
        <v>APPROVED</v>
      </c>
      <c r="V784" s="1"/>
      <c r="W784" s="1"/>
    </row>
    <row r="785" customHeight="1" spans="1:23">
      <c r="A785" s="3">
        <f>IFERROR(__xludf.DUMMYFUNCTION("""COMPUTED_VALUE"""),46093)</f>
        <v>46093</v>
      </c>
      <c r="B785" s="1" t="str">
        <f>IFERROR(__xludf.DUMMYFUNCTION("""COMPUTED_VALUE"""),"GABAY, MANUEL")</f>
        <v>GABAY, MANUEL</v>
      </c>
      <c r="C785" s="1" t="str">
        <f>IFERROR(__xludf.DUMMYFUNCTION("""COMPUTED_VALUE"""),"FLA")</f>
        <v>FLA</v>
      </c>
      <c r="D785" s="1" t="str">
        <f>IFERROR(__xludf.DUMMYFUNCTION("""COMPUTED_VALUE"""),"JERIC NAVARRO")</f>
        <v>JERIC NAVARRO</v>
      </c>
      <c r="E785" s="1" t="str">
        <f>IFERROR(__xludf.DUMMYFUNCTION("""COMPUTED_VALUE"""),"PLDT")</f>
        <v>PLDT</v>
      </c>
      <c r="F785" s="1">
        <f>IFERROR(__xludf.DUMMYFUNCTION("""COMPUTED_VALUE"""),2307617100)</f>
        <v>2307617100</v>
      </c>
      <c r="G785" s="1"/>
      <c r="H785" s="1" t="str">
        <f>IFERROR(__xludf.DUMMYFUNCTION("""COMPUTED_VALUE"""),"JEFFERSON MOJICA HONDO")</f>
        <v>JEFFERSON MOJICA HONDO</v>
      </c>
      <c r="I785" s="1">
        <f>IFERROR(__xludf.DUMMYFUNCTION("""COMPUTED_VALUE"""),9777889154)</f>
        <v>9777889154</v>
      </c>
      <c r="J785" s="1"/>
      <c r="K785" s="1" t="str">
        <f>IFERROR(__xludf.DUMMYFUNCTION("""COMPUTED_VALUE"""),"JEFFERHONDO@YAHOO.COM")</f>
        <v>JEFFERHONDO@YAHOO.COM</v>
      </c>
      <c r="L785" s="1" t="str">
        <f>IFERROR(__xludf.DUMMYFUNCTION("""COMPUTED_VALUE"""),"1")</f>
        <v>1</v>
      </c>
      <c r="M785" s="1" t="str">
        <f>IFERROR(__xludf.DUMMYFUNCTION("""COMPUTED_VALUE"""),"AURE")</f>
        <v>AURE</v>
      </c>
      <c r="N785" s="1"/>
      <c r="O785" s="1"/>
      <c r="P785" s="1"/>
      <c r="Q785" s="1" t="str">
        <f>IFERROR(__xludf.DUMMYFUNCTION("""COMPUTED_VALUE"""),"POBLACION IV")</f>
        <v>POBLACION IV</v>
      </c>
      <c r="R785" s="1" t="str">
        <f>IFERROR(__xludf.DUMMYFUNCTION("""COMPUTED_VALUE"""),"MENDEZ")</f>
        <v>MENDEZ</v>
      </c>
      <c r="S785" s="1" t="str">
        <f>IFERROR(__xludf.DUMMYFUNCTION("""COMPUTED_VALUE"""),"CAVITE")</f>
        <v>CAVITE</v>
      </c>
      <c r="T785" s="1" t="str">
        <f>IFERROR(__xludf.DUMMYFUNCTION("""COMPUTED_VALUE"""),"FIBR UNLI ALL PLAN 1399")</f>
        <v>FIBR UNLI ALL PLAN 1399</v>
      </c>
      <c r="U785" s="1" t="str">
        <f>IFERROR(__xludf.DUMMYFUNCTION("""COMPUTED_VALUE"""),"APPROVED")</f>
        <v>APPROVED</v>
      </c>
      <c r="V785" s="1"/>
      <c r="W785" s="1"/>
    </row>
    <row r="786" customHeight="1" spans="1:23">
      <c r="A786" s="3">
        <f>IFERROR(__xludf.DUMMYFUNCTION("""COMPUTED_VALUE"""),46093)</f>
        <v>46093</v>
      </c>
      <c r="B786" s="1" t="str">
        <f>IFERROR(__xludf.DUMMYFUNCTION("""COMPUTED_VALUE"""),"MCNULTY KRYSTEL")</f>
        <v>MCNULTY KRYSTEL</v>
      </c>
      <c r="C786" s="1" t="str">
        <f>IFERROR(__xludf.DUMMYFUNCTION("""COMPUTED_VALUE"""),"ORGANIC")</f>
        <v>ORGANIC</v>
      </c>
      <c r="D786" s="1" t="str">
        <f>IFERROR(__xludf.DUMMYFUNCTION("""COMPUTED_VALUE"""),"ALINGARO, CINDY")</f>
        <v>ALINGARO, CINDY</v>
      </c>
      <c r="E786" s="1" t="str">
        <f>IFERROR(__xludf.DUMMYFUNCTION("""COMPUTED_VALUE"""),"PLDT")</f>
        <v>PLDT</v>
      </c>
      <c r="F786" s="1">
        <f>IFERROR(__xludf.DUMMYFUNCTION("""COMPUTED_VALUE"""),2307617456)</f>
        <v>2307617456</v>
      </c>
      <c r="G786" s="1">
        <f>IFERROR(__xludf.DUMMYFUNCTION("""COMPUTED_VALUE"""),446555555004)</f>
        <v>446555555004</v>
      </c>
      <c r="H786" s="1" t="str">
        <f>IFERROR(__xludf.DUMMYFUNCTION("""COMPUTED_VALUE"""),"JOHN JEZ REEL CASAMAYOR VICENTE")</f>
        <v>JOHN JEZ REEL CASAMAYOR VICENTE</v>
      </c>
      <c r="I786" s="1">
        <f>IFERROR(__xludf.DUMMYFUNCTION("""COMPUTED_VALUE"""),96687559871)</f>
        <v>96687559871</v>
      </c>
      <c r="J786" s="1"/>
      <c r="K786" s="1" t="str">
        <f>IFERROR(__xludf.DUMMYFUNCTION("""COMPUTED_VALUE"""),"JEZREELVICENTE22@GMAIL.COM")</f>
        <v>JEZREELVICENTE22@GMAIL.COM</v>
      </c>
      <c r="L786" s="1" t="str">
        <f>IFERROR(__xludf.DUMMYFUNCTION("""COMPUTED_VALUE"""),"BLK 23 LOT 3")</f>
        <v>BLK 23 LOT 3</v>
      </c>
      <c r="M786" s="1" t="str">
        <f>IFERROR(__xludf.DUMMYFUNCTION("""COMPUTED_VALUE"""),"ACACIA")</f>
        <v>ACACIA</v>
      </c>
      <c r="N786" s="1" t="str">
        <f>IFERROR(__xludf.DUMMYFUNCTION("""COMPUTED_VALUE"""),"PHASE 1A")</f>
        <v>PHASE 1A</v>
      </c>
      <c r="O786" s="1" t="str">
        <f>IFERROR(__xludf.DUMMYFUNCTION("""COMPUTED_VALUE"""),"SILLP48NP1")</f>
        <v>SILLP48NP1</v>
      </c>
      <c r="P786" s="1" t="str">
        <f>IFERROR(__xludf.DUMMYFUNCTION("""COMPUTED_VALUE"""),"14.278446 120.991939")</f>
        <v>14.278446 120.991939</v>
      </c>
      <c r="Q786" s="1" t="str">
        <f>IFERROR(__xludf.DUMMYFUNCTION("""COMPUTED_VALUE"""),"ACACIA")</f>
        <v>ACACIA</v>
      </c>
      <c r="R786" s="1" t="str">
        <f>IFERROR(__xludf.DUMMYFUNCTION("""COMPUTED_VALUE"""),"SILANG")</f>
        <v>SILANG</v>
      </c>
      <c r="S786" s="1" t="str">
        <f>IFERROR(__xludf.DUMMYFUNCTION("""COMPUTED_VALUE"""),"CAVITE")</f>
        <v>CAVITE</v>
      </c>
      <c r="T786" s="1" t="str">
        <f>IFERROR(__xludf.DUMMYFUNCTION("""COMPUTED_VALUE"""),"PREPAID FIBER UNLI")</f>
        <v>PREPAID FIBER UNLI</v>
      </c>
      <c r="U786" s="1" t="str">
        <f>IFERROR(__xludf.DUMMYFUNCTION("""COMPUTED_VALUE"""),"APPROVED")</f>
        <v>APPROVED</v>
      </c>
      <c r="V786" s="1"/>
      <c r="W786" s="1"/>
    </row>
    <row r="787" customHeight="1" spans="1:23">
      <c r="A787" s="3">
        <f>IFERROR(__xludf.DUMMYFUNCTION("""COMPUTED_VALUE"""),46094)</f>
        <v>46094</v>
      </c>
      <c r="B787" s="1" t="str">
        <f>IFERROR(__xludf.DUMMYFUNCTION("""COMPUTED_VALUE"""),"GABAY, MANUEL")</f>
        <v>GABAY, MANUEL</v>
      </c>
      <c r="C787" s="1" t="str">
        <f>IFERROR(__xludf.DUMMYFUNCTION("""COMPUTED_VALUE"""),"FLA")</f>
        <v>FLA</v>
      </c>
      <c r="D787" s="1" t="str">
        <f>IFERROR(__xludf.DUMMYFUNCTION("""COMPUTED_VALUE"""),"JERIC NAVARRO")</f>
        <v>JERIC NAVARRO</v>
      </c>
      <c r="E787" s="1" t="str">
        <f>IFERROR(__xludf.DUMMYFUNCTION("""COMPUTED_VALUE"""),"RED FIBER")</f>
        <v>RED FIBER</v>
      </c>
      <c r="F787" s="1"/>
      <c r="G787" s="1"/>
      <c r="H787" s="1" t="str">
        <f>IFERROR(__xludf.DUMMYFUNCTION("""COMPUTED_VALUE"""),"JEAN LYDEL DE OCAMPO PROFETA")</f>
        <v>JEAN LYDEL DE OCAMPO PROFETA</v>
      </c>
      <c r="I787" s="1">
        <f>IFERROR(__xludf.DUMMYFUNCTION("""COMPUTED_VALUE"""),9094342171)</f>
        <v>9094342171</v>
      </c>
      <c r="J787" s="1">
        <f>IFERROR(__xludf.DUMMYFUNCTION("""COMPUTED_VALUE"""),9459613120)</f>
        <v>9459613120</v>
      </c>
      <c r="K787" s="1" t="str">
        <f>IFERROR(__xludf.DUMMYFUNCTION("""COMPUTED_VALUE"""),"JLPROFETA0708@GMAIL.COM")</f>
        <v>JLPROFETA0708@GMAIL.COM</v>
      </c>
      <c r="L787" s="1" t="str">
        <f>IFERROR(__xludf.DUMMYFUNCTION("""COMPUTED_VALUE"""),"89")</f>
        <v>89</v>
      </c>
      <c r="M787" s="1" t="str">
        <f>IFERROR(__xludf.DUMMYFUNCTION("""COMPUTED_VALUE"""),"2ND EAST")</f>
        <v>2ND EAST</v>
      </c>
      <c r="N787" s="1"/>
      <c r="O787" s="1"/>
      <c r="P787" s="1" t="str">
        <f>IFERROR(__xludf.DUMMYFUNCTION("""COMPUTED_VALUE"""),"14.118113 120.961926")</f>
        <v>14.118113 120.961926</v>
      </c>
      <c r="Q787" s="1" t="str">
        <f>IFERROR(__xludf.DUMMYFUNCTION("""COMPUTED_VALUE"""),"MAITIM 2ND EAST")</f>
        <v>MAITIM 2ND EAST</v>
      </c>
      <c r="R787" s="1" t="str">
        <f>IFERROR(__xludf.DUMMYFUNCTION("""COMPUTED_VALUE"""),"TAGAYTAY")</f>
        <v>TAGAYTAY</v>
      </c>
      <c r="S787" s="1" t="str">
        <f>IFERROR(__xludf.DUMMYFUNCTION("""COMPUTED_VALUE"""),"CAVITE")</f>
        <v>CAVITE</v>
      </c>
      <c r="T787" s="1" t="str">
        <f>IFERROR(__xludf.DUMMYFUNCTION("""COMPUTED_VALUE"""),"RED PLAN 1000")</f>
        <v>RED PLAN 1000</v>
      </c>
      <c r="U787" s="1" t="str">
        <f>IFERROR(__xludf.DUMMYFUNCTION("""COMPUTED_VALUE"""),"APPROVED")</f>
        <v>APPROVED</v>
      </c>
      <c r="V787" s="1"/>
      <c r="W787" s="1"/>
    </row>
    <row r="788" customHeight="1" spans="1:23">
      <c r="A788" s="3">
        <f>IFERROR(__xludf.DUMMYFUNCTION("""COMPUTED_VALUE"""),46094)</f>
        <v>46094</v>
      </c>
      <c r="B788" s="1" t="str">
        <f>IFERROR(__xludf.DUMMYFUNCTION("""COMPUTED_VALUE"""),"CARPIO, STEPHANIE NICOLE")</f>
        <v>CARPIO, STEPHANIE NICOLE</v>
      </c>
      <c r="C788" s="1" t="str">
        <f>IFERROR(__xludf.DUMMYFUNCTION("""COMPUTED_VALUE"""),"FLA")</f>
        <v>FLA</v>
      </c>
      <c r="D788" s="1" t="str">
        <f>IFERROR(__xludf.DUMMYFUNCTION("""COMPUTED_VALUE"""),"JERIC NAVARRO")</f>
        <v>JERIC NAVARRO</v>
      </c>
      <c r="E788" s="1" t="str">
        <f>IFERROR(__xludf.DUMMYFUNCTION("""COMPUTED_VALUE"""),"PLDT")</f>
        <v>PLDT</v>
      </c>
      <c r="F788" s="1">
        <f>IFERROR(__xludf.DUMMYFUNCTION("""COMPUTED_VALUE"""),2307630308)</f>
        <v>2307630308</v>
      </c>
      <c r="G788" s="1"/>
      <c r="H788" s="1" t="str">
        <f>IFERROR(__xludf.DUMMYFUNCTION("""COMPUTED_VALUE"""),"KATHERINE DELOS REYES AQUINO")</f>
        <v>KATHERINE DELOS REYES AQUINO</v>
      </c>
      <c r="I788" s="1">
        <f>IFERROR(__xludf.DUMMYFUNCTION("""COMPUTED_VALUE"""),9936252602)</f>
        <v>9936252602</v>
      </c>
      <c r="J788" s="1"/>
      <c r="K788" s="1" t="str">
        <f>IFERROR(__xludf.DUMMYFUNCTION("""COMPUTED_VALUE"""),"AQUINOKATHERINE@GMAIL.COM")</f>
        <v>AQUINOKATHERINE@GMAIL.COM</v>
      </c>
      <c r="L788" s="1" t="str">
        <f>IFERROR(__xludf.DUMMYFUNCTION("""COMPUTED_VALUE"""),"321C")</f>
        <v>321C</v>
      </c>
      <c r="M788" s="1" t="str">
        <f>IFERROR(__xludf.DUMMYFUNCTION("""COMPUTED_VALUE"""),"PADRE BURGOS")</f>
        <v>PADRE BURGOS</v>
      </c>
      <c r="N788" s="1"/>
      <c r="O788" s="1"/>
      <c r="P788" s="1"/>
      <c r="Q788" s="1" t="str">
        <f>IFERROR(__xludf.DUMMYFUNCTION("""COMPUTED_VALUE"""),"BARANGAY 31 (MAYA-MAYA)")</f>
        <v>BARANGAY 31 (MAYA-MAYA)</v>
      </c>
      <c r="R788" s="1" t="str">
        <f>IFERROR(__xludf.DUMMYFUNCTION("""COMPUTED_VALUE"""),"CAVITE CITY")</f>
        <v>CAVITE CITY</v>
      </c>
      <c r="S788" s="1" t="str">
        <f>IFERROR(__xludf.DUMMYFUNCTION("""COMPUTED_VALUE"""),"CAVITE")</f>
        <v>CAVITE</v>
      </c>
      <c r="T788" s="1" t="str">
        <f>IFERROR(__xludf.DUMMYFUNCTION("""COMPUTED_VALUE"""),"FIBR PLAN 1699")</f>
        <v>FIBR PLAN 1699</v>
      </c>
      <c r="U788" s="1" t="str">
        <f>IFERROR(__xludf.DUMMYFUNCTION("""COMPUTED_VALUE"""),"APPROVED")</f>
        <v>APPROVED</v>
      </c>
      <c r="V788" s="1"/>
      <c r="W788" s="1"/>
    </row>
    <row r="789" customHeight="1" spans="1:23">
      <c r="A789" s="3">
        <f>IFERROR(__xludf.DUMMYFUNCTION("""COMPUTED_VALUE"""),46094)</f>
        <v>46094</v>
      </c>
      <c r="B789" s="1" t="str">
        <f>IFERROR(__xludf.DUMMYFUNCTION("""COMPUTED_VALUE"""),"CARPIO, STEPHANIE NICOLE")</f>
        <v>CARPIO, STEPHANIE NICOLE</v>
      </c>
      <c r="C789" s="1" t="str">
        <f>IFERROR(__xludf.DUMMYFUNCTION("""COMPUTED_VALUE"""),"FLA")</f>
        <v>FLA</v>
      </c>
      <c r="D789" s="1" t="str">
        <f>IFERROR(__xludf.DUMMYFUNCTION("""COMPUTED_VALUE"""),"JERIC NAVARRO")</f>
        <v>JERIC NAVARRO</v>
      </c>
      <c r="E789" s="1" t="str">
        <f>IFERROR(__xludf.DUMMYFUNCTION("""COMPUTED_VALUE"""),"PLDT")</f>
        <v>PLDT</v>
      </c>
      <c r="F789" s="1">
        <f>IFERROR(__xludf.DUMMYFUNCTION("""COMPUTED_VALUE"""),2307630877)</f>
        <v>2307630877</v>
      </c>
      <c r="G789" s="1"/>
      <c r="H789" s="1" t="str">
        <f>IFERROR(__xludf.DUMMYFUNCTION("""COMPUTED_VALUE"""),"RONNIE REYES PATRICIO")</f>
        <v>RONNIE REYES PATRICIO</v>
      </c>
      <c r="I789" s="1">
        <f>IFERROR(__xludf.DUMMYFUNCTION("""COMPUTED_VALUE"""),9610551860)</f>
        <v>9610551860</v>
      </c>
      <c r="J789" s="1"/>
      <c r="K789" s="1" t="str">
        <f>IFERROR(__xludf.DUMMYFUNCTION("""COMPUTED_VALUE"""),"BONGPATRICIO8@GMAIL.COM")</f>
        <v>BONGPATRICIO8@GMAIL.COM</v>
      </c>
      <c r="L789" s="1" t="str">
        <f>IFERROR(__xludf.DUMMYFUNCTION("""COMPUTED_VALUE"""),"535")</f>
        <v>535</v>
      </c>
      <c r="M789" s="1" t="str">
        <f>IFERROR(__xludf.DUMMYFUNCTION("""COMPUTED_VALUE"""),"PLARIDEL")</f>
        <v>PLARIDEL</v>
      </c>
      <c r="N789" s="1"/>
      <c r="O789" s="1"/>
      <c r="P789" s="1"/>
      <c r="Q789" s="1" t="str">
        <f>IFERROR(__xludf.DUMMYFUNCTION("""COMPUTED_VALUE"""),"BARANGAY 58-A (PATOLA A)")</f>
        <v>BARANGAY 58-A (PATOLA A)</v>
      </c>
      <c r="R789" s="1" t="str">
        <f>IFERROR(__xludf.DUMMYFUNCTION("""COMPUTED_VALUE"""),"CAVITE CITY")</f>
        <v>CAVITE CITY</v>
      </c>
      <c r="S789" s="1" t="str">
        <f>IFERROR(__xludf.DUMMYFUNCTION("""COMPUTED_VALUE"""),"CAVITE")</f>
        <v>CAVITE</v>
      </c>
      <c r="T789" s="1" t="str">
        <f>IFERROR(__xludf.DUMMYFUNCTION("""COMPUTED_VALUE"""),"FIBR UNLI ALL PLAN 1399")</f>
        <v>FIBR UNLI ALL PLAN 1399</v>
      </c>
      <c r="U789" s="1" t="str">
        <f>IFERROR(__xludf.DUMMYFUNCTION("""COMPUTED_VALUE"""),"APPROVED")</f>
        <v>APPROVED</v>
      </c>
      <c r="V789" s="1"/>
      <c r="W789" s="1"/>
    </row>
    <row r="790" customHeight="1" spans="1:23">
      <c r="A790" s="3">
        <f>IFERROR(__xludf.DUMMYFUNCTION("""COMPUTED_VALUE"""),46094)</f>
        <v>46094</v>
      </c>
      <c r="B790" s="1" t="str">
        <f>IFERROR(__xludf.DUMMYFUNCTION("""COMPUTED_VALUE"""),"CARPIO, STEPHANIE NICOLE")</f>
        <v>CARPIO, STEPHANIE NICOLE</v>
      </c>
      <c r="C790" s="1" t="str">
        <f>IFERROR(__xludf.DUMMYFUNCTION("""COMPUTED_VALUE"""),"FLA")</f>
        <v>FLA</v>
      </c>
      <c r="D790" s="1" t="str">
        <f>IFERROR(__xludf.DUMMYFUNCTION("""COMPUTED_VALUE"""),"JERIC NAVARRO")</f>
        <v>JERIC NAVARRO</v>
      </c>
      <c r="E790" s="1" t="str">
        <f>IFERROR(__xludf.DUMMYFUNCTION("""COMPUTED_VALUE"""),"PLDT")</f>
        <v>PLDT</v>
      </c>
      <c r="F790" s="1">
        <f>IFERROR(__xludf.DUMMYFUNCTION("""COMPUTED_VALUE"""),2307631181)</f>
        <v>2307631181</v>
      </c>
      <c r="G790" s="1"/>
      <c r="H790" s="1" t="str">
        <f>IFERROR(__xludf.DUMMYFUNCTION("""COMPUTED_VALUE"""),"CHESTER DOMINGO CONCEPCION")</f>
        <v>CHESTER DOMINGO CONCEPCION</v>
      </c>
      <c r="I790" s="1">
        <f>IFERROR(__xludf.DUMMYFUNCTION("""COMPUTED_VALUE"""),9452062577)</f>
        <v>9452062577</v>
      </c>
      <c r="J790" s="1"/>
      <c r="K790" s="1" t="str">
        <f>IFERROR(__xludf.DUMMYFUNCTION("""COMPUTED_VALUE"""),"CHESTERDINGCONCEPTION@YAHOO.COM")</f>
        <v>CHESTERDINGCONCEPTION@YAHOO.COM</v>
      </c>
      <c r="L790" s="1" t="str">
        <f>IFERROR(__xludf.DUMMYFUNCTION("""COMPUTED_VALUE"""),"976")</f>
        <v>976</v>
      </c>
      <c r="M790" s="1" t="str">
        <f>IFERROR(__xludf.DUMMYFUNCTION("""COMPUTED_VALUE"""),"BURGOS")</f>
        <v>BURGOS</v>
      </c>
      <c r="N790" s="1"/>
      <c r="O790" s="1"/>
      <c r="P790" s="1"/>
      <c r="Q790" s="1" t="str">
        <f>IFERROR(__xludf.DUMMYFUNCTION("""COMPUTED_VALUE"""),"BARANGAY 61 (TALONG)")</f>
        <v>BARANGAY 61 (TALONG)</v>
      </c>
      <c r="R790" s="1" t="str">
        <f>IFERROR(__xludf.DUMMYFUNCTION("""COMPUTED_VALUE"""),"CAVITE CITY")</f>
        <v>CAVITE CITY</v>
      </c>
      <c r="S790" s="1" t="str">
        <f>IFERROR(__xludf.DUMMYFUNCTION("""COMPUTED_VALUE"""),"CAVITE")</f>
        <v>CAVITE</v>
      </c>
      <c r="T790" s="1" t="str">
        <f>IFERROR(__xludf.DUMMYFUNCTION("""COMPUTED_VALUE"""),"FIBR UNLI ALL PLAN 1399")</f>
        <v>FIBR UNLI ALL PLAN 1399</v>
      </c>
      <c r="U790" s="1" t="str">
        <f>IFERROR(__xludf.DUMMYFUNCTION("""COMPUTED_VALUE"""),"APPROVED")</f>
        <v>APPROVED</v>
      </c>
      <c r="V790" s="1"/>
      <c r="W790" s="1"/>
    </row>
    <row r="791" customHeight="1" spans="1:23">
      <c r="A791" s="3">
        <f>IFERROR(__xludf.DUMMYFUNCTION("""COMPUTED_VALUE"""),46094)</f>
        <v>46094</v>
      </c>
      <c r="B791" s="1" t="str">
        <f>IFERROR(__xludf.DUMMYFUNCTION("""COMPUTED_VALUE"""),"ALINGARO, CINDY")</f>
        <v>ALINGARO, CINDY</v>
      </c>
      <c r="C791" s="1" t="str">
        <f>IFERROR(__xludf.DUMMYFUNCTION("""COMPUTED_VALUE"""),"FLA")</f>
        <v>FLA</v>
      </c>
      <c r="D791" s="1" t="str">
        <f>IFERROR(__xludf.DUMMYFUNCTION("""COMPUTED_VALUE"""),"JERIC NAVARRO")</f>
        <v>JERIC NAVARRO</v>
      </c>
      <c r="E791" s="1" t="str">
        <f>IFERROR(__xludf.DUMMYFUNCTION("""COMPUTED_VALUE"""),"PLDT")</f>
        <v>PLDT</v>
      </c>
      <c r="F791" s="1">
        <f>IFERROR(__xludf.DUMMYFUNCTION("""COMPUTED_VALUE"""),2307631766)</f>
        <v>2307631766</v>
      </c>
      <c r="G791" s="1"/>
      <c r="H791" s="1" t="str">
        <f>IFERROR(__xludf.DUMMYFUNCTION("""COMPUTED_VALUE"""),"JAY MARK CONDRILLION PIMENTEL")</f>
        <v>JAY MARK CONDRILLION PIMENTEL</v>
      </c>
      <c r="I791" s="1">
        <f>IFERROR(__xludf.DUMMYFUNCTION("""COMPUTED_VALUE"""),9364002939)</f>
        <v>9364002939</v>
      </c>
      <c r="J791" s="1">
        <f>IFERROR(__xludf.DUMMYFUNCTION("""COMPUTED_VALUE"""),9094342171)</f>
        <v>9094342171</v>
      </c>
      <c r="K791" s="1" t="str">
        <f>IFERROR(__xludf.DUMMYFUNCTION("""COMPUTED_VALUE"""),"PIMENTELJAYMARK586@GMAIL.COM")</f>
        <v>PIMENTELJAYMARK586@GMAIL.COM</v>
      </c>
      <c r="L791" s="1" t="str">
        <f>IFERROR(__xludf.DUMMYFUNCTION("""COMPUTED_VALUE"""),"2705")</f>
        <v>2705</v>
      </c>
      <c r="M791" s="1" t="str">
        <f>IFERROR(__xludf.DUMMYFUNCTION("""COMPUTED_VALUE"""),"C M REYES")</f>
        <v>C M REYES</v>
      </c>
      <c r="N791" s="1"/>
      <c r="O791" s="1"/>
      <c r="P791" s="1"/>
      <c r="Q791" s="1" t="str">
        <f>IFERROR(__xludf.DUMMYFUNCTION("""COMPUTED_VALUE"""),"BANAYBANAY")</f>
        <v>BANAYBANAY</v>
      </c>
      <c r="R791" s="1" t="str">
        <f>IFERROR(__xludf.DUMMYFUNCTION("""COMPUTED_VALUE"""),"AMADEO")</f>
        <v>AMADEO</v>
      </c>
      <c r="S791" s="1" t="str">
        <f>IFERROR(__xludf.DUMMYFUNCTION("""COMPUTED_VALUE"""),"CAVITE")</f>
        <v>CAVITE</v>
      </c>
      <c r="T791" s="1" t="str">
        <f>IFERROR(__xludf.DUMMYFUNCTION("""COMPUTED_VALUE"""),"FIBR NETFLIX PLAN 1599")</f>
        <v>FIBR NETFLIX PLAN 1599</v>
      </c>
      <c r="U791" s="1" t="str">
        <f>IFERROR(__xludf.DUMMYFUNCTION("""COMPUTED_VALUE"""),"APPROVED")</f>
        <v>APPROVED</v>
      </c>
      <c r="V791" s="1"/>
      <c r="W791" s="1"/>
    </row>
    <row r="792" customHeight="1" spans="1:23">
      <c r="A792" s="3">
        <f>IFERROR(__xludf.DUMMYFUNCTION("""COMPUTED_VALUE"""),46094)</f>
        <v>46094</v>
      </c>
      <c r="B792" s="1" t="str">
        <f>IFERROR(__xludf.DUMMYFUNCTION("""COMPUTED_VALUE"""),"DE VERA, MARIVIC")</f>
        <v>DE VERA, MARIVIC</v>
      </c>
      <c r="C792" s="1" t="str">
        <f>IFERROR(__xludf.DUMMYFUNCTION("""COMPUTED_VALUE"""),"ORGANIC")</f>
        <v>ORGANIC</v>
      </c>
      <c r="D792" s="1" t="str">
        <f>IFERROR(__xludf.DUMMYFUNCTION("""COMPUTED_VALUE"""),"ALINGARO, CINDY")</f>
        <v>ALINGARO, CINDY</v>
      </c>
      <c r="E792" s="1" t="str">
        <f>IFERROR(__xludf.DUMMYFUNCTION("""COMPUTED_VALUE"""),"PLDT")</f>
        <v>PLDT</v>
      </c>
      <c r="F792" s="1">
        <f>IFERROR(__xludf.DUMMYFUNCTION("""COMPUTED_VALUE"""),2308230176)</f>
        <v>2308230176</v>
      </c>
      <c r="G792" s="1"/>
      <c r="H792" s="1" t="str">
        <f>IFERROR(__xludf.DUMMYFUNCTION("""COMPUTED_VALUE"""),"LUZ URBANO CARMEN")</f>
        <v>LUZ URBANO CARMEN</v>
      </c>
      <c r="I792" s="1">
        <f>IFERROR(__xludf.DUMMYFUNCTION("""COMPUTED_VALUE"""),9925774439)</f>
        <v>9925774439</v>
      </c>
      <c r="J792" s="1"/>
      <c r="K792" s="1" t="str">
        <f>IFERROR(__xludf.DUMMYFUNCTION("""COMPUTED_VALUE"""),"KARENKERZIAN@GMAIL.COM")</f>
        <v>KARENKERZIAN@GMAIL.COM</v>
      </c>
      <c r="L792" s="1" t="str">
        <f>IFERROR(__xludf.DUMMYFUNCTION("""COMPUTED_VALUE"""),"189")</f>
        <v>189</v>
      </c>
      <c r="M792" s="1" t="str">
        <f>IFERROR(__xludf.DUMMYFUNCTION("""COMPUTED_VALUE"""),"PUROK 144")</f>
        <v>PUROK 144</v>
      </c>
      <c r="N792" s="1"/>
      <c r="O792" s="1" t="str">
        <f>IFERROR(__xludf.DUMMYFUNCTION("""COMPUTED_VALUE"""),"MDZLP98NP2/3")</f>
        <v>MDZLP98NP2/3</v>
      </c>
      <c r="P792" s="1" t="str">
        <f>IFERROR(__xludf.DUMMYFUNCTION("""COMPUTED_VALUE"""),"14.116124 120.914499")</f>
        <v>14.116124 120.914499</v>
      </c>
      <c r="Q792" s="1" t="str">
        <f>IFERROR(__xludf.DUMMYFUNCTION("""COMPUTED_VALUE"""),"PATUTONG MALAKI NORTH")</f>
        <v>PATUTONG MALAKI NORTH</v>
      </c>
      <c r="R792" s="1" t="str">
        <f>IFERROR(__xludf.DUMMYFUNCTION("""COMPUTED_VALUE"""),"TAGAYTAY")</f>
        <v>TAGAYTAY</v>
      </c>
      <c r="S792" s="1" t="str">
        <f>IFERROR(__xludf.DUMMYFUNCTION("""COMPUTED_VALUE"""),"CAVITE")</f>
        <v>CAVITE</v>
      </c>
      <c r="T792" s="1" t="str">
        <f>IFERROR(__xludf.DUMMYFUNCTION("""COMPUTED_VALUE"""),"FIBR UNLI ALL PLAN 1399")</f>
        <v>FIBR UNLI ALL PLAN 1399</v>
      </c>
      <c r="U792" s="1" t="str">
        <f>IFERROR(__xludf.DUMMYFUNCTION("""COMPUTED_VALUE"""),"APPROVED")</f>
        <v>APPROVED</v>
      </c>
      <c r="V792" s="1"/>
      <c r="W792" s="1"/>
    </row>
    <row r="793" customHeight="1" spans="1:23">
      <c r="A793" s="3">
        <f>IFERROR(__xludf.DUMMYFUNCTION("""COMPUTED_VALUE"""),46094)</f>
        <v>46094</v>
      </c>
      <c r="B793" s="1" t="str">
        <f>IFERROR(__xludf.DUMMYFUNCTION("""COMPUTED_VALUE"""),"MAGDARAOG, KENNETH")</f>
        <v>MAGDARAOG, KENNETH</v>
      </c>
      <c r="C793" s="1" t="str">
        <f>IFERROR(__xludf.DUMMYFUNCTION("""COMPUTED_VALUE"""),"ORGANIC")</f>
        <v>ORGANIC</v>
      </c>
      <c r="D793" s="1" t="str">
        <f>IFERROR(__xludf.DUMMYFUNCTION("""COMPUTED_VALUE"""),"ALINGARO, CINDY")</f>
        <v>ALINGARO, CINDY</v>
      </c>
      <c r="E793" s="1" t="str">
        <f>IFERROR(__xludf.DUMMYFUNCTION("""COMPUTED_VALUE"""),"PLDT")</f>
        <v>PLDT</v>
      </c>
      <c r="F793" s="1">
        <f>IFERROR(__xludf.DUMMYFUNCTION("""COMPUTED_VALUE"""),2308230127)</f>
        <v>2308230127</v>
      </c>
      <c r="G793" s="1"/>
      <c r="H793" s="1" t="str">
        <f>IFERROR(__xludf.DUMMYFUNCTION("""COMPUTED_VALUE"""),"ROSA ALBUERTA TALITE")</f>
        <v>ROSA ALBUERTA TALITE</v>
      </c>
      <c r="I793" s="1">
        <f>IFERROR(__xludf.DUMMYFUNCTION("""COMPUTED_VALUE"""),9552310545)</f>
        <v>9552310545</v>
      </c>
      <c r="J793" s="1"/>
      <c r="K793" s="1" t="str">
        <f>IFERROR(__xludf.DUMMYFUNCTION("""COMPUTED_VALUE"""),"ROSATALITE008@GMAIL.COM")</f>
        <v>ROSATALITE008@GMAIL.COM</v>
      </c>
      <c r="L793" s="1" t="str">
        <f>IFERROR(__xludf.DUMMYFUNCTION("""COMPUTED_VALUE"""),"BLK 16 LOT 18")</f>
        <v>BLK 16 LOT 18</v>
      </c>
      <c r="M793" s="1" t="str">
        <f>IFERROR(__xludf.DUMMYFUNCTION("""COMPUTED_VALUE"""),"PANUNGYAN RD")</f>
        <v>PANUNGYAN RD</v>
      </c>
      <c r="N793" s="1" t="str">
        <f>IFERROR(__xludf.DUMMYFUNCTION("""COMPUTED_VALUE"""),"LITA BAY")</f>
        <v>LITA BAY</v>
      </c>
      <c r="O793" s="1" t="str">
        <f>IFERROR(__xludf.DUMMYFUNCTION("""COMPUTED_VALUE"""),"MDZLP83NP4 MDZLP83NP3")</f>
        <v>MDZLP83NP4 MDZLP83NP3</v>
      </c>
      <c r="P793" s="1" t="str">
        <f>IFERROR(__xludf.DUMMYFUNCTION("""COMPUTED_VALUE"""),"14.122283 120.899534")</f>
        <v>14.122283 120.899534</v>
      </c>
      <c r="Q793" s="1" t="str">
        <f>IFERROR(__xludf.DUMMYFUNCTION("""COMPUTED_VALUE"""),"PANUNGYAN I")</f>
        <v>PANUNGYAN I</v>
      </c>
      <c r="R793" s="1" t="str">
        <f>IFERROR(__xludf.DUMMYFUNCTION("""COMPUTED_VALUE"""),"MENDEZ")</f>
        <v>MENDEZ</v>
      </c>
      <c r="S793" s="1" t="str">
        <f>IFERROR(__xludf.DUMMYFUNCTION("""COMPUTED_VALUE"""),"CAVITE")</f>
        <v>CAVITE</v>
      </c>
      <c r="T793" s="1" t="str">
        <f>IFERROR(__xludf.DUMMYFUNCTION("""COMPUTED_VALUE"""),"PREPAID FIBER UNLI")</f>
        <v>PREPAID FIBER UNLI</v>
      </c>
      <c r="U793" s="1" t="str">
        <f>IFERROR(__xludf.DUMMYFUNCTION("""COMPUTED_VALUE"""),"APPROVED")</f>
        <v>APPROVED</v>
      </c>
      <c r="V793" s="1"/>
      <c r="W793" s="1"/>
    </row>
    <row r="794" customHeight="1" spans="1:23">
      <c r="A794" s="3">
        <f>IFERROR(__xludf.DUMMYFUNCTION("""COMPUTED_VALUE"""),46094)</f>
        <v>46094</v>
      </c>
      <c r="B794" s="1" t="str">
        <f>IFERROR(__xludf.DUMMYFUNCTION("""COMPUTED_VALUE"""),"DE VERA, MARIVIC")</f>
        <v>DE VERA, MARIVIC</v>
      </c>
      <c r="C794" s="1" t="str">
        <f>IFERROR(__xludf.DUMMYFUNCTION("""COMPUTED_VALUE"""),"ORGANIC")</f>
        <v>ORGANIC</v>
      </c>
      <c r="D794" s="1" t="str">
        <f>IFERROR(__xludf.DUMMYFUNCTION("""COMPUTED_VALUE"""),"ALINGARO, CINDY")</f>
        <v>ALINGARO, CINDY</v>
      </c>
      <c r="E794" s="1" t="str">
        <f>IFERROR(__xludf.DUMMYFUNCTION("""COMPUTED_VALUE"""),"PLDT")</f>
        <v>PLDT</v>
      </c>
      <c r="F794" s="1">
        <f>IFERROR(__xludf.DUMMYFUNCTION("""COMPUTED_VALUE"""),2308230724)</f>
        <v>2308230724</v>
      </c>
      <c r="G794" s="1"/>
      <c r="H794" s="1" t="str">
        <f>IFERROR(__xludf.DUMMYFUNCTION("""COMPUTED_VALUE"""),"JUDY ANNE BOBTIOC FULLANTES")</f>
        <v>JUDY ANNE BOBTIOC FULLANTES</v>
      </c>
      <c r="I794" s="1">
        <f>IFERROR(__xludf.DUMMYFUNCTION("""COMPUTED_VALUE"""),9622099832)</f>
        <v>9622099832</v>
      </c>
      <c r="J794" s="1"/>
      <c r="K794" s="1" t="str">
        <f>IFERROR(__xludf.DUMMYFUNCTION("""COMPUTED_VALUE"""),"JUDYANNEAKUNA@GMMAIL.COM")</f>
        <v>JUDYANNEAKUNA@GMMAIL.COM</v>
      </c>
      <c r="L794" s="1" t="str">
        <f>IFERROR(__xludf.DUMMYFUNCTION("""COMPUTED_VALUE"""),"36 B")</f>
        <v>36 B</v>
      </c>
      <c r="M794" s="1" t="str">
        <f>IFERROR(__xludf.DUMMYFUNCTION("""COMPUTED_VALUE"""),"PUROK 205")</f>
        <v>PUROK 205</v>
      </c>
      <c r="N794" s="1" t="str">
        <f>IFERROR(__xludf.DUMMYFUNCTION("""COMPUTED_VALUE"""),"CASA TOMAS")</f>
        <v>CASA TOMAS</v>
      </c>
      <c r="O794" s="1" t="str">
        <f>IFERROR(__xludf.DUMMYFUNCTION("""COMPUTED_VALUE"""),"TGTLP72NP1 TGTLP71NP5")</f>
        <v>TGTLP72NP1 TGTLP71NP5</v>
      </c>
      <c r="P794" s="1" t="str">
        <f>IFERROR(__xludf.DUMMYFUNCTION("""COMPUTED_VALUE"""),"14.139033 120.977904")</f>
        <v>14.139033 120.977904</v>
      </c>
      <c r="Q794" s="1" t="str">
        <f>IFERROR(__xludf.DUMMYFUNCTION("""COMPUTED_VALUE"""),"TOLENTINO EAST")</f>
        <v>TOLENTINO EAST</v>
      </c>
      <c r="R794" s="1" t="str">
        <f>IFERROR(__xludf.DUMMYFUNCTION("""COMPUTED_VALUE"""),"TAGAYTAY")</f>
        <v>TAGAYTAY</v>
      </c>
      <c r="S794" s="1" t="str">
        <f>IFERROR(__xludf.DUMMYFUNCTION("""COMPUTED_VALUE"""),"CAVITE")</f>
        <v>CAVITE</v>
      </c>
      <c r="T794" s="1" t="str">
        <f>IFERROR(__xludf.DUMMYFUNCTION("""COMPUTED_VALUE"""),"FIBR UNLI ALL PLAN 1399")</f>
        <v>FIBR UNLI ALL PLAN 1399</v>
      </c>
      <c r="U794" s="1" t="str">
        <f>IFERROR(__xludf.DUMMYFUNCTION("""COMPUTED_VALUE"""),"APPROVED")</f>
        <v>APPROVED</v>
      </c>
      <c r="V794" s="1"/>
      <c r="W794" s="1"/>
    </row>
    <row r="795" customHeight="1" spans="1:23">
      <c r="A795" s="3">
        <f>IFERROR(__xludf.DUMMYFUNCTION("""COMPUTED_VALUE"""),46094)</f>
        <v>46094</v>
      </c>
      <c r="B795" s="1" t="str">
        <f>IFERROR(__xludf.DUMMYFUNCTION("""COMPUTED_VALUE"""),"NAEOSA, JULLIE")</f>
        <v>NAEOSA, JULLIE</v>
      </c>
      <c r="C795" s="1" t="str">
        <f>IFERROR(__xludf.DUMMYFUNCTION("""COMPUTED_VALUE"""),"ORGANIC")</f>
        <v>ORGANIC</v>
      </c>
      <c r="D795" s="1" t="str">
        <f>IFERROR(__xludf.DUMMYFUNCTION("""COMPUTED_VALUE"""),"ALINGARO, CINDY")</f>
        <v>ALINGARO, CINDY</v>
      </c>
      <c r="E795" s="1" t="str">
        <f>IFERROR(__xludf.DUMMYFUNCTION("""COMPUTED_VALUE"""),"PLDT")</f>
        <v>PLDT</v>
      </c>
      <c r="F795" s="1"/>
      <c r="G795" s="1"/>
      <c r="H795" s="1" t="str">
        <f>IFERROR(__xludf.DUMMYFUNCTION("""COMPUTED_VALUE"""),"EDUARDO VIADO DELGADO JR")</f>
        <v>EDUARDO VIADO DELGADO JR</v>
      </c>
      <c r="I795" s="1">
        <f>IFERROR(__xludf.DUMMYFUNCTION("""COMPUTED_VALUE"""),9852969498)</f>
        <v>9852969498</v>
      </c>
      <c r="J795" s="1"/>
      <c r="K795" s="1" t="str">
        <f>IFERROR(__xludf.DUMMYFUNCTION("""COMPUTED_VALUE"""),"NELODELGAD82@GMAIL.COM")</f>
        <v>NELODELGAD82@GMAIL.COM</v>
      </c>
      <c r="L795" s="1" t="str">
        <f>IFERROR(__xludf.DUMMYFUNCTION("""COMPUTED_VALUE"""),"BLK 14 LOT 14")</f>
        <v>BLK 14 LOT 14</v>
      </c>
      <c r="M795" s="1" t="str">
        <f>IFERROR(__xludf.DUMMYFUNCTION("""COMPUTED_VALUE"""),"BUKLURAN")</f>
        <v>BUKLURAN</v>
      </c>
      <c r="N795" s="1"/>
      <c r="O795" s="1" t="str">
        <f>IFERROR(__xludf.DUMMYFUNCTION("""COMPUTED_VALUE"""),"SILLP520NP5 SILLP520NP2")</f>
        <v>SILLP520NP5 SILLP520NP2</v>
      </c>
      <c r="P795" s="1" t="str">
        <f>IFERROR(__xludf.DUMMYFUNCTION("""COMPUTED_VALUE"""),"14.2788896 120.995466")</f>
        <v>14.2788896 120.995466</v>
      </c>
      <c r="Q795" s="1" t="str">
        <f>IFERROR(__xludf.DUMMYFUNCTION("""COMPUTED_VALUE"""),"BULIHAN")</f>
        <v>BULIHAN</v>
      </c>
      <c r="R795" s="1" t="str">
        <f>IFERROR(__xludf.DUMMYFUNCTION("""COMPUTED_VALUE"""),"SILANG")</f>
        <v>SILANG</v>
      </c>
      <c r="S795" s="1" t="str">
        <f>IFERROR(__xludf.DUMMYFUNCTION("""COMPUTED_VALUE"""),"CAVITE")</f>
        <v>CAVITE</v>
      </c>
      <c r="T795" s="1" t="str">
        <f>IFERROR(__xludf.DUMMYFUNCTION("""COMPUTED_VALUE"""),"PREPAID FIBER UNLI")</f>
        <v>PREPAID FIBER UNLI</v>
      </c>
      <c r="U795" s="1" t="str">
        <f>IFERROR(__xludf.DUMMYFUNCTION("""COMPUTED_VALUE"""),"CANCELLED ")</f>
        <v>CANCELLED </v>
      </c>
      <c r="V795" s="1" t="str">
        <f>IFERROR(__xludf.DUMMYFUNCTION("""COMPUTED_VALUE"""),"UNAATENDED callout 9:12am march 14")</f>
        <v>UNAATENDED callout 9:12am march 14</v>
      </c>
      <c r="W795" s="1"/>
    </row>
    <row r="796" customHeight="1" spans="1:23">
      <c r="A796" s="3">
        <f>IFERROR(__xludf.DUMMYFUNCTION("""COMPUTED_VALUE"""),46094)</f>
        <v>46094</v>
      </c>
      <c r="B796" s="1" t="str">
        <f>IFERROR(__xludf.DUMMYFUNCTION("""COMPUTED_VALUE"""),"FLORIDA, JESSICA")</f>
        <v>FLORIDA, JESSICA</v>
      </c>
      <c r="C796" s="1" t="str">
        <f>IFERROR(__xludf.DUMMYFUNCTION("""COMPUTED_VALUE"""),"ORGANIC")</f>
        <v>ORGANIC</v>
      </c>
      <c r="D796" s="1" t="str">
        <f>IFERROR(__xludf.DUMMYFUNCTION("""COMPUTED_VALUE"""),"ALINGARO, CINDY")</f>
        <v>ALINGARO, CINDY</v>
      </c>
      <c r="E796" s="1" t="str">
        <f>IFERROR(__xludf.DUMMYFUNCTION("""COMPUTED_VALUE"""),"PLDT")</f>
        <v>PLDT</v>
      </c>
      <c r="F796" s="1"/>
      <c r="G796" s="1"/>
      <c r="H796" s="1" t="str">
        <f>IFERROR(__xludf.DUMMYFUNCTION("""COMPUTED_VALUE"""),"ROMEO PAUIG GUZMAN")</f>
        <v>ROMEO PAUIG GUZMAN</v>
      </c>
      <c r="I796" s="1">
        <f>IFERROR(__xludf.DUMMYFUNCTION("""COMPUTED_VALUE"""),9452070133)</f>
        <v>9452070133</v>
      </c>
      <c r="J796" s="1"/>
      <c r="K796" s="1" t="str">
        <f>IFERROR(__xludf.DUMMYFUNCTION("""COMPUTED_VALUE"""),"MASTERGUZMAN2024@GMAIL.COM")</f>
        <v>MASTERGUZMAN2024@GMAIL.COM</v>
      </c>
      <c r="L796" s="1" t="str">
        <f>IFERROR(__xludf.DUMMYFUNCTION("""COMPUTED_VALUE"""),"BLK 14 LOT 11")</f>
        <v>BLK 14 LOT 11</v>
      </c>
      <c r="M796" s="1" t="str">
        <f>IFERROR(__xludf.DUMMYFUNCTION("""COMPUTED_VALUE"""),"BUKLURAN 4")</f>
        <v>BUKLURAN 4</v>
      </c>
      <c r="N796" s="1"/>
      <c r="O796" s="1" t="str">
        <f>IFERROR(__xludf.DUMMYFUNCTION("""COMPUTED_VALUE"""),"SILLP520NP5 SILLP520NP2")</f>
        <v>SILLP520NP5 SILLP520NP2</v>
      </c>
      <c r="P796" s="1" t="str">
        <f>IFERROR(__xludf.DUMMYFUNCTION("""COMPUTED_VALUE"""),"14.2788896 120.995466")</f>
        <v>14.2788896 120.995466</v>
      </c>
      <c r="Q796" s="1" t="str">
        <f>IFERROR(__xludf.DUMMYFUNCTION("""COMPUTED_VALUE"""),"BULIHAN")</f>
        <v>BULIHAN</v>
      </c>
      <c r="R796" s="1" t="str">
        <f>IFERROR(__xludf.DUMMYFUNCTION("""COMPUTED_VALUE"""),"SILANG")</f>
        <v>SILANG</v>
      </c>
      <c r="S796" s="1" t="str">
        <f>IFERROR(__xludf.DUMMYFUNCTION("""COMPUTED_VALUE"""),"CAVITE")</f>
        <v>CAVITE</v>
      </c>
      <c r="T796" s="1" t="str">
        <f>IFERROR(__xludf.DUMMYFUNCTION("""COMPUTED_VALUE"""),"PREPAID FIBER UNLI")</f>
        <v>PREPAID FIBER UNLI</v>
      </c>
      <c r="U796" s="1" t="str">
        <f>IFERROR(__xludf.DUMMYFUNCTION("""COMPUTED_VALUE"""),"CANCELLED ")</f>
        <v>CANCELLED </v>
      </c>
      <c r="V796" s="1" t="str">
        <f>IFERROR(__xludf.DUMMYFUNCTION("""COMPUTED_VALUE"""),"SUBS CANCEL AYAW NA DAW NILA ")</f>
        <v>SUBS CANCEL AYAW NA DAW NILA </v>
      </c>
      <c r="W796" s="1"/>
    </row>
    <row r="797" customHeight="1" spans="1:23">
      <c r="A797" s="3">
        <f>IFERROR(__xludf.DUMMYFUNCTION("""COMPUTED_VALUE"""),46094)</f>
        <v>46094</v>
      </c>
      <c r="B797" s="1" t="str">
        <f>IFERROR(__xludf.DUMMYFUNCTION("""COMPUTED_VALUE"""),"MAGDARAOG, KENNETH")</f>
        <v>MAGDARAOG, KENNETH</v>
      </c>
      <c r="C797" s="1" t="str">
        <f>IFERROR(__xludf.DUMMYFUNCTION("""COMPUTED_VALUE"""),"ORGANIC")</f>
        <v>ORGANIC</v>
      </c>
      <c r="D797" s="1" t="str">
        <f>IFERROR(__xludf.DUMMYFUNCTION("""COMPUTED_VALUE"""),"ALINGARO, CINDY")</f>
        <v>ALINGARO, CINDY</v>
      </c>
      <c r="E797" s="1" t="str">
        <f>IFERROR(__xludf.DUMMYFUNCTION("""COMPUTED_VALUE"""),"PLDT")</f>
        <v>PLDT</v>
      </c>
      <c r="F797" s="1"/>
      <c r="G797" s="1"/>
      <c r="H797" s="1" t="str">
        <f>IFERROR(__xludf.DUMMYFUNCTION("""COMPUTED_VALUE"""),"RICHMOND PEDERNAL ANGELES")</f>
        <v>RICHMOND PEDERNAL ANGELES</v>
      </c>
      <c r="I797" s="1">
        <f>IFERROR(__xludf.DUMMYFUNCTION("""COMPUTED_VALUE"""),9854809145)</f>
        <v>9854809145</v>
      </c>
      <c r="J797" s="1">
        <f>IFERROR(__xludf.DUMMYFUNCTION("""COMPUTED_VALUE"""),985480915)</f>
        <v>985480915</v>
      </c>
      <c r="K797" s="1" t="str">
        <f>IFERROR(__xludf.DUMMYFUNCTION("""COMPUTED_VALUE"""),"RICHMONDANGELES1@GMAIL.COM")</f>
        <v>RICHMONDANGELES1@GMAIL.COM</v>
      </c>
      <c r="L797" s="1" t="str">
        <f>IFERROR(__xludf.DUMMYFUNCTION("""COMPUTED_VALUE"""),"BLK 13 LOT 6")</f>
        <v>BLK 13 LOT 6</v>
      </c>
      <c r="M797" s="1" t="str">
        <f>IFERROR(__xludf.DUMMYFUNCTION("""COMPUTED_VALUE"""),"NARRA 2")</f>
        <v>NARRA 2</v>
      </c>
      <c r="N797" s="1"/>
      <c r="O797" s="1" t="str">
        <f>IFERROR(__xludf.DUMMYFUNCTION("""COMPUTED_VALUE"""),"SILLP646NP4 SILLP646NP3")</f>
        <v>SILLP646NP4 SILLP646NP3</v>
      </c>
      <c r="P797" s="1" t="str">
        <f>IFERROR(__xludf.DUMMYFUNCTION("""COMPUTED_VALUE"""),"14.27559 120.994003")</f>
        <v>14.27559 120.994003</v>
      </c>
      <c r="Q797" s="1" t="str">
        <f>IFERROR(__xludf.DUMMYFUNCTION("""COMPUTED_VALUE"""),"NARRA II")</f>
        <v>NARRA II</v>
      </c>
      <c r="R797" s="1" t="str">
        <f>IFERROR(__xludf.DUMMYFUNCTION("""COMPUTED_VALUE"""),"SILANG")</f>
        <v>SILANG</v>
      </c>
      <c r="S797" s="1" t="str">
        <f>IFERROR(__xludf.DUMMYFUNCTION("""COMPUTED_VALUE"""),"CAVITE")</f>
        <v>CAVITE</v>
      </c>
      <c r="T797" s="1" t="str">
        <f>IFERROR(__xludf.DUMMYFUNCTION("""COMPUTED_VALUE"""),"FIBR PLAN 1299")</f>
        <v>FIBR PLAN 1299</v>
      </c>
      <c r="U797" s="1" t="str">
        <f>IFERROR(__xludf.DUMMYFUNCTION("""COMPUTED_VALUE"""),"CANCELLED ")</f>
        <v>CANCELLED </v>
      </c>
      <c r="V797" s="1" t="str">
        <f>IFERROR(__xludf.DUMMYFUNCTION("""COMPUTED_VALUE"""),"as per subs mag inform nalang sya if willing mag advance jowa nya/ BUSY LINE CALLOUT MARCH 14")</f>
        <v>as per subs mag inform nalang sya if willing mag advance jowa nya/ BUSY LINE CALLOUT MARCH 14</v>
      </c>
      <c r="W797" s="1"/>
    </row>
    <row r="798" customHeight="1" spans="1:23">
      <c r="A798" s="3">
        <f>IFERROR(__xludf.DUMMYFUNCTION("""COMPUTED_VALUE"""),46094)</f>
        <v>46094</v>
      </c>
      <c r="B798" s="1" t="str">
        <f>IFERROR(__xludf.DUMMYFUNCTION("""COMPUTED_VALUE"""),"CABRERA JILLIENE")</f>
        <v>CABRERA JILLIENE</v>
      </c>
      <c r="C798" s="1" t="str">
        <f>IFERROR(__xludf.DUMMYFUNCTION("""COMPUTED_VALUE"""),"ORGANIC")</f>
        <v>ORGANIC</v>
      </c>
      <c r="D798" s="1" t="str">
        <f>IFERROR(__xludf.DUMMYFUNCTION("""COMPUTED_VALUE"""),"ALOS, CHARLS")</f>
        <v>ALOS, CHARLS</v>
      </c>
      <c r="E798" s="1" t="str">
        <f>IFERROR(__xludf.DUMMYFUNCTION("""COMPUTED_VALUE"""),"PLDT")</f>
        <v>PLDT</v>
      </c>
      <c r="F798" s="1"/>
      <c r="G798" s="1"/>
      <c r="H798" s="1" t="str">
        <f>IFERROR(__xludf.DUMMYFUNCTION("""COMPUTED_VALUE"""),"HILARIO DE DIOS ENDRIGA")</f>
        <v>HILARIO DE DIOS ENDRIGA</v>
      </c>
      <c r="I798" s="1">
        <f>IFERROR(__xludf.DUMMYFUNCTION("""COMPUTED_VALUE"""),9977730426)</f>
        <v>9977730426</v>
      </c>
      <c r="J798" s="1"/>
      <c r="K798" s="1" t="str">
        <f>IFERROR(__xludf.DUMMYFUNCTION("""COMPUTED_VALUE"""),"HILARIOEDRIGO511@GMAIL.COM")</f>
        <v>HILARIOEDRIGO511@GMAIL.COM</v>
      </c>
      <c r="L798" s="1" t="str">
        <f>IFERROR(__xludf.DUMMYFUNCTION("""COMPUTED_VALUE"""),"477")</f>
        <v>477</v>
      </c>
      <c r="M798" s="1" t="str">
        <f>IFERROR(__xludf.DUMMYFUNCTION("""COMPUTED_VALUE"""),"PAYAPA")</f>
        <v>PAYAPA</v>
      </c>
      <c r="N798" s="1" t="str">
        <f>IFERROR(__xludf.DUMMYFUNCTION("""COMPUTED_VALUE"""),"SAN MIGUEL MOJICA")</f>
        <v>SAN MIGUEL MOJICA</v>
      </c>
      <c r="O798" s="1" t="str">
        <f>IFERROR(__xludf.DUMMYFUNCTION("""COMPUTED_VALUE"""),"MDZLP92NP4")</f>
        <v>MDZLP92NP4</v>
      </c>
      <c r="P798" s="1" t="str">
        <f>IFERROR(__xludf.DUMMYFUNCTION("""COMPUTED_VALUE"""),"14.117058 120.907331")</f>
        <v>14.117058 120.907331</v>
      </c>
      <c r="Q798" s="1" t="str">
        <f>IFERROR(__xludf.DUMMYFUNCTION("""COMPUTED_VALUE"""),"GALICIA III")</f>
        <v>GALICIA III</v>
      </c>
      <c r="R798" s="1" t="str">
        <f>IFERROR(__xludf.DUMMYFUNCTION("""COMPUTED_VALUE"""),"MENDEZ")</f>
        <v>MENDEZ</v>
      </c>
      <c r="S798" s="1" t="str">
        <f>IFERROR(__xludf.DUMMYFUNCTION("""COMPUTED_VALUE"""),"CAVITE")</f>
        <v>CAVITE</v>
      </c>
      <c r="T798" s="1" t="str">
        <f>IFERROR(__xludf.DUMMYFUNCTION("""COMPUTED_VALUE"""),"FIBR UNLI ALL PLAN 999")</f>
        <v>FIBR UNLI ALL PLAN 999</v>
      </c>
      <c r="U798" s="1" t="str">
        <f>IFERROR(__xludf.DUMMYFUNCTION("""COMPUTED_VALUE"""),"HOLD")</f>
        <v>HOLD</v>
      </c>
      <c r="V798" s="1" t="str">
        <f>IFERROR(__xludf.DUMMYFUNCTION("""COMPUTED_VALUE"""),"AS PER SUBS OAG BALIK PA DAW GALING MANILA IPAPROCESS YUNG APPLICATION, TATAWAG NALANG DAW KAY AGENT callout out 8:30am march 14")</f>
        <v>AS PER SUBS OAG BALIK PA DAW GALING MANILA IPAPROCESS YUNG APPLICATION, TATAWAG NALANG DAW KAY AGENT callout out 8:30am march 14</v>
      </c>
      <c r="W798" s="1"/>
    </row>
    <row r="799" customHeight="1" spans="1:23">
      <c r="A799" s="3">
        <f>IFERROR(__xludf.DUMMYFUNCTION("""COMPUTED_VALUE"""),46095)</f>
        <v>46095</v>
      </c>
      <c r="B799" s="1" t="str">
        <f>IFERROR(__xludf.DUMMYFUNCTION("""COMPUTED_VALUE"""),"CABRERA JILLIENE")</f>
        <v>CABRERA JILLIENE</v>
      </c>
      <c r="C799" s="1" t="str">
        <f>IFERROR(__xludf.DUMMYFUNCTION("""COMPUTED_VALUE"""),"ORGANIC")</f>
        <v>ORGANIC</v>
      </c>
      <c r="D799" s="1" t="str">
        <f>IFERROR(__xludf.DUMMYFUNCTION("""COMPUTED_VALUE"""),"ALOS, CHARLS")</f>
        <v>ALOS, CHARLS</v>
      </c>
      <c r="E799" s="1" t="str">
        <f>IFERROR(__xludf.DUMMYFUNCTION("""COMPUTED_VALUE"""),"PLDT")</f>
        <v>PLDT</v>
      </c>
      <c r="F799" s="1">
        <f>IFERROR(__xludf.DUMMYFUNCTION("""COMPUTED_VALUE"""),2308252685)</f>
        <v>2308252685</v>
      </c>
      <c r="G799" s="1"/>
      <c r="H799" s="1" t="str">
        <f>IFERROR(__xludf.DUMMYFUNCTION("""COMPUTED_VALUE"""),"ERLINA LOSANDE RONOCO")</f>
        <v>ERLINA LOSANDE RONOCO</v>
      </c>
      <c r="I799" s="1">
        <f>IFERROR(__xludf.DUMMYFUNCTION("""COMPUTED_VALUE"""),9683510725)</f>
        <v>9683510725</v>
      </c>
      <c r="J799" s="1"/>
      <c r="K799" s="1" t="str">
        <f>IFERROR(__xludf.DUMMYFUNCTION("""COMPUTED_VALUE"""),"ERLINALOSANDE1973@GMAIL.COM")</f>
        <v>ERLINALOSANDE1973@GMAIL.COM</v>
      </c>
      <c r="L799" s="1" t="str">
        <f>IFERROR(__xludf.DUMMYFUNCTION("""COMPUTED_VALUE"""),"175A")</f>
        <v>175A</v>
      </c>
      <c r="M799" s="1" t="str">
        <f>IFERROR(__xludf.DUMMYFUNCTION("""COMPUTED_VALUE"""),"M DIMAPILIS")</f>
        <v>M DIMAPILIS</v>
      </c>
      <c r="N799" s="1"/>
      <c r="O799" s="1" t="str">
        <f>IFERROR(__xludf.DUMMYFUNCTION("""COMPUTED_VALUE"""),"MDZLP89NP1")</f>
        <v>MDZLP89NP1</v>
      </c>
      <c r="P799" s="1" t="str">
        <f>IFERROR(__xludf.DUMMYFUNCTION("""COMPUTED_VALUE"""),"14.117977 120.894928")</f>
        <v>14.117977 120.894928</v>
      </c>
      <c r="Q799" s="1" t="str">
        <f>IFERROR(__xludf.DUMMYFUNCTION("""COMPUTED_VALUE"""),"ANULING LEJOS II")</f>
        <v>ANULING LEJOS II</v>
      </c>
      <c r="R799" s="1" t="str">
        <f>IFERROR(__xludf.DUMMYFUNCTION("""COMPUTED_VALUE"""),"MENDEZ")</f>
        <v>MENDEZ</v>
      </c>
      <c r="S799" s="1" t="str">
        <f>IFERROR(__xludf.DUMMYFUNCTION("""COMPUTED_VALUE"""),"CAVITE")</f>
        <v>CAVITE</v>
      </c>
      <c r="T799" s="1" t="str">
        <f>IFERROR(__xludf.DUMMYFUNCTION("""COMPUTED_VALUE"""),"FIBR UNLI ALL PLAN 1399")</f>
        <v>FIBR UNLI ALL PLAN 1399</v>
      </c>
      <c r="U799" s="1" t="str">
        <f>IFERROR(__xludf.DUMMYFUNCTION("""COMPUTED_VALUE"""),"APPROVED")</f>
        <v>APPROVED</v>
      </c>
      <c r="V799" s="1"/>
      <c r="W799" s="1"/>
    </row>
    <row r="800" customHeight="1" spans="1:23">
      <c r="A800" s="3">
        <f>IFERROR(__xludf.DUMMYFUNCTION("""COMPUTED_VALUE"""),46095)</f>
        <v>46095</v>
      </c>
      <c r="B800" s="1" t="str">
        <f>IFERROR(__xludf.DUMMYFUNCTION("""COMPUTED_VALUE"""),"NAVARRO, JERIC")</f>
        <v>NAVARRO, JERIC</v>
      </c>
      <c r="C800" s="1" t="str">
        <f>IFERROR(__xludf.DUMMYFUNCTION("""COMPUTED_VALUE"""),"FLA")</f>
        <v>FLA</v>
      </c>
      <c r="D800" s="1" t="str">
        <f>IFERROR(__xludf.DUMMYFUNCTION("""COMPUTED_VALUE"""),"JERIC NAVARRO")</f>
        <v>JERIC NAVARRO</v>
      </c>
      <c r="E800" s="1" t="str">
        <f>IFERROR(__xludf.DUMMYFUNCTION("""COMPUTED_VALUE"""),"PLDT")</f>
        <v>PLDT</v>
      </c>
      <c r="F800" s="1">
        <f>IFERROR(__xludf.DUMMYFUNCTION("""COMPUTED_VALUE"""),2308254039)</f>
        <v>2308254039</v>
      </c>
      <c r="G800" s="1"/>
      <c r="H800" s="1" t="str">
        <f>IFERROR(__xludf.DUMMYFUNCTION("""COMPUTED_VALUE"""),"RONA GENE ORTEGA ARCALA")</f>
        <v>RONA GENE ORTEGA ARCALA</v>
      </c>
      <c r="I800" s="1">
        <f>IFERROR(__xludf.DUMMYFUNCTION("""COMPUTED_VALUE"""),9652773908)</f>
        <v>9652773908</v>
      </c>
      <c r="J800" s="1">
        <f>IFERROR(__xludf.DUMMYFUNCTION("""COMPUTED_VALUE"""),9776886502)</f>
        <v>9776886502</v>
      </c>
      <c r="K800" s="1" t="str">
        <f>IFERROR(__xludf.DUMMYFUNCTION("""COMPUTED_VALUE"""),"RONAGENEARCALA821@GMAIL.COM")</f>
        <v>RONAGENEARCALA821@GMAIL.COM</v>
      </c>
      <c r="L800" s="1" t="str">
        <f>IFERROR(__xludf.DUMMYFUNCTION("""COMPUTED_VALUE"""),"2")</f>
        <v>2</v>
      </c>
      <c r="M800" s="1" t="str">
        <f>IFERROR(__xludf.DUMMYFUNCTION("""COMPUTED_VALUE"""),"SAMPAGUITA ST")</f>
        <v>SAMPAGUITA ST</v>
      </c>
      <c r="N800" s="1"/>
      <c r="O800" s="1" t="str">
        <f>IFERROR(__xludf.DUMMYFUNCTION("""COMPUTED_VALUE"""),"TNZLP406NP3/4/5")</f>
        <v>TNZLP406NP3/4/5</v>
      </c>
      <c r="P800" s="1"/>
      <c r="Q800" s="1" t="str">
        <f>IFERROR(__xludf.DUMMYFUNCTION("""COMPUTED_VALUE"""),"JULUGAN IV")</f>
        <v>JULUGAN IV</v>
      </c>
      <c r="R800" s="1" t="str">
        <f>IFERROR(__xludf.DUMMYFUNCTION("""COMPUTED_VALUE"""),"TANZA")</f>
        <v>TANZA</v>
      </c>
      <c r="S800" s="1" t="str">
        <f>IFERROR(__xludf.DUMMYFUNCTION("""COMPUTED_VALUE"""),"CAVITE")</f>
        <v>CAVITE</v>
      </c>
      <c r="T800" s="1" t="str">
        <f>IFERROR(__xludf.DUMMYFUNCTION("""COMPUTED_VALUE"""),"FIBR UNLI ALL PLAN 1399")</f>
        <v>FIBR UNLI ALL PLAN 1399</v>
      </c>
      <c r="U800" s="1" t="str">
        <f>IFERROR(__xludf.DUMMYFUNCTION("""COMPUTED_VALUE"""),"APPROVED")</f>
        <v>APPROVED</v>
      </c>
      <c r="V800" s="1"/>
      <c r="W800" s="1"/>
    </row>
    <row r="801" customHeight="1" spans="1:23">
      <c r="A801" s="3">
        <f>IFERROR(__xludf.DUMMYFUNCTION("""COMPUTED_VALUE"""),46095)</f>
        <v>46095</v>
      </c>
      <c r="B801" s="1" t="str">
        <f>IFERROR(__xludf.DUMMYFUNCTION("""COMPUTED_VALUE"""),"GABAY, MANUEL")</f>
        <v>GABAY, MANUEL</v>
      </c>
      <c r="C801" s="1" t="str">
        <f>IFERROR(__xludf.DUMMYFUNCTION("""COMPUTED_VALUE"""),"FLA")</f>
        <v>FLA</v>
      </c>
      <c r="D801" s="1" t="str">
        <f>IFERROR(__xludf.DUMMYFUNCTION("""COMPUTED_VALUE"""),"JERIC NAVARRO")</f>
        <v>JERIC NAVARRO</v>
      </c>
      <c r="E801" s="1" t="str">
        <f>IFERROR(__xludf.DUMMYFUNCTION("""COMPUTED_VALUE"""),"PLDT")</f>
        <v>PLDT</v>
      </c>
      <c r="F801" s="1">
        <f>IFERROR(__xludf.DUMMYFUNCTION("""COMPUTED_VALUE"""),2308256172)</f>
        <v>2308256172</v>
      </c>
      <c r="G801" s="1"/>
      <c r="H801" s="1" t="str">
        <f>IFERROR(__xludf.DUMMYFUNCTION("""COMPUTED_VALUE"""),"ROMMEL FERMA ATE")</f>
        <v>ROMMEL FERMA ATE</v>
      </c>
      <c r="I801" s="1">
        <f>IFERROR(__xludf.DUMMYFUNCTION("""COMPUTED_VALUE"""),9367001381)</f>
        <v>9367001381</v>
      </c>
      <c r="J801" s="1">
        <f>IFERROR(__xludf.DUMMYFUNCTION("""COMPUTED_VALUE"""),9777139351)</f>
        <v>9777139351</v>
      </c>
      <c r="K801" s="1" t="str">
        <f>IFERROR(__xludf.DUMMYFUNCTION("""COMPUTED_VALUE"""),"ATEROMMEL2@GMAIL.COM")</f>
        <v>ATEROMMEL2@GMAIL.COM</v>
      </c>
      <c r="L801" s="1" t="str">
        <f>IFERROR(__xludf.DUMMYFUNCTION("""COMPUTED_VALUE"""),"56")</f>
        <v>56</v>
      </c>
      <c r="M801" s="1" t="str">
        <f>IFERROR(__xludf.DUMMYFUNCTION("""COMPUTED_VALUE"""),"MAGLABE DRIVE")</f>
        <v>MAGLABE DRIVE</v>
      </c>
      <c r="N801" s="1"/>
      <c r="O801" s="1" t="str">
        <f>IFERROR(__xludf.DUMMYFUNCTION("""COMPUTED_VALUE"""),"TGTLP352NP1/8 TGTLP351NP1/8")</f>
        <v>TGTLP352NP1/8 TGTLP351NP1/8</v>
      </c>
      <c r="P801" s="1" t="str">
        <f>IFERROR(__xludf.DUMMYFUNCTION("""COMPUTED_VALUE"""),"14.10406 120.903354")</f>
        <v>14.10406 120.903354</v>
      </c>
      <c r="Q801" s="1" t="str">
        <f>IFERROR(__xludf.DUMMYFUNCTION("""COMPUTED_VALUE"""),"GUINHAWA SOUTH")</f>
        <v>GUINHAWA SOUTH</v>
      </c>
      <c r="R801" s="1" t="str">
        <f>IFERROR(__xludf.DUMMYFUNCTION("""COMPUTED_VALUE"""),"TAGAYTAY")</f>
        <v>TAGAYTAY</v>
      </c>
      <c r="S801" s="1" t="str">
        <f>IFERROR(__xludf.DUMMYFUNCTION("""COMPUTED_VALUE"""),"CAVITE")</f>
        <v>CAVITE</v>
      </c>
      <c r="T801" s="1" t="str">
        <f>IFERROR(__xludf.DUMMYFUNCTION("""COMPUTED_VALUE"""),"FIBR NETFLIX PLAN 1599")</f>
        <v>FIBR NETFLIX PLAN 1599</v>
      </c>
      <c r="U801" s="1" t="str">
        <f>IFERROR(__xludf.DUMMYFUNCTION("""COMPUTED_VALUE"""),"APPROVED")</f>
        <v>APPROVED</v>
      </c>
      <c r="V801" s="1"/>
      <c r="W801" s="1"/>
    </row>
    <row r="802" customHeight="1" spans="1:23">
      <c r="A802" s="3">
        <f>IFERROR(__xludf.DUMMYFUNCTION("""COMPUTED_VALUE"""),46095)</f>
        <v>46095</v>
      </c>
      <c r="B802" s="1" t="str">
        <f>IFERROR(__xludf.DUMMYFUNCTION("""COMPUTED_VALUE"""),"DE VERA, MARIVIC")</f>
        <v>DE VERA, MARIVIC</v>
      </c>
      <c r="C802" s="1" t="str">
        <f>IFERROR(__xludf.DUMMYFUNCTION("""COMPUTED_VALUE"""),"ORGANIC")</f>
        <v>ORGANIC</v>
      </c>
      <c r="D802" s="1" t="str">
        <f>IFERROR(__xludf.DUMMYFUNCTION("""COMPUTED_VALUE"""),"ALINGARO, CINDY")</f>
        <v>ALINGARO, CINDY</v>
      </c>
      <c r="E802" s="1" t="str">
        <f>IFERROR(__xludf.DUMMYFUNCTION("""COMPUTED_VALUE"""),"PLDT")</f>
        <v>PLDT</v>
      </c>
      <c r="F802" s="1">
        <f>IFERROR(__xludf.DUMMYFUNCTION("""COMPUTED_VALUE"""),2308256811)</f>
        <v>2308256811</v>
      </c>
      <c r="G802" s="1"/>
      <c r="H802" s="1" t="str">
        <f>IFERROR(__xludf.DUMMYFUNCTION("""COMPUTED_VALUE"""),"LYDIA MAGLABE ROCIDO")</f>
        <v>LYDIA MAGLABE ROCIDO</v>
      </c>
      <c r="I802" s="1">
        <f>IFERROR(__xludf.DUMMYFUNCTION("""COMPUTED_VALUE"""),9159034365)</f>
        <v>9159034365</v>
      </c>
      <c r="J802" s="1"/>
      <c r="K802" s="1" t="str">
        <f>IFERROR(__xludf.DUMMYFUNCTION("""COMPUTED_VALUE"""),"JOSHUAJORDAN.ARAJA@GMAIL.COM")</f>
        <v>JOSHUAJORDAN.ARAJA@GMAIL.COM</v>
      </c>
      <c r="L802" s="1" t="str">
        <f>IFERROR(__xludf.DUMMYFUNCTION("""COMPUTED_VALUE"""),"1")</f>
        <v>1</v>
      </c>
      <c r="M802" s="1" t="str">
        <f>IFERROR(__xludf.DUMMYFUNCTION("""COMPUTED_VALUE"""),"PATRICIA YOLANDA")</f>
        <v>PATRICIA YOLANDA</v>
      </c>
      <c r="N802" s="1"/>
      <c r="O802" s="1" t="str">
        <f>IFERROR(__xludf.DUMMYFUNCTION("""COMPUTED_VALUE"""),"MDZLP68NP3/5")</f>
        <v>MDZLP68NP3/5</v>
      </c>
      <c r="P802" s="1" t="str">
        <f>IFERROR(__xludf.DUMMYFUNCTION("""COMPUTED_VALUE"""),"14.141781 120.900079")</f>
        <v>14.141781 120.900079</v>
      </c>
      <c r="Q802" s="1" t="str">
        <f>IFERROR(__xludf.DUMMYFUNCTION("""COMPUTED_VALUE"""),"ASIS III")</f>
        <v>ASIS III</v>
      </c>
      <c r="R802" s="1" t="str">
        <f>IFERROR(__xludf.DUMMYFUNCTION("""COMPUTED_VALUE"""),"MENDEZ")</f>
        <v>MENDEZ</v>
      </c>
      <c r="S802" s="1" t="str">
        <f>IFERROR(__xludf.DUMMYFUNCTION("""COMPUTED_VALUE"""),"CAVITE")</f>
        <v>CAVITE</v>
      </c>
      <c r="T802" s="1" t="str">
        <f>IFERROR(__xludf.DUMMYFUNCTION("""COMPUTED_VALUE"""),"PREPAID FIBER UNLI")</f>
        <v>PREPAID FIBER UNLI</v>
      </c>
      <c r="U802" s="1" t="str">
        <f>IFERROR(__xludf.DUMMYFUNCTION("""COMPUTED_VALUE"""),"APPROVED")</f>
        <v>APPROVED</v>
      </c>
      <c r="V802" s="1"/>
      <c r="W802" s="1"/>
    </row>
    <row r="803" customHeight="1" spans="1:23">
      <c r="A803" s="3">
        <f>IFERROR(__xludf.DUMMYFUNCTION("""COMPUTED_VALUE"""),46095)</f>
        <v>46095</v>
      </c>
      <c r="B803" s="1" t="str">
        <f>IFERROR(__xludf.DUMMYFUNCTION("""COMPUTED_VALUE"""),"MCNULTY KRYSTEL")</f>
        <v>MCNULTY KRYSTEL</v>
      </c>
      <c r="C803" s="1" t="str">
        <f>IFERROR(__xludf.DUMMYFUNCTION("""COMPUTED_VALUE"""),"ORGANIC")</f>
        <v>ORGANIC</v>
      </c>
      <c r="D803" s="1" t="str">
        <f>IFERROR(__xludf.DUMMYFUNCTION("""COMPUTED_VALUE"""),"ALINGARO, CINDY")</f>
        <v>ALINGARO, CINDY</v>
      </c>
      <c r="E803" s="1" t="str">
        <f>IFERROR(__xludf.DUMMYFUNCTION("""COMPUTED_VALUE"""),"PLDT")</f>
        <v>PLDT</v>
      </c>
      <c r="F803" s="1">
        <f>IFERROR(__xludf.DUMMYFUNCTION("""COMPUTED_VALUE"""),2308257161)</f>
        <v>2308257161</v>
      </c>
      <c r="G803" s="1"/>
      <c r="H803" s="1" t="str">
        <f>IFERROR(__xludf.DUMMYFUNCTION("""COMPUTED_VALUE"""),"RICKY BELLO RIVERA")</f>
        <v>RICKY BELLO RIVERA</v>
      </c>
      <c r="I803" s="1">
        <f>IFERROR(__xludf.DUMMYFUNCTION("""COMPUTED_VALUE"""),9999436209)</f>
        <v>9999436209</v>
      </c>
      <c r="J803" s="1"/>
      <c r="K803" s="1" t="str">
        <f>IFERROR(__xludf.DUMMYFUNCTION("""COMPUTED_VALUE"""),"JANDELLRIVERA8@GMAIL.COM")</f>
        <v>JANDELLRIVERA8@GMAIL.COM</v>
      </c>
      <c r="L803" s="1" t="str">
        <f>IFERROR(__xludf.DUMMYFUNCTION("""COMPUTED_VALUE"""),"23")</f>
        <v>23</v>
      </c>
      <c r="M803" s="1" t="str">
        <f>IFERROR(__xludf.DUMMYFUNCTION("""COMPUTED_VALUE"""),"GATPANDAN ")</f>
        <v>GATPANDAN </v>
      </c>
      <c r="N803" s="1"/>
      <c r="O803" s="1" t="str">
        <f>IFERROR(__xludf.DUMMYFUNCTION("""COMPUTED_VALUE"""),"MDZLP079NP4")</f>
        <v>MDZLP079NP4</v>
      </c>
      <c r="P803" s="1" t="str">
        <f>IFERROR(__xludf.DUMMYFUNCTION("""COMPUTED_VALUE"""),"14.12156 120.886091")</f>
        <v>14.12156 120.886091</v>
      </c>
      <c r="Q803" s="1" t="str">
        <f>IFERROR(__xludf.DUMMYFUNCTION("""COMPUTED_VALUE"""),"ANULING CERCA II")</f>
        <v>ANULING CERCA II</v>
      </c>
      <c r="R803" s="1" t="str">
        <f>IFERROR(__xludf.DUMMYFUNCTION("""COMPUTED_VALUE"""),"MENDEZ")</f>
        <v>MENDEZ</v>
      </c>
      <c r="S803" s="1" t="str">
        <f>IFERROR(__xludf.DUMMYFUNCTION("""COMPUTED_VALUE"""),"CAVITE")</f>
        <v>CAVITE</v>
      </c>
      <c r="T803" s="1" t="str">
        <f>IFERROR(__xludf.DUMMYFUNCTION("""COMPUTED_VALUE"""),"FIBR UNLI ALL PLAN 1399")</f>
        <v>FIBR UNLI ALL PLAN 1399</v>
      </c>
      <c r="U803" s="1" t="str">
        <f>IFERROR(__xludf.DUMMYFUNCTION("""COMPUTED_VALUE"""),"APPROVED")</f>
        <v>APPROVED</v>
      </c>
      <c r="V803" s="1"/>
      <c r="W803" s="1"/>
    </row>
    <row r="804" customHeight="1" spans="1:23">
      <c r="A804" s="3">
        <f>IFERROR(__xludf.DUMMYFUNCTION("""COMPUTED_VALUE"""),46095)</f>
        <v>46095</v>
      </c>
      <c r="B804" s="1" t="str">
        <f>IFERROR(__xludf.DUMMYFUNCTION("""COMPUTED_VALUE"""),"GABAY, MANUEL")</f>
        <v>GABAY, MANUEL</v>
      </c>
      <c r="C804" s="1" t="str">
        <f>IFERROR(__xludf.DUMMYFUNCTION("""COMPUTED_VALUE"""),"FLA")</f>
        <v>FLA</v>
      </c>
      <c r="D804" s="1" t="str">
        <f>IFERROR(__xludf.DUMMYFUNCTION("""COMPUTED_VALUE"""),"JERIC NAVARRO")</f>
        <v>JERIC NAVARRO</v>
      </c>
      <c r="E804" s="1" t="str">
        <f>IFERROR(__xludf.DUMMYFUNCTION("""COMPUTED_VALUE"""),"PLDT")</f>
        <v>PLDT</v>
      </c>
      <c r="F804" s="1">
        <f>IFERROR(__xludf.DUMMYFUNCTION("""COMPUTED_VALUE"""),2308257601)</f>
        <v>2308257601</v>
      </c>
      <c r="G804" s="1"/>
      <c r="H804" s="1" t="str">
        <f>IFERROR(__xludf.DUMMYFUNCTION("""COMPUTED_VALUE"""),"APOLINARIO RUSIT HERNANDEZ")</f>
        <v>APOLINARIO RUSIT HERNANDEZ</v>
      </c>
      <c r="I804" s="1">
        <f>IFERROR(__xludf.DUMMYFUNCTION("""COMPUTED_VALUE"""),9484465737)</f>
        <v>9484465737</v>
      </c>
      <c r="J804" s="1">
        <f>IFERROR(__xludf.DUMMYFUNCTION("""COMPUTED_VALUE"""),9813017837)</f>
        <v>9813017837</v>
      </c>
      <c r="K804" s="1" t="str">
        <f>IFERROR(__xludf.DUMMYFUNCTION("""COMPUTED_VALUE"""),"APLINARIOHERNANDEZ37@GMAIL.COM")</f>
        <v>APLINARIOHERNANDEZ37@GMAIL.COM</v>
      </c>
      <c r="L804" s="1" t="str">
        <f>IFERROR(__xludf.DUMMYFUNCTION("""COMPUTED_VALUE"""),"85")</f>
        <v>85</v>
      </c>
      <c r="M804" s="1" t="str">
        <f>IFERROR(__xludf.DUMMYFUNCTION("""COMPUTED_VALUE"""),"GUINHAWA RD")</f>
        <v>GUINHAWA RD</v>
      </c>
      <c r="N804" s="1"/>
      <c r="O804" s="1" t="str">
        <f>IFERROR(__xludf.DUMMYFUNCTION("""COMPUTED_VALUE"""),"TGTLP354NP1/8 TGTLP353NP1/8")</f>
        <v>TGTLP354NP1/8 TGTLP353NP1/8</v>
      </c>
      <c r="P804" s="1" t="str">
        <f>IFERROR(__xludf.DUMMYFUNCTION("""COMPUTED_VALUE"""),"14.108693 120.902664")</f>
        <v>14.108693 120.902664</v>
      </c>
      <c r="Q804" s="1" t="str">
        <f>IFERROR(__xludf.DUMMYFUNCTION("""COMPUTED_VALUE"""),"GUINHAWA NORTH")</f>
        <v>GUINHAWA NORTH</v>
      </c>
      <c r="R804" s="1" t="str">
        <f>IFERROR(__xludf.DUMMYFUNCTION("""COMPUTED_VALUE"""),"TAGAYTAY")</f>
        <v>TAGAYTAY</v>
      </c>
      <c r="S804" s="1" t="str">
        <f>IFERROR(__xludf.DUMMYFUNCTION("""COMPUTED_VALUE"""),"CAVITE")</f>
        <v>CAVITE</v>
      </c>
      <c r="T804" s="1" t="str">
        <f>IFERROR(__xludf.DUMMYFUNCTION("""COMPUTED_VALUE"""),"FIBR NETFLIX PLAN 1599")</f>
        <v>FIBR NETFLIX PLAN 1599</v>
      </c>
      <c r="U804" s="1" t="str">
        <f>IFERROR(__xludf.DUMMYFUNCTION("""COMPUTED_VALUE"""),"APPROVED")</f>
        <v>APPROVED</v>
      </c>
      <c r="V804" s="1"/>
      <c r="W804" s="1"/>
    </row>
    <row r="805" customHeight="1" spans="1:23">
      <c r="A805" s="3">
        <f>IFERROR(__xludf.DUMMYFUNCTION("""COMPUTED_VALUE"""),46095)</f>
        <v>46095</v>
      </c>
      <c r="B805" s="1" t="str">
        <f>IFERROR(__xludf.DUMMYFUNCTION("""COMPUTED_VALUE"""),"GABAY, MANUEL")</f>
        <v>GABAY, MANUEL</v>
      </c>
      <c r="C805" s="1" t="str">
        <f>IFERROR(__xludf.DUMMYFUNCTION("""COMPUTED_VALUE"""),"FLA")</f>
        <v>FLA</v>
      </c>
      <c r="D805" s="1" t="str">
        <f>IFERROR(__xludf.DUMMYFUNCTION("""COMPUTED_VALUE"""),"JERIC NAVARRO")</f>
        <v>JERIC NAVARRO</v>
      </c>
      <c r="E805" s="1" t="str">
        <f>IFERROR(__xludf.DUMMYFUNCTION("""COMPUTED_VALUE"""),"PLDT")</f>
        <v>PLDT</v>
      </c>
      <c r="F805" s="1">
        <f>IFERROR(__xludf.DUMMYFUNCTION("""COMPUTED_VALUE"""),2308258058)</f>
        <v>2308258058</v>
      </c>
      <c r="G805" s="1"/>
      <c r="H805" s="1" t="str">
        <f>IFERROR(__xludf.DUMMYFUNCTION("""COMPUTED_VALUE"""),"KYM LORENZ DELA MERCED VERGARA")</f>
        <v>KYM LORENZ DELA MERCED VERGARA</v>
      </c>
      <c r="I805" s="1">
        <f>IFERROR(__xludf.DUMMYFUNCTION("""COMPUTED_VALUE"""),9618362059)</f>
        <v>9618362059</v>
      </c>
      <c r="J805" s="1">
        <f>IFERROR(__xludf.DUMMYFUNCTION("""COMPUTED_VALUE"""),9088948572)</f>
        <v>9088948572</v>
      </c>
      <c r="K805" s="1" t="str">
        <f>IFERROR(__xludf.DUMMYFUNCTION("""COMPUTED_VALUE"""),"CONTACTKYMVERGARA@GMAIL.COM")</f>
        <v>CONTACTKYMVERGARA@GMAIL.COM</v>
      </c>
      <c r="L805" s="1" t="str">
        <f>IFERROR(__xludf.DUMMYFUNCTION("""COMPUTED_VALUE"""),"BLK 7D")</f>
        <v>BLK 7D</v>
      </c>
      <c r="M805" s="1" t="str">
        <f>IFERROR(__xludf.DUMMYFUNCTION("""COMPUTED_VALUE"""),"CRUZADO EXT")</f>
        <v>CRUZADO EXT</v>
      </c>
      <c r="N805" s="1"/>
      <c r="O805" s="1" t="str">
        <f>IFERROR(__xludf.DUMMYFUNCTION("""COMPUTED_VALUE"""),"TGTLP354NP1/8 TGTLP353NP1/8")</f>
        <v>TGTLP354NP1/8 TGTLP353NP1/8</v>
      </c>
      <c r="P805" s="1" t="str">
        <f>IFERROR(__xludf.DUMMYFUNCTION("""COMPUTED_VALUE"""),"14.107897 120.903232")</f>
        <v>14.107897 120.903232</v>
      </c>
      <c r="Q805" s="1" t="str">
        <f>IFERROR(__xludf.DUMMYFUNCTION("""COMPUTED_VALUE"""),"GUINHAWA SOUTH")</f>
        <v>GUINHAWA SOUTH</v>
      </c>
      <c r="R805" s="1" t="str">
        <f>IFERROR(__xludf.DUMMYFUNCTION("""COMPUTED_VALUE"""),"TAGAYTAY")</f>
        <v>TAGAYTAY</v>
      </c>
      <c r="S805" s="1" t="str">
        <f>IFERROR(__xludf.DUMMYFUNCTION("""COMPUTED_VALUE"""),"CAVITE")</f>
        <v>CAVITE</v>
      </c>
      <c r="T805" s="1" t="str">
        <f>IFERROR(__xludf.DUMMYFUNCTION("""COMPUTED_VALUE"""),"FIBR NETFLIX PLAN 1599")</f>
        <v>FIBR NETFLIX PLAN 1599</v>
      </c>
      <c r="U805" s="1" t="str">
        <f>IFERROR(__xludf.DUMMYFUNCTION("""COMPUTED_VALUE"""),"APPROVED")</f>
        <v>APPROVED</v>
      </c>
      <c r="V805" s="1"/>
      <c r="W805" s="1"/>
    </row>
    <row r="806" customHeight="1" spans="1:23">
      <c r="A806" s="3">
        <f>IFERROR(__xludf.DUMMYFUNCTION("""COMPUTED_VALUE"""),46095)</f>
        <v>46095</v>
      </c>
      <c r="B806" s="1" t="str">
        <f>IFERROR(__xludf.DUMMYFUNCTION("""COMPUTED_VALUE"""),"GABAY, MANUEL")</f>
        <v>GABAY, MANUEL</v>
      </c>
      <c r="C806" s="1" t="str">
        <f>IFERROR(__xludf.DUMMYFUNCTION("""COMPUTED_VALUE"""),"FLA")</f>
        <v>FLA</v>
      </c>
      <c r="D806" s="1" t="str">
        <f>IFERROR(__xludf.DUMMYFUNCTION("""COMPUTED_VALUE"""),"JERIC NAVARRO")</f>
        <v>JERIC NAVARRO</v>
      </c>
      <c r="E806" s="1" t="str">
        <f>IFERROR(__xludf.DUMMYFUNCTION("""COMPUTED_VALUE"""),"PLDT")</f>
        <v>PLDT</v>
      </c>
      <c r="F806" s="1">
        <f>IFERROR(__xludf.DUMMYFUNCTION("""COMPUTED_VALUE"""),2308258488)</f>
        <v>2308258488</v>
      </c>
      <c r="G806" s="1"/>
      <c r="H806" s="1" t="str">
        <f>IFERROR(__xludf.DUMMYFUNCTION("""COMPUTED_VALUE"""),"LAVINA PENOBLAR DE LEON")</f>
        <v>LAVINA PENOBLAR DE LEON</v>
      </c>
      <c r="I806" s="1">
        <f>IFERROR(__xludf.DUMMYFUNCTION("""COMPUTED_VALUE"""),9556675485)</f>
        <v>9556675485</v>
      </c>
      <c r="J806" s="1">
        <f>IFERROR(__xludf.DUMMYFUNCTION("""COMPUTED_VALUE"""),9472831918)</f>
        <v>9472831918</v>
      </c>
      <c r="K806" s="1" t="str">
        <f>IFERROR(__xludf.DUMMYFUNCTION("""COMPUTED_VALUE"""),"LAVINADELEON@GMAIL.COM")</f>
        <v>LAVINADELEON@GMAIL.COM</v>
      </c>
      <c r="L806" s="1" t="str">
        <f>IFERROR(__xludf.DUMMYFUNCTION("""COMPUTED_VALUE"""),"2110")</f>
        <v>2110</v>
      </c>
      <c r="M806" s="1" t="str">
        <f>IFERROR(__xludf.DUMMYFUNCTION("""COMPUTED_VALUE"""),"GUINHAWA RD")</f>
        <v>GUINHAWA RD</v>
      </c>
      <c r="N806" s="1"/>
      <c r="O806" s="1" t="str">
        <f>IFERROR(__xludf.DUMMYFUNCTION("""COMPUTED_VALUE"""),"TGTLP354NP1/8 TGTLP353NP1/8")</f>
        <v>TGTLP354NP1/8 TGTLP353NP1/8</v>
      </c>
      <c r="P806" s="1" t="str">
        <f>IFERROR(__xludf.DUMMYFUNCTION("""COMPUTED_VALUE"""),"14.107992 120.903134")</f>
        <v>14.107992 120.903134</v>
      </c>
      <c r="Q806" s="1" t="str">
        <f>IFERROR(__xludf.DUMMYFUNCTION("""COMPUTED_VALUE"""),"GUINHAWA SOUTH")</f>
        <v>GUINHAWA SOUTH</v>
      </c>
      <c r="R806" s="1" t="str">
        <f>IFERROR(__xludf.DUMMYFUNCTION("""COMPUTED_VALUE"""),"TAGAYTAY")</f>
        <v>TAGAYTAY</v>
      </c>
      <c r="S806" s="1" t="str">
        <f>IFERROR(__xludf.DUMMYFUNCTION("""COMPUTED_VALUE"""),"CAVITE")</f>
        <v>CAVITE</v>
      </c>
      <c r="T806" s="1" t="str">
        <f>IFERROR(__xludf.DUMMYFUNCTION("""COMPUTED_VALUE"""),"FIBR UNLI ALL PLAN 1399")</f>
        <v>FIBR UNLI ALL PLAN 1399</v>
      </c>
      <c r="U806" s="1" t="str">
        <f>IFERROR(__xludf.DUMMYFUNCTION("""COMPUTED_VALUE"""),"APPROVED")</f>
        <v>APPROVED</v>
      </c>
      <c r="V806" s="1"/>
      <c r="W806" s="1"/>
    </row>
    <row r="807" customHeight="1" spans="1:23">
      <c r="A807" s="3">
        <f>IFERROR(__xludf.DUMMYFUNCTION("""COMPUTED_VALUE"""),46095)</f>
        <v>46095</v>
      </c>
      <c r="B807" s="1" t="str">
        <f>IFERROR(__xludf.DUMMYFUNCTION("""COMPUTED_VALUE"""),"AYON MANUEL")</f>
        <v>AYON MANUEL</v>
      </c>
      <c r="C807" s="1" t="str">
        <f>IFERROR(__xludf.DUMMYFUNCTION("""COMPUTED_VALUE"""),"FLA")</f>
        <v>FLA</v>
      </c>
      <c r="D807" s="1" t="str">
        <f>IFERROR(__xludf.DUMMYFUNCTION("""COMPUTED_VALUE"""),"JERIC NAVARRO")</f>
        <v>JERIC NAVARRO</v>
      </c>
      <c r="E807" s="1" t="str">
        <f>IFERROR(__xludf.DUMMYFUNCTION("""COMPUTED_VALUE"""),"PLDT")</f>
        <v>PLDT</v>
      </c>
      <c r="F807" s="1">
        <f>IFERROR(__xludf.DUMMYFUNCTION("""COMPUTED_VALUE"""),2308258929)</f>
        <v>2308258929</v>
      </c>
      <c r="G807" s="1"/>
      <c r="H807" s="1" t="str">
        <f>IFERROR(__xludf.DUMMYFUNCTION("""COMPUTED_VALUE"""),"JENNYLYN SAMAJON MARTINEZ")</f>
        <v>JENNYLYN SAMAJON MARTINEZ</v>
      </c>
      <c r="I807" s="1">
        <f>IFERROR(__xludf.DUMMYFUNCTION("""COMPUTED_VALUE"""),9228036767)</f>
        <v>9228036767</v>
      </c>
      <c r="J807" s="1">
        <f>IFERROR(__xludf.DUMMYFUNCTION("""COMPUTED_VALUE"""),285339257)</f>
        <v>285339257</v>
      </c>
      <c r="K807" s="1" t="str">
        <f>IFERROR(__xludf.DUMMYFUNCTION("""COMPUTED_VALUE"""),"JENNY.BRIO@YAHOO.COM")</f>
        <v>JENNY.BRIO@YAHOO.COM</v>
      </c>
      <c r="L807" s="1" t="str">
        <f>IFERROR(__xludf.DUMMYFUNCTION("""COMPUTED_VALUE"""),"9028")</f>
        <v>9028</v>
      </c>
      <c r="M807" s="1" t="str">
        <f>IFERROR(__xludf.DUMMYFUNCTION("""COMPUTED_VALUE"""),"NARRA")</f>
        <v>NARRA</v>
      </c>
      <c r="N807" s="1"/>
      <c r="O807" s="1" t="str">
        <f>IFERROR(__xludf.DUMMYFUNCTION("""COMPUTED_VALUE"""),"MDZLP078NP4")</f>
        <v>MDZLP078NP4</v>
      </c>
      <c r="P807" s="1"/>
      <c r="Q807" s="1" t="str">
        <f>IFERROR(__xludf.DUMMYFUNCTION("""COMPUTED_VALUE"""),"BANAYAD")</f>
        <v>BANAYAD</v>
      </c>
      <c r="R807" s="1" t="str">
        <f>IFERROR(__xludf.DUMMYFUNCTION("""COMPUTED_VALUE"""),"MENDEZ")</f>
        <v>MENDEZ</v>
      </c>
      <c r="S807" s="1" t="str">
        <f>IFERROR(__xludf.DUMMYFUNCTION("""COMPUTED_VALUE"""),"CAVITE")</f>
        <v>CAVITE</v>
      </c>
      <c r="T807" s="1" t="str">
        <f>IFERROR(__xludf.DUMMYFUNCTION("""COMPUTED_VALUE"""),"FIBR UNLI ALL PLAN 1399")</f>
        <v>FIBR UNLI ALL PLAN 1399</v>
      </c>
      <c r="U807" s="1" t="str">
        <f>IFERROR(__xludf.DUMMYFUNCTION("""COMPUTED_VALUE"""),"APPROVED")</f>
        <v>APPROVED</v>
      </c>
      <c r="V807" s="1"/>
      <c r="W807" s="1"/>
    </row>
    <row r="808" customHeight="1" spans="1:23">
      <c r="A808" s="3">
        <f>IFERROR(__xludf.DUMMYFUNCTION("""COMPUTED_VALUE"""),46095)</f>
        <v>46095</v>
      </c>
      <c r="B808" s="1" t="str">
        <f>IFERROR(__xludf.DUMMYFUNCTION("""COMPUTED_VALUE"""),"AYON MANUEL")</f>
        <v>AYON MANUEL</v>
      </c>
      <c r="C808" s="1" t="str">
        <f>IFERROR(__xludf.DUMMYFUNCTION("""COMPUTED_VALUE"""),"FLA")</f>
        <v>FLA</v>
      </c>
      <c r="D808" s="1" t="str">
        <f>IFERROR(__xludf.DUMMYFUNCTION("""COMPUTED_VALUE"""),"JERIC NAVARRO")</f>
        <v>JERIC NAVARRO</v>
      </c>
      <c r="E808" s="1" t="str">
        <f>IFERROR(__xludf.DUMMYFUNCTION("""COMPUTED_VALUE"""),"PLDT")</f>
        <v>PLDT</v>
      </c>
      <c r="F808" s="1">
        <f>IFERROR(__xludf.DUMMYFUNCTION("""COMPUTED_VALUE"""),2308259286)</f>
        <v>2308259286</v>
      </c>
      <c r="G808" s="1"/>
      <c r="H808" s="1" t="str">
        <f>IFERROR(__xludf.DUMMYFUNCTION("""COMPUTED_VALUE"""),"NOEL GARCIA CRUZADO")</f>
        <v>NOEL GARCIA CRUZADO</v>
      </c>
      <c r="I808" s="1">
        <f>IFERROR(__xludf.DUMMYFUNCTION("""COMPUTED_VALUE"""),9279606547)</f>
        <v>9279606547</v>
      </c>
      <c r="J808" s="1">
        <f>IFERROR(__xludf.DUMMYFUNCTION("""COMPUTED_VALUE"""),9178663282)</f>
        <v>9178663282</v>
      </c>
      <c r="K808" s="1" t="str">
        <f>IFERROR(__xludf.DUMMYFUNCTION("""COMPUTED_VALUE"""),"DORL_NEEL@YAHOO.COM")</f>
        <v>DORL_NEEL@YAHOO.COM</v>
      </c>
      <c r="L808" s="1" t="str">
        <f>IFERROR(__xludf.DUMMYFUNCTION("""COMPUTED_VALUE"""),"77")</f>
        <v>77</v>
      </c>
      <c r="M808" s="1" t="str">
        <f>IFERROR(__xludf.DUMMYFUNCTION("""COMPUTED_VALUE"""),"MAYSILI RD")</f>
        <v>MAYSILI RD</v>
      </c>
      <c r="N808" s="1"/>
      <c r="O808" s="1" t="str">
        <f>IFERROR(__xludf.DUMMYFUNCTION("""COMPUTED_VALUE"""),"MDZLP097NP4")</f>
        <v>MDZLP097NP4</v>
      </c>
      <c r="P808" s="1"/>
      <c r="Q808" s="1" t="str">
        <f>IFERROR(__xludf.DUMMYFUNCTION("""COMPUTED_VALUE"""),"ASIS III")</f>
        <v>ASIS III</v>
      </c>
      <c r="R808" s="1" t="str">
        <f>IFERROR(__xludf.DUMMYFUNCTION("""COMPUTED_VALUE"""),"MENDEZ")</f>
        <v>MENDEZ</v>
      </c>
      <c r="S808" s="1" t="str">
        <f>IFERROR(__xludf.DUMMYFUNCTION("""COMPUTED_VALUE"""),"CAVITE")</f>
        <v>CAVITE</v>
      </c>
      <c r="T808" s="1" t="str">
        <f>IFERROR(__xludf.DUMMYFUNCTION("""COMPUTED_VALUE"""),"SWITCH FIBR UNLI ALL PLAN 1399")</f>
        <v>SWITCH FIBR UNLI ALL PLAN 1399</v>
      </c>
      <c r="U808" s="1" t="str">
        <f>IFERROR(__xludf.DUMMYFUNCTION("""COMPUTED_VALUE"""),"APPROVED")</f>
        <v>APPROVED</v>
      </c>
      <c r="V808" s="1"/>
      <c r="W808" s="1"/>
    </row>
    <row r="809" customHeight="1" spans="1:23">
      <c r="A809" s="3">
        <f>IFERROR(__xludf.DUMMYFUNCTION("""COMPUTED_VALUE"""),46095)</f>
        <v>46095</v>
      </c>
      <c r="B809" s="1" t="str">
        <f>IFERROR(__xludf.DUMMYFUNCTION("""COMPUTED_VALUE"""),"LEADSTORE - ILANO, LIANDRO TEJAS")</f>
        <v>LEADSTORE - ILANO, LIANDRO TEJAS</v>
      </c>
      <c r="C809" s="1" t="str">
        <f>IFERROR(__xludf.DUMMYFUNCTION("""COMPUTED_VALUE"""),"FLA")</f>
        <v>FLA</v>
      </c>
      <c r="D809" s="1" t="str">
        <f>IFERROR(__xludf.DUMMYFUNCTION("""COMPUTED_VALUE"""),"JERIC NAVARRO")</f>
        <v>JERIC NAVARRO</v>
      </c>
      <c r="E809" s="1" t="str">
        <f>IFERROR(__xludf.DUMMYFUNCTION("""COMPUTED_VALUE"""),"PLDT")</f>
        <v>PLDT</v>
      </c>
      <c r="F809" s="1">
        <f>IFERROR(__xludf.DUMMYFUNCTION("""COMPUTED_VALUE"""),2308259567)</f>
        <v>2308259567</v>
      </c>
      <c r="G809" s="1"/>
      <c r="H809" s="1" t="str">
        <f>IFERROR(__xludf.DUMMYFUNCTION("""COMPUTED_VALUE"""),"KING EDWARD ALVAREZ ILANO")</f>
        <v>KING EDWARD ALVAREZ ILANO</v>
      </c>
      <c r="I809" s="1">
        <f>IFERROR(__xludf.DUMMYFUNCTION("""COMPUTED_VALUE"""),9499532753)</f>
        <v>9499532753</v>
      </c>
      <c r="J809" s="1"/>
      <c r="K809" s="1" t="str">
        <f>IFERROR(__xludf.DUMMYFUNCTION("""COMPUTED_VALUE"""),"JD.BARREDA22@GMAIL.COM")</f>
        <v>JD.BARREDA22@GMAIL.COM</v>
      </c>
      <c r="L809" s="1" t="str">
        <f>IFERROR(__xludf.DUMMYFUNCTION("""COMPUTED_VALUE"""),"BLK 52 LOT 5")</f>
        <v>BLK 52 LOT 5</v>
      </c>
      <c r="M809" s="1" t="str">
        <f>IFERROR(__xludf.DUMMYFUNCTION("""COMPUTED_VALUE"""),"PUROK 4")</f>
        <v>PUROK 4</v>
      </c>
      <c r="N809" s="1"/>
      <c r="O809" s="1" t="str">
        <f>IFERROR(__xludf.DUMMYFUNCTION("""COMPUTED_VALUE"""),"DASLLP26NP3")</f>
        <v>DASLLP26NP3</v>
      </c>
      <c r="P809" s="1"/>
      <c r="Q809" s="1" t="str">
        <f>IFERROR(__xludf.DUMMYFUNCTION("""COMPUTED_VALUE"""),"VICTORIA REYES")</f>
        <v>VICTORIA REYES</v>
      </c>
      <c r="R809" s="1" t="str">
        <f>IFERROR(__xludf.DUMMYFUNCTION("""COMPUTED_VALUE"""),"DASMARINAS")</f>
        <v>DASMARINAS</v>
      </c>
      <c r="S809" s="1" t="str">
        <f>IFERROR(__xludf.DUMMYFUNCTION("""COMPUTED_VALUE"""),"CAVITE")</f>
        <v>CAVITE</v>
      </c>
      <c r="T809" s="1" t="str">
        <f>IFERROR(__xludf.DUMMYFUNCTION("""COMPUTED_VALUE"""),"FIBR PLAN 1299")</f>
        <v>FIBR PLAN 1299</v>
      </c>
      <c r="U809" s="1" t="str">
        <f>IFERROR(__xludf.DUMMYFUNCTION("""COMPUTED_VALUE"""),"APPROVED")</f>
        <v>APPROVED</v>
      </c>
      <c r="V809" s="1"/>
      <c r="W809" s="1"/>
    </row>
    <row r="810" customHeight="1" spans="1:23">
      <c r="A810" s="3">
        <f>IFERROR(__xludf.DUMMYFUNCTION("""COMPUTED_VALUE"""),46095)</f>
        <v>46095</v>
      </c>
      <c r="B810" s="1" t="str">
        <f>IFERROR(__xludf.DUMMYFUNCTION("""COMPUTED_VALUE"""),"ESCARCHA, MA ALMA  ESCOTO")</f>
        <v>ESCARCHA, MA ALMA  ESCOTO</v>
      </c>
      <c r="C810" s="1" t="str">
        <f>IFERROR(__xludf.DUMMYFUNCTION("""COMPUTED_VALUE"""),"ORGANIC")</f>
        <v>ORGANIC</v>
      </c>
      <c r="D810" s="1" t="str">
        <f>IFERROR(__xludf.DUMMYFUNCTION("""COMPUTED_VALUE"""),"ALINGARO, CINDY")</f>
        <v>ALINGARO, CINDY</v>
      </c>
      <c r="E810" s="1" t="str">
        <f>IFERROR(__xludf.DUMMYFUNCTION("""COMPUTED_VALUE"""),"PLDT")</f>
        <v>PLDT</v>
      </c>
      <c r="F810" s="1">
        <f>IFERROR(__xludf.DUMMYFUNCTION("""COMPUTED_VALUE"""),2308260395)</f>
        <v>2308260395</v>
      </c>
      <c r="G810" s="1"/>
      <c r="H810" s="1" t="str">
        <f>IFERROR(__xludf.DUMMYFUNCTION("""COMPUTED_VALUE"""),"FEBE GURION CORTEZ")</f>
        <v>FEBE GURION CORTEZ</v>
      </c>
      <c r="I810" s="1">
        <f>IFERROR(__xludf.DUMMYFUNCTION("""COMPUTED_VALUE"""),9451472055)</f>
        <v>9451472055</v>
      </c>
      <c r="J810" s="1"/>
      <c r="K810" s="1" t="str">
        <f>IFERROR(__xludf.DUMMYFUNCTION("""COMPUTED_VALUE"""),"YVOCORTEZ10@GMAIL.COM")</f>
        <v>YVOCORTEZ10@GMAIL.COM</v>
      </c>
      <c r="L810" s="1" t="str">
        <f>IFERROR(__xludf.DUMMYFUNCTION("""COMPUTED_VALUE"""),"3")</f>
        <v>3</v>
      </c>
      <c r="M810" s="1" t="str">
        <f>IFERROR(__xludf.DUMMYFUNCTION("""COMPUTED_VALUE"""),"DE JESUS APPARTMENT")</f>
        <v>DE JESUS APPARTMENT</v>
      </c>
      <c r="N810" s="1"/>
      <c r="O810" s="1" t="str">
        <f>IFERROR(__xludf.DUMMYFUNCTION("""COMPUTED_VALUE"""),"SILLP630NP1/2")</f>
        <v>SILLP630NP1/2</v>
      </c>
      <c r="P810" s="1" t="str">
        <f>IFERROR(__xludf.DUMMYFUNCTION("""COMPUTED_VALUE"""),"14.226169 121.001075")</f>
        <v>14.226169 121.001075</v>
      </c>
      <c r="Q810" s="1" t="str">
        <f>IFERROR(__xludf.DUMMYFUNCTION("""COMPUTED_VALUE"""),"TIBIG")</f>
        <v>TIBIG</v>
      </c>
      <c r="R810" s="1" t="str">
        <f>IFERROR(__xludf.DUMMYFUNCTION("""COMPUTED_VALUE"""),"SILANG")</f>
        <v>SILANG</v>
      </c>
      <c r="S810" s="1" t="str">
        <f>IFERROR(__xludf.DUMMYFUNCTION("""COMPUTED_VALUE"""),"CAVITE")</f>
        <v>CAVITE</v>
      </c>
      <c r="T810" s="1" t="str">
        <f>IFERROR(__xludf.DUMMYFUNCTION("""COMPUTED_VALUE"""),"FIBR PLAN 1299")</f>
        <v>FIBR PLAN 1299</v>
      </c>
      <c r="U810" s="1" t="str">
        <f>IFERROR(__xludf.DUMMYFUNCTION("""COMPUTED_VALUE"""),"APPROVED")</f>
        <v>APPROVED</v>
      </c>
      <c r="V810" s="1"/>
      <c r="W810" s="1"/>
    </row>
    <row r="811" customHeight="1" spans="1:23">
      <c r="A811" s="3">
        <f>IFERROR(__xludf.DUMMYFUNCTION("""COMPUTED_VALUE"""),46095)</f>
        <v>46095</v>
      </c>
      <c r="B811" s="1" t="str">
        <f>IFERROR(__xludf.DUMMYFUNCTION("""COMPUTED_VALUE"""),"CABRERA JILLIENE")</f>
        <v>CABRERA JILLIENE</v>
      </c>
      <c r="C811" s="1" t="str">
        <f>IFERROR(__xludf.DUMMYFUNCTION("""COMPUTED_VALUE"""),"ORGANIC")</f>
        <v>ORGANIC</v>
      </c>
      <c r="D811" s="1" t="str">
        <f>IFERROR(__xludf.DUMMYFUNCTION("""COMPUTED_VALUE"""),"ALOS, CHARLS")</f>
        <v>ALOS, CHARLS</v>
      </c>
      <c r="E811" s="1" t="str">
        <f>IFERROR(__xludf.DUMMYFUNCTION("""COMPUTED_VALUE"""),"PLDT")</f>
        <v>PLDT</v>
      </c>
      <c r="F811" s="1">
        <f>IFERROR(__xludf.DUMMYFUNCTION("""COMPUTED_VALUE"""),2308259881)</f>
        <v>2308259881</v>
      </c>
      <c r="G811" s="1"/>
      <c r="H811" s="1" t="str">
        <f>IFERROR(__xludf.DUMMYFUNCTION("""COMPUTED_VALUE"""),"AILYN TACAPAN CATUBAY")</f>
        <v>AILYN TACAPAN CATUBAY</v>
      </c>
      <c r="I811" s="1">
        <f>IFERROR(__xludf.DUMMYFUNCTION("""COMPUTED_VALUE"""),9163291950)</f>
        <v>9163291950</v>
      </c>
      <c r="J811" s="1"/>
      <c r="K811" s="1" t="str">
        <f>IFERROR(__xludf.DUMMYFUNCTION("""COMPUTED_VALUE"""),"LYNZAILYN446@GMAIL.COM")</f>
        <v>LYNZAILYN446@GMAIL.COM</v>
      </c>
      <c r="L811" s="1" t="str">
        <f>IFERROR(__xludf.DUMMYFUNCTION("""COMPUTED_VALUE"""),"141")</f>
        <v>141</v>
      </c>
      <c r="M811" s="1" t="str">
        <f>IFERROR(__xludf.DUMMYFUNCTION("""COMPUTED_VALUE"""),"ARIANO PEREY")</f>
        <v>ARIANO PEREY</v>
      </c>
      <c r="N811" s="1"/>
      <c r="O811" s="1" t="str">
        <f>IFERROR(__xludf.DUMMYFUNCTION("""COMPUTED_VALUE"""),"MDZLP68NP6/8")</f>
        <v>MDZLP68NP6/8</v>
      </c>
      <c r="P811" s="1" t="str">
        <f>IFERROR(__xludf.DUMMYFUNCTION("""COMPUTED_VALUE"""),"14.144955 120.898108")</f>
        <v>14.144955 120.898108</v>
      </c>
      <c r="Q811" s="1" t="str">
        <f>IFERROR(__xludf.DUMMYFUNCTION("""COMPUTED_VALUE"""),"ASIS I")</f>
        <v>ASIS I</v>
      </c>
      <c r="R811" s="1" t="str">
        <f>IFERROR(__xludf.DUMMYFUNCTION("""COMPUTED_VALUE"""),"MENDEZ")</f>
        <v>MENDEZ</v>
      </c>
      <c r="S811" s="1" t="str">
        <f>IFERROR(__xludf.DUMMYFUNCTION("""COMPUTED_VALUE"""),"CAVITE")</f>
        <v>CAVITE</v>
      </c>
      <c r="T811" s="1" t="str">
        <f>IFERROR(__xludf.DUMMYFUNCTION("""COMPUTED_VALUE"""),"FIBR PLAN 1299")</f>
        <v>FIBR PLAN 1299</v>
      </c>
      <c r="U811" s="1" t="str">
        <f>IFERROR(__xludf.DUMMYFUNCTION("""COMPUTED_VALUE"""),"APPROVED")</f>
        <v>APPROVED</v>
      </c>
      <c r="V811" s="1"/>
      <c r="W811" s="1"/>
    </row>
    <row r="812" customHeight="1" spans="1:23">
      <c r="A812" s="3">
        <f>IFERROR(__xludf.DUMMYFUNCTION("""COMPUTED_VALUE"""),46096)</f>
        <v>46096</v>
      </c>
      <c r="B812" s="1" t="str">
        <f>IFERROR(__xludf.DUMMYFUNCTION("""COMPUTED_VALUE"""),"AYON MANUEL")</f>
        <v>AYON MANUEL</v>
      </c>
      <c r="C812" s="1" t="str">
        <f>IFERROR(__xludf.DUMMYFUNCTION("""COMPUTED_VALUE"""),"FLA")</f>
        <v>FLA</v>
      </c>
      <c r="D812" s="1" t="str">
        <f>IFERROR(__xludf.DUMMYFUNCTION("""COMPUTED_VALUE"""),"JERIC NAVARRO")</f>
        <v>JERIC NAVARRO</v>
      </c>
      <c r="E812" s="1" t="str">
        <f>IFERROR(__xludf.DUMMYFUNCTION("""COMPUTED_VALUE"""),"PLDT")</f>
        <v>PLDT</v>
      </c>
      <c r="F812" s="1">
        <f>IFERROR(__xludf.DUMMYFUNCTION("""COMPUTED_VALUE"""),2308269079)</f>
        <v>2308269079</v>
      </c>
      <c r="G812" s="1"/>
      <c r="H812" s="1" t="str">
        <f>IFERROR(__xludf.DUMMYFUNCTION("""COMPUTED_VALUE"""),"ANDRES DIMARANAN TENIDO")</f>
        <v>ANDRES DIMARANAN TENIDO</v>
      </c>
      <c r="I812" s="1">
        <f>IFERROR(__xludf.DUMMYFUNCTION("""COMPUTED_VALUE"""),9663262969)</f>
        <v>9663262969</v>
      </c>
      <c r="J812" s="1">
        <f>IFERROR(__xludf.DUMMYFUNCTION("""COMPUTED_VALUE"""),9197204172)</f>
        <v>9197204172</v>
      </c>
      <c r="K812" s="1" t="str">
        <f>IFERROR(__xludf.DUMMYFUNCTION("""COMPUTED_VALUE"""),"DREWDREWDIMARANAN@GMAIL.COM")</f>
        <v>DREWDREWDIMARANAN@GMAIL.COM</v>
      </c>
      <c r="L812" s="1" t="str">
        <f>IFERROR(__xludf.DUMMYFUNCTION("""COMPUTED_VALUE"""),"416")</f>
        <v>416</v>
      </c>
      <c r="M812" s="1" t="str">
        <f>IFERROR(__xludf.DUMMYFUNCTION("""COMPUTED_VALUE"""),"MAYSILI RD")</f>
        <v>MAYSILI RD</v>
      </c>
      <c r="N812" s="1"/>
      <c r="O812" s="1"/>
      <c r="P812" s="1"/>
      <c r="Q812" s="1" t="str">
        <f>IFERROR(__xludf.DUMMYFUNCTION("""COMPUTED_VALUE"""),"ASIS I")</f>
        <v>ASIS I</v>
      </c>
      <c r="R812" s="1" t="str">
        <f>IFERROR(__xludf.DUMMYFUNCTION("""COMPUTED_VALUE"""),"MENDEZ")</f>
        <v>MENDEZ</v>
      </c>
      <c r="S812" s="1" t="str">
        <f>IFERROR(__xludf.DUMMYFUNCTION("""COMPUTED_VALUE"""),"CAVITE")</f>
        <v>CAVITE</v>
      </c>
      <c r="T812" s="1" t="str">
        <f>IFERROR(__xludf.DUMMYFUNCTION("""COMPUTED_VALUE"""),"FIBR NETFLIX PLAN 1599")</f>
        <v>FIBR NETFLIX PLAN 1599</v>
      </c>
      <c r="U812" s="1" t="str">
        <f>IFERROR(__xludf.DUMMYFUNCTION("""COMPUTED_VALUE"""),"APPROVED")</f>
        <v>APPROVED</v>
      </c>
      <c r="V812" s="1"/>
      <c r="W812" s="1"/>
    </row>
    <row r="813" customHeight="1" spans="1:23">
      <c r="A813" s="3">
        <f>IFERROR(__xludf.DUMMYFUNCTION("""COMPUTED_VALUE"""),46096)</f>
        <v>46096</v>
      </c>
      <c r="B813" s="1" t="str">
        <f>IFERROR(__xludf.DUMMYFUNCTION("""COMPUTED_VALUE"""),"TISTON, CEDRICK")</f>
        <v>TISTON, CEDRICK</v>
      </c>
      <c r="C813" s="1" t="str">
        <f>IFERROR(__xludf.DUMMYFUNCTION("""COMPUTED_VALUE"""),"FLA")</f>
        <v>FLA</v>
      </c>
      <c r="D813" s="1" t="str">
        <f>IFERROR(__xludf.DUMMYFUNCTION("""COMPUTED_VALUE"""),"JERIC NAVARRO")</f>
        <v>JERIC NAVARRO</v>
      </c>
      <c r="E813" s="1" t="str">
        <f>IFERROR(__xludf.DUMMYFUNCTION("""COMPUTED_VALUE"""),"PLDT")</f>
        <v>PLDT</v>
      </c>
      <c r="F813" s="1">
        <f>IFERROR(__xludf.DUMMYFUNCTION("""COMPUTED_VALUE"""),2308270166)</f>
        <v>2308270166</v>
      </c>
      <c r="G813" s="1"/>
      <c r="H813" s="1" t="str">
        <f>IFERROR(__xludf.DUMMYFUNCTION("""COMPUTED_VALUE"""),"MARCIALENE SANTILLAN ESTEBAN")</f>
        <v>MARCIALENE SANTILLAN ESTEBAN</v>
      </c>
      <c r="I813" s="1">
        <f>IFERROR(__xludf.DUMMYFUNCTION("""COMPUTED_VALUE"""),9564253786)</f>
        <v>9564253786</v>
      </c>
      <c r="J813" s="1">
        <f>IFERROR(__xludf.DUMMYFUNCTION("""COMPUTED_VALUE"""),9911068631)</f>
        <v>9911068631</v>
      </c>
      <c r="K813" s="1" t="str">
        <f>IFERROR(__xludf.DUMMYFUNCTION("""COMPUTED_VALUE"""),"SHENGGG8899@GMAIL.COM")</f>
        <v>SHENGGG8899@GMAIL.COM</v>
      </c>
      <c r="L813" s="1" t="str">
        <f>IFERROR(__xludf.DUMMYFUNCTION("""COMPUTED_VALUE"""),"BLK 19 LOT 101")</f>
        <v>BLK 19 LOT 101</v>
      </c>
      <c r="M813" s="1" t="str">
        <f>IFERROR(__xludf.DUMMYFUNCTION("""COMPUTED_VALUE"""),"DELAS ALAS RD")</f>
        <v>DELAS ALAS RD</v>
      </c>
      <c r="N813" s="1"/>
      <c r="O813" s="1"/>
      <c r="P813" s="1"/>
      <c r="Q813" s="1" t="str">
        <f>IFERROR(__xludf.DUMMYFUNCTION("""COMPUTED_VALUE"""),"SEVERINO DE LAS ALAS")</f>
        <v>SEVERINO DE LAS ALAS</v>
      </c>
      <c r="R813" s="1" t="str">
        <f>IFERROR(__xludf.DUMMYFUNCTION("""COMPUTED_VALUE"""),"GEN MARIANO ALVAREZ")</f>
        <v>GEN MARIANO ALVAREZ</v>
      </c>
      <c r="S813" s="1" t="str">
        <f>IFERROR(__xludf.DUMMYFUNCTION("""COMPUTED_VALUE"""),"CAVITE")</f>
        <v>CAVITE</v>
      </c>
      <c r="T813" s="1" t="str">
        <f>IFERROR(__xludf.DUMMYFUNCTION("""COMPUTED_VALUE"""),"FIBR UNLI ALL PLAN 1399")</f>
        <v>FIBR UNLI ALL PLAN 1399</v>
      </c>
      <c r="U813" s="1" t="str">
        <f>IFERROR(__xludf.DUMMYFUNCTION("""COMPUTED_VALUE"""),"APPROVED")</f>
        <v>APPROVED</v>
      </c>
      <c r="V813" s="1"/>
      <c r="W813" s="1"/>
    </row>
    <row r="814" customHeight="1" spans="1:23">
      <c r="A814" s="3">
        <f>IFERROR(__xludf.DUMMYFUNCTION("""COMPUTED_VALUE"""),46096)</f>
        <v>46096</v>
      </c>
      <c r="B814" s="1" t="str">
        <f>IFERROR(__xludf.DUMMYFUNCTION("""COMPUTED_VALUE"""),"DE LEON, MERLY")</f>
        <v>DE LEON, MERLY</v>
      </c>
      <c r="C814" s="1" t="str">
        <f>IFERROR(__xludf.DUMMYFUNCTION("""COMPUTED_VALUE"""),"ORGANIC")</f>
        <v>ORGANIC</v>
      </c>
      <c r="D814" s="1" t="str">
        <f>IFERROR(__xludf.DUMMYFUNCTION("""COMPUTED_VALUE"""),"ALINGARO, CINDY")</f>
        <v>ALINGARO, CINDY</v>
      </c>
      <c r="E814" s="1" t="str">
        <f>IFERROR(__xludf.DUMMYFUNCTION("""COMPUTED_VALUE"""),"PLDT")</f>
        <v>PLDT</v>
      </c>
      <c r="F814" s="1">
        <f>IFERROR(__xludf.DUMMYFUNCTION("""COMPUTED_VALUE"""),2308272536)</f>
        <v>2308272536</v>
      </c>
      <c r="G814" s="1"/>
      <c r="H814" s="1" t="str">
        <f>IFERROR(__xludf.DUMMYFUNCTION("""COMPUTED_VALUE"""),"ALLYSON COTIN BAUTISTA")</f>
        <v>ALLYSON COTIN BAUTISTA</v>
      </c>
      <c r="I814" s="1">
        <f>IFERROR(__xludf.DUMMYFUNCTION("""COMPUTED_VALUE"""),9610478461)</f>
        <v>9610478461</v>
      </c>
      <c r="J814" s="1">
        <f>IFERROR(__xludf.DUMMYFUNCTION("""COMPUTED_VALUE"""),9756446047)</f>
        <v>9756446047</v>
      </c>
      <c r="K814" s="1" t="str">
        <f>IFERROR(__xludf.DUMMYFUNCTION("""COMPUTED_VALUE"""),"ALIBAUTISTA07@GMAIL.COM")</f>
        <v>ALIBAUTISTA07@GMAIL.COM</v>
      </c>
      <c r="L814" s="1" t="str">
        <f>IFERROR(__xludf.DUMMYFUNCTION("""COMPUTED_VALUE"""),"1474")</f>
        <v>1474</v>
      </c>
      <c r="M814" s="1" t="str">
        <f>IFERROR(__xludf.DUMMYFUNCTION("""COMPUTED_VALUE"""),"SALAZAR ST")</f>
        <v>SALAZAR ST</v>
      </c>
      <c r="N814" s="1"/>
      <c r="O814" s="1"/>
      <c r="P814" s="1"/>
      <c r="Q814" s="1" t="str">
        <f>IFERROR(__xludf.DUMMYFUNCTION("""COMPUTED_VALUE"""),"BUKAL")</f>
        <v>BUKAL</v>
      </c>
      <c r="R814" s="1" t="str">
        <f>IFERROR(__xludf.DUMMYFUNCTION("""COMPUTED_VALUE"""),"MENDEZ")</f>
        <v>MENDEZ</v>
      </c>
      <c r="S814" s="1" t="str">
        <f>IFERROR(__xludf.DUMMYFUNCTION("""COMPUTED_VALUE"""),"CAVITE")</f>
        <v>CAVITE</v>
      </c>
      <c r="T814" s="1" t="str">
        <f>IFERROR(__xludf.DUMMYFUNCTION("""COMPUTED_VALUE"""),"FIBR UNLI ALL PLAN 1799")</f>
        <v>FIBR UNLI ALL PLAN 1799</v>
      </c>
      <c r="U814" s="1" t="str">
        <f>IFERROR(__xludf.DUMMYFUNCTION("""COMPUTED_VALUE"""),"APPROVED")</f>
        <v>APPROVED</v>
      </c>
      <c r="V814" s="1"/>
      <c r="W814" s="1"/>
    </row>
    <row r="815" customHeight="1" spans="1:23">
      <c r="A815" s="3">
        <f>IFERROR(__xludf.DUMMYFUNCTION("""COMPUTED_VALUE"""),46096)</f>
        <v>46096</v>
      </c>
      <c r="B815" s="1" t="str">
        <f>IFERROR(__xludf.DUMMYFUNCTION("""COMPUTED_VALUE"""),"GABAY, MANUEL")</f>
        <v>GABAY, MANUEL</v>
      </c>
      <c r="C815" s="1" t="str">
        <f>IFERROR(__xludf.DUMMYFUNCTION("""COMPUTED_VALUE"""),"FLA")</f>
        <v>FLA</v>
      </c>
      <c r="D815" s="1" t="str">
        <f>IFERROR(__xludf.DUMMYFUNCTION("""COMPUTED_VALUE"""),"JERIC NAVARRO")</f>
        <v>JERIC NAVARRO</v>
      </c>
      <c r="E815" s="1" t="str">
        <f>IFERROR(__xludf.DUMMYFUNCTION("""COMPUTED_VALUE"""),"PLDT")</f>
        <v>PLDT</v>
      </c>
      <c r="F815" s="1">
        <f>IFERROR(__xludf.DUMMYFUNCTION("""COMPUTED_VALUE"""),2308273811)</f>
        <v>2308273811</v>
      </c>
      <c r="G815" s="1"/>
      <c r="H815" s="1" t="str">
        <f>IFERROR(__xludf.DUMMYFUNCTION("""COMPUTED_VALUE"""),"JON MORABE RUIZ")</f>
        <v>JON MORABE RUIZ</v>
      </c>
      <c r="I815" s="1">
        <f>IFERROR(__xludf.DUMMYFUNCTION("""COMPUTED_VALUE"""),9955746612)</f>
        <v>9955746612</v>
      </c>
      <c r="J815" s="1">
        <f>IFERROR(__xludf.DUMMYFUNCTION("""COMPUTED_VALUE"""),9959603977)</f>
        <v>9959603977</v>
      </c>
      <c r="K815" s="1" t="str">
        <f>IFERROR(__xludf.DUMMYFUNCTION("""COMPUTED_VALUE"""),"JONRUIZ175@GMAIL.COM")</f>
        <v>JONRUIZ175@GMAIL.COM</v>
      </c>
      <c r="L815" s="1" t="str">
        <f>IFERROR(__xludf.DUMMYFUNCTION("""COMPUTED_VALUE"""),"141")</f>
        <v>141</v>
      </c>
      <c r="M815" s="1" t="str">
        <f>IFERROR(__xludf.DUMMYFUNCTION("""COMPUTED_VALUE"""),"PUROK 38")</f>
        <v>PUROK 38</v>
      </c>
      <c r="N815" s="1"/>
      <c r="O815" s="1"/>
      <c r="P815" s="1"/>
      <c r="Q815" s="1" t="str">
        <f>IFERROR(__xludf.DUMMYFUNCTION("""COMPUTED_VALUE"""),"GUINHAWA SOUTH")</f>
        <v>GUINHAWA SOUTH</v>
      </c>
      <c r="R815" s="1" t="str">
        <f>IFERROR(__xludf.DUMMYFUNCTION("""COMPUTED_VALUE"""),"TAGAYTAY")</f>
        <v>TAGAYTAY</v>
      </c>
      <c r="S815" s="1" t="str">
        <f>IFERROR(__xludf.DUMMYFUNCTION("""COMPUTED_VALUE"""),"CAVITE")</f>
        <v>CAVITE</v>
      </c>
      <c r="T815" s="1" t="str">
        <f>IFERROR(__xludf.DUMMYFUNCTION("""COMPUTED_VALUE"""),"FIBR UNLI ALL PLAN 1399")</f>
        <v>FIBR UNLI ALL PLAN 1399</v>
      </c>
      <c r="U815" s="1" t="str">
        <f>IFERROR(__xludf.DUMMYFUNCTION("""COMPUTED_VALUE"""),"APPROVED")</f>
        <v>APPROVED</v>
      </c>
      <c r="V815" s="1"/>
      <c r="W815" s="1"/>
    </row>
    <row r="816" customHeight="1" spans="1:23">
      <c r="A816" s="3">
        <f>IFERROR(__xludf.DUMMYFUNCTION("""COMPUTED_VALUE"""),46096)</f>
        <v>46096</v>
      </c>
      <c r="B816" s="1" t="str">
        <f>IFERROR(__xludf.DUMMYFUNCTION("""COMPUTED_VALUE"""),"MALIWAT MARK ELVIN")</f>
        <v>MALIWAT MARK ELVIN</v>
      </c>
      <c r="C816" s="1" t="str">
        <f>IFERROR(__xludf.DUMMYFUNCTION("""COMPUTED_VALUE"""),"FLA")</f>
        <v>FLA</v>
      </c>
      <c r="D816" s="1" t="str">
        <f>IFERROR(__xludf.DUMMYFUNCTION("""COMPUTED_VALUE"""),"JERIC NAVARRO")</f>
        <v>JERIC NAVARRO</v>
      </c>
      <c r="E816" s="1" t="str">
        <f>IFERROR(__xludf.DUMMYFUNCTION("""COMPUTED_VALUE"""),"PLDT")</f>
        <v>PLDT</v>
      </c>
      <c r="F816" s="1">
        <f>IFERROR(__xludf.DUMMYFUNCTION("""COMPUTED_VALUE"""),2308273478)</f>
        <v>2308273478</v>
      </c>
      <c r="G816" s="1"/>
      <c r="H816" s="1" t="str">
        <f>IFERROR(__xludf.DUMMYFUNCTION("""COMPUTED_VALUE"""),"LIZ DIANE CLORION CONEJOS")</f>
        <v>LIZ DIANE CLORION CONEJOS</v>
      </c>
      <c r="I816" s="1">
        <f>IFERROR(__xludf.DUMMYFUNCTION("""COMPUTED_VALUE"""),9761106314)</f>
        <v>9761106314</v>
      </c>
      <c r="J816" s="1">
        <f>IFERROR(__xludf.DUMMYFUNCTION("""COMPUTED_VALUE"""),9626087730)</f>
        <v>9626087730</v>
      </c>
      <c r="K816" s="1" t="str">
        <f>IFERROR(__xludf.DUMMYFUNCTION("""COMPUTED_VALUE"""),"ENAID0917@GMAIL.COM")</f>
        <v>ENAID0917@GMAIL.COM</v>
      </c>
      <c r="L816" s="1" t="str">
        <f>IFERROR(__xludf.DUMMYFUNCTION("""COMPUTED_VALUE"""),"BLK 7 LOT 9")</f>
        <v>BLK 7 LOT 9</v>
      </c>
      <c r="M816" s="1" t="str">
        <f>IFERROR(__xludf.DUMMYFUNCTION("""COMPUTED_VALUE"""),"MORNING VIEW")</f>
        <v>MORNING VIEW</v>
      </c>
      <c r="N816" s="1"/>
      <c r="O816" s="1"/>
      <c r="P816" s="1"/>
      <c r="Q816" s="1" t="str">
        <f>IFERROR(__xludf.DUMMYFUNCTION("""COMPUTED_VALUE"""),"PUTING KAHOY")</f>
        <v>PUTING KAHOY</v>
      </c>
      <c r="R816" s="1" t="str">
        <f>IFERROR(__xludf.DUMMYFUNCTION("""COMPUTED_VALUE"""),"SILANG")</f>
        <v>SILANG</v>
      </c>
      <c r="S816" s="1" t="str">
        <f>IFERROR(__xludf.DUMMYFUNCTION("""COMPUTED_VALUE"""),"CAVITE")</f>
        <v>CAVITE</v>
      </c>
      <c r="T816" s="1" t="str">
        <f>IFERROR(__xludf.DUMMYFUNCTION("""COMPUTED_VALUE"""),"SWITCH FIBER UNLI ALL 2499")</f>
        <v>SWITCH FIBER UNLI ALL 2499</v>
      </c>
      <c r="U816" s="1" t="str">
        <f>IFERROR(__xludf.DUMMYFUNCTION("""COMPUTED_VALUE"""),"APPROVED")</f>
        <v>APPROVED</v>
      </c>
      <c r="V816" s="1"/>
      <c r="W816" s="1"/>
    </row>
    <row r="817" customHeight="1" spans="1:23">
      <c r="A817" s="3">
        <f>IFERROR(__xludf.DUMMYFUNCTION("""COMPUTED_VALUE"""),46096)</f>
        <v>46096</v>
      </c>
      <c r="B817" s="1" t="str">
        <f>IFERROR(__xludf.DUMMYFUNCTION("""COMPUTED_VALUE"""),"AYON MANUEL")</f>
        <v>AYON MANUEL</v>
      </c>
      <c r="C817" s="1" t="str">
        <f>IFERROR(__xludf.DUMMYFUNCTION("""COMPUTED_VALUE"""),"FLA")</f>
        <v>FLA</v>
      </c>
      <c r="D817" s="1" t="str">
        <f>IFERROR(__xludf.DUMMYFUNCTION("""COMPUTED_VALUE"""),"JERIC NAVARRO")</f>
        <v>JERIC NAVARRO</v>
      </c>
      <c r="E817" s="1" t="str">
        <f>IFERROR(__xludf.DUMMYFUNCTION("""COMPUTED_VALUE"""),"PLDT")</f>
        <v>PLDT</v>
      </c>
      <c r="F817" s="1">
        <f>IFERROR(__xludf.DUMMYFUNCTION("""COMPUTED_VALUE"""),2308274613)</f>
        <v>2308274613</v>
      </c>
      <c r="G817" s="1"/>
      <c r="H817" s="1" t="str">
        <f>IFERROR(__xludf.DUMMYFUNCTION("""COMPUTED_VALUE"""),"CARINA LHYNN BALUITAN MENDOZA")</f>
        <v>CARINA LHYNN BALUITAN MENDOZA</v>
      </c>
      <c r="I817" s="1">
        <f>IFERROR(__xludf.DUMMYFUNCTION("""COMPUTED_VALUE"""),9947220735)</f>
        <v>9947220735</v>
      </c>
      <c r="J817" s="1">
        <f>IFERROR(__xludf.DUMMYFUNCTION("""COMPUTED_VALUE"""),9193735866)</f>
        <v>9193735866</v>
      </c>
      <c r="K817" s="1" t="str">
        <f>IFERROR(__xludf.DUMMYFUNCTION("""COMPUTED_VALUE"""),"KARINALHYNN24@GMAIL.COM")</f>
        <v>KARINALHYNN24@GMAIL.COM</v>
      </c>
      <c r="L817" s="1" t="str">
        <f>IFERROR(__xludf.DUMMYFUNCTION("""COMPUTED_VALUE"""),"BLK 2 LOT 2")</f>
        <v>BLK 2 LOT 2</v>
      </c>
      <c r="M817" s="1" t="str">
        <f>IFERROR(__xludf.DUMMYFUNCTION("""COMPUTED_VALUE"""),"SPRINGWOODS")</f>
        <v>SPRINGWOODS</v>
      </c>
      <c r="N817" s="1"/>
      <c r="O817" s="1"/>
      <c r="P817" s="1"/>
      <c r="Q817" s="1" t="str">
        <f>IFERROR(__xludf.DUMMYFUNCTION("""COMPUTED_VALUE"""),"BANAYAD")</f>
        <v>BANAYAD</v>
      </c>
      <c r="R817" s="1" t="str">
        <f>IFERROR(__xludf.DUMMYFUNCTION("""COMPUTED_VALUE"""),"MENDEZ")</f>
        <v>MENDEZ</v>
      </c>
      <c r="S817" s="1" t="str">
        <f>IFERROR(__xludf.DUMMYFUNCTION("""COMPUTED_VALUE"""),"CAVITE")</f>
        <v>CAVITE</v>
      </c>
      <c r="T817" s="1" t="str">
        <f>IFERROR(__xludf.DUMMYFUNCTION("""COMPUTED_VALUE"""),"FIBR UNLI ALL PLAN 1399")</f>
        <v>FIBR UNLI ALL PLAN 1399</v>
      </c>
      <c r="U817" s="1" t="str">
        <f>IFERROR(__xludf.DUMMYFUNCTION("""COMPUTED_VALUE"""),"APPROVED")</f>
        <v>APPROVED</v>
      </c>
      <c r="V817" s="1"/>
      <c r="W817" s="1"/>
    </row>
    <row r="818" customHeight="1" spans="1:23">
      <c r="A818" s="3">
        <f>IFERROR(__xludf.DUMMYFUNCTION("""COMPUTED_VALUE"""),46096)</f>
        <v>46096</v>
      </c>
      <c r="B818" s="1" t="str">
        <f>IFERROR(__xludf.DUMMYFUNCTION("""COMPUTED_VALUE"""),"MCNULTY KRYSTEL")</f>
        <v>MCNULTY KRYSTEL</v>
      </c>
      <c r="C818" s="1" t="str">
        <f>IFERROR(__xludf.DUMMYFUNCTION("""COMPUTED_VALUE"""),"ORGANIC")</f>
        <v>ORGANIC</v>
      </c>
      <c r="D818" s="1" t="str">
        <f>IFERROR(__xludf.DUMMYFUNCTION("""COMPUTED_VALUE"""),"ALINGARO, CINDY")</f>
        <v>ALINGARO, CINDY</v>
      </c>
      <c r="E818" s="1" t="str">
        <f>IFERROR(__xludf.DUMMYFUNCTION("""COMPUTED_VALUE"""),"PLDT")</f>
        <v>PLDT</v>
      </c>
      <c r="F818" s="1">
        <f>IFERROR(__xludf.DUMMYFUNCTION("""COMPUTED_VALUE"""),2308275015)</f>
        <v>2308275015</v>
      </c>
      <c r="G818" s="1"/>
      <c r="H818" s="1" t="str">
        <f>IFERROR(__xludf.DUMMYFUNCTION("""COMPUTED_VALUE"""),"ELENA BALIGOD ANOG")</f>
        <v>ELENA BALIGOD ANOG</v>
      </c>
      <c r="I818" s="1">
        <f>IFERROR(__xludf.DUMMYFUNCTION("""COMPUTED_VALUE"""),9175806330)</f>
        <v>9175806330</v>
      </c>
      <c r="J818" s="1">
        <f>IFERROR(__xludf.DUMMYFUNCTION("""COMPUTED_VALUE"""),9175070537)</f>
        <v>9175070537</v>
      </c>
      <c r="K818" s="1" t="str">
        <f>IFERROR(__xludf.DUMMYFUNCTION("""COMPUTED_VALUE"""),"ZELAB@YAHOO.COM")</f>
        <v>ZELAB@YAHOO.COM</v>
      </c>
      <c r="L818" s="1" t="str">
        <f>IFERROR(__xludf.DUMMYFUNCTION("""COMPUTED_VALUE"""),"LOT 30")</f>
        <v>LOT 30</v>
      </c>
      <c r="M818" s="1" t="str">
        <f>IFERROR(__xludf.DUMMYFUNCTION("""COMPUTED_VALUE"""),"LITA BAY")</f>
        <v>LITA BAY</v>
      </c>
      <c r="N818" s="1"/>
      <c r="O818" s="1"/>
      <c r="P818" s="1"/>
      <c r="Q818" s="1" t="str">
        <f>IFERROR(__xludf.DUMMYFUNCTION("""COMPUTED_VALUE"""),"PANUNGYAN I")</f>
        <v>PANUNGYAN I</v>
      </c>
      <c r="R818" s="1" t="str">
        <f>IFERROR(__xludf.DUMMYFUNCTION("""COMPUTED_VALUE"""),"MENDEZ")</f>
        <v>MENDEZ</v>
      </c>
      <c r="S818" s="1" t="str">
        <f>IFERROR(__xludf.DUMMYFUNCTION("""COMPUTED_VALUE"""),"CAVITE")</f>
        <v>CAVITE</v>
      </c>
      <c r="T818" s="1" t="str">
        <f>IFERROR(__xludf.DUMMYFUNCTION("""COMPUTED_VALUE"""),"FIBR UNLI ALL PLAN 1399")</f>
        <v>FIBR UNLI ALL PLAN 1399</v>
      </c>
      <c r="U818" s="1" t="str">
        <f>IFERROR(__xludf.DUMMYFUNCTION("""COMPUTED_VALUE"""),"APPROVED")</f>
        <v>APPROVED</v>
      </c>
      <c r="V818" s="1"/>
      <c r="W818" s="1"/>
    </row>
    <row r="819" customHeight="1" spans="1:23">
      <c r="A819" s="3">
        <f>IFERROR(__xludf.DUMMYFUNCTION("""COMPUTED_VALUE"""),46096)</f>
        <v>46096</v>
      </c>
      <c r="B819" s="1" t="str">
        <f>IFERROR(__xludf.DUMMYFUNCTION("""COMPUTED_VALUE"""),"ALINGARO, CINDY")</f>
        <v>ALINGARO, CINDY</v>
      </c>
      <c r="C819" s="1" t="str">
        <f>IFERROR(__xludf.DUMMYFUNCTION("""COMPUTED_VALUE"""),"FLA")</f>
        <v>FLA</v>
      </c>
      <c r="D819" s="1" t="str">
        <f>IFERROR(__xludf.DUMMYFUNCTION("""COMPUTED_VALUE"""),"JERIC NAVARRO")</f>
        <v>JERIC NAVARRO</v>
      </c>
      <c r="E819" s="1" t="str">
        <f>IFERROR(__xludf.DUMMYFUNCTION("""COMPUTED_VALUE"""),"PLDT")</f>
        <v>PLDT</v>
      </c>
      <c r="F819" s="1">
        <f>IFERROR(__xludf.DUMMYFUNCTION("""COMPUTED_VALUE"""),2308275635)</f>
        <v>2308275635</v>
      </c>
      <c r="G819" s="1"/>
      <c r="H819" s="1" t="str">
        <f>IFERROR(__xludf.DUMMYFUNCTION("""COMPUTED_VALUE"""),"BENNIDIC BALTAZAR ESGUERA")</f>
        <v>BENNIDIC BALTAZAR ESGUERA</v>
      </c>
      <c r="I819" s="1">
        <f>IFERROR(__xludf.DUMMYFUNCTION("""COMPUTED_VALUE"""),9615202054)</f>
        <v>9615202054</v>
      </c>
      <c r="J819" s="1"/>
      <c r="K819" s="1" t="str">
        <f>IFERROR(__xludf.DUMMYFUNCTION("""COMPUTED_VALUE"""),"ATTYBENNIDICESGUERA@GMAIL.COM")</f>
        <v>ATTYBENNIDICESGUERA@GMAIL.COM</v>
      </c>
      <c r="L819" s="1" t="str">
        <f>IFERROR(__xludf.DUMMYFUNCTION("""COMPUTED_VALUE"""),"88")</f>
        <v>88</v>
      </c>
      <c r="M819" s="1" t="str">
        <f>IFERROR(__xludf.DUMMYFUNCTION("""COMPUTED_VALUE"""),"PULONG PANDAY")</f>
        <v>PULONG PANDAY</v>
      </c>
      <c r="N819" s="1"/>
      <c r="O819" s="1"/>
      <c r="P819" s="1"/>
      <c r="Q819" s="1" t="str">
        <f>IFERROR(__xludf.DUMMYFUNCTION("""COMPUTED_VALUE"""),"PANUNGYAN I")</f>
        <v>PANUNGYAN I</v>
      </c>
      <c r="R819" s="1" t="str">
        <f>IFERROR(__xludf.DUMMYFUNCTION("""COMPUTED_VALUE"""),"MENDEZ")</f>
        <v>MENDEZ</v>
      </c>
      <c r="S819" s="1" t="str">
        <f>IFERROR(__xludf.DUMMYFUNCTION("""COMPUTED_VALUE"""),"CAVITE")</f>
        <v>CAVITE</v>
      </c>
      <c r="T819" s="1" t="str">
        <f>IFERROR(__xludf.DUMMYFUNCTION("""COMPUTED_VALUE"""),"FIBR UNLI ALL PLAN 1399")</f>
        <v>FIBR UNLI ALL PLAN 1399</v>
      </c>
      <c r="U819" s="1" t="str">
        <f>IFERROR(__xludf.DUMMYFUNCTION("""COMPUTED_VALUE"""),"APPROVED")</f>
        <v>APPROVED</v>
      </c>
      <c r="V819" s="1"/>
      <c r="W819" s="1"/>
    </row>
    <row r="820" customHeight="1" spans="1:23">
      <c r="A820" s="3">
        <f>IFERROR(__xludf.DUMMYFUNCTION("""COMPUTED_VALUE"""),46097)</f>
        <v>46097</v>
      </c>
      <c r="B820" s="1" t="str">
        <f>IFERROR(__xludf.DUMMYFUNCTION("""COMPUTED_VALUE"""),"TISTON, CEDRICK")</f>
        <v>TISTON, CEDRICK</v>
      </c>
      <c r="C820" s="1" t="str">
        <f>IFERROR(__xludf.DUMMYFUNCTION("""COMPUTED_VALUE"""),"FLA")</f>
        <v>FLA</v>
      </c>
      <c r="D820" s="1" t="str">
        <f>IFERROR(__xludf.DUMMYFUNCTION("""COMPUTED_VALUE"""),"JERIC NAVARRO")</f>
        <v>JERIC NAVARRO</v>
      </c>
      <c r="E820" s="1" t="str">
        <f>IFERROR(__xludf.DUMMYFUNCTION("""COMPUTED_VALUE"""),"PLDT")</f>
        <v>PLDT</v>
      </c>
      <c r="F820" s="1">
        <f>IFERROR(__xludf.DUMMYFUNCTION("""COMPUTED_VALUE"""),2308283791)</f>
        <v>2308283791</v>
      </c>
      <c r="G820" s="1"/>
      <c r="H820" s="1" t="str">
        <f>IFERROR(__xludf.DUMMYFUNCTION("""COMPUTED_VALUE"""),"JOHN THEE JAY MACAYAN GUIRINO")</f>
        <v>JOHN THEE JAY MACAYAN GUIRINO</v>
      </c>
      <c r="I820" s="1">
        <f>IFERROR(__xludf.DUMMYFUNCTION("""COMPUTED_VALUE"""),9083472104)</f>
        <v>9083472104</v>
      </c>
      <c r="J820" s="1">
        <f>IFERROR(__xludf.DUMMYFUNCTION("""COMPUTED_VALUE"""),9916862776)</f>
        <v>9916862776</v>
      </c>
      <c r="K820" s="1" t="str">
        <f>IFERROR(__xludf.DUMMYFUNCTION("""COMPUTED_VALUE"""),"ALVINSFERNANDEZ@HOTMAIL.COM")</f>
        <v>ALVINSFERNANDEZ@HOTMAIL.COM</v>
      </c>
      <c r="L820" s="1" t="str">
        <f>IFERROR(__xludf.DUMMYFUNCTION("""COMPUTED_VALUE"""),"BLK 6 LOT 13")</f>
        <v>BLK 6 LOT 13</v>
      </c>
      <c r="M820" s="1" t="str">
        <f>IFERROR(__xludf.DUMMYFUNCTION("""COMPUTED_VALUE"""),"PHASE 3")</f>
        <v>PHASE 3</v>
      </c>
      <c r="N820" s="1" t="str">
        <f>IFERROR(__xludf.DUMMYFUNCTION("""COMPUTED_VALUE"""),"UPPER MOONLIGHT")</f>
        <v>UPPER MOONLIGHT</v>
      </c>
      <c r="O820" s="1"/>
      <c r="P820" s="1"/>
      <c r="Q820" s="1" t="str">
        <f>IFERROR(__xludf.DUMMYFUNCTION("""COMPUTED_VALUE"""),"GREGORIA DE JESUS")</f>
        <v>GREGORIA DE JESUS</v>
      </c>
      <c r="R820" s="1" t="str">
        <f>IFERROR(__xludf.DUMMYFUNCTION("""COMPUTED_VALUE"""),"GEN MARIANO ALVAREZ")</f>
        <v>GEN MARIANO ALVAREZ</v>
      </c>
      <c r="S820" s="1" t="str">
        <f>IFERROR(__xludf.DUMMYFUNCTION("""COMPUTED_VALUE"""),"CAVITE")</f>
        <v>CAVITE</v>
      </c>
      <c r="T820" s="1" t="str">
        <f>IFERROR(__xludf.DUMMYFUNCTION("""COMPUTED_VALUE"""),"FIBR NETFLIX PLAN 1599")</f>
        <v>FIBR NETFLIX PLAN 1599</v>
      </c>
      <c r="U820" s="1" t="str">
        <f>IFERROR(__xludf.DUMMYFUNCTION("""COMPUTED_VALUE"""),"APPROVED")</f>
        <v>APPROVED</v>
      </c>
      <c r="V820" s="1"/>
      <c r="W820" s="1"/>
    </row>
    <row r="821" customHeight="1" spans="1:23">
      <c r="A821" s="3">
        <f>IFERROR(__xludf.DUMMYFUNCTION("""COMPUTED_VALUE"""),46097)</f>
        <v>46097</v>
      </c>
      <c r="B821" s="1" t="str">
        <f>IFERROR(__xludf.DUMMYFUNCTION("""COMPUTED_VALUE"""),"AYON MANUEL")</f>
        <v>AYON MANUEL</v>
      </c>
      <c r="C821" s="1" t="str">
        <f>IFERROR(__xludf.DUMMYFUNCTION("""COMPUTED_VALUE"""),"FLA")</f>
        <v>FLA</v>
      </c>
      <c r="D821" s="1" t="str">
        <f>IFERROR(__xludf.DUMMYFUNCTION("""COMPUTED_VALUE"""),"JERIC NAVARRO")</f>
        <v>JERIC NAVARRO</v>
      </c>
      <c r="E821" s="1" t="str">
        <f>IFERROR(__xludf.DUMMYFUNCTION("""COMPUTED_VALUE"""),"PLDT")</f>
        <v>PLDT</v>
      </c>
      <c r="F821" s="1">
        <f>IFERROR(__xludf.DUMMYFUNCTION("""COMPUTED_VALUE"""),2308285114)</f>
        <v>2308285114</v>
      </c>
      <c r="G821" s="1"/>
      <c r="H821" s="1" t="str">
        <f>IFERROR(__xludf.DUMMYFUNCTION("""COMPUTED_VALUE"""),"AERON JAMES NAVARETTE LIGSA")</f>
        <v>AERON JAMES NAVARETTE LIGSA</v>
      </c>
      <c r="I821" s="1">
        <f>IFERROR(__xludf.DUMMYFUNCTION("""COMPUTED_VALUE"""),9278705887)</f>
        <v>9278705887</v>
      </c>
      <c r="J821" s="1"/>
      <c r="K821" s="1" t="str">
        <f>IFERROR(__xludf.DUMMYFUNCTION("""COMPUTED_VALUE"""),"AEJAMES0725@GMAIL.COM")</f>
        <v>AEJAMES0725@GMAIL.COM</v>
      </c>
      <c r="L821" s="1" t="str">
        <f>IFERROR(__xludf.DUMMYFUNCTION("""COMPUTED_VALUE"""),"LOT 1737")</f>
        <v>LOT 1737</v>
      </c>
      <c r="M821" s="1" t="str">
        <f>IFERROR(__xludf.DUMMYFUNCTION("""COMPUTED_VALUE"""),"SAN PEDRO ST")</f>
        <v>SAN PEDRO ST</v>
      </c>
      <c r="N821" s="1"/>
      <c r="O821" s="1"/>
      <c r="P821" s="1"/>
      <c r="Q821" s="1" t="str">
        <f>IFERROR(__xludf.DUMMYFUNCTION("""COMPUTED_VALUE"""),"BUKAL")</f>
        <v>BUKAL</v>
      </c>
      <c r="R821" s="1" t="str">
        <f>IFERROR(__xludf.DUMMYFUNCTION("""COMPUTED_VALUE"""),"MENDEZ")</f>
        <v>MENDEZ</v>
      </c>
      <c r="S821" s="1" t="str">
        <f>IFERROR(__xludf.DUMMYFUNCTION("""COMPUTED_VALUE"""),"CAVITE")</f>
        <v>CAVITE</v>
      </c>
      <c r="T821" s="1" t="str">
        <f>IFERROR(__xludf.DUMMYFUNCTION("""COMPUTED_VALUE"""),"PREPAID FIBER UNLI")</f>
        <v>PREPAID FIBER UNLI</v>
      </c>
      <c r="U821" s="1" t="str">
        <f>IFERROR(__xludf.DUMMYFUNCTION("""COMPUTED_VALUE"""),"APPROVED")</f>
        <v>APPROVED</v>
      </c>
      <c r="V821" s="1"/>
      <c r="W821" s="1"/>
    </row>
    <row r="822" customHeight="1" spans="1:23">
      <c r="A822" s="3">
        <f>IFERROR(__xludf.DUMMYFUNCTION("""COMPUTED_VALUE"""),46097)</f>
        <v>46097</v>
      </c>
      <c r="B822" s="1" t="str">
        <f>IFERROR(__xludf.DUMMYFUNCTION("""COMPUTED_VALUE"""),"CANTANERO JUNEL")</f>
        <v>CANTANERO JUNEL</v>
      </c>
      <c r="C822" s="1" t="str">
        <f>IFERROR(__xludf.DUMMYFUNCTION("""COMPUTED_VALUE"""),"ORGANIC")</f>
        <v>ORGANIC</v>
      </c>
      <c r="D822" s="1" t="str">
        <f>IFERROR(__xludf.DUMMYFUNCTION("""COMPUTED_VALUE"""),"ALINGARO, CINDY")</f>
        <v>ALINGARO, CINDY</v>
      </c>
      <c r="E822" s="1" t="str">
        <f>IFERROR(__xludf.DUMMYFUNCTION("""COMPUTED_VALUE"""),"PLDT")</f>
        <v>PLDT</v>
      </c>
      <c r="F822" s="1">
        <f>IFERROR(__xludf.DUMMYFUNCTION("""COMPUTED_VALUE"""),2308290646)</f>
        <v>2308290646</v>
      </c>
      <c r="G822" s="1"/>
      <c r="H822" s="1" t="str">
        <f>IFERROR(__xludf.DUMMYFUNCTION("""COMPUTED_VALUE"""),"ESTEFANY FLORES CADENAS")</f>
        <v>ESTEFANY FLORES CADENAS</v>
      </c>
      <c r="I822" s="1">
        <f>IFERROR(__xludf.DUMMYFUNCTION("""COMPUTED_VALUE"""),9487134450)</f>
        <v>9487134450</v>
      </c>
      <c r="J822" s="1">
        <f>IFERROR(__xludf.DUMMYFUNCTION("""COMPUTED_VALUE"""),9951871813)</f>
        <v>9951871813</v>
      </c>
      <c r="K822" s="1" t="str">
        <f>IFERROR(__xludf.DUMMYFUNCTION("""COMPUTED_VALUE"""),"ESTEFANYCADENAS53@GMAIL.COM")</f>
        <v>ESTEFANYCADENAS53@GMAIL.COM</v>
      </c>
      <c r="L822" s="1" t="str">
        <f>IFERROR(__xludf.DUMMYFUNCTION("""COMPUTED_VALUE"""),"11")</f>
        <v>11</v>
      </c>
      <c r="M822" s="1" t="str">
        <f>IFERROR(__xludf.DUMMYFUNCTION("""COMPUTED_VALUE"""),"ALCANTARA ST")</f>
        <v>ALCANTARA ST</v>
      </c>
      <c r="N822" s="1"/>
      <c r="O822" s="1"/>
      <c r="P822" s="1"/>
      <c r="Q822" s="1" t="str">
        <f>IFERROR(__xludf.DUMMYFUNCTION("""COMPUTED_VALUE"""),"TOLEDO")</f>
        <v>TOLEDO</v>
      </c>
      <c r="R822" s="1" t="str">
        <f>IFERROR(__xludf.DUMMYFUNCTION("""COMPUTED_VALUE"""),"SILANG")</f>
        <v>SILANG</v>
      </c>
      <c r="S822" s="1" t="str">
        <f>IFERROR(__xludf.DUMMYFUNCTION("""COMPUTED_VALUE"""),"CAVITE")</f>
        <v>CAVITE</v>
      </c>
      <c r="T822" s="1" t="str">
        <f>IFERROR(__xludf.DUMMYFUNCTION("""COMPUTED_VALUE"""),"FIBR PLAN 1299")</f>
        <v>FIBR PLAN 1299</v>
      </c>
      <c r="U822" s="1" t="str">
        <f>IFERROR(__xludf.DUMMYFUNCTION("""COMPUTED_VALUE"""),"APPROVED")</f>
        <v>APPROVED</v>
      </c>
      <c r="V822" s="1"/>
      <c r="W822" s="1"/>
    </row>
    <row r="823" customHeight="1" spans="1:23">
      <c r="A823" s="3">
        <f>IFERROR(__xludf.DUMMYFUNCTION("""COMPUTED_VALUE"""),46097)</f>
        <v>46097</v>
      </c>
      <c r="B823" s="1" t="str">
        <f>IFERROR(__xludf.DUMMYFUNCTION("""COMPUTED_VALUE"""),"MALIWAT MARK ELVIN")</f>
        <v>MALIWAT MARK ELVIN</v>
      </c>
      <c r="C823" s="1" t="str">
        <f>IFERROR(__xludf.DUMMYFUNCTION("""COMPUTED_VALUE"""),"FLA")</f>
        <v>FLA</v>
      </c>
      <c r="D823" s="1" t="str">
        <f>IFERROR(__xludf.DUMMYFUNCTION("""COMPUTED_VALUE"""),"JERIC NAVARRO")</f>
        <v>JERIC NAVARRO</v>
      </c>
      <c r="E823" s="1" t="str">
        <f>IFERROR(__xludf.DUMMYFUNCTION("""COMPUTED_VALUE"""),"PLDT")</f>
        <v>PLDT</v>
      </c>
      <c r="F823" s="1">
        <f>IFERROR(__xludf.DUMMYFUNCTION("""COMPUTED_VALUE"""),2308291047)</f>
        <v>2308291047</v>
      </c>
      <c r="G823" s="1"/>
      <c r="H823" s="1" t="str">
        <f>IFERROR(__xludf.DUMMYFUNCTION("""COMPUTED_VALUE"""),"MERLYN TUPAS ORIT")</f>
        <v>MERLYN TUPAS ORIT</v>
      </c>
      <c r="I823" s="1">
        <f>IFERROR(__xludf.DUMMYFUNCTION("""COMPUTED_VALUE"""),9941296245)</f>
        <v>9941296245</v>
      </c>
      <c r="J823" s="1">
        <f>IFERROR(__xludf.DUMMYFUNCTION("""COMPUTED_VALUE"""),9243609605)</f>
        <v>9243609605</v>
      </c>
      <c r="K823" s="1" t="str">
        <f>IFERROR(__xludf.DUMMYFUNCTION("""COMPUTED_VALUE"""),"MELWINTIMBANG6@GMAIL.COM")</f>
        <v>MELWINTIMBANG6@GMAIL.COM</v>
      </c>
      <c r="L823" s="1" t="str">
        <f>IFERROR(__xludf.DUMMYFUNCTION("""COMPUTED_VALUE"""),"176")</f>
        <v>176</v>
      </c>
      <c r="M823" s="1" t="str">
        <f>IFERROR(__xludf.DUMMYFUNCTION("""COMPUTED_VALUE"""),"AGUINALDO HIGHWAY")</f>
        <v>AGUINALDO HIGHWAY</v>
      </c>
      <c r="N823" s="1"/>
      <c r="O823" s="1"/>
      <c r="P823" s="1"/>
      <c r="Q823" s="1" t="str">
        <f>IFERROR(__xludf.DUMMYFUNCTION("""COMPUTED_VALUE"""),"SAN AGUSTIN I")</f>
        <v>SAN AGUSTIN I</v>
      </c>
      <c r="R823" s="1" t="str">
        <f>IFERROR(__xludf.DUMMYFUNCTION("""COMPUTED_VALUE"""),"DASMARINAS")</f>
        <v>DASMARINAS</v>
      </c>
      <c r="S823" s="1" t="str">
        <f>IFERROR(__xludf.DUMMYFUNCTION("""COMPUTED_VALUE"""),"CAVITE")</f>
        <v>CAVITE</v>
      </c>
      <c r="T823" s="1" t="str">
        <f>IFERROR(__xludf.DUMMYFUNCTION("""COMPUTED_VALUE"""),"FIBR UNLI ALL PLAN 1399")</f>
        <v>FIBR UNLI ALL PLAN 1399</v>
      </c>
      <c r="U823" s="1" t="str">
        <f>IFERROR(__xludf.DUMMYFUNCTION("""COMPUTED_VALUE"""),"APPROVED")</f>
        <v>APPROVED</v>
      </c>
      <c r="V823" s="1"/>
      <c r="W823" s="1"/>
    </row>
    <row r="824" customHeight="1" spans="1:23">
      <c r="A824" s="3">
        <f>IFERROR(__xludf.DUMMYFUNCTION("""COMPUTED_VALUE"""),46097)</f>
        <v>46097</v>
      </c>
      <c r="B824" s="1" t="str">
        <f>IFERROR(__xludf.DUMMYFUNCTION("""COMPUTED_VALUE"""),"DELA ROSA, JENNELYN")</f>
        <v>DELA ROSA, JENNELYN</v>
      </c>
      <c r="C824" s="1" t="str">
        <f>IFERROR(__xludf.DUMMYFUNCTION("""COMPUTED_VALUE"""),"ORGANIC")</f>
        <v>ORGANIC</v>
      </c>
      <c r="D824" s="1" t="str">
        <f>IFERROR(__xludf.DUMMYFUNCTION("""COMPUTED_VALUE"""),"ALOS, CHARLS")</f>
        <v>ALOS, CHARLS</v>
      </c>
      <c r="E824" s="1" t="str">
        <f>IFERROR(__xludf.DUMMYFUNCTION("""COMPUTED_VALUE"""),"PLDT")</f>
        <v>PLDT</v>
      </c>
      <c r="F824" s="1">
        <f>IFERROR(__xludf.DUMMYFUNCTION("""COMPUTED_VALUE"""),2308291145)</f>
        <v>2308291145</v>
      </c>
      <c r="G824" s="1"/>
      <c r="H824" s="1" t="str">
        <f>IFERROR(__xludf.DUMMYFUNCTION("""COMPUTED_VALUE"""),"JAMETH RICO NAVALLASCA")</f>
        <v>JAMETH RICO NAVALLASCA</v>
      </c>
      <c r="I824" s="1">
        <f>IFERROR(__xludf.DUMMYFUNCTION("""COMPUTED_VALUE"""),9602178700)</f>
        <v>9602178700</v>
      </c>
      <c r="J824" s="1"/>
      <c r="K824" s="1" t="str">
        <f>IFERROR(__xludf.DUMMYFUNCTION("""COMPUTED_VALUE"""),"DLOBINA1011@GMAIL.COM")</f>
        <v>DLOBINA1011@GMAIL.COM</v>
      </c>
      <c r="L824" s="1" t="str">
        <f>IFERROR(__xludf.DUMMYFUNCTION("""COMPUTED_VALUE"""),"BLK 11B LOT 9")</f>
        <v>BLK 11B LOT 9</v>
      </c>
      <c r="M824" s="1" t="str">
        <f>IFERROR(__xludf.DUMMYFUNCTION("""COMPUTED_VALUE"""),"GMA VILLAGE")</f>
        <v>GMA VILLAGE</v>
      </c>
      <c r="N824" s="1" t="str">
        <f>IFERROR(__xludf.DUMMYFUNCTION("""COMPUTED_VALUE"""),"POBLACION VILLAGE")</f>
        <v>POBLACION VILLAGE</v>
      </c>
      <c r="O824" s="1"/>
      <c r="P824" s="1"/>
      <c r="Q824" s="1" t="str">
        <f>IFERROR(__xludf.DUMMYFUNCTION("""COMPUTED_VALUE"""),"BARANGAY 5 POBLACION")</f>
        <v>BARANGAY 5 POBLACION</v>
      </c>
      <c r="R824" s="1" t="str">
        <f>IFERROR(__xludf.DUMMYFUNCTION("""COMPUTED_VALUE"""),"GEN MARIANO ALVAREZ")</f>
        <v>GEN MARIANO ALVAREZ</v>
      </c>
      <c r="S824" s="1" t="str">
        <f>IFERROR(__xludf.DUMMYFUNCTION("""COMPUTED_VALUE"""),"CAVITE")</f>
        <v>CAVITE</v>
      </c>
      <c r="T824" s="1" t="str">
        <f>IFERROR(__xludf.DUMMYFUNCTION("""COMPUTED_VALUE"""),"FIBR PLAN 1699")</f>
        <v>FIBR PLAN 1699</v>
      </c>
      <c r="U824" s="1" t="str">
        <f>IFERROR(__xludf.DUMMYFUNCTION("""COMPUTED_VALUE"""),"APPROVED")</f>
        <v>APPROVED</v>
      </c>
      <c r="V824" s="1"/>
      <c r="W824" s="1"/>
    </row>
    <row r="825" customHeight="1" spans="1:23">
      <c r="A825" s="3">
        <f>IFERROR(__xludf.DUMMYFUNCTION("""COMPUTED_VALUE"""),46097)</f>
        <v>46097</v>
      </c>
      <c r="B825" s="1" t="str">
        <f>IFERROR(__xludf.DUMMYFUNCTION("""COMPUTED_VALUE"""),"CANTANERO JUNEL")</f>
        <v>CANTANERO JUNEL</v>
      </c>
      <c r="C825" s="1" t="str">
        <f>IFERROR(__xludf.DUMMYFUNCTION("""COMPUTED_VALUE"""),"ORGANIC")</f>
        <v>ORGANIC</v>
      </c>
      <c r="D825" s="1" t="str">
        <f>IFERROR(__xludf.DUMMYFUNCTION("""COMPUTED_VALUE"""),"ALINGARO, CINDY")</f>
        <v>ALINGARO, CINDY</v>
      </c>
      <c r="E825" s="1" t="str">
        <f>IFERROR(__xludf.DUMMYFUNCTION("""COMPUTED_VALUE"""),"PLDT")</f>
        <v>PLDT</v>
      </c>
      <c r="F825" s="1">
        <f>IFERROR(__xludf.DUMMYFUNCTION("""COMPUTED_VALUE"""),2308292341)</f>
        <v>2308292341</v>
      </c>
      <c r="G825" s="1"/>
      <c r="H825" s="1" t="str">
        <f>IFERROR(__xludf.DUMMYFUNCTION("""COMPUTED_VALUE"""),"LEAH RIGO OLORAZA")</f>
        <v>LEAH RIGO OLORAZA</v>
      </c>
      <c r="I825" s="1">
        <f>IFERROR(__xludf.DUMMYFUNCTION("""COMPUTED_VALUE"""),9465546386)</f>
        <v>9465546386</v>
      </c>
      <c r="J825" s="1">
        <f>IFERROR(__xludf.DUMMYFUNCTION("""COMPUTED_VALUE"""),9497829296)</f>
        <v>9497829296</v>
      </c>
      <c r="K825" s="1" t="str">
        <f>IFERROR(__xludf.DUMMYFUNCTION("""COMPUTED_VALUE"""),"LEAH.OLORAZA@GMAIL.COM")</f>
        <v>LEAH.OLORAZA@GMAIL.COM</v>
      </c>
      <c r="L825" s="1" t="str">
        <f>IFERROR(__xludf.DUMMYFUNCTION("""COMPUTED_VALUE"""),"BLK 10 LOT 24A")</f>
        <v>BLK 10 LOT 24A</v>
      </c>
      <c r="M825" s="1" t="str">
        <f>IFERROR(__xludf.DUMMYFUNCTION("""COMPUTED_VALUE"""),"OLAES RD")</f>
        <v>OLAES RD</v>
      </c>
      <c r="N825" s="1"/>
      <c r="O825" s="1"/>
      <c r="P825" s="1"/>
      <c r="Q825" s="1" t="str">
        <f>IFERROR(__xludf.DUMMYFUNCTION("""COMPUTED_VALUE"""),"ALDIANO OLAES")</f>
        <v>ALDIANO OLAES</v>
      </c>
      <c r="R825" s="1" t="str">
        <f>IFERROR(__xludf.DUMMYFUNCTION("""COMPUTED_VALUE"""),"GEN MARIANO ALVAREZ")</f>
        <v>GEN MARIANO ALVAREZ</v>
      </c>
      <c r="S825" s="1" t="str">
        <f>IFERROR(__xludf.DUMMYFUNCTION("""COMPUTED_VALUE"""),"CAVITE")</f>
        <v>CAVITE</v>
      </c>
      <c r="T825" s="1" t="str">
        <f>IFERROR(__xludf.DUMMYFUNCTION("""COMPUTED_VALUE"""),"FIBR UNLI ALL PLAN 1399")</f>
        <v>FIBR UNLI ALL PLAN 1399</v>
      </c>
      <c r="U825" s="1" t="str">
        <f>IFERROR(__xludf.DUMMYFUNCTION("""COMPUTED_VALUE"""),"APPROVED")</f>
        <v>APPROVED</v>
      </c>
      <c r="V825" s="1"/>
      <c r="W825" s="1"/>
    </row>
    <row r="826" customHeight="1" spans="1:23">
      <c r="A826" s="3">
        <f>IFERROR(__xludf.DUMMYFUNCTION("""COMPUTED_VALUE"""),46097)</f>
        <v>46097</v>
      </c>
      <c r="B826" s="1" t="str">
        <f>IFERROR(__xludf.DUMMYFUNCTION("""COMPUTED_VALUE"""),"FERNANDEZ JERIC")</f>
        <v>FERNANDEZ JERIC</v>
      </c>
      <c r="C826" s="1" t="str">
        <f>IFERROR(__xludf.DUMMYFUNCTION("""COMPUTED_VALUE"""),"ORGANIC")</f>
        <v>ORGANIC</v>
      </c>
      <c r="D826" s="1" t="str">
        <f>IFERROR(__xludf.DUMMYFUNCTION("""COMPUTED_VALUE"""),"ALOS, CHARLS")</f>
        <v>ALOS, CHARLS</v>
      </c>
      <c r="E826" s="1" t="str">
        <f>IFERROR(__xludf.DUMMYFUNCTION("""COMPUTED_VALUE"""),"PLDT")</f>
        <v>PLDT</v>
      </c>
      <c r="F826" s="1">
        <f>IFERROR(__xludf.DUMMYFUNCTION("""COMPUTED_VALUE"""),2308292581)</f>
        <v>2308292581</v>
      </c>
      <c r="G826" s="1"/>
      <c r="H826" s="1" t="str">
        <f>IFERROR(__xludf.DUMMYFUNCTION("""COMPUTED_VALUE"""),"MICA CLARIZE TRANGIA SEPE")</f>
        <v>MICA CLARIZE TRANGIA SEPE</v>
      </c>
      <c r="I826" s="1">
        <f>IFERROR(__xludf.DUMMYFUNCTION("""COMPUTED_VALUE"""),9512967336)</f>
        <v>9512967336</v>
      </c>
      <c r="J826" s="1"/>
      <c r="K826" s="1" t="str">
        <f>IFERROR(__xludf.DUMMYFUNCTION("""COMPUTED_VALUE"""),"MICACLARIZESEPE2002@GMAIL.COM")</f>
        <v>MICACLARIZESEPE2002@GMAIL.COM</v>
      </c>
      <c r="L826" s="1" t="str">
        <f>IFERROR(__xludf.DUMMYFUNCTION("""COMPUTED_VALUE"""),"BLK 1 LOT 6")</f>
        <v>BLK 1 LOT 6</v>
      </c>
      <c r="M826" s="1" t="str">
        <f>IFERROR(__xludf.DUMMYFUNCTION("""COMPUTED_VALUE"""),"PHASE 2A")</f>
        <v>PHASE 2A</v>
      </c>
      <c r="N826" s="1"/>
      <c r="O826" s="1"/>
      <c r="P826" s="1"/>
      <c r="Q826" s="1" t="str">
        <f>IFERROR(__xludf.DUMMYFUNCTION("""COMPUTED_VALUE"""),"ANAHAW I")</f>
        <v>ANAHAW I</v>
      </c>
      <c r="R826" s="1" t="str">
        <f>IFERROR(__xludf.DUMMYFUNCTION("""COMPUTED_VALUE"""),"SILANG")</f>
        <v>SILANG</v>
      </c>
      <c r="S826" s="1" t="str">
        <f>IFERROR(__xludf.DUMMYFUNCTION("""COMPUTED_VALUE"""),"CAVITE")</f>
        <v>CAVITE</v>
      </c>
      <c r="T826" s="1" t="str">
        <f>IFERROR(__xludf.DUMMYFUNCTION("""COMPUTED_VALUE"""),"FIBR UNLI ALL PLAN 999")</f>
        <v>FIBR UNLI ALL PLAN 999</v>
      </c>
      <c r="U826" s="1" t="str">
        <f>IFERROR(__xludf.DUMMYFUNCTION("""COMPUTED_VALUE"""),"APPROVED")</f>
        <v>APPROVED</v>
      </c>
      <c r="V826" s="1"/>
      <c r="W826" s="1"/>
    </row>
    <row r="827" customHeight="1" spans="1:23">
      <c r="A827" s="3">
        <f>IFERROR(__xludf.DUMMYFUNCTION("""COMPUTED_VALUE"""),46097)</f>
        <v>46097</v>
      </c>
      <c r="B827" s="1" t="str">
        <f>IFERROR(__xludf.DUMMYFUNCTION("""COMPUTED_VALUE"""),"GABAY, MANUEL")</f>
        <v>GABAY, MANUEL</v>
      </c>
      <c r="C827" s="1" t="str">
        <f>IFERROR(__xludf.DUMMYFUNCTION("""COMPUTED_VALUE"""),"FLA")</f>
        <v>FLA</v>
      </c>
      <c r="D827" s="1" t="str">
        <f>IFERROR(__xludf.DUMMYFUNCTION("""COMPUTED_VALUE"""),"JERIC NAVARRO")</f>
        <v>JERIC NAVARRO</v>
      </c>
      <c r="E827" s="1" t="str">
        <f>IFERROR(__xludf.DUMMYFUNCTION("""COMPUTED_VALUE"""),"PLDT")</f>
        <v>PLDT</v>
      </c>
      <c r="F827" s="1">
        <f>IFERROR(__xludf.DUMMYFUNCTION("""COMPUTED_VALUE"""),2308296727)</f>
        <v>2308296727</v>
      </c>
      <c r="G827" s="1"/>
      <c r="H827" s="1" t="str">
        <f>IFERROR(__xludf.DUMMYFUNCTION("""COMPUTED_VALUE"""),"MARLON ALCANTARA REYES")</f>
        <v>MARLON ALCANTARA REYES</v>
      </c>
      <c r="I827" s="1">
        <f>IFERROR(__xludf.DUMMYFUNCTION("""COMPUTED_VALUE"""),9454651120)</f>
        <v>9454651120</v>
      </c>
      <c r="J827" s="1"/>
      <c r="K827" s="1" t="str">
        <f>IFERROR(__xludf.DUMMYFUNCTION("""COMPUTED_VALUE"""),"TRIACE.GRAPICS@GMAIL.COM")</f>
        <v>TRIACE.GRAPICS@GMAIL.COM</v>
      </c>
      <c r="L827" s="1" t="str">
        <f>IFERROR(__xludf.DUMMYFUNCTION("""COMPUTED_VALUE"""),"50")</f>
        <v>50</v>
      </c>
      <c r="M827" s="1" t="str">
        <f>IFERROR(__xludf.DUMMYFUNCTION("""COMPUTED_VALUE"""),"TOLEDO RD")</f>
        <v>TOLEDO RD</v>
      </c>
      <c r="N827" s="1"/>
      <c r="O827" s="1"/>
      <c r="P827" s="1"/>
      <c r="Q827" s="1" t="str">
        <f>IFERROR(__xludf.DUMMYFUNCTION("""COMPUTED_VALUE"""),"TOLEDO")</f>
        <v>TOLEDO</v>
      </c>
      <c r="R827" s="1" t="str">
        <f>IFERROR(__xludf.DUMMYFUNCTION("""COMPUTED_VALUE"""),"SILANG")</f>
        <v>SILANG</v>
      </c>
      <c r="S827" s="1" t="str">
        <f>IFERROR(__xludf.DUMMYFUNCTION("""COMPUTED_VALUE"""),"CAVITE")</f>
        <v>CAVITE</v>
      </c>
      <c r="T827" s="1" t="str">
        <f>IFERROR(__xludf.DUMMYFUNCTION("""COMPUTED_VALUE"""),"FIBR NETFLIX PLAN 1599")</f>
        <v>FIBR NETFLIX PLAN 1599</v>
      </c>
      <c r="U827" s="1" t="str">
        <f>IFERROR(__xludf.DUMMYFUNCTION("""COMPUTED_VALUE"""),"APPROVED")</f>
        <v>APPROVED</v>
      </c>
      <c r="V827" s="1"/>
      <c r="W827" s="1"/>
    </row>
    <row r="828" customHeight="1" spans="1:23">
      <c r="A828" s="3">
        <f>IFERROR(__xludf.DUMMYFUNCTION("""COMPUTED_VALUE"""),46097)</f>
        <v>46097</v>
      </c>
      <c r="B828" s="1" t="str">
        <f>IFERROR(__xludf.DUMMYFUNCTION("""COMPUTED_VALUE"""),"AQUINO, LUIS")</f>
        <v>AQUINO, LUIS</v>
      </c>
      <c r="C828" s="1" t="str">
        <f>IFERROR(__xludf.DUMMYFUNCTION("""COMPUTED_VALUE"""),"ORGANIC")</f>
        <v>ORGANIC</v>
      </c>
      <c r="D828" s="1" t="str">
        <f>IFERROR(__xludf.DUMMYFUNCTION("""COMPUTED_VALUE"""),"ALOS, CHARLS")</f>
        <v>ALOS, CHARLS</v>
      </c>
      <c r="E828" s="1" t="str">
        <f>IFERROR(__xludf.DUMMYFUNCTION("""COMPUTED_VALUE"""),"PLDT")</f>
        <v>PLDT</v>
      </c>
      <c r="F828" s="1">
        <f>IFERROR(__xludf.DUMMYFUNCTION("""COMPUTED_VALUE"""),2308305172)</f>
        <v>2308305172</v>
      </c>
      <c r="G828" s="1"/>
      <c r="H828" s="1" t="str">
        <f>IFERROR(__xludf.DUMMYFUNCTION("""COMPUTED_VALUE"""),"RHEA MAE MACABITAS BRAGA")</f>
        <v>RHEA MAE MACABITAS BRAGA</v>
      </c>
      <c r="I828" s="1">
        <f>IFERROR(__xludf.DUMMYFUNCTION("""COMPUTED_VALUE"""),9304698686)</f>
        <v>9304698686</v>
      </c>
      <c r="J828" s="1"/>
      <c r="K828" s="1" t="str">
        <f>IFERROR(__xludf.DUMMYFUNCTION("""COMPUTED_VALUE"""),"BRAGARHEAMAE@GMAIL.COM")</f>
        <v>BRAGARHEAMAE@GMAIL.COM</v>
      </c>
      <c r="L828" s="1" t="str">
        <f>IFERROR(__xludf.DUMMYFUNCTION("""COMPUTED_VALUE"""),"BLK 12 LOT 10")</f>
        <v>BLK 12 LOT 10</v>
      </c>
      <c r="M828" s="1" t="str">
        <f>IFERROR(__xludf.DUMMYFUNCTION("""COMPUTED_VALUE"""),"ELISES")</f>
        <v>ELISES</v>
      </c>
      <c r="N828" s="1"/>
      <c r="O828" s="1"/>
      <c r="P828" s="1"/>
      <c r="Q828" s="1" t="str">
        <f>IFERROR(__xludf.DUMMYFUNCTION("""COMPUTED_VALUE"""),"KORONEL JOSE P. ELISES (AREA E)")</f>
        <v>KORONEL JOSE P. ELISES (AREA E)</v>
      </c>
      <c r="R828" s="1" t="str">
        <f>IFERROR(__xludf.DUMMYFUNCTION("""COMPUTED_VALUE"""),"GEN MARIANO ALVAREZ")</f>
        <v>GEN MARIANO ALVAREZ</v>
      </c>
      <c r="S828" s="1" t="str">
        <f>IFERROR(__xludf.DUMMYFUNCTION("""COMPUTED_VALUE"""),"CAVITE")</f>
        <v>CAVITE</v>
      </c>
      <c r="T828" s="1" t="str">
        <f>IFERROR(__xludf.DUMMYFUNCTION("""COMPUTED_VALUE"""),"FIBR UNLI ALL PLAN 999")</f>
        <v>FIBR UNLI ALL PLAN 999</v>
      </c>
      <c r="U828" s="1" t="str">
        <f>IFERROR(__xludf.DUMMYFUNCTION("""COMPUTED_VALUE"""),"APPROVED")</f>
        <v>APPROVED</v>
      </c>
      <c r="V828" s="1"/>
      <c r="W828" s="1"/>
    </row>
    <row r="829" customHeight="1" spans="1:23">
      <c r="A829" s="3">
        <f>IFERROR(__xludf.DUMMYFUNCTION("""COMPUTED_VALUE"""),46098)</f>
        <v>46098</v>
      </c>
      <c r="B829" s="1" t="str">
        <f>IFERROR(__xludf.DUMMYFUNCTION("""COMPUTED_VALUE"""),"MALIWAT MARK ELVIN")</f>
        <v>MALIWAT MARK ELVIN</v>
      </c>
      <c r="C829" s="1" t="str">
        <f>IFERROR(__xludf.DUMMYFUNCTION("""COMPUTED_VALUE"""),"FLA")</f>
        <v>FLA</v>
      </c>
      <c r="D829" s="1" t="str">
        <f>IFERROR(__xludf.DUMMYFUNCTION("""COMPUTED_VALUE"""),"JERIC NAVARRO")</f>
        <v>JERIC NAVARRO</v>
      </c>
      <c r="E829" s="1" t="str">
        <f>IFERROR(__xludf.DUMMYFUNCTION("""COMPUTED_VALUE"""),"PLDT")</f>
        <v>PLDT</v>
      </c>
      <c r="F829" s="1">
        <f>IFERROR(__xludf.DUMMYFUNCTION("""COMPUTED_VALUE"""),2308304569)</f>
        <v>2308304569</v>
      </c>
      <c r="G829" s="1"/>
      <c r="H829" s="1" t="str">
        <f>IFERROR(__xludf.DUMMYFUNCTION("""COMPUTED_VALUE"""),"JAMES JAMITO BOROIS")</f>
        <v>JAMES JAMITO BOROIS</v>
      </c>
      <c r="I829" s="1">
        <f>IFERROR(__xludf.DUMMYFUNCTION("""COMPUTED_VALUE"""),9452496116)</f>
        <v>9452496116</v>
      </c>
      <c r="J829" s="1"/>
      <c r="K829" s="1" t="str">
        <f>IFERROR(__xludf.DUMMYFUNCTION("""COMPUTED_VALUE"""),"BORAISJAMITO9@GMAIL.COM")</f>
        <v>BORAISJAMITO9@GMAIL.COM</v>
      </c>
      <c r="L829" s="1" t="str">
        <f>IFERROR(__xludf.DUMMYFUNCTION("""COMPUTED_VALUE"""),"BLK F9 LOT 13")</f>
        <v>BLK F9 LOT 13</v>
      </c>
      <c r="M829" s="1" t="str">
        <f>IFERROR(__xludf.DUMMYFUNCTION("""COMPUTED_VALUE"""),"EVERLASTING")</f>
        <v>EVERLASTING</v>
      </c>
      <c r="N829" s="1"/>
      <c r="O829" s="1"/>
      <c r="P829" s="1"/>
      <c r="Q829" s="1" t="str">
        <f>IFERROR(__xludf.DUMMYFUNCTION("""COMPUTED_VALUE"""),"SANTA CRISTINA I")</f>
        <v>SANTA CRISTINA I</v>
      </c>
      <c r="R829" s="1" t="str">
        <f>IFERROR(__xludf.DUMMYFUNCTION("""COMPUTED_VALUE"""),"DASMARINAS")</f>
        <v>DASMARINAS</v>
      </c>
      <c r="S829" s="1" t="str">
        <f>IFERROR(__xludf.DUMMYFUNCTION("""COMPUTED_VALUE"""),"CAVITE")</f>
        <v>CAVITE</v>
      </c>
      <c r="T829" s="1" t="str">
        <f>IFERROR(__xludf.DUMMYFUNCTION("""COMPUTED_VALUE"""),"PREPAID FIBER UNLI")</f>
        <v>PREPAID FIBER UNLI</v>
      </c>
      <c r="U829" s="1" t="str">
        <f>IFERROR(__xludf.DUMMYFUNCTION("""COMPUTED_VALUE"""),"APPROVED")</f>
        <v>APPROVED</v>
      </c>
      <c r="V829" s="1"/>
      <c r="W829" s="1"/>
    </row>
    <row r="830" customHeight="1" spans="1:23">
      <c r="A830" s="3">
        <f>IFERROR(__xludf.DUMMYFUNCTION("""COMPUTED_VALUE"""),46098)</f>
        <v>46098</v>
      </c>
      <c r="B830" s="1" t="str">
        <f>IFERROR(__xludf.DUMMYFUNCTION("""COMPUTED_VALUE"""),"REMOLLO, LEA")</f>
        <v>REMOLLO, LEA</v>
      </c>
      <c r="C830" s="1" t="str">
        <f>IFERROR(__xludf.DUMMYFUNCTION("""COMPUTED_VALUE"""),"FLA")</f>
        <v>FLA</v>
      </c>
      <c r="D830" s="1" t="str">
        <f>IFERROR(__xludf.DUMMYFUNCTION("""COMPUTED_VALUE"""),"JERIC NAVARRO")</f>
        <v>JERIC NAVARRO</v>
      </c>
      <c r="E830" s="1" t="str">
        <f>IFERROR(__xludf.DUMMYFUNCTION("""COMPUTED_VALUE"""),"PLDT")</f>
        <v>PLDT</v>
      </c>
      <c r="F830" s="1">
        <f>IFERROR(__xludf.DUMMYFUNCTION("""COMPUTED_VALUE"""),2308306308)</f>
        <v>2308306308</v>
      </c>
      <c r="G830" s="1"/>
      <c r="H830" s="1" t="str">
        <f>IFERROR(__xludf.DUMMYFUNCTION("""COMPUTED_VALUE"""),"NORMA OMANDAC MENDOZA")</f>
        <v>NORMA OMANDAC MENDOZA</v>
      </c>
      <c r="I830" s="1">
        <f>IFERROR(__xludf.DUMMYFUNCTION("""COMPUTED_VALUE"""),9177151973)</f>
        <v>9177151973</v>
      </c>
      <c r="J830" s="1"/>
      <c r="K830" s="1" t="str">
        <f>IFERROR(__xludf.DUMMYFUNCTION("""COMPUTED_VALUE"""),"SPIEBENEZER33@GMAIL.COM")</f>
        <v>SPIEBENEZER33@GMAIL.COM</v>
      </c>
      <c r="L830" s="1" t="str">
        <f>IFERROR(__xludf.DUMMYFUNCTION("""COMPUTED_VALUE"""),"BLK 48 LOT 46")</f>
        <v>BLK 48 LOT 46</v>
      </c>
      <c r="M830" s="1" t="str">
        <f>IFERROR(__xludf.DUMMYFUNCTION("""COMPUTED_VALUE"""),"PHASE 3")</f>
        <v>PHASE 3</v>
      </c>
      <c r="N830" s="1" t="str">
        <f>IFERROR(__xludf.DUMMYFUNCTION("""COMPUTED_VALUE"""),"SUNTRUST")</f>
        <v>SUNTRUST</v>
      </c>
      <c r="O830" s="1"/>
      <c r="P830" s="1"/>
      <c r="Q830" s="1" t="str">
        <f>IFERROR(__xludf.DUMMYFUNCTION("""COMPUTED_VALUE"""),"HOYO")</f>
        <v>HOYO</v>
      </c>
      <c r="R830" s="1" t="str">
        <f>IFERROR(__xludf.DUMMYFUNCTION("""COMPUTED_VALUE"""),"SILANG")</f>
        <v>SILANG</v>
      </c>
      <c r="S830" s="1" t="str">
        <f>IFERROR(__xludf.DUMMYFUNCTION("""COMPUTED_VALUE"""),"CAVITE")</f>
        <v>CAVITE</v>
      </c>
      <c r="T830" s="1" t="str">
        <f>IFERROR(__xludf.DUMMYFUNCTION("""COMPUTED_VALUE"""),"FIBR NETFLIX PLAN 1599")</f>
        <v>FIBR NETFLIX PLAN 1599</v>
      </c>
      <c r="U830" s="1" t="str">
        <f>IFERROR(__xludf.DUMMYFUNCTION("""COMPUTED_VALUE"""),"APPROVED")</f>
        <v>APPROVED</v>
      </c>
      <c r="V830" s="1"/>
      <c r="W830" s="1"/>
    </row>
    <row r="831" customHeight="1" spans="1:23">
      <c r="A831" s="3">
        <f>IFERROR(__xludf.DUMMYFUNCTION("""COMPUTED_VALUE"""),46098)</f>
        <v>46098</v>
      </c>
      <c r="B831" s="1" t="str">
        <f>IFERROR(__xludf.DUMMYFUNCTION("""COMPUTED_VALUE"""),"VILLANAS , EVANGELINE")</f>
        <v>VILLANAS , EVANGELINE</v>
      </c>
      <c r="C831" s="1" t="str">
        <f>IFERROR(__xludf.DUMMYFUNCTION("""COMPUTED_VALUE"""),"ORGANIC")</f>
        <v>ORGANIC</v>
      </c>
      <c r="D831" s="1" t="str">
        <f>IFERROR(__xludf.DUMMYFUNCTION("""COMPUTED_VALUE"""),"ALINGARO, CINDY")</f>
        <v>ALINGARO, CINDY</v>
      </c>
      <c r="E831" s="1" t="str">
        <f>IFERROR(__xludf.DUMMYFUNCTION("""COMPUTED_VALUE"""),"PLDT")</f>
        <v>PLDT</v>
      </c>
      <c r="F831" s="1"/>
      <c r="G831" s="1"/>
      <c r="H831" s="1" t="str">
        <f>IFERROR(__xludf.DUMMYFUNCTION("""COMPUTED_VALUE"""),"HOOBERT JR RODIANO IBALLO")</f>
        <v>HOOBERT JR RODIANO IBALLO</v>
      </c>
      <c r="I831" s="1">
        <f>IFERROR(__xludf.DUMMYFUNCTION("""COMPUTED_VALUE"""),9304406006)</f>
        <v>9304406006</v>
      </c>
      <c r="J831" s="1"/>
      <c r="K831" s="1" t="str">
        <f>IFERROR(__xludf.DUMMYFUNCTION("""COMPUTED_VALUE"""),"BERTHIBALLO@GMAIL.COM")</f>
        <v>BERTHIBALLO@GMAIL.COM</v>
      </c>
      <c r="L831" s="1" t="str">
        <f>IFERROR(__xludf.DUMMYFUNCTION("""COMPUTED_VALUE"""),"BLK 19 LOT 18")</f>
        <v>BLK 19 LOT 18</v>
      </c>
      <c r="M831" s="1" t="str">
        <f>IFERROR(__xludf.DUMMYFUNCTION("""COMPUTED_VALUE"""),"AREA E")</f>
        <v>AREA E</v>
      </c>
      <c r="N831" s="1"/>
      <c r="O831" s="1"/>
      <c r="P831" s="1"/>
      <c r="Q831" s="1" t="str">
        <f>IFERROR(__xludf.DUMMYFUNCTION("""COMPUTED_VALUE"""),"KORONEL JOSE P. ELISES (AREA E)")</f>
        <v>KORONEL JOSE P. ELISES (AREA E)</v>
      </c>
      <c r="R831" s="1" t="str">
        <f>IFERROR(__xludf.DUMMYFUNCTION("""COMPUTED_VALUE"""),"GEN MARIANO ALVAREZ")</f>
        <v>GEN MARIANO ALVAREZ</v>
      </c>
      <c r="S831" s="1" t="str">
        <f>IFERROR(__xludf.DUMMYFUNCTION("""COMPUTED_VALUE"""),"CAVITE")</f>
        <v>CAVITE</v>
      </c>
      <c r="T831" s="1" t="str">
        <f>IFERROR(__xludf.DUMMYFUNCTION("""COMPUTED_VALUE"""),"FIBR UNLI ALL PLAN 1399")</f>
        <v>FIBR UNLI ALL PLAN 1399</v>
      </c>
      <c r="U831" s="1" t="str">
        <f>IFERROR(__xludf.DUMMYFUNCTION("""COMPUTED_VALUE"""),"RETURN FOR COMPLIANCE - AGENT")</f>
        <v>RETURN FOR COMPLIANCE - AGENT</v>
      </c>
      <c r="V831" s="1" t="str">
        <f>IFERROR(__xludf.DUMMYFUNCTION("""COMPUTED_VALUE"""),"UNSCANABLE QR ")</f>
        <v>UNSCANABLE QR </v>
      </c>
      <c r="W831" s="1"/>
    </row>
    <row r="832" customHeight="1" spans="1:23">
      <c r="A832" s="3">
        <f>IFERROR(__xludf.DUMMYFUNCTION("""COMPUTED_VALUE"""),46098)</f>
        <v>46098</v>
      </c>
      <c r="B832" s="1" t="str">
        <f>IFERROR(__xludf.DUMMYFUNCTION("""COMPUTED_VALUE"""),"MCNULTY KRYSTEL")</f>
        <v>MCNULTY KRYSTEL</v>
      </c>
      <c r="C832" s="1" t="str">
        <f>IFERROR(__xludf.DUMMYFUNCTION("""COMPUTED_VALUE"""),"ORGANIC")</f>
        <v>ORGANIC</v>
      </c>
      <c r="D832" s="1" t="str">
        <f>IFERROR(__xludf.DUMMYFUNCTION("""COMPUTED_VALUE"""),"ALINGARO, CINDY")</f>
        <v>ALINGARO, CINDY</v>
      </c>
      <c r="E832" s="1" t="str">
        <f>IFERROR(__xludf.DUMMYFUNCTION("""COMPUTED_VALUE"""),"PLDT")</f>
        <v>PLDT</v>
      </c>
      <c r="F832" s="1">
        <f>IFERROR(__xludf.DUMMYFUNCTION("""COMPUTED_VALUE"""),2308326420)</f>
        <v>2308326420</v>
      </c>
      <c r="G832" s="1"/>
      <c r="H832" s="1" t="str">
        <f>IFERROR(__xludf.DUMMYFUNCTION("""COMPUTED_VALUE"""),"EDGARDO JR BOBIS IGLESIA")</f>
        <v>EDGARDO JR BOBIS IGLESIA</v>
      </c>
      <c r="I832" s="1">
        <f>IFERROR(__xludf.DUMMYFUNCTION("""COMPUTED_VALUE"""),9280030277)</f>
        <v>9280030277</v>
      </c>
      <c r="J832" s="1"/>
      <c r="K832" s="1" t="str">
        <f>IFERROR(__xludf.DUMMYFUNCTION("""COMPUTED_VALUE"""),"EDGARDOIGLESIA55@GMAIL.COM")</f>
        <v>EDGARDOIGLESIA55@GMAIL.COM</v>
      </c>
      <c r="L832" s="1" t="str">
        <f>IFERROR(__xludf.DUMMYFUNCTION("""COMPUTED_VALUE"""),"28")</f>
        <v>28</v>
      </c>
      <c r="M832" s="1" t="str">
        <f>IFERROR(__xludf.DUMMYFUNCTION("""COMPUTED_VALUE"""),"PUROK 4")</f>
        <v>PUROK 4</v>
      </c>
      <c r="N832" s="1"/>
      <c r="O832" s="1"/>
      <c r="P832" s="1"/>
      <c r="Q832" s="1" t="str">
        <f>IFERROR(__xludf.DUMMYFUNCTION("""COMPUTED_VALUE"""),"MUNTING ILOG")</f>
        <v>MUNTING ILOG</v>
      </c>
      <c r="R832" s="1" t="str">
        <f>IFERROR(__xludf.DUMMYFUNCTION("""COMPUTED_VALUE"""),"SILANG")</f>
        <v>SILANG</v>
      </c>
      <c r="S832" s="1" t="str">
        <f>IFERROR(__xludf.DUMMYFUNCTION("""COMPUTED_VALUE"""),"CAVITE")</f>
        <v>CAVITE</v>
      </c>
      <c r="T832" s="1" t="str">
        <f>IFERROR(__xludf.DUMMYFUNCTION("""COMPUTED_VALUE"""),"FIBR UNLI ALL PLAN 999")</f>
        <v>FIBR UNLI ALL PLAN 999</v>
      </c>
      <c r="U832" s="1" t="str">
        <f>IFERROR(__xludf.DUMMYFUNCTION("""COMPUTED_VALUE"""),"APPROVED")</f>
        <v>APPROVED</v>
      </c>
      <c r="V832" s="1"/>
      <c r="W832" s="1"/>
    </row>
    <row r="833" customHeight="1" spans="1:23">
      <c r="A833" s="3">
        <f>IFERROR(__xludf.DUMMYFUNCTION("""COMPUTED_VALUE"""),46098)</f>
        <v>46098</v>
      </c>
      <c r="B833" s="1" t="str">
        <f>IFERROR(__xludf.DUMMYFUNCTION("""COMPUTED_VALUE"""),"MCNULTY KRYSTEL")</f>
        <v>MCNULTY KRYSTEL</v>
      </c>
      <c r="C833" s="1" t="str">
        <f>IFERROR(__xludf.DUMMYFUNCTION("""COMPUTED_VALUE"""),"ORGANIC")</f>
        <v>ORGANIC</v>
      </c>
      <c r="D833" s="1" t="str">
        <f>IFERROR(__xludf.DUMMYFUNCTION("""COMPUTED_VALUE"""),"ALINGARO, CINDY")</f>
        <v>ALINGARO, CINDY</v>
      </c>
      <c r="E833" s="1" t="str">
        <f>IFERROR(__xludf.DUMMYFUNCTION("""COMPUTED_VALUE"""),"PLDT")</f>
        <v>PLDT</v>
      </c>
      <c r="F833" s="1">
        <f>IFERROR(__xludf.DUMMYFUNCTION("""COMPUTED_VALUE"""),2308308708)</f>
        <v>2308308708</v>
      </c>
      <c r="G833" s="1"/>
      <c r="H833" s="1" t="str">
        <f>IFERROR(__xludf.DUMMYFUNCTION("""COMPUTED_VALUE"""),"SHARON GAY GESULTA ISAGON")</f>
        <v>SHARON GAY GESULTA ISAGON</v>
      </c>
      <c r="I833" s="1">
        <f>IFERROR(__xludf.DUMMYFUNCTION("""COMPUTED_VALUE"""),9638495263)</f>
        <v>9638495263</v>
      </c>
      <c r="J833" s="1"/>
      <c r="K833" s="1" t="str">
        <f>IFERROR(__xludf.DUMMYFUNCTION("""COMPUTED_VALUE"""),"SHARONISAGON15@GMAIL.COM")</f>
        <v>SHARONISAGON15@GMAIL.COM</v>
      </c>
      <c r="L833" s="1" t="str">
        <f>IFERROR(__xludf.DUMMYFUNCTION("""COMPUTED_VALUE"""),"421")</f>
        <v>421</v>
      </c>
      <c r="M833" s="1" t="str">
        <f>IFERROR(__xludf.DUMMYFUNCTION("""COMPUTED_VALUE"""),"MUNTING ILOG RD")</f>
        <v>MUNTING ILOG RD</v>
      </c>
      <c r="N833" s="1"/>
      <c r="O833" s="1"/>
      <c r="P833" s="1"/>
      <c r="Q833" s="1" t="str">
        <f>IFERROR(__xludf.DUMMYFUNCTION("""COMPUTED_VALUE"""),"MUNTING ILOG")</f>
        <v>MUNTING ILOG</v>
      </c>
      <c r="R833" s="1" t="str">
        <f>IFERROR(__xludf.DUMMYFUNCTION("""COMPUTED_VALUE"""),"SILANG")</f>
        <v>SILANG</v>
      </c>
      <c r="S833" s="1" t="str">
        <f>IFERROR(__xludf.DUMMYFUNCTION("""COMPUTED_VALUE"""),"CAVITE")</f>
        <v>CAVITE</v>
      </c>
      <c r="T833" s="1" t="str">
        <f>IFERROR(__xludf.DUMMYFUNCTION("""COMPUTED_VALUE"""),"FIBR UNLI ALL PLAN 1399")</f>
        <v>FIBR UNLI ALL PLAN 1399</v>
      </c>
      <c r="U833" s="1" t="str">
        <f>IFERROR(__xludf.DUMMYFUNCTION("""COMPUTED_VALUE"""),"APPROVED")</f>
        <v>APPROVED</v>
      </c>
      <c r="V833" s="1"/>
      <c r="W833" s="1"/>
    </row>
    <row r="834" customHeight="1" spans="1:23">
      <c r="A834" s="3">
        <f>IFERROR(__xludf.DUMMYFUNCTION("""COMPUTED_VALUE"""),46098)</f>
        <v>46098</v>
      </c>
      <c r="B834" s="1" t="str">
        <f>IFERROR(__xludf.DUMMYFUNCTION("""COMPUTED_VALUE"""),"ESCARCHA, MA ALMA  ESCOTO")</f>
        <v>ESCARCHA, MA ALMA  ESCOTO</v>
      </c>
      <c r="C834" s="1" t="str">
        <f>IFERROR(__xludf.DUMMYFUNCTION("""COMPUTED_VALUE"""),"ORGANIC")</f>
        <v>ORGANIC</v>
      </c>
      <c r="D834" s="1" t="str">
        <f>IFERROR(__xludf.DUMMYFUNCTION("""COMPUTED_VALUE"""),"ALINGARO, CINDY")</f>
        <v>ALINGARO, CINDY</v>
      </c>
      <c r="E834" s="1" t="str">
        <f>IFERROR(__xludf.DUMMYFUNCTION("""COMPUTED_VALUE"""),"PLDT")</f>
        <v>PLDT</v>
      </c>
      <c r="F834" s="1">
        <f>IFERROR(__xludf.DUMMYFUNCTION("""COMPUTED_VALUE"""),2308342974)</f>
        <v>2308342974</v>
      </c>
      <c r="G834" s="1"/>
      <c r="H834" s="1" t="str">
        <f>IFERROR(__xludf.DUMMYFUNCTION("""COMPUTED_VALUE"""),"HENRY IBATUAN GARCIA CUA")</f>
        <v>HENRY IBATUAN GARCIA CUA</v>
      </c>
      <c r="I834" s="1">
        <f>IFERROR(__xludf.DUMMYFUNCTION("""COMPUTED_VALUE"""),9172062298)</f>
        <v>9172062298</v>
      </c>
      <c r="J834" s="1"/>
      <c r="K834" s="1" t="str">
        <f>IFERROR(__xludf.DUMMYFUNCTION("""COMPUTED_VALUE"""),"GARCIACUAHENRY@GMAIL.COM")</f>
        <v>GARCIACUAHENRY@GMAIL.COM</v>
      </c>
      <c r="L834" s="1" t="str">
        <f>IFERROR(__xludf.DUMMYFUNCTION("""COMPUTED_VALUE"""),"9203")</f>
        <v>9203</v>
      </c>
      <c r="M834" s="1" t="str">
        <f>IFERROR(__xludf.DUMMYFUNCTION("""COMPUTED_VALUE"""),"MUNTING ILOG RD")</f>
        <v>MUNTING ILOG RD</v>
      </c>
      <c r="N834" s="1"/>
      <c r="O834" s="1"/>
      <c r="P834" s="1"/>
      <c r="Q834" s="1" t="str">
        <f>IFERROR(__xludf.DUMMYFUNCTION("""COMPUTED_VALUE"""),"MUNTING ILOG")</f>
        <v>MUNTING ILOG</v>
      </c>
      <c r="R834" s="1" t="str">
        <f>IFERROR(__xludf.DUMMYFUNCTION("""COMPUTED_VALUE"""),"SILANG")</f>
        <v>SILANG</v>
      </c>
      <c r="S834" s="1" t="str">
        <f>IFERROR(__xludf.DUMMYFUNCTION("""COMPUTED_VALUE"""),"CAVITE")</f>
        <v>CAVITE</v>
      </c>
      <c r="T834" s="1" t="str">
        <f>IFERROR(__xludf.DUMMYFUNCTION("""COMPUTED_VALUE"""),"FIBR PLAN 1299")</f>
        <v>FIBR PLAN 1299</v>
      </c>
      <c r="U834" s="1" t="str">
        <f>IFERROR(__xludf.DUMMYFUNCTION("""COMPUTED_VALUE"""),"APPROVED")</f>
        <v>APPROVED</v>
      </c>
      <c r="V834" s="1"/>
      <c r="W834" s="1"/>
    </row>
    <row r="835" customHeight="1" spans="1:23">
      <c r="A835" s="3">
        <f>IFERROR(__xludf.DUMMYFUNCTION("""COMPUTED_VALUE"""),46098)</f>
        <v>46098</v>
      </c>
      <c r="B835" s="1" t="str">
        <f>IFERROR(__xludf.DUMMYFUNCTION("""COMPUTED_VALUE"""),"AYON MANUEL")</f>
        <v>AYON MANUEL</v>
      </c>
      <c r="C835" s="1" t="str">
        <f>IFERROR(__xludf.DUMMYFUNCTION("""COMPUTED_VALUE"""),"FLA")</f>
        <v>FLA</v>
      </c>
      <c r="D835" s="1" t="str">
        <f>IFERROR(__xludf.DUMMYFUNCTION("""COMPUTED_VALUE"""),"JERIC NAVARRO")</f>
        <v>JERIC NAVARRO</v>
      </c>
      <c r="E835" s="1" t="str">
        <f>IFERROR(__xludf.DUMMYFUNCTION("""COMPUTED_VALUE"""),"PLDT")</f>
        <v>PLDT</v>
      </c>
      <c r="F835" s="1">
        <f>IFERROR(__xludf.DUMMYFUNCTION("""COMPUTED_VALUE"""),2308312686)</f>
        <v>2308312686</v>
      </c>
      <c r="G835" s="1"/>
      <c r="H835" s="1" t="str">
        <f>IFERROR(__xludf.DUMMYFUNCTION("""COMPUTED_VALUE"""),"JEANIE MAE SINAGOTE TAGALOG")</f>
        <v>JEANIE MAE SINAGOTE TAGALOG</v>
      </c>
      <c r="I835" s="1">
        <f>IFERROR(__xludf.DUMMYFUNCTION("""COMPUTED_VALUE"""),9708097706)</f>
        <v>9708097706</v>
      </c>
      <c r="J835" s="1">
        <f>IFERROR(__xludf.DUMMYFUNCTION("""COMPUTED_VALUE"""),9105721217)</f>
        <v>9105721217</v>
      </c>
      <c r="K835" s="1" t="str">
        <f>IFERROR(__xludf.DUMMYFUNCTION("""COMPUTED_VALUE"""),"MIMITAGALOG@GMAIL.COM")</f>
        <v>MIMITAGALOG@GMAIL.COM</v>
      </c>
      <c r="L835" s="1" t="str">
        <f>IFERROR(__xludf.DUMMYFUNCTION("""COMPUTED_VALUE"""),"9007")</f>
        <v>9007</v>
      </c>
      <c r="M835" s="1" t="str">
        <f>IFERROR(__xludf.DUMMYFUNCTION("""COMPUTED_VALUE"""),"ALCANTARA ST")</f>
        <v>ALCANTARA ST</v>
      </c>
      <c r="N835" s="1"/>
      <c r="O835" s="1"/>
      <c r="P835" s="1"/>
      <c r="Q835" s="1" t="str">
        <f>IFERROR(__xludf.DUMMYFUNCTION("""COMPUTED_VALUE"""),"TOLEDO")</f>
        <v>TOLEDO</v>
      </c>
      <c r="R835" s="1" t="str">
        <f>IFERROR(__xludf.DUMMYFUNCTION("""COMPUTED_VALUE"""),"SILANG")</f>
        <v>SILANG</v>
      </c>
      <c r="S835" s="1" t="str">
        <f>IFERROR(__xludf.DUMMYFUNCTION("""COMPUTED_VALUE"""),"CAVITE")</f>
        <v>CAVITE</v>
      </c>
      <c r="T835" s="1" t="str">
        <f>IFERROR(__xludf.DUMMYFUNCTION("""COMPUTED_VALUE"""),"FIBR PLAN 1699")</f>
        <v>FIBR PLAN 1699</v>
      </c>
      <c r="U835" s="1" t="str">
        <f>IFERROR(__xludf.DUMMYFUNCTION("""COMPUTED_VALUE"""),"APPROVED")</f>
        <v>APPROVED</v>
      </c>
      <c r="V835" s="1"/>
      <c r="W835" s="1"/>
    </row>
    <row r="836" customHeight="1" spans="1:23">
      <c r="A836" s="3">
        <f>IFERROR(__xludf.DUMMYFUNCTION("""COMPUTED_VALUE"""),46098)</f>
        <v>46098</v>
      </c>
      <c r="B836" s="1" t="str">
        <f>IFERROR(__xludf.DUMMYFUNCTION("""COMPUTED_VALUE"""),"ESCARCHA, MA ALMA  ESCOTO")</f>
        <v>ESCARCHA, MA ALMA  ESCOTO</v>
      </c>
      <c r="C836" s="1" t="str">
        <f>IFERROR(__xludf.DUMMYFUNCTION("""COMPUTED_VALUE"""),"ORGANIC")</f>
        <v>ORGANIC</v>
      </c>
      <c r="D836" s="1" t="str">
        <f>IFERROR(__xludf.DUMMYFUNCTION("""COMPUTED_VALUE"""),"ALINGARO, CINDY")</f>
        <v>ALINGARO, CINDY</v>
      </c>
      <c r="E836" s="1" t="str">
        <f>IFERROR(__xludf.DUMMYFUNCTION("""COMPUTED_VALUE"""),"PLDT")</f>
        <v>PLDT</v>
      </c>
      <c r="F836" s="1">
        <f>IFERROR(__xludf.DUMMYFUNCTION("""COMPUTED_VALUE"""),2308313285)</f>
        <v>2308313285</v>
      </c>
      <c r="G836" s="1"/>
      <c r="H836" s="1" t="str">
        <f>IFERROR(__xludf.DUMMYFUNCTION("""COMPUTED_VALUE"""),"JANICE RABULAN GUIRIDA")</f>
        <v>JANICE RABULAN GUIRIDA</v>
      </c>
      <c r="I836" s="1">
        <f>IFERROR(__xludf.DUMMYFUNCTION("""COMPUTED_VALUE"""),9266810232)</f>
        <v>9266810232</v>
      </c>
      <c r="J836" s="1"/>
      <c r="K836" s="1" t="str">
        <f>IFERROR(__xludf.DUMMYFUNCTION("""COMPUTED_VALUE"""),"RABULANJANICE 644@GMAIL.COM")</f>
        <v>RABULANJANICE 644@GMAIL.COM</v>
      </c>
      <c r="L836" s="1" t="str">
        <f>IFERROR(__xludf.DUMMYFUNCTION("""COMPUTED_VALUE"""),"203")</f>
        <v>203</v>
      </c>
      <c r="M836" s="1" t="str">
        <f>IFERROR(__xludf.DUMMYFUNCTION("""COMPUTED_VALUE"""),"PUROK 7")</f>
        <v>PUROK 7</v>
      </c>
      <c r="N836" s="1"/>
      <c r="O836" s="1"/>
      <c r="P836" s="1"/>
      <c r="Q836" s="1" t="str">
        <f>IFERROR(__xludf.DUMMYFUNCTION("""COMPUTED_VALUE"""),"BUKAL")</f>
        <v>BUKAL</v>
      </c>
      <c r="R836" s="1" t="str">
        <f>IFERROR(__xludf.DUMMYFUNCTION("""COMPUTED_VALUE"""),"AMADEO")</f>
        <v>AMADEO</v>
      </c>
      <c r="S836" s="1" t="str">
        <f>IFERROR(__xludf.DUMMYFUNCTION("""COMPUTED_VALUE"""),"CAVITE")</f>
        <v>CAVITE</v>
      </c>
      <c r="T836" s="1" t="str">
        <f>IFERROR(__xludf.DUMMYFUNCTION("""COMPUTED_VALUE"""),"FIBR PLAN 1299")</f>
        <v>FIBR PLAN 1299</v>
      </c>
      <c r="U836" s="1" t="str">
        <f>IFERROR(__xludf.DUMMYFUNCTION("""COMPUTED_VALUE"""),"APPROVED")</f>
        <v>APPROVED</v>
      </c>
      <c r="V836" s="1"/>
      <c r="W836" s="1"/>
    </row>
    <row r="837" customHeight="1" spans="1:23">
      <c r="A837" s="3">
        <f>IFERROR(__xludf.DUMMYFUNCTION("""COMPUTED_VALUE"""),46098)</f>
        <v>46098</v>
      </c>
      <c r="B837" s="1" t="str">
        <f>IFERROR(__xludf.DUMMYFUNCTION("""COMPUTED_VALUE"""),"CANTANERO JUNEL")</f>
        <v>CANTANERO JUNEL</v>
      </c>
      <c r="C837" s="1" t="str">
        <f>IFERROR(__xludf.DUMMYFUNCTION("""COMPUTED_VALUE"""),"ORGANIC")</f>
        <v>ORGANIC</v>
      </c>
      <c r="D837" s="1" t="str">
        <f>IFERROR(__xludf.DUMMYFUNCTION("""COMPUTED_VALUE"""),"ALINGARO, CINDY")</f>
        <v>ALINGARO, CINDY</v>
      </c>
      <c r="E837" s="1" t="str">
        <f>IFERROR(__xludf.DUMMYFUNCTION("""COMPUTED_VALUE"""),"PLDT")</f>
        <v>PLDT</v>
      </c>
      <c r="F837" s="1">
        <f>IFERROR(__xludf.DUMMYFUNCTION("""COMPUTED_VALUE"""),2308313918)</f>
        <v>2308313918</v>
      </c>
      <c r="G837" s="1"/>
      <c r="H837" s="1" t="str">
        <f>IFERROR(__xludf.DUMMYFUNCTION("""COMPUTED_VALUE"""),"ARLYN SENTORIAS JUMAWAN")</f>
        <v>ARLYN SENTORIAS JUMAWAN</v>
      </c>
      <c r="I837" s="1">
        <f>IFERROR(__xludf.DUMMYFUNCTION("""COMPUTED_VALUE"""),9098779184)</f>
        <v>9098779184</v>
      </c>
      <c r="J837" s="1"/>
      <c r="K837" s="1" t="str">
        <f>IFERROR(__xludf.DUMMYFUNCTION("""COMPUTED_VALUE"""),"ARLYNJUMAWAN16@GMAIL.COM")</f>
        <v>ARLYNJUMAWAN16@GMAIL.COM</v>
      </c>
      <c r="L837" s="1" t="str">
        <f>IFERROR(__xludf.DUMMYFUNCTION("""COMPUTED_VALUE"""),"BLK 6 LOT 13")</f>
        <v>BLK 6 LOT 13</v>
      </c>
      <c r="M837" s="1" t="str">
        <f>IFERROR(__xludf.DUMMYFUNCTION("""COMPUTED_VALUE"""),"BUKLURAN 1")</f>
        <v>BUKLURAN 1</v>
      </c>
      <c r="N837" s="1"/>
      <c r="O837" s="1"/>
      <c r="P837" s="1"/>
      <c r="Q837" s="1" t="str">
        <f>IFERROR(__xludf.DUMMYFUNCTION("""COMPUTED_VALUE"""),"BULIHAN")</f>
        <v>BULIHAN</v>
      </c>
      <c r="R837" s="1" t="str">
        <f>IFERROR(__xludf.DUMMYFUNCTION("""COMPUTED_VALUE"""),"SILANG")</f>
        <v>SILANG</v>
      </c>
      <c r="S837" s="1" t="str">
        <f>IFERROR(__xludf.DUMMYFUNCTION("""COMPUTED_VALUE"""),"CAVITE")</f>
        <v>CAVITE</v>
      </c>
      <c r="T837" s="1" t="str">
        <f>IFERROR(__xludf.DUMMYFUNCTION("""COMPUTED_VALUE"""),"PREPAID FIBER UNLI")</f>
        <v>PREPAID FIBER UNLI</v>
      </c>
      <c r="U837" s="1" t="str">
        <f>IFERROR(__xludf.DUMMYFUNCTION("""COMPUTED_VALUE"""),"APPROVED")</f>
        <v>APPROVED</v>
      </c>
      <c r="V837" s="1"/>
      <c r="W837" s="1"/>
    </row>
    <row r="838" customHeight="1" spans="1:23">
      <c r="A838" s="3">
        <f>IFERROR(__xludf.DUMMYFUNCTION("""COMPUTED_VALUE"""),46098)</f>
        <v>46098</v>
      </c>
      <c r="B838" s="1" t="str">
        <f>IFERROR(__xludf.DUMMYFUNCTION("""COMPUTED_VALUE"""),"NAEOSA, JULLIE")</f>
        <v>NAEOSA, JULLIE</v>
      </c>
      <c r="C838" s="1" t="str">
        <f>IFERROR(__xludf.DUMMYFUNCTION("""COMPUTED_VALUE"""),"ORGANIC")</f>
        <v>ORGANIC</v>
      </c>
      <c r="D838" s="1" t="str">
        <f>IFERROR(__xludf.DUMMYFUNCTION("""COMPUTED_VALUE"""),"ALINGARO, CINDY")</f>
        <v>ALINGARO, CINDY</v>
      </c>
      <c r="E838" s="1" t="str">
        <f>IFERROR(__xludf.DUMMYFUNCTION("""COMPUTED_VALUE"""),"PLDT")</f>
        <v>PLDT</v>
      </c>
      <c r="F838" s="1"/>
      <c r="G838" s="1"/>
      <c r="H838" s="1" t="str">
        <f>IFERROR(__xludf.DUMMYFUNCTION("""COMPUTED_VALUE"""),"MAXIMA PADILLA PERUCHO")</f>
        <v>MAXIMA PADILLA PERUCHO</v>
      </c>
      <c r="I838" s="1">
        <f>IFERROR(__xludf.DUMMYFUNCTION("""COMPUTED_VALUE"""),9465052946)</f>
        <v>9465052946</v>
      </c>
      <c r="J838" s="1"/>
      <c r="K838" s="1" t="str">
        <f>IFERROR(__xludf.DUMMYFUNCTION("""COMPUTED_VALUE"""),"PERUCHOMAXIMA@GMAIL.COM")</f>
        <v>PERUCHOMAXIMA@GMAIL.COM</v>
      </c>
      <c r="L838" s="1" t="str">
        <f>IFERROR(__xludf.DUMMYFUNCTION("""COMPUTED_VALUE"""),"BLK 9 LOT 12")</f>
        <v>BLK 9 LOT 12</v>
      </c>
      <c r="M838" s="1" t="str">
        <f>IFERROR(__xludf.DUMMYFUNCTION("""COMPUTED_VALUE"""),"PHASE 6")</f>
        <v>PHASE 6</v>
      </c>
      <c r="N838" s="1"/>
      <c r="O838" s="1"/>
      <c r="P838" s="1"/>
      <c r="Q838" s="1" t="str">
        <f>IFERROR(__xludf.DUMMYFUNCTION("""COMPUTED_VALUE"""),"BANABA")</f>
        <v>BANABA</v>
      </c>
      <c r="R838" s="1" t="str">
        <f>IFERROR(__xludf.DUMMYFUNCTION("""COMPUTED_VALUE"""),"SILANG")</f>
        <v>SILANG</v>
      </c>
      <c r="S838" s="1" t="str">
        <f>IFERROR(__xludf.DUMMYFUNCTION("""COMPUTED_VALUE"""),"CAVITE")</f>
        <v>CAVITE</v>
      </c>
      <c r="T838" s="1" t="str">
        <f>IFERROR(__xludf.DUMMYFUNCTION("""COMPUTED_VALUE"""),"PREPAID FIBER UNLI")</f>
        <v>PREPAID FIBER UNLI</v>
      </c>
      <c r="U838" s="1" t="str">
        <f>IFERROR(__xludf.DUMMYFUNCTION("""COMPUTED_VALUE"""),"APPROVED")</f>
        <v>APPROVED</v>
      </c>
      <c r="V838" s="1"/>
      <c r="W838" s="1"/>
    </row>
    <row r="839" customHeight="1" spans="1:23">
      <c r="A839" s="3">
        <f>IFERROR(__xludf.DUMMYFUNCTION("""COMPUTED_VALUE"""),46098)</f>
        <v>46098</v>
      </c>
      <c r="B839" s="1" t="str">
        <f>IFERROR(__xludf.DUMMYFUNCTION("""COMPUTED_VALUE"""),"FARO, REFRANTA")</f>
        <v>FARO, REFRANTA</v>
      </c>
      <c r="C839" s="1" t="str">
        <f>IFERROR(__xludf.DUMMYFUNCTION("""COMPUTED_VALUE"""),"ORGANIC")</f>
        <v>ORGANIC</v>
      </c>
      <c r="D839" s="1" t="str">
        <f>IFERROR(__xludf.DUMMYFUNCTION("""COMPUTED_VALUE"""),"ALINGARO, CINDY")</f>
        <v>ALINGARO, CINDY</v>
      </c>
      <c r="E839" s="1" t="str">
        <f>IFERROR(__xludf.DUMMYFUNCTION("""COMPUTED_VALUE"""),"PLDT")</f>
        <v>PLDT</v>
      </c>
      <c r="F839" s="1">
        <f>IFERROR(__xludf.DUMMYFUNCTION("""COMPUTED_VALUE"""),2308314374)</f>
        <v>2308314374</v>
      </c>
      <c r="G839" s="1"/>
      <c r="H839" s="1" t="str">
        <f>IFERROR(__xludf.DUMMYFUNCTION("""COMPUTED_VALUE"""),"ARNULFO HERMANO MOJICA")</f>
        <v>ARNULFO HERMANO MOJICA</v>
      </c>
      <c r="I839" s="1">
        <f>IFERROR(__xludf.DUMMYFUNCTION("""COMPUTED_VALUE"""),9516291393)</f>
        <v>9516291393</v>
      </c>
      <c r="J839" s="1"/>
      <c r="K839" s="1" t="str">
        <f>IFERROR(__xludf.DUMMYFUNCTION("""COMPUTED_VALUE"""),"ARNOLDMOJICA092864@GMAIL.COM")</f>
        <v>ARNOLDMOJICA092864@GMAIL.COM</v>
      </c>
      <c r="L839" s="1" t="str">
        <f>IFERROR(__xludf.DUMMYFUNCTION("""COMPUTED_VALUE"""),"BLK 17 LOT 9")</f>
        <v>BLK 17 LOT 9</v>
      </c>
      <c r="M839" s="1" t="str">
        <f>IFERROR(__xludf.DUMMYFUNCTION("""COMPUTED_VALUE"""),"NARRA RD")</f>
        <v>NARRA RD</v>
      </c>
      <c r="N839" s="1"/>
      <c r="O839" s="1"/>
      <c r="P839" s="1"/>
      <c r="Q839" s="1" t="str">
        <f>IFERROR(__xludf.DUMMYFUNCTION("""COMPUTED_VALUE"""),"NARRA II")</f>
        <v>NARRA II</v>
      </c>
      <c r="R839" s="1" t="str">
        <f>IFERROR(__xludf.DUMMYFUNCTION("""COMPUTED_VALUE"""),"SILANG")</f>
        <v>SILANG</v>
      </c>
      <c r="S839" s="1" t="str">
        <f>IFERROR(__xludf.DUMMYFUNCTION("""COMPUTED_VALUE"""),"CAVITE")</f>
        <v>CAVITE</v>
      </c>
      <c r="T839" s="1" t="str">
        <f>IFERROR(__xludf.DUMMYFUNCTION("""COMPUTED_VALUE"""),"FIBR NETFLIX PLAN 1599")</f>
        <v>FIBR NETFLIX PLAN 1599</v>
      </c>
      <c r="U839" s="1" t="str">
        <f>IFERROR(__xludf.DUMMYFUNCTION("""COMPUTED_VALUE"""),"APPROVED")</f>
        <v>APPROVED</v>
      </c>
      <c r="V839" s="1"/>
      <c r="W839" s="1"/>
    </row>
    <row r="840" customHeight="1" spans="1:23">
      <c r="A840" s="3">
        <f>IFERROR(__xludf.DUMMYFUNCTION("""COMPUTED_VALUE"""),46098)</f>
        <v>46098</v>
      </c>
      <c r="B840" s="1" t="str">
        <f>IFERROR(__xludf.DUMMYFUNCTION("""COMPUTED_VALUE"""),"NAEOSA, JULLIE")</f>
        <v>NAEOSA, JULLIE</v>
      </c>
      <c r="C840" s="1" t="str">
        <f>IFERROR(__xludf.DUMMYFUNCTION("""COMPUTED_VALUE"""),"ORGANIC")</f>
        <v>ORGANIC</v>
      </c>
      <c r="D840" s="1" t="str">
        <f>IFERROR(__xludf.DUMMYFUNCTION("""COMPUTED_VALUE"""),"ALINGARO, CINDY")</f>
        <v>ALINGARO, CINDY</v>
      </c>
      <c r="E840" s="1" t="str">
        <f>IFERROR(__xludf.DUMMYFUNCTION("""COMPUTED_VALUE"""),"PLDT")</f>
        <v>PLDT</v>
      </c>
      <c r="F840" s="1">
        <f>IFERROR(__xludf.DUMMYFUNCTION("""COMPUTED_VALUE"""),2308315616)</f>
        <v>2308315616</v>
      </c>
      <c r="G840" s="1"/>
      <c r="H840" s="1" t="str">
        <f>IFERROR(__xludf.DUMMYFUNCTION("""COMPUTED_VALUE"""),"MARICEL PARINAS PAGLINAWAN")</f>
        <v>MARICEL PARINAS PAGLINAWAN</v>
      </c>
      <c r="I840" s="1">
        <f>IFERROR(__xludf.DUMMYFUNCTION("""COMPUTED_VALUE"""),9679871081)</f>
        <v>9679871081</v>
      </c>
      <c r="J840" s="1"/>
      <c r="K840" s="1" t="str">
        <f>IFERROR(__xludf.DUMMYFUNCTION("""COMPUTED_VALUE"""),"MARIZPARINAS32@GMAIL.COM")</f>
        <v>MARIZPARINAS32@GMAIL.COM</v>
      </c>
      <c r="L840" s="1" t="str">
        <f>IFERROR(__xludf.DUMMYFUNCTION("""COMPUTED_VALUE"""),"39")</f>
        <v>39</v>
      </c>
      <c r="M840" s="1" t="str">
        <f>IFERROR(__xludf.DUMMYFUNCTION("""COMPUTED_VALUE"""),"IBAYONG ILAT")</f>
        <v>IBAYONG ILAT</v>
      </c>
      <c r="N840" s="1"/>
      <c r="O840" s="1"/>
      <c r="P840" s="1"/>
      <c r="Q840" s="1" t="str">
        <f>IFERROR(__xludf.DUMMYFUNCTION("""COMPUTED_VALUE"""),"KAONG")</f>
        <v>KAONG</v>
      </c>
      <c r="R840" s="1" t="str">
        <f>IFERROR(__xludf.DUMMYFUNCTION("""COMPUTED_VALUE"""),"SILANG")</f>
        <v>SILANG</v>
      </c>
      <c r="S840" s="1" t="str">
        <f>IFERROR(__xludf.DUMMYFUNCTION("""COMPUTED_VALUE"""),"CAVITE")</f>
        <v>CAVITE</v>
      </c>
      <c r="T840" s="1" t="str">
        <f>IFERROR(__xludf.DUMMYFUNCTION("""COMPUTED_VALUE"""),"PREPAID FIBER UNLI")</f>
        <v>PREPAID FIBER UNLI</v>
      </c>
      <c r="U840" s="1" t="str">
        <f>IFERROR(__xludf.DUMMYFUNCTION("""COMPUTED_VALUE"""),"APPROVED")</f>
        <v>APPROVED</v>
      </c>
      <c r="V840" s="1"/>
      <c r="W840" s="1"/>
    </row>
    <row r="841" customHeight="1" spans="1:23">
      <c r="A841" s="3">
        <f>IFERROR(__xludf.DUMMYFUNCTION("""COMPUTED_VALUE"""),46098)</f>
        <v>46098</v>
      </c>
      <c r="B841" s="1" t="str">
        <f>IFERROR(__xludf.DUMMYFUNCTION("""COMPUTED_VALUE"""),"MAGDARAOG, KENNETH")</f>
        <v>MAGDARAOG, KENNETH</v>
      </c>
      <c r="C841" s="1" t="str">
        <f>IFERROR(__xludf.DUMMYFUNCTION("""COMPUTED_VALUE"""),"ORGANIC")</f>
        <v>ORGANIC</v>
      </c>
      <c r="D841" s="1" t="str">
        <f>IFERROR(__xludf.DUMMYFUNCTION("""COMPUTED_VALUE"""),"ALINGARO, CINDY")</f>
        <v>ALINGARO, CINDY</v>
      </c>
      <c r="E841" s="1" t="str">
        <f>IFERROR(__xludf.DUMMYFUNCTION("""COMPUTED_VALUE"""),"PLDT")</f>
        <v>PLDT</v>
      </c>
      <c r="F841" s="1">
        <f>IFERROR(__xludf.DUMMYFUNCTION("""COMPUTED_VALUE"""),2308343125)</f>
        <v>2308343125</v>
      </c>
      <c r="G841" s="1"/>
      <c r="H841" s="1" t="str">
        <f>IFERROR(__xludf.DUMMYFUNCTION("""COMPUTED_VALUE"""),"BERNALD CAPISTRANO RUSELA")</f>
        <v>BERNALD CAPISTRANO RUSELA</v>
      </c>
      <c r="I841" s="1">
        <f>IFERROR(__xludf.DUMMYFUNCTION("""COMPUTED_VALUE"""),9081213504)</f>
        <v>9081213504</v>
      </c>
      <c r="J841" s="1"/>
      <c r="K841" s="1" t="str">
        <f>IFERROR(__xludf.DUMMYFUNCTION("""COMPUTED_VALUE"""),"BERNALDRUSELA@GMAIL.COM")</f>
        <v>BERNALDRUSELA@GMAIL.COM</v>
      </c>
      <c r="L841" s="1" t="str">
        <f>IFERROR(__xludf.DUMMYFUNCTION("""COMPUTED_VALUE"""),"286")</f>
        <v>286</v>
      </c>
      <c r="M841" s="1" t="str">
        <f>IFERROR(__xludf.DUMMYFUNCTION("""COMPUTED_VALUE"""),"SITIO IBAYONG ILOG")</f>
        <v>SITIO IBAYONG ILOG</v>
      </c>
      <c r="N841" s="1"/>
      <c r="O841" s="1"/>
      <c r="P841" s="1"/>
      <c r="Q841" s="1" t="str">
        <f>IFERROR(__xludf.DUMMYFUNCTION("""COMPUTED_VALUE"""),"KAONG")</f>
        <v>KAONG</v>
      </c>
      <c r="R841" s="1" t="str">
        <f>IFERROR(__xludf.DUMMYFUNCTION("""COMPUTED_VALUE"""),"SILANG")</f>
        <v>SILANG</v>
      </c>
      <c r="S841" s="1" t="str">
        <f>IFERROR(__xludf.DUMMYFUNCTION("""COMPUTED_VALUE"""),"CAVITE")</f>
        <v>CAVITE</v>
      </c>
      <c r="T841" s="1" t="str">
        <f>IFERROR(__xludf.DUMMYFUNCTION("""COMPUTED_VALUE"""),"FIBR PLAN 1299")</f>
        <v>FIBR PLAN 1299</v>
      </c>
      <c r="U841" s="1" t="str">
        <f>IFERROR(__xludf.DUMMYFUNCTION("""COMPUTED_VALUE"""),"APPROVED")</f>
        <v>APPROVED</v>
      </c>
      <c r="V841" s="1"/>
      <c r="W841" s="1"/>
    </row>
    <row r="842" customHeight="1" spans="1:23">
      <c r="A842" s="3">
        <f>IFERROR(__xludf.DUMMYFUNCTION("""COMPUTED_VALUE"""),46098)</f>
        <v>46098</v>
      </c>
      <c r="B842" s="1" t="str">
        <f>IFERROR(__xludf.DUMMYFUNCTION("""COMPUTED_VALUE"""),"CABRERA JILLIENE")</f>
        <v>CABRERA JILLIENE</v>
      </c>
      <c r="C842" s="1" t="str">
        <f>IFERROR(__xludf.DUMMYFUNCTION("""COMPUTED_VALUE"""),"ORGANIC")</f>
        <v>ORGANIC</v>
      </c>
      <c r="D842" s="1" t="str">
        <f>IFERROR(__xludf.DUMMYFUNCTION("""COMPUTED_VALUE"""),"ALOS, CHARLS")</f>
        <v>ALOS, CHARLS</v>
      </c>
      <c r="E842" s="1" t="str">
        <f>IFERROR(__xludf.DUMMYFUNCTION("""COMPUTED_VALUE"""),"PLDT")</f>
        <v>PLDT</v>
      </c>
      <c r="F842" s="1"/>
      <c r="G842" s="1"/>
      <c r="H842" s="1" t="str">
        <f>IFERROR(__xludf.DUMMYFUNCTION("""COMPUTED_VALUE"""),"KARLA LACAMBRA VALLE")</f>
        <v>KARLA LACAMBRA VALLE</v>
      </c>
      <c r="I842" s="1">
        <f>IFERROR(__xludf.DUMMYFUNCTION("""COMPUTED_VALUE"""),9853121245)</f>
        <v>9853121245</v>
      </c>
      <c r="J842" s="1">
        <f>IFERROR(__xludf.DUMMYFUNCTION("""COMPUTED_VALUE"""),9103057623)</f>
        <v>9103057623</v>
      </c>
      <c r="K842" s="1" t="str">
        <f>IFERROR(__xludf.DUMMYFUNCTION("""COMPUTED_VALUE"""),"KARLAVALLE1010@GMAIL.COM")</f>
        <v>KARLAVALLE1010@GMAIL.COM</v>
      </c>
      <c r="L842" s="1" t="str">
        <f>IFERROR(__xludf.DUMMYFUNCTION("""COMPUTED_VALUE"""),"BLK 5 LOT 32")</f>
        <v>BLK 5 LOT 32</v>
      </c>
      <c r="M842" s="1" t="str">
        <f>IFERROR(__xludf.DUMMYFUNCTION("""COMPUTED_VALUE"""),"BATAAN")</f>
        <v>BATAAN</v>
      </c>
      <c r="N842" s="1"/>
      <c r="O842" s="1"/>
      <c r="P842" s="1"/>
      <c r="Q842" s="1" t="str">
        <f>IFERROR(__xludf.DUMMYFUNCTION("""COMPUTED_VALUE"""),"GAVINO MADERAN")</f>
        <v>GAVINO MADERAN</v>
      </c>
      <c r="R842" s="1" t="str">
        <f>IFERROR(__xludf.DUMMYFUNCTION("""COMPUTED_VALUE"""),"GEN MARIANO ALVAREZ")</f>
        <v>GEN MARIANO ALVAREZ</v>
      </c>
      <c r="S842" s="1" t="str">
        <f>IFERROR(__xludf.DUMMYFUNCTION("""COMPUTED_VALUE"""),"CAVITE")</f>
        <v>CAVITE</v>
      </c>
      <c r="T842" s="1" t="str">
        <f>IFERROR(__xludf.DUMMYFUNCTION("""COMPUTED_VALUE"""),"PREPAID FIBER UNLI")</f>
        <v>PREPAID FIBER UNLI</v>
      </c>
      <c r="U842" s="1" t="str">
        <f>IFERROR(__xludf.DUMMYFUNCTION("""COMPUTED_VALUE"""),"APPROVED")</f>
        <v>APPROVED</v>
      </c>
      <c r="V842" s="1"/>
      <c r="W842" s="1"/>
    </row>
    <row r="843" customHeight="1" spans="1:23">
      <c r="A843" s="3">
        <f>IFERROR(__xludf.DUMMYFUNCTION("""COMPUTED_VALUE"""),46099)</f>
        <v>46099</v>
      </c>
      <c r="B843" s="1" t="str">
        <f>IFERROR(__xludf.DUMMYFUNCTION("""COMPUTED_VALUE"""),"ALOS, CHARLS LAURENZ")</f>
        <v>ALOS, CHARLS LAURENZ</v>
      </c>
      <c r="C843" s="1" t="str">
        <f>IFERROR(__xludf.DUMMYFUNCTION("""COMPUTED_VALUE"""),"FLA")</f>
        <v>FLA</v>
      </c>
      <c r="D843" s="1" t="str">
        <f>IFERROR(__xludf.DUMMYFUNCTION("""COMPUTED_VALUE"""),"JERIC NAVARRO")</f>
        <v>JERIC NAVARRO</v>
      </c>
      <c r="E843" s="1" t="str">
        <f>IFERROR(__xludf.DUMMYFUNCTION("""COMPUTED_VALUE"""),"PLDT")</f>
        <v>PLDT</v>
      </c>
      <c r="F843" s="1">
        <f>IFERROR(__xludf.DUMMYFUNCTION("""COMPUTED_VALUE"""),2308342492)</f>
        <v>2308342492</v>
      </c>
      <c r="G843" s="1"/>
      <c r="H843" s="1" t="str">
        <f>IFERROR(__xludf.DUMMYFUNCTION("""COMPUTED_VALUE"""),"JONALYN COMPUTER SHOP")</f>
        <v>JONALYN COMPUTER SHOP</v>
      </c>
      <c r="I843" s="1">
        <f>IFERROR(__xludf.DUMMYFUNCTION("""COMPUTED_VALUE"""),9106414286)</f>
        <v>9106414286</v>
      </c>
      <c r="J843" s="1">
        <f>IFERROR(__xludf.DUMMYFUNCTION("""COMPUTED_VALUE"""),9506387754)</f>
        <v>9506387754</v>
      </c>
      <c r="K843" s="1" t="str">
        <f>IFERROR(__xludf.DUMMYFUNCTION("""COMPUTED_VALUE"""),"JONALYN.ALAMATIGUE.ECCBSBA@GMAIL.COM")</f>
        <v>JONALYN.ALAMATIGUE.ECCBSBA@GMAIL.COM</v>
      </c>
      <c r="L843" s="1" t="str">
        <f>IFERROR(__xludf.DUMMYFUNCTION("""COMPUTED_VALUE"""),"BLK 2 LOT 16")</f>
        <v>BLK 2 LOT 16</v>
      </c>
      <c r="M843" s="1" t="str">
        <f>IFERROR(__xludf.DUMMYFUNCTION("""COMPUTED_VALUE"""),"PALIGAWAN MATANDA")</f>
        <v>PALIGAWAN MATANDA</v>
      </c>
      <c r="N843" s="1"/>
      <c r="O843" s="1"/>
      <c r="P843" s="1"/>
      <c r="Q843" s="1" t="str">
        <f>IFERROR(__xludf.DUMMYFUNCTION("""COMPUTED_VALUE"""),"LANTIC")</f>
        <v>LANTIC</v>
      </c>
      <c r="R843" s="1" t="str">
        <f>IFERROR(__xludf.DUMMYFUNCTION("""COMPUTED_VALUE"""),"CARMONA")</f>
        <v>CARMONA</v>
      </c>
      <c r="S843" s="1" t="str">
        <f>IFERROR(__xludf.DUMMYFUNCTION("""COMPUTED_VALUE"""),"CAVITE")</f>
        <v>CAVITE</v>
      </c>
      <c r="T843" s="1" t="str">
        <f>IFERROR(__xludf.DUMMYFUNCTION("""COMPUTED_VALUE"""),"HOME BIZ PLAN 1699")</f>
        <v>HOME BIZ PLAN 1699</v>
      </c>
      <c r="U843" s="1" t="str">
        <f>IFERROR(__xludf.DUMMYFUNCTION("""COMPUTED_VALUE"""),"APPROVED")</f>
        <v>APPROVED</v>
      </c>
      <c r="V843" s="1"/>
      <c r="W843" s="1"/>
    </row>
    <row r="844" customHeight="1" spans="1:23">
      <c r="A844" s="3">
        <f>IFERROR(__xludf.DUMMYFUNCTION("""COMPUTED_VALUE"""),46099)</f>
        <v>46099</v>
      </c>
      <c r="B844" s="1" t="str">
        <f>IFERROR(__xludf.DUMMYFUNCTION("""COMPUTED_VALUE"""),"ALOS, CHARLS LAURENZ")</f>
        <v>ALOS, CHARLS LAURENZ</v>
      </c>
      <c r="C844" s="1" t="str">
        <f>IFERROR(__xludf.DUMMYFUNCTION("""COMPUTED_VALUE"""),"FLA")</f>
        <v>FLA</v>
      </c>
      <c r="D844" s="1" t="str">
        <f>IFERROR(__xludf.DUMMYFUNCTION("""COMPUTED_VALUE"""),"JERIC NAVARRO")</f>
        <v>JERIC NAVARRO</v>
      </c>
      <c r="E844" s="1" t="str">
        <f>IFERROR(__xludf.DUMMYFUNCTION("""COMPUTED_VALUE"""),"PLDT")</f>
        <v>PLDT</v>
      </c>
      <c r="F844" s="1">
        <f>IFERROR(__xludf.DUMMYFUNCTION("""COMPUTED_VALUE"""),2308332776)</f>
        <v>2308332776</v>
      </c>
      <c r="G844" s="1"/>
      <c r="H844" s="1" t="str">
        <f>IFERROR(__xludf.DUMMYFUNCTION("""COMPUTED_VALUE"""),"MARY JOY RAMOS PONGO")</f>
        <v>MARY JOY RAMOS PONGO</v>
      </c>
      <c r="I844" s="1">
        <f>IFERROR(__xludf.DUMMYFUNCTION("""COMPUTED_VALUE"""),9915636945)</f>
        <v>9915636945</v>
      </c>
      <c r="J844" s="1"/>
      <c r="K844" s="1" t="str">
        <f>IFERROR(__xludf.DUMMYFUNCTION("""COMPUTED_VALUE"""),"MJPONGO1129@GMAIL.COM")</f>
        <v>MJPONGO1129@GMAIL.COM</v>
      </c>
      <c r="L844" s="1" t="str">
        <f>IFERROR(__xludf.DUMMYFUNCTION("""COMPUTED_VALUE"""),"BLK 10 LOT 17")</f>
        <v>BLK 10 LOT 17</v>
      </c>
      <c r="M844" s="1" t="str">
        <f>IFERROR(__xludf.DUMMYFUNCTION("""COMPUTED_VALUE"""),"PALIGAWAN MATANDA")</f>
        <v>PALIGAWAN MATANDA</v>
      </c>
      <c r="N844" s="1"/>
      <c r="O844" s="1"/>
      <c r="P844" s="1"/>
      <c r="Q844" s="1" t="str">
        <f>IFERROR(__xludf.DUMMYFUNCTION("""COMPUTED_VALUE"""),"LANTIC")</f>
        <v>LANTIC</v>
      </c>
      <c r="R844" s="1" t="str">
        <f>IFERROR(__xludf.DUMMYFUNCTION("""COMPUTED_VALUE"""),"CARMONA")</f>
        <v>CARMONA</v>
      </c>
      <c r="S844" s="1" t="str">
        <f>IFERROR(__xludf.DUMMYFUNCTION("""COMPUTED_VALUE"""),"CAVITE")</f>
        <v>CAVITE</v>
      </c>
      <c r="T844" s="1" t="str">
        <f>IFERROR(__xludf.DUMMYFUNCTION("""COMPUTED_VALUE"""),"FIBR UNLI ALL PLAN 1399")</f>
        <v>FIBR UNLI ALL PLAN 1399</v>
      </c>
      <c r="U844" s="1" t="str">
        <f>IFERROR(__xludf.DUMMYFUNCTION("""COMPUTED_VALUE"""),"APPROVED")</f>
        <v>APPROVED</v>
      </c>
      <c r="V844" s="1"/>
      <c r="W844" s="1"/>
    </row>
    <row r="845" customHeight="1" spans="1:23">
      <c r="A845" s="3">
        <f>IFERROR(__xludf.DUMMYFUNCTION("""COMPUTED_VALUE"""),46099)</f>
        <v>46099</v>
      </c>
      <c r="B845" s="1" t="str">
        <f>IFERROR(__xludf.DUMMYFUNCTION("""COMPUTED_VALUE"""),"ALOS, CHARLS LAURENZ")</f>
        <v>ALOS, CHARLS LAURENZ</v>
      </c>
      <c r="C845" s="1" t="str">
        <f>IFERROR(__xludf.DUMMYFUNCTION("""COMPUTED_VALUE"""),"FLA")</f>
        <v>FLA</v>
      </c>
      <c r="D845" s="1" t="str">
        <f>IFERROR(__xludf.DUMMYFUNCTION("""COMPUTED_VALUE"""),"JERIC NAVARRO")</f>
        <v>JERIC NAVARRO</v>
      </c>
      <c r="E845" s="1" t="str">
        <f>IFERROR(__xludf.DUMMYFUNCTION("""COMPUTED_VALUE"""),"PLDT")</f>
        <v>PLDT</v>
      </c>
      <c r="F845" s="1">
        <f>IFERROR(__xludf.DUMMYFUNCTION("""COMPUTED_VALUE"""),2308333064)</f>
        <v>2308333064</v>
      </c>
      <c r="G845" s="1"/>
      <c r="H845" s="1" t="str">
        <f>IFERROR(__xludf.DUMMYFUNCTION("""COMPUTED_VALUE"""),"CHRISTIAN DORMETORIO DUKA")</f>
        <v>CHRISTIAN DORMETORIO DUKA</v>
      </c>
      <c r="I845" s="1">
        <f>IFERROR(__xludf.DUMMYFUNCTION("""COMPUTED_VALUE"""),9501981930)</f>
        <v>9501981930</v>
      </c>
      <c r="J845" s="1"/>
      <c r="K845" s="1" t="str">
        <f>IFERROR(__xludf.DUMMYFUNCTION("""COMPUTED_VALUE"""),"CHRISTIANDUKA08@GMAIL.COM")</f>
        <v>CHRISTIANDUKA08@GMAIL.COM</v>
      </c>
      <c r="L845" s="1" t="str">
        <f>IFERROR(__xludf.DUMMYFUNCTION("""COMPUTED_VALUE"""),"BLK 5 LOT 9")</f>
        <v>BLK 5 LOT 9</v>
      </c>
      <c r="M845" s="1" t="str">
        <f>IFERROR(__xludf.DUMMYFUNCTION("""COMPUTED_VALUE"""),"PALIGAWAN MATANDA")</f>
        <v>PALIGAWAN MATANDA</v>
      </c>
      <c r="N845" s="1"/>
      <c r="O845" s="1"/>
      <c r="P845" s="1"/>
      <c r="Q845" s="1" t="str">
        <f>IFERROR(__xludf.DUMMYFUNCTION("""COMPUTED_VALUE"""),"LANTIC")</f>
        <v>LANTIC</v>
      </c>
      <c r="R845" s="1" t="str">
        <f>IFERROR(__xludf.DUMMYFUNCTION("""COMPUTED_VALUE"""),"CARMONA")</f>
        <v>CARMONA</v>
      </c>
      <c r="S845" s="1" t="str">
        <f>IFERROR(__xludf.DUMMYFUNCTION("""COMPUTED_VALUE"""),"CAVITE")</f>
        <v>CAVITE</v>
      </c>
      <c r="T845" s="1" t="str">
        <f>IFERROR(__xludf.DUMMYFUNCTION("""COMPUTED_VALUE"""),"FIBR UNLI ALL PLAN 1399")</f>
        <v>FIBR UNLI ALL PLAN 1399</v>
      </c>
      <c r="U845" s="1" t="str">
        <f>IFERROR(__xludf.DUMMYFUNCTION("""COMPUTED_VALUE"""),"APPROVED")</f>
        <v>APPROVED</v>
      </c>
      <c r="V845" s="1"/>
      <c r="W845" s="1"/>
    </row>
    <row r="846" customHeight="1" spans="1:23">
      <c r="A846" s="3">
        <f>IFERROR(__xludf.DUMMYFUNCTION("""COMPUTED_VALUE"""),46099)</f>
        <v>46099</v>
      </c>
      <c r="B846" s="1" t="str">
        <f>IFERROR(__xludf.DUMMYFUNCTION("""COMPUTED_VALUE"""),"ALOS, CHARLS LAURENZ")</f>
        <v>ALOS, CHARLS LAURENZ</v>
      </c>
      <c r="C846" s="1" t="str">
        <f>IFERROR(__xludf.DUMMYFUNCTION("""COMPUTED_VALUE"""),"FLA")</f>
        <v>FLA</v>
      </c>
      <c r="D846" s="1" t="str">
        <f>IFERROR(__xludf.DUMMYFUNCTION("""COMPUTED_VALUE"""),"JERIC NAVARRO")</f>
        <v>JERIC NAVARRO</v>
      </c>
      <c r="E846" s="1" t="str">
        <f>IFERROR(__xludf.DUMMYFUNCTION("""COMPUTED_VALUE"""),"PLDT")</f>
        <v>PLDT</v>
      </c>
      <c r="F846" s="1">
        <f>IFERROR(__xludf.DUMMYFUNCTION("""COMPUTED_VALUE"""),2308333360)</f>
        <v>2308333360</v>
      </c>
      <c r="G846" s="1"/>
      <c r="H846" s="1" t="str">
        <f>IFERROR(__xludf.DUMMYFUNCTION("""COMPUTED_VALUE"""),"NOEMI MARBELLA ABARRATIGUE")</f>
        <v>NOEMI MARBELLA ABARRATIGUE</v>
      </c>
      <c r="I846" s="1">
        <f>IFERROR(__xludf.DUMMYFUNCTION("""COMPUTED_VALUE"""),9380498850)</f>
        <v>9380498850</v>
      </c>
      <c r="J846" s="1">
        <f>IFERROR(__xludf.DUMMYFUNCTION("""COMPUTED_VALUE"""),9566311497)</f>
        <v>9566311497</v>
      </c>
      <c r="K846" s="1" t="str">
        <f>IFERROR(__xludf.DUMMYFUNCTION("""COMPUTED_VALUE"""),"NHALYNMARABELLA26@GMAIL.COM")</f>
        <v>NHALYNMARABELLA26@GMAIL.COM</v>
      </c>
      <c r="L846" s="1" t="str">
        <f>IFERROR(__xludf.DUMMYFUNCTION("""COMPUTED_VALUE"""),"BLK 4 LOT 12")</f>
        <v>BLK 4 LOT 12</v>
      </c>
      <c r="M846" s="1" t="str">
        <f>IFERROR(__xludf.DUMMYFUNCTION("""COMPUTED_VALUE"""),"PALIGAWAN MATANDA")</f>
        <v>PALIGAWAN MATANDA</v>
      </c>
      <c r="N846" s="1"/>
      <c r="O846" s="1"/>
      <c r="P846" s="1"/>
      <c r="Q846" s="1" t="str">
        <f>IFERROR(__xludf.DUMMYFUNCTION("""COMPUTED_VALUE"""),"LANTIC")</f>
        <v>LANTIC</v>
      </c>
      <c r="R846" s="1" t="str">
        <f>IFERROR(__xludf.DUMMYFUNCTION("""COMPUTED_VALUE"""),"CARMONA")</f>
        <v>CARMONA</v>
      </c>
      <c r="S846" s="1" t="str">
        <f>IFERROR(__xludf.DUMMYFUNCTION("""COMPUTED_VALUE"""),"CAVITE")</f>
        <v>CAVITE</v>
      </c>
      <c r="T846" s="1" t="str">
        <f>IFERROR(__xludf.DUMMYFUNCTION("""COMPUTED_VALUE"""),"FIBR UNLI ALL PLAN 1399")</f>
        <v>FIBR UNLI ALL PLAN 1399</v>
      </c>
      <c r="U846" s="1" t="str">
        <f>IFERROR(__xludf.DUMMYFUNCTION("""COMPUTED_VALUE"""),"APPROVED")</f>
        <v>APPROVED</v>
      </c>
      <c r="V846" s="1"/>
      <c r="W846" s="1"/>
    </row>
    <row r="847" customHeight="1" spans="1:23">
      <c r="A847" s="3">
        <f>IFERROR(__xludf.DUMMYFUNCTION("""COMPUTED_VALUE"""),46099)</f>
        <v>46099</v>
      </c>
      <c r="B847" s="1" t="str">
        <f>IFERROR(__xludf.DUMMYFUNCTION("""COMPUTED_VALUE"""),"ALOS, CHARLS LAURENZ")</f>
        <v>ALOS, CHARLS LAURENZ</v>
      </c>
      <c r="C847" s="1" t="str">
        <f>IFERROR(__xludf.DUMMYFUNCTION("""COMPUTED_VALUE"""),"FLA")</f>
        <v>FLA</v>
      </c>
      <c r="D847" s="1" t="str">
        <f>IFERROR(__xludf.DUMMYFUNCTION("""COMPUTED_VALUE"""),"JERIC NAVARRO")</f>
        <v>JERIC NAVARRO</v>
      </c>
      <c r="E847" s="1" t="str">
        <f>IFERROR(__xludf.DUMMYFUNCTION("""COMPUTED_VALUE"""),"PLDT")</f>
        <v>PLDT</v>
      </c>
      <c r="F847" s="1">
        <f>IFERROR(__xludf.DUMMYFUNCTION("""COMPUTED_VALUE"""),2308335147)</f>
        <v>2308335147</v>
      </c>
      <c r="G847" s="1"/>
      <c r="H847" s="1" t="str">
        <f>IFERROR(__xludf.DUMMYFUNCTION("""COMPUTED_VALUE"""),"QUEENIE SIALANA VILLAPUZ")</f>
        <v>QUEENIE SIALANA VILLAPUZ</v>
      </c>
      <c r="I847" s="1">
        <f>IFERROR(__xludf.DUMMYFUNCTION("""COMPUTED_VALUE"""),9666678239)</f>
        <v>9666678239</v>
      </c>
      <c r="J847" s="1"/>
      <c r="K847" s="1" t="str">
        <f>IFERROR(__xludf.DUMMYFUNCTION("""COMPUTED_VALUE"""),"PALIGAWANCOOP@GMAIL.COM")</f>
        <v>PALIGAWANCOOP@GMAIL.COM</v>
      </c>
      <c r="L847" s="1" t="str">
        <f>IFERROR(__xludf.DUMMYFUNCTION("""COMPUTED_VALUE"""),"BLK 8 LOT 12")</f>
        <v>BLK 8 LOT 12</v>
      </c>
      <c r="M847" s="1" t="str">
        <f>IFERROR(__xludf.DUMMYFUNCTION("""COMPUTED_VALUE"""),"PALIGAWAN MATANDA")</f>
        <v>PALIGAWAN MATANDA</v>
      </c>
      <c r="N847" s="1"/>
      <c r="O847" s="1"/>
      <c r="P847" s="1"/>
      <c r="Q847" s="1" t="str">
        <f>IFERROR(__xludf.DUMMYFUNCTION("""COMPUTED_VALUE"""),"LANTIC")</f>
        <v>LANTIC</v>
      </c>
      <c r="R847" s="1" t="str">
        <f>IFERROR(__xludf.DUMMYFUNCTION("""COMPUTED_VALUE"""),"CARMONA")</f>
        <v>CARMONA</v>
      </c>
      <c r="S847" s="1" t="str">
        <f>IFERROR(__xludf.DUMMYFUNCTION("""COMPUTED_VALUE"""),"CAVITE")</f>
        <v>CAVITE</v>
      </c>
      <c r="T847" s="1" t="str">
        <f>IFERROR(__xludf.DUMMYFUNCTION("""COMPUTED_VALUE"""),"FIBR NETFLIX PLAN 1599")</f>
        <v>FIBR NETFLIX PLAN 1599</v>
      </c>
      <c r="U847" s="1" t="str">
        <f>IFERROR(__xludf.DUMMYFUNCTION("""COMPUTED_VALUE"""),"APPROVED")</f>
        <v>APPROVED</v>
      </c>
      <c r="V847" s="1"/>
      <c r="W847" s="1"/>
    </row>
    <row r="848" customHeight="1" spans="1:23">
      <c r="A848" s="3">
        <f>IFERROR(__xludf.DUMMYFUNCTION("""COMPUTED_VALUE"""),46099)</f>
        <v>46099</v>
      </c>
      <c r="B848" s="1" t="str">
        <f>IFERROR(__xludf.DUMMYFUNCTION("""COMPUTED_VALUE"""),"ALOS, CHARLS LAURENZ")</f>
        <v>ALOS, CHARLS LAURENZ</v>
      </c>
      <c r="C848" s="1" t="str">
        <f>IFERROR(__xludf.DUMMYFUNCTION("""COMPUTED_VALUE"""),"FLA")</f>
        <v>FLA</v>
      </c>
      <c r="D848" s="1" t="str">
        <f>IFERROR(__xludf.DUMMYFUNCTION("""COMPUTED_VALUE"""),"JERIC NAVARRO")</f>
        <v>JERIC NAVARRO</v>
      </c>
      <c r="E848" s="1" t="str">
        <f>IFERROR(__xludf.DUMMYFUNCTION("""COMPUTED_VALUE"""),"PLDT")</f>
        <v>PLDT</v>
      </c>
      <c r="F848" s="1">
        <f>IFERROR(__xludf.DUMMYFUNCTION("""COMPUTED_VALUE"""),2308334538)</f>
        <v>2308334538</v>
      </c>
      <c r="G848" s="1"/>
      <c r="H848" s="1" t="str">
        <f>IFERROR(__xludf.DUMMYFUNCTION("""COMPUTED_VALUE"""),"EDMAR JR SIALANA VILLAPUZ")</f>
        <v>EDMAR JR SIALANA VILLAPUZ</v>
      </c>
      <c r="I848" s="1">
        <f>IFERROR(__xludf.DUMMYFUNCTION("""COMPUTED_VALUE"""),9703552578)</f>
        <v>9703552578</v>
      </c>
      <c r="J848" s="1"/>
      <c r="K848" s="1" t="str">
        <f>IFERROR(__xludf.DUMMYFUNCTION("""COMPUTED_VALUE"""),"JAYVILLAPUZ23@GMAIL.COM")</f>
        <v>JAYVILLAPUZ23@GMAIL.COM</v>
      </c>
      <c r="L848" s="1" t="str">
        <f>IFERROR(__xludf.DUMMYFUNCTION("""COMPUTED_VALUE"""),"BLK 2 LOT 2")</f>
        <v>BLK 2 LOT 2</v>
      </c>
      <c r="M848" s="1" t="str">
        <f>IFERROR(__xludf.DUMMYFUNCTION("""COMPUTED_VALUE"""),"PALIGAWAN MATANDA")</f>
        <v>PALIGAWAN MATANDA</v>
      </c>
      <c r="N848" s="1"/>
      <c r="O848" s="1"/>
      <c r="P848" s="1"/>
      <c r="Q848" s="1" t="str">
        <f>IFERROR(__xludf.DUMMYFUNCTION("""COMPUTED_VALUE"""),"LANTIC")</f>
        <v>LANTIC</v>
      </c>
      <c r="R848" s="1" t="str">
        <f>IFERROR(__xludf.DUMMYFUNCTION("""COMPUTED_VALUE"""),"CARMONA")</f>
        <v>CARMONA</v>
      </c>
      <c r="S848" s="1" t="str">
        <f>IFERROR(__xludf.DUMMYFUNCTION("""COMPUTED_VALUE"""),"CAVITE")</f>
        <v>CAVITE</v>
      </c>
      <c r="T848" s="1" t="str">
        <f>IFERROR(__xludf.DUMMYFUNCTION("""COMPUTED_VALUE"""),"FIBR UNLI ALL PLAN 1399")</f>
        <v>FIBR UNLI ALL PLAN 1399</v>
      </c>
      <c r="U848" s="1" t="str">
        <f>IFERROR(__xludf.DUMMYFUNCTION("""COMPUTED_VALUE"""),"APPROVED")</f>
        <v>APPROVED</v>
      </c>
      <c r="V848" s="1"/>
      <c r="W848" s="1"/>
    </row>
    <row r="849" customHeight="1" spans="1:23">
      <c r="A849" s="3">
        <f>IFERROR(__xludf.DUMMYFUNCTION("""COMPUTED_VALUE"""),46099)</f>
        <v>46099</v>
      </c>
      <c r="B849" s="1" t="str">
        <f>IFERROR(__xludf.DUMMYFUNCTION("""COMPUTED_VALUE"""),"ALOS, CHARLS LAURENZ")</f>
        <v>ALOS, CHARLS LAURENZ</v>
      </c>
      <c r="C849" s="1" t="str">
        <f>IFERROR(__xludf.DUMMYFUNCTION("""COMPUTED_VALUE"""),"FLA")</f>
        <v>FLA</v>
      </c>
      <c r="D849" s="1" t="str">
        <f>IFERROR(__xludf.DUMMYFUNCTION("""COMPUTED_VALUE"""),"JERIC NAVARRO")</f>
        <v>JERIC NAVARRO</v>
      </c>
      <c r="E849" s="1" t="str">
        <f>IFERROR(__xludf.DUMMYFUNCTION("""COMPUTED_VALUE"""),"PLDT")</f>
        <v>PLDT</v>
      </c>
      <c r="F849" s="1">
        <f>IFERROR(__xludf.DUMMYFUNCTION("""COMPUTED_VALUE"""),2308334194)</f>
        <v>2308334194</v>
      </c>
      <c r="G849" s="1"/>
      <c r="H849" s="1" t="str">
        <f>IFERROR(__xludf.DUMMYFUNCTION("""COMPUTED_VALUE"""),"MICHELLE ANNE PALANTANG AGUSTIN")</f>
        <v>MICHELLE ANNE PALANTANG AGUSTIN</v>
      </c>
      <c r="I849" s="1">
        <f>IFERROR(__xludf.DUMMYFUNCTION("""COMPUTED_VALUE"""),9542354791)</f>
        <v>9542354791</v>
      </c>
      <c r="J849" s="1"/>
      <c r="K849" s="1" t="str">
        <f>IFERROR(__xludf.DUMMYFUNCTION("""COMPUTED_VALUE"""),"AGUSTINMICHELLEANNE54@GMAIL.COM")</f>
        <v>AGUSTINMICHELLEANNE54@GMAIL.COM</v>
      </c>
      <c r="L849" s="1" t="str">
        <f>IFERROR(__xludf.DUMMYFUNCTION("""COMPUTED_VALUE"""),"BLK 4 LOT 9")</f>
        <v>BLK 4 LOT 9</v>
      </c>
      <c r="M849" s="1" t="str">
        <f>IFERROR(__xludf.DUMMYFUNCTION("""COMPUTED_VALUE"""),"PALIGAWAN MATANDA")</f>
        <v>PALIGAWAN MATANDA</v>
      </c>
      <c r="N849" s="1"/>
      <c r="O849" s="1"/>
      <c r="P849" s="1"/>
      <c r="Q849" s="1" t="str">
        <f>IFERROR(__xludf.DUMMYFUNCTION("""COMPUTED_VALUE"""),"LANTIC")</f>
        <v>LANTIC</v>
      </c>
      <c r="R849" s="1" t="str">
        <f>IFERROR(__xludf.DUMMYFUNCTION("""COMPUTED_VALUE"""),"CARMONA")</f>
        <v>CARMONA</v>
      </c>
      <c r="S849" s="1" t="str">
        <f>IFERROR(__xludf.DUMMYFUNCTION("""COMPUTED_VALUE"""),"CAVITE")</f>
        <v>CAVITE</v>
      </c>
      <c r="T849" s="1" t="str">
        <f>IFERROR(__xludf.DUMMYFUNCTION("""COMPUTED_VALUE"""),"FIBR UNLI ALL PLAN 1399")</f>
        <v>FIBR UNLI ALL PLAN 1399</v>
      </c>
      <c r="U849" s="1" t="str">
        <f>IFERROR(__xludf.DUMMYFUNCTION("""COMPUTED_VALUE"""),"APPROVED")</f>
        <v>APPROVED</v>
      </c>
      <c r="V849" s="1"/>
      <c r="W849" s="1"/>
    </row>
    <row r="850" customHeight="1" spans="1:23">
      <c r="A850" s="3">
        <f>IFERROR(__xludf.DUMMYFUNCTION("""COMPUTED_VALUE"""),46099)</f>
        <v>46099</v>
      </c>
      <c r="B850" s="1" t="str">
        <f>IFERROR(__xludf.DUMMYFUNCTION("""COMPUTED_VALUE"""),"CONCEPCION, ALJAY")</f>
        <v>CONCEPCION, ALJAY</v>
      </c>
      <c r="C850" s="1" t="str">
        <f>IFERROR(__xludf.DUMMYFUNCTION("""COMPUTED_VALUE"""),"ORGANIC")</f>
        <v>ORGANIC</v>
      </c>
      <c r="D850" s="1" t="str">
        <f>IFERROR(__xludf.DUMMYFUNCTION("""COMPUTED_VALUE"""),"ALINGARO, CINDY")</f>
        <v>ALINGARO, CINDY</v>
      </c>
      <c r="E850" s="1" t="str">
        <f>IFERROR(__xludf.DUMMYFUNCTION("""COMPUTED_VALUE"""),"PLDT")</f>
        <v>PLDT</v>
      </c>
      <c r="F850" s="1">
        <f>IFERROR(__xludf.DUMMYFUNCTION("""COMPUTED_VALUE"""),2308334882)</f>
        <v>2308334882</v>
      </c>
      <c r="G850" s="1"/>
      <c r="H850" s="1" t="str">
        <f>IFERROR(__xludf.DUMMYFUNCTION("""COMPUTED_VALUE"""),"CYRON BACULI CABUTIN")</f>
        <v>CYRON BACULI CABUTIN</v>
      </c>
      <c r="I850" s="1">
        <f>IFERROR(__xludf.DUMMYFUNCTION("""COMPUTED_VALUE"""),9094783291)</f>
        <v>9094783291</v>
      </c>
      <c r="J850" s="1">
        <f>IFERROR(__xludf.DUMMYFUNCTION("""COMPUTED_VALUE"""),9659204086)</f>
        <v>9659204086</v>
      </c>
      <c r="K850" s="1" t="str">
        <f>IFERROR(__xludf.DUMMYFUNCTION("""COMPUTED_VALUE"""),"CYRONCBUTIN9@GMAIL.COM")</f>
        <v>CYRONCBUTIN9@GMAIL.COM</v>
      </c>
      <c r="L850" s="1" t="str">
        <f>IFERROR(__xludf.DUMMYFUNCTION("""COMPUTED_VALUE"""),"186")</f>
        <v>186</v>
      </c>
      <c r="M850" s="1" t="str">
        <f>IFERROR(__xludf.DUMMYFUNCTION("""COMPUTED_VALUE"""),"PALIGAWAN MATANDA")</f>
        <v>PALIGAWAN MATANDA</v>
      </c>
      <c r="N850" s="1"/>
      <c r="O850" s="1"/>
      <c r="P850" s="1"/>
      <c r="Q850" s="1" t="str">
        <f>IFERROR(__xludf.DUMMYFUNCTION("""COMPUTED_VALUE"""),"LANTIC")</f>
        <v>LANTIC</v>
      </c>
      <c r="R850" s="1" t="str">
        <f>IFERROR(__xludf.DUMMYFUNCTION("""COMPUTED_VALUE"""),"CARMONA")</f>
        <v>CARMONA</v>
      </c>
      <c r="S850" s="1" t="str">
        <f>IFERROR(__xludf.DUMMYFUNCTION("""COMPUTED_VALUE"""),"CAVITE")</f>
        <v>CAVITE</v>
      </c>
      <c r="T850" s="1" t="str">
        <f>IFERROR(__xludf.DUMMYFUNCTION("""COMPUTED_VALUE"""),"FIBR UNLI ALL PLAN 999")</f>
        <v>FIBR UNLI ALL PLAN 999</v>
      </c>
      <c r="U850" s="1" t="str">
        <f>IFERROR(__xludf.DUMMYFUNCTION("""COMPUTED_VALUE"""),"APPROVED")</f>
        <v>APPROVED</v>
      </c>
      <c r="V850" s="1"/>
      <c r="W850" s="1"/>
    </row>
    <row r="851" customHeight="1" spans="1:23">
      <c r="A851" s="3">
        <f>IFERROR(__xludf.DUMMYFUNCTION("""COMPUTED_VALUE"""),46099)</f>
        <v>46099</v>
      </c>
      <c r="B851" s="1" t="str">
        <f>IFERROR(__xludf.DUMMYFUNCTION("""COMPUTED_VALUE"""),"DE LEON, MERLY")</f>
        <v>DE LEON, MERLY</v>
      </c>
      <c r="C851" s="1" t="str">
        <f>IFERROR(__xludf.DUMMYFUNCTION("""COMPUTED_VALUE"""),"ORGANIC")</f>
        <v>ORGANIC</v>
      </c>
      <c r="D851" s="1" t="str">
        <f>IFERROR(__xludf.DUMMYFUNCTION("""COMPUTED_VALUE"""),"ALINGARO, CINDY")</f>
        <v>ALINGARO, CINDY</v>
      </c>
      <c r="E851" s="1" t="str">
        <f>IFERROR(__xludf.DUMMYFUNCTION("""COMPUTED_VALUE"""),"PLDT")</f>
        <v>PLDT</v>
      </c>
      <c r="F851" s="1">
        <f>IFERROR(__xludf.DUMMYFUNCTION("""COMPUTED_VALUE"""),2308332550)</f>
        <v>2308332550</v>
      </c>
      <c r="G851" s="1"/>
      <c r="H851" s="1" t="str">
        <f>IFERROR(__xludf.DUMMYFUNCTION("""COMPUTED_VALUE"""),"MARITESS MACARAEG HERNANDEZ ")</f>
        <v>MARITESS MACARAEG HERNANDEZ </v>
      </c>
      <c r="I851" s="1">
        <f>IFERROR(__xludf.DUMMYFUNCTION("""COMPUTED_VALUE"""),9166962952)</f>
        <v>9166962952</v>
      </c>
      <c r="J851" s="1"/>
      <c r="K851" s="1" t="str">
        <f>IFERROR(__xludf.DUMMYFUNCTION("""COMPUTED_VALUE"""),"HERNANDEZMARITES200@GMAIL.COM")</f>
        <v>HERNANDEZMARITES200@GMAIL.COM</v>
      </c>
      <c r="L851" s="1" t="str">
        <f>IFERROR(__xludf.DUMMYFUNCTION("""COMPUTED_VALUE"""),"91")</f>
        <v>91</v>
      </c>
      <c r="M851" s="1" t="str">
        <f>IFERROR(__xludf.DUMMYFUNCTION("""COMPUTED_VALUE"""),"PALIGAWAN MATANDA")</f>
        <v>PALIGAWAN MATANDA</v>
      </c>
      <c r="N851" s="1"/>
      <c r="O851" s="1"/>
      <c r="P851" s="1"/>
      <c r="Q851" s="1" t="str">
        <f>IFERROR(__xludf.DUMMYFUNCTION("""COMPUTED_VALUE"""),"LANTIC")</f>
        <v>LANTIC</v>
      </c>
      <c r="R851" s="1" t="str">
        <f>IFERROR(__xludf.DUMMYFUNCTION("""COMPUTED_VALUE"""),"CARMONA")</f>
        <v>CARMONA</v>
      </c>
      <c r="S851" s="1" t="str">
        <f>IFERROR(__xludf.DUMMYFUNCTION("""COMPUTED_VALUE"""),"CAVITE")</f>
        <v>CAVITE</v>
      </c>
      <c r="T851" s="1" t="str">
        <f>IFERROR(__xludf.DUMMYFUNCTION("""COMPUTED_VALUE"""),"PREPAID FIBER UNLI")</f>
        <v>PREPAID FIBER UNLI</v>
      </c>
      <c r="U851" s="1" t="str">
        <f>IFERROR(__xludf.DUMMYFUNCTION("""COMPUTED_VALUE"""),"APPROVED")</f>
        <v>APPROVED</v>
      </c>
      <c r="V851" s="1"/>
      <c r="W851" s="1"/>
    </row>
    <row r="852" customHeight="1" spans="1:23">
      <c r="A852" s="3">
        <f>IFERROR(__xludf.DUMMYFUNCTION("""COMPUTED_VALUE"""),46099)</f>
        <v>46099</v>
      </c>
      <c r="B852" s="1" t="str">
        <f>IFERROR(__xludf.DUMMYFUNCTION("""COMPUTED_VALUE"""),"DE VERA, MARIVIC")</f>
        <v>DE VERA, MARIVIC</v>
      </c>
      <c r="C852" s="1" t="str">
        <f>IFERROR(__xludf.DUMMYFUNCTION("""COMPUTED_VALUE"""),"ORGANIC")</f>
        <v>ORGANIC</v>
      </c>
      <c r="D852" s="1" t="str">
        <f>IFERROR(__xludf.DUMMYFUNCTION("""COMPUTED_VALUE"""),"ALINGARO, CINDY")</f>
        <v>ALINGARO, CINDY</v>
      </c>
      <c r="E852" s="1" t="str">
        <f>IFERROR(__xludf.DUMMYFUNCTION("""COMPUTED_VALUE"""),"PLDT")</f>
        <v>PLDT</v>
      </c>
      <c r="F852" s="1">
        <f>IFERROR(__xludf.DUMMYFUNCTION("""COMPUTED_VALUE"""),2308327364)</f>
        <v>2308327364</v>
      </c>
      <c r="G852" s="1"/>
      <c r="H852" s="1" t="str">
        <f>IFERROR(__xludf.DUMMYFUNCTION("""COMPUTED_VALUE"""),"RAZEL ESTA BERCASIO")</f>
        <v>RAZEL ESTA BERCASIO</v>
      </c>
      <c r="I852" s="1">
        <f>IFERROR(__xludf.DUMMYFUNCTION("""COMPUTED_VALUE"""),9366758347)</f>
        <v>9366758347</v>
      </c>
      <c r="J852" s="1"/>
      <c r="K852" s="1" t="str">
        <f>IFERROR(__xludf.DUMMYFUNCTION("""COMPUTED_VALUE"""),"RAZELBERCASIO@GMAIL.COM")</f>
        <v>RAZELBERCASIO@GMAIL.COM</v>
      </c>
      <c r="L852" s="1" t="str">
        <f>IFERROR(__xludf.DUMMYFUNCTION("""COMPUTED_VALUE"""),"BLK 1 LOT 10")</f>
        <v>BLK 1 LOT 10</v>
      </c>
      <c r="M852" s="1" t="str">
        <f>IFERROR(__xludf.DUMMYFUNCTION("""COMPUTED_VALUE"""),"PALIGAWAN MATANDA")</f>
        <v>PALIGAWAN MATANDA</v>
      </c>
      <c r="N852" s="1"/>
      <c r="O852" s="1"/>
      <c r="P852" s="1"/>
      <c r="Q852" s="1" t="str">
        <f>IFERROR(__xludf.DUMMYFUNCTION("""COMPUTED_VALUE"""),"LANTIC")</f>
        <v>LANTIC</v>
      </c>
      <c r="R852" s="1" t="str">
        <f>IFERROR(__xludf.DUMMYFUNCTION("""COMPUTED_VALUE"""),"CARMONA")</f>
        <v>CARMONA</v>
      </c>
      <c r="S852" s="1" t="str">
        <f>IFERROR(__xludf.DUMMYFUNCTION("""COMPUTED_VALUE"""),"CAVITE")</f>
        <v>CAVITE</v>
      </c>
      <c r="T852" s="1" t="str">
        <f>IFERROR(__xludf.DUMMYFUNCTION("""COMPUTED_VALUE"""),"FIBR UNLI ALL PLAN 1399")</f>
        <v>FIBR UNLI ALL PLAN 1399</v>
      </c>
      <c r="U852" s="1" t="str">
        <f>IFERROR(__xludf.DUMMYFUNCTION("""COMPUTED_VALUE"""),"APPROVED")</f>
        <v>APPROVED</v>
      </c>
      <c r="V852" s="1"/>
      <c r="W852" s="1"/>
    </row>
    <row r="853" customHeight="1" spans="1:23">
      <c r="A853" s="3">
        <f>IFERROR(__xludf.DUMMYFUNCTION("""COMPUTED_VALUE"""),46099)</f>
        <v>46099</v>
      </c>
      <c r="B853" s="1" t="str">
        <f>IFERROR(__xludf.DUMMYFUNCTION("""COMPUTED_VALUE"""),"REMOLLO, LEA")</f>
        <v>REMOLLO, LEA</v>
      </c>
      <c r="C853" s="1" t="str">
        <f>IFERROR(__xludf.DUMMYFUNCTION("""COMPUTED_VALUE"""),"FLA")</f>
        <v>FLA</v>
      </c>
      <c r="D853" s="1" t="str">
        <f>IFERROR(__xludf.DUMMYFUNCTION("""COMPUTED_VALUE"""),"JERIC NAVARRO")</f>
        <v>JERIC NAVARRO</v>
      </c>
      <c r="E853" s="1" t="str">
        <f>IFERROR(__xludf.DUMMYFUNCTION("""COMPUTED_VALUE"""),"PLDT")</f>
        <v>PLDT</v>
      </c>
      <c r="F853" s="1">
        <f>IFERROR(__xludf.DUMMYFUNCTION("""COMPUTED_VALUE"""),2308327044)</f>
        <v>2308327044</v>
      </c>
      <c r="G853" s="1"/>
      <c r="H853" s="1" t="str">
        <f>IFERROR(__xludf.DUMMYFUNCTION("""COMPUTED_VALUE"""),"ROSVIMNEDA CAPISTRANO PARCO")</f>
        <v>ROSVIMNEDA CAPISTRANO PARCO</v>
      </c>
      <c r="I853" s="1">
        <f>IFERROR(__xludf.DUMMYFUNCTION("""COMPUTED_VALUE"""),9629277331)</f>
        <v>9629277331</v>
      </c>
      <c r="J853" s="1">
        <f>IFERROR(__xludf.DUMMYFUNCTION("""COMPUTED_VALUE"""),9984540566)</f>
        <v>9984540566</v>
      </c>
      <c r="K853" s="1" t="str">
        <f>IFERROR(__xludf.DUMMYFUNCTION("""COMPUTED_VALUE"""),"KPARCO7@GMAIL.COM")</f>
        <v>KPARCO7@GMAIL.COM</v>
      </c>
      <c r="L853" s="1" t="str">
        <f>IFERROR(__xludf.DUMMYFUNCTION("""COMPUTED_VALUE"""),"BLK 1 LOT 2")</f>
        <v>BLK 1 LOT 2</v>
      </c>
      <c r="M853" s="1" t="str">
        <f>IFERROR(__xludf.DUMMYFUNCTION("""COMPUTED_VALUE"""),"PALIGAWAN MATANDA")</f>
        <v>PALIGAWAN MATANDA</v>
      </c>
      <c r="N853" s="1"/>
      <c r="O853" s="1"/>
      <c r="P853" s="1"/>
      <c r="Q853" s="1" t="str">
        <f>IFERROR(__xludf.DUMMYFUNCTION("""COMPUTED_VALUE"""),"LANTIC")</f>
        <v>LANTIC</v>
      </c>
      <c r="R853" s="1" t="str">
        <f>IFERROR(__xludf.DUMMYFUNCTION("""COMPUTED_VALUE"""),"CARMONA")</f>
        <v>CARMONA</v>
      </c>
      <c r="S853" s="1" t="str">
        <f>IFERROR(__xludf.DUMMYFUNCTION("""COMPUTED_VALUE"""),"CAVITE")</f>
        <v>CAVITE</v>
      </c>
      <c r="T853" s="1" t="str">
        <f>IFERROR(__xludf.DUMMYFUNCTION("""COMPUTED_VALUE"""),"FIBR UNLI ALL PLAN 1399")</f>
        <v>FIBR UNLI ALL PLAN 1399</v>
      </c>
      <c r="U853" s="1" t="str">
        <f>IFERROR(__xludf.DUMMYFUNCTION("""COMPUTED_VALUE"""),"APPROVED")</f>
        <v>APPROVED</v>
      </c>
      <c r="V853" s="1"/>
      <c r="W853" s="1"/>
    </row>
    <row r="854" customHeight="1" spans="1:23">
      <c r="A854" s="3">
        <f>IFERROR(__xludf.DUMMYFUNCTION("""COMPUTED_VALUE"""),46099)</f>
        <v>46099</v>
      </c>
      <c r="B854" s="1" t="str">
        <f>IFERROR(__xludf.DUMMYFUNCTION("""COMPUTED_VALUE"""),"NAVARRO, JERIC")</f>
        <v>NAVARRO, JERIC</v>
      </c>
      <c r="C854" s="1" t="str">
        <f>IFERROR(__xludf.DUMMYFUNCTION("""COMPUTED_VALUE"""),"FLA")</f>
        <v>FLA</v>
      </c>
      <c r="D854" s="1" t="str">
        <f>IFERROR(__xludf.DUMMYFUNCTION("""COMPUTED_VALUE"""),"JERIC NAVARRO")</f>
        <v>JERIC NAVARRO</v>
      </c>
      <c r="E854" s="1" t="str">
        <f>IFERROR(__xludf.DUMMYFUNCTION("""COMPUTED_VALUE"""),"PLDT")</f>
        <v>PLDT</v>
      </c>
      <c r="F854" s="1">
        <f>IFERROR(__xludf.DUMMYFUNCTION("""COMPUTED_VALUE"""),2308332284)</f>
        <v>2308332284</v>
      </c>
      <c r="G854" s="1"/>
      <c r="H854" s="1" t="str">
        <f>IFERROR(__xludf.DUMMYFUNCTION("""COMPUTED_VALUE"""),"MICHAEL SONNY MASUNGSONG MAGDAONG")</f>
        <v>MICHAEL SONNY MASUNGSONG MAGDAONG</v>
      </c>
      <c r="I854" s="1">
        <f>IFERROR(__xludf.DUMMYFUNCTION("""COMPUTED_VALUE"""),9764508795)</f>
        <v>9764508795</v>
      </c>
      <c r="J854" s="1">
        <f>IFERROR(__xludf.DUMMYFUNCTION("""COMPUTED_VALUE"""),9765054225)</f>
        <v>9765054225</v>
      </c>
      <c r="K854" s="1" t="str">
        <f>IFERROR(__xludf.DUMMYFUNCTION("""COMPUTED_VALUE"""),"MERRYRHOSE.ARZAGA@DEPED.GOV.PH")</f>
        <v>MERRYRHOSE.ARZAGA@DEPED.GOV.PH</v>
      </c>
      <c r="L854" s="1" t="str">
        <f>IFERROR(__xludf.DUMMYFUNCTION("""COMPUTED_VALUE"""),"4")</f>
        <v>4</v>
      </c>
      <c r="M854" s="1" t="str">
        <f>IFERROR(__xludf.DUMMYFUNCTION("""COMPUTED_VALUE"""),"PALIGAWAN MATANDA")</f>
        <v>PALIGAWAN MATANDA</v>
      </c>
      <c r="N854" s="1"/>
      <c r="O854" s="1"/>
      <c r="P854" s="1"/>
      <c r="Q854" s="1" t="str">
        <f>IFERROR(__xludf.DUMMYFUNCTION("""COMPUTED_VALUE"""),"LANTIC")</f>
        <v>LANTIC</v>
      </c>
      <c r="R854" s="1" t="str">
        <f>IFERROR(__xludf.DUMMYFUNCTION("""COMPUTED_VALUE"""),"CARMONA")</f>
        <v>CARMONA</v>
      </c>
      <c r="S854" s="1" t="str">
        <f>IFERROR(__xludf.DUMMYFUNCTION("""COMPUTED_VALUE"""),"CAVITE")</f>
        <v>CAVITE</v>
      </c>
      <c r="T854" s="1" t="str">
        <f>IFERROR(__xludf.DUMMYFUNCTION("""COMPUTED_VALUE"""),"SWITCH FIBER UNLI ALL 1799")</f>
        <v>SWITCH FIBER UNLI ALL 1799</v>
      </c>
      <c r="U854" s="1" t="str">
        <f>IFERROR(__xludf.DUMMYFUNCTION("""COMPUTED_VALUE"""),"APPROVED")</f>
        <v>APPROVED</v>
      </c>
      <c r="V854" s="1"/>
      <c r="W854" s="1"/>
    </row>
    <row r="855" customHeight="1" spans="1:23">
      <c r="A855" s="3">
        <f>IFERROR(__xludf.DUMMYFUNCTION("""COMPUTED_VALUE"""),46099)</f>
        <v>46099</v>
      </c>
      <c r="B855" s="1" t="str">
        <f>IFERROR(__xludf.DUMMYFUNCTION("""COMPUTED_VALUE"""),"AQUINO, LUIS")</f>
        <v>AQUINO, LUIS</v>
      </c>
      <c r="C855" s="1" t="str">
        <f>IFERROR(__xludf.DUMMYFUNCTION("""COMPUTED_VALUE"""),"ORGANIC")</f>
        <v>ORGANIC</v>
      </c>
      <c r="D855" s="1" t="str">
        <f>IFERROR(__xludf.DUMMYFUNCTION("""COMPUTED_VALUE"""),"ALOS, CHARLS")</f>
        <v>ALOS, CHARLS</v>
      </c>
      <c r="E855" s="1" t="str">
        <f>IFERROR(__xludf.DUMMYFUNCTION("""COMPUTED_VALUE"""),"PLDT")</f>
        <v>PLDT</v>
      </c>
      <c r="F855" s="1"/>
      <c r="G855" s="1"/>
      <c r="H855" s="1" t="str">
        <f>IFERROR(__xludf.DUMMYFUNCTION("""COMPUTED_VALUE"""),"IAN DEBUYAN MABAGA")</f>
        <v>IAN DEBUYAN MABAGA</v>
      </c>
      <c r="I855" s="1">
        <f>IFERROR(__xludf.DUMMYFUNCTION("""COMPUTED_VALUE"""),9648876861)</f>
        <v>9648876861</v>
      </c>
      <c r="J855" s="1"/>
      <c r="K855" s="1" t="str">
        <f>IFERROR(__xludf.DUMMYFUNCTION("""COMPUTED_VALUE"""),"IANMABAGA38@GMAIL.COM")</f>
        <v>IANMABAGA38@GMAIL.COM</v>
      </c>
      <c r="L855" s="1" t="str">
        <f>IFERROR(__xludf.DUMMYFUNCTION("""COMPUTED_VALUE"""),"29")</f>
        <v>29</v>
      </c>
      <c r="M855" s="1" t="str">
        <f>IFERROR(__xludf.DUMMYFUNCTION("""COMPUTED_VALUE"""),"PALIGAWAN MATANDA")</f>
        <v>PALIGAWAN MATANDA</v>
      </c>
      <c r="N855" s="1"/>
      <c r="O855" s="1"/>
      <c r="P855" s="1"/>
      <c r="Q855" s="1" t="str">
        <f>IFERROR(__xludf.DUMMYFUNCTION("""COMPUTED_VALUE"""),"LANTIC")</f>
        <v>LANTIC</v>
      </c>
      <c r="R855" s="1" t="str">
        <f>IFERROR(__xludf.DUMMYFUNCTION("""COMPUTED_VALUE"""),"CARMONA")</f>
        <v>CARMONA</v>
      </c>
      <c r="S855" s="1" t="str">
        <f>IFERROR(__xludf.DUMMYFUNCTION("""COMPUTED_VALUE"""),"CAVITE")</f>
        <v>CAVITE</v>
      </c>
      <c r="T855" s="1" t="str">
        <f>IFERROR(__xludf.DUMMYFUNCTION("""COMPUTED_VALUE"""),"FIBR PLAN 1299")</f>
        <v>FIBR PLAN 1299</v>
      </c>
      <c r="U855" s="1" t="str">
        <f>IFERROR(__xludf.DUMMYFUNCTION("""COMPUTED_VALUE"""),"HOLD")</f>
        <v>HOLD</v>
      </c>
      <c r="V855" s="1" t="str">
        <f>IFERROR(__xludf.DUMMYFUNCTION("""COMPUTED_VALUE"""),"SUMABAY SA BAYARIN SA PAHULUGAN FOR PROCESS NEXT WEEK")</f>
        <v>SUMABAY SA BAYARIN SA PAHULUGAN FOR PROCESS NEXT WEEK</v>
      </c>
      <c r="W855" s="1"/>
    </row>
    <row r="856" customHeight="1" spans="1:23">
      <c r="A856" s="3">
        <f>IFERROR(__xludf.DUMMYFUNCTION("""COMPUTED_VALUE"""),46099)</f>
        <v>46099</v>
      </c>
      <c r="B856" s="1" t="str">
        <f>IFERROR(__xludf.DUMMYFUNCTION("""COMPUTED_VALUE"""),"DE VERA, MARIVIC")</f>
        <v>DE VERA, MARIVIC</v>
      </c>
      <c r="C856" s="1" t="str">
        <f>IFERROR(__xludf.DUMMYFUNCTION("""COMPUTED_VALUE"""),"ORGANIC")</f>
        <v>ORGANIC</v>
      </c>
      <c r="D856" s="1" t="str">
        <f>IFERROR(__xludf.DUMMYFUNCTION("""COMPUTED_VALUE"""),"ALINGARO, CINDY")</f>
        <v>ALINGARO, CINDY</v>
      </c>
      <c r="E856" s="1" t="str">
        <f>IFERROR(__xludf.DUMMYFUNCTION("""COMPUTED_VALUE"""),"PLDT")</f>
        <v>PLDT</v>
      </c>
      <c r="F856" s="1">
        <f>IFERROR(__xludf.DUMMYFUNCTION("""COMPUTED_VALUE"""),2308326706)</f>
        <v>2308326706</v>
      </c>
      <c r="G856" s="1"/>
      <c r="H856" s="1" t="str">
        <f>IFERROR(__xludf.DUMMYFUNCTION("""COMPUTED_VALUE"""),"LENARD JOHN TORIO BUISER")</f>
        <v>LENARD JOHN TORIO BUISER</v>
      </c>
      <c r="I856" s="1">
        <f>IFERROR(__xludf.DUMMYFUNCTION("""COMPUTED_VALUE"""),9975315205)</f>
        <v>9975315205</v>
      </c>
      <c r="J856" s="1"/>
      <c r="K856" s="1" t="str">
        <f>IFERROR(__xludf.DUMMYFUNCTION("""COMPUTED_VALUE"""),"LENARDBUISER@YAHOO.COM")</f>
        <v>LENARDBUISER@YAHOO.COM</v>
      </c>
      <c r="L856" s="1" t="str">
        <f>IFERROR(__xludf.DUMMYFUNCTION("""COMPUTED_VALUE"""),"BLK 1 LOT 14")</f>
        <v>BLK 1 LOT 14</v>
      </c>
      <c r="M856" s="1" t="str">
        <f>IFERROR(__xludf.DUMMYFUNCTION("""COMPUTED_VALUE"""),"PALIGAWAN MATANDA")</f>
        <v>PALIGAWAN MATANDA</v>
      </c>
      <c r="N856" s="1"/>
      <c r="O856" s="1"/>
      <c r="P856" s="1"/>
      <c r="Q856" s="1" t="str">
        <f>IFERROR(__xludf.DUMMYFUNCTION("""COMPUTED_VALUE"""),"LANTIC")</f>
        <v>LANTIC</v>
      </c>
      <c r="R856" s="1" t="str">
        <f>IFERROR(__xludf.DUMMYFUNCTION("""COMPUTED_VALUE"""),"CARMONA")</f>
        <v>CARMONA</v>
      </c>
      <c r="S856" s="1" t="str">
        <f>IFERROR(__xludf.DUMMYFUNCTION("""COMPUTED_VALUE"""),"CAVITE")</f>
        <v>CAVITE</v>
      </c>
      <c r="T856" s="1" t="str">
        <f>IFERROR(__xludf.DUMMYFUNCTION("""COMPUTED_VALUE"""),"FIBR UNLI ALL PLAN 1399")</f>
        <v>FIBR UNLI ALL PLAN 1399</v>
      </c>
      <c r="U856" s="1" t="str">
        <f>IFERROR(__xludf.DUMMYFUNCTION("""COMPUTED_VALUE"""),"APPROVED")</f>
        <v>APPROVED</v>
      </c>
      <c r="V856" s="1"/>
      <c r="W856" s="1"/>
    </row>
    <row r="857" customHeight="1" spans="1:23">
      <c r="A857" s="3">
        <f>IFERROR(__xludf.DUMMYFUNCTION("""COMPUTED_VALUE"""),46099)</f>
        <v>46099</v>
      </c>
      <c r="B857" s="1" t="str">
        <f>IFERROR(__xludf.DUMMYFUNCTION("""COMPUTED_VALUE"""),"ABGAO, LEO TAGANNA")</f>
        <v>ABGAO, LEO TAGANNA</v>
      </c>
      <c r="C857" s="1" t="str">
        <f>IFERROR(__xludf.DUMMYFUNCTION("""COMPUTED_VALUE"""),"ORGANIC")</f>
        <v>ORGANIC</v>
      </c>
      <c r="D857" s="1" t="str">
        <f>IFERROR(__xludf.DUMMYFUNCTION("""COMPUTED_VALUE"""),"ALOS, CHARLS")</f>
        <v>ALOS, CHARLS</v>
      </c>
      <c r="E857" s="1" t="str">
        <f>IFERROR(__xludf.DUMMYFUNCTION("""COMPUTED_VALUE"""),"PLDT")</f>
        <v>PLDT</v>
      </c>
      <c r="F857" s="1">
        <f>IFERROR(__xludf.DUMMYFUNCTION("""COMPUTED_VALUE"""),2308327745)</f>
        <v>2308327745</v>
      </c>
      <c r="G857" s="1"/>
      <c r="H857" s="1" t="str">
        <f>IFERROR(__xludf.DUMMYFUNCTION("""COMPUTED_VALUE"""),"ZALLY ROSE SABANGAN CAMOTES")</f>
        <v>ZALLY ROSE SABANGAN CAMOTES</v>
      </c>
      <c r="I857" s="1">
        <f>IFERROR(__xludf.DUMMYFUNCTION("""COMPUTED_VALUE"""),9851762842)</f>
        <v>9851762842</v>
      </c>
      <c r="J857" s="1"/>
      <c r="K857" s="1" t="str">
        <f>IFERROR(__xludf.DUMMYFUNCTION("""COMPUTED_VALUE"""),"ZALLYTOSECAMOTES3@GMAIL.COM")</f>
        <v>ZALLYTOSECAMOTES3@GMAIL.COM</v>
      </c>
      <c r="L857" s="1" t="str">
        <f>IFERROR(__xludf.DUMMYFUNCTION("""COMPUTED_VALUE"""),"138")</f>
        <v>138</v>
      </c>
      <c r="M857" s="1" t="str">
        <f>IFERROR(__xludf.DUMMYFUNCTION("""COMPUTED_VALUE"""),"PALIGAWAN MATANDA")</f>
        <v>PALIGAWAN MATANDA</v>
      </c>
      <c r="N857" s="1"/>
      <c r="O857" s="1"/>
      <c r="P857" s="1"/>
      <c r="Q857" s="1" t="str">
        <f>IFERROR(__xludf.DUMMYFUNCTION("""COMPUTED_VALUE"""),"LANTIC")</f>
        <v>LANTIC</v>
      </c>
      <c r="R857" s="1" t="str">
        <f>IFERROR(__xludf.DUMMYFUNCTION("""COMPUTED_VALUE"""),"CARMONA")</f>
        <v>CARMONA</v>
      </c>
      <c r="S857" s="1" t="str">
        <f>IFERROR(__xludf.DUMMYFUNCTION("""COMPUTED_VALUE"""),"CAVITE")</f>
        <v>CAVITE</v>
      </c>
      <c r="T857" s="1" t="str">
        <f>IFERROR(__xludf.DUMMYFUNCTION("""COMPUTED_VALUE"""),"FIBR PLAN 1299")</f>
        <v>FIBR PLAN 1299</v>
      </c>
      <c r="U857" s="1" t="str">
        <f>IFERROR(__xludf.DUMMYFUNCTION("""COMPUTED_VALUE"""),"APPROVED")</f>
        <v>APPROVED</v>
      </c>
      <c r="V857" s="1"/>
      <c r="W857" s="1"/>
    </row>
    <row r="858" customHeight="1" spans="1:23">
      <c r="A858" s="3">
        <f>IFERROR(__xludf.DUMMYFUNCTION("""COMPUTED_VALUE"""),46099)</f>
        <v>46099</v>
      </c>
      <c r="B858" s="1" t="str">
        <f>IFERROR(__xludf.DUMMYFUNCTION("""COMPUTED_VALUE"""),"DELA ROSA, JENNELYN")</f>
        <v>DELA ROSA, JENNELYN</v>
      </c>
      <c r="C858" s="1" t="str">
        <f>IFERROR(__xludf.DUMMYFUNCTION("""COMPUTED_VALUE"""),"ORGANIC")</f>
        <v>ORGANIC</v>
      </c>
      <c r="D858" s="1" t="str">
        <f>IFERROR(__xludf.DUMMYFUNCTION("""COMPUTED_VALUE"""),"ALOS, CHARLS")</f>
        <v>ALOS, CHARLS</v>
      </c>
      <c r="E858" s="1" t="str">
        <f>IFERROR(__xludf.DUMMYFUNCTION("""COMPUTED_VALUE"""),"PLDT")</f>
        <v>PLDT</v>
      </c>
      <c r="F858" s="1">
        <f>IFERROR(__xludf.DUMMYFUNCTION("""COMPUTED_VALUE"""),2308333785)</f>
        <v>2308333785</v>
      </c>
      <c r="G858" s="1"/>
      <c r="H858" s="1" t="str">
        <f>IFERROR(__xludf.DUMMYFUNCTION("""COMPUTED_VALUE"""),"JOYCE ANNE DELOS REYES")</f>
        <v>JOYCE ANNE DELOS REYES</v>
      </c>
      <c r="I858" s="1">
        <f>IFERROR(__xludf.DUMMYFUNCTION("""COMPUTED_VALUE"""),9813909439)</f>
        <v>9813909439</v>
      </c>
      <c r="J858" s="1"/>
      <c r="K858" s="1" t="str">
        <f>IFERROR(__xludf.DUMMYFUNCTION("""COMPUTED_VALUE"""),"LUCASMATTHEWDELEOM27@GMAIL.COM")</f>
        <v>LUCASMATTHEWDELEOM27@GMAIL.COM</v>
      </c>
      <c r="L858" s="1" t="str">
        <f>IFERROR(__xludf.DUMMYFUNCTION("""COMPUTED_VALUE"""),"BLK 9LOT 2")</f>
        <v>BLK 9LOT 2</v>
      </c>
      <c r="M858" s="1" t="str">
        <f>IFERROR(__xludf.DUMMYFUNCTION("""COMPUTED_VALUE"""),"PALIGAWAN MATANDA")</f>
        <v>PALIGAWAN MATANDA</v>
      </c>
      <c r="N858" s="1"/>
      <c r="O858" s="1"/>
      <c r="P858" s="1"/>
      <c r="Q858" s="1" t="str">
        <f>IFERROR(__xludf.DUMMYFUNCTION("""COMPUTED_VALUE"""),"LANTIC")</f>
        <v>LANTIC</v>
      </c>
      <c r="R858" s="1" t="str">
        <f>IFERROR(__xludf.DUMMYFUNCTION("""COMPUTED_VALUE"""),"CARMONA")</f>
        <v>CARMONA</v>
      </c>
      <c r="S858" s="1" t="str">
        <f>IFERROR(__xludf.DUMMYFUNCTION("""COMPUTED_VALUE"""),"CAVITE")</f>
        <v>CAVITE</v>
      </c>
      <c r="T858" s="1" t="str">
        <f>IFERROR(__xludf.DUMMYFUNCTION("""COMPUTED_VALUE"""),"FIBR UNLI ALL PLAN 1399")</f>
        <v>FIBR UNLI ALL PLAN 1399</v>
      </c>
      <c r="U858" s="1" t="str">
        <f>IFERROR(__xludf.DUMMYFUNCTION("""COMPUTED_VALUE"""),"APPROVED")</f>
        <v>APPROVED</v>
      </c>
      <c r="V858" s="1"/>
      <c r="W858" s="1"/>
    </row>
    <row r="859" customHeight="1" spans="1:23">
      <c r="A859" s="3">
        <f>IFERROR(__xludf.DUMMYFUNCTION("""COMPUTED_VALUE"""),46099)</f>
        <v>46099</v>
      </c>
      <c r="B859" s="1" t="str">
        <f>IFERROR(__xludf.DUMMYFUNCTION("""COMPUTED_VALUE"""),"RAPADA , KRIS")</f>
        <v>RAPADA , KRIS</v>
      </c>
      <c r="C859" s="1" t="str">
        <f>IFERROR(__xludf.DUMMYFUNCTION("""COMPUTED_VALUE"""),"ORGANIC")</f>
        <v>ORGANIC</v>
      </c>
      <c r="D859" s="1" t="str">
        <f>IFERROR(__xludf.DUMMYFUNCTION("""COMPUTED_VALUE"""),"ALOS, CHARLS")</f>
        <v>ALOS, CHARLS</v>
      </c>
      <c r="E859" s="1" t="str">
        <f>IFERROR(__xludf.DUMMYFUNCTION("""COMPUTED_VALUE"""),"PLDT")</f>
        <v>PLDT</v>
      </c>
      <c r="F859" s="1">
        <f>IFERROR(__xludf.DUMMYFUNCTION("""COMPUTED_VALUE"""),2308335847)</f>
        <v>2308335847</v>
      </c>
      <c r="G859" s="1"/>
      <c r="H859" s="1" t="str">
        <f>IFERROR(__xludf.DUMMYFUNCTION("""COMPUTED_VALUE"""),"ROWENA ETABIS CHICA")</f>
        <v>ROWENA ETABIS CHICA</v>
      </c>
      <c r="I859" s="1">
        <f>IFERROR(__xludf.DUMMYFUNCTION("""COMPUTED_VALUE"""),9270729874)</f>
        <v>9270729874</v>
      </c>
      <c r="J859" s="1"/>
      <c r="K859" s="1" t="str">
        <f>IFERROR(__xludf.DUMMYFUNCTION("""COMPUTED_VALUE"""),"ALDRENCHICA.EECBSLA@GMAIL.COM")</f>
        <v>ALDRENCHICA.EECBSLA@GMAIL.COM</v>
      </c>
      <c r="L859" s="1" t="str">
        <f>IFERROR(__xludf.DUMMYFUNCTION("""COMPUTED_VALUE"""),"BLK 14 LOT 2")</f>
        <v>BLK 14 LOT 2</v>
      </c>
      <c r="M859" s="1" t="str">
        <f>IFERROR(__xludf.DUMMYFUNCTION("""COMPUTED_VALUE"""),"PALIGAWAN MATANDA")</f>
        <v>PALIGAWAN MATANDA</v>
      </c>
      <c r="N859" s="1"/>
      <c r="O859" s="1"/>
      <c r="P859" s="1"/>
      <c r="Q859" s="1" t="str">
        <f>IFERROR(__xludf.DUMMYFUNCTION("""COMPUTED_VALUE"""),"LANTIC")</f>
        <v>LANTIC</v>
      </c>
      <c r="R859" s="1" t="str">
        <f>IFERROR(__xludf.DUMMYFUNCTION("""COMPUTED_VALUE"""),"CARMONA")</f>
        <v>CARMONA</v>
      </c>
      <c r="S859" s="1" t="str">
        <f>IFERROR(__xludf.DUMMYFUNCTION("""COMPUTED_VALUE"""),"CAVITE")</f>
        <v>CAVITE</v>
      </c>
      <c r="T859" s="1" t="str">
        <f>IFERROR(__xludf.DUMMYFUNCTION("""COMPUTED_VALUE"""),"FIBR UNLI ALL PLAN 1399")</f>
        <v>FIBR UNLI ALL PLAN 1399</v>
      </c>
      <c r="U859" s="1" t="str">
        <f>IFERROR(__xludf.DUMMYFUNCTION("""COMPUTED_VALUE"""),"APPROVED")</f>
        <v>APPROVED</v>
      </c>
      <c r="V859" s="1"/>
      <c r="W859" s="1"/>
    </row>
    <row r="860" customHeight="1" spans="1:23">
      <c r="A860" s="3">
        <f>IFERROR(__xludf.DUMMYFUNCTION("""COMPUTED_VALUE"""),46099)</f>
        <v>46099</v>
      </c>
      <c r="B860" s="1" t="str">
        <f>IFERROR(__xludf.DUMMYFUNCTION("""COMPUTED_VALUE"""),"FARO, REFRANTA")</f>
        <v>FARO, REFRANTA</v>
      </c>
      <c r="C860" s="1" t="str">
        <f>IFERROR(__xludf.DUMMYFUNCTION("""COMPUTED_VALUE"""),"ORGANIC")</f>
        <v>ORGANIC</v>
      </c>
      <c r="D860" s="1" t="str">
        <f>IFERROR(__xludf.DUMMYFUNCTION("""COMPUTED_VALUE"""),"ALOS, CHARLS")</f>
        <v>ALOS, CHARLS</v>
      </c>
      <c r="E860" s="1" t="str">
        <f>IFERROR(__xludf.DUMMYFUNCTION("""COMPUTED_VALUE"""),"PLDT")</f>
        <v>PLDT</v>
      </c>
      <c r="F860" s="1">
        <f>IFERROR(__xludf.DUMMYFUNCTION("""COMPUTED_VALUE"""),2308336166)</f>
        <v>2308336166</v>
      </c>
      <c r="G860" s="1"/>
      <c r="H860" s="1" t="str">
        <f>IFERROR(__xludf.DUMMYFUNCTION("""COMPUTED_VALUE"""),"BERNADETH TAGACAN VILLAPUZ")</f>
        <v>BERNADETH TAGACAN VILLAPUZ</v>
      </c>
      <c r="I860" s="1">
        <f>IFERROR(__xludf.DUMMYFUNCTION("""COMPUTED_VALUE"""),9054276038)</f>
        <v>9054276038</v>
      </c>
      <c r="J860" s="1"/>
      <c r="K860" s="1" t="str">
        <f>IFERROR(__xludf.DUMMYFUNCTION("""COMPUTED_VALUE"""),"VILLAPUZ03@GMAIL.COM")</f>
        <v>VILLAPUZ03@GMAIL.COM</v>
      </c>
      <c r="L860" s="1" t="str">
        <f>IFERROR(__xludf.DUMMYFUNCTION("""COMPUTED_VALUE"""),"BLK 5 LOT 7")</f>
        <v>BLK 5 LOT 7</v>
      </c>
      <c r="M860" s="1" t="str">
        <f>IFERROR(__xludf.DUMMYFUNCTION("""COMPUTED_VALUE"""),"PALIGAWAN MATANDA")</f>
        <v>PALIGAWAN MATANDA</v>
      </c>
      <c r="N860" s="1"/>
      <c r="O860" s="1"/>
      <c r="P860" s="1"/>
      <c r="Q860" s="1" t="str">
        <f>IFERROR(__xludf.DUMMYFUNCTION("""COMPUTED_VALUE"""),"LANTIC")</f>
        <v>LANTIC</v>
      </c>
      <c r="R860" s="1" t="str">
        <f>IFERROR(__xludf.DUMMYFUNCTION("""COMPUTED_VALUE"""),"CARMONA")</f>
        <v>CARMONA</v>
      </c>
      <c r="S860" s="1" t="str">
        <f>IFERROR(__xludf.DUMMYFUNCTION("""COMPUTED_VALUE"""),"CAVITE")</f>
        <v>CAVITE</v>
      </c>
      <c r="T860" s="1" t="str">
        <f>IFERROR(__xludf.DUMMYFUNCTION("""COMPUTED_VALUE"""),"FIBR PLAN 1299")</f>
        <v>FIBR PLAN 1299</v>
      </c>
      <c r="U860" s="1" t="str">
        <f>IFERROR(__xludf.DUMMYFUNCTION("""COMPUTED_VALUE"""),"APPROVED")</f>
        <v>APPROVED</v>
      </c>
      <c r="V860" s="1"/>
      <c r="W860" s="1"/>
    </row>
    <row r="861" customHeight="1" spans="1:23">
      <c r="A861" s="3">
        <f>IFERROR(__xludf.DUMMYFUNCTION("""COMPUTED_VALUE"""),46099)</f>
        <v>46099</v>
      </c>
      <c r="B861" s="1" t="str">
        <f>IFERROR(__xludf.DUMMYFUNCTION("""COMPUTED_VALUE"""),"MAGDARAOG, KENNETH")</f>
        <v>MAGDARAOG, KENNETH</v>
      </c>
      <c r="C861" s="1" t="str">
        <f>IFERROR(__xludf.DUMMYFUNCTION("""COMPUTED_VALUE"""),"ORGANIC")</f>
        <v>ORGANIC</v>
      </c>
      <c r="D861" s="1" t="str">
        <f>IFERROR(__xludf.DUMMYFUNCTION("""COMPUTED_VALUE"""),"ALINGARO, CINDY")</f>
        <v>ALINGARO, CINDY</v>
      </c>
      <c r="E861" s="1" t="str">
        <f>IFERROR(__xludf.DUMMYFUNCTION("""COMPUTED_VALUE"""),"PLDT")</f>
        <v>PLDT</v>
      </c>
      <c r="F861" s="1">
        <f>IFERROR(__xludf.DUMMYFUNCTION("""COMPUTED_VALUE"""),2308336652)</f>
        <v>2308336652</v>
      </c>
      <c r="G861" s="1"/>
      <c r="H861" s="1" t="str">
        <f>IFERROR(__xludf.DUMMYFUNCTION("""COMPUTED_VALUE"""),"ERIC BRAZAS JABOLI")</f>
        <v>ERIC BRAZAS JABOLI</v>
      </c>
      <c r="I861" s="1">
        <f>IFERROR(__xludf.DUMMYFUNCTION("""COMPUTED_VALUE"""),9182466626)</f>
        <v>9182466626</v>
      </c>
      <c r="J861" s="1">
        <f>IFERROR(__xludf.DUMMYFUNCTION("""COMPUTED_VALUE"""),9956774967)</f>
        <v>9956774967</v>
      </c>
      <c r="K861" s="1" t="str">
        <f>IFERROR(__xludf.DUMMYFUNCTION("""COMPUTED_VALUE"""),"JANBOLIERIC@GMAIL.COM")</f>
        <v>JANBOLIERIC@GMAIL.COM</v>
      </c>
      <c r="L861" s="1" t="str">
        <f>IFERROR(__xludf.DUMMYFUNCTION("""COMPUTED_VALUE"""),"34")</f>
        <v>34</v>
      </c>
      <c r="M861" s="1" t="str">
        <f>IFERROR(__xludf.DUMMYFUNCTION("""COMPUTED_VALUE"""),"SAINT JOSEPH")</f>
        <v>SAINT JOSEPH</v>
      </c>
      <c r="N861" s="1"/>
      <c r="O861" s="1" t="str">
        <f>IFERROR(__xludf.DUMMYFUNCTION("""COMPUTED_VALUE"""),"MDZLPA100NP3")</f>
        <v>MDZLPA100NP3</v>
      </c>
      <c r="P861" s="1" t="str">
        <f>IFERROR(__xludf.DUMMYFUNCTION("""COMPUTED_VALUE"""),"14.317202 120.895153")</f>
        <v>14.317202 120.895153</v>
      </c>
      <c r="Q861" s="1" t="str">
        <f>IFERROR(__xludf.DUMMYFUNCTION("""COMPUTED_VALUE"""),"PANUNGYAN II")</f>
        <v>PANUNGYAN II</v>
      </c>
      <c r="R861" s="1" t="str">
        <f>IFERROR(__xludf.DUMMYFUNCTION("""COMPUTED_VALUE"""),"MENDEZ")</f>
        <v>MENDEZ</v>
      </c>
      <c r="S861" s="1" t="str">
        <f>IFERROR(__xludf.DUMMYFUNCTION("""COMPUTED_VALUE"""),"CAVITE")</f>
        <v>CAVITE</v>
      </c>
      <c r="T861" s="1" t="str">
        <f>IFERROR(__xludf.DUMMYFUNCTION("""COMPUTED_VALUE"""),"FIBR PLAN 1299")</f>
        <v>FIBR PLAN 1299</v>
      </c>
      <c r="U861" s="1" t="str">
        <f>IFERROR(__xludf.DUMMYFUNCTION("""COMPUTED_VALUE"""),"APPROVED")</f>
        <v>APPROVED</v>
      </c>
      <c r="V861" s="1"/>
      <c r="W861" s="1"/>
    </row>
    <row r="862" customHeight="1" spans="1:23">
      <c r="A862" s="3">
        <f>IFERROR(__xludf.DUMMYFUNCTION("""COMPUTED_VALUE"""),46099)</f>
        <v>46099</v>
      </c>
      <c r="B862" s="1" t="str">
        <f>IFERROR(__xludf.DUMMYFUNCTION("""COMPUTED_VALUE"""),"ABGAO, LEO TAGANNA")</f>
        <v>ABGAO, LEO TAGANNA</v>
      </c>
      <c r="C862" s="1" t="str">
        <f>IFERROR(__xludf.DUMMYFUNCTION("""COMPUTED_VALUE"""),"ORGANIC")</f>
        <v>ORGANIC</v>
      </c>
      <c r="D862" s="1" t="str">
        <f>IFERROR(__xludf.DUMMYFUNCTION("""COMPUTED_VALUE"""),"ALOS, CHARLS")</f>
        <v>ALOS, CHARLS</v>
      </c>
      <c r="E862" s="1" t="str">
        <f>IFERROR(__xludf.DUMMYFUNCTION("""COMPUTED_VALUE"""),"PLDT")</f>
        <v>PLDT</v>
      </c>
      <c r="F862" s="1">
        <f>IFERROR(__xludf.DUMMYFUNCTION("""COMPUTED_VALUE"""),2308356619)</f>
        <v>2308356619</v>
      </c>
      <c r="G862" s="1"/>
      <c r="H862" s="1" t="str">
        <f>IFERROR(__xludf.DUMMYFUNCTION("""COMPUTED_VALUE"""),"LAURENA HAIVY MASUNGSONG ABAD")</f>
        <v>LAURENA HAIVY MASUNGSONG ABAD</v>
      </c>
      <c r="I862" s="1">
        <f>IFERROR(__xludf.DUMMYFUNCTION("""COMPUTED_VALUE"""),9994652224)</f>
        <v>9994652224</v>
      </c>
      <c r="J862" s="1"/>
      <c r="K862" s="1" t="str">
        <f>IFERROR(__xludf.DUMMYFUNCTION("""COMPUTED_VALUE"""),"HAIVYGARCIA1998@GMAIL.COM")</f>
        <v>HAIVYGARCIA1998@GMAIL.COM</v>
      </c>
      <c r="L862" s="1" t="str">
        <f>IFERROR(__xludf.DUMMYFUNCTION("""COMPUTED_VALUE"""),"124")</f>
        <v>124</v>
      </c>
      <c r="M862" s="1" t="str">
        <f>IFERROR(__xludf.DUMMYFUNCTION("""COMPUTED_VALUE"""),"PALIGAWAN MATANDA")</f>
        <v>PALIGAWAN MATANDA</v>
      </c>
      <c r="N862" s="1"/>
      <c r="O862" s="1"/>
      <c r="P862" s="1"/>
      <c r="Q862" s="1" t="str">
        <f>IFERROR(__xludf.DUMMYFUNCTION("""COMPUTED_VALUE"""),"LANTIC")</f>
        <v>LANTIC</v>
      </c>
      <c r="R862" s="1" t="str">
        <f>IFERROR(__xludf.DUMMYFUNCTION("""COMPUTED_VALUE"""),"CARMONA")</f>
        <v>CARMONA</v>
      </c>
      <c r="S862" s="1" t="str">
        <f>IFERROR(__xludf.DUMMYFUNCTION("""COMPUTED_VALUE"""),"CAVITE")</f>
        <v>CAVITE</v>
      </c>
      <c r="T862" s="1" t="str">
        <f>IFERROR(__xludf.DUMMYFUNCTION("""COMPUTED_VALUE"""),"FIBR PLAN 1299")</f>
        <v>FIBR PLAN 1299</v>
      </c>
      <c r="U862" s="1" t="str">
        <f>IFERROR(__xludf.DUMMYFUNCTION("""COMPUTED_VALUE"""),"APPROVED")</f>
        <v>APPROVED</v>
      </c>
      <c r="V862" s="1" t="str">
        <f>IFERROR(__xludf.DUMMYFUNCTION("""COMPUTED_VALUE"""),"UNATTENDED CBR")</f>
        <v>UNATTENDED CBR</v>
      </c>
      <c r="W862" s="1"/>
    </row>
    <row r="863" customHeight="1" spans="1:23">
      <c r="A863" s="3">
        <f>IFERROR(__xludf.DUMMYFUNCTION("""COMPUTED_VALUE"""),46099)</f>
        <v>46099</v>
      </c>
      <c r="B863" s="1" t="str">
        <f>IFERROR(__xludf.DUMMYFUNCTION("""COMPUTED_VALUE"""),"CANTANERO JUNEL")</f>
        <v>CANTANERO JUNEL</v>
      </c>
      <c r="C863" s="1" t="str">
        <f>IFERROR(__xludf.DUMMYFUNCTION("""COMPUTED_VALUE"""),"ORGANIC")</f>
        <v>ORGANIC</v>
      </c>
      <c r="D863" s="1" t="str">
        <f>IFERROR(__xludf.DUMMYFUNCTION("""COMPUTED_VALUE"""),"ALINGARO, CINDY")</f>
        <v>ALINGARO, CINDY</v>
      </c>
      <c r="E863" s="1" t="str">
        <f>IFERROR(__xludf.DUMMYFUNCTION("""COMPUTED_VALUE"""),"PLDT")</f>
        <v>PLDT</v>
      </c>
      <c r="F863" s="1">
        <f>IFERROR(__xludf.DUMMYFUNCTION("""COMPUTED_VALUE"""),2308336944)</f>
        <v>2308336944</v>
      </c>
      <c r="G863" s="1"/>
      <c r="H863" s="1" t="str">
        <f>IFERROR(__xludf.DUMMYFUNCTION("""COMPUTED_VALUE"""),"CHARLS VINCENT ALCANTARA JOSE")</f>
        <v>CHARLS VINCENT ALCANTARA JOSE</v>
      </c>
      <c r="I863" s="1">
        <f>IFERROR(__xludf.DUMMYFUNCTION("""COMPUTED_VALUE"""),9611485729)</f>
        <v>9611485729</v>
      </c>
      <c r="J863" s="1"/>
      <c r="K863" s="1" t="str">
        <f>IFERROR(__xludf.DUMMYFUNCTION("""COMPUTED_VALUE"""),"CHARLSVINCENTJ1@GMAIL.COM")</f>
        <v>CHARLSVINCENTJ1@GMAIL.COM</v>
      </c>
      <c r="L863" s="1" t="str">
        <f>IFERROR(__xludf.DUMMYFUNCTION("""COMPUTED_VALUE"""),"BLK 10 LOT 9")</f>
        <v>BLK 10 LOT 9</v>
      </c>
      <c r="M863" s="1" t="str">
        <f>IFERROR(__xludf.DUMMYFUNCTION("""COMPUTED_VALUE"""),"PALIGAWAN MATANDA")</f>
        <v>PALIGAWAN MATANDA</v>
      </c>
      <c r="N863" s="1"/>
      <c r="O863" s="1"/>
      <c r="P863" s="1"/>
      <c r="Q863" s="1" t="str">
        <f>IFERROR(__xludf.DUMMYFUNCTION("""COMPUTED_VALUE"""),"LANTIC")</f>
        <v>LANTIC</v>
      </c>
      <c r="R863" s="1" t="str">
        <f>IFERROR(__xludf.DUMMYFUNCTION("""COMPUTED_VALUE"""),"CARMONA")</f>
        <v>CARMONA</v>
      </c>
      <c r="S863" s="1" t="str">
        <f>IFERROR(__xludf.DUMMYFUNCTION("""COMPUTED_VALUE"""),"CAVITE")</f>
        <v>CAVITE</v>
      </c>
      <c r="T863" s="1" t="str">
        <f>IFERROR(__xludf.DUMMYFUNCTION("""COMPUTED_VALUE"""),"FIBR UNLI ALL PLAN 1399")</f>
        <v>FIBR UNLI ALL PLAN 1399</v>
      </c>
      <c r="U863" s="1" t="str">
        <f>IFERROR(__xludf.DUMMYFUNCTION("""COMPUTED_VALUE"""),"APPROVED")</f>
        <v>APPROVED</v>
      </c>
      <c r="V863" s="1"/>
      <c r="W863" s="1"/>
    </row>
    <row r="864" customHeight="1" spans="1:23">
      <c r="A864" s="3">
        <f>IFERROR(__xludf.DUMMYFUNCTION("""COMPUTED_VALUE"""),46099)</f>
        <v>46099</v>
      </c>
      <c r="B864" s="1" t="str">
        <f>IFERROR(__xludf.DUMMYFUNCTION("""COMPUTED_VALUE"""),"CABUGAYAN MARDIJOHN")</f>
        <v>CABUGAYAN MARDIJOHN</v>
      </c>
      <c r="C864" s="1" t="str">
        <f>IFERROR(__xludf.DUMMYFUNCTION("""COMPUTED_VALUE"""),"ORGANIC")</f>
        <v>ORGANIC</v>
      </c>
      <c r="D864" s="1" t="str">
        <f>IFERROR(__xludf.DUMMYFUNCTION("""COMPUTED_VALUE"""),"ALOS, CHARLS")</f>
        <v>ALOS, CHARLS</v>
      </c>
      <c r="E864" s="1" t="str">
        <f>IFERROR(__xludf.DUMMYFUNCTION("""COMPUTED_VALUE"""),"PLDT")</f>
        <v>PLDT</v>
      </c>
      <c r="F864" s="1"/>
      <c r="G864" s="1"/>
      <c r="H864" s="1" t="str">
        <f>IFERROR(__xludf.DUMMYFUNCTION("""COMPUTED_VALUE"""),"ARNOLD DELOS REYES ABEJURO")</f>
        <v>ARNOLD DELOS REYES ABEJURO</v>
      </c>
      <c r="I864" s="1">
        <f>IFERROR(__xludf.DUMMYFUNCTION("""COMPUTED_VALUE"""),9075979905)</f>
        <v>9075979905</v>
      </c>
      <c r="J864" s="1"/>
      <c r="K864" s="1" t="str">
        <f>IFERROR(__xludf.DUMMYFUNCTION("""COMPUTED_VALUE"""),"WENGEPAZ@GMAIL.COM")</f>
        <v>WENGEPAZ@GMAIL.COM</v>
      </c>
      <c r="L864" s="1" t="str">
        <f>IFERROR(__xludf.DUMMYFUNCTION("""COMPUTED_VALUE"""),"57")</f>
        <v>57</v>
      </c>
      <c r="M864" s="1" t="str">
        <f>IFERROR(__xludf.DUMMYFUNCTION("""COMPUTED_VALUE"""),"PALIGAWAN MATANDA")</f>
        <v>PALIGAWAN MATANDA</v>
      </c>
      <c r="N864" s="1"/>
      <c r="O864" s="1"/>
      <c r="P864" s="1"/>
      <c r="Q864" s="1" t="str">
        <f>IFERROR(__xludf.DUMMYFUNCTION("""COMPUTED_VALUE"""),"LANTIC")</f>
        <v>LANTIC</v>
      </c>
      <c r="R864" s="1" t="str">
        <f>IFERROR(__xludf.DUMMYFUNCTION("""COMPUTED_VALUE"""),"CARMONA")</f>
        <v>CARMONA</v>
      </c>
      <c r="S864" s="1" t="str">
        <f>IFERROR(__xludf.DUMMYFUNCTION("""COMPUTED_VALUE"""),"CAVITE")</f>
        <v>CAVITE</v>
      </c>
      <c r="T864" s="1" t="str">
        <f>IFERROR(__xludf.DUMMYFUNCTION("""COMPUTED_VALUE"""),"FIBR UNLI ALL PLAN 1399")</f>
        <v>FIBR UNLI ALL PLAN 1399</v>
      </c>
      <c r="U864" s="1" t="str">
        <f>IFERROR(__xludf.DUMMYFUNCTION("""COMPUTED_VALUE"""),"HOLD")</f>
        <v>HOLD</v>
      </c>
      <c r="V864" s="1" t="str">
        <f>IFERROR(__xludf.DUMMYFUNCTION("""COMPUTED_VALUE"""),"WILLING MAG ADVANCE PAYMENT BY MARCH 28/ cbr ringing only nag message na rin ako kay subs")</f>
        <v>WILLING MAG ADVANCE PAYMENT BY MARCH 28/ cbr ringing only nag message na rin ako kay subs</v>
      </c>
      <c r="W864" s="1"/>
    </row>
    <row r="865" customHeight="1" spans="1:23">
      <c r="A865" s="3">
        <f>IFERROR(__xludf.DUMMYFUNCTION("""COMPUTED_VALUE"""),46099)</f>
        <v>46099</v>
      </c>
      <c r="B865" s="1" t="str">
        <f>IFERROR(__xludf.DUMMYFUNCTION("""COMPUTED_VALUE"""),"REMOLLO, LEA")</f>
        <v>REMOLLO, LEA</v>
      </c>
      <c r="C865" s="1" t="str">
        <f>IFERROR(__xludf.DUMMYFUNCTION("""COMPUTED_VALUE"""),"FLA")</f>
        <v>FLA</v>
      </c>
      <c r="D865" s="1" t="str">
        <f>IFERROR(__xludf.DUMMYFUNCTION("""COMPUTED_VALUE"""),"JERIC NAVARRO")</f>
        <v>JERIC NAVARRO</v>
      </c>
      <c r="E865" s="1" t="str">
        <f>IFERROR(__xludf.DUMMYFUNCTION("""COMPUTED_VALUE"""),"PLDT")</f>
        <v>PLDT</v>
      </c>
      <c r="F865" s="1">
        <f>IFERROR(__xludf.DUMMYFUNCTION("""COMPUTED_VALUE"""),2308337532)</f>
        <v>2308337532</v>
      </c>
      <c r="G865" s="1"/>
      <c r="H865" s="1" t="str">
        <f>IFERROR(__xludf.DUMMYFUNCTION("""COMPUTED_VALUE"""),"JAYZRELLE BRINAS BAUTISTA")</f>
        <v>JAYZRELLE BRINAS BAUTISTA</v>
      </c>
      <c r="I865" s="1">
        <f>IFERROR(__xludf.DUMMYFUNCTION("""COMPUTED_VALUE"""),9451129482)</f>
        <v>9451129482</v>
      </c>
      <c r="J865" s="1"/>
      <c r="K865" s="1" t="str">
        <f>IFERROR(__xludf.DUMMYFUNCTION("""COMPUTED_VALUE"""),"JAYZHRELLE05@GMAIL.COM")</f>
        <v>JAYZHRELLE05@GMAIL.COM</v>
      </c>
      <c r="L865" s="1" t="str">
        <f>IFERROR(__xludf.DUMMYFUNCTION("""COMPUTED_VALUE"""),"110")</f>
        <v>110</v>
      </c>
      <c r="M865" s="1" t="str">
        <f>IFERROR(__xludf.DUMMYFUNCTION("""COMPUTED_VALUE"""),"SAN VICENTE RD")</f>
        <v>SAN VICENTE RD</v>
      </c>
      <c r="N865" s="1"/>
      <c r="O865" s="1"/>
      <c r="P865" s="1"/>
      <c r="Q865" s="1" t="str">
        <f>IFERROR(__xludf.DUMMYFUNCTION("""COMPUTED_VALUE"""),"SAN VICENTE I")</f>
        <v>SAN VICENTE I</v>
      </c>
      <c r="R865" s="1" t="str">
        <f>IFERROR(__xludf.DUMMYFUNCTION("""COMPUTED_VALUE"""),"SILANG")</f>
        <v>SILANG</v>
      </c>
      <c r="S865" s="1" t="str">
        <f>IFERROR(__xludf.DUMMYFUNCTION("""COMPUTED_VALUE"""),"CAVITE")</f>
        <v>CAVITE</v>
      </c>
      <c r="T865" s="1" t="str">
        <f>IFERROR(__xludf.DUMMYFUNCTION("""COMPUTED_VALUE"""),"FIBR NETFLIX PLAN 1599")</f>
        <v>FIBR NETFLIX PLAN 1599</v>
      </c>
      <c r="U865" s="1" t="str">
        <f>IFERROR(__xludf.DUMMYFUNCTION("""COMPUTED_VALUE"""),"APPROVED")</f>
        <v>APPROVED</v>
      </c>
      <c r="V865" s="1"/>
      <c r="W865" s="1"/>
    </row>
    <row r="866" customHeight="1" spans="1:23">
      <c r="A866" s="3">
        <f>IFERROR(__xludf.DUMMYFUNCTION("""COMPUTED_VALUE"""),46099)</f>
        <v>46099</v>
      </c>
      <c r="B866" s="1" t="str">
        <f>IFERROR(__xludf.DUMMYFUNCTION("""COMPUTED_VALUE"""),"LEADSTORE - ILANO, LIANDRO TEJAS")</f>
        <v>LEADSTORE - ILANO, LIANDRO TEJAS</v>
      </c>
      <c r="C866" s="1" t="str">
        <f>IFERROR(__xludf.DUMMYFUNCTION("""COMPUTED_VALUE"""),"FLA")</f>
        <v>FLA</v>
      </c>
      <c r="D866" s="1" t="str">
        <f>IFERROR(__xludf.DUMMYFUNCTION("""COMPUTED_VALUE"""),"JERIC NAVARRO")</f>
        <v>JERIC NAVARRO</v>
      </c>
      <c r="E866" s="1" t="str">
        <f>IFERROR(__xludf.DUMMYFUNCTION("""COMPUTED_VALUE"""),"PLDT")</f>
        <v>PLDT</v>
      </c>
      <c r="F866" s="1">
        <f>IFERROR(__xludf.DUMMYFUNCTION("""COMPUTED_VALUE"""),2308338013)</f>
        <v>2308338013</v>
      </c>
      <c r="G866" s="1"/>
      <c r="H866" s="1" t="str">
        <f>IFERROR(__xludf.DUMMYFUNCTION("""COMPUTED_VALUE"""),"MARIA CRISTINA BRINGAS GONZALES")</f>
        <v>MARIA CRISTINA BRINGAS GONZALES</v>
      </c>
      <c r="I866" s="1">
        <f>IFERROR(__xludf.DUMMYFUNCTION("""COMPUTED_VALUE"""),9777652331)</f>
        <v>9777652331</v>
      </c>
      <c r="J866" s="1"/>
      <c r="K866" s="1" t="str">
        <f>IFERROR(__xludf.DUMMYFUNCTION("""COMPUTED_VALUE"""),"GOONZALESCRISTINA202@GMAIL.COM")</f>
        <v>GOONZALESCRISTINA202@GMAIL.COM</v>
      </c>
      <c r="L866" s="1" t="str">
        <f>IFERROR(__xludf.DUMMYFUNCTION("""COMPUTED_VALUE"""),"413")</f>
        <v>413</v>
      </c>
      <c r="M866" s="1" t="str">
        <f>IFERROR(__xludf.DUMMYFUNCTION("""COMPUTED_VALUE"""),"PALIGAWAN MATANDA")</f>
        <v>PALIGAWAN MATANDA</v>
      </c>
      <c r="N866" s="1"/>
      <c r="O866" s="1"/>
      <c r="P866" s="1"/>
      <c r="Q866" s="1" t="str">
        <f>IFERROR(__xludf.DUMMYFUNCTION("""COMPUTED_VALUE"""),"LANTIC")</f>
        <v>LANTIC</v>
      </c>
      <c r="R866" s="1" t="str">
        <f>IFERROR(__xludf.DUMMYFUNCTION("""COMPUTED_VALUE"""),"CARMONA")</f>
        <v>CARMONA</v>
      </c>
      <c r="S866" s="1" t="str">
        <f>IFERROR(__xludf.DUMMYFUNCTION("""COMPUTED_VALUE"""),"CAVITE")</f>
        <v>CAVITE</v>
      </c>
      <c r="T866" s="1" t="str">
        <f>IFERROR(__xludf.DUMMYFUNCTION("""COMPUTED_VALUE"""),"FIBR UNLI ALL PLAN 3199")</f>
        <v>FIBR UNLI ALL PLAN 3199</v>
      </c>
      <c r="U866" s="1" t="str">
        <f>IFERROR(__xludf.DUMMYFUNCTION("""COMPUTED_VALUE"""),"APPROVED")</f>
        <v>APPROVED</v>
      </c>
      <c r="V866" s="1"/>
      <c r="W866" s="1"/>
    </row>
    <row r="867" customHeight="1" spans="1:23">
      <c r="A867" s="3">
        <f>IFERROR(__xludf.DUMMYFUNCTION("""COMPUTED_VALUE"""),46099)</f>
        <v>46099</v>
      </c>
      <c r="B867" s="1" t="str">
        <f>IFERROR(__xludf.DUMMYFUNCTION("""COMPUTED_VALUE"""),"ABGAO, LEO TAGANNA")</f>
        <v>ABGAO, LEO TAGANNA</v>
      </c>
      <c r="C867" s="1" t="str">
        <f>IFERROR(__xludf.DUMMYFUNCTION("""COMPUTED_VALUE"""),"ORGANIC")</f>
        <v>ORGANIC</v>
      </c>
      <c r="D867" s="1" t="str">
        <f>IFERROR(__xludf.DUMMYFUNCTION("""COMPUTED_VALUE"""),"ALOS, CHARLS")</f>
        <v>ALOS, CHARLS</v>
      </c>
      <c r="E867" s="1" t="str">
        <f>IFERROR(__xludf.DUMMYFUNCTION("""COMPUTED_VALUE"""),"PLDT")</f>
        <v>PLDT</v>
      </c>
      <c r="F867" s="1">
        <f>IFERROR(__xludf.DUMMYFUNCTION("""COMPUTED_VALUE"""),2308338326)</f>
        <v>2308338326</v>
      </c>
      <c r="G867" s="1"/>
      <c r="H867" s="1" t="str">
        <f>IFERROR(__xludf.DUMMYFUNCTION("""COMPUTED_VALUE"""),"MARILYN SUNEGA RODRIGUEZ")</f>
        <v>MARILYN SUNEGA RODRIGUEZ</v>
      </c>
      <c r="I867" s="1">
        <f>IFERROR(__xludf.DUMMYFUNCTION("""COMPUTED_VALUE"""),9309250251)</f>
        <v>9309250251</v>
      </c>
      <c r="J867" s="1"/>
      <c r="K867" s="1" t="str">
        <f>IFERROR(__xludf.DUMMYFUNCTION("""COMPUTED_VALUE"""),"RODRIGUEZMADILYN210@GMAIL.COM")</f>
        <v>RODRIGUEZMADILYN210@GMAIL.COM</v>
      </c>
      <c r="L867" s="1" t="str">
        <f>IFERROR(__xludf.DUMMYFUNCTION("""COMPUTED_VALUE"""),"BLK 9 LOT 12")</f>
        <v>BLK 9 LOT 12</v>
      </c>
      <c r="M867" s="1" t="str">
        <f>IFERROR(__xludf.DUMMYFUNCTION("""COMPUTED_VALUE"""),"PALIGAWAN MATANDA")</f>
        <v>PALIGAWAN MATANDA</v>
      </c>
      <c r="N867" s="1"/>
      <c r="O867" s="1"/>
      <c r="P867" s="1"/>
      <c r="Q867" s="1" t="str">
        <f>IFERROR(__xludf.DUMMYFUNCTION("""COMPUTED_VALUE"""),"LANTIC")</f>
        <v>LANTIC</v>
      </c>
      <c r="R867" s="1" t="str">
        <f>IFERROR(__xludf.DUMMYFUNCTION("""COMPUTED_VALUE"""),"CARMONA")</f>
        <v>CARMONA</v>
      </c>
      <c r="S867" s="1" t="str">
        <f>IFERROR(__xludf.DUMMYFUNCTION("""COMPUTED_VALUE"""),"CAVITE")</f>
        <v>CAVITE</v>
      </c>
      <c r="T867" s="1" t="str">
        <f>IFERROR(__xludf.DUMMYFUNCTION("""COMPUTED_VALUE"""),"FIBR PLAN 1299")</f>
        <v>FIBR PLAN 1299</v>
      </c>
      <c r="U867" s="1" t="str">
        <f>IFERROR(__xludf.DUMMYFUNCTION("""COMPUTED_VALUE"""),"APPROVED")</f>
        <v>APPROVED</v>
      </c>
      <c r="V867" s="1"/>
      <c r="W867" s="1"/>
    </row>
    <row r="868" customHeight="1" spans="1:23">
      <c r="A868" s="3">
        <f>IFERROR(__xludf.DUMMYFUNCTION("""COMPUTED_VALUE"""),46099)</f>
        <v>46099</v>
      </c>
      <c r="B868" s="1" t="str">
        <f>IFERROR(__xludf.DUMMYFUNCTION("""COMPUTED_VALUE"""),"FRANCISCO , ROSELYN")</f>
        <v>FRANCISCO , ROSELYN</v>
      </c>
      <c r="C868" s="1" t="str">
        <f>IFERROR(__xludf.DUMMYFUNCTION("""COMPUTED_VALUE"""),"FLA")</f>
        <v>FLA</v>
      </c>
      <c r="D868" s="1" t="str">
        <f>IFERROR(__xludf.DUMMYFUNCTION("""COMPUTED_VALUE"""),"JERIC NAVARRO")</f>
        <v>JERIC NAVARRO</v>
      </c>
      <c r="E868" s="1" t="str">
        <f>IFERROR(__xludf.DUMMYFUNCTION("""COMPUTED_VALUE"""),"PLDT")</f>
        <v>PLDT</v>
      </c>
      <c r="F868" s="1">
        <f>IFERROR(__xludf.DUMMYFUNCTION("""COMPUTED_VALUE"""),2308338629)</f>
        <v>2308338629</v>
      </c>
      <c r="G868" s="1"/>
      <c r="H868" s="1" t="str">
        <f>IFERROR(__xludf.DUMMYFUNCTION("""COMPUTED_VALUE"""),"MARK SIDNEY DISPO FRUELDA")</f>
        <v>MARK SIDNEY DISPO FRUELDA</v>
      </c>
      <c r="I868" s="1">
        <f>IFERROR(__xludf.DUMMYFUNCTION("""COMPUTED_VALUE"""),9933047370)</f>
        <v>9933047370</v>
      </c>
      <c r="J868" s="1">
        <f>IFERROR(__xludf.DUMMYFUNCTION("""COMPUTED_VALUE"""),9911452311)</f>
        <v>9911452311</v>
      </c>
      <c r="K868" s="1" t="str">
        <f>IFERROR(__xludf.DUMMYFUNCTION("""COMPUTED_VALUE"""),"SID.31288@GMAIL.COM")</f>
        <v>SID.31288@GMAIL.COM</v>
      </c>
      <c r="L868" s="1" t="str">
        <f>IFERROR(__xludf.DUMMYFUNCTION("""COMPUTED_VALUE"""),"BLK 18 LOT 2")</f>
        <v>BLK 18 LOT 2</v>
      </c>
      <c r="M868" s="1" t="str">
        <f>IFERROR(__xludf.DUMMYFUNCTION("""COMPUTED_VALUE"""),"PANAMA ST")</f>
        <v>PANAMA ST</v>
      </c>
      <c r="N868" s="1" t="str">
        <f>IFERROR(__xludf.DUMMYFUNCTION("""COMPUTED_VALUE"""),"CASA MONTEVERDE")</f>
        <v>CASA MONTEVERDE</v>
      </c>
      <c r="O868" s="1"/>
      <c r="P868" s="1"/>
      <c r="Q868" s="1" t="str">
        <f>IFERROR(__xludf.DUMMYFUNCTION("""COMPUTED_VALUE"""),"FRANCISCO DE CASTRO (SUNSHINE VILL.)")</f>
        <v>FRANCISCO DE CASTRO (SUNSHINE VILL.)</v>
      </c>
      <c r="R868" s="1" t="str">
        <f>IFERROR(__xludf.DUMMYFUNCTION("""COMPUTED_VALUE"""),"GEN MARIANO ALVAREZ")</f>
        <v>GEN MARIANO ALVAREZ</v>
      </c>
      <c r="S868" s="1" t="str">
        <f>IFERROR(__xludf.DUMMYFUNCTION("""COMPUTED_VALUE"""),"CAVITE")</f>
        <v>CAVITE</v>
      </c>
      <c r="T868" s="1" t="str">
        <f>IFERROR(__xludf.DUMMYFUNCTION("""COMPUTED_VALUE"""),"FIBR PLAN 1699")</f>
        <v>FIBR PLAN 1699</v>
      </c>
      <c r="U868" s="1" t="str">
        <f>IFERROR(__xludf.DUMMYFUNCTION("""COMPUTED_VALUE"""),"APPROVED")</f>
        <v>APPROVED</v>
      </c>
      <c r="V868" s="1"/>
      <c r="W868" s="1"/>
    </row>
    <row r="869" customHeight="1" spans="1:23">
      <c r="A869" s="3">
        <f>IFERROR(__xludf.DUMMYFUNCTION("""COMPUTED_VALUE"""),46099)</f>
        <v>46099</v>
      </c>
      <c r="B869" s="1" t="str">
        <f>IFERROR(__xludf.DUMMYFUNCTION("""COMPUTED_VALUE"""),"CANTANERO JUNEL")</f>
        <v>CANTANERO JUNEL</v>
      </c>
      <c r="C869" s="1" t="str">
        <f>IFERROR(__xludf.DUMMYFUNCTION("""COMPUTED_VALUE"""),"ORGANIC")</f>
        <v>ORGANIC</v>
      </c>
      <c r="D869" s="1" t="str">
        <f>IFERROR(__xludf.DUMMYFUNCTION("""COMPUTED_VALUE"""),"ALINGARO, CINDY")</f>
        <v>ALINGARO, CINDY</v>
      </c>
      <c r="E869" s="1" t="str">
        <f>IFERROR(__xludf.DUMMYFUNCTION("""COMPUTED_VALUE"""),"PLDT")</f>
        <v>PLDT</v>
      </c>
      <c r="F869" s="1">
        <f>IFERROR(__xludf.DUMMYFUNCTION("""COMPUTED_VALUE"""),2308338929)</f>
        <v>2308338929</v>
      </c>
      <c r="G869" s="1"/>
      <c r="H869" s="1" t="str">
        <f>IFERROR(__xludf.DUMMYFUNCTION("""COMPUTED_VALUE"""),"MELEN MONDIDO TAMPIPI")</f>
        <v>MELEN MONDIDO TAMPIPI</v>
      </c>
      <c r="I869" s="1">
        <f>IFERROR(__xludf.DUMMYFUNCTION("""COMPUTED_VALUE"""),9552069378)</f>
        <v>9552069378</v>
      </c>
      <c r="J869" s="1"/>
      <c r="K869" s="1" t="str">
        <f>IFERROR(__xludf.DUMMYFUNCTION("""COMPUTED_VALUE"""),"MELEN_TAMPIPI@GMAIL.COM")</f>
        <v>MELEN_TAMPIPI@GMAIL.COM</v>
      </c>
      <c r="L869" s="1" t="str">
        <f>IFERROR(__xludf.DUMMYFUNCTION("""COMPUTED_VALUE"""),"79")</f>
        <v>79</v>
      </c>
      <c r="M869" s="1" t="str">
        <f>IFERROR(__xludf.DUMMYFUNCTION("""COMPUTED_VALUE"""),"PALIGAWAN MATANDA")</f>
        <v>PALIGAWAN MATANDA</v>
      </c>
      <c r="N869" s="1"/>
      <c r="O869" s="1"/>
      <c r="P869" s="1"/>
      <c r="Q869" s="1" t="str">
        <f>IFERROR(__xludf.DUMMYFUNCTION("""COMPUTED_VALUE"""),"LANTIC")</f>
        <v>LANTIC</v>
      </c>
      <c r="R869" s="1" t="str">
        <f>IFERROR(__xludf.DUMMYFUNCTION("""COMPUTED_VALUE"""),"CARMONA")</f>
        <v>CARMONA</v>
      </c>
      <c r="S869" s="1" t="str">
        <f>IFERROR(__xludf.DUMMYFUNCTION("""COMPUTED_VALUE"""),"CAVITE")</f>
        <v>CAVITE</v>
      </c>
      <c r="T869" s="1" t="str">
        <f>IFERROR(__xludf.DUMMYFUNCTION("""COMPUTED_VALUE"""),"FIBR UNLI ALL PLAN 1399")</f>
        <v>FIBR UNLI ALL PLAN 1399</v>
      </c>
      <c r="U869" s="1" t="str">
        <f>IFERROR(__xludf.DUMMYFUNCTION("""COMPUTED_VALUE"""),"APPROVED")</f>
        <v>APPROVED</v>
      </c>
      <c r="V869" s="1"/>
      <c r="W869" s="1"/>
    </row>
    <row r="870" customHeight="1" spans="1:23">
      <c r="A870" s="3">
        <f>IFERROR(__xludf.DUMMYFUNCTION("""COMPUTED_VALUE"""),46099)</f>
        <v>46099</v>
      </c>
      <c r="B870" s="1" t="str">
        <f>IFERROR(__xludf.DUMMYFUNCTION("""COMPUTED_VALUE"""),"AYON MANUEL")</f>
        <v>AYON MANUEL</v>
      </c>
      <c r="C870" s="1" t="str">
        <f>IFERROR(__xludf.DUMMYFUNCTION("""COMPUTED_VALUE"""),"FLA")</f>
        <v>FLA</v>
      </c>
      <c r="D870" s="1" t="str">
        <f>IFERROR(__xludf.DUMMYFUNCTION("""COMPUTED_VALUE"""),"JERIC NAVARRO")</f>
        <v>JERIC NAVARRO</v>
      </c>
      <c r="E870" s="1" t="str">
        <f>IFERROR(__xludf.DUMMYFUNCTION("""COMPUTED_VALUE"""),"PLDT")</f>
        <v>PLDT</v>
      </c>
      <c r="F870" s="1">
        <f>IFERROR(__xludf.DUMMYFUNCTION("""COMPUTED_VALUE"""),2308339220)</f>
        <v>2308339220</v>
      </c>
      <c r="G870" s="1"/>
      <c r="H870" s="1" t="str">
        <f>IFERROR(__xludf.DUMMYFUNCTION("""COMPUTED_VALUE"""),"LANCE CEDRIC SAIDANA PATAM")</f>
        <v>LANCE CEDRIC SAIDANA PATAM</v>
      </c>
      <c r="I870" s="1">
        <f>IFERROR(__xludf.DUMMYFUNCTION("""COMPUTED_VALUE"""),9451450777)</f>
        <v>9451450777</v>
      </c>
      <c r="J870" s="1">
        <f>IFERROR(__xludf.DUMMYFUNCTION("""COMPUTED_VALUE"""),9364572325)</f>
        <v>9364572325</v>
      </c>
      <c r="K870" s="1" t="str">
        <f>IFERROR(__xludf.DUMMYFUNCTION("""COMPUTED_VALUE"""),"ZAMMATTRUCKING@GMAIL.COM")</f>
        <v>ZAMMATTRUCKING@GMAIL.COM</v>
      </c>
      <c r="L870" s="1" t="str">
        <f>IFERROR(__xludf.DUMMYFUNCTION("""COMPUTED_VALUE"""),"7")</f>
        <v>7</v>
      </c>
      <c r="M870" s="1" t="str">
        <f>IFERROR(__xludf.DUMMYFUNCTION("""COMPUTED_VALUE"""),"CM DELOS REYES")</f>
        <v>CM DELOS REYES</v>
      </c>
      <c r="N870" s="1"/>
      <c r="O870" s="1"/>
      <c r="P870" s="1"/>
      <c r="Q870" s="1" t="str">
        <f>IFERROR(__xludf.DUMMYFUNCTION("""COMPUTED_VALUE"""),"TAMACAN")</f>
        <v>TAMACAN</v>
      </c>
      <c r="R870" s="1" t="str">
        <f>IFERROR(__xludf.DUMMYFUNCTION("""COMPUTED_VALUE"""),"AMADEO")</f>
        <v>AMADEO</v>
      </c>
      <c r="S870" s="1" t="str">
        <f>IFERROR(__xludf.DUMMYFUNCTION("""COMPUTED_VALUE"""),"CAVITE")</f>
        <v>CAVITE</v>
      </c>
      <c r="T870" s="1" t="str">
        <f>IFERROR(__xludf.DUMMYFUNCTION("""COMPUTED_VALUE"""),"FIBR NETFLIX PLAN 1599")</f>
        <v>FIBR NETFLIX PLAN 1599</v>
      </c>
      <c r="U870" s="1" t="str">
        <f>IFERROR(__xludf.DUMMYFUNCTION("""COMPUTED_VALUE"""),"APPROVED")</f>
        <v>APPROVED</v>
      </c>
      <c r="V870" s="1"/>
      <c r="W870" s="1"/>
    </row>
    <row r="871" customHeight="1" spans="1:23">
      <c r="A871" s="3">
        <f>IFERROR(__xludf.DUMMYFUNCTION("""COMPUTED_VALUE"""),46099)</f>
        <v>46099</v>
      </c>
      <c r="B871" s="1" t="str">
        <f>IFERROR(__xludf.DUMMYFUNCTION("""COMPUTED_VALUE"""),"CESTINA, CHERRELYN")</f>
        <v>CESTINA, CHERRELYN</v>
      </c>
      <c r="C871" s="1" t="str">
        <f>IFERROR(__xludf.DUMMYFUNCTION("""COMPUTED_VALUE"""),"FLA")</f>
        <v>FLA</v>
      </c>
      <c r="D871" s="1" t="str">
        <f>IFERROR(__xludf.DUMMYFUNCTION("""COMPUTED_VALUE"""),"JERIC NAVARRO")</f>
        <v>JERIC NAVARRO</v>
      </c>
      <c r="E871" s="1" t="str">
        <f>IFERROR(__xludf.DUMMYFUNCTION("""COMPUTED_VALUE"""),"PLDT")</f>
        <v>PLDT</v>
      </c>
      <c r="F871" s="1">
        <f>IFERROR(__xludf.DUMMYFUNCTION("""COMPUTED_VALUE"""),2308341735)</f>
        <v>2308341735</v>
      </c>
      <c r="G871" s="1"/>
      <c r="H871" s="1" t="str">
        <f>IFERROR(__xludf.DUMMYFUNCTION("""COMPUTED_VALUE"""),"JHON ORLE PAREJA BAUTISTA")</f>
        <v>JHON ORLE PAREJA BAUTISTA</v>
      </c>
      <c r="I871" s="1">
        <f>IFERROR(__xludf.DUMMYFUNCTION("""COMPUTED_VALUE"""),9185630174)</f>
        <v>9185630174</v>
      </c>
      <c r="J871" s="1">
        <f>IFERROR(__xludf.DUMMYFUNCTION("""COMPUTED_VALUE"""),9692942810)</f>
        <v>9692942810</v>
      </c>
      <c r="K871" s="1" t="str">
        <f>IFERROR(__xludf.DUMMYFUNCTION("""COMPUTED_VALUE"""),"ZIG19941994@GMAIL.COM")</f>
        <v>ZIG19941994@GMAIL.COM</v>
      </c>
      <c r="L871" s="1" t="str">
        <f>IFERROR(__xludf.DUMMYFUNCTION("""COMPUTED_VALUE"""),"BLK 2 LOT 24")</f>
        <v>BLK 2 LOT 24</v>
      </c>
      <c r="M871" s="1" t="str">
        <f>IFERROR(__xludf.DUMMYFUNCTION("""COMPUTED_VALUE"""),"PALAZZO BELLO RD")</f>
        <v>PALAZZO BELLO RD</v>
      </c>
      <c r="N871" s="1"/>
      <c r="O871" s="1"/>
      <c r="P871" s="1"/>
      <c r="Q871" s="1" t="str">
        <f>IFERROR(__xludf.DUMMYFUNCTION("""COMPUTED_VALUE"""),"CARSADANG BAGO II")</f>
        <v>CARSADANG BAGO II</v>
      </c>
      <c r="R871" s="1" t="str">
        <f>IFERROR(__xludf.DUMMYFUNCTION("""COMPUTED_VALUE"""),"IMUS")</f>
        <v>IMUS</v>
      </c>
      <c r="S871" s="1" t="str">
        <f>IFERROR(__xludf.DUMMYFUNCTION("""COMPUTED_VALUE"""),"CAVITE")</f>
        <v>CAVITE</v>
      </c>
      <c r="T871" s="1" t="str">
        <f>IFERROR(__xludf.DUMMYFUNCTION("""COMPUTED_VALUE"""),"FIBR UNLI ALL PLAN 1399")</f>
        <v>FIBR UNLI ALL PLAN 1399</v>
      </c>
      <c r="U871" s="1" t="str">
        <f>IFERROR(__xludf.DUMMYFUNCTION("""COMPUTED_VALUE"""),"APPROVED")</f>
        <v>APPROVED</v>
      </c>
      <c r="V871" s="1"/>
      <c r="W871" s="1"/>
    </row>
    <row r="872" customHeight="1" spans="1:23">
      <c r="A872" s="3">
        <f>IFERROR(__xludf.DUMMYFUNCTION("""COMPUTED_VALUE"""),46099)</f>
        <v>46099</v>
      </c>
      <c r="B872" s="1" t="str">
        <f>IFERROR(__xludf.DUMMYFUNCTION("""COMPUTED_VALUE"""),"FERNANDEZ JERIC")</f>
        <v>FERNANDEZ JERIC</v>
      </c>
      <c r="C872" s="1" t="str">
        <f>IFERROR(__xludf.DUMMYFUNCTION("""COMPUTED_VALUE"""),"ORGANIC")</f>
        <v>ORGANIC</v>
      </c>
      <c r="D872" s="1" t="str">
        <f>IFERROR(__xludf.DUMMYFUNCTION("""COMPUTED_VALUE"""),"ALOS, CHARLS")</f>
        <v>ALOS, CHARLS</v>
      </c>
      <c r="E872" s="1" t="str">
        <f>IFERROR(__xludf.DUMMYFUNCTION("""COMPUTED_VALUE"""),"PLDT")</f>
        <v>PLDT</v>
      </c>
      <c r="F872" s="1">
        <f>IFERROR(__xludf.DUMMYFUNCTION("""COMPUTED_VALUE"""),2308342159)</f>
        <v>2308342159</v>
      </c>
      <c r="G872" s="1"/>
      <c r="H872" s="1" t="str">
        <f>IFERROR(__xludf.DUMMYFUNCTION("""COMPUTED_VALUE"""),"ELMO TAMOLIN BINAS")</f>
        <v>ELMO TAMOLIN BINAS</v>
      </c>
      <c r="I872" s="1">
        <f>IFERROR(__xludf.DUMMYFUNCTION("""COMPUTED_VALUE"""),9494378443)</f>
        <v>9494378443</v>
      </c>
      <c r="J872" s="1"/>
      <c r="K872" s="1" t="str">
        <f>IFERROR(__xludf.DUMMYFUNCTION("""COMPUTED_VALUE"""),"BINASELMO44@GMAIL.COM")</f>
        <v>BINASELMO44@GMAIL.COM</v>
      </c>
      <c r="L872" s="1" t="str">
        <f>IFERROR(__xludf.DUMMYFUNCTION("""COMPUTED_VALUE"""),"9185")</f>
        <v>9185</v>
      </c>
      <c r="M872" s="1" t="str">
        <f>IFERROR(__xludf.DUMMYFUNCTION("""COMPUTED_VALUE"""),"MUZON")</f>
        <v>MUZON</v>
      </c>
      <c r="N872" s="1"/>
      <c r="O872" s="1"/>
      <c r="P872" s="1"/>
      <c r="Q872" s="1" t="str">
        <f>IFERROR(__xludf.DUMMYFUNCTION("""COMPUTED_VALUE"""),"PUTING KAHOY")</f>
        <v>PUTING KAHOY</v>
      </c>
      <c r="R872" s="1" t="str">
        <f>IFERROR(__xludf.DUMMYFUNCTION("""COMPUTED_VALUE"""),"SILANG")</f>
        <v>SILANG</v>
      </c>
      <c r="S872" s="1" t="str">
        <f>IFERROR(__xludf.DUMMYFUNCTION("""COMPUTED_VALUE"""),"CAVITE")</f>
        <v>CAVITE</v>
      </c>
      <c r="T872" s="1" t="str">
        <f>IFERROR(__xludf.DUMMYFUNCTION("""COMPUTED_VALUE"""),"FIBR UNLI ALL PLAN 999")</f>
        <v>FIBR UNLI ALL PLAN 999</v>
      </c>
      <c r="U872" s="1" t="str">
        <f>IFERROR(__xludf.DUMMYFUNCTION("""COMPUTED_VALUE"""),"APPROVED")</f>
        <v>APPROVED</v>
      </c>
      <c r="V872" s="1"/>
      <c r="W872" s="1"/>
    </row>
    <row r="873" customHeight="1" spans="1:23">
      <c r="A873" s="3">
        <f>IFERROR(__xludf.DUMMYFUNCTION("""COMPUTED_VALUE"""),46099)</f>
        <v>46099</v>
      </c>
      <c r="B873" s="1" t="str">
        <f>IFERROR(__xludf.DUMMYFUNCTION("""COMPUTED_VALUE"""),"FLORIDA, JESSICA")</f>
        <v>FLORIDA, JESSICA</v>
      </c>
      <c r="C873" s="1" t="str">
        <f>IFERROR(__xludf.DUMMYFUNCTION("""COMPUTED_VALUE"""),"ORGANIC")</f>
        <v>ORGANIC</v>
      </c>
      <c r="D873" s="1" t="str">
        <f>IFERROR(__xludf.DUMMYFUNCTION("""COMPUTED_VALUE"""),"ALINGARO, CINDY")</f>
        <v>ALINGARO, CINDY</v>
      </c>
      <c r="E873" s="1" t="str">
        <f>IFERROR(__xludf.DUMMYFUNCTION("""COMPUTED_VALUE"""),"PLDT")</f>
        <v>PLDT</v>
      </c>
      <c r="F873" s="1">
        <f>IFERROR(__xludf.DUMMYFUNCTION("""COMPUTED_VALUE"""),2308348068)</f>
        <v>2308348068</v>
      </c>
      <c r="G873" s="1"/>
      <c r="H873" s="1" t="str">
        <f>IFERROR(__xludf.DUMMYFUNCTION("""COMPUTED_VALUE"""),"MAXIMO SACRO HABOC IGNACIO")</f>
        <v>MAXIMO SACRO HABOC IGNACIO</v>
      </c>
      <c r="I873" s="1">
        <f>IFERROR(__xludf.DUMMYFUNCTION("""COMPUTED_VALUE"""),9914080176)</f>
        <v>9914080176</v>
      </c>
      <c r="J873" s="1"/>
      <c r="K873" s="1" t="str">
        <f>IFERROR(__xludf.DUMMYFUNCTION("""COMPUTED_VALUE"""),"THELMAHABOC262@GMAIL.COM")</f>
        <v>THELMAHABOC262@GMAIL.COM</v>
      </c>
      <c r="L873" s="1" t="str">
        <f>IFERROR(__xludf.DUMMYFUNCTION("""COMPUTED_VALUE"""),"BLK 26 LOT 11")</f>
        <v>BLK 26 LOT 11</v>
      </c>
      <c r="M873" s="1" t="str">
        <f>IFERROR(__xludf.DUMMYFUNCTION("""COMPUTED_VALUE"""),"NARRA RD")</f>
        <v>NARRA RD</v>
      </c>
      <c r="N873" s="1"/>
      <c r="O873" s="1"/>
      <c r="P873" s="1"/>
      <c r="Q873" s="1" t="str">
        <f>IFERROR(__xludf.DUMMYFUNCTION("""COMPUTED_VALUE"""),"NARRA I")</f>
        <v>NARRA I</v>
      </c>
      <c r="R873" s="1" t="str">
        <f>IFERROR(__xludf.DUMMYFUNCTION("""COMPUTED_VALUE"""),"SILANG")</f>
        <v>SILANG</v>
      </c>
      <c r="S873" s="1" t="str">
        <f>IFERROR(__xludf.DUMMYFUNCTION("""COMPUTED_VALUE"""),"CAVITE")</f>
        <v>CAVITE</v>
      </c>
      <c r="T873" s="1" t="str">
        <f>IFERROR(__xludf.DUMMYFUNCTION("""COMPUTED_VALUE"""),"PREPAID FIBER UNLI")</f>
        <v>PREPAID FIBER UNLI</v>
      </c>
      <c r="U873" s="1" t="str">
        <f>IFERROR(__xludf.DUMMYFUNCTION("""COMPUTED_VALUE"""),"APPROVED")</f>
        <v>APPROVED</v>
      </c>
      <c r="V873" s="1"/>
      <c r="W873" s="1"/>
    </row>
    <row r="874" customHeight="1" spans="1:23">
      <c r="A874" s="3">
        <f>IFERROR(__xludf.DUMMYFUNCTION("""COMPUTED_VALUE"""),46099)</f>
        <v>46099</v>
      </c>
      <c r="B874" s="1" t="str">
        <f>IFERROR(__xludf.DUMMYFUNCTION("""COMPUTED_VALUE"""),"DELGADO MILAGROSA")</f>
        <v>DELGADO MILAGROSA</v>
      </c>
      <c r="C874" s="1" t="str">
        <f>IFERROR(__xludf.DUMMYFUNCTION("""COMPUTED_VALUE"""),"ORGANIC")</f>
        <v>ORGANIC</v>
      </c>
      <c r="D874" s="1" t="str">
        <f>IFERROR(__xludf.DUMMYFUNCTION("""COMPUTED_VALUE"""),"ALINGARO, CINDY")</f>
        <v>ALINGARO, CINDY</v>
      </c>
      <c r="E874" s="1" t="str">
        <f>IFERROR(__xludf.DUMMYFUNCTION("""COMPUTED_VALUE"""),"PLDT")</f>
        <v>PLDT</v>
      </c>
      <c r="F874" s="1">
        <f>IFERROR(__xludf.DUMMYFUNCTION("""COMPUTED_VALUE"""),2308342856)</f>
        <v>2308342856</v>
      </c>
      <c r="G874" s="1"/>
      <c r="H874" s="1" t="str">
        <f>IFERROR(__xludf.DUMMYFUNCTION("""COMPUTED_VALUE"""),"RONEL ABAIGAR BAIDAL")</f>
        <v>RONEL ABAIGAR BAIDAL</v>
      </c>
      <c r="I874" s="1">
        <f>IFERROR(__xludf.DUMMYFUNCTION("""COMPUTED_VALUE"""),9563993883)</f>
        <v>9563993883</v>
      </c>
      <c r="J874" s="1">
        <f>IFERROR(__xludf.DUMMYFUNCTION("""COMPUTED_VALUE"""),9489767480)</f>
        <v>9489767480</v>
      </c>
      <c r="K874" s="1" t="str">
        <f>IFERROR(__xludf.DUMMYFUNCTION("""COMPUTED_VALUE"""),"BAIDALRONEL22@GMAIL.COM")</f>
        <v>BAIDALRONEL22@GMAIL.COM</v>
      </c>
      <c r="L874" s="1" t="str">
        <f>IFERROR(__xludf.DUMMYFUNCTION("""COMPUTED_VALUE"""),"BLK 28 LOT 3")</f>
        <v>BLK 28 LOT 3</v>
      </c>
      <c r="M874" s="1" t="str">
        <f>IFERROR(__xludf.DUMMYFUNCTION("""COMPUTED_VALUE"""),"NARRA RD")</f>
        <v>NARRA RD</v>
      </c>
      <c r="N874" s="1"/>
      <c r="O874" s="1"/>
      <c r="P874" s="1"/>
      <c r="Q874" s="1" t="str">
        <f>IFERROR(__xludf.DUMMYFUNCTION("""COMPUTED_VALUE"""),"NARRA I")</f>
        <v>NARRA I</v>
      </c>
      <c r="R874" s="1" t="str">
        <f>IFERROR(__xludf.DUMMYFUNCTION("""COMPUTED_VALUE"""),"SILANG")</f>
        <v>SILANG</v>
      </c>
      <c r="S874" s="1" t="str">
        <f>IFERROR(__xludf.DUMMYFUNCTION("""COMPUTED_VALUE"""),"CAVITE")</f>
        <v>CAVITE</v>
      </c>
      <c r="T874" s="1" t="str">
        <f>IFERROR(__xludf.DUMMYFUNCTION("""COMPUTED_VALUE"""),"PREPAID FIBER UNLI")</f>
        <v>PREPAID FIBER UNLI</v>
      </c>
      <c r="U874" s="1" t="str">
        <f>IFERROR(__xludf.DUMMYFUNCTION("""COMPUTED_VALUE"""),"APPROVED")</f>
        <v>APPROVED</v>
      </c>
      <c r="V874" s="1"/>
      <c r="W874" s="1"/>
    </row>
    <row r="875" customHeight="1" spans="1:23">
      <c r="A875" s="3">
        <f>IFERROR(__xludf.DUMMYFUNCTION("""COMPUTED_VALUE"""),46100)</f>
        <v>46100</v>
      </c>
      <c r="B875" s="1" t="str">
        <f>IFERROR(__xludf.DUMMYFUNCTION("""COMPUTED_VALUE"""),"TISTON, CEDRICK")</f>
        <v>TISTON, CEDRICK</v>
      </c>
      <c r="C875" s="1" t="str">
        <f>IFERROR(__xludf.DUMMYFUNCTION("""COMPUTED_VALUE"""),"FLA")</f>
        <v>FLA</v>
      </c>
      <c r="D875" s="1" t="str">
        <f>IFERROR(__xludf.DUMMYFUNCTION("""COMPUTED_VALUE"""),"JERIC NAVARRO")</f>
        <v>JERIC NAVARRO</v>
      </c>
      <c r="E875" s="1" t="str">
        <f>IFERROR(__xludf.DUMMYFUNCTION("""COMPUTED_VALUE"""),"PLDT")</f>
        <v>PLDT</v>
      </c>
      <c r="F875" s="1">
        <f>IFERROR(__xludf.DUMMYFUNCTION("""COMPUTED_VALUE"""),2308347665)</f>
        <v>2308347665</v>
      </c>
      <c r="G875" s="1"/>
      <c r="H875" s="1" t="str">
        <f>IFERROR(__xludf.DUMMYFUNCTION("""COMPUTED_VALUE"""),"MICHAELLA GAMBOA SAGUIN")</f>
        <v>MICHAELLA GAMBOA SAGUIN</v>
      </c>
      <c r="I875" s="1">
        <f>IFERROR(__xludf.DUMMYFUNCTION("""COMPUTED_VALUE"""),9503027943)</f>
        <v>9503027943</v>
      </c>
      <c r="J875" s="1">
        <f>IFERROR(__xludf.DUMMYFUNCTION("""COMPUTED_VALUE"""),9094408118)</f>
        <v>9094408118</v>
      </c>
      <c r="K875" s="1" t="str">
        <f>IFERROR(__xludf.DUMMYFUNCTION("""COMPUTED_VALUE"""),"SEGUINALLEAHCIM@GMAIL.COM")</f>
        <v>SEGUINALLEAHCIM@GMAIL.COM</v>
      </c>
      <c r="L875" s="1" t="str">
        <f>IFERROR(__xludf.DUMMYFUNCTION("""COMPUTED_VALUE"""),"BLK 13 LOT 16")</f>
        <v>BLK 13 LOT 16</v>
      </c>
      <c r="M875" s="1" t="str">
        <f>IFERROR(__xludf.DUMMYFUNCTION("""COMPUTED_VALUE"""),"AREA C")</f>
        <v>AREA C</v>
      </c>
      <c r="N875" s="1"/>
      <c r="O875" s="1"/>
      <c r="P875" s="1"/>
      <c r="Q875" s="1" t="str">
        <f>IFERROR(__xludf.DUMMYFUNCTION("""COMPUTED_VALUE"""),"FIORELLO CALIMAG (AREA C)")</f>
        <v>FIORELLO CALIMAG (AREA C)</v>
      </c>
      <c r="R875" s="1" t="str">
        <f>IFERROR(__xludf.DUMMYFUNCTION("""COMPUTED_VALUE"""),"GEN MARIANO ALVAREZ")</f>
        <v>GEN MARIANO ALVAREZ</v>
      </c>
      <c r="S875" s="1" t="str">
        <f>IFERROR(__xludf.DUMMYFUNCTION("""COMPUTED_VALUE"""),"CAVITE")</f>
        <v>CAVITE</v>
      </c>
      <c r="T875" s="1" t="str">
        <f>IFERROR(__xludf.DUMMYFUNCTION("""COMPUTED_VALUE"""),"FIBR PLAN 1699")</f>
        <v>FIBR PLAN 1699</v>
      </c>
      <c r="U875" s="1" t="str">
        <f>IFERROR(__xludf.DUMMYFUNCTION("""COMPUTED_VALUE"""),"APPROVED")</f>
        <v>APPROVED</v>
      </c>
      <c r="V875" s="1"/>
      <c r="W875" s="1"/>
    </row>
    <row r="876" customHeight="1" spans="1:23">
      <c r="A876" s="3">
        <f>IFERROR(__xludf.DUMMYFUNCTION("""COMPUTED_VALUE"""),46100)</f>
        <v>46100</v>
      </c>
      <c r="B876" s="1" t="str">
        <f>IFERROR(__xludf.DUMMYFUNCTION("""COMPUTED_VALUE"""),"CARPIO, STEPHANIE NICOLE")</f>
        <v>CARPIO, STEPHANIE NICOLE</v>
      </c>
      <c r="C876" s="1" t="str">
        <f>IFERROR(__xludf.DUMMYFUNCTION("""COMPUTED_VALUE"""),"FLA")</f>
        <v>FLA</v>
      </c>
      <c r="D876" s="1" t="str">
        <f>IFERROR(__xludf.DUMMYFUNCTION("""COMPUTED_VALUE"""),"JERIC NAVARRO")</f>
        <v>JERIC NAVARRO</v>
      </c>
      <c r="E876" s="1" t="str">
        <f>IFERROR(__xludf.DUMMYFUNCTION("""COMPUTED_VALUE"""),"PLDT")</f>
        <v>PLDT</v>
      </c>
      <c r="F876" s="1">
        <f>IFERROR(__xludf.DUMMYFUNCTION("""COMPUTED_VALUE"""),2308348336)</f>
        <v>2308348336</v>
      </c>
      <c r="G876" s="1"/>
      <c r="H876" s="1" t="str">
        <f>IFERROR(__xludf.DUMMYFUNCTION("""COMPUTED_VALUE"""),"ANA XIALEN LLAVE BOAC")</f>
        <v>ANA XIALEN LLAVE BOAC</v>
      </c>
      <c r="I876" s="1">
        <f>IFERROR(__xludf.DUMMYFUNCTION("""COMPUTED_VALUE"""),9354747652)</f>
        <v>9354747652</v>
      </c>
      <c r="J876" s="1"/>
      <c r="K876" s="1" t="str">
        <f>IFERROR(__xludf.DUMMYFUNCTION("""COMPUTED_VALUE"""),"ANAXIALEN06@GMAIL.COM")</f>
        <v>ANAXIALEN06@GMAIL.COM</v>
      </c>
      <c r="L876" s="1" t="str">
        <f>IFERROR(__xludf.DUMMYFUNCTION("""COMPUTED_VALUE"""),"101")</f>
        <v>101</v>
      </c>
      <c r="M876" s="1" t="str">
        <f>IFERROR(__xludf.DUMMYFUNCTION("""COMPUTED_VALUE"""),"GREGORIA ")</f>
        <v>GREGORIA </v>
      </c>
      <c r="N876" s="1"/>
      <c r="O876" s="1"/>
      <c r="P876" s="1"/>
      <c r="Q876" s="1" t="str">
        <f>IFERROR(__xludf.DUMMYFUNCTION("""COMPUTED_VALUE"""),"TABON I")</f>
        <v>TABON I</v>
      </c>
      <c r="R876" s="1" t="str">
        <f>IFERROR(__xludf.DUMMYFUNCTION("""COMPUTED_VALUE"""),"KAWIT")</f>
        <v>KAWIT</v>
      </c>
      <c r="S876" s="1" t="str">
        <f>IFERROR(__xludf.DUMMYFUNCTION("""COMPUTED_VALUE"""),"CAVITE")</f>
        <v>CAVITE</v>
      </c>
      <c r="T876" s="1" t="str">
        <f>IFERROR(__xludf.DUMMYFUNCTION("""COMPUTED_VALUE"""),"FIBR PLAN 1299")</f>
        <v>FIBR PLAN 1299</v>
      </c>
      <c r="U876" s="1" t="str">
        <f>IFERROR(__xludf.DUMMYFUNCTION("""COMPUTED_VALUE"""),"APPROVED")</f>
        <v>APPROVED</v>
      </c>
      <c r="V876" s="1"/>
      <c r="W876" s="1"/>
    </row>
    <row r="877" customHeight="1" spans="1:23">
      <c r="A877" s="3">
        <f>IFERROR(__xludf.DUMMYFUNCTION("""COMPUTED_VALUE"""),46100)</f>
        <v>46100</v>
      </c>
      <c r="B877" s="1" t="str">
        <f>IFERROR(__xludf.DUMMYFUNCTION("""COMPUTED_VALUE"""),"FARO, REFRANTA")</f>
        <v>FARO, REFRANTA</v>
      </c>
      <c r="C877" s="1" t="str">
        <f>IFERROR(__xludf.DUMMYFUNCTION("""COMPUTED_VALUE"""),"ORGANIC")</f>
        <v>ORGANIC</v>
      </c>
      <c r="D877" s="1" t="str">
        <f>IFERROR(__xludf.DUMMYFUNCTION("""COMPUTED_VALUE"""),"ALINGARO, CINDY")</f>
        <v>ALINGARO, CINDY</v>
      </c>
      <c r="E877" s="1" t="str">
        <f>IFERROR(__xludf.DUMMYFUNCTION("""COMPUTED_VALUE"""),"PLDT")</f>
        <v>PLDT</v>
      </c>
      <c r="F877" s="1">
        <f>IFERROR(__xludf.DUMMYFUNCTION("""COMPUTED_VALUE"""),2308349688)</f>
        <v>2308349688</v>
      </c>
      <c r="G877" s="1"/>
      <c r="H877" s="1" t="str">
        <f>IFERROR(__xludf.DUMMYFUNCTION("""COMPUTED_VALUE"""),"NERRISA ENORME SIDAMON")</f>
        <v>NERRISA ENORME SIDAMON</v>
      </c>
      <c r="I877" s="1">
        <f>IFERROR(__xludf.DUMMYFUNCTION("""COMPUTED_VALUE"""),9925970882)</f>
        <v>9925970882</v>
      </c>
      <c r="J877" s="1"/>
      <c r="K877" s="1" t="str">
        <f>IFERROR(__xludf.DUMMYFUNCTION("""COMPUTED_VALUE"""),"BHESNADETHSIDAMON18@GMAIL.COM")</f>
        <v>BHESNADETHSIDAMON18@GMAIL.COM</v>
      </c>
      <c r="L877" s="1" t="str">
        <f>IFERROR(__xludf.DUMMYFUNCTION("""COMPUTED_VALUE"""),"67A")</f>
        <v>67A</v>
      </c>
      <c r="M877" s="1" t="str">
        <f>IFERROR(__xludf.DUMMYFUNCTION("""COMPUTED_VALUE"""),"SAINT JOSEPH")</f>
        <v>SAINT JOSEPH</v>
      </c>
      <c r="N877" s="1"/>
      <c r="O877" s="1"/>
      <c r="P877" s="1"/>
      <c r="Q877" s="1" t="str">
        <f>IFERROR(__xludf.DUMMYFUNCTION("""COMPUTED_VALUE"""),"PANUNGYAN II")</f>
        <v>PANUNGYAN II</v>
      </c>
      <c r="R877" s="1" t="str">
        <f>IFERROR(__xludf.DUMMYFUNCTION("""COMPUTED_VALUE"""),"MENDEZ")</f>
        <v>MENDEZ</v>
      </c>
      <c r="S877" s="1" t="str">
        <f>IFERROR(__xludf.DUMMYFUNCTION("""COMPUTED_VALUE"""),"CAVITE")</f>
        <v>CAVITE</v>
      </c>
      <c r="T877" s="1" t="str">
        <f>IFERROR(__xludf.DUMMYFUNCTION("""COMPUTED_VALUE"""),"FIBR NETFLIX PLAN 1599")</f>
        <v>FIBR NETFLIX PLAN 1599</v>
      </c>
      <c r="U877" s="1" t="str">
        <f>IFERROR(__xludf.DUMMYFUNCTION("""COMPUTED_VALUE"""),"APPROVED")</f>
        <v>APPROVED</v>
      </c>
      <c r="V877" s="1"/>
      <c r="W877" s="1"/>
    </row>
    <row r="878" customHeight="1" spans="1:23">
      <c r="A878" s="3">
        <f>IFERROR(__xludf.DUMMYFUNCTION("""COMPUTED_VALUE"""),46100)</f>
        <v>46100</v>
      </c>
      <c r="B878" s="1" t="str">
        <f>IFERROR(__xludf.DUMMYFUNCTION("""COMPUTED_VALUE"""),"MAGDARAOG, KENNETH")</f>
        <v>MAGDARAOG, KENNETH</v>
      </c>
      <c r="C878" s="1" t="str">
        <f>IFERROR(__xludf.DUMMYFUNCTION("""COMPUTED_VALUE"""),"ORGANIC")</f>
        <v>ORGANIC</v>
      </c>
      <c r="D878" s="1" t="str">
        <f>IFERROR(__xludf.DUMMYFUNCTION("""COMPUTED_VALUE"""),"ALINGARO, CINDY")</f>
        <v>ALINGARO, CINDY</v>
      </c>
      <c r="E878" s="1" t="str">
        <f>IFERROR(__xludf.DUMMYFUNCTION("""COMPUTED_VALUE"""),"PLDT")</f>
        <v>PLDT</v>
      </c>
      <c r="F878" s="1">
        <f>IFERROR(__xludf.DUMMYFUNCTION("""COMPUTED_VALUE"""),2308348952)</f>
        <v>2308348952</v>
      </c>
      <c r="G878" s="1"/>
      <c r="H878" s="1" t="str">
        <f>IFERROR(__xludf.DUMMYFUNCTION("""COMPUTED_VALUE"""),"MARIA JOANA MEL SARMIENTO DIMARANAN")</f>
        <v>MARIA JOANA MEL SARMIENTO DIMARANAN</v>
      </c>
      <c r="I878" s="1">
        <f>IFERROR(__xludf.DUMMYFUNCTION("""COMPUTED_VALUE"""),9273511978)</f>
        <v>9273511978</v>
      </c>
      <c r="J878" s="1"/>
      <c r="K878" s="1" t="str">
        <f>IFERROR(__xludf.DUMMYFUNCTION("""COMPUTED_VALUE"""),"JOMALIZE1227@GMAIL.COM")</f>
        <v>JOMALIZE1227@GMAIL.COM</v>
      </c>
      <c r="L878" s="1" t="str">
        <f>IFERROR(__xludf.DUMMYFUNCTION("""COMPUTED_VALUE"""),"34")</f>
        <v>34</v>
      </c>
      <c r="M878" s="1" t="str">
        <f>IFERROR(__xludf.DUMMYFUNCTION("""COMPUTED_VALUE"""),"SAINT JOSEPH")</f>
        <v>SAINT JOSEPH</v>
      </c>
      <c r="N878" s="1"/>
      <c r="O878" s="1"/>
      <c r="P878" s="1"/>
      <c r="Q878" s="1" t="str">
        <f>IFERROR(__xludf.DUMMYFUNCTION("""COMPUTED_VALUE"""),"PANUNGYAN II")</f>
        <v>PANUNGYAN II</v>
      </c>
      <c r="R878" s="1" t="str">
        <f>IFERROR(__xludf.DUMMYFUNCTION("""COMPUTED_VALUE"""),"MENDEZ")</f>
        <v>MENDEZ</v>
      </c>
      <c r="S878" s="1" t="str">
        <f>IFERROR(__xludf.DUMMYFUNCTION("""COMPUTED_VALUE"""),"CAVITE")</f>
        <v>CAVITE</v>
      </c>
      <c r="T878" s="1" t="str">
        <f>IFERROR(__xludf.DUMMYFUNCTION("""COMPUTED_VALUE"""),"FIBR PLAN 1299")</f>
        <v>FIBR PLAN 1299</v>
      </c>
      <c r="U878" s="1" t="str">
        <f>IFERROR(__xludf.DUMMYFUNCTION("""COMPUTED_VALUE"""),"APPROVED")</f>
        <v>APPROVED</v>
      </c>
      <c r="V878" s="1"/>
      <c r="W878" s="1"/>
    </row>
    <row r="879" customHeight="1" spans="1:23">
      <c r="A879" s="3">
        <f>IFERROR(__xludf.DUMMYFUNCTION("""COMPUTED_VALUE"""),46100)</f>
        <v>46100</v>
      </c>
      <c r="B879" s="1" t="str">
        <f>IFERROR(__xludf.DUMMYFUNCTION("""COMPUTED_VALUE"""),"DELA ROSA, JENNELYN")</f>
        <v>DELA ROSA, JENNELYN</v>
      </c>
      <c r="C879" s="1" t="str">
        <f>IFERROR(__xludf.DUMMYFUNCTION("""COMPUTED_VALUE"""),"ORGANIC")</f>
        <v>ORGANIC</v>
      </c>
      <c r="D879" s="1" t="str">
        <f>IFERROR(__xludf.DUMMYFUNCTION("""COMPUTED_VALUE"""),"ALOS, CHARLS")</f>
        <v>ALOS, CHARLS</v>
      </c>
      <c r="E879" s="1" t="str">
        <f>IFERROR(__xludf.DUMMYFUNCTION("""COMPUTED_VALUE"""),"PLDT")</f>
        <v>PLDT</v>
      </c>
      <c r="F879" s="1">
        <f>IFERROR(__xludf.DUMMYFUNCTION("""COMPUTED_VALUE"""),2308350402)</f>
        <v>2308350402</v>
      </c>
      <c r="G879" s="1"/>
      <c r="H879" s="1" t="str">
        <f>IFERROR(__xludf.DUMMYFUNCTION("""COMPUTED_VALUE"""),"ELROBE BACANI RORALDO")</f>
        <v>ELROBE BACANI RORALDO</v>
      </c>
      <c r="I879" s="1">
        <f>IFERROR(__xludf.DUMMYFUNCTION("""COMPUTED_VALUE"""),9266231952)</f>
        <v>9266231952</v>
      </c>
      <c r="J879" s="1">
        <f>IFERROR(__xludf.DUMMYFUNCTION("""COMPUTED_VALUE"""),9958118359)</f>
        <v>9958118359</v>
      </c>
      <c r="K879" s="1" t="str">
        <f>IFERROR(__xludf.DUMMYFUNCTION("""COMPUTED_VALUE"""),"IANTHE.RORALDO@GMAIL.COM ")</f>
        <v>IANTHE.RORALDO@GMAIL.COM </v>
      </c>
      <c r="L879" s="1" t="str">
        <f>IFERROR(__xludf.DUMMYFUNCTION("""COMPUTED_VALUE"""),"13")</f>
        <v>13</v>
      </c>
      <c r="M879" s="1" t="str">
        <f>IFERROR(__xludf.DUMMYFUNCTION("""COMPUTED_VALUE"""),"GUINHAWA RD")</f>
        <v>GUINHAWA RD</v>
      </c>
      <c r="N879" s="1"/>
      <c r="O879" s="1"/>
      <c r="P879" s="1"/>
      <c r="Q879" s="1" t="str">
        <f>IFERROR(__xludf.DUMMYFUNCTION("""COMPUTED_VALUE"""),"GUINHAWA NORTH")</f>
        <v>GUINHAWA NORTH</v>
      </c>
      <c r="R879" s="1" t="str">
        <f>IFERROR(__xludf.DUMMYFUNCTION("""COMPUTED_VALUE"""),"TAGAYTAY")</f>
        <v>TAGAYTAY</v>
      </c>
      <c r="S879" s="1" t="str">
        <f>IFERROR(__xludf.DUMMYFUNCTION("""COMPUTED_VALUE"""),"CAVITE")</f>
        <v>CAVITE</v>
      </c>
      <c r="T879" s="1" t="str">
        <f>IFERROR(__xludf.DUMMYFUNCTION("""COMPUTED_VALUE"""),"FIBR UNLI ALL PLAN 1399")</f>
        <v>FIBR UNLI ALL PLAN 1399</v>
      </c>
      <c r="U879" s="1" t="str">
        <f>IFERROR(__xludf.DUMMYFUNCTION("""COMPUTED_VALUE"""),"APPROVED")</f>
        <v>APPROVED</v>
      </c>
      <c r="V879" s="1"/>
      <c r="W879" s="1"/>
    </row>
    <row r="880" customHeight="1" spans="1:23">
      <c r="A880" s="3">
        <f>IFERROR(__xludf.DUMMYFUNCTION("""COMPUTED_VALUE"""),46100)</f>
        <v>46100</v>
      </c>
      <c r="B880" s="1" t="str">
        <f>IFERROR(__xludf.DUMMYFUNCTION("""COMPUTED_VALUE"""),"ESCARCHA, MA ALMA  ESCOTO")</f>
        <v>ESCARCHA, MA ALMA  ESCOTO</v>
      </c>
      <c r="C880" s="1" t="str">
        <f>IFERROR(__xludf.DUMMYFUNCTION("""COMPUTED_VALUE"""),"ORGANIC")</f>
        <v>ORGANIC</v>
      </c>
      <c r="D880" s="1" t="str">
        <f>IFERROR(__xludf.DUMMYFUNCTION("""COMPUTED_VALUE"""),"ALINGARO, CINDY")</f>
        <v>ALINGARO, CINDY</v>
      </c>
      <c r="E880" s="1" t="str">
        <f>IFERROR(__xludf.DUMMYFUNCTION("""COMPUTED_VALUE"""),"PLDT")</f>
        <v>PLDT</v>
      </c>
      <c r="F880" s="1">
        <f>IFERROR(__xludf.DUMMYFUNCTION("""COMPUTED_VALUE"""),2308350938)</f>
        <v>2308350938</v>
      </c>
      <c r="G880" s="1"/>
      <c r="H880" s="1" t="str">
        <f>IFERROR(__xludf.DUMMYFUNCTION("""COMPUTED_VALUE"""),"RHADRIC SANGCO ORFILA")</f>
        <v>RHADRIC SANGCO ORFILA</v>
      </c>
      <c r="I880" s="1">
        <f>IFERROR(__xludf.DUMMYFUNCTION("""COMPUTED_VALUE"""),9614488071)</f>
        <v>9614488071</v>
      </c>
      <c r="J880" s="1"/>
      <c r="K880" s="1" t="str">
        <f>IFERROR(__xludf.DUMMYFUNCTION("""COMPUTED_VALUE"""),"RHADRIC912@YAHOO.COM")</f>
        <v>RHADRIC912@YAHOO.COM</v>
      </c>
      <c r="L880" s="1" t="str">
        <f>IFERROR(__xludf.DUMMYFUNCTION("""COMPUTED_VALUE"""),"BLK 1 LOT 23")</f>
        <v>BLK 1 LOT 23</v>
      </c>
      <c r="M880" s="1" t="str">
        <f>IFERROR(__xludf.DUMMYFUNCTION("""COMPUTED_VALUE"""),"VILLA PATRICIA")</f>
        <v>VILLA PATRICIA</v>
      </c>
      <c r="N880" s="1"/>
      <c r="O880" s="1"/>
      <c r="P880" s="1"/>
      <c r="Q880" s="1" t="str">
        <f>IFERROR(__xludf.DUMMYFUNCTION("""COMPUTED_VALUE"""),"ASIS III")</f>
        <v>ASIS III</v>
      </c>
      <c r="R880" s="1" t="str">
        <f>IFERROR(__xludf.DUMMYFUNCTION("""COMPUTED_VALUE"""),"MENDEZ")</f>
        <v>MENDEZ</v>
      </c>
      <c r="S880" s="1" t="str">
        <f>IFERROR(__xludf.DUMMYFUNCTION("""COMPUTED_VALUE"""),"CAVITE")</f>
        <v>CAVITE</v>
      </c>
      <c r="T880" s="1" t="str">
        <f>IFERROR(__xludf.DUMMYFUNCTION("""COMPUTED_VALUE"""),"SWITCH FIBER NETFLIX PLAN 1599")</f>
        <v>SWITCH FIBER NETFLIX PLAN 1599</v>
      </c>
      <c r="U880" s="1" t="str">
        <f>IFERROR(__xludf.DUMMYFUNCTION("""COMPUTED_VALUE"""),"APPROVED")</f>
        <v>APPROVED</v>
      </c>
      <c r="V880" s="1"/>
      <c r="W880" s="1"/>
    </row>
    <row r="881" customHeight="1" spans="1:23">
      <c r="A881" s="3">
        <f>IFERROR(__xludf.DUMMYFUNCTION("""COMPUTED_VALUE"""),46100)</f>
        <v>46100</v>
      </c>
      <c r="B881" s="1" t="str">
        <f>IFERROR(__xludf.DUMMYFUNCTION("""COMPUTED_VALUE"""),"MALIWAT MARK ELVIN")</f>
        <v>MALIWAT MARK ELVIN</v>
      </c>
      <c r="C881" s="1" t="str">
        <f>IFERROR(__xludf.DUMMYFUNCTION("""COMPUTED_VALUE"""),"FLA")</f>
        <v>FLA</v>
      </c>
      <c r="D881" s="1" t="str">
        <f>IFERROR(__xludf.DUMMYFUNCTION("""COMPUTED_VALUE"""),"JERIC NAVARRO")</f>
        <v>JERIC NAVARRO</v>
      </c>
      <c r="E881" s="1" t="str">
        <f>IFERROR(__xludf.DUMMYFUNCTION("""COMPUTED_VALUE"""),"PLDT")</f>
        <v>PLDT</v>
      </c>
      <c r="F881" s="1">
        <f>IFERROR(__xludf.DUMMYFUNCTION("""COMPUTED_VALUE"""),2308351543)</f>
        <v>2308351543</v>
      </c>
      <c r="G881" s="1"/>
      <c r="H881" s="1" t="str">
        <f>IFERROR(__xludf.DUMMYFUNCTION("""COMPUTED_VALUE"""),"BRYAN PABALLA MAGLONZO")</f>
        <v>BRYAN PABALLA MAGLONZO</v>
      </c>
      <c r="I881" s="1">
        <f>IFERROR(__xludf.DUMMYFUNCTION("""COMPUTED_VALUE"""),9171775621)</f>
        <v>9171775621</v>
      </c>
      <c r="J881" s="1">
        <f>IFERROR(__xludf.DUMMYFUNCTION("""COMPUTED_VALUE"""),9175272484)</f>
        <v>9175272484</v>
      </c>
      <c r="K881" s="1" t="str">
        <f>IFERROR(__xludf.DUMMYFUNCTION("""COMPUTED_VALUE"""),"BRYANMAGLONZO218@GMAIL.COM")</f>
        <v>BRYANMAGLONZO218@GMAIL.COM</v>
      </c>
      <c r="L881" s="1" t="str">
        <f>IFERROR(__xludf.DUMMYFUNCTION("""COMPUTED_VALUE"""),"BLK 10 LOT 13")</f>
        <v>BLK 10 LOT 13</v>
      </c>
      <c r="M881" s="1" t="str">
        <f>IFERROR(__xludf.DUMMYFUNCTION("""COMPUTED_VALUE"""),"JUPITER")</f>
        <v>JUPITER</v>
      </c>
      <c r="N881" s="1" t="str">
        <f>IFERROR(__xludf.DUMMYFUNCTION("""COMPUTED_VALUE"""),"ASTROVILLE")</f>
        <v>ASTROVILLE</v>
      </c>
      <c r="O881" s="1"/>
      <c r="P881" s="1"/>
      <c r="Q881" s="1" t="str">
        <f>IFERROR(__xludf.DUMMYFUNCTION("""COMPUTED_VALUE"""),"QUEENS ROW WEST")</f>
        <v>QUEENS ROW WEST</v>
      </c>
      <c r="R881" s="1" t="str">
        <f>IFERROR(__xludf.DUMMYFUNCTION("""COMPUTED_VALUE"""),"BACOOR")</f>
        <v>BACOOR</v>
      </c>
      <c r="S881" s="1" t="str">
        <f>IFERROR(__xludf.DUMMYFUNCTION("""COMPUTED_VALUE"""),"CAVITE")</f>
        <v>CAVITE</v>
      </c>
      <c r="T881" s="1" t="str">
        <f>IFERROR(__xludf.DUMMYFUNCTION("""COMPUTED_VALUE"""),"SWITCH FIBER UNLI ALL 2499")</f>
        <v>SWITCH FIBER UNLI ALL 2499</v>
      </c>
      <c r="U881" s="1" t="str">
        <f>IFERROR(__xludf.DUMMYFUNCTION("""COMPUTED_VALUE"""),"APPROVED")</f>
        <v>APPROVED</v>
      </c>
      <c r="V881" s="1"/>
      <c r="W881" s="1"/>
    </row>
    <row r="882" customHeight="1" spans="1:23">
      <c r="A882" s="3">
        <f>IFERROR(__xludf.DUMMYFUNCTION("""COMPUTED_VALUE"""),46100)</f>
        <v>46100</v>
      </c>
      <c r="B882" s="1" t="str">
        <f>IFERROR(__xludf.DUMMYFUNCTION("""COMPUTED_VALUE"""),"FARO, REFRANTA")</f>
        <v>FARO, REFRANTA</v>
      </c>
      <c r="C882" s="1" t="str">
        <f>IFERROR(__xludf.DUMMYFUNCTION("""COMPUTED_VALUE"""),"ORGANIC")</f>
        <v>ORGANIC</v>
      </c>
      <c r="D882" s="1" t="str">
        <f>IFERROR(__xludf.DUMMYFUNCTION("""COMPUTED_VALUE"""),"ALINGARO, CINDY")</f>
        <v>ALINGARO, CINDY</v>
      </c>
      <c r="E882" s="1" t="str">
        <f>IFERROR(__xludf.DUMMYFUNCTION("""COMPUTED_VALUE"""),"PLDT")</f>
        <v>PLDT</v>
      </c>
      <c r="F882" s="1">
        <f>IFERROR(__xludf.DUMMYFUNCTION("""COMPUTED_VALUE"""),2308351845)</f>
        <v>2308351845</v>
      </c>
      <c r="G882" s="1"/>
      <c r="H882" s="1" t="str">
        <f>IFERROR(__xludf.DUMMYFUNCTION("""COMPUTED_VALUE"""),"JERICK ALLAN SERNAL DIMAANO")</f>
        <v>JERICK ALLAN SERNAL DIMAANO</v>
      </c>
      <c r="I882" s="1">
        <f>IFERROR(__xludf.DUMMYFUNCTION("""COMPUTED_VALUE"""),9568320316)</f>
        <v>9568320316</v>
      </c>
      <c r="J882" s="1">
        <f>IFERROR(__xludf.DUMMYFUNCTION("""COMPUTED_VALUE"""),9164135733)</f>
        <v>9164135733</v>
      </c>
      <c r="K882" s="1" t="str">
        <f>IFERROR(__xludf.DUMMYFUNCTION("""COMPUTED_VALUE"""),"JERICKALLAN24@GMAIL.COM")</f>
        <v>JERICKALLAN24@GMAIL.COM</v>
      </c>
      <c r="L882" s="1" t="str">
        <f>IFERROR(__xludf.DUMMYFUNCTION("""COMPUTED_VALUE"""),"108")</f>
        <v>108</v>
      </c>
      <c r="M882" s="1" t="str">
        <f>IFERROR(__xludf.DUMMYFUNCTION("""COMPUTED_VALUE"""),"SAINT JOSEPH")</f>
        <v>SAINT JOSEPH</v>
      </c>
      <c r="N882" s="1"/>
      <c r="O882" s="1"/>
      <c r="P882" s="1"/>
      <c r="Q882" s="1" t="str">
        <f>IFERROR(__xludf.DUMMYFUNCTION("""COMPUTED_VALUE"""),"PANUNGYAN II")</f>
        <v>PANUNGYAN II</v>
      </c>
      <c r="R882" s="1" t="str">
        <f>IFERROR(__xludf.DUMMYFUNCTION("""COMPUTED_VALUE"""),"MENDEZ")</f>
        <v>MENDEZ</v>
      </c>
      <c r="S882" s="1" t="str">
        <f>IFERROR(__xludf.DUMMYFUNCTION("""COMPUTED_VALUE"""),"CAVITE")</f>
        <v>CAVITE</v>
      </c>
      <c r="T882" s="1" t="str">
        <f>IFERROR(__xludf.DUMMYFUNCTION("""COMPUTED_VALUE"""),"PREPAID FIBER UNLI")</f>
        <v>PREPAID FIBER UNLI</v>
      </c>
      <c r="U882" s="1" t="str">
        <f>IFERROR(__xludf.DUMMYFUNCTION("""COMPUTED_VALUE"""),"APPROVED")</f>
        <v>APPROVED</v>
      </c>
      <c r="V882" s="1"/>
      <c r="W882" s="1"/>
    </row>
    <row r="883" customHeight="1" spans="1:23">
      <c r="A883" s="3">
        <f>IFERROR(__xludf.DUMMYFUNCTION("""COMPUTED_VALUE"""),46100)</f>
        <v>46100</v>
      </c>
      <c r="B883" s="1" t="str">
        <f>IFERROR(__xludf.DUMMYFUNCTION("""COMPUTED_VALUE"""),"AYON MANUEL")</f>
        <v>AYON MANUEL</v>
      </c>
      <c r="C883" s="1" t="str">
        <f>IFERROR(__xludf.DUMMYFUNCTION("""COMPUTED_VALUE"""),"FLA")</f>
        <v>FLA</v>
      </c>
      <c r="D883" s="1" t="str">
        <f>IFERROR(__xludf.DUMMYFUNCTION("""COMPUTED_VALUE"""),"JERIC NAVARRO")</f>
        <v>JERIC NAVARRO</v>
      </c>
      <c r="E883" s="1" t="str">
        <f>IFERROR(__xludf.DUMMYFUNCTION("""COMPUTED_VALUE"""),"PLDT")</f>
        <v>PLDT</v>
      </c>
      <c r="F883" s="1">
        <f>IFERROR(__xludf.DUMMYFUNCTION("""COMPUTED_VALUE"""),2308353571)</f>
        <v>2308353571</v>
      </c>
      <c r="G883" s="1"/>
      <c r="H883" s="1" t="str">
        <f>IFERROR(__xludf.DUMMYFUNCTION("""COMPUTED_VALUE"""),"LORNA ORTEGA MARIMON")</f>
        <v>LORNA ORTEGA MARIMON</v>
      </c>
      <c r="I883" s="1">
        <f>IFERROR(__xludf.DUMMYFUNCTION("""COMPUTED_VALUE"""),9076237633)</f>
        <v>9076237633</v>
      </c>
      <c r="J883" s="1">
        <f>IFERROR(__xludf.DUMMYFUNCTION("""COMPUTED_VALUE"""),9814661856)</f>
        <v>9814661856</v>
      </c>
      <c r="K883" s="1" t="str">
        <f>IFERROR(__xludf.DUMMYFUNCTION("""COMPUTED_VALUE"""),"LORNAMARIMON63@GMAIL.COM")</f>
        <v>LORNAMARIMON63@GMAIL.COM</v>
      </c>
      <c r="L883" s="1" t="str">
        <f>IFERROR(__xludf.DUMMYFUNCTION("""COMPUTED_VALUE"""),"128")</f>
        <v>128</v>
      </c>
      <c r="M883" s="1" t="str">
        <f>IFERROR(__xludf.DUMMYFUNCTION("""COMPUTED_VALUE"""),"PALIGAWAN MATANDA")</f>
        <v>PALIGAWAN MATANDA</v>
      </c>
      <c r="N883" s="1"/>
      <c r="O883" s="1"/>
      <c r="P883" s="1"/>
      <c r="Q883" s="1" t="str">
        <f>IFERROR(__xludf.DUMMYFUNCTION("""COMPUTED_VALUE"""),"LANTIC")</f>
        <v>LANTIC</v>
      </c>
      <c r="R883" s="1" t="str">
        <f>IFERROR(__xludf.DUMMYFUNCTION("""COMPUTED_VALUE"""),"CARMONA")</f>
        <v>CARMONA</v>
      </c>
      <c r="S883" s="1" t="str">
        <f>IFERROR(__xludf.DUMMYFUNCTION("""COMPUTED_VALUE"""),"CAVITE")</f>
        <v>CAVITE</v>
      </c>
      <c r="T883" s="1" t="str">
        <f>IFERROR(__xludf.DUMMYFUNCTION("""COMPUTED_VALUE"""),"FIBR UNLI ALL PLAN 999")</f>
        <v>FIBR UNLI ALL PLAN 999</v>
      </c>
      <c r="U883" s="1" t="str">
        <f>IFERROR(__xludf.DUMMYFUNCTION("""COMPUTED_VALUE"""),"APPROVED")</f>
        <v>APPROVED</v>
      </c>
      <c r="V883" s="1"/>
      <c r="W883" s="1"/>
    </row>
    <row r="884" customHeight="1" spans="1:23">
      <c r="A884" s="3">
        <f>IFERROR(__xludf.DUMMYFUNCTION("""COMPUTED_VALUE"""),46100)</f>
        <v>46100</v>
      </c>
      <c r="B884" s="1" t="str">
        <f>IFERROR(__xludf.DUMMYFUNCTION("""COMPUTED_VALUE"""),"REMOLLO, LEA")</f>
        <v>REMOLLO, LEA</v>
      </c>
      <c r="C884" s="1" t="str">
        <f>IFERROR(__xludf.DUMMYFUNCTION("""COMPUTED_VALUE"""),"FLA")</f>
        <v>FLA</v>
      </c>
      <c r="D884" s="1" t="str">
        <f>IFERROR(__xludf.DUMMYFUNCTION("""COMPUTED_VALUE"""),"JERIC NAVARRO")</f>
        <v>JERIC NAVARRO</v>
      </c>
      <c r="E884" s="1" t="str">
        <f>IFERROR(__xludf.DUMMYFUNCTION("""COMPUTED_VALUE"""),"PLDT")</f>
        <v>PLDT</v>
      </c>
      <c r="F884" s="1">
        <f>IFERROR(__xludf.DUMMYFUNCTION("""COMPUTED_VALUE"""),2308354512)</f>
        <v>2308354512</v>
      </c>
      <c r="G884" s="1"/>
      <c r="H884" s="1" t="str">
        <f>IFERROR(__xludf.DUMMYFUNCTION("""COMPUTED_VALUE"""),"JULIUS 11 ARCIBAL RAMOS")</f>
        <v>JULIUS 11 ARCIBAL RAMOS</v>
      </c>
      <c r="I884" s="1">
        <f>IFERROR(__xludf.DUMMYFUNCTION("""COMPUTED_VALUE"""),9700527115)</f>
        <v>9700527115</v>
      </c>
      <c r="J884" s="1"/>
      <c r="K884" s="1" t="str">
        <f>IFERROR(__xludf.DUMMYFUNCTION("""COMPUTED_VALUE"""),"RAMOS11JULIUS@GMAIL.COM")</f>
        <v>RAMOS11JULIUS@GMAIL.COM</v>
      </c>
      <c r="L884" s="1" t="str">
        <f>IFERROR(__xludf.DUMMYFUNCTION("""COMPUTED_VALUE"""),"9011")</f>
        <v>9011</v>
      </c>
      <c r="M884" s="1" t="str">
        <f>IFERROR(__xludf.DUMMYFUNCTION("""COMPUTED_VALUE"""),"NORTH SABUTAN")</f>
        <v>NORTH SABUTAN</v>
      </c>
      <c r="N884" s="1"/>
      <c r="O884" s="1"/>
      <c r="P884" s="1"/>
      <c r="Q884" s="1" t="str">
        <f>IFERROR(__xludf.DUMMYFUNCTION("""COMPUTED_VALUE"""),"SABUTAN")</f>
        <v>SABUTAN</v>
      </c>
      <c r="R884" s="1" t="str">
        <f>IFERROR(__xludf.DUMMYFUNCTION("""COMPUTED_VALUE"""),"SILANG")</f>
        <v>SILANG</v>
      </c>
      <c r="S884" s="1" t="str">
        <f>IFERROR(__xludf.DUMMYFUNCTION("""COMPUTED_VALUE"""),"CAVITE")</f>
        <v>CAVITE</v>
      </c>
      <c r="T884" s="1" t="str">
        <f>IFERROR(__xludf.DUMMYFUNCTION("""COMPUTED_VALUE"""),"FIBR UNLI ALL PLAN 1399")</f>
        <v>FIBR UNLI ALL PLAN 1399</v>
      </c>
      <c r="U884" s="1" t="str">
        <f>IFERROR(__xludf.DUMMYFUNCTION("""COMPUTED_VALUE"""),"APPROVED")</f>
        <v>APPROVED</v>
      </c>
      <c r="V884" s="1"/>
      <c r="W884" s="1"/>
    </row>
    <row r="885" customHeight="1" spans="1:23">
      <c r="A885" s="3">
        <f>IFERROR(__xludf.DUMMYFUNCTION("""COMPUTED_VALUE"""),46100)</f>
        <v>46100</v>
      </c>
      <c r="B885" s="1" t="str">
        <f>IFERROR(__xludf.DUMMYFUNCTION("""COMPUTED_VALUE"""),"MAGDARAOG, KENNETH")</f>
        <v>MAGDARAOG, KENNETH</v>
      </c>
      <c r="C885" s="1" t="str">
        <f>IFERROR(__xludf.DUMMYFUNCTION("""COMPUTED_VALUE"""),"ORGANIC")</f>
        <v>ORGANIC</v>
      </c>
      <c r="D885" s="1" t="str">
        <f>IFERROR(__xludf.DUMMYFUNCTION("""COMPUTED_VALUE"""),"ALINGARO, CINDY")</f>
        <v>ALINGARO, CINDY</v>
      </c>
      <c r="E885" s="1" t="str">
        <f>IFERROR(__xludf.DUMMYFUNCTION("""COMPUTED_VALUE"""),"PLDT")</f>
        <v>PLDT</v>
      </c>
      <c r="F885" s="1">
        <f>IFERROR(__xludf.DUMMYFUNCTION("""COMPUTED_VALUE"""),2308355216)</f>
        <v>2308355216</v>
      </c>
      <c r="G885" s="1"/>
      <c r="H885" s="1" t="str">
        <f>IFERROR(__xludf.DUMMYFUNCTION("""COMPUTED_VALUE"""),"NICOLE YRAGON CONOS")</f>
        <v>NICOLE YRAGON CONOS</v>
      </c>
      <c r="I885" s="1">
        <f>IFERROR(__xludf.DUMMYFUNCTION("""COMPUTED_VALUE"""),9297320913)</f>
        <v>9297320913</v>
      </c>
      <c r="J885" s="1">
        <f>IFERROR(__xludf.DUMMYFUNCTION("""COMPUTED_VALUE"""),9603052228)</f>
        <v>9603052228</v>
      </c>
      <c r="K885" s="1" t="str">
        <f>IFERROR(__xludf.DUMMYFUNCTION("""COMPUTED_VALUE"""),"NICOLECONOS446@GMAIL.COM")</f>
        <v>NICOLECONOS446@GMAIL.COM</v>
      </c>
      <c r="L885" s="1" t="str">
        <f>IFERROR(__xludf.DUMMYFUNCTION("""COMPUTED_VALUE"""),"168")</f>
        <v>168</v>
      </c>
      <c r="M885" s="1" t="str">
        <f>IFERROR(__xludf.DUMMYFUNCTION("""COMPUTED_VALUE"""),"PALIGAWAN MATANDA")</f>
        <v>PALIGAWAN MATANDA</v>
      </c>
      <c r="N885" s="1"/>
      <c r="O885" s="1"/>
      <c r="P885" s="1"/>
      <c r="Q885" s="1" t="str">
        <f>IFERROR(__xludf.DUMMYFUNCTION("""COMPUTED_VALUE"""),"LANTIC")</f>
        <v>LANTIC</v>
      </c>
      <c r="R885" s="1" t="str">
        <f>IFERROR(__xludf.DUMMYFUNCTION("""COMPUTED_VALUE"""),"CARMONA")</f>
        <v>CARMONA</v>
      </c>
      <c r="S885" s="1" t="str">
        <f>IFERROR(__xludf.DUMMYFUNCTION("""COMPUTED_VALUE"""),"CAVITE")</f>
        <v>CAVITE</v>
      </c>
      <c r="T885" s="1" t="str">
        <f>IFERROR(__xludf.DUMMYFUNCTION("""COMPUTED_VALUE"""),"PREPAID FIBER UNLI")</f>
        <v>PREPAID FIBER UNLI</v>
      </c>
      <c r="U885" s="1" t="str">
        <f>IFERROR(__xludf.DUMMYFUNCTION("""COMPUTED_VALUE"""),"APPROVED")</f>
        <v>APPROVED</v>
      </c>
      <c r="V885" s="1"/>
      <c r="W885" s="1"/>
    </row>
    <row r="886" customHeight="1" spans="1:23">
      <c r="A886" s="3">
        <f>IFERROR(__xludf.DUMMYFUNCTION("""COMPUTED_VALUE"""),46100)</f>
        <v>46100</v>
      </c>
      <c r="B886" s="1" t="str">
        <f>IFERROR(__xludf.DUMMYFUNCTION("""COMPUTED_VALUE"""),"REMOLLO, LEA")</f>
        <v>REMOLLO, LEA</v>
      </c>
      <c r="C886" s="1" t="str">
        <f>IFERROR(__xludf.DUMMYFUNCTION("""COMPUTED_VALUE"""),"FLA")</f>
        <v>FLA</v>
      </c>
      <c r="D886" s="1" t="str">
        <f>IFERROR(__xludf.DUMMYFUNCTION("""COMPUTED_VALUE"""),"JERIC NAVARRO")</f>
        <v>JERIC NAVARRO</v>
      </c>
      <c r="E886" s="1" t="str">
        <f>IFERROR(__xludf.DUMMYFUNCTION("""COMPUTED_VALUE"""),"PLDT")</f>
        <v>PLDT</v>
      </c>
      <c r="F886" s="1">
        <f>IFERROR(__xludf.DUMMYFUNCTION("""COMPUTED_VALUE"""),2308356316)</f>
        <v>2308356316</v>
      </c>
      <c r="G886" s="1"/>
      <c r="H886" s="1" t="str">
        <f>IFERROR(__xludf.DUMMYFUNCTION("""COMPUTED_VALUE"""),"MA. ELIZABETH PEDRENO DELA MERCED")</f>
        <v>MA. ELIZABETH PEDRENO DELA MERCED</v>
      </c>
      <c r="I886" s="1">
        <f>IFERROR(__xludf.DUMMYFUNCTION("""COMPUTED_VALUE"""),9166545315)</f>
        <v>9166545315</v>
      </c>
      <c r="J886" s="1"/>
      <c r="K886" s="1" t="str">
        <f>IFERROR(__xludf.DUMMYFUNCTION("""COMPUTED_VALUE"""),"LIZLAMERCED123@GMAIL.COM")</f>
        <v>LIZLAMERCED123@GMAIL.COM</v>
      </c>
      <c r="L886" s="1" t="str">
        <f>IFERROR(__xludf.DUMMYFUNCTION("""COMPUTED_VALUE"""),"BLK 4 LOT 1")</f>
        <v>BLK 4 LOT 1</v>
      </c>
      <c r="M886" s="1" t="str">
        <f>IFERROR(__xludf.DUMMYFUNCTION("""COMPUTED_VALUE"""),"GAUDENCE VILLE")</f>
        <v>GAUDENCE VILLE</v>
      </c>
      <c r="N886" s="1"/>
      <c r="O886" s="1"/>
      <c r="P886" s="1"/>
      <c r="Q886" s="1" t="str">
        <f>IFERROR(__xludf.DUMMYFUNCTION("""COMPUTED_VALUE"""),"SABUTAN")</f>
        <v>SABUTAN</v>
      </c>
      <c r="R886" s="1" t="str">
        <f>IFERROR(__xludf.DUMMYFUNCTION("""COMPUTED_VALUE"""),"SILANG")</f>
        <v>SILANG</v>
      </c>
      <c r="S886" s="1" t="str">
        <f>IFERROR(__xludf.DUMMYFUNCTION("""COMPUTED_VALUE"""),"CAVITE")</f>
        <v>CAVITE</v>
      </c>
      <c r="T886" s="1" t="str">
        <f>IFERROR(__xludf.DUMMYFUNCTION("""COMPUTED_VALUE"""),"PREPAID FIBER UNLI")</f>
        <v>PREPAID FIBER UNLI</v>
      </c>
      <c r="U886" s="1" t="str">
        <f>IFERROR(__xludf.DUMMYFUNCTION("""COMPUTED_VALUE"""),"APPROVED")</f>
        <v>APPROVED</v>
      </c>
      <c r="V886" s="1"/>
      <c r="W886" s="1"/>
    </row>
    <row r="887" customHeight="1" spans="1:23">
      <c r="A887" s="3">
        <f>IFERROR(__xludf.DUMMYFUNCTION("""COMPUTED_VALUE"""),46100)</f>
        <v>46100</v>
      </c>
      <c r="B887" s="1" t="str">
        <f>IFERROR(__xludf.DUMMYFUNCTION("""COMPUTED_VALUE"""),"DE VERA, MARIVIC")</f>
        <v>DE VERA, MARIVIC</v>
      </c>
      <c r="C887" s="1" t="str">
        <f>IFERROR(__xludf.DUMMYFUNCTION("""COMPUTED_VALUE"""),"ORGANIC")</f>
        <v>ORGANIC</v>
      </c>
      <c r="D887" s="1" t="str">
        <f>IFERROR(__xludf.DUMMYFUNCTION("""COMPUTED_VALUE"""),"ALINGARO, CINDY")</f>
        <v>ALINGARO, CINDY</v>
      </c>
      <c r="E887" s="1" t="str">
        <f>IFERROR(__xludf.DUMMYFUNCTION("""COMPUTED_VALUE"""),"PLDT")</f>
        <v>PLDT</v>
      </c>
      <c r="F887" s="1">
        <f>IFERROR(__xludf.DUMMYFUNCTION("""COMPUTED_VALUE"""),2308356905)</f>
        <v>2308356905</v>
      </c>
      <c r="G887" s="1"/>
      <c r="H887" s="1" t="str">
        <f>IFERROR(__xludf.DUMMYFUNCTION("""COMPUTED_VALUE"""),"ANNABELLE LUCENA DOMISINAC")</f>
        <v>ANNABELLE LUCENA DOMISINAC</v>
      </c>
      <c r="I887" s="1">
        <f>IFERROR(__xludf.DUMMYFUNCTION("""COMPUTED_VALUE"""),9676623733)</f>
        <v>9676623733</v>
      </c>
      <c r="J887" s="1">
        <f>IFERROR(__xludf.DUMMYFUNCTION("""COMPUTED_VALUE"""),9514775804)</f>
        <v>9514775804</v>
      </c>
      <c r="K887" s="1" t="str">
        <f>IFERROR(__xludf.DUMMYFUNCTION("""COMPUTED_VALUE"""),"LUMOSADKRIS@MAIL.COM")</f>
        <v>LUMOSADKRIS@MAIL.COM</v>
      </c>
      <c r="L887" s="1" t="str">
        <f>IFERROR(__xludf.DUMMYFUNCTION("""COMPUTED_VALUE"""),"BLK 2 LOT 11")</f>
        <v>BLK 2 LOT 11</v>
      </c>
      <c r="M887" s="1" t="str">
        <f>IFERROR(__xludf.DUMMYFUNCTION("""COMPUTED_VALUE"""),"PALIGAWAN MATANDA")</f>
        <v>PALIGAWAN MATANDA</v>
      </c>
      <c r="N887" s="1"/>
      <c r="O887" s="1"/>
      <c r="P887" s="1"/>
      <c r="Q887" s="1" t="str">
        <f>IFERROR(__xludf.DUMMYFUNCTION("""COMPUTED_VALUE"""),"LANTIC")</f>
        <v>LANTIC</v>
      </c>
      <c r="R887" s="1" t="str">
        <f>IFERROR(__xludf.DUMMYFUNCTION("""COMPUTED_VALUE"""),"CARMONA")</f>
        <v>CARMONA</v>
      </c>
      <c r="S887" s="1" t="str">
        <f>IFERROR(__xludf.DUMMYFUNCTION("""COMPUTED_VALUE"""),"CAVITE")</f>
        <v>CAVITE</v>
      </c>
      <c r="T887" s="1" t="str">
        <f>IFERROR(__xludf.DUMMYFUNCTION("""COMPUTED_VALUE"""),"FIBR UNLI ALL PLAN 1399")</f>
        <v>FIBR UNLI ALL PLAN 1399</v>
      </c>
      <c r="U887" s="1" t="str">
        <f>IFERROR(__xludf.DUMMYFUNCTION("""COMPUTED_VALUE"""),"APPROVED")</f>
        <v>APPROVED</v>
      </c>
      <c r="V887" s="1"/>
      <c r="W887" s="1"/>
    </row>
    <row r="888" customHeight="1" spans="1:23">
      <c r="A888" s="3">
        <f>IFERROR(__xludf.DUMMYFUNCTION("""COMPUTED_VALUE"""),46100)</f>
        <v>46100</v>
      </c>
      <c r="B888" s="1" t="str">
        <f>IFERROR(__xludf.DUMMYFUNCTION("""COMPUTED_VALUE"""),"DE LEON, MERLY")</f>
        <v>DE LEON, MERLY</v>
      </c>
      <c r="C888" s="1" t="str">
        <f>IFERROR(__xludf.DUMMYFUNCTION("""COMPUTED_VALUE"""),"ORGANIC")</f>
        <v>ORGANIC</v>
      </c>
      <c r="D888" s="1" t="str">
        <f>IFERROR(__xludf.DUMMYFUNCTION("""COMPUTED_VALUE"""),"ALINGARO, CINDY")</f>
        <v>ALINGARO, CINDY</v>
      </c>
      <c r="E888" s="1" t="str">
        <f>IFERROR(__xludf.DUMMYFUNCTION("""COMPUTED_VALUE"""),"PLDT")</f>
        <v>PLDT</v>
      </c>
      <c r="F888" s="1">
        <f>IFERROR(__xludf.DUMMYFUNCTION("""COMPUTED_VALUE"""),2308357330)</f>
        <v>2308357330</v>
      </c>
      <c r="G888" s="1"/>
      <c r="H888" s="1" t="str">
        <f>IFERROR(__xludf.DUMMYFUNCTION("""COMPUTED_VALUE"""),"IVY AMPER LIBATON ")</f>
        <v>IVY AMPER LIBATON </v>
      </c>
      <c r="I888" s="1">
        <f>IFERROR(__xludf.DUMMYFUNCTION("""COMPUTED_VALUE"""),938299725)</f>
        <v>938299725</v>
      </c>
      <c r="J888" s="1"/>
      <c r="K888" s="1" t="str">
        <f>IFERROR(__xludf.DUMMYFUNCTION("""COMPUTED_VALUE"""),"LIBATANJUNVIC45@GMAIL.COM")</f>
        <v>LIBATANJUNVIC45@GMAIL.COM</v>
      </c>
      <c r="L888" s="1" t="str">
        <f>IFERROR(__xludf.DUMMYFUNCTION("""COMPUTED_VALUE"""),"BLK 17 LOT 18")</f>
        <v>BLK 17 LOT 18</v>
      </c>
      <c r="M888" s="1" t="str">
        <f>IFERROR(__xludf.DUMMYFUNCTION("""COMPUTED_VALUE"""),"PALIGAWAN MATANDA")</f>
        <v>PALIGAWAN MATANDA</v>
      </c>
      <c r="N888" s="1"/>
      <c r="O888" s="1"/>
      <c r="P888" s="1"/>
      <c r="Q888" s="1" t="str">
        <f>IFERROR(__xludf.DUMMYFUNCTION("""COMPUTED_VALUE"""),"LANTIC")</f>
        <v>LANTIC</v>
      </c>
      <c r="R888" s="1" t="str">
        <f>IFERROR(__xludf.DUMMYFUNCTION("""COMPUTED_VALUE"""),"CARMONA")</f>
        <v>CARMONA</v>
      </c>
      <c r="S888" s="1" t="str">
        <f>IFERROR(__xludf.DUMMYFUNCTION("""COMPUTED_VALUE"""),"CAVITE")</f>
        <v>CAVITE</v>
      </c>
      <c r="T888" s="1" t="str">
        <f>IFERROR(__xludf.DUMMYFUNCTION("""COMPUTED_VALUE"""),"PREPAID FIBER UNLI")</f>
        <v>PREPAID FIBER UNLI</v>
      </c>
      <c r="U888" s="1" t="str">
        <f>IFERROR(__xludf.DUMMYFUNCTION("""COMPUTED_VALUE"""),"APPROVED")</f>
        <v>APPROVED</v>
      </c>
      <c r="V888" s="1"/>
      <c r="W888" s="1"/>
    </row>
    <row r="889" customHeight="1" spans="1:23">
      <c r="A889" s="3">
        <f>IFERROR(__xludf.DUMMYFUNCTION("""COMPUTED_VALUE"""),46100)</f>
        <v>46100</v>
      </c>
      <c r="B889" s="1" t="str">
        <f>IFERROR(__xludf.DUMMYFUNCTION("""COMPUTED_VALUE"""),"AYON MANUEL")</f>
        <v>AYON MANUEL</v>
      </c>
      <c r="C889" s="1" t="str">
        <f>IFERROR(__xludf.DUMMYFUNCTION("""COMPUTED_VALUE"""),"FLA")</f>
        <v>FLA</v>
      </c>
      <c r="D889" s="1" t="str">
        <f>IFERROR(__xludf.DUMMYFUNCTION("""COMPUTED_VALUE"""),"JERIC NAVARRO")</f>
        <v>JERIC NAVARRO</v>
      </c>
      <c r="E889" s="1" t="str">
        <f>IFERROR(__xludf.DUMMYFUNCTION("""COMPUTED_VALUE"""),"PLDT")</f>
        <v>PLDT</v>
      </c>
      <c r="F889" s="1">
        <f>IFERROR(__xludf.DUMMYFUNCTION("""COMPUTED_VALUE"""),2308370881)</f>
        <v>2308370881</v>
      </c>
      <c r="G889" s="1"/>
      <c r="H889" s="1" t="str">
        <f>IFERROR(__xludf.DUMMYFUNCTION("""COMPUTED_VALUE"""),"SABORES RESTAURANT")</f>
        <v>SABORES RESTAURANT</v>
      </c>
      <c r="I889" s="1">
        <f>IFERROR(__xludf.DUMMYFUNCTION("""COMPUTED_VALUE"""),9369467235)</f>
        <v>9369467235</v>
      </c>
      <c r="J889" s="1">
        <f>IFERROR(__xludf.DUMMYFUNCTION("""COMPUTED_VALUE"""),9274412094)</f>
        <v>9274412094</v>
      </c>
      <c r="K889" s="1" t="str">
        <f>IFERROR(__xludf.DUMMYFUNCTION("""COMPUTED_VALUE"""),"SABORESDEPAWLOD@GMAIL.COM")</f>
        <v>SABORESDEPAWLOD@GMAIL.COM</v>
      </c>
      <c r="L889" s="1" t="str">
        <f>IFERROR(__xludf.DUMMYFUNCTION("""COMPUTED_VALUE"""),"KM42")</f>
        <v>KM42</v>
      </c>
      <c r="M889" s="1" t="str">
        <f>IFERROR(__xludf.DUMMYFUNCTION("""COMPUTED_VALUE"""),"BY PASS")</f>
        <v>BY PASS</v>
      </c>
      <c r="N889" s="1"/>
      <c r="O889" s="1"/>
      <c r="P889" s="1"/>
      <c r="Q889" s="1" t="str">
        <f>IFERROR(__xludf.DUMMYFUNCTION("""COMPUTED_VALUE"""),"LALAAN II")</f>
        <v>LALAAN II</v>
      </c>
      <c r="R889" s="1" t="str">
        <f>IFERROR(__xludf.DUMMYFUNCTION("""COMPUTED_VALUE"""),"SILANG")</f>
        <v>SILANG</v>
      </c>
      <c r="S889" s="1" t="str">
        <f>IFERROR(__xludf.DUMMYFUNCTION("""COMPUTED_VALUE"""),"CAVITE")</f>
        <v>CAVITE</v>
      </c>
      <c r="T889" s="1" t="str">
        <f>IFERROR(__xludf.DUMMYFUNCTION("""COMPUTED_VALUE"""),"HOME BIZ PLAN 1699")</f>
        <v>HOME BIZ PLAN 1699</v>
      </c>
      <c r="U889" s="1" t="str">
        <f>IFERROR(__xludf.DUMMYFUNCTION("""COMPUTED_VALUE"""),"APPROVED")</f>
        <v>APPROVED</v>
      </c>
      <c r="V889" s="1"/>
      <c r="W889" s="1"/>
    </row>
    <row r="890" customHeight="1" spans="1:23">
      <c r="A890" s="3">
        <f>IFERROR(__xludf.DUMMYFUNCTION("""COMPUTED_VALUE"""),46100)</f>
        <v>46100</v>
      </c>
      <c r="B890" s="1" t="str">
        <f>IFERROR(__xludf.DUMMYFUNCTION("""COMPUTED_VALUE"""),"ALINGARO, CINDY")</f>
        <v>ALINGARO, CINDY</v>
      </c>
      <c r="C890" s="1" t="str">
        <f>IFERROR(__xludf.DUMMYFUNCTION("""COMPUTED_VALUE"""),"FLA")</f>
        <v>FLA</v>
      </c>
      <c r="D890" s="1" t="str">
        <f>IFERROR(__xludf.DUMMYFUNCTION("""COMPUTED_VALUE"""),"JERIC NAVARRO")</f>
        <v>JERIC NAVARRO</v>
      </c>
      <c r="E890" s="1" t="str">
        <f>IFERROR(__xludf.DUMMYFUNCTION("""COMPUTED_VALUE"""),"PLDT")</f>
        <v>PLDT</v>
      </c>
      <c r="F890" s="1">
        <f>IFERROR(__xludf.DUMMYFUNCTION("""COMPUTED_VALUE"""),2308359052)</f>
        <v>2308359052</v>
      </c>
      <c r="G890" s="1"/>
      <c r="H890" s="1" t="str">
        <f>IFERROR(__xludf.DUMMYFUNCTION("""COMPUTED_VALUE"""),"MICHELLE HERMOSO LUGAR")</f>
        <v>MICHELLE HERMOSO LUGAR</v>
      </c>
      <c r="I890" s="1">
        <f>IFERROR(__xludf.DUMMYFUNCTION("""COMPUTED_VALUE"""),9675807475)</f>
        <v>9675807475</v>
      </c>
      <c r="J890" s="1"/>
      <c r="K890" s="1" t="str">
        <f>IFERROR(__xludf.DUMMYFUNCTION("""COMPUTED_VALUE"""),"BELBESLIAM29@GMAIL.COM")</f>
        <v>BELBESLIAM29@GMAIL.COM</v>
      </c>
      <c r="L890" s="1" t="str">
        <f>IFERROR(__xludf.DUMMYFUNCTION("""COMPUTED_VALUE"""),"BLK 8 LOT 109")</f>
        <v>BLK 8 LOT 109</v>
      </c>
      <c r="M890" s="1" t="str">
        <f>IFERROR(__xludf.DUMMYFUNCTION("""COMPUTED_VALUE"""),"POBLACION RD")</f>
        <v>POBLACION RD</v>
      </c>
      <c r="N890" s="1"/>
      <c r="O890" s="1"/>
      <c r="P890" s="1"/>
      <c r="Q890" s="1" t="str">
        <f>IFERROR(__xludf.DUMMYFUNCTION("""COMPUTED_VALUE"""),"BARANGAY 5 POBLACION")</f>
        <v>BARANGAY 5 POBLACION</v>
      </c>
      <c r="R890" s="1" t="str">
        <f>IFERROR(__xludf.DUMMYFUNCTION("""COMPUTED_VALUE"""),"GEN MARIANO ALVAREZ")</f>
        <v>GEN MARIANO ALVAREZ</v>
      </c>
      <c r="S890" s="1" t="str">
        <f>IFERROR(__xludf.DUMMYFUNCTION("""COMPUTED_VALUE"""),"CAVITE")</f>
        <v>CAVITE</v>
      </c>
      <c r="T890" s="1" t="str">
        <f>IFERROR(__xludf.DUMMYFUNCTION("""COMPUTED_VALUE"""),"FIBR UNLI ALL PLAN 1399")</f>
        <v>FIBR UNLI ALL PLAN 1399</v>
      </c>
      <c r="U890" s="1" t="str">
        <f>IFERROR(__xludf.DUMMYFUNCTION("""COMPUTED_VALUE"""),"APPROVED")</f>
        <v>APPROVED</v>
      </c>
      <c r="V890" s="1"/>
      <c r="W890" s="1"/>
    </row>
    <row r="891" customHeight="1" spans="1:23">
      <c r="A891" s="3">
        <f>IFERROR(__xludf.DUMMYFUNCTION("""COMPUTED_VALUE"""),46100)</f>
        <v>46100</v>
      </c>
      <c r="B891" s="1" t="str">
        <f>IFERROR(__xludf.DUMMYFUNCTION("""COMPUTED_VALUE"""),"ALINGARO, CINDY")</f>
        <v>ALINGARO, CINDY</v>
      </c>
      <c r="C891" s="1" t="str">
        <f>IFERROR(__xludf.DUMMYFUNCTION("""COMPUTED_VALUE"""),"FLA")</f>
        <v>FLA</v>
      </c>
      <c r="D891" s="1" t="str">
        <f>IFERROR(__xludf.DUMMYFUNCTION("""COMPUTED_VALUE"""),"JERIC NAVARRO")</f>
        <v>JERIC NAVARRO</v>
      </c>
      <c r="E891" s="1" t="str">
        <f>IFERROR(__xludf.DUMMYFUNCTION("""COMPUTED_VALUE"""),"PLDT")</f>
        <v>PLDT</v>
      </c>
      <c r="F891" s="1">
        <f>IFERROR(__xludf.DUMMYFUNCTION("""COMPUTED_VALUE"""),2308359556)</f>
        <v>2308359556</v>
      </c>
      <c r="G891" s="1"/>
      <c r="H891" s="1" t="str">
        <f>IFERROR(__xludf.DUMMYFUNCTION("""COMPUTED_VALUE"""),"ARNEL CASPE ENCABO")</f>
        <v>ARNEL CASPE ENCABO</v>
      </c>
      <c r="I891" s="1">
        <f>IFERROR(__xludf.DUMMYFUNCTION("""COMPUTED_VALUE"""),9537826053)</f>
        <v>9537826053</v>
      </c>
      <c r="J891" s="1">
        <f>IFERROR(__xludf.DUMMYFUNCTION("""COMPUTED_VALUE"""),9152272480)</f>
        <v>9152272480</v>
      </c>
      <c r="K891" s="1" t="str">
        <f>IFERROR(__xludf.DUMMYFUNCTION("""COMPUTED_VALUE"""),"JUSTINEENCABO04@GMAIL.COM")</f>
        <v>JUSTINEENCABO04@GMAIL.COM</v>
      </c>
      <c r="L891" s="1" t="str">
        <f>IFERROR(__xludf.DUMMYFUNCTION("""COMPUTED_VALUE"""),"BLK 38 LOT 2")</f>
        <v>BLK 38 LOT 2</v>
      </c>
      <c r="M891" s="1" t="str">
        <f>IFERROR(__xludf.DUMMYFUNCTION("""COMPUTED_VALUE"""),"PHASE 6")</f>
        <v>PHASE 6</v>
      </c>
      <c r="N891" s="1"/>
      <c r="O891" s="1"/>
      <c r="P891" s="1"/>
      <c r="Q891" s="1" t="str">
        <f>IFERROR(__xludf.DUMMYFUNCTION("""COMPUTED_VALUE"""),"BANABA")</f>
        <v>BANABA</v>
      </c>
      <c r="R891" s="1" t="str">
        <f>IFERROR(__xludf.DUMMYFUNCTION("""COMPUTED_VALUE"""),"SILANG")</f>
        <v>SILANG</v>
      </c>
      <c r="S891" s="1" t="str">
        <f>IFERROR(__xludf.DUMMYFUNCTION("""COMPUTED_VALUE"""),"CAVITE")</f>
        <v>CAVITE</v>
      </c>
      <c r="T891" s="1" t="str">
        <f>IFERROR(__xludf.DUMMYFUNCTION("""COMPUTED_VALUE"""),"FIBR UNLI ALL PLAN 1399")</f>
        <v>FIBR UNLI ALL PLAN 1399</v>
      </c>
      <c r="U891" s="1" t="str">
        <f>IFERROR(__xludf.DUMMYFUNCTION("""COMPUTED_VALUE"""),"APPROVED")</f>
        <v>APPROVED</v>
      </c>
      <c r="V891" s="1"/>
      <c r="W891" s="1"/>
    </row>
    <row r="892" customHeight="1" spans="1:23">
      <c r="A892" s="3">
        <f>IFERROR(__xludf.DUMMYFUNCTION("""COMPUTED_VALUE"""),46101)</f>
        <v>46101</v>
      </c>
      <c r="B892" s="1" t="str">
        <f>IFERROR(__xludf.DUMMYFUNCTION("""COMPUTED_VALUE"""),"OPS IAN SUMILANG")</f>
        <v>OPS IAN SUMILANG</v>
      </c>
      <c r="C892" s="1" t="str">
        <f>IFERROR(__xludf.DUMMYFUNCTION("""COMPUTED_VALUE"""),"FLA")</f>
        <v>FLA</v>
      </c>
      <c r="D892" s="1" t="str">
        <f>IFERROR(__xludf.DUMMYFUNCTION("""COMPUTED_VALUE"""),"JERIC NAVARRO")</f>
        <v>JERIC NAVARRO</v>
      </c>
      <c r="E892" s="1" t="str">
        <f>IFERROR(__xludf.DUMMYFUNCTION("""COMPUTED_VALUE"""),"PLDT")</f>
        <v>PLDT</v>
      </c>
      <c r="F892" s="1">
        <f>IFERROR(__xludf.DUMMYFUNCTION("""COMPUTED_VALUE"""),2308368586)</f>
        <v>2308368586</v>
      </c>
      <c r="G892" s="1"/>
      <c r="H892" s="1" t="str">
        <f>IFERROR(__xludf.DUMMYFUNCTION("""COMPUTED_VALUE"""),"RUSSEL REVILLA PEREYRA")</f>
        <v>RUSSEL REVILLA PEREYRA</v>
      </c>
      <c r="I892" s="1">
        <f>IFERROR(__xludf.DUMMYFUNCTION("""COMPUTED_VALUE"""),9778366585)</f>
        <v>9778366585</v>
      </c>
      <c r="J892" s="1">
        <f>IFERROR(__xludf.DUMMYFUNCTION("""COMPUTED_VALUE"""),9176568772)</f>
        <v>9176568772</v>
      </c>
      <c r="K892" s="1" t="str">
        <f>IFERROR(__xludf.DUMMYFUNCTION("""COMPUTED_VALUE"""),"DISTRIBUTEECHPOWER.PH@YAHOO.COM")</f>
        <v>DISTRIBUTEECHPOWER.PH@YAHOO.COM</v>
      </c>
      <c r="L892" s="1" t="str">
        <f>IFERROR(__xludf.DUMMYFUNCTION("""COMPUTED_VALUE"""),"3")</f>
        <v>3</v>
      </c>
      <c r="M892" s="1" t="str">
        <f>IFERROR(__xludf.DUMMYFUNCTION("""COMPUTED_VALUE"""),"CENTENNIAL RD")</f>
        <v>CENTENNIAL RD</v>
      </c>
      <c r="N892" s="1" t="str">
        <f>IFERROR(__xludf.DUMMYFUNCTION("""COMPUTED_VALUE"""),"ASJ BUILDING")</f>
        <v>ASJ BUILDING</v>
      </c>
      <c r="O892" s="1"/>
      <c r="P892" s="1"/>
      <c r="Q892" s="1" t="str">
        <f>IFERROR(__xludf.DUMMYFUNCTION("""COMPUTED_VALUE"""),"BATONG DALIG")</f>
        <v>BATONG DALIG</v>
      </c>
      <c r="R892" s="1" t="str">
        <f>IFERROR(__xludf.DUMMYFUNCTION("""COMPUTED_VALUE"""),"KAWIT")</f>
        <v>KAWIT</v>
      </c>
      <c r="S892" s="1" t="str">
        <f>IFERROR(__xludf.DUMMYFUNCTION("""COMPUTED_VALUE"""),"CAVITE")</f>
        <v>CAVITE</v>
      </c>
      <c r="T892" s="1" t="str">
        <f>IFERROR(__xludf.DUMMYFUNCTION("""COMPUTED_VALUE"""),"FIBR UNLI ALL PLAN 1799")</f>
        <v>FIBR UNLI ALL PLAN 1799</v>
      </c>
      <c r="U892" s="1" t="str">
        <f>IFERROR(__xludf.DUMMYFUNCTION("""COMPUTED_VALUE"""),"APPROVED")</f>
        <v>APPROVED</v>
      </c>
      <c r="V892" s="1"/>
      <c r="W892" s="1"/>
    </row>
    <row r="893" customHeight="1" spans="1:23">
      <c r="A893" s="3">
        <f>IFERROR(__xludf.DUMMYFUNCTION("""COMPUTED_VALUE"""),46101)</f>
        <v>46101</v>
      </c>
      <c r="B893" s="1" t="str">
        <f>IFERROR(__xludf.DUMMYFUNCTION("""COMPUTED_VALUE"""),"MAGDARAOG, KENNETH")</f>
        <v>MAGDARAOG, KENNETH</v>
      </c>
      <c r="C893" s="1" t="str">
        <f>IFERROR(__xludf.DUMMYFUNCTION("""COMPUTED_VALUE"""),"ORGANIC")</f>
        <v>ORGANIC</v>
      </c>
      <c r="D893" s="1" t="str">
        <f>IFERROR(__xludf.DUMMYFUNCTION("""COMPUTED_VALUE"""),"ALINGARO, CINDY")</f>
        <v>ALINGARO, CINDY</v>
      </c>
      <c r="E893" s="1" t="str">
        <f>IFERROR(__xludf.DUMMYFUNCTION("""COMPUTED_VALUE"""),"PLDT")</f>
        <v>PLDT</v>
      </c>
      <c r="F893" s="1">
        <f>IFERROR(__xludf.DUMMYFUNCTION("""COMPUTED_VALUE"""),2308375788)</f>
        <v>2308375788</v>
      </c>
      <c r="G893" s="1"/>
      <c r="H893" s="1" t="str">
        <f>IFERROR(__xludf.DUMMYFUNCTION("""COMPUTED_VALUE"""),"ELLA MAE VILLAFLOR DELOS SANTOS")</f>
        <v>ELLA MAE VILLAFLOR DELOS SANTOS</v>
      </c>
      <c r="I893" s="1">
        <f>IFERROR(__xludf.DUMMYFUNCTION("""COMPUTED_VALUE"""),9060656044)</f>
        <v>9060656044</v>
      </c>
      <c r="J893" s="1"/>
      <c r="K893" s="1" t="str">
        <f>IFERROR(__xludf.DUMMYFUNCTION("""COMPUTED_VALUE"""),"ELLAMAEDELOSSANTOS5280@GMAIL.COM")</f>
        <v>ELLAMAEDELOSSANTOS5280@GMAIL.COM</v>
      </c>
      <c r="L893" s="1" t="str">
        <f>IFERROR(__xludf.DUMMYFUNCTION("""COMPUTED_VALUE"""),"BLK 68 EXC LOT")</f>
        <v>BLK 68 EXC LOT</v>
      </c>
      <c r="M893" s="1" t="str">
        <f>IFERROR(__xludf.DUMMYFUNCTION("""COMPUTED_VALUE"""),"EXC LOT")</f>
        <v>EXC LOT</v>
      </c>
      <c r="N893" s="1"/>
      <c r="O893" s="1"/>
      <c r="P893" s="1"/>
      <c r="Q893" s="1" t="str">
        <f>IFERROR(__xludf.DUMMYFUNCTION("""COMPUTED_VALUE"""),"VICTORIA REYES")</f>
        <v>VICTORIA REYES</v>
      </c>
      <c r="R893" s="1" t="str">
        <f>IFERROR(__xludf.DUMMYFUNCTION("""COMPUTED_VALUE"""),"DASMARINAS")</f>
        <v>DASMARINAS</v>
      </c>
      <c r="S893" s="1" t="str">
        <f>IFERROR(__xludf.DUMMYFUNCTION("""COMPUTED_VALUE"""),"CAVITE")</f>
        <v>CAVITE</v>
      </c>
      <c r="T893" s="1" t="str">
        <f>IFERROR(__xludf.DUMMYFUNCTION("""COMPUTED_VALUE"""),"RED PLAN 1000")</f>
        <v>RED PLAN 1000</v>
      </c>
      <c r="U893" s="1" t="str">
        <f>IFERROR(__xludf.DUMMYFUNCTION("""COMPUTED_VALUE"""),"APPROVED")</f>
        <v>APPROVED</v>
      </c>
      <c r="V893" s="1"/>
      <c r="W893" s="1"/>
    </row>
    <row r="894" customHeight="1" spans="1:23">
      <c r="A894" s="3">
        <f>IFERROR(__xludf.DUMMYFUNCTION("""COMPUTED_VALUE"""),46101)</f>
        <v>46101</v>
      </c>
      <c r="B894" s="1" t="str">
        <f>IFERROR(__xludf.DUMMYFUNCTION("""COMPUTED_VALUE"""),"CONCEPCION, ALJAY")</f>
        <v>CONCEPCION, ALJAY</v>
      </c>
      <c r="C894" s="1" t="str">
        <f>IFERROR(__xludf.DUMMYFUNCTION("""COMPUTED_VALUE"""),"ORGANIC")</f>
        <v>ORGANIC</v>
      </c>
      <c r="D894" s="1" t="str">
        <f>IFERROR(__xludf.DUMMYFUNCTION("""COMPUTED_VALUE"""),"ALINGARO, CINDY")</f>
        <v>ALINGARO, CINDY</v>
      </c>
      <c r="E894" s="1" t="str">
        <f>IFERROR(__xludf.DUMMYFUNCTION("""COMPUTED_VALUE"""),"PLDT")</f>
        <v>PLDT</v>
      </c>
      <c r="F894" s="1">
        <f>IFERROR(__xludf.DUMMYFUNCTION("""COMPUTED_VALUE"""),2308371044)</f>
        <v>2308371044</v>
      </c>
      <c r="G894" s="1"/>
      <c r="H894" s="1" t="str">
        <f>IFERROR(__xludf.DUMMYFUNCTION("""COMPUTED_VALUE"""),"MERLINDA NATANAUAN CALIW-CALIW")</f>
        <v>MERLINDA NATANAUAN CALIW-CALIW</v>
      </c>
      <c r="I894" s="1">
        <f>IFERROR(__xludf.DUMMYFUNCTION("""COMPUTED_VALUE"""),9931376420)</f>
        <v>9931376420</v>
      </c>
      <c r="J894" s="1">
        <f>IFERROR(__xludf.DUMMYFUNCTION("""COMPUTED_VALUE"""),9999438518)</f>
        <v>9999438518</v>
      </c>
      <c r="K894" s="1" t="str">
        <f>IFERROR(__xludf.DUMMYFUNCTION("""COMPUTED_VALUE"""),"CALIWCALIWMERLINDA5@GMAIL.COM")</f>
        <v>CALIWCALIWMERLINDA5@GMAIL.COM</v>
      </c>
      <c r="L894" s="1" t="str">
        <f>IFERROR(__xludf.DUMMYFUNCTION("""COMPUTED_VALUE"""),"57")</f>
        <v>57</v>
      </c>
      <c r="M894" s="1" t="str">
        <f>IFERROR(__xludf.DUMMYFUNCTION("""COMPUTED_VALUE"""),"SITIO MUZON")</f>
        <v>SITIO MUZON</v>
      </c>
      <c r="N894" s="1"/>
      <c r="O894" s="1"/>
      <c r="P894" s="1"/>
      <c r="Q894" s="1" t="str">
        <f>IFERROR(__xludf.DUMMYFUNCTION("""COMPUTED_VALUE"""),"PUTING KAHOY")</f>
        <v>PUTING KAHOY</v>
      </c>
      <c r="R894" s="1" t="str">
        <f>IFERROR(__xludf.DUMMYFUNCTION("""COMPUTED_VALUE"""),"SILANG")</f>
        <v>SILANG</v>
      </c>
      <c r="S894" s="1" t="str">
        <f>IFERROR(__xludf.DUMMYFUNCTION("""COMPUTED_VALUE"""),"CAVITE")</f>
        <v>CAVITE</v>
      </c>
      <c r="T894" s="1" t="str">
        <f>IFERROR(__xludf.DUMMYFUNCTION("""COMPUTED_VALUE"""),"FIBR PLAN 1299")</f>
        <v>FIBR PLAN 1299</v>
      </c>
      <c r="U894" s="1" t="str">
        <f>IFERROR(__xludf.DUMMYFUNCTION("""COMPUTED_VALUE"""),"APPROVED")</f>
        <v>APPROVED</v>
      </c>
      <c r="V894" s="1"/>
      <c r="W894" s="1"/>
    </row>
    <row r="895" customHeight="1" spans="1:23">
      <c r="A895" s="3">
        <f>IFERROR(__xludf.DUMMYFUNCTION("""COMPUTED_VALUE"""),46101)</f>
        <v>46101</v>
      </c>
      <c r="B895" s="1" t="str">
        <f>IFERROR(__xludf.DUMMYFUNCTION("""COMPUTED_VALUE"""),"GABAY, MANUEL")</f>
        <v>GABAY, MANUEL</v>
      </c>
      <c r="C895" s="1" t="str">
        <f>IFERROR(__xludf.DUMMYFUNCTION("""COMPUTED_VALUE"""),"FLA")</f>
        <v>FLA</v>
      </c>
      <c r="D895" s="1" t="str">
        <f>IFERROR(__xludf.DUMMYFUNCTION("""COMPUTED_VALUE"""),"JERIC NAVARRO")</f>
        <v>JERIC NAVARRO</v>
      </c>
      <c r="E895" s="1" t="str">
        <f>IFERROR(__xludf.DUMMYFUNCTION("""COMPUTED_VALUE"""),"PLDT")</f>
        <v>PLDT</v>
      </c>
      <c r="F895" s="1">
        <f>IFERROR(__xludf.DUMMYFUNCTION("""COMPUTED_VALUE"""),2308371517)</f>
        <v>2308371517</v>
      </c>
      <c r="G895" s="1"/>
      <c r="H895" s="1" t="str">
        <f>IFERROR(__xludf.DUMMYFUNCTION("""COMPUTED_VALUE"""),"JOSEPHINE CONTRERAS BAYBAYON")</f>
        <v>JOSEPHINE CONTRERAS BAYBAYON</v>
      </c>
      <c r="I895" s="1">
        <f>IFERROR(__xludf.DUMMYFUNCTION("""COMPUTED_VALUE"""),9208323231)</f>
        <v>9208323231</v>
      </c>
      <c r="J895" s="1">
        <f>IFERROR(__xludf.DUMMYFUNCTION("""COMPUTED_VALUE"""),9950145501)</f>
        <v>9950145501</v>
      </c>
      <c r="K895" s="1" t="str">
        <f>IFERROR(__xludf.DUMMYFUNCTION("""COMPUTED_VALUE"""),"BAYBAYONJOSEPHINE02@GMAIL.COM")</f>
        <v>BAYBAYONJOSEPHINE02@GMAIL.COM</v>
      </c>
      <c r="L895" s="1" t="str">
        <f>IFERROR(__xludf.DUMMYFUNCTION("""COMPUTED_VALUE"""),"106")</f>
        <v>106</v>
      </c>
      <c r="M895" s="1" t="str">
        <f>IFERROR(__xludf.DUMMYFUNCTION("""COMPUTED_VALUE"""),"SAINT JOSEPH")</f>
        <v>SAINT JOSEPH</v>
      </c>
      <c r="N895" s="1"/>
      <c r="O895" s="1" t="str">
        <f>IFERROR(__xludf.DUMMYFUNCTION("""COMPUTED_VALUE"""),"MDZLP085NP6/5/4/3 MDZLP100NP1/2/3")</f>
        <v>MDZLP085NP6/5/4/3 MDZLP100NP1/2/3</v>
      </c>
      <c r="P895" s="1" t="str">
        <f>IFERROR(__xludf.DUMMYFUNCTION("""COMPUTED_VALUE"""),"14.135242 120.895643")</f>
        <v>14.135242 120.895643</v>
      </c>
      <c r="Q895" s="1" t="str">
        <f>IFERROR(__xludf.DUMMYFUNCTION("""COMPUTED_VALUE"""),"PANUNGYAN I")</f>
        <v>PANUNGYAN I</v>
      </c>
      <c r="R895" s="1" t="str">
        <f>IFERROR(__xludf.DUMMYFUNCTION("""COMPUTED_VALUE"""),"MENDEZ")</f>
        <v>MENDEZ</v>
      </c>
      <c r="S895" s="1" t="str">
        <f>IFERROR(__xludf.DUMMYFUNCTION("""COMPUTED_VALUE"""),"CAVITE")</f>
        <v>CAVITE</v>
      </c>
      <c r="T895" s="1" t="str">
        <f>IFERROR(__xludf.DUMMYFUNCTION("""COMPUTED_VALUE"""),"FIBR UNLI ALL PLAN 1399")</f>
        <v>FIBR UNLI ALL PLAN 1399</v>
      </c>
      <c r="U895" s="1" t="str">
        <f>IFERROR(__xludf.DUMMYFUNCTION("""COMPUTED_VALUE"""),"APPROVED")</f>
        <v>APPROVED</v>
      </c>
      <c r="V895" s="1"/>
      <c r="W895" s="1"/>
    </row>
    <row r="896" customHeight="1" spans="1:23">
      <c r="A896" s="3">
        <f>IFERROR(__xludf.DUMMYFUNCTION("""COMPUTED_VALUE"""),46101)</f>
        <v>46101</v>
      </c>
      <c r="B896" s="1" t="str">
        <f>IFERROR(__xludf.DUMMYFUNCTION("""COMPUTED_VALUE"""),"ESCARCHA, MA ALMA  ESCOTO")</f>
        <v>ESCARCHA, MA ALMA  ESCOTO</v>
      </c>
      <c r="C896" s="1" t="str">
        <f>IFERROR(__xludf.DUMMYFUNCTION("""COMPUTED_VALUE"""),"ORGANIC")</f>
        <v>ORGANIC</v>
      </c>
      <c r="D896" s="1" t="str">
        <f>IFERROR(__xludf.DUMMYFUNCTION("""COMPUTED_VALUE"""),"ALINGARO, CINDY")</f>
        <v>ALINGARO, CINDY</v>
      </c>
      <c r="E896" s="1" t="str">
        <f>IFERROR(__xludf.DUMMYFUNCTION("""COMPUTED_VALUE"""),"PLDT")</f>
        <v>PLDT</v>
      </c>
      <c r="F896" s="1">
        <f>IFERROR(__xludf.DUMMYFUNCTION("""COMPUTED_VALUE"""),2308371952)</f>
        <v>2308371952</v>
      </c>
      <c r="G896" s="1"/>
      <c r="H896" s="1" t="str">
        <f>IFERROR(__xludf.DUMMYFUNCTION("""COMPUTED_VALUE"""),"RHALF REINER SANGCO ORFILA")</f>
        <v>RHALF REINER SANGCO ORFILA</v>
      </c>
      <c r="I896" s="1">
        <f>IFERROR(__xludf.DUMMYFUNCTION("""COMPUTED_VALUE"""),9614488071)</f>
        <v>9614488071</v>
      </c>
      <c r="J896" s="1"/>
      <c r="K896" s="1" t="str">
        <f>IFERROR(__xludf.DUMMYFUNCTION("""COMPUTED_VALUE"""),"RHALF030@GMAIL.COM")</f>
        <v>RHALF030@GMAIL.COM</v>
      </c>
      <c r="L896" s="1" t="str">
        <f>IFERROR(__xludf.DUMMYFUNCTION("""COMPUTED_VALUE"""),"BLK 1 LOT 23")</f>
        <v>BLK 1 LOT 23</v>
      </c>
      <c r="M896" s="1" t="str">
        <f>IFERROR(__xludf.DUMMYFUNCTION("""COMPUTED_VALUE"""),"ASIS 1")</f>
        <v>ASIS 1</v>
      </c>
      <c r="N896" s="1" t="str">
        <f>IFERROR(__xludf.DUMMYFUNCTION("""COMPUTED_VALUE"""),"VILLA PATRICIA SUBDIVISIO")</f>
        <v>VILLA PATRICIA SUBDIVISIO</v>
      </c>
      <c r="O896" s="1"/>
      <c r="P896" s="1"/>
      <c r="Q896" s="1" t="str">
        <f>IFERROR(__xludf.DUMMYFUNCTION("""COMPUTED_VALUE"""),"ASIS I")</f>
        <v>ASIS I</v>
      </c>
      <c r="R896" s="1" t="str">
        <f>IFERROR(__xludf.DUMMYFUNCTION("""COMPUTED_VALUE"""),"MENDEZ")</f>
        <v>MENDEZ</v>
      </c>
      <c r="S896" s="1" t="str">
        <f>IFERROR(__xludf.DUMMYFUNCTION("""COMPUTED_VALUE"""),"CAVITE")</f>
        <v>CAVITE</v>
      </c>
      <c r="T896" s="1" t="str">
        <f>IFERROR(__xludf.DUMMYFUNCTION("""COMPUTED_VALUE"""),"FIBR NETFLIX PLAN 1599")</f>
        <v>FIBR NETFLIX PLAN 1599</v>
      </c>
      <c r="U896" s="1" t="str">
        <f>IFERROR(__xludf.DUMMYFUNCTION("""COMPUTED_VALUE"""),"APPROVED")</f>
        <v>APPROVED</v>
      </c>
      <c r="V896" s="1"/>
      <c r="W896" s="1"/>
    </row>
    <row r="897" customHeight="1" spans="1:23">
      <c r="A897" s="3">
        <f>IFERROR(__xludf.DUMMYFUNCTION("""COMPUTED_VALUE"""),46101)</f>
        <v>46101</v>
      </c>
      <c r="B897" s="1" t="str">
        <f>IFERROR(__xludf.DUMMYFUNCTION("""COMPUTED_VALUE"""),"ESCARCHA, MA ALMA  ESCOTO")</f>
        <v>ESCARCHA, MA ALMA  ESCOTO</v>
      </c>
      <c r="C897" s="1" t="str">
        <f>IFERROR(__xludf.DUMMYFUNCTION("""COMPUTED_VALUE"""),"ORGANIC")</f>
        <v>ORGANIC</v>
      </c>
      <c r="D897" s="1" t="str">
        <f>IFERROR(__xludf.DUMMYFUNCTION("""COMPUTED_VALUE"""),"ALINGARO, CINDY")</f>
        <v>ALINGARO, CINDY</v>
      </c>
      <c r="E897" s="1" t="str">
        <f>IFERROR(__xludf.DUMMYFUNCTION("""COMPUTED_VALUE"""),"PLDT")</f>
        <v>PLDT</v>
      </c>
      <c r="F897" s="1">
        <f>IFERROR(__xludf.DUMMYFUNCTION("""COMPUTED_VALUE"""),2308376200)</f>
        <v>2308376200</v>
      </c>
      <c r="G897" s="1"/>
      <c r="H897" s="1" t="str">
        <f>IFERROR(__xludf.DUMMYFUNCTION("""COMPUTED_VALUE"""),"ROBERTO CORNEJO RUBIO")</f>
        <v>ROBERTO CORNEJO RUBIO</v>
      </c>
      <c r="I897" s="1">
        <f>IFERROR(__xludf.DUMMYFUNCTION("""COMPUTED_VALUE"""),9082291484)</f>
        <v>9082291484</v>
      </c>
      <c r="J897" s="1"/>
      <c r="K897" s="1" t="str">
        <f>IFERROR(__xludf.DUMMYFUNCTION("""COMPUTED_VALUE"""),"LVLNEWYORK@GMAIL.COM")</f>
        <v>LVLNEWYORK@GMAIL.COM</v>
      </c>
      <c r="L897" s="1" t="str">
        <f>IFERROR(__xludf.DUMMYFUNCTION("""COMPUTED_VALUE"""),"BLK 24 LOT 33")</f>
        <v>BLK 24 LOT 33</v>
      </c>
      <c r="M897" s="1" t="str">
        <f>IFERROR(__xludf.DUMMYFUNCTION("""COMPUTED_VALUE"""),"CAMILLA ")</f>
        <v>CAMILLA </v>
      </c>
      <c r="N897" s="1" t="str">
        <f>IFERROR(__xludf.DUMMYFUNCTION("""COMPUTED_VALUE"""),"SABELLA VILLAGE")</f>
        <v>SABELLA VILLAGE</v>
      </c>
      <c r="O897" s="1"/>
      <c r="P897" s="1"/>
      <c r="Q897" s="1" t="str">
        <f>IFERROR(__xludf.DUMMYFUNCTION("""COMPUTED_VALUE"""),"PANUNGYANAN")</f>
        <v>PANUNGYANAN</v>
      </c>
      <c r="R897" s="1" t="str">
        <f>IFERROR(__xludf.DUMMYFUNCTION("""COMPUTED_VALUE"""),"GENERAL TRIAS")</f>
        <v>GENERAL TRIAS</v>
      </c>
      <c r="S897" s="1" t="str">
        <f>IFERROR(__xludf.DUMMYFUNCTION("""COMPUTED_VALUE"""),"CAVITE")</f>
        <v>CAVITE</v>
      </c>
      <c r="T897" s="1" t="str">
        <f>IFERROR(__xludf.DUMMYFUNCTION("""COMPUTED_VALUE"""),"FIBR PLAN 1299")</f>
        <v>FIBR PLAN 1299</v>
      </c>
      <c r="U897" s="1" t="str">
        <f>IFERROR(__xludf.DUMMYFUNCTION("""COMPUTED_VALUE"""),"APPROVED")</f>
        <v>APPROVED</v>
      </c>
      <c r="V897" s="1"/>
      <c r="W897" s="1"/>
    </row>
    <row r="898" customHeight="1" spans="1:23">
      <c r="A898" s="3">
        <f>IFERROR(__xludf.DUMMYFUNCTION("""COMPUTED_VALUE"""),46101)</f>
        <v>46101</v>
      </c>
      <c r="B898" s="1" t="str">
        <f>IFERROR(__xludf.DUMMYFUNCTION("""COMPUTED_VALUE"""),"GABAY, MANUEL")</f>
        <v>GABAY, MANUEL</v>
      </c>
      <c r="C898" s="1" t="str">
        <f>IFERROR(__xludf.DUMMYFUNCTION("""COMPUTED_VALUE"""),"FLA")</f>
        <v>FLA</v>
      </c>
      <c r="D898" s="1" t="str">
        <f>IFERROR(__xludf.DUMMYFUNCTION("""COMPUTED_VALUE"""),"JERIC NAVARRO")</f>
        <v>JERIC NAVARRO</v>
      </c>
      <c r="E898" s="1" t="str">
        <f>IFERROR(__xludf.DUMMYFUNCTION("""COMPUTED_VALUE"""),"PLDT")</f>
        <v>PLDT</v>
      </c>
      <c r="F898" s="1">
        <f>IFERROR(__xludf.DUMMYFUNCTION("""COMPUTED_VALUE"""),2308373220)</f>
        <v>2308373220</v>
      </c>
      <c r="G898" s="1"/>
      <c r="H898" s="1" t="str">
        <f>IFERROR(__xludf.DUMMYFUNCTION("""COMPUTED_VALUE"""),"JENNILYN VIDA LANDICHO")</f>
        <v>JENNILYN VIDA LANDICHO</v>
      </c>
      <c r="I898" s="1">
        <f>IFERROR(__xludf.DUMMYFUNCTION("""COMPUTED_VALUE"""),9705501789)</f>
        <v>9705501789</v>
      </c>
      <c r="J898" s="1">
        <f>IFERROR(__xludf.DUMMYFUNCTION("""COMPUTED_VALUE"""),9702201921)</f>
        <v>9702201921</v>
      </c>
      <c r="K898" s="1" t="str">
        <f>IFERROR(__xludf.DUMMYFUNCTION("""COMPUTED_VALUE"""),"JENNILYNVIDA@GMAIL.COM")</f>
        <v>JENNILYNVIDA@GMAIL.COM</v>
      </c>
      <c r="L898" s="1" t="str">
        <f>IFERROR(__xludf.DUMMYFUNCTION("""COMPUTED_VALUE"""),"172")</f>
        <v>172</v>
      </c>
      <c r="M898" s="1" t="str">
        <f>IFERROR(__xludf.DUMMYFUNCTION("""COMPUTED_VALUE"""),"ULO SPRING ")</f>
        <v>ULO SPRING </v>
      </c>
      <c r="N898" s="1"/>
      <c r="O898" s="1" t="str">
        <f>IFERROR(__xludf.DUMMYFUNCTION("""COMPUTED_VALUE"""),"MDZLP95NP1/2/3/4/5 MDZLP94NP1/2/3/4/5")</f>
        <v>MDZLP95NP1/2/3/4/5 MDZLP94NP1/2/3/4/5</v>
      </c>
      <c r="P898" s="1" t="str">
        <f>IFERROR(__xludf.DUMMYFUNCTION("""COMPUTED_VALUE"""),"14.135311 120.895642")</f>
        <v>14.135311 120.895642</v>
      </c>
      <c r="Q898" s="1" t="str">
        <f>IFERROR(__xludf.DUMMYFUNCTION("""COMPUTED_VALUE"""),"PANUNGYAN II")</f>
        <v>PANUNGYAN II</v>
      </c>
      <c r="R898" s="1" t="str">
        <f>IFERROR(__xludf.DUMMYFUNCTION("""COMPUTED_VALUE"""),"MENDEZ")</f>
        <v>MENDEZ</v>
      </c>
      <c r="S898" s="1" t="str">
        <f>IFERROR(__xludf.DUMMYFUNCTION("""COMPUTED_VALUE"""),"CAVITE")</f>
        <v>CAVITE</v>
      </c>
      <c r="T898" s="1" t="str">
        <f>IFERROR(__xludf.DUMMYFUNCTION("""COMPUTED_VALUE"""),"FIBR UNLI ALL PLAN 1399")</f>
        <v>FIBR UNLI ALL PLAN 1399</v>
      </c>
      <c r="U898" s="1" t="str">
        <f>IFERROR(__xludf.DUMMYFUNCTION("""COMPUTED_VALUE"""),"APPROVED")</f>
        <v>APPROVED</v>
      </c>
      <c r="V898" s="1"/>
      <c r="W898" s="1"/>
    </row>
    <row r="899" customHeight="1" spans="1:23">
      <c r="A899" s="3">
        <f>IFERROR(__xludf.DUMMYFUNCTION("""COMPUTED_VALUE"""),46101)</f>
        <v>46101</v>
      </c>
      <c r="B899" s="1" t="str">
        <f>IFERROR(__xludf.DUMMYFUNCTION("""COMPUTED_VALUE"""),"OPS SIR ZIM")</f>
        <v>OPS SIR ZIM</v>
      </c>
      <c r="C899" s="1" t="str">
        <f>IFERROR(__xludf.DUMMYFUNCTION("""COMPUTED_VALUE"""),"FLA")</f>
        <v>FLA</v>
      </c>
      <c r="D899" s="1" t="str">
        <f>IFERROR(__xludf.DUMMYFUNCTION("""COMPUTED_VALUE"""),"JERIC NAVARRO")</f>
        <v>JERIC NAVARRO</v>
      </c>
      <c r="E899" s="1" t="str">
        <f>IFERROR(__xludf.DUMMYFUNCTION("""COMPUTED_VALUE"""),"PLDT")</f>
        <v>PLDT</v>
      </c>
      <c r="F899" s="1">
        <f>IFERROR(__xludf.DUMMYFUNCTION("""COMPUTED_VALUE"""),2308372540)</f>
        <v>2308372540</v>
      </c>
      <c r="G899" s="1"/>
      <c r="H899" s="1" t="str">
        <f>IFERROR(__xludf.DUMMYFUNCTION("""COMPUTED_VALUE"""),"MICHELLE DELA CRUZ BALAJADIA")</f>
        <v>MICHELLE DELA CRUZ BALAJADIA</v>
      </c>
      <c r="I899" s="1">
        <f>IFERROR(__xludf.DUMMYFUNCTION("""COMPUTED_VALUE"""),9757235598)</f>
        <v>9757235598</v>
      </c>
      <c r="J899" s="1">
        <f>IFERROR(__xludf.DUMMYFUNCTION("""COMPUTED_VALUE"""),9757235598)</f>
        <v>9757235598</v>
      </c>
      <c r="K899" s="1" t="str">
        <f>IFERROR(__xludf.DUMMYFUNCTION("""COMPUTED_VALUE"""),"HILDARESCO45@GMAILC.OM")</f>
        <v>HILDARESCO45@GMAILC.OM</v>
      </c>
      <c r="L899" s="1" t="str">
        <f>IFERROR(__xludf.DUMMYFUNCTION("""COMPUTED_VALUE"""),"B3 L3 ")</f>
        <v>B3 L3 </v>
      </c>
      <c r="M899" s="1" t="str">
        <f>IFERROR(__xludf.DUMMYFUNCTION("""COMPUTED_VALUE"""),"CHERRY DRV")</f>
        <v>CHERRY DRV</v>
      </c>
      <c r="N899" s="1" t="str">
        <f>IFERROR(__xludf.DUMMYFUNCTION("""COMPUTED_VALUE"""),"VH 1ST GLOOR BLDG")</f>
        <v>VH 1ST GLOOR BLDG</v>
      </c>
      <c r="O899" s="1"/>
      <c r="P899" s="1"/>
      <c r="Q899" s="1" t="str">
        <f>IFERROR(__xludf.DUMMYFUNCTION("""COMPUTED_VALUE"""),"INCHICAN")</f>
        <v>INCHICAN</v>
      </c>
      <c r="R899" s="1" t="str">
        <f>IFERROR(__xludf.DUMMYFUNCTION("""COMPUTED_VALUE"""),"SILANG")</f>
        <v>SILANG</v>
      </c>
      <c r="S899" s="1" t="str">
        <f>IFERROR(__xludf.DUMMYFUNCTION("""COMPUTED_VALUE"""),"CAVITE")</f>
        <v>CAVITE</v>
      </c>
      <c r="T899" s="1" t="str">
        <f>IFERROR(__xludf.DUMMYFUNCTION("""COMPUTED_VALUE"""),"FIBR PLAN 7499")</f>
        <v>FIBR PLAN 7499</v>
      </c>
      <c r="U899" s="1" t="str">
        <f>IFERROR(__xludf.DUMMYFUNCTION("""COMPUTED_VALUE"""),"APPROVED")</f>
        <v>APPROVED</v>
      </c>
      <c r="V899" s="1"/>
      <c r="W899" s="1"/>
    </row>
    <row r="900" customHeight="1" spans="1:23">
      <c r="A900" s="3">
        <f>IFERROR(__xludf.DUMMYFUNCTION("""COMPUTED_VALUE"""),46101)</f>
        <v>46101</v>
      </c>
      <c r="B900" s="1" t="str">
        <f>IFERROR(__xludf.DUMMYFUNCTION("""COMPUTED_VALUE"""),"LEADSTORE - ILANO, LIANDRO TEJAS")</f>
        <v>LEADSTORE - ILANO, LIANDRO TEJAS</v>
      </c>
      <c r="C900" s="1" t="str">
        <f>IFERROR(__xludf.DUMMYFUNCTION("""COMPUTED_VALUE"""),"FLA")</f>
        <v>FLA</v>
      </c>
      <c r="D900" s="1" t="str">
        <f>IFERROR(__xludf.DUMMYFUNCTION("""COMPUTED_VALUE"""),"JERIC NAVARRO")</f>
        <v>JERIC NAVARRO</v>
      </c>
      <c r="E900" s="1" t="str">
        <f>IFERROR(__xludf.DUMMYFUNCTION("""COMPUTED_VALUE"""),"PLDT")</f>
        <v>PLDT</v>
      </c>
      <c r="F900" s="1">
        <f>IFERROR(__xludf.DUMMYFUNCTION("""COMPUTED_VALUE"""),2308373604)</f>
        <v>2308373604</v>
      </c>
      <c r="G900" s="1"/>
      <c r="H900" s="1" t="str">
        <f>IFERROR(__xludf.DUMMYFUNCTION("""COMPUTED_VALUE"""),"MELVIN PASAMONTE ABULENCIA")</f>
        <v>MELVIN PASAMONTE ABULENCIA</v>
      </c>
      <c r="I900" s="1">
        <f>IFERROR(__xludf.DUMMYFUNCTION("""COMPUTED_VALUE"""),9206320859)</f>
        <v>9206320859</v>
      </c>
      <c r="J900" s="1">
        <f>IFERROR(__xludf.DUMMYFUNCTION("""COMPUTED_VALUE"""),9094641283)</f>
        <v>9094641283</v>
      </c>
      <c r="K900" s="1" t="str">
        <f>IFERROR(__xludf.DUMMYFUNCTION("""COMPUTED_VALUE"""),"MHELVINABULENCIA@GMAIL.COM")</f>
        <v>MHELVINABULENCIA@GMAIL.COM</v>
      </c>
      <c r="L900" s="1" t="str">
        <f>IFERROR(__xludf.DUMMYFUNCTION("""COMPUTED_VALUE"""),"46")</f>
        <v>46</v>
      </c>
      <c r="M900" s="1" t="str">
        <f>IFERROR(__xludf.DUMMYFUNCTION("""COMPUTED_VALUE"""),"F ANTERO HWY")</f>
        <v>F ANTERO HWY</v>
      </c>
      <c r="N900" s="1"/>
      <c r="O900" s="1"/>
      <c r="P900" s="1"/>
      <c r="Q900" s="1" t="str">
        <f>IFERROR(__xludf.DUMMYFUNCTION("""COMPUTED_VALUE"""),"DAANG AMAYA I")</f>
        <v>DAANG AMAYA I</v>
      </c>
      <c r="R900" s="1" t="str">
        <f>IFERROR(__xludf.DUMMYFUNCTION("""COMPUTED_VALUE"""),"TANZA")</f>
        <v>TANZA</v>
      </c>
      <c r="S900" s="1" t="str">
        <f>IFERROR(__xludf.DUMMYFUNCTION("""COMPUTED_VALUE"""),"CAVITE")</f>
        <v>CAVITE</v>
      </c>
      <c r="T900" s="1" t="str">
        <f>IFERROR(__xludf.DUMMYFUNCTION("""COMPUTED_VALUE"""),"FIBR UNLI ALL PLAN 1799")</f>
        <v>FIBR UNLI ALL PLAN 1799</v>
      </c>
      <c r="U900" s="1" t="str">
        <f>IFERROR(__xludf.DUMMYFUNCTION("""COMPUTED_VALUE"""),"APPROVED")</f>
        <v>APPROVED</v>
      </c>
      <c r="V900" s="1"/>
      <c r="W900" s="1"/>
    </row>
    <row r="901" customHeight="1" spans="1:23">
      <c r="A901" s="3">
        <f>IFERROR(__xludf.DUMMYFUNCTION("""COMPUTED_VALUE"""),46101)</f>
        <v>46101</v>
      </c>
      <c r="B901" s="1" t="str">
        <f>IFERROR(__xludf.DUMMYFUNCTION("""COMPUTED_VALUE"""),"DE VERA, MARIVIC")</f>
        <v>DE VERA, MARIVIC</v>
      </c>
      <c r="C901" s="1" t="str">
        <f>IFERROR(__xludf.DUMMYFUNCTION("""COMPUTED_VALUE"""),"ORGANIC")</f>
        <v>ORGANIC</v>
      </c>
      <c r="D901" s="1" t="str">
        <f>IFERROR(__xludf.DUMMYFUNCTION("""COMPUTED_VALUE"""),"ALINGARO, CINDY")</f>
        <v>ALINGARO, CINDY</v>
      </c>
      <c r="E901" s="1" t="str">
        <f>IFERROR(__xludf.DUMMYFUNCTION("""COMPUTED_VALUE"""),"PLDT")</f>
        <v>PLDT</v>
      </c>
      <c r="F901" s="1">
        <f>IFERROR(__xludf.DUMMYFUNCTION("""COMPUTED_VALUE"""),2308374816)</f>
        <v>2308374816</v>
      </c>
      <c r="G901" s="1"/>
      <c r="H901" s="1" t="str">
        <f>IFERROR(__xludf.DUMMYFUNCTION("""COMPUTED_VALUE"""),"LORENZO BERCAVIO VALDEZ")</f>
        <v>LORENZO BERCAVIO VALDEZ</v>
      </c>
      <c r="I901" s="1">
        <f>IFERROR(__xludf.DUMMYFUNCTION("""COMPUTED_VALUE"""),9812787990)</f>
        <v>9812787990</v>
      </c>
      <c r="J901" s="1">
        <f>IFERROR(__xludf.DUMMYFUNCTION("""COMPUTED_VALUE"""),9074694016)</f>
        <v>9074694016</v>
      </c>
      <c r="K901" s="1" t="str">
        <f>IFERROR(__xludf.DUMMYFUNCTION("""COMPUTED_VALUE"""),"LORENZOVALDEZ7611703@GMAIL.COM")</f>
        <v>LORENZOVALDEZ7611703@GMAIL.COM</v>
      </c>
      <c r="L901" s="1" t="str">
        <f>IFERROR(__xludf.DUMMYFUNCTION("""COMPUTED_VALUE"""),"BLK 5 LOT 12")</f>
        <v>BLK 5 LOT 12</v>
      </c>
      <c r="M901" s="1" t="str">
        <f>IFERROR(__xludf.DUMMYFUNCTION("""COMPUTED_VALUE"""),"PALIGAWAN MATANDA")</f>
        <v>PALIGAWAN MATANDA</v>
      </c>
      <c r="N901" s="1"/>
      <c r="O901" s="1"/>
      <c r="P901" s="1"/>
      <c r="Q901" s="1" t="str">
        <f>IFERROR(__xludf.DUMMYFUNCTION("""COMPUTED_VALUE"""),"LANTIC")</f>
        <v>LANTIC</v>
      </c>
      <c r="R901" s="1" t="str">
        <f>IFERROR(__xludf.DUMMYFUNCTION("""COMPUTED_VALUE"""),"CARMONA")</f>
        <v>CARMONA</v>
      </c>
      <c r="S901" s="1" t="str">
        <f>IFERROR(__xludf.DUMMYFUNCTION("""COMPUTED_VALUE"""),"CAVITE")</f>
        <v>CAVITE</v>
      </c>
      <c r="T901" s="1" t="str">
        <f>IFERROR(__xludf.DUMMYFUNCTION("""COMPUTED_VALUE"""),"FIBR UNLI ALL PLAN 1399")</f>
        <v>FIBR UNLI ALL PLAN 1399</v>
      </c>
      <c r="U901" s="1" t="str">
        <f>IFERROR(__xludf.DUMMYFUNCTION("""COMPUTED_VALUE"""),"APPROVED")</f>
        <v>APPROVED</v>
      </c>
      <c r="V901" s="1"/>
      <c r="W901" s="1"/>
    </row>
    <row r="902" customHeight="1" spans="1:23">
      <c r="A902" s="3">
        <f>IFERROR(__xludf.DUMMYFUNCTION("""COMPUTED_VALUE"""),46101)</f>
        <v>46101</v>
      </c>
      <c r="B902" s="1" t="str">
        <f>IFERROR(__xludf.DUMMYFUNCTION("""COMPUTED_VALUE"""),"JONEL PILANTANGAN")</f>
        <v>JONEL PILANTANGAN</v>
      </c>
      <c r="C902" s="1" t="str">
        <f>IFERROR(__xludf.DUMMYFUNCTION("""COMPUTED_VALUE"""),"ORGANIC")</f>
        <v>ORGANIC</v>
      </c>
      <c r="D902" s="1" t="str">
        <f>IFERROR(__xludf.DUMMYFUNCTION("""COMPUTED_VALUE"""),"ALINGARO, CINDY")</f>
        <v>ALINGARO, CINDY</v>
      </c>
      <c r="E902" s="1" t="str">
        <f>IFERROR(__xludf.DUMMYFUNCTION("""COMPUTED_VALUE"""),"PLDT")</f>
        <v>PLDT</v>
      </c>
      <c r="F902" s="1">
        <f>IFERROR(__xludf.DUMMYFUNCTION("""COMPUTED_VALUE"""),2308373909)</f>
        <v>2308373909</v>
      </c>
      <c r="G902" s="1"/>
      <c r="H902" s="1" t="str">
        <f>IFERROR(__xludf.DUMMYFUNCTION("""COMPUTED_VALUE"""),"JOCELYN PEJI DECARA")</f>
        <v>JOCELYN PEJI DECARA</v>
      </c>
      <c r="I902" s="1">
        <f>IFERROR(__xludf.DUMMYFUNCTION("""COMPUTED_VALUE"""),9369943617)</f>
        <v>9369943617</v>
      </c>
      <c r="J902" s="1"/>
      <c r="K902" s="1" t="str">
        <f>IFERROR(__xludf.DUMMYFUNCTION("""COMPUTED_VALUE"""),"LYN_DEEASA@YAHOO.COM")</f>
        <v>LYN_DEEASA@YAHOO.COM</v>
      </c>
      <c r="L902" s="1" t="str">
        <f>IFERROR(__xludf.DUMMYFUNCTION("""COMPUTED_VALUE"""),"57")</f>
        <v>57</v>
      </c>
      <c r="M902" s="1" t="str">
        <f>IFERROR(__xludf.DUMMYFUNCTION("""COMPUTED_VALUE"""),"ULO SPRING ")</f>
        <v>ULO SPRING </v>
      </c>
      <c r="N902" s="1"/>
      <c r="O902" s="1" t="str">
        <f>IFERROR(__xludf.DUMMYFUNCTION("""COMPUTED_VALUE"""),"MDZLP95NP4 ")</f>
        <v>MDZLP95NP4 </v>
      </c>
      <c r="P902" s="1"/>
      <c r="Q902" s="1" t="str">
        <f>IFERROR(__xludf.DUMMYFUNCTION("""COMPUTED_VALUE"""),"PANUNGYAN II")</f>
        <v>PANUNGYAN II</v>
      </c>
      <c r="R902" s="1" t="str">
        <f>IFERROR(__xludf.DUMMYFUNCTION("""COMPUTED_VALUE"""),"MENDEZ")</f>
        <v>MENDEZ</v>
      </c>
      <c r="S902" s="1" t="str">
        <f>IFERROR(__xludf.DUMMYFUNCTION("""COMPUTED_VALUE"""),"CAVITE")</f>
        <v>CAVITE</v>
      </c>
      <c r="T902" s="1" t="str">
        <f>IFERROR(__xludf.DUMMYFUNCTION("""COMPUTED_VALUE"""),"FIBR PLAN 1299")</f>
        <v>FIBR PLAN 1299</v>
      </c>
      <c r="U902" s="1" t="str">
        <f>IFERROR(__xludf.DUMMYFUNCTION("""COMPUTED_VALUE"""),"APPROVED")</f>
        <v>APPROVED</v>
      </c>
      <c r="V902" s="1"/>
      <c r="W902" s="1"/>
    </row>
    <row r="903" customHeight="1" spans="1:23">
      <c r="A903" s="3">
        <f>IFERROR(__xludf.DUMMYFUNCTION("""COMPUTED_VALUE"""),46101)</f>
        <v>46101</v>
      </c>
      <c r="B903" s="1" t="str">
        <f>IFERROR(__xludf.DUMMYFUNCTION("""COMPUTED_VALUE"""),"AQUINO, LUIS")</f>
        <v>AQUINO, LUIS</v>
      </c>
      <c r="C903" s="1" t="str">
        <f>IFERROR(__xludf.DUMMYFUNCTION("""COMPUTED_VALUE"""),"ORGANIC")</f>
        <v>ORGANIC</v>
      </c>
      <c r="D903" s="1" t="str">
        <f>IFERROR(__xludf.DUMMYFUNCTION("""COMPUTED_VALUE"""),"ALOS, CHARLS")</f>
        <v>ALOS, CHARLS</v>
      </c>
      <c r="E903" s="1" t="str">
        <f>IFERROR(__xludf.DUMMYFUNCTION("""COMPUTED_VALUE"""),"PLDT")</f>
        <v>PLDT</v>
      </c>
      <c r="F903" s="1">
        <f>IFERROR(__xludf.DUMMYFUNCTION("""COMPUTED_VALUE"""),2308374453)</f>
        <v>2308374453</v>
      </c>
      <c r="G903" s="1"/>
      <c r="H903" s="1" t="str">
        <f>IFERROR(__xludf.DUMMYFUNCTION("""COMPUTED_VALUE"""),"ALJENN PONGO ARQUITA")</f>
        <v>ALJENN PONGO ARQUITA</v>
      </c>
      <c r="I903" s="1">
        <f>IFERROR(__xludf.DUMMYFUNCTION("""COMPUTED_VALUE"""),9568215836)</f>
        <v>9568215836</v>
      </c>
      <c r="J903" s="1"/>
      <c r="K903" s="1" t="str">
        <f>IFERROR(__xludf.DUMMYFUNCTION("""COMPUTED_VALUE"""),"ALJONNARQUITA080@GMAIL.COM")</f>
        <v>ALJONNARQUITA080@GMAIL.COM</v>
      </c>
      <c r="L903" s="1" t="str">
        <f>IFERROR(__xludf.DUMMYFUNCTION("""COMPUTED_VALUE"""),"BLK 1 LOT 9")</f>
        <v>BLK 1 LOT 9</v>
      </c>
      <c r="M903" s="1" t="str">
        <f>IFERROR(__xludf.DUMMYFUNCTION("""COMPUTED_VALUE"""),"PALIGAWAN MATANDA")</f>
        <v>PALIGAWAN MATANDA</v>
      </c>
      <c r="N903" s="1"/>
      <c r="O903" s="1"/>
      <c r="P903" s="1"/>
      <c r="Q903" s="1" t="str">
        <f>IFERROR(__xludf.DUMMYFUNCTION("""COMPUTED_VALUE"""),"LANTIC")</f>
        <v>LANTIC</v>
      </c>
      <c r="R903" s="1" t="str">
        <f>IFERROR(__xludf.DUMMYFUNCTION("""COMPUTED_VALUE"""),"CARMONA")</f>
        <v>CARMONA</v>
      </c>
      <c r="S903" s="1" t="str">
        <f>IFERROR(__xludf.DUMMYFUNCTION("""COMPUTED_VALUE"""),"CAVITE")</f>
        <v>CAVITE</v>
      </c>
      <c r="T903" s="1" t="str">
        <f>IFERROR(__xludf.DUMMYFUNCTION("""COMPUTED_VALUE"""),"FIBR PLAN 1299")</f>
        <v>FIBR PLAN 1299</v>
      </c>
      <c r="U903" s="1" t="str">
        <f>IFERROR(__xludf.DUMMYFUNCTION("""COMPUTED_VALUE"""),"APPROVED")</f>
        <v>APPROVED</v>
      </c>
      <c r="V903" s="1"/>
      <c r="W903" s="1"/>
    </row>
    <row r="904" customHeight="1" spans="1:23">
      <c r="A904" s="3">
        <f>IFERROR(__xludf.DUMMYFUNCTION("""COMPUTED_VALUE"""),46101)</f>
        <v>46101</v>
      </c>
      <c r="B904" s="1" t="str">
        <f>IFERROR(__xludf.DUMMYFUNCTION("""COMPUTED_VALUE"""),"MAÑANITA, ERIKA")</f>
        <v>MAÑANITA, ERIKA</v>
      </c>
      <c r="C904" s="1" t="str">
        <f>IFERROR(__xludf.DUMMYFUNCTION("""COMPUTED_VALUE"""),"ORGANIC")</f>
        <v>ORGANIC</v>
      </c>
      <c r="D904" s="1" t="str">
        <f>IFERROR(__xludf.DUMMYFUNCTION("""COMPUTED_VALUE"""),"ALOS, CHARLS")</f>
        <v>ALOS, CHARLS</v>
      </c>
      <c r="E904" s="1" t="str">
        <f>IFERROR(__xludf.DUMMYFUNCTION("""COMPUTED_VALUE"""),"PLDT")</f>
        <v>PLDT</v>
      </c>
      <c r="F904" s="1">
        <f>IFERROR(__xludf.DUMMYFUNCTION("""COMPUTED_VALUE"""),2308391229)</f>
        <v>2308391229</v>
      </c>
      <c r="G904" s="1"/>
      <c r="H904" s="1" t="str">
        <f>IFERROR(__xludf.DUMMYFUNCTION("""COMPUTED_VALUE"""),"CHRISTIAN PLAZA ALBEUZ")</f>
        <v>CHRISTIAN PLAZA ALBEUZ</v>
      </c>
      <c r="I904" s="1">
        <f>IFERROR(__xludf.DUMMYFUNCTION("""COMPUTED_VALUE"""),9107782981)</f>
        <v>9107782981</v>
      </c>
      <c r="J904" s="1">
        <f>IFERROR(__xludf.DUMMYFUNCTION("""COMPUTED_VALUE"""),9851845043)</f>
        <v>9851845043</v>
      </c>
      <c r="K904" s="1" t="str">
        <f>IFERROR(__xludf.DUMMYFUNCTION("""COMPUTED_VALUE"""),"ALBEUZNANCY15@GMAIL.COM")</f>
        <v>ALBEUZNANCY15@GMAIL.COM</v>
      </c>
      <c r="L904" s="1" t="str">
        <f>IFERROR(__xludf.DUMMYFUNCTION("""COMPUTED_VALUE"""),"3084 D")</f>
        <v>3084 D</v>
      </c>
      <c r="M904" s="1" t="str">
        <f>IFERROR(__xludf.DUMMYFUNCTION("""COMPUTED_VALUE"""),"AMBID")</f>
        <v>AMBID</v>
      </c>
      <c r="N904" s="1"/>
      <c r="O904" s="1"/>
      <c r="P904" s="1"/>
      <c r="Q904" s="1" t="str">
        <f>IFERROR(__xludf.DUMMYFUNCTION("""COMPUTED_VALUE"""),"BILUSO")</f>
        <v>BILUSO</v>
      </c>
      <c r="R904" s="1" t="str">
        <f>IFERROR(__xludf.DUMMYFUNCTION("""COMPUTED_VALUE"""),"SILANG")</f>
        <v>SILANG</v>
      </c>
      <c r="S904" s="1" t="str">
        <f>IFERROR(__xludf.DUMMYFUNCTION("""COMPUTED_VALUE"""),"CAVITE")</f>
        <v>CAVITE</v>
      </c>
      <c r="T904" s="1" t="str">
        <f>IFERROR(__xludf.DUMMYFUNCTION("""COMPUTED_VALUE"""),"FIBR PLAN 1299")</f>
        <v>FIBR PLAN 1299</v>
      </c>
      <c r="U904" s="1" t="str">
        <f>IFERROR(__xludf.DUMMYFUNCTION("""COMPUTED_VALUE"""),"APPROVED")</f>
        <v>APPROVED</v>
      </c>
      <c r="V904" s="1"/>
      <c r="W904" s="1"/>
    </row>
    <row r="905" customHeight="1" spans="1:23">
      <c r="A905" s="3">
        <f>IFERROR(__xludf.DUMMYFUNCTION("""COMPUTED_VALUE"""),46101)</f>
        <v>46101</v>
      </c>
      <c r="B905" s="1" t="str">
        <f>IFERROR(__xludf.DUMMYFUNCTION("""COMPUTED_VALUE"""),"FERNANDEZ JERIC")</f>
        <v>FERNANDEZ JERIC</v>
      </c>
      <c r="C905" s="1" t="str">
        <f>IFERROR(__xludf.DUMMYFUNCTION("""COMPUTED_VALUE"""),"ORGANIC")</f>
        <v>ORGANIC</v>
      </c>
      <c r="D905" s="1" t="str">
        <f>IFERROR(__xludf.DUMMYFUNCTION("""COMPUTED_VALUE"""),"ALOS, CHARLS")</f>
        <v>ALOS, CHARLS</v>
      </c>
      <c r="E905" s="1" t="str">
        <f>IFERROR(__xludf.DUMMYFUNCTION("""COMPUTED_VALUE"""),"PLDT")</f>
        <v>PLDT</v>
      </c>
      <c r="F905" s="1">
        <f>IFERROR(__xludf.DUMMYFUNCTION("""COMPUTED_VALUE"""),2308374192)</f>
        <v>2308374192</v>
      </c>
      <c r="G905" s="1"/>
      <c r="H905" s="1" t="str">
        <f>IFERROR(__xludf.DUMMYFUNCTION("""COMPUTED_VALUE"""),"NICOLE VERANDA VELANDO")</f>
        <v>NICOLE VERANDA VELANDO</v>
      </c>
      <c r="I905" s="1">
        <f>IFERROR(__xludf.DUMMYFUNCTION("""COMPUTED_VALUE"""),9610440211)</f>
        <v>9610440211</v>
      </c>
      <c r="J905" s="1"/>
      <c r="K905" s="1" t="str">
        <f>IFERROR(__xludf.DUMMYFUNCTION("""COMPUTED_VALUE"""),"DELMONDOARMYNICHOLE@GMAIL.COM")</f>
        <v>DELMONDOARMYNICHOLE@GMAIL.COM</v>
      </c>
      <c r="L905" s="1" t="str">
        <f>IFERROR(__xludf.DUMMYFUNCTION("""COMPUTED_VALUE"""),"3265")</f>
        <v>3265</v>
      </c>
      <c r="M905" s="1" t="str">
        <f>IFERROR(__xludf.DUMMYFUNCTION("""COMPUTED_VALUE"""),"BAYANI ST")</f>
        <v>BAYANI ST</v>
      </c>
      <c r="N905" s="1"/>
      <c r="O905" s="1"/>
      <c r="P905" s="1"/>
      <c r="Q905" s="1" t="str">
        <f>IFERROR(__xludf.DUMMYFUNCTION("""COMPUTED_VALUE"""),"BARANGAY 12 (LOVE BIRD)")</f>
        <v>BARANGAY 12 (LOVE BIRD)</v>
      </c>
      <c r="R905" s="1" t="str">
        <f>IFERROR(__xludf.DUMMYFUNCTION("""COMPUTED_VALUE"""),"AMADEO")</f>
        <v>AMADEO</v>
      </c>
      <c r="S905" s="1" t="str">
        <f>IFERROR(__xludf.DUMMYFUNCTION("""COMPUTED_VALUE"""),"CAVITE")</f>
        <v>CAVITE</v>
      </c>
      <c r="T905" s="1" t="str">
        <f>IFERROR(__xludf.DUMMYFUNCTION("""COMPUTED_VALUE"""),"FIBR NETFLIX PLAN 1599")</f>
        <v>FIBR NETFLIX PLAN 1599</v>
      </c>
      <c r="U905" s="1" t="str">
        <f>IFERROR(__xludf.DUMMYFUNCTION("""COMPUTED_VALUE"""),"APPROVED")</f>
        <v>APPROVED</v>
      </c>
      <c r="V905" s="1"/>
      <c r="W905" s="1"/>
    </row>
    <row r="906" customHeight="1" spans="1:23">
      <c r="A906" s="3">
        <f>IFERROR(__xludf.DUMMYFUNCTION("""COMPUTED_VALUE"""),46101)</f>
        <v>46101</v>
      </c>
      <c r="B906" s="1" t="str">
        <f>IFERROR(__xludf.DUMMYFUNCTION("""COMPUTED_VALUE"""),"AYON MANUEL")</f>
        <v>AYON MANUEL</v>
      </c>
      <c r="C906" s="1" t="str">
        <f>IFERROR(__xludf.DUMMYFUNCTION("""COMPUTED_VALUE"""),"FLA")</f>
        <v>FLA</v>
      </c>
      <c r="D906" s="1" t="str">
        <f>IFERROR(__xludf.DUMMYFUNCTION("""COMPUTED_VALUE"""),"JERIC NAVARRO")</f>
        <v>JERIC NAVARRO</v>
      </c>
      <c r="E906" s="1" t="str">
        <f>IFERROR(__xludf.DUMMYFUNCTION("""COMPUTED_VALUE"""),"PLDT")</f>
        <v>PLDT</v>
      </c>
      <c r="F906" s="1">
        <f>IFERROR(__xludf.DUMMYFUNCTION("""COMPUTED_VALUE"""),2308376549)</f>
        <v>2308376549</v>
      </c>
      <c r="G906" s="1"/>
      <c r="H906" s="1" t="str">
        <f>IFERROR(__xludf.DUMMYFUNCTION("""COMPUTED_VALUE"""),"JOVELLE OROLFO JIMENO")</f>
        <v>JOVELLE OROLFO JIMENO</v>
      </c>
      <c r="I906" s="1">
        <f>IFERROR(__xludf.DUMMYFUNCTION("""COMPUTED_VALUE"""),9927688832)</f>
        <v>9927688832</v>
      </c>
      <c r="J906" s="1">
        <f>IFERROR(__xludf.DUMMYFUNCTION("""COMPUTED_VALUE"""),9628315586)</f>
        <v>9628315586</v>
      </c>
      <c r="K906" s="1" t="str">
        <f>IFERROR(__xludf.DUMMYFUNCTION("""COMPUTED_VALUE"""),"JOVELLEJIMENO@GMAIL.COM")</f>
        <v>JOVELLEJIMENO@GMAIL.COM</v>
      </c>
      <c r="L906" s="1" t="str">
        <f>IFERROR(__xludf.DUMMYFUNCTION("""COMPUTED_VALUE"""),"9001")</f>
        <v>9001</v>
      </c>
      <c r="M906" s="1" t="str">
        <f>IFERROR(__xludf.DUMMYFUNCTION("""COMPUTED_VALUE"""),"PAYAPA")</f>
        <v>PAYAPA</v>
      </c>
      <c r="N906" s="1"/>
      <c r="O906" s="1"/>
      <c r="P906" s="1"/>
      <c r="Q906" s="1" t="str">
        <f>IFERROR(__xludf.DUMMYFUNCTION("""COMPUTED_VALUE"""),"PANUNGYAN I")</f>
        <v>PANUNGYAN I</v>
      </c>
      <c r="R906" s="1" t="str">
        <f>IFERROR(__xludf.DUMMYFUNCTION("""COMPUTED_VALUE"""),"MENDEZ")</f>
        <v>MENDEZ</v>
      </c>
      <c r="S906" s="1" t="str">
        <f>IFERROR(__xludf.DUMMYFUNCTION("""COMPUTED_VALUE"""),"CAVITE")</f>
        <v>CAVITE</v>
      </c>
      <c r="T906" s="1" t="str">
        <f>IFERROR(__xludf.DUMMYFUNCTION("""COMPUTED_VALUE"""),"FIBR NETFLIX PLAN 1599")</f>
        <v>FIBR NETFLIX PLAN 1599</v>
      </c>
      <c r="U906" s="1" t="str">
        <f>IFERROR(__xludf.DUMMYFUNCTION("""COMPUTED_VALUE"""),"APPROVED")</f>
        <v>APPROVED</v>
      </c>
      <c r="V906" s="1"/>
      <c r="W906" s="1"/>
    </row>
    <row r="907" customHeight="1" spans="1:23">
      <c r="A907" s="3">
        <f>IFERROR(__xludf.DUMMYFUNCTION("""COMPUTED_VALUE"""),46101)</f>
        <v>46101</v>
      </c>
      <c r="B907" s="1" t="str">
        <f>IFERROR(__xludf.DUMMYFUNCTION("""COMPUTED_VALUE"""),"AYON MANUEL")</f>
        <v>AYON MANUEL</v>
      </c>
      <c r="C907" s="1" t="str">
        <f>IFERROR(__xludf.DUMMYFUNCTION("""COMPUTED_VALUE"""),"FLA")</f>
        <v>FLA</v>
      </c>
      <c r="D907" s="1" t="str">
        <f>IFERROR(__xludf.DUMMYFUNCTION("""COMPUTED_VALUE"""),"JERIC NAVARRO")</f>
        <v>JERIC NAVARRO</v>
      </c>
      <c r="E907" s="1" t="str">
        <f>IFERROR(__xludf.DUMMYFUNCTION("""COMPUTED_VALUE"""),"PLDT")</f>
        <v>PLDT</v>
      </c>
      <c r="F907" s="1">
        <f>IFERROR(__xludf.DUMMYFUNCTION("""COMPUTED_VALUE"""),2308376955)</f>
        <v>2308376955</v>
      </c>
      <c r="G907" s="1"/>
      <c r="H907" s="1" t="str">
        <f>IFERROR(__xludf.DUMMYFUNCTION("""COMPUTED_VALUE"""),"CHRISTOPHER BRIAN NAVARRO ANTONIO")</f>
        <v>CHRISTOPHER BRIAN NAVARRO ANTONIO</v>
      </c>
      <c r="I907" s="1">
        <f>IFERROR(__xludf.DUMMYFUNCTION("""COMPUTED_VALUE"""),9175925742)</f>
        <v>9175925742</v>
      </c>
      <c r="J907" s="1">
        <f>IFERROR(__xludf.DUMMYFUNCTION("""COMPUTED_VALUE"""),9178354363)</f>
        <v>9178354363</v>
      </c>
      <c r="K907" s="1" t="str">
        <f>IFERROR(__xludf.DUMMYFUNCTION("""COMPUTED_VALUE"""),"BRIANETC88@GMAIL.COM")</f>
        <v>BRIANETC88@GMAIL.COM</v>
      </c>
      <c r="L907" s="1" t="str">
        <f>IFERROR(__xludf.DUMMYFUNCTION("""COMPUTED_VALUE"""),"18 KAPT")</f>
        <v>18 KAPT</v>
      </c>
      <c r="M907" s="1" t="str">
        <f>IFERROR(__xludf.DUMMYFUNCTION("""COMPUTED_VALUE"""),"SALAZAR ST")</f>
        <v>SALAZAR ST</v>
      </c>
      <c r="N907" s="1"/>
      <c r="O907" s="1"/>
      <c r="P907" s="1"/>
      <c r="Q907" s="1" t="str">
        <f>IFERROR(__xludf.DUMMYFUNCTION("""COMPUTED_VALUE"""),"BUKAL")</f>
        <v>BUKAL</v>
      </c>
      <c r="R907" s="1" t="str">
        <f>IFERROR(__xludf.DUMMYFUNCTION("""COMPUTED_VALUE"""),"MENDEZ")</f>
        <v>MENDEZ</v>
      </c>
      <c r="S907" s="1" t="str">
        <f>IFERROR(__xludf.DUMMYFUNCTION("""COMPUTED_VALUE"""),"CAVITE")</f>
        <v>CAVITE</v>
      </c>
      <c r="T907" s="1" t="str">
        <f>IFERROR(__xludf.DUMMYFUNCTION("""COMPUTED_VALUE"""),"FIBR NETFLIX PLAN 1599")</f>
        <v>FIBR NETFLIX PLAN 1599</v>
      </c>
      <c r="U907" s="1" t="str">
        <f>IFERROR(__xludf.DUMMYFUNCTION("""COMPUTED_VALUE"""),"APPROVED")</f>
        <v>APPROVED</v>
      </c>
      <c r="V907" s="1"/>
      <c r="W907" s="1"/>
    </row>
    <row r="908" customHeight="1" spans="1:23">
      <c r="A908" s="3">
        <f>IFERROR(__xludf.DUMMYFUNCTION("""COMPUTED_VALUE"""),46101)</f>
        <v>46101</v>
      </c>
      <c r="B908" s="1" t="str">
        <f>IFERROR(__xludf.DUMMYFUNCTION("""COMPUTED_VALUE"""),"AYON MANUEL")</f>
        <v>AYON MANUEL</v>
      </c>
      <c r="C908" s="1" t="str">
        <f>IFERROR(__xludf.DUMMYFUNCTION("""COMPUTED_VALUE"""),"FLA")</f>
        <v>FLA</v>
      </c>
      <c r="D908" s="1" t="str">
        <f>IFERROR(__xludf.DUMMYFUNCTION("""COMPUTED_VALUE"""),"JERIC NAVARRO")</f>
        <v>JERIC NAVARRO</v>
      </c>
      <c r="E908" s="1" t="str">
        <f>IFERROR(__xludf.DUMMYFUNCTION("""COMPUTED_VALUE"""),"PLDT")</f>
        <v>PLDT</v>
      </c>
      <c r="F908" s="1">
        <f>IFERROR(__xludf.DUMMYFUNCTION("""COMPUTED_VALUE"""),2308377284)</f>
        <v>2308377284</v>
      </c>
      <c r="G908" s="1"/>
      <c r="H908" s="1" t="str">
        <f>IFERROR(__xludf.DUMMYFUNCTION("""COMPUTED_VALUE"""),"ANTONIO LUALHATI VIRAY JR")</f>
        <v>ANTONIO LUALHATI VIRAY JR</v>
      </c>
      <c r="I908" s="1">
        <f>IFERROR(__xludf.DUMMYFUNCTION("""COMPUTED_VALUE"""),9205701708)</f>
        <v>9205701708</v>
      </c>
      <c r="J908" s="1">
        <f>IFERROR(__xludf.DUMMYFUNCTION("""COMPUTED_VALUE"""),9814538249)</f>
        <v>9814538249</v>
      </c>
      <c r="K908" s="1" t="str">
        <f>IFERROR(__xludf.DUMMYFUNCTION("""COMPUTED_VALUE"""),"MBVIRAY@GMAIL.COM")</f>
        <v>MBVIRAY@GMAIL.COM</v>
      </c>
      <c r="L908" s="1" t="str">
        <f>IFERROR(__xludf.DUMMYFUNCTION("""COMPUTED_VALUE"""),"9162")</f>
        <v>9162</v>
      </c>
      <c r="M908" s="1" t="str">
        <f>IFERROR(__xludf.DUMMYFUNCTION("""COMPUTED_VALUE"""),"ROBUSTA")</f>
        <v>ROBUSTA</v>
      </c>
      <c r="N908" s="1"/>
      <c r="O908" s="1"/>
      <c r="P908" s="1"/>
      <c r="Q908" s="1" t="str">
        <f>IFERROR(__xludf.DUMMYFUNCTION("""COMPUTED_VALUE"""),"PANUNGYAN I")</f>
        <v>PANUNGYAN I</v>
      </c>
      <c r="R908" s="1" t="str">
        <f>IFERROR(__xludf.DUMMYFUNCTION("""COMPUTED_VALUE"""),"MENDEZ")</f>
        <v>MENDEZ</v>
      </c>
      <c r="S908" s="1" t="str">
        <f>IFERROR(__xludf.DUMMYFUNCTION("""COMPUTED_VALUE"""),"CAVITE")</f>
        <v>CAVITE</v>
      </c>
      <c r="T908" s="1" t="str">
        <f>IFERROR(__xludf.DUMMYFUNCTION("""COMPUTED_VALUE"""),"FIBR UNLI ALL PLAN 1399")</f>
        <v>FIBR UNLI ALL PLAN 1399</v>
      </c>
      <c r="U908" s="1" t="str">
        <f>IFERROR(__xludf.DUMMYFUNCTION("""COMPUTED_VALUE"""),"APPROVED")</f>
        <v>APPROVED</v>
      </c>
      <c r="V908" s="1"/>
      <c r="W908" s="1"/>
    </row>
    <row r="909" customHeight="1" spans="1:23">
      <c r="A909" s="3">
        <f>IFERROR(__xludf.DUMMYFUNCTION("""COMPUTED_VALUE"""),46101)</f>
        <v>46101</v>
      </c>
      <c r="B909" s="1" t="str">
        <f>IFERROR(__xludf.DUMMYFUNCTION("""COMPUTED_VALUE"""),"ABGAO, LEO TAGANNA")</f>
        <v>ABGAO, LEO TAGANNA</v>
      </c>
      <c r="C909" s="1" t="str">
        <f>IFERROR(__xludf.DUMMYFUNCTION("""COMPUTED_VALUE"""),"ORGANIC")</f>
        <v>ORGANIC</v>
      </c>
      <c r="D909" s="1" t="str">
        <f>IFERROR(__xludf.DUMMYFUNCTION("""COMPUTED_VALUE"""),"ALOS, CHARLS")</f>
        <v>ALOS, CHARLS</v>
      </c>
      <c r="E909" s="1" t="str">
        <f>IFERROR(__xludf.DUMMYFUNCTION("""COMPUTED_VALUE"""),"PLDT")</f>
        <v>PLDT</v>
      </c>
      <c r="F909" s="1">
        <f>IFERROR(__xludf.DUMMYFUNCTION("""COMPUTED_VALUE"""),2308378010)</f>
        <v>2308378010</v>
      </c>
      <c r="G909" s="1"/>
      <c r="H909" s="1" t="str">
        <f>IFERROR(__xludf.DUMMYFUNCTION("""COMPUTED_VALUE"""),"RITCHELLE CLARITO PACHECO")</f>
        <v>RITCHELLE CLARITO PACHECO</v>
      </c>
      <c r="I909" s="1">
        <f>IFERROR(__xludf.DUMMYFUNCTION("""COMPUTED_VALUE"""),9535819240)</f>
        <v>9535819240</v>
      </c>
      <c r="J909" s="1">
        <f>IFERROR(__xludf.DUMMYFUNCTION("""COMPUTED_VALUE"""),9682694739)</f>
        <v>9682694739</v>
      </c>
      <c r="K909" s="1" t="str">
        <f>IFERROR(__xludf.DUMMYFUNCTION("""COMPUTED_VALUE"""),"RITCHELLEPACHECO4@GMAIL.COM")</f>
        <v>RITCHELLEPACHECO4@GMAIL.COM</v>
      </c>
      <c r="L909" s="1" t="str">
        <f>IFERROR(__xludf.DUMMYFUNCTION("""COMPUTED_VALUE"""),"BLK 10 LOT 4")</f>
        <v>BLK 10 LOT 4</v>
      </c>
      <c r="M909" s="1" t="str">
        <f>IFERROR(__xludf.DUMMYFUNCTION("""COMPUTED_VALUE"""),"PALIGAWAN MATANDA")</f>
        <v>PALIGAWAN MATANDA</v>
      </c>
      <c r="N909" s="1"/>
      <c r="O909" s="1"/>
      <c r="P909" s="1"/>
      <c r="Q909" s="1" t="str">
        <f>IFERROR(__xludf.DUMMYFUNCTION("""COMPUTED_VALUE"""),"LANTIC")</f>
        <v>LANTIC</v>
      </c>
      <c r="R909" s="1" t="str">
        <f>IFERROR(__xludf.DUMMYFUNCTION("""COMPUTED_VALUE"""),"CARMONA")</f>
        <v>CARMONA</v>
      </c>
      <c r="S909" s="1" t="str">
        <f>IFERROR(__xludf.DUMMYFUNCTION("""COMPUTED_VALUE"""),"CAVITE")</f>
        <v>CAVITE</v>
      </c>
      <c r="T909" s="1" t="str">
        <f>IFERROR(__xludf.DUMMYFUNCTION("""COMPUTED_VALUE"""),"FIBR PLAN 1299")</f>
        <v>FIBR PLAN 1299</v>
      </c>
      <c r="U909" s="1" t="str">
        <f>IFERROR(__xludf.DUMMYFUNCTION("""COMPUTED_VALUE"""),"APPROVED")</f>
        <v>APPROVED</v>
      </c>
      <c r="V909" s="1" t="str">
        <f>IFERROR(__xludf.DUMMYFUNCTION("""COMPUTED_VALUE"""),"VOUCH BY TL CHARLS")</f>
        <v>VOUCH BY TL CHARLS</v>
      </c>
      <c r="W909" s="1"/>
    </row>
    <row r="910" customHeight="1" spans="1:23">
      <c r="A910" s="3">
        <f>IFERROR(__xludf.DUMMYFUNCTION("""COMPUTED_VALUE"""),46101)</f>
        <v>46101</v>
      </c>
      <c r="B910" s="1" t="str">
        <f>IFERROR(__xludf.DUMMYFUNCTION("""COMPUTED_VALUE"""),"CABRERA JILLIENE")</f>
        <v>CABRERA JILLIENE</v>
      </c>
      <c r="C910" s="1" t="str">
        <f>IFERROR(__xludf.DUMMYFUNCTION("""COMPUTED_VALUE"""),"ORGANIC")</f>
        <v>ORGANIC</v>
      </c>
      <c r="D910" s="1" t="str">
        <f>IFERROR(__xludf.DUMMYFUNCTION("""COMPUTED_VALUE"""),"ALOS, CHARLS")</f>
        <v>ALOS, CHARLS</v>
      </c>
      <c r="E910" s="1" t="str">
        <f>IFERROR(__xludf.DUMMYFUNCTION("""COMPUTED_VALUE"""),"PLDT")</f>
        <v>PLDT</v>
      </c>
      <c r="F910" s="1">
        <f>IFERROR(__xludf.DUMMYFUNCTION("""COMPUTED_VALUE"""),2308377842)</f>
        <v>2308377842</v>
      </c>
      <c r="G910" s="1"/>
      <c r="H910" s="1" t="str">
        <f>IFERROR(__xludf.DUMMYFUNCTION("""COMPUTED_VALUE"""),"MYLENE GUANGCO CAPISTRANO")</f>
        <v>MYLENE GUANGCO CAPISTRANO</v>
      </c>
      <c r="I910" s="1">
        <f>IFERROR(__xludf.DUMMYFUNCTION("""COMPUTED_VALUE"""),9636335154)</f>
        <v>9636335154</v>
      </c>
      <c r="J910" s="1"/>
      <c r="K910" s="1" t="str">
        <f>IFERROR(__xludf.DUMMYFUNCTION("""COMPUTED_VALUE"""),"MYLENE22CAPISTRANO@GMAIL.COM")</f>
        <v>MYLENE22CAPISTRANO@GMAIL.COM</v>
      </c>
      <c r="L910" s="1" t="str">
        <f>IFERROR(__xludf.DUMMYFUNCTION("""COMPUTED_VALUE"""),"BLK 8 LOT 4")</f>
        <v>BLK 8 LOT 4</v>
      </c>
      <c r="M910" s="1" t="str">
        <f>IFERROR(__xludf.DUMMYFUNCTION("""COMPUTED_VALUE"""),"PALIGAWAN MATANDA")</f>
        <v>PALIGAWAN MATANDA</v>
      </c>
      <c r="N910" s="1"/>
      <c r="O910" s="1"/>
      <c r="P910" s="1"/>
      <c r="Q910" s="1" t="str">
        <f>IFERROR(__xludf.DUMMYFUNCTION("""COMPUTED_VALUE"""),"LANTIC")</f>
        <v>LANTIC</v>
      </c>
      <c r="R910" s="1" t="str">
        <f>IFERROR(__xludf.DUMMYFUNCTION("""COMPUTED_VALUE"""),"CARMONA")</f>
        <v>CARMONA</v>
      </c>
      <c r="S910" s="1" t="str">
        <f>IFERROR(__xludf.DUMMYFUNCTION("""COMPUTED_VALUE"""),"CAVITE")</f>
        <v>CAVITE</v>
      </c>
      <c r="T910" s="1" t="str">
        <f>IFERROR(__xludf.DUMMYFUNCTION("""COMPUTED_VALUE"""),"FIBR PLAN 1299")</f>
        <v>FIBR PLAN 1299</v>
      </c>
      <c r="U910" s="1" t="str">
        <f>IFERROR(__xludf.DUMMYFUNCTION("""COMPUTED_VALUE"""),"APPROVED")</f>
        <v>APPROVED</v>
      </c>
      <c r="V910" s="1"/>
      <c r="W910" s="1"/>
    </row>
    <row r="911" customHeight="1" spans="1:23">
      <c r="A911" s="3">
        <f>IFERROR(__xludf.DUMMYFUNCTION("""COMPUTED_VALUE"""),46101)</f>
        <v>46101</v>
      </c>
      <c r="B911" s="1" t="str">
        <f>IFERROR(__xludf.DUMMYFUNCTION("""COMPUTED_VALUE"""),"DELA ROSA, JENNELYN")</f>
        <v>DELA ROSA, JENNELYN</v>
      </c>
      <c r="C911" s="1" t="str">
        <f>IFERROR(__xludf.DUMMYFUNCTION("""COMPUTED_VALUE"""),"ORGANIC")</f>
        <v>ORGANIC</v>
      </c>
      <c r="D911" s="1" t="str">
        <f>IFERROR(__xludf.DUMMYFUNCTION("""COMPUTED_VALUE"""),"ALOS, CHARLS")</f>
        <v>ALOS, CHARLS</v>
      </c>
      <c r="E911" s="1" t="str">
        <f>IFERROR(__xludf.DUMMYFUNCTION("""COMPUTED_VALUE"""),"PLDT")</f>
        <v>PLDT</v>
      </c>
      <c r="F911" s="1">
        <f>IFERROR(__xludf.DUMMYFUNCTION("""COMPUTED_VALUE"""),2308378196)</f>
        <v>2308378196</v>
      </c>
      <c r="G911" s="1"/>
      <c r="H911" s="1" t="str">
        <f>IFERROR(__xludf.DUMMYFUNCTION("""COMPUTED_VALUE"""),"JUDITH ESPIRITU ARCIAGA")</f>
        <v>JUDITH ESPIRITU ARCIAGA</v>
      </c>
      <c r="I911" s="1">
        <f>IFERROR(__xludf.DUMMYFUNCTION("""COMPUTED_VALUE"""),9667588950)</f>
        <v>9667588950</v>
      </c>
      <c r="J911" s="1">
        <f>IFERROR(__xludf.DUMMYFUNCTION("""COMPUTED_VALUE"""),9702089463)</f>
        <v>9702089463</v>
      </c>
      <c r="K911" s="1" t="str">
        <f>IFERROR(__xludf.DUMMYFUNCTION("""COMPUTED_VALUE"""),"ARCIAGAJUDITH73@GMAIL.COM")</f>
        <v>ARCIAGAJUDITH73@GMAIL.COM</v>
      </c>
      <c r="L911" s="1" t="str">
        <f>IFERROR(__xludf.DUMMYFUNCTION("""COMPUTED_VALUE"""),"BLK 11 LOT 3")</f>
        <v>BLK 11 LOT 3</v>
      </c>
      <c r="M911" s="1" t="str">
        <f>IFERROR(__xludf.DUMMYFUNCTION("""COMPUTED_VALUE"""),"PALIGAWAN MATANDA")</f>
        <v>PALIGAWAN MATANDA</v>
      </c>
      <c r="N911" s="1"/>
      <c r="O911" s="1"/>
      <c r="P911" s="1"/>
      <c r="Q911" s="1" t="str">
        <f>IFERROR(__xludf.DUMMYFUNCTION("""COMPUTED_VALUE"""),"LANTIC")</f>
        <v>LANTIC</v>
      </c>
      <c r="R911" s="1" t="str">
        <f>IFERROR(__xludf.DUMMYFUNCTION("""COMPUTED_VALUE"""),"CARMONA")</f>
        <v>CARMONA</v>
      </c>
      <c r="S911" s="1" t="str">
        <f>IFERROR(__xludf.DUMMYFUNCTION("""COMPUTED_VALUE"""),"CAVITE")</f>
        <v>CAVITE</v>
      </c>
      <c r="T911" s="1" t="str">
        <f>IFERROR(__xludf.DUMMYFUNCTION("""COMPUTED_VALUE"""),"FIBR PLAN 1299")</f>
        <v>FIBR PLAN 1299</v>
      </c>
      <c r="U911" s="1" t="str">
        <f>IFERROR(__xludf.DUMMYFUNCTION("""COMPUTED_VALUE"""),"APPROVED")</f>
        <v>APPROVED</v>
      </c>
      <c r="V911" s="1"/>
      <c r="W911" s="1"/>
    </row>
    <row r="912" customHeight="1" spans="1:23">
      <c r="A912" s="3">
        <f>IFERROR(__xludf.DUMMYFUNCTION("""COMPUTED_VALUE"""),46101)</f>
        <v>46101</v>
      </c>
      <c r="B912" s="1" t="str">
        <f>IFERROR(__xludf.DUMMYFUNCTION("""COMPUTED_VALUE"""),"PALAAC, JAYSON")</f>
        <v>PALAAC, JAYSON</v>
      </c>
      <c r="C912" s="1" t="str">
        <f>IFERROR(__xludf.DUMMYFUNCTION("""COMPUTED_VALUE"""),"ORGANIC")</f>
        <v>ORGANIC</v>
      </c>
      <c r="D912" s="1" t="str">
        <f>IFERROR(__xludf.DUMMYFUNCTION("""COMPUTED_VALUE"""),"ALOS, CHARLS")</f>
        <v>ALOS, CHARLS</v>
      </c>
      <c r="E912" s="1" t="str">
        <f>IFERROR(__xludf.DUMMYFUNCTION("""COMPUTED_VALUE"""),"PLDT")</f>
        <v>PLDT</v>
      </c>
      <c r="F912" s="1">
        <f>IFERROR(__xludf.DUMMYFUNCTION("""COMPUTED_VALUE"""),2308378413)</f>
        <v>2308378413</v>
      </c>
      <c r="G912" s="1"/>
      <c r="H912" s="1" t="str">
        <f>IFERROR(__xludf.DUMMYFUNCTION("""COMPUTED_VALUE"""),"JABREY CLAVO BORROMEO")</f>
        <v>JABREY CLAVO BORROMEO</v>
      </c>
      <c r="I912" s="1">
        <f>IFERROR(__xludf.DUMMYFUNCTION("""COMPUTED_VALUE"""),9637368118)</f>
        <v>9637368118</v>
      </c>
      <c r="J912" s="1"/>
      <c r="K912" s="1" t="str">
        <f>IFERROR(__xludf.DUMMYFUNCTION("""COMPUTED_VALUE"""),"JABREYBORROMEO@GMAIL.COM")</f>
        <v>JABREYBORROMEO@GMAIL.COM</v>
      </c>
      <c r="L912" s="1" t="str">
        <f>IFERROR(__xludf.DUMMYFUNCTION("""COMPUTED_VALUE"""),"17")</f>
        <v>17</v>
      </c>
      <c r="M912" s="1" t="str">
        <f>IFERROR(__xludf.DUMMYFUNCTION("""COMPUTED_VALUE"""),"SITIO PALIGAWAN")</f>
        <v>SITIO PALIGAWAN</v>
      </c>
      <c r="N912" s="1"/>
      <c r="O912" s="1"/>
      <c r="P912" s="1"/>
      <c r="Q912" s="1" t="str">
        <f>IFERROR(__xludf.DUMMYFUNCTION("""COMPUTED_VALUE"""),"LANTIC")</f>
        <v>LANTIC</v>
      </c>
      <c r="R912" s="1" t="str">
        <f>IFERROR(__xludf.DUMMYFUNCTION("""COMPUTED_VALUE"""),"CARMONA")</f>
        <v>CARMONA</v>
      </c>
      <c r="S912" s="1" t="str">
        <f>IFERROR(__xludf.DUMMYFUNCTION("""COMPUTED_VALUE"""),"CAVITE")</f>
        <v>CAVITE</v>
      </c>
      <c r="T912" s="1" t="str">
        <f>IFERROR(__xludf.DUMMYFUNCTION("""COMPUTED_VALUE"""),"FIBR PLAN 1299")</f>
        <v>FIBR PLAN 1299</v>
      </c>
      <c r="U912" s="1" t="str">
        <f>IFERROR(__xludf.DUMMYFUNCTION("""COMPUTED_VALUE"""),"APPROVED")</f>
        <v>APPROVED</v>
      </c>
      <c r="V912" s="1"/>
      <c r="W912" s="1"/>
    </row>
    <row r="913" customHeight="1" spans="1:23">
      <c r="A913" s="3">
        <f>IFERROR(__xludf.DUMMYFUNCTION("""COMPUTED_VALUE"""),46101)</f>
        <v>46101</v>
      </c>
      <c r="B913" s="1" t="str">
        <f>IFERROR(__xludf.DUMMYFUNCTION("""COMPUTED_VALUE"""),"MAÑANITA, ERIKA")</f>
        <v>MAÑANITA, ERIKA</v>
      </c>
      <c r="C913" s="1" t="str">
        <f>IFERROR(__xludf.DUMMYFUNCTION("""COMPUTED_VALUE"""),"ORGANIC")</f>
        <v>ORGANIC</v>
      </c>
      <c r="D913" s="1" t="str">
        <f>IFERROR(__xludf.DUMMYFUNCTION("""COMPUTED_VALUE"""),"ALOS, CHARLS")</f>
        <v>ALOS, CHARLS</v>
      </c>
      <c r="E913" s="1" t="str">
        <f>IFERROR(__xludf.DUMMYFUNCTION("""COMPUTED_VALUE"""),"PLDT")</f>
        <v>PLDT</v>
      </c>
      <c r="F913" s="1">
        <f>IFERROR(__xludf.DUMMYFUNCTION("""COMPUTED_VALUE"""),2308378069)</f>
        <v>2308378069</v>
      </c>
      <c r="G913" s="1"/>
      <c r="H913" s="1" t="str">
        <f>IFERROR(__xludf.DUMMYFUNCTION("""COMPUTED_VALUE"""),"SHULAMITA REYES TABORA")</f>
        <v>SHULAMITA REYES TABORA</v>
      </c>
      <c r="I913" s="1">
        <f>IFERROR(__xludf.DUMMYFUNCTION("""COMPUTED_VALUE"""),9508040596)</f>
        <v>9508040596</v>
      </c>
      <c r="J913" s="1"/>
      <c r="K913" s="1" t="str">
        <f>IFERROR(__xludf.DUMMYFUNCTION("""COMPUTED_VALUE"""),"SHULAMITA.TABORA@GMAIL.COM")</f>
        <v>SHULAMITA.TABORA@GMAIL.COM</v>
      </c>
      <c r="L913" s="1" t="str">
        <f>IFERROR(__xludf.DUMMYFUNCTION("""COMPUTED_VALUE"""),"BLK 35 EXC LOT")</f>
        <v>BLK 35 EXC LOT</v>
      </c>
      <c r="M913" s="1" t="str">
        <f>IFERROR(__xludf.DUMMYFUNCTION("""COMPUTED_VALUE"""),"NARRA 1")</f>
        <v>NARRA 1</v>
      </c>
      <c r="N913" s="1"/>
      <c r="O913" s="1"/>
      <c r="P913" s="1"/>
      <c r="Q913" s="1" t="str">
        <f>IFERROR(__xludf.DUMMYFUNCTION("""COMPUTED_VALUE"""),"NARRA I")</f>
        <v>NARRA I</v>
      </c>
      <c r="R913" s="1" t="str">
        <f>IFERROR(__xludf.DUMMYFUNCTION("""COMPUTED_VALUE"""),"SILANG")</f>
        <v>SILANG</v>
      </c>
      <c r="S913" s="1" t="str">
        <f>IFERROR(__xludf.DUMMYFUNCTION("""COMPUTED_VALUE"""),"CAVITE")</f>
        <v>CAVITE</v>
      </c>
      <c r="T913" s="1" t="str">
        <f>IFERROR(__xludf.DUMMYFUNCTION("""COMPUTED_VALUE"""),"PREPAID FIBER UNLI")</f>
        <v>PREPAID FIBER UNLI</v>
      </c>
      <c r="U913" s="1" t="str">
        <f>IFERROR(__xludf.DUMMYFUNCTION("""COMPUTED_VALUE"""),"APPROVED")</f>
        <v>APPROVED</v>
      </c>
      <c r="V913" s="1"/>
      <c r="W913" s="1"/>
    </row>
    <row r="914" customHeight="1" spans="1:23">
      <c r="A914" s="3">
        <f>IFERROR(__xludf.DUMMYFUNCTION("""COMPUTED_VALUE"""),46102)</f>
        <v>46102</v>
      </c>
      <c r="B914" s="1" t="str">
        <f>IFERROR(__xludf.DUMMYFUNCTION("""COMPUTED_VALUE"""),"CESTINA, CHERRELYN")</f>
        <v>CESTINA, CHERRELYN</v>
      </c>
      <c r="C914" s="1" t="str">
        <f>IFERROR(__xludf.DUMMYFUNCTION("""COMPUTED_VALUE"""),"FLA")</f>
        <v>FLA</v>
      </c>
      <c r="D914" s="1" t="str">
        <f>IFERROR(__xludf.DUMMYFUNCTION("""COMPUTED_VALUE"""),"JERIC NAVARRO")</f>
        <v>JERIC NAVARRO</v>
      </c>
      <c r="E914" s="1" t="str">
        <f>IFERROR(__xludf.DUMMYFUNCTION("""COMPUTED_VALUE"""),"PLDT")</f>
        <v>PLDT</v>
      </c>
      <c r="F914" s="1">
        <f>IFERROR(__xludf.DUMMYFUNCTION("""COMPUTED_VALUE"""),2308386410)</f>
        <v>2308386410</v>
      </c>
      <c r="G914" s="1"/>
      <c r="H914" s="1" t="str">
        <f>IFERROR(__xludf.DUMMYFUNCTION("""COMPUTED_VALUE"""),"NOEL JR MENDIOLA AGUSTIN")</f>
        <v>NOEL JR MENDIOLA AGUSTIN</v>
      </c>
      <c r="I914" s="1">
        <f>IFERROR(__xludf.DUMMYFUNCTION("""COMPUTED_VALUE"""),9859150032)</f>
        <v>9859150032</v>
      </c>
      <c r="J914" s="1">
        <f>IFERROR(__xludf.DUMMYFUNCTION("""COMPUTED_VALUE"""),9761722813)</f>
        <v>9761722813</v>
      </c>
      <c r="K914" s="1" t="str">
        <f>IFERROR(__xludf.DUMMYFUNCTION("""COMPUTED_VALUE"""),"NAGUSTIN25@GMAIL.COM")</f>
        <v>NAGUSTIN25@GMAIL.COM</v>
      </c>
      <c r="L914" s="1" t="str">
        <f>IFERROR(__xludf.DUMMYFUNCTION("""COMPUTED_VALUE"""),"BLK 3 LOT 2")</f>
        <v>BLK 3 LOT 2</v>
      </c>
      <c r="M914" s="1" t="str">
        <f>IFERROR(__xludf.DUMMYFUNCTION("""COMPUTED_VALUE"""),"MONTERA VILLE")</f>
        <v>MONTERA VILLE</v>
      </c>
      <c r="N914" s="1"/>
      <c r="O914" s="1"/>
      <c r="P914" s="1"/>
      <c r="Q914" s="1" t="str">
        <f>IFERROR(__xludf.DUMMYFUNCTION("""COMPUTED_VALUE"""),"SINEGUELASAN")</f>
        <v>SINEGUELASAN</v>
      </c>
      <c r="R914" s="1" t="str">
        <f>IFERROR(__xludf.DUMMYFUNCTION("""COMPUTED_VALUE"""),"BACOOR")</f>
        <v>BACOOR</v>
      </c>
      <c r="S914" s="1" t="str">
        <f>IFERROR(__xludf.DUMMYFUNCTION("""COMPUTED_VALUE"""),"CAVITE")</f>
        <v>CAVITE</v>
      </c>
      <c r="T914" s="1" t="str">
        <f>IFERROR(__xludf.DUMMYFUNCTION("""COMPUTED_VALUE"""),"FIBR UNLI ALL PLAN 1799")</f>
        <v>FIBR UNLI ALL PLAN 1799</v>
      </c>
      <c r="U914" s="1" t="str">
        <f>IFERROR(__xludf.DUMMYFUNCTION("""COMPUTED_VALUE"""),"APPROVED")</f>
        <v>APPROVED</v>
      </c>
      <c r="V914" s="1"/>
      <c r="W914" s="1"/>
    </row>
    <row r="915" customHeight="1" spans="1:23">
      <c r="A915" s="3">
        <f>IFERROR(__xludf.DUMMYFUNCTION("""COMPUTED_VALUE"""),46102)</f>
        <v>46102</v>
      </c>
      <c r="B915" s="1" t="str">
        <f>IFERROR(__xludf.DUMMYFUNCTION("""COMPUTED_VALUE"""),"CESTINA, CHERRELYN")</f>
        <v>CESTINA, CHERRELYN</v>
      </c>
      <c r="C915" s="1" t="str">
        <f>IFERROR(__xludf.DUMMYFUNCTION("""COMPUTED_VALUE"""),"FLA")</f>
        <v>FLA</v>
      </c>
      <c r="D915" s="1" t="str">
        <f>IFERROR(__xludf.DUMMYFUNCTION("""COMPUTED_VALUE"""),"JERIC NAVARRO")</f>
        <v>JERIC NAVARRO</v>
      </c>
      <c r="E915" s="1" t="str">
        <f>IFERROR(__xludf.DUMMYFUNCTION("""COMPUTED_VALUE"""),"PLDT")</f>
        <v>PLDT</v>
      </c>
      <c r="F915" s="1">
        <f>IFERROR(__xludf.DUMMYFUNCTION("""COMPUTED_VALUE"""),2308386035)</f>
        <v>2308386035</v>
      </c>
      <c r="G915" s="1"/>
      <c r="H915" s="1" t="str">
        <f>IFERROR(__xludf.DUMMYFUNCTION("""COMPUTED_VALUE"""),"ALICE FEDERIS UGALDE")</f>
        <v>ALICE FEDERIS UGALDE</v>
      </c>
      <c r="I915" s="1">
        <f>IFERROR(__xludf.DUMMYFUNCTION("""COMPUTED_VALUE"""),9460944943)</f>
        <v>9460944943</v>
      </c>
      <c r="J915" s="1">
        <f>IFERROR(__xludf.DUMMYFUNCTION("""COMPUTED_VALUE"""),9308956857)</f>
        <v>9308956857</v>
      </c>
      <c r="K915" s="1" t="str">
        <f>IFERROR(__xludf.DUMMYFUNCTION("""COMPUTED_VALUE"""),"ALICEUGALDE21@GMAIL.COM")</f>
        <v>ALICEUGALDE21@GMAIL.COM</v>
      </c>
      <c r="L915" s="1" t="str">
        <f>IFERROR(__xludf.DUMMYFUNCTION("""COMPUTED_VALUE"""),"BLK 3 LOT 20")</f>
        <v>BLK 3 LOT 20</v>
      </c>
      <c r="M915" s="1" t="str">
        <f>IFERROR(__xludf.DUMMYFUNCTION("""COMPUTED_VALUE"""),"VALENSIA ST")</f>
        <v>VALENSIA ST</v>
      </c>
      <c r="N915" s="1" t="str">
        <f>IFERROR(__xludf.DUMMYFUNCTION("""COMPUTED_VALUE"""),"MONTEFARO")</f>
        <v>MONTEFARO</v>
      </c>
      <c r="O915" s="1"/>
      <c r="P915" s="1"/>
      <c r="Q915" s="1" t="str">
        <f>IFERROR(__xludf.DUMMYFUNCTION("""COMPUTED_VALUE"""),"CARSADANG BAGO II")</f>
        <v>CARSADANG BAGO II</v>
      </c>
      <c r="R915" s="1" t="str">
        <f>IFERROR(__xludf.DUMMYFUNCTION("""COMPUTED_VALUE"""),"IMUS")</f>
        <v>IMUS</v>
      </c>
      <c r="S915" s="1" t="str">
        <f>IFERROR(__xludf.DUMMYFUNCTION("""COMPUTED_VALUE"""),"CAVITE")</f>
        <v>CAVITE</v>
      </c>
      <c r="T915" s="1" t="str">
        <f>IFERROR(__xludf.DUMMYFUNCTION("""COMPUTED_VALUE"""),"FIBR UNLI ALL PLAN 1799")</f>
        <v>FIBR UNLI ALL PLAN 1799</v>
      </c>
      <c r="U915" s="1" t="str">
        <f>IFERROR(__xludf.DUMMYFUNCTION("""COMPUTED_VALUE"""),"APPROVED")</f>
        <v>APPROVED</v>
      </c>
      <c r="V915" s="1"/>
      <c r="W915" s="1"/>
    </row>
    <row r="916" customHeight="1" spans="1:23">
      <c r="A916" s="3">
        <f>IFERROR(__xludf.DUMMYFUNCTION("""COMPUTED_VALUE"""),46102)</f>
        <v>46102</v>
      </c>
      <c r="B916" s="1" t="str">
        <f>IFERROR(__xludf.DUMMYFUNCTION("""COMPUTED_VALUE"""),"DE VERA, MARIVIC")</f>
        <v>DE VERA, MARIVIC</v>
      </c>
      <c r="C916" s="1" t="str">
        <f>IFERROR(__xludf.DUMMYFUNCTION("""COMPUTED_VALUE"""),"ORGANIC")</f>
        <v>ORGANIC</v>
      </c>
      <c r="D916" s="1" t="str">
        <f>IFERROR(__xludf.DUMMYFUNCTION("""COMPUTED_VALUE"""),"ALINGARO, CINDY")</f>
        <v>ALINGARO, CINDY</v>
      </c>
      <c r="E916" s="1" t="str">
        <f>IFERROR(__xludf.DUMMYFUNCTION("""COMPUTED_VALUE"""),"PLDT")</f>
        <v>PLDT</v>
      </c>
      <c r="F916" s="1">
        <f>IFERROR(__xludf.DUMMYFUNCTION("""COMPUTED_VALUE"""),2308386822)</f>
        <v>2308386822</v>
      </c>
      <c r="G916" s="1"/>
      <c r="H916" s="1" t="str">
        <f>IFERROR(__xludf.DUMMYFUNCTION("""COMPUTED_VALUE"""),"FELICIDAD ROBELLIS DAZ")</f>
        <v>FELICIDAD ROBELLIS DAZ</v>
      </c>
      <c r="I916" s="1">
        <f>IFERROR(__xludf.DUMMYFUNCTION("""COMPUTED_VALUE"""),9156135158)</f>
        <v>9156135158</v>
      </c>
      <c r="J916" s="1"/>
      <c r="K916" s="1" t="str">
        <f>IFERROR(__xludf.DUMMYFUNCTION("""COMPUTED_VALUE"""),"FELY.DAZ@GMAIL.COM")</f>
        <v>FELY.DAZ@GMAIL.COM</v>
      </c>
      <c r="L916" s="1" t="str">
        <f>IFERROR(__xludf.DUMMYFUNCTION("""COMPUTED_VALUE"""),"BLK 10 LOT 4")</f>
        <v>BLK 10 LOT 4</v>
      </c>
      <c r="M916" s="1" t="str">
        <f>IFERROR(__xludf.DUMMYFUNCTION("""COMPUTED_VALUE"""),"PALIGAWAN MATANDA")</f>
        <v>PALIGAWAN MATANDA</v>
      </c>
      <c r="N916" s="1"/>
      <c r="O916" s="1"/>
      <c r="P916" s="1"/>
      <c r="Q916" s="1" t="str">
        <f>IFERROR(__xludf.DUMMYFUNCTION("""COMPUTED_VALUE"""),"LANTIC")</f>
        <v>LANTIC</v>
      </c>
      <c r="R916" s="1" t="str">
        <f>IFERROR(__xludf.DUMMYFUNCTION("""COMPUTED_VALUE"""),"CARMONA")</f>
        <v>CARMONA</v>
      </c>
      <c r="S916" s="1" t="str">
        <f>IFERROR(__xludf.DUMMYFUNCTION("""COMPUTED_VALUE"""),"CAVITE")</f>
        <v>CAVITE</v>
      </c>
      <c r="T916" s="1" t="str">
        <f>IFERROR(__xludf.DUMMYFUNCTION("""COMPUTED_VALUE"""),"FIBR UNLI ALL PLAN 999")</f>
        <v>FIBR UNLI ALL PLAN 999</v>
      </c>
      <c r="U916" s="1" t="str">
        <f>IFERROR(__xludf.DUMMYFUNCTION("""COMPUTED_VALUE"""),"APPROVED")</f>
        <v>APPROVED</v>
      </c>
      <c r="V916" s="1"/>
      <c r="W916" s="1"/>
    </row>
    <row r="917" customHeight="1" spans="1:23">
      <c r="A917" s="3">
        <f>IFERROR(__xludf.DUMMYFUNCTION("""COMPUTED_VALUE"""),46102)</f>
        <v>46102</v>
      </c>
      <c r="B917" s="1" t="str">
        <f>IFERROR(__xludf.DUMMYFUNCTION("""COMPUTED_VALUE"""),"CANTANERO JUNEL")</f>
        <v>CANTANERO JUNEL</v>
      </c>
      <c r="C917" s="1" t="str">
        <f>IFERROR(__xludf.DUMMYFUNCTION("""COMPUTED_VALUE"""),"ORGANIC")</f>
        <v>ORGANIC</v>
      </c>
      <c r="D917" s="1" t="str">
        <f>IFERROR(__xludf.DUMMYFUNCTION("""COMPUTED_VALUE"""),"ALINGARO, CINDY")</f>
        <v>ALINGARO, CINDY</v>
      </c>
      <c r="E917" s="1" t="str">
        <f>IFERROR(__xludf.DUMMYFUNCTION("""COMPUTED_VALUE"""),"PLDT")</f>
        <v>PLDT</v>
      </c>
      <c r="F917" s="1">
        <f>IFERROR(__xludf.DUMMYFUNCTION("""COMPUTED_VALUE"""),2308387195)</f>
        <v>2308387195</v>
      </c>
      <c r="G917" s="1"/>
      <c r="H917" s="1" t="str">
        <f>IFERROR(__xludf.DUMMYFUNCTION("""COMPUTED_VALUE"""),"VERGILIO PENALBA NUESTRO")</f>
        <v>VERGILIO PENALBA NUESTRO</v>
      </c>
      <c r="I917" s="1">
        <f>IFERROR(__xludf.DUMMYFUNCTION("""COMPUTED_VALUE"""),9955110527)</f>
        <v>9955110527</v>
      </c>
      <c r="J917" s="1">
        <f>IFERROR(__xludf.DUMMYFUNCTION("""COMPUTED_VALUE"""),9653663530)</f>
        <v>9653663530</v>
      </c>
      <c r="K917" s="1" t="str">
        <f>IFERROR(__xludf.DUMMYFUNCTION("""COMPUTED_VALUE"""),"NUESTROVIRGILIO521@GMAIL.COM")</f>
        <v>NUESTROVIRGILIO521@GMAIL.COM</v>
      </c>
      <c r="L917" s="1" t="str">
        <f>IFERROR(__xludf.DUMMYFUNCTION("""COMPUTED_VALUE"""),"21")</f>
        <v>21</v>
      </c>
      <c r="M917" s="1" t="str">
        <f>IFERROR(__xludf.DUMMYFUNCTION("""COMPUTED_VALUE"""),"SAINT JOSEPH")</f>
        <v>SAINT JOSEPH</v>
      </c>
      <c r="N917" s="1"/>
      <c r="O917" s="1"/>
      <c r="P917" s="1"/>
      <c r="Q917" s="1" t="str">
        <f>IFERROR(__xludf.DUMMYFUNCTION("""COMPUTED_VALUE"""),"PANUNGYAN II")</f>
        <v>PANUNGYAN II</v>
      </c>
      <c r="R917" s="1" t="str">
        <f>IFERROR(__xludf.DUMMYFUNCTION("""COMPUTED_VALUE"""),"MENDEZ")</f>
        <v>MENDEZ</v>
      </c>
      <c r="S917" s="1" t="str">
        <f>IFERROR(__xludf.DUMMYFUNCTION("""COMPUTED_VALUE"""),"CAVITE")</f>
        <v>CAVITE</v>
      </c>
      <c r="T917" s="1" t="str">
        <f>IFERROR(__xludf.DUMMYFUNCTION("""COMPUTED_VALUE"""),"FIBR NETFLIX PLAN 1599")</f>
        <v>FIBR NETFLIX PLAN 1599</v>
      </c>
      <c r="U917" s="1" t="str">
        <f>IFERROR(__xludf.DUMMYFUNCTION("""COMPUTED_VALUE"""),"APPROVED")</f>
        <v>APPROVED</v>
      </c>
      <c r="V917" s="1"/>
      <c r="W917" s="1"/>
    </row>
    <row r="918" customHeight="1" spans="1:23">
      <c r="A918" s="3">
        <f>IFERROR(__xludf.DUMMYFUNCTION("""COMPUTED_VALUE"""),46102)</f>
        <v>46102</v>
      </c>
      <c r="B918" s="1" t="str">
        <f>IFERROR(__xludf.DUMMYFUNCTION("""COMPUTED_VALUE"""),"AQUINO, LUIS")</f>
        <v>AQUINO, LUIS</v>
      </c>
      <c r="C918" s="1" t="str">
        <f>IFERROR(__xludf.DUMMYFUNCTION("""COMPUTED_VALUE"""),"ORGANIC")</f>
        <v>ORGANIC</v>
      </c>
      <c r="D918" s="1" t="str">
        <f>IFERROR(__xludf.DUMMYFUNCTION("""COMPUTED_VALUE"""),"ALOS, CHARLS")</f>
        <v>ALOS, CHARLS</v>
      </c>
      <c r="E918" s="1" t="str">
        <f>IFERROR(__xludf.DUMMYFUNCTION("""COMPUTED_VALUE"""),"PLDT")</f>
        <v>PLDT</v>
      </c>
      <c r="F918" s="1">
        <f>IFERROR(__xludf.DUMMYFUNCTION("""COMPUTED_VALUE"""),2308387478)</f>
        <v>2308387478</v>
      </c>
      <c r="G918" s="1"/>
      <c r="H918" s="1" t="str">
        <f>IFERROR(__xludf.DUMMYFUNCTION("""COMPUTED_VALUE"""),"MARY ANN VILLACASTIN UBAUB")</f>
        <v>MARY ANN VILLACASTIN UBAUB</v>
      </c>
      <c r="I918" s="1">
        <f>IFERROR(__xludf.DUMMYFUNCTION("""COMPUTED_VALUE"""),9622436249)</f>
        <v>9622436249</v>
      </c>
      <c r="J918" s="1"/>
      <c r="K918" s="1" t="str">
        <f>IFERROR(__xludf.DUMMYFUNCTION("""COMPUTED_VALUE"""),"ANGELAUBUB123@GMAIL.COM")</f>
        <v>ANGELAUBUB123@GMAIL.COM</v>
      </c>
      <c r="L918" s="1" t="str">
        <f>IFERROR(__xludf.DUMMYFUNCTION("""COMPUTED_VALUE"""),"9091")</f>
        <v>9091</v>
      </c>
      <c r="M918" s="1" t="str">
        <f>IFERROR(__xludf.DUMMYFUNCTION("""COMPUTED_VALUE"""),"PALIGAWAN MATANDA")</f>
        <v>PALIGAWAN MATANDA</v>
      </c>
      <c r="N918" s="1"/>
      <c r="O918" s="1"/>
      <c r="P918" s="1"/>
      <c r="Q918" s="1" t="str">
        <f>IFERROR(__xludf.DUMMYFUNCTION("""COMPUTED_VALUE"""),"LANTIC")</f>
        <v>LANTIC</v>
      </c>
      <c r="R918" s="1" t="str">
        <f>IFERROR(__xludf.DUMMYFUNCTION("""COMPUTED_VALUE"""),"CARMONA")</f>
        <v>CARMONA</v>
      </c>
      <c r="S918" s="1" t="str">
        <f>IFERROR(__xludf.DUMMYFUNCTION("""COMPUTED_VALUE"""),"CAVITE")</f>
        <v>CAVITE</v>
      </c>
      <c r="T918" s="1" t="str">
        <f>IFERROR(__xludf.DUMMYFUNCTION("""COMPUTED_VALUE"""),"FIBR UNLI ALL PLAN 1399")</f>
        <v>FIBR UNLI ALL PLAN 1399</v>
      </c>
      <c r="U918" s="1" t="str">
        <f>IFERROR(__xludf.DUMMYFUNCTION("""COMPUTED_VALUE"""),"APPROVED")</f>
        <v>APPROVED</v>
      </c>
      <c r="V918" s="1"/>
      <c r="W918" s="1"/>
    </row>
    <row r="919" customHeight="1" spans="1:23">
      <c r="A919" s="3">
        <f>IFERROR(__xludf.DUMMYFUNCTION("""COMPUTED_VALUE"""),46102)</f>
        <v>46102</v>
      </c>
      <c r="B919" s="1" t="str">
        <f>IFERROR(__xludf.DUMMYFUNCTION("""COMPUTED_VALUE"""),"DE VERA, MARIVIC")</f>
        <v>DE VERA, MARIVIC</v>
      </c>
      <c r="C919" s="1" t="str">
        <f>IFERROR(__xludf.DUMMYFUNCTION("""COMPUTED_VALUE"""),"ORGANIC")</f>
        <v>ORGANIC</v>
      </c>
      <c r="D919" s="1" t="str">
        <f>IFERROR(__xludf.DUMMYFUNCTION("""COMPUTED_VALUE"""),"ALINGARO, CINDY")</f>
        <v>ALINGARO, CINDY</v>
      </c>
      <c r="E919" s="1" t="str">
        <f>IFERROR(__xludf.DUMMYFUNCTION("""COMPUTED_VALUE"""),"PLDT")</f>
        <v>PLDT</v>
      </c>
      <c r="F919" s="1">
        <f>IFERROR(__xludf.DUMMYFUNCTION("""COMPUTED_VALUE"""),2308387782)</f>
        <v>2308387782</v>
      </c>
      <c r="G919" s="1"/>
      <c r="H919" s="1" t="str">
        <f>IFERROR(__xludf.DUMMYFUNCTION("""COMPUTED_VALUE"""),"ALYSSA MAE ARTADI CRUZ")</f>
        <v>ALYSSA MAE ARTADI CRUZ</v>
      </c>
      <c r="I919" s="1">
        <f>IFERROR(__xludf.DUMMYFUNCTION("""COMPUTED_VALUE"""),9178128352)</f>
        <v>9178128352</v>
      </c>
      <c r="J919" s="1"/>
      <c r="K919" s="1" t="str">
        <f>IFERROR(__xludf.DUMMYFUNCTION("""COMPUTED_VALUE"""),"ALYSSAARTABICRUZ@GMAIL.COM")</f>
        <v>ALYSSAARTABICRUZ@GMAIL.COM</v>
      </c>
      <c r="L919" s="1" t="str">
        <f>IFERROR(__xludf.DUMMYFUNCTION("""COMPUTED_VALUE"""),"BLK 4 LOT 15")</f>
        <v>BLK 4 LOT 15</v>
      </c>
      <c r="M919" s="1" t="str">
        <f>IFERROR(__xludf.DUMMYFUNCTION("""COMPUTED_VALUE"""),"SPRINGWOODS")</f>
        <v>SPRINGWOODS</v>
      </c>
      <c r="N919" s="1"/>
      <c r="O919" s="1"/>
      <c r="P919" s="1"/>
      <c r="Q919" s="1" t="str">
        <f>IFERROR(__xludf.DUMMYFUNCTION("""COMPUTED_VALUE"""),"BUKAL")</f>
        <v>BUKAL</v>
      </c>
      <c r="R919" s="1" t="str">
        <f>IFERROR(__xludf.DUMMYFUNCTION("""COMPUTED_VALUE"""),"MENDEZ")</f>
        <v>MENDEZ</v>
      </c>
      <c r="S919" s="1" t="str">
        <f>IFERROR(__xludf.DUMMYFUNCTION("""COMPUTED_VALUE"""),"CAVITE")</f>
        <v>CAVITE</v>
      </c>
      <c r="T919" s="1" t="str">
        <f>IFERROR(__xludf.DUMMYFUNCTION("""COMPUTED_VALUE"""),"FIBR UNLI ALL PLAN 1399")</f>
        <v>FIBR UNLI ALL PLAN 1399</v>
      </c>
      <c r="U919" s="1" t="str">
        <f>IFERROR(__xludf.DUMMYFUNCTION("""COMPUTED_VALUE"""),"APPROVED")</f>
        <v>APPROVED</v>
      </c>
      <c r="V919" s="1"/>
      <c r="W919" s="1"/>
    </row>
    <row r="920" customHeight="1" spans="1:23">
      <c r="A920" s="3">
        <f>IFERROR(__xludf.DUMMYFUNCTION("""COMPUTED_VALUE"""),46102)</f>
        <v>46102</v>
      </c>
      <c r="B920" s="1" t="str">
        <f>IFERROR(__xludf.DUMMYFUNCTION("""COMPUTED_VALUE"""),"GABAY, MANUEL")</f>
        <v>GABAY, MANUEL</v>
      </c>
      <c r="C920" s="1" t="str">
        <f>IFERROR(__xludf.DUMMYFUNCTION("""COMPUTED_VALUE"""),"FLA")</f>
        <v>FLA</v>
      </c>
      <c r="D920" s="1" t="str">
        <f>IFERROR(__xludf.DUMMYFUNCTION("""COMPUTED_VALUE"""),"JERIC NAVARRO")</f>
        <v>JERIC NAVARRO</v>
      </c>
      <c r="E920" s="1" t="str">
        <f>IFERROR(__xludf.DUMMYFUNCTION("""COMPUTED_VALUE"""),"PLDT")</f>
        <v>PLDT</v>
      </c>
      <c r="F920" s="1">
        <f>IFERROR(__xludf.DUMMYFUNCTION("""COMPUTED_VALUE"""),2308388160)</f>
        <v>2308388160</v>
      </c>
      <c r="G920" s="1"/>
      <c r="H920" s="1" t="str">
        <f>IFERROR(__xludf.DUMMYFUNCTION("""COMPUTED_VALUE"""),"IVY DELIVA ALCANTARA")</f>
        <v>IVY DELIVA ALCANTARA</v>
      </c>
      <c r="I920" s="1">
        <f>IFERROR(__xludf.DUMMYFUNCTION("""COMPUTED_VALUE"""),9630325944)</f>
        <v>9630325944</v>
      </c>
      <c r="J920" s="1">
        <f>IFERROR(__xludf.DUMMYFUNCTION("""COMPUTED_VALUE"""),9687926329)</f>
        <v>9687926329</v>
      </c>
      <c r="K920" s="1" t="str">
        <f>IFERROR(__xludf.DUMMYFUNCTION("""COMPUTED_VALUE"""),"ALCANTARAVVVV@GMAIL.COM")</f>
        <v>ALCANTARAVVVV@GMAIL.COM</v>
      </c>
      <c r="L920" s="1" t="str">
        <f>IFERROR(__xludf.DUMMYFUNCTION("""COMPUTED_VALUE"""),"46A")</f>
        <v>46A</v>
      </c>
      <c r="M920" s="1" t="str">
        <f>IFERROR(__xludf.DUMMYFUNCTION("""COMPUTED_VALUE"""),"SAINT JOSEPH")</f>
        <v>SAINT JOSEPH</v>
      </c>
      <c r="N920" s="1"/>
      <c r="O920" s="1"/>
      <c r="P920" s="1"/>
      <c r="Q920" s="1" t="str">
        <f>IFERROR(__xludf.DUMMYFUNCTION("""COMPUTED_VALUE"""),"PANUNGYAN II")</f>
        <v>PANUNGYAN II</v>
      </c>
      <c r="R920" s="1" t="str">
        <f>IFERROR(__xludf.DUMMYFUNCTION("""COMPUTED_VALUE"""),"MENDEZ")</f>
        <v>MENDEZ</v>
      </c>
      <c r="S920" s="1" t="str">
        <f>IFERROR(__xludf.DUMMYFUNCTION("""COMPUTED_VALUE"""),"CAVITE")</f>
        <v>CAVITE</v>
      </c>
      <c r="T920" s="1" t="str">
        <f>IFERROR(__xludf.DUMMYFUNCTION("""COMPUTED_VALUE"""),"FIBR UNLI ALL PLAN 1399")</f>
        <v>FIBR UNLI ALL PLAN 1399</v>
      </c>
      <c r="U920" s="1" t="str">
        <f>IFERROR(__xludf.DUMMYFUNCTION("""COMPUTED_VALUE"""),"APPROVED")</f>
        <v>APPROVED</v>
      </c>
      <c r="V920" s="1"/>
      <c r="W920" s="1"/>
    </row>
    <row r="921" customHeight="1" spans="1:23">
      <c r="A921" s="3">
        <f>IFERROR(__xludf.DUMMYFUNCTION("""COMPUTED_VALUE"""),46102)</f>
        <v>46102</v>
      </c>
      <c r="B921" s="1" t="str">
        <f>IFERROR(__xludf.DUMMYFUNCTION("""COMPUTED_VALUE"""),"MALIWAT MARK ELVIN")</f>
        <v>MALIWAT MARK ELVIN</v>
      </c>
      <c r="C921" s="1" t="str">
        <f>IFERROR(__xludf.DUMMYFUNCTION("""COMPUTED_VALUE"""),"FLA")</f>
        <v>FLA</v>
      </c>
      <c r="D921" s="1" t="str">
        <f>IFERROR(__xludf.DUMMYFUNCTION("""COMPUTED_VALUE"""),"JERIC NAVARRO")</f>
        <v>JERIC NAVARRO</v>
      </c>
      <c r="E921" s="1" t="str">
        <f>IFERROR(__xludf.DUMMYFUNCTION("""COMPUTED_VALUE"""),"PLDT")</f>
        <v>PLDT</v>
      </c>
      <c r="F921" s="1">
        <f>IFERROR(__xludf.DUMMYFUNCTION("""COMPUTED_VALUE"""),2308388391)</f>
        <v>2308388391</v>
      </c>
      <c r="G921" s="1"/>
      <c r="H921" s="1" t="str">
        <f>IFERROR(__xludf.DUMMYFUNCTION("""COMPUTED_VALUE"""),"STEPHEN LAISON TIOZON")</f>
        <v>STEPHEN LAISON TIOZON</v>
      </c>
      <c r="I921" s="1">
        <f>IFERROR(__xludf.DUMMYFUNCTION("""COMPUTED_VALUE"""),9770372490)</f>
        <v>9770372490</v>
      </c>
      <c r="J921" s="1"/>
      <c r="K921" s="1" t="str">
        <f>IFERROR(__xludf.DUMMYFUNCTION("""COMPUTED_VALUE"""),"TIOZONSTEPHENLAISON@GMAIL.COM")</f>
        <v>TIOZONSTEPHENLAISON@GMAIL.COM</v>
      </c>
      <c r="L921" s="1" t="str">
        <f>IFERROR(__xludf.DUMMYFUNCTION("""COMPUTED_VALUE"""),"BLK 18")</f>
        <v>BLK 18</v>
      </c>
      <c r="M921" s="1" t="str">
        <f>IFERROR(__xludf.DUMMYFUNCTION("""COMPUTED_VALUE"""),"EXC LOT")</f>
        <v>EXC LOT</v>
      </c>
      <c r="N921" s="1"/>
      <c r="O921" s="1"/>
      <c r="P921" s="1"/>
      <c r="Q921" s="1" t="str">
        <f>IFERROR(__xludf.DUMMYFUNCTION("""COMPUTED_VALUE"""),"BANABA")</f>
        <v>BANABA</v>
      </c>
      <c r="R921" s="1" t="str">
        <f>IFERROR(__xludf.DUMMYFUNCTION("""COMPUTED_VALUE"""),"SILANG")</f>
        <v>SILANG</v>
      </c>
      <c r="S921" s="1" t="str">
        <f>IFERROR(__xludf.DUMMYFUNCTION("""COMPUTED_VALUE"""),"CAVITE")</f>
        <v>CAVITE</v>
      </c>
      <c r="T921" s="1" t="str">
        <f>IFERROR(__xludf.DUMMYFUNCTION("""COMPUTED_VALUE"""),"PREPAID FIBER UNLI")</f>
        <v>PREPAID FIBER UNLI</v>
      </c>
      <c r="U921" s="1" t="str">
        <f>IFERROR(__xludf.DUMMYFUNCTION("""COMPUTED_VALUE"""),"APPROVED")</f>
        <v>APPROVED</v>
      </c>
      <c r="V921" s="1"/>
      <c r="W921" s="1"/>
    </row>
    <row r="922" customHeight="1" spans="1:23">
      <c r="A922" s="3">
        <f>IFERROR(__xludf.DUMMYFUNCTION("""COMPUTED_VALUE"""),46102)</f>
        <v>46102</v>
      </c>
      <c r="B922" s="1" t="str">
        <f>IFERROR(__xludf.DUMMYFUNCTION("""COMPUTED_VALUE"""),"ESCARCHA, MA ALMA  ESCOTO")</f>
        <v>ESCARCHA, MA ALMA  ESCOTO</v>
      </c>
      <c r="C922" s="1" t="str">
        <f>IFERROR(__xludf.DUMMYFUNCTION("""COMPUTED_VALUE"""),"ORGANIC")</f>
        <v>ORGANIC</v>
      </c>
      <c r="D922" s="1" t="str">
        <f>IFERROR(__xludf.DUMMYFUNCTION("""COMPUTED_VALUE"""),"ALINGARO, CINDY")</f>
        <v>ALINGARO, CINDY</v>
      </c>
      <c r="E922" s="1" t="str">
        <f>IFERROR(__xludf.DUMMYFUNCTION("""COMPUTED_VALUE"""),"PLDT")</f>
        <v>PLDT</v>
      </c>
      <c r="F922" s="1">
        <f>IFERROR(__xludf.DUMMYFUNCTION("""COMPUTED_VALUE"""),2308391948)</f>
        <v>2308391948</v>
      </c>
      <c r="G922" s="1"/>
      <c r="H922" s="1" t="str">
        <f>IFERROR(__xludf.DUMMYFUNCTION("""COMPUTED_VALUE"""),"CAMILLE CARABIO ARCILLA")</f>
        <v>CAMILLE CARABIO ARCILLA</v>
      </c>
      <c r="I922" s="1">
        <f>IFERROR(__xludf.DUMMYFUNCTION("""COMPUTED_VALUE"""),9300458366)</f>
        <v>9300458366</v>
      </c>
      <c r="J922" s="1">
        <f>IFERROR(__xludf.DUMMYFUNCTION("""COMPUTED_VALUE"""),9762363085)</f>
        <v>9762363085</v>
      </c>
      <c r="K922" s="1" t="str">
        <f>IFERROR(__xludf.DUMMYFUNCTION("""COMPUTED_VALUE"""),"ARCILLACAMZ@GMAIL.COM")</f>
        <v>ARCILLACAMZ@GMAIL.COM</v>
      </c>
      <c r="L922" s="1" t="str">
        <f>IFERROR(__xludf.DUMMYFUNCTION("""COMPUTED_VALUE"""),"LOT 8")</f>
        <v>LOT 8</v>
      </c>
      <c r="M922" s="1" t="str">
        <f>IFERROR(__xludf.DUMMYFUNCTION("""COMPUTED_VALUE"""),"PHASE 5")</f>
        <v>PHASE 5</v>
      </c>
      <c r="N922" s="1"/>
      <c r="O922" s="1"/>
      <c r="P922" s="1"/>
      <c r="Q922" s="1" t="str">
        <f>IFERROR(__xludf.DUMMYFUNCTION("""COMPUTED_VALUE"""),"SALABAN")</f>
        <v>SALABAN</v>
      </c>
      <c r="R922" s="1" t="str">
        <f>IFERROR(__xludf.DUMMYFUNCTION("""COMPUTED_VALUE"""),"AMADEO")</f>
        <v>AMADEO</v>
      </c>
      <c r="S922" s="1" t="str">
        <f>IFERROR(__xludf.DUMMYFUNCTION("""COMPUTED_VALUE"""),"CAVITE")</f>
        <v>CAVITE</v>
      </c>
      <c r="T922" s="1" t="str">
        <f>IFERROR(__xludf.DUMMYFUNCTION("""COMPUTED_VALUE"""),"FIBR UNLI ALL PLAN 3199")</f>
        <v>FIBR UNLI ALL PLAN 3199</v>
      </c>
      <c r="U922" s="1" t="str">
        <f>IFERROR(__xludf.DUMMYFUNCTION("""COMPUTED_VALUE"""),"APPROVED")</f>
        <v>APPROVED</v>
      </c>
      <c r="V922" s="1"/>
      <c r="W922" s="1"/>
    </row>
    <row r="923" customHeight="1" spans="1:23">
      <c r="A923" s="3">
        <f>IFERROR(__xludf.DUMMYFUNCTION("""COMPUTED_VALUE"""),46102)</f>
        <v>46102</v>
      </c>
      <c r="B923" s="1" t="str">
        <f>IFERROR(__xludf.DUMMYFUNCTION("""COMPUTED_VALUE"""),"DELA ROSA, JENNELYN")</f>
        <v>DELA ROSA, JENNELYN</v>
      </c>
      <c r="C923" s="1" t="str">
        <f>IFERROR(__xludf.DUMMYFUNCTION("""COMPUTED_VALUE"""),"ORGANIC")</f>
        <v>ORGANIC</v>
      </c>
      <c r="D923" s="1" t="str">
        <f>IFERROR(__xludf.DUMMYFUNCTION("""COMPUTED_VALUE"""),"ALOS, CHARLS")</f>
        <v>ALOS, CHARLS</v>
      </c>
      <c r="E923" s="1" t="str">
        <f>IFERROR(__xludf.DUMMYFUNCTION("""COMPUTED_VALUE"""),"PLDT")</f>
        <v>PLDT</v>
      </c>
      <c r="F923" s="1">
        <f>IFERROR(__xludf.DUMMYFUNCTION("""COMPUTED_VALUE"""),2308392799)</f>
        <v>2308392799</v>
      </c>
      <c r="G923" s="1"/>
      <c r="H923" s="1" t="str">
        <f>IFERROR(__xludf.DUMMYFUNCTION("""COMPUTED_VALUE"""),"REXMAR ESPINA ROBLES")</f>
        <v>REXMAR ESPINA ROBLES</v>
      </c>
      <c r="I923" s="1">
        <f>IFERROR(__xludf.DUMMYFUNCTION("""COMPUTED_VALUE"""),9568508433)</f>
        <v>9568508433</v>
      </c>
      <c r="J923" s="1"/>
      <c r="K923" s="1" t="str">
        <f>IFERROR(__xludf.DUMMYFUNCTION("""COMPUTED_VALUE"""),"REXROBLES@GMAIL.COM")</f>
        <v>REXROBLES@GMAIL.COM</v>
      </c>
      <c r="L923" s="1" t="str">
        <f>IFERROR(__xludf.DUMMYFUNCTION("""COMPUTED_VALUE"""),"71")</f>
        <v>71</v>
      </c>
      <c r="M923" s="1" t="str">
        <f>IFERROR(__xludf.DUMMYFUNCTION("""COMPUTED_VALUE"""),"PALIGAWAN MATANDA")</f>
        <v>PALIGAWAN MATANDA</v>
      </c>
      <c r="N923" s="1"/>
      <c r="O923" s="1"/>
      <c r="P923" s="1"/>
      <c r="Q923" s="1" t="str">
        <f>IFERROR(__xludf.DUMMYFUNCTION("""COMPUTED_VALUE"""),"LANTIC")</f>
        <v>LANTIC</v>
      </c>
      <c r="R923" s="1" t="str">
        <f>IFERROR(__xludf.DUMMYFUNCTION("""COMPUTED_VALUE"""),"CARMONA")</f>
        <v>CARMONA</v>
      </c>
      <c r="S923" s="1" t="str">
        <f>IFERROR(__xludf.DUMMYFUNCTION("""COMPUTED_VALUE"""),"CAVITE")</f>
        <v>CAVITE</v>
      </c>
      <c r="T923" s="1" t="str">
        <f>IFERROR(__xludf.DUMMYFUNCTION("""COMPUTED_VALUE"""),"FIBR UNLI ALL PLAN 1399")</f>
        <v>FIBR UNLI ALL PLAN 1399</v>
      </c>
      <c r="U923" s="1" t="str">
        <f>IFERROR(__xludf.DUMMYFUNCTION("""COMPUTED_VALUE"""),"APPROVED")</f>
        <v>APPROVED</v>
      </c>
      <c r="V923" s="1"/>
      <c r="W923" s="1"/>
    </row>
    <row r="924" customHeight="1" spans="1:23">
      <c r="A924" s="3">
        <f>IFERROR(__xludf.DUMMYFUNCTION("""COMPUTED_VALUE"""),46102)</f>
        <v>46102</v>
      </c>
      <c r="B924" s="1" t="str">
        <f>IFERROR(__xludf.DUMMYFUNCTION("""COMPUTED_VALUE"""),"CABRERA JILLIENE")</f>
        <v>CABRERA JILLIENE</v>
      </c>
      <c r="C924" s="1" t="str">
        <f>IFERROR(__xludf.DUMMYFUNCTION("""COMPUTED_VALUE"""),"ORGANIC")</f>
        <v>ORGANIC</v>
      </c>
      <c r="D924" s="1" t="str">
        <f>IFERROR(__xludf.DUMMYFUNCTION("""COMPUTED_VALUE"""),"ALOS, CHARLS")</f>
        <v>ALOS, CHARLS</v>
      </c>
      <c r="E924" s="1" t="str">
        <f>IFERROR(__xludf.DUMMYFUNCTION("""COMPUTED_VALUE"""),"PLDT")</f>
        <v>PLDT</v>
      </c>
      <c r="F924" s="1">
        <f>IFERROR(__xludf.DUMMYFUNCTION("""COMPUTED_VALUE"""),2308392498)</f>
        <v>2308392498</v>
      </c>
      <c r="G924" s="1"/>
      <c r="H924" s="1" t="str">
        <f>IFERROR(__xludf.DUMMYFUNCTION("""COMPUTED_VALUE"""),"DAISY ROBINO RANON")</f>
        <v>DAISY ROBINO RANON</v>
      </c>
      <c r="I924" s="1">
        <f>IFERROR(__xludf.DUMMYFUNCTION("""COMPUTED_VALUE"""),9157854724)</f>
        <v>9157854724</v>
      </c>
      <c r="J924" s="1"/>
      <c r="K924" s="1" t="str">
        <f>IFERROR(__xludf.DUMMYFUNCTION("""COMPUTED_VALUE"""),"DIANAROSEBINATA535@GMAIL.COM")</f>
        <v>DIANAROSEBINATA535@GMAIL.COM</v>
      </c>
      <c r="L924" s="1" t="str">
        <f>IFERROR(__xludf.DUMMYFUNCTION("""COMPUTED_VALUE"""),"47")</f>
        <v>47</v>
      </c>
      <c r="M924" s="1" t="str">
        <f>IFERROR(__xludf.DUMMYFUNCTION("""COMPUTED_VALUE"""),"PALIGAWAN MATANDA")</f>
        <v>PALIGAWAN MATANDA</v>
      </c>
      <c r="N924" s="1"/>
      <c r="O924" s="1"/>
      <c r="P924" s="1"/>
      <c r="Q924" s="1" t="str">
        <f>IFERROR(__xludf.DUMMYFUNCTION("""COMPUTED_VALUE"""),"LANTIC")</f>
        <v>LANTIC</v>
      </c>
      <c r="R924" s="1" t="str">
        <f>IFERROR(__xludf.DUMMYFUNCTION("""COMPUTED_VALUE"""),"CARMONA")</f>
        <v>CARMONA</v>
      </c>
      <c r="S924" s="1" t="str">
        <f>IFERROR(__xludf.DUMMYFUNCTION("""COMPUTED_VALUE"""),"CAVITE")</f>
        <v>CAVITE</v>
      </c>
      <c r="T924" s="1" t="str">
        <f>IFERROR(__xludf.DUMMYFUNCTION("""COMPUTED_VALUE"""),"FIBR UNLI ALL PLAN 1399")</f>
        <v>FIBR UNLI ALL PLAN 1399</v>
      </c>
      <c r="U924" s="1" t="str">
        <f>IFERROR(__xludf.DUMMYFUNCTION("""COMPUTED_VALUE"""),"APPROVED")</f>
        <v>APPROVED</v>
      </c>
      <c r="V924" s="1"/>
      <c r="W924" s="1"/>
    </row>
    <row r="925" customHeight="1" spans="1:23">
      <c r="A925" s="3">
        <f>IFERROR(__xludf.DUMMYFUNCTION("""COMPUTED_VALUE"""),46102)</f>
        <v>46102</v>
      </c>
      <c r="B925" s="1" t="str">
        <f>IFERROR(__xludf.DUMMYFUNCTION("""COMPUTED_VALUE"""),"ABGAO, LEO TAGANNA")</f>
        <v>ABGAO, LEO TAGANNA</v>
      </c>
      <c r="C925" s="1" t="str">
        <f>IFERROR(__xludf.DUMMYFUNCTION("""COMPUTED_VALUE"""),"ORGANIC")</f>
        <v>ORGANIC</v>
      </c>
      <c r="D925" s="1" t="str">
        <f>IFERROR(__xludf.DUMMYFUNCTION("""COMPUTED_VALUE"""),"ALOS, CHARLS")</f>
        <v>ALOS, CHARLS</v>
      </c>
      <c r="E925" s="1" t="str">
        <f>IFERROR(__xludf.DUMMYFUNCTION("""COMPUTED_VALUE"""),"PLDT")</f>
        <v>PLDT</v>
      </c>
      <c r="F925" s="1">
        <f>IFERROR(__xludf.DUMMYFUNCTION("""COMPUTED_VALUE"""),2308393307)</f>
        <v>2308393307</v>
      </c>
      <c r="G925" s="1"/>
      <c r="H925" s="1" t="str">
        <f>IFERROR(__xludf.DUMMYFUNCTION("""COMPUTED_VALUE"""),"GENELITA GONZALES PATATAG")</f>
        <v>GENELITA GONZALES PATATAG</v>
      </c>
      <c r="I925" s="1">
        <f>IFERROR(__xludf.DUMMYFUNCTION("""COMPUTED_VALUE"""),9535067878)</f>
        <v>9535067878</v>
      </c>
      <c r="J925" s="1"/>
      <c r="K925" s="1" t="str">
        <f>IFERROR(__xludf.DUMMYFUNCTION("""COMPUTED_VALUE"""),"LIBATONGENNELY@GMAIL.COM")</f>
        <v>LIBATONGENNELY@GMAIL.COM</v>
      </c>
      <c r="L925" s="1" t="str">
        <f>IFERROR(__xludf.DUMMYFUNCTION("""COMPUTED_VALUE"""),"BLK 9 LOT 16")</f>
        <v>BLK 9 LOT 16</v>
      </c>
      <c r="M925" s="1" t="str">
        <f>IFERROR(__xludf.DUMMYFUNCTION("""COMPUTED_VALUE"""),"PALIGAWAN MATANDA")</f>
        <v>PALIGAWAN MATANDA</v>
      </c>
      <c r="N925" s="1"/>
      <c r="O925" s="1"/>
      <c r="P925" s="1"/>
      <c r="Q925" s="1" t="str">
        <f>IFERROR(__xludf.DUMMYFUNCTION("""COMPUTED_VALUE"""),"LANTIC")</f>
        <v>LANTIC</v>
      </c>
      <c r="R925" s="1" t="str">
        <f>IFERROR(__xludf.DUMMYFUNCTION("""COMPUTED_VALUE"""),"CARMONA")</f>
        <v>CARMONA</v>
      </c>
      <c r="S925" s="1" t="str">
        <f>IFERROR(__xludf.DUMMYFUNCTION("""COMPUTED_VALUE"""),"CAVITE")</f>
        <v>CAVITE</v>
      </c>
      <c r="T925" s="1" t="str">
        <f>IFERROR(__xludf.DUMMYFUNCTION("""COMPUTED_VALUE"""),"FIBR PLAN 1299")</f>
        <v>FIBR PLAN 1299</v>
      </c>
      <c r="U925" s="1" t="str">
        <f>IFERROR(__xludf.DUMMYFUNCTION("""COMPUTED_VALUE"""),"APPROVED")</f>
        <v>APPROVED</v>
      </c>
      <c r="V925" s="1"/>
      <c r="W925" s="1"/>
    </row>
    <row r="926" customHeight="1" spans="1:23">
      <c r="A926" s="3">
        <f>IFERROR(__xludf.DUMMYFUNCTION("""COMPUTED_VALUE"""),46102)</f>
        <v>46102</v>
      </c>
      <c r="B926" s="1" t="str">
        <f>IFERROR(__xludf.DUMMYFUNCTION("""COMPUTED_VALUE"""),"GABAY, MANUEL")</f>
        <v>GABAY, MANUEL</v>
      </c>
      <c r="C926" s="1" t="str">
        <f>IFERROR(__xludf.DUMMYFUNCTION("""COMPUTED_VALUE"""),"FLA")</f>
        <v>FLA</v>
      </c>
      <c r="D926" s="1" t="str">
        <f>IFERROR(__xludf.DUMMYFUNCTION("""COMPUTED_VALUE"""),"JERIC NAVARRO")</f>
        <v>JERIC NAVARRO</v>
      </c>
      <c r="E926" s="1" t="str">
        <f>IFERROR(__xludf.DUMMYFUNCTION("""COMPUTED_VALUE"""),"PLDT")</f>
        <v>PLDT</v>
      </c>
      <c r="F926" s="1">
        <f>IFERROR(__xludf.DUMMYFUNCTION("""COMPUTED_VALUE"""),2308396084)</f>
        <v>2308396084</v>
      </c>
      <c r="G926" s="1"/>
      <c r="H926" s="1" t="str">
        <f>IFERROR(__xludf.DUMMYFUNCTION("""COMPUTED_VALUE"""),"JAYSON AURE DELOS SANTOS")</f>
        <v>JAYSON AURE DELOS SANTOS</v>
      </c>
      <c r="I926" s="1">
        <f>IFERROR(__xludf.DUMMYFUNCTION("""COMPUTED_VALUE"""),9206051533)</f>
        <v>9206051533</v>
      </c>
      <c r="J926" s="1">
        <f>IFERROR(__xludf.DUMMYFUNCTION("""COMPUTED_VALUE"""),9168646683)</f>
        <v>9168646683</v>
      </c>
      <c r="K926" s="1" t="str">
        <f>IFERROR(__xludf.DUMMYFUNCTION("""COMPUTED_VALUE"""),"PEJIBHELOT@GMAIL.CO")</f>
        <v>PEJIBHELOT@GMAIL.CO</v>
      </c>
      <c r="L926" s="1" t="str">
        <f>IFERROR(__xludf.DUMMYFUNCTION("""COMPUTED_VALUE"""),"45")</f>
        <v>45</v>
      </c>
      <c r="M926" s="1" t="str">
        <f>IFERROR(__xludf.DUMMYFUNCTION("""COMPUTED_VALUE"""),"SAINT JOSEPH")</f>
        <v>SAINT JOSEPH</v>
      </c>
      <c r="N926" s="1"/>
      <c r="O926" s="1"/>
      <c r="P926" s="1"/>
      <c r="Q926" s="1" t="str">
        <f>IFERROR(__xludf.DUMMYFUNCTION("""COMPUTED_VALUE"""),"PANUNGYAN II")</f>
        <v>PANUNGYAN II</v>
      </c>
      <c r="R926" s="1" t="str">
        <f>IFERROR(__xludf.DUMMYFUNCTION("""COMPUTED_VALUE"""),"MENDEZ")</f>
        <v>MENDEZ</v>
      </c>
      <c r="S926" s="1" t="str">
        <f>IFERROR(__xludf.DUMMYFUNCTION("""COMPUTED_VALUE"""),"CAVITE")</f>
        <v>CAVITE</v>
      </c>
      <c r="T926" s="1" t="str">
        <f>IFERROR(__xludf.DUMMYFUNCTION("""COMPUTED_VALUE"""),"FIBR NETFLIX PLAN 1599")</f>
        <v>FIBR NETFLIX PLAN 1599</v>
      </c>
      <c r="U926" s="1" t="str">
        <f>IFERROR(__xludf.DUMMYFUNCTION("""COMPUTED_VALUE"""),"APPROVED")</f>
        <v>APPROVED</v>
      </c>
      <c r="V926" s="1"/>
      <c r="W926" s="1"/>
    </row>
    <row r="927" customHeight="1" spans="1:23">
      <c r="A927" s="3">
        <f>IFERROR(__xludf.DUMMYFUNCTION("""COMPUTED_VALUE"""),46102)</f>
        <v>46102</v>
      </c>
      <c r="B927" s="1" t="str">
        <f>IFERROR(__xludf.DUMMYFUNCTION("""COMPUTED_VALUE"""),"AYON MANUEL")</f>
        <v>AYON MANUEL</v>
      </c>
      <c r="C927" s="1" t="str">
        <f>IFERROR(__xludf.DUMMYFUNCTION("""COMPUTED_VALUE"""),"FLA")</f>
        <v>FLA</v>
      </c>
      <c r="D927" s="1" t="str">
        <f>IFERROR(__xludf.DUMMYFUNCTION("""COMPUTED_VALUE"""),"JERIC NAVARRO")</f>
        <v>JERIC NAVARRO</v>
      </c>
      <c r="E927" s="1" t="str">
        <f>IFERROR(__xludf.DUMMYFUNCTION("""COMPUTED_VALUE"""),"PLDT")</f>
        <v>PLDT</v>
      </c>
      <c r="F927" s="1">
        <f>IFERROR(__xludf.DUMMYFUNCTION("""COMPUTED_VALUE"""),2308393685)</f>
        <v>2308393685</v>
      </c>
      <c r="G927" s="1"/>
      <c r="H927" s="1" t="str">
        <f>IFERROR(__xludf.DUMMYFUNCTION("""COMPUTED_VALUE"""),"YURICO BUENA ARROZAL")</f>
        <v>YURICO BUENA ARROZAL</v>
      </c>
      <c r="I927" s="1">
        <f>IFERROR(__xludf.DUMMYFUNCTION("""COMPUTED_VALUE"""),9694976105)</f>
        <v>9694976105</v>
      </c>
      <c r="J927" s="1">
        <f>IFERROR(__xludf.DUMMYFUNCTION("""COMPUTED_VALUE"""),9665474750)</f>
        <v>9665474750</v>
      </c>
      <c r="K927" s="1" t="str">
        <f>IFERROR(__xludf.DUMMYFUNCTION("""COMPUTED_VALUE"""),"YUMICOAAROZAL1316@GMAIL.COM")</f>
        <v>YUMICOAAROZAL1316@GMAIL.COM</v>
      </c>
      <c r="L927" s="1" t="str">
        <f>IFERROR(__xludf.DUMMYFUNCTION("""COMPUTED_VALUE"""),"9199")</f>
        <v>9199</v>
      </c>
      <c r="M927" s="1" t="str">
        <f>IFERROR(__xludf.DUMMYFUNCTION("""COMPUTED_VALUE"""),"ARKANHEL ST")</f>
        <v>ARKANHEL ST</v>
      </c>
      <c r="N927" s="1" t="str">
        <f>IFERROR(__xludf.DUMMYFUNCTION("""COMPUTED_VALUE"""),"PAYAPA SUBS")</f>
        <v>PAYAPA SUBS</v>
      </c>
      <c r="O927" s="1"/>
      <c r="P927" s="1"/>
      <c r="Q927" s="1" t="str">
        <f>IFERROR(__xludf.DUMMYFUNCTION("""COMPUTED_VALUE"""),"GALICIA III")</f>
        <v>GALICIA III</v>
      </c>
      <c r="R927" s="1" t="str">
        <f>IFERROR(__xludf.DUMMYFUNCTION("""COMPUTED_VALUE"""),"MENDEZ")</f>
        <v>MENDEZ</v>
      </c>
      <c r="S927" s="1" t="str">
        <f>IFERROR(__xludf.DUMMYFUNCTION("""COMPUTED_VALUE"""),"CAVITE")</f>
        <v>CAVITE</v>
      </c>
      <c r="T927" s="1" t="str">
        <f>IFERROR(__xludf.DUMMYFUNCTION("""COMPUTED_VALUE"""),"FIBR NETFLIX PLAN 1599")</f>
        <v>FIBR NETFLIX PLAN 1599</v>
      </c>
      <c r="U927" s="1" t="str">
        <f>IFERROR(__xludf.DUMMYFUNCTION("""COMPUTED_VALUE"""),"APPROVED")</f>
        <v>APPROVED</v>
      </c>
      <c r="V927" s="1"/>
      <c r="W927" s="1"/>
    </row>
    <row r="928" customHeight="1" spans="1:23">
      <c r="A928" s="3">
        <f>IFERROR(__xludf.DUMMYFUNCTION("""COMPUTED_VALUE"""),46102)</f>
        <v>46102</v>
      </c>
      <c r="B928" s="1" t="str">
        <f>IFERROR(__xludf.DUMMYFUNCTION("""COMPUTED_VALUE"""),"FERNANDEZ JERIC")</f>
        <v>FERNANDEZ JERIC</v>
      </c>
      <c r="C928" s="1" t="str">
        <f>IFERROR(__xludf.DUMMYFUNCTION("""COMPUTED_VALUE"""),"ORGANIC")</f>
        <v>ORGANIC</v>
      </c>
      <c r="D928" s="1" t="str">
        <f>IFERROR(__xludf.DUMMYFUNCTION("""COMPUTED_VALUE"""),"ALOS, CHARLS")</f>
        <v>ALOS, CHARLS</v>
      </c>
      <c r="E928" s="1" t="str">
        <f>IFERROR(__xludf.DUMMYFUNCTION("""COMPUTED_VALUE"""),"PLDT")</f>
        <v>PLDT</v>
      </c>
      <c r="F928" s="1">
        <f>IFERROR(__xludf.DUMMYFUNCTION("""COMPUTED_VALUE"""),2308393983)</f>
        <v>2308393983</v>
      </c>
      <c r="G928" s="1"/>
      <c r="H928" s="1" t="str">
        <f>IFERROR(__xludf.DUMMYFUNCTION("""COMPUTED_VALUE"""),"EMMANUEL ESPARTINEZ MONZALES")</f>
        <v>EMMANUEL ESPARTINEZ MONZALES</v>
      </c>
      <c r="I928" s="1">
        <f>IFERROR(__xludf.DUMMYFUNCTION("""COMPUTED_VALUE"""),9569547368)</f>
        <v>9569547368</v>
      </c>
      <c r="J928" s="1"/>
      <c r="K928" s="1" t="str">
        <f>IFERROR(__xludf.DUMMYFUNCTION("""COMPUTED_VALUE"""),"EMMANUELMONZALES.IT@GMAIL.COM")</f>
        <v>EMMANUELMONZALES.IT@GMAIL.COM</v>
      </c>
      <c r="L928" s="1" t="str">
        <f>IFERROR(__xludf.DUMMYFUNCTION("""COMPUTED_VALUE"""),"BLK 12 LOT 2")</f>
        <v>BLK 12 LOT 2</v>
      </c>
      <c r="M928" s="1" t="str">
        <f>IFERROR(__xludf.DUMMYFUNCTION("""COMPUTED_VALUE"""),"PALIGAWAN MATANDA")</f>
        <v>PALIGAWAN MATANDA</v>
      </c>
      <c r="N928" s="1"/>
      <c r="O928" s="1"/>
      <c r="P928" s="1"/>
      <c r="Q928" s="1" t="str">
        <f>IFERROR(__xludf.DUMMYFUNCTION("""COMPUTED_VALUE"""),"LANTIC")</f>
        <v>LANTIC</v>
      </c>
      <c r="R928" s="1" t="str">
        <f>IFERROR(__xludf.DUMMYFUNCTION("""COMPUTED_VALUE"""),"CARMONA")</f>
        <v>CARMONA</v>
      </c>
      <c r="S928" s="1" t="str">
        <f>IFERROR(__xludf.DUMMYFUNCTION("""COMPUTED_VALUE"""),"CAVITE")</f>
        <v>CAVITE</v>
      </c>
      <c r="T928" s="1" t="str">
        <f>IFERROR(__xludf.DUMMYFUNCTION("""COMPUTED_VALUE"""),"FIBR UNLI ALL PLAN 1399")</f>
        <v>FIBR UNLI ALL PLAN 1399</v>
      </c>
      <c r="U928" s="1" t="str">
        <f>IFERROR(__xludf.DUMMYFUNCTION("""COMPUTED_VALUE"""),"APPROVED")</f>
        <v>APPROVED</v>
      </c>
      <c r="V928" s="1"/>
      <c r="W928" s="1"/>
    </row>
    <row r="929" customHeight="1" spans="1:23">
      <c r="A929" s="3">
        <f>IFERROR(__xludf.DUMMYFUNCTION("""COMPUTED_VALUE"""),46102)</f>
        <v>46102</v>
      </c>
      <c r="B929" s="1" t="str">
        <f>IFERROR(__xludf.DUMMYFUNCTION("""COMPUTED_VALUE"""),"MAGDARAOG, KENNETH")</f>
        <v>MAGDARAOG, KENNETH</v>
      </c>
      <c r="C929" s="1" t="str">
        <f>IFERROR(__xludf.DUMMYFUNCTION("""COMPUTED_VALUE"""),"ORGANIC")</f>
        <v>ORGANIC</v>
      </c>
      <c r="D929" s="1" t="str">
        <f>IFERROR(__xludf.DUMMYFUNCTION("""COMPUTED_VALUE"""),"ALINGARO, CINDY")</f>
        <v>ALINGARO, CINDY</v>
      </c>
      <c r="E929" s="1" t="str">
        <f>IFERROR(__xludf.DUMMYFUNCTION("""COMPUTED_VALUE"""),"PLDT")</f>
        <v>PLDT</v>
      </c>
      <c r="F929" s="1">
        <f>IFERROR(__xludf.DUMMYFUNCTION("""COMPUTED_VALUE"""),2308394813)</f>
        <v>2308394813</v>
      </c>
      <c r="G929" s="1"/>
      <c r="H929" s="1" t="str">
        <f>IFERROR(__xludf.DUMMYFUNCTION("""COMPUTED_VALUE"""),"RONNIE SOSA PEREY")</f>
        <v>RONNIE SOSA PEREY</v>
      </c>
      <c r="I929" s="1">
        <f>IFERROR(__xludf.DUMMYFUNCTION("""COMPUTED_VALUE"""),9533847872)</f>
        <v>9533847872</v>
      </c>
      <c r="J929" s="1">
        <f>IFERROR(__xludf.DUMMYFUNCTION("""COMPUTED_VALUE"""),9761486126)</f>
        <v>9761486126</v>
      </c>
      <c r="K929" s="1" t="str">
        <f>IFERROR(__xludf.DUMMYFUNCTION("""COMPUTED_VALUE"""),"JADEPEREY545@GMAIL.COM")</f>
        <v>JADEPEREY545@GMAIL.COM</v>
      </c>
      <c r="L929" s="1" t="str">
        <f>IFERROR(__xludf.DUMMYFUNCTION("""COMPUTED_VALUE"""),"13")</f>
        <v>13</v>
      </c>
      <c r="M929" s="1" t="str">
        <f>IFERROR(__xludf.DUMMYFUNCTION("""COMPUTED_VALUE"""),"DAANG BANAYAD")</f>
        <v>DAANG BANAYAD</v>
      </c>
      <c r="N929" s="1"/>
      <c r="O929" s="1"/>
      <c r="P929" s="1"/>
      <c r="Q929" s="1" t="str">
        <f>IFERROR(__xludf.DUMMYFUNCTION("""COMPUTED_VALUE"""),"MIGUEL MOJICA")</f>
        <v>MIGUEL MOJICA</v>
      </c>
      <c r="R929" s="1" t="str">
        <f>IFERROR(__xludf.DUMMYFUNCTION("""COMPUTED_VALUE"""),"MENDEZ")</f>
        <v>MENDEZ</v>
      </c>
      <c r="S929" s="1" t="str">
        <f>IFERROR(__xludf.DUMMYFUNCTION("""COMPUTED_VALUE"""),"CAVITE")</f>
        <v>CAVITE</v>
      </c>
      <c r="T929" s="1" t="str">
        <f>IFERROR(__xludf.DUMMYFUNCTION("""COMPUTED_VALUE"""),"FIBR PLAN 1299")</f>
        <v>FIBR PLAN 1299</v>
      </c>
      <c r="U929" s="1" t="str">
        <f>IFERROR(__xludf.DUMMYFUNCTION("""COMPUTED_VALUE"""),"APPROVED")</f>
        <v>APPROVED</v>
      </c>
      <c r="V929" s="1"/>
      <c r="W929" s="1"/>
    </row>
    <row r="930" customHeight="1" spans="1:23">
      <c r="A930" s="3">
        <f>IFERROR(__xludf.DUMMYFUNCTION("""COMPUTED_VALUE"""),46102)</f>
        <v>46102</v>
      </c>
      <c r="B930" s="1" t="str">
        <f>IFERROR(__xludf.DUMMYFUNCTION("""COMPUTED_VALUE"""),"AQUINO, LUIS")</f>
        <v>AQUINO, LUIS</v>
      </c>
      <c r="C930" s="1" t="str">
        <f>IFERROR(__xludf.DUMMYFUNCTION("""COMPUTED_VALUE"""),"ORGANIC")</f>
        <v>ORGANIC</v>
      </c>
      <c r="D930" s="1" t="str">
        <f>IFERROR(__xludf.DUMMYFUNCTION("""COMPUTED_VALUE"""),"ALOS, CHARLS")</f>
        <v>ALOS, CHARLS</v>
      </c>
      <c r="E930" s="1" t="str">
        <f>IFERROR(__xludf.DUMMYFUNCTION("""COMPUTED_VALUE"""),"PLDT")</f>
        <v>PLDT</v>
      </c>
      <c r="F930" s="1">
        <f>IFERROR(__xludf.DUMMYFUNCTION("""COMPUTED_VALUE"""),2308394376)</f>
        <v>2308394376</v>
      </c>
      <c r="G930" s="1"/>
      <c r="H930" s="1" t="str">
        <f>IFERROR(__xludf.DUMMYFUNCTION("""COMPUTED_VALUE"""),"ELOISA DONOR MAGRACIA")</f>
        <v>ELOISA DONOR MAGRACIA</v>
      </c>
      <c r="I930" s="1">
        <f>IFERROR(__xludf.DUMMYFUNCTION("""COMPUTED_VALUE"""),9279334818)</f>
        <v>9279334818</v>
      </c>
      <c r="J930" s="1"/>
      <c r="K930" s="1" t="str">
        <f>IFERROR(__xludf.DUMMYFUNCTION("""COMPUTED_VALUE"""),"ELOISAMAGRACIA03@GMAIL.COM")</f>
        <v>ELOISAMAGRACIA03@GMAIL.COM</v>
      </c>
      <c r="L930" s="1" t="str">
        <f>IFERROR(__xludf.DUMMYFUNCTION("""COMPUTED_VALUE"""),"19375")</f>
        <v>19375</v>
      </c>
      <c r="M930" s="1" t="str">
        <f>IFERROR(__xludf.DUMMYFUNCTION("""COMPUTED_VALUE"""),"PHASE 2A")</f>
        <v>PHASE 2A</v>
      </c>
      <c r="N930" s="1" t="str">
        <f>IFERROR(__xludf.DUMMYFUNCTION("""COMPUTED_VALUE"""),"PABAHAY")</f>
        <v>PABAHAY</v>
      </c>
      <c r="O930" s="1"/>
      <c r="P930" s="1"/>
      <c r="Q930" s="1" t="str">
        <f>IFERROR(__xludf.DUMMYFUNCTION("""COMPUTED_VALUE"""),"KAYBAGAL CENTRAL")</f>
        <v>KAYBAGAL CENTRAL</v>
      </c>
      <c r="R930" s="1" t="str">
        <f>IFERROR(__xludf.DUMMYFUNCTION("""COMPUTED_VALUE"""),"TAGAYTAY")</f>
        <v>TAGAYTAY</v>
      </c>
      <c r="S930" s="1" t="str">
        <f>IFERROR(__xludf.DUMMYFUNCTION("""COMPUTED_VALUE"""),"CAVITE")</f>
        <v>CAVITE</v>
      </c>
      <c r="T930" s="1" t="str">
        <f>IFERROR(__xludf.DUMMYFUNCTION("""COMPUTED_VALUE"""),"FIBR UNLI ALL PLAN 999")</f>
        <v>FIBR UNLI ALL PLAN 999</v>
      </c>
      <c r="U930" s="1" t="str">
        <f>IFERROR(__xludf.DUMMYFUNCTION("""COMPUTED_VALUE"""),"APPROVED")</f>
        <v>APPROVED</v>
      </c>
      <c r="V930" s="1"/>
      <c r="W930" s="1"/>
    </row>
    <row r="931" customHeight="1" spans="1:23">
      <c r="A931" s="3">
        <f>IFERROR(__xludf.DUMMYFUNCTION("""COMPUTED_VALUE"""),46102)</f>
        <v>46102</v>
      </c>
      <c r="B931" s="1" t="str">
        <f>IFERROR(__xludf.DUMMYFUNCTION("""COMPUTED_VALUE"""),"MAÑANITA, ERIKA")</f>
        <v>MAÑANITA, ERIKA</v>
      </c>
      <c r="C931" s="1" t="str">
        <f>IFERROR(__xludf.DUMMYFUNCTION("""COMPUTED_VALUE"""),"ORGANIC")</f>
        <v>ORGANIC</v>
      </c>
      <c r="D931" s="1" t="str">
        <f>IFERROR(__xludf.DUMMYFUNCTION("""COMPUTED_VALUE"""),"ALOS, CHARLS")</f>
        <v>ALOS, CHARLS</v>
      </c>
      <c r="E931" s="1" t="str">
        <f>IFERROR(__xludf.DUMMYFUNCTION("""COMPUTED_VALUE"""),"PLDT")</f>
        <v>PLDT</v>
      </c>
      <c r="F931" s="1">
        <f>IFERROR(__xludf.DUMMYFUNCTION("""COMPUTED_VALUE"""),2308395729)</f>
        <v>2308395729</v>
      </c>
      <c r="G931" s="1"/>
      <c r="H931" s="1" t="str">
        <f>IFERROR(__xludf.DUMMYFUNCTION("""COMPUTED_VALUE"""),"JOSIE LISA LONEZA APORA")</f>
        <v>JOSIE LISA LONEZA APORA</v>
      </c>
      <c r="I931" s="1">
        <f>IFERROR(__xludf.DUMMYFUNCTION("""COMPUTED_VALUE"""),9195700093)</f>
        <v>9195700093</v>
      </c>
      <c r="J931" s="1"/>
      <c r="K931" s="1" t="str">
        <f>IFERROR(__xludf.DUMMYFUNCTION("""COMPUTED_VALUE"""),"APORALIZA@GMAIL.COM")</f>
        <v>APORALIZA@GMAIL.COM</v>
      </c>
      <c r="L931" s="1" t="str">
        <f>IFERROR(__xludf.DUMMYFUNCTION("""COMPUTED_VALUE"""),"1740")</f>
        <v>1740</v>
      </c>
      <c r="M931" s="1" t="str">
        <f>IFERROR(__xludf.DUMMYFUNCTION("""COMPUTED_VALUE"""),"SAN PEDRO ST")</f>
        <v>SAN PEDRO ST</v>
      </c>
      <c r="N931" s="1"/>
      <c r="O931" s="1"/>
      <c r="P931" s="1"/>
      <c r="Q931" s="1" t="str">
        <f>IFERROR(__xludf.DUMMYFUNCTION("""COMPUTED_VALUE"""),"BUCAL")</f>
        <v>BUCAL</v>
      </c>
      <c r="R931" s="1" t="str">
        <f>IFERROR(__xludf.DUMMYFUNCTION("""COMPUTED_VALUE"""),"MENDEZ")</f>
        <v>MENDEZ</v>
      </c>
      <c r="S931" s="1" t="str">
        <f>IFERROR(__xludf.DUMMYFUNCTION("""COMPUTED_VALUE"""),"CAVITE")</f>
        <v>CAVITE</v>
      </c>
      <c r="T931" s="1" t="str">
        <f>IFERROR(__xludf.DUMMYFUNCTION("""COMPUTED_VALUE"""),"FIBR PLAN 1299")</f>
        <v>FIBR PLAN 1299</v>
      </c>
      <c r="U931" s="1" t="str">
        <f>IFERROR(__xludf.DUMMYFUNCTION("""COMPUTED_VALUE"""),"APPROVED")</f>
        <v>APPROVED</v>
      </c>
      <c r="V931" s="1"/>
      <c r="W931" s="1"/>
    </row>
    <row r="932" customHeight="1" spans="1:23">
      <c r="A932" s="3">
        <f>IFERROR(__xludf.DUMMYFUNCTION("""COMPUTED_VALUE"""),46102)</f>
        <v>46102</v>
      </c>
      <c r="B932" s="1" t="str">
        <f>IFERROR(__xludf.DUMMYFUNCTION("""COMPUTED_VALUE"""),"FARO, REFRANTA")</f>
        <v>FARO, REFRANTA</v>
      </c>
      <c r="C932" s="1" t="str">
        <f>IFERROR(__xludf.DUMMYFUNCTION("""COMPUTED_VALUE"""),"ORGANIC")</f>
        <v>ORGANIC</v>
      </c>
      <c r="D932" s="1" t="str">
        <f>IFERROR(__xludf.DUMMYFUNCTION("""COMPUTED_VALUE"""),"ALINGARO, CINDY")</f>
        <v>ALINGARO, CINDY</v>
      </c>
      <c r="E932" s="1" t="str">
        <f>IFERROR(__xludf.DUMMYFUNCTION("""COMPUTED_VALUE"""),"PLDT")</f>
        <v>PLDT</v>
      </c>
      <c r="F932" s="1">
        <f>IFERROR(__xludf.DUMMYFUNCTION("""COMPUTED_VALUE"""),2308396366)</f>
        <v>2308396366</v>
      </c>
      <c r="G932" s="1"/>
      <c r="H932" s="1" t="str">
        <f>IFERROR(__xludf.DUMMYFUNCTION("""COMPUTED_VALUE"""),"BRYAN ARINGO BENITO")</f>
        <v>BRYAN ARINGO BENITO</v>
      </c>
      <c r="I932" s="1">
        <f>IFERROR(__xludf.DUMMYFUNCTION("""COMPUTED_VALUE"""),9702202741)</f>
        <v>9702202741</v>
      </c>
      <c r="J932" s="1"/>
      <c r="K932" s="1" t="str">
        <f>IFERROR(__xludf.DUMMYFUNCTION("""COMPUTED_VALUE"""),"PAMELABENITOCE05@GMAIL.COM")</f>
        <v>PAMELABENITOCE05@GMAIL.COM</v>
      </c>
      <c r="L932" s="1" t="str">
        <f>IFERROR(__xludf.DUMMYFUNCTION("""COMPUTED_VALUE"""),"BLK 39")</f>
        <v>BLK 39</v>
      </c>
      <c r="M932" s="1" t="str">
        <f>IFERROR(__xludf.DUMMYFUNCTION("""COMPUTED_VALUE"""),"EXC LOT")</f>
        <v>EXC LOT</v>
      </c>
      <c r="N932" s="1"/>
      <c r="O932" s="1"/>
      <c r="P932" s="1"/>
      <c r="Q932" s="1" t="str">
        <f>IFERROR(__xludf.DUMMYFUNCTION("""COMPUTED_VALUE"""),"BANABA")</f>
        <v>BANABA</v>
      </c>
      <c r="R932" s="1" t="str">
        <f>IFERROR(__xludf.DUMMYFUNCTION("""COMPUTED_VALUE"""),"SILANG")</f>
        <v>SILANG</v>
      </c>
      <c r="S932" s="1" t="str">
        <f>IFERROR(__xludf.DUMMYFUNCTION("""COMPUTED_VALUE"""),"CAVITE")</f>
        <v>CAVITE</v>
      </c>
      <c r="T932" s="1" t="str">
        <f>IFERROR(__xludf.DUMMYFUNCTION("""COMPUTED_VALUE"""),"FIBR UNLI ALL PLAN 1399")</f>
        <v>FIBR UNLI ALL PLAN 1399</v>
      </c>
      <c r="U932" s="1" t="str">
        <f>IFERROR(__xludf.DUMMYFUNCTION("""COMPUTED_VALUE"""),"APPROVED")</f>
        <v>APPROVED</v>
      </c>
      <c r="V932" s="1"/>
      <c r="W932" s="1"/>
    </row>
    <row r="933" customHeight="1" spans="1:23">
      <c r="A933" s="3">
        <f>IFERROR(__xludf.DUMMYFUNCTION("""COMPUTED_VALUE"""),46102)</f>
        <v>46102</v>
      </c>
      <c r="B933" s="1" t="str">
        <f>IFERROR(__xludf.DUMMYFUNCTION("""COMPUTED_VALUE"""),"FARO, REFRANTA")</f>
        <v>FARO, REFRANTA</v>
      </c>
      <c r="C933" s="1" t="str">
        <f>IFERROR(__xludf.DUMMYFUNCTION("""COMPUTED_VALUE"""),"ORGANIC")</f>
        <v>ORGANIC</v>
      </c>
      <c r="D933" s="1" t="str">
        <f>IFERROR(__xludf.DUMMYFUNCTION("""COMPUTED_VALUE"""),"ALINGARO, CINDY")</f>
        <v>ALINGARO, CINDY</v>
      </c>
      <c r="E933" s="1" t="str">
        <f>IFERROR(__xludf.DUMMYFUNCTION("""COMPUTED_VALUE"""),"PLDT")</f>
        <v>PLDT</v>
      </c>
      <c r="F933" s="1">
        <f>IFERROR(__xludf.DUMMYFUNCTION("""COMPUTED_VALUE"""),2308396731)</f>
        <v>2308396731</v>
      </c>
      <c r="G933" s="1"/>
      <c r="H933" s="1" t="str">
        <f>IFERROR(__xludf.DUMMYFUNCTION("""COMPUTED_VALUE"""),"ANGEL LIAN CEZAR")</f>
        <v>ANGEL LIAN CEZAR</v>
      </c>
      <c r="I933" s="1">
        <f>IFERROR(__xludf.DUMMYFUNCTION("""COMPUTED_VALUE"""),9929329026)</f>
        <v>9929329026</v>
      </c>
      <c r="J933" s="1"/>
      <c r="K933" s="1" t="str">
        <f>IFERROR(__xludf.DUMMYFUNCTION("""COMPUTED_VALUE"""),"ANGEL-LIAN6@GMAIL.COM")</f>
        <v>ANGEL-LIAN6@GMAIL.COM</v>
      </c>
      <c r="L933" s="1" t="str">
        <f>IFERROR(__xludf.DUMMYFUNCTION("""COMPUTED_VALUE"""),"BLK 14 LOT 10")</f>
        <v>BLK 14 LOT 10</v>
      </c>
      <c r="M933" s="1" t="str">
        <f>IFERROR(__xludf.DUMMYFUNCTION("""COMPUTED_VALUE"""),"BUKLURAN 4")</f>
        <v>BUKLURAN 4</v>
      </c>
      <c r="N933" s="1"/>
      <c r="O933" s="1"/>
      <c r="P933" s="1"/>
      <c r="Q933" s="1" t="str">
        <f>IFERROR(__xludf.DUMMYFUNCTION("""COMPUTED_VALUE"""),"BULIHAN")</f>
        <v>BULIHAN</v>
      </c>
      <c r="R933" s="1" t="str">
        <f>IFERROR(__xludf.DUMMYFUNCTION("""COMPUTED_VALUE"""),"SILANG")</f>
        <v>SILANG</v>
      </c>
      <c r="S933" s="1" t="str">
        <f>IFERROR(__xludf.DUMMYFUNCTION("""COMPUTED_VALUE"""),"CAVITE")</f>
        <v>CAVITE</v>
      </c>
      <c r="T933" s="1" t="str">
        <f>IFERROR(__xludf.DUMMYFUNCTION("""COMPUTED_VALUE"""),"FIBR PLAN 1299")</f>
        <v>FIBR PLAN 1299</v>
      </c>
      <c r="U933" s="1" t="str">
        <f>IFERROR(__xludf.DUMMYFUNCTION("""COMPUTED_VALUE"""),"APPROVED")</f>
        <v>APPROVED</v>
      </c>
      <c r="V933" s="1"/>
      <c r="W933" s="1"/>
    </row>
    <row r="934" customHeight="1" spans="1:23">
      <c r="A934" s="3">
        <f>IFERROR(__xludf.DUMMYFUNCTION("""COMPUTED_VALUE"""),46102)</f>
        <v>46102</v>
      </c>
      <c r="B934" s="1" t="str">
        <f>IFERROR(__xludf.DUMMYFUNCTION("""COMPUTED_VALUE"""),"MALIWAT MARK ELVIN")</f>
        <v>MALIWAT MARK ELVIN</v>
      </c>
      <c r="C934" s="1" t="str">
        <f>IFERROR(__xludf.DUMMYFUNCTION("""COMPUTED_VALUE"""),"FLA")</f>
        <v>FLA</v>
      </c>
      <c r="D934" s="1" t="str">
        <f>IFERROR(__xludf.DUMMYFUNCTION("""COMPUTED_VALUE"""),"JERIC NAVARRO")</f>
        <v>JERIC NAVARRO</v>
      </c>
      <c r="E934" s="1" t="str">
        <f>IFERROR(__xludf.DUMMYFUNCTION("""COMPUTED_VALUE"""),"PLDT")</f>
        <v>PLDT</v>
      </c>
      <c r="F934" s="1">
        <f>IFERROR(__xludf.DUMMYFUNCTION("""COMPUTED_VALUE"""),2308396944)</f>
        <v>2308396944</v>
      </c>
      <c r="G934" s="1"/>
      <c r="H934" s="1" t="str">
        <f>IFERROR(__xludf.DUMMYFUNCTION("""COMPUTED_VALUE"""),"DIMPLE CLARIZE HERRADURA RAMIREZ")</f>
        <v>DIMPLE CLARIZE HERRADURA RAMIREZ</v>
      </c>
      <c r="I934" s="1">
        <f>IFERROR(__xludf.DUMMYFUNCTION("""COMPUTED_VALUE"""),9985207332)</f>
        <v>9985207332</v>
      </c>
      <c r="J934" s="1"/>
      <c r="K934" s="1" t="str">
        <f>IFERROR(__xludf.DUMMYFUNCTION("""COMPUTED_VALUE"""),"DEXRAMIREZ@GMAIL.COM")</f>
        <v>DEXRAMIREZ@GMAIL.COM</v>
      </c>
      <c r="L934" s="1" t="str">
        <f>IFERROR(__xludf.DUMMYFUNCTION("""COMPUTED_VALUE"""),"BLK 4 LOT 7")</f>
        <v>BLK 4 LOT 7</v>
      </c>
      <c r="M934" s="1" t="str">
        <f>IFERROR(__xludf.DUMMYFUNCTION("""COMPUTED_VALUE"""),"HONESTY ")</f>
        <v>HONESTY </v>
      </c>
      <c r="N934" s="1"/>
      <c r="O934" s="1"/>
      <c r="P934" s="1"/>
      <c r="Q934" s="1" t="str">
        <f>IFERROR(__xludf.DUMMYFUNCTION("""COMPUTED_VALUE"""),"MABUHAY")</f>
        <v>MABUHAY</v>
      </c>
      <c r="R934" s="1" t="str">
        <f>IFERROR(__xludf.DUMMYFUNCTION("""COMPUTED_VALUE"""),"CARMONA")</f>
        <v>CARMONA</v>
      </c>
      <c r="S934" s="1" t="str">
        <f>IFERROR(__xludf.DUMMYFUNCTION("""COMPUTED_VALUE"""),"CAVITE")</f>
        <v>CAVITE</v>
      </c>
      <c r="T934" s="1" t="str">
        <f>IFERROR(__xludf.DUMMYFUNCTION("""COMPUTED_VALUE"""),"FIBR PLAN 1299")</f>
        <v>FIBR PLAN 1299</v>
      </c>
      <c r="U934" s="1" t="str">
        <f>IFERROR(__xludf.DUMMYFUNCTION("""COMPUTED_VALUE"""),"APPROVED")</f>
        <v>APPROVED</v>
      </c>
      <c r="V934" s="1"/>
      <c r="W934" s="1"/>
    </row>
    <row r="935" customHeight="1" spans="1:23">
      <c r="A935" s="3">
        <f>IFERROR(__xludf.DUMMYFUNCTION("""COMPUTED_VALUE"""),46103)</f>
        <v>46103</v>
      </c>
      <c r="B935" s="1" t="str">
        <f>IFERROR(__xludf.DUMMYFUNCTION("""COMPUTED_VALUE"""),"PALAAC, JAYSON")</f>
        <v>PALAAC, JAYSON</v>
      </c>
      <c r="C935" s="1" t="str">
        <f>IFERROR(__xludf.DUMMYFUNCTION("""COMPUTED_VALUE"""),"ORGANIC")</f>
        <v>ORGANIC</v>
      </c>
      <c r="D935" s="1" t="str">
        <f>IFERROR(__xludf.DUMMYFUNCTION("""COMPUTED_VALUE"""),"ALOS, CHARLS")</f>
        <v>ALOS, CHARLS</v>
      </c>
      <c r="E935" s="1" t="str">
        <f>IFERROR(__xludf.DUMMYFUNCTION("""COMPUTED_VALUE"""),"PLDT")</f>
        <v>PLDT</v>
      </c>
      <c r="F935" s="1">
        <f>IFERROR(__xludf.DUMMYFUNCTION("""COMPUTED_VALUE"""),2308403963)</f>
        <v>2308403963</v>
      </c>
      <c r="G935" s="1"/>
      <c r="H935" s="1" t="str">
        <f>IFERROR(__xludf.DUMMYFUNCTION("""COMPUTED_VALUE"""),"MYRAVI ALTAREZ MAQUINAY")</f>
        <v>MYRAVI ALTAREZ MAQUINAY</v>
      </c>
      <c r="I935" s="1">
        <f>IFERROR(__xludf.DUMMYFUNCTION("""COMPUTED_VALUE"""),9196574796)</f>
        <v>9196574796</v>
      </c>
      <c r="J935" s="1">
        <f>IFERROR(__xludf.DUMMYFUNCTION("""COMPUTED_VALUE"""),9207219053)</f>
        <v>9207219053</v>
      </c>
      <c r="K935" s="1" t="str">
        <f>IFERROR(__xludf.DUMMYFUNCTION("""COMPUTED_VALUE"""),"MARAVIMAQUINAY@GMAIL.COM")</f>
        <v>MARAVIMAQUINAY@GMAIL.COM</v>
      </c>
      <c r="L935" s="1" t="str">
        <f>IFERROR(__xludf.DUMMYFUNCTION("""COMPUTED_VALUE"""),"BLK 7 LOT 13")</f>
        <v>BLK 7 LOT 13</v>
      </c>
      <c r="M935" s="1" t="str">
        <f>IFERROR(__xludf.DUMMYFUNCTION("""COMPUTED_VALUE"""),"PALIGAWAN MATANDA")</f>
        <v>PALIGAWAN MATANDA</v>
      </c>
      <c r="N935" s="1"/>
      <c r="O935" s="1"/>
      <c r="P935" s="1"/>
      <c r="Q935" s="1" t="str">
        <f>IFERROR(__xludf.DUMMYFUNCTION("""COMPUTED_VALUE"""),"LANTIC")</f>
        <v>LANTIC</v>
      </c>
      <c r="R935" s="1" t="str">
        <f>IFERROR(__xludf.DUMMYFUNCTION("""COMPUTED_VALUE"""),"CARMONA")</f>
        <v>CARMONA</v>
      </c>
      <c r="S935" s="1" t="str">
        <f>IFERROR(__xludf.DUMMYFUNCTION("""COMPUTED_VALUE"""),"CAVITE")</f>
        <v>CAVITE</v>
      </c>
      <c r="T935" s="1" t="str">
        <f>IFERROR(__xludf.DUMMYFUNCTION("""COMPUTED_VALUE"""),"FIBR UNLI ALL PLAN 1399")</f>
        <v>FIBR UNLI ALL PLAN 1399</v>
      </c>
      <c r="U935" s="1" t="str">
        <f>IFERROR(__xludf.DUMMYFUNCTION("""COMPUTED_VALUE"""),"APPROVED")</f>
        <v>APPROVED</v>
      </c>
      <c r="V935" s="1"/>
      <c r="W935" s="1"/>
    </row>
    <row r="936" customHeight="1" spans="1:23">
      <c r="A936" s="3">
        <f>IFERROR(__xludf.DUMMYFUNCTION("""COMPUTED_VALUE"""),46103)</f>
        <v>46103</v>
      </c>
      <c r="B936" s="1" t="str">
        <f>IFERROR(__xludf.DUMMYFUNCTION("""COMPUTED_VALUE"""),"AQUINO, LUIS")</f>
        <v>AQUINO, LUIS</v>
      </c>
      <c r="C936" s="1" t="str">
        <f>IFERROR(__xludf.DUMMYFUNCTION("""COMPUTED_VALUE"""),"ORGANIC")</f>
        <v>ORGANIC</v>
      </c>
      <c r="D936" s="1" t="str">
        <f>IFERROR(__xludf.DUMMYFUNCTION("""COMPUTED_VALUE"""),"ALOS, CHARLS")</f>
        <v>ALOS, CHARLS</v>
      </c>
      <c r="E936" s="1" t="str">
        <f>IFERROR(__xludf.DUMMYFUNCTION("""COMPUTED_VALUE"""),"PLDT")</f>
        <v>PLDT</v>
      </c>
      <c r="F936" s="1">
        <f>IFERROR(__xludf.DUMMYFUNCTION("""COMPUTED_VALUE"""),2308404700)</f>
        <v>2308404700</v>
      </c>
      <c r="G936" s="1"/>
      <c r="H936" s="1" t="str">
        <f>IFERROR(__xludf.DUMMYFUNCTION("""COMPUTED_VALUE"""),"JONVEE CRUZAT CRUEL")</f>
        <v>JONVEE CRUZAT CRUEL</v>
      </c>
      <c r="I936" s="1">
        <f>IFERROR(__xludf.DUMMYFUNCTION("""COMPUTED_VALUE"""),9509129862)</f>
        <v>9509129862</v>
      </c>
      <c r="J936" s="1">
        <f>IFERROR(__xludf.DUMMYFUNCTION("""COMPUTED_VALUE"""),9634680332)</f>
        <v>9634680332</v>
      </c>
      <c r="K936" s="1" t="str">
        <f>IFERROR(__xludf.DUMMYFUNCTION("""COMPUTED_VALUE"""),"JONVEECRUEL14@GMAIL.COM")</f>
        <v>JONVEECRUEL14@GMAIL.COM</v>
      </c>
      <c r="L936" s="1" t="str">
        <f>IFERROR(__xludf.DUMMYFUNCTION("""COMPUTED_VALUE"""),"BLK 7 LOT 20")</f>
        <v>BLK 7 LOT 20</v>
      </c>
      <c r="M936" s="1" t="str">
        <f>IFERROR(__xludf.DUMMYFUNCTION("""COMPUTED_VALUE"""),"PALIGAWAN MATANDA")</f>
        <v>PALIGAWAN MATANDA</v>
      </c>
      <c r="N936" s="1"/>
      <c r="O936" s="1"/>
      <c r="P936" s="1"/>
      <c r="Q936" s="1" t="str">
        <f>IFERROR(__xludf.DUMMYFUNCTION("""COMPUTED_VALUE"""),"LANTIC")</f>
        <v>LANTIC</v>
      </c>
      <c r="R936" s="1" t="str">
        <f>IFERROR(__xludf.DUMMYFUNCTION("""COMPUTED_VALUE"""),"CARMONA")</f>
        <v>CARMONA</v>
      </c>
      <c r="S936" s="1" t="str">
        <f>IFERROR(__xludf.DUMMYFUNCTION("""COMPUTED_VALUE"""),"CAVITE")</f>
        <v>CAVITE</v>
      </c>
      <c r="T936" s="1" t="str">
        <f>IFERROR(__xludf.DUMMYFUNCTION("""COMPUTED_VALUE"""),"FIBR UNLI ALL PLAN 999")</f>
        <v>FIBR UNLI ALL PLAN 999</v>
      </c>
      <c r="U936" s="1" t="str">
        <f>IFERROR(__xludf.DUMMYFUNCTION("""COMPUTED_VALUE"""),"APPROVED")</f>
        <v>APPROVED</v>
      </c>
      <c r="V936" s="1"/>
      <c r="W936" s="1"/>
    </row>
    <row r="937" customHeight="1" spans="1:23">
      <c r="A937" s="3">
        <f>IFERROR(__xludf.DUMMYFUNCTION("""COMPUTED_VALUE"""),46103)</f>
        <v>46103</v>
      </c>
      <c r="B937" s="1" t="str">
        <f>IFERROR(__xludf.DUMMYFUNCTION("""COMPUTED_VALUE"""),"CANTANERO JUNEL")</f>
        <v>CANTANERO JUNEL</v>
      </c>
      <c r="C937" s="1" t="str">
        <f>IFERROR(__xludf.DUMMYFUNCTION("""COMPUTED_VALUE"""),"ORGANIC")</f>
        <v>ORGANIC</v>
      </c>
      <c r="D937" s="1" t="str">
        <f>IFERROR(__xludf.DUMMYFUNCTION("""COMPUTED_VALUE"""),"ALINGARO, CINDY")</f>
        <v>ALINGARO, CINDY</v>
      </c>
      <c r="E937" s="1" t="str">
        <f>IFERROR(__xludf.DUMMYFUNCTION("""COMPUTED_VALUE"""),"PLDT")</f>
        <v>PLDT</v>
      </c>
      <c r="F937" s="1">
        <f>IFERROR(__xludf.DUMMYFUNCTION("""COMPUTED_VALUE"""),2308408227)</f>
        <v>2308408227</v>
      </c>
      <c r="G937" s="1"/>
      <c r="H937" s="1" t="str">
        <f>IFERROR(__xludf.DUMMYFUNCTION("""COMPUTED_VALUE"""),"ROSSELYN CASIPI LACHICA")</f>
        <v>ROSSELYN CASIPI LACHICA</v>
      </c>
      <c r="I937" s="1">
        <f>IFERROR(__xludf.DUMMYFUNCTION("""COMPUTED_VALUE"""),9263891832)</f>
        <v>9263891832</v>
      </c>
      <c r="J937" s="1"/>
      <c r="K937" s="1" t="str">
        <f>IFERROR(__xludf.DUMMYFUNCTION("""COMPUTED_VALUE"""),"ROSELYNLACHICA21@GMAIL.COM")</f>
        <v>ROSELYNLACHICA21@GMAIL.COM</v>
      </c>
      <c r="L937" s="1" t="str">
        <f>IFERROR(__xludf.DUMMYFUNCTION("""COMPUTED_VALUE"""),"3")</f>
        <v>3</v>
      </c>
      <c r="M937" s="1" t="str">
        <f>IFERROR(__xludf.DUMMYFUNCTION("""COMPUTED_VALUE"""),"PUBLIC MARKET")</f>
        <v>PUBLIC MARKET</v>
      </c>
      <c r="N937" s="1"/>
      <c r="O937" s="1"/>
      <c r="P937" s="1"/>
      <c r="Q937" s="1" t="str">
        <f>IFERROR(__xludf.DUMMYFUNCTION("""COMPUTED_VALUE"""),"GALICIA II")</f>
        <v>GALICIA II</v>
      </c>
      <c r="R937" s="1" t="str">
        <f>IFERROR(__xludf.DUMMYFUNCTION("""COMPUTED_VALUE"""),"MENDEZ")</f>
        <v>MENDEZ</v>
      </c>
      <c r="S937" s="1" t="str">
        <f>IFERROR(__xludf.DUMMYFUNCTION("""COMPUTED_VALUE"""),"CAVITE")</f>
        <v>CAVITE</v>
      </c>
      <c r="T937" s="1" t="str">
        <f>IFERROR(__xludf.DUMMYFUNCTION("""COMPUTED_VALUE"""),"PREPAID FIBER UNLI")</f>
        <v>PREPAID FIBER UNLI</v>
      </c>
      <c r="U937" s="1" t="str">
        <f>IFERROR(__xludf.DUMMYFUNCTION("""COMPUTED_VALUE"""),"APPROVED")</f>
        <v>APPROVED</v>
      </c>
      <c r="V937" s="1"/>
      <c r="W937" s="1"/>
    </row>
    <row r="938" customHeight="1" spans="1:23">
      <c r="A938" s="3">
        <f>IFERROR(__xludf.DUMMYFUNCTION("""COMPUTED_VALUE"""),46103)</f>
        <v>46103</v>
      </c>
      <c r="B938" s="1" t="str">
        <f>IFERROR(__xludf.DUMMYFUNCTION("""COMPUTED_VALUE"""),"NAVARRO, JERIC")</f>
        <v>NAVARRO, JERIC</v>
      </c>
      <c r="C938" s="1" t="str">
        <f>IFERROR(__xludf.DUMMYFUNCTION("""COMPUTED_VALUE"""),"FLA")</f>
        <v>FLA</v>
      </c>
      <c r="D938" s="1" t="str">
        <f>IFERROR(__xludf.DUMMYFUNCTION("""COMPUTED_VALUE"""),"JERIC NAVARRO")</f>
        <v>JERIC NAVARRO</v>
      </c>
      <c r="E938" s="1" t="str">
        <f>IFERROR(__xludf.DUMMYFUNCTION("""COMPUTED_VALUE"""),"PLDT")</f>
        <v>PLDT</v>
      </c>
      <c r="F938" s="1">
        <f>IFERROR(__xludf.DUMMYFUNCTION("""COMPUTED_VALUE"""),2308408652)</f>
        <v>2308408652</v>
      </c>
      <c r="G938" s="1"/>
      <c r="H938" s="1" t="str">
        <f>IFERROR(__xludf.DUMMYFUNCTION("""COMPUTED_VALUE"""),"JAN REI LADERO CRUZ")</f>
        <v>JAN REI LADERO CRUZ</v>
      </c>
      <c r="I938" s="1">
        <f>IFERROR(__xludf.DUMMYFUNCTION("""COMPUTED_VALUE"""),9664764013)</f>
        <v>9664764013</v>
      </c>
      <c r="J938" s="1">
        <f>IFERROR(__xludf.DUMMYFUNCTION("""COMPUTED_VALUE"""),9199258064)</f>
        <v>9199258064</v>
      </c>
      <c r="K938" s="1" t="str">
        <f>IFERROR(__xludf.DUMMYFUNCTION("""COMPUTED_VALUE"""),"JANRIECRUZ@GMAL.COM")</f>
        <v>JANRIECRUZ@GMAL.COM</v>
      </c>
      <c r="L938" s="1" t="str">
        <f>IFERROR(__xludf.DUMMYFUNCTION("""COMPUTED_VALUE"""),"39")</f>
        <v>39</v>
      </c>
      <c r="M938" s="1" t="str">
        <f>IFERROR(__xludf.DUMMYFUNCTION("""COMPUTED_VALUE"""),"PUROK 205")</f>
        <v>PUROK 205</v>
      </c>
      <c r="N938" s="1"/>
      <c r="O938" s="1"/>
      <c r="P938" s="1"/>
      <c r="Q938" s="1" t="str">
        <f>IFERROR(__xludf.DUMMYFUNCTION("""COMPUTED_VALUE"""),"PALIGAWAN")</f>
        <v>PALIGAWAN</v>
      </c>
      <c r="R938" s="1" t="str">
        <f>IFERROR(__xludf.DUMMYFUNCTION("""COMPUTED_VALUE"""),"SILANG")</f>
        <v>SILANG</v>
      </c>
      <c r="S938" s="1" t="str">
        <f>IFERROR(__xludf.DUMMYFUNCTION("""COMPUTED_VALUE"""),"CAVITE")</f>
        <v>CAVITE</v>
      </c>
      <c r="T938" s="1" t="str">
        <f>IFERROR(__xludf.DUMMYFUNCTION("""COMPUTED_VALUE"""),"PREPAID FIBER UNLI")</f>
        <v>PREPAID FIBER UNLI</v>
      </c>
      <c r="U938" s="1" t="str">
        <f>IFERROR(__xludf.DUMMYFUNCTION("""COMPUTED_VALUE"""),"APPROVED")</f>
        <v>APPROVED</v>
      </c>
      <c r="V938" s="1"/>
      <c r="W938" s="1"/>
    </row>
    <row r="939" customHeight="1" spans="1:23">
      <c r="A939" s="3">
        <f>IFERROR(__xludf.DUMMYFUNCTION("""COMPUTED_VALUE"""),46103)</f>
        <v>46103</v>
      </c>
      <c r="B939" s="1" t="str">
        <f>IFERROR(__xludf.DUMMYFUNCTION("""COMPUTED_VALUE"""),"ABGAO, LEO TAGANNA")</f>
        <v>ABGAO, LEO TAGANNA</v>
      </c>
      <c r="C939" s="1" t="str">
        <f>IFERROR(__xludf.DUMMYFUNCTION("""COMPUTED_VALUE"""),"ORGANIC")</f>
        <v>ORGANIC</v>
      </c>
      <c r="D939" s="1" t="str">
        <f>IFERROR(__xludf.DUMMYFUNCTION("""COMPUTED_VALUE"""),"ALOS, CHARLS")</f>
        <v>ALOS, CHARLS</v>
      </c>
      <c r="E939" s="1" t="str">
        <f>IFERROR(__xludf.DUMMYFUNCTION("""COMPUTED_VALUE"""),"PLDT")</f>
        <v>PLDT</v>
      </c>
      <c r="F939" s="1">
        <f>IFERROR(__xludf.DUMMYFUNCTION("""COMPUTED_VALUE"""),2308408981)</f>
        <v>2308408981</v>
      </c>
      <c r="G939" s="1"/>
      <c r="H939" s="1" t="str">
        <f>IFERROR(__xludf.DUMMYFUNCTION("""COMPUTED_VALUE"""),"ARIEL SAMAN INCISO")</f>
        <v>ARIEL SAMAN INCISO</v>
      </c>
      <c r="I939" s="1">
        <f>IFERROR(__xludf.DUMMYFUNCTION("""COMPUTED_VALUE"""),9390262525)</f>
        <v>9390262525</v>
      </c>
      <c r="J939" s="1"/>
      <c r="K939" s="1" t="str">
        <f>IFERROR(__xludf.DUMMYFUNCTION("""COMPUTED_VALUE"""),"INCISOARIEL@GMAIL.COM")</f>
        <v>INCISOARIEL@GMAIL.COM</v>
      </c>
      <c r="L939" s="1" t="str">
        <f>IFERROR(__xludf.DUMMYFUNCTION("""COMPUTED_VALUE"""),"BLK 10 LOT 19")</f>
        <v>BLK 10 LOT 19</v>
      </c>
      <c r="M939" s="1" t="str">
        <f>IFERROR(__xludf.DUMMYFUNCTION("""COMPUTED_VALUE"""),"PALIGAWAN MATANDA")</f>
        <v>PALIGAWAN MATANDA</v>
      </c>
      <c r="N939" s="1"/>
      <c r="O939" s="1"/>
      <c r="P939" s="1"/>
      <c r="Q939" s="1" t="str">
        <f>IFERROR(__xludf.DUMMYFUNCTION("""COMPUTED_VALUE"""),"LANTIC")</f>
        <v>LANTIC</v>
      </c>
      <c r="R939" s="1" t="str">
        <f>IFERROR(__xludf.DUMMYFUNCTION("""COMPUTED_VALUE"""),"CARMONA")</f>
        <v>CARMONA</v>
      </c>
      <c r="S939" s="1" t="str">
        <f>IFERROR(__xludf.DUMMYFUNCTION("""COMPUTED_VALUE"""),"CAVITE")</f>
        <v>CAVITE</v>
      </c>
      <c r="T939" s="1" t="str">
        <f>IFERROR(__xludf.DUMMYFUNCTION("""COMPUTED_VALUE"""),"FIBR NETFLIX PLAN 1599")</f>
        <v>FIBR NETFLIX PLAN 1599</v>
      </c>
      <c r="U939" s="1" t="str">
        <f>IFERROR(__xludf.DUMMYFUNCTION("""COMPUTED_VALUE"""),"APPROVED")</f>
        <v>APPROVED</v>
      </c>
      <c r="V939" s="1"/>
      <c r="W939" s="1"/>
    </row>
    <row r="940" customHeight="1" spans="1:23">
      <c r="A940" s="3">
        <f>IFERROR(__xludf.DUMMYFUNCTION("""COMPUTED_VALUE"""),46103)</f>
        <v>46103</v>
      </c>
      <c r="B940" s="1" t="str">
        <f>IFERROR(__xludf.DUMMYFUNCTION("""COMPUTED_VALUE"""),"GABAY, MANUEL")</f>
        <v>GABAY, MANUEL</v>
      </c>
      <c r="C940" s="1" t="str">
        <f>IFERROR(__xludf.DUMMYFUNCTION("""COMPUTED_VALUE"""),"FLA")</f>
        <v>FLA</v>
      </c>
      <c r="D940" s="1" t="str">
        <f>IFERROR(__xludf.DUMMYFUNCTION("""COMPUTED_VALUE"""),"JERIC NAVARRO")</f>
        <v>JERIC NAVARRO</v>
      </c>
      <c r="E940" s="1" t="str">
        <f>IFERROR(__xludf.DUMMYFUNCTION("""COMPUTED_VALUE"""),"PLDT")</f>
        <v>PLDT</v>
      </c>
      <c r="F940" s="1">
        <f>IFERROR(__xludf.DUMMYFUNCTION("""COMPUTED_VALUE"""),2308409603)</f>
        <v>2308409603</v>
      </c>
      <c r="G940" s="1"/>
      <c r="H940" s="1" t="str">
        <f>IFERROR(__xludf.DUMMYFUNCTION("""COMPUTED_VALUE"""),"JUNAR IBARRA LABRIAGA")</f>
        <v>JUNAR IBARRA LABRIAGA</v>
      </c>
      <c r="I940" s="1">
        <f>IFERROR(__xludf.DUMMYFUNCTION("""COMPUTED_VALUE"""),9260564960)</f>
        <v>9260564960</v>
      </c>
      <c r="J940" s="1">
        <f>IFERROR(__xludf.DUMMYFUNCTION("""COMPUTED_VALUE"""),9096212488)</f>
        <v>9096212488</v>
      </c>
      <c r="K940" s="1" t="str">
        <f>IFERROR(__xludf.DUMMYFUNCTION("""COMPUTED_VALUE"""),"MYLENEMUROJO@GMAIL.COM")</f>
        <v>MYLENEMUROJO@GMAIL.COM</v>
      </c>
      <c r="L940" s="1" t="str">
        <f>IFERROR(__xludf.DUMMYFUNCTION("""COMPUTED_VALUE"""),"97")</f>
        <v>97</v>
      </c>
      <c r="M940" s="1" t="str">
        <f>IFERROR(__xludf.DUMMYFUNCTION("""COMPUTED_VALUE"""),"MATRO")</f>
        <v>MATRO</v>
      </c>
      <c r="N940" s="1"/>
      <c r="O940" s="1"/>
      <c r="P940" s="1"/>
      <c r="Q940" s="1" t="str">
        <f>IFERROR(__xludf.DUMMYFUNCTION("""COMPUTED_VALUE"""),"TIBIG")</f>
        <v>TIBIG</v>
      </c>
      <c r="R940" s="1" t="str">
        <f>IFERROR(__xludf.DUMMYFUNCTION("""COMPUTED_VALUE"""),"SILANG")</f>
        <v>SILANG</v>
      </c>
      <c r="S940" s="1" t="str">
        <f>IFERROR(__xludf.DUMMYFUNCTION("""COMPUTED_VALUE"""),"CAVITE")</f>
        <v>CAVITE</v>
      </c>
      <c r="T940" s="1" t="str">
        <f>IFERROR(__xludf.DUMMYFUNCTION("""COMPUTED_VALUE"""),"FIBR UNLI ALL PLAN 1399")</f>
        <v>FIBR UNLI ALL PLAN 1399</v>
      </c>
      <c r="U940" s="1" t="str">
        <f>IFERROR(__xludf.DUMMYFUNCTION("""COMPUTED_VALUE"""),"APPROVED")</f>
        <v>APPROVED</v>
      </c>
      <c r="V940" s="1"/>
      <c r="W940" s="1"/>
    </row>
    <row r="941" customHeight="1" spans="1:23">
      <c r="A941" s="3">
        <f>IFERROR(__xludf.DUMMYFUNCTION("""COMPUTED_VALUE"""),46103)</f>
        <v>46103</v>
      </c>
      <c r="B941" s="1" t="str">
        <f>IFERROR(__xludf.DUMMYFUNCTION("""COMPUTED_VALUE"""),"AYON MANUEL")</f>
        <v>AYON MANUEL</v>
      </c>
      <c r="C941" s="1" t="str">
        <f>IFERROR(__xludf.DUMMYFUNCTION("""COMPUTED_VALUE"""),"FLA")</f>
        <v>FLA</v>
      </c>
      <c r="D941" s="1" t="str">
        <f>IFERROR(__xludf.DUMMYFUNCTION("""COMPUTED_VALUE"""),"JERIC NAVARRO")</f>
        <v>JERIC NAVARRO</v>
      </c>
      <c r="E941" s="1" t="str">
        <f>IFERROR(__xludf.DUMMYFUNCTION("""COMPUTED_VALUE"""),"PLDT")</f>
        <v>PLDT</v>
      </c>
      <c r="F941" s="1">
        <f>IFERROR(__xludf.DUMMYFUNCTION("""COMPUTED_VALUE"""),2308411039)</f>
        <v>2308411039</v>
      </c>
      <c r="G941" s="1"/>
      <c r="H941" s="1" t="str">
        <f>IFERROR(__xludf.DUMMYFUNCTION("""COMPUTED_VALUE"""),"HIDDEN RIDGE CAFE")</f>
        <v>HIDDEN RIDGE CAFE</v>
      </c>
      <c r="I941" s="1">
        <f>IFERROR(__xludf.DUMMYFUNCTION("""COMPUTED_VALUE"""),9159761819)</f>
        <v>9159761819</v>
      </c>
      <c r="J941" s="1">
        <f>IFERROR(__xludf.DUMMYFUNCTION("""COMPUTED_VALUE"""),9509354914)</f>
        <v>9509354914</v>
      </c>
      <c r="K941" s="1" t="str">
        <f>IFERROR(__xludf.DUMMYFUNCTION("""COMPUTED_VALUE"""),"HIDDENRIGDE2023@GMAIL.COM")</f>
        <v>HIDDENRIGDE2023@GMAIL.COM</v>
      </c>
      <c r="L941" s="1" t="str">
        <f>IFERROR(__xludf.DUMMYFUNCTION("""COMPUTED_VALUE"""),"15852-C-2")</f>
        <v>15852-C-2</v>
      </c>
      <c r="M941" s="1" t="str">
        <f>IFERROR(__xludf.DUMMYFUNCTION("""COMPUTED_VALUE"""),"TOLENTINO ST")</f>
        <v>TOLENTINO ST</v>
      </c>
      <c r="N941" s="1"/>
      <c r="O941" s="1"/>
      <c r="P941" s="1"/>
      <c r="Q941" s="1" t="str">
        <f>IFERROR(__xludf.DUMMYFUNCTION("""COMPUTED_VALUE"""),"PUTING KAHOY")</f>
        <v>PUTING KAHOY</v>
      </c>
      <c r="R941" s="1" t="str">
        <f>IFERROR(__xludf.DUMMYFUNCTION("""COMPUTED_VALUE"""),"SILANG")</f>
        <v>SILANG</v>
      </c>
      <c r="S941" s="1" t="str">
        <f>IFERROR(__xludf.DUMMYFUNCTION("""COMPUTED_VALUE"""),"CAVITE")</f>
        <v>CAVITE</v>
      </c>
      <c r="T941" s="1" t="str">
        <f>IFERROR(__xludf.DUMMYFUNCTION("""COMPUTED_VALUE"""),"HOME BIZ PLAN 1299")</f>
        <v>HOME BIZ PLAN 1299</v>
      </c>
      <c r="U941" s="1" t="str">
        <f>IFERROR(__xludf.DUMMYFUNCTION("""COMPUTED_VALUE"""),"APPROVED")</f>
        <v>APPROVED</v>
      </c>
      <c r="V941" s="1"/>
      <c r="W941" s="1"/>
    </row>
    <row r="942" customHeight="1" spans="1:23">
      <c r="A942" s="3">
        <f>IFERROR(__xludf.DUMMYFUNCTION("""COMPUTED_VALUE"""),46103)</f>
        <v>46103</v>
      </c>
      <c r="B942" s="1" t="str">
        <f>IFERROR(__xludf.DUMMYFUNCTION("""COMPUTED_VALUE"""),"FERNANDEZ JERIC")</f>
        <v>FERNANDEZ JERIC</v>
      </c>
      <c r="C942" s="1" t="str">
        <f>IFERROR(__xludf.DUMMYFUNCTION("""COMPUTED_VALUE"""),"ORGANIC")</f>
        <v>ORGANIC</v>
      </c>
      <c r="D942" s="1" t="str">
        <f>IFERROR(__xludf.DUMMYFUNCTION("""COMPUTED_VALUE"""),"ALOS, CHARLS")</f>
        <v>ALOS, CHARLS</v>
      </c>
      <c r="E942" s="1" t="str">
        <f>IFERROR(__xludf.DUMMYFUNCTION("""COMPUTED_VALUE"""),"PLDT")</f>
        <v>PLDT</v>
      </c>
      <c r="F942" s="1">
        <f>IFERROR(__xludf.DUMMYFUNCTION("""COMPUTED_VALUE"""),2308409894)</f>
        <v>2308409894</v>
      </c>
      <c r="G942" s="1"/>
      <c r="H942" s="1" t="str">
        <f>IFERROR(__xludf.DUMMYFUNCTION("""COMPUTED_VALUE"""),"MARILOU VIZCARRA GERONA")</f>
        <v>MARILOU VIZCARRA GERONA</v>
      </c>
      <c r="I942" s="1">
        <f>IFERROR(__xludf.DUMMYFUNCTION("""COMPUTED_VALUE"""),9989383267)</f>
        <v>9989383267</v>
      </c>
      <c r="J942" s="1"/>
      <c r="K942" s="1" t="str">
        <f>IFERROR(__xludf.DUMMYFUNCTION("""COMPUTED_VALUE"""),"LEALINMONZALES.WORK@GMAIL.COM")</f>
        <v>LEALINMONZALES.WORK@GMAIL.COM</v>
      </c>
      <c r="L942" s="1" t="str">
        <f>IFERROR(__xludf.DUMMYFUNCTION("""COMPUTED_VALUE"""),"BLK 12 LOT 2")</f>
        <v>BLK 12 LOT 2</v>
      </c>
      <c r="M942" s="1" t="str">
        <f>IFERROR(__xludf.DUMMYFUNCTION("""COMPUTED_VALUE"""),"PALIGAWAN MATANDA")</f>
        <v>PALIGAWAN MATANDA</v>
      </c>
      <c r="N942" s="1"/>
      <c r="O942" s="1"/>
      <c r="P942" s="1"/>
      <c r="Q942" s="1" t="str">
        <f>IFERROR(__xludf.DUMMYFUNCTION("""COMPUTED_VALUE"""),"LANTIC")</f>
        <v>LANTIC</v>
      </c>
      <c r="R942" s="1" t="str">
        <f>IFERROR(__xludf.DUMMYFUNCTION("""COMPUTED_VALUE"""),"CARMONA")</f>
        <v>CARMONA</v>
      </c>
      <c r="S942" s="1" t="str">
        <f>IFERROR(__xludf.DUMMYFUNCTION("""COMPUTED_VALUE"""),"CAVITE")</f>
        <v>CAVITE</v>
      </c>
      <c r="T942" s="1" t="str">
        <f>IFERROR(__xludf.DUMMYFUNCTION("""COMPUTED_VALUE"""),"FIBR UNLI ALL PLAN 1399")</f>
        <v>FIBR UNLI ALL PLAN 1399</v>
      </c>
      <c r="U942" s="1" t="str">
        <f>IFERROR(__xludf.DUMMYFUNCTION("""COMPUTED_VALUE"""),"APPROVED")</f>
        <v>APPROVED</v>
      </c>
      <c r="V942" s="1"/>
      <c r="W942" s="1"/>
    </row>
    <row r="943" customHeight="1" spans="1:23">
      <c r="A943" s="3">
        <f>IFERROR(__xludf.DUMMYFUNCTION("""COMPUTED_VALUE"""),46103)</f>
        <v>46103</v>
      </c>
      <c r="B943" s="1" t="str">
        <f>IFERROR(__xludf.DUMMYFUNCTION("""COMPUTED_VALUE"""),"DELGADO MILAGROSA")</f>
        <v>DELGADO MILAGROSA</v>
      </c>
      <c r="C943" s="1" t="str">
        <f>IFERROR(__xludf.DUMMYFUNCTION("""COMPUTED_VALUE"""),"ORGANIC")</f>
        <v>ORGANIC</v>
      </c>
      <c r="D943" s="1" t="str">
        <f>IFERROR(__xludf.DUMMYFUNCTION("""COMPUTED_VALUE"""),"ALINGARO, CINDY")</f>
        <v>ALINGARO, CINDY</v>
      </c>
      <c r="E943" s="1" t="str">
        <f>IFERROR(__xludf.DUMMYFUNCTION("""COMPUTED_VALUE"""),"PLDT")</f>
        <v>PLDT</v>
      </c>
      <c r="F943" s="1">
        <f>IFERROR(__xludf.DUMMYFUNCTION("""COMPUTED_VALUE"""),2308410718)</f>
        <v>2308410718</v>
      </c>
      <c r="G943" s="1"/>
      <c r="H943" s="1" t="str">
        <f>IFERROR(__xludf.DUMMYFUNCTION("""COMPUTED_VALUE"""),"LOVELY CEDRO ALARCIO")</f>
        <v>LOVELY CEDRO ALARCIO</v>
      </c>
      <c r="I943" s="1">
        <f>IFERROR(__xludf.DUMMYFUNCTION("""COMPUTED_VALUE"""),9563260195)</f>
        <v>9563260195</v>
      </c>
      <c r="J943" s="1"/>
      <c r="K943" s="1" t="str">
        <f>IFERROR(__xludf.DUMMYFUNCTION("""COMPUTED_VALUE"""),"ALARCIOLOVELY@GMAIL.COM")</f>
        <v>ALARCIOLOVELY@GMAIL.COM</v>
      </c>
      <c r="L943" s="1" t="str">
        <f>IFERROR(__xludf.DUMMYFUNCTION("""COMPUTED_VALUE"""),"BLK 14 LOT 14")</f>
        <v>BLK 14 LOT 14</v>
      </c>
      <c r="M943" s="1" t="str">
        <f>IFERROR(__xludf.DUMMYFUNCTION("""COMPUTED_VALUE"""),"BUKLURAN 4")</f>
        <v>BUKLURAN 4</v>
      </c>
      <c r="N943" s="1"/>
      <c r="O943" s="1"/>
      <c r="P943" s="1"/>
      <c r="Q943" s="1" t="str">
        <f>IFERROR(__xludf.DUMMYFUNCTION("""COMPUTED_VALUE"""),"BULIHAN")</f>
        <v>BULIHAN</v>
      </c>
      <c r="R943" s="1" t="str">
        <f>IFERROR(__xludf.DUMMYFUNCTION("""COMPUTED_VALUE"""),"SILANG")</f>
        <v>SILANG</v>
      </c>
      <c r="S943" s="1" t="str">
        <f>IFERROR(__xludf.DUMMYFUNCTION("""COMPUTED_VALUE"""),"CAVITE")</f>
        <v>CAVITE</v>
      </c>
      <c r="T943" s="1" t="str">
        <f>IFERROR(__xludf.DUMMYFUNCTION("""COMPUTED_VALUE"""),"PREPAID FIBER UNLI")</f>
        <v>PREPAID FIBER UNLI</v>
      </c>
      <c r="U943" s="1" t="str">
        <f>IFERROR(__xludf.DUMMYFUNCTION("""COMPUTED_VALUE"""),"APPROVED")</f>
        <v>APPROVED</v>
      </c>
      <c r="V943" s="1"/>
      <c r="W943" s="1"/>
    </row>
    <row r="944" customHeight="1" spans="1:23">
      <c r="A944" s="3">
        <f>IFERROR(__xludf.DUMMYFUNCTION("""COMPUTED_VALUE"""),46103)</f>
        <v>46103</v>
      </c>
      <c r="B944" s="1" t="str">
        <f>IFERROR(__xludf.DUMMYFUNCTION("""COMPUTED_VALUE"""),"DE LEON, MERLY")</f>
        <v>DE LEON, MERLY</v>
      </c>
      <c r="C944" s="1" t="str">
        <f>IFERROR(__xludf.DUMMYFUNCTION("""COMPUTED_VALUE"""),"ORGANIC")</f>
        <v>ORGANIC</v>
      </c>
      <c r="D944" s="1" t="str">
        <f>IFERROR(__xludf.DUMMYFUNCTION("""COMPUTED_VALUE"""),"ALINGARO, CINDY")</f>
        <v>ALINGARO, CINDY</v>
      </c>
      <c r="E944" s="1" t="str">
        <f>IFERROR(__xludf.DUMMYFUNCTION("""COMPUTED_VALUE"""),"PLDT")</f>
        <v>PLDT</v>
      </c>
      <c r="F944" s="1">
        <f>IFERROR(__xludf.DUMMYFUNCTION("""COMPUTED_VALUE"""),2308411323)</f>
        <v>2308411323</v>
      </c>
      <c r="G944" s="1"/>
      <c r="H944" s="1" t="str">
        <f>IFERROR(__xludf.DUMMYFUNCTION("""COMPUTED_VALUE"""),"ANGELO CASTILLO DELOS SANTOS")</f>
        <v>ANGELO CASTILLO DELOS SANTOS</v>
      </c>
      <c r="I944" s="1">
        <f>IFERROR(__xludf.DUMMYFUNCTION("""COMPUTED_VALUE"""),9954363070)</f>
        <v>9954363070</v>
      </c>
      <c r="J944" s="1"/>
      <c r="K944" s="1" t="str">
        <f>IFERROR(__xludf.DUMMYFUNCTION("""COMPUTED_VALUE"""),"ANGELODELOSSANTOS@GMAIL.COM")</f>
        <v>ANGELODELOSSANTOS@GMAIL.COM</v>
      </c>
      <c r="L944" s="1" t="str">
        <f>IFERROR(__xludf.DUMMYFUNCTION("""COMPUTED_VALUE"""),"BLK 28 LOT 5")</f>
        <v>BLK 28 LOT 5</v>
      </c>
      <c r="M944" s="1" t="str">
        <f>IFERROR(__xludf.DUMMYFUNCTION("""COMPUTED_VALUE"""),"NARRA")</f>
        <v>NARRA</v>
      </c>
      <c r="N944" s="1"/>
      <c r="O944" s="1"/>
      <c r="P944" s="1"/>
      <c r="Q944" s="1" t="str">
        <f>IFERROR(__xludf.DUMMYFUNCTION("""COMPUTED_VALUE"""),"NARRA I")</f>
        <v>NARRA I</v>
      </c>
      <c r="R944" s="1" t="str">
        <f>IFERROR(__xludf.DUMMYFUNCTION("""COMPUTED_VALUE"""),"SILANG")</f>
        <v>SILANG</v>
      </c>
      <c r="S944" s="1" t="str">
        <f>IFERROR(__xludf.DUMMYFUNCTION("""COMPUTED_VALUE"""),"CAVITE")</f>
        <v>CAVITE</v>
      </c>
      <c r="T944" s="1" t="str">
        <f>IFERROR(__xludf.DUMMYFUNCTION("""COMPUTED_VALUE"""),"PREPAID FIBER UNLI")</f>
        <v>PREPAID FIBER UNLI</v>
      </c>
      <c r="U944" s="1" t="str">
        <f>IFERROR(__xludf.DUMMYFUNCTION("""COMPUTED_VALUE"""),"APPROVED")</f>
        <v>APPROVED</v>
      </c>
      <c r="V944" s="1"/>
      <c r="W944" s="1"/>
    </row>
    <row r="945" customHeight="1" spans="1:23">
      <c r="A945" s="3">
        <f>IFERROR(__xludf.DUMMYFUNCTION("""COMPUTED_VALUE"""),46103)</f>
        <v>46103</v>
      </c>
      <c r="B945" s="1" t="str">
        <f>IFERROR(__xludf.DUMMYFUNCTION("""COMPUTED_VALUE"""),"AYON MANUEL")</f>
        <v>AYON MANUEL</v>
      </c>
      <c r="C945" s="1" t="str">
        <f>IFERROR(__xludf.DUMMYFUNCTION("""COMPUTED_VALUE"""),"FLA")</f>
        <v>FLA</v>
      </c>
      <c r="D945" s="1" t="str">
        <f>IFERROR(__xludf.DUMMYFUNCTION("""COMPUTED_VALUE"""),"JERIC NAVARRO")</f>
        <v>JERIC NAVARRO</v>
      </c>
      <c r="E945" s="1" t="str">
        <f>IFERROR(__xludf.DUMMYFUNCTION("""COMPUTED_VALUE"""),"PLDT")</f>
        <v>PLDT</v>
      </c>
      <c r="F945" s="1">
        <f>IFERROR(__xludf.DUMMYFUNCTION("""COMPUTED_VALUE"""),2308411361)</f>
        <v>2308411361</v>
      </c>
      <c r="G945" s="1"/>
      <c r="H945" s="1" t="str">
        <f>IFERROR(__xludf.DUMMYFUNCTION("""COMPUTED_VALUE"""),"NICKY OBLIGAR")</f>
        <v>NICKY OBLIGAR</v>
      </c>
      <c r="I945" s="1">
        <f>IFERROR(__xludf.DUMMYFUNCTION("""COMPUTED_VALUE"""),9124193655)</f>
        <v>9124193655</v>
      </c>
      <c r="J945" s="1">
        <f>IFERROR(__xludf.DUMMYFUNCTION("""COMPUTED_VALUE"""),9053846292)</f>
        <v>9053846292</v>
      </c>
      <c r="K945" s="1" t="str">
        <f>IFERROR(__xludf.DUMMYFUNCTION("""COMPUTED_VALUE"""),"OBLIGARNICK@GMAIL.COM")</f>
        <v>OBLIGARNICK@GMAIL.COM</v>
      </c>
      <c r="L945" s="1" t="str">
        <f>IFERROR(__xludf.DUMMYFUNCTION("""COMPUTED_VALUE"""),"9116")</f>
        <v>9116</v>
      </c>
      <c r="M945" s="1" t="str">
        <f>IFERROR(__xludf.DUMMYFUNCTION("""COMPUTED_VALUE"""),"PALIGAWAN MATANDA")</f>
        <v>PALIGAWAN MATANDA</v>
      </c>
      <c r="N945" s="1"/>
      <c r="O945" s="1"/>
      <c r="P945" s="1"/>
      <c r="Q945" s="1" t="str">
        <f>IFERROR(__xludf.DUMMYFUNCTION("""COMPUTED_VALUE"""),"LANTIC")</f>
        <v>LANTIC</v>
      </c>
      <c r="R945" s="1" t="str">
        <f>IFERROR(__xludf.DUMMYFUNCTION("""COMPUTED_VALUE"""),"CARMONA")</f>
        <v>CARMONA</v>
      </c>
      <c r="S945" s="1" t="str">
        <f>IFERROR(__xludf.DUMMYFUNCTION("""COMPUTED_VALUE"""),"CAVITE")</f>
        <v>CAVITE</v>
      </c>
      <c r="T945" s="1" t="str">
        <f>IFERROR(__xludf.DUMMYFUNCTION("""COMPUTED_VALUE"""),"FIBR UNLI ALL PLAN 2499")</f>
        <v>FIBR UNLI ALL PLAN 2499</v>
      </c>
      <c r="U945" s="1" t="str">
        <f>IFERROR(__xludf.DUMMYFUNCTION("""COMPUTED_VALUE"""),"APPROVED")</f>
        <v>APPROVED</v>
      </c>
      <c r="V945" s="1"/>
      <c r="W945" s="1"/>
    </row>
    <row r="946" customHeight="1" spans="1:23">
      <c r="A946" s="3">
        <f>IFERROR(__xludf.DUMMYFUNCTION("""COMPUTED_VALUE"""),46103)</f>
        <v>46103</v>
      </c>
      <c r="B946" s="1" t="str">
        <f>IFERROR(__xludf.DUMMYFUNCTION("""COMPUTED_VALUE"""),"CANTANERO JUNEL")</f>
        <v>CANTANERO JUNEL</v>
      </c>
      <c r="C946" s="1" t="str">
        <f>IFERROR(__xludf.DUMMYFUNCTION("""COMPUTED_VALUE"""),"ORGANIC")</f>
        <v>ORGANIC</v>
      </c>
      <c r="D946" s="1" t="str">
        <f>IFERROR(__xludf.DUMMYFUNCTION("""COMPUTED_VALUE"""),"ALINGARO, CINDY")</f>
        <v>ALINGARO, CINDY</v>
      </c>
      <c r="E946" s="1" t="str">
        <f>IFERROR(__xludf.DUMMYFUNCTION("""COMPUTED_VALUE"""),"PLDT")</f>
        <v>PLDT</v>
      </c>
      <c r="F946" s="1">
        <f>IFERROR(__xludf.DUMMYFUNCTION("""COMPUTED_VALUE"""),2308410993)</f>
        <v>2308410993</v>
      </c>
      <c r="G946" s="1"/>
      <c r="H946" s="1" t="str">
        <f>IFERROR(__xludf.DUMMYFUNCTION("""COMPUTED_VALUE"""),"VICTOR LLOMPERA LOYAO")</f>
        <v>VICTOR LLOMPERA LOYAO</v>
      </c>
      <c r="I946" s="1">
        <f>IFERROR(__xludf.DUMMYFUNCTION("""COMPUTED_VALUE"""),9757838059)</f>
        <v>9757838059</v>
      </c>
      <c r="J946" s="1"/>
      <c r="K946" s="1" t="str">
        <f>IFERROR(__xludf.DUMMYFUNCTION("""COMPUTED_VALUE"""),"SHANALIE983@GMAIL.COM")</f>
        <v>SHANALIE983@GMAIL.COM</v>
      </c>
      <c r="L946" s="1" t="str">
        <f>IFERROR(__xludf.DUMMYFUNCTION("""COMPUTED_VALUE"""),"BLK 2 LOT 5")</f>
        <v>BLK 2 LOT 5</v>
      </c>
      <c r="M946" s="1" t="str">
        <f>IFERROR(__xludf.DUMMYFUNCTION("""COMPUTED_VALUE"""),"ANAHAW RD")</f>
        <v>ANAHAW RD</v>
      </c>
      <c r="N946" s="1"/>
      <c r="O946" s="1"/>
      <c r="P946" s="1"/>
      <c r="Q946" s="1" t="str">
        <f>IFERROR(__xludf.DUMMYFUNCTION("""COMPUTED_VALUE"""),"ANAHAW I")</f>
        <v>ANAHAW I</v>
      </c>
      <c r="R946" s="1" t="str">
        <f>IFERROR(__xludf.DUMMYFUNCTION("""COMPUTED_VALUE"""),"SILANG")</f>
        <v>SILANG</v>
      </c>
      <c r="S946" s="1" t="str">
        <f>IFERROR(__xludf.DUMMYFUNCTION("""COMPUTED_VALUE"""),"CAVITE")</f>
        <v>CAVITE</v>
      </c>
      <c r="T946" s="1" t="str">
        <f>IFERROR(__xludf.DUMMYFUNCTION("""COMPUTED_VALUE"""),"FIBR UNLI ALL PLAN 1399")</f>
        <v>FIBR UNLI ALL PLAN 1399</v>
      </c>
      <c r="U946" s="1" t="str">
        <f>IFERROR(__xludf.DUMMYFUNCTION("""COMPUTED_VALUE"""),"CANCELLED ")</f>
        <v>CANCELLED </v>
      </c>
      <c r="V946" s="1" t="str">
        <f>IFERROR(__xludf.DUMMYFUNCTION("""COMPUTED_VALUE"""),"NAGPAPALIT NG PLAN. NA ENCODED NA KASO BIGLANG NAGBAGAO ISIP PREPAID NALANG DAW")</f>
        <v>NAGPAPALIT NG PLAN. NA ENCODED NA KASO BIGLANG NAGBAGAO ISIP PREPAID NALANG DAW</v>
      </c>
      <c r="W946" s="1"/>
    </row>
    <row r="947" customHeight="1" spans="1:23">
      <c r="A947" s="3">
        <f>IFERROR(__xludf.DUMMYFUNCTION("""COMPUTED_VALUE"""),46104)</f>
        <v>46104</v>
      </c>
      <c r="B947" s="1" t="str">
        <f>IFERROR(__xludf.DUMMYFUNCTION("""COMPUTED_VALUE"""),"AQUINO, LUIS")</f>
        <v>AQUINO, LUIS</v>
      </c>
      <c r="C947" s="1" t="str">
        <f>IFERROR(__xludf.DUMMYFUNCTION("""COMPUTED_VALUE"""),"ORGANIC")</f>
        <v>ORGANIC</v>
      </c>
      <c r="D947" s="1" t="str">
        <f>IFERROR(__xludf.DUMMYFUNCTION("""COMPUTED_VALUE"""),"ALOS, CHARLS")</f>
        <v>ALOS, CHARLS</v>
      </c>
      <c r="E947" s="1" t="str">
        <f>IFERROR(__xludf.DUMMYFUNCTION("""COMPUTED_VALUE"""),"PLDT")</f>
        <v>PLDT</v>
      </c>
      <c r="F947" s="1">
        <f>IFERROR(__xludf.DUMMYFUNCTION("""COMPUTED_VALUE"""),2308418742)</f>
        <v>2308418742</v>
      </c>
      <c r="G947" s="1"/>
      <c r="H947" s="1" t="str">
        <f>IFERROR(__xludf.DUMMYFUNCTION("""COMPUTED_VALUE"""),"OMAR DELA CRUZ MAGRACIA")</f>
        <v>OMAR DELA CRUZ MAGRACIA</v>
      </c>
      <c r="I947" s="1">
        <f>IFERROR(__xludf.DUMMYFUNCTION("""COMPUTED_VALUE"""),9682830948)</f>
        <v>9682830948</v>
      </c>
      <c r="J947" s="1">
        <f>IFERROR(__xludf.DUMMYFUNCTION("""COMPUTED_VALUE"""),9684130425)</f>
        <v>9684130425</v>
      </c>
      <c r="K947" s="1" t="str">
        <f>IFERROR(__xludf.DUMMYFUNCTION("""COMPUTED_VALUE"""),"MAGRACIAOMAR@GMAIL.COM")</f>
        <v>MAGRACIAOMAR@GMAIL.COM</v>
      </c>
      <c r="L947" s="1" t="str">
        <f>IFERROR(__xludf.DUMMYFUNCTION("""COMPUTED_VALUE"""),"BLK 5 LOT 7")</f>
        <v>BLK 5 LOT 7</v>
      </c>
      <c r="M947" s="1" t="str">
        <f>IFERROR(__xludf.DUMMYFUNCTION("""COMPUTED_VALUE"""),"PHASE 2")</f>
        <v>PHASE 2</v>
      </c>
      <c r="N947" s="1" t="str">
        <f>IFERROR(__xludf.DUMMYFUNCTION("""COMPUTED_VALUE"""),"PABAHAY")</f>
        <v>PABAHAY</v>
      </c>
      <c r="O947" s="1"/>
      <c r="P947" s="1"/>
      <c r="Q947" s="1" t="str">
        <f>IFERROR(__xludf.DUMMYFUNCTION("""COMPUTED_VALUE"""),"KAYBAGAL NORTH")</f>
        <v>KAYBAGAL NORTH</v>
      </c>
      <c r="R947" s="1" t="str">
        <f>IFERROR(__xludf.DUMMYFUNCTION("""COMPUTED_VALUE"""),"TAGAYTAY")</f>
        <v>TAGAYTAY</v>
      </c>
      <c r="S947" s="1" t="str">
        <f>IFERROR(__xludf.DUMMYFUNCTION("""COMPUTED_VALUE"""),"CAVITE")</f>
        <v>CAVITE</v>
      </c>
      <c r="T947" s="1" t="str">
        <f>IFERROR(__xludf.DUMMYFUNCTION("""COMPUTED_VALUE"""),"FIBR UNLI ALL PLAN 999")</f>
        <v>FIBR UNLI ALL PLAN 999</v>
      </c>
      <c r="U947" s="1" t="str">
        <f>IFERROR(__xludf.DUMMYFUNCTION("""COMPUTED_VALUE"""),"APPROVED")</f>
        <v>APPROVED</v>
      </c>
      <c r="V947" s="1"/>
      <c r="W947" s="1"/>
    </row>
    <row r="948" customHeight="1" spans="1:23">
      <c r="A948" s="3">
        <f>IFERROR(__xludf.DUMMYFUNCTION("""COMPUTED_VALUE"""),46104)</f>
        <v>46104</v>
      </c>
      <c r="B948" s="1" t="str">
        <f>IFERROR(__xludf.DUMMYFUNCTION("""COMPUTED_VALUE"""),"OPS SIR BETZ")</f>
        <v>OPS SIR BETZ</v>
      </c>
      <c r="C948" s="1" t="str">
        <f>IFERROR(__xludf.DUMMYFUNCTION("""COMPUTED_VALUE"""),"FLA")</f>
        <v>FLA</v>
      </c>
      <c r="D948" s="1" t="str">
        <f>IFERROR(__xludf.DUMMYFUNCTION("""COMPUTED_VALUE"""),"JERIC NAVARRO")</f>
        <v>JERIC NAVARRO</v>
      </c>
      <c r="E948" s="1" t="str">
        <f>IFERROR(__xludf.DUMMYFUNCTION("""COMPUTED_VALUE"""),"PLDT")</f>
        <v>PLDT</v>
      </c>
      <c r="F948" s="1">
        <f>IFERROR(__xludf.DUMMYFUNCTION("""COMPUTED_VALUE"""),2308418769)</f>
        <v>2308418769</v>
      </c>
      <c r="G948" s="1"/>
      <c r="H948" s="1" t="str">
        <f>IFERROR(__xludf.DUMMYFUNCTION("""COMPUTED_VALUE"""),"REXON APOLONIO ILOG")</f>
        <v>REXON APOLONIO ILOG</v>
      </c>
      <c r="I948" s="1">
        <f>IFERROR(__xludf.DUMMYFUNCTION("""COMPUTED_VALUE"""),9277296644)</f>
        <v>9277296644</v>
      </c>
      <c r="J948" s="1"/>
      <c r="K948" s="1" t="str">
        <f>IFERROR(__xludf.DUMMYFUNCTION("""COMPUTED_VALUE"""),"IGLOO26@YAHOO.COM")</f>
        <v>IGLOO26@YAHOO.COM</v>
      </c>
      <c r="L948" s="1" t="str">
        <f>IFERROR(__xludf.DUMMYFUNCTION("""COMPUTED_VALUE"""),"6135")</f>
        <v>6135</v>
      </c>
      <c r="M948" s="1" t="str">
        <f>IFERROR(__xludf.DUMMYFUNCTION("""COMPUTED_VALUE"""),"HUMBAC")</f>
        <v>HUMBAC</v>
      </c>
      <c r="N948" s="1"/>
      <c r="O948" s="1"/>
      <c r="P948" s="1"/>
      <c r="Q948" s="1" t="str">
        <f>IFERROR(__xludf.DUMMYFUNCTION("""COMPUTED_VALUE"""),"HUMBAC")</f>
        <v>HUMBAC</v>
      </c>
      <c r="R948" s="1" t="str">
        <f>IFERROR(__xludf.DUMMYFUNCTION("""COMPUTED_VALUE"""),"NAIC")</f>
        <v>NAIC</v>
      </c>
      <c r="S948" s="1" t="str">
        <f>IFERROR(__xludf.DUMMYFUNCTION("""COMPUTED_VALUE"""),"CAVITE")</f>
        <v>CAVITE</v>
      </c>
      <c r="T948" s="1" t="str">
        <f>IFERROR(__xludf.DUMMYFUNCTION("""COMPUTED_VALUE"""),"FIBR UNLI ALL PLAN 2499")</f>
        <v>FIBR UNLI ALL PLAN 2499</v>
      </c>
      <c r="U948" s="1" t="str">
        <f>IFERROR(__xludf.DUMMYFUNCTION("""COMPUTED_VALUE"""),"APPROVED")</f>
        <v>APPROVED</v>
      </c>
      <c r="V948" s="1"/>
      <c r="W948" s="1"/>
    </row>
    <row r="949" customHeight="1" spans="1:23">
      <c r="A949" s="3">
        <f>IFERROR(__xludf.DUMMYFUNCTION("""COMPUTED_VALUE"""),46104)</f>
        <v>46104</v>
      </c>
      <c r="B949" s="1" t="str">
        <f>IFERROR(__xludf.DUMMYFUNCTION("""COMPUTED_VALUE"""),"NAVARRO, JERIC")</f>
        <v>NAVARRO, JERIC</v>
      </c>
      <c r="C949" s="1" t="str">
        <f>IFERROR(__xludf.DUMMYFUNCTION("""COMPUTED_VALUE"""),"FLA")</f>
        <v>FLA</v>
      </c>
      <c r="D949" s="1" t="str">
        <f>IFERROR(__xludf.DUMMYFUNCTION("""COMPUTED_VALUE"""),"JERIC NAVARRO")</f>
        <v>JERIC NAVARRO</v>
      </c>
      <c r="E949" s="1" t="str">
        <f>IFERROR(__xludf.DUMMYFUNCTION("""COMPUTED_VALUE"""),"PLDT")</f>
        <v>PLDT</v>
      </c>
      <c r="F949" s="1">
        <f>IFERROR(__xludf.DUMMYFUNCTION("""COMPUTED_VALUE"""),2308420990)</f>
        <v>2308420990</v>
      </c>
      <c r="G949" s="1"/>
      <c r="H949" s="1" t="str">
        <f>IFERROR(__xludf.DUMMYFUNCTION("""COMPUTED_VALUE"""),"PAULINO QUILANTANG PAULINO")</f>
        <v>PAULINO QUILANTANG PAULINO</v>
      </c>
      <c r="I949" s="1">
        <f>IFERROR(__xludf.DUMMYFUNCTION("""COMPUTED_VALUE"""),9196477834)</f>
        <v>9196477834</v>
      </c>
      <c r="J949" s="1">
        <f>IFERROR(__xludf.DUMMYFUNCTION("""COMPUTED_VALUE"""),9151994713)</f>
        <v>9151994713</v>
      </c>
      <c r="K949" s="1" t="str">
        <f>IFERROR(__xludf.DUMMYFUNCTION("""COMPUTED_VALUE"""),"MAEPAULINO0505@GMAIL.COM")</f>
        <v>MAEPAULINO0505@GMAIL.COM</v>
      </c>
      <c r="L949" s="1" t="str">
        <f>IFERROR(__xludf.DUMMYFUNCTION("""COMPUTED_VALUE"""),"BLK 8 LOT 9")</f>
        <v>BLK 8 LOT 9</v>
      </c>
      <c r="M949" s="1" t="str">
        <f>IFERROR(__xludf.DUMMYFUNCTION("""COMPUTED_VALUE"""),"PHASE 2")</f>
        <v>PHASE 2</v>
      </c>
      <c r="N949" s="1" t="str">
        <f>IFERROR(__xludf.DUMMYFUNCTION("""COMPUTED_VALUE"""),"MONTE VISTA")</f>
        <v>MONTE VISTA</v>
      </c>
      <c r="O949" s="1"/>
      <c r="P949" s="1"/>
      <c r="Q949" s="1" t="str">
        <f>IFERROR(__xludf.DUMMYFUNCTION("""COMPUTED_VALUE"""),"SUNGAY NORTH")</f>
        <v>SUNGAY NORTH</v>
      </c>
      <c r="R949" s="1" t="str">
        <f>IFERROR(__xludf.DUMMYFUNCTION("""COMPUTED_VALUE"""),"TAGAYTAY")</f>
        <v>TAGAYTAY</v>
      </c>
      <c r="S949" s="1" t="str">
        <f>IFERROR(__xludf.DUMMYFUNCTION("""COMPUTED_VALUE"""),"CAVITE")</f>
        <v>CAVITE</v>
      </c>
      <c r="T949" s="1" t="str">
        <f>IFERROR(__xludf.DUMMYFUNCTION("""COMPUTED_VALUE"""),"FIBR UNLI ALL PLAN 3199")</f>
        <v>FIBR UNLI ALL PLAN 3199</v>
      </c>
      <c r="U949" s="1" t="str">
        <f>IFERROR(__xludf.DUMMYFUNCTION("""COMPUTED_VALUE"""),"APPROVED")</f>
        <v>APPROVED</v>
      </c>
      <c r="V949" s="1"/>
      <c r="W949" s="1"/>
    </row>
    <row r="950" customHeight="1" spans="1:23">
      <c r="A950" s="3">
        <f>IFERROR(__xludf.DUMMYFUNCTION("""COMPUTED_VALUE"""),46104)</f>
        <v>46104</v>
      </c>
      <c r="B950" s="1" t="str">
        <f>IFERROR(__xludf.DUMMYFUNCTION("""COMPUTED_VALUE"""),"CANTANERO JUNEL")</f>
        <v>CANTANERO JUNEL</v>
      </c>
      <c r="C950" s="1" t="str">
        <f>IFERROR(__xludf.DUMMYFUNCTION("""COMPUTED_VALUE"""),"ORGANIC")</f>
        <v>ORGANIC</v>
      </c>
      <c r="D950" s="1" t="str">
        <f>IFERROR(__xludf.DUMMYFUNCTION("""COMPUTED_VALUE"""),"ALINGARO, CINDY")</f>
        <v>ALINGARO, CINDY</v>
      </c>
      <c r="E950" s="1" t="str">
        <f>IFERROR(__xludf.DUMMYFUNCTION("""COMPUTED_VALUE"""),"PLDT")</f>
        <v>PLDT</v>
      </c>
      <c r="F950" s="1">
        <f>IFERROR(__xludf.DUMMYFUNCTION("""COMPUTED_VALUE"""),2308421082)</f>
        <v>2308421082</v>
      </c>
      <c r="G950" s="1"/>
      <c r="H950" s="1" t="str">
        <f>IFERROR(__xludf.DUMMYFUNCTION("""COMPUTED_VALUE"""),"SHANALIE COLINDON")</f>
        <v>SHANALIE COLINDON</v>
      </c>
      <c r="I950" s="1">
        <f>IFERROR(__xludf.DUMMYFUNCTION("""COMPUTED_VALUE"""),9634063783)</f>
        <v>9634063783</v>
      </c>
      <c r="J950" s="1"/>
      <c r="K950" s="1" t="str">
        <f>IFERROR(__xludf.DUMMYFUNCTION("""COMPUTED_VALUE"""),"SHANALIE813@GMAIL.COM")</f>
        <v>SHANALIE813@GMAIL.COM</v>
      </c>
      <c r="L950" s="1" t="str">
        <f>IFERROR(__xludf.DUMMYFUNCTION("""COMPUTED_VALUE"""),"BLK 12 LOT 5")</f>
        <v>BLK 12 LOT 5</v>
      </c>
      <c r="M950" s="1" t="str">
        <f>IFERROR(__xludf.DUMMYFUNCTION("""COMPUTED_VALUE"""),"ANAHAW RD")</f>
        <v>ANAHAW RD</v>
      </c>
      <c r="N950" s="1"/>
      <c r="O950" s="1"/>
      <c r="P950" s="1"/>
      <c r="Q950" s="1" t="str">
        <f>IFERROR(__xludf.DUMMYFUNCTION("""COMPUTED_VALUE"""),"ANAHAW I")</f>
        <v>ANAHAW I</v>
      </c>
      <c r="R950" s="1" t="str">
        <f>IFERROR(__xludf.DUMMYFUNCTION("""COMPUTED_VALUE"""),"SILANG")</f>
        <v>SILANG</v>
      </c>
      <c r="S950" s="1" t="str">
        <f>IFERROR(__xludf.DUMMYFUNCTION("""COMPUTED_VALUE"""),"CAVITE")</f>
        <v>CAVITE</v>
      </c>
      <c r="T950" s="1" t="str">
        <f>IFERROR(__xludf.DUMMYFUNCTION("""COMPUTED_VALUE"""),"PREPAID FIBER UNLI")</f>
        <v>PREPAID FIBER UNLI</v>
      </c>
      <c r="U950" s="1" t="str">
        <f>IFERROR(__xludf.DUMMYFUNCTION("""COMPUTED_VALUE"""),"APPROVED")</f>
        <v>APPROVED</v>
      </c>
      <c r="V950" s="1"/>
      <c r="W950" s="1"/>
    </row>
    <row r="951" customHeight="1" spans="1:23">
      <c r="A951" s="3">
        <f>IFERROR(__xludf.DUMMYFUNCTION("""COMPUTED_VALUE"""),46104)</f>
        <v>46104</v>
      </c>
      <c r="B951" s="1" t="str">
        <f>IFERROR(__xludf.DUMMYFUNCTION("""COMPUTED_VALUE"""),"GABAY, MANUEL")</f>
        <v>GABAY, MANUEL</v>
      </c>
      <c r="C951" s="1" t="str">
        <f>IFERROR(__xludf.DUMMYFUNCTION("""COMPUTED_VALUE"""),"FLA")</f>
        <v>FLA</v>
      </c>
      <c r="D951" s="1" t="str">
        <f>IFERROR(__xludf.DUMMYFUNCTION("""COMPUTED_VALUE"""),"JERIC NAVARRO")</f>
        <v>JERIC NAVARRO</v>
      </c>
      <c r="E951" s="1" t="str">
        <f>IFERROR(__xludf.DUMMYFUNCTION("""COMPUTED_VALUE"""),"PLDT")</f>
        <v>PLDT</v>
      </c>
      <c r="F951" s="1">
        <f>IFERROR(__xludf.DUMMYFUNCTION("""COMPUTED_VALUE"""),2308421513)</f>
        <v>2308421513</v>
      </c>
      <c r="G951" s="1"/>
      <c r="H951" s="1" t="str">
        <f>IFERROR(__xludf.DUMMYFUNCTION("""COMPUTED_VALUE"""),"JULIUS ELLY BOCALAN MELMON")</f>
        <v>JULIUS ELLY BOCALAN MELMON</v>
      </c>
      <c r="I951" s="1">
        <f>IFERROR(__xludf.DUMMYFUNCTION("""COMPUTED_VALUE"""),9762343796)</f>
        <v>9762343796</v>
      </c>
      <c r="J951" s="1">
        <f>IFERROR(__xludf.DUMMYFUNCTION("""COMPUTED_VALUE"""),9928910078)</f>
        <v>9928910078</v>
      </c>
      <c r="K951" s="1" t="str">
        <f>IFERROR(__xludf.DUMMYFUNCTION("""COMPUTED_VALUE"""),"MELMON.JULIUSELLY@GMAIL.COM")</f>
        <v>MELMON.JULIUSELLY@GMAIL.COM</v>
      </c>
      <c r="L951" s="1" t="str">
        <f>IFERROR(__xludf.DUMMYFUNCTION("""COMPUTED_VALUE"""),"BLK 24 LOT 35")</f>
        <v>BLK 24 LOT 35</v>
      </c>
      <c r="M951" s="1" t="str">
        <f>IFERROR(__xludf.DUMMYFUNCTION("""COMPUTED_VALUE"""),"KOREA ST")</f>
        <v>KOREA ST</v>
      </c>
      <c r="N951" s="1" t="str">
        <f>IFERROR(__xludf.DUMMYFUNCTION("""COMPUTED_VALUE"""),"SAN MARINO")</f>
        <v>SAN MARINO</v>
      </c>
      <c r="O951" s="1"/>
      <c r="P951" s="1"/>
      <c r="Q951" s="1" t="str">
        <f>IFERROR(__xludf.DUMMYFUNCTION("""COMPUTED_VALUE"""),"SALAWAG")</f>
        <v>SALAWAG</v>
      </c>
      <c r="R951" s="1" t="str">
        <f>IFERROR(__xludf.DUMMYFUNCTION("""COMPUTED_VALUE"""),"DASMARINAS")</f>
        <v>DASMARINAS</v>
      </c>
      <c r="S951" s="1" t="str">
        <f>IFERROR(__xludf.DUMMYFUNCTION("""COMPUTED_VALUE"""),"CAVITE")</f>
        <v>CAVITE</v>
      </c>
      <c r="T951" s="1" t="str">
        <f>IFERROR(__xludf.DUMMYFUNCTION("""COMPUTED_VALUE"""),"FIBR NETFLIX PLAN 1599")</f>
        <v>FIBR NETFLIX PLAN 1599</v>
      </c>
      <c r="U951" s="1" t="str">
        <f>IFERROR(__xludf.DUMMYFUNCTION("""COMPUTED_VALUE"""),"APPROVED")</f>
        <v>APPROVED</v>
      </c>
      <c r="V951" s="1"/>
      <c r="W951" s="1"/>
    </row>
    <row r="952" customHeight="1" spans="1:23">
      <c r="A952" s="3">
        <f>IFERROR(__xludf.DUMMYFUNCTION("""COMPUTED_VALUE"""),46104)</f>
        <v>46104</v>
      </c>
      <c r="B952" s="1" t="str">
        <f>IFERROR(__xludf.DUMMYFUNCTION("""COMPUTED_VALUE"""),"DELA ROSA, JENNELYN")</f>
        <v>DELA ROSA, JENNELYN</v>
      </c>
      <c r="C952" s="1" t="str">
        <f>IFERROR(__xludf.DUMMYFUNCTION("""COMPUTED_VALUE"""),"ORGANIC")</f>
        <v>ORGANIC</v>
      </c>
      <c r="D952" s="1" t="str">
        <f>IFERROR(__xludf.DUMMYFUNCTION("""COMPUTED_VALUE"""),"ALOS, CHARLS")</f>
        <v>ALOS, CHARLS</v>
      </c>
      <c r="E952" s="1" t="str">
        <f>IFERROR(__xludf.DUMMYFUNCTION("""COMPUTED_VALUE"""),"PLDT")</f>
        <v>PLDT</v>
      </c>
      <c r="F952" s="1">
        <f>IFERROR(__xludf.DUMMYFUNCTION("""COMPUTED_VALUE"""),2308425827)</f>
        <v>2308425827</v>
      </c>
      <c r="G952" s="1"/>
      <c r="H952" s="1" t="str">
        <f>IFERROR(__xludf.DUMMYFUNCTION("""COMPUTED_VALUE"""),"LIMUEL KAPANGYARIHAN NUAL")</f>
        <v>LIMUEL KAPANGYARIHAN NUAL</v>
      </c>
      <c r="I952" s="1">
        <f>IFERROR(__xludf.DUMMYFUNCTION("""COMPUTED_VALUE"""),9662302531)</f>
        <v>9662302531</v>
      </c>
      <c r="J952" s="1"/>
      <c r="K952" s="1" t="str">
        <f>IFERROR(__xludf.DUMMYFUNCTION("""COMPUTED_VALUE"""),"LIMUELNUAL47@GMAIL.COM")</f>
        <v>LIMUELNUAL47@GMAIL.COM</v>
      </c>
      <c r="L952" s="1" t="str">
        <f>IFERROR(__xludf.DUMMYFUNCTION("""COMPUTED_VALUE"""),"BLK 42 LOT 16")</f>
        <v>BLK 42 LOT 16</v>
      </c>
      <c r="M952" s="1" t="str">
        <f>IFERROR(__xludf.DUMMYFUNCTION("""COMPUTED_VALUE"""),"ACACIA")</f>
        <v>ACACIA</v>
      </c>
      <c r="N952" s="1"/>
      <c r="O952" s="1"/>
      <c r="P952" s="1"/>
      <c r="Q952" s="1" t="str">
        <f>IFERROR(__xludf.DUMMYFUNCTION("""COMPUTED_VALUE"""),"ACACIA")</f>
        <v>ACACIA</v>
      </c>
      <c r="R952" s="1" t="str">
        <f>IFERROR(__xludf.DUMMYFUNCTION("""COMPUTED_VALUE"""),"SILANG")</f>
        <v>SILANG</v>
      </c>
      <c r="S952" s="1" t="str">
        <f>IFERROR(__xludf.DUMMYFUNCTION("""COMPUTED_VALUE"""),"CAVITE")</f>
        <v>CAVITE</v>
      </c>
      <c r="T952" s="1" t="str">
        <f>IFERROR(__xludf.DUMMYFUNCTION("""COMPUTED_VALUE"""),"FIBR PLAN 1299")</f>
        <v>FIBR PLAN 1299</v>
      </c>
      <c r="U952" s="1" t="str">
        <f>IFERROR(__xludf.DUMMYFUNCTION("""COMPUTED_VALUE"""),"APPROVED")</f>
        <v>APPROVED</v>
      </c>
      <c r="V952" s="1"/>
      <c r="W952" s="1"/>
    </row>
    <row r="953" customHeight="1" spans="1:23">
      <c r="A953" s="3">
        <f>IFERROR(__xludf.DUMMYFUNCTION("""COMPUTED_VALUE"""),46104)</f>
        <v>46104</v>
      </c>
      <c r="B953" s="1" t="str">
        <f>IFERROR(__xludf.DUMMYFUNCTION("""COMPUTED_VALUE"""),"MAÑANITA, ERIKA")</f>
        <v>MAÑANITA, ERIKA</v>
      </c>
      <c r="C953" s="1" t="str">
        <f>IFERROR(__xludf.DUMMYFUNCTION("""COMPUTED_VALUE"""),"ORGANIC")</f>
        <v>ORGANIC</v>
      </c>
      <c r="D953" s="1" t="str">
        <f>IFERROR(__xludf.DUMMYFUNCTION("""COMPUTED_VALUE"""),"ALOS, CHARLS")</f>
        <v>ALOS, CHARLS</v>
      </c>
      <c r="E953" s="1" t="str">
        <f>IFERROR(__xludf.DUMMYFUNCTION("""COMPUTED_VALUE"""),"PLDT")</f>
        <v>PLDT</v>
      </c>
      <c r="F953" s="1">
        <f>IFERROR(__xludf.DUMMYFUNCTION("""COMPUTED_VALUE"""),2308426951)</f>
        <v>2308426951</v>
      </c>
      <c r="G953" s="1"/>
      <c r="H953" s="1" t="str">
        <f>IFERROR(__xludf.DUMMYFUNCTION("""COMPUTED_VALUE"""),"DEUS PHILIP JAVELLANA DURAN")</f>
        <v>DEUS PHILIP JAVELLANA DURAN</v>
      </c>
      <c r="I953" s="1">
        <f>IFERROR(__xludf.DUMMYFUNCTION("""COMPUTED_VALUE"""),9692998175)</f>
        <v>9692998175</v>
      </c>
      <c r="J953" s="1"/>
      <c r="K953" s="1" t="str">
        <f>IFERROR(__xludf.DUMMYFUNCTION("""COMPUTED_VALUE"""),"DPDURAN23@GMAIL.COM")</f>
        <v>DPDURAN23@GMAIL.COM</v>
      </c>
      <c r="L953" s="1" t="str">
        <f>IFERROR(__xludf.DUMMYFUNCTION("""COMPUTED_VALUE"""),"BLK 72 LOT 3")</f>
        <v>BLK 72 LOT 3</v>
      </c>
      <c r="M953" s="1" t="str">
        <f>IFERROR(__xludf.DUMMYFUNCTION("""COMPUTED_VALUE"""),"PHASE 4")</f>
        <v>PHASE 4</v>
      </c>
      <c r="N953" s="1" t="str">
        <f>IFERROR(__xludf.DUMMYFUNCTION("""COMPUTED_VALUE"""),"MABUHAY CITY")</f>
        <v>MABUHAY CITY</v>
      </c>
      <c r="O953" s="1"/>
      <c r="P953" s="1"/>
      <c r="Q953" s="1" t="str">
        <f>IFERROR(__xludf.DUMMYFUNCTION("""COMPUTED_VALUE"""),"PALIPARAN III")</f>
        <v>PALIPARAN III</v>
      </c>
      <c r="R953" s="1" t="str">
        <f>IFERROR(__xludf.DUMMYFUNCTION("""COMPUTED_VALUE"""),"DASMARINAS")</f>
        <v>DASMARINAS</v>
      </c>
      <c r="S953" s="1" t="str">
        <f>IFERROR(__xludf.DUMMYFUNCTION("""COMPUTED_VALUE"""),"CAVITE")</f>
        <v>CAVITE</v>
      </c>
      <c r="T953" s="1" t="str">
        <f>IFERROR(__xludf.DUMMYFUNCTION("""COMPUTED_VALUE"""),"FIBR UNLI ALL PLAN 1399")</f>
        <v>FIBR UNLI ALL PLAN 1399</v>
      </c>
      <c r="U953" s="1" t="str">
        <f>IFERROR(__xludf.DUMMYFUNCTION("""COMPUTED_VALUE"""),"APPROVED")</f>
        <v>APPROVED</v>
      </c>
      <c r="V953" s="1"/>
      <c r="W953" s="1"/>
    </row>
    <row r="954" customHeight="1" spans="1:23">
      <c r="A954" s="3">
        <f>IFERROR(__xludf.DUMMYFUNCTION("""COMPUTED_VALUE"""),46104)</f>
        <v>46104</v>
      </c>
      <c r="B954" s="1" t="str">
        <f>IFERROR(__xludf.DUMMYFUNCTION("""COMPUTED_VALUE"""),"NAEOSA, JULLIE")</f>
        <v>NAEOSA, JULLIE</v>
      </c>
      <c r="C954" s="1" t="str">
        <f>IFERROR(__xludf.DUMMYFUNCTION("""COMPUTED_VALUE"""),"ORGANIC")</f>
        <v>ORGANIC</v>
      </c>
      <c r="D954" s="1" t="str">
        <f>IFERROR(__xludf.DUMMYFUNCTION("""COMPUTED_VALUE"""),"ALINGARO, CINDY")</f>
        <v>ALINGARO, CINDY</v>
      </c>
      <c r="E954" s="1" t="str">
        <f>IFERROR(__xludf.DUMMYFUNCTION("""COMPUTED_VALUE"""),"PLDT")</f>
        <v>PLDT</v>
      </c>
      <c r="F954" s="1">
        <f>IFERROR(__xludf.DUMMYFUNCTION("""COMPUTED_VALUE"""),2308430446)</f>
        <v>2308430446</v>
      </c>
      <c r="G954" s="1"/>
      <c r="H954" s="1" t="str">
        <f>IFERROR(__xludf.DUMMYFUNCTION("""COMPUTED_VALUE"""),"ROMALYN AVENDANO VILLEZA")</f>
        <v>ROMALYN AVENDANO VILLEZA</v>
      </c>
      <c r="I954" s="1">
        <f>IFERROR(__xludf.DUMMYFUNCTION("""COMPUTED_VALUE"""),9750950053)</f>
        <v>9750950053</v>
      </c>
      <c r="J954" s="1">
        <f>IFERROR(__xludf.DUMMYFUNCTION("""COMPUTED_VALUE"""),9777302271)</f>
        <v>9777302271</v>
      </c>
      <c r="K954" s="1" t="str">
        <f>IFERROR(__xludf.DUMMYFUNCTION("""COMPUTED_VALUE"""),"RHOMA04.RA@GMAIL.COM")</f>
        <v>RHOMA04.RA@GMAIL.COM</v>
      </c>
      <c r="L954" s="1" t="str">
        <f>IFERROR(__xludf.DUMMYFUNCTION("""COMPUTED_VALUE"""),"BLK 9 LOT 18")</f>
        <v>BLK 9 LOT 18</v>
      </c>
      <c r="M954" s="1" t="str">
        <f>IFERROR(__xludf.DUMMYFUNCTION("""COMPUTED_VALUE"""),"PALIGAWAN MATANDA")</f>
        <v>PALIGAWAN MATANDA</v>
      </c>
      <c r="N954" s="1"/>
      <c r="O954" s="1"/>
      <c r="P954" s="1"/>
      <c r="Q954" s="1" t="str">
        <f>IFERROR(__xludf.DUMMYFUNCTION("""COMPUTED_VALUE"""),"LANTIC")</f>
        <v>LANTIC</v>
      </c>
      <c r="R954" s="1" t="str">
        <f>IFERROR(__xludf.DUMMYFUNCTION("""COMPUTED_VALUE"""),"CARMONA")</f>
        <v>CARMONA</v>
      </c>
      <c r="S954" s="1" t="str">
        <f>IFERROR(__xludf.DUMMYFUNCTION("""COMPUTED_VALUE"""),"CAVITE")</f>
        <v>CAVITE</v>
      </c>
      <c r="T954" s="1" t="str">
        <f>IFERROR(__xludf.DUMMYFUNCTION("""COMPUTED_VALUE"""),"PREPAID FIBER UNLI")</f>
        <v>PREPAID FIBER UNLI</v>
      </c>
      <c r="U954" s="1" t="str">
        <f>IFERROR(__xludf.DUMMYFUNCTION("""COMPUTED_VALUE"""),"APPROVED")</f>
        <v>APPROVED</v>
      </c>
      <c r="V954" s="1"/>
      <c r="W954" s="1"/>
    </row>
    <row r="955" customHeight="1" spans="1:23">
      <c r="A955" s="3">
        <f>IFERROR(__xludf.DUMMYFUNCTION("""COMPUTED_VALUE"""),46104)</f>
        <v>46104</v>
      </c>
      <c r="B955" s="1" t="str">
        <f>IFERROR(__xludf.DUMMYFUNCTION("""COMPUTED_VALUE"""),"REMOLLO, LEA")</f>
        <v>REMOLLO, LEA</v>
      </c>
      <c r="C955" s="1" t="str">
        <f>IFERROR(__xludf.DUMMYFUNCTION("""COMPUTED_VALUE"""),"FLA")</f>
        <v>FLA</v>
      </c>
      <c r="D955" s="1" t="str">
        <f>IFERROR(__xludf.DUMMYFUNCTION("""COMPUTED_VALUE"""),"JERIC NAVARRO")</f>
        <v>JERIC NAVARRO</v>
      </c>
      <c r="E955" s="1" t="str">
        <f>IFERROR(__xludf.DUMMYFUNCTION("""COMPUTED_VALUE"""),"PLDT")</f>
        <v>PLDT</v>
      </c>
      <c r="F955" s="1">
        <f>IFERROR(__xludf.DUMMYFUNCTION("""COMPUTED_VALUE"""),2308430993)</f>
        <v>2308430993</v>
      </c>
      <c r="G955" s="1"/>
      <c r="H955" s="1" t="str">
        <f>IFERROR(__xludf.DUMMYFUNCTION("""COMPUTED_VALUE"""),"GENESA BARLAO LOPENA")</f>
        <v>GENESA BARLAO LOPENA</v>
      </c>
      <c r="I955" s="1">
        <f>IFERROR(__xludf.DUMMYFUNCTION("""COMPUTED_VALUE"""),9272467100)</f>
        <v>9272467100</v>
      </c>
      <c r="J955" s="1">
        <f>IFERROR(__xludf.DUMMYFUNCTION("""COMPUTED_VALUE"""),9538514395)</f>
        <v>9538514395</v>
      </c>
      <c r="K955" s="1" t="str">
        <f>IFERROR(__xludf.DUMMYFUNCTION("""COMPUTED_VALUE"""),"LOPENANHESA@GMAIL.COM")</f>
        <v>LOPENANHESA@GMAIL.COM</v>
      </c>
      <c r="L955" s="1" t="str">
        <f>IFERROR(__xludf.DUMMYFUNCTION("""COMPUTED_VALUE"""),"29")</f>
        <v>29</v>
      </c>
      <c r="M955" s="1" t="str">
        <f>IFERROR(__xludf.DUMMYFUNCTION("""COMPUTED_VALUE"""),"IBAYONG ILAT")</f>
        <v>IBAYONG ILAT</v>
      </c>
      <c r="N955" s="1"/>
      <c r="O955" s="1"/>
      <c r="P955" s="1"/>
      <c r="Q955" s="1" t="str">
        <f>IFERROR(__xludf.DUMMYFUNCTION("""COMPUTED_VALUE"""),"KAONG")</f>
        <v>KAONG</v>
      </c>
      <c r="R955" s="1" t="str">
        <f>IFERROR(__xludf.DUMMYFUNCTION("""COMPUTED_VALUE"""),"SILANG")</f>
        <v>SILANG</v>
      </c>
      <c r="S955" s="1" t="str">
        <f>IFERROR(__xludf.DUMMYFUNCTION("""COMPUTED_VALUE"""),"CAVITE")</f>
        <v>CAVITE</v>
      </c>
      <c r="T955" s="1" t="str">
        <f>IFERROR(__xludf.DUMMYFUNCTION("""COMPUTED_VALUE"""),"PREPAID FIBER UNLI")</f>
        <v>PREPAID FIBER UNLI</v>
      </c>
      <c r="U955" s="1" t="str">
        <f>IFERROR(__xludf.DUMMYFUNCTION("""COMPUTED_VALUE"""),"APPROVED")</f>
        <v>APPROVED</v>
      </c>
      <c r="V955" s="1"/>
      <c r="W955" s="1"/>
    </row>
    <row r="956" customHeight="1" spans="1:23">
      <c r="A956" s="3">
        <f>IFERROR(__xludf.DUMMYFUNCTION("""COMPUTED_VALUE"""),46104)</f>
        <v>46104</v>
      </c>
      <c r="B956" s="1" t="str">
        <f>IFERROR(__xludf.DUMMYFUNCTION("""COMPUTED_VALUE"""),"CESTINA, CHERRELYN")</f>
        <v>CESTINA, CHERRELYN</v>
      </c>
      <c r="C956" s="1" t="str">
        <f>IFERROR(__xludf.DUMMYFUNCTION("""COMPUTED_VALUE"""),"FLA")</f>
        <v>FLA</v>
      </c>
      <c r="D956" s="1" t="str">
        <f>IFERROR(__xludf.DUMMYFUNCTION("""COMPUTED_VALUE"""),"JERIC NAVARRO")</f>
        <v>JERIC NAVARRO</v>
      </c>
      <c r="E956" s="1" t="str">
        <f>IFERROR(__xludf.DUMMYFUNCTION("""COMPUTED_VALUE"""),"PLDT")</f>
        <v>PLDT</v>
      </c>
      <c r="F956" s="1">
        <f>IFERROR(__xludf.DUMMYFUNCTION("""COMPUTED_VALUE"""),2308431064)</f>
        <v>2308431064</v>
      </c>
      <c r="G956" s="1"/>
      <c r="H956" s="1" t="str">
        <f>IFERROR(__xludf.DUMMYFUNCTION("""COMPUTED_VALUE"""),"JONALYN PANUELO DE LOS SANTOS")</f>
        <v>JONALYN PANUELO DE LOS SANTOS</v>
      </c>
      <c r="I956" s="1">
        <f>IFERROR(__xludf.DUMMYFUNCTION("""COMPUTED_VALUE"""),9399359958)</f>
        <v>9399359958</v>
      </c>
      <c r="J956" s="1"/>
      <c r="K956" s="1" t="str">
        <f>IFERROR(__xludf.DUMMYFUNCTION("""COMPUTED_VALUE"""),"NASHNALLA@GMAIL.COM")</f>
        <v>NASHNALLA@GMAIL.COM</v>
      </c>
      <c r="L956" s="1" t="str">
        <f>IFERROR(__xludf.DUMMYFUNCTION("""COMPUTED_VALUE"""),"BLK 15 LOT 2")</f>
        <v>BLK 15 LOT 2</v>
      </c>
      <c r="M956" s="1" t="str">
        <f>IFERROR(__xludf.DUMMYFUNCTION("""COMPUTED_VALUE"""),"CATALONIA")</f>
        <v>CATALONIA</v>
      </c>
      <c r="N956" s="1" t="str">
        <f>IFERROR(__xludf.DUMMYFUNCTION("""COMPUTED_VALUE"""),"MONTEFARO WEST")</f>
        <v>MONTEFARO WEST</v>
      </c>
      <c r="O956" s="1"/>
      <c r="P956" s="1"/>
      <c r="Q956" s="1" t="str">
        <f>IFERROR(__xludf.DUMMYFUNCTION("""COMPUTED_VALUE"""),"ALAPAN I-B")</f>
        <v>ALAPAN I-B</v>
      </c>
      <c r="R956" s="1" t="str">
        <f>IFERROR(__xludf.DUMMYFUNCTION("""COMPUTED_VALUE"""),"IMUS")</f>
        <v>IMUS</v>
      </c>
      <c r="S956" s="1" t="str">
        <f>IFERROR(__xludf.DUMMYFUNCTION("""COMPUTED_VALUE"""),"CAVITE")</f>
        <v>CAVITE</v>
      </c>
      <c r="T956" s="1" t="str">
        <f>IFERROR(__xludf.DUMMYFUNCTION("""COMPUTED_VALUE"""),"FIBR UNLI ALL PLAN 2499")</f>
        <v>FIBR UNLI ALL PLAN 2499</v>
      </c>
      <c r="U956" s="1" t="str">
        <f>IFERROR(__xludf.DUMMYFUNCTION("""COMPUTED_VALUE"""),"APPROVED")</f>
        <v>APPROVED</v>
      </c>
      <c r="V956" s="1"/>
      <c r="W956" s="1"/>
    </row>
    <row r="957" customHeight="1" spans="1:23">
      <c r="A957" s="3">
        <f>IFERROR(__xludf.DUMMYFUNCTION("""COMPUTED_VALUE"""),46104)</f>
        <v>46104</v>
      </c>
      <c r="B957" s="1" t="str">
        <f>IFERROR(__xludf.DUMMYFUNCTION("""COMPUTED_VALUE"""),"REMOLLO, LEA")</f>
        <v>REMOLLO, LEA</v>
      </c>
      <c r="C957" s="1" t="str">
        <f>IFERROR(__xludf.DUMMYFUNCTION("""COMPUTED_VALUE"""),"FLA")</f>
        <v>FLA</v>
      </c>
      <c r="D957" s="1" t="str">
        <f>IFERROR(__xludf.DUMMYFUNCTION("""COMPUTED_VALUE"""),"JERIC NAVARRO")</f>
        <v>JERIC NAVARRO</v>
      </c>
      <c r="E957" s="1" t="str">
        <f>IFERROR(__xludf.DUMMYFUNCTION("""COMPUTED_VALUE"""),"PLDT")</f>
        <v>PLDT</v>
      </c>
      <c r="F957" s="1">
        <f>IFERROR(__xludf.DUMMYFUNCTION("""COMPUTED_VALUE"""),2308431370)</f>
        <v>2308431370</v>
      </c>
      <c r="G957" s="1"/>
      <c r="H957" s="1" t="str">
        <f>IFERROR(__xludf.DUMMYFUNCTION("""COMPUTED_VALUE"""),"MARY JEAN CANESO LOZADA")</f>
        <v>MARY JEAN CANESO LOZADA</v>
      </c>
      <c r="I957" s="1">
        <f>IFERROR(__xludf.DUMMYFUNCTION("""COMPUTED_VALUE"""),9304488080)</f>
        <v>9304488080</v>
      </c>
      <c r="J957" s="1">
        <f>IFERROR(__xludf.DUMMYFUNCTION("""COMPUTED_VALUE"""),9649253030)</f>
        <v>9649253030</v>
      </c>
      <c r="K957" s="1" t="str">
        <f>IFERROR(__xludf.DUMMYFUNCTION("""COMPUTED_VALUE"""),"LOZADAMARYJEAN29@GMAIL.COM")</f>
        <v>LOZADAMARYJEAN29@GMAIL.COM</v>
      </c>
      <c r="L957" s="1" t="str">
        <f>IFERROR(__xludf.DUMMYFUNCTION("""COMPUTED_VALUE"""),"3")</f>
        <v>3</v>
      </c>
      <c r="M957" s="1" t="str">
        <f>IFERROR(__xludf.DUMMYFUNCTION("""COMPUTED_VALUE"""),"SITIO HANAPOL")</f>
        <v>SITIO HANAPOL</v>
      </c>
      <c r="N957" s="1"/>
      <c r="O957" s="1"/>
      <c r="P957" s="1"/>
      <c r="Q957" s="1" t="str">
        <f>IFERROR(__xludf.DUMMYFUNCTION("""COMPUTED_VALUE"""),"KAONG")</f>
        <v>KAONG</v>
      </c>
      <c r="R957" s="1" t="str">
        <f>IFERROR(__xludf.DUMMYFUNCTION("""COMPUTED_VALUE"""),"SILANG")</f>
        <v>SILANG</v>
      </c>
      <c r="S957" s="1" t="str">
        <f>IFERROR(__xludf.DUMMYFUNCTION("""COMPUTED_VALUE"""),"CAVITE")</f>
        <v>CAVITE</v>
      </c>
      <c r="T957" s="1" t="str">
        <f>IFERROR(__xludf.DUMMYFUNCTION("""COMPUTED_VALUE"""),"FIBR PLAN 1299")</f>
        <v>FIBR PLAN 1299</v>
      </c>
      <c r="U957" s="1" t="str">
        <f>IFERROR(__xludf.DUMMYFUNCTION("""COMPUTED_VALUE"""),"APPROVED")</f>
        <v>APPROVED</v>
      </c>
      <c r="V957" s="1"/>
      <c r="W957" s="1"/>
    </row>
    <row r="958" customHeight="1" spans="1:23">
      <c r="A958" s="3">
        <f>IFERROR(__xludf.DUMMYFUNCTION("""COMPUTED_VALUE"""),46104)</f>
        <v>46104</v>
      </c>
      <c r="B958" s="1" t="str">
        <f>IFERROR(__xludf.DUMMYFUNCTION("""COMPUTED_VALUE"""),"MALIWAT MARK ELVIN")</f>
        <v>MALIWAT MARK ELVIN</v>
      </c>
      <c r="C958" s="1" t="str">
        <f>IFERROR(__xludf.DUMMYFUNCTION("""COMPUTED_VALUE"""),"FLA")</f>
        <v>FLA</v>
      </c>
      <c r="D958" s="1" t="str">
        <f>IFERROR(__xludf.DUMMYFUNCTION("""COMPUTED_VALUE"""),"JERIC NAVARRO")</f>
        <v>JERIC NAVARRO</v>
      </c>
      <c r="E958" s="1" t="str">
        <f>IFERROR(__xludf.DUMMYFUNCTION("""COMPUTED_VALUE"""),"PLDT")</f>
        <v>PLDT</v>
      </c>
      <c r="F958" s="1">
        <f>IFERROR(__xludf.DUMMYFUNCTION("""COMPUTED_VALUE"""),2308431926)</f>
        <v>2308431926</v>
      </c>
      <c r="G958" s="1"/>
      <c r="H958" s="1" t="str">
        <f>IFERROR(__xludf.DUMMYFUNCTION("""COMPUTED_VALUE"""),"FELY RESURRECCION HERMOSO")</f>
        <v>FELY RESURRECCION HERMOSO</v>
      </c>
      <c r="I958" s="1">
        <f>IFERROR(__xludf.DUMMYFUNCTION("""COMPUTED_VALUE"""),9919322079)</f>
        <v>9919322079</v>
      </c>
      <c r="J958" s="1">
        <f>IFERROR(__xludf.DUMMYFUNCTION("""COMPUTED_VALUE"""),9273235695)</f>
        <v>9273235695</v>
      </c>
      <c r="K958" s="1" t="str">
        <f>IFERROR(__xludf.DUMMYFUNCTION("""COMPUTED_VALUE"""),"HERMOSOFELY45@GMAIL.COM")</f>
        <v>HERMOSOFELY45@GMAIL.COM</v>
      </c>
      <c r="L958" s="1" t="str">
        <f>IFERROR(__xludf.DUMMYFUNCTION("""COMPUTED_VALUE"""),"89")</f>
        <v>89</v>
      </c>
      <c r="M958" s="1" t="str">
        <f>IFERROR(__xludf.DUMMYFUNCTION("""COMPUTED_VALUE"""),"MATAGBAK")</f>
        <v>MATAGBAK</v>
      </c>
      <c r="N958" s="1"/>
      <c r="O958" s="1"/>
      <c r="P958" s="1"/>
      <c r="Q958" s="1" t="str">
        <f>IFERROR(__xludf.DUMMYFUNCTION("""COMPUTED_VALUE"""),"MATAGBAK II")</f>
        <v>MATAGBAK II</v>
      </c>
      <c r="R958" s="1" t="str">
        <f>IFERROR(__xludf.DUMMYFUNCTION("""COMPUTED_VALUE"""),"ALFONSO")</f>
        <v>ALFONSO</v>
      </c>
      <c r="S958" s="1" t="str">
        <f>IFERROR(__xludf.DUMMYFUNCTION("""COMPUTED_VALUE"""),"CAVITE")</f>
        <v>CAVITE</v>
      </c>
      <c r="T958" s="1" t="str">
        <f>IFERROR(__xludf.DUMMYFUNCTION("""COMPUTED_VALUE"""),"FIBR PLAN 1299")</f>
        <v>FIBR PLAN 1299</v>
      </c>
      <c r="U958" s="1" t="str">
        <f>IFERROR(__xludf.DUMMYFUNCTION("""COMPUTED_VALUE"""),"APPROVED")</f>
        <v>APPROVED</v>
      </c>
      <c r="V958" s="1"/>
      <c r="W958" s="1"/>
    </row>
    <row r="959" customHeight="1" spans="1:23">
      <c r="A959" s="3">
        <f>IFERROR(__xludf.DUMMYFUNCTION("""COMPUTED_VALUE"""),46104)</f>
        <v>46104</v>
      </c>
      <c r="B959" s="1" t="str">
        <f>IFERROR(__xludf.DUMMYFUNCTION("""COMPUTED_VALUE"""),"AQUINO, LUIS")</f>
        <v>AQUINO, LUIS</v>
      </c>
      <c r="C959" s="1" t="str">
        <f>IFERROR(__xludf.DUMMYFUNCTION("""COMPUTED_VALUE"""),"ORGANIC")</f>
        <v>ORGANIC</v>
      </c>
      <c r="D959" s="1" t="str">
        <f>IFERROR(__xludf.DUMMYFUNCTION("""COMPUTED_VALUE"""),"ALOS, CHARLS")</f>
        <v>ALOS, CHARLS</v>
      </c>
      <c r="E959" s="1" t="str">
        <f>IFERROR(__xludf.DUMMYFUNCTION("""COMPUTED_VALUE"""),"PLDT")</f>
        <v>PLDT</v>
      </c>
      <c r="F959" s="1">
        <f>IFERROR(__xludf.DUMMYFUNCTION("""COMPUTED_VALUE"""),2308432374)</f>
        <v>2308432374</v>
      </c>
      <c r="G959" s="1"/>
      <c r="H959" s="1" t="str">
        <f>IFERROR(__xludf.DUMMYFUNCTION("""COMPUTED_VALUE"""),"RAYMOND MALINAO SOLONIA")</f>
        <v>RAYMOND MALINAO SOLONIA</v>
      </c>
      <c r="I959" s="1">
        <f>IFERROR(__xludf.DUMMYFUNCTION("""COMPUTED_VALUE"""),9678678120)</f>
        <v>9678678120</v>
      </c>
      <c r="J959" s="1">
        <f>IFERROR(__xludf.DUMMYFUNCTION("""COMPUTED_VALUE"""),9678678125)</f>
        <v>9678678125</v>
      </c>
      <c r="K959" s="1" t="str">
        <f>IFERROR(__xludf.DUMMYFUNCTION("""COMPUTED_VALUE"""),"SOLONIARAYMONDM@GMAIL.COM")</f>
        <v>SOLONIARAYMONDM@GMAIL.COM</v>
      </c>
      <c r="L959" s="1" t="str">
        <f>IFERROR(__xludf.DUMMYFUNCTION("""COMPUTED_VALUE"""),"BLK 3 LOT 5")</f>
        <v>BLK 3 LOT 5</v>
      </c>
      <c r="M959" s="1" t="str">
        <f>IFERROR(__xludf.DUMMYFUNCTION("""COMPUTED_VALUE"""),"BY PASS")</f>
        <v>BY PASS</v>
      </c>
      <c r="N959" s="1"/>
      <c r="O959" s="1"/>
      <c r="P959" s="1"/>
      <c r="Q959" s="1" t="str">
        <f>IFERROR(__xludf.DUMMYFUNCTION("""COMPUTED_VALUE"""),"PATUTONG MALAKI NORTH")</f>
        <v>PATUTONG MALAKI NORTH</v>
      </c>
      <c r="R959" s="1" t="str">
        <f>IFERROR(__xludf.DUMMYFUNCTION("""COMPUTED_VALUE"""),"TAGAYTAY")</f>
        <v>TAGAYTAY</v>
      </c>
      <c r="S959" s="1" t="str">
        <f>IFERROR(__xludf.DUMMYFUNCTION("""COMPUTED_VALUE"""),"CAVITE")</f>
        <v>CAVITE</v>
      </c>
      <c r="T959" s="1" t="str">
        <f>IFERROR(__xludf.DUMMYFUNCTION("""COMPUTED_VALUE"""),"FIBR PLAN 1299")</f>
        <v>FIBR PLAN 1299</v>
      </c>
      <c r="U959" s="1" t="str">
        <f>IFERROR(__xludf.DUMMYFUNCTION("""COMPUTED_VALUE"""),"APPROVED")</f>
        <v>APPROVED</v>
      </c>
      <c r="V959" s="1"/>
      <c r="W959" s="1"/>
    </row>
    <row r="960" customHeight="1" spans="1:23">
      <c r="A960" s="3">
        <f>IFERROR(__xludf.DUMMYFUNCTION("""COMPUTED_VALUE"""),46105)</f>
        <v>46105</v>
      </c>
      <c r="B960" s="1" t="str">
        <f>IFERROR(__xludf.DUMMYFUNCTION("""COMPUTED_VALUE"""),"MAGDARAOG, KENNETH")</f>
        <v>MAGDARAOG, KENNETH</v>
      </c>
      <c r="C960" s="1" t="str">
        <f>IFERROR(__xludf.DUMMYFUNCTION("""COMPUTED_VALUE"""),"ORGANIC")</f>
        <v>ORGANIC</v>
      </c>
      <c r="D960" s="1" t="str">
        <f>IFERROR(__xludf.DUMMYFUNCTION("""COMPUTED_VALUE"""),"ALINGARO, CINDY")</f>
        <v>ALINGARO, CINDY</v>
      </c>
      <c r="E960" s="1" t="str">
        <f>IFERROR(__xludf.DUMMYFUNCTION("""COMPUTED_VALUE"""),"PLDT")</f>
        <v>PLDT</v>
      </c>
      <c r="F960" s="1">
        <f>IFERROR(__xludf.DUMMYFUNCTION("""COMPUTED_VALUE"""),2308443426)</f>
        <v>2308443426</v>
      </c>
      <c r="G960" s="1"/>
      <c r="H960" s="1" t="str">
        <f>IFERROR(__xludf.DUMMYFUNCTION("""COMPUTED_VALUE"""),"RONNIE SOSA PEREY")</f>
        <v>RONNIE SOSA PEREY</v>
      </c>
      <c r="I960" s="1">
        <f>IFERROR(__xludf.DUMMYFUNCTION("""COMPUTED_VALUE"""),9533847872)</f>
        <v>9533847872</v>
      </c>
      <c r="J960" s="1">
        <f>IFERROR(__xludf.DUMMYFUNCTION("""COMPUTED_VALUE"""),9533926410)</f>
        <v>9533926410</v>
      </c>
      <c r="K960" s="1" t="str">
        <f>IFERROR(__xludf.DUMMYFUNCTION("""COMPUTED_VALUE"""),"PEREYRONNIE69@GMAIL.COM")</f>
        <v>PEREYRONNIE69@GMAIL.COM</v>
      </c>
      <c r="L960" s="1" t="str">
        <f>IFERROR(__xludf.DUMMYFUNCTION("""COMPUTED_VALUE"""),"13")</f>
        <v>13</v>
      </c>
      <c r="M960" s="1" t="str">
        <f>IFERROR(__xludf.DUMMYFUNCTION("""COMPUTED_VALUE"""),"BANAYAD")</f>
        <v>BANAYAD</v>
      </c>
      <c r="N960" s="1"/>
      <c r="O960" s="1"/>
      <c r="P960" s="1"/>
      <c r="Q960" s="1" t="str">
        <f>IFERROR(__xludf.DUMMYFUNCTION("""COMPUTED_VALUE"""),"MIGUEL MOJICA")</f>
        <v>MIGUEL MOJICA</v>
      </c>
      <c r="R960" s="1" t="str">
        <f>IFERROR(__xludf.DUMMYFUNCTION("""COMPUTED_VALUE"""),"MENDEZ")</f>
        <v>MENDEZ</v>
      </c>
      <c r="S960" s="1" t="str">
        <f>IFERROR(__xludf.DUMMYFUNCTION("""COMPUTED_VALUE"""),"CAVITE")</f>
        <v>CAVITE</v>
      </c>
      <c r="T960" s="1" t="str">
        <f>IFERROR(__xludf.DUMMYFUNCTION("""COMPUTED_VALUE"""),"PREPAID FIBER UNLI")</f>
        <v>PREPAID FIBER UNLI</v>
      </c>
      <c r="U960" s="1" t="str">
        <f>IFERROR(__xludf.DUMMYFUNCTION("""COMPUTED_VALUE"""),"APPROVED")</f>
        <v>APPROVED</v>
      </c>
      <c r="V960" s="1"/>
      <c r="W960" s="1"/>
    </row>
    <row r="961" customHeight="1" spans="1:23">
      <c r="A961" s="3">
        <f>IFERROR(__xludf.DUMMYFUNCTION("""COMPUTED_VALUE"""),46105)</f>
        <v>46105</v>
      </c>
      <c r="B961" s="1" t="str">
        <f>IFERROR(__xludf.DUMMYFUNCTION("""COMPUTED_VALUE"""),"GABAY, MANUEL")</f>
        <v>GABAY, MANUEL</v>
      </c>
      <c r="C961" s="1" t="str">
        <f>IFERROR(__xludf.DUMMYFUNCTION("""COMPUTED_VALUE"""),"FLA")</f>
        <v>FLA</v>
      </c>
      <c r="D961" s="1" t="str">
        <f>IFERROR(__xludf.DUMMYFUNCTION("""COMPUTED_VALUE"""),"JERIC NAVARRO")</f>
        <v>JERIC NAVARRO</v>
      </c>
      <c r="E961" s="1" t="str">
        <f>IFERROR(__xludf.DUMMYFUNCTION("""COMPUTED_VALUE"""),"PLDT")</f>
        <v>PLDT</v>
      </c>
      <c r="F961" s="1">
        <f>IFERROR(__xludf.DUMMYFUNCTION("""COMPUTED_VALUE"""),2308443504)</f>
        <v>2308443504</v>
      </c>
      <c r="G961" s="1"/>
      <c r="H961" s="1" t="str">
        <f>IFERROR(__xludf.DUMMYFUNCTION("""COMPUTED_VALUE"""),"JUDITH CONDINO CUBIO")</f>
        <v>JUDITH CONDINO CUBIO</v>
      </c>
      <c r="I961" s="1">
        <f>IFERROR(__xludf.DUMMYFUNCTION("""COMPUTED_VALUE"""),9303732726)</f>
        <v>9303732726</v>
      </c>
      <c r="J961" s="1">
        <f>IFERROR(__xludf.DUMMYFUNCTION("""COMPUTED_VALUE"""),9929227569)</f>
        <v>9929227569</v>
      </c>
      <c r="K961" s="1" t="str">
        <f>IFERROR(__xludf.DUMMYFUNCTION("""COMPUTED_VALUE"""),"VAGSVANNY46@GMAIL.COM")</f>
        <v>VAGSVANNY46@GMAIL.COM</v>
      </c>
      <c r="L961" s="1" t="str">
        <f>IFERROR(__xludf.DUMMYFUNCTION("""COMPUTED_VALUE"""),"898")</f>
        <v>898</v>
      </c>
      <c r="M961" s="1" t="str">
        <f>IFERROR(__xludf.DUMMYFUNCTION("""COMPUTED_VALUE"""),"SAN PEDRO ST")</f>
        <v>SAN PEDRO ST</v>
      </c>
      <c r="N961" s="1"/>
      <c r="O961" s="1"/>
      <c r="P961" s="1"/>
      <c r="Q961" s="1" t="str">
        <f>IFERROR(__xludf.DUMMYFUNCTION("""COMPUTED_VALUE"""),"BUCAL")</f>
        <v>BUCAL</v>
      </c>
      <c r="R961" s="1" t="str">
        <f>IFERROR(__xludf.DUMMYFUNCTION("""COMPUTED_VALUE"""),"MENDEZ")</f>
        <v>MENDEZ</v>
      </c>
      <c r="S961" s="1" t="str">
        <f>IFERROR(__xludf.DUMMYFUNCTION("""COMPUTED_VALUE"""),"CAVITE")</f>
        <v>CAVITE</v>
      </c>
      <c r="T961" s="1" t="str">
        <f>IFERROR(__xludf.DUMMYFUNCTION("""COMPUTED_VALUE"""),"FIBR UNLI ALL PLAN 1399")</f>
        <v>FIBR UNLI ALL PLAN 1399</v>
      </c>
      <c r="U961" s="1" t="str">
        <f>IFERROR(__xludf.DUMMYFUNCTION("""COMPUTED_VALUE"""),"APPROVED")</f>
        <v>APPROVED</v>
      </c>
      <c r="V961" s="1"/>
      <c r="W961" s="1"/>
    </row>
    <row r="962" customHeight="1" spans="1:23">
      <c r="A962" s="3">
        <f>IFERROR(__xludf.DUMMYFUNCTION("""COMPUTED_VALUE"""),46105)</f>
        <v>46105</v>
      </c>
      <c r="B962" s="1" t="str">
        <f>IFERROR(__xludf.DUMMYFUNCTION("""COMPUTED_VALUE"""),"CARPIO, STEPHANIE NICOLE")</f>
        <v>CARPIO, STEPHANIE NICOLE</v>
      </c>
      <c r="C962" s="1" t="str">
        <f>IFERROR(__xludf.DUMMYFUNCTION("""COMPUTED_VALUE"""),"FLA")</f>
        <v>FLA</v>
      </c>
      <c r="D962" s="1" t="str">
        <f>IFERROR(__xludf.DUMMYFUNCTION("""COMPUTED_VALUE"""),"JERIC NAVARRO")</f>
        <v>JERIC NAVARRO</v>
      </c>
      <c r="E962" s="1" t="str">
        <f>IFERROR(__xludf.DUMMYFUNCTION("""COMPUTED_VALUE"""),"PLDT")</f>
        <v>PLDT</v>
      </c>
      <c r="F962" s="1">
        <f>IFERROR(__xludf.DUMMYFUNCTION("""COMPUTED_VALUE"""),2308444684)</f>
        <v>2308444684</v>
      </c>
      <c r="G962" s="1"/>
      <c r="H962" s="1" t="str">
        <f>IFERROR(__xludf.DUMMYFUNCTION("""COMPUTED_VALUE"""),"ERLINDA LUMAGUI NAGUILLEN ")</f>
        <v>ERLINDA LUMAGUI NAGUILLEN </v>
      </c>
      <c r="I962" s="1">
        <f>IFERROR(__xludf.DUMMYFUNCTION("""COMPUTED_VALUE"""),9525962612)</f>
        <v>9525962612</v>
      </c>
      <c r="J962" s="1"/>
      <c r="K962" s="1" t="str">
        <f>IFERROR(__xludf.DUMMYFUNCTION("""COMPUTED_VALUE"""),"LNAGUILLEN@GMAIL.COM")</f>
        <v>LNAGUILLEN@GMAIL.COM</v>
      </c>
      <c r="L962" s="1" t="str">
        <f>IFERROR(__xludf.DUMMYFUNCTION("""COMPUTED_VALUE"""),"175")</f>
        <v>175</v>
      </c>
      <c r="M962" s="1" t="str">
        <f>IFERROR(__xludf.DUMMYFUNCTION("""COMPUTED_VALUE"""),"CAPT VILLAREAL")</f>
        <v>CAPT VILLAREAL</v>
      </c>
      <c r="N962" s="1"/>
      <c r="O962" s="1"/>
      <c r="P962" s="1"/>
      <c r="Q962" s="1" t="str">
        <f>IFERROR(__xludf.DUMMYFUNCTION("""COMPUTED_VALUE"""),"BARANGAY 36-A (SAP-SAP A)")</f>
        <v>BARANGAY 36-A (SAP-SAP A)</v>
      </c>
      <c r="R962" s="1" t="str">
        <f>IFERROR(__xludf.DUMMYFUNCTION("""COMPUTED_VALUE"""),"CAVITE CITY")</f>
        <v>CAVITE CITY</v>
      </c>
      <c r="S962" s="1" t="str">
        <f>IFERROR(__xludf.DUMMYFUNCTION("""COMPUTED_VALUE"""),"CAVITE")</f>
        <v>CAVITE</v>
      </c>
      <c r="T962" s="1" t="str">
        <f>IFERROR(__xludf.DUMMYFUNCTION("""COMPUTED_VALUE"""),"FIBR UNLI ALL PLAN 1399")</f>
        <v>FIBR UNLI ALL PLAN 1399</v>
      </c>
      <c r="U962" s="1" t="str">
        <f>IFERROR(__xludf.DUMMYFUNCTION("""COMPUTED_VALUE"""),"APPROVED")</f>
        <v>APPROVED</v>
      </c>
      <c r="V962" s="1"/>
      <c r="W962" s="1"/>
    </row>
    <row r="963" customHeight="1" spans="1:23">
      <c r="A963" s="3">
        <f>IFERROR(__xludf.DUMMYFUNCTION("""COMPUTED_VALUE"""),46105)</f>
        <v>46105</v>
      </c>
      <c r="B963" s="1" t="str">
        <f>IFERROR(__xludf.DUMMYFUNCTION("""COMPUTED_VALUE"""),"CANTANERO JUNEL")</f>
        <v>CANTANERO JUNEL</v>
      </c>
      <c r="C963" s="1" t="str">
        <f>IFERROR(__xludf.DUMMYFUNCTION("""COMPUTED_VALUE"""),"ORGANIC")</f>
        <v>ORGANIC</v>
      </c>
      <c r="D963" s="1" t="str">
        <f>IFERROR(__xludf.DUMMYFUNCTION("""COMPUTED_VALUE"""),"ALINGARO, CINDY")</f>
        <v>ALINGARO, CINDY</v>
      </c>
      <c r="E963" s="1" t="str">
        <f>IFERROR(__xludf.DUMMYFUNCTION("""COMPUTED_VALUE"""),"PLDT")</f>
        <v>PLDT</v>
      </c>
      <c r="F963" s="1">
        <f>IFERROR(__xludf.DUMMYFUNCTION("""COMPUTED_VALUE"""),2308444752)</f>
        <v>2308444752</v>
      </c>
      <c r="G963" s="1"/>
      <c r="H963" s="1" t="str">
        <f>IFERROR(__xludf.DUMMYFUNCTION("""COMPUTED_VALUE"""),"DAISY NICAL ANDAYA")</f>
        <v>DAISY NICAL ANDAYA</v>
      </c>
      <c r="I963" s="1">
        <f>IFERROR(__xludf.DUMMYFUNCTION("""COMPUTED_VALUE"""),9679517588)</f>
        <v>9679517588</v>
      </c>
      <c r="J963" s="1"/>
      <c r="K963" s="1" t="str">
        <f>IFERROR(__xludf.DUMMYFUNCTION("""COMPUTED_VALUE"""),"ANDREILAGUTANA@GMAIL.COM")</f>
        <v>ANDREILAGUTANA@GMAIL.COM</v>
      </c>
      <c r="L963" s="1" t="str">
        <f>IFERROR(__xludf.DUMMYFUNCTION("""COMPUTED_VALUE"""),"38")</f>
        <v>38</v>
      </c>
      <c r="M963" s="1" t="str">
        <f>IFERROR(__xludf.DUMMYFUNCTION("""COMPUTED_VALUE"""),"ULOS SPRING")</f>
        <v>ULOS SPRING</v>
      </c>
      <c r="N963" s="1"/>
      <c r="O963" s="1"/>
      <c r="P963" s="1"/>
      <c r="Q963" s="1" t="str">
        <f>IFERROR(__xludf.DUMMYFUNCTION("""COMPUTED_VALUE"""),"PANUNGYAN II")</f>
        <v>PANUNGYAN II</v>
      </c>
      <c r="R963" s="1" t="str">
        <f>IFERROR(__xludf.DUMMYFUNCTION("""COMPUTED_VALUE"""),"MENDEZ")</f>
        <v>MENDEZ</v>
      </c>
      <c r="S963" s="1" t="str">
        <f>IFERROR(__xludf.DUMMYFUNCTION("""COMPUTED_VALUE"""),"CAVITE")</f>
        <v>CAVITE</v>
      </c>
      <c r="T963" s="1" t="str">
        <f>IFERROR(__xludf.DUMMYFUNCTION("""COMPUTED_VALUE"""),"FIBR PLAN 1299")</f>
        <v>FIBR PLAN 1299</v>
      </c>
      <c r="U963" s="1" t="str">
        <f>IFERROR(__xludf.DUMMYFUNCTION("""COMPUTED_VALUE"""),"APPROVED")</f>
        <v>APPROVED</v>
      </c>
      <c r="V963" s="1"/>
      <c r="W963" s="1"/>
    </row>
    <row r="964" customHeight="1" spans="1:23">
      <c r="A964" s="3">
        <f>IFERROR(__xludf.DUMMYFUNCTION("""COMPUTED_VALUE"""),46105)</f>
        <v>46105</v>
      </c>
      <c r="B964" s="1" t="str">
        <f>IFERROR(__xludf.DUMMYFUNCTION("""COMPUTED_VALUE"""),"MAÑANITA, ERIKA")</f>
        <v>MAÑANITA, ERIKA</v>
      </c>
      <c r="C964" s="1" t="str">
        <f>IFERROR(__xludf.DUMMYFUNCTION("""COMPUTED_VALUE"""),"ORGANIC")</f>
        <v>ORGANIC</v>
      </c>
      <c r="D964" s="1" t="str">
        <f>IFERROR(__xludf.DUMMYFUNCTION("""COMPUTED_VALUE"""),"ALOS, CHARLS")</f>
        <v>ALOS, CHARLS</v>
      </c>
      <c r="E964" s="1" t="str">
        <f>IFERROR(__xludf.DUMMYFUNCTION("""COMPUTED_VALUE"""),"PLDT")</f>
        <v>PLDT</v>
      </c>
      <c r="F964" s="1">
        <f>IFERROR(__xludf.DUMMYFUNCTION("""COMPUTED_VALUE"""),2308447788)</f>
        <v>2308447788</v>
      </c>
      <c r="G964" s="1"/>
      <c r="H964" s="1" t="str">
        <f>IFERROR(__xludf.DUMMYFUNCTION("""COMPUTED_VALUE"""),"LEI GUAN")</f>
        <v>LEI GUAN</v>
      </c>
      <c r="I964" s="1">
        <f>IFERROR(__xludf.DUMMYFUNCTION("""COMPUTED_VALUE"""),9206348318)</f>
        <v>9206348318</v>
      </c>
      <c r="J964" s="1"/>
      <c r="K964" s="1" t="str">
        <f>IFERROR(__xludf.DUMMYFUNCTION("""COMPUTED_VALUE"""),"BNDTAGLE@KLD.EDU.PH")</f>
        <v>BNDTAGLE@KLD.EDU.PH</v>
      </c>
      <c r="L964" s="1" t="str">
        <f>IFERROR(__xludf.DUMMYFUNCTION("""COMPUTED_VALUE"""),"BLK 7 LOT 32")</f>
        <v>BLK 7 LOT 32</v>
      </c>
      <c r="M964" s="1" t="str">
        <f>IFERROR(__xludf.DUMMYFUNCTION("""COMPUTED_VALUE"""),"DIMOND")</f>
        <v>DIMOND</v>
      </c>
      <c r="N964" s="1" t="str">
        <f>IFERROR(__xludf.DUMMYFUNCTION("""COMPUTED_VALUE"""),"KAHAYA PLACE")</f>
        <v>KAHAYA PLACE</v>
      </c>
      <c r="O964" s="1"/>
      <c r="P964" s="1"/>
      <c r="Q964" s="1" t="str">
        <f>IFERROR(__xludf.DUMMYFUNCTION("""COMPUTED_VALUE"""),"ZONE III (POB.)")</f>
        <v>ZONE III (POB.)</v>
      </c>
      <c r="R964" s="1" t="str">
        <f>IFERROR(__xludf.DUMMYFUNCTION("""COMPUTED_VALUE"""),"DASMARINAS")</f>
        <v>DASMARINAS</v>
      </c>
      <c r="S964" s="1" t="str">
        <f>IFERROR(__xludf.DUMMYFUNCTION("""COMPUTED_VALUE"""),"CAVITE")</f>
        <v>CAVITE</v>
      </c>
      <c r="T964" s="1" t="str">
        <f>IFERROR(__xludf.DUMMYFUNCTION("""COMPUTED_VALUE"""),"FIBR PLAN 1299")</f>
        <v>FIBR PLAN 1299</v>
      </c>
      <c r="U964" s="1" t="str">
        <f>IFERROR(__xludf.DUMMYFUNCTION("""COMPUTED_VALUE"""),"APPROVED")</f>
        <v>APPROVED</v>
      </c>
      <c r="V964" s="1"/>
      <c r="W964" s="1"/>
    </row>
    <row r="965" customHeight="1" spans="1:23">
      <c r="A965" s="3">
        <f>IFERROR(__xludf.DUMMYFUNCTION("""COMPUTED_VALUE"""),46105)</f>
        <v>46105</v>
      </c>
      <c r="B965" s="1" t="str">
        <f>IFERROR(__xludf.DUMMYFUNCTION("""COMPUTED_VALUE"""),"MALIWAT MARK ELVIN")</f>
        <v>MALIWAT MARK ELVIN</v>
      </c>
      <c r="C965" s="1" t="str">
        <f>IFERROR(__xludf.DUMMYFUNCTION("""COMPUTED_VALUE"""),"FLA")</f>
        <v>FLA</v>
      </c>
      <c r="D965" s="1" t="str">
        <f>IFERROR(__xludf.DUMMYFUNCTION("""COMPUTED_VALUE"""),"JERIC NAVARRO")</f>
        <v>JERIC NAVARRO</v>
      </c>
      <c r="E965" s="1" t="str">
        <f>IFERROR(__xludf.DUMMYFUNCTION("""COMPUTED_VALUE"""),"PLDT")</f>
        <v>PLDT</v>
      </c>
      <c r="F965" s="1">
        <f>IFERROR(__xludf.DUMMYFUNCTION("""COMPUTED_VALUE"""),2308447705)</f>
        <v>2308447705</v>
      </c>
      <c r="G965" s="1"/>
      <c r="H965" s="1" t="str">
        <f>IFERROR(__xludf.DUMMYFUNCTION("""COMPUTED_VALUE"""),"JAKE MARANO JAVIER")</f>
        <v>JAKE MARANO JAVIER</v>
      </c>
      <c r="I965" s="1">
        <f>IFERROR(__xludf.DUMMYFUNCTION("""COMPUTED_VALUE"""),9367878540)</f>
        <v>9367878540</v>
      </c>
      <c r="J965" s="1">
        <f>IFERROR(__xludf.DUMMYFUNCTION("""COMPUTED_VALUE"""),9535475048)</f>
        <v>9535475048</v>
      </c>
      <c r="K965" s="1" t="str">
        <f>IFERROR(__xludf.DUMMYFUNCTION("""COMPUTED_VALUE"""),"JEXZGAMING1@GMAIL.COM")</f>
        <v>JEXZGAMING1@GMAIL.COM</v>
      </c>
      <c r="L965" s="1" t="str">
        <f>IFERROR(__xludf.DUMMYFUNCTION("""COMPUTED_VALUE"""),"9120")</f>
        <v>9120</v>
      </c>
      <c r="M965" s="1" t="str">
        <f>IFERROR(__xludf.DUMMYFUNCTION("""COMPUTED_VALUE"""),"SITIO AYUNGANIN")</f>
        <v>SITIO AYUNGANIN</v>
      </c>
      <c r="N965" s="1"/>
      <c r="O965" s="1"/>
      <c r="P965" s="1"/>
      <c r="Q965" s="1" t="str">
        <f>IFERROR(__xludf.DUMMYFUNCTION("""COMPUTED_VALUE"""),"TALON")</f>
        <v>TALON</v>
      </c>
      <c r="R965" s="1" t="str">
        <f>IFERROR(__xludf.DUMMYFUNCTION("""COMPUTED_VALUE"""),"AMADEO")</f>
        <v>AMADEO</v>
      </c>
      <c r="S965" s="1" t="str">
        <f>IFERROR(__xludf.DUMMYFUNCTION("""COMPUTED_VALUE"""),"CAVITE")</f>
        <v>CAVITE</v>
      </c>
      <c r="T965" s="1" t="str">
        <f>IFERROR(__xludf.DUMMYFUNCTION("""COMPUTED_VALUE"""),"FIBR UNLI ALL PLAN 1399")</f>
        <v>FIBR UNLI ALL PLAN 1399</v>
      </c>
      <c r="U965" s="1" t="str">
        <f>IFERROR(__xludf.DUMMYFUNCTION("""COMPUTED_VALUE"""),"APPROVED")</f>
        <v>APPROVED</v>
      </c>
      <c r="V965" s="1"/>
      <c r="W965" s="1"/>
    </row>
    <row r="966" customHeight="1" spans="1:23">
      <c r="A966" s="3">
        <f>IFERROR(__xludf.DUMMYFUNCTION("""COMPUTED_VALUE"""),46105)</f>
        <v>46105</v>
      </c>
      <c r="B966" s="1" t="str">
        <f>IFERROR(__xludf.DUMMYFUNCTION("""COMPUTED_VALUE"""),"NAEOSA, JULLIE")</f>
        <v>NAEOSA, JULLIE</v>
      </c>
      <c r="C966" s="1" t="str">
        <f>IFERROR(__xludf.DUMMYFUNCTION("""COMPUTED_VALUE"""),"ORGANIC")</f>
        <v>ORGANIC</v>
      </c>
      <c r="D966" s="1" t="str">
        <f>IFERROR(__xludf.DUMMYFUNCTION("""COMPUTED_VALUE"""),"ALINGARO, CINDY")</f>
        <v>ALINGARO, CINDY</v>
      </c>
      <c r="E966" s="1" t="str">
        <f>IFERROR(__xludf.DUMMYFUNCTION("""COMPUTED_VALUE"""),"PLDT")</f>
        <v>PLDT</v>
      </c>
      <c r="F966" s="1">
        <f>IFERROR(__xludf.DUMMYFUNCTION("""COMPUTED_VALUE"""),2308450237)</f>
        <v>2308450237</v>
      </c>
      <c r="G966" s="1"/>
      <c r="H966" s="1" t="str">
        <f>IFERROR(__xludf.DUMMYFUNCTION("""COMPUTED_VALUE"""),"JAYBEE SAUDDIN PEREY")</f>
        <v>JAYBEE SAUDDIN PEREY</v>
      </c>
      <c r="I966" s="1">
        <f>IFERROR(__xludf.DUMMYFUNCTION("""COMPUTED_VALUE"""),9624795570)</f>
        <v>9624795570</v>
      </c>
      <c r="J966" s="1">
        <f>IFERROR(__xludf.DUMMYFUNCTION("""COMPUTED_VALUE"""),9568992752)</f>
        <v>9568992752</v>
      </c>
      <c r="K966" s="1" t="str">
        <f>IFERROR(__xludf.DUMMYFUNCTION("""COMPUTED_VALUE"""),"JHABE15@GMAIL.COM")</f>
        <v>JHABE15@GMAIL.COM</v>
      </c>
      <c r="L966" s="1" t="str">
        <f>IFERROR(__xludf.DUMMYFUNCTION("""COMPUTED_VALUE"""),"4")</f>
        <v>4</v>
      </c>
      <c r="M966" s="1" t="str">
        <f>IFERROR(__xludf.DUMMYFUNCTION("""COMPUTED_VALUE"""),"PUROK 2")</f>
        <v>PUROK 2</v>
      </c>
      <c r="N966" s="1" t="str">
        <f>IFERROR(__xludf.DUMMYFUNCTION("""COMPUTED_VALUE"""),"SIMEON VIDA RD")</f>
        <v>SIMEON VIDA RD</v>
      </c>
      <c r="O966" s="1"/>
      <c r="P966" s="1"/>
      <c r="Q966" s="1" t="str">
        <f>IFERROR(__xludf.DUMMYFUNCTION("""COMPUTED_VALUE"""),"PANUNGYAN II")</f>
        <v>PANUNGYAN II</v>
      </c>
      <c r="R966" s="1" t="str">
        <f>IFERROR(__xludf.DUMMYFUNCTION("""COMPUTED_VALUE"""),"MENDEZ")</f>
        <v>MENDEZ</v>
      </c>
      <c r="S966" s="1" t="str">
        <f>IFERROR(__xludf.DUMMYFUNCTION("""COMPUTED_VALUE"""),"CAVITE")</f>
        <v>CAVITE</v>
      </c>
      <c r="T966" s="1" t="str">
        <f>IFERROR(__xludf.DUMMYFUNCTION("""COMPUTED_VALUE"""),"FIBR UNLI ALL PLAN 1399")</f>
        <v>FIBR UNLI ALL PLAN 1399</v>
      </c>
      <c r="U966" s="1" t="str">
        <f>IFERROR(__xludf.DUMMYFUNCTION("""COMPUTED_VALUE"""),"APPROVED")</f>
        <v>APPROVED</v>
      </c>
      <c r="V966" s="1"/>
      <c r="W966" s="1"/>
    </row>
    <row r="967" customHeight="1" spans="1:23">
      <c r="A967" s="3">
        <f>IFERROR(__xludf.DUMMYFUNCTION("""COMPUTED_VALUE"""),46105)</f>
        <v>46105</v>
      </c>
      <c r="B967" s="1" t="str">
        <f>IFERROR(__xludf.DUMMYFUNCTION("""COMPUTED_VALUE"""),"AYON MANUEL")</f>
        <v>AYON MANUEL</v>
      </c>
      <c r="C967" s="1" t="str">
        <f>IFERROR(__xludf.DUMMYFUNCTION("""COMPUTED_VALUE"""),"FLA")</f>
        <v>FLA</v>
      </c>
      <c r="D967" s="1" t="str">
        <f>IFERROR(__xludf.DUMMYFUNCTION("""COMPUTED_VALUE"""),"JERIC NAVARRO")</f>
        <v>JERIC NAVARRO</v>
      </c>
      <c r="E967" s="1" t="str">
        <f>IFERROR(__xludf.DUMMYFUNCTION("""COMPUTED_VALUE"""),"PLDT")</f>
        <v>PLDT</v>
      </c>
      <c r="F967" s="1">
        <f>IFERROR(__xludf.DUMMYFUNCTION("""COMPUTED_VALUE"""),2308450609)</f>
        <v>2308450609</v>
      </c>
      <c r="G967" s="1"/>
      <c r="H967" s="1" t="str">
        <f>IFERROR(__xludf.DUMMYFUNCTION("""COMPUTED_VALUE"""),"NINA ROXANNE ESGUERA RORALDO")</f>
        <v>NINA ROXANNE ESGUERA RORALDO</v>
      </c>
      <c r="I967" s="1">
        <f>IFERROR(__xludf.DUMMYFUNCTION("""COMPUTED_VALUE"""),9756237404)</f>
        <v>9756237404</v>
      </c>
      <c r="J967" s="1">
        <f>IFERROR(__xludf.DUMMYFUNCTION("""COMPUTED_VALUE"""),9754811674)</f>
        <v>9754811674</v>
      </c>
      <c r="K967" s="1" t="str">
        <f>IFERROR(__xludf.DUMMYFUNCTION("""COMPUTED_VALUE"""),"ROXANNERORALDO323@GMAIL.COM")</f>
        <v>ROXANNERORALDO323@GMAIL.COM</v>
      </c>
      <c r="L967" s="1" t="str">
        <f>IFERROR(__xludf.DUMMYFUNCTION("""COMPUTED_VALUE"""),"9011")</f>
        <v>9011</v>
      </c>
      <c r="M967" s="1" t="str">
        <f>IFERROR(__xludf.DUMMYFUNCTION("""COMPUTED_VALUE"""),"ALFONRD RD")</f>
        <v>ALFONRD RD</v>
      </c>
      <c r="N967" s="1"/>
      <c r="O967" s="1"/>
      <c r="P967" s="1"/>
      <c r="Q967" s="1" t="str">
        <f>IFERROR(__xludf.DUMMYFUNCTION("""COMPUTED_VALUE"""),"PANUNGYAN I")</f>
        <v>PANUNGYAN I</v>
      </c>
      <c r="R967" s="1" t="str">
        <f>IFERROR(__xludf.DUMMYFUNCTION("""COMPUTED_VALUE"""),"MENDEZ")</f>
        <v>MENDEZ</v>
      </c>
      <c r="S967" s="1" t="str">
        <f>IFERROR(__xludf.DUMMYFUNCTION("""COMPUTED_VALUE"""),"CAVITE")</f>
        <v>CAVITE</v>
      </c>
      <c r="T967" s="1" t="str">
        <f>IFERROR(__xludf.DUMMYFUNCTION("""COMPUTED_VALUE"""),"FIBR UNLI ALL PLAN 1799")</f>
        <v>FIBR UNLI ALL PLAN 1799</v>
      </c>
      <c r="U967" s="1" t="str">
        <f>IFERROR(__xludf.DUMMYFUNCTION("""COMPUTED_VALUE"""),"APPROVED")</f>
        <v>APPROVED</v>
      </c>
      <c r="V967" s="1"/>
      <c r="W967" s="1"/>
    </row>
    <row r="968" customHeight="1" spans="1:23">
      <c r="A968" s="3">
        <f>IFERROR(__xludf.DUMMYFUNCTION("""COMPUTED_VALUE"""),46105)</f>
        <v>46105</v>
      </c>
      <c r="B968" s="1" t="str">
        <f>IFERROR(__xludf.DUMMYFUNCTION("""COMPUTED_VALUE"""),"MAGDARAOG, KENNETH")</f>
        <v>MAGDARAOG, KENNETH</v>
      </c>
      <c r="C968" s="1" t="str">
        <f>IFERROR(__xludf.DUMMYFUNCTION("""COMPUTED_VALUE"""),"ORGANIC")</f>
        <v>ORGANIC</v>
      </c>
      <c r="D968" s="1" t="str">
        <f>IFERROR(__xludf.DUMMYFUNCTION("""COMPUTED_VALUE"""),"ALINGARO, CINDY")</f>
        <v>ALINGARO, CINDY</v>
      </c>
      <c r="E968" s="1" t="str">
        <f>IFERROR(__xludf.DUMMYFUNCTION("""COMPUTED_VALUE"""),"PLDT")</f>
        <v>PLDT</v>
      </c>
      <c r="F968" s="1">
        <f>IFERROR(__xludf.DUMMYFUNCTION("""COMPUTED_VALUE"""),2308452096)</f>
        <v>2308452096</v>
      </c>
      <c r="G968" s="1"/>
      <c r="H968" s="1" t="str">
        <f>IFERROR(__xludf.DUMMYFUNCTION("""COMPUTED_VALUE"""),"ABDULJAPAR RASCAL BARAMBANGAN")</f>
        <v>ABDULJAPAR RASCAL BARAMBANGAN</v>
      </c>
      <c r="I968" s="1">
        <f>IFERROR(__xludf.DUMMYFUNCTION("""COMPUTED_VALUE"""),9128465769)</f>
        <v>9128465769</v>
      </c>
      <c r="J968" s="1">
        <f>IFERROR(__xludf.DUMMYFUNCTION("""COMPUTED_VALUE"""),9363453031)</f>
        <v>9363453031</v>
      </c>
      <c r="K968" s="1" t="str">
        <f>IFERROR(__xludf.DUMMYFUNCTION("""COMPUTED_VALUE"""),"LYKACOSAIN26@GMAIL.COM")</f>
        <v>LYKACOSAIN26@GMAIL.COM</v>
      </c>
      <c r="L968" s="1" t="str">
        <f>IFERROR(__xludf.DUMMYFUNCTION("""COMPUTED_VALUE"""),"3")</f>
        <v>3</v>
      </c>
      <c r="M968" s="1" t="str">
        <f>IFERROR(__xludf.DUMMYFUNCTION("""COMPUTED_VALUE"""),"MABINI ST")</f>
        <v>MABINI ST</v>
      </c>
      <c r="N968" s="1"/>
      <c r="O968" s="1"/>
      <c r="P968" s="1"/>
      <c r="Q968" s="1" t="str">
        <f>IFERROR(__xludf.DUMMYFUNCTION("""COMPUTED_VALUE"""),"BARANGAY II (POB.)")</f>
        <v>BARANGAY II (POB.)</v>
      </c>
      <c r="R968" s="1" t="str">
        <f>IFERROR(__xludf.DUMMYFUNCTION("""COMPUTED_VALUE"""),"ALFONSO")</f>
        <v>ALFONSO</v>
      </c>
      <c r="S968" s="1" t="str">
        <f>IFERROR(__xludf.DUMMYFUNCTION("""COMPUTED_VALUE"""),"CAVITE")</f>
        <v>CAVITE</v>
      </c>
      <c r="T968" s="1" t="str">
        <f>IFERROR(__xludf.DUMMYFUNCTION("""COMPUTED_VALUE"""),"PREPAID FIBER UNLI")</f>
        <v>PREPAID FIBER UNLI</v>
      </c>
      <c r="U968" s="1" t="str">
        <f>IFERROR(__xludf.DUMMYFUNCTION("""COMPUTED_VALUE"""),"APPROVED")</f>
        <v>APPROVED</v>
      </c>
      <c r="V968" s="1"/>
      <c r="W968" s="1"/>
    </row>
    <row r="969" customHeight="1" spans="1:23">
      <c r="A969" s="3">
        <f>IFERROR(__xludf.DUMMYFUNCTION("""COMPUTED_VALUE"""),46105)</f>
        <v>46105</v>
      </c>
      <c r="B969" s="1" t="str">
        <f>IFERROR(__xludf.DUMMYFUNCTION("""COMPUTED_VALUE"""),"REMOLLO, LEA")</f>
        <v>REMOLLO, LEA</v>
      </c>
      <c r="C969" s="1" t="str">
        <f>IFERROR(__xludf.DUMMYFUNCTION("""COMPUTED_VALUE"""),"FLA")</f>
        <v>FLA</v>
      </c>
      <c r="D969" s="1" t="str">
        <f>IFERROR(__xludf.DUMMYFUNCTION("""COMPUTED_VALUE"""),"JERIC NAVARRO")</f>
        <v>JERIC NAVARRO</v>
      </c>
      <c r="E969" s="1" t="str">
        <f>IFERROR(__xludf.DUMMYFUNCTION("""COMPUTED_VALUE"""),"PLDT")</f>
        <v>PLDT</v>
      </c>
      <c r="F969" s="1">
        <f>IFERROR(__xludf.DUMMYFUNCTION("""COMPUTED_VALUE"""),2308452148)</f>
        <v>2308452148</v>
      </c>
      <c r="G969" s="1"/>
      <c r="H969" s="1" t="str">
        <f>IFERROR(__xludf.DUMMYFUNCTION("""COMPUTED_VALUE"""),"JOANA CARLA TRINANES ENCABO")</f>
        <v>JOANA CARLA TRINANES ENCABO</v>
      </c>
      <c r="I969" s="1">
        <f>IFERROR(__xludf.DUMMYFUNCTION("""COMPUTED_VALUE"""),9499784913)</f>
        <v>9499784913</v>
      </c>
      <c r="J969" s="1">
        <f>IFERROR(__xludf.DUMMYFUNCTION("""COMPUTED_VALUE"""),9182563327)</f>
        <v>9182563327</v>
      </c>
      <c r="K969" s="1" t="str">
        <f>IFERROR(__xludf.DUMMYFUNCTION("""COMPUTED_VALUE"""),"ENCABON14@GMAIL.COM")</f>
        <v>ENCABON14@GMAIL.COM</v>
      </c>
      <c r="L969" s="1" t="str">
        <f>IFERROR(__xludf.DUMMYFUNCTION("""COMPUTED_VALUE"""),"154")</f>
        <v>154</v>
      </c>
      <c r="M969" s="1" t="str">
        <f>IFERROR(__xludf.DUMMYFUNCTION("""COMPUTED_VALUE"""),"GOVERNOR DRIVE")</f>
        <v>GOVERNOR DRIVE</v>
      </c>
      <c r="N969" s="1"/>
      <c r="O969" s="1"/>
      <c r="P969" s="1"/>
      <c r="Q969" s="1" t="str">
        <f>IFERROR(__xludf.DUMMYFUNCTION("""COMPUTED_VALUE"""),"PASONG KAWAYAN II")</f>
        <v>PASONG KAWAYAN II</v>
      </c>
      <c r="R969" s="1" t="str">
        <f>IFERROR(__xludf.DUMMYFUNCTION("""COMPUTED_VALUE"""),"GENERAL TRIAS")</f>
        <v>GENERAL TRIAS</v>
      </c>
      <c r="S969" s="1" t="str">
        <f>IFERROR(__xludf.DUMMYFUNCTION("""COMPUTED_VALUE"""),"CAVITE")</f>
        <v>CAVITE</v>
      </c>
      <c r="T969" s="1" t="str">
        <f>IFERROR(__xludf.DUMMYFUNCTION("""COMPUTED_VALUE"""),"FIBR NETFLIX PLAN 1599")</f>
        <v>FIBR NETFLIX PLAN 1599</v>
      </c>
      <c r="U969" s="1" t="str">
        <f>IFERROR(__xludf.DUMMYFUNCTION("""COMPUTED_VALUE"""),"APPROVED")</f>
        <v>APPROVED</v>
      </c>
      <c r="V969" s="1"/>
      <c r="W969" s="1"/>
    </row>
    <row r="970" customHeight="1" spans="1:23">
      <c r="A970" s="3">
        <f>IFERROR(__xludf.DUMMYFUNCTION("""COMPUTED_VALUE"""),46106)</f>
        <v>46106</v>
      </c>
      <c r="B970" s="1" t="str">
        <f>IFERROR(__xludf.DUMMYFUNCTION("""COMPUTED_VALUE"""),"IVNO, RAZZEL")</f>
        <v>IVNO, RAZZEL</v>
      </c>
      <c r="C970" s="1" t="str">
        <f>IFERROR(__xludf.DUMMYFUNCTION("""COMPUTED_VALUE"""),"FLA")</f>
        <v>FLA</v>
      </c>
      <c r="D970" s="1" t="str">
        <f>IFERROR(__xludf.DUMMYFUNCTION("""COMPUTED_VALUE"""),"JERIC NAVARRO")</f>
        <v>JERIC NAVARRO</v>
      </c>
      <c r="E970" s="1" t="str">
        <f>IFERROR(__xludf.DUMMYFUNCTION("""COMPUTED_VALUE"""),"PLDT")</f>
        <v>PLDT</v>
      </c>
      <c r="F970" s="1">
        <f>IFERROR(__xludf.DUMMYFUNCTION("""COMPUTED_VALUE"""),2308463521)</f>
        <v>2308463521</v>
      </c>
      <c r="G970" s="1"/>
      <c r="H970" s="1" t="str">
        <f>IFERROR(__xludf.DUMMYFUNCTION("""COMPUTED_VALUE"""),"JOHN RAVEN OPERIANO ALBAN")</f>
        <v>JOHN RAVEN OPERIANO ALBAN</v>
      </c>
      <c r="I970" s="1">
        <f>IFERROR(__xludf.DUMMYFUNCTION("""COMPUTED_VALUE"""),9706817670)</f>
        <v>9706817670</v>
      </c>
      <c r="J970" s="1"/>
      <c r="K970" s="1" t="str">
        <f>IFERROR(__xludf.DUMMYFUNCTION("""COMPUTED_VALUE"""),"ALBANJOHNRAVEN486@GMAIL.COM")</f>
        <v>ALBANJOHNRAVEN486@GMAIL.COM</v>
      </c>
      <c r="L970" s="1" t="str">
        <f>IFERROR(__xludf.DUMMYFUNCTION("""COMPUTED_VALUE"""),"301 J")</f>
        <v>301 J</v>
      </c>
      <c r="M970" s="1" t="str">
        <f>IFERROR(__xludf.DUMMYFUNCTION("""COMPUTED_VALUE"""),"PUROK 3 ")</f>
        <v>PUROK 3 </v>
      </c>
      <c r="N970" s="1" t="str">
        <f>IFERROR(__xludf.DUMMYFUNCTION("""COMPUTED_VALUE"""),"RAMOS APPARTMENT")</f>
        <v>RAMOS APPARTMENT</v>
      </c>
      <c r="O970" s="1"/>
      <c r="P970" s="1"/>
      <c r="Q970" s="1" t="str">
        <f>IFERROR(__xludf.DUMMYFUNCTION("""COMPUTED_VALUE"""),"LANGKAAN I")</f>
        <v>LANGKAAN I</v>
      </c>
      <c r="R970" s="1" t="str">
        <f>IFERROR(__xludf.DUMMYFUNCTION("""COMPUTED_VALUE"""),"DASMARINAS")</f>
        <v>DASMARINAS</v>
      </c>
      <c r="S970" s="1" t="str">
        <f>IFERROR(__xludf.DUMMYFUNCTION("""COMPUTED_VALUE"""),"CAVITE")</f>
        <v>CAVITE</v>
      </c>
      <c r="T970" s="1" t="str">
        <f>IFERROR(__xludf.DUMMYFUNCTION("""COMPUTED_VALUE"""),"PREPAID FIBER UNLI")</f>
        <v>PREPAID FIBER UNLI</v>
      </c>
      <c r="U970" s="1" t="str">
        <f>IFERROR(__xludf.DUMMYFUNCTION("""COMPUTED_VALUE"""),"APPROVED")</f>
        <v>APPROVED</v>
      </c>
      <c r="V970" s="1"/>
      <c r="W970" s="1"/>
    </row>
    <row r="971" customHeight="1" spans="1:23">
      <c r="A971" s="3">
        <f>IFERROR(__xludf.DUMMYFUNCTION("""COMPUTED_VALUE"""),46106)</f>
        <v>46106</v>
      </c>
      <c r="B971" s="1" t="str">
        <f>IFERROR(__xludf.DUMMYFUNCTION("""COMPUTED_VALUE"""),"NAVARRO, JERIC")</f>
        <v>NAVARRO, JERIC</v>
      </c>
      <c r="C971" s="1" t="str">
        <f>IFERROR(__xludf.DUMMYFUNCTION("""COMPUTED_VALUE"""),"FLA")</f>
        <v>FLA</v>
      </c>
      <c r="D971" s="1" t="str">
        <f>IFERROR(__xludf.DUMMYFUNCTION("""COMPUTED_VALUE"""),"JERIC NAVARRO")</f>
        <v>JERIC NAVARRO</v>
      </c>
      <c r="E971" s="1" t="str">
        <f>IFERROR(__xludf.DUMMYFUNCTION("""COMPUTED_VALUE"""),"PLDT")</f>
        <v>PLDT</v>
      </c>
      <c r="F971" s="1">
        <f>IFERROR(__xludf.DUMMYFUNCTION("""COMPUTED_VALUE"""),2308464097)</f>
        <v>2308464097</v>
      </c>
      <c r="G971" s="1"/>
      <c r="H971" s="1" t="str">
        <f>IFERROR(__xludf.DUMMYFUNCTION("""COMPUTED_VALUE"""),"EMMA SAUQUILLO JAMIR")</f>
        <v>EMMA SAUQUILLO JAMIR</v>
      </c>
      <c r="I971" s="1">
        <f>IFERROR(__xludf.DUMMYFUNCTION("""COMPUTED_VALUE"""),9175128432)</f>
        <v>9175128432</v>
      </c>
      <c r="J971" s="1"/>
      <c r="K971" s="1" t="str">
        <f>IFERROR(__xludf.DUMMYFUNCTION("""COMPUTED_VALUE"""),"EMMAJAMIR@YAHOO.COM")</f>
        <v>EMMAJAMIR@YAHOO.COM</v>
      </c>
      <c r="L971" s="1" t="str">
        <f>IFERROR(__xludf.DUMMYFUNCTION("""COMPUTED_VALUE"""),"BLK 6 LOT 1/2")</f>
        <v>BLK 6 LOT 1/2</v>
      </c>
      <c r="M971" s="1" t="str">
        <f>IFERROR(__xludf.DUMMYFUNCTION("""COMPUTED_VALUE"""),"SALINAS VILLE")</f>
        <v>SALINAS VILLE</v>
      </c>
      <c r="N971" s="1"/>
      <c r="O971" s="1"/>
      <c r="P971" s="1"/>
      <c r="Q971" s="1" t="str">
        <f>IFERROR(__xludf.DUMMYFUNCTION("""COMPUTED_VALUE"""),"SALINAS I")</f>
        <v>SALINAS I</v>
      </c>
      <c r="R971" s="1" t="str">
        <f>IFERROR(__xludf.DUMMYFUNCTION("""COMPUTED_VALUE"""),"BACOOR")</f>
        <v>BACOOR</v>
      </c>
      <c r="S971" s="1" t="str">
        <f>IFERROR(__xludf.DUMMYFUNCTION("""COMPUTED_VALUE"""),"CAVITE")</f>
        <v>CAVITE</v>
      </c>
      <c r="T971" s="1" t="str">
        <f>IFERROR(__xludf.DUMMYFUNCTION("""COMPUTED_VALUE"""),"FIBR UNLI ALL PLAN 999")</f>
        <v>FIBR UNLI ALL PLAN 999</v>
      </c>
      <c r="U971" s="1" t="str">
        <f>IFERROR(__xludf.DUMMYFUNCTION("""COMPUTED_VALUE"""),"APPROVED")</f>
        <v>APPROVED</v>
      </c>
      <c r="V971" s="1"/>
      <c r="W971" s="1"/>
    </row>
    <row r="972" customHeight="1" spans="1:23">
      <c r="A972" s="3">
        <f>IFERROR(__xludf.DUMMYFUNCTION("""COMPUTED_VALUE"""),46106)</f>
        <v>46106</v>
      </c>
      <c r="B972" s="1" t="str">
        <f>IFERROR(__xludf.DUMMYFUNCTION("""COMPUTED_VALUE"""),"AQUINO, LUIS")</f>
        <v>AQUINO, LUIS</v>
      </c>
      <c r="C972" s="1" t="str">
        <f>IFERROR(__xludf.DUMMYFUNCTION("""COMPUTED_VALUE"""),"ORGANIC")</f>
        <v>ORGANIC</v>
      </c>
      <c r="D972" s="1" t="str">
        <f>IFERROR(__xludf.DUMMYFUNCTION("""COMPUTED_VALUE"""),"ALOS, CHARLS")</f>
        <v>ALOS, CHARLS</v>
      </c>
      <c r="E972" s="1" t="str">
        <f>IFERROR(__xludf.DUMMYFUNCTION("""COMPUTED_VALUE"""),"PLDT")</f>
        <v>PLDT</v>
      </c>
      <c r="F972" s="1"/>
      <c r="G972" s="1"/>
      <c r="H972" s="1" t="str">
        <f>IFERROR(__xludf.DUMMYFUNCTION("""COMPUTED_VALUE"""),"ARNEL PEQUIRO JAVINES")</f>
        <v>ARNEL PEQUIRO JAVINES</v>
      </c>
      <c r="I972" s="1">
        <f>IFERROR(__xludf.DUMMYFUNCTION("""COMPUTED_VALUE"""),9675204519)</f>
        <v>9675204519</v>
      </c>
      <c r="J972" s="1">
        <f>IFERROR(__xludf.DUMMYFUNCTION("""COMPUTED_VALUE"""),9675204519)</f>
        <v>9675204519</v>
      </c>
      <c r="K972" s="1" t="str">
        <f>IFERROR(__xludf.DUMMYFUNCTION("""COMPUTED_VALUE"""),"ARNELJAVINES27@GMAIL.COM")</f>
        <v>ARNELJAVINES27@GMAIL.COM</v>
      </c>
      <c r="L972" s="1" t="str">
        <f>IFERROR(__xludf.DUMMYFUNCTION("""COMPUTED_VALUE"""),"BLK 43 LOT 11")</f>
        <v>BLK 43 LOT 11</v>
      </c>
      <c r="M972" s="1" t="str">
        <f>IFERROR(__xludf.DUMMYFUNCTION("""COMPUTED_VALUE"""),"PHASE 6")</f>
        <v>PHASE 6</v>
      </c>
      <c r="N972" s="1"/>
      <c r="O972" s="1"/>
      <c r="P972" s="1"/>
      <c r="Q972" s="1" t="str">
        <f>IFERROR(__xludf.DUMMYFUNCTION("""COMPUTED_VALUE"""),"BANABA")</f>
        <v>BANABA</v>
      </c>
      <c r="R972" s="1" t="str">
        <f>IFERROR(__xludf.DUMMYFUNCTION("""COMPUTED_VALUE"""),"SILANG")</f>
        <v>SILANG</v>
      </c>
      <c r="S972" s="1" t="str">
        <f>IFERROR(__xludf.DUMMYFUNCTION("""COMPUTED_VALUE"""),"CAVITE")</f>
        <v>CAVITE</v>
      </c>
      <c r="T972" s="1" t="str">
        <f>IFERROR(__xludf.DUMMYFUNCTION("""COMPUTED_VALUE"""),"FIBR PLAN 1299")</f>
        <v>FIBR PLAN 1299</v>
      </c>
      <c r="U972" s="1" t="str">
        <f>IFERROR(__xludf.DUMMYFUNCTION("""COMPUTED_VALUE"""),"HOLD")</f>
        <v>HOLD</v>
      </c>
      <c r="V972" s="1" t="str">
        <f>IFERROR(__xludf.DUMMYFUNCTION("""COMPUTED_VALUE"""),"AS PER SUBS TAWAGAN DAW SYA AFTER NG MAHAL NA ARAW")</f>
        <v>AS PER SUBS TAWAGAN DAW SYA AFTER NG MAHAL NA ARAW</v>
      </c>
      <c r="W972" s="1"/>
    </row>
    <row r="973" customHeight="1" spans="1:23">
      <c r="A973" s="3">
        <f>IFERROR(__xludf.DUMMYFUNCTION("""COMPUTED_VALUE"""),46106)</f>
        <v>46106</v>
      </c>
      <c r="B973" s="1" t="str">
        <f>IFERROR(__xludf.DUMMYFUNCTION("""COMPUTED_VALUE"""),"ALINGARO, CINDY")</f>
        <v>ALINGARO, CINDY</v>
      </c>
      <c r="C973" s="1" t="str">
        <f>IFERROR(__xludf.DUMMYFUNCTION("""COMPUTED_VALUE"""),"FLA")</f>
        <v>FLA</v>
      </c>
      <c r="D973" s="1" t="str">
        <f>IFERROR(__xludf.DUMMYFUNCTION("""COMPUTED_VALUE"""),"JERIC NAVARRO")</f>
        <v>JERIC NAVARRO</v>
      </c>
      <c r="E973" s="1" t="str">
        <f>IFERROR(__xludf.DUMMYFUNCTION("""COMPUTED_VALUE"""),"PLDT")</f>
        <v>PLDT</v>
      </c>
      <c r="F973" s="1">
        <f>IFERROR(__xludf.DUMMYFUNCTION("""COMPUTED_VALUE"""),2308467040)</f>
        <v>2308467040</v>
      </c>
      <c r="G973" s="1"/>
      <c r="H973" s="1" t="str">
        <f>IFERROR(__xludf.DUMMYFUNCTION("""COMPUTED_VALUE"""),"SHIELA MARIE MINAY TY")</f>
        <v>SHIELA MARIE MINAY TY</v>
      </c>
      <c r="I973" s="1">
        <f>IFERROR(__xludf.DUMMYFUNCTION("""COMPUTED_VALUE"""),9476905418)</f>
        <v>9476905418</v>
      </c>
      <c r="J973" s="1">
        <f>IFERROR(__xludf.DUMMYFUNCTION("""COMPUTED_VALUE"""),9476905418)</f>
        <v>9476905418</v>
      </c>
      <c r="K973" s="1" t="str">
        <f>IFERROR(__xludf.DUMMYFUNCTION("""COMPUTED_VALUE"""),"SHEMARIETY@GMAIL.COM")</f>
        <v>SHEMARIETY@GMAIL.COM</v>
      </c>
      <c r="L973" s="1" t="str">
        <f>IFERROR(__xludf.DUMMYFUNCTION("""COMPUTED_VALUE"""),"377")</f>
        <v>377</v>
      </c>
      <c r="M973" s="1" t="str">
        <f>IFERROR(__xludf.DUMMYFUNCTION("""COMPUTED_VALUE"""),"IBAYO ESTACION")</f>
        <v>IBAYO ESTACION</v>
      </c>
      <c r="N973" s="1"/>
      <c r="O973" s="1"/>
      <c r="P973" s="1"/>
      <c r="Q973" s="1" t="str">
        <f>IFERROR(__xludf.DUMMYFUNCTION("""COMPUTED_VALUE"""),"TRAMO-BANTAYAN")</f>
        <v>TRAMO-BANTAYAN</v>
      </c>
      <c r="R973" s="1" t="str">
        <f>IFERROR(__xludf.DUMMYFUNCTION("""COMPUTED_VALUE"""),"NAIC")</f>
        <v>NAIC</v>
      </c>
      <c r="S973" s="1" t="str">
        <f>IFERROR(__xludf.DUMMYFUNCTION("""COMPUTED_VALUE"""),"CAVITE")</f>
        <v>CAVITE</v>
      </c>
      <c r="T973" s="1" t="str">
        <f>IFERROR(__xludf.DUMMYFUNCTION("""COMPUTED_VALUE"""),"FIBR UNLI ALL PLAN 1399")</f>
        <v>FIBR UNLI ALL PLAN 1399</v>
      </c>
      <c r="U973" s="1" t="str">
        <f>IFERROR(__xludf.DUMMYFUNCTION("""COMPUTED_VALUE"""),"APPROVED")</f>
        <v>APPROVED</v>
      </c>
      <c r="V973" s="1"/>
      <c r="W973" s="1"/>
    </row>
    <row r="974" customHeight="1" spans="1:23">
      <c r="A974" s="3">
        <f>IFERROR(__xludf.DUMMYFUNCTION("""COMPUTED_VALUE"""),46106)</f>
        <v>46106</v>
      </c>
      <c r="B974" s="1" t="str">
        <f>IFERROR(__xludf.DUMMYFUNCTION("""COMPUTED_VALUE"""),"FERNANDEZ JERIC")</f>
        <v>FERNANDEZ JERIC</v>
      </c>
      <c r="C974" s="1" t="str">
        <f>IFERROR(__xludf.DUMMYFUNCTION("""COMPUTED_VALUE"""),"ORGANIC")</f>
        <v>ORGANIC</v>
      </c>
      <c r="D974" s="1" t="str">
        <f>IFERROR(__xludf.DUMMYFUNCTION("""COMPUTED_VALUE"""),"ALOS, CHARLS")</f>
        <v>ALOS, CHARLS</v>
      </c>
      <c r="E974" s="1" t="str">
        <f>IFERROR(__xludf.DUMMYFUNCTION("""COMPUTED_VALUE"""),"PLDT")</f>
        <v>PLDT</v>
      </c>
      <c r="F974" s="1">
        <f>IFERROR(__xludf.DUMMYFUNCTION("""COMPUTED_VALUE"""),2308471850)</f>
        <v>2308471850</v>
      </c>
      <c r="G974" s="1"/>
      <c r="H974" s="1" t="str">
        <f>IFERROR(__xludf.DUMMYFUNCTION("""COMPUTED_VALUE"""),"MA. TERRISA INCISO TUPAZ")</f>
        <v>MA. TERRISA INCISO TUPAZ</v>
      </c>
      <c r="I974" s="1">
        <f>IFERROR(__xludf.DUMMYFUNCTION("""COMPUTED_VALUE"""),9300586926)</f>
        <v>9300586926</v>
      </c>
      <c r="J974" s="1">
        <f>IFERROR(__xludf.DUMMYFUNCTION("""COMPUTED_VALUE"""),9460371086)</f>
        <v>9460371086</v>
      </c>
      <c r="K974" s="1" t="str">
        <f>IFERROR(__xludf.DUMMYFUNCTION("""COMPUTED_VALUE"""),"TUPAZ2073285@GMAIL.COM")</f>
        <v>TUPAZ2073285@GMAIL.COM</v>
      </c>
      <c r="L974" s="1" t="str">
        <f>IFERROR(__xludf.DUMMYFUNCTION("""COMPUTED_VALUE"""),"BLK 9 LOT 19")</f>
        <v>BLK 9 LOT 19</v>
      </c>
      <c r="M974" s="1" t="str">
        <f>IFERROR(__xludf.DUMMYFUNCTION("""COMPUTED_VALUE"""),"PALIGAWAN MATANDA")</f>
        <v>PALIGAWAN MATANDA</v>
      </c>
      <c r="N974" s="1"/>
      <c r="O974" s="1"/>
      <c r="P974" s="1"/>
      <c r="Q974" s="1" t="str">
        <f>IFERROR(__xludf.DUMMYFUNCTION("""COMPUTED_VALUE"""),"LANTIC")</f>
        <v>LANTIC</v>
      </c>
      <c r="R974" s="1" t="str">
        <f>IFERROR(__xludf.DUMMYFUNCTION("""COMPUTED_VALUE"""),"CARMONA")</f>
        <v>CARMONA</v>
      </c>
      <c r="S974" s="1" t="str">
        <f>IFERROR(__xludf.DUMMYFUNCTION("""COMPUTED_VALUE"""),"CAVITE")</f>
        <v>CAVITE</v>
      </c>
      <c r="T974" s="1" t="str">
        <f>IFERROR(__xludf.DUMMYFUNCTION("""COMPUTED_VALUE"""),"FIBR UNLI ALL PLAN 1399")</f>
        <v>FIBR UNLI ALL PLAN 1399</v>
      </c>
      <c r="U974" s="1" t="str">
        <f>IFERROR(__xludf.DUMMYFUNCTION("""COMPUTED_VALUE"""),"APPROVED")</f>
        <v>APPROVED</v>
      </c>
      <c r="V974" s="1"/>
      <c r="W974" s="1"/>
    </row>
    <row r="975" customHeight="1" spans="1:23">
      <c r="A975" s="3">
        <f>IFERROR(__xludf.DUMMYFUNCTION("""COMPUTED_VALUE"""),46106)</f>
        <v>46106</v>
      </c>
      <c r="B975" s="1" t="str">
        <f>IFERROR(__xludf.DUMMYFUNCTION("""COMPUTED_VALUE"""),"GABAY, MANUEL")</f>
        <v>GABAY, MANUEL</v>
      </c>
      <c r="C975" s="1" t="str">
        <f>IFERROR(__xludf.DUMMYFUNCTION("""COMPUTED_VALUE"""),"FLA")</f>
        <v>FLA</v>
      </c>
      <c r="D975" s="1" t="str">
        <f>IFERROR(__xludf.DUMMYFUNCTION("""COMPUTED_VALUE"""),"JERIC NAVARRO")</f>
        <v>JERIC NAVARRO</v>
      </c>
      <c r="E975" s="1" t="str">
        <f>IFERROR(__xludf.DUMMYFUNCTION("""COMPUTED_VALUE"""),"PLDT")</f>
        <v>PLDT</v>
      </c>
      <c r="F975" s="1">
        <f>IFERROR(__xludf.DUMMYFUNCTION("""COMPUTED_VALUE"""),2308470521)</f>
        <v>2308470521</v>
      </c>
      <c r="G975" s="1"/>
      <c r="H975" s="1" t="str">
        <f>IFERROR(__xludf.DUMMYFUNCTION("""COMPUTED_VALUE"""),"REY ANN CALAAY CUENCO")</f>
        <v>REY ANN CALAAY CUENCO</v>
      </c>
      <c r="I975" s="1">
        <f>IFERROR(__xludf.DUMMYFUNCTION("""COMPUTED_VALUE"""),9516003108)</f>
        <v>9516003108</v>
      </c>
      <c r="J975" s="1">
        <f>IFERROR(__xludf.DUMMYFUNCTION("""COMPUTED_VALUE"""),9615279138)</f>
        <v>9615279138</v>
      </c>
      <c r="K975" s="1" t="str">
        <f>IFERROR(__xludf.DUMMYFUNCTION("""COMPUTED_VALUE"""),"REYANNCUENCO39@GMAIL.COM")</f>
        <v>REYANNCUENCO39@GMAIL.COM</v>
      </c>
      <c r="L975" s="1" t="str">
        <f>IFERROR(__xludf.DUMMYFUNCTION("""COMPUTED_VALUE"""),"134")</f>
        <v>134</v>
      </c>
      <c r="M975" s="1" t="str">
        <f>IFERROR(__xludf.DUMMYFUNCTION("""COMPUTED_VALUE"""),"ZAMORA")</f>
        <v>ZAMORA</v>
      </c>
      <c r="N975" s="1"/>
      <c r="O975" s="1"/>
      <c r="P975" s="1"/>
      <c r="Q975" s="1" t="str">
        <f>IFERROR(__xludf.DUMMYFUNCTION("""COMPUTED_VALUE"""),"ASIS I")</f>
        <v>ASIS I</v>
      </c>
      <c r="R975" s="1" t="str">
        <f>IFERROR(__xludf.DUMMYFUNCTION("""COMPUTED_VALUE"""),"MENDEZ")</f>
        <v>MENDEZ</v>
      </c>
      <c r="S975" s="1" t="str">
        <f>IFERROR(__xludf.DUMMYFUNCTION("""COMPUTED_VALUE"""),"CAVITE")</f>
        <v>CAVITE</v>
      </c>
      <c r="T975" s="1" t="str">
        <f>IFERROR(__xludf.DUMMYFUNCTION("""COMPUTED_VALUE"""),"FIBR UNLI ALL PLAN 1399")</f>
        <v>FIBR UNLI ALL PLAN 1399</v>
      </c>
      <c r="U975" s="1" t="str">
        <f>IFERROR(__xludf.DUMMYFUNCTION("""COMPUTED_VALUE"""),"APPROVED")</f>
        <v>APPROVED</v>
      </c>
      <c r="V975" s="1"/>
      <c r="W975" s="1"/>
    </row>
    <row r="976" customHeight="1" spans="1:23">
      <c r="A976" s="3">
        <f>IFERROR(__xludf.DUMMYFUNCTION("""COMPUTED_VALUE"""),46106)</f>
        <v>46106</v>
      </c>
      <c r="B976" s="1" t="str">
        <f>IFERROR(__xludf.DUMMYFUNCTION("""COMPUTED_VALUE"""),"CABRERA JILLIENE")</f>
        <v>CABRERA JILLIENE</v>
      </c>
      <c r="C976" s="1" t="str">
        <f>IFERROR(__xludf.DUMMYFUNCTION("""COMPUTED_VALUE"""),"ORGANIC")</f>
        <v>ORGANIC</v>
      </c>
      <c r="D976" s="1" t="str">
        <f>IFERROR(__xludf.DUMMYFUNCTION("""COMPUTED_VALUE"""),"ALOS, CHARLS")</f>
        <v>ALOS, CHARLS</v>
      </c>
      <c r="E976" s="1" t="str">
        <f>IFERROR(__xludf.DUMMYFUNCTION("""COMPUTED_VALUE"""),"PLDT")</f>
        <v>PLDT</v>
      </c>
      <c r="F976" s="1">
        <f>IFERROR(__xludf.DUMMYFUNCTION("""COMPUTED_VALUE"""),2308472767)</f>
        <v>2308472767</v>
      </c>
      <c r="G976" s="1"/>
      <c r="H976" s="1" t="str">
        <f>IFERROR(__xludf.DUMMYFUNCTION("""COMPUTED_VALUE"""),"JONAS DELA CRUZ CENETA")</f>
        <v>JONAS DELA CRUZ CENETA</v>
      </c>
      <c r="I976" s="1">
        <f>IFERROR(__xludf.DUMMYFUNCTION("""COMPUTED_VALUE"""),9357732259)</f>
        <v>9357732259</v>
      </c>
      <c r="J976" s="1">
        <f>IFERROR(__xludf.DUMMYFUNCTION("""COMPUTED_VALUE"""),9102971491)</f>
        <v>9102971491</v>
      </c>
      <c r="K976" s="1" t="str">
        <f>IFERROR(__xludf.DUMMYFUNCTION("""COMPUTED_VALUE"""),"JONAS.DELCRUZ90@GMAIL.COM")</f>
        <v>JONAS.DELCRUZ90@GMAIL.COM</v>
      </c>
      <c r="L976" s="1" t="str">
        <f>IFERROR(__xludf.DUMMYFUNCTION("""COMPUTED_VALUE"""),"159")</f>
        <v>159</v>
      </c>
      <c r="M976" s="1" t="str">
        <f>IFERROR(__xludf.DUMMYFUNCTION("""COMPUTED_VALUE"""),"BAYLA")</f>
        <v>BAYLA</v>
      </c>
      <c r="N976" s="1" t="str">
        <f>IFERROR(__xludf.DUMMYFUNCTION("""COMPUTED_VALUE"""),"PUROK 5")</f>
        <v>PUROK 5</v>
      </c>
      <c r="O976" s="1"/>
      <c r="P976" s="1"/>
      <c r="Q976" s="1" t="str">
        <f>IFERROR(__xludf.DUMMYFUNCTION("""COMPUTED_VALUE"""),"LUMIL")</f>
        <v>LUMIL</v>
      </c>
      <c r="R976" s="1" t="str">
        <f>IFERROR(__xludf.DUMMYFUNCTION("""COMPUTED_VALUE"""),"SILANG")</f>
        <v>SILANG</v>
      </c>
      <c r="S976" s="1" t="str">
        <f>IFERROR(__xludf.DUMMYFUNCTION("""COMPUTED_VALUE"""),"CAVITE")</f>
        <v>CAVITE</v>
      </c>
      <c r="T976" s="1" t="str">
        <f>IFERROR(__xludf.DUMMYFUNCTION("""COMPUTED_VALUE"""),"FIBR PLAN 1299")</f>
        <v>FIBR PLAN 1299</v>
      </c>
      <c r="U976" s="1" t="str">
        <f>IFERROR(__xludf.DUMMYFUNCTION("""COMPUTED_VALUE"""),"APPROVED")</f>
        <v>APPROVED</v>
      </c>
      <c r="V976" s="1"/>
      <c r="W976" s="1"/>
    </row>
    <row r="977" customHeight="1" spans="1:23">
      <c r="A977" s="3">
        <f>IFERROR(__xludf.DUMMYFUNCTION("""COMPUTED_VALUE"""),46106)</f>
        <v>46106</v>
      </c>
      <c r="B977" s="1" t="str">
        <f>IFERROR(__xludf.DUMMYFUNCTION("""COMPUTED_VALUE"""),"DE VERA, MARIVIC")</f>
        <v>DE VERA, MARIVIC</v>
      </c>
      <c r="C977" s="1" t="str">
        <f>IFERROR(__xludf.DUMMYFUNCTION("""COMPUTED_VALUE"""),"ORGANIC")</f>
        <v>ORGANIC</v>
      </c>
      <c r="D977" s="1" t="str">
        <f>IFERROR(__xludf.DUMMYFUNCTION("""COMPUTED_VALUE"""),"ALINGARO, CINDY")</f>
        <v>ALINGARO, CINDY</v>
      </c>
      <c r="E977" s="1" t="str">
        <f>IFERROR(__xludf.DUMMYFUNCTION("""COMPUTED_VALUE"""),"PLDT")</f>
        <v>PLDT</v>
      </c>
      <c r="F977" s="1">
        <f>IFERROR(__xludf.DUMMYFUNCTION("""COMPUTED_VALUE"""),2308471250)</f>
        <v>2308471250</v>
      </c>
      <c r="G977" s="1"/>
      <c r="H977" s="1" t="str">
        <f>IFERROR(__xludf.DUMMYFUNCTION("""COMPUTED_VALUE"""),"TEOFISTA PENARANDA RAMOS")</f>
        <v>TEOFISTA PENARANDA RAMOS</v>
      </c>
      <c r="I977" s="1">
        <f>IFERROR(__xludf.DUMMYFUNCTION("""COMPUTED_VALUE"""),9367872866)</f>
        <v>9367872866</v>
      </c>
      <c r="J977" s="1">
        <f>IFERROR(__xludf.DUMMYFUNCTION("""COMPUTED_VALUE"""),9186475940)</f>
        <v>9186475940</v>
      </c>
      <c r="K977" s="1" t="str">
        <f>IFERROR(__xludf.DUMMYFUNCTION("""COMPUTED_VALUE"""),"ROSEMARIEHERESO30175@GMAIL.COM")</f>
        <v>ROSEMARIEHERESO30175@GMAIL.COM</v>
      </c>
      <c r="L977" s="1" t="str">
        <f>IFERROR(__xludf.DUMMYFUNCTION("""COMPUTED_VALUE"""),"275")</f>
        <v>275</v>
      </c>
      <c r="M977" s="1" t="str">
        <f>IFERROR(__xludf.DUMMYFUNCTION("""COMPUTED_VALUE"""),"PUROK 3A")</f>
        <v>PUROK 3A</v>
      </c>
      <c r="N977" s="1"/>
      <c r="O977" s="1"/>
      <c r="P977" s="1"/>
      <c r="Q977" s="1" t="str">
        <f>IFERROR(__xludf.DUMMYFUNCTION("""COMPUTED_VALUE"""),"PANGIL")</f>
        <v>PANGIL</v>
      </c>
      <c r="R977" s="1" t="str">
        <f>IFERROR(__xludf.DUMMYFUNCTION("""COMPUTED_VALUE"""),"AMADEO")</f>
        <v>AMADEO</v>
      </c>
      <c r="S977" s="1" t="str">
        <f>IFERROR(__xludf.DUMMYFUNCTION("""COMPUTED_VALUE"""),"CAVITE")</f>
        <v>CAVITE</v>
      </c>
      <c r="T977" s="1" t="str">
        <f>IFERROR(__xludf.DUMMYFUNCTION("""COMPUTED_VALUE"""),"FIBR PLAN 1299")</f>
        <v>FIBR PLAN 1299</v>
      </c>
      <c r="U977" s="1" t="str">
        <f>IFERROR(__xludf.DUMMYFUNCTION("""COMPUTED_VALUE"""),"APPROVED")</f>
        <v>APPROVED</v>
      </c>
      <c r="V977" s="1"/>
      <c r="W977" s="1"/>
    </row>
    <row r="978" customHeight="1" spans="1:23">
      <c r="A978" s="3">
        <f>IFERROR(__xludf.DUMMYFUNCTION("""COMPUTED_VALUE"""),46106)</f>
        <v>46106</v>
      </c>
      <c r="B978" s="1" t="str">
        <f>IFERROR(__xludf.DUMMYFUNCTION("""COMPUTED_VALUE"""),"NAEOSA, JULLIE")</f>
        <v>NAEOSA, JULLIE</v>
      </c>
      <c r="C978" s="1" t="str">
        <f>IFERROR(__xludf.DUMMYFUNCTION("""COMPUTED_VALUE"""),"ORGANIC")</f>
        <v>ORGANIC</v>
      </c>
      <c r="D978" s="1" t="str">
        <f>IFERROR(__xludf.DUMMYFUNCTION("""COMPUTED_VALUE"""),"ALINGARO, CINDY")</f>
        <v>ALINGARO, CINDY</v>
      </c>
      <c r="E978" s="1" t="str">
        <f>IFERROR(__xludf.DUMMYFUNCTION("""COMPUTED_VALUE"""),"PLDT")</f>
        <v>PLDT</v>
      </c>
      <c r="F978" s="1">
        <f>IFERROR(__xludf.DUMMYFUNCTION("""COMPUTED_VALUE"""),2308475765)</f>
        <v>2308475765</v>
      </c>
      <c r="G978" s="1"/>
      <c r="H978" s="1" t="str">
        <f>IFERROR(__xludf.DUMMYFUNCTION("""COMPUTED_VALUE"""),"ROSHELLE MASUNSONG VARGAS")</f>
        <v>ROSHELLE MASUNSONG VARGAS</v>
      </c>
      <c r="I978" s="1">
        <f>IFERROR(__xludf.DUMMYFUNCTION("""COMPUTED_VALUE"""),9500641142)</f>
        <v>9500641142</v>
      </c>
      <c r="J978" s="1"/>
      <c r="K978" s="1" t="str">
        <f>IFERROR(__xludf.DUMMYFUNCTION("""COMPUTED_VALUE"""),"ROSHELLEVARGAS21@GMAIL.COM")</f>
        <v>ROSHELLEVARGAS21@GMAIL.COM</v>
      </c>
      <c r="L978" s="1" t="str">
        <f>IFERROR(__xludf.DUMMYFUNCTION("""COMPUTED_VALUE"""),"9099")</f>
        <v>9099</v>
      </c>
      <c r="M978" s="1" t="str">
        <f>IFERROR(__xludf.DUMMYFUNCTION("""COMPUTED_VALUE"""),"PALIGAWAN MATANDA")</f>
        <v>PALIGAWAN MATANDA</v>
      </c>
      <c r="N978" s="1"/>
      <c r="O978" s="1"/>
      <c r="P978" s="1"/>
      <c r="Q978" s="1" t="str">
        <f>IFERROR(__xludf.DUMMYFUNCTION("""COMPUTED_VALUE"""),"LANTIC")</f>
        <v>LANTIC</v>
      </c>
      <c r="R978" s="1" t="str">
        <f>IFERROR(__xludf.DUMMYFUNCTION("""COMPUTED_VALUE"""),"SILANG")</f>
        <v>SILANG</v>
      </c>
      <c r="S978" s="1" t="str">
        <f>IFERROR(__xludf.DUMMYFUNCTION("""COMPUTED_VALUE"""),"CAVITE")</f>
        <v>CAVITE</v>
      </c>
      <c r="T978" s="1" t="str">
        <f>IFERROR(__xludf.DUMMYFUNCTION("""COMPUTED_VALUE"""),"PREPAID FIBER UNLI")</f>
        <v>PREPAID FIBER UNLI</v>
      </c>
      <c r="U978" s="1" t="str">
        <f>IFERROR(__xludf.DUMMYFUNCTION("""COMPUTED_VALUE"""),"APPROVED")</f>
        <v>APPROVED</v>
      </c>
      <c r="V978" s="1"/>
      <c r="W978" s="1"/>
    </row>
    <row r="979" customHeight="1" spans="1:23">
      <c r="A979" s="3">
        <f>IFERROR(__xludf.DUMMYFUNCTION("""COMPUTED_VALUE"""),46106)</f>
        <v>46106</v>
      </c>
      <c r="B979" s="1" t="str">
        <f>IFERROR(__xludf.DUMMYFUNCTION("""COMPUTED_VALUE"""),"GABAY, MANUEL")</f>
        <v>GABAY, MANUEL</v>
      </c>
      <c r="C979" s="1" t="str">
        <f>IFERROR(__xludf.DUMMYFUNCTION("""COMPUTED_VALUE"""),"FLA")</f>
        <v>FLA</v>
      </c>
      <c r="D979" s="1" t="str">
        <f>IFERROR(__xludf.DUMMYFUNCTION("""COMPUTED_VALUE"""),"JERIC NAVARRO")</f>
        <v>JERIC NAVARRO</v>
      </c>
      <c r="E979" s="1" t="str">
        <f>IFERROR(__xludf.DUMMYFUNCTION("""COMPUTED_VALUE"""),"PLDT")</f>
        <v>PLDT</v>
      </c>
      <c r="F979" s="1">
        <f>IFERROR(__xludf.DUMMYFUNCTION("""COMPUTED_VALUE"""),2308475413)</f>
        <v>2308475413</v>
      </c>
      <c r="G979" s="1"/>
      <c r="H979" s="1" t="str">
        <f>IFERROR(__xludf.DUMMYFUNCTION("""COMPUTED_VALUE"""),"JEROME ALABAT MIRANDO")</f>
        <v>JEROME ALABAT MIRANDO</v>
      </c>
      <c r="I979" s="1">
        <f>IFERROR(__xludf.DUMMYFUNCTION("""COMPUTED_VALUE"""),9970882691)</f>
        <v>9970882691</v>
      </c>
      <c r="J979" s="1">
        <f>IFERROR(__xludf.DUMMYFUNCTION("""COMPUTED_VALUE"""),9608693454)</f>
        <v>9608693454</v>
      </c>
      <c r="K979" s="1" t="str">
        <f>IFERROR(__xludf.DUMMYFUNCTION("""COMPUTED_VALUE"""),"JEROM.MIRANDO00@GMAIL.COM")</f>
        <v>JEROM.MIRANDO00@GMAIL.COM</v>
      </c>
      <c r="L979" s="1" t="str">
        <f>IFERROR(__xludf.DUMMYFUNCTION("""COMPUTED_VALUE"""),"9141")</f>
        <v>9141</v>
      </c>
      <c r="M979" s="1" t="str">
        <f>IFERROR(__xludf.DUMMYFUNCTION("""COMPUTED_VALUE"""),"PALIGAWAN MATANDA")</f>
        <v>PALIGAWAN MATANDA</v>
      </c>
      <c r="N979" s="1"/>
      <c r="O979" s="1"/>
      <c r="P979" s="1"/>
      <c r="Q979" s="1" t="str">
        <f>IFERROR(__xludf.DUMMYFUNCTION("""COMPUTED_VALUE"""),"LANTIC")</f>
        <v>LANTIC</v>
      </c>
      <c r="R979" s="1" t="str">
        <f>IFERROR(__xludf.DUMMYFUNCTION("""COMPUTED_VALUE"""),"SILANG")</f>
        <v>SILANG</v>
      </c>
      <c r="S979" s="1" t="str">
        <f>IFERROR(__xludf.DUMMYFUNCTION("""COMPUTED_VALUE"""),"CAVITE")</f>
        <v>CAVITE</v>
      </c>
      <c r="T979" s="1" t="str">
        <f>IFERROR(__xludf.DUMMYFUNCTION("""COMPUTED_VALUE"""),"FIBR UNLI ALL PLAN 1399")</f>
        <v>FIBR UNLI ALL PLAN 1399</v>
      </c>
      <c r="U979" s="1" t="str">
        <f>IFERROR(__xludf.DUMMYFUNCTION("""COMPUTED_VALUE"""),"APPROVED")</f>
        <v>APPROVED</v>
      </c>
      <c r="V979" s="1"/>
      <c r="W979" s="1"/>
    </row>
    <row r="980" customHeight="1" spans="1:23">
      <c r="A980" s="3">
        <f>IFERROR(__xludf.DUMMYFUNCTION("""COMPUTED_VALUE"""),46106)</f>
        <v>46106</v>
      </c>
      <c r="B980" s="1" t="str">
        <f>IFERROR(__xludf.DUMMYFUNCTION("""COMPUTED_VALUE"""),"CANTANERO JUNEL")</f>
        <v>CANTANERO JUNEL</v>
      </c>
      <c r="C980" s="1" t="str">
        <f>IFERROR(__xludf.DUMMYFUNCTION("""COMPUTED_VALUE"""),"ORGANIC")</f>
        <v>ORGANIC</v>
      </c>
      <c r="D980" s="1" t="str">
        <f>IFERROR(__xludf.DUMMYFUNCTION("""COMPUTED_VALUE"""),"ALINGARO, CINDY")</f>
        <v>ALINGARO, CINDY</v>
      </c>
      <c r="E980" s="1" t="str">
        <f>IFERROR(__xludf.DUMMYFUNCTION("""COMPUTED_VALUE"""),"PLDT")</f>
        <v>PLDT</v>
      </c>
      <c r="F980" s="1">
        <f>IFERROR(__xludf.DUMMYFUNCTION("""COMPUTED_VALUE"""),2308477097)</f>
        <v>2308477097</v>
      </c>
      <c r="G980" s="1"/>
      <c r="H980" s="1" t="str">
        <f>IFERROR(__xludf.DUMMYFUNCTION("""COMPUTED_VALUE"""),"VISION-LINK GLOBAL MANAGEMENT")</f>
        <v>VISION-LINK GLOBAL MANAGEMENT</v>
      </c>
      <c r="I980" s="1">
        <f>IFERROR(__xludf.DUMMYFUNCTION("""COMPUTED_VALUE"""),9927925139)</f>
        <v>9927925139</v>
      </c>
      <c r="J980" s="1">
        <f>IFERROR(__xludf.DUMMYFUNCTION("""COMPUTED_VALUE"""),9912610891)</f>
        <v>9912610891</v>
      </c>
      <c r="K980" s="1" t="str">
        <f>IFERROR(__xludf.DUMMYFUNCTION("""COMPUTED_VALUE"""),"SALES.VISIONLINKGLOBAL@GMAIL.COM")</f>
        <v>SALES.VISIONLINKGLOBAL@GMAIL.COM</v>
      </c>
      <c r="L980" s="1" t="str">
        <f>IFERROR(__xludf.DUMMYFUNCTION("""COMPUTED_VALUE"""),"BLK 2 LOT 17")</f>
        <v>BLK 2 LOT 17</v>
      </c>
      <c r="M980" s="1" t="str">
        <f>IFERROR(__xludf.DUMMYFUNCTION("""COMPUTED_VALUE"""),"NARRA 2")</f>
        <v>NARRA 2</v>
      </c>
      <c r="N980" s="1"/>
      <c r="O980" s="1"/>
      <c r="P980" s="1"/>
      <c r="Q980" s="1" t="str">
        <f>IFERROR(__xludf.DUMMYFUNCTION("""COMPUTED_VALUE"""),"NARRA II")</f>
        <v>NARRA II</v>
      </c>
      <c r="R980" s="1" t="str">
        <f>IFERROR(__xludf.DUMMYFUNCTION("""COMPUTED_VALUE"""),"SILANG")</f>
        <v>SILANG</v>
      </c>
      <c r="S980" s="1" t="str">
        <f>IFERROR(__xludf.DUMMYFUNCTION("""COMPUTED_VALUE"""),"CAVITE")</f>
        <v>CAVITE</v>
      </c>
      <c r="T980" s="1" t="str">
        <f>IFERROR(__xludf.DUMMYFUNCTION("""COMPUTED_VALUE"""),"HOME BIZ PLAN 1699")</f>
        <v>HOME BIZ PLAN 1699</v>
      </c>
      <c r="U980" s="1" t="str">
        <f>IFERROR(__xludf.DUMMYFUNCTION("""COMPUTED_VALUE"""),"APPROVED")</f>
        <v>APPROVED</v>
      </c>
      <c r="V980" s="1"/>
      <c r="W980" s="1"/>
    </row>
    <row r="981" customHeight="1" spans="1:23">
      <c r="A981" s="3">
        <f>IFERROR(__xludf.DUMMYFUNCTION("""COMPUTED_VALUE"""),46107)</f>
        <v>46107</v>
      </c>
      <c r="B981" s="1" t="str">
        <f>IFERROR(__xludf.DUMMYFUNCTION("""COMPUTED_VALUE"""),"AQUINO, LUIS")</f>
        <v>AQUINO, LUIS</v>
      </c>
      <c r="C981" s="1" t="str">
        <f>IFERROR(__xludf.DUMMYFUNCTION("""COMPUTED_VALUE"""),"ORGANIC")</f>
        <v>ORGANIC</v>
      </c>
      <c r="D981" s="1" t="str">
        <f>IFERROR(__xludf.DUMMYFUNCTION("""COMPUTED_VALUE"""),"ALOS, CHARLS")</f>
        <v>ALOS, CHARLS</v>
      </c>
      <c r="E981" s="1" t="str">
        <f>IFERROR(__xludf.DUMMYFUNCTION("""COMPUTED_VALUE"""),"PLDT")</f>
        <v>PLDT</v>
      </c>
      <c r="F981" s="1">
        <f>IFERROR(__xludf.DUMMYFUNCTION("""COMPUTED_VALUE"""),2308486746)</f>
        <v>2308486746</v>
      </c>
      <c r="G981" s="1"/>
      <c r="H981" s="1" t="str">
        <f>IFERROR(__xludf.DUMMYFUNCTION("""COMPUTED_VALUE"""),"RAYMART JORDANA BAGSIC")</f>
        <v>RAYMART JORDANA BAGSIC</v>
      </c>
      <c r="I981" s="1">
        <f>IFERROR(__xludf.DUMMYFUNCTION("""COMPUTED_VALUE"""),9057330905)</f>
        <v>9057330905</v>
      </c>
      <c r="J981" s="1">
        <f>IFERROR(__xludf.DUMMYFUNCTION("""COMPUTED_VALUE"""),9226894904)</f>
        <v>9226894904</v>
      </c>
      <c r="K981" s="1" t="str">
        <f>IFERROR(__xludf.DUMMYFUNCTION("""COMPUTED_VALUE"""),"KITE_FLIE@YAHOO.COM")</f>
        <v>KITE_FLIE@YAHOO.COM</v>
      </c>
      <c r="L981" s="1" t="str">
        <f>IFERROR(__xludf.DUMMYFUNCTION("""COMPUTED_VALUE"""),"9095 3C")</f>
        <v>9095 3C</v>
      </c>
      <c r="M981" s="1" t="str">
        <f>IFERROR(__xludf.DUMMYFUNCTION("""COMPUTED_VALUE"""),"BORROMEO ST")</f>
        <v>BORROMEO ST</v>
      </c>
      <c r="N981" s="1"/>
      <c r="O981" s="1"/>
      <c r="P981" s="1"/>
      <c r="Q981" s="1" t="str">
        <f>IFERROR(__xludf.DUMMYFUNCTION("""COMPUTED_VALUE"""),"BILUSO")</f>
        <v>BILUSO</v>
      </c>
      <c r="R981" s="1" t="str">
        <f>IFERROR(__xludf.DUMMYFUNCTION("""COMPUTED_VALUE"""),"SILANG")</f>
        <v>SILANG</v>
      </c>
      <c r="S981" s="1" t="str">
        <f>IFERROR(__xludf.DUMMYFUNCTION("""COMPUTED_VALUE"""),"CAVITE")</f>
        <v>CAVITE</v>
      </c>
      <c r="T981" s="1" t="str">
        <f>IFERROR(__xludf.DUMMYFUNCTION("""COMPUTED_VALUE"""),"FIBR UNLI ALL PLAN 1399")</f>
        <v>FIBR UNLI ALL PLAN 1399</v>
      </c>
      <c r="U981" s="1" t="str">
        <f>IFERROR(__xludf.DUMMYFUNCTION("""COMPUTED_VALUE"""),"APPROVED")</f>
        <v>APPROVED</v>
      </c>
      <c r="V981" s="1"/>
      <c r="W981" s="1"/>
    </row>
    <row r="982" customHeight="1" spans="1:23">
      <c r="A982" s="3">
        <f>IFERROR(__xludf.DUMMYFUNCTION("""COMPUTED_VALUE"""),46107)</f>
        <v>46107</v>
      </c>
      <c r="B982" s="1" t="str">
        <f>IFERROR(__xludf.DUMMYFUNCTION("""COMPUTED_VALUE"""),"OPS SIR BETZ")</f>
        <v>OPS SIR BETZ</v>
      </c>
      <c r="C982" s="1" t="str">
        <f>IFERROR(__xludf.DUMMYFUNCTION("""COMPUTED_VALUE"""),"FLA")</f>
        <v>FLA</v>
      </c>
      <c r="D982" s="1" t="str">
        <f>IFERROR(__xludf.DUMMYFUNCTION("""COMPUTED_VALUE"""),"JERIC NAVARRO")</f>
        <v>JERIC NAVARRO</v>
      </c>
      <c r="E982" s="1" t="str">
        <f>IFERROR(__xludf.DUMMYFUNCTION("""COMPUTED_VALUE"""),"PLDT")</f>
        <v>PLDT</v>
      </c>
      <c r="F982" s="1">
        <f>IFERROR(__xludf.DUMMYFUNCTION("""COMPUTED_VALUE"""),2308489731)</f>
        <v>2308489731</v>
      </c>
      <c r="G982" s="1"/>
      <c r="H982" s="1" t="str">
        <f>IFERROR(__xludf.DUMMYFUNCTION("""COMPUTED_VALUE"""),"NICOLLETE PAULA GERRELLA CASTILLO")</f>
        <v>NICOLLETE PAULA GERRELLA CASTILLO</v>
      </c>
      <c r="I982" s="1">
        <f>IFERROR(__xludf.DUMMYFUNCTION("""COMPUTED_VALUE"""),9062895605)</f>
        <v>9062895605</v>
      </c>
      <c r="J982" s="1">
        <f>IFERROR(__xludf.DUMMYFUNCTION("""COMPUTED_VALUE"""),9399162730)</f>
        <v>9399162730</v>
      </c>
      <c r="K982" s="1" t="str">
        <f>IFERROR(__xludf.DUMMYFUNCTION("""COMPUTED_VALUE"""),"NICOLLETE.CASTILLO@GMAIL.COM")</f>
        <v>NICOLLETE.CASTILLO@GMAIL.COM</v>
      </c>
      <c r="L982" s="1" t="str">
        <f>IFERROR(__xludf.DUMMYFUNCTION("""COMPUTED_VALUE"""),"7A")</f>
        <v>7A</v>
      </c>
      <c r="M982" s="1" t="str">
        <f>IFERROR(__xludf.DUMMYFUNCTION("""COMPUTED_VALUE"""),"LIMJAP ")</f>
        <v>LIMJAP </v>
      </c>
      <c r="N982" s="1" t="str">
        <f>IFERROR(__xludf.DUMMYFUNCTION("""COMPUTED_VALUE"""),"PHASE 6")</f>
        <v>PHASE 6</v>
      </c>
      <c r="O982" s="1"/>
      <c r="P982" s="1"/>
      <c r="Q982" s="1" t="str">
        <f>IFERROR(__xludf.DUMMYFUNCTION("""COMPUTED_VALUE"""),"MOLINO V")</f>
        <v>MOLINO V</v>
      </c>
      <c r="R982" s="1" t="str">
        <f>IFERROR(__xludf.DUMMYFUNCTION("""COMPUTED_VALUE"""),"BACOOR")</f>
        <v>BACOOR</v>
      </c>
      <c r="S982" s="1" t="str">
        <f>IFERROR(__xludf.DUMMYFUNCTION("""COMPUTED_VALUE"""),"CAVITE")</f>
        <v>CAVITE</v>
      </c>
      <c r="T982" s="1" t="str">
        <f>IFERROR(__xludf.DUMMYFUNCTION("""COMPUTED_VALUE"""),"FIBR NETFLIX PLAN 1599")</f>
        <v>FIBR NETFLIX PLAN 1599</v>
      </c>
      <c r="U982" s="1" t="str">
        <f>IFERROR(__xludf.DUMMYFUNCTION("""COMPUTED_VALUE"""),"APPROVED")</f>
        <v>APPROVED</v>
      </c>
      <c r="V982" s="1"/>
      <c r="W982" s="1"/>
    </row>
    <row r="983" customHeight="1" spans="1:23">
      <c r="A983" s="3">
        <f>IFERROR(__xludf.DUMMYFUNCTION("""COMPUTED_VALUE"""),46107)</f>
        <v>46107</v>
      </c>
      <c r="B983" s="1" t="str">
        <f>IFERROR(__xludf.DUMMYFUNCTION("""COMPUTED_VALUE"""),"FERNANDEZ JERIC")</f>
        <v>FERNANDEZ JERIC</v>
      </c>
      <c r="C983" s="1" t="str">
        <f>IFERROR(__xludf.DUMMYFUNCTION("""COMPUTED_VALUE"""),"ORGANIC")</f>
        <v>ORGANIC</v>
      </c>
      <c r="D983" s="1" t="str">
        <f>IFERROR(__xludf.DUMMYFUNCTION("""COMPUTED_VALUE"""),"ALOS, CHARLS")</f>
        <v>ALOS, CHARLS</v>
      </c>
      <c r="E983" s="1" t="str">
        <f>IFERROR(__xludf.DUMMYFUNCTION("""COMPUTED_VALUE"""),"RED FIBER")</f>
        <v>RED FIBER</v>
      </c>
      <c r="F983" s="1"/>
      <c r="G983" s="1"/>
      <c r="H983" s="1" t="str">
        <f>IFERROR(__xludf.DUMMYFUNCTION("""COMPUTED_VALUE"""),"STEPHANIE SANGO")</f>
        <v>STEPHANIE SANGO</v>
      </c>
      <c r="I983" s="1">
        <f>IFERROR(__xludf.DUMMYFUNCTION("""COMPUTED_VALUE"""),9561362821)</f>
        <v>9561362821</v>
      </c>
      <c r="J983" s="1"/>
      <c r="K983" s="1" t="str">
        <f>IFERROR(__xludf.DUMMYFUNCTION("""COMPUTED_VALUE"""),"ulyssesbuan23@gmail.com")</f>
        <v>ulyssesbuan23@gmail.com</v>
      </c>
      <c r="L983" s="1" t="str">
        <f>IFERROR(__xludf.DUMMYFUNCTION("""COMPUTED_VALUE"""),"106")</f>
        <v>106</v>
      </c>
      <c r="M983" s="1" t="str">
        <f>IFERROR(__xludf.DUMMYFUNCTION("""COMPUTED_VALUE"""),"HUMAYAO")</f>
        <v>HUMAYAO</v>
      </c>
      <c r="N983" s="1"/>
      <c r="O983" s="1"/>
      <c r="P983" s="1"/>
      <c r="Q983" s="1" t="str">
        <f>IFERROR(__xludf.DUMMYFUNCTION("""COMPUTED_VALUE"""),"LANGKAAN II")</f>
        <v>LANGKAAN II</v>
      </c>
      <c r="R983" s="1" t="str">
        <f>IFERROR(__xludf.DUMMYFUNCTION("""COMPUTED_VALUE"""),"DASMARINAS")</f>
        <v>DASMARINAS</v>
      </c>
      <c r="S983" s="1" t="str">
        <f>IFERROR(__xludf.DUMMYFUNCTION("""COMPUTED_VALUE"""),"CAVITE")</f>
        <v>CAVITE</v>
      </c>
      <c r="T983" s="1" t="str">
        <f>IFERROR(__xludf.DUMMYFUNCTION("""COMPUTED_VALUE"""),"RED PLAN 1000")</f>
        <v>RED PLAN 1000</v>
      </c>
      <c r="U983" s="1" t="str">
        <f>IFERROR(__xludf.DUMMYFUNCTION("""COMPUTED_VALUE"""),"APPROVED")</f>
        <v>APPROVED</v>
      </c>
      <c r="V983" s="1"/>
      <c r="W983" s="1"/>
    </row>
    <row r="984" customHeight="1" spans="1:23">
      <c r="A984" s="3">
        <f>IFERROR(__xludf.DUMMYFUNCTION("""COMPUTED_VALUE"""),46107)</f>
        <v>46107</v>
      </c>
      <c r="B984" s="1" t="str">
        <f>IFERROR(__xludf.DUMMYFUNCTION("""COMPUTED_VALUE"""),"DELA ROSA, JENNELYN")</f>
        <v>DELA ROSA, JENNELYN</v>
      </c>
      <c r="C984" s="1" t="str">
        <f>IFERROR(__xludf.DUMMYFUNCTION("""COMPUTED_VALUE"""),"ORGANIC")</f>
        <v>ORGANIC</v>
      </c>
      <c r="D984" s="1" t="str">
        <f>IFERROR(__xludf.DUMMYFUNCTION("""COMPUTED_VALUE"""),"ALOS, CHARLS")</f>
        <v>ALOS, CHARLS</v>
      </c>
      <c r="E984" s="1" t="str">
        <f>IFERROR(__xludf.DUMMYFUNCTION("""COMPUTED_VALUE"""),"PLDT")</f>
        <v>PLDT</v>
      </c>
      <c r="F984" s="1">
        <f>IFERROR(__xludf.DUMMYFUNCTION("""COMPUTED_VALUE"""),2308491634)</f>
        <v>2308491634</v>
      </c>
      <c r="G984" s="1"/>
      <c r="H984" s="1" t="str">
        <f>IFERROR(__xludf.DUMMYFUNCTION("""COMPUTED_VALUE"""),"LEONARDO FERMANTE LOJARES")</f>
        <v>LEONARDO FERMANTE LOJARES</v>
      </c>
      <c r="I984" s="1">
        <f>IFERROR(__xludf.DUMMYFUNCTION("""COMPUTED_VALUE"""),9565589259)</f>
        <v>9565589259</v>
      </c>
      <c r="J984" s="1">
        <f>IFERROR(__xludf.DUMMYFUNCTION("""COMPUTED_VALUE"""),9760138198)</f>
        <v>9760138198</v>
      </c>
      <c r="K984" s="1" t="str">
        <f>IFERROR(__xludf.DUMMYFUNCTION("""COMPUTED_VALUE"""),"SHALJRS@GMAIL.COM")</f>
        <v>SHALJRS@GMAIL.COM</v>
      </c>
      <c r="L984" s="1" t="str">
        <f>IFERROR(__xludf.DUMMYFUNCTION("""COMPUTED_VALUE"""),"BLK 13 LOT 32")</f>
        <v>BLK 13 LOT 32</v>
      </c>
      <c r="M984" s="1" t="str">
        <f>IFERROR(__xludf.DUMMYFUNCTION("""COMPUTED_VALUE"""),"MABUHAY 2000")</f>
        <v>MABUHAY 2000</v>
      </c>
      <c r="N984" s="1"/>
      <c r="O984" s="1"/>
      <c r="P984" s="1"/>
      <c r="Q984" s="1" t="str">
        <f>IFERROR(__xludf.DUMMYFUNCTION("""COMPUTED_VALUE"""),"PALIPARAN II")</f>
        <v>PALIPARAN II</v>
      </c>
      <c r="R984" s="1" t="str">
        <f>IFERROR(__xludf.DUMMYFUNCTION("""COMPUTED_VALUE"""),"DASMARINAS")</f>
        <v>DASMARINAS</v>
      </c>
      <c r="S984" s="1" t="str">
        <f>IFERROR(__xludf.DUMMYFUNCTION("""COMPUTED_VALUE"""),"CAVITE")</f>
        <v>CAVITE</v>
      </c>
      <c r="T984" s="1" t="str">
        <f>IFERROR(__xludf.DUMMYFUNCTION("""COMPUTED_VALUE"""),"FIBR PLAN 1699")</f>
        <v>FIBR PLAN 1699</v>
      </c>
      <c r="U984" s="1" t="str">
        <f>IFERROR(__xludf.DUMMYFUNCTION("""COMPUTED_VALUE"""),"APPROVED")</f>
        <v>APPROVED</v>
      </c>
      <c r="V984" s="1"/>
      <c r="W984" s="1"/>
    </row>
    <row r="985" customHeight="1" spans="1:23">
      <c r="A985" s="3">
        <f>IFERROR(__xludf.DUMMYFUNCTION("""COMPUTED_VALUE"""),46107)</f>
        <v>46107</v>
      </c>
      <c r="B985" s="1" t="str">
        <f>IFERROR(__xludf.DUMMYFUNCTION("""COMPUTED_VALUE"""),"MAÑANITA, ERIKA")</f>
        <v>MAÑANITA, ERIKA</v>
      </c>
      <c r="C985" s="1" t="str">
        <f>IFERROR(__xludf.DUMMYFUNCTION("""COMPUTED_VALUE"""),"ORGANIC")</f>
        <v>ORGANIC</v>
      </c>
      <c r="D985" s="1" t="str">
        <f>IFERROR(__xludf.DUMMYFUNCTION("""COMPUTED_VALUE"""),"ALOS, CHARLS")</f>
        <v>ALOS, CHARLS</v>
      </c>
      <c r="E985" s="1" t="str">
        <f>IFERROR(__xludf.DUMMYFUNCTION("""COMPUTED_VALUE"""),"PLDT")</f>
        <v>PLDT</v>
      </c>
      <c r="F985" s="1">
        <f>IFERROR(__xludf.DUMMYFUNCTION("""COMPUTED_VALUE"""),2308515296)</f>
        <v>2308515296</v>
      </c>
      <c r="G985" s="1">
        <f>IFERROR(__xludf.DUMMYFUNCTION("""COMPUTED_VALUE"""),448314652004)</f>
        <v>448314652004</v>
      </c>
      <c r="H985" s="1" t="str">
        <f>IFERROR(__xludf.DUMMYFUNCTION("""COMPUTED_VALUE"""),"MARK ANTHONY RIVA CABEZUELA ")</f>
        <v>MARK ANTHONY RIVA CABEZUELA </v>
      </c>
      <c r="I985" s="1">
        <f>IFERROR(__xludf.DUMMYFUNCTION("""COMPUTED_VALUE"""),9928500475)</f>
        <v>9928500475</v>
      </c>
      <c r="J985" s="1">
        <f>IFERROR(__xludf.DUMMYFUNCTION("""COMPUTED_VALUE"""),9944464731)</f>
        <v>9944464731</v>
      </c>
      <c r="K985" s="1" t="str">
        <f>IFERROR(__xludf.DUMMYFUNCTION("""COMPUTED_VALUE"""),"MARKANTHONYCABEZELA206@GMAIL.COM")</f>
        <v>MARKANTHONYCABEZELA206@GMAIL.COM</v>
      </c>
      <c r="L985" s="1" t="str">
        <f>IFERROR(__xludf.DUMMYFUNCTION("""COMPUTED_VALUE"""),"28")</f>
        <v>28</v>
      </c>
      <c r="M985" s="1" t="str">
        <f>IFERROR(__xludf.DUMMYFUNCTION("""COMPUTED_VALUE"""),"BAYABASAN")</f>
        <v>BAYABASAN</v>
      </c>
      <c r="N985" s="1"/>
      <c r="O985" s="1"/>
      <c r="P985" s="1"/>
      <c r="Q985" s="1"/>
      <c r="R985" s="1"/>
      <c r="S985" s="1" t="str">
        <f>IFERROR(__xludf.DUMMYFUNCTION("""COMPUTED_VALUE"""),"BATANGAS")</f>
        <v>BATANGAS</v>
      </c>
      <c r="T985" s="1" t="str">
        <f>IFERROR(__xludf.DUMMYFUNCTION("""COMPUTED_VALUE"""),"FIBR PLAN 1299")</f>
        <v>FIBR PLAN 1299</v>
      </c>
      <c r="U985" s="1" t="str">
        <f>IFERROR(__xludf.DUMMYFUNCTION("""COMPUTED_VALUE"""),"APPROVED")</f>
        <v>APPROVED</v>
      </c>
      <c r="V985" s="1" t="str">
        <f>IFERROR(__xludf.DUMMYFUNCTION("""COMPUTED_VALUE"""),"ENDORESED TO BATANGAS")</f>
        <v>ENDORESED TO BATANGAS</v>
      </c>
      <c r="W985" s="1"/>
    </row>
    <row r="986" customHeight="1" spans="1:23">
      <c r="A986" s="3">
        <f>IFERROR(__xludf.DUMMYFUNCTION("""COMPUTED_VALUE"""),46107)</f>
        <v>46107</v>
      </c>
      <c r="B986" s="1" t="str">
        <f>IFERROR(__xludf.DUMMYFUNCTION("""COMPUTED_VALUE"""),"AQUINO, LUIS")</f>
        <v>AQUINO, LUIS</v>
      </c>
      <c r="C986" s="1" t="str">
        <f>IFERROR(__xludf.DUMMYFUNCTION("""COMPUTED_VALUE"""),"ORGANIC")</f>
        <v>ORGANIC</v>
      </c>
      <c r="D986" s="1" t="str">
        <f>IFERROR(__xludf.DUMMYFUNCTION("""COMPUTED_VALUE"""),"ALOS, CHARLS")</f>
        <v>ALOS, CHARLS</v>
      </c>
      <c r="E986" s="1" t="str">
        <f>IFERROR(__xludf.DUMMYFUNCTION("""COMPUTED_VALUE"""),"PLDT")</f>
        <v>PLDT</v>
      </c>
      <c r="F986" s="1">
        <f>IFERROR(__xludf.DUMMYFUNCTION("""COMPUTED_VALUE"""),2308495281)</f>
        <v>2308495281</v>
      </c>
      <c r="G986" s="1"/>
      <c r="H986" s="1" t="str">
        <f>IFERROR(__xludf.DUMMYFUNCTION("""COMPUTED_VALUE"""),"MARGIE YBANEZ MOLE")</f>
        <v>MARGIE YBANEZ MOLE</v>
      </c>
      <c r="I986" s="1">
        <f>IFERROR(__xludf.DUMMYFUNCTION("""COMPUTED_VALUE"""),9615885070)</f>
        <v>9615885070</v>
      </c>
      <c r="J986" s="1">
        <f>IFERROR(__xludf.DUMMYFUNCTION("""COMPUTED_VALUE"""),9453172797)</f>
        <v>9453172797</v>
      </c>
      <c r="K986" s="1" t="str">
        <f>IFERROR(__xludf.DUMMYFUNCTION("""COMPUTED_VALUE"""),"MARGIE.MOLE37@GMAIL.COM")</f>
        <v>MARGIE.MOLE37@GMAIL.COM</v>
      </c>
      <c r="L986" s="1" t="str">
        <f>IFERROR(__xludf.DUMMYFUNCTION("""COMPUTED_VALUE"""),"BLK 27 LOT 2")</f>
        <v>BLK 27 LOT 2</v>
      </c>
      <c r="M986" s="1" t="str">
        <f>IFERROR(__xludf.DUMMYFUNCTION("""COMPUTED_VALUE"""),"MANGGO VILLE")</f>
        <v>MANGGO VILLE</v>
      </c>
      <c r="N986" s="1"/>
      <c r="O986" s="1"/>
      <c r="P986" s="1"/>
      <c r="Q986" s="1" t="str">
        <f>IFERROR(__xludf.DUMMYFUNCTION("""COMPUTED_VALUE"""),"SALITRAN IV")</f>
        <v>SALITRAN IV</v>
      </c>
      <c r="R986" s="1" t="str">
        <f>IFERROR(__xludf.DUMMYFUNCTION("""COMPUTED_VALUE"""),"DASMARINAS")</f>
        <v>DASMARINAS</v>
      </c>
      <c r="S986" s="1" t="str">
        <f>IFERROR(__xludf.DUMMYFUNCTION("""COMPUTED_VALUE"""),"CAVITE")</f>
        <v>CAVITE</v>
      </c>
      <c r="T986" s="1" t="str">
        <f>IFERROR(__xludf.DUMMYFUNCTION("""COMPUTED_VALUE"""),"FIBR UNLI ALL PLAN 1399")</f>
        <v>FIBR UNLI ALL PLAN 1399</v>
      </c>
      <c r="U986" s="1" t="str">
        <f>IFERROR(__xludf.DUMMYFUNCTION("""COMPUTED_VALUE"""),"APPROVED")</f>
        <v>APPROVED</v>
      </c>
      <c r="V986" s="1"/>
      <c r="W986" s="1"/>
    </row>
    <row r="987" customHeight="1" spans="1:23">
      <c r="A987" s="3">
        <f>IFERROR(__xludf.DUMMYFUNCTION("""COMPUTED_VALUE"""),46107)</f>
        <v>46107</v>
      </c>
      <c r="B987" s="1" t="str">
        <f>IFERROR(__xludf.DUMMYFUNCTION("""COMPUTED_VALUE"""),"GABAY, MANUEL")</f>
        <v>GABAY, MANUEL</v>
      </c>
      <c r="C987" s="1" t="str">
        <f>IFERROR(__xludf.DUMMYFUNCTION("""COMPUTED_VALUE"""),"FLA")</f>
        <v>FLA</v>
      </c>
      <c r="D987" s="1" t="str">
        <f>IFERROR(__xludf.DUMMYFUNCTION("""COMPUTED_VALUE"""),"JERIC NAVARRO")</f>
        <v>JERIC NAVARRO</v>
      </c>
      <c r="E987" s="1" t="str">
        <f>IFERROR(__xludf.DUMMYFUNCTION("""COMPUTED_VALUE"""),"PLDT")</f>
        <v>PLDT</v>
      </c>
      <c r="F987" s="1">
        <f>IFERROR(__xludf.DUMMYFUNCTION("""COMPUTED_VALUE"""),2308496266)</f>
        <v>2308496266</v>
      </c>
      <c r="G987" s="1"/>
      <c r="H987" s="1" t="str">
        <f>IFERROR(__xludf.DUMMYFUNCTION("""COMPUTED_VALUE"""),"JESSIE LEBRIS YAP")</f>
        <v>JESSIE LEBRIS YAP</v>
      </c>
      <c r="I987" s="1">
        <f>IFERROR(__xludf.DUMMYFUNCTION("""COMPUTED_VALUE"""),9513140676)</f>
        <v>9513140676</v>
      </c>
      <c r="J987" s="1">
        <f>IFERROR(__xludf.DUMMYFUNCTION("""COMPUTED_VALUE"""),9940946202)</f>
        <v>9940946202</v>
      </c>
      <c r="K987" s="1" t="str">
        <f>IFERROR(__xludf.DUMMYFUNCTION("""COMPUTED_VALUE"""),"JESSIEYAP735@GMAIL.COM")</f>
        <v>JESSIEYAP735@GMAIL.COM</v>
      </c>
      <c r="L987" s="1" t="str">
        <f>IFERROR(__xludf.DUMMYFUNCTION("""COMPUTED_VALUE"""),"46819")</f>
        <v>46819</v>
      </c>
      <c r="M987" s="1" t="str">
        <f>IFERROR(__xludf.DUMMYFUNCTION("""COMPUTED_VALUE"""),"HUMAYAO RD")</f>
        <v>HUMAYAO RD</v>
      </c>
      <c r="N987" s="1"/>
      <c r="O987" s="1"/>
      <c r="P987" s="1"/>
      <c r="Q987" s="1" t="str">
        <f>IFERROR(__xludf.DUMMYFUNCTION("""COMPUTED_VALUE"""),"LANGKAAN II")</f>
        <v>LANGKAAN II</v>
      </c>
      <c r="R987" s="1" t="str">
        <f>IFERROR(__xludf.DUMMYFUNCTION("""COMPUTED_VALUE"""),"DASMARINAS")</f>
        <v>DASMARINAS</v>
      </c>
      <c r="S987" s="1" t="str">
        <f>IFERROR(__xludf.DUMMYFUNCTION("""COMPUTED_VALUE"""),"CAVITE")</f>
        <v>CAVITE</v>
      </c>
      <c r="T987" s="1" t="str">
        <f>IFERROR(__xludf.DUMMYFUNCTION("""COMPUTED_VALUE"""),"FIBR UNLI ALL PLAN 1399")</f>
        <v>FIBR UNLI ALL PLAN 1399</v>
      </c>
      <c r="U987" s="1" t="str">
        <f>IFERROR(__xludf.DUMMYFUNCTION("""COMPUTED_VALUE"""),"APPROVED")</f>
        <v>APPROVED</v>
      </c>
      <c r="V987" s="1"/>
      <c r="W987" s="1"/>
    </row>
    <row r="988" customHeight="1" spans="1:23">
      <c r="A988" s="3">
        <f>IFERROR(__xludf.DUMMYFUNCTION("""COMPUTED_VALUE"""),46107)</f>
        <v>46107</v>
      </c>
      <c r="B988" s="1" t="str">
        <f>IFERROR(__xludf.DUMMYFUNCTION("""COMPUTED_VALUE"""),"AYON MANUEL")</f>
        <v>AYON MANUEL</v>
      </c>
      <c r="C988" s="1" t="str">
        <f>IFERROR(__xludf.DUMMYFUNCTION("""COMPUTED_VALUE"""),"FLA")</f>
        <v>FLA</v>
      </c>
      <c r="D988" s="1" t="str">
        <f>IFERROR(__xludf.DUMMYFUNCTION("""COMPUTED_VALUE"""),"JERIC NAVARRO")</f>
        <v>JERIC NAVARRO</v>
      </c>
      <c r="E988" s="1" t="str">
        <f>IFERROR(__xludf.DUMMYFUNCTION("""COMPUTED_VALUE"""),"PLDT")</f>
        <v>PLDT</v>
      </c>
      <c r="F988" s="1">
        <f>IFERROR(__xludf.DUMMYFUNCTION("""COMPUTED_VALUE"""),2308500045)</f>
        <v>2308500045</v>
      </c>
      <c r="G988" s="1"/>
      <c r="H988" s="1" t="str">
        <f>IFERROR(__xludf.DUMMYFUNCTION("""COMPUTED_VALUE"""),"ELSIE ALMINE MONTANO")</f>
        <v>ELSIE ALMINE MONTANO</v>
      </c>
      <c r="I988" s="1">
        <f>IFERROR(__xludf.DUMMYFUNCTION("""COMPUTED_VALUE"""),9911229110)</f>
        <v>9911229110</v>
      </c>
      <c r="J988" s="1">
        <f>IFERROR(__xludf.DUMMYFUNCTION("""COMPUTED_VALUE"""),9945227627)</f>
        <v>9945227627</v>
      </c>
      <c r="K988" s="1" t="str">
        <f>IFERROR(__xludf.DUMMYFUNCTION("""COMPUTED_VALUE"""),"ELSIEMONTANO139@GMAIL.COM")</f>
        <v>ELSIEMONTANO139@GMAIL.COM</v>
      </c>
      <c r="L988" s="1" t="str">
        <f>IFERROR(__xludf.DUMMYFUNCTION("""COMPUTED_VALUE"""),"9847")</f>
        <v>9847</v>
      </c>
      <c r="M988" s="1" t="str">
        <f>IFERROR(__xludf.DUMMYFUNCTION("""COMPUTED_VALUE"""),"MENDEZ ALFONSO RD")</f>
        <v>MENDEZ ALFONSO RD</v>
      </c>
      <c r="N988" s="1"/>
      <c r="O988" s="1"/>
      <c r="P988" s="1"/>
      <c r="Q988" s="1" t="str">
        <f>IFERROR(__xludf.DUMMYFUNCTION("""COMPUTED_VALUE"""),"PANUNGYAN I")</f>
        <v>PANUNGYAN I</v>
      </c>
      <c r="R988" s="1" t="str">
        <f>IFERROR(__xludf.DUMMYFUNCTION("""COMPUTED_VALUE"""),"MENDEZ")</f>
        <v>MENDEZ</v>
      </c>
      <c r="S988" s="1" t="str">
        <f>IFERROR(__xludf.DUMMYFUNCTION("""COMPUTED_VALUE"""),"CAVITE")</f>
        <v>CAVITE</v>
      </c>
      <c r="T988" s="1" t="str">
        <f>IFERROR(__xludf.DUMMYFUNCTION("""COMPUTED_VALUE"""),"FIBR UNLI ALL PLAN 1399")</f>
        <v>FIBR UNLI ALL PLAN 1399</v>
      </c>
      <c r="U988" s="1" t="str">
        <f>IFERROR(__xludf.DUMMYFUNCTION("""COMPUTED_VALUE"""),"APPROVED")</f>
        <v>APPROVED</v>
      </c>
      <c r="V988" s="1"/>
      <c r="W988" s="1"/>
    </row>
    <row r="989" customHeight="1" spans="1:23">
      <c r="A989" s="3">
        <f>IFERROR(__xludf.DUMMYFUNCTION("""COMPUTED_VALUE"""),46107)</f>
        <v>46107</v>
      </c>
      <c r="B989" s="1" t="str">
        <f>IFERROR(__xludf.DUMMYFUNCTION("""COMPUTED_VALUE"""),"AYON MANUEL")</f>
        <v>AYON MANUEL</v>
      </c>
      <c r="C989" s="1" t="str">
        <f>IFERROR(__xludf.DUMMYFUNCTION("""COMPUTED_VALUE"""),"FLA")</f>
        <v>FLA</v>
      </c>
      <c r="D989" s="1" t="str">
        <f>IFERROR(__xludf.DUMMYFUNCTION("""COMPUTED_VALUE"""),"JERIC NAVARRO")</f>
        <v>JERIC NAVARRO</v>
      </c>
      <c r="E989" s="1" t="str">
        <f>IFERROR(__xludf.DUMMYFUNCTION("""COMPUTED_VALUE"""),"PLDT")</f>
        <v>PLDT</v>
      </c>
      <c r="F989" s="1">
        <f>IFERROR(__xludf.DUMMYFUNCTION("""COMPUTED_VALUE"""),2308498655)</f>
        <v>2308498655</v>
      </c>
      <c r="G989" s="1"/>
      <c r="H989" s="1" t="str">
        <f>IFERROR(__xludf.DUMMYFUNCTION("""COMPUTED_VALUE"""),"MARIA MALAKI ABAD")</f>
        <v>MARIA MALAKI ABAD</v>
      </c>
      <c r="I989" s="1">
        <f>IFERROR(__xludf.DUMMYFUNCTION("""COMPUTED_VALUE"""),9703508994)</f>
        <v>9703508994</v>
      </c>
      <c r="J989" s="1">
        <f>IFERROR(__xludf.DUMMYFUNCTION("""COMPUTED_VALUE"""),9923695854)</f>
        <v>9923695854</v>
      </c>
      <c r="K989" s="1" t="str">
        <f>IFERROR(__xludf.DUMMYFUNCTION("""COMPUTED_VALUE"""),"ABADMARIA903@GMAIL.COM")</f>
        <v>ABADMARIA903@GMAIL.COM</v>
      </c>
      <c r="L989" s="1" t="str">
        <f>IFERROR(__xludf.DUMMYFUNCTION("""COMPUTED_VALUE"""),"147")</f>
        <v>147</v>
      </c>
      <c r="M989" s="1" t="str">
        <f>IFERROR(__xludf.DUMMYFUNCTION("""COMPUTED_VALUE"""),"MENDEZ ALFONSO RD")</f>
        <v>MENDEZ ALFONSO RD</v>
      </c>
      <c r="N989" s="1"/>
      <c r="O989" s="1"/>
      <c r="P989" s="1"/>
      <c r="Q989" s="1" t="str">
        <f>IFERROR(__xludf.DUMMYFUNCTION("""COMPUTED_VALUE"""),"PANUNGYAN I")</f>
        <v>PANUNGYAN I</v>
      </c>
      <c r="R989" s="1" t="str">
        <f>IFERROR(__xludf.DUMMYFUNCTION("""COMPUTED_VALUE"""),"MENDEZ")</f>
        <v>MENDEZ</v>
      </c>
      <c r="S989" s="1" t="str">
        <f>IFERROR(__xludf.DUMMYFUNCTION("""COMPUTED_VALUE"""),"CAVITE")</f>
        <v>CAVITE</v>
      </c>
      <c r="T989" s="1" t="str">
        <f>IFERROR(__xludf.DUMMYFUNCTION("""COMPUTED_VALUE"""),"FIBR NETFLIX PLAN 1599")</f>
        <v>FIBR NETFLIX PLAN 1599</v>
      </c>
      <c r="U989" s="1" t="str">
        <f>IFERROR(__xludf.DUMMYFUNCTION("""COMPUTED_VALUE"""),"APPROVED")</f>
        <v>APPROVED</v>
      </c>
      <c r="V989" s="1"/>
      <c r="W989" s="1"/>
    </row>
    <row r="990" customHeight="1" spans="1:23">
      <c r="A990" s="3">
        <f>IFERROR(__xludf.DUMMYFUNCTION("""COMPUTED_VALUE"""),46107)</f>
        <v>46107</v>
      </c>
      <c r="B990" s="1" t="str">
        <f>IFERROR(__xludf.DUMMYFUNCTION("""COMPUTED_VALUE"""),"DE VERA, MARIVIC")</f>
        <v>DE VERA, MARIVIC</v>
      </c>
      <c r="C990" s="1" t="str">
        <f>IFERROR(__xludf.DUMMYFUNCTION("""COMPUTED_VALUE"""),"ORGANIC")</f>
        <v>ORGANIC</v>
      </c>
      <c r="D990" s="1" t="str">
        <f>IFERROR(__xludf.DUMMYFUNCTION("""COMPUTED_VALUE"""),"ALINGARO, CINDY")</f>
        <v>ALINGARO, CINDY</v>
      </c>
      <c r="E990" s="1" t="str">
        <f>IFERROR(__xludf.DUMMYFUNCTION("""COMPUTED_VALUE"""),"PLDT")</f>
        <v>PLDT</v>
      </c>
      <c r="F990" s="1">
        <f>IFERROR(__xludf.DUMMYFUNCTION("""COMPUTED_VALUE"""),2308499668)</f>
        <v>2308499668</v>
      </c>
      <c r="G990" s="1"/>
      <c r="H990" s="1" t="str">
        <f>IFERROR(__xludf.DUMMYFUNCTION("""COMPUTED_VALUE"""),"MARJORIE VALENCIA ESTOLANO")</f>
        <v>MARJORIE VALENCIA ESTOLANO</v>
      </c>
      <c r="I990" s="1">
        <f>IFERROR(__xludf.DUMMYFUNCTION("""COMPUTED_VALUE"""),9451758065)</f>
        <v>9451758065</v>
      </c>
      <c r="J990" s="1"/>
      <c r="K990" s="1" t="str">
        <f>IFERROR(__xludf.DUMMYFUNCTION("""COMPUTED_VALUE"""),"MARJORIEVESTOLANO@GMAIL.COM")</f>
        <v>MARJORIEVESTOLANO@GMAIL.COM</v>
      </c>
      <c r="L990" s="1" t="str">
        <f>IFERROR(__xludf.DUMMYFUNCTION("""COMPUTED_VALUE"""),"BLK 26 LOT 4")</f>
        <v>BLK 26 LOT 4</v>
      </c>
      <c r="M990" s="1" t="str">
        <f>IFERROR(__xludf.DUMMYFUNCTION("""COMPUTED_VALUE"""),"NARRA RD")</f>
        <v>NARRA RD</v>
      </c>
      <c r="N990" s="1"/>
      <c r="O990" s="1"/>
      <c r="P990" s="1"/>
      <c r="Q990" s="1" t="str">
        <f>IFERROR(__xludf.DUMMYFUNCTION("""COMPUTED_VALUE"""),"NARRA I")</f>
        <v>NARRA I</v>
      </c>
      <c r="R990" s="1" t="str">
        <f>IFERROR(__xludf.DUMMYFUNCTION("""COMPUTED_VALUE"""),"SILANG")</f>
        <v>SILANG</v>
      </c>
      <c r="S990" s="1" t="str">
        <f>IFERROR(__xludf.DUMMYFUNCTION("""COMPUTED_VALUE"""),"CAVITE")</f>
        <v>CAVITE</v>
      </c>
      <c r="T990" s="1" t="str">
        <f>IFERROR(__xludf.DUMMYFUNCTION("""COMPUTED_VALUE"""),"FIBR PLAN 1299")</f>
        <v>FIBR PLAN 1299</v>
      </c>
      <c r="U990" s="1" t="str">
        <f>IFERROR(__xludf.DUMMYFUNCTION("""COMPUTED_VALUE"""),"APPROVED")</f>
        <v>APPROVED</v>
      </c>
      <c r="V990" s="1"/>
      <c r="W990" s="1"/>
    </row>
    <row r="991" customHeight="1" spans="1:23">
      <c r="A991" s="3">
        <f>IFERROR(__xludf.DUMMYFUNCTION("""COMPUTED_VALUE"""),46107)</f>
        <v>46107</v>
      </c>
      <c r="B991" s="1" t="str">
        <f>IFERROR(__xludf.DUMMYFUNCTION("""COMPUTED_VALUE"""),"DE VERA, MARIVIC")</f>
        <v>DE VERA, MARIVIC</v>
      </c>
      <c r="C991" s="1" t="str">
        <f>IFERROR(__xludf.DUMMYFUNCTION("""COMPUTED_VALUE"""),"ORGANIC")</f>
        <v>ORGANIC</v>
      </c>
      <c r="D991" s="1" t="str">
        <f>IFERROR(__xludf.DUMMYFUNCTION("""COMPUTED_VALUE"""),"ALINGARO, CINDY")</f>
        <v>ALINGARO, CINDY</v>
      </c>
      <c r="E991" s="1" t="str">
        <f>IFERROR(__xludf.DUMMYFUNCTION("""COMPUTED_VALUE"""),"PLDT")</f>
        <v>PLDT</v>
      </c>
      <c r="F991" s="1">
        <f>IFERROR(__xludf.DUMMYFUNCTION("""COMPUTED_VALUE"""),2308500569)</f>
        <v>2308500569</v>
      </c>
      <c r="G991" s="1"/>
      <c r="H991" s="1" t="str">
        <f>IFERROR(__xludf.DUMMYFUNCTION("""COMPUTED_VALUE"""),"ALVIN BANTING ESTOLANO")</f>
        <v>ALVIN BANTING ESTOLANO</v>
      </c>
      <c r="I991" s="1">
        <f>IFERROR(__xludf.DUMMYFUNCTION("""COMPUTED_VALUE"""),9773376443)</f>
        <v>9773376443</v>
      </c>
      <c r="J991" s="1"/>
      <c r="K991" s="1" t="str">
        <f>IFERROR(__xludf.DUMMYFUNCTION("""COMPUTED_VALUE"""),"ALVINVESTOLANO@GAIL.COM")</f>
        <v>ALVINVESTOLANO@GAIL.COM</v>
      </c>
      <c r="L991" s="1" t="str">
        <f>IFERROR(__xludf.DUMMYFUNCTION("""COMPUTED_VALUE"""),"BLK 19 LOT 15")</f>
        <v>BLK 19 LOT 15</v>
      </c>
      <c r="M991" s="1" t="str">
        <f>IFERROR(__xludf.DUMMYFUNCTION("""COMPUTED_VALUE"""),"NARRA RD")</f>
        <v>NARRA RD</v>
      </c>
      <c r="N991" s="1"/>
      <c r="O991" s="1"/>
      <c r="P991" s="1"/>
      <c r="Q991" s="1" t="str">
        <f>IFERROR(__xludf.DUMMYFUNCTION("""COMPUTED_VALUE"""),"NARRA II")</f>
        <v>NARRA II</v>
      </c>
      <c r="R991" s="1" t="str">
        <f>IFERROR(__xludf.DUMMYFUNCTION("""COMPUTED_VALUE"""),"SILANG")</f>
        <v>SILANG</v>
      </c>
      <c r="S991" s="1" t="str">
        <f>IFERROR(__xludf.DUMMYFUNCTION("""COMPUTED_VALUE"""),"CAVITE")</f>
        <v>CAVITE</v>
      </c>
      <c r="T991" s="1" t="str">
        <f>IFERROR(__xludf.DUMMYFUNCTION("""COMPUTED_VALUE"""),"FIBR UNLI ALL PLAN 1799")</f>
        <v>FIBR UNLI ALL PLAN 1799</v>
      </c>
      <c r="U991" s="1" t="str">
        <f>IFERROR(__xludf.DUMMYFUNCTION("""COMPUTED_VALUE"""),"APPROVED")</f>
        <v>APPROVED</v>
      </c>
      <c r="V991" s="1"/>
      <c r="W991" s="1"/>
    </row>
    <row r="992" customHeight="1" spans="1:23">
      <c r="A992" s="3">
        <f>IFERROR(__xludf.DUMMYFUNCTION("""COMPUTED_VALUE"""),46108)</f>
        <v>46108</v>
      </c>
      <c r="B992" s="1" t="str">
        <f>IFERROR(__xludf.DUMMYFUNCTION("""COMPUTED_VALUE"""),"CABRERA JILLIENE")</f>
        <v>CABRERA JILLIENE</v>
      </c>
      <c r="C992" s="1" t="str">
        <f>IFERROR(__xludf.DUMMYFUNCTION("""COMPUTED_VALUE"""),"ORGANIC")</f>
        <v>ORGANIC</v>
      </c>
      <c r="D992" s="1" t="str">
        <f>IFERROR(__xludf.DUMMYFUNCTION("""COMPUTED_VALUE"""),"ALOS, CHARLS")</f>
        <v>ALOS, CHARLS</v>
      </c>
      <c r="E992" s="1" t="str">
        <f>IFERROR(__xludf.DUMMYFUNCTION("""COMPUTED_VALUE"""),"PLDT")</f>
        <v>PLDT</v>
      </c>
      <c r="F992" s="1">
        <f>IFERROR(__xludf.DUMMYFUNCTION("""COMPUTED_VALUE"""),2308512859)</f>
        <v>2308512859</v>
      </c>
      <c r="G992" s="1"/>
      <c r="H992" s="1" t="str">
        <f>IFERROR(__xludf.DUMMYFUNCTION("""COMPUTED_VALUE"""),"MELVIN YNTAS BANO")</f>
        <v>MELVIN YNTAS BANO</v>
      </c>
      <c r="I992" s="1">
        <f>IFERROR(__xludf.DUMMYFUNCTION("""COMPUTED_VALUE"""),9951030842)</f>
        <v>9951030842</v>
      </c>
      <c r="J992" s="1">
        <f>IFERROR(__xludf.DUMMYFUNCTION("""COMPUTED_VALUE"""),9562307966)</f>
        <v>9562307966</v>
      </c>
      <c r="K992" s="1" t="str">
        <f>IFERROR(__xludf.DUMMYFUNCTION("""COMPUTED_VALUE"""),"MHELVS2020@GMAIL.COM")</f>
        <v>MHELVS2020@GMAIL.COM</v>
      </c>
      <c r="L992" s="1" t="str">
        <f>IFERROR(__xludf.DUMMYFUNCTION("""COMPUTED_VALUE"""),"BLK 11 LOT 6")</f>
        <v>BLK 11 LOT 6</v>
      </c>
      <c r="M992" s="1" t="str">
        <f>IFERROR(__xludf.DUMMYFUNCTION("""COMPUTED_VALUE"""),"SITTIO PALIGAWAN MATANDA")</f>
        <v>SITTIO PALIGAWAN MATANDA</v>
      </c>
      <c r="N992" s="1"/>
      <c r="O992" s="1"/>
      <c r="P992" s="1"/>
      <c r="Q992" s="1" t="str">
        <f>IFERROR(__xludf.DUMMYFUNCTION("""COMPUTED_VALUE"""),"LANTIC")</f>
        <v>LANTIC</v>
      </c>
      <c r="R992" s="1" t="str">
        <f>IFERROR(__xludf.DUMMYFUNCTION("""COMPUTED_VALUE"""),"CARMONA")</f>
        <v>CARMONA</v>
      </c>
      <c r="S992" s="1" t="str">
        <f>IFERROR(__xludf.DUMMYFUNCTION("""COMPUTED_VALUE"""),"CAVITE")</f>
        <v>CAVITE</v>
      </c>
      <c r="T992" s="1" t="str">
        <f>IFERROR(__xludf.DUMMYFUNCTION("""COMPUTED_VALUE"""),"FIBR UNLI ALL PLAN 1399")</f>
        <v>FIBR UNLI ALL PLAN 1399</v>
      </c>
      <c r="U992" s="1" t="str">
        <f>IFERROR(__xludf.DUMMYFUNCTION("""COMPUTED_VALUE"""),"APPROVED")</f>
        <v>APPROVED</v>
      </c>
      <c r="V992" s="1"/>
      <c r="W992" s="1"/>
    </row>
    <row r="993" customHeight="1" spans="1:23">
      <c r="A993" s="3">
        <f>IFERROR(__xludf.DUMMYFUNCTION("""COMPUTED_VALUE"""),46108)</f>
        <v>46108</v>
      </c>
      <c r="B993" s="1" t="str">
        <f>IFERROR(__xludf.DUMMYFUNCTION("""COMPUTED_VALUE"""),"DELA ROSA, JENNELYN")</f>
        <v>DELA ROSA, JENNELYN</v>
      </c>
      <c r="C993" s="1" t="str">
        <f>IFERROR(__xludf.DUMMYFUNCTION("""COMPUTED_VALUE"""),"ORGANIC")</f>
        <v>ORGANIC</v>
      </c>
      <c r="D993" s="1" t="str">
        <f>IFERROR(__xludf.DUMMYFUNCTION("""COMPUTED_VALUE"""),"ALOS, CHARLS")</f>
        <v>ALOS, CHARLS</v>
      </c>
      <c r="E993" s="1" t="str">
        <f>IFERROR(__xludf.DUMMYFUNCTION("""COMPUTED_VALUE"""),"PLDT")</f>
        <v>PLDT</v>
      </c>
      <c r="F993" s="1">
        <f>IFERROR(__xludf.DUMMYFUNCTION("""COMPUTED_VALUE"""),2308513816)</f>
        <v>2308513816</v>
      </c>
      <c r="G993" s="1"/>
      <c r="H993" s="1" t="str">
        <f>IFERROR(__xludf.DUMMYFUNCTION("""COMPUTED_VALUE"""),"RADZMIER SABINO NICOLAS SALAZAR")</f>
        <v>RADZMIER SABINO NICOLAS SALAZAR</v>
      </c>
      <c r="I993" s="1">
        <f>IFERROR(__xludf.DUMMYFUNCTION("""COMPUTED_VALUE"""),9955904958)</f>
        <v>9955904958</v>
      </c>
      <c r="J993" s="1"/>
      <c r="K993" s="1" t="str">
        <f>IFERROR(__xludf.DUMMYFUNCTION("""COMPUTED_VALUE"""),"RADZ.SALAZAR199@GMAIL.COM")</f>
        <v>RADZ.SALAZAR199@GMAIL.COM</v>
      </c>
      <c r="L993" s="1" t="str">
        <f>IFERROR(__xludf.DUMMYFUNCTION("""COMPUTED_VALUE"""),"UNIT 2")</f>
        <v>UNIT 2</v>
      </c>
      <c r="M993" s="1" t="str">
        <f>IFERROR(__xludf.DUMMYFUNCTION("""COMPUTED_VALUE"""),"CRISANTO DELOS REYES")</f>
        <v>CRISANTO DELOS REYES</v>
      </c>
      <c r="N993" s="1" t="str">
        <f>IFERROR(__xludf.DUMMYFUNCTION("""COMPUTED_VALUE"""),"CASA ROMANA")</f>
        <v>CASA ROMANA</v>
      </c>
      <c r="O993" s="1"/>
      <c r="P993" s="1"/>
      <c r="Q993" s="1" t="str">
        <f>IFERROR(__xludf.DUMMYFUNCTION("""COMPUTED_VALUE"""),"BARANGAY 6 (POB.)")</f>
        <v>BARANGAY 6 (POB.)</v>
      </c>
      <c r="R993" s="1" t="str">
        <f>IFERROR(__xludf.DUMMYFUNCTION("""COMPUTED_VALUE"""),"AMADEO")</f>
        <v>AMADEO</v>
      </c>
      <c r="S993" s="1" t="str">
        <f>IFERROR(__xludf.DUMMYFUNCTION("""COMPUTED_VALUE"""),"CAVITE")</f>
        <v>CAVITE</v>
      </c>
      <c r="T993" s="1" t="str">
        <f>IFERROR(__xludf.DUMMYFUNCTION("""COMPUTED_VALUE"""),"FIBR PLAN 2099")</f>
        <v>FIBR PLAN 2099</v>
      </c>
      <c r="U993" s="1" t="str">
        <f>IFERROR(__xludf.DUMMYFUNCTION("""COMPUTED_VALUE"""),"APPROVED")</f>
        <v>APPROVED</v>
      </c>
      <c r="V993" s="1"/>
      <c r="W993" s="1"/>
    </row>
    <row r="994" customHeight="1" spans="1:23">
      <c r="A994" s="3">
        <f>IFERROR(__xludf.DUMMYFUNCTION("""COMPUTED_VALUE"""),46108)</f>
        <v>46108</v>
      </c>
      <c r="B994" s="1" t="str">
        <f>IFERROR(__xludf.DUMMYFUNCTION("""COMPUTED_VALUE"""),"AYON MANUEL")</f>
        <v>AYON MANUEL</v>
      </c>
      <c r="C994" s="1" t="str">
        <f>IFERROR(__xludf.DUMMYFUNCTION("""COMPUTED_VALUE"""),"FLA")</f>
        <v>FLA</v>
      </c>
      <c r="D994" s="1" t="str">
        <f>IFERROR(__xludf.DUMMYFUNCTION("""COMPUTED_VALUE"""),"JERIC NAVARRO")</f>
        <v>JERIC NAVARRO</v>
      </c>
      <c r="E994" s="1" t="str">
        <f>IFERROR(__xludf.DUMMYFUNCTION("""COMPUTED_VALUE"""),"PLDT")</f>
        <v>PLDT</v>
      </c>
      <c r="F994" s="1">
        <f>IFERROR(__xludf.DUMMYFUNCTION("""COMPUTED_VALUE"""),2308514343)</f>
        <v>2308514343</v>
      </c>
      <c r="G994" s="1"/>
      <c r="H994" s="1" t="str">
        <f>IFERROR(__xludf.DUMMYFUNCTION("""COMPUTED_VALUE"""),"JACQUELINE ORTEGA APELADO")</f>
        <v>JACQUELINE ORTEGA APELADO</v>
      </c>
      <c r="I994" s="1">
        <f>IFERROR(__xludf.DUMMYFUNCTION("""COMPUTED_VALUE"""),9161245700)</f>
        <v>9161245700</v>
      </c>
      <c r="J994" s="1"/>
      <c r="K994" s="1" t="str">
        <f>IFERROR(__xludf.DUMMYFUNCTION("""COMPUTED_VALUE"""),"JACQUELINE.APELADO@DEPED.GOV.PH")</f>
        <v>JACQUELINE.APELADO@DEPED.GOV.PH</v>
      </c>
      <c r="L994" s="1" t="str">
        <f>IFERROR(__xludf.DUMMYFUNCTION("""COMPUTED_VALUE"""),"BLK 4B LOT 12")</f>
        <v>BLK 4B LOT 12</v>
      </c>
      <c r="M994" s="1" t="str">
        <f>IFERROR(__xludf.DUMMYFUNCTION("""COMPUTED_VALUE"""),"EXCESS LOT")</f>
        <v>EXCESS LOT</v>
      </c>
      <c r="N994" s="1" t="str">
        <f>IFERROR(__xludf.DUMMYFUNCTION("""COMPUTED_VALUE"""),"GMA VILLAGE")</f>
        <v>GMA VILLAGE</v>
      </c>
      <c r="O994" s="1"/>
      <c r="P994" s="1"/>
      <c r="Q994" s="1" t="str">
        <f>IFERROR(__xludf.DUMMYFUNCTION("""COMPUTED_VALUE"""),"BARANGAY 4 (POB.)")</f>
        <v>BARANGAY 4 (POB.)</v>
      </c>
      <c r="R994" s="1" t="str">
        <f>IFERROR(__xludf.DUMMYFUNCTION("""COMPUTED_VALUE"""),"GEN MARIANO ALVAREZ")</f>
        <v>GEN MARIANO ALVAREZ</v>
      </c>
      <c r="S994" s="1" t="str">
        <f>IFERROR(__xludf.DUMMYFUNCTION("""COMPUTED_VALUE"""),"CAVITE")</f>
        <v>CAVITE</v>
      </c>
      <c r="T994" s="1" t="str">
        <f>IFERROR(__xludf.DUMMYFUNCTION("""COMPUTED_VALUE"""),"PREPAID FIBER UNLI")</f>
        <v>PREPAID FIBER UNLI</v>
      </c>
      <c r="U994" s="1" t="str">
        <f>IFERROR(__xludf.DUMMYFUNCTION("""COMPUTED_VALUE"""),"APPROVED")</f>
        <v>APPROVED</v>
      </c>
      <c r="V994" s="1"/>
      <c r="W994" s="1"/>
    </row>
    <row r="995" customHeight="1" spans="1:23">
      <c r="A995" s="3">
        <f>IFERROR(__xludf.DUMMYFUNCTION("""COMPUTED_VALUE"""),46108)</f>
        <v>46108</v>
      </c>
      <c r="B995" s="1" t="str">
        <f>IFERROR(__xludf.DUMMYFUNCTION("""COMPUTED_VALUE"""),"CANTANERO JUNEL")</f>
        <v>CANTANERO JUNEL</v>
      </c>
      <c r="C995" s="1" t="str">
        <f>IFERROR(__xludf.DUMMYFUNCTION("""COMPUTED_VALUE"""),"ORGANIC")</f>
        <v>ORGANIC</v>
      </c>
      <c r="D995" s="1" t="str">
        <f>IFERROR(__xludf.DUMMYFUNCTION("""COMPUTED_VALUE"""),"ALINGARO, CINDY")</f>
        <v>ALINGARO, CINDY</v>
      </c>
      <c r="E995" s="1" t="str">
        <f>IFERROR(__xludf.DUMMYFUNCTION("""COMPUTED_VALUE"""),"PLDT")</f>
        <v>PLDT</v>
      </c>
      <c r="F995" s="1">
        <f>IFERROR(__xludf.DUMMYFUNCTION("""COMPUTED_VALUE"""),2308517282)</f>
        <v>2308517282</v>
      </c>
      <c r="G995" s="1"/>
      <c r="H995" s="1" t="str">
        <f>IFERROR(__xludf.DUMMYFUNCTION("""COMPUTED_VALUE"""),"MODU CAFE")</f>
        <v>MODU CAFE</v>
      </c>
      <c r="I995" s="1">
        <f>IFERROR(__xludf.DUMMYFUNCTION("""COMPUTED_VALUE"""),95254470699)</f>
        <v>95254470699</v>
      </c>
      <c r="J995" s="1">
        <f>IFERROR(__xludf.DUMMYFUNCTION("""COMPUTED_VALUE"""),9505448524)</f>
        <v>9505448524</v>
      </c>
      <c r="K995" s="1" t="str">
        <f>IFERROR(__xludf.DUMMYFUNCTION("""COMPUTED_VALUE"""),"EMILYDE317@GMAIL.COM")</f>
        <v>EMILYDE317@GMAIL.COM</v>
      </c>
      <c r="L995" s="1" t="str">
        <f>IFERROR(__xludf.DUMMYFUNCTION("""COMPUTED_VALUE"""),"BLK 4 LOT 4")</f>
        <v>BLK 4 LOT 4</v>
      </c>
      <c r="M995" s="1" t="str">
        <f>IFERROR(__xludf.DUMMYFUNCTION("""COMPUTED_VALUE"""),"VISAYAS AVE")</f>
        <v>VISAYAS AVE</v>
      </c>
      <c r="N995" s="1"/>
      <c r="O995" s="1"/>
      <c r="P995" s="1"/>
      <c r="Q995" s="1" t="str">
        <f>IFERROR(__xludf.DUMMYFUNCTION("""COMPUTED_VALUE"""),"GAVINO MADERAN")</f>
        <v>GAVINO MADERAN</v>
      </c>
      <c r="R995" s="1" t="str">
        <f>IFERROR(__xludf.DUMMYFUNCTION("""COMPUTED_VALUE"""),"GEN MARIANO ALVAREZ")</f>
        <v>GEN MARIANO ALVAREZ</v>
      </c>
      <c r="S995" s="1" t="str">
        <f>IFERROR(__xludf.DUMMYFUNCTION("""COMPUTED_VALUE"""),"CAVITE")</f>
        <v>CAVITE</v>
      </c>
      <c r="T995" s="1" t="str">
        <f>IFERROR(__xludf.DUMMYFUNCTION("""COMPUTED_VALUE"""),"HOME BIZ PLAN 2699")</f>
        <v>HOME BIZ PLAN 2699</v>
      </c>
      <c r="U995" s="1" t="str">
        <f>IFERROR(__xludf.DUMMYFUNCTION("""COMPUTED_VALUE"""),"APPROVED")</f>
        <v>APPROVED</v>
      </c>
      <c r="V995" s="1"/>
      <c r="W995" s="1"/>
    </row>
    <row r="996" customHeight="1" spans="1:23">
      <c r="A996" s="3">
        <f>IFERROR(__xludf.DUMMYFUNCTION("""COMPUTED_VALUE"""),46108)</f>
        <v>46108</v>
      </c>
      <c r="B996" s="1" t="str">
        <f>IFERROR(__xludf.DUMMYFUNCTION("""COMPUTED_VALUE"""),"MAGDARAOG, KENNETH")</f>
        <v>MAGDARAOG, KENNETH</v>
      </c>
      <c r="C996" s="1" t="str">
        <f>IFERROR(__xludf.DUMMYFUNCTION("""COMPUTED_VALUE"""),"ORGANIC")</f>
        <v>ORGANIC</v>
      </c>
      <c r="D996" s="1" t="str">
        <f>IFERROR(__xludf.DUMMYFUNCTION("""COMPUTED_VALUE"""),"ALINGARO, CINDY")</f>
        <v>ALINGARO, CINDY</v>
      </c>
      <c r="E996" s="1" t="str">
        <f>IFERROR(__xludf.DUMMYFUNCTION("""COMPUTED_VALUE"""),"PLDT")</f>
        <v>PLDT</v>
      </c>
      <c r="F996" s="1">
        <f>IFERROR(__xludf.DUMMYFUNCTION("""COMPUTED_VALUE"""),2308518222)</f>
        <v>2308518222</v>
      </c>
      <c r="G996" s="1"/>
      <c r="H996" s="1" t="str">
        <f>IFERROR(__xludf.DUMMYFUNCTION("""COMPUTED_VALUE"""),"VIRGIE LAURIO CARILLO")</f>
        <v>VIRGIE LAURIO CARILLO</v>
      </c>
      <c r="I996" s="1">
        <f>IFERROR(__xludf.DUMMYFUNCTION("""COMPUTED_VALUE"""),9914517340)</f>
        <v>9914517340</v>
      </c>
      <c r="J996" s="1">
        <f>IFERROR(__xludf.DUMMYFUNCTION("""COMPUTED_VALUE"""),9499583225)</f>
        <v>9499583225</v>
      </c>
      <c r="K996" s="1" t="str">
        <f>IFERROR(__xludf.DUMMYFUNCTION("""COMPUTED_VALUE"""),"VIRGIECARILLO372@GMAIL.COM")</f>
        <v>VIRGIECARILLO372@GMAIL.COM</v>
      </c>
      <c r="L996" s="1" t="str">
        <f>IFERROR(__xludf.DUMMYFUNCTION("""COMPUTED_VALUE"""),"5533")</f>
        <v>5533</v>
      </c>
      <c r="M996" s="1" t="str">
        <f>IFERROR(__xludf.DUMMYFUNCTION("""COMPUTED_VALUE"""),"GATPANDAN ")</f>
        <v>GATPANDAN </v>
      </c>
      <c r="N996" s="1"/>
      <c r="O996" s="1"/>
      <c r="P996" s="1"/>
      <c r="Q996" s="1" t="str">
        <f>IFERROR(__xludf.DUMMYFUNCTION("""COMPUTED_VALUE"""),"ANULING CERCA II")</f>
        <v>ANULING CERCA II</v>
      </c>
      <c r="R996" s="1" t="str">
        <f>IFERROR(__xludf.DUMMYFUNCTION("""COMPUTED_VALUE"""),"MENDEZ")</f>
        <v>MENDEZ</v>
      </c>
      <c r="S996" s="1" t="str">
        <f>IFERROR(__xludf.DUMMYFUNCTION("""COMPUTED_VALUE"""),"CAVITE")</f>
        <v>CAVITE</v>
      </c>
      <c r="T996" s="1" t="str">
        <f>IFERROR(__xludf.DUMMYFUNCTION("""COMPUTED_VALUE"""),"FIBR NETFLIX PLAN 1599")</f>
        <v>FIBR NETFLIX PLAN 1599</v>
      </c>
      <c r="U996" s="1" t="str">
        <f>IFERROR(__xludf.DUMMYFUNCTION("""COMPUTED_VALUE"""),"APPROVED")</f>
        <v>APPROVED</v>
      </c>
      <c r="V996" s="1"/>
      <c r="W996" s="1"/>
    </row>
    <row r="997" customHeight="1" spans="1:23">
      <c r="A997" s="3">
        <f>IFERROR(__xludf.DUMMYFUNCTION("""COMPUTED_VALUE"""),46108)</f>
        <v>46108</v>
      </c>
      <c r="B997" s="1" t="str">
        <f>IFERROR(__xludf.DUMMYFUNCTION("""COMPUTED_VALUE"""),"FARO, REFRANTA")</f>
        <v>FARO, REFRANTA</v>
      </c>
      <c r="C997" s="1" t="str">
        <f>IFERROR(__xludf.DUMMYFUNCTION("""COMPUTED_VALUE"""),"ORGANIC")</f>
        <v>ORGANIC</v>
      </c>
      <c r="D997" s="1" t="str">
        <f>IFERROR(__xludf.DUMMYFUNCTION("""COMPUTED_VALUE"""),"ALINGARO, CINDY")</f>
        <v>ALINGARO, CINDY</v>
      </c>
      <c r="E997" s="1" t="str">
        <f>IFERROR(__xludf.DUMMYFUNCTION("""COMPUTED_VALUE"""),"PLDT")</f>
        <v>PLDT</v>
      </c>
      <c r="F997" s="1">
        <f>IFERROR(__xludf.DUMMYFUNCTION("""COMPUTED_VALUE"""),2308517989)</f>
        <v>2308517989</v>
      </c>
      <c r="G997" s="1"/>
      <c r="H997" s="1" t="str">
        <f>IFERROR(__xludf.DUMMYFUNCTION("""COMPUTED_VALUE"""),"KIRT VINCENT ASIS MADUROG")</f>
        <v>KIRT VINCENT ASIS MADUROG</v>
      </c>
      <c r="I997" s="1">
        <f>IFERROR(__xludf.DUMMYFUNCTION("""COMPUTED_VALUE"""),9912645122)</f>
        <v>9912645122</v>
      </c>
      <c r="J997" s="1"/>
      <c r="K997" s="1" t="str">
        <f>IFERROR(__xludf.DUMMYFUNCTION("""COMPUTED_VALUE"""),"KURTVINCENTMADUROG@GMAIL.COM")</f>
        <v>KURTVINCENTMADUROG@GMAIL.COM</v>
      </c>
      <c r="L997" s="1" t="str">
        <f>IFERROR(__xludf.DUMMYFUNCTION("""COMPUTED_VALUE"""),"128")</f>
        <v>128</v>
      </c>
      <c r="M997" s="1" t="str">
        <f>IFERROR(__xludf.DUMMYFUNCTION("""COMPUTED_VALUE"""),"NARRA")</f>
        <v>NARRA</v>
      </c>
      <c r="N997" s="1"/>
      <c r="O997" s="1"/>
      <c r="P997" s="1"/>
      <c r="Q997" s="1" t="str">
        <f>IFERROR(__xludf.DUMMYFUNCTION("""COMPUTED_VALUE"""),"BANAYAD")</f>
        <v>BANAYAD</v>
      </c>
      <c r="R997" s="1" t="str">
        <f>IFERROR(__xludf.DUMMYFUNCTION("""COMPUTED_VALUE"""),"MENDEZ")</f>
        <v>MENDEZ</v>
      </c>
      <c r="S997" s="1" t="str">
        <f>IFERROR(__xludf.DUMMYFUNCTION("""COMPUTED_VALUE"""),"CAVITE")</f>
        <v>CAVITE</v>
      </c>
      <c r="T997" s="1" t="str">
        <f>IFERROR(__xludf.DUMMYFUNCTION("""COMPUTED_VALUE"""),"FIBR UNLI ALL PLAN 1399")</f>
        <v>FIBR UNLI ALL PLAN 1399</v>
      </c>
      <c r="U997" s="1" t="str">
        <f>IFERROR(__xludf.DUMMYFUNCTION("""COMPUTED_VALUE"""),"APPROVED")</f>
        <v>APPROVED</v>
      </c>
      <c r="V997" s="1"/>
      <c r="W997" s="1"/>
    </row>
    <row r="998" customHeight="1" spans="1:23">
      <c r="A998" s="3">
        <f>IFERROR(__xludf.DUMMYFUNCTION("""COMPUTED_VALUE"""),46108)</f>
        <v>46108</v>
      </c>
      <c r="B998" s="1" t="str">
        <f>IFERROR(__xludf.DUMMYFUNCTION("""COMPUTED_VALUE"""),"ESCARCHA, MA ALMA  ESCOTO")</f>
        <v>ESCARCHA, MA ALMA  ESCOTO</v>
      </c>
      <c r="C998" s="1" t="str">
        <f>IFERROR(__xludf.DUMMYFUNCTION("""COMPUTED_VALUE"""),"ORGANIC")</f>
        <v>ORGANIC</v>
      </c>
      <c r="D998" s="1" t="str">
        <f>IFERROR(__xludf.DUMMYFUNCTION("""COMPUTED_VALUE"""),"ALINGARO, CINDY")</f>
        <v>ALINGARO, CINDY</v>
      </c>
      <c r="E998" s="1" t="str">
        <f>IFERROR(__xludf.DUMMYFUNCTION("""COMPUTED_VALUE"""),"PLDT")</f>
        <v>PLDT</v>
      </c>
      <c r="F998" s="1">
        <f>IFERROR(__xludf.DUMMYFUNCTION("""COMPUTED_VALUE"""),2308518959)</f>
        <v>2308518959</v>
      </c>
      <c r="G998" s="1"/>
      <c r="H998" s="1" t="str">
        <f>IFERROR(__xludf.DUMMYFUNCTION("""COMPUTED_VALUE"""),"JENNIFER CABRERA ANDO")</f>
        <v>JENNIFER CABRERA ANDO</v>
      </c>
      <c r="I998" s="1">
        <f>IFERROR(__xludf.DUMMYFUNCTION("""COMPUTED_VALUE"""),9310173954)</f>
        <v>9310173954</v>
      </c>
      <c r="J998" s="1">
        <f>IFERROR(__xludf.DUMMYFUNCTION("""COMPUTED_VALUE"""),915924291)</f>
        <v>915924291</v>
      </c>
      <c r="K998" s="1" t="str">
        <f>IFERROR(__xludf.DUMMYFUNCTION("""COMPUTED_VALUE"""),"JOCELYNDELAROSA1987@YAHOO.COM")</f>
        <v>JOCELYNDELAROSA1987@YAHOO.COM</v>
      </c>
      <c r="L998" s="1" t="str">
        <f>IFERROR(__xludf.DUMMYFUNCTION("""COMPUTED_VALUE"""),"233")</f>
        <v>233</v>
      </c>
      <c r="M998" s="1" t="str">
        <f>IFERROR(__xludf.DUMMYFUNCTION("""COMPUTED_VALUE"""),"ANULING CERCA")</f>
        <v>ANULING CERCA</v>
      </c>
      <c r="N998" s="1"/>
      <c r="O998" s="1"/>
      <c r="P998" s="1"/>
      <c r="Q998" s="1" t="str">
        <f>IFERROR(__xludf.DUMMYFUNCTION("""COMPUTED_VALUE"""),"ANULING CERCA II")</f>
        <v>ANULING CERCA II</v>
      </c>
      <c r="R998" s="1" t="str">
        <f>IFERROR(__xludf.DUMMYFUNCTION("""COMPUTED_VALUE"""),"MENDEZ")</f>
        <v>MENDEZ</v>
      </c>
      <c r="S998" s="1" t="str">
        <f>IFERROR(__xludf.DUMMYFUNCTION("""COMPUTED_VALUE"""),"CAVITE")</f>
        <v>CAVITE</v>
      </c>
      <c r="T998" s="1" t="str">
        <f>IFERROR(__xludf.DUMMYFUNCTION("""COMPUTED_VALUE"""),"FIBR NETFLIX PLAN 1599")</f>
        <v>FIBR NETFLIX PLAN 1599</v>
      </c>
      <c r="U998" s="1" t="str">
        <f>IFERROR(__xludf.DUMMYFUNCTION("""COMPUTED_VALUE"""),"APPROVED")</f>
        <v>APPROVED</v>
      </c>
      <c r="V998" s="1"/>
      <c r="W998" s="1"/>
    </row>
    <row r="999" customHeight="1" spans="1:23">
      <c r="A999" s="3">
        <f>IFERROR(__xludf.DUMMYFUNCTION("""COMPUTED_VALUE"""),46108)</f>
        <v>46108</v>
      </c>
      <c r="B999" s="1" t="str">
        <f>IFERROR(__xludf.DUMMYFUNCTION("""COMPUTED_VALUE"""),"AQUINO, LUIS")</f>
        <v>AQUINO, LUIS</v>
      </c>
      <c r="C999" s="1" t="str">
        <f>IFERROR(__xludf.DUMMYFUNCTION("""COMPUTED_VALUE"""),"ORGANIC")</f>
        <v>ORGANIC</v>
      </c>
      <c r="D999" s="1" t="str">
        <f>IFERROR(__xludf.DUMMYFUNCTION("""COMPUTED_VALUE"""),"ALOS, CHARLS")</f>
        <v>ALOS, CHARLS</v>
      </c>
      <c r="E999" s="1" t="str">
        <f>IFERROR(__xludf.DUMMYFUNCTION("""COMPUTED_VALUE"""),"PLDT")</f>
        <v>PLDT</v>
      </c>
      <c r="F999" s="1">
        <f>IFERROR(__xludf.DUMMYFUNCTION("""COMPUTED_VALUE"""),2308518658)</f>
        <v>2308518658</v>
      </c>
      <c r="G999" s="1"/>
      <c r="H999" s="1" t="str">
        <f>IFERROR(__xludf.DUMMYFUNCTION("""COMPUTED_VALUE"""),"ADONIS BAGACAY GUMBAN")</f>
        <v>ADONIS BAGACAY GUMBAN</v>
      </c>
      <c r="I999" s="1">
        <f>IFERROR(__xludf.DUMMYFUNCTION("""COMPUTED_VALUE"""),95613705090)</f>
        <v>95613705090</v>
      </c>
      <c r="J999" s="1">
        <f>IFERROR(__xludf.DUMMYFUNCTION("""COMPUTED_VALUE"""),9153468425)</f>
        <v>9153468425</v>
      </c>
      <c r="K999" s="1" t="str">
        <f>IFERROR(__xludf.DUMMYFUNCTION("""COMPUTED_VALUE"""),"ADONES.GUMBAN123@GMAIL.COM")</f>
        <v>ADONES.GUMBAN123@GMAIL.COM</v>
      </c>
      <c r="L999" s="1" t="str">
        <f>IFERROR(__xludf.DUMMYFUNCTION("""COMPUTED_VALUE"""),"143A")</f>
        <v>143A</v>
      </c>
      <c r="M999" s="1" t="str">
        <f>IFERROR(__xludf.DUMMYFUNCTION("""COMPUTED_VALUE"""),"CAMIA")</f>
        <v>CAMIA</v>
      </c>
      <c r="N999" s="1" t="str">
        <f>IFERROR(__xludf.DUMMYFUNCTION("""COMPUTED_VALUE"""),"COMPOUND 3")</f>
        <v>COMPOUND 3</v>
      </c>
      <c r="O999" s="1"/>
      <c r="P999" s="1"/>
      <c r="Q999" s="1" t="str">
        <f>IFERROR(__xludf.DUMMYFUNCTION("""COMPUTED_VALUE"""),"SAN RAFAEL III")</f>
        <v>SAN RAFAEL III</v>
      </c>
      <c r="R999" s="1" t="str">
        <f>IFERROR(__xludf.DUMMYFUNCTION("""COMPUTED_VALUE"""),"NOVELETA")</f>
        <v>NOVELETA</v>
      </c>
      <c r="S999" s="1" t="str">
        <f>IFERROR(__xludf.DUMMYFUNCTION("""COMPUTED_VALUE"""),"CAVITE")</f>
        <v>CAVITE</v>
      </c>
      <c r="T999" s="1" t="str">
        <f>IFERROR(__xludf.DUMMYFUNCTION("""COMPUTED_VALUE"""),"FIBR PLAN 1299")</f>
        <v>FIBR PLAN 1299</v>
      </c>
      <c r="U999" s="1" t="str">
        <f>IFERROR(__xludf.DUMMYFUNCTION("""COMPUTED_VALUE"""),"APPROVED")</f>
        <v>APPROVED</v>
      </c>
      <c r="V999" s="1"/>
      <c r="W999" s="1"/>
    </row>
    <row r="1000" customHeight="1" spans="1:23">
      <c r="A1000" s="3">
        <f>IFERROR(__xludf.DUMMYFUNCTION("""COMPUTED_VALUE"""),46108)</f>
        <v>46108</v>
      </c>
      <c r="B1000" s="1" t="str">
        <f>IFERROR(__xludf.DUMMYFUNCTION("""COMPUTED_VALUE"""),"MAGDARAOG, KENNETH")</f>
        <v>MAGDARAOG, KENNETH</v>
      </c>
      <c r="C1000" s="1" t="str">
        <f>IFERROR(__xludf.DUMMYFUNCTION("""COMPUTED_VALUE"""),"ORGANIC")</f>
        <v>ORGANIC</v>
      </c>
      <c r="D1000" s="1" t="str">
        <f>IFERROR(__xludf.DUMMYFUNCTION("""COMPUTED_VALUE"""),"ALINGARO, CINDY")</f>
        <v>ALINGARO, CINDY</v>
      </c>
      <c r="E1000" s="1" t="str">
        <f>IFERROR(__xludf.DUMMYFUNCTION("""COMPUTED_VALUE"""),"PLDT")</f>
        <v>PLDT</v>
      </c>
      <c r="F1000" s="1"/>
      <c r="G1000" s="1"/>
      <c r="H1000" s="1" t="str">
        <f>IFERROR(__xludf.DUMMYFUNCTION("""COMPUTED_VALUE"""),"ANDREA ANDALES SELENCIO")</f>
        <v>ANDREA ANDALES SELENCIO</v>
      </c>
      <c r="I1000" s="1">
        <f>IFERROR(__xludf.DUMMYFUNCTION("""COMPUTED_VALUE"""),9488073451)</f>
        <v>9488073451</v>
      </c>
      <c r="J1000" s="1">
        <f>IFERROR(__xludf.DUMMYFUNCTION("""COMPUTED_VALUE"""),9052530120)</f>
        <v>9052530120</v>
      </c>
      <c r="K1000" s="1" t="str">
        <f>IFERROR(__xludf.DUMMYFUNCTION("""COMPUTED_VALUE"""),"SANYCATINGGAN@GMAIL.COM")</f>
        <v>SANYCATINGGAN@GMAIL.COM</v>
      </c>
      <c r="L1000" s="1" t="str">
        <f>IFERROR(__xludf.DUMMYFUNCTION("""COMPUTED_VALUE"""),"21")</f>
        <v>21</v>
      </c>
      <c r="M1000" s="1" t="str">
        <f>IFERROR(__xludf.DUMMYFUNCTION("""COMPUTED_VALUE"""),"PUROK 211")</f>
        <v>PUROK 211</v>
      </c>
      <c r="N1000" s="1"/>
      <c r="O1000" s="1"/>
      <c r="P1000" s="1"/>
      <c r="Q1000" s="1" t="str">
        <f>IFERROR(__xludf.DUMMYFUNCTION("""COMPUTED_VALUE"""),"ZAMBAL")</f>
        <v>ZAMBAL</v>
      </c>
      <c r="R1000" s="1" t="str">
        <f>IFERROR(__xludf.DUMMYFUNCTION("""COMPUTED_VALUE"""),"TAGAYTAY")</f>
        <v>TAGAYTAY</v>
      </c>
      <c r="S1000" s="1" t="str">
        <f>IFERROR(__xludf.DUMMYFUNCTION("""COMPUTED_VALUE"""),"CAVITE")</f>
        <v>CAVITE</v>
      </c>
      <c r="T1000" s="1" t="str">
        <f>IFERROR(__xludf.DUMMYFUNCTION("""COMPUTED_VALUE"""),"FIBR PLAN 1299")</f>
        <v>FIBR PLAN 1299</v>
      </c>
      <c r="U1000" s="1" t="str">
        <f>IFERROR(__xludf.DUMMYFUNCTION("""COMPUTED_VALUE"""),"HOLD")</f>
        <v>HOLD</v>
      </c>
      <c r="V1000" s="1"/>
      <c r="W1000" s="1"/>
    </row>
    <row r="1001" customHeight="1" spans="1:23">
      <c r="A1001" s="3">
        <f>IFERROR(__xludf.DUMMYFUNCTION("""COMPUTED_VALUE"""),46108)</f>
        <v>46108</v>
      </c>
      <c r="B1001" s="1" t="str">
        <f>IFERROR(__xludf.DUMMYFUNCTION("""COMPUTED_VALUE"""),"MCNULTY KRYSTEL")</f>
        <v>MCNULTY KRYSTEL</v>
      </c>
      <c r="C1001" s="1" t="str">
        <f>IFERROR(__xludf.DUMMYFUNCTION("""COMPUTED_VALUE"""),"ORGANIC")</f>
        <v>ORGANIC</v>
      </c>
      <c r="D1001" s="1" t="str">
        <f>IFERROR(__xludf.DUMMYFUNCTION("""COMPUTED_VALUE"""),"ALINGARO, CINDY")</f>
        <v>ALINGARO, CINDY</v>
      </c>
      <c r="E1001" s="1" t="str">
        <f>IFERROR(__xludf.DUMMYFUNCTION("""COMPUTED_VALUE"""),"PLDT")</f>
        <v>PLDT</v>
      </c>
      <c r="F1001" s="1">
        <f>IFERROR(__xludf.DUMMYFUNCTION("""COMPUTED_VALUE"""),2308522296)</f>
        <v>2308522296</v>
      </c>
      <c r="G1001" s="1"/>
      <c r="H1001" s="1" t="str">
        <f>IFERROR(__xludf.DUMMYFUNCTION("""COMPUTED_VALUE"""),"MARISSA DELOSO RAMPAS")</f>
        <v>MARISSA DELOSO RAMPAS</v>
      </c>
      <c r="I1001" s="1">
        <f>IFERROR(__xludf.DUMMYFUNCTION("""COMPUTED_VALUE"""),9167475348)</f>
        <v>9167475348</v>
      </c>
      <c r="J1001" s="1">
        <f>IFERROR(__xludf.DUMMYFUNCTION("""COMPUTED_VALUE"""),9934125903)</f>
        <v>9934125903</v>
      </c>
      <c r="K1001" s="1" t="str">
        <f>IFERROR(__xludf.DUMMYFUNCTION("""COMPUTED_VALUE"""),"RHEZ_04@YAHOO.COM")</f>
        <v>RHEZ_04@YAHOO.COM</v>
      </c>
      <c r="L1001" s="1" t="str">
        <f>IFERROR(__xludf.DUMMYFUNCTION("""COMPUTED_VALUE"""),"BLK 81 LOT 11")</f>
        <v>BLK 81 LOT 11</v>
      </c>
      <c r="M1001" s="1" t="str">
        <f>IFERROR(__xludf.DUMMYFUNCTION("""COMPUTED_VALUE"""),"BULIHAN")</f>
        <v>BULIHAN</v>
      </c>
      <c r="N1001" s="1" t="str">
        <f>IFERROR(__xludf.DUMMYFUNCTION("""COMPUTED_VALUE"""),"PHASE 4 ")</f>
        <v>PHASE 4 </v>
      </c>
      <c r="O1001" s="1"/>
      <c r="P1001" s="1"/>
      <c r="Q1001" s="1" t="str">
        <f>IFERROR(__xludf.DUMMYFUNCTION("""COMPUTED_VALUE"""),"IPIL II")</f>
        <v>IPIL II</v>
      </c>
      <c r="R1001" s="1" t="str">
        <f>IFERROR(__xludf.DUMMYFUNCTION("""COMPUTED_VALUE"""),"SILANG")</f>
        <v>SILANG</v>
      </c>
      <c r="S1001" s="1" t="str">
        <f>IFERROR(__xludf.DUMMYFUNCTION("""COMPUTED_VALUE"""),"CAVITE")</f>
        <v>CAVITE</v>
      </c>
      <c r="T1001" s="1" t="str">
        <f>IFERROR(__xludf.DUMMYFUNCTION("""COMPUTED_VALUE"""),"FIBR PLAN 1299")</f>
        <v>FIBR PLAN 1299</v>
      </c>
      <c r="U1001" s="1" t="str">
        <f>IFERROR(__xludf.DUMMYFUNCTION("""COMPUTED_VALUE"""),"APPROVED")</f>
        <v>APPROVED</v>
      </c>
      <c r="V1001" s="1"/>
      <c r="W1001" s="1"/>
    </row>
    <row r="1002" customHeight="1" spans="1:23">
      <c r="A1002" s="3">
        <f>IFERROR(__xludf.DUMMYFUNCTION("""COMPUTED_VALUE"""),46108)</f>
        <v>46108</v>
      </c>
      <c r="B1002" s="1" t="str">
        <f>IFERROR(__xludf.DUMMYFUNCTION("""COMPUTED_VALUE"""),"ALINGARO, CINDY")</f>
        <v>ALINGARO, CINDY</v>
      </c>
      <c r="C1002" s="1" t="str">
        <f>IFERROR(__xludf.DUMMYFUNCTION("""COMPUTED_VALUE"""),"FLA")</f>
        <v>FLA</v>
      </c>
      <c r="D1002" s="1" t="str">
        <f>IFERROR(__xludf.DUMMYFUNCTION("""COMPUTED_VALUE"""),"JERIC NAVARRO")</f>
        <v>JERIC NAVARRO</v>
      </c>
      <c r="E1002" s="1" t="str">
        <f>IFERROR(__xludf.DUMMYFUNCTION("""COMPUTED_VALUE"""),"PLDT")</f>
        <v>PLDT</v>
      </c>
      <c r="F1002" s="1">
        <f>IFERROR(__xludf.DUMMYFUNCTION("""COMPUTED_VALUE"""),2308521270)</f>
        <v>2308521270</v>
      </c>
      <c r="G1002" s="1"/>
      <c r="H1002" s="1" t="str">
        <f>IFERROR(__xludf.DUMMYFUNCTION("""COMPUTED_VALUE"""),"RODERICK JR LAPENA BELLA ")</f>
        <v>RODERICK JR LAPENA BELLA </v>
      </c>
      <c r="I1002" s="1">
        <f>IFERROR(__xludf.DUMMYFUNCTION("""COMPUTED_VALUE"""),9152184018)</f>
        <v>9152184018</v>
      </c>
      <c r="J1002" s="1"/>
      <c r="K1002" s="1" t="str">
        <f>IFERROR(__xludf.DUMMYFUNCTION("""COMPUTED_VALUE"""),"BELLADERICK06@GMAIL.COM")</f>
        <v>BELLADERICK06@GMAIL.COM</v>
      </c>
      <c r="L1002" s="1" t="str">
        <f>IFERROR(__xludf.DUMMYFUNCTION("""COMPUTED_VALUE"""),"LOT 17")</f>
        <v>LOT 17</v>
      </c>
      <c r="M1002" s="1" t="str">
        <f>IFERROR(__xludf.DUMMYFUNCTION("""COMPUTED_VALUE"""),"UNIT 1")</f>
        <v>UNIT 1</v>
      </c>
      <c r="N1002" s="1" t="str">
        <f>IFERROR(__xludf.DUMMYFUNCTION("""COMPUTED_VALUE"""),"GLOBAL VILLAGE")</f>
        <v>GLOBAL VILLAGE</v>
      </c>
      <c r="O1002" s="1"/>
      <c r="P1002" s="1"/>
      <c r="Q1002" s="1" t="str">
        <f>IFERROR(__xludf.DUMMYFUNCTION("""COMPUTED_VALUE"""),"GALICIA II")</f>
        <v>GALICIA II</v>
      </c>
      <c r="R1002" s="1" t="str">
        <f>IFERROR(__xludf.DUMMYFUNCTION("""COMPUTED_VALUE"""),"MENDEZ")</f>
        <v>MENDEZ</v>
      </c>
      <c r="S1002" s="1" t="str">
        <f>IFERROR(__xludf.DUMMYFUNCTION("""COMPUTED_VALUE"""),"CAVITE")</f>
        <v>CAVITE</v>
      </c>
      <c r="T1002" s="1" t="str">
        <f>IFERROR(__xludf.DUMMYFUNCTION("""COMPUTED_VALUE"""),"FIBR PLAN 1699")</f>
        <v>FIBR PLAN 1699</v>
      </c>
      <c r="U1002" s="1" t="str">
        <f>IFERROR(__xludf.DUMMYFUNCTION("""COMPUTED_VALUE"""),"APPROVED")</f>
        <v>APPROVED</v>
      </c>
      <c r="V1002" s="1"/>
      <c r="W1002" s="1"/>
    </row>
    <row r="1003" customHeight="1" spans="1:23">
      <c r="A1003" s="3">
        <f>IFERROR(__xludf.DUMMYFUNCTION("""COMPUTED_VALUE"""),46108)</f>
        <v>46108</v>
      </c>
      <c r="B1003" s="1" t="str">
        <f>IFERROR(__xludf.DUMMYFUNCTION("""COMPUTED_VALUE"""),"NAEOSA, JULLIE")</f>
        <v>NAEOSA, JULLIE</v>
      </c>
      <c r="C1003" s="1" t="str">
        <f>IFERROR(__xludf.DUMMYFUNCTION("""COMPUTED_VALUE"""),"ORGANIC")</f>
        <v>ORGANIC</v>
      </c>
      <c r="D1003" s="1" t="str">
        <f>IFERROR(__xludf.DUMMYFUNCTION("""COMPUTED_VALUE"""),"ALINGARO, CINDY")</f>
        <v>ALINGARO, CINDY</v>
      </c>
      <c r="E1003" s="1" t="str">
        <f>IFERROR(__xludf.DUMMYFUNCTION("""COMPUTED_VALUE"""),"PLDT")</f>
        <v>PLDT</v>
      </c>
      <c r="F1003" s="1">
        <f>IFERROR(__xludf.DUMMYFUNCTION("""COMPUTED_VALUE"""),2308522942)</f>
        <v>2308522942</v>
      </c>
      <c r="G1003" s="1"/>
      <c r="H1003" s="1" t="str">
        <f>IFERROR(__xludf.DUMMYFUNCTION("""COMPUTED_VALUE"""),"MARIANE ILLUSTRIMO INVINA")</f>
        <v>MARIANE ILLUSTRIMO INVINA</v>
      </c>
      <c r="I1003" s="1">
        <f>IFERROR(__xludf.DUMMYFUNCTION("""COMPUTED_VALUE"""),9954786033)</f>
        <v>9954786033</v>
      </c>
      <c r="J1003" s="1"/>
      <c r="K1003" s="1" t="str">
        <f>IFERROR(__xludf.DUMMYFUNCTION("""COMPUTED_VALUE"""),"MARIANEINVINA2@GMAIL.COM")</f>
        <v>MARIANEINVINA2@GMAIL.COM</v>
      </c>
      <c r="L1003" s="1" t="str">
        <f>IFERROR(__xludf.DUMMYFUNCTION("""COMPUTED_VALUE"""),"BLK 7 LOT 15")</f>
        <v>BLK 7 LOT 15</v>
      </c>
      <c r="M1003" s="1" t="str">
        <f>IFERROR(__xludf.DUMMYFUNCTION("""COMPUTED_VALUE"""),"ACACIA")</f>
        <v>ACACIA</v>
      </c>
      <c r="N1003" s="1"/>
      <c r="O1003" s="1"/>
      <c r="P1003" s="1"/>
      <c r="Q1003" s="1" t="str">
        <f>IFERROR(__xludf.DUMMYFUNCTION("""COMPUTED_VALUE"""),"ACACIA")</f>
        <v>ACACIA</v>
      </c>
      <c r="R1003" s="1" t="str">
        <f>IFERROR(__xludf.DUMMYFUNCTION("""COMPUTED_VALUE"""),"SILANG")</f>
        <v>SILANG</v>
      </c>
      <c r="S1003" s="1" t="str">
        <f>IFERROR(__xludf.DUMMYFUNCTION("""COMPUTED_VALUE"""),"CAVITE")</f>
        <v>CAVITE</v>
      </c>
      <c r="T1003" s="1" t="str">
        <f>IFERROR(__xludf.DUMMYFUNCTION("""COMPUTED_VALUE"""),"FIBR UNLI ALL PLAN 999")</f>
        <v>FIBR UNLI ALL PLAN 999</v>
      </c>
      <c r="U1003" s="1" t="str">
        <f>IFERROR(__xludf.DUMMYFUNCTION("""COMPUTED_VALUE"""),"APPROVED")</f>
        <v>APPROVED</v>
      </c>
      <c r="V1003" s="1"/>
      <c r="W1003" s="1"/>
    </row>
    <row r="1004" customHeight="1" spans="1:23">
      <c r="A1004" s="3">
        <f>IFERROR(__xludf.DUMMYFUNCTION("""COMPUTED_VALUE"""),46109)</f>
        <v>46109</v>
      </c>
      <c r="B1004" s="1" t="str">
        <f>IFERROR(__xludf.DUMMYFUNCTION("""COMPUTED_VALUE"""),"AQUINO, LUIS")</f>
        <v>AQUINO, LUIS</v>
      </c>
      <c r="C1004" s="1" t="str">
        <f>IFERROR(__xludf.DUMMYFUNCTION("""COMPUTED_VALUE"""),"ORGANIC")</f>
        <v>ORGANIC</v>
      </c>
      <c r="D1004" s="1" t="str">
        <f>IFERROR(__xludf.DUMMYFUNCTION("""COMPUTED_VALUE"""),"ALOS, CHARLS")</f>
        <v>ALOS, CHARLS</v>
      </c>
      <c r="E1004" s="1" t="str">
        <f>IFERROR(__xludf.DUMMYFUNCTION("""COMPUTED_VALUE"""),"PLDT")</f>
        <v>PLDT</v>
      </c>
      <c r="F1004" s="1">
        <f>IFERROR(__xludf.DUMMYFUNCTION("""COMPUTED_VALUE"""),2308534231)</f>
        <v>2308534231</v>
      </c>
      <c r="G1004" s="1"/>
      <c r="H1004" s="1" t="str">
        <f>IFERROR(__xludf.DUMMYFUNCTION("""COMPUTED_VALUE"""),"KEYPEE TALABOT LORILLA")</f>
        <v>KEYPEE TALABOT LORILLA</v>
      </c>
      <c r="I1004" s="1">
        <f>IFERROR(__xludf.DUMMYFUNCTION("""COMPUTED_VALUE"""),9923933499)</f>
        <v>9923933499</v>
      </c>
      <c r="J1004" s="1">
        <f>IFERROR(__xludf.DUMMYFUNCTION("""COMPUTED_VALUE"""),9158621401)</f>
        <v>9158621401</v>
      </c>
      <c r="K1004" s="1" t="str">
        <f>IFERROR(__xludf.DUMMYFUNCTION("""COMPUTED_VALUE"""),"LORILLAORTIZ2021@GMAIL.COM")</f>
        <v>LORILLAORTIZ2021@GMAIL.COM</v>
      </c>
      <c r="L1004" s="1" t="str">
        <f>IFERROR(__xludf.DUMMYFUNCTION("""COMPUTED_VALUE"""),"391")</f>
        <v>391</v>
      </c>
      <c r="M1004" s="1" t="str">
        <f>IFERROR(__xludf.DUMMYFUNCTION("""COMPUTED_VALUE"""),"SAN AGUSTIN RD")</f>
        <v>SAN AGUSTIN RD</v>
      </c>
      <c r="N1004" s="1"/>
      <c r="O1004" s="1"/>
      <c r="P1004" s="1"/>
      <c r="Q1004" s="1" t="str">
        <f>IFERROR(__xludf.DUMMYFUNCTION("""COMPUTED_VALUE"""),"SAN AGUSTIN I")</f>
        <v>SAN AGUSTIN I</v>
      </c>
      <c r="R1004" s="1" t="str">
        <f>IFERROR(__xludf.DUMMYFUNCTION("""COMPUTED_VALUE"""),"DASMARINAS")</f>
        <v>DASMARINAS</v>
      </c>
      <c r="S1004" s="1" t="str">
        <f>IFERROR(__xludf.DUMMYFUNCTION("""COMPUTED_VALUE"""),"CAVITE")</f>
        <v>CAVITE</v>
      </c>
      <c r="T1004" s="1" t="str">
        <f>IFERROR(__xludf.DUMMYFUNCTION("""COMPUTED_VALUE"""),"FIBR UNLI ALL PLAN 999")</f>
        <v>FIBR UNLI ALL PLAN 999</v>
      </c>
      <c r="U1004" s="1" t="str">
        <f>IFERROR(__xludf.DUMMYFUNCTION("""COMPUTED_VALUE"""),"APPROVED")</f>
        <v>APPROVED</v>
      </c>
      <c r="V1004" s="1"/>
      <c r="W1004" s="1"/>
    </row>
    <row r="1005" customHeight="1" spans="1:23">
      <c r="A1005" s="3">
        <f>IFERROR(__xludf.DUMMYFUNCTION("""COMPUTED_VALUE"""),46109)</f>
        <v>46109</v>
      </c>
      <c r="B1005" s="1" t="str">
        <f>IFERROR(__xludf.DUMMYFUNCTION("""COMPUTED_VALUE"""),"MAGDARAOG, KENNETH")</f>
        <v>MAGDARAOG, KENNETH</v>
      </c>
      <c r="C1005" s="1" t="str">
        <f>IFERROR(__xludf.DUMMYFUNCTION("""COMPUTED_VALUE"""),"ORGANIC")</f>
        <v>ORGANIC</v>
      </c>
      <c r="D1005" s="1" t="str">
        <f>IFERROR(__xludf.DUMMYFUNCTION("""COMPUTED_VALUE"""),"ALINGARO, CINDY")</f>
        <v>ALINGARO, CINDY</v>
      </c>
      <c r="E1005" s="1" t="str">
        <f>IFERROR(__xludf.DUMMYFUNCTION("""COMPUTED_VALUE"""),"PLDT")</f>
        <v>PLDT</v>
      </c>
      <c r="F1005" s="1">
        <f>IFERROR(__xludf.DUMMYFUNCTION("""COMPUTED_VALUE"""),2308535678)</f>
        <v>2308535678</v>
      </c>
      <c r="G1005" s="1"/>
      <c r="H1005" s="1" t="str">
        <f>IFERROR(__xludf.DUMMYFUNCTION("""COMPUTED_VALUE"""),"MAXIMA FERMA TURLA")</f>
        <v>MAXIMA FERMA TURLA</v>
      </c>
      <c r="I1005" s="1">
        <f>IFERROR(__xludf.DUMMYFUNCTION("""COMPUTED_VALUE"""),9491671663)</f>
        <v>9491671663</v>
      </c>
      <c r="J1005" s="1">
        <f>IFERROR(__xludf.DUMMYFUNCTION("""COMPUTED_VALUE"""),9991805100)</f>
        <v>9991805100</v>
      </c>
      <c r="K1005" s="1" t="str">
        <f>IFERROR(__xludf.DUMMYFUNCTION("""COMPUTED_VALUE"""),"EMSFERMA@YAHOO.COM")</f>
        <v>EMSFERMA@YAHOO.COM</v>
      </c>
      <c r="L1005" s="1" t="str">
        <f>IFERROR(__xludf.DUMMYFUNCTION("""COMPUTED_VALUE"""),"53")</f>
        <v>53</v>
      </c>
      <c r="M1005" s="1" t="str">
        <f>IFERROR(__xludf.DUMMYFUNCTION("""COMPUTED_VALUE"""),"GATPANDAN ")</f>
        <v>GATPANDAN </v>
      </c>
      <c r="N1005" s="1"/>
      <c r="O1005" s="1"/>
      <c r="P1005" s="1"/>
      <c r="Q1005" s="1" t="str">
        <f>IFERROR(__xludf.DUMMYFUNCTION("""COMPUTED_VALUE"""),"ANULING CERCA II")</f>
        <v>ANULING CERCA II</v>
      </c>
      <c r="R1005" s="1" t="str">
        <f>IFERROR(__xludf.DUMMYFUNCTION("""COMPUTED_VALUE"""),"MENDEZ")</f>
        <v>MENDEZ</v>
      </c>
      <c r="S1005" s="1" t="str">
        <f>IFERROR(__xludf.DUMMYFUNCTION("""COMPUTED_VALUE"""),"CAVITE")</f>
        <v>CAVITE</v>
      </c>
      <c r="T1005" s="1" t="str">
        <f>IFERROR(__xludf.DUMMYFUNCTION("""COMPUTED_VALUE"""),"FIBR NETFLIX PLAN 1599")</f>
        <v>FIBR NETFLIX PLAN 1599</v>
      </c>
      <c r="U1005" s="1" t="str">
        <f>IFERROR(__xludf.DUMMYFUNCTION("""COMPUTED_VALUE"""),"APPROVED")</f>
        <v>APPROVED</v>
      </c>
      <c r="V1005" s="1"/>
      <c r="W1005" s="1"/>
    </row>
    <row r="1006" customHeight="1" spans="1:23">
      <c r="A1006" s="3">
        <f>IFERROR(__xludf.DUMMYFUNCTION("""COMPUTED_VALUE"""),46109)</f>
        <v>46109</v>
      </c>
      <c r="B1006" s="1" t="str">
        <f>IFERROR(__xludf.DUMMYFUNCTION("""COMPUTED_VALUE"""),"FERNANDEZ JERIC")</f>
        <v>FERNANDEZ JERIC</v>
      </c>
      <c r="C1006" s="1" t="str">
        <f>IFERROR(__xludf.DUMMYFUNCTION("""COMPUTED_VALUE"""),"ORGANIC")</f>
        <v>ORGANIC</v>
      </c>
      <c r="D1006" s="1" t="str">
        <f>IFERROR(__xludf.DUMMYFUNCTION("""COMPUTED_VALUE"""),"ALOS, CHARLS")</f>
        <v>ALOS, CHARLS</v>
      </c>
      <c r="E1006" s="1" t="str">
        <f>IFERROR(__xludf.DUMMYFUNCTION("""COMPUTED_VALUE"""),"PLDT")</f>
        <v>PLDT</v>
      </c>
      <c r="F1006" s="1">
        <f>IFERROR(__xludf.DUMMYFUNCTION("""COMPUTED_VALUE"""),2308538308)</f>
        <v>2308538308</v>
      </c>
      <c r="G1006" s="1"/>
      <c r="H1006" s="1" t="str">
        <f>IFERROR(__xludf.DUMMYFUNCTION("""COMPUTED_VALUE"""),"FRANCIA DIMAANO BENITEZ")</f>
        <v>FRANCIA DIMAANO BENITEZ</v>
      </c>
      <c r="I1006" s="1">
        <f>IFERROR(__xludf.DUMMYFUNCTION("""COMPUTED_VALUE"""),9286839940)</f>
        <v>9286839940</v>
      </c>
      <c r="J1006" s="1"/>
      <c r="K1006" s="1" t="str">
        <f>IFERROR(__xludf.DUMMYFUNCTION("""COMPUTED_VALUE"""),"MHAYRAYBINITEZ@GMAIL.COM")</f>
        <v>MHAYRAYBINITEZ@GMAIL.COM</v>
      </c>
      <c r="L1006" s="1" t="str">
        <f>IFERROR(__xludf.DUMMYFUNCTION("""COMPUTED_VALUE"""),"BLK 17 LOT 9")</f>
        <v>BLK 17 LOT 9</v>
      </c>
      <c r="M1006" s="1" t="str">
        <f>IFERROR(__xludf.DUMMYFUNCTION("""COMPUTED_VALUE"""),"DENMARK ST")</f>
        <v>DENMARK ST</v>
      </c>
      <c r="N1006" s="1" t="str">
        <f>IFERROR(__xludf.DUMMYFUNCTION("""COMPUTED_VALUE"""),"SAN MARINO")</f>
        <v>SAN MARINO</v>
      </c>
      <c r="O1006" s="1"/>
      <c r="P1006" s="1"/>
      <c r="Q1006" s="1" t="str">
        <f>IFERROR(__xludf.DUMMYFUNCTION("""COMPUTED_VALUE"""),"SALAWAG")</f>
        <v>SALAWAG</v>
      </c>
      <c r="R1006" s="1" t="str">
        <f>IFERROR(__xludf.DUMMYFUNCTION("""COMPUTED_VALUE"""),"DASMARINAS")</f>
        <v>DASMARINAS</v>
      </c>
      <c r="S1006" s="1" t="str">
        <f>IFERROR(__xludf.DUMMYFUNCTION("""COMPUTED_VALUE"""),"CAVITE")</f>
        <v>CAVITE</v>
      </c>
      <c r="T1006" s="1" t="str">
        <f>IFERROR(__xludf.DUMMYFUNCTION("""COMPUTED_VALUE"""),"PREPAID FIBER UNLI")</f>
        <v>PREPAID FIBER UNLI</v>
      </c>
      <c r="U1006" s="1" t="str">
        <f>IFERROR(__xludf.DUMMYFUNCTION("""COMPUTED_VALUE"""),"APPROVED")</f>
        <v>APPROVED</v>
      </c>
      <c r="V1006" s="1"/>
      <c r="W1006" s="1"/>
    </row>
    <row r="1007" customHeight="1" spans="1:23">
      <c r="A1007" s="3">
        <f>IFERROR(__xludf.DUMMYFUNCTION("""COMPUTED_VALUE"""),46109)</f>
        <v>46109</v>
      </c>
      <c r="B1007" s="1" t="str">
        <f>IFERROR(__xludf.DUMMYFUNCTION("""COMPUTED_VALUE"""),"FRANCISCO , ROSELYN")</f>
        <v>FRANCISCO , ROSELYN</v>
      </c>
      <c r="C1007" s="1" t="str">
        <f>IFERROR(__xludf.DUMMYFUNCTION("""COMPUTED_VALUE"""),"FLA")</f>
        <v>FLA</v>
      </c>
      <c r="D1007" s="1" t="str">
        <f>IFERROR(__xludf.DUMMYFUNCTION("""COMPUTED_VALUE"""),"JERIC NAVARRO")</f>
        <v>JERIC NAVARRO</v>
      </c>
      <c r="E1007" s="1" t="str">
        <f>IFERROR(__xludf.DUMMYFUNCTION("""COMPUTED_VALUE"""),"PLDT")</f>
        <v>PLDT</v>
      </c>
      <c r="F1007" s="1">
        <f>IFERROR(__xludf.DUMMYFUNCTION("""COMPUTED_VALUE"""),2308536721)</f>
        <v>2308536721</v>
      </c>
      <c r="G1007" s="1"/>
      <c r="H1007" s="1" t="str">
        <f>IFERROR(__xludf.DUMMYFUNCTION("""COMPUTED_VALUE"""),"RHODA PRITOS BENITEZ")</f>
        <v>RHODA PRITOS BENITEZ</v>
      </c>
      <c r="I1007" s="1">
        <f>IFERROR(__xludf.DUMMYFUNCTION("""COMPUTED_VALUE"""),9153983159)</f>
        <v>9153983159</v>
      </c>
      <c r="J1007" s="1">
        <f>IFERROR(__xludf.DUMMYFUNCTION("""COMPUTED_VALUE"""),9296040763)</f>
        <v>9296040763</v>
      </c>
      <c r="K1007" s="1" t="str">
        <f>IFERROR(__xludf.DUMMYFUNCTION("""COMPUTED_VALUE"""),"RHODAPRITOS@GMAIL.COM")</f>
        <v>RHODAPRITOS@GMAIL.COM</v>
      </c>
      <c r="L1007" s="1" t="str">
        <f>IFERROR(__xludf.DUMMYFUNCTION("""COMPUTED_VALUE"""),"8")</f>
        <v>8</v>
      </c>
      <c r="M1007" s="1" t="str">
        <f>IFERROR(__xludf.DUMMYFUNCTION("""COMPUTED_VALUE"""),"BAGONG TUBIG")</f>
        <v>BAGONG TUBIG</v>
      </c>
      <c r="N1007" s="1"/>
      <c r="O1007" s="1"/>
      <c r="P1007" s="1"/>
      <c r="Q1007" s="1" t="str">
        <f>IFERROR(__xludf.DUMMYFUNCTION("""COMPUTED_VALUE"""),"GALICIA I")</f>
        <v>GALICIA I</v>
      </c>
      <c r="R1007" s="1" t="str">
        <f>IFERROR(__xludf.DUMMYFUNCTION("""COMPUTED_VALUE"""),"MENDEZ")</f>
        <v>MENDEZ</v>
      </c>
      <c r="S1007" s="1" t="str">
        <f>IFERROR(__xludf.DUMMYFUNCTION("""COMPUTED_VALUE"""),"CAVITE")</f>
        <v>CAVITE</v>
      </c>
      <c r="T1007" s="1" t="str">
        <f>IFERROR(__xludf.DUMMYFUNCTION("""COMPUTED_VALUE"""),"FIBR UNLI ALL PLAN 1399")</f>
        <v>FIBR UNLI ALL PLAN 1399</v>
      </c>
      <c r="U1007" s="1" t="str">
        <f>IFERROR(__xludf.DUMMYFUNCTION("""COMPUTED_VALUE"""),"APPROVED")</f>
        <v>APPROVED</v>
      </c>
      <c r="V1007" s="1"/>
      <c r="W1007" s="1"/>
    </row>
    <row r="1008" customHeight="1" spans="1:23">
      <c r="A1008" s="3">
        <f>IFERROR(__xludf.DUMMYFUNCTION("""COMPUTED_VALUE"""),46109)</f>
        <v>46109</v>
      </c>
      <c r="B1008" s="1" t="str">
        <f>IFERROR(__xludf.DUMMYFUNCTION("""COMPUTED_VALUE"""),"DACALCAP RUBEN")</f>
        <v>DACALCAP RUBEN</v>
      </c>
      <c r="C1008" s="1" t="str">
        <f>IFERROR(__xludf.DUMMYFUNCTION("""COMPUTED_VALUE"""),"FLA")</f>
        <v>FLA</v>
      </c>
      <c r="D1008" s="1" t="str">
        <f>IFERROR(__xludf.DUMMYFUNCTION("""COMPUTED_VALUE"""),"JERIC NAVARRO")</f>
        <v>JERIC NAVARRO</v>
      </c>
      <c r="E1008" s="1" t="str">
        <f>IFERROR(__xludf.DUMMYFUNCTION("""COMPUTED_VALUE"""),"PLDT")</f>
        <v>PLDT</v>
      </c>
      <c r="F1008" s="1">
        <f>IFERROR(__xludf.DUMMYFUNCTION("""COMPUTED_VALUE"""),2308537121)</f>
        <v>2308537121</v>
      </c>
      <c r="G1008" s="1"/>
      <c r="H1008" s="1" t="str">
        <f>IFERROR(__xludf.DUMMYFUNCTION("""COMPUTED_VALUE"""),"EUNICE JOY MINA BALANSAY")</f>
        <v>EUNICE JOY MINA BALANSAY</v>
      </c>
      <c r="I1008" s="1">
        <f>IFERROR(__xludf.DUMMYFUNCTION("""COMPUTED_VALUE"""),9912705258)</f>
        <v>9912705258</v>
      </c>
      <c r="J1008" s="1">
        <f>IFERROR(__xludf.DUMMYFUNCTION("""COMPUTED_VALUE"""),9925532737)</f>
        <v>9925532737</v>
      </c>
      <c r="K1008" s="1" t="str">
        <f>IFERROR(__xludf.DUMMYFUNCTION("""COMPUTED_VALUE"""),"EJOYBALANSAY@GMAIL.COM")</f>
        <v>EJOYBALANSAY@GMAIL.COM</v>
      </c>
      <c r="L1008" s="1" t="str">
        <f>IFERROR(__xludf.DUMMYFUNCTION("""COMPUTED_VALUE"""),"9846A")</f>
        <v>9846A</v>
      </c>
      <c r="M1008" s="1" t="str">
        <f>IFERROR(__xludf.DUMMYFUNCTION("""COMPUTED_VALUE"""),"JAYPEE RIVERA")</f>
        <v>JAYPEE RIVERA</v>
      </c>
      <c r="N1008" s="1"/>
      <c r="O1008" s="1"/>
      <c r="P1008" s="1"/>
      <c r="Q1008" s="1" t="str">
        <f>IFERROR(__xludf.DUMMYFUNCTION("""COMPUTED_VALUE"""),"MAGUYAM")</f>
        <v>MAGUYAM</v>
      </c>
      <c r="R1008" s="1" t="str">
        <f>IFERROR(__xludf.DUMMYFUNCTION("""COMPUTED_VALUE"""),"SILANG")</f>
        <v>SILANG</v>
      </c>
      <c r="S1008" s="1" t="str">
        <f>IFERROR(__xludf.DUMMYFUNCTION("""COMPUTED_VALUE"""),"CAVITE")</f>
        <v>CAVITE</v>
      </c>
      <c r="T1008" s="1" t="str">
        <f>IFERROR(__xludf.DUMMYFUNCTION("""COMPUTED_VALUE"""),"PREPAID FIBER UNLI")</f>
        <v>PREPAID FIBER UNLI</v>
      </c>
      <c r="U1008" s="1" t="str">
        <f>IFERROR(__xludf.DUMMYFUNCTION("""COMPUTED_VALUE"""),"APPROVED")</f>
        <v>APPROVED</v>
      </c>
      <c r="V1008" s="1"/>
      <c r="W1008" s="1"/>
    </row>
    <row r="1009" customHeight="1" spans="1:23">
      <c r="A1009" s="3">
        <f>IFERROR(__xludf.DUMMYFUNCTION("""COMPUTED_VALUE"""),46109)</f>
        <v>46109</v>
      </c>
      <c r="B1009" s="1" t="str">
        <f>IFERROR(__xludf.DUMMYFUNCTION("""COMPUTED_VALUE"""),"GABAY, MANUEL")</f>
        <v>GABAY, MANUEL</v>
      </c>
      <c r="C1009" s="1" t="str">
        <f>IFERROR(__xludf.DUMMYFUNCTION("""COMPUTED_VALUE"""),"FLA")</f>
        <v>FLA</v>
      </c>
      <c r="D1009" s="1" t="str">
        <f>IFERROR(__xludf.DUMMYFUNCTION("""COMPUTED_VALUE"""),"JERIC NAVARRO")</f>
        <v>JERIC NAVARRO</v>
      </c>
      <c r="E1009" s="1" t="str">
        <f>IFERROR(__xludf.DUMMYFUNCTION("""COMPUTED_VALUE"""),"PLDT")</f>
        <v>PLDT</v>
      </c>
      <c r="F1009" s="1">
        <f>IFERROR(__xludf.DUMMYFUNCTION("""COMPUTED_VALUE"""),2308537488)</f>
        <v>2308537488</v>
      </c>
      <c r="G1009" s="1"/>
      <c r="H1009" s="1" t="str">
        <f>IFERROR(__xludf.DUMMYFUNCTION("""COMPUTED_VALUE"""),"MARY CHRISTINE ALIANZA DELOS SANTOS")</f>
        <v>MARY CHRISTINE ALIANZA DELOS SANTOS</v>
      </c>
      <c r="I1009" s="1">
        <f>IFERROR(__xludf.DUMMYFUNCTION("""COMPUTED_VALUE"""),9924839527)</f>
        <v>9924839527</v>
      </c>
      <c r="J1009" s="1">
        <f>IFERROR(__xludf.DUMMYFUNCTION("""COMPUTED_VALUE"""),9297699059)</f>
        <v>9297699059</v>
      </c>
      <c r="K1009" s="1" t="str">
        <f>IFERROR(__xludf.DUMMYFUNCTION("""COMPUTED_VALUE"""),"MARYCHRISTINEALIANZA22@GMAIL.COM")</f>
        <v>MARYCHRISTINEALIANZA22@GMAIL.COM</v>
      </c>
      <c r="L1009" s="1" t="str">
        <f>IFERROR(__xludf.DUMMYFUNCTION("""COMPUTED_VALUE"""),"BLK 8 LOT 25")</f>
        <v>BLK 8 LOT 25</v>
      </c>
      <c r="M1009" s="1" t="str">
        <f>IFERROR(__xludf.DUMMYFUNCTION("""COMPUTED_VALUE"""),"PHASE 3")</f>
        <v>PHASE 3</v>
      </c>
      <c r="N1009" s="1" t="str">
        <f>IFERROR(__xludf.DUMMYFUNCTION("""COMPUTED_VALUE"""),"SAN MARINO")</f>
        <v>SAN MARINO</v>
      </c>
      <c r="O1009" s="1"/>
      <c r="P1009" s="1"/>
      <c r="Q1009" s="1" t="str">
        <f>IFERROR(__xludf.DUMMYFUNCTION("""COMPUTED_VALUE"""),"SALAWAG")</f>
        <v>SALAWAG</v>
      </c>
      <c r="R1009" s="1" t="str">
        <f>IFERROR(__xludf.DUMMYFUNCTION("""COMPUTED_VALUE"""),"DASMARINAS")</f>
        <v>DASMARINAS</v>
      </c>
      <c r="S1009" s="1" t="str">
        <f>IFERROR(__xludf.DUMMYFUNCTION("""COMPUTED_VALUE"""),"CAVITE")</f>
        <v>CAVITE</v>
      </c>
      <c r="T1009" s="1" t="str">
        <f>IFERROR(__xludf.DUMMYFUNCTION("""COMPUTED_VALUE"""),"FIBR NETFLIX PLAN 1599")</f>
        <v>FIBR NETFLIX PLAN 1599</v>
      </c>
      <c r="U1009" s="1" t="str">
        <f>IFERROR(__xludf.DUMMYFUNCTION("""COMPUTED_VALUE"""),"APPROVED")</f>
        <v>APPROVED</v>
      </c>
      <c r="V1009" s="1"/>
      <c r="W1009" s="1"/>
    </row>
    <row r="1010" customHeight="1" spans="1:23">
      <c r="A1010" s="3">
        <f>IFERROR(__xludf.DUMMYFUNCTION("""COMPUTED_VALUE"""),46109)</f>
        <v>46109</v>
      </c>
      <c r="B1010" s="1" t="str">
        <f>IFERROR(__xludf.DUMMYFUNCTION("""COMPUTED_VALUE"""),"FARO, REFRANTA")</f>
        <v>FARO, REFRANTA</v>
      </c>
      <c r="C1010" s="1" t="str">
        <f>IFERROR(__xludf.DUMMYFUNCTION("""COMPUTED_VALUE"""),"ORGANIC")</f>
        <v>ORGANIC</v>
      </c>
      <c r="D1010" s="1" t="str">
        <f>IFERROR(__xludf.DUMMYFUNCTION("""COMPUTED_VALUE"""),"ALINGARO, CINDY")</f>
        <v>ALINGARO, CINDY</v>
      </c>
      <c r="E1010" s="1" t="str">
        <f>IFERROR(__xludf.DUMMYFUNCTION("""COMPUTED_VALUE"""),"PLDT")</f>
        <v>PLDT</v>
      </c>
      <c r="F1010" s="1">
        <f>IFERROR(__xludf.DUMMYFUNCTION("""COMPUTED_VALUE"""),2308537988)</f>
        <v>2308537988</v>
      </c>
      <c r="G1010" s="1"/>
      <c r="H1010" s="1" t="str">
        <f>IFERROR(__xludf.DUMMYFUNCTION("""COMPUTED_VALUE"""),"JEAN FEBRA ")</f>
        <v>JEAN FEBRA </v>
      </c>
      <c r="I1010" s="1">
        <f>IFERROR(__xludf.DUMMYFUNCTION("""COMPUTED_VALUE"""),9753605827)</f>
        <v>9753605827</v>
      </c>
      <c r="J1010" s="1"/>
      <c r="K1010" s="1" t="str">
        <f>IFERROR(__xludf.DUMMYFUNCTION("""COMPUTED_VALUE"""),"FERLYN0315@GMAIL.COM")</f>
        <v>FERLYN0315@GMAIL.COM</v>
      </c>
      <c r="L1010" s="1" t="str">
        <f>IFERROR(__xludf.DUMMYFUNCTION("""COMPUTED_VALUE"""),"128")</f>
        <v>128</v>
      </c>
      <c r="M1010" s="1" t="str">
        <f>IFERROR(__xludf.DUMMYFUNCTION("""COMPUTED_VALUE"""),"NARRA ")</f>
        <v>NARRA </v>
      </c>
      <c r="N1010" s="1"/>
      <c r="O1010" s="1"/>
      <c r="P1010" s="1"/>
      <c r="Q1010" s="1" t="str">
        <f>IFERROR(__xludf.DUMMYFUNCTION("""COMPUTED_VALUE"""),"BANAYAD")</f>
        <v>BANAYAD</v>
      </c>
      <c r="R1010" s="1" t="str">
        <f>IFERROR(__xludf.DUMMYFUNCTION("""COMPUTED_VALUE"""),"MENDEZ")</f>
        <v>MENDEZ</v>
      </c>
      <c r="S1010" s="1" t="str">
        <f>IFERROR(__xludf.DUMMYFUNCTION("""COMPUTED_VALUE"""),"CAVITE")</f>
        <v>CAVITE</v>
      </c>
      <c r="T1010" s="1" t="str">
        <f>IFERROR(__xludf.DUMMYFUNCTION("""COMPUTED_VALUE"""),"FIBR UNLI ALL PLAN 1399")</f>
        <v>FIBR UNLI ALL PLAN 1399</v>
      </c>
      <c r="U1010" s="1" t="str">
        <f>IFERROR(__xludf.DUMMYFUNCTION("""COMPUTED_VALUE"""),"APPROVED")</f>
        <v>APPROVED</v>
      </c>
      <c r="V1010" s="1"/>
      <c r="W1010" s="1"/>
    </row>
    <row r="1011" customHeight="1" spans="1:23">
      <c r="A1011" s="3">
        <f>IFERROR(__xludf.DUMMYFUNCTION("""COMPUTED_VALUE"""),46109)</f>
        <v>46109</v>
      </c>
      <c r="B1011" s="1" t="str">
        <f>IFERROR(__xludf.DUMMYFUNCTION("""COMPUTED_VALUE"""),"MAGDARAOG, KENNETH")</f>
        <v>MAGDARAOG, KENNETH</v>
      </c>
      <c r="C1011" s="1" t="str">
        <f>IFERROR(__xludf.DUMMYFUNCTION("""COMPUTED_VALUE"""),"ORGANIC")</f>
        <v>ORGANIC</v>
      </c>
      <c r="D1011" s="1" t="str">
        <f>IFERROR(__xludf.DUMMYFUNCTION("""COMPUTED_VALUE"""),"ALINGARO, CINDY")</f>
        <v>ALINGARO, CINDY</v>
      </c>
      <c r="E1011" s="1" t="str">
        <f>IFERROR(__xludf.DUMMYFUNCTION("""COMPUTED_VALUE"""),"PLDT")</f>
        <v>PLDT</v>
      </c>
      <c r="F1011" s="1">
        <f>IFERROR(__xludf.DUMMYFUNCTION("""COMPUTED_VALUE"""),2308538651)</f>
        <v>2308538651</v>
      </c>
      <c r="G1011" s="1"/>
      <c r="H1011" s="1" t="str">
        <f>IFERROR(__xludf.DUMMYFUNCTION("""COMPUTED_VALUE"""),"RUBEN LEPARDO FERMA")</f>
        <v>RUBEN LEPARDO FERMA</v>
      </c>
      <c r="I1011" s="1">
        <f>IFERROR(__xludf.DUMMYFUNCTION("""COMPUTED_VALUE"""),9278874057)</f>
        <v>9278874057</v>
      </c>
      <c r="J1011" s="1">
        <f>IFERROR(__xludf.DUMMYFUNCTION("""COMPUTED_VALUE"""),9177394954)</f>
        <v>9177394954</v>
      </c>
      <c r="K1011" s="1" t="str">
        <f>IFERROR(__xludf.DUMMYFUNCTION("""COMPUTED_VALUE"""),"EMELYNFERMA1@GMAIL.COM")</f>
        <v>EMELYNFERMA1@GMAIL.COM</v>
      </c>
      <c r="L1011" s="1" t="str">
        <f>IFERROR(__xludf.DUMMYFUNCTION("""COMPUTED_VALUE"""),"51")</f>
        <v>51</v>
      </c>
      <c r="M1011" s="1" t="str">
        <f>IFERROR(__xludf.DUMMYFUNCTION("""COMPUTED_VALUE"""),"ANULING CERCA")</f>
        <v>ANULING CERCA</v>
      </c>
      <c r="N1011" s="1"/>
      <c r="O1011" s="1"/>
      <c r="P1011" s="1"/>
      <c r="Q1011" s="1" t="str">
        <f>IFERROR(__xludf.DUMMYFUNCTION("""COMPUTED_VALUE"""),"ANULING CERCA II")</f>
        <v>ANULING CERCA II</v>
      </c>
      <c r="R1011" s="1" t="str">
        <f>IFERROR(__xludf.DUMMYFUNCTION("""COMPUTED_VALUE"""),"MENDEZ")</f>
        <v>MENDEZ</v>
      </c>
      <c r="S1011" s="1" t="str">
        <f>IFERROR(__xludf.DUMMYFUNCTION("""COMPUTED_VALUE"""),"CAVITE")</f>
        <v>CAVITE</v>
      </c>
      <c r="T1011" s="1" t="str">
        <f>IFERROR(__xludf.DUMMYFUNCTION("""COMPUTED_VALUE"""),"FIBR NETFLIX PLAN 1599")</f>
        <v>FIBR NETFLIX PLAN 1599</v>
      </c>
      <c r="U1011" s="1" t="str">
        <f>IFERROR(__xludf.DUMMYFUNCTION("""COMPUTED_VALUE"""),"APPROVED")</f>
        <v>APPROVED</v>
      </c>
      <c r="V1011" s="1"/>
      <c r="W1011" s="1"/>
    </row>
    <row r="1012" customHeight="1" spans="1:23">
      <c r="A1012" s="3">
        <f>IFERROR(__xludf.DUMMYFUNCTION("""COMPUTED_VALUE"""),46109)</f>
        <v>46109</v>
      </c>
      <c r="B1012" s="1" t="str">
        <f>IFERROR(__xludf.DUMMYFUNCTION("""COMPUTED_VALUE"""),"ABGAO, LEO TAGANNA")</f>
        <v>ABGAO, LEO TAGANNA</v>
      </c>
      <c r="C1012" s="1" t="str">
        <f>IFERROR(__xludf.DUMMYFUNCTION("""COMPUTED_VALUE"""),"ORGANIC")</f>
        <v>ORGANIC</v>
      </c>
      <c r="D1012" s="1" t="str">
        <f>IFERROR(__xludf.DUMMYFUNCTION("""COMPUTED_VALUE"""),"ALOS, CHARLS")</f>
        <v>ALOS, CHARLS</v>
      </c>
      <c r="E1012" s="1" t="str">
        <f>IFERROR(__xludf.DUMMYFUNCTION("""COMPUTED_VALUE"""),"PLDT")</f>
        <v>PLDT</v>
      </c>
      <c r="F1012" s="1">
        <f>IFERROR(__xludf.DUMMYFUNCTION("""COMPUTED_VALUE"""),2308539294)</f>
        <v>2308539294</v>
      </c>
      <c r="G1012" s="1"/>
      <c r="H1012" s="1" t="str">
        <f>IFERROR(__xludf.DUMMYFUNCTION("""COMPUTED_VALUE"""),"ERLYN JOYCE SABUSAB ANONUEVO")</f>
        <v>ERLYN JOYCE SABUSAB ANONUEVO</v>
      </c>
      <c r="I1012" s="1">
        <f>IFERROR(__xludf.DUMMYFUNCTION("""COMPUTED_VALUE"""),9955300234)</f>
        <v>9955300234</v>
      </c>
      <c r="J1012" s="1">
        <f>IFERROR(__xludf.DUMMYFUNCTION("""COMPUTED_VALUE"""),9056588027)</f>
        <v>9056588027</v>
      </c>
      <c r="K1012" s="1" t="str">
        <f>IFERROR(__xludf.DUMMYFUNCTION("""COMPUTED_VALUE"""),"ANO.ERLYNJOYCE05@GMAIL.COM")</f>
        <v>ANO.ERLYNJOYCE05@GMAIL.COM</v>
      </c>
      <c r="L1012" s="1" t="str">
        <f>IFERROR(__xludf.DUMMYFUNCTION("""COMPUTED_VALUE"""),"253")</f>
        <v>253</v>
      </c>
      <c r="M1012" s="1" t="str">
        <f>IFERROR(__xludf.DUMMYFUNCTION("""COMPUTED_VALUE"""),"BANALO ST")</f>
        <v>BANALO ST</v>
      </c>
      <c r="N1012" s="1"/>
      <c r="O1012" s="1"/>
      <c r="P1012" s="1"/>
      <c r="Q1012" s="1" t="str">
        <f>IFERROR(__xludf.DUMMYFUNCTION("""COMPUTED_VALUE"""),"SINEGUELASAN")</f>
        <v>SINEGUELASAN</v>
      </c>
      <c r="R1012" s="1" t="str">
        <f>IFERROR(__xludf.DUMMYFUNCTION("""COMPUTED_VALUE"""),"BACOOR")</f>
        <v>BACOOR</v>
      </c>
      <c r="S1012" s="1" t="str">
        <f>IFERROR(__xludf.DUMMYFUNCTION("""COMPUTED_VALUE"""),"CAVITE")</f>
        <v>CAVITE</v>
      </c>
      <c r="T1012" s="1" t="str">
        <f>IFERROR(__xludf.DUMMYFUNCTION("""COMPUTED_VALUE"""),"FIBR PLAN 1299")</f>
        <v>FIBR PLAN 1299</v>
      </c>
      <c r="U1012" s="1" t="str">
        <f>IFERROR(__xludf.DUMMYFUNCTION("""COMPUTED_VALUE"""),"APPROVED")</f>
        <v>APPROVED</v>
      </c>
      <c r="V1012" s="1"/>
      <c r="W1012" s="1"/>
    </row>
    <row r="1013" customHeight="1" spans="1:23">
      <c r="A1013" s="3">
        <f>IFERROR(__xludf.DUMMYFUNCTION("""COMPUTED_VALUE"""),46109)</f>
        <v>46109</v>
      </c>
      <c r="B1013" s="1" t="str">
        <f>IFERROR(__xludf.DUMMYFUNCTION("""COMPUTED_VALUE"""),"REMOLLO, LEA")</f>
        <v>REMOLLO, LEA</v>
      </c>
      <c r="C1013" s="1" t="str">
        <f>IFERROR(__xludf.DUMMYFUNCTION("""COMPUTED_VALUE"""),"FLA")</f>
        <v>FLA</v>
      </c>
      <c r="D1013" s="1" t="str">
        <f>IFERROR(__xludf.DUMMYFUNCTION("""COMPUTED_VALUE"""),"JERIC NAVARRO")</f>
        <v>JERIC NAVARRO</v>
      </c>
      <c r="E1013" s="1" t="str">
        <f>IFERROR(__xludf.DUMMYFUNCTION("""COMPUTED_VALUE"""),"PLDT")</f>
        <v>PLDT</v>
      </c>
      <c r="F1013" s="1">
        <f>IFERROR(__xludf.DUMMYFUNCTION("""COMPUTED_VALUE"""),2308540051)</f>
        <v>2308540051</v>
      </c>
      <c r="G1013" s="1"/>
      <c r="H1013" s="1" t="str">
        <f>IFERROR(__xludf.DUMMYFUNCTION("""COMPUTED_VALUE"""),"WINDY MONTINO TIMCANG")</f>
        <v>WINDY MONTINO TIMCANG</v>
      </c>
      <c r="I1013" s="1">
        <f>IFERROR(__xludf.DUMMYFUNCTION("""COMPUTED_VALUE"""),9526529730)</f>
        <v>9526529730</v>
      </c>
      <c r="J1013" s="1"/>
      <c r="K1013" s="1" t="str">
        <f>IFERROR(__xludf.DUMMYFUNCTION("""COMPUTED_VALUE"""),"WINDYMONTINO@GMAIL.COM")</f>
        <v>WINDYMONTINO@GMAIL.COM</v>
      </c>
      <c r="L1013" s="1" t="str">
        <f>IFERROR(__xludf.DUMMYFUNCTION("""COMPUTED_VALUE"""),"BLK 40 LOT 6")</f>
        <v>BLK 40 LOT 6</v>
      </c>
      <c r="M1013" s="1" t="str">
        <f>IFERROR(__xludf.DUMMYFUNCTION("""COMPUTED_VALUE"""),"NARRA RD")</f>
        <v>NARRA RD</v>
      </c>
      <c r="N1013" s="1"/>
      <c r="O1013" s="1"/>
      <c r="P1013" s="1"/>
      <c r="Q1013" s="1" t="str">
        <f>IFERROR(__xludf.DUMMYFUNCTION("""COMPUTED_VALUE"""),"NARRA III")</f>
        <v>NARRA III</v>
      </c>
      <c r="R1013" s="1" t="str">
        <f>IFERROR(__xludf.DUMMYFUNCTION("""COMPUTED_VALUE"""),"SILANG")</f>
        <v>SILANG</v>
      </c>
      <c r="S1013" s="1" t="str">
        <f>IFERROR(__xludf.DUMMYFUNCTION("""COMPUTED_VALUE"""),"CAVITE")</f>
        <v>CAVITE</v>
      </c>
      <c r="T1013" s="1" t="str">
        <f>IFERROR(__xludf.DUMMYFUNCTION("""COMPUTED_VALUE"""),"PREPAID FIBER UNLI")</f>
        <v>PREPAID FIBER UNLI</v>
      </c>
      <c r="U1013" s="1" t="str">
        <f>IFERROR(__xludf.DUMMYFUNCTION("""COMPUTED_VALUE"""),"APPROVED")</f>
        <v>APPROVED</v>
      </c>
      <c r="V1013" s="1"/>
      <c r="W1013" s="1"/>
    </row>
    <row r="1014" customHeight="1" spans="1:23">
      <c r="A1014" s="3">
        <f>IFERROR(__xludf.DUMMYFUNCTION("""COMPUTED_VALUE"""),46109)</f>
        <v>46109</v>
      </c>
      <c r="B1014" s="1" t="str">
        <f>IFERROR(__xludf.DUMMYFUNCTION("""COMPUTED_VALUE"""),"CANTANERO JUNEL")</f>
        <v>CANTANERO JUNEL</v>
      </c>
      <c r="C1014" s="1" t="str">
        <f>IFERROR(__xludf.DUMMYFUNCTION("""COMPUTED_VALUE"""),"ORGANIC")</f>
        <v>ORGANIC</v>
      </c>
      <c r="D1014" s="1" t="str">
        <f>IFERROR(__xludf.DUMMYFUNCTION("""COMPUTED_VALUE"""),"ALINGARO, CINDY")</f>
        <v>ALINGARO, CINDY</v>
      </c>
      <c r="E1014" s="1" t="str">
        <f>IFERROR(__xludf.DUMMYFUNCTION("""COMPUTED_VALUE"""),"PLDT")</f>
        <v>PLDT</v>
      </c>
      <c r="F1014" s="1">
        <f>IFERROR(__xludf.DUMMYFUNCTION("""COMPUTED_VALUE"""),2308540984)</f>
        <v>2308540984</v>
      </c>
      <c r="G1014" s="1"/>
      <c r="H1014" s="1" t="str">
        <f>IFERROR(__xludf.DUMMYFUNCTION("""COMPUTED_VALUE"""),"DANNYLYN DE CHAVEZ IBANEZ")</f>
        <v>DANNYLYN DE CHAVEZ IBANEZ</v>
      </c>
      <c r="I1014" s="1">
        <f>IFERROR(__xludf.DUMMYFUNCTION("""COMPUTED_VALUE"""),9452946838)</f>
        <v>9452946838</v>
      </c>
      <c r="J1014" s="1">
        <f>IFERROR(__xludf.DUMMYFUNCTION("""COMPUTED_VALUE"""),9060828145)</f>
        <v>9060828145</v>
      </c>
      <c r="K1014" s="1" t="str">
        <f>IFERROR(__xludf.DUMMYFUNCTION("""COMPUTED_VALUE"""),"DANILYNIBANEZ653@GMAIL.COM")</f>
        <v>DANILYNIBANEZ653@GMAIL.COM</v>
      </c>
      <c r="L1014" s="1" t="str">
        <f>IFERROR(__xludf.DUMMYFUNCTION("""COMPUTED_VALUE"""),"9008")</f>
        <v>9008</v>
      </c>
      <c r="M1014" s="1" t="str">
        <f>IFERROR(__xludf.DUMMYFUNCTION("""COMPUTED_VALUE"""),"GOVERNOR DRIVE")</f>
        <v>GOVERNOR DRIVE</v>
      </c>
      <c r="N1014" s="1"/>
      <c r="O1014" s="1"/>
      <c r="P1014" s="1"/>
      <c r="Q1014" s="1" t="str">
        <f>IFERROR(__xludf.DUMMYFUNCTION("""COMPUTED_VALUE"""),"BULIHAN")</f>
        <v>BULIHAN</v>
      </c>
      <c r="R1014" s="1" t="str">
        <f>IFERROR(__xludf.DUMMYFUNCTION("""COMPUTED_VALUE"""),"SILANG")</f>
        <v>SILANG</v>
      </c>
      <c r="S1014" s="1" t="str">
        <f>IFERROR(__xludf.DUMMYFUNCTION("""COMPUTED_VALUE"""),"CAVITE")</f>
        <v>CAVITE</v>
      </c>
      <c r="T1014" s="1" t="str">
        <f>IFERROR(__xludf.DUMMYFUNCTION("""COMPUTED_VALUE"""),"HOME BIZ PLAN 1299")</f>
        <v>HOME BIZ PLAN 1299</v>
      </c>
      <c r="U1014" s="1" t="str">
        <f>IFERROR(__xludf.DUMMYFUNCTION("""COMPUTED_VALUE"""),"APPROVED")</f>
        <v>APPROVED</v>
      </c>
      <c r="V1014" s="1"/>
      <c r="W1014" s="1"/>
    </row>
    <row r="1015" customHeight="1" spans="1:23">
      <c r="A1015" s="3">
        <f>IFERROR(__xludf.DUMMYFUNCTION("""COMPUTED_VALUE"""),46109)</f>
        <v>46109</v>
      </c>
      <c r="B1015" s="1" t="str">
        <f>IFERROR(__xludf.DUMMYFUNCTION("""COMPUTED_VALUE"""),"ESCARCHA, MA ALMA  ESCOTO")</f>
        <v>ESCARCHA, MA ALMA  ESCOTO</v>
      </c>
      <c r="C1015" s="1" t="str">
        <f>IFERROR(__xludf.DUMMYFUNCTION("""COMPUTED_VALUE"""),"ORGANIC")</f>
        <v>ORGANIC</v>
      </c>
      <c r="D1015" s="1" t="str">
        <f>IFERROR(__xludf.DUMMYFUNCTION("""COMPUTED_VALUE"""),"ALINGARO, CINDY")</f>
        <v>ALINGARO, CINDY</v>
      </c>
      <c r="E1015" s="1" t="str">
        <f>IFERROR(__xludf.DUMMYFUNCTION("""COMPUTED_VALUE"""),"PLDT")</f>
        <v>PLDT</v>
      </c>
      <c r="F1015" s="1">
        <f>IFERROR(__xludf.DUMMYFUNCTION("""COMPUTED_VALUE"""),2308540653)</f>
        <v>2308540653</v>
      </c>
      <c r="G1015" s="1"/>
      <c r="H1015" s="1" t="str">
        <f>IFERROR(__xludf.DUMMYFUNCTION("""COMPUTED_VALUE"""),"LUDY GARCIA QUEBALAYAN")</f>
        <v>LUDY GARCIA QUEBALAYAN</v>
      </c>
      <c r="I1015" s="1">
        <f>IFERROR(__xludf.DUMMYFUNCTION("""COMPUTED_VALUE"""),9245023495)</f>
        <v>9245023495</v>
      </c>
      <c r="J1015" s="1">
        <f>IFERROR(__xludf.DUMMYFUNCTION("""COMPUTED_VALUE"""),9673727992)</f>
        <v>9673727992</v>
      </c>
      <c r="K1015" s="1" t="str">
        <f>IFERROR(__xludf.DUMMYFUNCTION("""COMPUTED_VALUE"""),"QUEBALAYANLUDYBEN@GMAIL.COM")</f>
        <v>QUEBALAYANLUDYBEN@GMAIL.COM</v>
      </c>
      <c r="L1015" s="1" t="str">
        <f>IFERROR(__xludf.DUMMYFUNCTION("""COMPUTED_VALUE"""),"BLK 66 LOT 16")</f>
        <v>BLK 66 LOT 16</v>
      </c>
      <c r="M1015" s="1" t="str">
        <f>IFERROR(__xludf.DUMMYFUNCTION("""COMPUTED_VALUE"""),"PHASE 4")</f>
        <v>PHASE 4</v>
      </c>
      <c r="N1015" s="1"/>
      <c r="O1015" s="1"/>
      <c r="P1015" s="1"/>
      <c r="Q1015" s="1" t="str">
        <f>IFERROR(__xludf.DUMMYFUNCTION("""COMPUTED_VALUE"""),"IPIL II")</f>
        <v>IPIL II</v>
      </c>
      <c r="R1015" s="1" t="str">
        <f>IFERROR(__xludf.DUMMYFUNCTION("""COMPUTED_VALUE"""),"SILANG")</f>
        <v>SILANG</v>
      </c>
      <c r="S1015" s="1" t="str">
        <f>IFERROR(__xludf.DUMMYFUNCTION("""COMPUTED_VALUE"""),"CAVITE")</f>
        <v>CAVITE</v>
      </c>
      <c r="T1015" s="1" t="str">
        <f>IFERROR(__xludf.DUMMYFUNCTION("""COMPUTED_VALUE"""),"PREPAID FIBER UNLI")</f>
        <v>PREPAID FIBER UNLI</v>
      </c>
      <c r="U1015" s="1" t="str">
        <f>IFERROR(__xludf.DUMMYFUNCTION("""COMPUTED_VALUE"""),"APPROVED")</f>
        <v>APPROVED</v>
      </c>
      <c r="V1015" s="1"/>
      <c r="W1015" s="1"/>
    </row>
    <row r="1016" customHeight="1" spans="1:23">
      <c r="A1016" s="3">
        <f>IFERROR(__xludf.DUMMYFUNCTION("""COMPUTED_VALUE"""),47206)</f>
        <v>47206</v>
      </c>
      <c r="B1016" s="1" t="str">
        <f>IFERROR(__xludf.DUMMYFUNCTION("""COMPUTED_VALUE"""),"TISTON, CEDRICK")</f>
        <v>TISTON, CEDRICK</v>
      </c>
      <c r="C1016" s="1" t="str">
        <f>IFERROR(__xludf.DUMMYFUNCTION("""COMPUTED_VALUE"""),"FLA")</f>
        <v>FLA</v>
      </c>
      <c r="D1016" s="1" t="str">
        <f>IFERROR(__xludf.DUMMYFUNCTION("""COMPUTED_VALUE"""),"JERIC NAVARRO")</f>
        <v>JERIC NAVARRO</v>
      </c>
      <c r="E1016" s="1" t="str">
        <f>IFERROR(__xludf.DUMMYFUNCTION("""COMPUTED_VALUE"""),"PLDT")</f>
        <v>PLDT</v>
      </c>
      <c r="F1016" s="1">
        <f>IFERROR(__xludf.DUMMYFUNCTION("""COMPUTED_VALUE"""),2308549661)</f>
        <v>2308549661</v>
      </c>
      <c r="G1016" s="1"/>
      <c r="H1016" s="1" t="str">
        <f>IFERROR(__xludf.DUMMYFUNCTION("""COMPUTED_VALUE"""),"JOSHUA DIONISIO LAPENA")</f>
        <v>JOSHUA DIONISIO LAPENA</v>
      </c>
      <c r="I1016" s="1">
        <f>IFERROR(__xludf.DUMMYFUNCTION("""COMPUTED_VALUE"""),9946195615)</f>
        <v>9946195615</v>
      </c>
      <c r="J1016" s="1">
        <f>IFERROR(__xludf.DUMMYFUNCTION("""COMPUTED_VALUE"""),9946195583)</f>
        <v>9946195583</v>
      </c>
      <c r="K1016" s="1" t="str">
        <f>IFERROR(__xludf.DUMMYFUNCTION("""COMPUTED_VALUE"""),"JOSHLAPENA15@GMAIL.COM")</f>
        <v>JOSHLAPENA15@GMAIL.COM</v>
      </c>
      <c r="L1016" s="1" t="str">
        <f>IFERROR(__xludf.DUMMYFUNCTION("""COMPUTED_VALUE"""),"BLK 4 LOT 34")</f>
        <v>BLK 4 LOT 34</v>
      </c>
      <c r="M1016" s="1" t="str">
        <f>IFERROR(__xludf.DUMMYFUNCTION("""COMPUTED_VALUE"""),"YAKAL")</f>
        <v>YAKAL</v>
      </c>
      <c r="N1016" s="1"/>
      <c r="O1016" s="1"/>
      <c r="P1016" s="1"/>
      <c r="Q1016" s="1" t="str">
        <f>IFERROR(__xludf.DUMMYFUNCTION("""COMPUTED_VALUE"""),"SAMPALOC II")</f>
        <v>SAMPALOC II</v>
      </c>
      <c r="R1016" s="1" t="str">
        <f>IFERROR(__xludf.DUMMYFUNCTION("""COMPUTED_VALUE"""),"DASMARINAS")</f>
        <v>DASMARINAS</v>
      </c>
      <c r="S1016" s="1" t="str">
        <f>IFERROR(__xludf.DUMMYFUNCTION("""COMPUTED_VALUE"""),"CAVITE")</f>
        <v>CAVITE</v>
      </c>
      <c r="T1016" s="1" t="str">
        <f>IFERROR(__xludf.DUMMYFUNCTION("""COMPUTED_VALUE"""),"FIBR PLAN 1299")</f>
        <v>FIBR PLAN 1299</v>
      </c>
      <c r="U1016" s="1" t="str">
        <f>IFERROR(__xludf.DUMMYFUNCTION("""COMPUTED_VALUE"""),"APPROVED")</f>
        <v>APPROVED</v>
      </c>
      <c r="V1016" s="1"/>
      <c r="W1016" s="1"/>
    </row>
    <row r="1017" customHeight="1" spans="1:23">
      <c r="A1017" s="3">
        <f>IFERROR(__xludf.DUMMYFUNCTION("""COMPUTED_VALUE"""),47206)</f>
        <v>47206</v>
      </c>
      <c r="B1017" s="1" t="str">
        <f>IFERROR(__xludf.DUMMYFUNCTION("""COMPUTED_VALUE"""),"GABAY, MANUEL")</f>
        <v>GABAY, MANUEL</v>
      </c>
      <c r="C1017" s="1" t="str">
        <f>IFERROR(__xludf.DUMMYFUNCTION("""COMPUTED_VALUE"""),"FLA")</f>
        <v>FLA</v>
      </c>
      <c r="D1017" s="1" t="str">
        <f>IFERROR(__xludf.DUMMYFUNCTION("""COMPUTED_VALUE"""),"JERIC NAVARRO")</f>
        <v>JERIC NAVARRO</v>
      </c>
      <c r="E1017" s="1" t="str">
        <f>IFERROR(__xludf.DUMMYFUNCTION("""COMPUTED_VALUE"""),"PLDT")</f>
        <v>PLDT</v>
      </c>
      <c r="F1017" s="1">
        <f>IFERROR(__xludf.DUMMYFUNCTION("""COMPUTED_VALUE"""),2308550052)</f>
        <v>2308550052</v>
      </c>
      <c r="G1017" s="1"/>
      <c r="H1017" s="1" t="str">
        <f>IFERROR(__xludf.DUMMYFUNCTION("""COMPUTED_VALUE"""),"JOY CANALES TUTANIA")</f>
        <v>JOY CANALES TUTANIA</v>
      </c>
      <c r="I1017" s="1">
        <f>IFERROR(__xludf.DUMMYFUNCTION("""COMPUTED_VALUE"""),9216645074)</f>
        <v>9216645074</v>
      </c>
      <c r="J1017" s="1">
        <f>IFERROR(__xludf.DUMMYFUNCTION("""COMPUTED_VALUE"""),9943157638)</f>
        <v>9943157638</v>
      </c>
      <c r="K1017" s="1" t="str">
        <f>IFERROR(__xludf.DUMMYFUNCTION("""COMPUTED_VALUE"""),"JOYTUTANIA15@GMAIL.COM")</f>
        <v>JOYTUTANIA15@GMAIL.COM</v>
      </c>
      <c r="L1017" s="1" t="str">
        <f>IFERROR(__xludf.DUMMYFUNCTION("""COMPUTED_VALUE"""),"BLK 12 LOT 22")</f>
        <v>BLK 12 LOT 22</v>
      </c>
      <c r="M1017" s="1" t="str">
        <f>IFERROR(__xludf.DUMMYFUNCTION("""COMPUTED_VALUE"""),"KYALA LUMPUR")</f>
        <v>KYALA LUMPUR</v>
      </c>
      <c r="N1017" s="1" t="str">
        <f>IFERROR(__xludf.DUMMYFUNCTION("""COMPUTED_VALUE"""),"SAMN MARINO")</f>
        <v>SAMN MARINO</v>
      </c>
      <c r="O1017" s="1"/>
      <c r="P1017" s="1"/>
      <c r="Q1017" s="1" t="str">
        <f>IFERROR(__xludf.DUMMYFUNCTION("""COMPUTED_VALUE"""),"SALAWAG")</f>
        <v>SALAWAG</v>
      </c>
      <c r="R1017" s="1" t="str">
        <f>IFERROR(__xludf.DUMMYFUNCTION("""COMPUTED_VALUE"""),"DASMARINAS")</f>
        <v>DASMARINAS</v>
      </c>
      <c r="S1017" s="1" t="str">
        <f>IFERROR(__xludf.DUMMYFUNCTION("""COMPUTED_VALUE"""),"CAVITE")</f>
        <v>CAVITE</v>
      </c>
      <c r="T1017" s="1" t="str">
        <f>IFERROR(__xludf.DUMMYFUNCTION("""COMPUTED_VALUE"""),"FIBR UNLI ALL PLAN 1399")</f>
        <v>FIBR UNLI ALL PLAN 1399</v>
      </c>
      <c r="U1017" s="1" t="str">
        <f>IFERROR(__xludf.DUMMYFUNCTION("""COMPUTED_VALUE"""),"APPROVED")</f>
        <v>APPROVED</v>
      </c>
      <c r="V1017" s="1"/>
      <c r="W1017" s="1"/>
    </row>
    <row r="1018" customHeight="1" spans="1:23">
      <c r="A1018" s="3">
        <f>IFERROR(__xludf.DUMMYFUNCTION("""COMPUTED_VALUE"""),47206)</f>
        <v>47206</v>
      </c>
      <c r="B1018" s="1" t="str">
        <f>IFERROR(__xludf.DUMMYFUNCTION("""COMPUTED_VALUE"""),"MAGDARAOG, KENNETH")</f>
        <v>MAGDARAOG, KENNETH</v>
      </c>
      <c r="C1018" s="1" t="str">
        <f>IFERROR(__xludf.DUMMYFUNCTION("""COMPUTED_VALUE"""),"ORGANIC")</f>
        <v>ORGANIC</v>
      </c>
      <c r="D1018" s="1" t="str">
        <f>IFERROR(__xludf.DUMMYFUNCTION("""COMPUTED_VALUE"""),"ALINGARO, CINDY")</f>
        <v>ALINGARO, CINDY</v>
      </c>
      <c r="E1018" s="1" t="str">
        <f>IFERROR(__xludf.DUMMYFUNCTION("""COMPUTED_VALUE"""),"PLDT")</f>
        <v>PLDT</v>
      </c>
      <c r="F1018" s="1">
        <f>IFERROR(__xludf.DUMMYFUNCTION("""COMPUTED_VALUE"""),2308550156)</f>
        <v>2308550156</v>
      </c>
      <c r="G1018" s="1"/>
      <c r="H1018" s="1" t="str">
        <f>IFERROR(__xludf.DUMMYFUNCTION("""COMPUTED_VALUE"""),"ARIEL ZARATE CRUZADA")</f>
        <v>ARIEL ZARATE CRUZADA</v>
      </c>
      <c r="I1018" s="1">
        <f>IFERROR(__xludf.DUMMYFUNCTION("""COMPUTED_VALUE"""),9389327054)</f>
        <v>9389327054</v>
      </c>
      <c r="J1018" s="1"/>
      <c r="K1018" s="1" t="str">
        <f>IFERROR(__xludf.DUMMYFUNCTION("""COMPUTED_VALUE"""),"PTRCGLRN@GMAIL.COM")</f>
        <v>PTRCGLRN@GMAIL.COM</v>
      </c>
      <c r="L1018" s="1" t="str">
        <f>IFERROR(__xludf.DUMMYFUNCTION("""COMPUTED_VALUE"""),"164")</f>
        <v>164</v>
      </c>
      <c r="M1018" s="1" t="str">
        <f>IFERROR(__xludf.DUMMYFUNCTION("""COMPUTED_VALUE"""),"CRUZADA")</f>
        <v>CRUZADA</v>
      </c>
      <c r="N1018" s="1"/>
      <c r="O1018" s="1"/>
      <c r="P1018" s="1"/>
      <c r="Q1018" s="1" t="str">
        <f>IFERROR(__xludf.DUMMYFUNCTION("""COMPUTED_VALUE"""),"BARANGAY III (POB.)")</f>
        <v>BARANGAY III (POB.)</v>
      </c>
      <c r="R1018" s="1" t="str">
        <f>IFERROR(__xludf.DUMMYFUNCTION("""COMPUTED_VALUE"""),"ALFONSO")</f>
        <v>ALFONSO</v>
      </c>
      <c r="S1018" s="1" t="str">
        <f>IFERROR(__xludf.DUMMYFUNCTION("""COMPUTED_VALUE"""),"CAVITE")</f>
        <v>CAVITE</v>
      </c>
      <c r="T1018" s="1" t="str">
        <f>IFERROR(__xludf.DUMMYFUNCTION("""COMPUTED_VALUE"""),"PREPAID FIBER UNLI")</f>
        <v>PREPAID FIBER UNLI</v>
      </c>
      <c r="U1018" s="1" t="str">
        <f>IFERROR(__xludf.DUMMYFUNCTION("""COMPUTED_VALUE"""),"APPROVED")</f>
        <v>APPROVED</v>
      </c>
      <c r="V1018" s="1"/>
      <c r="W1018" s="1"/>
    </row>
    <row r="1019" customHeight="1" spans="1:23">
      <c r="A1019" s="3">
        <f>IFERROR(__xludf.DUMMYFUNCTION("""COMPUTED_VALUE"""),47206)</f>
        <v>47206</v>
      </c>
      <c r="B1019" s="1" t="str">
        <f>IFERROR(__xludf.DUMMYFUNCTION("""COMPUTED_VALUE"""),"ESCARCHA, MA ALMA  ESCOTO")</f>
        <v>ESCARCHA, MA ALMA  ESCOTO</v>
      </c>
      <c r="C1019" s="1" t="str">
        <f>IFERROR(__xludf.DUMMYFUNCTION("""COMPUTED_VALUE"""),"ORGANIC")</f>
        <v>ORGANIC</v>
      </c>
      <c r="D1019" s="1" t="str">
        <f>IFERROR(__xludf.DUMMYFUNCTION("""COMPUTED_VALUE"""),"ALINGARO, CINDY")</f>
        <v>ALINGARO, CINDY</v>
      </c>
      <c r="E1019" s="1" t="str">
        <f>IFERROR(__xludf.DUMMYFUNCTION("""COMPUTED_VALUE"""),"PLDT")</f>
        <v>PLDT</v>
      </c>
      <c r="F1019" s="1">
        <f>IFERROR(__xludf.DUMMYFUNCTION("""COMPUTED_VALUE"""),2308553196)</f>
        <v>2308553196</v>
      </c>
      <c r="G1019" s="1"/>
      <c r="H1019" s="1" t="str">
        <f>IFERROR(__xludf.DUMMYFUNCTION("""COMPUTED_VALUE"""),"MARIA BELINDA CHAVEZ SARABIA")</f>
        <v>MARIA BELINDA CHAVEZ SARABIA</v>
      </c>
      <c r="I1019" s="1">
        <f>IFERROR(__xludf.DUMMYFUNCTION("""COMPUTED_VALUE"""),9512715187)</f>
        <v>9512715187</v>
      </c>
      <c r="J1019" s="1">
        <f>IFERROR(__xludf.DUMMYFUNCTION("""COMPUTED_VALUE"""),9167035797)</f>
        <v>9167035797</v>
      </c>
      <c r="K1019" s="1" t="str">
        <f>IFERROR(__xludf.DUMMYFUNCTION("""COMPUTED_VALUE"""),"JEYSIDECASTRO@GMAIL.COM")</f>
        <v>JEYSIDECASTRO@GMAIL.COM</v>
      </c>
      <c r="L1019" s="1" t="str">
        <f>IFERROR(__xludf.DUMMYFUNCTION("""COMPUTED_VALUE"""),"BLK 2 LOT 5")</f>
        <v>BLK 2 LOT 5</v>
      </c>
      <c r="M1019" s="1" t="str">
        <f>IFERROR(__xludf.DUMMYFUNCTION("""COMPUTED_VALUE"""),"LITABAY")</f>
        <v>LITABAY</v>
      </c>
      <c r="N1019" s="1"/>
      <c r="O1019" s="1"/>
      <c r="P1019" s="1"/>
      <c r="Q1019" s="1" t="str">
        <f>IFERROR(__xludf.DUMMYFUNCTION("""COMPUTED_VALUE"""),"PANUNGYAN I")</f>
        <v>PANUNGYAN I</v>
      </c>
      <c r="R1019" s="1" t="str">
        <f>IFERROR(__xludf.DUMMYFUNCTION("""COMPUTED_VALUE"""),"MENDEZ")</f>
        <v>MENDEZ</v>
      </c>
      <c r="S1019" s="1" t="str">
        <f>IFERROR(__xludf.DUMMYFUNCTION("""COMPUTED_VALUE"""),"CAVITE")</f>
        <v>CAVITE</v>
      </c>
      <c r="T1019" s="1" t="str">
        <f>IFERROR(__xludf.DUMMYFUNCTION("""COMPUTED_VALUE"""),"FIBR PLAN 1299")</f>
        <v>FIBR PLAN 1299</v>
      </c>
      <c r="U1019" s="1" t="str">
        <f>IFERROR(__xludf.DUMMYFUNCTION("""COMPUTED_VALUE"""),"APPROVED")</f>
        <v>APPROVED</v>
      </c>
      <c r="V1019" s="1"/>
      <c r="W1019" s="1"/>
    </row>
    <row r="1020" customHeight="1" spans="1:23">
      <c r="A1020" s="3">
        <f>IFERROR(__xludf.DUMMYFUNCTION("""COMPUTED_VALUE"""),47206)</f>
        <v>47206</v>
      </c>
      <c r="B1020" s="1" t="str">
        <f>IFERROR(__xludf.DUMMYFUNCTION("""COMPUTED_VALUE"""),"AQUINO, LUIS")</f>
        <v>AQUINO, LUIS</v>
      </c>
      <c r="C1020" s="1" t="str">
        <f>IFERROR(__xludf.DUMMYFUNCTION("""COMPUTED_VALUE"""),"ORGANIC")</f>
        <v>ORGANIC</v>
      </c>
      <c r="D1020" s="1" t="str">
        <f>IFERROR(__xludf.DUMMYFUNCTION("""COMPUTED_VALUE"""),"ALOS, CHARLS")</f>
        <v>ALOS, CHARLS</v>
      </c>
      <c r="E1020" s="1" t="str">
        <f>IFERROR(__xludf.DUMMYFUNCTION("""COMPUTED_VALUE"""),"PLDT")</f>
        <v>PLDT</v>
      </c>
      <c r="F1020" s="1">
        <f>IFERROR(__xludf.DUMMYFUNCTION("""COMPUTED_VALUE"""),2308554730)</f>
        <v>2308554730</v>
      </c>
      <c r="G1020" s="1"/>
      <c r="H1020" s="1" t="str">
        <f>IFERROR(__xludf.DUMMYFUNCTION("""COMPUTED_VALUE"""),"JOHN PAUL GONZALES DADAP")</f>
        <v>JOHN PAUL GONZALES DADAP</v>
      </c>
      <c r="I1020" s="1">
        <f>IFERROR(__xludf.DUMMYFUNCTION("""COMPUTED_VALUE"""),9676654826)</f>
        <v>9676654826</v>
      </c>
      <c r="J1020" s="1">
        <f>IFERROR(__xludf.DUMMYFUNCTION("""COMPUTED_VALUE"""),9603069047)</f>
        <v>9603069047</v>
      </c>
      <c r="K1020" s="1" t="str">
        <f>IFERROR(__xludf.DUMMYFUNCTION("""COMPUTED_VALUE"""),"PMPPRJCAJR3180411@GMAIL.COM")</f>
        <v>PMPPRJCAJR3180411@GMAIL.COM</v>
      </c>
      <c r="L1020" s="1" t="str">
        <f>IFERROR(__xludf.DUMMYFUNCTION("""COMPUTED_VALUE"""),"BLK 55 LOT 34")</f>
        <v>BLK 55 LOT 34</v>
      </c>
      <c r="M1020" s="1" t="str">
        <f>IFERROR(__xludf.DUMMYFUNCTION("""COMPUTED_VALUE"""),"PHSE 2")</f>
        <v>PHSE 2</v>
      </c>
      <c r="N1020" s="1" t="str">
        <f>IFERROR(__xludf.DUMMYFUNCTION("""COMPUTED_VALUE"""),"BAUTISTA")</f>
        <v>BAUTISTA</v>
      </c>
      <c r="O1020" s="1"/>
      <c r="P1020" s="1"/>
      <c r="Q1020" s="1" t="str">
        <f>IFERROR(__xludf.DUMMYFUNCTION("""COMPUTED_VALUE"""),"SAMPALOC IV")</f>
        <v>SAMPALOC IV</v>
      </c>
      <c r="R1020" s="1" t="str">
        <f>IFERROR(__xludf.DUMMYFUNCTION("""COMPUTED_VALUE"""),"DASMARINAS")</f>
        <v>DASMARINAS</v>
      </c>
      <c r="S1020" s="1" t="str">
        <f>IFERROR(__xludf.DUMMYFUNCTION("""COMPUTED_VALUE"""),"CAVITE")</f>
        <v>CAVITE</v>
      </c>
      <c r="T1020" s="1" t="str">
        <f>IFERROR(__xludf.DUMMYFUNCTION("""COMPUTED_VALUE"""),"FIBR UNLI ALL PLAN 999")</f>
        <v>FIBR UNLI ALL PLAN 999</v>
      </c>
      <c r="U1020" s="1" t="str">
        <f>IFERROR(__xludf.DUMMYFUNCTION("""COMPUTED_VALUE"""),"APPROVED")</f>
        <v>APPROVED</v>
      </c>
      <c r="V1020" s="1"/>
      <c r="W1020" s="1"/>
    </row>
    <row r="1021" customHeight="1" spans="1:23">
      <c r="A1021" s="3">
        <f>IFERROR(__xludf.DUMMYFUNCTION("""COMPUTED_VALUE"""),47206)</f>
        <v>47206</v>
      </c>
      <c r="B1021" s="1" t="str">
        <f>IFERROR(__xludf.DUMMYFUNCTION("""COMPUTED_VALUE"""),"AYON MANUEL")</f>
        <v>AYON MANUEL</v>
      </c>
      <c r="C1021" s="1" t="str">
        <f>IFERROR(__xludf.DUMMYFUNCTION("""COMPUTED_VALUE"""),"FLA")</f>
        <v>FLA</v>
      </c>
      <c r="D1021" s="1" t="str">
        <f>IFERROR(__xludf.DUMMYFUNCTION("""COMPUTED_VALUE"""),"JERIC NAVARRO")</f>
        <v>JERIC NAVARRO</v>
      </c>
      <c r="E1021" s="1" t="str">
        <f>IFERROR(__xludf.DUMMYFUNCTION("""COMPUTED_VALUE"""),"PLDT")</f>
        <v>PLDT</v>
      </c>
      <c r="F1021" s="1">
        <f>IFERROR(__xludf.DUMMYFUNCTION("""COMPUTED_VALUE"""),2308554464)</f>
        <v>2308554464</v>
      </c>
      <c r="G1021" s="1"/>
      <c r="H1021" s="1" t="str">
        <f>IFERROR(__xludf.DUMMYFUNCTION("""COMPUTED_VALUE"""),"ROJANH AHLUM ONCHER LEPARDO ")</f>
        <v>ROJANH AHLUM ONCHER LEPARDO </v>
      </c>
      <c r="I1021" s="1">
        <f>IFERROR(__xludf.DUMMYFUNCTION("""COMPUTED_VALUE"""),9568855631)</f>
        <v>9568855631</v>
      </c>
      <c r="J1021" s="1">
        <f>IFERROR(__xludf.DUMMYFUNCTION("""COMPUTED_VALUE"""),9163236329)</f>
        <v>9163236329</v>
      </c>
      <c r="K1021" s="1" t="str">
        <f>IFERROR(__xludf.DUMMYFUNCTION("""COMPUTED_VALUE"""),"LEPARDO08@GMAIL.COM")</f>
        <v>LEPARDO08@GMAIL.COM</v>
      </c>
      <c r="L1021" s="1" t="str">
        <f>IFERROR(__xludf.DUMMYFUNCTION("""COMPUTED_VALUE"""),"2653")</f>
        <v>2653</v>
      </c>
      <c r="M1021" s="1" t="str">
        <f>IFERROR(__xludf.DUMMYFUNCTION("""COMPUTED_VALUE"""),"MENDEZ ALFONSO RD")</f>
        <v>MENDEZ ALFONSO RD</v>
      </c>
      <c r="N1021" s="1"/>
      <c r="O1021" s="1"/>
      <c r="P1021" s="1"/>
      <c r="Q1021" s="1" t="str">
        <f>IFERROR(__xludf.DUMMYFUNCTION("""COMPUTED_VALUE"""),"PANUNGYAN I")</f>
        <v>PANUNGYAN I</v>
      </c>
      <c r="R1021" s="1" t="str">
        <f>IFERROR(__xludf.DUMMYFUNCTION("""COMPUTED_VALUE"""),"MENDEZ")</f>
        <v>MENDEZ</v>
      </c>
      <c r="S1021" s="1" t="str">
        <f>IFERROR(__xludf.DUMMYFUNCTION("""COMPUTED_VALUE"""),"CAVITE")</f>
        <v>CAVITE</v>
      </c>
      <c r="T1021" s="1" t="str">
        <f>IFERROR(__xludf.DUMMYFUNCTION("""COMPUTED_VALUE"""),"PREPAID FIBER UNLI")</f>
        <v>PREPAID FIBER UNLI</v>
      </c>
      <c r="U1021" s="1" t="str">
        <f>IFERROR(__xludf.DUMMYFUNCTION("""COMPUTED_VALUE"""),"APPROVED")</f>
        <v>APPROVED</v>
      </c>
      <c r="V1021" s="1"/>
      <c r="W1021" s="1"/>
    </row>
    <row r="1022" customHeight="1" spans="1:23">
      <c r="A1022" s="3">
        <f>IFERROR(__xludf.DUMMYFUNCTION("""COMPUTED_VALUE"""),47206)</f>
        <v>47206</v>
      </c>
      <c r="B1022" s="1" t="str">
        <f>IFERROR(__xludf.DUMMYFUNCTION("""COMPUTED_VALUE"""),"FARO, REFRANTA")</f>
        <v>FARO, REFRANTA</v>
      </c>
      <c r="C1022" s="1" t="str">
        <f>IFERROR(__xludf.DUMMYFUNCTION("""COMPUTED_VALUE"""),"ORGANIC")</f>
        <v>ORGANIC</v>
      </c>
      <c r="D1022" s="1" t="str">
        <f>IFERROR(__xludf.DUMMYFUNCTION("""COMPUTED_VALUE"""),"ALINGARO, CINDY")</f>
        <v>ALINGARO, CINDY</v>
      </c>
      <c r="E1022" s="1" t="str">
        <f>IFERROR(__xludf.DUMMYFUNCTION("""COMPUTED_VALUE"""),"PLDT")</f>
        <v>PLDT</v>
      </c>
      <c r="F1022" s="1">
        <f>IFERROR(__xludf.DUMMYFUNCTION("""COMPUTED_VALUE"""),2308555109)</f>
        <v>2308555109</v>
      </c>
      <c r="G1022" s="1"/>
      <c r="H1022" s="1" t="str">
        <f>IFERROR(__xludf.DUMMYFUNCTION("""COMPUTED_VALUE"""),"WILLIAM PABLICO JIMENEZ")</f>
        <v>WILLIAM PABLICO JIMENEZ</v>
      </c>
      <c r="I1022" s="1">
        <f>IFERROR(__xludf.DUMMYFUNCTION("""COMPUTED_VALUE"""),9469582849)</f>
        <v>9469582849</v>
      </c>
      <c r="J1022" s="1"/>
      <c r="K1022" s="1" t="str">
        <f>IFERROR(__xludf.DUMMYFUNCTION("""COMPUTED_VALUE"""),"RAVENCLOUDBCOZ@GMAIL.COM")</f>
        <v>RAVENCLOUDBCOZ@GMAIL.COM</v>
      </c>
      <c r="L1022" s="1" t="str">
        <f>IFERROR(__xludf.DUMMYFUNCTION("""COMPUTED_VALUE"""),"123")</f>
        <v>123</v>
      </c>
      <c r="M1022" s="1" t="str">
        <f>IFERROR(__xludf.DUMMYFUNCTION("""COMPUTED_VALUE"""),"LITABAY")</f>
        <v>LITABAY</v>
      </c>
      <c r="N1022" s="1"/>
      <c r="O1022" s="1"/>
      <c r="P1022" s="1"/>
      <c r="Q1022" s="1" t="str">
        <f>IFERROR(__xludf.DUMMYFUNCTION("""COMPUTED_VALUE"""),"PANUNGYAN I")</f>
        <v>PANUNGYAN I</v>
      </c>
      <c r="R1022" s="1" t="str">
        <f>IFERROR(__xludf.DUMMYFUNCTION("""COMPUTED_VALUE"""),"MENDEZ")</f>
        <v>MENDEZ</v>
      </c>
      <c r="S1022" s="1" t="str">
        <f>IFERROR(__xludf.DUMMYFUNCTION("""COMPUTED_VALUE"""),"CAVITE")</f>
        <v>CAVITE</v>
      </c>
      <c r="T1022" s="1" t="str">
        <f>IFERROR(__xludf.DUMMYFUNCTION("""COMPUTED_VALUE"""),"FIBR UNLI ALL PLAN 1399")</f>
        <v>FIBR UNLI ALL PLAN 1399</v>
      </c>
      <c r="U1022" s="1" t="str">
        <f>IFERROR(__xludf.DUMMYFUNCTION("""COMPUTED_VALUE"""),"APPROVED")</f>
        <v>APPROVED</v>
      </c>
      <c r="V1022" s="1"/>
      <c r="W1022" s="1"/>
    </row>
    <row r="1023" customHeight="1" spans="1:23">
      <c r="A1023" s="3">
        <f>IFERROR(__xludf.DUMMYFUNCTION("""COMPUTED_VALUE"""),47206)</f>
        <v>47206</v>
      </c>
      <c r="B1023" s="1" t="str">
        <f>IFERROR(__xludf.DUMMYFUNCTION("""COMPUTED_VALUE"""),"ESCARCHA, MA ALMA  ESCOTO")</f>
        <v>ESCARCHA, MA ALMA  ESCOTO</v>
      </c>
      <c r="C1023" s="1" t="str">
        <f>IFERROR(__xludf.DUMMYFUNCTION("""COMPUTED_VALUE"""),"ORGANIC")</f>
        <v>ORGANIC</v>
      </c>
      <c r="D1023" s="1" t="str">
        <f>IFERROR(__xludf.DUMMYFUNCTION("""COMPUTED_VALUE"""),"ALINGARO, CINDY")</f>
        <v>ALINGARO, CINDY</v>
      </c>
      <c r="E1023" s="1" t="str">
        <f>IFERROR(__xludf.DUMMYFUNCTION("""COMPUTED_VALUE"""),"PLDT")</f>
        <v>PLDT</v>
      </c>
      <c r="F1023" s="1">
        <f>IFERROR(__xludf.DUMMYFUNCTION("""COMPUTED_VALUE"""),2308566144)</f>
        <v>2308566144</v>
      </c>
      <c r="G1023" s="1"/>
      <c r="H1023" s="1" t="str">
        <f>IFERROR(__xludf.DUMMYFUNCTION("""COMPUTED_VALUE"""),"MARIFE BUENAFLOR GARIL")</f>
        <v>MARIFE BUENAFLOR GARIL</v>
      </c>
      <c r="I1023" s="1">
        <f>IFERROR(__xludf.DUMMYFUNCTION("""COMPUTED_VALUE"""),9051987443)</f>
        <v>9051987443</v>
      </c>
      <c r="J1023" s="1"/>
      <c r="K1023" s="1" t="str">
        <f>IFERROR(__xludf.DUMMYFUNCTION("""COMPUTED_VALUE"""),"MARIFEGARIL17@GMAIL.COM")</f>
        <v>MARIFEGARIL17@GMAIL.COM</v>
      </c>
      <c r="L1023" s="1" t="str">
        <f>IFERROR(__xludf.DUMMYFUNCTION("""COMPUTED_VALUE"""),"9552")</f>
        <v>9552</v>
      </c>
      <c r="M1023" s="1" t="str">
        <f>IFERROR(__xludf.DUMMYFUNCTION("""COMPUTED_VALUE"""),"SITIO ABUHAN")</f>
        <v>SITIO ABUHAN</v>
      </c>
      <c r="N1023" s="1"/>
      <c r="O1023" s="1"/>
      <c r="P1023" s="1"/>
      <c r="Q1023" s="1" t="str">
        <f>IFERROR(__xludf.DUMMYFUNCTION("""COMPUTED_VALUE"""),"MAGUYAM")</f>
        <v>MAGUYAM</v>
      </c>
      <c r="R1023" s="1" t="str">
        <f>IFERROR(__xludf.DUMMYFUNCTION("""COMPUTED_VALUE"""),"SILANG")</f>
        <v>SILANG</v>
      </c>
      <c r="S1023" s="1" t="str">
        <f>IFERROR(__xludf.DUMMYFUNCTION("""COMPUTED_VALUE"""),"CAVITE")</f>
        <v>CAVITE</v>
      </c>
      <c r="T1023" s="1" t="str">
        <f>IFERROR(__xludf.DUMMYFUNCTION("""COMPUTED_VALUE"""),"FIBR PLAN 1299")</f>
        <v>FIBR PLAN 1299</v>
      </c>
      <c r="U1023" s="1" t="str">
        <f>IFERROR(__xludf.DUMMYFUNCTION("""COMPUTED_VALUE"""),"APPROVED")</f>
        <v>APPROVED</v>
      </c>
      <c r="V1023" s="1" t="str">
        <f>IFERROR(__xludf.DUMMYFUNCTION("""COMPUTED_VALUE"""),"FOR CAFAC CHECKING")</f>
        <v>FOR CAFAC CHECKING</v>
      </c>
      <c r="W1023" s="1"/>
    </row>
    <row r="1024" customHeight="1" spans="1:23">
      <c r="A1024" s="3">
        <f>IFERROR(__xludf.DUMMYFUNCTION("""COMPUTED_VALUE"""),46111)</f>
        <v>46111</v>
      </c>
      <c r="B1024" s="1" t="str">
        <f>IFERROR(__xludf.DUMMYFUNCTION("""COMPUTED_VALUE"""),"FARO, REFRANTA")</f>
        <v>FARO, REFRANTA</v>
      </c>
      <c r="C1024" s="1" t="str">
        <f>IFERROR(__xludf.DUMMYFUNCTION("""COMPUTED_VALUE"""),"ORGANIC")</f>
        <v>ORGANIC</v>
      </c>
      <c r="D1024" s="1" t="str">
        <f>IFERROR(__xludf.DUMMYFUNCTION("""COMPUTED_VALUE"""),"ALINGARO, CINDY")</f>
        <v>ALINGARO, CINDY</v>
      </c>
      <c r="E1024" s="1" t="str">
        <f>IFERROR(__xludf.DUMMYFUNCTION("""COMPUTED_VALUE"""),"PLDT")</f>
        <v>PLDT</v>
      </c>
      <c r="F1024" s="1">
        <f>IFERROR(__xludf.DUMMYFUNCTION("""COMPUTED_VALUE"""),2308567597)</f>
        <v>2308567597</v>
      </c>
      <c r="G1024" s="1"/>
      <c r="H1024" s="1" t="str">
        <f>IFERROR(__xludf.DUMMYFUNCTION("""COMPUTED_VALUE"""),"ROSANNA TATING CLARO")</f>
        <v>ROSANNA TATING CLARO</v>
      </c>
      <c r="I1024" s="1">
        <f>IFERROR(__xludf.DUMMYFUNCTION("""COMPUTED_VALUE"""),9304467373)</f>
        <v>9304467373</v>
      </c>
      <c r="J1024" s="1"/>
      <c r="K1024" s="1" t="str">
        <f>IFERROR(__xludf.DUMMYFUNCTION("""COMPUTED_VALUE"""),"JILLIANTATING04292013@GMAIL.COM")</f>
        <v>JILLIANTATING04292013@GMAIL.COM</v>
      </c>
      <c r="L1024" s="1" t="str">
        <f>IFERROR(__xludf.DUMMYFUNCTION("""COMPUTED_VALUE"""),"BLK 17 LOT 9")</f>
        <v>BLK 17 LOT 9</v>
      </c>
      <c r="M1024" s="1" t="str">
        <f>IFERROR(__xludf.DUMMYFUNCTION("""COMPUTED_VALUE"""),"NARRA RD")</f>
        <v>NARRA RD</v>
      </c>
      <c r="N1024" s="1"/>
      <c r="O1024" s="1"/>
      <c r="P1024" s="1"/>
      <c r="Q1024" s="1" t="str">
        <f>IFERROR(__xludf.DUMMYFUNCTION("""COMPUTED_VALUE"""),"NARRA II")</f>
        <v>NARRA II</v>
      </c>
      <c r="R1024" s="1" t="str">
        <f>IFERROR(__xludf.DUMMYFUNCTION("""COMPUTED_VALUE"""),"SILANG")</f>
        <v>SILANG</v>
      </c>
      <c r="S1024" s="1" t="str">
        <f>IFERROR(__xludf.DUMMYFUNCTION("""COMPUTED_VALUE"""),"CAVITE")</f>
        <v>CAVITE</v>
      </c>
      <c r="T1024" s="1" t="str">
        <f>IFERROR(__xludf.DUMMYFUNCTION("""COMPUTED_VALUE"""),"FIBR NETFLIX PLAN 1599")</f>
        <v>FIBR NETFLIX PLAN 1599</v>
      </c>
      <c r="U1024" s="1" t="str">
        <f>IFERROR(__xludf.DUMMYFUNCTION("""COMPUTED_VALUE"""),"APPROVED")</f>
        <v>APPROVED</v>
      </c>
      <c r="V1024" s="1"/>
      <c r="W1024" s="1"/>
    </row>
    <row r="1025" customHeight="1" spans="1:23">
      <c r="A1025" s="3">
        <f>IFERROR(__xludf.DUMMYFUNCTION("""COMPUTED_VALUE"""),46111)</f>
        <v>46111</v>
      </c>
      <c r="B1025" s="1" t="str">
        <f>IFERROR(__xludf.DUMMYFUNCTION("""COMPUTED_VALUE"""),"MALIWAT MARK ELVIN")</f>
        <v>MALIWAT MARK ELVIN</v>
      </c>
      <c r="C1025" s="1" t="str">
        <f>IFERROR(__xludf.DUMMYFUNCTION("""COMPUTED_VALUE"""),"FLA")</f>
        <v>FLA</v>
      </c>
      <c r="D1025" s="1" t="str">
        <f>IFERROR(__xludf.DUMMYFUNCTION("""COMPUTED_VALUE"""),"JERIC NAVARRO")</f>
        <v>JERIC NAVARRO</v>
      </c>
      <c r="E1025" s="1" t="str">
        <f>IFERROR(__xludf.DUMMYFUNCTION("""COMPUTED_VALUE"""),"PLDT")</f>
        <v>PLDT</v>
      </c>
      <c r="F1025" s="1">
        <f>IFERROR(__xludf.DUMMYFUNCTION("""COMPUTED_VALUE"""),2308566763)</f>
        <v>2308566763</v>
      </c>
      <c r="G1025" s="1"/>
      <c r="H1025" s="1" t="str">
        <f>IFERROR(__xludf.DUMMYFUNCTION("""COMPUTED_VALUE"""),"VERONICA MAGAYANES HOLANDA")</f>
        <v>VERONICA MAGAYANES HOLANDA</v>
      </c>
      <c r="I1025" s="1">
        <f>IFERROR(__xludf.DUMMYFUNCTION("""COMPUTED_VALUE"""),9705051137)</f>
        <v>9705051137</v>
      </c>
      <c r="J1025" s="1">
        <f>IFERROR(__xludf.DUMMYFUNCTION("""COMPUTED_VALUE"""),9631681049)</f>
        <v>9631681049</v>
      </c>
      <c r="K1025" s="1" t="str">
        <f>IFERROR(__xludf.DUMMYFUNCTION("""COMPUTED_VALUE"""),"VERONICAHOLANDA8@GMAIL.COM")</f>
        <v>VERONICAHOLANDA8@GMAIL.COM</v>
      </c>
      <c r="L1025" s="1" t="str">
        <f>IFERROR(__xludf.DUMMYFUNCTION("""COMPUTED_VALUE"""),"BLK 57 ")</f>
        <v>BLK 57 </v>
      </c>
      <c r="M1025" s="1" t="str">
        <f>IFERROR(__xludf.DUMMYFUNCTION("""COMPUTED_VALUE"""),"EXCESS LOT")</f>
        <v>EXCESS LOT</v>
      </c>
      <c r="N1025" s="1" t="str">
        <f>IFERROR(__xludf.DUMMYFUNCTION("""COMPUTED_VALUE"""),"CHRV")</f>
        <v>CHRV</v>
      </c>
      <c r="O1025" s="1"/>
      <c r="P1025" s="1"/>
      <c r="Q1025" s="1" t="str">
        <f>IFERROR(__xludf.DUMMYFUNCTION("""COMPUTED_VALUE"""),"LANGKAAN II")</f>
        <v>LANGKAAN II</v>
      </c>
      <c r="R1025" s="1" t="str">
        <f>IFERROR(__xludf.DUMMYFUNCTION("""COMPUTED_VALUE"""),"DASMARINAS")</f>
        <v>DASMARINAS</v>
      </c>
      <c r="S1025" s="1" t="str">
        <f>IFERROR(__xludf.DUMMYFUNCTION("""COMPUTED_VALUE"""),"CAVITE")</f>
        <v>CAVITE</v>
      </c>
      <c r="T1025" s="1" t="str">
        <f>IFERROR(__xludf.DUMMYFUNCTION("""COMPUTED_VALUE"""),"FIBR PLAN 2099")</f>
        <v>FIBR PLAN 2099</v>
      </c>
      <c r="U1025" s="1" t="str">
        <f>IFERROR(__xludf.DUMMYFUNCTION("""COMPUTED_VALUE"""),"APPROVED")</f>
        <v>APPROVED</v>
      </c>
      <c r="V1025" s="1"/>
      <c r="W1025" s="1"/>
    </row>
    <row r="1026" customHeight="1" spans="1:23">
      <c r="A1026" s="3">
        <f>IFERROR(__xludf.DUMMYFUNCTION("""COMPUTED_VALUE"""),46111)</f>
        <v>46111</v>
      </c>
      <c r="B1026" s="1" t="str">
        <f>IFERROR(__xludf.DUMMYFUNCTION("""COMPUTED_VALUE"""),"FARO, REFRANTA")</f>
        <v>FARO, REFRANTA</v>
      </c>
      <c r="C1026" s="1" t="str">
        <f>IFERROR(__xludf.DUMMYFUNCTION("""COMPUTED_VALUE"""),"ORGANIC")</f>
        <v>ORGANIC</v>
      </c>
      <c r="D1026" s="1" t="str">
        <f>IFERROR(__xludf.DUMMYFUNCTION("""COMPUTED_VALUE"""),"ALINGARO, CINDY")</f>
        <v>ALINGARO, CINDY</v>
      </c>
      <c r="E1026" s="1" t="str">
        <f>IFERROR(__xludf.DUMMYFUNCTION("""COMPUTED_VALUE"""),"PLDT")</f>
        <v>PLDT</v>
      </c>
      <c r="F1026" s="1">
        <f>IFERROR(__xludf.DUMMYFUNCTION("""COMPUTED_VALUE"""),2308567059)</f>
        <v>2308567059</v>
      </c>
      <c r="G1026" s="1"/>
      <c r="H1026" s="1" t="str">
        <f>IFERROR(__xludf.DUMMYFUNCTION("""COMPUTED_VALUE"""),"MARIA TEMENIA ABRAHAM")</f>
        <v>MARIA TEMENIA ABRAHAM</v>
      </c>
      <c r="I1026" s="1">
        <f>IFERROR(__xludf.DUMMYFUNCTION("""COMPUTED_VALUE"""),9514931405)</f>
        <v>9514931405</v>
      </c>
      <c r="J1026" s="1"/>
      <c r="K1026" s="1" t="str">
        <f>IFERROR(__xludf.DUMMYFUNCTION("""COMPUTED_VALUE"""),"MARIA.02231954@GMAIL.COM")</f>
        <v>MARIA.02231954@GMAIL.COM</v>
      </c>
      <c r="L1026" s="1" t="str">
        <f>IFERROR(__xludf.DUMMYFUNCTION("""COMPUTED_VALUE"""),"BLK 13 LOT 6")</f>
        <v>BLK 13 LOT 6</v>
      </c>
      <c r="M1026" s="1" t="str">
        <f>IFERROR(__xludf.DUMMYFUNCTION("""COMPUTED_VALUE"""),"NARRA RD")</f>
        <v>NARRA RD</v>
      </c>
      <c r="N1026" s="1"/>
      <c r="O1026" s="1"/>
      <c r="P1026" s="1"/>
      <c r="Q1026" s="1" t="str">
        <f>IFERROR(__xludf.DUMMYFUNCTION("""COMPUTED_VALUE"""),"NARRA II")</f>
        <v>NARRA II</v>
      </c>
      <c r="R1026" s="1" t="str">
        <f>IFERROR(__xludf.DUMMYFUNCTION("""COMPUTED_VALUE"""),"SILANG")</f>
        <v>SILANG</v>
      </c>
      <c r="S1026" s="1" t="str">
        <f>IFERROR(__xludf.DUMMYFUNCTION("""COMPUTED_VALUE"""),"CAVITE")</f>
        <v>CAVITE</v>
      </c>
      <c r="T1026" s="1" t="str">
        <f>IFERROR(__xludf.DUMMYFUNCTION("""COMPUTED_VALUE"""),"FIBR UNLI ALL PLAN 1399")</f>
        <v>FIBR UNLI ALL PLAN 1399</v>
      </c>
      <c r="U1026" s="1" t="str">
        <f>IFERROR(__xludf.DUMMYFUNCTION("""COMPUTED_VALUE"""),"APPROVED")</f>
        <v>APPROVED</v>
      </c>
      <c r="V1026" s="1"/>
      <c r="W1026" s="1"/>
    </row>
    <row r="1027" customHeight="1" spans="1:23">
      <c r="A1027" s="3">
        <f>IFERROR(__xludf.DUMMYFUNCTION("""COMPUTED_VALUE"""),46111)</f>
        <v>46111</v>
      </c>
      <c r="B1027" s="1" t="str">
        <f>IFERROR(__xludf.DUMMYFUNCTION("""COMPUTED_VALUE"""),"DE VERA, MARIVIC")</f>
        <v>DE VERA, MARIVIC</v>
      </c>
      <c r="C1027" s="1" t="str">
        <f>IFERROR(__xludf.DUMMYFUNCTION("""COMPUTED_VALUE"""),"ORGANIC")</f>
        <v>ORGANIC</v>
      </c>
      <c r="D1027" s="1" t="str">
        <f>IFERROR(__xludf.DUMMYFUNCTION("""COMPUTED_VALUE"""),"ALINGARO, CINDY")</f>
        <v>ALINGARO, CINDY</v>
      </c>
      <c r="E1027" s="1" t="str">
        <f>IFERROR(__xludf.DUMMYFUNCTION("""COMPUTED_VALUE"""),"PLDT")</f>
        <v>PLDT</v>
      </c>
      <c r="F1027" s="1">
        <f>IFERROR(__xludf.DUMMYFUNCTION("""COMPUTED_VALUE"""),2308569718)</f>
        <v>2308569718</v>
      </c>
      <c r="G1027" s="1"/>
      <c r="H1027" s="1" t="str">
        <f>IFERROR(__xludf.DUMMYFUNCTION("""COMPUTED_VALUE"""),"ANTONINA BESA LABARDA")</f>
        <v>ANTONINA BESA LABARDA</v>
      </c>
      <c r="I1027" s="1">
        <f>IFERROR(__xludf.DUMMYFUNCTION("""COMPUTED_VALUE"""),9670174470)</f>
        <v>9670174470</v>
      </c>
      <c r="J1027" s="1">
        <f>IFERROR(__xludf.DUMMYFUNCTION("""COMPUTED_VALUE"""),9452953154)</f>
        <v>9452953154</v>
      </c>
      <c r="K1027" s="1" t="str">
        <f>IFERROR(__xludf.DUMMYFUNCTION("""COMPUTED_VALUE"""),"RAMOSANGELJOY05@GMAIL.COM")</f>
        <v>RAMOSANGELJOY05@GMAIL.COM</v>
      </c>
      <c r="L1027" s="1" t="str">
        <f>IFERROR(__xludf.DUMMYFUNCTION("""COMPUTED_VALUE"""),"BLK 218 LOT 2")</f>
        <v>BLK 218 LOT 2</v>
      </c>
      <c r="M1027" s="1" t="str">
        <f>IFERROR(__xludf.DUMMYFUNCTION("""COMPUTED_VALUE"""),"UNIT 4")</f>
        <v>UNIT 4</v>
      </c>
      <c r="N1027" s="1"/>
      <c r="O1027" s="1"/>
      <c r="P1027" s="1"/>
      <c r="Q1027" s="1" t="str">
        <f>IFERROR(__xludf.DUMMYFUNCTION("""COMPUTED_VALUE"""),"BULIHAN")</f>
        <v>BULIHAN</v>
      </c>
      <c r="R1027" s="1" t="str">
        <f>IFERROR(__xludf.DUMMYFUNCTION("""COMPUTED_VALUE"""),"SILANG")</f>
        <v>SILANG</v>
      </c>
      <c r="S1027" s="1" t="str">
        <f>IFERROR(__xludf.DUMMYFUNCTION("""COMPUTED_VALUE"""),"CAVITE")</f>
        <v>CAVITE</v>
      </c>
      <c r="T1027" s="1" t="str">
        <f>IFERROR(__xludf.DUMMYFUNCTION("""COMPUTED_VALUE"""),"PREPAID FIBER UNLI")</f>
        <v>PREPAID FIBER UNLI</v>
      </c>
      <c r="U1027" s="1" t="str">
        <f>IFERROR(__xludf.DUMMYFUNCTION("""COMPUTED_VALUE"""),"APPROVED")</f>
        <v>APPROVED</v>
      </c>
      <c r="V1027" s="1"/>
      <c r="W1027" s="1"/>
    </row>
    <row r="1028" customHeight="1" spans="1:23">
      <c r="A1028" s="3">
        <f>IFERROR(__xludf.DUMMYFUNCTION("""COMPUTED_VALUE"""),46111)</f>
        <v>46111</v>
      </c>
      <c r="B1028" s="1" t="str">
        <f>IFERROR(__xludf.DUMMYFUNCTION("""COMPUTED_VALUE"""),"DE VERA, MARIVIC")</f>
        <v>DE VERA, MARIVIC</v>
      </c>
      <c r="C1028" s="1" t="str">
        <f>IFERROR(__xludf.DUMMYFUNCTION("""COMPUTED_VALUE"""),"ORGANIC")</f>
        <v>ORGANIC</v>
      </c>
      <c r="D1028" s="1" t="str">
        <f>IFERROR(__xludf.DUMMYFUNCTION("""COMPUTED_VALUE"""),"ALINGARO, CINDY")</f>
        <v>ALINGARO, CINDY</v>
      </c>
      <c r="E1028" s="1" t="str">
        <f>IFERROR(__xludf.DUMMYFUNCTION("""COMPUTED_VALUE"""),"PLDT")</f>
        <v>PLDT</v>
      </c>
      <c r="F1028" s="1">
        <f>IFERROR(__xludf.DUMMYFUNCTION("""COMPUTED_VALUE"""),2308570264)</f>
        <v>2308570264</v>
      </c>
      <c r="G1028" s="1"/>
      <c r="H1028" s="1" t="str">
        <f>IFERROR(__xludf.DUMMYFUNCTION("""COMPUTED_VALUE"""),"NIDA BUNGANGON LAPUT")</f>
        <v>NIDA BUNGANGON LAPUT</v>
      </c>
      <c r="I1028" s="1">
        <f>IFERROR(__xludf.DUMMYFUNCTION("""COMPUTED_VALUE"""),9077858048)</f>
        <v>9077858048</v>
      </c>
      <c r="J1028" s="1"/>
      <c r="K1028" s="1" t="str">
        <f>IFERROR(__xludf.DUMMYFUNCTION("""COMPUTED_VALUE"""),"NIDALAPUT79@GMAIL.COM")</f>
        <v>NIDALAPUT79@GMAIL.COM</v>
      </c>
      <c r="L1028" s="1" t="str">
        <f>IFERROR(__xludf.DUMMYFUNCTION("""COMPUTED_VALUE"""),"BLK 8 LOT 21")</f>
        <v>BLK 8 LOT 21</v>
      </c>
      <c r="M1028" s="1" t="str">
        <f>IFERROR(__xludf.DUMMYFUNCTION("""COMPUTED_VALUE"""),"NARRA RD")</f>
        <v>NARRA RD</v>
      </c>
      <c r="N1028" s="1"/>
      <c r="O1028" s="1"/>
      <c r="P1028" s="1"/>
      <c r="Q1028" s="1" t="str">
        <f>IFERROR(__xludf.DUMMYFUNCTION("""COMPUTED_VALUE"""),"NARRA II")</f>
        <v>NARRA II</v>
      </c>
      <c r="R1028" s="1" t="str">
        <f>IFERROR(__xludf.DUMMYFUNCTION("""COMPUTED_VALUE"""),"SILANG")</f>
        <v>SILANG</v>
      </c>
      <c r="S1028" s="1" t="str">
        <f>IFERROR(__xludf.DUMMYFUNCTION("""COMPUTED_VALUE"""),"CAVITE")</f>
        <v>CAVITE</v>
      </c>
      <c r="T1028" s="1" t="str">
        <f>IFERROR(__xludf.DUMMYFUNCTION("""COMPUTED_VALUE"""),"PREPAID FIBER UNLI")</f>
        <v>PREPAID FIBER UNLI</v>
      </c>
      <c r="U1028" s="1" t="str">
        <f>IFERROR(__xludf.DUMMYFUNCTION("""COMPUTED_VALUE"""),"APPROVED")</f>
        <v>APPROVED</v>
      </c>
      <c r="V1028" s="1"/>
      <c r="W1028" s="1"/>
    </row>
    <row r="1029" customHeight="1" spans="1:23">
      <c r="A1029" s="3">
        <f>IFERROR(__xludf.DUMMYFUNCTION("""COMPUTED_VALUE"""),46111)</f>
        <v>46111</v>
      </c>
      <c r="B1029" s="1" t="str">
        <f>IFERROR(__xludf.DUMMYFUNCTION("""COMPUTED_VALUE"""),"DELA ROSA, JENNELYN")</f>
        <v>DELA ROSA, JENNELYN</v>
      </c>
      <c r="C1029" s="1" t="str">
        <f>IFERROR(__xludf.DUMMYFUNCTION("""COMPUTED_VALUE"""),"ORGANIC")</f>
        <v>ORGANIC</v>
      </c>
      <c r="D1029" s="1" t="str">
        <f>IFERROR(__xludf.DUMMYFUNCTION("""COMPUTED_VALUE"""),"ALOS, CHARLS")</f>
        <v>ALOS, CHARLS</v>
      </c>
      <c r="E1029" s="1" t="str">
        <f>IFERROR(__xludf.DUMMYFUNCTION("""COMPUTED_VALUE"""),"PLDT")</f>
        <v>PLDT</v>
      </c>
      <c r="F1029" s="1">
        <f>IFERROR(__xludf.DUMMYFUNCTION("""COMPUTED_VALUE"""),2308570253)</f>
        <v>2308570253</v>
      </c>
      <c r="G1029" s="1"/>
      <c r="H1029" s="1" t="str">
        <f>IFERROR(__xludf.DUMMYFUNCTION("""COMPUTED_VALUE"""),"MELISSA ZAMORA SEDANTES")</f>
        <v>MELISSA ZAMORA SEDANTES</v>
      </c>
      <c r="I1029" s="1"/>
      <c r="J1029" s="1">
        <f>IFERROR(__xludf.DUMMYFUNCTION("""COMPUTED_VALUE"""),9618968843)</f>
        <v>9618968843</v>
      </c>
      <c r="K1029" s="1" t="str">
        <f>IFERROR(__xludf.DUMMYFUNCTION("""COMPUTED_VALUE"""),"YHSAI.25@GMAIL.COM")</f>
        <v>YHSAI.25@GMAIL.COM</v>
      </c>
      <c r="L1029" s="1" t="str">
        <f>IFERROR(__xludf.DUMMYFUNCTION("""COMPUTED_VALUE"""),"BLK 12 LOT 11")</f>
        <v>BLK 12 LOT 11</v>
      </c>
      <c r="M1029" s="1" t="str">
        <f>IFERROR(__xludf.DUMMYFUNCTION("""COMPUTED_VALUE"""),"PALIGAWAN MATANDA")</f>
        <v>PALIGAWAN MATANDA</v>
      </c>
      <c r="N1029" s="1"/>
      <c r="O1029" s="1"/>
      <c r="P1029" s="1"/>
      <c r="Q1029" s="1" t="str">
        <f>IFERROR(__xludf.DUMMYFUNCTION("""COMPUTED_VALUE"""),"LANTIC")</f>
        <v>LANTIC</v>
      </c>
      <c r="R1029" s="1" t="str">
        <f>IFERROR(__xludf.DUMMYFUNCTION("""COMPUTED_VALUE"""),"CARMONA")</f>
        <v>CARMONA</v>
      </c>
      <c r="S1029" s="1" t="str">
        <f>IFERROR(__xludf.DUMMYFUNCTION("""COMPUTED_VALUE"""),"CAVITE")</f>
        <v>CAVITE</v>
      </c>
      <c r="T1029" s="1" t="str">
        <f>IFERROR(__xludf.DUMMYFUNCTION("""COMPUTED_VALUE"""),"FIBR NETFLIX PLAN 1599")</f>
        <v>FIBR NETFLIX PLAN 1599</v>
      </c>
      <c r="U1029" s="1" t="str">
        <f>IFERROR(__xludf.DUMMYFUNCTION("""COMPUTED_VALUE"""),"APPROVED")</f>
        <v>APPROVED</v>
      </c>
      <c r="V1029" s="1"/>
      <c r="W1029" s="1"/>
    </row>
    <row r="1030" customHeight="1" spans="1:23">
      <c r="A1030" s="3">
        <f>IFERROR(__xludf.DUMMYFUNCTION("""COMPUTED_VALUE"""),46111)</f>
        <v>46111</v>
      </c>
      <c r="B1030" s="1" t="str">
        <f>IFERROR(__xludf.DUMMYFUNCTION("""COMPUTED_VALUE"""),"MALIWAT MARK ELVIN")</f>
        <v>MALIWAT MARK ELVIN</v>
      </c>
      <c r="C1030" s="1" t="str">
        <f>IFERROR(__xludf.DUMMYFUNCTION("""COMPUTED_VALUE"""),"FLA")</f>
        <v>FLA</v>
      </c>
      <c r="D1030" s="1" t="str">
        <f>IFERROR(__xludf.DUMMYFUNCTION("""COMPUTED_VALUE"""),"JERIC NAVARRO")</f>
        <v>JERIC NAVARRO</v>
      </c>
      <c r="E1030" s="1" t="str">
        <f>IFERROR(__xludf.DUMMYFUNCTION("""COMPUTED_VALUE"""),"PLDT")</f>
        <v>PLDT</v>
      </c>
      <c r="F1030" s="1">
        <f>IFERROR(__xludf.DUMMYFUNCTION("""COMPUTED_VALUE"""),2308571363)</f>
        <v>2308571363</v>
      </c>
      <c r="G1030" s="1"/>
      <c r="H1030" s="1" t="str">
        <f>IFERROR(__xludf.DUMMYFUNCTION("""COMPUTED_VALUE"""),"DANIELLA HOLANDA BANARES")</f>
        <v>DANIELLA HOLANDA BANARES</v>
      </c>
      <c r="I1030" s="1">
        <f>IFERROR(__xludf.DUMMYFUNCTION("""COMPUTED_VALUE"""),9705051137)</f>
        <v>9705051137</v>
      </c>
      <c r="J1030" s="1">
        <f>IFERROR(__xludf.DUMMYFUNCTION("""COMPUTED_VALUE"""),9631681049)</f>
        <v>9631681049</v>
      </c>
      <c r="K1030" s="1" t="str">
        <f>IFERROR(__xludf.DUMMYFUNCTION("""COMPUTED_VALUE"""),"VERONICAHOLANDA8@GMAIL.COM")</f>
        <v>VERONICAHOLANDA8@GMAIL.COM</v>
      </c>
      <c r="L1030" s="1" t="str">
        <f>IFERROR(__xludf.DUMMYFUNCTION("""COMPUTED_VALUE"""),"BLK 57 ")</f>
        <v>BLK 57 </v>
      </c>
      <c r="M1030" s="1" t="str">
        <f>IFERROR(__xludf.DUMMYFUNCTION("""COMPUTED_VALUE"""),"EXCESS LOT")</f>
        <v>EXCESS LOT</v>
      </c>
      <c r="N1030" s="1" t="str">
        <f>IFERROR(__xludf.DUMMYFUNCTION("""COMPUTED_VALUE"""),"CHRV")</f>
        <v>CHRV</v>
      </c>
      <c r="O1030" s="1"/>
      <c r="P1030" s="1"/>
      <c r="Q1030" s="1" t="str">
        <f>IFERROR(__xludf.DUMMYFUNCTION("""COMPUTED_VALUE"""),"LANGKAAN II")</f>
        <v>LANGKAAN II</v>
      </c>
      <c r="R1030" s="1" t="str">
        <f>IFERROR(__xludf.DUMMYFUNCTION("""COMPUTED_VALUE"""),"DASMARINAS")</f>
        <v>DASMARINAS</v>
      </c>
      <c r="S1030" s="1" t="str">
        <f>IFERROR(__xludf.DUMMYFUNCTION("""COMPUTED_VALUE"""),"CAVITE")</f>
        <v>CAVITE</v>
      </c>
      <c r="T1030" s="1" t="str">
        <f>IFERROR(__xludf.DUMMYFUNCTION("""COMPUTED_VALUE"""),"FIBR PLAN 2099")</f>
        <v>FIBR PLAN 2099</v>
      </c>
      <c r="U1030" s="1" t="str">
        <f>IFERROR(__xludf.DUMMYFUNCTION("""COMPUTED_VALUE"""),"APPROVED")</f>
        <v>APPROVED</v>
      </c>
      <c r="V1030" s="1"/>
      <c r="W1030" s="1"/>
    </row>
    <row r="1031" customHeight="1" spans="1:23">
      <c r="A1031" s="3">
        <f>IFERROR(__xludf.DUMMYFUNCTION("""COMPUTED_VALUE"""),46111)</f>
        <v>46111</v>
      </c>
      <c r="B1031" s="1" t="str">
        <f>IFERROR(__xludf.DUMMYFUNCTION("""COMPUTED_VALUE"""),"ESCARCHA, MA ALMA  ESCOTO")</f>
        <v>ESCARCHA, MA ALMA  ESCOTO</v>
      </c>
      <c r="C1031" s="1" t="str">
        <f>IFERROR(__xludf.DUMMYFUNCTION("""COMPUTED_VALUE"""),"ORGANIC")</f>
        <v>ORGANIC</v>
      </c>
      <c r="D1031" s="1" t="str">
        <f>IFERROR(__xludf.DUMMYFUNCTION("""COMPUTED_VALUE"""),"ALINGARO, CINDY")</f>
        <v>ALINGARO, CINDY</v>
      </c>
      <c r="E1031" s="1" t="str">
        <f>IFERROR(__xludf.DUMMYFUNCTION("""COMPUTED_VALUE"""),"PLDT")</f>
        <v>PLDT</v>
      </c>
      <c r="F1031" s="1">
        <f>IFERROR(__xludf.DUMMYFUNCTION("""COMPUTED_VALUE"""),2308571521)</f>
        <v>2308571521</v>
      </c>
      <c r="G1031" s="1"/>
      <c r="H1031" s="1" t="str">
        <f>IFERROR(__xludf.DUMMYFUNCTION("""COMPUTED_VALUE"""),"WEA BRUZON SUGANOB ")</f>
        <v>WEA BRUZON SUGANOB </v>
      </c>
      <c r="I1031" s="1">
        <f>IFERROR(__xludf.DUMMYFUNCTION("""COMPUTED_VALUE"""),9661889530)</f>
        <v>9661889530</v>
      </c>
      <c r="J1031" s="1"/>
      <c r="K1031" s="1" t="str">
        <f>IFERROR(__xludf.DUMMYFUNCTION("""COMPUTED_VALUE"""),"WEASUGANOB19@GMAIL.COM")</f>
        <v>WEASUGANOB19@GMAIL.COM</v>
      </c>
      <c r="L1031" s="1" t="str">
        <f>IFERROR(__xludf.DUMMYFUNCTION("""COMPUTED_VALUE"""),"BLK 29 LOT 14")</f>
        <v>BLK 29 LOT 14</v>
      </c>
      <c r="M1031" s="1" t="str">
        <f>IFERROR(__xludf.DUMMYFUNCTION("""COMPUTED_VALUE"""),"ANAHAW RD")</f>
        <v>ANAHAW RD</v>
      </c>
      <c r="N1031" s="1"/>
      <c r="O1031" s="1"/>
      <c r="P1031" s="1"/>
      <c r="Q1031" s="1" t="str">
        <f>IFERROR(__xludf.DUMMYFUNCTION("""COMPUTED_VALUE"""),"ANAHAW II")</f>
        <v>ANAHAW II</v>
      </c>
      <c r="R1031" s="1" t="str">
        <f>IFERROR(__xludf.DUMMYFUNCTION("""COMPUTED_VALUE"""),"SILANG")</f>
        <v>SILANG</v>
      </c>
      <c r="S1031" s="1" t="str">
        <f>IFERROR(__xludf.DUMMYFUNCTION("""COMPUTED_VALUE"""),"CAVITE")</f>
        <v>CAVITE</v>
      </c>
      <c r="T1031" s="1" t="str">
        <f>IFERROR(__xludf.DUMMYFUNCTION("""COMPUTED_VALUE"""),"PREPAID FIBER UNLI")</f>
        <v>PREPAID FIBER UNLI</v>
      </c>
      <c r="U1031" s="1" t="str">
        <f>IFERROR(__xludf.DUMMYFUNCTION("""COMPUTED_VALUE"""),"APPROVED")</f>
        <v>APPROVED</v>
      </c>
      <c r="V1031" s="1"/>
      <c r="W1031" s="1"/>
    </row>
    <row r="1032" customHeight="1" spans="1:23">
      <c r="A1032" s="3">
        <f>IFERROR(__xludf.DUMMYFUNCTION("""COMPUTED_VALUE"""),46111)</f>
        <v>46111</v>
      </c>
      <c r="B1032" s="1" t="str">
        <f>IFERROR(__xludf.DUMMYFUNCTION("""COMPUTED_VALUE"""),"AQUINO, LUIS")</f>
        <v>AQUINO, LUIS</v>
      </c>
      <c r="C1032" s="1" t="str">
        <f>IFERROR(__xludf.DUMMYFUNCTION("""COMPUTED_VALUE"""),"ORGANIC")</f>
        <v>ORGANIC</v>
      </c>
      <c r="D1032" s="1" t="str">
        <f>IFERROR(__xludf.DUMMYFUNCTION("""COMPUTED_VALUE"""),"ALOS, CHARLS")</f>
        <v>ALOS, CHARLS</v>
      </c>
      <c r="E1032" s="1" t="str">
        <f>IFERROR(__xludf.DUMMYFUNCTION("""COMPUTED_VALUE"""),"PLDT")</f>
        <v>PLDT</v>
      </c>
      <c r="F1032" s="1">
        <f>IFERROR(__xludf.DUMMYFUNCTION("""COMPUTED_VALUE"""),2308572148)</f>
        <v>2308572148</v>
      </c>
      <c r="G1032" s="1"/>
      <c r="H1032" s="1" t="str">
        <f>IFERROR(__xludf.DUMMYFUNCTION("""COMPUTED_VALUE"""),"BERNARDINE HERRERA SUDUCON")</f>
        <v>BERNARDINE HERRERA SUDUCON</v>
      </c>
      <c r="I1032" s="1">
        <f>IFERROR(__xludf.DUMMYFUNCTION("""COMPUTED_VALUE"""),9513559717)</f>
        <v>9513559717</v>
      </c>
      <c r="J1032" s="1"/>
      <c r="K1032" s="1" t="str">
        <f>IFERROR(__xludf.DUMMYFUNCTION("""COMPUTED_VALUE"""),"NSEDUCON@GMAIL.COM")</f>
        <v>NSEDUCON@GMAIL.COM</v>
      </c>
      <c r="L1032" s="1" t="str">
        <f>IFERROR(__xludf.DUMMYFUNCTION("""COMPUTED_VALUE"""),"912")</f>
        <v>912</v>
      </c>
      <c r="M1032" s="1" t="str">
        <f>IFERROR(__xludf.DUMMYFUNCTION("""COMPUTED_VALUE"""),"PUROK 203")</f>
        <v>PUROK 203</v>
      </c>
      <c r="N1032" s="1"/>
      <c r="O1032" s="1"/>
      <c r="P1032" s="1"/>
      <c r="Q1032" s="1" t="str">
        <f>IFERROR(__xludf.DUMMYFUNCTION("""COMPUTED_VALUE"""),"TOLENTINO EAST")</f>
        <v>TOLENTINO EAST</v>
      </c>
      <c r="R1032" s="1" t="str">
        <f>IFERROR(__xludf.DUMMYFUNCTION("""COMPUTED_VALUE"""),"TAGAYTAY")</f>
        <v>TAGAYTAY</v>
      </c>
      <c r="S1032" s="1" t="str">
        <f>IFERROR(__xludf.DUMMYFUNCTION("""COMPUTED_VALUE"""),"CAVITE")</f>
        <v>CAVITE</v>
      </c>
      <c r="T1032" s="1" t="str">
        <f>IFERROR(__xludf.DUMMYFUNCTION("""COMPUTED_VALUE"""),"PREPAID FIBER UNLI")</f>
        <v>PREPAID FIBER UNLI</v>
      </c>
      <c r="U1032" s="1" t="str">
        <f>IFERROR(__xludf.DUMMYFUNCTION("""COMPUTED_VALUE"""),"APPROVED")</f>
        <v>APPROVED</v>
      </c>
      <c r="V1032" s="1"/>
      <c r="W1032" s="1"/>
    </row>
    <row r="1033" customHeight="1" spans="1:23">
      <c r="A1033" s="3">
        <f>IFERROR(__xludf.DUMMYFUNCTION("""COMPUTED_VALUE"""),46111)</f>
        <v>46111</v>
      </c>
      <c r="B1033" s="1" t="str">
        <f>IFERROR(__xludf.DUMMYFUNCTION("""COMPUTED_VALUE"""),"FERNANDEZ JERIC")</f>
        <v>FERNANDEZ JERIC</v>
      </c>
      <c r="C1033" s="1" t="str">
        <f>IFERROR(__xludf.DUMMYFUNCTION("""COMPUTED_VALUE"""),"ORGANIC")</f>
        <v>ORGANIC</v>
      </c>
      <c r="D1033" s="1" t="str">
        <f>IFERROR(__xludf.DUMMYFUNCTION("""COMPUTED_VALUE"""),"ALOS, CHARLS")</f>
        <v>ALOS, CHARLS</v>
      </c>
      <c r="E1033" s="1" t="str">
        <f>IFERROR(__xludf.DUMMYFUNCTION("""COMPUTED_VALUE"""),"PLDT")</f>
        <v>PLDT</v>
      </c>
      <c r="F1033" s="1">
        <f>IFERROR(__xludf.DUMMYFUNCTION("""COMPUTED_VALUE"""),2308573271)</f>
        <v>2308573271</v>
      </c>
      <c r="G1033" s="1"/>
      <c r="H1033" s="1" t="str">
        <f>IFERROR(__xludf.DUMMYFUNCTION("""COMPUTED_VALUE"""),"CARIZ AYING DUNGCA")</f>
        <v>CARIZ AYING DUNGCA</v>
      </c>
      <c r="I1033" s="1">
        <f>IFERROR(__xludf.DUMMYFUNCTION("""COMPUTED_VALUE"""),9955904958)</f>
        <v>9955904958</v>
      </c>
      <c r="J1033" s="1">
        <f>IFERROR(__xludf.DUMMYFUNCTION("""COMPUTED_VALUE"""),9062352047)</f>
        <v>9062352047</v>
      </c>
      <c r="K1033" s="1" t="str">
        <f>IFERROR(__xludf.DUMMYFUNCTION("""COMPUTED_VALUE"""),"CARIZAYING@GMAIL.COM")</f>
        <v>CARIZAYING@GMAIL.COM</v>
      </c>
      <c r="L1033" s="1" t="str">
        <f>IFERROR(__xludf.DUMMYFUNCTION("""COMPUTED_VALUE"""),"5224")</f>
        <v>5224</v>
      </c>
      <c r="M1033" s="1" t="str">
        <f>IFERROR(__xludf.DUMMYFUNCTION("""COMPUTED_VALUE"""),"CRISANTO DELOS REYES")</f>
        <v>CRISANTO DELOS REYES</v>
      </c>
      <c r="N1033" s="1"/>
      <c r="O1033" s="1"/>
      <c r="P1033" s="1"/>
      <c r="Q1033" s="1" t="str">
        <f>IFERROR(__xludf.DUMMYFUNCTION("""COMPUTED_VALUE"""),"BARANGAY VI (POB.)")</f>
        <v>BARANGAY VI (POB.)</v>
      </c>
      <c r="R1033" s="1" t="str">
        <f>IFERROR(__xludf.DUMMYFUNCTION("""COMPUTED_VALUE"""),"AMADEO")</f>
        <v>AMADEO</v>
      </c>
      <c r="S1033" s="1" t="str">
        <f>IFERROR(__xludf.DUMMYFUNCTION("""COMPUTED_VALUE"""),"CAVITE")</f>
        <v>CAVITE</v>
      </c>
      <c r="T1033" s="1" t="str">
        <f>IFERROR(__xludf.DUMMYFUNCTION("""COMPUTED_VALUE"""),"FIBR PLAN 2099")</f>
        <v>FIBR PLAN 2099</v>
      </c>
      <c r="U1033" s="1" t="str">
        <f>IFERROR(__xludf.DUMMYFUNCTION("""COMPUTED_VALUE"""),"APPROVED")</f>
        <v>APPROVED</v>
      </c>
      <c r="V1033" s="1"/>
      <c r="W1033" s="1"/>
    </row>
    <row r="1034" customHeight="1" spans="1:23">
      <c r="A1034" s="3">
        <f>IFERROR(__xludf.DUMMYFUNCTION("""COMPUTED_VALUE"""),46111)</f>
        <v>46111</v>
      </c>
      <c r="B1034" s="1" t="str">
        <f>IFERROR(__xludf.DUMMYFUNCTION("""COMPUTED_VALUE"""),"AQUINO, LUIS")</f>
        <v>AQUINO, LUIS</v>
      </c>
      <c r="C1034" s="1" t="str">
        <f>IFERROR(__xludf.DUMMYFUNCTION("""COMPUTED_VALUE"""),"ORGANIC")</f>
        <v>ORGANIC</v>
      </c>
      <c r="D1034" s="1" t="str">
        <f>IFERROR(__xludf.DUMMYFUNCTION("""COMPUTED_VALUE"""),"ALOS, CHARLS")</f>
        <v>ALOS, CHARLS</v>
      </c>
      <c r="E1034" s="1" t="str">
        <f>IFERROR(__xludf.DUMMYFUNCTION("""COMPUTED_VALUE"""),"PLDT")</f>
        <v>PLDT</v>
      </c>
      <c r="F1034" s="1">
        <f>IFERROR(__xludf.DUMMYFUNCTION("""COMPUTED_VALUE"""),2308575004)</f>
        <v>2308575004</v>
      </c>
      <c r="G1034" s="1"/>
      <c r="H1034" s="1" t="str">
        <f>IFERROR(__xludf.DUMMYFUNCTION("""COMPUTED_VALUE"""),"MARLON RAMIREZ MATABA")</f>
        <v>MARLON RAMIREZ MATABA</v>
      </c>
      <c r="I1034" s="1">
        <f>IFERROR(__xludf.DUMMYFUNCTION("""COMPUTED_VALUE"""),9662559532)</f>
        <v>9662559532</v>
      </c>
      <c r="J1034" s="1">
        <f>IFERROR(__xludf.DUMMYFUNCTION("""COMPUTED_VALUE"""),9176371366)</f>
        <v>9176371366</v>
      </c>
      <c r="K1034" s="1" t="str">
        <f>IFERROR(__xludf.DUMMYFUNCTION("""COMPUTED_VALUE"""),"ANNE_AMISCIA0110@YAHOO.COM")</f>
        <v>ANNE_AMISCIA0110@YAHOO.COM</v>
      </c>
      <c r="L1034" s="1" t="str">
        <f>IFERROR(__xludf.DUMMYFUNCTION("""COMPUTED_VALUE"""),"BLK 39 LOT 19")</f>
        <v>BLK 39 LOT 19</v>
      </c>
      <c r="M1034" s="1" t="str">
        <f>IFERROR(__xludf.DUMMYFUNCTION("""COMPUTED_VALUE"""),"PHASE 6")</f>
        <v>PHASE 6</v>
      </c>
      <c r="N1034" s="1"/>
      <c r="O1034" s="1"/>
      <c r="P1034" s="1"/>
      <c r="Q1034" s="1" t="str">
        <f>IFERROR(__xludf.DUMMYFUNCTION("""COMPUTED_VALUE"""),"BANABA")</f>
        <v>BANABA</v>
      </c>
      <c r="R1034" s="1" t="str">
        <f>IFERROR(__xludf.DUMMYFUNCTION("""COMPUTED_VALUE"""),"SILANG")</f>
        <v>SILANG</v>
      </c>
      <c r="S1034" s="1" t="str">
        <f>IFERROR(__xludf.DUMMYFUNCTION("""COMPUTED_VALUE"""),"CAVITE")</f>
        <v>CAVITE</v>
      </c>
      <c r="T1034" s="1" t="str">
        <f>IFERROR(__xludf.DUMMYFUNCTION("""COMPUTED_VALUE"""),"FIBR PLAN 1299")</f>
        <v>FIBR PLAN 1299</v>
      </c>
      <c r="U1034" s="1" t="str">
        <f>IFERROR(__xludf.DUMMYFUNCTION("""COMPUTED_VALUE"""),"APPROVED")</f>
        <v>APPROVED</v>
      </c>
      <c r="V1034" s="1"/>
      <c r="W1034" s="1"/>
    </row>
    <row r="1035" customHeight="1" spans="1:23">
      <c r="A1035" s="3">
        <f>IFERROR(__xludf.DUMMYFUNCTION("""COMPUTED_VALUE"""),46111)</f>
        <v>46111</v>
      </c>
      <c r="B1035" s="1" t="str">
        <f>IFERROR(__xludf.DUMMYFUNCTION("""COMPUTED_VALUE"""),"FRANCISCO , ROSELYN")</f>
        <v>FRANCISCO , ROSELYN</v>
      </c>
      <c r="C1035" s="1" t="str">
        <f>IFERROR(__xludf.DUMMYFUNCTION("""COMPUTED_VALUE"""),"FLA")</f>
        <v>FLA</v>
      </c>
      <c r="D1035" s="1" t="str">
        <f>IFERROR(__xludf.DUMMYFUNCTION("""COMPUTED_VALUE"""),"JERIC NAVARRO")</f>
        <v>JERIC NAVARRO</v>
      </c>
      <c r="E1035" s="1" t="str">
        <f>IFERROR(__xludf.DUMMYFUNCTION("""COMPUTED_VALUE"""),"PLDT")</f>
        <v>PLDT</v>
      </c>
      <c r="F1035" s="1">
        <f>IFERROR(__xludf.DUMMYFUNCTION("""COMPUTED_VALUE"""),2308576261)</f>
        <v>2308576261</v>
      </c>
      <c r="G1035" s="1"/>
      <c r="H1035" s="1" t="str">
        <f>IFERROR(__xludf.DUMMYFUNCTION("""COMPUTED_VALUE"""),"SONNY TEVES NAVAL")</f>
        <v>SONNY TEVES NAVAL</v>
      </c>
      <c r="I1035" s="1">
        <f>IFERROR(__xludf.DUMMYFUNCTION("""COMPUTED_VALUE"""),9380435417)</f>
        <v>9380435417</v>
      </c>
      <c r="J1035" s="1"/>
      <c r="K1035" s="1" t="str">
        <f>IFERROR(__xludf.DUMMYFUNCTION("""COMPUTED_VALUE"""),"SUNSHINENAVAL05@GMAIL.COM")</f>
        <v>SUNSHINENAVAL05@GMAIL.COM</v>
      </c>
      <c r="L1035" s="1" t="str">
        <f>IFERROR(__xludf.DUMMYFUNCTION("""COMPUTED_VALUE"""),"138")</f>
        <v>138</v>
      </c>
      <c r="M1035" s="1" t="str">
        <f>IFERROR(__xludf.DUMMYFUNCTION("""COMPUTED_VALUE"""),"BAUTISTA")</f>
        <v>BAUTISTA</v>
      </c>
      <c r="N1035" s="1"/>
      <c r="O1035" s="1"/>
      <c r="P1035" s="1"/>
      <c r="Q1035" s="1" t="str">
        <f>IFERROR(__xludf.DUMMYFUNCTION("""COMPUTED_VALUE"""),"KAYPAABA")</f>
        <v>KAYPAABA</v>
      </c>
      <c r="R1035" s="1" t="str">
        <f>IFERROR(__xludf.DUMMYFUNCTION("""COMPUTED_VALUE"""),"GENERAL EMILIO AGUINALDO")</f>
        <v>GENERAL EMILIO AGUINALDO</v>
      </c>
      <c r="S1035" s="1" t="str">
        <f>IFERROR(__xludf.DUMMYFUNCTION("""COMPUTED_VALUE"""),"CAVITE")</f>
        <v>CAVITE</v>
      </c>
      <c r="T1035" s="1" t="str">
        <f>IFERROR(__xludf.DUMMYFUNCTION("""COMPUTED_VALUE"""),"PREPAID FIBER UNLI")</f>
        <v>PREPAID FIBER UNLI</v>
      </c>
      <c r="U1035" s="1" t="str">
        <f>IFERROR(__xludf.DUMMYFUNCTION("""COMPUTED_VALUE"""),"APPROVED")</f>
        <v>APPROVED</v>
      </c>
      <c r="V1035" s="1"/>
      <c r="W1035" s="1"/>
    </row>
    <row r="1036" customHeight="1" spans="1:23">
      <c r="A1036" s="3">
        <f>IFERROR(__xludf.DUMMYFUNCTION("""COMPUTED_VALUE"""),46111)</f>
        <v>46111</v>
      </c>
      <c r="B1036" s="1" t="str">
        <f>IFERROR(__xludf.DUMMYFUNCTION("""COMPUTED_VALUE"""),"CABRERA JILLIENE")</f>
        <v>CABRERA JILLIENE</v>
      </c>
      <c r="C1036" s="1" t="str">
        <f>IFERROR(__xludf.DUMMYFUNCTION("""COMPUTED_VALUE"""),"ORGANIC")</f>
        <v>ORGANIC</v>
      </c>
      <c r="D1036" s="1" t="str">
        <f>IFERROR(__xludf.DUMMYFUNCTION("""COMPUTED_VALUE"""),"ALOS, CHARLS")</f>
        <v>ALOS, CHARLS</v>
      </c>
      <c r="E1036" s="1" t="str">
        <f>IFERROR(__xludf.DUMMYFUNCTION("""COMPUTED_VALUE"""),"PLDT")</f>
        <v>PLDT</v>
      </c>
      <c r="F1036" s="1">
        <f>IFERROR(__xludf.DUMMYFUNCTION("""COMPUTED_VALUE"""),2308684228)</f>
        <v>2308684228</v>
      </c>
      <c r="G1036" s="1">
        <f>IFERROR(__xludf.DUMMYFUNCTION("""COMPUTED_VALUE"""),449574356004)</f>
        <v>449574356004</v>
      </c>
      <c r="H1036" s="1" t="str">
        <f>IFERROR(__xludf.DUMMYFUNCTION("""COMPUTED_VALUE"""),"MARA TABLIGAN EVANGELISTA")</f>
        <v>MARA TABLIGAN EVANGELISTA</v>
      </c>
      <c r="I1036" s="1">
        <f>IFERROR(__xludf.DUMMYFUNCTION("""COMPUTED_VALUE"""),9266226775)</f>
        <v>9266226775</v>
      </c>
      <c r="J1036" s="1">
        <f>IFERROR(__xludf.DUMMYFUNCTION("""COMPUTED_VALUE"""),9949581821)</f>
        <v>9949581821</v>
      </c>
      <c r="K1036" s="1" t="str">
        <f>IFERROR(__xludf.DUMMYFUNCTION("""COMPUTED_VALUE"""),"EVANGELISTA.MARA.ECCBSHM@GMAIL.COM")</f>
        <v>EVANGELISTA.MARA.ECCBSHM@GMAIL.COM</v>
      </c>
      <c r="L1036" s="1" t="str">
        <f>IFERROR(__xludf.DUMMYFUNCTION("""COMPUTED_VALUE"""),"BLK 6 LOT 18")</f>
        <v>BLK 6 LOT 18</v>
      </c>
      <c r="M1036" s="1" t="str">
        <f>IFERROR(__xludf.DUMMYFUNCTION("""COMPUTED_VALUE"""),"YAKAL RD")</f>
        <v>YAKAL RD</v>
      </c>
      <c r="N1036" s="1"/>
      <c r="O1036" s="1"/>
      <c r="P1036" s="1"/>
      <c r="Q1036" s="1" t="str">
        <f>IFERROR(__xludf.DUMMYFUNCTION("""COMPUTED_VALUE"""),"YAKAL")</f>
        <v>YAKAL</v>
      </c>
      <c r="R1036" s="1" t="str">
        <f>IFERROR(__xludf.DUMMYFUNCTION("""COMPUTED_VALUE"""),"SILANG")</f>
        <v>SILANG</v>
      </c>
      <c r="S1036" s="1" t="str">
        <f>IFERROR(__xludf.DUMMYFUNCTION("""COMPUTED_VALUE"""),"CAVITE")</f>
        <v>CAVITE</v>
      </c>
      <c r="T1036" s="1" t="str">
        <f>IFERROR(__xludf.DUMMYFUNCTION("""COMPUTED_VALUE"""),"FIBR PLAN 1299")</f>
        <v>FIBR PLAN 1299</v>
      </c>
      <c r="U1036" s="1" t="str">
        <f>IFERROR(__xludf.DUMMYFUNCTION("""COMPUTED_VALUE"""),"APPROVED")</f>
        <v>APPROVED</v>
      </c>
      <c r="V1036" s="1" t="str">
        <f>IFERROR(__xludf.DUMMYFUNCTION("""COMPUTED_VALUE"""),"WILLING MAG ADVANCE PAYMENT BY APRIL 4/ DONE CALLOUT APRIIL 5")</f>
        <v>WILLING MAG ADVANCE PAYMENT BY APRIL 4/ DONE CALLOUT APRIIL 5</v>
      </c>
      <c r="W1036" s="1"/>
    </row>
    <row r="1037" customHeight="1" spans="1:23">
      <c r="A1037" s="3">
        <f>IFERROR(__xludf.DUMMYFUNCTION("""COMPUTED_VALUE"""),46112)</f>
        <v>46112</v>
      </c>
      <c r="B1037" s="1" t="str">
        <f>IFERROR(__xludf.DUMMYFUNCTION("""COMPUTED_VALUE"""),"MALIWAT MARK ELVIN")</f>
        <v>MALIWAT MARK ELVIN</v>
      </c>
      <c r="C1037" s="1" t="str">
        <f>IFERROR(__xludf.DUMMYFUNCTION("""COMPUTED_VALUE"""),"FLA")</f>
        <v>FLA</v>
      </c>
      <c r="D1037" s="1" t="str">
        <f>IFERROR(__xludf.DUMMYFUNCTION("""COMPUTED_VALUE"""),"JERIC NAVARRO")</f>
        <v>JERIC NAVARRO</v>
      </c>
      <c r="E1037" s="1" t="str">
        <f>IFERROR(__xludf.DUMMYFUNCTION("""COMPUTED_VALUE"""),"PLDT")</f>
        <v>PLDT</v>
      </c>
      <c r="F1037" s="1">
        <f>IFERROR(__xludf.DUMMYFUNCTION("""COMPUTED_VALUE"""),2308585675)</f>
        <v>2308585675</v>
      </c>
      <c r="G1037" s="1"/>
      <c r="H1037" s="1" t="str">
        <f>IFERROR(__xludf.DUMMYFUNCTION("""COMPUTED_VALUE"""),"JOSELITO BARDO EDA")</f>
        <v>JOSELITO BARDO EDA</v>
      </c>
      <c r="I1037" s="1">
        <f>IFERROR(__xludf.DUMMYFUNCTION("""COMPUTED_VALUE"""),9568079691)</f>
        <v>9568079691</v>
      </c>
      <c r="J1037" s="1">
        <f>IFERROR(__xludf.DUMMYFUNCTION("""COMPUTED_VALUE"""),9280619294)</f>
        <v>9280619294</v>
      </c>
      <c r="K1037" s="1" t="str">
        <f>IFERROR(__xludf.DUMMYFUNCTION("""COMPUTED_VALUE"""),"JOSELITOBEDA1977@GMAIL.COM")</f>
        <v>JOSELITOBEDA1977@GMAIL.COM</v>
      </c>
      <c r="L1037" s="1" t="str">
        <f>IFERROR(__xludf.DUMMYFUNCTION("""COMPUTED_VALUE"""),"244")</f>
        <v>244</v>
      </c>
      <c r="M1037" s="1" t="str">
        <f>IFERROR(__xludf.DUMMYFUNCTION("""COMPUTED_VALUE"""),"PAG ASA")</f>
        <v>PAG ASA</v>
      </c>
      <c r="N1037" s="1"/>
      <c r="O1037" s="1"/>
      <c r="P1037" s="1"/>
      <c r="Q1037" s="1" t="str">
        <f>IFERROR(__xludf.DUMMYFUNCTION("""COMPUTED_VALUE"""),"ANABU I-B")</f>
        <v>ANABU I-B</v>
      </c>
      <c r="R1037" s="1" t="str">
        <f>IFERROR(__xludf.DUMMYFUNCTION("""COMPUTED_VALUE"""),"IMUS")</f>
        <v>IMUS</v>
      </c>
      <c r="S1037" s="1" t="str">
        <f>IFERROR(__xludf.DUMMYFUNCTION("""COMPUTED_VALUE"""),"CAVITE")</f>
        <v>CAVITE</v>
      </c>
      <c r="T1037" s="1" t="str">
        <f>IFERROR(__xludf.DUMMYFUNCTION("""COMPUTED_VALUE"""),"FIBR UNLI ALL PLAN 1399")</f>
        <v>FIBR UNLI ALL PLAN 1399</v>
      </c>
      <c r="U1037" s="1" t="str">
        <f>IFERROR(__xludf.DUMMYFUNCTION("""COMPUTED_VALUE"""),"APPROVED")</f>
        <v>APPROVED</v>
      </c>
      <c r="V1037" s="1"/>
      <c r="W1037" s="1"/>
    </row>
    <row r="1038" customHeight="1" spans="1:23">
      <c r="A1038" s="3">
        <f>IFERROR(__xludf.DUMMYFUNCTION("""COMPUTED_VALUE"""),46112)</f>
        <v>46112</v>
      </c>
      <c r="B1038" s="1" t="str">
        <f>IFERROR(__xludf.DUMMYFUNCTION("""COMPUTED_VALUE"""),"CARPIO, STEPHANIE NICOLE")</f>
        <v>CARPIO, STEPHANIE NICOLE</v>
      </c>
      <c r="C1038" s="1" t="str">
        <f>IFERROR(__xludf.DUMMYFUNCTION("""COMPUTED_VALUE"""),"FLA")</f>
        <v>FLA</v>
      </c>
      <c r="D1038" s="1" t="str">
        <f>IFERROR(__xludf.DUMMYFUNCTION("""COMPUTED_VALUE"""),"JERIC NAVARRO")</f>
        <v>JERIC NAVARRO</v>
      </c>
      <c r="E1038" s="1" t="str">
        <f>IFERROR(__xludf.DUMMYFUNCTION("""COMPUTED_VALUE"""),"PLDT")</f>
        <v>PLDT</v>
      </c>
      <c r="F1038" s="1">
        <f>IFERROR(__xludf.DUMMYFUNCTION("""COMPUTED_VALUE"""),2308587167)</f>
        <v>2308587167</v>
      </c>
      <c r="G1038" s="1"/>
      <c r="H1038" s="1" t="str">
        <f>IFERROR(__xludf.DUMMYFUNCTION("""COMPUTED_VALUE"""),"PIERRE THADDEUS SIOSON PAPA")</f>
        <v>PIERRE THADDEUS SIOSON PAPA</v>
      </c>
      <c r="I1038" s="1">
        <f>IFERROR(__xludf.DUMMYFUNCTION("""COMPUTED_VALUE"""),9456317123)</f>
        <v>9456317123</v>
      </c>
      <c r="J1038" s="1"/>
      <c r="K1038" s="1" t="str">
        <f>IFERROR(__xludf.DUMMYFUNCTION("""COMPUTED_VALUE"""),"PTPAPA16@GMAIL.COM")</f>
        <v>PTPAPA16@GMAIL.COM</v>
      </c>
      <c r="L1038" s="1" t="str">
        <f>IFERROR(__xludf.DUMMYFUNCTION("""COMPUTED_VALUE"""),"117-A")</f>
        <v>117-A</v>
      </c>
      <c r="M1038" s="1" t="str">
        <f>IFERROR(__xludf.DUMMYFUNCTION("""COMPUTED_VALUE"""),"R SAMONTE")</f>
        <v>R SAMONTE</v>
      </c>
      <c r="N1038" s="1"/>
      <c r="O1038" s="1"/>
      <c r="P1038" s="1"/>
      <c r="Q1038" s="1" t="str">
        <f>IFERROR(__xludf.DUMMYFUNCTION("""COMPUTED_VALUE"""),"BARANGAY 56 (LABANOS)")</f>
        <v>BARANGAY 56 (LABANOS)</v>
      </c>
      <c r="R1038" s="1" t="str">
        <f>IFERROR(__xludf.DUMMYFUNCTION("""COMPUTED_VALUE"""),"CAVITE CITY")</f>
        <v>CAVITE CITY</v>
      </c>
      <c r="S1038" s="1" t="str">
        <f>IFERROR(__xludf.DUMMYFUNCTION("""COMPUTED_VALUE"""),"CAVITE")</f>
        <v>CAVITE</v>
      </c>
      <c r="T1038" s="1" t="str">
        <f>IFERROR(__xludf.DUMMYFUNCTION("""COMPUTED_VALUE"""),"FIBR UNLI ALL PLAN 1399")</f>
        <v>FIBR UNLI ALL PLAN 1399</v>
      </c>
      <c r="U1038" s="1" t="str">
        <f>IFERROR(__xludf.DUMMYFUNCTION("""COMPUTED_VALUE"""),"APPROVED")</f>
        <v>APPROVED</v>
      </c>
      <c r="V1038" s="1"/>
      <c r="W1038" s="1"/>
    </row>
    <row r="1039" customHeight="1" spans="1:23">
      <c r="A1039" s="3">
        <f>IFERROR(__xludf.DUMMYFUNCTION("""COMPUTED_VALUE"""),46112)</f>
        <v>46112</v>
      </c>
      <c r="B1039" s="1" t="str">
        <f>IFERROR(__xludf.DUMMYFUNCTION("""COMPUTED_VALUE"""),"NAVARRO, JERIC")</f>
        <v>NAVARRO, JERIC</v>
      </c>
      <c r="C1039" s="1" t="str">
        <f>IFERROR(__xludf.DUMMYFUNCTION("""COMPUTED_VALUE"""),"FLA")</f>
        <v>FLA</v>
      </c>
      <c r="D1039" s="1" t="str">
        <f>IFERROR(__xludf.DUMMYFUNCTION("""COMPUTED_VALUE"""),"JERIC NAVARRO")</f>
        <v>JERIC NAVARRO</v>
      </c>
      <c r="E1039" s="1" t="str">
        <f>IFERROR(__xludf.DUMMYFUNCTION("""COMPUTED_VALUE"""),"PLDT")</f>
        <v>PLDT</v>
      </c>
      <c r="F1039" s="1">
        <f>IFERROR(__xludf.DUMMYFUNCTION("""COMPUTED_VALUE"""),2308586448)</f>
        <v>2308586448</v>
      </c>
      <c r="G1039" s="1"/>
      <c r="H1039" s="1" t="str">
        <f>IFERROR(__xludf.DUMMYFUNCTION("""COMPUTED_VALUE"""),"QUEENDYLIN JOYCE CONDIDO DACUMOS")</f>
        <v>QUEENDYLIN JOYCE CONDIDO DACUMOS</v>
      </c>
      <c r="I1039" s="1">
        <f>IFERROR(__xludf.DUMMYFUNCTION("""COMPUTED_VALUE"""),9062784884)</f>
        <v>9062784884</v>
      </c>
      <c r="J1039" s="1"/>
      <c r="K1039" s="1" t="str">
        <f>IFERROR(__xludf.DUMMYFUNCTION("""COMPUTED_VALUE"""),"LOVELYDACUMOS06@GMAIL.COM")</f>
        <v>LOVELYDACUMOS06@GMAIL.COM</v>
      </c>
      <c r="L1039" s="1" t="str">
        <f>IFERROR(__xludf.DUMMYFUNCTION("""COMPUTED_VALUE"""),"10")</f>
        <v>10</v>
      </c>
      <c r="M1039" s="1" t="str">
        <f>IFERROR(__xludf.DUMMYFUNCTION("""COMPUTED_VALUE"""),"JP RIZAL")</f>
        <v>JP RIZAL</v>
      </c>
      <c r="N1039" s="1"/>
      <c r="O1039" s="1"/>
      <c r="P1039" s="1"/>
      <c r="Q1039" s="1" t="str">
        <f>IFERROR(__xludf.DUMMYFUNCTION("""COMPUTED_VALUE"""),"GALICIA III")</f>
        <v>GALICIA III</v>
      </c>
      <c r="R1039" s="1" t="str">
        <f>IFERROR(__xludf.DUMMYFUNCTION("""COMPUTED_VALUE"""),"MENDEZ")</f>
        <v>MENDEZ</v>
      </c>
      <c r="S1039" s="1" t="str">
        <f>IFERROR(__xludf.DUMMYFUNCTION("""COMPUTED_VALUE"""),"CAVITE")</f>
        <v>CAVITE</v>
      </c>
      <c r="T1039" s="1" t="str">
        <f>IFERROR(__xludf.DUMMYFUNCTION("""COMPUTED_VALUE"""),"FIBR NETFLIX PLAN 1599")</f>
        <v>FIBR NETFLIX PLAN 1599</v>
      </c>
      <c r="U1039" s="1" t="str">
        <f>IFERROR(__xludf.DUMMYFUNCTION("""COMPUTED_VALUE"""),"APPROVED")</f>
        <v>APPROVED</v>
      </c>
      <c r="V1039" s="1"/>
      <c r="W1039" s="1"/>
    </row>
    <row r="1040" customHeight="1" spans="1:23">
      <c r="A1040" s="3">
        <f>IFERROR(__xludf.DUMMYFUNCTION("""COMPUTED_VALUE"""),46112)</f>
        <v>46112</v>
      </c>
      <c r="B1040" s="1" t="str">
        <f>IFERROR(__xludf.DUMMYFUNCTION("""COMPUTED_VALUE"""),"MAGDARAOG, KENNETH")</f>
        <v>MAGDARAOG, KENNETH</v>
      </c>
      <c r="C1040" s="1" t="str">
        <f>IFERROR(__xludf.DUMMYFUNCTION("""COMPUTED_VALUE"""),"ORGANIC")</f>
        <v>ORGANIC</v>
      </c>
      <c r="D1040" s="1" t="str">
        <f>IFERROR(__xludf.DUMMYFUNCTION("""COMPUTED_VALUE"""),"ALINGARO, CINDY")</f>
        <v>ALINGARO, CINDY</v>
      </c>
      <c r="E1040" s="1" t="str">
        <f>IFERROR(__xludf.DUMMYFUNCTION("""COMPUTED_VALUE"""),"PLDT")</f>
        <v>PLDT</v>
      </c>
      <c r="F1040" s="1">
        <f>IFERROR(__xludf.DUMMYFUNCTION("""COMPUTED_VALUE"""),2308587792)</f>
        <v>2308587792</v>
      </c>
      <c r="G1040" s="1"/>
      <c r="H1040" s="1" t="str">
        <f>IFERROR(__xludf.DUMMYFUNCTION("""COMPUTED_VALUE"""),"AVA KRISTIN ERNI ERNI")</f>
        <v>AVA KRISTIN ERNI ERNI</v>
      </c>
      <c r="I1040" s="1">
        <f>IFERROR(__xludf.DUMMYFUNCTION("""COMPUTED_VALUE"""),9176392410)</f>
        <v>9176392410</v>
      </c>
      <c r="J1040" s="1">
        <f>IFERROR(__xludf.DUMMYFUNCTION("""COMPUTED_VALUE"""),9950148007)</f>
        <v>9950148007</v>
      </c>
      <c r="K1040" s="1" t="str">
        <f>IFERROR(__xludf.DUMMYFUNCTION("""COMPUTED_VALUE"""),"AVAGERNI@GMAIL.COM")</f>
        <v>AVAGERNI@GMAIL.COM</v>
      </c>
      <c r="L1040" s="1" t="str">
        <f>IFERROR(__xludf.DUMMYFUNCTION("""COMPUTED_VALUE"""),"96")</f>
        <v>96</v>
      </c>
      <c r="M1040" s="1" t="str">
        <f>IFERROR(__xludf.DUMMYFUNCTION("""COMPUTED_VALUE"""),"DIMAPILIS")</f>
        <v>DIMAPILIS</v>
      </c>
      <c r="N1040" s="1"/>
      <c r="O1040" s="1"/>
      <c r="P1040" s="1"/>
      <c r="Q1040" s="1" t="str">
        <f>IFERROR(__xludf.DUMMYFUNCTION("""COMPUTED_VALUE"""),"ANULING LEJOS I (ANULING)")</f>
        <v>ANULING LEJOS I (ANULING)</v>
      </c>
      <c r="R1040" s="1" t="str">
        <f>IFERROR(__xludf.DUMMYFUNCTION("""COMPUTED_VALUE"""),"MENDEZ")</f>
        <v>MENDEZ</v>
      </c>
      <c r="S1040" s="1" t="str">
        <f>IFERROR(__xludf.DUMMYFUNCTION("""COMPUTED_VALUE"""),"CAVITE")</f>
        <v>CAVITE</v>
      </c>
      <c r="T1040" s="1" t="str">
        <f>IFERROR(__xludf.DUMMYFUNCTION("""COMPUTED_VALUE"""),"FIBR UNLI ALL PLAN 1399")</f>
        <v>FIBR UNLI ALL PLAN 1399</v>
      </c>
      <c r="U1040" s="1" t="str">
        <f>IFERROR(__xludf.DUMMYFUNCTION("""COMPUTED_VALUE"""),"APPROVED")</f>
        <v>APPROVED</v>
      </c>
      <c r="V1040" s="1"/>
      <c r="W1040" s="1"/>
    </row>
    <row r="1041" customHeight="1" spans="1:23">
      <c r="A1041" s="3">
        <f>IFERROR(__xludf.DUMMYFUNCTION("""COMPUTED_VALUE"""),46112)</f>
        <v>46112</v>
      </c>
      <c r="B1041" s="1" t="str">
        <f>IFERROR(__xludf.DUMMYFUNCTION("""COMPUTED_VALUE"""),"DELA ROSA, JENNELYN")</f>
        <v>DELA ROSA, JENNELYN</v>
      </c>
      <c r="C1041" s="1" t="str">
        <f>IFERROR(__xludf.DUMMYFUNCTION("""COMPUTED_VALUE"""),"ORGANIC")</f>
        <v>ORGANIC</v>
      </c>
      <c r="D1041" s="1" t="str">
        <f>IFERROR(__xludf.DUMMYFUNCTION("""COMPUTED_VALUE"""),"ALOS, CHARLS")</f>
        <v>ALOS, CHARLS</v>
      </c>
      <c r="E1041" s="1" t="str">
        <f>IFERROR(__xludf.DUMMYFUNCTION("""COMPUTED_VALUE"""),"PLDT")</f>
        <v>PLDT</v>
      </c>
      <c r="F1041" s="1">
        <f>IFERROR(__xludf.DUMMYFUNCTION("""COMPUTED_VALUE"""),2308590132)</f>
        <v>2308590132</v>
      </c>
      <c r="G1041" s="1"/>
      <c r="H1041" s="1" t="str">
        <f>IFERROR(__xludf.DUMMYFUNCTION("""COMPUTED_VALUE"""),"JONALYN RICO LABASTIDA")</f>
        <v>JONALYN RICO LABASTIDA</v>
      </c>
      <c r="I1041" s="1">
        <f>IFERROR(__xludf.DUMMYFUNCTION("""COMPUTED_VALUE"""),9562347577)</f>
        <v>9562347577</v>
      </c>
      <c r="J1041" s="1"/>
      <c r="K1041" s="1" t="str">
        <f>IFERROR(__xludf.DUMMYFUNCTION("""COMPUTED_VALUE"""),"JONAENORE@GMAIL.COM")</f>
        <v>JONAENORE@GMAIL.COM</v>
      </c>
      <c r="L1041" s="1" t="str">
        <f>IFERROR(__xludf.DUMMYFUNCTION("""COMPUTED_VALUE"""),"BLK 6 LOT 2")</f>
        <v>BLK 6 LOT 2</v>
      </c>
      <c r="M1041" s="1" t="str">
        <f>IFERROR(__xludf.DUMMYFUNCTION("""COMPUTED_VALUE"""),"PINOY VILLAGE")</f>
        <v>PINOY VILLAGE</v>
      </c>
      <c r="N1041" s="1"/>
      <c r="O1041" s="1"/>
      <c r="P1041" s="1"/>
      <c r="Q1041" s="1" t="str">
        <f>IFERROR(__xludf.DUMMYFUNCTION("""COMPUTED_VALUE"""),"SABUTAN")</f>
        <v>SABUTAN</v>
      </c>
      <c r="R1041" s="1" t="str">
        <f>IFERROR(__xludf.DUMMYFUNCTION("""COMPUTED_VALUE"""),"SILANG")</f>
        <v>SILANG</v>
      </c>
      <c r="S1041" s="1" t="str">
        <f>IFERROR(__xludf.DUMMYFUNCTION("""COMPUTED_VALUE"""),"CAVITE")</f>
        <v>CAVITE</v>
      </c>
      <c r="T1041" s="1" t="str">
        <f>IFERROR(__xludf.DUMMYFUNCTION("""COMPUTED_VALUE"""),"FIBR PLAN 1299")</f>
        <v>FIBR PLAN 1299</v>
      </c>
      <c r="U1041" s="1" t="str">
        <f>IFERROR(__xludf.DUMMYFUNCTION("""COMPUTED_VALUE"""),"APPROVED")</f>
        <v>APPROVED</v>
      </c>
      <c r="V1041" s="1"/>
      <c r="W1041" s="1"/>
    </row>
    <row r="1042" customHeight="1" spans="1:23">
      <c r="A1042" s="3">
        <f>IFERROR(__xludf.DUMMYFUNCTION("""COMPUTED_VALUE"""),46112)</f>
        <v>46112</v>
      </c>
      <c r="B1042" s="1" t="str">
        <f>IFERROR(__xludf.DUMMYFUNCTION("""COMPUTED_VALUE"""),"REMOLLO, LEA")</f>
        <v>REMOLLO, LEA</v>
      </c>
      <c r="C1042" s="1" t="str">
        <f>IFERROR(__xludf.DUMMYFUNCTION("""COMPUTED_VALUE"""),"FLA")</f>
        <v>FLA</v>
      </c>
      <c r="D1042" s="1" t="str">
        <f>IFERROR(__xludf.DUMMYFUNCTION("""COMPUTED_VALUE"""),"JERIC NAVARRO")</f>
        <v>JERIC NAVARRO</v>
      </c>
      <c r="E1042" s="1" t="str">
        <f>IFERROR(__xludf.DUMMYFUNCTION("""COMPUTED_VALUE"""),"PLDT")</f>
        <v>PLDT</v>
      </c>
      <c r="F1042" s="1">
        <f>IFERROR(__xludf.DUMMYFUNCTION("""COMPUTED_VALUE"""),2308592030)</f>
        <v>2308592030</v>
      </c>
      <c r="G1042" s="1"/>
      <c r="H1042" s="1" t="str">
        <f>IFERROR(__xludf.DUMMYFUNCTION("""COMPUTED_VALUE"""),"JEFFREY MILLARES SALEM")</f>
        <v>JEFFREY MILLARES SALEM</v>
      </c>
      <c r="I1042" s="1">
        <f>IFERROR(__xludf.DUMMYFUNCTION("""COMPUTED_VALUE"""),9457215593)</f>
        <v>9457215593</v>
      </c>
      <c r="J1042" s="1"/>
      <c r="K1042" s="1" t="str">
        <f>IFERROR(__xludf.DUMMYFUNCTION("""COMPUTED_VALUE"""),"JFFREALEM@GMAIL.COM")</f>
        <v>JFFREALEM@GMAIL.COM</v>
      </c>
      <c r="L1042" s="1" t="str">
        <f>IFERROR(__xludf.DUMMYFUNCTION("""COMPUTED_VALUE"""),"11494")</f>
        <v>11494</v>
      </c>
      <c r="M1042" s="1" t="str">
        <f>IFERROR(__xludf.DUMMYFUNCTION("""COMPUTED_VALUE"""),"ALUMIA")</f>
        <v>ALUMIA</v>
      </c>
      <c r="N1042" s="1"/>
      <c r="O1042" s="1"/>
      <c r="P1042" s="1"/>
      <c r="Q1042" s="1" t="str">
        <f>IFERROR(__xludf.DUMMYFUNCTION("""COMPUTED_VALUE"""),"MABUHAY")</f>
        <v>MABUHAY</v>
      </c>
      <c r="R1042" s="1" t="str">
        <f>IFERROR(__xludf.DUMMYFUNCTION("""COMPUTED_VALUE"""),"CARMONA")</f>
        <v>CARMONA</v>
      </c>
      <c r="S1042" s="1" t="str">
        <f>IFERROR(__xludf.DUMMYFUNCTION("""COMPUTED_VALUE"""),"CAVITE")</f>
        <v>CAVITE</v>
      </c>
      <c r="T1042" s="1" t="str">
        <f>IFERROR(__xludf.DUMMYFUNCTION("""COMPUTED_VALUE"""),"FIBR UNLI ALL PLAN 1399")</f>
        <v>FIBR UNLI ALL PLAN 1399</v>
      </c>
      <c r="U1042" s="1" t="str">
        <f>IFERROR(__xludf.DUMMYFUNCTION("""COMPUTED_VALUE"""),"APPROVED")</f>
        <v>APPROVED</v>
      </c>
      <c r="V1042" s="1"/>
      <c r="W1042" s="1"/>
    </row>
    <row r="1043" customHeight="1" spans="1:23">
      <c r="A1043" s="3">
        <f>IFERROR(__xludf.DUMMYFUNCTION("""COMPUTED_VALUE"""),46112)</f>
        <v>46112</v>
      </c>
      <c r="B1043" s="1" t="str">
        <f>IFERROR(__xludf.DUMMYFUNCTION("""COMPUTED_VALUE"""),"OPS SIR ZIM")</f>
        <v>OPS SIR ZIM</v>
      </c>
      <c r="C1043" s="1" t="str">
        <f>IFERROR(__xludf.DUMMYFUNCTION("""COMPUTED_VALUE"""),"FLA")</f>
        <v>FLA</v>
      </c>
      <c r="D1043" s="1" t="str">
        <f>IFERROR(__xludf.DUMMYFUNCTION("""COMPUTED_VALUE"""),"JERIC NAVARRO")</f>
        <v>JERIC NAVARRO</v>
      </c>
      <c r="E1043" s="1" t="str">
        <f>IFERROR(__xludf.DUMMYFUNCTION("""COMPUTED_VALUE"""),"PLDT")</f>
        <v>PLDT</v>
      </c>
      <c r="F1043" s="1">
        <f>IFERROR(__xludf.DUMMYFUNCTION("""COMPUTED_VALUE"""),2308592479)</f>
        <v>2308592479</v>
      </c>
      <c r="G1043" s="1"/>
      <c r="H1043" s="1" t="str">
        <f>IFERROR(__xludf.DUMMYFUNCTION("""COMPUTED_VALUE"""),"APRIL DESINGANO ATIENZA")</f>
        <v>APRIL DESINGANO ATIENZA</v>
      </c>
      <c r="I1043" s="1">
        <f>IFERROR(__xludf.DUMMYFUNCTION("""COMPUTED_VALUE"""),9925445123)</f>
        <v>9925445123</v>
      </c>
      <c r="J1043" s="1">
        <f>IFERROR(__xludf.DUMMYFUNCTION("""COMPUTED_VALUE"""),9993118305)</f>
        <v>9993118305</v>
      </c>
      <c r="K1043" s="1" t="str">
        <f>IFERROR(__xludf.DUMMYFUNCTION("""COMPUTED_VALUE"""),"APRIL.ATIENZA03@GMAIL.COM")</f>
        <v>APRIL.ATIENZA03@GMAIL.COM</v>
      </c>
      <c r="L1043" s="1" t="str">
        <f>IFERROR(__xludf.DUMMYFUNCTION("""COMPUTED_VALUE"""),"LOT 45603")</f>
        <v>LOT 45603</v>
      </c>
      <c r="M1043" s="1" t="str">
        <f>IFERROR(__xludf.DUMMYFUNCTION("""COMPUTED_VALUE"""),"PUROK 5")</f>
        <v>PUROK 5</v>
      </c>
      <c r="N1043" s="1"/>
      <c r="O1043" s="1"/>
      <c r="P1043" s="1"/>
      <c r="Q1043" s="1" t="str">
        <f>IFERROR(__xludf.DUMMYFUNCTION("""COMPUTED_VALUE"""),"PULONG BUNGA")</f>
        <v>PULONG BUNGA</v>
      </c>
      <c r="R1043" s="1" t="str">
        <f>IFERROR(__xludf.DUMMYFUNCTION("""COMPUTED_VALUE"""),"SILANG")</f>
        <v>SILANG</v>
      </c>
      <c r="S1043" s="1" t="str">
        <f>IFERROR(__xludf.DUMMYFUNCTION("""COMPUTED_VALUE"""),"CAVITE")</f>
        <v>CAVITE</v>
      </c>
      <c r="T1043" s="1" t="str">
        <f>IFERROR(__xludf.DUMMYFUNCTION("""COMPUTED_VALUE"""),"FIBR PLAN 1299")</f>
        <v>FIBR PLAN 1299</v>
      </c>
      <c r="U1043" s="1" t="str">
        <f>IFERROR(__xludf.DUMMYFUNCTION("""COMPUTED_VALUE"""),"APPROVED")</f>
        <v>APPROVED</v>
      </c>
      <c r="V1043" s="1"/>
      <c r="W1043" s="1"/>
    </row>
    <row r="1044" customHeight="1" spans="1:23">
      <c r="A1044" s="3">
        <f>IFERROR(__xludf.DUMMYFUNCTION("""COMPUTED_VALUE"""),46112)</f>
        <v>46112</v>
      </c>
      <c r="B1044" s="1" t="str">
        <f>IFERROR(__xludf.DUMMYFUNCTION("""COMPUTED_VALUE"""),"MAGDARAOG, KENNETH")</f>
        <v>MAGDARAOG, KENNETH</v>
      </c>
      <c r="C1044" s="1" t="str">
        <f>IFERROR(__xludf.DUMMYFUNCTION("""COMPUTED_VALUE"""),"ORGANIC")</f>
        <v>ORGANIC</v>
      </c>
      <c r="D1044" s="1" t="str">
        <f>IFERROR(__xludf.DUMMYFUNCTION("""COMPUTED_VALUE"""),"ALINGARO, CINDY")</f>
        <v>ALINGARO, CINDY</v>
      </c>
      <c r="E1044" s="1" t="str">
        <f>IFERROR(__xludf.DUMMYFUNCTION("""COMPUTED_VALUE"""),"PLDT")</f>
        <v>PLDT</v>
      </c>
      <c r="F1044" s="1">
        <f>IFERROR(__xludf.DUMMYFUNCTION("""COMPUTED_VALUE"""),2308594289)</f>
        <v>2308594289</v>
      </c>
      <c r="G1044" s="1"/>
      <c r="H1044" s="1" t="str">
        <f>IFERROR(__xludf.DUMMYFUNCTION("""COMPUTED_VALUE"""),"MICHELLE NAZARENO MONSANTO")</f>
        <v>MICHELLE NAZARENO MONSANTO</v>
      </c>
      <c r="I1044" s="1">
        <f>IFERROR(__xludf.DUMMYFUNCTION("""COMPUTED_VALUE"""),9929080012)</f>
        <v>9929080012</v>
      </c>
      <c r="J1044" s="1">
        <f>IFERROR(__xludf.DUMMYFUNCTION("""COMPUTED_VALUE"""),95347588035)</f>
        <v>95347588035</v>
      </c>
      <c r="K1044" s="1" t="str">
        <f>IFERROR(__xludf.DUMMYFUNCTION("""COMPUTED_VALUE"""),"MICHELLENAZARENO44@GMAIL.COM")</f>
        <v>MICHELLENAZARENO44@GMAIL.COM</v>
      </c>
      <c r="L1044" s="1" t="str">
        <f>IFERROR(__xludf.DUMMYFUNCTION("""COMPUTED_VALUE"""),"BLK 68 LOT 6")</f>
        <v>BLK 68 LOT 6</v>
      </c>
      <c r="M1044" s="1" t="str">
        <f>IFERROR(__xludf.DUMMYFUNCTION("""COMPUTED_VALUE"""),"PUROK 6")</f>
        <v>PUROK 6</v>
      </c>
      <c r="N1044" s="1"/>
      <c r="O1044" s="1"/>
      <c r="P1044" s="1"/>
      <c r="Q1044" s="1" t="str">
        <f>IFERROR(__xludf.DUMMYFUNCTION("""COMPUTED_VALUE"""),"VICTORIA REYES")</f>
        <v>VICTORIA REYES</v>
      </c>
      <c r="R1044" s="1" t="str">
        <f>IFERROR(__xludf.DUMMYFUNCTION("""COMPUTED_VALUE"""),"DASMARINAS")</f>
        <v>DASMARINAS</v>
      </c>
      <c r="S1044" s="1" t="str">
        <f>IFERROR(__xludf.DUMMYFUNCTION("""COMPUTED_VALUE"""),"CAVITE")</f>
        <v>CAVITE</v>
      </c>
      <c r="T1044" s="1" t="str">
        <f>IFERROR(__xludf.DUMMYFUNCTION("""COMPUTED_VALUE"""),"FIBR PLAN 1299")</f>
        <v>FIBR PLAN 1299</v>
      </c>
      <c r="U1044" s="1" t="str">
        <f>IFERROR(__xludf.DUMMYFUNCTION("""COMPUTED_VALUE"""),"APPROVED")</f>
        <v>APPROVED</v>
      </c>
      <c r="V1044" s="1" t="str">
        <f>IFERROR(__xludf.DUMMYFUNCTION("""COMPUTED_VALUE"""),"AS PERSUBS WAIT LANG DAW KUYA AT ITATANONG KUNG MAY PANG ADAVNACE PAYMENT NA")</f>
        <v>AS PERSUBS WAIT LANG DAW KUYA AT ITATANONG KUNG MAY PANG ADAVNACE PAYMENT NA</v>
      </c>
      <c r="W1044" s="1"/>
    </row>
    <row r="1045" customHeight="1" spans="1:23">
      <c r="A1045" s="3">
        <f>IFERROR(__xludf.DUMMYFUNCTION("""COMPUTED_VALUE"""),46112)</f>
        <v>46112</v>
      </c>
      <c r="B1045" s="1" t="str">
        <f>IFERROR(__xludf.DUMMYFUNCTION("""COMPUTED_VALUE"""),"AQUINO, LUIS")</f>
        <v>AQUINO, LUIS</v>
      </c>
      <c r="C1045" s="1" t="str">
        <f>IFERROR(__xludf.DUMMYFUNCTION("""COMPUTED_VALUE"""),"ORGANIC")</f>
        <v>ORGANIC</v>
      </c>
      <c r="D1045" s="1" t="str">
        <f>IFERROR(__xludf.DUMMYFUNCTION("""COMPUTED_VALUE"""),"ALOS, CHARLS")</f>
        <v>ALOS, CHARLS</v>
      </c>
      <c r="E1045" s="1" t="str">
        <f>IFERROR(__xludf.DUMMYFUNCTION("""COMPUTED_VALUE"""),"PLDT")</f>
        <v>PLDT</v>
      </c>
      <c r="F1045" s="1"/>
      <c r="G1045" s="1"/>
      <c r="H1045" s="1" t="str">
        <f>IFERROR(__xludf.DUMMYFUNCTION("""COMPUTED_VALUE"""),"KIMBERLY LABINE MERCADO")</f>
        <v>KIMBERLY LABINE MERCADO</v>
      </c>
      <c r="I1045" s="1">
        <f>IFERROR(__xludf.DUMMYFUNCTION("""COMPUTED_VALUE"""),9367348228)</f>
        <v>9367348228</v>
      </c>
      <c r="J1045" s="1">
        <f>IFERROR(__xludf.DUMMYFUNCTION("""COMPUTED_VALUE"""),9368166187)</f>
        <v>9368166187</v>
      </c>
      <c r="K1045" s="1" t="str">
        <f>IFERROR(__xludf.DUMMYFUNCTION("""COMPUTED_VALUE"""),"KIMLABINEE@GMAIL.COM")</f>
        <v>KIMLABINEE@GMAIL.COM</v>
      </c>
      <c r="L1045" s="1" t="str">
        <f>IFERROR(__xludf.DUMMYFUNCTION("""COMPUTED_VALUE"""),"16")</f>
        <v>16</v>
      </c>
      <c r="M1045" s="1" t="str">
        <f>IFERROR(__xludf.DUMMYFUNCTION("""COMPUTED_VALUE"""),"PUROK 3")</f>
        <v>PUROK 3</v>
      </c>
      <c r="N1045" s="1"/>
      <c r="O1045" s="1"/>
      <c r="P1045" s="1"/>
      <c r="Q1045" s="1" t="str">
        <f>IFERROR(__xludf.DUMMYFUNCTION("""COMPUTED_VALUE"""),"AMUYONG")</f>
        <v>AMUYONG</v>
      </c>
      <c r="R1045" s="1" t="str">
        <f>IFERROR(__xludf.DUMMYFUNCTION("""COMPUTED_VALUE"""),"ALFONSO")</f>
        <v>ALFONSO</v>
      </c>
      <c r="S1045" s="1" t="str">
        <f>IFERROR(__xludf.DUMMYFUNCTION("""COMPUTED_VALUE"""),"CAVITE")</f>
        <v>CAVITE</v>
      </c>
      <c r="T1045" s="1" t="str">
        <f>IFERROR(__xludf.DUMMYFUNCTION("""COMPUTED_VALUE"""),"FIBR PLAN 1299")</f>
        <v>FIBR PLAN 1299</v>
      </c>
      <c r="U1045" s="1" t="str">
        <f>IFERROR(__xludf.DUMMYFUNCTION("""COMPUTED_VALUE"""),"CANCELLED ")</f>
        <v>CANCELLED </v>
      </c>
      <c r="V1045" s="1" t="str">
        <f>IFERROR(__xludf.DUMMYFUNCTION("""COMPUTED_VALUE"""),"NAP FULL")</f>
        <v>NAP FULL</v>
      </c>
      <c r="W1045" s="1"/>
    </row>
    <row r="1046" customHeight="1" spans="1:23">
      <c r="A1046" s="3">
        <f>IFERROR(__xludf.DUMMYFUNCTION("""COMPUTED_VALUE"""),46112)</f>
        <v>46112</v>
      </c>
      <c r="B1046" s="1" t="str">
        <f>IFERROR(__xludf.DUMMYFUNCTION("""COMPUTED_VALUE"""),"AYON MANUEL")</f>
        <v>AYON MANUEL</v>
      </c>
      <c r="C1046" s="1" t="str">
        <f>IFERROR(__xludf.DUMMYFUNCTION("""COMPUTED_VALUE"""),"FLA")</f>
        <v>FLA</v>
      </c>
      <c r="D1046" s="1" t="str">
        <f>IFERROR(__xludf.DUMMYFUNCTION("""COMPUTED_VALUE"""),"JERIC NAVARRO")</f>
        <v>JERIC NAVARRO</v>
      </c>
      <c r="E1046" s="1" t="str">
        <f>IFERROR(__xludf.DUMMYFUNCTION("""COMPUTED_VALUE"""),"PLDT")</f>
        <v>PLDT</v>
      </c>
      <c r="F1046" s="1">
        <f>IFERROR(__xludf.DUMMYFUNCTION("""COMPUTED_VALUE"""),2308593286)</f>
        <v>2308593286</v>
      </c>
      <c r="G1046" s="1"/>
      <c r="H1046" s="1" t="str">
        <f>IFERROR(__xludf.DUMMYFUNCTION("""COMPUTED_VALUE"""),"WILLIAM CANOZA TIU")</f>
        <v>WILLIAM CANOZA TIU</v>
      </c>
      <c r="I1046" s="1">
        <f>IFERROR(__xludf.DUMMYFUNCTION("""COMPUTED_VALUE"""),9193526308)</f>
        <v>9193526308</v>
      </c>
      <c r="J1046" s="1">
        <f>IFERROR(__xludf.DUMMYFUNCTION("""COMPUTED_VALUE"""),9552333298)</f>
        <v>9552333298</v>
      </c>
      <c r="K1046" s="1" t="str">
        <f>IFERROR(__xludf.DUMMYFUNCTION("""COMPUTED_VALUE"""),"WILLIAMTIU67@GMAIL.COM")</f>
        <v>WILLIAMTIU67@GMAIL.COM</v>
      </c>
      <c r="L1046" s="1" t="str">
        <f>IFERROR(__xludf.DUMMYFUNCTION("""COMPUTED_VALUE"""),"BLK 2 LOT 7")</f>
        <v>BLK 2 LOT 7</v>
      </c>
      <c r="M1046" s="1" t="str">
        <f>IFERROR(__xludf.DUMMYFUNCTION("""COMPUTED_VALUE"""),"PHASE 2")</f>
        <v>PHASE 2</v>
      </c>
      <c r="N1046" s="1" t="str">
        <f>IFERROR(__xludf.DUMMYFUNCTION("""COMPUTED_VALUE"""),"SPRINGWOODS")</f>
        <v>SPRINGWOODS</v>
      </c>
      <c r="O1046" s="1"/>
      <c r="P1046" s="1"/>
      <c r="Q1046" s="1" t="str">
        <f>IFERROR(__xludf.DUMMYFUNCTION("""COMPUTED_VALUE"""),"BUKAL")</f>
        <v>BUKAL</v>
      </c>
      <c r="R1046" s="1" t="str">
        <f>IFERROR(__xludf.DUMMYFUNCTION("""COMPUTED_VALUE"""),"MENDEZ")</f>
        <v>MENDEZ</v>
      </c>
      <c r="S1046" s="1" t="str">
        <f>IFERROR(__xludf.DUMMYFUNCTION("""COMPUTED_VALUE"""),"CAVITE")</f>
        <v>CAVITE</v>
      </c>
      <c r="T1046" s="1" t="str">
        <f>IFERROR(__xludf.DUMMYFUNCTION("""COMPUTED_VALUE"""),"FIBR UNLI ALL PLAN 1399")</f>
        <v>FIBR UNLI ALL PLAN 1399</v>
      </c>
      <c r="U1046" s="1" t="str">
        <f>IFERROR(__xludf.DUMMYFUNCTION("""COMPUTED_VALUE"""),"APPROVED")</f>
        <v>APPROVED</v>
      </c>
      <c r="V1046" s="1"/>
      <c r="W1046" s="1"/>
    </row>
    <row r="1047" customHeight="1" spans="1:23">
      <c r="A1047" s="3">
        <f>IFERROR(__xludf.DUMMYFUNCTION("""COMPUTED_VALUE"""),46112)</f>
        <v>46112</v>
      </c>
      <c r="B1047" s="1" t="str">
        <f>IFERROR(__xludf.DUMMYFUNCTION("""COMPUTED_VALUE"""),"GABAY, MANUEL")</f>
        <v>GABAY, MANUEL</v>
      </c>
      <c r="C1047" s="1" t="str">
        <f>IFERROR(__xludf.DUMMYFUNCTION("""COMPUTED_VALUE"""),"FLA")</f>
        <v>FLA</v>
      </c>
      <c r="D1047" s="1" t="str">
        <f>IFERROR(__xludf.DUMMYFUNCTION("""COMPUTED_VALUE"""),"JERIC NAVARRO")</f>
        <v>JERIC NAVARRO</v>
      </c>
      <c r="E1047" s="1" t="str">
        <f>IFERROR(__xludf.DUMMYFUNCTION("""COMPUTED_VALUE"""),"PLDT")</f>
        <v>PLDT</v>
      </c>
      <c r="F1047" s="1">
        <f>IFERROR(__xludf.DUMMYFUNCTION("""COMPUTED_VALUE"""),2308594877)</f>
        <v>2308594877</v>
      </c>
      <c r="G1047" s="1"/>
      <c r="H1047" s="1" t="str">
        <f>IFERROR(__xludf.DUMMYFUNCTION("""COMPUTED_VALUE"""),"ABIGAIL DACALOS FELIGRINO")</f>
        <v>ABIGAIL DACALOS FELIGRINO</v>
      </c>
      <c r="I1047" s="1">
        <f>IFERROR(__xludf.DUMMYFUNCTION("""COMPUTED_VALUE"""),9319520701)</f>
        <v>9319520701</v>
      </c>
      <c r="J1047" s="1">
        <f>IFERROR(__xludf.DUMMYFUNCTION("""COMPUTED_VALUE"""),9855605992)</f>
        <v>9855605992</v>
      </c>
      <c r="K1047" s="1" t="str">
        <f>IFERROR(__xludf.DUMMYFUNCTION("""COMPUTED_VALUE"""),"FELEGRINO241991@GMAIL.COM")</f>
        <v>FELEGRINO241991@GMAIL.COM</v>
      </c>
      <c r="L1047" s="1" t="str">
        <f>IFERROR(__xludf.DUMMYFUNCTION("""COMPUTED_VALUE"""),"BLK 5 LOT 4")</f>
        <v>BLK 5 LOT 4</v>
      </c>
      <c r="M1047" s="1" t="str">
        <f>IFERROR(__xludf.DUMMYFUNCTION("""COMPUTED_VALUE"""),"NEPAL")</f>
        <v>NEPAL</v>
      </c>
      <c r="N1047" s="1" t="str">
        <f>IFERROR(__xludf.DUMMYFUNCTION("""COMPUTED_VALUE"""),"SAN MARINO")</f>
        <v>SAN MARINO</v>
      </c>
      <c r="O1047" s="1"/>
      <c r="P1047" s="1"/>
      <c r="Q1047" s="1" t="str">
        <f>IFERROR(__xludf.DUMMYFUNCTION("""COMPUTED_VALUE"""),"SALAWAG")</f>
        <v>SALAWAG</v>
      </c>
      <c r="R1047" s="1" t="str">
        <f>IFERROR(__xludf.DUMMYFUNCTION("""COMPUTED_VALUE"""),"DASMARINAS")</f>
        <v>DASMARINAS</v>
      </c>
      <c r="S1047" s="1" t="str">
        <f>IFERROR(__xludf.DUMMYFUNCTION("""COMPUTED_VALUE"""),"CAVITE")</f>
        <v>CAVITE</v>
      </c>
      <c r="T1047" s="1" t="str">
        <f>IFERROR(__xludf.DUMMYFUNCTION("""COMPUTED_VALUE"""),"FIBR NETFLIX PLAN 1599")</f>
        <v>FIBR NETFLIX PLAN 1599</v>
      </c>
      <c r="U1047" s="1" t="str">
        <f>IFERROR(__xludf.DUMMYFUNCTION("""COMPUTED_VALUE"""),"APPROVED")</f>
        <v>APPROVED</v>
      </c>
      <c r="V1047" s="1"/>
      <c r="W1047" s="1"/>
    </row>
    <row r="1048" customHeight="1" spans="1:23">
      <c r="A1048" s="3">
        <f>IFERROR(__xludf.DUMMYFUNCTION("""COMPUTED_VALUE"""),46112)</f>
        <v>46112</v>
      </c>
      <c r="B1048" s="1" t="str">
        <f>IFERROR(__xludf.DUMMYFUNCTION("""COMPUTED_VALUE"""),"DACALCAP RUBEN")</f>
        <v>DACALCAP RUBEN</v>
      </c>
      <c r="C1048" s="1" t="str">
        <f>IFERROR(__xludf.DUMMYFUNCTION("""COMPUTED_VALUE"""),"FLA")</f>
        <v>FLA</v>
      </c>
      <c r="D1048" s="1" t="str">
        <f>IFERROR(__xludf.DUMMYFUNCTION("""COMPUTED_VALUE"""),"JERIC NAVARRO")</f>
        <v>JERIC NAVARRO</v>
      </c>
      <c r="E1048" s="1" t="str">
        <f>IFERROR(__xludf.DUMMYFUNCTION("""COMPUTED_VALUE"""),"PLDT")</f>
        <v>PLDT</v>
      </c>
      <c r="F1048" s="1">
        <f>IFERROR(__xludf.DUMMYFUNCTION("""COMPUTED_VALUE"""),2308595366)</f>
        <v>2308595366</v>
      </c>
      <c r="G1048" s="1"/>
      <c r="H1048" s="1" t="str">
        <f>IFERROR(__xludf.DUMMYFUNCTION("""COMPUTED_VALUE"""),"JONATHAN CONGRESO REYES")</f>
        <v>JONATHAN CONGRESO REYES</v>
      </c>
      <c r="I1048" s="1">
        <f>IFERROR(__xludf.DUMMYFUNCTION("""COMPUTED_VALUE"""),9162307986)</f>
        <v>9162307986</v>
      </c>
      <c r="J1048" s="1">
        <f>IFERROR(__xludf.DUMMYFUNCTION("""COMPUTED_VALUE"""),9166332449)</f>
        <v>9166332449</v>
      </c>
      <c r="K1048" s="1" t="str">
        <f>IFERROR(__xludf.DUMMYFUNCTION("""COMPUTED_VALUE"""),"OTHANREYES1010@GMAIL.COM")</f>
        <v>OTHANREYES1010@GMAIL.COM</v>
      </c>
      <c r="L1048" s="1" t="str">
        <f>IFERROR(__xludf.DUMMYFUNCTION("""COMPUTED_VALUE"""),"452")</f>
        <v>452</v>
      </c>
      <c r="M1048" s="1" t="str">
        <f>IFERROR(__xludf.DUMMYFUNCTION("""COMPUTED_VALUE"""),"SAYA ST")</f>
        <v>SAYA ST</v>
      </c>
      <c r="N1048" s="1"/>
      <c r="O1048" s="1"/>
      <c r="P1048" s="1"/>
      <c r="Q1048" s="1" t="str">
        <f>IFERROR(__xludf.DUMMYFUNCTION("""COMPUTED_VALUE"""),"BIGA I")</f>
        <v>BIGA I</v>
      </c>
      <c r="R1048" s="1" t="str">
        <f>IFERROR(__xludf.DUMMYFUNCTION("""COMPUTED_VALUE"""),"SILANG")</f>
        <v>SILANG</v>
      </c>
      <c r="S1048" s="1" t="str">
        <f>IFERROR(__xludf.DUMMYFUNCTION("""COMPUTED_VALUE"""),"CAVITE")</f>
        <v>CAVITE</v>
      </c>
      <c r="T1048" s="1" t="str">
        <f>IFERROR(__xludf.DUMMYFUNCTION("""COMPUTED_VALUE"""),"FIBR NETFLIX PLAN 1599")</f>
        <v>FIBR NETFLIX PLAN 1599</v>
      </c>
      <c r="U1048" s="1" t="str">
        <f>IFERROR(__xludf.DUMMYFUNCTION("""COMPUTED_VALUE"""),"APPROVED")</f>
        <v>APPROVED</v>
      </c>
      <c r="V1048" s="1"/>
      <c r="W1048" s="1"/>
    </row>
    <row r="1049" customHeight="1" spans="1:23">
      <c r="A1049" s="3">
        <f>IFERROR(__xludf.DUMMYFUNCTION("""COMPUTED_VALUE"""),46112)</f>
        <v>46112</v>
      </c>
      <c r="B1049" s="1" t="str">
        <f>IFERROR(__xludf.DUMMYFUNCTION("""COMPUTED_VALUE"""),"ESCARCHA, MA ALMA  ESCOTO")</f>
        <v>ESCARCHA, MA ALMA  ESCOTO</v>
      </c>
      <c r="C1049" s="1" t="str">
        <f>IFERROR(__xludf.DUMMYFUNCTION("""COMPUTED_VALUE"""),"ORGANIC")</f>
        <v>ORGANIC</v>
      </c>
      <c r="D1049" s="1" t="str">
        <f>IFERROR(__xludf.DUMMYFUNCTION("""COMPUTED_VALUE"""),"ALINGARO, CINDY")</f>
        <v>ALINGARO, CINDY</v>
      </c>
      <c r="E1049" s="1" t="str">
        <f>IFERROR(__xludf.DUMMYFUNCTION("""COMPUTED_VALUE"""),"PLDT")</f>
        <v>PLDT</v>
      </c>
      <c r="F1049" s="1">
        <f>IFERROR(__xludf.DUMMYFUNCTION("""COMPUTED_VALUE"""),2308597124)</f>
        <v>2308597124</v>
      </c>
      <c r="G1049" s="1"/>
      <c r="H1049" s="1" t="str">
        <f>IFERROR(__xludf.DUMMYFUNCTION("""COMPUTED_VALUE"""),"MARICOR RAANDAAN GALLANO")</f>
        <v>MARICOR RAANDAAN GALLANO</v>
      </c>
      <c r="I1049" s="1">
        <f>IFERROR(__xludf.DUMMYFUNCTION("""COMPUTED_VALUE"""),9675701741)</f>
        <v>9675701741</v>
      </c>
      <c r="J1049" s="1"/>
      <c r="K1049" s="1" t="str">
        <f>IFERROR(__xludf.DUMMYFUNCTION("""COMPUTED_VALUE"""),"MARICORGALLANO1020@GMAIL.COM")</f>
        <v>MARICORGALLANO1020@GMAIL.COM</v>
      </c>
      <c r="L1049" s="1" t="str">
        <f>IFERROR(__xludf.DUMMYFUNCTION("""COMPUTED_VALUE"""),"BLK 17 LOT 4")</f>
        <v>BLK 17 LOT 4</v>
      </c>
      <c r="M1049" s="1" t="str">
        <f>IFERROR(__xludf.DUMMYFUNCTION("""COMPUTED_VALUE"""),"YAKAL")</f>
        <v>YAKAL</v>
      </c>
      <c r="N1049" s="1"/>
      <c r="O1049" s="1"/>
      <c r="P1049" s="1"/>
      <c r="Q1049" s="1" t="str">
        <f>IFERROR(__xludf.DUMMYFUNCTION("""COMPUTED_VALUE"""),"YAKAL")</f>
        <v>YAKAL</v>
      </c>
      <c r="R1049" s="1" t="str">
        <f>IFERROR(__xludf.DUMMYFUNCTION("""COMPUTED_VALUE"""),"SILANG")</f>
        <v>SILANG</v>
      </c>
      <c r="S1049" s="1" t="str">
        <f>IFERROR(__xludf.DUMMYFUNCTION("""COMPUTED_VALUE"""),"CAVITE")</f>
        <v>CAVITE</v>
      </c>
      <c r="T1049" s="1" t="str">
        <f>IFERROR(__xludf.DUMMYFUNCTION("""COMPUTED_VALUE"""),"PREPAID FIBER UNLI")</f>
        <v>PREPAID FIBER UNLI</v>
      </c>
      <c r="U1049" s="1" t="str">
        <f>IFERROR(__xludf.DUMMYFUNCTION("""COMPUTED_VALUE"""),"APPROVED")</f>
        <v>APPROVED</v>
      </c>
      <c r="V1049" s="1"/>
      <c r="W1049" s="1"/>
    </row>
    <row r="1050" customHeight="1" spans="1:23">
      <c r="A1050" s="3">
        <f>IFERROR(__xludf.DUMMYFUNCTION("""COMPUTED_VALUE"""),46112)</f>
        <v>46112</v>
      </c>
      <c r="B1050" s="1" t="str">
        <f>IFERROR(__xludf.DUMMYFUNCTION("""COMPUTED_VALUE"""),"CATALON, FITZ HEAVEN")</f>
        <v>CATALON, FITZ HEAVEN</v>
      </c>
      <c r="C1050" s="1" t="str">
        <f>IFERROR(__xludf.DUMMYFUNCTION("""COMPUTED_VALUE"""),"ORGANIC")</f>
        <v>ORGANIC</v>
      </c>
      <c r="D1050" s="1" t="str">
        <f>IFERROR(__xludf.DUMMYFUNCTION("""COMPUTED_VALUE"""),"ALINGARO, CINDY")</f>
        <v>ALINGARO, CINDY</v>
      </c>
      <c r="E1050" s="1" t="str">
        <f>IFERROR(__xludf.DUMMYFUNCTION("""COMPUTED_VALUE"""),"PLDT")</f>
        <v>PLDT</v>
      </c>
      <c r="F1050" s="1"/>
      <c r="G1050" s="1"/>
      <c r="H1050" s="1" t="str">
        <f>IFERROR(__xludf.DUMMYFUNCTION("""COMPUTED_VALUE"""),"PATRICIA MENDOZA HABABAG")</f>
        <v>PATRICIA MENDOZA HABABAG</v>
      </c>
      <c r="I1050" s="1">
        <f>IFERROR(__xludf.DUMMYFUNCTION("""COMPUTED_VALUE"""),9102949193)</f>
        <v>9102949193</v>
      </c>
      <c r="J1050" s="1">
        <f>IFERROR(__xludf.DUMMYFUNCTION("""COMPUTED_VALUE"""),9513638899)</f>
        <v>9513638899</v>
      </c>
      <c r="K1050" s="1" t="str">
        <f>IFERROR(__xludf.DUMMYFUNCTION("""COMPUTED_VALUE"""),"PATRICIAHABABG@GMAIL.COM")</f>
        <v>PATRICIAHABABG@GMAIL.COM</v>
      </c>
      <c r="L1050" s="1" t="str">
        <f>IFERROR(__xludf.DUMMYFUNCTION("""COMPUTED_VALUE"""),"BLK 1 LOT 6")</f>
        <v>BLK 1 LOT 6</v>
      </c>
      <c r="M1050" s="1" t="str">
        <f>IFERROR(__xludf.DUMMYFUNCTION("""COMPUTED_VALUE"""),"GREGORIA ")</f>
        <v>GREGORIA </v>
      </c>
      <c r="N1050" s="1"/>
      <c r="O1050" s="1"/>
      <c r="P1050" s="1"/>
      <c r="Q1050" s="1" t="str">
        <f>IFERROR(__xludf.DUMMYFUNCTION("""COMPUTED_VALUE"""),"GREGORIA DE JESUS")</f>
        <v>GREGORIA DE JESUS</v>
      </c>
      <c r="R1050" s="1" t="str">
        <f>IFERROR(__xludf.DUMMYFUNCTION("""COMPUTED_VALUE"""),"GEN MARIANO ALVAREZ")</f>
        <v>GEN MARIANO ALVAREZ</v>
      </c>
      <c r="S1050" s="1" t="str">
        <f>IFERROR(__xludf.DUMMYFUNCTION("""COMPUTED_VALUE"""),"CAVITE")</f>
        <v>CAVITE</v>
      </c>
      <c r="T1050" s="1" t="str">
        <f>IFERROR(__xludf.DUMMYFUNCTION("""COMPUTED_VALUE"""),"FIBR UNLI ALL PLAN 1399")</f>
        <v>FIBR UNLI ALL PLAN 1399</v>
      </c>
      <c r="U1050" s="1" t="str">
        <f>IFERROR(__xludf.DUMMYFUNCTION("""COMPUTED_VALUE"""),"RETURN FOR COMPLIANCE - AGENT")</f>
        <v>RETURN FOR COMPLIANCE - AGENT</v>
      </c>
      <c r="V1050" s="1" t="str">
        <f>IFERROR(__xludf.DUMMYFUNCTION("""COMPUTED_VALUE"""),"1ST CBR UNATTENDED 2ND CBR INCORRECT CBR")</f>
        <v>1ST CBR UNATTENDED 2ND CBR INCORRECT CBR</v>
      </c>
      <c r="W1050" s="1"/>
    </row>
    <row r="1051" customHeight="1" spans="1:23">
      <c r="A1051" s="3">
        <f>IFERROR(__xludf.DUMMYFUNCTION("""COMPUTED_VALUE"""),46112)</f>
        <v>46112</v>
      </c>
      <c r="B1051" s="1" t="str">
        <f>IFERROR(__xludf.DUMMYFUNCTION("""COMPUTED_VALUE"""),"CINCO, NIEL JUSTINE")</f>
        <v>CINCO, NIEL JUSTINE</v>
      </c>
      <c r="C1051" s="1" t="str">
        <f>IFERROR(__xludf.DUMMYFUNCTION("""COMPUTED_VALUE"""),"ORGANIC")</f>
        <v>ORGANIC</v>
      </c>
      <c r="D1051" s="1" t="str">
        <f>IFERROR(__xludf.DUMMYFUNCTION("""COMPUTED_VALUE"""),"ALINGARO, CINDY")</f>
        <v>ALINGARO, CINDY</v>
      </c>
      <c r="E1051" s="1" t="str">
        <f>IFERROR(__xludf.DUMMYFUNCTION("""COMPUTED_VALUE"""),"PLDT")</f>
        <v>PLDT</v>
      </c>
      <c r="F1051" s="1">
        <f>IFERROR(__xludf.DUMMYFUNCTION("""COMPUTED_VALUE"""),2308597671)</f>
        <v>2308597671</v>
      </c>
      <c r="G1051" s="1"/>
      <c r="H1051" s="1" t="str">
        <f>IFERROR(__xludf.DUMMYFUNCTION("""COMPUTED_VALUE"""),"ARMANDO BAZAR IBARRETA")</f>
        <v>ARMANDO BAZAR IBARRETA</v>
      </c>
      <c r="I1051" s="1">
        <f>IFERROR(__xludf.DUMMYFUNCTION("""COMPUTED_VALUE"""),9214348943)</f>
        <v>9214348943</v>
      </c>
      <c r="J1051" s="1"/>
      <c r="K1051" s="1" t="str">
        <f>IFERROR(__xludf.DUMMYFUNCTION("""COMPUTED_VALUE"""),"ARMANIBARRETA@GMAIL.COM")</f>
        <v>ARMANIBARRETA@GMAIL.COM</v>
      </c>
      <c r="L1051" s="1" t="str">
        <f>IFERROR(__xludf.DUMMYFUNCTION("""COMPUTED_VALUE"""),"BLK 22A LOT 31")</f>
        <v>BLK 22A LOT 31</v>
      </c>
      <c r="M1051" s="1" t="str">
        <f>IFERROR(__xludf.DUMMYFUNCTION("""COMPUTED_VALUE"""),"STRAWBERRY")</f>
        <v>STRAWBERRY</v>
      </c>
      <c r="N1051" s="1"/>
      <c r="O1051" s="1"/>
      <c r="P1051" s="1"/>
      <c r="Q1051" s="1" t="str">
        <f>IFERROR(__xludf.DUMMYFUNCTION("""COMPUTED_VALUE"""),"FRANCISCO REYES")</f>
        <v>FRANCISCO REYES</v>
      </c>
      <c r="R1051" s="1" t="str">
        <f>IFERROR(__xludf.DUMMYFUNCTION("""COMPUTED_VALUE"""),"GEN MARIANO ALVAREZ")</f>
        <v>GEN MARIANO ALVAREZ</v>
      </c>
      <c r="S1051" s="1" t="str">
        <f>IFERROR(__xludf.DUMMYFUNCTION("""COMPUTED_VALUE"""),"CAVITE")</f>
        <v>CAVITE</v>
      </c>
      <c r="T1051" s="1" t="str">
        <f>IFERROR(__xludf.DUMMYFUNCTION("""COMPUTED_VALUE"""),"PREPAID FIBER UNLI")</f>
        <v>PREPAID FIBER UNLI</v>
      </c>
      <c r="U1051" s="1" t="str">
        <f>IFERROR(__xludf.DUMMYFUNCTION("""COMPUTED_VALUE"""),"APPROVED")</f>
        <v>APPROVED</v>
      </c>
      <c r="V1051" s="1"/>
      <c r="W1051" s="1"/>
    </row>
    <row r="1052" customHeight="1" spans="1:23">
      <c r="A1052" s="3">
        <f>IFERROR(__xludf.DUMMYFUNCTION("""COMPUTED_VALUE"""),231)</f>
        <v>231</v>
      </c>
      <c r="B1052" s="1" t="str">
        <f>IFERROR(__xludf.DUMMYFUNCTION("""COMPUTED_VALUE""")," AGENT")</f>
        <v> AGENT</v>
      </c>
      <c r="C1052" s="1" t="str">
        <f>IFERROR(__xludf.DUMMYFUNCTION("""COMPUTED_VALUE"""),"DESIGNATION")</f>
        <v>DESIGNATION</v>
      </c>
      <c r="D1052" s="1" t="str">
        <f>IFERROR(__xludf.DUMMYFUNCTION("""COMPUTED_VALUE"""),"TEAM LEADER")</f>
        <v>TEAM LEADER</v>
      </c>
      <c r="E1052" s="1" t="str">
        <f>IFERROR(__xludf.DUMMYFUNCTION("""COMPUTED_VALUE"""),"SALES THRU")</f>
        <v>SALES THRU</v>
      </c>
      <c r="F1052" s="1"/>
      <c r="G1052" s="1"/>
      <c r="H1052" s="1" t="str">
        <f>IFERROR(__xludf.DUMMYFUNCTION("""COMPUTED_VALUE"""),"SUBS NAME")</f>
        <v>SUBS NAME</v>
      </c>
      <c r="I1052" s="1"/>
      <c r="J1052" s="1"/>
      <c r="K1052" s="1" t="str">
        <f>IFERROR(__xludf.DUMMYFUNCTION("""COMPUTED_VALUE"""),"EMAIL ADDRESS")</f>
        <v>EMAIL ADDRESS</v>
      </c>
      <c r="L1052" s="1" t="str">
        <f>IFERROR(__xludf.DUMMYFUNCTION("""COMPUTED_VALUE"""),"HOUSE#/ UNIT / FLOOR")</f>
        <v>HOUSE#/ UNIT / FLOOR</v>
      </c>
      <c r="M1052" s="1" t="str">
        <f>IFERROR(__xludf.DUMMYFUNCTION("""COMPUTED_VALUE"""),"ST NAME")</f>
        <v>ST NAME</v>
      </c>
      <c r="N1052" s="1" t="str">
        <f>IFERROR(__xludf.DUMMYFUNCTION("""COMPUTED_VALUE"""),"SUBD")</f>
        <v>SUBD</v>
      </c>
      <c r="O1052" s="1" t="str">
        <f>IFERROR(__xludf.DUMMYFUNCTION("""COMPUTED_VALUE"""),"BGY ")</f>
        <v>BGY </v>
      </c>
      <c r="P1052" s="1" t="str">
        <f>IFERROR(__xludf.DUMMYFUNCTION("""COMPUTED_VALUE"""),"CITY")</f>
        <v>CITY</v>
      </c>
      <c r="Q1052" s="1" t="str">
        <f>IFERROR(__xludf.DUMMYFUNCTION("""COMPUTED_VALUE"""),"PROVINCE")</f>
        <v>PROVINCE</v>
      </c>
      <c r="R1052" s="1" t="str">
        <f>IFERROR(__xludf.DUMMYFUNCTION("""COMPUTED_VALUE"""),"PLAN")</f>
        <v>PLAN</v>
      </c>
      <c r="S1052" s="1" t="str">
        <f>IFERROR(__xludf.DUMMYFUNCTION("""COMPUTED_VALUE"""),"STATUS")</f>
        <v>STATUS</v>
      </c>
      <c r="T1052" s="1" t="str">
        <f>IFERROR(__xludf.DUMMYFUNCTION("""COMPUTED_VALUE"""),"REMARKS")</f>
        <v>REMARKS</v>
      </c>
      <c r="U1052" s="1"/>
      <c r="V1052" s="1"/>
      <c r="W1052" s="1"/>
    </row>
    <row r="1053" customHeight="1" spans="1:23">
      <c r="A1053" s="3">
        <f>IFERROR(__xludf.DUMMYFUNCTION("""COMPUTED_VALUE"""),46113)</f>
        <v>46113</v>
      </c>
      <c r="B1053" s="1" t="str">
        <f>IFERROR(__xludf.DUMMYFUNCTION("""COMPUTED_VALUE"""),"DACALCAP RUBEN")</f>
        <v>DACALCAP RUBEN</v>
      </c>
      <c r="C1053" s="1" t="str">
        <f>IFERROR(__xludf.DUMMYFUNCTION("""COMPUTED_VALUE"""),"FLA")</f>
        <v>FLA</v>
      </c>
      <c r="D1053" s="1" t="str">
        <f>IFERROR(__xludf.DUMMYFUNCTION("""COMPUTED_VALUE"""),"JERIC NAVARRO")</f>
        <v>JERIC NAVARRO</v>
      </c>
      <c r="E1053" s="1" t="str">
        <f>IFERROR(__xludf.DUMMYFUNCTION("""COMPUTED_VALUE"""),"PLDT")</f>
        <v>PLDT</v>
      </c>
      <c r="F1053" s="1">
        <f>IFERROR(__xludf.DUMMYFUNCTION("""COMPUTED_VALUE"""),2308609002)</f>
        <v>2308609002</v>
      </c>
      <c r="G1053" s="1">
        <f>IFERROR(__xludf.DUMMYFUNCTION("""COMPUTED_VALUE"""),448992358004)</f>
        <v>448992358004</v>
      </c>
      <c r="H1053" s="1" t="str">
        <f>IFERROR(__xludf.DUMMYFUNCTION("""COMPUTED_VALUE"""),"JOANNA MARIE PALADIN ACOOT")</f>
        <v>JOANNA MARIE PALADIN ACOOT</v>
      </c>
      <c r="I1053" s="1">
        <f>IFERROR(__xludf.DUMMYFUNCTION("""COMPUTED_VALUE"""),9672538679)</f>
        <v>9672538679</v>
      </c>
      <c r="J1053" s="1"/>
      <c r="K1053" s="1" t="str">
        <f>IFERROR(__xludf.DUMMYFUNCTION("""COMPUTED_VALUE"""),"AGOOTJOANNAMARIE2001@GMAI;.COM")</f>
        <v>AGOOTJOANNAMARIE2001@GMAI;.COM</v>
      </c>
      <c r="L1053" s="1" t="str">
        <f>IFERROR(__xludf.DUMMYFUNCTION("""COMPUTED_VALUE"""),"BLK 4 LOT 22")</f>
        <v>BLK 4 LOT 22</v>
      </c>
      <c r="M1053" s="1" t="str">
        <f>IFERROR(__xludf.DUMMYFUNCTION("""COMPUTED_VALUE"""),"CORTEZ ST")</f>
        <v>CORTEZ ST</v>
      </c>
      <c r="N1053" s="1"/>
      <c r="O1053" s="1" t="str">
        <f>IFERROR(__xludf.DUMMYFUNCTION("""COMPUTED_VALUE"""),"MAGUYAM")</f>
        <v>MAGUYAM</v>
      </c>
      <c r="P1053" s="1" t="str">
        <f>IFERROR(__xludf.DUMMYFUNCTION("""COMPUTED_VALUE"""),"SILANG")</f>
        <v>SILANG</v>
      </c>
      <c r="Q1053" s="1" t="str">
        <f>IFERROR(__xludf.DUMMYFUNCTION("""COMPUTED_VALUE"""),"CAVITE")</f>
        <v>CAVITE</v>
      </c>
      <c r="R1053" s="1" t="str">
        <f>IFERROR(__xludf.DUMMYFUNCTION("""COMPUTED_VALUE"""),"FIBR PLAN 1299")</f>
        <v>FIBR PLAN 1299</v>
      </c>
      <c r="S1053" s="1" t="str">
        <f>IFERROR(__xludf.DUMMYFUNCTION("""COMPUTED_VALUE"""),"APPROVED")</f>
        <v>APPROVED</v>
      </c>
      <c r="T1053" s="1"/>
      <c r="U1053" s="1"/>
      <c r="V1053" s="1"/>
      <c r="W1053" s="1"/>
    </row>
    <row r="1054" customHeight="1" spans="1:23">
      <c r="A1054" s="3">
        <f>IFERROR(__xludf.DUMMYFUNCTION("""COMPUTED_VALUE"""),46113)</f>
        <v>46113</v>
      </c>
      <c r="B1054" s="1" t="str">
        <f>IFERROR(__xludf.DUMMYFUNCTION("""COMPUTED_VALUE"""),"FERNANDEZ JERIC")</f>
        <v>FERNANDEZ JERIC</v>
      </c>
      <c r="C1054" s="1" t="str">
        <f>IFERROR(__xludf.DUMMYFUNCTION("""COMPUTED_VALUE"""),"ORGANIC")</f>
        <v>ORGANIC</v>
      </c>
      <c r="D1054" s="1" t="str">
        <f>IFERROR(__xludf.DUMMYFUNCTION("""COMPUTED_VALUE"""),"ALOS, CHARLS")</f>
        <v>ALOS, CHARLS</v>
      </c>
      <c r="E1054" s="1" t="str">
        <f>IFERROR(__xludf.DUMMYFUNCTION("""COMPUTED_VALUE"""),"RED FIBER")</f>
        <v>RED FIBER</v>
      </c>
      <c r="F1054" s="1"/>
      <c r="G1054" s="1"/>
      <c r="H1054" s="1" t="str">
        <f>IFERROR(__xludf.DUMMYFUNCTION("""COMPUTED_VALUE"""),"LEXTER DELA CRUZ SAPUNTO")</f>
        <v>LEXTER DELA CRUZ SAPUNTO</v>
      </c>
      <c r="I1054" s="1">
        <f>IFERROR(__xludf.DUMMYFUNCTION("""COMPUTED_VALUE"""),9272816924)</f>
        <v>9272816924</v>
      </c>
      <c r="J1054" s="1"/>
      <c r="K1054" s="1" t="str">
        <f>IFERROR(__xludf.DUMMYFUNCTION("""COMPUTED_VALUE"""),"SAPUNTEXTER396@GMAIL.COM")</f>
        <v>SAPUNTEXTER396@GMAIL.COM</v>
      </c>
      <c r="L1054" s="1" t="str">
        <f>IFERROR(__xludf.DUMMYFUNCTION("""COMPUTED_VALUE"""),"94")</f>
        <v>94</v>
      </c>
      <c r="M1054" s="1" t="str">
        <f>IFERROR(__xludf.DUMMYFUNCTION("""COMPUTED_VALUE"""),"MARKET RD")</f>
        <v>MARKET RD</v>
      </c>
      <c r="N1054" s="1"/>
      <c r="O1054" s="1" t="str">
        <f>IFERROR(__xludf.DUMMYFUNCTION("""COMPUTED_VALUE"""),"GALICIA II")</f>
        <v>GALICIA II</v>
      </c>
      <c r="P1054" s="1" t="str">
        <f>IFERROR(__xludf.DUMMYFUNCTION("""COMPUTED_VALUE"""),"MENDEZ")</f>
        <v>MENDEZ</v>
      </c>
      <c r="Q1054" s="1" t="str">
        <f>IFERROR(__xludf.DUMMYFUNCTION("""COMPUTED_VALUE"""),"CAVITE")</f>
        <v>CAVITE</v>
      </c>
      <c r="R1054" s="1" t="str">
        <f>IFERROR(__xludf.DUMMYFUNCTION("""COMPUTED_VALUE"""),"RED PLAN 1400")</f>
        <v>RED PLAN 1400</v>
      </c>
      <c r="S1054" s="1" t="str">
        <f>IFERROR(__xludf.DUMMYFUNCTION("""COMPUTED_VALUE"""),"APPROVED")</f>
        <v>APPROVED</v>
      </c>
      <c r="T1054" s="1"/>
      <c r="U1054" s="1"/>
      <c r="V1054" s="1"/>
      <c r="W1054" s="1"/>
    </row>
    <row r="1055" customHeight="1" spans="1:23">
      <c r="A1055" s="3">
        <f>IFERROR(__xludf.DUMMYFUNCTION("""COMPUTED_VALUE"""),46113)</f>
        <v>46113</v>
      </c>
      <c r="B1055" s="1" t="str">
        <f>IFERROR(__xludf.DUMMYFUNCTION("""COMPUTED_VALUE"""),"DACALCAP RUBEN")</f>
        <v>DACALCAP RUBEN</v>
      </c>
      <c r="C1055" s="1" t="str">
        <f>IFERROR(__xludf.DUMMYFUNCTION("""COMPUTED_VALUE"""),"FLA")</f>
        <v>FLA</v>
      </c>
      <c r="D1055" s="1" t="str">
        <f>IFERROR(__xludf.DUMMYFUNCTION("""COMPUTED_VALUE"""),"JERIC NAVARRO")</f>
        <v>JERIC NAVARRO</v>
      </c>
      <c r="E1055" s="1" t="str">
        <f>IFERROR(__xludf.DUMMYFUNCTION("""COMPUTED_VALUE"""),"PLDT")</f>
        <v>PLDT</v>
      </c>
      <c r="F1055" s="1">
        <f>IFERROR(__xludf.DUMMYFUNCTION("""COMPUTED_VALUE"""),2308609936)</f>
        <v>2308609936</v>
      </c>
      <c r="G1055" s="1">
        <f>IFERROR(__xludf.DUMMYFUNCTION("""COMPUTED_VALUE"""),448992008004)</f>
        <v>448992008004</v>
      </c>
      <c r="H1055" s="1" t="str">
        <f>IFERROR(__xludf.DUMMYFUNCTION("""COMPUTED_VALUE"""),"MELANIE GALOPE EDUARDO")</f>
        <v>MELANIE GALOPE EDUARDO</v>
      </c>
      <c r="I1055" s="1">
        <f>IFERROR(__xludf.DUMMYFUNCTION("""COMPUTED_VALUE"""),9186107981)</f>
        <v>9186107981</v>
      </c>
      <c r="J1055" s="1">
        <f>IFERROR(__xludf.DUMMYFUNCTION("""COMPUTED_VALUE"""),9620850067)</f>
        <v>9620850067</v>
      </c>
      <c r="K1055" s="1" t="str">
        <f>IFERROR(__xludf.DUMMYFUNCTION("""COMPUTED_VALUE"""),"EDUARDOMELANIEEDURADO@GMAIL.COM")</f>
        <v>EDUARDOMELANIEEDURADO@GMAIL.COM</v>
      </c>
      <c r="L1055" s="1" t="str">
        <f>IFERROR(__xludf.DUMMYFUNCTION("""COMPUTED_VALUE"""),"9034")</f>
        <v>9034</v>
      </c>
      <c r="M1055" s="1" t="str">
        <f>IFERROR(__xludf.DUMMYFUNCTION("""COMPUTED_VALUE"""),"EXCESS LOT")</f>
        <v>EXCESS LOT</v>
      </c>
      <c r="N1055" s="1" t="str">
        <f>IFERROR(__xludf.DUMMYFUNCTION("""COMPUTED_VALUE"""),"BLESSED VILLE")</f>
        <v>BLESSED VILLE</v>
      </c>
      <c r="O1055" s="1" t="str">
        <f>IFERROR(__xludf.DUMMYFUNCTION("""COMPUTED_VALUE"""),"SAMPALOC II")</f>
        <v>SAMPALOC II</v>
      </c>
      <c r="P1055" s="1" t="str">
        <f>IFERROR(__xludf.DUMMYFUNCTION("""COMPUTED_VALUE"""),"DASMARINAS")</f>
        <v>DASMARINAS</v>
      </c>
      <c r="Q1055" s="1" t="str">
        <f>IFERROR(__xludf.DUMMYFUNCTION("""COMPUTED_VALUE"""),"CAVITE")</f>
        <v>CAVITE</v>
      </c>
      <c r="R1055" s="1" t="str">
        <f>IFERROR(__xludf.DUMMYFUNCTION("""COMPUTED_VALUE"""),"FIBR NETFLIX PLAN 1599")</f>
        <v>FIBR NETFLIX PLAN 1599</v>
      </c>
      <c r="S1055" s="1" t="str">
        <f>IFERROR(__xludf.DUMMYFUNCTION("""COMPUTED_VALUE"""),"APPROVED")</f>
        <v>APPROVED</v>
      </c>
      <c r="T1055" s="1"/>
      <c r="U1055" s="1"/>
      <c r="V1055" s="1"/>
      <c r="W1055" s="1"/>
    </row>
    <row r="1056" customHeight="1" spans="1:23">
      <c r="A1056" s="3">
        <f>IFERROR(__xludf.DUMMYFUNCTION("""COMPUTED_VALUE"""),46113)</f>
        <v>46113</v>
      </c>
      <c r="B1056" s="1" t="str">
        <f>IFERROR(__xludf.DUMMYFUNCTION("""COMPUTED_VALUE"""),"AYON MANUEL")</f>
        <v>AYON MANUEL</v>
      </c>
      <c r="C1056" s="1" t="str">
        <f>IFERROR(__xludf.DUMMYFUNCTION("""COMPUTED_VALUE"""),"FLA")</f>
        <v>FLA</v>
      </c>
      <c r="D1056" s="1" t="str">
        <f>IFERROR(__xludf.DUMMYFUNCTION("""COMPUTED_VALUE"""),"JERIC NAVARRO")</f>
        <v>JERIC NAVARRO</v>
      </c>
      <c r="E1056" s="1" t="str">
        <f>IFERROR(__xludf.DUMMYFUNCTION("""COMPUTED_VALUE"""),"PLDT")</f>
        <v>PLDT</v>
      </c>
      <c r="F1056" s="1">
        <f>IFERROR(__xludf.DUMMYFUNCTION("""COMPUTED_VALUE"""),2308613965)</f>
        <v>2308613965</v>
      </c>
      <c r="G1056" s="1">
        <f>IFERROR(__xludf.DUMMYFUNCTION("""COMPUTED_VALUE"""),449006164004)</f>
        <v>449006164004</v>
      </c>
      <c r="H1056" s="1" t="str">
        <f>IFERROR(__xludf.DUMMYFUNCTION("""COMPUTED_VALUE"""),"ERIALYN TOLEDO SANTOS")</f>
        <v>ERIALYN TOLEDO SANTOS</v>
      </c>
      <c r="I1056" s="1">
        <f>IFERROR(__xludf.DUMMYFUNCTION("""COMPUTED_VALUE"""),9452488238)</f>
        <v>9452488238</v>
      </c>
      <c r="J1056" s="1">
        <f>IFERROR(__xludf.DUMMYFUNCTION("""COMPUTED_VALUE"""),9923250632)</f>
        <v>9923250632</v>
      </c>
      <c r="K1056" s="1" t="str">
        <f>IFERROR(__xludf.DUMMYFUNCTION("""COMPUTED_VALUE"""),"ERIALYNSANTOS27@GMAIL.COM")</f>
        <v>ERIALYNSANTOS27@GMAIL.COM</v>
      </c>
      <c r="L1056" s="1" t="str">
        <f>IFERROR(__xludf.DUMMYFUNCTION("""COMPUTED_VALUE"""),"9103")</f>
        <v>9103</v>
      </c>
      <c r="M1056" s="1" t="str">
        <f>IFERROR(__xludf.DUMMYFUNCTION("""COMPUTED_VALUE"""),"SITIO HANOPOL")</f>
        <v>SITIO HANOPOL</v>
      </c>
      <c r="N1056" s="1"/>
      <c r="O1056" s="1" t="str">
        <f>IFERROR(__xludf.DUMMYFUNCTION("""COMPUTED_VALUE"""),"KAONG")</f>
        <v>KAONG</v>
      </c>
      <c r="P1056" s="1" t="str">
        <f>IFERROR(__xludf.DUMMYFUNCTION("""COMPUTED_VALUE"""),"SILANG")</f>
        <v>SILANG</v>
      </c>
      <c r="Q1056" s="1" t="str">
        <f>IFERROR(__xludf.DUMMYFUNCTION("""COMPUTED_VALUE"""),"CAVITE")</f>
        <v>CAVITE</v>
      </c>
      <c r="R1056" s="1" t="str">
        <f>IFERROR(__xludf.DUMMYFUNCTION("""COMPUTED_VALUE"""),"FIBR PLAN 1299")</f>
        <v>FIBR PLAN 1299</v>
      </c>
      <c r="S1056" s="1" t="str">
        <f>IFERROR(__xludf.DUMMYFUNCTION("""COMPUTED_VALUE"""),"APPROVED")</f>
        <v>APPROVED</v>
      </c>
      <c r="T1056" s="1"/>
      <c r="U1056" s="1"/>
      <c r="V1056" s="1"/>
      <c r="W1056" s="1"/>
    </row>
    <row r="1057" customHeight="1" spans="1:23">
      <c r="A1057" s="3">
        <f>IFERROR(__xludf.DUMMYFUNCTION("""COMPUTED_VALUE"""),46113)</f>
        <v>46113</v>
      </c>
      <c r="B1057" s="1" t="str">
        <f>IFERROR(__xludf.DUMMYFUNCTION("""COMPUTED_VALUE"""),"ESCARCHA, MA ALMA  ESCOTO")</f>
        <v>ESCARCHA, MA ALMA  ESCOTO</v>
      </c>
      <c r="C1057" s="1" t="str">
        <f>IFERROR(__xludf.DUMMYFUNCTION("""COMPUTED_VALUE"""),"ORGANIC")</f>
        <v>ORGANIC</v>
      </c>
      <c r="D1057" s="1" t="str">
        <f>IFERROR(__xludf.DUMMYFUNCTION("""COMPUTED_VALUE"""),"ALINGARO, CINDY")</f>
        <v>ALINGARO, CINDY</v>
      </c>
      <c r="E1057" s="1" t="str">
        <f>IFERROR(__xludf.DUMMYFUNCTION("""COMPUTED_VALUE"""),"PLDT")</f>
        <v>PLDT</v>
      </c>
      <c r="F1057" s="1">
        <f>IFERROR(__xludf.DUMMYFUNCTION("""COMPUTED_VALUE"""),2308616750)</f>
        <v>2308616750</v>
      </c>
      <c r="G1057" s="1"/>
      <c r="H1057" s="1" t="str">
        <f>IFERROR(__xludf.DUMMYFUNCTION("""COMPUTED_VALUE"""),"NIYAH JINNELL LY RIA")</f>
        <v>NIYAH JINNELL LY RIA</v>
      </c>
      <c r="I1057" s="1">
        <f>IFERROR(__xludf.DUMMYFUNCTION("""COMPUTED_VALUE"""),9927933934)</f>
        <v>9927933934</v>
      </c>
      <c r="J1057" s="1">
        <f>IFERROR(__xludf.DUMMYFUNCTION("""COMPUTED_VALUE"""),9304480602)</f>
        <v>9304480602</v>
      </c>
      <c r="K1057" s="1" t="str">
        <f>IFERROR(__xludf.DUMMYFUNCTION("""COMPUTED_VALUE"""),"RIANIYAH15@GMAIL.COM")</f>
        <v>RIANIYAH15@GMAIL.COM</v>
      </c>
      <c r="L1057" s="1" t="str">
        <f>IFERROR(__xludf.DUMMYFUNCTION("""COMPUTED_VALUE"""),"BLK 72 LOT 16")</f>
        <v>BLK 72 LOT 16</v>
      </c>
      <c r="M1057" s="1" t="str">
        <f>IFERROR(__xludf.DUMMYFUNCTION("""COMPUTED_VALUE"""),"ZONE 5")</f>
        <v>ZONE 5</v>
      </c>
      <c r="N1057" s="1" t="str">
        <f>IFERROR(__xludf.DUMMYFUNCTION("""COMPUTED_VALUE"""),"AFP HOUSING")</f>
        <v>AFP HOUSING</v>
      </c>
      <c r="O1057" s="1" t="str">
        <f>IFERROR(__xludf.DUMMYFUNCTION("""COMPUTED_VALUE"""),"BULIHAN")</f>
        <v>BULIHAN</v>
      </c>
      <c r="P1057" s="1" t="str">
        <f>IFERROR(__xludf.DUMMYFUNCTION("""COMPUTED_VALUE"""),"SILANG")</f>
        <v>SILANG</v>
      </c>
      <c r="Q1057" s="1" t="str">
        <f>IFERROR(__xludf.DUMMYFUNCTION("""COMPUTED_VALUE"""),"CAVITE")</f>
        <v>CAVITE</v>
      </c>
      <c r="R1057" s="1" t="str">
        <f>IFERROR(__xludf.DUMMYFUNCTION("""COMPUTED_VALUE"""),"FIBR PLAN 1299")</f>
        <v>FIBR PLAN 1299</v>
      </c>
      <c r="S1057" s="1" t="str">
        <f>IFERROR(__xludf.DUMMYFUNCTION("""COMPUTED_VALUE"""),"APPROVED")</f>
        <v>APPROVED</v>
      </c>
      <c r="T1057" s="1"/>
      <c r="U1057" s="1"/>
      <c r="V1057" s="1"/>
      <c r="W1057" s="1"/>
    </row>
    <row r="1058" customHeight="1" spans="1:23">
      <c r="A1058" s="3">
        <f>IFERROR(__xludf.DUMMYFUNCTION("""COMPUTED_VALUE"""),46113)</f>
        <v>46113</v>
      </c>
      <c r="B1058" s="1" t="str">
        <f>IFERROR(__xludf.DUMMYFUNCTION("""COMPUTED_VALUE"""),"ABGAO, LEO TAGANNA")</f>
        <v>ABGAO, LEO TAGANNA</v>
      </c>
      <c r="C1058" s="1" t="str">
        <f>IFERROR(__xludf.DUMMYFUNCTION("""COMPUTED_VALUE"""),"ORGANIC")</f>
        <v>ORGANIC</v>
      </c>
      <c r="D1058" s="1" t="str">
        <f>IFERROR(__xludf.DUMMYFUNCTION("""COMPUTED_VALUE"""),"ALOS, CHARLS")</f>
        <v>ALOS, CHARLS</v>
      </c>
      <c r="E1058" s="1" t="str">
        <f>IFERROR(__xludf.DUMMYFUNCTION("""COMPUTED_VALUE"""),"PLDT")</f>
        <v>PLDT</v>
      </c>
      <c r="F1058" s="1">
        <f>IFERROR(__xludf.DUMMYFUNCTION("""COMPUTED_VALUE"""),2308615187)</f>
        <v>2308615187</v>
      </c>
      <c r="G1058" s="1">
        <f>IFERROR(__xludf.DUMMYFUNCTION("""COMPUTED_VALUE"""),449037249004)</f>
        <v>449037249004</v>
      </c>
      <c r="H1058" s="1" t="str">
        <f>IFERROR(__xludf.DUMMYFUNCTION("""COMPUTED_VALUE"""),"FATIMA JANUBAS LEGASPI")</f>
        <v>FATIMA JANUBAS LEGASPI</v>
      </c>
      <c r="I1058" s="1">
        <f>IFERROR(__xludf.DUMMYFUNCTION("""COMPUTED_VALUE"""),9752563942)</f>
        <v>9752563942</v>
      </c>
      <c r="J1058" s="1">
        <f>IFERROR(__xludf.DUMMYFUNCTION("""COMPUTED_VALUE"""),9367634571)</f>
        <v>9367634571</v>
      </c>
      <c r="K1058" s="1" t="str">
        <f>IFERROR(__xludf.DUMMYFUNCTION("""COMPUTED_VALUE"""),"FATIMAJANUBAS37@GMAIL.COM")</f>
        <v>FATIMAJANUBAS37@GMAIL.COM</v>
      </c>
      <c r="L1058" s="1" t="str">
        <f>IFERROR(__xludf.DUMMYFUNCTION("""COMPUTED_VALUE"""),"BLK 10 LOT 16")</f>
        <v>BLK 10 LOT 16</v>
      </c>
      <c r="M1058" s="1" t="str">
        <f>IFERROR(__xludf.DUMMYFUNCTION("""COMPUTED_VALUE"""),"BUKLURAN 4")</f>
        <v>BUKLURAN 4</v>
      </c>
      <c r="N1058" s="1"/>
      <c r="O1058" s="1" t="str">
        <f>IFERROR(__xludf.DUMMYFUNCTION("""COMPUTED_VALUE"""),"BULIHAN")</f>
        <v>BULIHAN</v>
      </c>
      <c r="P1058" s="1" t="str">
        <f>IFERROR(__xludf.DUMMYFUNCTION("""COMPUTED_VALUE"""),"SILANG")</f>
        <v>SILANG</v>
      </c>
      <c r="Q1058" s="1" t="str">
        <f>IFERROR(__xludf.DUMMYFUNCTION("""COMPUTED_VALUE"""),"CAVITE")</f>
        <v>CAVITE</v>
      </c>
      <c r="R1058" s="1" t="str">
        <f>IFERROR(__xludf.DUMMYFUNCTION("""COMPUTED_VALUE"""),"FIBR PLAN 1299")</f>
        <v>FIBR PLAN 1299</v>
      </c>
      <c r="S1058" s="1" t="str">
        <f>IFERROR(__xludf.DUMMYFUNCTION("""COMPUTED_VALUE"""),"APPROVED")</f>
        <v>APPROVED</v>
      </c>
      <c r="T1058" s="1"/>
      <c r="U1058" s="1"/>
      <c r="V1058" s="1"/>
      <c r="W1058" s="1"/>
    </row>
    <row r="1059" customHeight="1" spans="1:23">
      <c r="A1059" s="3">
        <f>IFERROR(__xludf.DUMMYFUNCTION("""COMPUTED_VALUE"""),46113)</f>
        <v>46113</v>
      </c>
      <c r="B1059" s="1" t="str">
        <f>IFERROR(__xludf.DUMMYFUNCTION("""COMPUTED_VALUE"""),"AYON MANUEL")</f>
        <v>AYON MANUEL</v>
      </c>
      <c r="C1059" s="1" t="str">
        <f>IFERROR(__xludf.DUMMYFUNCTION("""COMPUTED_VALUE"""),"FLA")</f>
        <v>FLA</v>
      </c>
      <c r="D1059" s="1" t="str">
        <f>IFERROR(__xludf.DUMMYFUNCTION("""COMPUTED_VALUE"""),"JERIC NAVARRO")</f>
        <v>JERIC NAVARRO</v>
      </c>
      <c r="E1059" s="1" t="str">
        <f>IFERROR(__xludf.DUMMYFUNCTION("""COMPUTED_VALUE"""),"PLDT")</f>
        <v>PLDT</v>
      </c>
      <c r="F1059" s="1">
        <f>IFERROR(__xludf.DUMMYFUNCTION("""COMPUTED_VALUE"""),2308615865)</f>
        <v>2308615865</v>
      </c>
      <c r="G1059" s="1">
        <f>IFERROR(__xludf.DUMMYFUNCTION("""COMPUTED_VALUE"""),449012004004)</f>
        <v>449012004004</v>
      </c>
      <c r="H1059" s="1" t="str">
        <f>IFERROR(__xludf.DUMMYFUNCTION("""COMPUTED_VALUE"""),"NARCISO ALEGARBES RODA")</f>
        <v>NARCISO ALEGARBES RODA</v>
      </c>
      <c r="I1059" s="1">
        <f>IFERROR(__xludf.DUMMYFUNCTION("""COMPUTED_VALUE"""),9534256557)</f>
        <v>9534256557</v>
      </c>
      <c r="J1059" s="1">
        <f>IFERROR(__xludf.DUMMYFUNCTION("""COMPUTED_VALUE"""),9817347612)</f>
        <v>9817347612</v>
      </c>
      <c r="K1059" s="1" t="str">
        <f>IFERROR(__xludf.DUMMYFUNCTION("""COMPUTED_VALUE"""),"NARCISORODA@YAHOO.COM")</f>
        <v>NARCISORODA@YAHOO.COM</v>
      </c>
      <c r="L1059" s="1" t="str">
        <f>IFERROR(__xludf.DUMMYFUNCTION("""COMPUTED_VALUE"""),"BLK 6 LOT 12")</f>
        <v>BLK 6 LOT 12</v>
      </c>
      <c r="M1059" s="1" t="str">
        <f>IFERROR(__xludf.DUMMYFUNCTION("""COMPUTED_VALUE"""),"SPRINGWOODS")</f>
        <v>SPRINGWOODS</v>
      </c>
      <c r="N1059" s="1"/>
      <c r="O1059" s="1" t="str">
        <f>IFERROR(__xludf.DUMMYFUNCTION("""COMPUTED_VALUE"""),"BUKAL")</f>
        <v>BUKAL</v>
      </c>
      <c r="P1059" s="1" t="str">
        <f>IFERROR(__xludf.DUMMYFUNCTION("""COMPUTED_VALUE"""),"MENDEZ")</f>
        <v>MENDEZ</v>
      </c>
      <c r="Q1059" s="1" t="str">
        <f>IFERROR(__xludf.DUMMYFUNCTION("""COMPUTED_VALUE"""),"CAVITE")</f>
        <v>CAVITE</v>
      </c>
      <c r="R1059" s="1" t="str">
        <f>IFERROR(__xludf.DUMMYFUNCTION("""COMPUTED_VALUE"""),"FIBR UNLI ALL PLAN 1399")</f>
        <v>FIBR UNLI ALL PLAN 1399</v>
      </c>
      <c r="S1059" s="1" t="str">
        <f>IFERROR(__xludf.DUMMYFUNCTION("""COMPUTED_VALUE"""),"APPROVED")</f>
        <v>APPROVED</v>
      </c>
      <c r="T1059" s="1"/>
      <c r="U1059" s="1"/>
      <c r="V1059" s="1"/>
      <c r="W1059" s="1"/>
    </row>
    <row r="1060" customHeight="1" spans="1:23">
      <c r="A1060" s="3">
        <f>IFERROR(__xludf.DUMMYFUNCTION("""COMPUTED_VALUE"""),46113)</f>
        <v>46113</v>
      </c>
      <c r="B1060" s="1" t="str">
        <f>IFERROR(__xludf.DUMMYFUNCTION("""COMPUTED_VALUE"""),"DACALCAP RUBEN")</f>
        <v>DACALCAP RUBEN</v>
      </c>
      <c r="C1060" s="1" t="str">
        <f>IFERROR(__xludf.DUMMYFUNCTION("""COMPUTED_VALUE"""),"FLA")</f>
        <v>FLA</v>
      </c>
      <c r="D1060" s="1" t="str">
        <f>IFERROR(__xludf.DUMMYFUNCTION("""COMPUTED_VALUE"""),"JERIC NAVARRO")</f>
        <v>JERIC NAVARRO</v>
      </c>
      <c r="E1060" s="1" t="str">
        <f>IFERROR(__xludf.DUMMYFUNCTION("""COMPUTED_VALUE"""),"PLDT")</f>
        <v>PLDT</v>
      </c>
      <c r="F1060" s="1">
        <f>IFERROR(__xludf.DUMMYFUNCTION("""COMPUTED_VALUE"""),2308617108)</f>
        <v>2308617108</v>
      </c>
      <c r="G1060" s="1">
        <f>IFERROR(__xludf.DUMMYFUNCTION("""COMPUTED_VALUE"""),449015592004)</f>
        <v>449015592004</v>
      </c>
      <c r="H1060" s="1" t="str">
        <f>IFERROR(__xludf.DUMMYFUNCTION("""COMPUTED_VALUE"""),"ANGELIE POLLEROS BANTAY")</f>
        <v>ANGELIE POLLEROS BANTAY</v>
      </c>
      <c r="I1060" s="1">
        <f>IFERROR(__xludf.DUMMYFUNCTION("""COMPUTED_VALUE"""),9669986691)</f>
        <v>9669986691</v>
      </c>
      <c r="J1060" s="1">
        <f>IFERROR(__xludf.DUMMYFUNCTION("""COMPUTED_VALUE"""),9245750911)</f>
        <v>9245750911</v>
      </c>
      <c r="K1060" s="1" t="str">
        <f>IFERROR(__xludf.DUMMYFUNCTION("""COMPUTED_VALUE"""),"ANGELIEBANTAY3@GMAIL.COM")</f>
        <v>ANGELIEBANTAY3@GMAIL.COM</v>
      </c>
      <c r="L1060" s="1" t="str">
        <f>IFERROR(__xludf.DUMMYFUNCTION("""COMPUTED_VALUE"""),"BLK 5B LOT 39")</f>
        <v>BLK 5B LOT 39</v>
      </c>
      <c r="M1060" s="1" t="str">
        <f>IFERROR(__xludf.DUMMYFUNCTION("""COMPUTED_VALUE"""),"PHASE 3")</f>
        <v>PHASE 3</v>
      </c>
      <c r="N1060" s="1"/>
      <c r="O1060" s="1" t="str">
        <f>IFERROR(__xludf.DUMMYFUNCTION("""COMPUTED_VALUE"""),"AGUADO (PISCAL MUNDO)")</f>
        <v>AGUADO (PISCAL MUNDO)</v>
      </c>
      <c r="P1060" s="1" t="str">
        <f>IFERROR(__xludf.DUMMYFUNCTION("""COMPUTED_VALUE"""),"TRECE MARTIREZ CITY")</f>
        <v>TRECE MARTIREZ CITY</v>
      </c>
      <c r="Q1060" s="1" t="str">
        <f>IFERROR(__xludf.DUMMYFUNCTION("""COMPUTED_VALUE"""),"CAVITE")</f>
        <v>CAVITE</v>
      </c>
      <c r="R1060" s="1" t="str">
        <f>IFERROR(__xludf.DUMMYFUNCTION("""COMPUTED_VALUE"""),"PREPAID FIBER UNLI")</f>
        <v>PREPAID FIBER UNLI</v>
      </c>
      <c r="S1060" s="1" t="str">
        <f>IFERROR(__xludf.DUMMYFUNCTION("""COMPUTED_VALUE"""),"APPROVED")</f>
        <v>APPROVED</v>
      </c>
      <c r="T1060" s="1"/>
      <c r="U1060" s="1"/>
      <c r="V1060" s="1"/>
      <c r="W1060" s="1"/>
    </row>
    <row r="1061" customHeight="1" spans="1:23">
      <c r="A1061" s="3">
        <f>IFERROR(__xludf.DUMMYFUNCTION("""COMPUTED_VALUE"""),46113)</f>
        <v>46113</v>
      </c>
      <c r="B1061" s="1" t="str">
        <f>IFERROR(__xludf.DUMMYFUNCTION("""COMPUTED_VALUE"""),"DELA ROSA, JENNELYN")</f>
        <v>DELA ROSA, JENNELYN</v>
      </c>
      <c r="C1061" s="1" t="str">
        <f>IFERROR(__xludf.DUMMYFUNCTION("""COMPUTED_VALUE"""),"ORGANIC")</f>
        <v>ORGANIC</v>
      </c>
      <c r="D1061" s="1" t="str">
        <f>IFERROR(__xludf.DUMMYFUNCTION("""COMPUTED_VALUE"""),"ALOS, CHARLS")</f>
        <v>ALOS, CHARLS</v>
      </c>
      <c r="E1061" s="1" t="str">
        <f>IFERROR(__xludf.DUMMYFUNCTION("""COMPUTED_VALUE"""),"PLDT")</f>
        <v>PLDT</v>
      </c>
      <c r="F1061" s="1">
        <f>IFERROR(__xludf.DUMMYFUNCTION("""COMPUTED_VALUE"""),2308617388)</f>
        <v>2308617388</v>
      </c>
      <c r="G1061" s="1">
        <f>IFERROR(__xludf.DUMMYFUNCTION("""COMPUTED_VALUE"""),449017230004)</f>
        <v>449017230004</v>
      </c>
      <c r="H1061" s="1" t="str">
        <f>IFERROR(__xludf.DUMMYFUNCTION("""COMPUTED_VALUE"""),"GENIE MENDIOLA VASQUEZ")</f>
        <v>GENIE MENDIOLA VASQUEZ</v>
      </c>
      <c r="I1061" s="1">
        <f>IFERROR(__xludf.DUMMYFUNCTION("""COMPUTED_VALUE"""),9568127945)</f>
        <v>9568127945</v>
      </c>
      <c r="J1061" s="1">
        <f>IFERROR(__xludf.DUMMYFUNCTION("""COMPUTED_VALUE"""),9455880557)</f>
        <v>9455880557</v>
      </c>
      <c r="K1061" s="1" t="str">
        <f>IFERROR(__xludf.DUMMYFUNCTION("""COMPUTED_VALUE"""),"VASQUEZJUNGIE12@GMAIL.COM")</f>
        <v>VASQUEZJUNGIE12@GMAIL.COM</v>
      </c>
      <c r="L1061" s="1" t="str">
        <f>IFERROR(__xludf.DUMMYFUNCTION("""COMPUTED_VALUE"""),"21")</f>
        <v>21</v>
      </c>
      <c r="M1061" s="1" t="str">
        <f>IFERROR(__xludf.DUMMYFUNCTION("""COMPUTED_VALUE"""),"SITIO HANOPOL")</f>
        <v>SITIO HANOPOL</v>
      </c>
      <c r="N1061" s="1"/>
      <c r="O1061" s="1" t="str">
        <f>IFERROR(__xludf.DUMMYFUNCTION("""COMPUTED_VALUE"""),"KAONG")</f>
        <v>KAONG</v>
      </c>
      <c r="P1061" s="1" t="str">
        <f>IFERROR(__xludf.DUMMYFUNCTION("""COMPUTED_VALUE"""),"SILANG")</f>
        <v>SILANG</v>
      </c>
      <c r="Q1061" s="1" t="str">
        <f>IFERROR(__xludf.DUMMYFUNCTION("""COMPUTED_VALUE"""),"CAVITE")</f>
        <v>CAVITE</v>
      </c>
      <c r="R1061" s="1" t="str">
        <f>IFERROR(__xludf.DUMMYFUNCTION("""COMPUTED_VALUE"""),"FIBR UNLI ALL PLAN 1399")</f>
        <v>FIBR UNLI ALL PLAN 1399</v>
      </c>
      <c r="S1061" s="1" t="str">
        <f>IFERROR(__xludf.DUMMYFUNCTION("""COMPUTED_VALUE"""),"APPROVED")</f>
        <v>APPROVED</v>
      </c>
      <c r="T1061" s="1"/>
      <c r="U1061" s="1"/>
      <c r="V1061" s="1"/>
      <c r="W1061" s="1"/>
    </row>
    <row r="1062" customHeight="1" spans="1:23">
      <c r="A1062" s="3">
        <f>IFERROR(__xludf.DUMMYFUNCTION("""COMPUTED_VALUE"""),46116)</f>
        <v>46116</v>
      </c>
      <c r="B1062" s="1" t="str">
        <f>IFERROR(__xludf.DUMMYFUNCTION("""COMPUTED_VALUE"""),"DE VERA, MARIVIC")</f>
        <v>DE VERA, MARIVIC</v>
      </c>
      <c r="C1062" s="1" t="str">
        <f>IFERROR(__xludf.DUMMYFUNCTION("""COMPUTED_VALUE"""),"ORGANIC")</f>
        <v>ORGANIC</v>
      </c>
      <c r="D1062" s="1" t="str">
        <f>IFERROR(__xludf.DUMMYFUNCTION("""COMPUTED_VALUE"""),"ALINGARO, CINDY")</f>
        <v>ALINGARO, CINDY</v>
      </c>
      <c r="E1062" s="1" t="str">
        <f>IFERROR(__xludf.DUMMYFUNCTION("""COMPUTED_VALUE"""),"RED FIBER")</f>
        <v>RED FIBER</v>
      </c>
      <c r="F1062" s="1"/>
      <c r="G1062" s="1"/>
      <c r="H1062" s="1" t="str">
        <f>IFERROR(__xludf.DUMMYFUNCTION("""COMPUTED_VALUE"""),"HAZEL JOY SULION FLORES")</f>
        <v>HAZEL JOY SULION FLORES</v>
      </c>
      <c r="I1062" s="1">
        <f>IFERROR(__xludf.DUMMYFUNCTION("""COMPUTED_VALUE"""),9156416694)</f>
        <v>9156416694</v>
      </c>
      <c r="J1062" s="1"/>
      <c r="K1062" s="1" t="str">
        <f>IFERROR(__xludf.DUMMYFUNCTION("""COMPUTED_VALUE"""),"HAZEL.MGOC@GMAIL.COM")</f>
        <v>HAZEL.MGOC@GMAIL.COM</v>
      </c>
      <c r="L1062" s="1" t="str">
        <f>IFERROR(__xludf.DUMMYFUNCTION("""COMPUTED_VALUE"""),"1310")</f>
        <v>1310</v>
      </c>
      <c r="M1062" s="1" t="str">
        <f>IFERROR(__xludf.DUMMYFUNCTION("""COMPUTED_VALUE"""),"BAYBAY COMPOUND")</f>
        <v>BAYBAY COMPOUND</v>
      </c>
      <c r="N1062" s="1"/>
      <c r="O1062" s="1" t="str">
        <f>IFERROR(__xludf.DUMMYFUNCTION("""COMPUTED_VALUE"""),"SILANG CROSSING WEST")</f>
        <v>SILANG CROSSING WEST</v>
      </c>
      <c r="P1062" s="1" t="str">
        <f>IFERROR(__xludf.DUMMYFUNCTION("""COMPUTED_VALUE"""),"TAGAYTAY")</f>
        <v>TAGAYTAY</v>
      </c>
      <c r="Q1062" s="1" t="str">
        <f>IFERROR(__xludf.DUMMYFUNCTION("""COMPUTED_VALUE"""),"CAVITE")</f>
        <v>CAVITE</v>
      </c>
      <c r="R1062" s="1" t="str">
        <f>IFERROR(__xludf.DUMMYFUNCTION("""COMPUTED_VALUE"""),"RED PLAN 1000")</f>
        <v>RED PLAN 1000</v>
      </c>
      <c r="S1062" s="1" t="str">
        <f>IFERROR(__xludf.DUMMYFUNCTION("""COMPUTED_VALUE"""),"APPROVED")</f>
        <v>APPROVED</v>
      </c>
      <c r="T1062" s="1"/>
      <c r="U1062" s="1"/>
      <c r="V1062" s="1"/>
      <c r="W1062" s="1"/>
    </row>
    <row r="1063" customHeight="1" spans="1:23">
      <c r="A1063" s="3">
        <f>IFERROR(__xludf.DUMMYFUNCTION("""COMPUTED_VALUE"""),46116)</f>
        <v>46116</v>
      </c>
      <c r="B1063" s="1" t="str">
        <f>IFERROR(__xludf.DUMMYFUNCTION("""COMPUTED_VALUE"""),"MALIWAT MARK ELVIN")</f>
        <v>MALIWAT MARK ELVIN</v>
      </c>
      <c r="C1063" s="1" t="str">
        <f>IFERROR(__xludf.DUMMYFUNCTION("""COMPUTED_VALUE"""),"FLA")</f>
        <v>FLA</v>
      </c>
      <c r="D1063" s="1" t="str">
        <f>IFERROR(__xludf.DUMMYFUNCTION("""COMPUTED_VALUE"""),"JERIC NAVARRO")</f>
        <v>JERIC NAVARRO</v>
      </c>
      <c r="E1063" s="1" t="str">
        <f>IFERROR(__xludf.DUMMYFUNCTION("""COMPUTED_VALUE"""),"PLDT")</f>
        <v>PLDT</v>
      </c>
      <c r="F1063" s="1">
        <f>IFERROR(__xludf.DUMMYFUNCTION("""COMPUTED_VALUE"""),2308650229)</f>
        <v>2308650229</v>
      </c>
      <c r="G1063" s="1">
        <f>IFERROR(__xludf.DUMMYFUNCTION("""COMPUTED_VALUE"""),449308261004)</f>
        <v>449308261004</v>
      </c>
      <c r="H1063" s="1" t="str">
        <f>IFERROR(__xludf.DUMMYFUNCTION("""COMPUTED_VALUE"""),"SHAIRA DELA CRUZ ROMERO")</f>
        <v>SHAIRA DELA CRUZ ROMERO</v>
      </c>
      <c r="I1063" s="1">
        <f>IFERROR(__xludf.DUMMYFUNCTION("""COMPUTED_VALUE"""),9939950292)</f>
        <v>9939950292</v>
      </c>
      <c r="J1063" s="1"/>
      <c r="K1063" s="1" t="str">
        <f>IFERROR(__xludf.DUMMYFUNCTION("""COMPUTED_VALUE"""),"SHAIRAKINDERGARTENTEACHER@GMAIL.COM")</f>
        <v>SHAIRAKINDERGARTENTEACHER@GMAIL.COM</v>
      </c>
      <c r="L1063" s="1" t="str">
        <f>IFERROR(__xludf.DUMMYFUNCTION("""COMPUTED_VALUE"""),"BLK 238 LOT 20")</f>
        <v>BLK 238 LOT 20</v>
      </c>
      <c r="M1063" s="1" t="str">
        <f>IFERROR(__xludf.DUMMYFUNCTION("""COMPUTED_VALUE"""),"PHASE 2")</f>
        <v>PHASE 2</v>
      </c>
      <c r="N1063" s="1"/>
      <c r="O1063" s="1" t="str">
        <f>IFERROR(__xludf.DUMMYFUNCTION("""COMPUTED_VALUE"""),"PALIPARAN III")</f>
        <v>PALIPARAN III</v>
      </c>
      <c r="P1063" s="1" t="str">
        <f>IFERROR(__xludf.DUMMYFUNCTION("""COMPUTED_VALUE"""),"DASMARINAS")</f>
        <v>DASMARINAS</v>
      </c>
      <c r="Q1063" s="1" t="str">
        <f>IFERROR(__xludf.DUMMYFUNCTION("""COMPUTED_VALUE"""),"CAVITE")</f>
        <v>CAVITE</v>
      </c>
      <c r="R1063" s="1" t="str">
        <f>IFERROR(__xludf.DUMMYFUNCTION("""COMPUTED_VALUE"""),"FIBR UNLI ALL PLAN 1399")</f>
        <v>FIBR UNLI ALL PLAN 1399</v>
      </c>
      <c r="S1063" s="1" t="str">
        <f>IFERROR(__xludf.DUMMYFUNCTION("""COMPUTED_VALUE"""),"APPROVED")</f>
        <v>APPROVED</v>
      </c>
      <c r="T1063" s="1"/>
      <c r="U1063" s="1"/>
      <c r="V1063" s="1"/>
      <c r="W1063" s="1"/>
    </row>
    <row r="1064" customHeight="1" spans="1:23">
      <c r="A1064" s="3">
        <f>IFERROR(__xludf.DUMMYFUNCTION("""COMPUTED_VALUE"""),46116)</f>
        <v>46116</v>
      </c>
      <c r="B1064" s="1" t="str">
        <f>IFERROR(__xludf.DUMMYFUNCTION("""COMPUTED_VALUE"""),"MALIWAT MARK ELVIN")</f>
        <v>MALIWAT MARK ELVIN</v>
      </c>
      <c r="C1064" s="1" t="str">
        <f>IFERROR(__xludf.DUMMYFUNCTION("""COMPUTED_VALUE"""),"FLA")</f>
        <v>FLA</v>
      </c>
      <c r="D1064" s="1" t="str">
        <f>IFERROR(__xludf.DUMMYFUNCTION("""COMPUTED_VALUE"""),"JERIC NAVARRO")</f>
        <v>JERIC NAVARRO</v>
      </c>
      <c r="E1064" s="1" t="str">
        <f>IFERROR(__xludf.DUMMYFUNCTION("""COMPUTED_VALUE"""),"PLDT")</f>
        <v>PLDT</v>
      </c>
      <c r="F1064" s="1">
        <f>IFERROR(__xludf.DUMMYFUNCTION("""COMPUTED_VALUE"""),2308650392)</f>
        <v>2308650392</v>
      </c>
      <c r="G1064" s="1">
        <f>IFERROR(__xludf.DUMMYFUNCTION("""COMPUTED_VALUE"""),449300440004)</f>
        <v>449300440004</v>
      </c>
      <c r="H1064" s="1" t="str">
        <f>IFERROR(__xludf.DUMMYFUNCTION("""COMPUTED_VALUE"""),"MICHAEL BALILA AQUINO")</f>
        <v>MICHAEL BALILA AQUINO</v>
      </c>
      <c r="I1064" s="1">
        <f>IFERROR(__xludf.DUMMYFUNCTION("""COMPUTED_VALUE"""),9911015804)</f>
        <v>9911015804</v>
      </c>
      <c r="J1064" s="1">
        <f>IFERROR(__xludf.DUMMYFUNCTION("""COMPUTED_VALUE"""),9936483649)</f>
        <v>9936483649</v>
      </c>
      <c r="K1064" s="1" t="str">
        <f>IFERROR(__xludf.DUMMYFUNCTION("""COMPUTED_VALUE"""),"MIKEAQUINO199331@GMAIL.COM")</f>
        <v>MIKEAQUINO199331@GMAIL.COM</v>
      </c>
      <c r="L1064" s="1" t="str">
        <f>IFERROR(__xludf.DUMMYFUNCTION("""COMPUTED_VALUE"""),"BLK 14 LOT 15")</f>
        <v>BLK 14 LOT 15</v>
      </c>
      <c r="M1064" s="1" t="str">
        <f>IFERROR(__xludf.DUMMYFUNCTION("""COMPUTED_VALUE"""),"KING DAVID")</f>
        <v>KING DAVID</v>
      </c>
      <c r="N1064" s="1" t="str">
        <f>IFERROR(__xludf.DUMMYFUNCTION("""COMPUTED_VALUE"""),"DEXTER VILL")</f>
        <v>DEXTER VILL</v>
      </c>
      <c r="O1064" s="1" t="str">
        <f>IFERROR(__xludf.DUMMYFUNCTION("""COMPUTED_VALUE"""),"SAN NICOLAS II")</f>
        <v>SAN NICOLAS II</v>
      </c>
      <c r="P1064" s="1" t="str">
        <f>IFERROR(__xludf.DUMMYFUNCTION("""COMPUTED_VALUE"""),"DASMARINAS")</f>
        <v>DASMARINAS</v>
      </c>
      <c r="Q1064" s="1" t="str">
        <f>IFERROR(__xludf.DUMMYFUNCTION("""COMPUTED_VALUE"""),"CAVITE")</f>
        <v>CAVITE</v>
      </c>
      <c r="R1064" s="1" t="str">
        <f>IFERROR(__xludf.DUMMYFUNCTION("""COMPUTED_VALUE"""),"PREPAID FIBER UNLI")</f>
        <v>PREPAID FIBER UNLI</v>
      </c>
      <c r="S1064" s="1" t="str">
        <f>IFERROR(__xludf.DUMMYFUNCTION("""COMPUTED_VALUE"""),"APPROVED")</f>
        <v>APPROVED</v>
      </c>
      <c r="T1064" s="1"/>
      <c r="U1064" s="1"/>
      <c r="V1064" s="1"/>
      <c r="W1064" s="1"/>
    </row>
    <row r="1065" customHeight="1" spans="1:23">
      <c r="A1065" s="3">
        <f>IFERROR(__xludf.DUMMYFUNCTION("""COMPUTED_VALUE"""),46116)</f>
        <v>46116</v>
      </c>
      <c r="B1065" s="1" t="str">
        <f>IFERROR(__xludf.DUMMYFUNCTION("""COMPUTED_VALUE"""),"AYON MANUEL")</f>
        <v>AYON MANUEL</v>
      </c>
      <c r="C1065" s="1" t="str">
        <f>IFERROR(__xludf.DUMMYFUNCTION("""COMPUTED_VALUE"""),"FLA")</f>
        <v>FLA</v>
      </c>
      <c r="D1065" s="1" t="str">
        <f>IFERROR(__xludf.DUMMYFUNCTION("""COMPUTED_VALUE"""),"JERIC NAVARRO")</f>
        <v>JERIC NAVARRO</v>
      </c>
      <c r="E1065" s="1" t="str">
        <f>IFERROR(__xludf.DUMMYFUNCTION("""COMPUTED_VALUE"""),"PLDT")</f>
        <v>PLDT</v>
      </c>
      <c r="F1065" s="1">
        <f>IFERROR(__xludf.DUMMYFUNCTION("""COMPUTED_VALUE"""),2308657305)</f>
        <v>2308657305</v>
      </c>
      <c r="G1065" s="1">
        <f>IFERROR(__xludf.DUMMYFUNCTION("""COMPUTED_VALUE"""),449311900004)</f>
        <v>449311900004</v>
      </c>
      <c r="H1065" s="1" t="str">
        <f>IFERROR(__xludf.DUMMYFUNCTION("""COMPUTED_VALUE"""),"JOJI AVILA ASAYTUNO")</f>
        <v>JOJI AVILA ASAYTUNO</v>
      </c>
      <c r="I1065" s="1">
        <f>IFERROR(__xludf.DUMMYFUNCTION("""COMPUTED_VALUE"""),9272344314)</f>
        <v>9272344314</v>
      </c>
      <c r="J1065" s="1">
        <f>IFERROR(__xludf.DUMMYFUNCTION("""COMPUTED_VALUE"""),9282210539)</f>
        <v>9282210539</v>
      </c>
      <c r="K1065" s="1" t="str">
        <f>IFERROR(__xludf.DUMMYFUNCTION("""COMPUTED_VALUE"""),"ASAYTUNO.JOJI@GMAIL.COM")</f>
        <v>ASAYTUNO.JOJI@GMAIL.COM</v>
      </c>
      <c r="L1065" s="1" t="str">
        <f>IFERROR(__xludf.DUMMYFUNCTION("""COMPUTED_VALUE"""),"BLK 5 LOT 11")</f>
        <v>BLK 5 LOT 11</v>
      </c>
      <c r="M1065" s="1" t="str">
        <f>IFERROR(__xludf.DUMMYFUNCTION("""COMPUTED_VALUE"""),"KINNARI")</f>
        <v>KINNARI</v>
      </c>
      <c r="N1065" s="1" t="str">
        <f>IFERROR(__xludf.DUMMYFUNCTION("""COMPUTED_VALUE"""),"PHASE 1")</f>
        <v>PHASE 1</v>
      </c>
      <c r="O1065" s="1" t="str">
        <f>IFERROR(__xludf.DUMMYFUNCTION("""COMPUTED_VALUE"""),"LANTIC")</f>
        <v>LANTIC</v>
      </c>
      <c r="P1065" s="1" t="str">
        <f>IFERROR(__xludf.DUMMYFUNCTION("""COMPUTED_VALUE"""),"CARMONA")</f>
        <v>CARMONA</v>
      </c>
      <c r="Q1065" s="1" t="str">
        <f>IFERROR(__xludf.DUMMYFUNCTION("""COMPUTED_VALUE"""),"CAVITE")</f>
        <v>CAVITE</v>
      </c>
      <c r="R1065" s="1" t="str">
        <f>IFERROR(__xludf.DUMMYFUNCTION("""COMPUTED_VALUE"""),"FIBR NETFLIX PLAN 1599")</f>
        <v>FIBR NETFLIX PLAN 1599</v>
      </c>
      <c r="S1065" s="1" t="str">
        <f>IFERROR(__xludf.DUMMYFUNCTION("""COMPUTED_VALUE"""),"APPROVED")</f>
        <v>APPROVED</v>
      </c>
      <c r="T1065" s="1"/>
      <c r="U1065" s="1"/>
      <c r="V1065" s="1"/>
      <c r="W1065" s="1"/>
    </row>
    <row r="1066" customHeight="1" spans="1:23">
      <c r="A1066" s="3">
        <f>IFERROR(__xludf.DUMMYFUNCTION("""COMPUTED_VALUE"""),46116)</f>
        <v>46116</v>
      </c>
      <c r="B1066" s="1" t="str">
        <f>IFERROR(__xludf.DUMMYFUNCTION("""COMPUTED_VALUE"""),"MALIWAT MARK ELVIN")</f>
        <v>MALIWAT MARK ELVIN</v>
      </c>
      <c r="C1066" s="1" t="str">
        <f>IFERROR(__xludf.DUMMYFUNCTION("""COMPUTED_VALUE"""),"FLA")</f>
        <v>FLA</v>
      </c>
      <c r="D1066" s="1" t="str">
        <f>IFERROR(__xludf.DUMMYFUNCTION("""COMPUTED_VALUE"""),"JERIC NAVARRO")</f>
        <v>JERIC NAVARRO</v>
      </c>
      <c r="E1066" s="1" t="str">
        <f>IFERROR(__xludf.DUMMYFUNCTION("""COMPUTED_VALUE"""),"PLDT")</f>
        <v>PLDT</v>
      </c>
      <c r="F1066" s="1">
        <f>IFERROR(__xludf.DUMMYFUNCTION("""COMPUTED_VALUE"""),2308654787)</f>
        <v>2308654787</v>
      </c>
      <c r="G1066" s="1">
        <f>IFERROR(__xludf.DUMMYFUNCTION("""COMPUTED_VALUE"""),449310025004)</f>
        <v>449310025004</v>
      </c>
      <c r="H1066" s="1" t="str">
        <f>IFERROR(__xludf.DUMMYFUNCTION("""COMPUTED_VALUE""")," LEMON PEPPER PAUL PINEDA LARDIZABAL")</f>
        <v> LEMON PEPPER PAUL PINEDA LARDIZABAL</v>
      </c>
      <c r="I1066" s="1">
        <f>IFERROR(__xludf.DUMMYFUNCTION("""COMPUTED_VALUE"""),639931586010)</f>
        <v>639931586010</v>
      </c>
      <c r="J1066" s="1"/>
      <c r="K1066" s="1" t="str">
        <f>IFERROR(__xludf.DUMMYFUNCTION("""COMPUTED_VALUE"""),"LPPPEPPERLARDIZABAL@GMAIL.COM")</f>
        <v>LPPPEPPERLARDIZABAL@GMAIL.COM</v>
      </c>
      <c r="L1066" s="1" t="str">
        <f>IFERROR(__xludf.DUMMYFUNCTION("""COMPUTED_VALUE"""),"01D-BL-004")</f>
        <v>01D-BL-004</v>
      </c>
      <c r="M1066" s="1" t="str">
        <f>IFERROR(__xludf.DUMMYFUNCTION("""COMPUTED_VALUE"""),"VENUS")</f>
        <v>VENUS</v>
      </c>
      <c r="N1066" s="1" t="str">
        <f>IFERROR(__xludf.DUMMYFUNCTION("""COMPUTED_VALUE"""),"SATELLITE HOMES 1")</f>
        <v>SATELLITE HOMES 1</v>
      </c>
      <c r="O1066" s="1" t="str">
        <f>IFERROR(__xludf.DUMMYFUNCTION("""COMPUTED_VALUE"""),"SAN JOSE")</f>
        <v>SAN JOSE</v>
      </c>
      <c r="P1066" s="1" t="str">
        <f>IFERROR(__xludf.DUMMYFUNCTION("""COMPUTED_VALUE"""),"DASMARINAS")</f>
        <v>DASMARINAS</v>
      </c>
      <c r="Q1066" s="1" t="str">
        <f>IFERROR(__xludf.DUMMYFUNCTION("""COMPUTED_VALUE"""),"CAVITE")</f>
        <v>CAVITE</v>
      </c>
      <c r="R1066" s="1" t="str">
        <f>IFERROR(__xludf.DUMMYFUNCTION("""COMPUTED_VALUE"""),"FIBR PLAN 1299")</f>
        <v>FIBR PLAN 1299</v>
      </c>
      <c r="S1066" s="1" t="str">
        <f>IFERROR(__xludf.DUMMYFUNCTION("""COMPUTED_VALUE"""),"APPROVED")</f>
        <v>APPROVED</v>
      </c>
      <c r="T1066" s="1"/>
      <c r="U1066" s="1"/>
      <c r="V1066" s="1"/>
      <c r="W1066" s="1"/>
    </row>
    <row r="1067" customHeight="1" spans="1:23">
      <c r="A1067" s="3">
        <f>IFERROR(__xludf.DUMMYFUNCTION("""COMPUTED_VALUE"""),46116)</f>
        <v>46116</v>
      </c>
      <c r="B1067" s="1" t="str">
        <f>IFERROR(__xludf.DUMMYFUNCTION("""COMPUTED_VALUE"""),"FERNANDEZ JERIC")</f>
        <v>FERNANDEZ JERIC</v>
      </c>
      <c r="C1067" s="1" t="str">
        <f>IFERROR(__xludf.DUMMYFUNCTION("""COMPUTED_VALUE"""),"ORGANIC")</f>
        <v>ORGANIC</v>
      </c>
      <c r="D1067" s="1" t="str">
        <f>IFERROR(__xludf.DUMMYFUNCTION("""COMPUTED_VALUE"""),"JERIC NAVARRO")</f>
        <v>JERIC NAVARRO</v>
      </c>
      <c r="E1067" s="1" t="str">
        <f>IFERROR(__xludf.DUMMYFUNCTION("""COMPUTED_VALUE"""),"PLDT")</f>
        <v>PLDT</v>
      </c>
      <c r="F1067" s="1">
        <f>IFERROR(__xludf.DUMMYFUNCTION("""COMPUTED_VALUE"""),2308651768)</f>
        <v>2308651768</v>
      </c>
      <c r="G1067" s="1">
        <f>IFERROR(__xludf.DUMMYFUNCTION("""COMPUTED_VALUE"""),449306351004)</f>
        <v>449306351004</v>
      </c>
      <c r="H1067" s="1" t="str">
        <f>IFERROR(__xludf.DUMMYFUNCTION("""COMPUTED_VALUE"""),"ROMEO DELA CRUZ MANANZAN")</f>
        <v>ROMEO DELA CRUZ MANANZAN</v>
      </c>
      <c r="I1067" s="1">
        <f>IFERROR(__xludf.DUMMYFUNCTION("""COMPUTED_VALUE"""),9914283327)</f>
        <v>9914283327</v>
      </c>
      <c r="J1067" s="1"/>
      <c r="K1067" s="1" t="str">
        <f>IFERROR(__xludf.DUMMYFUNCTION("""COMPUTED_VALUE"""),"OLIVERMANANZAN282@GMAIL.COM")</f>
        <v>OLIVERMANANZAN282@GMAIL.COM</v>
      </c>
      <c r="L1067" s="1" t="str">
        <f>IFERROR(__xludf.DUMMYFUNCTION("""COMPUTED_VALUE"""),"600")</f>
        <v>600</v>
      </c>
      <c r="M1067" s="1" t="str">
        <f>IFERROR(__xludf.DUMMYFUNCTION("""COMPUTED_VALUE"""),"PUROK 5")</f>
        <v>PUROK 5</v>
      </c>
      <c r="N1067" s="1"/>
      <c r="O1067" s="1" t="str">
        <f>IFERROR(__xludf.DUMMYFUNCTION("""COMPUTED_VALUE"""),"LANGKAAN I")</f>
        <v>LANGKAAN I</v>
      </c>
      <c r="P1067" s="1" t="str">
        <f>IFERROR(__xludf.DUMMYFUNCTION("""COMPUTED_VALUE"""),"DASMARINAS")</f>
        <v>DASMARINAS</v>
      </c>
      <c r="Q1067" s="1" t="str">
        <f>IFERROR(__xludf.DUMMYFUNCTION("""COMPUTED_VALUE"""),"CAVITE")</f>
        <v>CAVITE</v>
      </c>
      <c r="R1067" s="1" t="str">
        <f>IFERROR(__xludf.DUMMYFUNCTION("""COMPUTED_VALUE"""),"FIBR UNLI ALL PLAN 1399")</f>
        <v>FIBR UNLI ALL PLAN 1399</v>
      </c>
      <c r="S1067" s="1" t="str">
        <f>IFERROR(__xludf.DUMMYFUNCTION("""COMPUTED_VALUE"""),"APPROVED")</f>
        <v>APPROVED</v>
      </c>
      <c r="T1067" s="1"/>
      <c r="U1067" s="1"/>
      <c r="V1067" s="1"/>
      <c r="W1067" s="1"/>
    </row>
    <row r="1068" customHeight="1" spans="1:23">
      <c r="A1068" s="3">
        <f>IFERROR(__xludf.DUMMYFUNCTION("""COMPUTED_VALUE"""),46116)</f>
        <v>46116</v>
      </c>
      <c r="B1068" s="1" t="str">
        <f>IFERROR(__xludf.DUMMYFUNCTION("""COMPUTED_VALUE"""),"MAÑANITA, ERIKA")</f>
        <v>MAÑANITA, ERIKA</v>
      </c>
      <c r="C1068" s="1" t="str">
        <f>IFERROR(__xludf.DUMMYFUNCTION("""COMPUTED_VALUE"""),"ORGANIC")</f>
        <v>ORGANIC</v>
      </c>
      <c r="D1068" s="1" t="str">
        <f>IFERROR(__xludf.DUMMYFUNCTION("""COMPUTED_VALUE"""),"ALOS, CHARLS")</f>
        <v>ALOS, CHARLS</v>
      </c>
      <c r="E1068" s="1" t="str">
        <f>IFERROR(__xludf.DUMMYFUNCTION("""COMPUTED_VALUE"""),"PLDT")</f>
        <v>PLDT</v>
      </c>
      <c r="F1068" s="1">
        <f>IFERROR(__xludf.DUMMYFUNCTION("""COMPUTED_VALUE"""),2308651986)</f>
        <v>2308651986</v>
      </c>
      <c r="G1068" s="1">
        <f>IFERROR(__xludf.DUMMYFUNCTION("""COMPUTED_VALUE"""),449308489004)</f>
        <v>449308489004</v>
      </c>
      <c r="H1068" s="1" t="str">
        <f>IFERROR(__xludf.DUMMYFUNCTION("""COMPUTED_VALUE"""),"IANA ZSANETTE ALCOSEBA VALECUATRO")</f>
        <v>IANA ZSANETTE ALCOSEBA VALECUATRO</v>
      </c>
      <c r="I1068" s="1">
        <f>IFERROR(__xludf.DUMMYFUNCTION("""COMPUTED_VALUE"""),9485334732)</f>
        <v>9485334732</v>
      </c>
      <c r="J1068" s="1">
        <f>IFERROR(__xludf.DUMMYFUNCTION("""COMPUTED_VALUE"""),9504896335)</f>
        <v>9504896335</v>
      </c>
      <c r="K1068" s="1" t="str">
        <f>IFERROR(__xludf.DUMMYFUNCTION("""COMPUTED_VALUE"""),"IANAZSANETTEVALECUATRO@GMAIL.COM")</f>
        <v>IANAZSANETTEVALECUATRO@GMAIL.COM</v>
      </c>
      <c r="L1068" s="1" t="str">
        <f>IFERROR(__xludf.DUMMYFUNCTION("""COMPUTED_VALUE"""),"BLK 42 LOT 2")</f>
        <v>BLK 42 LOT 2</v>
      </c>
      <c r="M1068" s="1" t="str">
        <f>IFERROR(__xludf.DUMMYFUNCTION("""COMPUTED_VALUE"""),"BAUTISTA")</f>
        <v>BAUTISTA</v>
      </c>
      <c r="N1068" s="1" t="str">
        <f>IFERROR(__xludf.DUMMYFUNCTION("""COMPUTED_VALUE"""),"ZONE 4")</f>
        <v>ZONE 4</v>
      </c>
      <c r="O1068" s="1" t="str">
        <f>IFERROR(__xludf.DUMMYFUNCTION("""COMPUTED_VALUE"""),"SAMPALOC IV")</f>
        <v>SAMPALOC IV</v>
      </c>
      <c r="P1068" s="1" t="str">
        <f>IFERROR(__xludf.DUMMYFUNCTION("""COMPUTED_VALUE"""),"DASMARINAS")</f>
        <v>DASMARINAS</v>
      </c>
      <c r="Q1068" s="1" t="str">
        <f>IFERROR(__xludf.DUMMYFUNCTION("""COMPUTED_VALUE"""),"CAVITE")</f>
        <v>CAVITE</v>
      </c>
      <c r="R1068" s="1" t="str">
        <f>IFERROR(__xludf.DUMMYFUNCTION("""COMPUTED_VALUE"""),"SWITCH FIBR UNLI ALL PLAN 1399")</f>
        <v>SWITCH FIBR UNLI ALL PLAN 1399</v>
      </c>
      <c r="S1068" s="1" t="str">
        <f>IFERROR(__xludf.DUMMYFUNCTION("""COMPUTED_VALUE"""),"APPROVED")</f>
        <v>APPROVED</v>
      </c>
      <c r="T1068" s="1"/>
      <c r="U1068" s="1"/>
      <c r="V1068" s="1"/>
      <c r="W1068" s="1"/>
    </row>
    <row r="1069" customHeight="1" spans="1:23">
      <c r="A1069" s="3">
        <f>IFERROR(__xludf.DUMMYFUNCTION("""COMPUTED_VALUE"""),46116)</f>
        <v>46116</v>
      </c>
      <c r="B1069" s="1" t="str">
        <f>IFERROR(__xludf.DUMMYFUNCTION("""COMPUTED_VALUE"""),"DELA ROSA, JENNELYN")</f>
        <v>DELA ROSA, JENNELYN</v>
      </c>
      <c r="C1069" s="1" t="str">
        <f>IFERROR(__xludf.DUMMYFUNCTION("""COMPUTED_VALUE"""),"ORGANIC")</f>
        <v>ORGANIC</v>
      </c>
      <c r="D1069" s="1" t="str">
        <f>IFERROR(__xludf.DUMMYFUNCTION("""COMPUTED_VALUE"""),"ALOS, CHARLS")</f>
        <v>ALOS, CHARLS</v>
      </c>
      <c r="E1069" s="1" t="str">
        <f>IFERROR(__xludf.DUMMYFUNCTION("""COMPUTED_VALUE"""),"PLDT")</f>
        <v>PLDT</v>
      </c>
      <c r="F1069" s="1">
        <f>IFERROR(__xludf.DUMMYFUNCTION("""COMPUTED_VALUE"""),2308655940)</f>
        <v>2308655940</v>
      </c>
      <c r="G1069" s="1">
        <f>IFERROR(__xludf.DUMMYFUNCTION("""COMPUTED_VALUE"""),449310835004)</f>
        <v>449310835004</v>
      </c>
      <c r="H1069" s="1" t="str">
        <f>IFERROR(__xludf.DUMMYFUNCTION("""COMPUTED_VALUE"""),"FLORIAN BATALLER BENAVIDEZ")</f>
        <v>FLORIAN BATALLER BENAVIDEZ</v>
      </c>
      <c r="I1069" s="1">
        <f>IFERROR(__xludf.DUMMYFUNCTION("""COMPUTED_VALUE"""),9197015022)</f>
        <v>9197015022</v>
      </c>
      <c r="J1069" s="1">
        <f>IFERROR(__xludf.DUMMYFUNCTION("""COMPUTED_VALUE"""),9563276127)</f>
        <v>9563276127</v>
      </c>
      <c r="K1069" s="1" t="str">
        <f>IFERROR(__xludf.DUMMYFUNCTION("""COMPUTED_VALUE"""),"FLORIANBATALLER00@GMAIL.COM")</f>
        <v>FLORIANBATALLER00@GMAIL.COM</v>
      </c>
      <c r="L1069" s="1" t="str">
        <f>IFERROR(__xludf.DUMMYFUNCTION("""COMPUTED_VALUE"""),"10484")</f>
        <v>10484</v>
      </c>
      <c r="M1069" s="1" t="str">
        <f>IFERROR(__xludf.DUMMYFUNCTION("""COMPUTED_VALUE"""),"SAN PEDRO")</f>
        <v>SAN PEDRO</v>
      </c>
      <c r="N1069" s="1"/>
      <c r="O1069" s="1" t="str">
        <f>IFERROR(__xludf.DUMMYFUNCTION("""COMPUTED_VALUE"""),"CABILANG BAYBAY")</f>
        <v>CABILANG BAYBAY</v>
      </c>
      <c r="P1069" s="1" t="str">
        <f>IFERROR(__xludf.DUMMYFUNCTION("""COMPUTED_VALUE"""),"CARMONA")</f>
        <v>CARMONA</v>
      </c>
      <c r="Q1069" s="1" t="str">
        <f>IFERROR(__xludf.DUMMYFUNCTION("""COMPUTED_VALUE"""),"CAVITE")</f>
        <v>CAVITE</v>
      </c>
      <c r="R1069" s="1" t="str">
        <f>IFERROR(__xludf.DUMMYFUNCTION("""COMPUTED_VALUE"""),"FIBR PLAN 1299")</f>
        <v>FIBR PLAN 1299</v>
      </c>
      <c r="S1069" s="1" t="str">
        <f>IFERROR(__xludf.DUMMYFUNCTION("""COMPUTED_VALUE"""),"APPROVED")</f>
        <v>APPROVED</v>
      </c>
      <c r="T1069" s="1"/>
      <c r="U1069" s="1"/>
      <c r="V1069" s="1"/>
      <c r="W1069" s="1"/>
    </row>
    <row r="1070" customHeight="1" spans="1:23">
      <c r="A1070" s="3">
        <f>IFERROR(__xludf.DUMMYFUNCTION("""COMPUTED_VALUE"""),46116)</f>
        <v>46116</v>
      </c>
      <c r="B1070" s="1" t="str">
        <f>IFERROR(__xludf.DUMMYFUNCTION("""COMPUTED_VALUE"""),"REMOLLO, LEA")</f>
        <v>REMOLLO, LEA</v>
      </c>
      <c r="C1070" s="1" t="str">
        <f>IFERROR(__xludf.DUMMYFUNCTION("""COMPUTED_VALUE"""),"FLA")</f>
        <v>FLA</v>
      </c>
      <c r="D1070" s="1" t="str">
        <f>IFERROR(__xludf.DUMMYFUNCTION("""COMPUTED_VALUE"""),"JERIC NAVARRO")</f>
        <v>JERIC NAVARRO</v>
      </c>
      <c r="E1070" s="1" t="str">
        <f>IFERROR(__xludf.DUMMYFUNCTION("""COMPUTED_VALUE"""),"PLDT")</f>
        <v>PLDT</v>
      </c>
      <c r="F1070" s="1">
        <f>IFERROR(__xludf.DUMMYFUNCTION("""COMPUTED_VALUE"""),2308653546)</f>
        <v>2308653546</v>
      </c>
      <c r="G1070" s="1">
        <f>IFERROR(__xludf.DUMMYFUNCTION("""COMPUTED_VALUE"""),449308050004)</f>
        <v>449308050004</v>
      </c>
      <c r="H1070" s="1" t="str">
        <f>IFERROR(__xludf.DUMMYFUNCTION("""COMPUTED_VALUE"""),"JUDITH ASISTIN MASUNGSONG")</f>
        <v>JUDITH ASISTIN MASUNGSONG</v>
      </c>
      <c r="I1070" s="1">
        <f>IFERROR(__xludf.DUMMYFUNCTION("""COMPUTED_VALUE"""),9387180327)</f>
        <v>9387180327</v>
      </c>
      <c r="J1070" s="1"/>
      <c r="K1070" s="1" t="str">
        <f>IFERROR(__xludf.DUMMYFUNCTION("""COMPUTED_VALUE"""),"MASUNGSONGJUDITH.18@GMAIL.COM")</f>
        <v>MASUNGSONGJUDITH.18@GMAIL.COM</v>
      </c>
      <c r="L1070" s="1" t="str">
        <f>IFERROR(__xludf.DUMMYFUNCTION("""COMPUTED_VALUE"""),"9260")</f>
        <v>9260</v>
      </c>
      <c r="M1070" s="1" t="str">
        <f>IFERROR(__xludf.DUMMYFUNCTION("""COMPUTED_VALUE"""),"PALIGAWAN MATANDA")</f>
        <v>PALIGAWAN MATANDA</v>
      </c>
      <c r="N1070" s="1"/>
      <c r="O1070" s="1" t="str">
        <f>IFERROR(__xludf.DUMMYFUNCTION("""COMPUTED_VALUE"""),"LANTIC")</f>
        <v>LANTIC</v>
      </c>
      <c r="P1070" s="1" t="str">
        <f>IFERROR(__xludf.DUMMYFUNCTION("""COMPUTED_VALUE"""),"CARMONA")</f>
        <v>CARMONA</v>
      </c>
      <c r="Q1070" s="1" t="str">
        <f>IFERROR(__xludf.DUMMYFUNCTION("""COMPUTED_VALUE"""),"CAVITE")</f>
        <v>CAVITE</v>
      </c>
      <c r="R1070" s="1" t="str">
        <f>IFERROR(__xludf.DUMMYFUNCTION("""COMPUTED_VALUE"""),"PREPAID FIBER UNLI")</f>
        <v>PREPAID FIBER UNLI</v>
      </c>
      <c r="S1070" s="1" t="str">
        <f>IFERROR(__xludf.DUMMYFUNCTION("""COMPUTED_VALUE"""),"APPROVED")</f>
        <v>APPROVED</v>
      </c>
      <c r="T1070" s="1"/>
      <c r="U1070" s="1"/>
      <c r="V1070" s="1"/>
      <c r="W1070" s="1"/>
    </row>
    <row r="1071" customHeight="1" spans="1:23">
      <c r="A1071" s="3">
        <f>IFERROR(__xludf.DUMMYFUNCTION("""COMPUTED_VALUE"""),46116)</f>
        <v>46116</v>
      </c>
      <c r="B1071" s="1" t="str">
        <f>IFERROR(__xludf.DUMMYFUNCTION("""COMPUTED_VALUE"""),"MALIWAT MARK ELVIN")</f>
        <v>MALIWAT MARK ELVIN</v>
      </c>
      <c r="C1071" s="1" t="str">
        <f>IFERROR(__xludf.DUMMYFUNCTION("""COMPUTED_VALUE"""),"FLA")</f>
        <v>FLA</v>
      </c>
      <c r="D1071" s="1" t="str">
        <f>IFERROR(__xludf.DUMMYFUNCTION("""COMPUTED_VALUE"""),"JERIC NAVARRO")</f>
        <v>JERIC NAVARRO</v>
      </c>
      <c r="E1071" s="1" t="str">
        <f>IFERROR(__xludf.DUMMYFUNCTION("""COMPUTED_VALUE"""),"PLDT")</f>
        <v>PLDT</v>
      </c>
      <c r="F1071" s="1">
        <f>IFERROR(__xludf.DUMMYFUNCTION("""COMPUTED_VALUE"""),2308681093)</f>
        <v>2308681093</v>
      </c>
      <c r="G1071" s="1">
        <f>IFERROR(__xludf.DUMMYFUNCTION("""COMPUTED_VALUE"""),449592695004)</f>
        <v>449592695004</v>
      </c>
      <c r="H1071" s="1" t="str">
        <f>IFERROR(__xludf.DUMMYFUNCTION("""COMPUTED_VALUE"""),"JOHN ALVIN OBINA ABAO")</f>
        <v>JOHN ALVIN OBINA ABAO</v>
      </c>
      <c r="I1071" s="1">
        <f>IFERROR(__xludf.DUMMYFUNCTION("""COMPUTED_VALUE"""),9568227609)</f>
        <v>9568227609</v>
      </c>
      <c r="J1071" s="1"/>
      <c r="K1071" s="1" t="str">
        <f>IFERROR(__xludf.DUMMYFUNCTION("""COMPUTED_VALUE"""),"ZEN05AZAP@GMAIL.COM")</f>
        <v>ZEN05AZAP@GMAIL.COM</v>
      </c>
      <c r="L1071" s="1" t="str">
        <f>IFERROR(__xludf.DUMMYFUNCTION("""COMPUTED_VALUE"""),"BLK 23C LOT 1")</f>
        <v>BLK 23C LOT 1</v>
      </c>
      <c r="M1071" s="1" t="str">
        <f>IFERROR(__xludf.DUMMYFUNCTION("""COMPUTED_VALUE"""),"WALNUT")</f>
        <v>WALNUT</v>
      </c>
      <c r="N1071" s="1" t="str">
        <f>IFERROR(__xludf.DUMMYFUNCTION("""COMPUTED_VALUE"""),"PALMDALE VILLAGE PHASE 3")</f>
        <v>PALMDALE VILLAGE PHASE 3</v>
      </c>
      <c r="O1071" s="1" t="str">
        <f>IFERROR(__xludf.DUMMYFUNCTION("""COMPUTED_VALUE"""),"BICLATAN")</f>
        <v>BICLATAN</v>
      </c>
      <c r="P1071" s="1" t="str">
        <f>IFERROR(__xludf.DUMMYFUNCTION("""COMPUTED_VALUE"""),"GENERAL TRIAS")</f>
        <v>GENERAL TRIAS</v>
      </c>
      <c r="Q1071" s="1" t="str">
        <f>IFERROR(__xludf.DUMMYFUNCTION("""COMPUTED_VALUE"""),"CAVITE")</f>
        <v>CAVITE</v>
      </c>
      <c r="R1071" s="1" t="str">
        <f>IFERROR(__xludf.DUMMYFUNCTION("""COMPUTED_VALUE"""),"FIBR UNLI ALL PLAN 1399")</f>
        <v>FIBR UNLI ALL PLAN 1399</v>
      </c>
      <c r="S1071" s="1" t="str">
        <f>IFERROR(__xludf.DUMMYFUNCTION("""COMPUTED_VALUE"""),"APPROVED")</f>
        <v>APPROVED</v>
      </c>
      <c r="T1071" s="1"/>
      <c r="U1071" s="1"/>
      <c r="V1071" s="1"/>
      <c r="W1071" s="1"/>
    </row>
    <row r="1072" customHeight="1" spans="1:23">
      <c r="A1072" s="3">
        <f>IFERROR(__xludf.DUMMYFUNCTION("""COMPUTED_VALUE"""),46116)</f>
        <v>46116</v>
      </c>
      <c r="B1072" s="1" t="str">
        <f>IFERROR(__xludf.DUMMYFUNCTION("""COMPUTED_VALUE"""),"FRANCISCO , ROSELYN")</f>
        <v>FRANCISCO , ROSELYN</v>
      </c>
      <c r="C1072" s="1" t="str">
        <f>IFERROR(__xludf.DUMMYFUNCTION("""COMPUTED_VALUE"""),"FLA")</f>
        <v>FLA</v>
      </c>
      <c r="D1072" s="1" t="str">
        <f>IFERROR(__xludf.DUMMYFUNCTION("""COMPUTED_VALUE"""),"JERIC NAVARRO")</f>
        <v>JERIC NAVARRO</v>
      </c>
      <c r="E1072" s="1" t="str">
        <f>IFERROR(__xludf.DUMMYFUNCTION("""COMPUTED_VALUE"""),"RED FIBER")</f>
        <v>RED FIBER</v>
      </c>
      <c r="F1072" s="1"/>
      <c r="G1072" s="1"/>
      <c r="H1072" s="1" t="str">
        <f>IFERROR(__xludf.DUMMYFUNCTION("""COMPUTED_VALUE"""),"JANINE MARIE OLBANO ALOJADO")</f>
        <v>JANINE MARIE OLBANO ALOJADO</v>
      </c>
      <c r="I1072" s="1">
        <f>IFERROR(__xludf.DUMMYFUNCTION("""COMPUTED_VALUE"""),9062856098)</f>
        <v>9062856098</v>
      </c>
      <c r="J1072" s="1">
        <f>IFERROR(__xludf.DUMMYFUNCTION("""COMPUTED_VALUE"""),9386117535)</f>
        <v>9386117535</v>
      </c>
      <c r="K1072" s="1" t="str">
        <f>IFERROR(__xludf.DUMMYFUNCTION("""COMPUTED_VALUE"""),"JANINEMARIE.ALOJADO22@GMAIL.COM")</f>
        <v>JANINEMARIE.ALOJADO22@GMAIL.COM</v>
      </c>
      <c r="L1072" s="1" t="str">
        <f>IFERROR(__xludf.DUMMYFUNCTION("""COMPUTED_VALUE"""),"BLK 12 LOT 15")</f>
        <v>BLK 12 LOT 15</v>
      </c>
      <c r="M1072" s="1" t="str">
        <f>IFERROR(__xludf.DUMMYFUNCTION("""COMPUTED_VALUE"""),"PHASE 1")</f>
        <v>PHASE 1</v>
      </c>
      <c r="N1072" s="1" t="str">
        <f>IFERROR(__xludf.DUMMYFUNCTION("""COMPUTED_VALUE"""),"TERRA VERDE")</f>
        <v>TERRA VERDE</v>
      </c>
      <c r="O1072" s="1" t="str">
        <f>IFERROR(__xludf.DUMMYFUNCTION("""COMPUTED_VALUE"""),"BANCAL")</f>
        <v>BANCAL</v>
      </c>
      <c r="P1072" s="1" t="str">
        <f>IFERROR(__xludf.DUMMYFUNCTION("""COMPUTED_VALUE"""),"CARMONA")</f>
        <v>CARMONA</v>
      </c>
      <c r="Q1072" s="1" t="str">
        <f>IFERROR(__xludf.DUMMYFUNCTION("""COMPUTED_VALUE"""),"CAVITE")</f>
        <v>CAVITE</v>
      </c>
      <c r="R1072" s="1" t="str">
        <f>IFERROR(__xludf.DUMMYFUNCTION("""COMPUTED_VALUE"""),"RED PLAN 1000")</f>
        <v>RED PLAN 1000</v>
      </c>
      <c r="S1072" s="1" t="str">
        <f>IFERROR(__xludf.DUMMYFUNCTION("""COMPUTED_VALUE"""),"FOR CALLBACK / CANNOT BE REACHED")</f>
        <v>FOR CALLBACK / CANNOT BE REACHED</v>
      </c>
      <c r="T1072" s="1" t="str">
        <f>IFERROR(__xludf.DUMMYFUNCTION("""COMPUTED_VALUE"""),"INCORRECT CBR")</f>
        <v>INCORRECT CBR</v>
      </c>
      <c r="U1072" s="1"/>
      <c r="V1072" s="1"/>
      <c r="W1072" s="1"/>
    </row>
    <row r="1073" customHeight="1" spans="1:23">
      <c r="A1073" s="3">
        <f>IFERROR(__xludf.DUMMYFUNCTION("""COMPUTED_VALUE"""),46116)</f>
        <v>46116</v>
      </c>
      <c r="B1073" s="1" t="str">
        <f>IFERROR(__xludf.DUMMYFUNCTION("""COMPUTED_VALUE"""),"AQUINO, LUIS")</f>
        <v>AQUINO, LUIS</v>
      </c>
      <c r="C1073" s="1" t="str">
        <f>IFERROR(__xludf.DUMMYFUNCTION("""COMPUTED_VALUE"""),"ORGANIC")</f>
        <v>ORGANIC</v>
      </c>
      <c r="D1073" s="1" t="str">
        <f>IFERROR(__xludf.DUMMYFUNCTION("""COMPUTED_VALUE"""),"ALOS, CHARLS")</f>
        <v>ALOS, CHARLS</v>
      </c>
      <c r="E1073" s="1" t="str">
        <f>IFERROR(__xludf.DUMMYFUNCTION("""COMPUTED_VALUE"""),"RED FIBER")</f>
        <v>RED FIBER</v>
      </c>
      <c r="F1073" s="1"/>
      <c r="G1073" s="1"/>
      <c r="H1073" s="1" t="str">
        <f>IFERROR(__xludf.DUMMYFUNCTION("""COMPUTED_VALUE"""),"RONALD ALLAN INBANEZ BIERRA")</f>
        <v>RONALD ALLAN INBANEZ BIERRA</v>
      </c>
      <c r="I1073" s="1">
        <f>IFERROR(__xludf.DUMMYFUNCTION("""COMPUTED_VALUE"""),9913535230)</f>
        <v>9913535230</v>
      </c>
      <c r="J1073" s="1"/>
      <c r="K1073" s="1" t="str">
        <f>IFERROR(__xludf.DUMMYFUNCTION("""COMPUTED_VALUE"""),"HANHARAFEEL@GMAIL.COM")</f>
        <v>HANHARAFEEL@GMAIL.COM</v>
      </c>
      <c r="L1073" s="1" t="str">
        <f>IFERROR(__xludf.DUMMYFUNCTION("""COMPUTED_VALUE"""),"86")</f>
        <v>86</v>
      </c>
      <c r="M1073" s="1" t="str">
        <f>IFERROR(__xludf.DUMMYFUNCTION("""COMPUTED_VALUE"""),"HUMAYAO")</f>
        <v>HUMAYAO</v>
      </c>
      <c r="N1073" s="1"/>
      <c r="O1073" s="1" t="str">
        <f>IFERROR(__xludf.DUMMYFUNCTION("""COMPUTED_VALUE"""),"LANGKAAN II")</f>
        <v>LANGKAAN II</v>
      </c>
      <c r="P1073" s="1" t="str">
        <f>IFERROR(__xludf.DUMMYFUNCTION("""COMPUTED_VALUE"""),"DASMARINAS")</f>
        <v>DASMARINAS</v>
      </c>
      <c r="Q1073" s="1" t="str">
        <f>IFERROR(__xludf.DUMMYFUNCTION("""COMPUTED_VALUE"""),"CAVITE")</f>
        <v>CAVITE</v>
      </c>
      <c r="R1073" s="1" t="str">
        <f>IFERROR(__xludf.DUMMYFUNCTION("""COMPUTED_VALUE"""),"RED PLAN 1000")</f>
        <v>RED PLAN 1000</v>
      </c>
      <c r="S1073" s="1" t="str">
        <f>IFERROR(__xludf.DUMMYFUNCTION("""COMPUTED_VALUE"""),"APPROVED")</f>
        <v>APPROVED</v>
      </c>
      <c r="T1073" s="1"/>
      <c r="U1073" s="1"/>
      <c r="V1073" s="1"/>
      <c r="W1073" s="1"/>
    </row>
    <row r="1074" customHeight="1" spans="1:23">
      <c r="A1074" s="3">
        <f>IFERROR(__xludf.DUMMYFUNCTION("""COMPUTED_VALUE"""),46116)</f>
        <v>46116</v>
      </c>
      <c r="B1074" s="1" t="str">
        <f>IFERROR(__xludf.DUMMYFUNCTION("""COMPUTED_VALUE"""),"AYON MANUEL")</f>
        <v>AYON MANUEL</v>
      </c>
      <c r="C1074" s="1" t="str">
        <f>IFERROR(__xludf.DUMMYFUNCTION("""COMPUTED_VALUE"""),"FLA")</f>
        <v>FLA</v>
      </c>
      <c r="D1074" s="1" t="str">
        <f>IFERROR(__xludf.DUMMYFUNCTION("""COMPUTED_VALUE"""),"JERIC NAVARRO")</f>
        <v>JERIC NAVARRO</v>
      </c>
      <c r="E1074" s="1" t="str">
        <f>IFERROR(__xludf.DUMMYFUNCTION("""COMPUTED_VALUE"""),"PLDT")</f>
        <v>PLDT</v>
      </c>
      <c r="F1074" s="1">
        <f>IFERROR(__xludf.DUMMYFUNCTION("""COMPUTED_VALUE"""),2308655135)</f>
        <v>2308655135</v>
      </c>
      <c r="G1074" s="1">
        <f>IFERROR(__xludf.DUMMYFUNCTION("""COMPUTED_VALUE"""),449310626004)</f>
        <v>449310626004</v>
      </c>
      <c r="H1074" s="1" t="str">
        <f>IFERROR(__xludf.DUMMYFUNCTION("""COMPUTED_VALUE"""),"MAVY NABEHET KINGGINGAN ")</f>
        <v>MAVY NABEHET KINGGINGAN </v>
      </c>
      <c r="I1074" s="1">
        <f>IFERROR(__xludf.DUMMYFUNCTION("""COMPUTED_VALUE"""),9754113491)</f>
        <v>9754113491</v>
      </c>
      <c r="J1074" s="1">
        <f>IFERROR(__xludf.DUMMYFUNCTION("""COMPUTED_VALUE"""),9299714713)</f>
        <v>9299714713</v>
      </c>
      <c r="K1074" s="1" t="str">
        <f>IFERROR(__xludf.DUMMYFUNCTION("""COMPUTED_VALUE"""),"KADITA1308@YAHOO.COM")</f>
        <v>KADITA1308@YAHOO.COM</v>
      </c>
      <c r="L1074" s="1" t="str">
        <f>IFERROR(__xludf.DUMMYFUNCTION("""COMPUTED_VALUE"""),"9007")</f>
        <v>9007</v>
      </c>
      <c r="M1074" s="1" t="str">
        <f>IFERROR(__xludf.DUMMYFUNCTION("""COMPUTED_VALUE"""),"AGUINALDO")</f>
        <v>AGUINALDO</v>
      </c>
      <c r="N1074" s="1"/>
      <c r="O1074" s="1" t="str">
        <f>IFERROR(__xludf.DUMMYFUNCTION("""COMPUTED_VALUE"""),"LALAAN II")</f>
        <v>LALAAN II</v>
      </c>
      <c r="P1074" s="1" t="str">
        <f>IFERROR(__xludf.DUMMYFUNCTION("""COMPUTED_VALUE"""),"SILANG")</f>
        <v>SILANG</v>
      </c>
      <c r="Q1074" s="1" t="str">
        <f>IFERROR(__xludf.DUMMYFUNCTION("""COMPUTED_VALUE"""),"CAVITE")</f>
        <v>CAVITE</v>
      </c>
      <c r="R1074" s="1" t="str">
        <f>IFERROR(__xludf.DUMMYFUNCTION("""COMPUTED_VALUE"""),"FIBR UNLI ALL PLAN 1399")</f>
        <v>FIBR UNLI ALL PLAN 1399</v>
      </c>
      <c r="S1074" s="1" t="str">
        <f>IFERROR(__xludf.DUMMYFUNCTION("""COMPUTED_VALUE"""),"APPROVED")</f>
        <v>APPROVED</v>
      </c>
      <c r="T1074" s="1"/>
      <c r="U1074" s="1"/>
      <c r="V1074" s="1"/>
      <c r="W1074" s="1"/>
    </row>
    <row r="1075" customHeight="1" spans="1:23">
      <c r="A1075" s="3">
        <f>IFERROR(__xludf.DUMMYFUNCTION("""COMPUTED_VALUE"""),46116)</f>
        <v>46116</v>
      </c>
      <c r="B1075" s="1" t="str">
        <f>IFERROR(__xludf.DUMMYFUNCTION("""COMPUTED_VALUE"""),"MAGDARAOG, KENNETH")</f>
        <v>MAGDARAOG, KENNETH</v>
      </c>
      <c r="C1075" s="1" t="str">
        <f>IFERROR(__xludf.DUMMYFUNCTION("""COMPUTED_VALUE"""),"ORGANIC")</f>
        <v>ORGANIC</v>
      </c>
      <c r="D1075" s="1" t="str">
        <f>IFERROR(__xludf.DUMMYFUNCTION("""COMPUTED_VALUE"""),"ALINGARO, CINDY")</f>
        <v>ALINGARO, CINDY</v>
      </c>
      <c r="E1075" s="1" t="str">
        <f>IFERROR(__xludf.DUMMYFUNCTION("""COMPUTED_VALUE"""),"PLDT")</f>
        <v>PLDT</v>
      </c>
      <c r="F1075" s="1">
        <f>IFERROR(__xludf.DUMMYFUNCTION("""COMPUTED_VALUE"""),2308656148)</f>
        <v>2308656148</v>
      </c>
      <c r="G1075" s="1">
        <f>IFERROR(__xludf.DUMMYFUNCTION("""COMPUTED_VALUE"""),449310823004)</f>
        <v>449310823004</v>
      </c>
      <c r="H1075" s="1" t="str">
        <f>IFERROR(__xludf.DUMMYFUNCTION("""COMPUTED_VALUE"""),"CARMELITA PADRIGAO LANUZA")</f>
        <v>CARMELITA PADRIGAO LANUZA</v>
      </c>
      <c r="I1075" s="1">
        <f>IFERROR(__xludf.DUMMYFUNCTION("""COMPUTED_VALUE"""),9324675871)</f>
        <v>9324675871</v>
      </c>
      <c r="J1075" s="1">
        <f>IFERROR(__xludf.DUMMYFUNCTION("""COMPUTED_VALUE"""),9125865885)</f>
        <v>9125865885</v>
      </c>
      <c r="K1075" s="1" t="str">
        <f>IFERROR(__xludf.DUMMYFUNCTION("""COMPUTED_VALUE"""),"AKIRAZANUA@GMAIL.COM")</f>
        <v>AKIRAZANUA@GMAIL.COM</v>
      </c>
      <c r="L1075" s="1" t="str">
        <f>IFERROR(__xludf.DUMMYFUNCTION("""COMPUTED_VALUE"""),"BLK 13 LOT 7")</f>
        <v>BLK 13 LOT 7</v>
      </c>
      <c r="M1075" s="1" t="str">
        <f>IFERROR(__xludf.DUMMYFUNCTION("""COMPUTED_VALUE"""),"PALIGAWAN MATANDA")</f>
        <v>PALIGAWAN MATANDA</v>
      </c>
      <c r="N1075" s="1"/>
      <c r="O1075" s="1" t="str">
        <f>IFERROR(__xludf.DUMMYFUNCTION("""COMPUTED_VALUE"""),"LANTIC")</f>
        <v>LANTIC</v>
      </c>
      <c r="P1075" s="1" t="str">
        <f>IFERROR(__xludf.DUMMYFUNCTION("""COMPUTED_VALUE"""),"CARMONA")</f>
        <v>CARMONA</v>
      </c>
      <c r="Q1075" s="1" t="str">
        <f>IFERROR(__xludf.DUMMYFUNCTION("""COMPUTED_VALUE"""),"CAVITE")</f>
        <v>CAVITE</v>
      </c>
      <c r="R1075" s="1" t="str">
        <f>IFERROR(__xludf.DUMMYFUNCTION("""COMPUTED_VALUE"""),"FIBR NETFLIX PLAN 1599")</f>
        <v>FIBR NETFLIX PLAN 1599</v>
      </c>
      <c r="S1075" s="1" t="str">
        <f>IFERROR(__xludf.DUMMYFUNCTION("""COMPUTED_VALUE"""),"APPROVED")</f>
        <v>APPROVED</v>
      </c>
      <c r="T1075" s="1"/>
      <c r="U1075" s="1"/>
      <c r="V1075" s="1"/>
      <c r="W1075" s="1"/>
    </row>
    <row r="1076" customHeight="1" spans="1:23">
      <c r="A1076" s="3">
        <f>IFERROR(__xludf.DUMMYFUNCTION("""COMPUTED_VALUE"""),46116)</f>
        <v>46116</v>
      </c>
      <c r="B1076" s="1" t="str">
        <f>IFERROR(__xludf.DUMMYFUNCTION("""COMPUTED_VALUE"""),"AYON MANUEL")</f>
        <v>AYON MANUEL</v>
      </c>
      <c r="C1076" s="1" t="str">
        <f>IFERROR(__xludf.DUMMYFUNCTION("""COMPUTED_VALUE"""),"FLA")</f>
        <v>FLA</v>
      </c>
      <c r="D1076" s="1" t="str">
        <f>IFERROR(__xludf.DUMMYFUNCTION("""COMPUTED_VALUE"""),"JERIC NAVARRO")</f>
        <v>JERIC NAVARRO</v>
      </c>
      <c r="E1076" s="1" t="str">
        <f>IFERROR(__xludf.DUMMYFUNCTION("""COMPUTED_VALUE"""),"PLDT")</f>
        <v>PLDT</v>
      </c>
      <c r="F1076" s="1">
        <f>IFERROR(__xludf.DUMMYFUNCTION("""COMPUTED_VALUE"""),2308656207)</f>
        <v>2308656207</v>
      </c>
      <c r="G1076" s="1">
        <f>IFERROR(__xludf.DUMMYFUNCTION("""COMPUTED_VALUE"""),449310223004)</f>
        <v>449310223004</v>
      </c>
      <c r="H1076" s="1" t="str">
        <f>IFERROR(__xludf.DUMMYFUNCTION("""COMPUTED_VALUE"""),"FERNANDO PAREDES PAPA")</f>
        <v>FERNANDO PAREDES PAPA</v>
      </c>
      <c r="I1076" s="1">
        <f>IFERROR(__xludf.DUMMYFUNCTION("""COMPUTED_VALUE"""),9061483425)</f>
        <v>9061483425</v>
      </c>
      <c r="J1076" s="1">
        <f>IFERROR(__xludf.DUMMYFUNCTION("""COMPUTED_VALUE"""),9175874425)</f>
        <v>9175874425</v>
      </c>
      <c r="K1076" s="1" t="str">
        <f>IFERROR(__xludf.DUMMYFUNCTION("""COMPUTED_VALUE"""),"AMBERDAWNITA@GMAIL.COM")</f>
        <v>AMBERDAWNITA@GMAIL.COM</v>
      </c>
      <c r="L1076" s="1" t="str">
        <f>IFERROR(__xludf.DUMMYFUNCTION("""COMPUTED_VALUE"""),"5597 B")</f>
        <v>5597 B</v>
      </c>
      <c r="M1076" s="1" t="str">
        <f>IFERROR(__xludf.DUMMYFUNCTION("""COMPUTED_VALUE"""),"CARASUCHI")</f>
        <v>CARASUCHI</v>
      </c>
      <c r="N1076" s="1"/>
      <c r="O1076" s="1" t="str">
        <f>IFERROR(__xludf.DUMMYFUNCTION("""COMPUTED_VALUE"""),"ANULING CERCA II")</f>
        <v>ANULING CERCA II</v>
      </c>
      <c r="P1076" s="1" t="str">
        <f>IFERROR(__xludf.DUMMYFUNCTION("""COMPUTED_VALUE"""),"MENDEZ")</f>
        <v>MENDEZ</v>
      </c>
      <c r="Q1076" s="1" t="str">
        <f>IFERROR(__xludf.DUMMYFUNCTION("""COMPUTED_VALUE"""),"CAVITE")</f>
        <v>CAVITE</v>
      </c>
      <c r="R1076" s="1" t="str">
        <f>IFERROR(__xludf.DUMMYFUNCTION("""COMPUTED_VALUE"""),"FIBR UNLI ALL PLAN 1399")</f>
        <v>FIBR UNLI ALL PLAN 1399</v>
      </c>
      <c r="S1076" s="1" t="str">
        <f>IFERROR(__xludf.DUMMYFUNCTION("""COMPUTED_VALUE"""),"APPROVED")</f>
        <v>APPROVED</v>
      </c>
      <c r="T1076" s="1"/>
      <c r="U1076" s="1"/>
      <c r="V1076" s="1"/>
      <c r="W1076" s="1"/>
    </row>
    <row r="1077" customHeight="1" spans="1:23">
      <c r="A1077" s="3">
        <f>IFERROR(__xludf.DUMMYFUNCTION("""COMPUTED_VALUE"""),46116)</f>
        <v>46116</v>
      </c>
      <c r="B1077" s="1" t="str">
        <f>IFERROR(__xludf.DUMMYFUNCTION("""COMPUTED_VALUE"""),"ALINGARO, CINDY")</f>
        <v>ALINGARO, CINDY</v>
      </c>
      <c r="C1077" s="1" t="str">
        <f>IFERROR(__xludf.DUMMYFUNCTION("""COMPUTED_VALUE"""),"FLA")</f>
        <v>FLA</v>
      </c>
      <c r="D1077" s="1" t="str">
        <f>IFERROR(__xludf.DUMMYFUNCTION("""COMPUTED_VALUE"""),"JERIC NAVARRO")</f>
        <v>JERIC NAVARRO</v>
      </c>
      <c r="E1077" s="1" t="str">
        <f>IFERROR(__xludf.DUMMYFUNCTION("""COMPUTED_VALUE"""),"PLDT")</f>
        <v>PLDT</v>
      </c>
      <c r="F1077" s="1">
        <f>IFERROR(__xludf.DUMMYFUNCTION("""COMPUTED_VALUE"""),2308655687)</f>
        <v>2308655687</v>
      </c>
      <c r="G1077" s="1">
        <f>IFERROR(__xludf.DUMMYFUNCTION("""COMPUTED_VALUE"""),449362157004)</f>
        <v>449362157004</v>
      </c>
      <c r="H1077" s="1" t="str">
        <f>IFERROR(__xludf.DUMMYFUNCTION("""COMPUTED_VALUE"""),"EDILVIC QUIRES DELA CRUZ")</f>
        <v>EDILVIC QUIRES DELA CRUZ</v>
      </c>
      <c r="I1077" s="1">
        <f>IFERROR(__xludf.DUMMYFUNCTION("""COMPUTED_VALUE"""),9235188461)</f>
        <v>9235188461</v>
      </c>
      <c r="J1077" s="1">
        <f>IFERROR(__xludf.DUMMYFUNCTION("""COMPUTED_VALUE"""),9061999371)</f>
        <v>9061999371</v>
      </c>
      <c r="K1077" s="1" t="str">
        <f>IFERROR(__xludf.DUMMYFUNCTION("""COMPUTED_VALUE"""),"EDILVIC0021691@GMAIL.COM")</f>
        <v>EDILVIC0021691@GMAIL.COM</v>
      </c>
      <c r="L1077" s="1" t="str">
        <f>IFERROR(__xludf.DUMMYFUNCTION("""COMPUTED_VALUE"""),"BLK 3 LOT 11")</f>
        <v>BLK 3 LOT 11</v>
      </c>
      <c r="M1077" s="1" t="str">
        <f>IFERROR(__xludf.DUMMYFUNCTION("""COMPUTED_VALUE"""),"PACIFIC HEIGHT RD")</f>
        <v>PACIFIC HEIGHT RD</v>
      </c>
      <c r="N1077" s="1"/>
      <c r="O1077" s="1" t="str">
        <f>IFERROR(__xludf.DUMMYFUNCTION("""COMPUTED_VALUE"""),"SANTOL")</f>
        <v>SANTOL</v>
      </c>
      <c r="P1077" s="1" t="str">
        <f>IFERROR(__xludf.DUMMYFUNCTION("""COMPUTED_VALUE"""),"TANZA")</f>
        <v>TANZA</v>
      </c>
      <c r="Q1077" s="1" t="str">
        <f>IFERROR(__xludf.DUMMYFUNCTION("""COMPUTED_VALUE"""),"CAVITE")</f>
        <v>CAVITE</v>
      </c>
      <c r="R1077" s="1" t="str">
        <f>IFERROR(__xludf.DUMMYFUNCTION("""COMPUTED_VALUE"""),"FIBR UNLI ALL PLAN 1399")</f>
        <v>FIBR UNLI ALL PLAN 1399</v>
      </c>
      <c r="S1077" s="1" t="str">
        <f>IFERROR(__xludf.DUMMYFUNCTION("""COMPUTED_VALUE"""),"APPROVED")</f>
        <v>APPROVED</v>
      </c>
      <c r="T1077" s="1"/>
      <c r="U1077" s="1"/>
      <c r="V1077" s="1"/>
      <c r="W1077" s="1"/>
    </row>
    <row r="1078" customHeight="1" spans="1:23">
      <c r="A1078" s="3">
        <f>IFERROR(__xludf.DUMMYFUNCTION("""COMPUTED_VALUE"""),46116)</f>
        <v>46116</v>
      </c>
      <c r="B1078" s="1" t="str">
        <f>IFERROR(__xludf.DUMMYFUNCTION("""COMPUTED_VALUE"""),"MORENA, TIFFANY ")</f>
        <v>MORENA, TIFFANY </v>
      </c>
      <c r="C1078" s="1" t="str">
        <f>IFERROR(__xludf.DUMMYFUNCTION("""COMPUTED_VALUE"""),"ORGANIC")</f>
        <v>ORGANIC</v>
      </c>
      <c r="D1078" s="1" t="str">
        <f>IFERROR(__xludf.DUMMYFUNCTION("""COMPUTED_VALUE"""),"ALINGARO, CINDY")</f>
        <v>ALINGARO, CINDY</v>
      </c>
      <c r="E1078" s="1" t="str">
        <f>IFERROR(__xludf.DUMMYFUNCTION("""COMPUTED_VALUE"""),"PLDT")</f>
        <v>PLDT</v>
      </c>
      <c r="F1078" s="1"/>
      <c r="G1078" s="1"/>
      <c r="H1078" s="1" t="str">
        <f>IFERROR(__xludf.DUMMYFUNCTION("""COMPUTED_VALUE"""),"MAY GASGA TABLIZO")</f>
        <v>MAY GASGA TABLIZO</v>
      </c>
      <c r="I1078" s="1">
        <f>IFERROR(__xludf.DUMMYFUNCTION("""COMPUTED_VALUE"""),9064487369)</f>
        <v>9064487369</v>
      </c>
      <c r="J1078" s="1"/>
      <c r="K1078" s="1" t="str">
        <f>IFERROR(__xludf.DUMMYFUNCTION("""COMPUTED_VALUE"""),"MARYJOEY@GMAIL.COM")</f>
        <v>MARYJOEY@GMAIL.COM</v>
      </c>
      <c r="L1078" s="1" t="str">
        <f>IFERROR(__xludf.DUMMYFUNCTION("""COMPUTED_VALUE"""),"13")</f>
        <v>13</v>
      </c>
      <c r="M1078" s="1" t="str">
        <f>IFERROR(__xludf.DUMMYFUNCTION("""COMPUTED_VALUE"""),"LITA BAY")</f>
        <v>LITA BAY</v>
      </c>
      <c r="N1078" s="1"/>
      <c r="O1078" s="1" t="str">
        <f>IFERROR(__xludf.DUMMYFUNCTION("""COMPUTED_VALUE"""),"PANUNGYAN I")</f>
        <v>PANUNGYAN I</v>
      </c>
      <c r="P1078" s="1" t="str">
        <f>IFERROR(__xludf.DUMMYFUNCTION("""COMPUTED_VALUE"""),"MENDEZ")</f>
        <v>MENDEZ</v>
      </c>
      <c r="Q1078" s="1" t="str">
        <f>IFERROR(__xludf.DUMMYFUNCTION("""COMPUTED_VALUE"""),"CAVITE")</f>
        <v>CAVITE</v>
      </c>
      <c r="R1078" s="1" t="str">
        <f>IFERROR(__xludf.DUMMYFUNCTION("""COMPUTED_VALUE"""),"PREPAID FIBER UNLI")</f>
        <v>PREPAID FIBER UNLI</v>
      </c>
      <c r="S1078" s="1" t="str">
        <f>IFERROR(__xludf.DUMMYFUNCTION("""COMPUTED_VALUE"""),"CANCELLED ")</f>
        <v>CANCELLED </v>
      </c>
      <c r="T1078" s="1" t="str">
        <f>IFERROR(__xludf.DUMMYFUNCTION("""COMPUTED_VALUE"""),"AS PER SUBS AYAW NG ANAK NYA")</f>
        <v>AS PER SUBS AYAW NG ANAK NYA</v>
      </c>
      <c r="U1078" s="1"/>
      <c r="V1078" s="1"/>
      <c r="W1078" s="1"/>
    </row>
    <row r="1079" customHeight="1" spans="1:23">
      <c r="A1079" s="3">
        <f>IFERROR(__xludf.DUMMYFUNCTION("""COMPUTED_VALUE"""),46116)</f>
        <v>46116</v>
      </c>
      <c r="B1079" s="1" t="str">
        <f>IFERROR(__xludf.DUMMYFUNCTION("""COMPUTED_VALUE"""),"ESCARCHA, MA ALMA  ESCOTO")</f>
        <v>ESCARCHA, MA ALMA  ESCOTO</v>
      </c>
      <c r="C1079" s="1" t="str">
        <f>IFERROR(__xludf.DUMMYFUNCTION("""COMPUTED_VALUE"""),"ORGANIC")</f>
        <v>ORGANIC</v>
      </c>
      <c r="D1079" s="1" t="str">
        <f>IFERROR(__xludf.DUMMYFUNCTION("""COMPUTED_VALUE"""),"ALINGARO, CINDY")</f>
        <v>ALINGARO, CINDY</v>
      </c>
      <c r="E1079" s="1" t="str">
        <f>IFERROR(__xludf.DUMMYFUNCTION("""COMPUTED_VALUE"""),"PLDT")</f>
        <v>PLDT</v>
      </c>
      <c r="F1079" s="1">
        <f>IFERROR(__xludf.DUMMYFUNCTION("""COMPUTED_VALUE"""),2308656654)</f>
        <v>2308656654</v>
      </c>
      <c r="G1079" s="1">
        <f>IFERROR(__xludf.DUMMYFUNCTION("""COMPUTED_VALUE"""),449311308004)</f>
        <v>449311308004</v>
      </c>
      <c r="H1079" s="1" t="str">
        <f>IFERROR(__xludf.DUMMYFUNCTION("""COMPUTED_VALUE"""),"KAREN CLAIRE VILLANOS REYES")</f>
        <v>KAREN CLAIRE VILLANOS REYES</v>
      </c>
      <c r="I1079" s="1">
        <f>IFERROR(__xludf.DUMMYFUNCTION("""COMPUTED_VALUE"""),9361209834)</f>
        <v>9361209834</v>
      </c>
      <c r="J1079" s="1"/>
      <c r="K1079" s="1" t="str">
        <f>IFERROR(__xludf.DUMMYFUNCTION("""COMPUTED_VALUE"""),"VILLANOSKAREN3@GMAIL.COM")</f>
        <v>VILLANOSKAREN3@GMAIL.COM</v>
      </c>
      <c r="L1079" s="1" t="str">
        <f>IFERROR(__xludf.DUMMYFUNCTION("""COMPUTED_VALUE"""),"171")</f>
        <v>171</v>
      </c>
      <c r="M1079" s="1" t="str">
        <f>IFERROR(__xludf.DUMMYFUNCTION("""COMPUTED_VALUE"""),"LITA BAY")</f>
        <v>LITA BAY</v>
      </c>
      <c r="N1079" s="1"/>
      <c r="O1079" s="1" t="str">
        <f>IFERROR(__xludf.DUMMYFUNCTION("""COMPUTED_VALUE"""),"PANUNGYAN I")</f>
        <v>PANUNGYAN I</v>
      </c>
      <c r="P1079" s="1" t="str">
        <f>IFERROR(__xludf.DUMMYFUNCTION("""COMPUTED_VALUE"""),"MENDEZ")</f>
        <v>MENDEZ</v>
      </c>
      <c r="Q1079" s="1" t="str">
        <f>IFERROR(__xludf.DUMMYFUNCTION("""COMPUTED_VALUE"""),"CAVITE")</f>
        <v>CAVITE</v>
      </c>
      <c r="R1079" s="1" t="str">
        <f>IFERROR(__xludf.DUMMYFUNCTION("""COMPUTED_VALUE"""),"PREPAID FIBER UNLI")</f>
        <v>PREPAID FIBER UNLI</v>
      </c>
      <c r="S1079" s="1" t="str">
        <f>IFERROR(__xludf.DUMMYFUNCTION("""COMPUTED_VALUE"""),"APPROVED")</f>
        <v>APPROVED</v>
      </c>
      <c r="T1079" s="1"/>
      <c r="U1079" s="1"/>
      <c r="V1079" s="1"/>
      <c r="W1079" s="1"/>
    </row>
    <row r="1080" customHeight="1" spans="1:23">
      <c r="A1080" s="3">
        <f>IFERROR(__xludf.DUMMYFUNCTION("""COMPUTED_VALUE"""),46116)</f>
        <v>46116</v>
      </c>
      <c r="B1080" s="1" t="str">
        <f>IFERROR(__xludf.DUMMYFUNCTION("""COMPUTED_VALUE"""),"ALVAREZ, SOFIA")</f>
        <v>ALVAREZ, SOFIA</v>
      </c>
      <c r="C1080" s="1" t="str">
        <f>IFERROR(__xludf.DUMMYFUNCTION("""COMPUTED_VALUE"""),"ORGANIC")</f>
        <v>ORGANIC</v>
      </c>
      <c r="D1080" s="1" t="str">
        <f>IFERROR(__xludf.DUMMYFUNCTION("""COMPUTED_VALUE"""),"ALINGARO, CINDY")</f>
        <v>ALINGARO, CINDY</v>
      </c>
      <c r="E1080" s="1" t="str">
        <f>IFERROR(__xludf.DUMMYFUNCTION("""COMPUTED_VALUE"""),"PLDT")</f>
        <v>PLDT</v>
      </c>
      <c r="F1080" s="1">
        <f>IFERROR(__xludf.DUMMYFUNCTION("""COMPUTED_VALUE"""),2308657897)</f>
        <v>2308657897</v>
      </c>
      <c r="G1080" s="1">
        <f>IFERROR(__xludf.DUMMYFUNCTION("""COMPUTED_VALUE"""),449311896004)</f>
        <v>449311896004</v>
      </c>
      <c r="H1080" s="1" t="str">
        <f>IFERROR(__xludf.DUMMYFUNCTION("""COMPUTED_VALUE"""),"MARICEL CASTILLO BALBOA")</f>
        <v>MARICEL CASTILLO BALBOA</v>
      </c>
      <c r="I1080" s="1">
        <f>IFERROR(__xludf.DUMMYFUNCTION("""COMPUTED_VALUE"""),933675338)</f>
        <v>933675338</v>
      </c>
      <c r="J1080" s="1">
        <f>IFERROR(__xludf.DUMMYFUNCTION("""COMPUTED_VALUE"""),9933050761)</f>
        <v>9933050761</v>
      </c>
      <c r="K1080" s="1" t="str">
        <f>IFERROR(__xludf.DUMMYFUNCTION("""COMPUTED_VALUE"""),"NOLIBALBOA@YAHOO.COM")</f>
        <v>NOLIBALBOA@YAHOO.COM</v>
      </c>
      <c r="L1080" s="1" t="str">
        <f>IFERROR(__xludf.DUMMYFUNCTION("""COMPUTED_VALUE"""),"17")</f>
        <v>17</v>
      </c>
      <c r="M1080" s="1" t="str">
        <f>IFERROR(__xludf.DUMMYFUNCTION("""COMPUTED_VALUE"""),"GLORIA VILL")</f>
        <v>GLORIA VILL</v>
      </c>
      <c r="N1080" s="1"/>
      <c r="O1080" s="1" t="str">
        <f>IFERROR(__xludf.DUMMYFUNCTION("""COMPUTED_VALUE"""),"GALICIA II")</f>
        <v>GALICIA II</v>
      </c>
      <c r="P1080" s="1" t="str">
        <f>IFERROR(__xludf.DUMMYFUNCTION("""COMPUTED_VALUE"""),"MENDEZ")</f>
        <v>MENDEZ</v>
      </c>
      <c r="Q1080" s="1" t="str">
        <f>IFERROR(__xludf.DUMMYFUNCTION("""COMPUTED_VALUE"""),"CAVITE")</f>
        <v>CAVITE</v>
      </c>
      <c r="R1080" s="1" t="str">
        <f>IFERROR(__xludf.DUMMYFUNCTION("""COMPUTED_VALUE"""),"PREPAID FIBER UNLI")</f>
        <v>PREPAID FIBER UNLI</v>
      </c>
      <c r="S1080" s="1" t="str">
        <f>IFERROR(__xludf.DUMMYFUNCTION("""COMPUTED_VALUE"""),"APPROVED")</f>
        <v>APPROVED</v>
      </c>
      <c r="T1080" s="1"/>
      <c r="U1080" s="1"/>
      <c r="V1080" s="1"/>
      <c r="W1080" s="1"/>
    </row>
    <row r="1081" customHeight="1" spans="1:23">
      <c r="A1081" s="3">
        <f>IFERROR(__xludf.DUMMYFUNCTION("""COMPUTED_VALUE"""),46116)</f>
        <v>46116</v>
      </c>
      <c r="B1081" s="1" t="str">
        <f>IFERROR(__xludf.DUMMYFUNCTION("""COMPUTED_VALUE"""),"FERNANDEZ JERIC")</f>
        <v>FERNANDEZ JERIC</v>
      </c>
      <c r="C1081" s="1" t="str">
        <f>IFERROR(__xludf.DUMMYFUNCTION("""COMPUTED_VALUE"""),"ORGANIC")</f>
        <v>ORGANIC</v>
      </c>
      <c r="D1081" s="1" t="str">
        <f>IFERROR(__xludf.DUMMYFUNCTION("""COMPUTED_VALUE"""),"ALOS, CHARLS")</f>
        <v>ALOS, CHARLS</v>
      </c>
      <c r="E1081" s="1" t="str">
        <f>IFERROR(__xludf.DUMMYFUNCTION("""COMPUTED_VALUE"""),"PLDT")</f>
        <v>PLDT</v>
      </c>
      <c r="F1081" s="1">
        <f>IFERROR(__xludf.DUMMYFUNCTION("""COMPUTED_VALUE"""),2308657111)</f>
        <v>2308657111</v>
      </c>
      <c r="G1081" s="1"/>
      <c r="H1081" s="1" t="str">
        <f>IFERROR(__xludf.DUMMYFUNCTION("""COMPUTED_VALUE"""),"GRAYVINNE ANCHETA AURE")</f>
        <v>GRAYVINNE ANCHETA AURE</v>
      </c>
      <c r="I1081" s="1">
        <f>IFERROR(__xludf.DUMMYFUNCTION("""COMPUTED_VALUE"""),90751471434)</f>
        <v>90751471434</v>
      </c>
      <c r="J1081" s="1">
        <f>IFERROR(__xludf.DUMMYFUNCTION("""COMPUTED_VALUE"""),96063500074)</f>
        <v>96063500074</v>
      </c>
      <c r="K1081" s="1" t="str">
        <f>IFERROR(__xludf.DUMMYFUNCTION("""COMPUTED_VALUE"""),"GALIDENISE44@GMAIL.COM")</f>
        <v>GALIDENISE44@GMAIL.COM</v>
      </c>
      <c r="L1081" s="1" t="str">
        <f>IFERROR(__xludf.DUMMYFUNCTION("""COMPUTED_VALUE"""),"23")</f>
        <v>23</v>
      </c>
      <c r="M1081" s="1" t="str">
        <f>IFERROR(__xludf.DUMMYFUNCTION("""COMPUTED_VALUE"""),"PUROK 3")</f>
        <v>PUROK 3</v>
      </c>
      <c r="N1081" s="1"/>
      <c r="O1081" s="1" t="str">
        <f>IFERROR(__xludf.DUMMYFUNCTION("""COMPUTED_VALUE"""),"LUCSUHIN")</f>
        <v>LUCSUHIN</v>
      </c>
      <c r="P1081" s="1" t="str">
        <f>IFERROR(__xludf.DUMMYFUNCTION("""COMPUTED_VALUE"""),"ALFONSO")</f>
        <v>ALFONSO</v>
      </c>
      <c r="Q1081" s="1" t="str">
        <f>IFERROR(__xludf.DUMMYFUNCTION("""COMPUTED_VALUE"""),"CAVITE")</f>
        <v>CAVITE</v>
      </c>
      <c r="R1081" s="1" t="str">
        <f>IFERROR(__xludf.DUMMYFUNCTION("""COMPUTED_VALUE"""),"FIBR UNLI ALL PLAN 999")</f>
        <v>FIBR UNLI ALL PLAN 999</v>
      </c>
      <c r="S1081" s="1" t="str">
        <f>IFERROR(__xludf.DUMMYFUNCTION("""COMPUTED_VALUE"""),"APPROVED")</f>
        <v>APPROVED</v>
      </c>
      <c r="T1081" s="1"/>
      <c r="U1081" s="1"/>
      <c r="V1081" s="1"/>
      <c r="W1081" s="1"/>
    </row>
    <row r="1082" customHeight="1" spans="1:23">
      <c r="A1082" s="3">
        <f>IFERROR(__xludf.DUMMYFUNCTION("""COMPUTED_VALUE"""),46116)</f>
        <v>46116</v>
      </c>
      <c r="B1082" s="1" t="str">
        <f>IFERROR(__xludf.DUMMYFUNCTION("""COMPUTED_VALUE"""),"CABRERA JILLIENE")</f>
        <v>CABRERA JILLIENE</v>
      </c>
      <c r="C1082" s="1" t="str">
        <f>IFERROR(__xludf.DUMMYFUNCTION("""COMPUTED_VALUE"""),"ORGANIC")</f>
        <v>ORGANIC</v>
      </c>
      <c r="D1082" s="1" t="str">
        <f>IFERROR(__xludf.DUMMYFUNCTION("""COMPUTED_VALUE"""),"ALOS, CHARLS")</f>
        <v>ALOS, CHARLS</v>
      </c>
      <c r="E1082" s="1" t="str">
        <f>IFERROR(__xludf.DUMMYFUNCTION("""COMPUTED_VALUE"""),"PLDT")</f>
        <v>PLDT</v>
      </c>
      <c r="F1082" s="1">
        <f>IFERROR(__xludf.DUMMYFUNCTION("""COMPUTED_VALUE"""),2308657510)</f>
        <v>2308657510</v>
      </c>
      <c r="G1082" s="1">
        <f>IFERROR(__xludf.DUMMYFUNCTION("""COMPUTED_VALUE"""),449312295004)</f>
        <v>449312295004</v>
      </c>
      <c r="H1082" s="1" t="str">
        <f>IFERROR(__xludf.DUMMYFUNCTION("""COMPUTED_VALUE"""),"JONNAFE ANGELES ARIOLA")</f>
        <v>JONNAFE ANGELES ARIOLA</v>
      </c>
      <c r="I1082" s="1">
        <f>IFERROR(__xludf.DUMMYFUNCTION("""COMPUTED_VALUE"""),9066762622)</f>
        <v>9066762622</v>
      </c>
      <c r="J1082" s="1"/>
      <c r="K1082" s="1" t="str">
        <f>IFERROR(__xludf.DUMMYFUNCTION("""COMPUTED_VALUE"""),"ARIOLAJONNAFE25@GMAIL.COM")</f>
        <v>ARIOLAJONNAFE25@GMAIL.COM</v>
      </c>
      <c r="L1082" s="1" t="str">
        <f>IFERROR(__xludf.DUMMYFUNCTION("""COMPUTED_VALUE"""),"BLK 1 LOT 32")</f>
        <v>BLK 1 LOT 32</v>
      </c>
      <c r="M1082" s="1" t="str">
        <f>IFERROR(__xludf.DUMMYFUNCTION("""COMPUTED_VALUE"""),"BAMBOOSIDE ")</f>
        <v>BAMBOOSIDE </v>
      </c>
      <c r="N1082" s="1" t="str">
        <f>IFERROR(__xludf.DUMMYFUNCTION("""COMPUTED_VALUE"""),"ZONE 9")</f>
        <v>ZONE 9</v>
      </c>
      <c r="O1082" s="1" t="str">
        <f>IFERROR(__xludf.DUMMYFUNCTION("""COMPUTED_VALUE"""),"BULIHAN")</f>
        <v>BULIHAN</v>
      </c>
      <c r="P1082" s="1" t="str">
        <f>IFERROR(__xludf.DUMMYFUNCTION("""COMPUTED_VALUE"""),"SILANG")</f>
        <v>SILANG</v>
      </c>
      <c r="Q1082" s="1" t="str">
        <f>IFERROR(__xludf.DUMMYFUNCTION("""COMPUTED_VALUE"""),"CAVITE")</f>
        <v>CAVITE</v>
      </c>
      <c r="R1082" s="1" t="str">
        <f>IFERROR(__xludf.DUMMYFUNCTION("""COMPUTED_VALUE"""),"FIBR PLAN 1299")</f>
        <v>FIBR PLAN 1299</v>
      </c>
      <c r="S1082" s="1" t="str">
        <f>IFERROR(__xludf.DUMMYFUNCTION("""COMPUTED_VALUE"""),"APPROVED")</f>
        <v>APPROVED</v>
      </c>
      <c r="T1082" s="1"/>
      <c r="U1082" s="1"/>
      <c r="V1082" s="1"/>
      <c r="W1082" s="1"/>
    </row>
    <row r="1083" customHeight="1" spans="1:23">
      <c r="A1083" s="3">
        <f>IFERROR(__xludf.DUMMYFUNCTION("""COMPUTED_VALUE"""),46116)</f>
        <v>46116</v>
      </c>
      <c r="B1083" s="1" t="str">
        <f>IFERROR(__xludf.DUMMYFUNCTION("""COMPUTED_VALUE"""),"DELA ROSA, JENNELYN")</f>
        <v>DELA ROSA, JENNELYN</v>
      </c>
      <c r="C1083" s="1" t="str">
        <f>IFERROR(__xludf.DUMMYFUNCTION("""COMPUTED_VALUE"""),"ORGANIC")</f>
        <v>ORGANIC</v>
      </c>
      <c r="D1083" s="1" t="str">
        <f>IFERROR(__xludf.DUMMYFUNCTION("""COMPUTED_VALUE"""),"ALOS, CHARLS")</f>
        <v>ALOS, CHARLS</v>
      </c>
      <c r="E1083" s="1" t="str">
        <f>IFERROR(__xludf.DUMMYFUNCTION("""COMPUTED_VALUE"""),"PLDT")</f>
        <v>PLDT</v>
      </c>
      <c r="F1083" s="1">
        <f>IFERROR(__xludf.DUMMYFUNCTION("""COMPUTED_VALUE"""),2308657620)</f>
        <v>2308657620</v>
      </c>
      <c r="G1083" s="1">
        <f>IFERROR(__xludf.DUMMYFUNCTION("""COMPUTED_VALUE"""),449312319004)</f>
        <v>449312319004</v>
      </c>
      <c r="H1083" s="1" t="str">
        <f>IFERROR(__xludf.DUMMYFUNCTION("""COMPUTED_VALUE"""),"EOLIE NATHALIE GILBUENA BAYABORDA")</f>
        <v>EOLIE NATHALIE GILBUENA BAYABORDA</v>
      </c>
      <c r="I1083" s="1">
        <f>IFERROR(__xludf.DUMMYFUNCTION("""COMPUTED_VALUE"""),9667081903)</f>
        <v>9667081903</v>
      </c>
      <c r="J1083" s="1"/>
      <c r="K1083" s="1" t="str">
        <f>IFERROR(__xludf.DUMMYFUNCTION("""COMPUTED_VALUE"""),"SHAKIRAPONTE@GMAIL.COM")</f>
        <v>SHAKIRAPONTE@GMAIL.COM</v>
      </c>
      <c r="L1083" s="1" t="str">
        <f>IFERROR(__xludf.DUMMYFUNCTION("""COMPUTED_VALUE"""),"112")</f>
        <v>112</v>
      </c>
      <c r="M1083" s="1" t="str">
        <f>IFERROR(__xludf.DUMMYFUNCTION("""COMPUTED_VALUE"""),"ANAHAW 1")</f>
        <v>ANAHAW 1</v>
      </c>
      <c r="N1083" s="1"/>
      <c r="O1083" s="1" t="str">
        <f>IFERROR(__xludf.DUMMYFUNCTION("""COMPUTED_VALUE"""),"ANAHAW I")</f>
        <v>ANAHAW I</v>
      </c>
      <c r="P1083" s="1" t="str">
        <f>IFERROR(__xludf.DUMMYFUNCTION("""COMPUTED_VALUE"""),"SILANG")</f>
        <v>SILANG</v>
      </c>
      <c r="Q1083" s="1" t="str">
        <f>IFERROR(__xludf.DUMMYFUNCTION("""COMPUTED_VALUE"""),"CAVITE")</f>
        <v>CAVITE</v>
      </c>
      <c r="R1083" s="1" t="str">
        <f>IFERROR(__xludf.DUMMYFUNCTION("""COMPUTED_VALUE"""),"FIBR PLAN 1299")</f>
        <v>FIBR PLAN 1299</v>
      </c>
      <c r="S1083" s="1" t="str">
        <f>IFERROR(__xludf.DUMMYFUNCTION("""COMPUTED_VALUE"""),"APPROVED")</f>
        <v>APPROVED</v>
      </c>
      <c r="T1083" s="1"/>
      <c r="U1083" s="1"/>
      <c r="V1083" s="1"/>
      <c r="W1083" s="1"/>
    </row>
    <row r="1084" customHeight="1" spans="1:23">
      <c r="A1084" s="3">
        <f>IFERROR(__xludf.DUMMYFUNCTION("""COMPUTED_VALUE"""),46116)</f>
        <v>46116</v>
      </c>
      <c r="B1084" s="1" t="str">
        <f>IFERROR(__xludf.DUMMYFUNCTION("""COMPUTED_VALUE"""),"DE CANO, MARK LESTER")</f>
        <v>DE CANO, MARK LESTER</v>
      </c>
      <c r="C1084" s="1" t="str">
        <f>IFERROR(__xludf.DUMMYFUNCTION("""COMPUTED_VALUE"""),"ORGANIC")</f>
        <v>ORGANIC</v>
      </c>
      <c r="D1084" s="1" t="str">
        <f>IFERROR(__xludf.DUMMYFUNCTION("""COMPUTED_VALUE"""),"ALINGARO, CINDY")</f>
        <v>ALINGARO, CINDY</v>
      </c>
      <c r="E1084" s="1" t="str">
        <f>IFERROR(__xludf.DUMMYFUNCTION("""COMPUTED_VALUE"""),"PLDT")</f>
        <v>PLDT</v>
      </c>
      <c r="F1084" s="1">
        <f>IFERROR(__xludf.DUMMYFUNCTION("""COMPUTED_VALUE"""),2308658367)</f>
        <v>2308658367</v>
      </c>
      <c r="G1084" s="1">
        <f>IFERROR(__xludf.DUMMYFUNCTION("""COMPUTED_VALUE"""),449312278004)</f>
        <v>449312278004</v>
      </c>
      <c r="H1084" s="1" t="str">
        <f>IFERROR(__xludf.DUMMYFUNCTION("""COMPUTED_VALUE"""),"RODEL MIRANDA MASUNGSONG")</f>
        <v>RODEL MIRANDA MASUNGSONG</v>
      </c>
      <c r="I1084" s="1">
        <f>IFERROR(__xludf.DUMMYFUNCTION("""COMPUTED_VALUE"""),9687305007)</f>
        <v>9687305007</v>
      </c>
      <c r="J1084" s="1"/>
      <c r="K1084" s="1" t="str">
        <f>IFERROR(__xludf.DUMMYFUNCTION("""COMPUTED_VALUE"""),"RODELMASUNGSONG00@GMAIL.COM")</f>
        <v>RODELMASUNGSONG00@GMAIL.COM</v>
      </c>
      <c r="L1084" s="1" t="str">
        <f>IFERROR(__xludf.DUMMYFUNCTION("""COMPUTED_VALUE"""),"73")</f>
        <v>73</v>
      </c>
      <c r="M1084" s="1" t="str">
        <f>IFERROR(__xludf.DUMMYFUNCTION("""COMPUTED_VALUE"""),"SITIO PALIGAWAN")</f>
        <v>SITIO PALIGAWAN</v>
      </c>
      <c r="N1084" s="1"/>
      <c r="O1084" s="1" t="str">
        <f>IFERROR(__xludf.DUMMYFUNCTION("""COMPUTED_VALUE"""),"LANTIC")</f>
        <v>LANTIC</v>
      </c>
      <c r="P1084" s="1" t="str">
        <f>IFERROR(__xludf.DUMMYFUNCTION("""COMPUTED_VALUE"""),"CARMONA")</f>
        <v>CARMONA</v>
      </c>
      <c r="Q1084" s="1" t="str">
        <f>IFERROR(__xludf.DUMMYFUNCTION("""COMPUTED_VALUE"""),"CAVITE")</f>
        <v>CAVITE</v>
      </c>
      <c r="R1084" s="1" t="str">
        <f>IFERROR(__xludf.DUMMYFUNCTION("""COMPUTED_VALUE"""),"FIBR UNLI ALL PLAN 1399")</f>
        <v>FIBR UNLI ALL PLAN 1399</v>
      </c>
      <c r="S1084" s="1" t="str">
        <f>IFERROR(__xludf.DUMMYFUNCTION("""COMPUTED_VALUE"""),"APPROVED")</f>
        <v>APPROVED</v>
      </c>
      <c r="T1084" s="1"/>
      <c r="U1084" s="1"/>
      <c r="V1084" s="1"/>
      <c r="W1084" s="1"/>
    </row>
    <row r="1085" customHeight="1" spans="1:23">
      <c r="A1085" s="3">
        <f>IFERROR(__xludf.DUMMYFUNCTION("""COMPUTED_VALUE"""),46116)</f>
        <v>46116</v>
      </c>
      <c r="B1085" s="1" t="str">
        <f>IFERROR(__xludf.DUMMYFUNCTION("""COMPUTED_VALUE"""),"MAÑANITA, ERIKA")</f>
        <v>MAÑANITA, ERIKA</v>
      </c>
      <c r="C1085" s="1" t="str">
        <f>IFERROR(__xludf.DUMMYFUNCTION("""COMPUTED_VALUE"""),"ORGANIC")</f>
        <v>ORGANIC</v>
      </c>
      <c r="D1085" s="1" t="str">
        <f>IFERROR(__xludf.DUMMYFUNCTION("""COMPUTED_VALUE"""),"ALINGARO, CINDY")</f>
        <v>ALINGARO, CINDY</v>
      </c>
      <c r="E1085" s="1" t="str">
        <f>IFERROR(__xludf.DUMMYFUNCTION("""COMPUTED_VALUE"""),"PLDT")</f>
        <v>PLDT</v>
      </c>
      <c r="F1085" s="1">
        <f>IFERROR(__xludf.DUMMYFUNCTION("""COMPUTED_VALUE"""),2308658688)</f>
        <v>2308658688</v>
      </c>
      <c r="G1085" s="1"/>
      <c r="H1085" s="1" t="str">
        <f>IFERROR(__xludf.DUMMYFUNCTION("""COMPUTED_VALUE"""),"JHOPER CASANTUSAN")</f>
        <v>JHOPER CASANTUSAN</v>
      </c>
      <c r="I1085" s="1">
        <f>IFERROR(__xludf.DUMMYFUNCTION("""COMPUTED_VALUE"""),9626704883)</f>
        <v>9626704883</v>
      </c>
      <c r="J1085" s="1"/>
      <c r="K1085" s="1" t="str">
        <f>IFERROR(__xludf.DUMMYFUNCTION("""COMPUTED_VALUE"""),"JHOPERCASANTUSAN8@GMAIL.COM")</f>
        <v>JHOPERCASANTUSAN8@GMAIL.COM</v>
      </c>
      <c r="L1085" s="1" t="str">
        <f>IFERROR(__xludf.DUMMYFUNCTION("""COMPUTED_VALUE"""),"BLK 24 LOT 3")</f>
        <v>BLK 24 LOT 3</v>
      </c>
      <c r="M1085" s="1" t="str">
        <f>IFERROR(__xludf.DUMMYFUNCTION("""COMPUTED_VALUE"""),"NARRA 1")</f>
        <v>NARRA 1</v>
      </c>
      <c r="N1085" s="1"/>
      <c r="O1085" s="1" t="str">
        <f>IFERROR(__xludf.DUMMYFUNCTION("""COMPUTED_VALUE"""),"NARRA I")</f>
        <v>NARRA I</v>
      </c>
      <c r="P1085" s="1" t="str">
        <f>IFERROR(__xludf.DUMMYFUNCTION("""COMPUTED_VALUE"""),"SILANG")</f>
        <v>SILANG</v>
      </c>
      <c r="Q1085" s="1" t="str">
        <f>IFERROR(__xludf.DUMMYFUNCTION("""COMPUTED_VALUE"""),"CAVITE")</f>
        <v>CAVITE</v>
      </c>
      <c r="R1085" s="1" t="str">
        <f>IFERROR(__xludf.DUMMYFUNCTION("""COMPUTED_VALUE"""),"FIBR UNLI ALL PLAN 1399")</f>
        <v>FIBR UNLI ALL PLAN 1399</v>
      </c>
      <c r="S1085" s="1" t="str">
        <f>IFERROR(__xludf.DUMMYFUNCTION("""COMPUTED_VALUE"""),"APPROVED")</f>
        <v>APPROVED</v>
      </c>
      <c r="T1085" s="1"/>
      <c r="U1085" s="1"/>
      <c r="V1085" s="1"/>
      <c r="W1085" s="1"/>
    </row>
    <row r="1086" customHeight="1" spans="1:23">
      <c r="A1086" s="3">
        <f>IFERROR(__xludf.DUMMYFUNCTION("""COMPUTED_VALUE"""),46116)</f>
        <v>46116</v>
      </c>
      <c r="B1086" s="1" t="str">
        <f>IFERROR(__xludf.DUMMYFUNCTION("""COMPUTED_VALUE"""),"OPS SIR ZIM")</f>
        <v>OPS SIR ZIM</v>
      </c>
      <c r="C1086" s="1" t="str">
        <f>IFERROR(__xludf.DUMMYFUNCTION("""COMPUTED_VALUE"""),"FLA")</f>
        <v>FLA</v>
      </c>
      <c r="D1086" s="1" t="str">
        <f>IFERROR(__xludf.DUMMYFUNCTION("""COMPUTED_VALUE"""),"JERIC NAVARRO")</f>
        <v>JERIC NAVARRO</v>
      </c>
      <c r="E1086" s="1" t="str">
        <f>IFERROR(__xludf.DUMMYFUNCTION("""COMPUTED_VALUE"""),"PLDT")</f>
        <v>PLDT</v>
      </c>
      <c r="F1086" s="1">
        <f>IFERROR(__xludf.DUMMYFUNCTION("""COMPUTED_VALUE"""),2308656631)</f>
        <v>2308656631</v>
      </c>
      <c r="G1086" s="1">
        <f>IFERROR(__xludf.DUMMYFUNCTION("""COMPUTED_VALUE"""),449311098004)</f>
        <v>449311098004</v>
      </c>
      <c r="H1086" s="1" t="str">
        <f>IFERROR(__xludf.DUMMYFUNCTION("""COMPUTED_VALUE"""),"FLOR DYAN PUNA RONDINA")</f>
        <v>FLOR DYAN PUNA RONDINA</v>
      </c>
      <c r="I1086" s="1">
        <f>IFERROR(__xludf.DUMMYFUNCTION("""COMPUTED_VALUE"""),639950718624)</f>
        <v>639950718624</v>
      </c>
      <c r="J1086" s="1"/>
      <c r="K1086" s="1"/>
      <c r="L1086" s="1" t="str">
        <f>IFERROR(__xludf.DUMMYFUNCTION("""COMPUTED_VALUE"""),"024-BL-017")</f>
        <v>024-BL-017</v>
      </c>
      <c r="M1086" s="1" t="str">
        <f>IFERROR(__xludf.DUMMYFUNCTION("""COMPUTED_VALUE"""),"SUMMER PINE")</f>
        <v>SUMMER PINE</v>
      </c>
      <c r="N1086" s="1" t="str">
        <f>IFERROR(__xludf.DUMMYFUNCTION("""COMPUTED_VALUE"""),"SUMMER PINE SUBDIVISION")</f>
        <v>SUMMER PINE SUBDIVISION</v>
      </c>
      <c r="O1086" s="1" t="str">
        <f>IFERROR(__xludf.DUMMYFUNCTION("""COMPUTED_VALUE"""),"SAN JOSE II")</f>
        <v>SAN JOSE II</v>
      </c>
      <c r="P1086" s="1" t="str">
        <f>IFERROR(__xludf.DUMMYFUNCTION("""COMPUTED_VALUE"""),"NOVELETA")</f>
        <v>NOVELETA</v>
      </c>
      <c r="Q1086" s="1" t="str">
        <f>IFERROR(__xludf.DUMMYFUNCTION("""COMPUTED_VALUE"""),"CAVITE")</f>
        <v>CAVITE</v>
      </c>
      <c r="R1086" s="1" t="str">
        <f>IFERROR(__xludf.DUMMYFUNCTION("""COMPUTED_VALUE"""),"FIBR PLAN 1699")</f>
        <v>FIBR PLAN 1699</v>
      </c>
      <c r="S1086" s="1" t="str">
        <f>IFERROR(__xludf.DUMMYFUNCTION("""COMPUTED_VALUE"""),"APPROVED")</f>
        <v>APPROVED</v>
      </c>
      <c r="T1086" s="1"/>
      <c r="U1086" s="1"/>
      <c r="V1086" s="1"/>
      <c r="W1086" s="1"/>
    </row>
    <row r="1087" customHeight="1" spans="1:23">
      <c r="A1087" s="3">
        <f>IFERROR(__xludf.DUMMYFUNCTION("""COMPUTED_VALUE"""),46116)</f>
        <v>46116</v>
      </c>
      <c r="B1087" s="1" t="str">
        <f>IFERROR(__xludf.DUMMYFUNCTION("""COMPUTED_VALUE"""),"CASANDIG, MA KRISTINA CASSANDRA")</f>
        <v>CASANDIG, MA KRISTINA CASSANDRA</v>
      </c>
      <c r="C1087" s="1" t="str">
        <f>IFERROR(__xludf.DUMMYFUNCTION("""COMPUTED_VALUE"""),"ORGANIC")</f>
        <v>ORGANIC</v>
      </c>
      <c r="D1087" s="1" t="str">
        <f>IFERROR(__xludf.DUMMYFUNCTION("""COMPUTED_VALUE"""),"ALINGARO, CINDY")</f>
        <v>ALINGARO, CINDY</v>
      </c>
      <c r="E1087" s="1" t="str">
        <f>IFERROR(__xludf.DUMMYFUNCTION("""COMPUTED_VALUE"""),"PLDT")</f>
        <v>PLDT</v>
      </c>
      <c r="F1087" s="1">
        <f>IFERROR(__xludf.DUMMYFUNCTION("""COMPUTED_VALUE"""),2308658329)</f>
        <v>2308658329</v>
      </c>
      <c r="G1087" s="1">
        <f>IFERROR(__xludf.DUMMYFUNCTION("""COMPUTED_VALUE"""),449579003004)</f>
        <v>449579003004</v>
      </c>
      <c r="H1087" s="1" t="str">
        <f>IFERROR(__xludf.DUMMYFUNCTION("""COMPUTED_VALUE"""),"JUSTINE TAGUBA STA MARIA")</f>
        <v>JUSTINE TAGUBA STA MARIA</v>
      </c>
      <c r="I1087" s="1">
        <f>IFERROR(__xludf.DUMMYFUNCTION("""COMPUTED_VALUE"""),9658497353)</f>
        <v>9658497353</v>
      </c>
      <c r="J1087" s="1"/>
      <c r="K1087" s="1" t="str">
        <f>IFERROR(__xludf.DUMMYFUNCTION("""COMPUTED_VALUE"""),"OHH.ITZZZZZ@GMAIL.COM")</f>
        <v>OHH.ITZZZZZ@GMAIL.COM</v>
      </c>
      <c r="L1087" s="1" t="str">
        <f>IFERROR(__xludf.DUMMYFUNCTION("""COMPUTED_VALUE"""),"E")</f>
        <v>E</v>
      </c>
      <c r="M1087" s="1" t="str">
        <f>IFERROR(__xludf.DUMMYFUNCTION("""COMPUTED_VALUE"""),"APARTMENT REYES COMPOUND")</f>
        <v>APARTMENT REYES COMPOUND</v>
      </c>
      <c r="N1087" s="1" t="str">
        <f>IFERROR(__xludf.DUMMYFUNCTION("""COMPUTED_VALUE"""),"APARTMENT REYES COMPOUND")</f>
        <v>APARTMENT REYES COMPOUND</v>
      </c>
      <c r="O1087" s="1" t="str">
        <f>IFERROR(__xludf.DUMMYFUNCTION("""COMPUTED_VALUE"""),"MAGUYAM")</f>
        <v>MAGUYAM</v>
      </c>
      <c r="P1087" s="1" t="str">
        <f>IFERROR(__xludf.DUMMYFUNCTION("""COMPUTED_VALUE"""),"SILANG")</f>
        <v>SILANG</v>
      </c>
      <c r="Q1087" s="1" t="str">
        <f>IFERROR(__xludf.DUMMYFUNCTION("""COMPUTED_VALUE"""),"CAVITE")</f>
        <v>CAVITE</v>
      </c>
      <c r="R1087" s="1" t="str">
        <f>IFERROR(__xludf.DUMMYFUNCTION("""COMPUTED_VALUE"""),"FIBR UNLI ALL PLAN 1399")</f>
        <v>FIBR UNLI ALL PLAN 1399</v>
      </c>
      <c r="S1087" s="1" t="str">
        <f>IFERROR(__xludf.DUMMYFUNCTION("""COMPUTED_VALUE"""),"APPROVED")</f>
        <v>APPROVED</v>
      </c>
      <c r="T1087" s="1"/>
      <c r="U1087" s="1"/>
      <c r="V1087" s="1"/>
      <c r="W1087" s="1"/>
    </row>
    <row r="1088" customHeight="1" spans="1:23">
      <c r="A1088" s="3">
        <f>IFERROR(__xludf.DUMMYFUNCTION("""COMPUTED_VALUE"""),46117)</f>
        <v>46117</v>
      </c>
      <c r="B1088" s="1" t="str">
        <f>IFERROR(__xludf.DUMMYFUNCTION("""COMPUTED_VALUE"""),"MALIWAT MARK ELVIN")</f>
        <v>MALIWAT MARK ELVIN</v>
      </c>
      <c r="C1088" s="1" t="str">
        <f>IFERROR(__xludf.DUMMYFUNCTION("""COMPUTED_VALUE"""),"FLA")</f>
        <v>FLA</v>
      </c>
      <c r="D1088" s="1" t="str">
        <f>IFERROR(__xludf.DUMMYFUNCTION("""COMPUTED_VALUE"""),"JERIC NAVARRO")</f>
        <v>JERIC NAVARRO</v>
      </c>
      <c r="E1088" s="1" t="str">
        <f>IFERROR(__xludf.DUMMYFUNCTION("""COMPUTED_VALUE"""),"PLDT")</f>
        <v>PLDT</v>
      </c>
      <c r="F1088" s="1">
        <f>IFERROR(__xludf.DUMMYFUNCTION("""COMPUTED_VALUE"""),2308665207)</f>
        <v>2308665207</v>
      </c>
      <c r="G1088" s="1">
        <f>IFERROR(__xludf.DUMMYFUNCTION("""COMPUTED_VALUE"""),449427883004)</f>
        <v>449427883004</v>
      </c>
      <c r="H1088" s="1" t="str">
        <f>IFERROR(__xludf.DUMMYFUNCTION("""COMPUTED_VALUE"""),"JIANN CARLO PEGA ABREA")</f>
        <v>JIANN CARLO PEGA ABREA</v>
      </c>
      <c r="I1088" s="1">
        <f>IFERROR(__xludf.DUMMYFUNCTION("""COMPUTED_VALUE"""),9105182983)</f>
        <v>9105182983</v>
      </c>
      <c r="J1088" s="1">
        <f>IFERROR(__xludf.DUMMYFUNCTION("""COMPUTED_VALUE"""),9552360892)</f>
        <v>9552360892</v>
      </c>
      <c r="K1088" s="1" t="str">
        <f>IFERROR(__xludf.DUMMYFUNCTION("""COMPUTED_VALUE"""),"JIANNCARLOABREA18@GMAIL.COM")</f>
        <v>JIANNCARLOABREA18@GMAIL.COM</v>
      </c>
      <c r="L1088" s="1" t="str">
        <f>IFERROR(__xludf.DUMMYFUNCTION("""COMPUTED_VALUE"""),"120")</f>
        <v>120</v>
      </c>
      <c r="M1088" s="1" t="str">
        <f>IFERROR(__xludf.DUMMYFUNCTION("""COMPUTED_VALUE"""),"PUROK 2")</f>
        <v>PUROK 2</v>
      </c>
      <c r="N1088" s="1"/>
      <c r="O1088" s="1" t="str">
        <f>IFERROR(__xludf.DUMMYFUNCTION("""COMPUTED_VALUE"""),"SANTA TERESA")</f>
        <v>SANTA TERESA</v>
      </c>
      <c r="P1088" s="1" t="str">
        <f>IFERROR(__xludf.DUMMYFUNCTION("""COMPUTED_VALUE"""),"ALFONSO")</f>
        <v>ALFONSO</v>
      </c>
      <c r="Q1088" s="1" t="str">
        <f>IFERROR(__xludf.DUMMYFUNCTION("""COMPUTED_VALUE"""),"CAVITE")</f>
        <v>CAVITE</v>
      </c>
      <c r="R1088" s="1" t="str">
        <f>IFERROR(__xludf.DUMMYFUNCTION("""COMPUTED_VALUE"""),"FIBR NETFLIX PLAN 1599")</f>
        <v>FIBR NETFLIX PLAN 1599</v>
      </c>
      <c r="S1088" s="1" t="str">
        <f>IFERROR(__xludf.DUMMYFUNCTION("""COMPUTED_VALUE"""),"APPROVED")</f>
        <v>APPROVED</v>
      </c>
      <c r="T1088" s="1"/>
      <c r="U1088" s="1"/>
      <c r="V1088" s="1"/>
      <c r="W1088" s="1"/>
    </row>
    <row r="1089" customHeight="1" spans="1:23">
      <c r="A1089" s="3">
        <f>IFERROR(__xludf.DUMMYFUNCTION("""COMPUTED_VALUE"""),46117)</f>
        <v>46117</v>
      </c>
      <c r="B1089" s="1" t="str">
        <f>IFERROR(__xludf.DUMMYFUNCTION("""COMPUTED_VALUE"""),"FARO, REFRANTA")</f>
        <v>FARO, REFRANTA</v>
      </c>
      <c r="C1089" s="1" t="str">
        <f>IFERROR(__xludf.DUMMYFUNCTION("""COMPUTED_VALUE"""),"ORGANIC")</f>
        <v>ORGANIC</v>
      </c>
      <c r="D1089" s="1" t="str">
        <f>IFERROR(__xludf.DUMMYFUNCTION("""COMPUTED_VALUE"""),"ALINGARO, CINDY")</f>
        <v>ALINGARO, CINDY</v>
      </c>
      <c r="E1089" s="1" t="str">
        <f>IFERROR(__xludf.DUMMYFUNCTION("""COMPUTED_VALUE"""),"PLDT")</f>
        <v>PLDT</v>
      </c>
      <c r="F1089" s="1">
        <f>IFERROR(__xludf.DUMMYFUNCTION("""COMPUTED_VALUE"""),2308665330)</f>
        <v>2308665330</v>
      </c>
      <c r="G1089" s="1">
        <f>IFERROR(__xludf.DUMMYFUNCTION("""COMPUTED_VALUE"""),449427054004)</f>
        <v>449427054004</v>
      </c>
      <c r="H1089" s="1" t="str">
        <f>IFERROR(__xludf.DUMMYFUNCTION("""COMPUTED_VALUE"""),"PRESCILLA LOGRONO NUNEZ")</f>
        <v>PRESCILLA LOGRONO NUNEZ</v>
      </c>
      <c r="I1089" s="1">
        <f>IFERROR(__xludf.DUMMYFUNCTION("""COMPUTED_VALUE"""),9157238000)</f>
        <v>9157238000</v>
      </c>
      <c r="J1089" s="1"/>
      <c r="K1089" s="1" t="str">
        <f>IFERROR(__xludf.DUMMYFUNCTION("""COMPUTED_VALUE"""),"MICAHSIMORA60@GMAIL.COM")</f>
        <v>MICAHSIMORA60@GMAIL.COM</v>
      </c>
      <c r="L1089" s="1" t="str">
        <f>IFERROR(__xludf.DUMMYFUNCTION("""COMPUTED_VALUE"""),"111")</f>
        <v>111</v>
      </c>
      <c r="M1089" s="1" t="str">
        <f>IFERROR(__xludf.DUMMYFUNCTION("""COMPUTED_VALUE"""),"PUROK 38")</f>
        <v>PUROK 38</v>
      </c>
      <c r="N1089" s="1"/>
      <c r="O1089" s="1" t="str">
        <f>IFERROR(__xludf.DUMMYFUNCTION("""COMPUTED_VALUE"""),"GUINHAWA NORTH")</f>
        <v>GUINHAWA NORTH</v>
      </c>
      <c r="P1089" s="1" t="str">
        <f>IFERROR(__xludf.DUMMYFUNCTION("""COMPUTED_VALUE"""),"TAGAYTAY")</f>
        <v>TAGAYTAY</v>
      </c>
      <c r="Q1089" s="1" t="str">
        <f>IFERROR(__xludf.DUMMYFUNCTION("""COMPUTED_VALUE"""),"CAVITE")</f>
        <v>CAVITE</v>
      </c>
      <c r="R1089" s="1" t="str">
        <f>IFERROR(__xludf.DUMMYFUNCTION("""COMPUTED_VALUE"""),"FIBR UNLI ALL PLAN 1399")</f>
        <v>FIBR UNLI ALL PLAN 1399</v>
      </c>
      <c r="S1089" s="1" t="str">
        <f>IFERROR(__xludf.DUMMYFUNCTION("""COMPUTED_VALUE"""),"APPROVED")</f>
        <v>APPROVED</v>
      </c>
      <c r="T1089" s="1"/>
      <c r="U1089" s="1"/>
      <c r="V1089" s="1"/>
      <c r="W1089" s="1"/>
    </row>
    <row r="1090" customHeight="1" spans="1:23">
      <c r="A1090" s="3">
        <f>IFERROR(__xludf.DUMMYFUNCTION("""COMPUTED_VALUE"""),46117)</f>
        <v>46117</v>
      </c>
      <c r="B1090" s="1" t="str">
        <f>IFERROR(__xludf.DUMMYFUNCTION("""COMPUTED_VALUE"""),"AQUINO, LUIS")</f>
        <v>AQUINO, LUIS</v>
      </c>
      <c r="C1090" s="1" t="str">
        <f>IFERROR(__xludf.DUMMYFUNCTION("""COMPUTED_VALUE"""),"ORGANIC")</f>
        <v>ORGANIC</v>
      </c>
      <c r="D1090" s="1" t="str">
        <f>IFERROR(__xludf.DUMMYFUNCTION("""COMPUTED_VALUE"""),"ALOS, CHARLS")</f>
        <v>ALOS, CHARLS</v>
      </c>
      <c r="E1090" s="1" t="str">
        <f>IFERROR(__xludf.DUMMYFUNCTION("""COMPUTED_VALUE"""),"PLDT")</f>
        <v>PLDT</v>
      </c>
      <c r="F1090" s="1">
        <f>IFERROR(__xludf.DUMMYFUNCTION("""COMPUTED_VALUE"""),2308665494)</f>
        <v>2308665494</v>
      </c>
      <c r="G1090" s="1">
        <f>IFERROR(__xludf.DUMMYFUNCTION("""COMPUTED_VALUE"""),449427880004)</f>
        <v>449427880004</v>
      </c>
      <c r="H1090" s="1" t="str">
        <f>IFERROR(__xludf.DUMMYFUNCTION("""COMPUTED_VALUE"""),"DEEJAY CABARLES FLORES")</f>
        <v>DEEJAY CABARLES FLORES</v>
      </c>
      <c r="I1090" s="1">
        <f>IFERROR(__xludf.DUMMYFUNCTION("""COMPUTED_VALUE"""),9272114521)</f>
        <v>9272114521</v>
      </c>
      <c r="J1090" s="1"/>
      <c r="K1090" s="1" t="str">
        <f>IFERROR(__xludf.DUMMYFUNCTION("""COMPUTED_VALUE"""),"JAYFLORES0804@GMAIL.COM")</f>
        <v>JAYFLORES0804@GMAIL.COM</v>
      </c>
      <c r="L1090" s="1" t="str">
        <f>IFERROR(__xludf.DUMMYFUNCTION("""COMPUTED_VALUE"""),"BLK 23 LOT 17")</f>
        <v>BLK 23 LOT 17</v>
      </c>
      <c r="M1090" s="1" t="str">
        <f>IFERROR(__xludf.DUMMYFUNCTION("""COMPUTED_VALUE"""),"MARIBA ST")</f>
        <v>MARIBA ST</v>
      </c>
      <c r="N1090" s="1" t="str">
        <f>IFERROR(__xludf.DUMMYFUNCTION("""COMPUTED_VALUE"""),"SOTTO GRANDE")</f>
        <v>SOTTO GRANDE</v>
      </c>
      <c r="O1090" s="1" t="str">
        <f>IFERROR(__xludf.DUMMYFUNCTION("""COMPUTED_VALUE"""),"ASISAN")</f>
        <v>ASISAN</v>
      </c>
      <c r="P1090" s="1" t="str">
        <f>IFERROR(__xludf.DUMMYFUNCTION("""COMPUTED_VALUE"""),"TAGAYTAY")</f>
        <v>TAGAYTAY</v>
      </c>
      <c r="Q1090" s="1" t="str">
        <f>IFERROR(__xludf.DUMMYFUNCTION("""COMPUTED_VALUE"""),"CAVITE")</f>
        <v>CAVITE</v>
      </c>
      <c r="R1090" s="1" t="str">
        <f>IFERROR(__xludf.DUMMYFUNCTION("""COMPUTED_VALUE"""),"FIBR UNLI ALL PLAN 1399")</f>
        <v>FIBR UNLI ALL PLAN 1399</v>
      </c>
      <c r="S1090" s="1" t="str">
        <f>IFERROR(__xludf.DUMMYFUNCTION("""COMPUTED_VALUE"""),"APPROVED")</f>
        <v>APPROVED</v>
      </c>
      <c r="T1090" s="1"/>
      <c r="U1090" s="1"/>
      <c r="V1090" s="1"/>
      <c r="W1090" s="1"/>
    </row>
    <row r="1091" customHeight="1" spans="1:23">
      <c r="A1091" s="3">
        <f>IFERROR(__xludf.DUMMYFUNCTION("""COMPUTED_VALUE"""),46117)</f>
        <v>46117</v>
      </c>
      <c r="B1091" s="1" t="str">
        <f>IFERROR(__xludf.DUMMYFUNCTION("""COMPUTED_VALUE"""),"ESCARCHA, MA ALMA  ESCOTO")</f>
        <v>ESCARCHA, MA ALMA  ESCOTO</v>
      </c>
      <c r="C1091" s="1" t="str">
        <f>IFERROR(__xludf.DUMMYFUNCTION("""COMPUTED_VALUE"""),"ORGANIC")</f>
        <v>ORGANIC</v>
      </c>
      <c r="D1091" s="1" t="str">
        <f>IFERROR(__xludf.DUMMYFUNCTION("""COMPUTED_VALUE"""),"ALINGARO, CINDY")</f>
        <v>ALINGARO, CINDY</v>
      </c>
      <c r="E1091" s="1" t="str">
        <f>IFERROR(__xludf.DUMMYFUNCTION("""COMPUTED_VALUE"""),"PLDT")</f>
        <v>PLDT</v>
      </c>
      <c r="F1091" s="1">
        <f>IFERROR(__xludf.DUMMYFUNCTION("""COMPUTED_VALUE"""),2308666311)</f>
        <v>2308666311</v>
      </c>
      <c r="G1091" s="1">
        <f>IFERROR(__xludf.DUMMYFUNCTION("""COMPUTED_VALUE"""),449430070004)</f>
        <v>449430070004</v>
      </c>
      <c r="H1091" s="1" t="str">
        <f>IFERROR(__xludf.DUMMYFUNCTION("""COMPUTED_VALUE"""),"CYRA MAE ROADILLA PARINAS")</f>
        <v>CYRA MAE ROADILLA PARINAS</v>
      </c>
      <c r="I1091" s="1">
        <f>IFERROR(__xludf.DUMMYFUNCTION("""COMPUTED_VALUE"""),9127171520)</f>
        <v>9127171520</v>
      </c>
      <c r="J1091" s="1">
        <f>IFERROR(__xludf.DUMMYFUNCTION("""COMPUTED_VALUE"""),9393008329)</f>
        <v>9393008329</v>
      </c>
      <c r="K1091" s="1" t="str">
        <f>IFERROR(__xludf.DUMMYFUNCTION("""COMPUTED_VALUE"""),"PARINASCYRAMAE1128@GMAIL.COM")</f>
        <v>PARINASCYRAMAE1128@GMAIL.COM</v>
      </c>
      <c r="L1091" s="1" t="str">
        <f>IFERROR(__xludf.DUMMYFUNCTION("""COMPUTED_VALUE"""),"107")</f>
        <v>107</v>
      </c>
      <c r="M1091" s="1" t="str">
        <f>IFERROR(__xludf.DUMMYFUNCTION("""COMPUTED_VALUE"""),"PALIGAWAN MATANDA")</f>
        <v>PALIGAWAN MATANDA</v>
      </c>
      <c r="N1091" s="1"/>
      <c r="O1091" s="1" t="str">
        <f>IFERROR(__xludf.DUMMYFUNCTION("""COMPUTED_VALUE"""),"LANTIC")</f>
        <v>LANTIC</v>
      </c>
      <c r="P1091" s="1" t="str">
        <f>IFERROR(__xludf.DUMMYFUNCTION("""COMPUTED_VALUE"""),"CARMONA")</f>
        <v>CARMONA</v>
      </c>
      <c r="Q1091" s="1" t="str">
        <f>IFERROR(__xludf.DUMMYFUNCTION("""COMPUTED_VALUE"""),"CAVITE")</f>
        <v>CAVITE</v>
      </c>
      <c r="R1091" s="1" t="str">
        <f>IFERROR(__xludf.DUMMYFUNCTION("""COMPUTED_VALUE"""),"FIBR UNLI ALL PLAN 999")</f>
        <v>FIBR UNLI ALL PLAN 999</v>
      </c>
      <c r="S1091" s="1" t="str">
        <f>IFERROR(__xludf.DUMMYFUNCTION("""COMPUTED_VALUE"""),"APPROVED")</f>
        <v>APPROVED</v>
      </c>
      <c r="T1091" s="1"/>
      <c r="U1091" s="1"/>
      <c r="V1091" s="1"/>
      <c r="W1091" s="1"/>
    </row>
    <row r="1092" customHeight="1" spans="1:23">
      <c r="A1092" s="3">
        <f>IFERROR(__xludf.DUMMYFUNCTION("""COMPUTED_VALUE"""),46117)</f>
        <v>46117</v>
      </c>
      <c r="B1092" s="1" t="str">
        <f>IFERROR(__xludf.DUMMYFUNCTION("""COMPUTED_VALUE"""),"DE VERA, MARIVIC")</f>
        <v>DE VERA, MARIVIC</v>
      </c>
      <c r="C1092" s="1" t="str">
        <f>IFERROR(__xludf.DUMMYFUNCTION("""COMPUTED_VALUE"""),"ORGANIC")</f>
        <v>ORGANIC</v>
      </c>
      <c r="D1092" s="1" t="str">
        <f>IFERROR(__xludf.DUMMYFUNCTION("""COMPUTED_VALUE"""),"ALINGARO, CINDY")</f>
        <v>ALINGARO, CINDY</v>
      </c>
      <c r="E1092" s="1" t="str">
        <f>IFERROR(__xludf.DUMMYFUNCTION("""COMPUTED_VALUE"""),"PLDT")</f>
        <v>PLDT</v>
      </c>
      <c r="F1092" s="1">
        <f>IFERROR(__xludf.DUMMYFUNCTION("""COMPUTED_VALUE"""),2308665958)</f>
        <v>2308665958</v>
      </c>
      <c r="G1092" s="1">
        <f>IFERROR(__xludf.DUMMYFUNCTION("""COMPUTED_VALUE"""),449428661004)</f>
        <v>449428661004</v>
      </c>
      <c r="H1092" s="1" t="str">
        <f>IFERROR(__xludf.DUMMYFUNCTION("""COMPUTED_VALUE"""),"ELMER PONCE BERNARDO")</f>
        <v>ELMER PONCE BERNARDO</v>
      </c>
      <c r="I1092" s="1">
        <f>IFERROR(__xludf.DUMMYFUNCTION("""COMPUTED_VALUE"""),9952007801)</f>
        <v>9952007801</v>
      </c>
      <c r="J1092" s="1"/>
      <c r="K1092" s="1" t="str">
        <f>IFERROR(__xludf.DUMMYFUNCTION("""COMPUTED_VALUE"""),"ELMERBERNARDO790@GMAIL.COM")</f>
        <v>ELMERBERNARDO790@GMAIL.COM</v>
      </c>
      <c r="L1092" s="1" t="str">
        <f>IFERROR(__xludf.DUMMYFUNCTION("""COMPUTED_VALUE"""),"926")</f>
        <v>926</v>
      </c>
      <c r="M1092" s="1" t="str">
        <f>IFERROR(__xludf.DUMMYFUNCTION("""COMPUTED_VALUE"""),"FERMA ST")</f>
        <v>FERMA ST</v>
      </c>
      <c r="N1092" s="1"/>
      <c r="O1092" s="1" t="str">
        <f>IFERROR(__xludf.DUMMYFUNCTION("""COMPUTED_VALUE"""),"ANULING LEJOS I (ANULING)")</f>
        <v>ANULING LEJOS I (ANULING)</v>
      </c>
      <c r="P1092" s="1" t="str">
        <f>IFERROR(__xludf.DUMMYFUNCTION("""COMPUTED_VALUE"""),"MENDEZ")</f>
        <v>MENDEZ</v>
      </c>
      <c r="Q1092" s="1" t="str">
        <f>IFERROR(__xludf.DUMMYFUNCTION("""COMPUTED_VALUE"""),"CAVITE")</f>
        <v>CAVITE</v>
      </c>
      <c r="R1092" s="1" t="str">
        <f>IFERROR(__xludf.DUMMYFUNCTION("""COMPUTED_VALUE"""),"FIBR NETFLIX PLAN 1599")</f>
        <v>FIBR NETFLIX PLAN 1599</v>
      </c>
      <c r="S1092" s="1" t="str">
        <f>IFERROR(__xludf.DUMMYFUNCTION("""COMPUTED_VALUE"""),"APPROVED")</f>
        <v>APPROVED</v>
      </c>
      <c r="T1092" s="1"/>
      <c r="U1092" s="1"/>
      <c r="V1092" s="1"/>
      <c r="W1092" s="1"/>
    </row>
    <row r="1093" customHeight="1" spans="1:23">
      <c r="A1093" s="3">
        <f>IFERROR(__xludf.DUMMYFUNCTION("""COMPUTED_VALUE"""),46117)</f>
        <v>46117</v>
      </c>
      <c r="B1093" s="1" t="str">
        <f>IFERROR(__xludf.DUMMYFUNCTION("""COMPUTED_VALUE"""),"DE VERA, MARIVIC")</f>
        <v>DE VERA, MARIVIC</v>
      </c>
      <c r="C1093" s="1" t="str">
        <f>IFERROR(__xludf.DUMMYFUNCTION("""COMPUTED_VALUE"""),"ORGANIC")</f>
        <v>ORGANIC</v>
      </c>
      <c r="D1093" s="1" t="str">
        <f>IFERROR(__xludf.DUMMYFUNCTION("""COMPUTED_VALUE"""),"ALINGARO, CINDY")</f>
        <v>ALINGARO, CINDY</v>
      </c>
      <c r="E1093" s="1" t="str">
        <f>IFERROR(__xludf.DUMMYFUNCTION("""COMPUTED_VALUE"""),"PLDT")</f>
        <v>PLDT</v>
      </c>
      <c r="F1093" s="1">
        <f>IFERROR(__xludf.DUMMYFUNCTION("""COMPUTED_VALUE"""),2308666405)</f>
        <v>2308666405</v>
      </c>
      <c r="G1093" s="1">
        <f>IFERROR(__xludf.DUMMYFUNCTION("""COMPUTED_VALUE"""),449430145004)</f>
        <v>449430145004</v>
      </c>
      <c r="H1093" s="1" t="str">
        <f>IFERROR(__xludf.DUMMYFUNCTION("""COMPUTED_VALUE"""),"CHRIS BESA PALUNSON")</f>
        <v>CHRIS BESA PALUNSON</v>
      </c>
      <c r="I1093" s="1">
        <f>IFERROR(__xludf.DUMMYFUNCTION("""COMPUTED_VALUE"""),9465917391)</f>
        <v>9465917391</v>
      </c>
      <c r="J1093" s="1"/>
      <c r="K1093" s="1" t="str">
        <f>IFERROR(__xludf.DUMMYFUNCTION("""COMPUTED_VALUE"""),"CHRISPALUNSON159@GMAIL.COM")</f>
        <v>CHRISPALUNSON159@GMAIL.COM</v>
      </c>
      <c r="L1093" s="1" t="str">
        <f>IFERROR(__xludf.DUMMYFUNCTION("""COMPUTED_VALUE"""),"131")</f>
        <v>131</v>
      </c>
      <c r="M1093" s="1" t="str">
        <f>IFERROR(__xludf.DUMMYFUNCTION("""COMPUTED_VALUE"""),"SAN MIGUEL ST")</f>
        <v>SAN MIGUEL ST</v>
      </c>
      <c r="N1093" s="1"/>
      <c r="O1093" s="1" t="str">
        <f>IFERROR(__xludf.DUMMYFUNCTION("""COMPUTED_VALUE"""),"SAN GABRIEL (AREA K)")</f>
        <v>SAN GABRIEL (AREA K)</v>
      </c>
      <c r="P1093" s="1" t="str">
        <f>IFERROR(__xludf.DUMMYFUNCTION("""COMPUTED_VALUE"""),"GEN MARIANO ALVAREZ")</f>
        <v>GEN MARIANO ALVAREZ</v>
      </c>
      <c r="Q1093" s="1" t="str">
        <f>IFERROR(__xludf.DUMMYFUNCTION("""COMPUTED_VALUE"""),"CAVITE")</f>
        <v>CAVITE</v>
      </c>
      <c r="R1093" s="1" t="str">
        <f>IFERROR(__xludf.DUMMYFUNCTION("""COMPUTED_VALUE"""),"FIBR UNLI ALL PLAN 1399")</f>
        <v>FIBR UNLI ALL PLAN 1399</v>
      </c>
      <c r="S1093" s="1" t="str">
        <f>IFERROR(__xludf.DUMMYFUNCTION("""COMPUTED_VALUE"""),"APPROVED")</f>
        <v>APPROVED</v>
      </c>
      <c r="T1093" s="1"/>
      <c r="U1093" s="1"/>
      <c r="V1093" s="1"/>
      <c r="W1093" s="1"/>
    </row>
    <row r="1094" customHeight="1" spans="1:23">
      <c r="A1094" s="3">
        <f>IFERROR(__xludf.DUMMYFUNCTION("""COMPUTED_VALUE"""),46117)</f>
        <v>46117</v>
      </c>
      <c r="B1094" s="1" t="str">
        <f>IFERROR(__xludf.DUMMYFUNCTION("""COMPUTED_VALUE"""),"DELA ROSA, JENNELYN")</f>
        <v>DELA ROSA, JENNELYN</v>
      </c>
      <c r="C1094" s="1" t="str">
        <f>IFERROR(__xludf.DUMMYFUNCTION("""COMPUTED_VALUE"""),"ORGANIC")</f>
        <v>ORGANIC</v>
      </c>
      <c r="D1094" s="1" t="str">
        <f>IFERROR(__xludf.DUMMYFUNCTION("""COMPUTED_VALUE"""),"ALOS, CHARLS")</f>
        <v>ALOS, CHARLS</v>
      </c>
      <c r="E1094" s="1" t="str">
        <f>IFERROR(__xludf.DUMMYFUNCTION("""COMPUTED_VALUE"""),"RED FIBER")</f>
        <v>RED FIBER</v>
      </c>
      <c r="F1094" s="1"/>
      <c r="G1094" s="1"/>
      <c r="H1094" s="1" t="str">
        <f>IFERROR(__xludf.DUMMYFUNCTION("""COMPUTED_VALUE"""),"RONALDO FERNANDEZ ALMONTE")</f>
        <v>RONALDO FERNANDEZ ALMONTE</v>
      </c>
      <c r="I1094" s="1">
        <f>IFERROR(__xludf.DUMMYFUNCTION("""COMPUTED_VALUE"""),9302022367)</f>
        <v>9302022367</v>
      </c>
      <c r="J1094" s="1"/>
      <c r="K1094" s="1" t="str">
        <f>IFERROR(__xludf.DUMMYFUNCTION("""COMPUTED_VALUE"""),"RONALDOFALMONTE44@GMAIL.COM")</f>
        <v>RONALDOFALMONTE44@GMAIL.COM</v>
      </c>
      <c r="L1094" s="1" t="str">
        <f>IFERROR(__xludf.DUMMYFUNCTION("""COMPUTED_VALUE"""),"177")</f>
        <v>177</v>
      </c>
      <c r="M1094" s="1" t="str">
        <f>IFERROR(__xludf.DUMMYFUNCTION("""COMPUTED_VALUE"""),"FIRST OUTPOST")</f>
        <v>FIRST OUTPOST</v>
      </c>
      <c r="N1094" s="1" t="str">
        <f>IFERROR(__xludf.DUMMYFUNCTION("""COMPUTED_VALUE"""),"HUMAYAO")</f>
        <v>HUMAYAO</v>
      </c>
      <c r="O1094" s="1" t="str">
        <f>IFERROR(__xludf.DUMMYFUNCTION("""COMPUTED_VALUE"""),"LANGKAAN II")</f>
        <v>LANGKAAN II</v>
      </c>
      <c r="P1094" s="1" t="str">
        <f>IFERROR(__xludf.DUMMYFUNCTION("""COMPUTED_VALUE"""),"DASMARINAS")</f>
        <v>DASMARINAS</v>
      </c>
      <c r="Q1094" s="1" t="str">
        <f>IFERROR(__xludf.DUMMYFUNCTION("""COMPUTED_VALUE"""),"CAVITE")</f>
        <v>CAVITE</v>
      </c>
      <c r="R1094" s="1" t="str">
        <f>IFERROR(__xludf.DUMMYFUNCTION("""COMPUTED_VALUE"""),"RED PLAN 1000")</f>
        <v>RED PLAN 1000</v>
      </c>
      <c r="S1094" s="1" t="str">
        <f>IFERROR(__xludf.DUMMYFUNCTION("""COMPUTED_VALUE"""),"APPROVED")</f>
        <v>APPROVED</v>
      </c>
      <c r="T1094" s="1"/>
      <c r="U1094" s="1"/>
      <c r="V1094" s="1"/>
      <c r="W1094" s="1"/>
    </row>
    <row r="1095" customHeight="1" spans="1:23">
      <c r="A1095" s="3">
        <f>IFERROR(__xludf.DUMMYFUNCTION("""COMPUTED_VALUE"""),46117)</f>
        <v>46117</v>
      </c>
      <c r="B1095" s="1" t="str">
        <f>IFERROR(__xludf.DUMMYFUNCTION("""COMPUTED_VALUE"""),"FARO, REFRANTA")</f>
        <v>FARO, REFRANTA</v>
      </c>
      <c r="C1095" s="1" t="str">
        <f>IFERROR(__xludf.DUMMYFUNCTION("""COMPUTED_VALUE"""),"ORGANIC")</f>
        <v>ORGANIC</v>
      </c>
      <c r="D1095" s="1" t="str">
        <f>IFERROR(__xludf.DUMMYFUNCTION("""COMPUTED_VALUE"""),"ALINGARO, CINDY")</f>
        <v>ALINGARO, CINDY</v>
      </c>
      <c r="E1095" s="1" t="str">
        <f>IFERROR(__xludf.DUMMYFUNCTION("""COMPUTED_VALUE"""),"PLDT")</f>
        <v>PLDT</v>
      </c>
      <c r="F1095" s="1">
        <f>IFERROR(__xludf.DUMMYFUNCTION("""COMPUTED_VALUE"""),2308668127)</f>
        <v>2308668127</v>
      </c>
      <c r="G1095" s="1">
        <f>IFERROR(__xludf.DUMMYFUNCTION("""COMPUTED_VALUE"""),449433649004)</f>
        <v>449433649004</v>
      </c>
      <c r="H1095" s="1" t="str">
        <f>IFERROR(__xludf.DUMMYFUNCTION("""COMPUTED_VALUE"""),"PRIMITIVO LUMAPAS BISNAR")</f>
        <v>PRIMITIVO LUMAPAS BISNAR</v>
      </c>
      <c r="I1095" s="1">
        <f>IFERROR(__xludf.DUMMYFUNCTION("""COMPUTED_VALUE"""),9175222570)</f>
        <v>9175222570</v>
      </c>
      <c r="J1095" s="1">
        <f>IFERROR(__xludf.DUMMYFUNCTION("""COMPUTED_VALUE"""),9175227057)</f>
        <v>9175227057</v>
      </c>
      <c r="K1095" s="1" t="str">
        <f>IFERROR(__xludf.DUMMYFUNCTION("""COMPUTED_VALUE"""),"PRIMO_BISNAR@YAHOO.COM")</f>
        <v>PRIMO_BISNAR@YAHOO.COM</v>
      </c>
      <c r="L1095" s="1" t="str">
        <f>IFERROR(__xludf.DUMMYFUNCTION("""COMPUTED_VALUE"""),"233")</f>
        <v>233</v>
      </c>
      <c r="M1095" s="1" t="str">
        <f>IFERROR(__xludf.DUMMYFUNCTION("""COMPUTED_VALUE"""),"JP RIZAL")</f>
        <v>JP RIZAL</v>
      </c>
      <c r="N1095" s="1" t="str">
        <f>IFERROR(__xludf.DUMMYFUNCTION("""COMPUTED_VALUE"""),"VILLA BISGARD")</f>
        <v>VILLA BISGARD</v>
      </c>
      <c r="O1095" s="1" t="str">
        <f>IFERROR(__xludf.DUMMYFUNCTION("""COMPUTED_VALUE"""),"SIKAT")</f>
        <v>SIKAT</v>
      </c>
      <c r="P1095" s="1" t="str">
        <f>IFERROR(__xludf.DUMMYFUNCTION("""COMPUTED_VALUE"""),"ALFONSO")</f>
        <v>ALFONSO</v>
      </c>
      <c r="Q1095" s="1" t="str">
        <f>IFERROR(__xludf.DUMMYFUNCTION("""COMPUTED_VALUE"""),"CAVITE")</f>
        <v>CAVITE</v>
      </c>
      <c r="R1095" s="1" t="str">
        <f>IFERROR(__xludf.DUMMYFUNCTION("""COMPUTED_VALUE"""),"FIBR NETFLIX PLAN 1599")</f>
        <v>FIBR NETFLIX PLAN 1599</v>
      </c>
      <c r="S1095" s="1" t="str">
        <f>IFERROR(__xludf.DUMMYFUNCTION("""COMPUTED_VALUE"""),"APPROVED")</f>
        <v>APPROVED</v>
      </c>
      <c r="T1095" s="1"/>
      <c r="U1095" s="1"/>
      <c r="V1095" s="1"/>
      <c r="W1095" s="1"/>
    </row>
    <row r="1096" customHeight="1" spans="1:23">
      <c r="A1096" s="3">
        <f>IFERROR(__xludf.DUMMYFUNCTION("""COMPUTED_VALUE"""),46117)</f>
        <v>46117</v>
      </c>
      <c r="B1096" s="1" t="str">
        <f>IFERROR(__xludf.DUMMYFUNCTION("""COMPUTED_VALUE"""),"DELA ROSA, JENNELYN")</f>
        <v>DELA ROSA, JENNELYN</v>
      </c>
      <c r="C1096" s="1" t="str">
        <f>IFERROR(__xludf.DUMMYFUNCTION("""COMPUTED_VALUE"""),"ORGANIC")</f>
        <v>ORGANIC</v>
      </c>
      <c r="D1096" s="1" t="str">
        <f>IFERROR(__xludf.DUMMYFUNCTION("""COMPUTED_VALUE"""),"ALOS, CHARLS")</f>
        <v>ALOS, CHARLS</v>
      </c>
      <c r="E1096" s="1" t="str">
        <f>IFERROR(__xludf.DUMMYFUNCTION("""COMPUTED_VALUE"""),"PLDT")</f>
        <v>PLDT</v>
      </c>
      <c r="F1096" s="1">
        <f>IFERROR(__xludf.DUMMYFUNCTION("""COMPUTED_VALUE"""),2308668673)</f>
        <v>2308668673</v>
      </c>
      <c r="G1096" s="1">
        <f>IFERROR(__xludf.DUMMYFUNCTION("""COMPUTED_VALUE"""),449434394004)</f>
        <v>449434394004</v>
      </c>
      <c r="H1096" s="1" t="str">
        <f>IFERROR(__xludf.DUMMYFUNCTION("""COMPUTED_VALUE"""),"LEONA MHEL MAGBAGAY")</f>
        <v>LEONA MHEL MAGBAGAY</v>
      </c>
      <c r="I1096" s="1">
        <f>IFERROR(__xludf.DUMMYFUNCTION("""COMPUTED_VALUE"""),9686625509)</f>
        <v>9686625509</v>
      </c>
      <c r="J1096" s="1">
        <f>IFERROR(__xludf.DUMMYFUNCTION("""COMPUTED_VALUE"""),9472009051)</f>
        <v>9472009051</v>
      </c>
      <c r="K1096" s="1" t="str">
        <f>IFERROR(__xludf.DUMMYFUNCTION("""COMPUTED_VALUE"""),"CLEOMAGABGAY@GMAIL.COM")</f>
        <v>CLEOMAGABGAY@GMAIL.COM</v>
      </c>
      <c r="L1096" s="1" t="str">
        <f>IFERROR(__xludf.DUMMYFUNCTION("""COMPUTED_VALUE"""),"BLK 5 LOT 25")</f>
        <v>BLK 5 LOT 25</v>
      </c>
      <c r="M1096" s="1" t="str">
        <f>IFERROR(__xludf.DUMMYFUNCTION("""COMPUTED_VALUE"""),"JORDAN ST")</f>
        <v>JORDAN ST</v>
      </c>
      <c r="N1096" s="1" t="str">
        <f>IFERROR(__xludf.DUMMYFUNCTION("""COMPUTED_VALUE"""),"SAN MARINO")</f>
        <v>SAN MARINO</v>
      </c>
      <c r="O1096" s="1" t="str">
        <f>IFERROR(__xludf.DUMMYFUNCTION("""COMPUTED_VALUE"""),"SALAWAG")</f>
        <v>SALAWAG</v>
      </c>
      <c r="P1096" s="1" t="str">
        <f>IFERROR(__xludf.DUMMYFUNCTION("""COMPUTED_VALUE"""),"DASMARINAS")</f>
        <v>DASMARINAS</v>
      </c>
      <c r="Q1096" s="1" t="str">
        <f>IFERROR(__xludf.DUMMYFUNCTION("""COMPUTED_VALUE"""),"CAVITE")</f>
        <v>CAVITE</v>
      </c>
      <c r="R1096" s="1" t="str">
        <f>IFERROR(__xludf.DUMMYFUNCTION("""COMPUTED_VALUE"""),"FIBR PLAN 1699")</f>
        <v>FIBR PLAN 1699</v>
      </c>
      <c r="S1096" s="1" t="str">
        <f>IFERROR(__xludf.DUMMYFUNCTION("""COMPUTED_VALUE"""),"APPROVED")</f>
        <v>APPROVED</v>
      </c>
      <c r="T1096" s="1"/>
      <c r="U1096" s="1"/>
      <c r="V1096" s="1"/>
      <c r="W1096" s="1"/>
    </row>
    <row r="1097" customHeight="1" spans="1:23">
      <c r="A1097" s="3">
        <f>IFERROR(__xludf.DUMMYFUNCTION("""COMPUTED_VALUE"""),46117)</f>
        <v>46117</v>
      </c>
      <c r="B1097" s="1" t="str">
        <f>IFERROR(__xludf.DUMMYFUNCTION("""COMPUTED_VALUE"""),"ESCARCHA, MA ALMA  ESCOTO")</f>
        <v>ESCARCHA, MA ALMA  ESCOTO</v>
      </c>
      <c r="C1097" s="1" t="str">
        <f>IFERROR(__xludf.DUMMYFUNCTION("""COMPUTED_VALUE"""),"ORGANIC")</f>
        <v>ORGANIC</v>
      </c>
      <c r="D1097" s="1" t="str">
        <f>IFERROR(__xludf.DUMMYFUNCTION("""COMPUTED_VALUE"""),"ALINGARO, CINDY")</f>
        <v>ALINGARO, CINDY</v>
      </c>
      <c r="E1097" s="1" t="str">
        <f>IFERROR(__xludf.DUMMYFUNCTION("""COMPUTED_VALUE"""),"PLDT")</f>
        <v>PLDT</v>
      </c>
      <c r="F1097" s="1"/>
      <c r="G1097" s="1"/>
      <c r="H1097" s="1" t="str">
        <f>IFERROR(__xludf.DUMMYFUNCTION("""COMPUTED_VALUE"""),"MA. JESSICA SILO TAGBO")</f>
        <v>MA. JESSICA SILO TAGBO</v>
      </c>
      <c r="I1097" s="1">
        <f>IFERROR(__xludf.DUMMYFUNCTION("""COMPUTED_VALUE"""),9636705978)</f>
        <v>9636705978</v>
      </c>
      <c r="J1097" s="1">
        <f>IFERROR(__xludf.DUMMYFUNCTION("""COMPUTED_VALUE"""),9641199837)</f>
        <v>9641199837</v>
      </c>
      <c r="K1097" s="1" t="str">
        <f>IFERROR(__xludf.DUMMYFUNCTION("""COMPUTED_VALUE"""),"JESSICATAGBO278@GMAIL.COM")</f>
        <v>JESSICATAGBO278@GMAIL.COM</v>
      </c>
      <c r="L1097" s="1" t="str">
        <f>IFERROR(__xludf.DUMMYFUNCTION("""COMPUTED_VALUE"""),"BLK 3 LOT 13")</f>
        <v>BLK 3 LOT 13</v>
      </c>
      <c r="M1097" s="1" t="str">
        <f>IFERROR(__xludf.DUMMYFUNCTION("""COMPUTED_VALUE"""),"PALIGAWAN MATANDA")</f>
        <v>PALIGAWAN MATANDA</v>
      </c>
      <c r="N1097" s="1"/>
      <c r="O1097" s="1" t="str">
        <f>IFERROR(__xludf.DUMMYFUNCTION("""COMPUTED_VALUE"""),"LANTIC")</f>
        <v>LANTIC</v>
      </c>
      <c r="P1097" s="1" t="str">
        <f>IFERROR(__xludf.DUMMYFUNCTION("""COMPUTED_VALUE"""),"CARMONA")</f>
        <v>CARMONA</v>
      </c>
      <c r="Q1097" s="1" t="str">
        <f>IFERROR(__xludf.DUMMYFUNCTION("""COMPUTED_VALUE"""),"CAVITE")</f>
        <v>CAVITE</v>
      </c>
      <c r="R1097" s="1" t="str">
        <f>IFERROR(__xludf.DUMMYFUNCTION("""COMPUTED_VALUE"""),"FIBR PLAN 1299")</f>
        <v>FIBR PLAN 1299</v>
      </c>
      <c r="S1097" s="1" t="str">
        <f>IFERROR(__xludf.DUMMYFUNCTION("""COMPUTED_VALUE"""),"FOR CALLBACK / CANNOT BE REACHED")</f>
        <v>FOR CALLBACK / CANNOT BE REACHED</v>
      </c>
      <c r="T1097" s="1" t="str">
        <f>IFERROR(__xludf.DUMMYFUNCTION("""COMPUTED_VALUE"""),"MAGKAIBA YUNG PIRMA SA FORM AT ID")</f>
        <v>MAGKAIBA YUNG PIRMA SA FORM AT ID</v>
      </c>
      <c r="U1097" s="1"/>
      <c r="V1097" s="1"/>
      <c r="W1097" s="1"/>
    </row>
    <row r="1098" customHeight="1" spans="1:23">
      <c r="A1098" s="3">
        <f>IFERROR(__xludf.DUMMYFUNCTION("""COMPUTED_VALUE"""),46117)</f>
        <v>46117</v>
      </c>
      <c r="B1098" s="1" t="str">
        <f>IFERROR(__xludf.DUMMYFUNCTION("""COMPUTED_VALUE"""),"ESCARCHA, MA ALMA  ESCOTO")</f>
        <v>ESCARCHA, MA ALMA  ESCOTO</v>
      </c>
      <c r="C1098" s="1" t="str">
        <f>IFERROR(__xludf.DUMMYFUNCTION("""COMPUTED_VALUE"""),"ORGANIC")</f>
        <v>ORGANIC</v>
      </c>
      <c r="D1098" s="1" t="str">
        <f>IFERROR(__xludf.DUMMYFUNCTION("""COMPUTED_VALUE"""),"ALINGARO, CINDY")</f>
        <v>ALINGARO, CINDY</v>
      </c>
      <c r="E1098" s="1" t="str">
        <f>IFERROR(__xludf.DUMMYFUNCTION("""COMPUTED_VALUE"""),"PLDT")</f>
        <v>PLDT</v>
      </c>
      <c r="F1098" s="1">
        <f>IFERROR(__xludf.DUMMYFUNCTION("""COMPUTED_VALUE"""),2308671006)</f>
        <v>2308671006</v>
      </c>
      <c r="G1098" s="1">
        <f>IFERROR(__xludf.DUMMYFUNCTION("""COMPUTED_VALUE"""),449438458004)</f>
        <v>449438458004</v>
      </c>
      <c r="H1098" s="1" t="str">
        <f>IFERROR(__xludf.DUMMYFUNCTION("""COMPUTED_VALUE"""),"LORENA MIRANDA MASUNSONG")</f>
        <v>LORENA MIRANDA MASUNSONG</v>
      </c>
      <c r="I1098" s="1">
        <f>IFERROR(__xludf.DUMMYFUNCTION("""COMPUTED_VALUE"""),9094783291)</f>
        <v>9094783291</v>
      </c>
      <c r="J1098" s="1">
        <f>IFERROR(__xludf.DUMMYFUNCTION("""COMPUTED_VALUE"""),9758453697)</f>
        <v>9758453697</v>
      </c>
      <c r="K1098" s="1" t="str">
        <f>IFERROR(__xludf.DUMMYFUNCTION("""COMPUTED_VALUE"""),"CYNDERCABUTIN@GMAIL.COM")</f>
        <v>CYNDERCABUTIN@GMAIL.COM</v>
      </c>
      <c r="L1098" s="1" t="str">
        <f>IFERROR(__xludf.DUMMYFUNCTION("""COMPUTED_VALUE"""),"172")</f>
        <v>172</v>
      </c>
      <c r="M1098" s="1" t="str">
        <f>IFERROR(__xludf.DUMMYFUNCTION("""COMPUTED_VALUE"""),"PALIGAWAN MATANDA")</f>
        <v>PALIGAWAN MATANDA</v>
      </c>
      <c r="N1098" s="1"/>
      <c r="O1098" s="1" t="str">
        <f>IFERROR(__xludf.DUMMYFUNCTION("""COMPUTED_VALUE"""),"LANTIC")</f>
        <v>LANTIC</v>
      </c>
      <c r="P1098" s="1" t="str">
        <f>IFERROR(__xludf.DUMMYFUNCTION("""COMPUTED_VALUE"""),"CARMONA")</f>
        <v>CARMONA</v>
      </c>
      <c r="Q1098" s="1" t="str">
        <f>IFERROR(__xludf.DUMMYFUNCTION("""COMPUTED_VALUE"""),"CAVITE")</f>
        <v>CAVITE</v>
      </c>
      <c r="R1098" s="1" t="str">
        <f>IFERROR(__xludf.DUMMYFUNCTION("""COMPUTED_VALUE"""),"FIBR UNLI ALL PLAN 999")</f>
        <v>FIBR UNLI ALL PLAN 999</v>
      </c>
      <c r="S1098" s="1" t="str">
        <f>IFERROR(__xludf.DUMMYFUNCTION("""COMPUTED_VALUE"""),"APPROVED")</f>
        <v>APPROVED</v>
      </c>
      <c r="T1098" s="1"/>
      <c r="U1098" s="1"/>
      <c r="V1098" s="1"/>
      <c r="W1098" s="1"/>
    </row>
    <row r="1099" customHeight="1" spans="1:23">
      <c r="A1099" s="3">
        <f>IFERROR(__xludf.DUMMYFUNCTION("""COMPUTED_VALUE"""),46117)</f>
        <v>46117</v>
      </c>
      <c r="B1099" s="1" t="str">
        <f>IFERROR(__xludf.DUMMYFUNCTION("""COMPUTED_VALUE"""),"GABAY, MANUEL")</f>
        <v>GABAY, MANUEL</v>
      </c>
      <c r="C1099" s="1" t="str">
        <f>IFERROR(__xludf.DUMMYFUNCTION("""COMPUTED_VALUE"""),"FLA")</f>
        <v>FLA</v>
      </c>
      <c r="D1099" s="1" t="str">
        <f>IFERROR(__xludf.DUMMYFUNCTION("""COMPUTED_VALUE"""),"JERIC NAVARRO")</f>
        <v>JERIC NAVARRO</v>
      </c>
      <c r="E1099" s="1" t="str">
        <f>IFERROR(__xludf.DUMMYFUNCTION("""COMPUTED_VALUE"""),"HOME BIZZ")</f>
        <v>HOME BIZZ</v>
      </c>
      <c r="F1099" s="1">
        <f>IFERROR(__xludf.DUMMYFUNCTION("""COMPUTED_VALUE"""),2308686973)</f>
        <v>2308686973</v>
      </c>
      <c r="G1099" s="1">
        <f>IFERROR(__xludf.DUMMYFUNCTION("""COMPUTED_VALUE"""),449585110004)</f>
        <v>449585110004</v>
      </c>
      <c r="H1099" s="1" t="str">
        <f>IFERROR(__xludf.DUMMYFUNCTION("""COMPUTED_VALUE"""),"BEETCOTEA COFFEE")</f>
        <v>BEETCOTEA COFFEE</v>
      </c>
      <c r="I1099" s="1">
        <f>IFERROR(__xludf.DUMMYFUNCTION("""COMPUTED_VALUE"""),9175128274)</f>
        <v>9175128274</v>
      </c>
      <c r="J1099" s="1"/>
      <c r="K1099" s="1" t="str">
        <f>IFERROR(__xludf.DUMMYFUNCTION("""COMPUTED_VALUE"""),"NATIVIDADROYFARANCIA@GMAIL.COM")</f>
        <v>NATIVIDADROYFARANCIA@GMAIL.COM</v>
      </c>
      <c r="L1099" s="1"/>
      <c r="M1099" s="1" t="str">
        <f>IFERROR(__xludf.DUMMYFUNCTION("""COMPUTED_VALUE"""),"PALIPARAN RD")</f>
        <v>PALIPARAN RD</v>
      </c>
      <c r="N1099" s="1"/>
      <c r="O1099" s="1" t="str">
        <f>IFERROR(__xludf.DUMMYFUNCTION("""COMPUTED_VALUE"""),"PALIPARAN III")</f>
        <v>PALIPARAN III</v>
      </c>
      <c r="P1099" s="1" t="str">
        <f>IFERROR(__xludf.DUMMYFUNCTION("""COMPUTED_VALUE"""),"DASMARINAS")</f>
        <v>DASMARINAS</v>
      </c>
      <c r="Q1099" s="1" t="str">
        <f>IFERROR(__xludf.DUMMYFUNCTION("""COMPUTED_VALUE"""),"CAVITE")</f>
        <v>CAVITE</v>
      </c>
      <c r="R1099" s="1" t="str">
        <f>IFERROR(__xludf.DUMMYFUNCTION("""COMPUTED_VALUE"""),"HOME BIZ PLAN 1299")</f>
        <v>HOME BIZ PLAN 1299</v>
      </c>
      <c r="S1099" s="1" t="str">
        <f>IFERROR(__xludf.DUMMYFUNCTION("""COMPUTED_VALUE"""),"APPROVED")</f>
        <v>APPROVED</v>
      </c>
      <c r="T1099" s="1" t="str">
        <f>IFERROR(__xludf.DUMMYFUNCTION("""COMPUTED_VALUE"""),"PLS PROVIDE REQUIRTMENTS")</f>
        <v>PLS PROVIDE REQUIRTMENTS</v>
      </c>
      <c r="U1099" s="1"/>
      <c r="V1099" s="1"/>
      <c r="W1099" s="1"/>
    </row>
    <row r="1100" customHeight="1" spans="1:23">
      <c r="A1100" s="3">
        <f>IFERROR(__xludf.DUMMYFUNCTION("""COMPUTED_VALUE"""),46118)</f>
        <v>46118</v>
      </c>
      <c r="B1100" s="1" t="str">
        <f>IFERROR(__xludf.DUMMYFUNCTION("""COMPUTED_VALUE"""),"OPS IAN SUMILANG")</f>
        <v>OPS IAN SUMILANG</v>
      </c>
      <c r="C1100" s="1" t="str">
        <f>IFERROR(__xludf.DUMMYFUNCTION("""COMPUTED_VALUE"""),"FLA")</f>
        <v>FLA</v>
      </c>
      <c r="D1100" s="1" t="str">
        <f>IFERROR(__xludf.DUMMYFUNCTION("""COMPUTED_VALUE"""),"JERIC NAVARRO")</f>
        <v>JERIC NAVARRO</v>
      </c>
      <c r="E1100" s="1" t="str">
        <f>IFERROR(__xludf.DUMMYFUNCTION("""COMPUTED_VALUE"""),"HOME BIZZ")</f>
        <v>HOME BIZZ</v>
      </c>
      <c r="F1100" s="1">
        <f>IFERROR(__xludf.DUMMYFUNCTION("""COMPUTED_VALUE"""),2308678260)</f>
        <v>2308678260</v>
      </c>
      <c r="G1100" s="1">
        <f>IFERROR(__xludf.DUMMYFUNCTION("""COMPUTED_VALUE"""),449549410004)</f>
        <v>449549410004</v>
      </c>
      <c r="H1100" s="1" t="str">
        <f>IFERROR(__xludf.DUMMYFUNCTION("""COMPUTED_VALUE"""),"1MARCON FOOD HUB")</f>
        <v>1MARCON FOOD HUB</v>
      </c>
      <c r="I1100" s="1">
        <f>IFERROR(__xludf.DUMMYFUNCTION("""COMPUTED_VALUE"""),9672155808)</f>
        <v>9672155808</v>
      </c>
      <c r="J1100" s="1"/>
      <c r="K1100" s="1" t="str">
        <f>IFERROR(__xludf.DUMMYFUNCTION("""COMPUTED_VALUE"""),"MARWANLOPEZ2021@GMAIL.COM")</f>
        <v>MARWANLOPEZ2021@GMAIL.COM</v>
      </c>
      <c r="L1100" s="1" t="str">
        <f>IFERROR(__xludf.DUMMYFUNCTION("""COMPUTED_VALUE"""),"208")</f>
        <v>208</v>
      </c>
      <c r="M1100" s="1" t="str">
        <f>IFERROR(__xludf.DUMMYFUNCTION("""COMPUTED_VALUE"""),"BYPASS RD")</f>
        <v>BYPASS RD</v>
      </c>
      <c r="N1100" s="1"/>
      <c r="O1100" s="1" t="str">
        <f>IFERROR(__xludf.DUMMYFUNCTION("""COMPUTED_VALUE"""),"TUBUAN II")</f>
        <v>TUBUAN II</v>
      </c>
      <c r="P1100" s="1" t="str">
        <f>IFERROR(__xludf.DUMMYFUNCTION("""COMPUTED_VALUE"""),"SILANG")</f>
        <v>SILANG</v>
      </c>
      <c r="Q1100" s="1" t="str">
        <f>IFERROR(__xludf.DUMMYFUNCTION("""COMPUTED_VALUE"""),"CAVITE")</f>
        <v>CAVITE</v>
      </c>
      <c r="R1100" s="1" t="str">
        <f>IFERROR(__xludf.DUMMYFUNCTION("""COMPUTED_VALUE"""),"HOME BIZ PLAN 1699")</f>
        <v>HOME BIZ PLAN 1699</v>
      </c>
      <c r="S1100" s="1" t="str">
        <f>IFERROR(__xludf.DUMMYFUNCTION("""COMPUTED_VALUE"""),"APPROVED")</f>
        <v>APPROVED</v>
      </c>
      <c r="T1100" s="1"/>
      <c r="U1100" s="1"/>
      <c r="V1100" s="1"/>
      <c r="W1100" s="1"/>
    </row>
    <row r="1101" customHeight="1" spans="1:23">
      <c r="A1101" s="3">
        <f>IFERROR(__xludf.DUMMYFUNCTION("""COMPUTED_VALUE"""),46118)</f>
        <v>46118</v>
      </c>
      <c r="B1101" s="1" t="str">
        <f>IFERROR(__xludf.DUMMYFUNCTION("""COMPUTED_VALUE"""),"AQUINO, LUIS")</f>
        <v>AQUINO, LUIS</v>
      </c>
      <c r="C1101" s="1" t="str">
        <f>IFERROR(__xludf.DUMMYFUNCTION("""COMPUTED_VALUE"""),"ORGANIC")</f>
        <v>ORGANIC</v>
      </c>
      <c r="D1101" s="1" t="str">
        <f>IFERROR(__xludf.DUMMYFUNCTION("""COMPUTED_VALUE"""),"ALOS, CHARLS")</f>
        <v>ALOS, CHARLS</v>
      </c>
      <c r="E1101" s="1" t="str">
        <f>IFERROR(__xludf.DUMMYFUNCTION("""COMPUTED_VALUE"""),"PLDT")</f>
        <v>PLDT</v>
      </c>
      <c r="F1101" s="1">
        <f>IFERROR(__xludf.DUMMYFUNCTION("""COMPUTED_VALUE"""),2308679603)</f>
        <v>2308679603</v>
      </c>
      <c r="G1101" s="1">
        <f>IFERROR(__xludf.DUMMYFUNCTION("""COMPUTED_VALUE"""),449560869004)</f>
        <v>449560869004</v>
      </c>
      <c r="H1101" s="1" t="str">
        <f>IFERROR(__xludf.DUMMYFUNCTION("""COMPUTED_VALUE"""),"ALMA ANIDO ENRIQUEZ")</f>
        <v>ALMA ANIDO ENRIQUEZ</v>
      </c>
      <c r="I1101" s="1">
        <f>IFERROR(__xludf.DUMMYFUNCTION("""COMPUTED_VALUE"""),9157172731)</f>
        <v>9157172731</v>
      </c>
      <c r="J1101" s="1"/>
      <c r="K1101" s="1" t="str">
        <f>IFERROR(__xludf.DUMMYFUNCTION("""COMPUTED_VALUE"""),"ALMAENRIQUEZ@GMAIL.COM")</f>
        <v>ALMAENRIQUEZ@GMAIL.COM</v>
      </c>
      <c r="L1101" s="1" t="str">
        <f>IFERROR(__xludf.DUMMYFUNCTION("""COMPUTED_VALUE"""),"BLK 18 LOT 1")</f>
        <v>BLK 18 LOT 1</v>
      </c>
      <c r="M1101" s="1" t="str">
        <f>IFERROR(__xludf.DUMMYFUNCTION("""COMPUTED_VALUE"""),"LRT CIRCLE RD")</f>
        <v>LRT CIRCLE RD</v>
      </c>
      <c r="N1101" s="1"/>
      <c r="O1101" s="1" t="str">
        <f>IFERROR(__xludf.DUMMYFUNCTION("""COMPUTED_VALUE"""),"GREGORIA DE JESUS")</f>
        <v>GREGORIA DE JESUS</v>
      </c>
      <c r="P1101" s="1" t="str">
        <f>IFERROR(__xludf.DUMMYFUNCTION("""COMPUTED_VALUE"""),"GEN MARIANO ALVAREZ")</f>
        <v>GEN MARIANO ALVAREZ</v>
      </c>
      <c r="Q1101" s="1" t="str">
        <f>IFERROR(__xludf.DUMMYFUNCTION("""COMPUTED_VALUE"""),"CAVITE")</f>
        <v>CAVITE</v>
      </c>
      <c r="R1101" s="1" t="str">
        <f>IFERROR(__xludf.DUMMYFUNCTION("""COMPUTED_VALUE"""),"FIBR PLAN 1299")</f>
        <v>FIBR PLAN 1299</v>
      </c>
      <c r="S1101" s="1" t="str">
        <f>IFERROR(__xludf.DUMMYFUNCTION("""COMPUTED_VALUE"""),"APPROVED")</f>
        <v>APPROVED</v>
      </c>
      <c r="T1101" s="1"/>
      <c r="U1101" s="1"/>
      <c r="V1101" s="1"/>
      <c r="W1101" s="1"/>
    </row>
    <row r="1102" customHeight="1" spans="1:23">
      <c r="A1102" s="3">
        <f>IFERROR(__xludf.DUMMYFUNCTION("""COMPUTED_VALUE"""),46118)</f>
        <v>46118</v>
      </c>
      <c r="B1102" s="1" t="str">
        <f>IFERROR(__xludf.DUMMYFUNCTION("""COMPUTED_VALUE"""),"MAGDARAOG, KENNETH")</f>
        <v>MAGDARAOG, KENNETH</v>
      </c>
      <c r="C1102" s="1" t="str">
        <f>IFERROR(__xludf.DUMMYFUNCTION("""COMPUTED_VALUE"""),"ORGANIC")</f>
        <v>ORGANIC</v>
      </c>
      <c r="D1102" s="1" t="str">
        <f>IFERROR(__xludf.DUMMYFUNCTION("""COMPUTED_VALUE"""),"ALINGARO, CINDY")</f>
        <v>ALINGARO, CINDY</v>
      </c>
      <c r="E1102" s="1" t="str">
        <f>IFERROR(__xludf.DUMMYFUNCTION("""COMPUTED_VALUE"""),"PLDT")</f>
        <v>PLDT</v>
      </c>
      <c r="F1102" s="1">
        <f>IFERROR(__xludf.DUMMYFUNCTION("""COMPUTED_VALUE"""),2308680007)</f>
        <v>2308680007</v>
      </c>
      <c r="G1102" s="1">
        <f>IFERROR(__xludf.DUMMYFUNCTION("""COMPUTED_VALUE"""),449561118004)</f>
        <v>449561118004</v>
      </c>
      <c r="H1102" s="1" t="str">
        <f>IFERROR(__xludf.DUMMYFUNCTION("""COMPUTED_VALUE"""),"ROBERT ALLAN QUIMBAO BRONCANO ")</f>
        <v>ROBERT ALLAN QUIMBAO BRONCANO </v>
      </c>
      <c r="I1102" s="1">
        <f>IFERROR(__xludf.DUMMYFUNCTION("""COMPUTED_VALUE"""),9614659138)</f>
        <v>9614659138</v>
      </c>
      <c r="J1102" s="1"/>
      <c r="K1102" s="1" t="str">
        <f>IFERROR(__xludf.DUMMYFUNCTION("""COMPUTED_VALUE"""),"ALANBRONCANO07@GMAIL.COM")</f>
        <v>ALANBRONCANO07@GMAIL.COM</v>
      </c>
      <c r="L1102" s="1" t="str">
        <f>IFERROR(__xludf.DUMMYFUNCTION("""COMPUTED_VALUE"""),"BLK 10 LOT 12")</f>
        <v>BLK 10 LOT 12</v>
      </c>
      <c r="M1102" s="1" t="str">
        <f>IFERROR(__xludf.DUMMYFUNCTION("""COMPUTED_VALUE"""),"LOWER MOONLIGHT")</f>
        <v>LOWER MOONLIGHT</v>
      </c>
      <c r="N1102" s="1"/>
      <c r="O1102" s="1" t="str">
        <f>IFERROR(__xludf.DUMMYFUNCTION("""COMPUTED_VALUE"""),"GREGORIA DE JESUS")</f>
        <v>GREGORIA DE JESUS</v>
      </c>
      <c r="P1102" s="1" t="str">
        <f>IFERROR(__xludf.DUMMYFUNCTION("""COMPUTED_VALUE"""),"GEN MARIANO ALVAREZ")</f>
        <v>GEN MARIANO ALVAREZ</v>
      </c>
      <c r="Q1102" s="1" t="str">
        <f>IFERROR(__xludf.DUMMYFUNCTION("""COMPUTED_VALUE"""),"CAVITE")</f>
        <v>CAVITE</v>
      </c>
      <c r="R1102" s="1" t="str">
        <f>IFERROR(__xludf.DUMMYFUNCTION("""COMPUTED_VALUE"""),"FIBR PLAN 1299")</f>
        <v>FIBR PLAN 1299</v>
      </c>
      <c r="S1102" s="1" t="str">
        <f>IFERROR(__xludf.DUMMYFUNCTION("""COMPUTED_VALUE"""),"APPROVED")</f>
        <v>APPROVED</v>
      </c>
      <c r="T1102" s="1"/>
      <c r="U1102" s="1"/>
      <c r="V1102" s="1"/>
      <c r="W1102" s="1"/>
    </row>
    <row r="1103" customHeight="1" spans="1:23">
      <c r="A1103" s="3">
        <f>IFERROR(__xludf.DUMMYFUNCTION("""COMPUTED_VALUE"""),46118)</f>
        <v>46118</v>
      </c>
      <c r="B1103" s="1" t="str">
        <f>IFERROR(__xludf.DUMMYFUNCTION("""COMPUTED_VALUE"""),"MAÑANITA, ERIKA")</f>
        <v>MAÑANITA, ERIKA</v>
      </c>
      <c r="C1103" s="1" t="str">
        <f>IFERROR(__xludf.DUMMYFUNCTION("""COMPUTED_VALUE"""),"ORGANIC")</f>
        <v>ORGANIC</v>
      </c>
      <c r="D1103" s="1" t="str">
        <f>IFERROR(__xludf.DUMMYFUNCTION("""COMPUTED_VALUE"""),"ALOS, CHARLS")</f>
        <v>ALOS, CHARLS</v>
      </c>
      <c r="E1103" s="1" t="str">
        <f>IFERROR(__xludf.DUMMYFUNCTION("""COMPUTED_VALUE"""),"PLDT")</f>
        <v>PLDT</v>
      </c>
      <c r="F1103" s="1">
        <f>IFERROR(__xludf.DUMMYFUNCTION("""COMPUTED_VALUE"""),2308681364)</f>
        <v>2308681364</v>
      </c>
      <c r="G1103" s="1">
        <f>IFERROR(__xludf.DUMMYFUNCTION("""COMPUTED_VALUE"""),449561914004)</f>
        <v>449561914004</v>
      </c>
      <c r="H1103" s="1" t="str">
        <f>IFERROR(__xludf.DUMMYFUNCTION("""COMPUTED_VALUE"""),"ANTONINO AGRAVIO MANALANG")</f>
        <v>ANTONINO AGRAVIO MANALANG</v>
      </c>
      <c r="I1103" s="1">
        <f>IFERROR(__xludf.DUMMYFUNCTION("""COMPUTED_VALUE"""),9477871065)</f>
        <v>9477871065</v>
      </c>
      <c r="J1103" s="1"/>
      <c r="K1103" s="1" t="str">
        <f>IFERROR(__xludf.DUMMYFUNCTION("""COMPUTED_VALUE"""),"ANTON.MNLG@GMAIL.COM")</f>
        <v>ANTON.MNLG@GMAIL.COM</v>
      </c>
      <c r="L1103" s="1" t="str">
        <f>IFERROR(__xludf.DUMMYFUNCTION("""COMPUTED_VALUE"""),"BLK 24 LOT 3")</f>
        <v>BLK 24 LOT 3</v>
      </c>
      <c r="M1103" s="1" t="str">
        <f>IFERROR(__xludf.DUMMYFUNCTION("""COMPUTED_VALUE"""),"NARRA 1")</f>
        <v>NARRA 1</v>
      </c>
      <c r="N1103" s="1"/>
      <c r="O1103" s="1" t="str">
        <f>IFERROR(__xludf.DUMMYFUNCTION("""COMPUTED_VALUE"""),"NARRA I")</f>
        <v>NARRA I</v>
      </c>
      <c r="P1103" s="1" t="str">
        <f>IFERROR(__xludf.DUMMYFUNCTION("""COMPUTED_VALUE"""),"SILANG")</f>
        <v>SILANG</v>
      </c>
      <c r="Q1103" s="1" t="str">
        <f>IFERROR(__xludf.DUMMYFUNCTION("""COMPUTED_VALUE"""),"CAVITE")</f>
        <v>CAVITE</v>
      </c>
      <c r="R1103" s="1" t="str">
        <f>IFERROR(__xludf.DUMMYFUNCTION("""COMPUTED_VALUE"""),"FIBR UNLI ALL PLAN 1399")</f>
        <v>FIBR UNLI ALL PLAN 1399</v>
      </c>
      <c r="S1103" s="1" t="str">
        <f>IFERROR(__xludf.DUMMYFUNCTION("""COMPUTED_VALUE"""),"APPROVED")</f>
        <v>APPROVED</v>
      </c>
      <c r="T1103" s="1"/>
      <c r="U1103" s="1"/>
      <c r="V1103" s="1"/>
      <c r="W1103" s="1"/>
    </row>
    <row r="1104" customHeight="1" spans="1:23">
      <c r="A1104" s="3">
        <f>IFERROR(__xludf.DUMMYFUNCTION("""COMPUTED_VALUE"""),46118)</f>
        <v>46118</v>
      </c>
      <c r="B1104" s="1" t="str">
        <f>IFERROR(__xludf.DUMMYFUNCTION("""COMPUTED_VALUE"""),"MALIWAT MARK ELVIN")</f>
        <v>MALIWAT MARK ELVIN</v>
      </c>
      <c r="C1104" s="1" t="str">
        <f>IFERROR(__xludf.DUMMYFUNCTION("""COMPUTED_VALUE"""),"FLA")</f>
        <v>FLA</v>
      </c>
      <c r="D1104" s="1" t="str">
        <f>IFERROR(__xludf.DUMMYFUNCTION("""COMPUTED_VALUE"""),"JERIC NAVARRO")</f>
        <v>JERIC NAVARRO</v>
      </c>
      <c r="E1104" s="1" t="str">
        <f>IFERROR(__xludf.DUMMYFUNCTION("""COMPUTED_VALUE"""),"PLDT")</f>
        <v>PLDT</v>
      </c>
      <c r="F1104" s="1">
        <f>IFERROR(__xludf.DUMMYFUNCTION("""COMPUTED_VALUE"""),2308682377)</f>
        <v>2308682377</v>
      </c>
      <c r="G1104" s="1">
        <f>IFERROR(__xludf.DUMMYFUNCTION("""COMPUTED_VALUE"""),449564973004)</f>
        <v>449564973004</v>
      </c>
      <c r="H1104" s="1" t="str">
        <f>IFERROR(__xludf.DUMMYFUNCTION("""COMPUTED_VALUE"""),"MA. LUISA BUBAN DEL MUNDO")</f>
        <v>MA. LUISA BUBAN DEL MUNDO</v>
      </c>
      <c r="I1104" s="1">
        <f>IFERROR(__xludf.DUMMYFUNCTION("""COMPUTED_VALUE"""),9945605852)</f>
        <v>9945605852</v>
      </c>
      <c r="J1104" s="1">
        <f>IFERROR(__xludf.DUMMYFUNCTION("""COMPUTED_VALUE"""),99683141893)</f>
        <v>99683141893</v>
      </c>
      <c r="K1104" s="1" t="str">
        <f>IFERROR(__xludf.DUMMYFUNCTION("""COMPUTED_VALUE"""),"MALOUDELMUNDO50@GMAIL.COM")</f>
        <v>MALOUDELMUNDO50@GMAIL.COM</v>
      </c>
      <c r="L1104" s="1" t="str">
        <f>IFERROR(__xludf.DUMMYFUNCTION("""COMPUTED_VALUE"""),"234")</f>
        <v>234</v>
      </c>
      <c r="M1104" s="1" t="str">
        <f>IFERROR(__xludf.DUMMYFUNCTION("""COMPUTED_VALUE"""),"PUROK 6")</f>
        <v>PUROK 6</v>
      </c>
      <c r="N1104" s="1"/>
      <c r="O1104" s="1" t="str">
        <f>IFERROR(__xludf.DUMMYFUNCTION("""COMPUTED_VALUE"""),"ESPERANZA ILAYA")</f>
        <v>ESPERANZA ILAYA</v>
      </c>
      <c r="P1104" s="1" t="str">
        <f>IFERROR(__xludf.DUMMYFUNCTION("""COMPUTED_VALUE"""),"ALFONSO")</f>
        <v>ALFONSO</v>
      </c>
      <c r="Q1104" s="1" t="str">
        <f>IFERROR(__xludf.DUMMYFUNCTION("""COMPUTED_VALUE"""),"CAVITE")</f>
        <v>CAVITE</v>
      </c>
      <c r="R1104" s="1" t="str">
        <f>IFERROR(__xludf.DUMMYFUNCTION("""COMPUTED_VALUE"""),"FIBR UNLI ALL PLAN 1399")</f>
        <v>FIBR UNLI ALL PLAN 1399</v>
      </c>
      <c r="S1104" s="1" t="str">
        <f>IFERROR(__xludf.DUMMYFUNCTION("""COMPUTED_VALUE"""),"APPROVED")</f>
        <v>APPROVED</v>
      </c>
      <c r="T1104" s="1"/>
      <c r="U1104" s="1"/>
      <c r="V1104" s="1"/>
      <c r="W1104" s="1"/>
    </row>
    <row r="1105" customHeight="1" spans="1:23">
      <c r="A1105" s="3">
        <f>IFERROR(__xludf.DUMMYFUNCTION("""COMPUTED_VALUE"""),46118)</f>
        <v>46118</v>
      </c>
      <c r="B1105" s="1" t="str">
        <f>IFERROR(__xludf.DUMMYFUNCTION("""COMPUTED_VALUE"""),"DE VERA, MARIVIC")</f>
        <v>DE VERA, MARIVIC</v>
      </c>
      <c r="C1105" s="1" t="str">
        <f>IFERROR(__xludf.DUMMYFUNCTION("""COMPUTED_VALUE"""),"ORGANIC")</f>
        <v>ORGANIC</v>
      </c>
      <c r="D1105" s="1" t="str">
        <f>IFERROR(__xludf.DUMMYFUNCTION("""COMPUTED_VALUE"""),"ALINGARO, CINDY")</f>
        <v>ALINGARO, CINDY</v>
      </c>
      <c r="E1105" s="1" t="str">
        <f>IFERROR(__xludf.DUMMYFUNCTION("""COMPUTED_VALUE"""),"PLDT")</f>
        <v>PLDT</v>
      </c>
      <c r="F1105" s="1">
        <f>IFERROR(__xludf.DUMMYFUNCTION("""COMPUTED_VALUE"""),2308682918)</f>
        <v>2308682918</v>
      </c>
      <c r="G1105" s="1">
        <f>IFERROR(__xludf.DUMMYFUNCTION("""COMPUTED_VALUE"""),449569079004)</f>
        <v>449569079004</v>
      </c>
      <c r="H1105" s="1" t="str">
        <f>IFERROR(__xludf.DUMMYFUNCTION("""COMPUTED_VALUE"""),"MARCELINA PULGA MACUGAY")</f>
        <v>MARCELINA PULGA MACUGAY</v>
      </c>
      <c r="I1105" s="1">
        <f>IFERROR(__xludf.DUMMYFUNCTION("""COMPUTED_VALUE"""),9466052342)</f>
        <v>9466052342</v>
      </c>
      <c r="J1105" s="1">
        <f>IFERROR(__xludf.DUMMYFUNCTION("""COMPUTED_VALUE"""),9094092138)</f>
        <v>9094092138</v>
      </c>
      <c r="K1105" s="1" t="str">
        <f>IFERROR(__xludf.DUMMYFUNCTION("""COMPUTED_VALUE"""),"MARCELINAMACUGAY7@GMAIL.COM")</f>
        <v>MARCELINAMACUGAY7@GMAIL.COM</v>
      </c>
      <c r="L1105" s="1" t="str">
        <f>IFERROR(__xludf.DUMMYFUNCTION("""COMPUTED_VALUE"""),"BLK E12 LOT 29")</f>
        <v>BLK E12 LOT 29</v>
      </c>
      <c r="M1105" s="1" t="str">
        <f>IFERROR(__xludf.DUMMYFUNCTION("""COMPUTED_VALUE"""),"SAN ANDRESS RD")</f>
        <v>SAN ANDRESS RD</v>
      </c>
      <c r="N1105" s="1"/>
      <c r="O1105" s="1" t="str">
        <f>IFERROR(__xludf.DUMMYFUNCTION("""COMPUTED_VALUE"""),"SAN ANDRES I")</f>
        <v>SAN ANDRES I</v>
      </c>
      <c r="P1105" s="1" t="str">
        <f>IFERROR(__xludf.DUMMYFUNCTION("""COMPUTED_VALUE"""),"DASMARINAS")</f>
        <v>DASMARINAS</v>
      </c>
      <c r="Q1105" s="1" t="str">
        <f>IFERROR(__xludf.DUMMYFUNCTION("""COMPUTED_VALUE"""),"CAVITE")</f>
        <v>CAVITE</v>
      </c>
      <c r="R1105" s="1" t="str">
        <f>IFERROR(__xludf.DUMMYFUNCTION("""COMPUTED_VALUE"""),"FIBR UNLI ALL PLAN 1399")</f>
        <v>FIBR UNLI ALL PLAN 1399</v>
      </c>
      <c r="S1105" s="1" t="str">
        <f>IFERROR(__xludf.DUMMYFUNCTION("""COMPUTED_VALUE"""),"APPROVED")</f>
        <v>APPROVED</v>
      </c>
      <c r="T1105" s="1"/>
      <c r="U1105" s="1"/>
      <c r="V1105" s="1"/>
      <c r="W1105" s="1"/>
    </row>
    <row r="1106" customHeight="1" spans="1:23">
      <c r="A1106" s="3">
        <f>IFERROR(__xludf.DUMMYFUNCTION("""COMPUTED_VALUE"""),46118)</f>
        <v>46118</v>
      </c>
      <c r="B1106" s="1" t="str">
        <f>IFERROR(__xludf.DUMMYFUNCTION("""COMPUTED_VALUE"""),"FERNANDEZ JERIC")</f>
        <v>FERNANDEZ JERIC</v>
      </c>
      <c r="C1106" s="1" t="str">
        <f>IFERROR(__xludf.DUMMYFUNCTION("""COMPUTED_VALUE"""),"ORGANIC")</f>
        <v>ORGANIC</v>
      </c>
      <c r="D1106" s="1" t="str">
        <f>IFERROR(__xludf.DUMMYFUNCTION("""COMPUTED_VALUE"""),"ALOS, CHARLS")</f>
        <v>ALOS, CHARLS</v>
      </c>
      <c r="E1106" s="1" t="str">
        <f>IFERROR(__xludf.DUMMYFUNCTION("""COMPUTED_VALUE"""),"PLDT")</f>
        <v>PLDT</v>
      </c>
      <c r="F1106" s="1">
        <f>IFERROR(__xludf.DUMMYFUNCTION("""COMPUTED_VALUE"""),2308683914)</f>
        <v>2308683914</v>
      </c>
      <c r="G1106" s="1">
        <f>IFERROR(__xludf.DUMMYFUNCTION("""COMPUTED_VALUE"""),449571605004)</f>
        <v>449571605004</v>
      </c>
      <c r="H1106" s="1" t="str">
        <f>IFERROR(__xludf.DUMMYFUNCTION("""COMPUTED_VALUE"""),"MARINEL REYES DAYO")</f>
        <v>MARINEL REYES DAYO</v>
      </c>
      <c r="I1106" s="1">
        <f>IFERROR(__xludf.DUMMYFUNCTION("""COMPUTED_VALUE"""),9655084788)</f>
        <v>9655084788</v>
      </c>
      <c r="J1106" s="1">
        <f>IFERROR(__xludf.DUMMYFUNCTION("""COMPUTED_VALUE"""),9103339872)</f>
        <v>9103339872</v>
      </c>
      <c r="K1106" s="1" t="str">
        <f>IFERROR(__xludf.DUMMYFUNCTION("""COMPUTED_VALUE"""),"MARINELREYES07@GMAIL.COM")</f>
        <v>MARINELREYES07@GMAIL.COM</v>
      </c>
      <c r="L1106" s="1" t="str">
        <f>IFERROR(__xludf.DUMMYFUNCTION("""COMPUTED_VALUE"""),"BLK 15 LOT 7")</f>
        <v>BLK 15 LOT 7</v>
      </c>
      <c r="M1106" s="1" t="str">
        <f>IFERROR(__xludf.DUMMYFUNCTION("""COMPUTED_VALUE"""),"SAN FRANCISCO RD")</f>
        <v>SAN FRANCISCO RD</v>
      </c>
      <c r="N1106" s="1"/>
      <c r="O1106" s="1" t="str">
        <f>IFERROR(__xludf.DUMMYFUNCTION("""COMPUTED_VALUE"""),"SAN FRANCISCO I")</f>
        <v>SAN FRANCISCO I</v>
      </c>
      <c r="P1106" s="1" t="str">
        <f>IFERROR(__xludf.DUMMYFUNCTION("""COMPUTED_VALUE"""),"DASMARINAS")</f>
        <v>DASMARINAS</v>
      </c>
      <c r="Q1106" s="1" t="str">
        <f>IFERROR(__xludf.DUMMYFUNCTION("""COMPUTED_VALUE"""),"CAVITE")</f>
        <v>CAVITE</v>
      </c>
      <c r="R1106" s="1" t="str">
        <f>IFERROR(__xludf.DUMMYFUNCTION("""COMPUTED_VALUE"""),"FIBR UNLI ALL PLAN 999")</f>
        <v>FIBR UNLI ALL PLAN 999</v>
      </c>
      <c r="S1106" s="1" t="str">
        <f>IFERROR(__xludf.DUMMYFUNCTION("""COMPUTED_VALUE"""),"APPROVED")</f>
        <v>APPROVED</v>
      </c>
      <c r="T1106" s="1"/>
      <c r="U1106" s="1"/>
      <c r="V1106" s="1"/>
      <c r="W1106" s="1"/>
    </row>
    <row r="1107" customHeight="1" spans="1:23">
      <c r="A1107" s="3">
        <f>IFERROR(__xludf.DUMMYFUNCTION("""COMPUTED_VALUE"""),46118)</f>
        <v>46118</v>
      </c>
      <c r="B1107" s="1" t="str">
        <f>IFERROR(__xludf.DUMMYFUNCTION("""COMPUTED_VALUE"""),"CONCEPCION, ALJAY")</f>
        <v>CONCEPCION, ALJAY</v>
      </c>
      <c r="C1107" s="1" t="str">
        <f>IFERROR(__xludf.DUMMYFUNCTION("""COMPUTED_VALUE"""),"ORGANIC")</f>
        <v>ORGANIC</v>
      </c>
      <c r="D1107" s="1" t="str">
        <f>IFERROR(__xludf.DUMMYFUNCTION("""COMPUTED_VALUE"""),"ALINGARO, CINDY")</f>
        <v>ALINGARO, CINDY</v>
      </c>
      <c r="E1107" s="1" t="str">
        <f>IFERROR(__xludf.DUMMYFUNCTION("""COMPUTED_VALUE"""),"PLDT")</f>
        <v>PLDT</v>
      </c>
      <c r="F1107" s="1">
        <f>IFERROR(__xludf.DUMMYFUNCTION("""COMPUTED_VALUE"""),2308686501)</f>
        <v>2308686501</v>
      </c>
      <c r="G1107" s="1">
        <f>IFERROR(__xludf.DUMMYFUNCTION("""COMPUTED_VALUE"""),449578396004)</f>
        <v>449578396004</v>
      </c>
      <c r="H1107" s="1" t="str">
        <f>IFERROR(__xludf.DUMMYFUNCTION("""COMPUTED_VALUE"""),"SOFHIA BIANCA BOLA SALAZAR")</f>
        <v>SOFHIA BIANCA BOLA SALAZAR</v>
      </c>
      <c r="I1107" s="1">
        <f>IFERROR(__xludf.DUMMYFUNCTION("""COMPUTED_VALUE"""),9359273152)</f>
        <v>9359273152</v>
      </c>
      <c r="J1107" s="1"/>
      <c r="K1107" s="1" t="str">
        <f>IFERROR(__xludf.DUMMYFUNCTION("""COMPUTED_VALUE"""),"SOFHIASALAZAR5@GMAIL.COM")</f>
        <v>SOFHIASALAZAR5@GMAIL.COM</v>
      </c>
      <c r="L1107" s="1" t="str">
        <f>IFERROR(__xludf.DUMMYFUNCTION("""COMPUTED_VALUE"""),"186B")</f>
        <v>186B</v>
      </c>
      <c r="M1107" s="1" t="str">
        <f>IFERROR(__xludf.DUMMYFUNCTION("""COMPUTED_VALUE"""),"BANAYBANAY RD")</f>
        <v>BANAYBANAY RD</v>
      </c>
      <c r="N1107" s="1"/>
      <c r="O1107" s="1" t="str">
        <f>IFERROR(__xludf.DUMMYFUNCTION("""COMPUTED_VALUE"""),"BANAYBANAY")</f>
        <v>BANAYBANAY</v>
      </c>
      <c r="P1107" s="1" t="str">
        <f>IFERROR(__xludf.DUMMYFUNCTION("""COMPUTED_VALUE"""),"AMADEO")</f>
        <v>AMADEO</v>
      </c>
      <c r="Q1107" s="1" t="str">
        <f>IFERROR(__xludf.DUMMYFUNCTION("""COMPUTED_VALUE"""),"CAVITE")</f>
        <v>CAVITE</v>
      </c>
      <c r="R1107" s="1" t="str">
        <f>IFERROR(__xludf.DUMMYFUNCTION("""COMPUTED_VALUE"""),"FIBR PLAN 1299")</f>
        <v>FIBR PLAN 1299</v>
      </c>
      <c r="S1107" s="1" t="str">
        <f>IFERROR(__xludf.DUMMYFUNCTION("""COMPUTED_VALUE"""),"APPROVED")</f>
        <v>APPROVED</v>
      </c>
      <c r="T1107" s="1"/>
      <c r="U1107" s="1"/>
      <c r="V1107" s="1"/>
      <c r="W1107" s="1"/>
    </row>
    <row r="1108" customHeight="1" spans="1:23">
      <c r="A1108" s="3">
        <f>IFERROR(__xludf.DUMMYFUNCTION("""COMPUTED_VALUE"""),46118)</f>
        <v>46118</v>
      </c>
      <c r="B1108" s="1" t="str">
        <f>IFERROR(__xludf.DUMMYFUNCTION("""COMPUTED_VALUE"""),"DELA ROSA, JENNELYN")</f>
        <v>DELA ROSA, JENNELYN</v>
      </c>
      <c r="C1108" s="1" t="str">
        <f>IFERROR(__xludf.DUMMYFUNCTION("""COMPUTED_VALUE"""),"ORGANIC")</f>
        <v>ORGANIC</v>
      </c>
      <c r="D1108" s="1" t="str">
        <f>IFERROR(__xludf.DUMMYFUNCTION("""COMPUTED_VALUE"""),"ALOS, CHARLS")</f>
        <v>ALOS, CHARLS</v>
      </c>
      <c r="E1108" s="1" t="str">
        <f>IFERROR(__xludf.DUMMYFUNCTION("""COMPUTED_VALUE"""),"PLDT")</f>
        <v>PLDT</v>
      </c>
      <c r="F1108" s="1">
        <f>IFERROR(__xludf.DUMMYFUNCTION("""COMPUTED_VALUE"""),2308687613)</f>
        <v>2308687613</v>
      </c>
      <c r="G1108" s="1">
        <f>IFERROR(__xludf.DUMMYFUNCTION("""COMPUTED_VALUE"""),449581967004)</f>
        <v>449581967004</v>
      </c>
      <c r="H1108" s="1" t="str">
        <f>IFERROR(__xludf.DUMMYFUNCTION("""COMPUTED_VALUE"""),"RECHIE SISON BONA")</f>
        <v>RECHIE SISON BONA</v>
      </c>
      <c r="I1108" s="1">
        <f>IFERROR(__xludf.DUMMYFUNCTION("""COMPUTED_VALUE"""),9232293070)</f>
        <v>9232293070</v>
      </c>
      <c r="J1108" s="1"/>
      <c r="K1108" s="1" t="str">
        <f>IFERROR(__xludf.DUMMYFUNCTION("""COMPUTED_VALUE"""),"MELODYBUENDICHO23@GMAIL.COM")</f>
        <v>MELODYBUENDICHO23@GMAIL.COM</v>
      </c>
      <c r="L1108" s="1" t="str">
        <f>IFERROR(__xludf.DUMMYFUNCTION("""COMPUTED_VALUE"""),"BLK 16 LOT 11")</f>
        <v>BLK 16 LOT 11</v>
      </c>
      <c r="M1108" s="1" t="str">
        <f>IFERROR(__xludf.DUMMYFUNCTION("""COMPUTED_VALUE"""),"SAN MATEO RD")</f>
        <v>SAN MATEO RD</v>
      </c>
      <c r="N1108" s="1"/>
      <c r="O1108" s="1" t="str">
        <f>IFERROR(__xludf.DUMMYFUNCTION("""COMPUTED_VALUE"""),"SAN MATEO")</f>
        <v>SAN MATEO</v>
      </c>
      <c r="P1108" s="1" t="str">
        <f>IFERROR(__xludf.DUMMYFUNCTION("""COMPUTED_VALUE"""),"DASMARINAS")</f>
        <v>DASMARINAS</v>
      </c>
      <c r="Q1108" s="1" t="str">
        <f>IFERROR(__xludf.DUMMYFUNCTION("""COMPUTED_VALUE"""),"CAVITE")</f>
        <v>CAVITE</v>
      </c>
      <c r="R1108" s="1" t="str">
        <f>IFERROR(__xludf.DUMMYFUNCTION("""COMPUTED_VALUE"""),"FIBR UNLI ALL PLAN 999")</f>
        <v>FIBR UNLI ALL PLAN 999</v>
      </c>
      <c r="S1108" s="1" t="str">
        <f>IFERROR(__xludf.DUMMYFUNCTION("""COMPUTED_VALUE"""),"APPROVED")</f>
        <v>APPROVED</v>
      </c>
      <c r="T1108" s="1"/>
      <c r="U1108" s="1"/>
      <c r="V1108" s="1"/>
      <c r="W1108" s="1"/>
    </row>
    <row r="1109" customHeight="1" spans="1:23">
      <c r="A1109" s="3">
        <f>IFERROR(__xludf.DUMMYFUNCTION("""COMPUTED_VALUE"""),46118)</f>
        <v>46118</v>
      </c>
      <c r="B1109" s="1" t="str">
        <f>IFERROR(__xludf.DUMMYFUNCTION("""COMPUTED_VALUE"""),"CABRERA JILLIENE")</f>
        <v>CABRERA JILLIENE</v>
      </c>
      <c r="C1109" s="1" t="str">
        <f>IFERROR(__xludf.DUMMYFUNCTION("""COMPUTED_VALUE"""),"ORGANIC")</f>
        <v>ORGANIC</v>
      </c>
      <c r="D1109" s="1" t="str">
        <f>IFERROR(__xludf.DUMMYFUNCTION("""COMPUTED_VALUE"""),"ALOS, CHARLS")</f>
        <v>ALOS, CHARLS</v>
      </c>
      <c r="E1109" s="1" t="str">
        <f>IFERROR(__xludf.DUMMYFUNCTION("""COMPUTED_VALUE"""),"PLDT")</f>
        <v>PLDT</v>
      </c>
      <c r="F1109" s="1">
        <f>IFERROR(__xludf.DUMMYFUNCTION("""COMPUTED_VALUE"""),2308688160)</f>
        <v>2308688160</v>
      </c>
      <c r="G1109" s="1">
        <f>IFERROR(__xludf.DUMMYFUNCTION("""COMPUTED_VALUE"""),449611018004)</f>
        <v>449611018004</v>
      </c>
      <c r="H1109" s="1" t="str">
        <f>IFERROR(__xludf.DUMMYFUNCTION("""COMPUTED_VALUE"""),"MORRISEY MENDOZA JIMENEZ")</f>
        <v>MORRISEY MENDOZA JIMENEZ</v>
      </c>
      <c r="I1109" s="1">
        <f>IFERROR(__xludf.DUMMYFUNCTION("""COMPUTED_VALUE"""),9456342027)</f>
        <v>9456342027</v>
      </c>
      <c r="J1109" s="1"/>
      <c r="K1109" s="1" t="str">
        <f>IFERROR(__xludf.DUMMYFUNCTION("""COMPUTED_VALUE"""),"JIMENEZMORRISEY@GMAIL.COM")</f>
        <v>JIMENEZMORRISEY@GMAIL.COM</v>
      </c>
      <c r="L1109" s="1" t="str">
        <f>IFERROR(__xludf.DUMMYFUNCTION("""COMPUTED_VALUE"""),"BLK 1 LOT 13")</f>
        <v>BLK 1 LOT 13</v>
      </c>
      <c r="M1109" s="1" t="str">
        <f>IFERROR(__xludf.DUMMYFUNCTION("""COMPUTED_VALUE"""),"BAHAY KARANGALAN")</f>
        <v>BAHAY KARANGALAN</v>
      </c>
      <c r="N1109" s="1"/>
      <c r="O1109" s="1" t="str">
        <f>IFERROR(__xludf.DUMMYFUNCTION("""COMPUTED_VALUE"""),"PALIPARAN III")</f>
        <v>PALIPARAN III</v>
      </c>
      <c r="P1109" s="1" t="str">
        <f>IFERROR(__xludf.DUMMYFUNCTION("""COMPUTED_VALUE"""),"DASMARINAS")</f>
        <v>DASMARINAS</v>
      </c>
      <c r="Q1109" s="1" t="str">
        <f>IFERROR(__xludf.DUMMYFUNCTION("""COMPUTED_VALUE"""),"CAVITE")</f>
        <v>CAVITE</v>
      </c>
      <c r="R1109" s="1" t="str">
        <f>IFERROR(__xludf.DUMMYFUNCTION("""COMPUTED_VALUE"""),"FIBR UNLI ALL PLAN 999")</f>
        <v>FIBR UNLI ALL PLAN 999</v>
      </c>
      <c r="S1109" s="1" t="str">
        <f>IFERROR(__xludf.DUMMYFUNCTION("""COMPUTED_VALUE"""),"APPROVED")</f>
        <v>APPROVED</v>
      </c>
      <c r="T1109" s="1"/>
      <c r="U1109" s="1"/>
      <c r="V1109" s="1"/>
      <c r="W1109" s="1"/>
    </row>
    <row r="1110" customHeight="1" spans="1:23">
      <c r="A1110" s="3">
        <f>IFERROR(__xludf.DUMMYFUNCTION("""COMPUTED_VALUE"""),46118)</f>
        <v>46118</v>
      </c>
      <c r="B1110" s="1" t="str">
        <f>IFERROR(__xludf.DUMMYFUNCTION("""COMPUTED_VALUE"""),"MALIWAT MARK ELVIN")</f>
        <v>MALIWAT MARK ELVIN</v>
      </c>
      <c r="C1110" s="1" t="str">
        <f>IFERROR(__xludf.DUMMYFUNCTION("""COMPUTED_VALUE"""),"FLA")</f>
        <v>FLA</v>
      </c>
      <c r="D1110" s="1" t="str">
        <f>IFERROR(__xludf.DUMMYFUNCTION("""COMPUTED_VALUE"""),"JERIC NAVARRO")</f>
        <v>JERIC NAVARRO</v>
      </c>
      <c r="E1110" s="1" t="str">
        <f>IFERROR(__xludf.DUMMYFUNCTION("""COMPUTED_VALUE"""),"PLDT")</f>
        <v>PLDT</v>
      </c>
      <c r="F1110" s="1">
        <f>IFERROR(__xludf.DUMMYFUNCTION("""COMPUTED_VALUE"""),2308690028)</f>
        <v>2308690028</v>
      </c>
      <c r="G1110" s="1">
        <f>IFERROR(__xludf.DUMMYFUNCTION("""COMPUTED_VALUE"""),449594453004)</f>
        <v>449594453004</v>
      </c>
      <c r="H1110" s="1" t="str">
        <f>IFERROR(__xludf.DUMMYFUNCTION("""COMPUTED_VALUE"""),"JENNY VIE CHA MACINAS")</f>
        <v>JENNY VIE CHA MACINAS</v>
      </c>
      <c r="I1110" s="1">
        <f>IFERROR(__xludf.DUMMYFUNCTION("""COMPUTED_VALUE"""),9525962931)</f>
        <v>9525962931</v>
      </c>
      <c r="J1110" s="1">
        <f>IFERROR(__xludf.DUMMYFUNCTION("""COMPUTED_VALUE"""),9525962931)</f>
        <v>9525962931</v>
      </c>
      <c r="K1110" s="1" t="str">
        <f>IFERROR(__xludf.DUMMYFUNCTION("""COMPUTED_VALUE"""),"MACINAS.JESSACHA@GMAIL.COM")</f>
        <v>MACINAS.JESSACHA@GMAIL.COM</v>
      </c>
      <c r="L1110" s="1" t="str">
        <f>IFERROR(__xludf.DUMMYFUNCTION("""COMPUTED_VALUE"""),"79")</f>
        <v>79</v>
      </c>
      <c r="M1110" s="1" t="str">
        <f>IFERROR(__xludf.DUMMYFUNCTION("""COMPUTED_VALUE"""),"PUROK 3")</f>
        <v>PUROK 3</v>
      </c>
      <c r="N1110" s="1"/>
      <c r="O1110" s="1" t="str">
        <f>IFERROR(__xludf.DUMMYFUNCTION("""COMPUTED_VALUE"""),"PASONG CAMACHILE I")</f>
        <v>PASONG CAMACHILE I</v>
      </c>
      <c r="P1110" s="1" t="str">
        <f>IFERROR(__xludf.DUMMYFUNCTION("""COMPUTED_VALUE"""),"GENERAL TRIAS")</f>
        <v>GENERAL TRIAS</v>
      </c>
      <c r="Q1110" s="1" t="str">
        <f>IFERROR(__xludf.DUMMYFUNCTION("""COMPUTED_VALUE"""),"CAVITE")</f>
        <v>CAVITE</v>
      </c>
      <c r="R1110" s="1" t="str">
        <f>IFERROR(__xludf.DUMMYFUNCTION("""COMPUTED_VALUE"""),"FIBR NETFLIX PLAN 1599")</f>
        <v>FIBR NETFLIX PLAN 1599</v>
      </c>
      <c r="S1110" s="1" t="str">
        <f>IFERROR(__xludf.DUMMYFUNCTION("""COMPUTED_VALUE"""),"APPROVED")</f>
        <v>APPROVED</v>
      </c>
      <c r="T1110" s="1"/>
      <c r="U1110" s="1"/>
      <c r="V1110" s="1"/>
      <c r="W1110" s="1"/>
    </row>
    <row r="1111" customHeight="1" spans="1:23">
      <c r="A1111" s="3">
        <f>IFERROR(__xludf.DUMMYFUNCTION("""COMPUTED_VALUE"""),46118)</f>
        <v>46118</v>
      </c>
      <c r="B1111" s="1" t="str">
        <f>IFERROR(__xludf.DUMMYFUNCTION("""COMPUTED_VALUE"""),"CONCEPCION, ALJAY")</f>
        <v>CONCEPCION, ALJAY</v>
      </c>
      <c r="C1111" s="1" t="str">
        <f>IFERROR(__xludf.DUMMYFUNCTION("""COMPUTED_VALUE"""),"ORGANIC")</f>
        <v>ORGANIC</v>
      </c>
      <c r="D1111" s="1" t="str">
        <f>IFERROR(__xludf.DUMMYFUNCTION("""COMPUTED_VALUE"""),"ALINGARO, CINDY")</f>
        <v>ALINGARO, CINDY</v>
      </c>
      <c r="E1111" s="1" t="str">
        <f>IFERROR(__xludf.DUMMYFUNCTION("""COMPUTED_VALUE"""),"PLDT")</f>
        <v>PLDT</v>
      </c>
      <c r="F1111" s="1">
        <f>IFERROR(__xludf.DUMMYFUNCTION("""COMPUTED_VALUE"""),2308689039)</f>
        <v>2308689039</v>
      </c>
      <c r="G1111" s="1">
        <f>IFERROR(__xludf.DUMMYFUNCTION("""COMPUTED_VALUE"""),449611040004)</f>
        <v>449611040004</v>
      </c>
      <c r="H1111" s="1" t="str">
        <f>IFERROR(__xludf.DUMMYFUNCTION("""COMPUTED_VALUE"""),"JHONDEL BASA CUPINO")</f>
        <v>JHONDEL BASA CUPINO</v>
      </c>
      <c r="I1111" s="1">
        <f>IFERROR(__xludf.DUMMYFUNCTION("""COMPUTED_VALUE"""),9484217020)</f>
        <v>9484217020</v>
      </c>
      <c r="J1111" s="1">
        <f>IFERROR(__xludf.DUMMYFUNCTION("""COMPUTED_VALUE"""),9703533559)</f>
        <v>9703533559</v>
      </c>
      <c r="K1111" s="1" t="str">
        <f>IFERROR(__xludf.DUMMYFUNCTION("""COMPUTED_VALUE"""),"JHONBAROK12@GMAIL.COM")</f>
        <v>JHONBAROK12@GMAIL.COM</v>
      </c>
      <c r="L1111" s="1" t="str">
        <f>IFERROR(__xludf.DUMMYFUNCTION("""COMPUTED_VALUE"""),"248")</f>
        <v>248</v>
      </c>
      <c r="M1111" s="1" t="str">
        <f>IFERROR(__xludf.DUMMYFUNCTION("""COMPUTED_VALUE"""),"TRAMO")</f>
        <v>TRAMO</v>
      </c>
      <c r="N1111" s="1"/>
      <c r="O1111" s="1" t="str">
        <f>IFERROR(__xludf.DUMMYFUNCTION("""COMPUTED_VALUE"""),"SILANGAN II")</f>
        <v>SILANGAN II</v>
      </c>
      <c r="P1111" s="1" t="str">
        <f>IFERROR(__xludf.DUMMYFUNCTION("""COMPUTED_VALUE"""),"ROSARIO")</f>
        <v>ROSARIO</v>
      </c>
      <c r="Q1111" s="1" t="str">
        <f>IFERROR(__xludf.DUMMYFUNCTION("""COMPUTED_VALUE"""),"CAVITE")</f>
        <v>CAVITE</v>
      </c>
      <c r="R1111" s="1" t="str">
        <f>IFERROR(__xludf.DUMMYFUNCTION("""COMPUTED_VALUE"""),"FIBR PLAN 1299")</f>
        <v>FIBR PLAN 1299</v>
      </c>
      <c r="S1111" s="1" t="str">
        <f>IFERROR(__xludf.DUMMYFUNCTION("""COMPUTED_VALUE"""),"APPROVED")</f>
        <v>APPROVED</v>
      </c>
      <c r="T1111" s="1"/>
      <c r="U1111" s="1"/>
      <c r="V1111" s="1"/>
      <c r="W1111" s="1"/>
    </row>
    <row r="1112" customHeight="1" spans="1:23">
      <c r="A1112" s="3">
        <f>IFERROR(__xludf.DUMMYFUNCTION("""COMPUTED_VALUE"""),46119)</f>
        <v>46119</v>
      </c>
      <c r="B1112" s="1" t="str">
        <f>IFERROR(__xludf.DUMMYFUNCTION("""COMPUTED_VALUE"""),"CARPIO, STEPHANIE NICOLE")</f>
        <v>CARPIO, STEPHANIE NICOLE</v>
      </c>
      <c r="C1112" s="1" t="str">
        <f>IFERROR(__xludf.DUMMYFUNCTION("""COMPUTED_VALUE"""),"FLA")</f>
        <v>FLA</v>
      </c>
      <c r="D1112" s="1" t="str">
        <f>IFERROR(__xludf.DUMMYFUNCTION("""COMPUTED_VALUE"""),"JERIC NAVARRO")</f>
        <v>JERIC NAVARRO</v>
      </c>
      <c r="E1112" s="1" t="str">
        <f>IFERROR(__xludf.DUMMYFUNCTION("""COMPUTED_VALUE"""),"PLDT")</f>
        <v>PLDT</v>
      </c>
      <c r="F1112" s="1">
        <f>IFERROR(__xludf.DUMMYFUNCTION("""COMPUTED_VALUE"""),2308704089)</f>
        <v>2308704089</v>
      </c>
      <c r="G1112" s="1"/>
      <c r="H1112" s="1" t="str">
        <f>IFERROR(__xludf.DUMMYFUNCTION("""COMPUTED_VALUE"""),"JOCEL VILLENA USON")</f>
        <v>JOCEL VILLENA USON</v>
      </c>
      <c r="I1112" s="1">
        <f>IFERROR(__xludf.DUMMYFUNCTION("""COMPUTED_VALUE"""),9911782614)</f>
        <v>9911782614</v>
      </c>
      <c r="J1112" s="1"/>
      <c r="K1112" s="1" t="str">
        <f>IFERROR(__xludf.DUMMYFUNCTION("""COMPUTED_VALUE"""),"JOCELUSON0212@GMAIL.COM")</f>
        <v>JOCELUSON0212@GMAIL.COM</v>
      </c>
      <c r="L1112" s="1" t="str">
        <f>IFERROR(__xludf.DUMMYFUNCTION("""COMPUTED_VALUE"""),"2")</f>
        <v>2</v>
      </c>
      <c r="M1112" s="1" t="str">
        <f>IFERROR(__xludf.DUMMYFUNCTION("""COMPUTED_VALUE"""),"CERTEZA ST")</f>
        <v>CERTEZA ST</v>
      </c>
      <c r="N1112" s="1"/>
      <c r="O1112" s="1" t="str">
        <f>IFERROR(__xludf.DUMMYFUNCTION("""COMPUTED_VALUE"""),"BARANGAY 5 POBLACION")</f>
        <v>BARANGAY 5 POBLACION</v>
      </c>
      <c r="P1112" s="1" t="str">
        <f>IFERROR(__xludf.DUMMYFUNCTION("""COMPUTED_VALUE"""),"CAVITE CITY")</f>
        <v>CAVITE CITY</v>
      </c>
      <c r="Q1112" s="1" t="str">
        <f>IFERROR(__xludf.DUMMYFUNCTION("""COMPUTED_VALUE"""),"CAVITE")</f>
        <v>CAVITE</v>
      </c>
      <c r="R1112" s="1" t="str">
        <f>IFERROR(__xludf.DUMMYFUNCTION("""COMPUTED_VALUE"""),"FIBR UNLI ALL PLAN 1799")</f>
        <v>FIBR UNLI ALL PLAN 1799</v>
      </c>
      <c r="S1112" s="1" t="str">
        <f>IFERROR(__xludf.DUMMYFUNCTION("""COMPUTED_VALUE"""),"APPROVED")</f>
        <v>APPROVED</v>
      </c>
      <c r="T1112" s="1"/>
      <c r="U1112" s="1"/>
      <c r="V1112" s="1"/>
      <c r="W1112" s="1"/>
    </row>
    <row r="1113" customHeight="1" spans="1:23">
      <c r="A1113" s="3">
        <f>IFERROR(__xludf.DUMMYFUNCTION("""COMPUTED_VALUE"""),46119)</f>
        <v>46119</v>
      </c>
      <c r="B1113" s="1" t="str">
        <f>IFERROR(__xludf.DUMMYFUNCTION("""COMPUTED_VALUE"""),"FERNANDEZ JERIC")</f>
        <v>FERNANDEZ JERIC</v>
      </c>
      <c r="C1113" s="1" t="str">
        <f>IFERROR(__xludf.DUMMYFUNCTION("""COMPUTED_VALUE"""),"ORGANIC")</f>
        <v>ORGANIC</v>
      </c>
      <c r="D1113" s="1" t="str">
        <f>IFERROR(__xludf.DUMMYFUNCTION("""COMPUTED_VALUE"""),"ALOS, CHARLS")</f>
        <v>ALOS, CHARLS</v>
      </c>
      <c r="E1113" s="1" t="str">
        <f>IFERROR(__xludf.DUMMYFUNCTION("""COMPUTED_VALUE"""),"PLDT")</f>
        <v>PLDT</v>
      </c>
      <c r="F1113" s="1">
        <f>IFERROR(__xludf.DUMMYFUNCTION("""COMPUTED_VALUE"""),2308702385)</f>
        <v>2308702385</v>
      </c>
      <c r="G1113" s="1">
        <f>IFERROR(__xludf.DUMMYFUNCTION("""COMPUTED_VALUE"""),449743512004)</f>
        <v>449743512004</v>
      </c>
      <c r="H1113" s="1" t="str">
        <f>IFERROR(__xludf.DUMMYFUNCTION("""COMPUTED_VALUE"""),"ARNOLD CLARENCE MORALIDAD MELICIA")</f>
        <v>ARNOLD CLARENCE MORALIDAD MELICIA</v>
      </c>
      <c r="I1113" s="1">
        <f>IFERROR(__xludf.DUMMYFUNCTION("""COMPUTED_VALUE"""),9534228889)</f>
        <v>9534228889</v>
      </c>
      <c r="J1113" s="1"/>
      <c r="K1113" s="1" t="str">
        <f>IFERROR(__xludf.DUMMYFUNCTION("""COMPUTED_VALUE"""),"ARNOLDCLARENCEMELICIA@GMIAL.COM")</f>
        <v>ARNOLDCLARENCEMELICIA@GMIAL.COM</v>
      </c>
      <c r="L1113" s="1" t="str">
        <f>IFERROR(__xludf.DUMMYFUNCTION("""COMPUTED_VALUE"""),"29")</f>
        <v>29</v>
      </c>
      <c r="M1113" s="1" t="str">
        <f>IFERROR(__xludf.DUMMYFUNCTION("""COMPUTED_VALUE"""),"PUROK 29")</f>
        <v>PUROK 29</v>
      </c>
      <c r="N1113" s="1"/>
      <c r="O1113" s="1" t="str">
        <f>IFERROR(__xludf.DUMMYFUNCTION("""COMPUTED_VALUE"""),"SAN FRANCISCO")</f>
        <v>SAN FRANCISCO</v>
      </c>
      <c r="P1113" s="1" t="str">
        <f>IFERROR(__xludf.DUMMYFUNCTION("""COMPUTED_VALUE"""),"TAGAYTAY")</f>
        <v>TAGAYTAY</v>
      </c>
      <c r="Q1113" s="1" t="str">
        <f>IFERROR(__xludf.DUMMYFUNCTION("""COMPUTED_VALUE"""),"CAVITE")</f>
        <v>CAVITE</v>
      </c>
      <c r="R1113" s="1" t="str">
        <f>IFERROR(__xludf.DUMMYFUNCTION("""COMPUTED_VALUE"""),"FIBR PLAN 1299")</f>
        <v>FIBR PLAN 1299</v>
      </c>
      <c r="S1113" s="1" t="str">
        <f>IFERROR(__xludf.DUMMYFUNCTION("""COMPUTED_VALUE"""),"APPROVED")</f>
        <v>APPROVED</v>
      </c>
      <c r="T1113" s="1"/>
      <c r="U1113" s="1"/>
      <c r="V1113" s="1"/>
      <c r="W1113" s="1"/>
    </row>
    <row r="1114" customHeight="1" spans="1:23">
      <c r="A1114" s="3">
        <f>IFERROR(__xludf.DUMMYFUNCTION("""COMPUTED_VALUE"""),46119)</f>
        <v>46119</v>
      </c>
      <c r="B1114" s="1" t="str">
        <f>IFERROR(__xludf.DUMMYFUNCTION("""COMPUTED_VALUE"""),"ESCARCHA, MA ALMA  ESCOTO")</f>
        <v>ESCARCHA, MA ALMA  ESCOTO</v>
      </c>
      <c r="C1114" s="1" t="str">
        <f>IFERROR(__xludf.DUMMYFUNCTION("""COMPUTED_VALUE"""),"ORGANIC")</f>
        <v>ORGANIC</v>
      </c>
      <c r="D1114" s="1" t="str">
        <f>IFERROR(__xludf.DUMMYFUNCTION("""COMPUTED_VALUE"""),"ALINGARO, CINDY")</f>
        <v>ALINGARO, CINDY</v>
      </c>
      <c r="E1114" s="1" t="str">
        <f>IFERROR(__xludf.DUMMYFUNCTION("""COMPUTED_VALUE"""),"PLDT")</f>
        <v>PLDT</v>
      </c>
      <c r="F1114" s="1">
        <f>IFERROR(__xludf.DUMMYFUNCTION("""COMPUTED_VALUE"""),2308705795)</f>
        <v>2308705795</v>
      </c>
      <c r="G1114" s="1">
        <f>IFERROR(__xludf.DUMMYFUNCTION("""COMPUTED_VALUE"""),449755285004)</f>
        <v>449755285004</v>
      </c>
      <c r="H1114" s="1" t="str">
        <f>IFERROR(__xludf.DUMMYFUNCTION("""COMPUTED_VALUE"""),"MHARITER CORALDE SAGUIPED")</f>
        <v>MHARITER CORALDE SAGUIPED</v>
      </c>
      <c r="I1114" s="1">
        <f>IFERROR(__xludf.DUMMYFUNCTION("""COMPUTED_VALUE"""),9350223303)</f>
        <v>9350223303</v>
      </c>
      <c r="J1114" s="1">
        <f>IFERROR(__xludf.DUMMYFUNCTION("""COMPUTED_VALUE"""),9560451646)</f>
        <v>9560451646</v>
      </c>
      <c r="K1114" s="1" t="str">
        <f>IFERROR(__xludf.DUMMYFUNCTION("""COMPUTED_VALUE"""),"MAMATETHSAGUIPED@GMAIL.COM")</f>
        <v>MAMATETHSAGUIPED@GMAIL.COM</v>
      </c>
      <c r="L1114" s="1" t="str">
        <f>IFERROR(__xludf.DUMMYFUNCTION("""COMPUTED_VALUE"""),"BLK 17 LOT 16")</f>
        <v>BLK 17 LOT 16</v>
      </c>
      <c r="M1114" s="1" t="str">
        <f>IFERROR(__xludf.DUMMYFUNCTION("""COMPUTED_VALUE"""),"JAMAICA ST")</f>
        <v>JAMAICA ST</v>
      </c>
      <c r="N1114" s="1" t="str">
        <f>IFERROR(__xludf.DUMMYFUNCTION("""COMPUTED_VALUE"""),"CASA MONTEVERDE")</f>
        <v>CASA MONTEVERDE</v>
      </c>
      <c r="O1114" s="1" t="str">
        <f>IFERROR(__xludf.DUMMYFUNCTION("""COMPUTED_VALUE"""),"FRANCISCO DE CASTRO (SUNSHINE VILL.)")</f>
        <v>FRANCISCO DE CASTRO (SUNSHINE VILL.)</v>
      </c>
      <c r="P1114" s="1" t="str">
        <f>IFERROR(__xludf.DUMMYFUNCTION("""COMPUTED_VALUE"""),"GEN MARIANO ALVAREZ")</f>
        <v>GEN MARIANO ALVAREZ</v>
      </c>
      <c r="Q1114" s="1" t="str">
        <f>IFERROR(__xludf.DUMMYFUNCTION("""COMPUTED_VALUE"""),"CAVITE")</f>
        <v>CAVITE</v>
      </c>
      <c r="R1114" s="1" t="str">
        <f>IFERROR(__xludf.DUMMYFUNCTION("""COMPUTED_VALUE"""),"FIBR UNLI ALL PLAN 1399")</f>
        <v>FIBR UNLI ALL PLAN 1399</v>
      </c>
      <c r="S1114" s="1" t="str">
        <f>IFERROR(__xludf.DUMMYFUNCTION("""COMPUTED_VALUE"""),"APPROVED")</f>
        <v>APPROVED</v>
      </c>
      <c r="T1114" s="1"/>
      <c r="U1114" s="1"/>
      <c r="V1114" s="1"/>
      <c r="W1114" s="1"/>
    </row>
    <row r="1115" customHeight="1" spans="1:23">
      <c r="A1115" s="3">
        <f>IFERROR(__xludf.DUMMYFUNCTION("""COMPUTED_VALUE"""),46119)</f>
        <v>46119</v>
      </c>
      <c r="B1115" s="1" t="str">
        <f>IFERROR(__xludf.DUMMYFUNCTION("""COMPUTED_VALUE"""),"ESCARCHA, MA ALMA  ESCOTO")</f>
        <v>ESCARCHA, MA ALMA  ESCOTO</v>
      </c>
      <c r="C1115" s="1" t="str">
        <f>IFERROR(__xludf.DUMMYFUNCTION("""COMPUTED_VALUE"""),"ORGANIC")</f>
        <v>ORGANIC</v>
      </c>
      <c r="D1115" s="1" t="str">
        <f>IFERROR(__xludf.DUMMYFUNCTION("""COMPUTED_VALUE"""),"ALINGARO, CINDY")</f>
        <v>ALINGARO, CINDY</v>
      </c>
      <c r="E1115" s="1" t="str">
        <f>IFERROR(__xludf.DUMMYFUNCTION("""COMPUTED_VALUE"""),"PLDT")</f>
        <v>PLDT</v>
      </c>
      <c r="F1115" s="1">
        <f>IFERROR(__xludf.DUMMYFUNCTION("""COMPUTED_VALUE"""),2308705927)</f>
        <v>2308705927</v>
      </c>
      <c r="G1115" s="1">
        <f>IFERROR(__xludf.DUMMYFUNCTION("""COMPUTED_VALUE"""),449749446004)</f>
        <v>449749446004</v>
      </c>
      <c r="H1115" s="1" t="str">
        <f>IFERROR(__xludf.DUMMYFUNCTION("""COMPUTED_VALUE"""),"WENSIS LIM ESTUR")</f>
        <v>WENSIS LIM ESTUR</v>
      </c>
      <c r="I1115" s="1">
        <f>IFERROR(__xludf.DUMMYFUNCTION("""COMPUTED_VALUE"""),9674461117)</f>
        <v>9674461117</v>
      </c>
      <c r="J1115" s="1"/>
      <c r="K1115" s="1" t="str">
        <f>IFERROR(__xludf.DUMMYFUNCTION("""COMPUTED_VALUE"""),"WENCISESTUR7@GMAIL.COM")</f>
        <v>WENCISESTUR7@GMAIL.COM</v>
      </c>
      <c r="L1115" s="1" t="str">
        <f>IFERROR(__xludf.DUMMYFUNCTION("""COMPUTED_VALUE"""),"BLK 17 LOT 9")</f>
        <v>BLK 17 LOT 9</v>
      </c>
      <c r="M1115" s="1" t="str">
        <f>IFERROR(__xludf.DUMMYFUNCTION("""COMPUTED_VALUE"""),"ACACIA")</f>
        <v>ACACIA</v>
      </c>
      <c r="N1115" s="1"/>
      <c r="O1115" s="1" t="str">
        <f>IFERROR(__xludf.DUMMYFUNCTION("""COMPUTED_VALUE"""),"ACACIA")</f>
        <v>ACACIA</v>
      </c>
      <c r="P1115" s="1" t="str">
        <f>IFERROR(__xludf.DUMMYFUNCTION("""COMPUTED_VALUE"""),"SILANG")</f>
        <v>SILANG</v>
      </c>
      <c r="Q1115" s="1" t="str">
        <f>IFERROR(__xludf.DUMMYFUNCTION("""COMPUTED_VALUE"""),"CAVITE")</f>
        <v>CAVITE</v>
      </c>
      <c r="R1115" s="1" t="str">
        <f>IFERROR(__xludf.DUMMYFUNCTION("""COMPUTED_VALUE"""),"SWITCH FIBR UNLI ALL PLAN 1399")</f>
        <v>SWITCH FIBR UNLI ALL PLAN 1399</v>
      </c>
      <c r="S1115" s="1" t="str">
        <f>IFERROR(__xludf.DUMMYFUNCTION("""COMPUTED_VALUE"""),"APPROVED")</f>
        <v>APPROVED</v>
      </c>
      <c r="T1115" s="1"/>
      <c r="U1115" s="1"/>
      <c r="V1115" s="1"/>
      <c r="W1115" s="1"/>
    </row>
    <row r="1116" customHeight="1" spans="1:23">
      <c r="A1116" s="3">
        <f>IFERROR(__xludf.DUMMYFUNCTION("""COMPUTED_VALUE"""),46119)</f>
        <v>46119</v>
      </c>
      <c r="B1116" s="1" t="str">
        <f>IFERROR(__xludf.DUMMYFUNCTION("""COMPUTED_VALUE"""),"CONCEPCION, ALJAY")</f>
        <v>CONCEPCION, ALJAY</v>
      </c>
      <c r="C1116" s="1" t="str">
        <f>IFERROR(__xludf.DUMMYFUNCTION("""COMPUTED_VALUE"""),"ORGANIC")</f>
        <v>ORGANIC</v>
      </c>
      <c r="D1116" s="1" t="str">
        <f>IFERROR(__xludf.DUMMYFUNCTION("""COMPUTED_VALUE"""),"ALINGARO, CINDY")</f>
        <v>ALINGARO, CINDY</v>
      </c>
      <c r="E1116" s="1" t="str">
        <f>IFERROR(__xludf.DUMMYFUNCTION("""COMPUTED_VALUE"""),"PLDT")</f>
        <v>PLDT</v>
      </c>
      <c r="F1116" s="1">
        <f>IFERROR(__xludf.DUMMYFUNCTION("""COMPUTED_VALUE"""),2308707008)</f>
        <v>2308707008</v>
      </c>
      <c r="G1116" s="1">
        <f>IFERROR(__xludf.DUMMYFUNCTION("""COMPUTED_VALUE"""),449763718004)</f>
        <v>449763718004</v>
      </c>
      <c r="H1116" s="1" t="str">
        <f>IFERROR(__xludf.DUMMYFUNCTION("""COMPUTED_VALUE"""),"SANDEP CONTEMPLO SINGH")</f>
        <v>SANDEP CONTEMPLO SINGH</v>
      </c>
      <c r="I1116" s="1">
        <f>IFERROR(__xludf.DUMMYFUNCTION("""COMPUTED_VALUE"""),9093396226)</f>
        <v>9093396226</v>
      </c>
      <c r="J1116" s="1">
        <f>IFERROR(__xludf.DUMMYFUNCTION("""COMPUTED_VALUE"""),9918570330)</f>
        <v>9918570330</v>
      </c>
      <c r="K1116" s="1" t="str">
        <f>IFERROR(__xludf.DUMMYFUNCTION("""COMPUTED_VALUE"""),"SINGH.SANDEP29@GMAIL.COM")</f>
        <v>SINGH.SANDEP29@GMAIL.COM</v>
      </c>
      <c r="L1116" s="1" t="str">
        <f>IFERROR(__xludf.DUMMYFUNCTION("""COMPUTED_VALUE"""),"BLK 5 LOT 19")</f>
        <v>BLK 5 LOT 19</v>
      </c>
      <c r="M1116" s="1" t="str">
        <f>IFERROR(__xludf.DUMMYFUNCTION("""COMPUTED_VALUE"""),"CAHAFI BILL")</f>
        <v>CAHAFI BILL</v>
      </c>
      <c r="N1116" s="1"/>
      <c r="O1116" s="1" t="str">
        <f>IFERROR(__xludf.DUMMYFUNCTION("""COMPUTED_VALUE"""),"SANJA MAYOR")</f>
        <v>SANJA MAYOR</v>
      </c>
      <c r="P1116" s="1" t="str">
        <f>IFERROR(__xludf.DUMMYFUNCTION("""COMPUTED_VALUE"""),"TANZA")</f>
        <v>TANZA</v>
      </c>
      <c r="Q1116" s="1" t="str">
        <f>IFERROR(__xludf.DUMMYFUNCTION("""COMPUTED_VALUE"""),"CAVITE")</f>
        <v>CAVITE</v>
      </c>
      <c r="R1116" s="1" t="str">
        <f>IFERROR(__xludf.DUMMYFUNCTION("""COMPUTED_VALUE"""),"FIBR PLAN 1299")</f>
        <v>FIBR PLAN 1299</v>
      </c>
      <c r="S1116" s="1" t="str">
        <f>IFERROR(__xludf.DUMMYFUNCTION("""COMPUTED_VALUE"""),"APPROVED")</f>
        <v>APPROVED</v>
      </c>
      <c r="T1116" s="1"/>
      <c r="U1116" s="1"/>
      <c r="V1116" s="1"/>
      <c r="W1116" s="1"/>
    </row>
    <row r="1117" customHeight="1" spans="1:23">
      <c r="A1117" s="3">
        <f>IFERROR(__xludf.DUMMYFUNCTION("""COMPUTED_VALUE"""),46119)</f>
        <v>46119</v>
      </c>
      <c r="B1117" s="1" t="str">
        <f>IFERROR(__xludf.DUMMYFUNCTION("""COMPUTED_VALUE"""),"ESCARCHA, MA ALMA  ESCOTO")</f>
        <v>ESCARCHA, MA ALMA  ESCOTO</v>
      </c>
      <c r="C1117" s="1" t="str">
        <f>IFERROR(__xludf.DUMMYFUNCTION("""COMPUTED_VALUE"""),"ORGANIC")</f>
        <v>ORGANIC</v>
      </c>
      <c r="D1117" s="1" t="str">
        <f>IFERROR(__xludf.DUMMYFUNCTION("""COMPUTED_VALUE"""),"ALINGARO, CINDY")</f>
        <v>ALINGARO, CINDY</v>
      </c>
      <c r="E1117" s="1" t="str">
        <f>IFERROR(__xludf.DUMMYFUNCTION("""COMPUTED_VALUE"""),"PLDT")</f>
        <v>PLDT</v>
      </c>
      <c r="F1117" s="1">
        <f>IFERROR(__xludf.DUMMYFUNCTION("""COMPUTED_VALUE"""),2308711652)</f>
        <v>2308711652</v>
      </c>
      <c r="G1117" s="1">
        <f>IFERROR(__xludf.DUMMYFUNCTION("""COMPUTED_VALUE"""),449888373004)</f>
        <v>449888373004</v>
      </c>
      <c r="H1117" s="1" t="str">
        <f>IFERROR(__xludf.DUMMYFUNCTION("""COMPUTED_VALUE"""),"JASPEL IGNACIO SANTOS")</f>
        <v>JASPEL IGNACIO SANTOS</v>
      </c>
      <c r="I1117" s="1">
        <f>IFERROR(__xludf.DUMMYFUNCTION("""COMPUTED_VALUE"""),9851760431)</f>
        <v>9851760431</v>
      </c>
      <c r="J1117" s="1">
        <f>IFERROR(__xludf.DUMMYFUNCTION("""COMPUTED_VALUE"""),9085636352)</f>
        <v>9085636352</v>
      </c>
      <c r="K1117" s="1" t="str">
        <f>IFERROR(__xludf.DUMMYFUNCTION("""COMPUTED_VALUE"""),"AUSTINENICOLAS04@GMAIL.COM")</f>
        <v>AUSTINENICOLAS04@GMAIL.COM</v>
      </c>
      <c r="L1117" s="1" t="str">
        <f>IFERROR(__xludf.DUMMYFUNCTION("""COMPUTED_VALUE"""),"BLK 75 LOT 8")</f>
        <v>BLK 75 LOT 8</v>
      </c>
      <c r="M1117" s="1" t="str">
        <f>IFERROR(__xludf.DUMMYFUNCTION("""COMPUTED_VALUE"""),"RESPONSIBLITY")</f>
        <v>RESPONSIBLITY</v>
      </c>
      <c r="N1117" s="1"/>
      <c r="O1117" s="1" t="str">
        <f>IFERROR(__xludf.DUMMYFUNCTION("""COMPUTED_VALUE"""),"TIMALAN BALSAHAN")</f>
        <v>TIMALAN BALSAHAN</v>
      </c>
      <c r="P1117" s="1" t="str">
        <f>IFERROR(__xludf.DUMMYFUNCTION("""COMPUTED_VALUE"""),"NAIC")</f>
        <v>NAIC</v>
      </c>
      <c r="Q1117" s="1" t="str">
        <f>IFERROR(__xludf.DUMMYFUNCTION("""COMPUTED_VALUE"""),"CAVITE")</f>
        <v>CAVITE</v>
      </c>
      <c r="R1117" s="1" t="str">
        <f>IFERROR(__xludf.DUMMYFUNCTION("""COMPUTED_VALUE"""),"FIBR PLAN 1299")</f>
        <v>FIBR PLAN 1299</v>
      </c>
      <c r="S1117" s="1" t="str">
        <f>IFERROR(__xludf.DUMMYFUNCTION("""COMPUTED_VALUE"""),"APPROVED")</f>
        <v>APPROVED</v>
      </c>
      <c r="T1117" s="1"/>
      <c r="U1117" s="1"/>
      <c r="V1117" s="1"/>
      <c r="W1117" s="1"/>
    </row>
    <row r="1118" customHeight="1" spans="1:23">
      <c r="A1118" s="3">
        <f>IFERROR(__xludf.DUMMYFUNCTION("""COMPUTED_VALUE"""),46119)</f>
        <v>46119</v>
      </c>
      <c r="B1118" s="1" t="str">
        <f>IFERROR(__xludf.DUMMYFUNCTION("""COMPUTED_VALUE"""),"FARO, REFRANTA")</f>
        <v>FARO, REFRANTA</v>
      </c>
      <c r="C1118" s="1" t="str">
        <f>IFERROR(__xludf.DUMMYFUNCTION("""COMPUTED_VALUE"""),"ORGANIC")</f>
        <v>ORGANIC</v>
      </c>
      <c r="D1118" s="1" t="str">
        <f>IFERROR(__xludf.DUMMYFUNCTION("""COMPUTED_VALUE"""),"ALINGARO, CINDY")</f>
        <v>ALINGARO, CINDY</v>
      </c>
      <c r="E1118" s="1" t="str">
        <f>IFERROR(__xludf.DUMMYFUNCTION("""COMPUTED_VALUE"""),"PLDT")</f>
        <v>PLDT</v>
      </c>
      <c r="F1118" s="1"/>
      <c r="G1118" s="1"/>
      <c r="H1118" s="1" t="str">
        <f>IFERROR(__xludf.DUMMYFUNCTION("""COMPUTED_VALUE"""),"CHRISTIAN JOHN RENDON CUYACOT")</f>
        <v>CHRISTIAN JOHN RENDON CUYACOT</v>
      </c>
      <c r="I1118" s="1">
        <f>IFERROR(__xludf.DUMMYFUNCTION("""COMPUTED_VALUE"""),9663368679)</f>
        <v>9663368679</v>
      </c>
      <c r="J1118" s="1"/>
      <c r="K1118" s="1" t="str">
        <f>IFERROR(__xludf.DUMMYFUNCTION("""COMPUTED_VALUE"""),"PAULCRIS519@GMAIL.COM")</f>
        <v>PAULCRIS519@GMAIL.COM</v>
      </c>
      <c r="L1118" s="1" t="str">
        <f>IFERROR(__xludf.DUMMYFUNCTION("""COMPUTED_VALUE"""),"27000")</f>
        <v>27000</v>
      </c>
      <c r="M1118" s="1" t="str">
        <f>IFERROR(__xludf.DUMMYFUNCTION("""COMPUTED_VALUE"""),"GREENSITE")</f>
        <v>GREENSITE</v>
      </c>
      <c r="N1118" s="1"/>
      <c r="O1118" s="1" t="str">
        <f>IFERROR(__xludf.DUMMYFUNCTION("""COMPUTED_VALUE"""),"SAMPALOC II")</f>
        <v>SAMPALOC II</v>
      </c>
      <c r="P1118" s="1" t="str">
        <f>IFERROR(__xludf.DUMMYFUNCTION("""COMPUTED_VALUE"""),"DASMARINAS")</f>
        <v>DASMARINAS</v>
      </c>
      <c r="Q1118" s="1" t="str">
        <f>IFERROR(__xludf.DUMMYFUNCTION("""COMPUTED_VALUE"""),"CAVITE")</f>
        <v>CAVITE</v>
      </c>
      <c r="R1118" s="1" t="str">
        <f>IFERROR(__xludf.DUMMYFUNCTION("""COMPUTED_VALUE"""),"FIBR UNLI ALL PLAN 1399")</f>
        <v>FIBR UNLI ALL PLAN 1399</v>
      </c>
      <c r="S1118" s="1" t="str">
        <f>IFERROR(__xludf.DUMMYFUNCTION("""COMPUTED_VALUE"""),"RETURN FOR COMPLIANCE - AGENT")</f>
        <v>RETURN FOR COMPLIANCE - AGENT</v>
      </c>
      <c r="T1118" s="1" t="str">
        <f>IFERROR(__xludf.DUMMYFUNCTION("""COMPUTED_VALUE"""),"AS PER INSTALLER DI KAKAPASOK ANG LINYA SA GREENGAT")</f>
        <v>AS PER INSTALLER DI KAKAPASOK ANG LINYA SA GREENGAT</v>
      </c>
      <c r="U1118" s="1"/>
      <c r="V1118" s="1"/>
      <c r="W1118" s="1"/>
    </row>
    <row r="1119" customHeight="1" spans="1:23">
      <c r="A1119" s="3">
        <f>IFERROR(__xludf.DUMMYFUNCTION("""COMPUTED_VALUE"""),46119)</f>
        <v>46119</v>
      </c>
      <c r="B1119" s="1" t="str">
        <f>IFERROR(__xludf.DUMMYFUNCTION("""COMPUTED_VALUE"""),"DELA ROSA, JENNELYN")</f>
        <v>DELA ROSA, JENNELYN</v>
      </c>
      <c r="C1119" s="1" t="str">
        <f>IFERROR(__xludf.DUMMYFUNCTION("""COMPUTED_VALUE"""),"ORGANIC")</f>
        <v>ORGANIC</v>
      </c>
      <c r="D1119" s="1" t="str">
        <f>IFERROR(__xludf.DUMMYFUNCTION("""COMPUTED_VALUE"""),"ALOS, CHARLS")</f>
        <v>ALOS, CHARLS</v>
      </c>
      <c r="E1119" s="1" t="str">
        <f>IFERROR(__xludf.DUMMYFUNCTION("""COMPUTED_VALUE"""),"PLDT")</f>
        <v>PLDT</v>
      </c>
      <c r="F1119" s="1">
        <f>IFERROR(__xludf.DUMMYFUNCTION("""COMPUTED_VALUE"""),2308711376)</f>
        <v>2308711376</v>
      </c>
      <c r="G1119" s="1">
        <f>IFERROR(__xludf.DUMMYFUNCTION("""COMPUTED_VALUE"""),449761343004)</f>
        <v>449761343004</v>
      </c>
      <c r="H1119" s="1" t="str">
        <f>IFERROR(__xludf.DUMMYFUNCTION("""COMPUTED_VALUE"""),"VIVIAN FE TERRAGO VISTAL")</f>
        <v>VIVIAN FE TERRAGO VISTAL</v>
      </c>
      <c r="I1119" s="1">
        <f>IFERROR(__xludf.DUMMYFUNCTION("""COMPUTED_VALUE"""),9173163653)</f>
        <v>9173163653</v>
      </c>
      <c r="J1119" s="1">
        <f>IFERROR(__xludf.DUMMYFUNCTION("""COMPUTED_VALUE"""),9637353632)</f>
        <v>9637353632</v>
      </c>
      <c r="K1119" s="1" t="str">
        <f>IFERROR(__xludf.DUMMYFUNCTION("""COMPUTED_VALUE"""),"KHIROGONZAGA@GMAIL.COM")</f>
        <v>KHIROGONZAGA@GMAIL.COM</v>
      </c>
      <c r="L1119" s="1" t="str">
        <f>IFERROR(__xludf.DUMMYFUNCTION("""COMPUTED_VALUE"""),"BLK 43 LOT 10")</f>
        <v>BLK 43 LOT 10</v>
      </c>
      <c r="M1119" s="1" t="str">
        <f>IFERROR(__xludf.DUMMYFUNCTION("""COMPUTED_VALUE"""),"SALZBURG ST")</f>
        <v>SALZBURG ST</v>
      </c>
      <c r="N1119" s="1" t="str">
        <f>IFERROR(__xludf.DUMMYFUNCTION("""COMPUTED_VALUE"""),"SUMMERWIND 4")</f>
        <v>SUMMERWIND 4</v>
      </c>
      <c r="O1119" s="1" t="str">
        <f>IFERROR(__xludf.DUMMYFUNCTION("""COMPUTED_VALUE"""),"BUROL")</f>
        <v>BUROL</v>
      </c>
      <c r="P1119" s="1" t="str">
        <f>IFERROR(__xludf.DUMMYFUNCTION("""COMPUTED_VALUE"""),"DASMARINAS")</f>
        <v>DASMARINAS</v>
      </c>
      <c r="Q1119" s="1" t="str">
        <f>IFERROR(__xludf.DUMMYFUNCTION("""COMPUTED_VALUE"""),"CAVITE")</f>
        <v>CAVITE</v>
      </c>
      <c r="R1119" s="1" t="str">
        <f>IFERROR(__xludf.DUMMYFUNCTION("""COMPUTED_VALUE"""),"FIBR PLAN 1299")</f>
        <v>FIBR PLAN 1299</v>
      </c>
      <c r="S1119" s="1" t="str">
        <f>IFERROR(__xludf.DUMMYFUNCTION("""COMPUTED_VALUE"""),"APPROVED")</f>
        <v>APPROVED</v>
      </c>
      <c r="T1119" s="1"/>
      <c r="U1119" s="1"/>
      <c r="V1119" s="1"/>
      <c r="W1119" s="1"/>
    </row>
    <row r="1120" customHeight="1" spans="1:23">
      <c r="A1120" s="3">
        <f>IFERROR(__xludf.DUMMYFUNCTION("""COMPUTED_VALUE"""),46119)</f>
        <v>46119</v>
      </c>
      <c r="B1120" s="1" t="str">
        <f>IFERROR(__xludf.DUMMYFUNCTION("""COMPUTED_VALUE"""),"CONCEPCION, ALJAY")</f>
        <v>CONCEPCION, ALJAY</v>
      </c>
      <c r="C1120" s="1" t="str">
        <f>IFERROR(__xludf.DUMMYFUNCTION("""COMPUTED_VALUE"""),"ORGANIC")</f>
        <v>ORGANIC</v>
      </c>
      <c r="D1120" s="1" t="str">
        <f>IFERROR(__xludf.DUMMYFUNCTION("""COMPUTED_VALUE"""),"ALINGARO, CINDY")</f>
        <v>ALINGARO, CINDY</v>
      </c>
      <c r="E1120" s="1" t="str">
        <f>IFERROR(__xludf.DUMMYFUNCTION("""COMPUTED_VALUE"""),"PLDT")</f>
        <v>PLDT</v>
      </c>
      <c r="F1120" s="1">
        <f>IFERROR(__xludf.DUMMYFUNCTION("""COMPUTED_VALUE"""),2308741993)</f>
        <v>2308741993</v>
      </c>
      <c r="G1120" s="1">
        <f>IFERROR(__xludf.DUMMYFUNCTION("""COMPUTED_VALUE"""),449898773004)</f>
        <v>449898773004</v>
      </c>
      <c r="H1120" s="1" t="str">
        <f>IFERROR(__xludf.DUMMYFUNCTION("""COMPUTED_VALUE"""),"ARA KRISTEL CATE LIM ESTUR")</f>
        <v>ARA KRISTEL CATE LIM ESTUR</v>
      </c>
      <c r="I1120" s="1">
        <f>IFERROR(__xludf.DUMMYFUNCTION("""COMPUTED_VALUE"""),9652608678)</f>
        <v>9652608678</v>
      </c>
      <c r="J1120" s="1">
        <f>IFERROR(__xludf.DUMMYFUNCTION("""COMPUTED_VALUE"""),9056573694)</f>
        <v>9056573694</v>
      </c>
      <c r="K1120" s="1" t="str">
        <f>IFERROR(__xludf.DUMMYFUNCTION("""COMPUTED_VALUE"""),"ESTURKRISTEL12@GMAIL.COM")</f>
        <v>ESTURKRISTEL12@GMAIL.COM</v>
      </c>
      <c r="L1120" s="1" t="str">
        <f>IFERROR(__xludf.DUMMYFUNCTION("""COMPUTED_VALUE"""),"BLK 1 LOT 10")</f>
        <v>BLK 1 LOT 10</v>
      </c>
      <c r="M1120" s="1" t="str">
        <f>IFERROR(__xludf.DUMMYFUNCTION("""COMPUTED_VALUE"""),"PHASE 1A")</f>
        <v>PHASE 1A</v>
      </c>
      <c r="N1120" s="1"/>
      <c r="O1120" s="1" t="str">
        <f>IFERROR(__xludf.DUMMYFUNCTION("""COMPUTED_VALUE"""),"ACACIA")</f>
        <v>ACACIA</v>
      </c>
      <c r="P1120" s="1" t="str">
        <f>IFERROR(__xludf.DUMMYFUNCTION("""COMPUTED_VALUE"""),"SILANG")</f>
        <v>SILANG</v>
      </c>
      <c r="Q1120" s="1" t="str">
        <f>IFERROR(__xludf.DUMMYFUNCTION("""COMPUTED_VALUE"""),"CAVITE")</f>
        <v>CAVITE</v>
      </c>
      <c r="R1120" s="1" t="str">
        <f>IFERROR(__xludf.DUMMYFUNCTION("""COMPUTED_VALUE"""),"FIBR PLAN 1299")</f>
        <v>FIBR PLAN 1299</v>
      </c>
      <c r="S1120" s="1" t="str">
        <f>IFERROR(__xludf.DUMMYFUNCTION("""COMPUTED_VALUE"""),"APPROVED")</f>
        <v>APPROVED</v>
      </c>
      <c r="T1120" s="1"/>
      <c r="U1120" s="1"/>
      <c r="V1120" s="1"/>
      <c r="W1120" s="1"/>
    </row>
    <row r="1121" customHeight="1" spans="1:23">
      <c r="A1121" s="3">
        <f>IFERROR(__xludf.DUMMYFUNCTION("""COMPUTED_VALUE"""),46119)</f>
        <v>46119</v>
      </c>
      <c r="B1121" s="1" t="str">
        <f>IFERROR(__xludf.DUMMYFUNCTION("""COMPUTED_VALUE"""),"GABAY, MANUEL")</f>
        <v>GABAY, MANUEL</v>
      </c>
      <c r="C1121" s="1" t="str">
        <f>IFERROR(__xludf.DUMMYFUNCTION("""COMPUTED_VALUE"""),"FLA")</f>
        <v>FLA</v>
      </c>
      <c r="D1121" s="1" t="str">
        <f>IFERROR(__xludf.DUMMYFUNCTION("""COMPUTED_VALUE"""),"JERIC NAVARRO")</f>
        <v>JERIC NAVARRO</v>
      </c>
      <c r="E1121" s="1" t="str">
        <f>IFERROR(__xludf.DUMMYFUNCTION("""COMPUTED_VALUE"""),"PLDT")</f>
        <v>PLDT</v>
      </c>
      <c r="F1121" s="1">
        <f>IFERROR(__xludf.DUMMYFUNCTION("""COMPUTED_VALUE"""),2308713260)</f>
        <v>2308713260</v>
      </c>
      <c r="G1121" s="1">
        <f>IFERROR(__xludf.DUMMYFUNCTION("""COMPUTED_VALUE"""),449765784004)</f>
        <v>449765784004</v>
      </c>
      <c r="H1121" s="1" t="str">
        <f>IFERROR(__xludf.DUMMYFUNCTION("""COMPUTED_VALUE"""),"ARIEL DIMARANAN FERNANDEZ")</f>
        <v>ARIEL DIMARANAN FERNANDEZ</v>
      </c>
      <c r="I1121" s="1">
        <f>IFERROR(__xludf.DUMMYFUNCTION("""COMPUTED_VALUE"""),9389322557)</f>
        <v>9389322557</v>
      </c>
      <c r="J1121" s="1">
        <f>IFERROR(__xludf.DUMMYFUNCTION("""COMPUTED_VALUE"""),9303911283)</f>
        <v>9303911283</v>
      </c>
      <c r="K1121" s="1" t="str">
        <f>IFERROR(__xludf.DUMMYFUNCTION("""COMPUTED_VALUE"""),"ARIELFERNANDEZ48@GMAIL.COM")</f>
        <v>ARIELFERNANDEZ48@GMAIL.COM</v>
      </c>
      <c r="L1121" s="1" t="str">
        <f>IFERROR(__xludf.DUMMYFUNCTION("""COMPUTED_VALUE"""),"BLK 106LOT 5")</f>
        <v>BLK 106LOT 5</v>
      </c>
      <c r="M1121" s="1" t="str">
        <f>IFERROR(__xludf.DUMMYFUNCTION("""COMPUTED_VALUE"""),"BAHAY PANGARAP")</f>
        <v>BAHAY PANGARAP</v>
      </c>
      <c r="N1121" s="1"/>
      <c r="O1121" s="1" t="str">
        <f>IFERROR(__xludf.DUMMYFUNCTION("""COMPUTED_VALUE"""),"SAMPALOC IV")</f>
        <v>SAMPALOC IV</v>
      </c>
      <c r="P1121" s="1" t="str">
        <f>IFERROR(__xludf.DUMMYFUNCTION("""COMPUTED_VALUE"""),"DASMARINAS")</f>
        <v>DASMARINAS</v>
      </c>
      <c r="Q1121" s="1" t="str">
        <f>IFERROR(__xludf.DUMMYFUNCTION("""COMPUTED_VALUE"""),"CAVITE")</f>
        <v>CAVITE</v>
      </c>
      <c r="R1121" s="1" t="str">
        <f>IFERROR(__xludf.DUMMYFUNCTION("""COMPUTED_VALUE"""),"FIBR UNLI ALL PLAN 1399")</f>
        <v>FIBR UNLI ALL PLAN 1399</v>
      </c>
      <c r="S1121" s="1" t="str">
        <f>IFERROR(__xludf.DUMMYFUNCTION("""COMPUTED_VALUE"""),"APPROVED")</f>
        <v>APPROVED</v>
      </c>
      <c r="T1121" s="1"/>
      <c r="U1121" s="1"/>
      <c r="V1121" s="1"/>
      <c r="W1121" s="1"/>
    </row>
    <row r="1122" customHeight="1" spans="1:23">
      <c r="A1122" s="3">
        <f>IFERROR(__xludf.DUMMYFUNCTION("""COMPUTED_VALUE"""),46119)</f>
        <v>46119</v>
      </c>
      <c r="B1122" s="1" t="str">
        <f>IFERROR(__xludf.DUMMYFUNCTION("""COMPUTED_VALUE"""),"MAGDARAOG, KENNETH")</f>
        <v>MAGDARAOG, KENNETH</v>
      </c>
      <c r="C1122" s="1" t="str">
        <f>IFERROR(__xludf.DUMMYFUNCTION("""COMPUTED_VALUE"""),"ORGANIC")</f>
        <v>ORGANIC</v>
      </c>
      <c r="D1122" s="1" t="str">
        <f>IFERROR(__xludf.DUMMYFUNCTION("""COMPUTED_VALUE"""),"ALINGARO, CINDY")</f>
        <v>ALINGARO, CINDY</v>
      </c>
      <c r="E1122" s="1" t="str">
        <f>IFERROR(__xludf.DUMMYFUNCTION("""COMPUTED_VALUE"""),"PLDT")</f>
        <v>PLDT</v>
      </c>
      <c r="F1122" s="1">
        <f>IFERROR(__xludf.DUMMYFUNCTION("""COMPUTED_VALUE"""),2308714440)</f>
        <v>2308714440</v>
      </c>
      <c r="G1122" s="1">
        <f>IFERROR(__xludf.DUMMYFUNCTION("""COMPUTED_VALUE"""),449763919004)</f>
        <v>449763919004</v>
      </c>
      <c r="H1122" s="1" t="str">
        <f>IFERROR(__xludf.DUMMYFUNCTION("""COMPUTED_VALUE"""),"ANGINE MEDRANO CASTOLERO")</f>
        <v>ANGINE MEDRANO CASTOLERO</v>
      </c>
      <c r="I1122" s="1">
        <f>IFERROR(__xludf.DUMMYFUNCTION("""COMPUTED_VALUE"""),9755584611)</f>
        <v>9755584611</v>
      </c>
      <c r="J1122" s="1">
        <f>IFERROR(__xludf.DUMMYFUNCTION("""COMPUTED_VALUE"""),9766596379)</f>
        <v>9766596379</v>
      </c>
      <c r="K1122" s="1" t="str">
        <f>IFERROR(__xludf.DUMMYFUNCTION("""COMPUTED_VALUE"""),"ANGINECASTOLERO9@GMAIL.COM")</f>
        <v>ANGINECASTOLERO9@GMAIL.COM</v>
      </c>
      <c r="L1122" s="1" t="str">
        <f>IFERROR(__xludf.DUMMYFUNCTION("""COMPUTED_VALUE"""),"105")</f>
        <v>105</v>
      </c>
      <c r="M1122" s="1" t="str">
        <f>IFERROR(__xludf.DUMMYFUNCTION("""COMPUTED_VALUE"""),"PUROK 5")</f>
        <v>PUROK 5</v>
      </c>
      <c r="N1122" s="1"/>
      <c r="O1122" s="1" t="str">
        <f>IFERROR(__xludf.DUMMYFUNCTION("""COMPUTED_VALUE"""),"VICTORIA REYES")</f>
        <v>VICTORIA REYES</v>
      </c>
      <c r="P1122" s="1" t="str">
        <f>IFERROR(__xludf.DUMMYFUNCTION("""COMPUTED_VALUE"""),"DASMARINAS")</f>
        <v>DASMARINAS</v>
      </c>
      <c r="Q1122" s="1" t="str">
        <f>IFERROR(__xludf.DUMMYFUNCTION("""COMPUTED_VALUE"""),"CAVITE")</f>
        <v>CAVITE</v>
      </c>
      <c r="R1122" s="1" t="str">
        <f>IFERROR(__xludf.DUMMYFUNCTION("""COMPUTED_VALUE"""),"FIBR UNLI ALL PLAN 1399")</f>
        <v>FIBR UNLI ALL PLAN 1399</v>
      </c>
      <c r="S1122" s="1" t="str">
        <f>IFERROR(__xludf.DUMMYFUNCTION("""COMPUTED_VALUE"""),"APPROVED")</f>
        <v>APPROVED</v>
      </c>
      <c r="T1122" s="1"/>
      <c r="U1122" s="1"/>
      <c r="V1122" s="1"/>
      <c r="W1122" s="1"/>
    </row>
    <row r="1123" customHeight="1" spans="1:23">
      <c r="A1123" s="3">
        <f>IFERROR(__xludf.DUMMYFUNCTION("""COMPUTED_VALUE"""),46119)</f>
        <v>46119</v>
      </c>
      <c r="B1123" s="1" t="str">
        <f>IFERROR(__xludf.DUMMYFUNCTION("""COMPUTED_VALUE"""),"GABAY, MANUEL")</f>
        <v>GABAY, MANUEL</v>
      </c>
      <c r="C1123" s="1" t="str">
        <f>IFERROR(__xludf.DUMMYFUNCTION("""COMPUTED_VALUE"""),"FLA")</f>
        <v>FLA</v>
      </c>
      <c r="D1123" s="1" t="str">
        <f>IFERROR(__xludf.DUMMYFUNCTION("""COMPUTED_VALUE"""),"JERIC NAVARRO")</f>
        <v>JERIC NAVARRO</v>
      </c>
      <c r="E1123" s="1" t="str">
        <f>IFERROR(__xludf.DUMMYFUNCTION("""COMPUTED_VALUE"""),"PLDT")</f>
        <v>PLDT</v>
      </c>
      <c r="F1123" s="1">
        <f>IFERROR(__xludf.DUMMYFUNCTION("""COMPUTED_VALUE"""),2308717140)</f>
        <v>2308717140</v>
      </c>
      <c r="G1123" s="1">
        <f>IFERROR(__xludf.DUMMYFUNCTION("""COMPUTED_VALUE"""),449766748004)</f>
        <v>449766748004</v>
      </c>
      <c r="H1123" s="1" t="str">
        <f>IFERROR(__xludf.DUMMYFUNCTION("""COMPUTED_VALUE"""),"MICHELLE LOSEGRO MAANO")</f>
        <v>MICHELLE LOSEGRO MAANO</v>
      </c>
      <c r="I1123" s="1">
        <f>IFERROR(__xludf.DUMMYFUNCTION("""COMPUTED_VALUE"""),938539889)</f>
        <v>938539889</v>
      </c>
      <c r="J1123" s="1">
        <f>IFERROR(__xludf.DUMMYFUNCTION("""COMPUTED_VALUE"""),9544500232)</f>
        <v>9544500232</v>
      </c>
      <c r="K1123" s="1" t="str">
        <f>IFERROR(__xludf.DUMMYFUNCTION("""COMPUTED_VALUE"""),"MICHELLELOSEGRO@GMAIL.COM")</f>
        <v>MICHELLELOSEGRO@GMAIL.COM</v>
      </c>
      <c r="L1123" s="1" t="str">
        <f>IFERROR(__xludf.DUMMYFUNCTION("""COMPUTED_VALUE"""),"BLK 1")</f>
        <v>BLK 1</v>
      </c>
      <c r="M1123" s="1" t="str">
        <f>IFERROR(__xludf.DUMMYFUNCTION("""COMPUTED_VALUE"""),"EXCESS LOT")</f>
        <v>EXCESS LOT</v>
      </c>
      <c r="N1123" s="1" t="str">
        <f>IFERROR(__xludf.DUMMYFUNCTION("""COMPUTED_VALUE"""),"BAHAY PANGARAP")</f>
        <v>BAHAY PANGARAP</v>
      </c>
      <c r="O1123" s="1" t="str">
        <f>IFERROR(__xludf.DUMMYFUNCTION("""COMPUTED_VALUE"""),"SAMPALOC IV")</f>
        <v>SAMPALOC IV</v>
      </c>
      <c r="P1123" s="1" t="str">
        <f>IFERROR(__xludf.DUMMYFUNCTION("""COMPUTED_VALUE"""),"DASMARINAS")</f>
        <v>DASMARINAS</v>
      </c>
      <c r="Q1123" s="1" t="str">
        <f>IFERROR(__xludf.DUMMYFUNCTION("""COMPUTED_VALUE"""),"CAVITE")</f>
        <v>CAVITE</v>
      </c>
      <c r="R1123" s="1" t="str">
        <f>IFERROR(__xludf.DUMMYFUNCTION("""COMPUTED_VALUE"""),"FIBR UNLI ALL PLAN 1399")</f>
        <v>FIBR UNLI ALL PLAN 1399</v>
      </c>
      <c r="S1123" s="1" t="str">
        <f>IFERROR(__xludf.DUMMYFUNCTION("""COMPUTED_VALUE"""),"APPROVED")</f>
        <v>APPROVED</v>
      </c>
      <c r="T1123" s="1"/>
      <c r="U1123" s="1"/>
      <c r="V1123" s="1"/>
      <c r="W1123" s="1"/>
    </row>
    <row r="1124" customHeight="1" spans="1:23">
      <c r="A1124" s="3">
        <f>IFERROR(__xludf.DUMMYFUNCTION("""COMPUTED_VALUE"""),46120)</f>
        <v>46120</v>
      </c>
      <c r="B1124" s="1" t="str">
        <f>IFERROR(__xludf.DUMMYFUNCTION("""COMPUTED_VALUE"""),"MAGDARAOG, KENNETH")</f>
        <v>MAGDARAOG, KENNETH</v>
      </c>
      <c r="C1124" s="1" t="str">
        <f>IFERROR(__xludf.DUMMYFUNCTION("""COMPUTED_VALUE"""),"ORGANIC")</f>
        <v>ORGANIC</v>
      </c>
      <c r="D1124" s="1" t="str">
        <f>IFERROR(__xludf.DUMMYFUNCTION("""COMPUTED_VALUE"""),"ALINGARO, CINDY")</f>
        <v>ALINGARO, CINDY</v>
      </c>
      <c r="E1124" s="1" t="str">
        <f>IFERROR(__xludf.DUMMYFUNCTION("""COMPUTED_VALUE"""),"PLDT")</f>
        <v>PLDT</v>
      </c>
      <c r="F1124" s="1">
        <f>IFERROR(__xludf.DUMMYFUNCTION("""COMPUTED_VALUE"""),2308729936)</f>
        <v>2308729936</v>
      </c>
      <c r="G1124" s="1">
        <f>IFERROR(__xludf.DUMMYFUNCTION("""COMPUTED_VALUE"""),449875617004)</f>
        <v>449875617004</v>
      </c>
      <c r="H1124" s="1" t="str">
        <f>IFERROR(__xludf.DUMMYFUNCTION("""COMPUTED_VALUE"""),"CAMILLE ANN CANTIMBUHAN MALIKSI")</f>
        <v>CAMILLE ANN CANTIMBUHAN MALIKSI</v>
      </c>
      <c r="I1124" s="1">
        <f>IFERROR(__xludf.DUMMYFUNCTION("""COMPUTED_VALUE"""),9157960333)</f>
        <v>9157960333</v>
      </c>
      <c r="J1124" s="1">
        <f>IFERROR(__xludf.DUMMYFUNCTION("""COMPUTED_VALUE"""),9922049366)</f>
        <v>9922049366</v>
      </c>
      <c r="K1124" s="1" t="str">
        <f>IFERROR(__xludf.DUMMYFUNCTION("""COMPUTED_VALUE"""),"JOHNPAULVALIDA22@GMAIL.COM")</f>
        <v>JOHNPAULVALIDA22@GMAIL.COM</v>
      </c>
      <c r="L1124" s="1" t="str">
        <f>IFERROR(__xludf.DUMMYFUNCTION("""COMPUTED_VALUE"""),"360")</f>
        <v>360</v>
      </c>
      <c r="M1124" s="1" t="str">
        <f>IFERROR(__xludf.DUMMYFUNCTION("""COMPUTED_VALUE"""),"PUROK 4")</f>
        <v>PUROK 4</v>
      </c>
      <c r="N1124" s="1"/>
      <c r="O1124" s="1" t="str">
        <f>IFERROR(__xludf.DUMMYFUNCTION("""COMPUTED_VALUE"""),"VICTORIA REYES")</f>
        <v>VICTORIA REYES</v>
      </c>
      <c r="P1124" s="1" t="str">
        <f>IFERROR(__xludf.DUMMYFUNCTION("""COMPUTED_VALUE"""),"DASMARINAS")</f>
        <v>DASMARINAS</v>
      </c>
      <c r="Q1124" s="1" t="str">
        <f>IFERROR(__xludf.DUMMYFUNCTION("""COMPUTED_VALUE"""),"CAVITE")</f>
        <v>CAVITE</v>
      </c>
      <c r="R1124" s="1" t="str">
        <f>IFERROR(__xludf.DUMMYFUNCTION("""COMPUTED_VALUE"""),"FIBR PLAN 1299")</f>
        <v>FIBR PLAN 1299</v>
      </c>
      <c r="S1124" s="1" t="str">
        <f>IFERROR(__xludf.DUMMYFUNCTION("""COMPUTED_VALUE"""),"APPROVED")</f>
        <v>APPROVED</v>
      </c>
      <c r="T1124" s="1"/>
      <c r="U1124" s="1"/>
      <c r="V1124" s="1"/>
      <c r="W1124" s="1"/>
    </row>
    <row r="1125" customHeight="1" spans="1:23">
      <c r="A1125" s="3">
        <f>IFERROR(__xludf.DUMMYFUNCTION("""COMPUTED_VALUE"""),46120)</f>
        <v>46120</v>
      </c>
      <c r="B1125" s="1" t="str">
        <f>IFERROR(__xludf.DUMMYFUNCTION("""COMPUTED_VALUE"""),"MAGDARAOG, KENNETH")</f>
        <v>MAGDARAOG, KENNETH</v>
      </c>
      <c r="C1125" s="1" t="str">
        <f>IFERROR(__xludf.DUMMYFUNCTION("""COMPUTED_VALUE"""),"ORGANIC")</f>
        <v>ORGANIC</v>
      </c>
      <c r="D1125" s="1" t="str">
        <f>IFERROR(__xludf.DUMMYFUNCTION("""COMPUTED_VALUE"""),"ALINGARO, CINDY")</f>
        <v>ALINGARO, CINDY</v>
      </c>
      <c r="E1125" s="1" t="str">
        <f>IFERROR(__xludf.DUMMYFUNCTION("""COMPUTED_VALUE"""),"PLDT")</f>
        <v>PLDT</v>
      </c>
      <c r="F1125" s="1">
        <f>IFERROR(__xludf.DUMMYFUNCTION("""COMPUTED_VALUE"""),2308734078)</f>
        <v>2308734078</v>
      </c>
      <c r="G1125" s="1">
        <f>IFERROR(__xludf.DUMMYFUNCTION("""COMPUTED_VALUE"""),449885879004)</f>
        <v>449885879004</v>
      </c>
      <c r="H1125" s="1" t="str">
        <f>IFERROR(__xludf.DUMMYFUNCTION("""COMPUTED_VALUE"""),"MARIA ROWENA PADUA SARABIA")</f>
        <v>MARIA ROWENA PADUA SARABIA</v>
      </c>
      <c r="I1125" s="1">
        <f>IFERROR(__xludf.DUMMYFUNCTION("""COMPUTED_VALUE"""),9466514012)</f>
        <v>9466514012</v>
      </c>
      <c r="J1125" s="1">
        <f>IFERROR(__xludf.DUMMYFUNCTION("""COMPUTED_VALUE"""),9506268265)</f>
        <v>9506268265</v>
      </c>
      <c r="K1125" s="1" t="str">
        <f>IFERROR(__xludf.DUMMYFUNCTION("""COMPUTED_VALUE"""),"GALENGALE121306@GMAIL.COM")</f>
        <v>GALENGALE121306@GMAIL.COM</v>
      </c>
      <c r="L1125" s="1" t="str">
        <f>IFERROR(__xludf.DUMMYFUNCTION("""COMPUTED_VALUE"""),"142")</f>
        <v>142</v>
      </c>
      <c r="M1125" s="1" t="str">
        <f>IFERROR(__xludf.DUMMYFUNCTION("""COMPUTED_VALUE"""),"PUROK 118")</f>
        <v>PUROK 118</v>
      </c>
      <c r="N1125" s="1" t="str">
        <f>IFERROR(__xludf.DUMMYFUNCTION("""COMPUTED_VALUE"""),"BAHAY TAGAYTAY P")</f>
        <v>BAHAY TAGAYTAY P</v>
      </c>
      <c r="O1125" s="1" t="str">
        <f>IFERROR(__xludf.DUMMYFUNCTION("""COMPUTED_VALUE"""),"MENDEZ CROSSING WEST")</f>
        <v>MENDEZ CROSSING WEST</v>
      </c>
      <c r="P1125" s="1" t="str">
        <f>IFERROR(__xludf.DUMMYFUNCTION("""COMPUTED_VALUE"""),"TAGAYTAY")</f>
        <v>TAGAYTAY</v>
      </c>
      <c r="Q1125" s="1" t="str">
        <f>IFERROR(__xludf.DUMMYFUNCTION("""COMPUTED_VALUE"""),"CAVITE")</f>
        <v>CAVITE</v>
      </c>
      <c r="R1125" s="1" t="str">
        <f>IFERROR(__xludf.DUMMYFUNCTION("""COMPUTED_VALUE"""),"PREPAID FIBER UNLI")</f>
        <v>PREPAID FIBER UNLI</v>
      </c>
      <c r="S1125" s="1" t="str">
        <f>IFERROR(__xludf.DUMMYFUNCTION("""COMPUTED_VALUE"""),"APPROVED")</f>
        <v>APPROVED</v>
      </c>
      <c r="T1125" s="1"/>
      <c r="U1125" s="1"/>
      <c r="V1125" s="1"/>
      <c r="W1125" s="1"/>
    </row>
    <row r="1126" customHeight="1" spans="1:23">
      <c r="A1126" s="3">
        <f>IFERROR(__xludf.DUMMYFUNCTION("""COMPUTED_VALUE"""),46120)</f>
        <v>46120</v>
      </c>
      <c r="B1126" s="1" t="str">
        <f>IFERROR(__xludf.DUMMYFUNCTION("""COMPUTED_VALUE"""),"GABAY, MANUEL")</f>
        <v>GABAY, MANUEL</v>
      </c>
      <c r="C1126" s="1" t="str">
        <f>IFERROR(__xludf.DUMMYFUNCTION("""COMPUTED_VALUE"""),"FLA")</f>
        <v>FLA</v>
      </c>
      <c r="D1126" s="1" t="str">
        <f>IFERROR(__xludf.DUMMYFUNCTION("""COMPUTED_VALUE"""),"JERIC NAVARRO")</f>
        <v>JERIC NAVARRO</v>
      </c>
      <c r="E1126" s="1" t="str">
        <f>IFERROR(__xludf.DUMMYFUNCTION("""COMPUTED_VALUE"""),"PLDT")</f>
        <v>PLDT</v>
      </c>
      <c r="F1126" s="1">
        <f>IFERROR(__xludf.DUMMYFUNCTION("""COMPUTED_VALUE"""),2308738869)</f>
        <v>2308738869</v>
      </c>
      <c r="G1126" s="1">
        <f>IFERROR(__xludf.DUMMYFUNCTION("""COMPUTED_VALUE"""),449891378004)</f>
        <v>449891378004</v>
      </c>
      <c r="H1126" s="1" t="str">
        <f>IFERROR(__xludf.DUMMYFUNCTION("""COMPUTED_VALUE"""),"NAISY BARCELONA PELLEJERA")</f>
        <v>NAISY BARCELONA PELLEJERA</v>
      </c>
      <c r="I1126" s="1">
        <f>IFERROR(__xludf.DUMMYFUNCTION("""COMPUTED_VALUE"""),905544150)</f>
        <v>905544150</v>
      </c>
      <c r="J1126" s="1">
        <f>IFERROR(__xludf.DUMMYFUNCTION("""COMPUTED_VALUE"""),9235043581)</f>
        <v>9235043581</v>
      </c>
      <c r="K1126" s="1" t="str">
        <f>IFERROR(__xludf.DUMMYFUNCTION("""COMPUTED_VALUE"""),"NAISYSUNRISE@GMAIL.COM")</f>
        <v>NAISYSUNRISE@GMAIL.COM</v>
      </c>
      <c r="L1126" s="1" t="str">
        <f>IFERROR(__xludf.DUMMYFUNCTION("""COMPUTED_VALUE"""),"BLK 40 LOT 50")</f>
        <v>BLK 40 LOT 50</v>
      </c>
      <c r="M1126" s="1" t="str">
        <f>IFERROR(__xludf.DUMMYFUNCTION("""COMPUTED_VALUE"""),"PLUTO")</f>
        <v>PLUTO</v>
      </c>
      <c r="N1126" s="1" t="str">
        <f>IFERROR(__xludf.DUMMYFUNCTION("""COMPUTED_VALUE"""),"CITYHOMES RESORTS VILL R5")</f>
        <v>CITYHOMES RESORTS VILL R5</v>
      </c>
      <c r="O1126" s="1" t="str">
        <f>IFERROR(__xludf.DUMMYFUNCTION("""COMPUTED_VALUE"""),"LANGKAAN II")</f>
        <v>LANGKAAN II</v>
      </c>
      <c r="P1126" s="1" t="str">
        <f>IFERROR(__xludf.DUMMYFUNCTION("""COMPUTED_VALUE"""),"DASMARINAS")</f>
        <v>DASMARINAS</v>
      </c>
      <c r="Q1126" s="1" t="str">
        <f>IFERROR(__xludf.DUMMYFUNCTION("""COMPUTED_VALUE"""),"CAVITE")</f>
        <v>CAVITE</v>
      </c>
      <c r="R1126" s="1" t="str">
        <f>IFERROR(__xludf.DUMMYFUNCTION("""COMPUTED_VALUE"""),"FIBR NETFLIX PLAN 1599")</f>
        <v>FIBR NETFLIX PLAN 1599</v>
      </c>
      <c r="S1126" s="1" t="str">
        <f>IFERROR(__xludf.DUMMYFUNCTION("""COMPUTED_VALUE"""),"APPROVED")</f>
        <v>APPROVED</v>
      </c>
      <c r="T1126" s="1"/>
      <c r="U1126" s="1"/>
      <c r="V1126" s="1"/>
      <c r="W1126" s="1"/>
    </row>
    <row r="1127" customHeight="1" spans="1:23">
      <c r="A1127" s="3">
        <f>IFERROR(__xludf.DUMMYFUNCTION("""COMPUTED_VALUE"""),46120)</f>
        <v>46120</v>
      </c>
      <c r="B1127" s="1" t="str">
        <f>IFERROR(__xludf.DUMMYFUNCTION("""COMPUTED_VALUE"""),"NAVARRO, JERIC")</f>
        <v>NAVARRO, JERIC</v>
      </c>
      <c r="C1127" s="1" t="str">
        <f>IFERROR(__xludf.DUMMYFUNCTION("""COMPUTED_VALUE"""),"FLA")</f>
        <v>FLA</v>
      </c>
      <c r="D1127" s="1" t="str">
        <f>IFERROR(__xludf.DUMMYFUNCTION("""COMPUTED_VALUE"""),"JERIC NAVARRO")</f>
        <v>JERIC NAVARRO</v>
      </c>
      <c r="E1127" s="1" t="str">
        <f>IFERROR(__xludf.DUMMYFUNCTION("""COMPUTED_VALUE"""),"PLDT")</f>
        <v>PLDT</v>
      </c>
      <c r="F1127" s="1">
        <f>IFERROR(__xludf.DUMMYFUNCTION("""COMPUTED_VALUE"""),2308740474)</f>
        <v>2308740474</v>
      </c>
      <c r="G1127" s="1">
        <f>IFERROR(__xludf.DUMMYFUNCTION("""COMPUTED_VALUE"""),449891754004)</f>
        <v>449891754004</v>
      </c>
      <c r="H1127" s="1" t="str">
        <f>IFERROR(__xludf.DUMMYFUNCTION("""COMPUTED_VALUE"""),"INES LARA SANDOVAL")</f>
        <v>INES LARA SANDOVAL</v>
      </c>
      <c r="I1127" s="1">
        <f>IFERROR(__xludf.DUMMYFUNCTION("""COMPUTED_VALUE"""),9988477697)</f>
        <v>9988477697</v>
      </c>
      <c r="J1127" s="1"/>
      <c r="K1127" s="1" t="str">
        <f>IFERROR(__xludf.DUMMYFUNCTION("""COMPUTED_VALUE"""),"ILSANDOVAL21@GMAIL.COM")</f>
        <v>ILSANDOVAL21@GMAIL.COM</v>
      </c>
      <c r="L1127" s="1" t="str">
        <f>IFERROR(__xludf.DUMMYFUNCTION("""COMPUTED_VALUE"""),"2579")</f>
        <v>2579</v>
      </c>
      <c r="M1127" s="1" t="str">
        <f>IFERROR(__xludf.DUMMYFUNCTION("""COMPUTED_VALUE"""),"SITIO TIGAS")</f>
        <v>SITIO TIGAS</v>
      </c>
      <c r="N1127" s="1"/>
      <c r="O1127" s="1" t="str">
        <f>IFERROR(__xludf.DUMMYFUNCTION("""COMPUTED_VALUE"""),"MAYMANGGA")</f>
        <v>MAYMANGGA</v>
      </c>
      <c r="P1127" s="1" t="str">
        <f>IFERROR(__xludf.DUMMYFUNCTION("""COMPUTED_VALUE"""),"AMADEO")</f>
        <v>AMADEO</v>
      </c>
      <c r="Q1127" s="1" t="str">
        <f>IFERROR(__xludf.DUMMYFUNCTION("""COMPUTED_VALUE"""),"CAVITE")</f>
        <v>CAVITE</v>
      </c>
      <c r="R1127" s="1" t="str">
        <f>IFERROR(__xludf.DUMMYFUNCTION("""COMPUTED_VALUE"""),"PREPAID FIBER UNLI")</f>
        <v>PREPAID FIBER UNLI</v>
      </c>
      <c r="S1127" s="1" t="str">
        <f>IFERROR(__xludf.DUMMYFUNCTION("""COMPUTED_VALUE"""),"APPROVED")</f>
        <v>APPROVED</v>
      </c>
      <c r="T1127" s="1"/>
      <c r="U1127" s="1"/>
      <c r="V1127" s="1"/>
      <c r="W1127" s="1"/>
    </row>
    <row r="1128" customHeight="1" spans="1:23">
      <c r="A1128" s="3">
        <f>IFERROR(__xludf.DUMMYFUNCTION("""COMPUTED_VALUE"""),46120)</f>
        <v>46120</v>
      </c>
      <c r="B1128" s="1" t="str">
        <f>IFERROR(__xludf.DUMMYFUNCTION("""COMPUTED_VALUE"""),"CONCEPCION, ALJAY")</f>
        <v>CONCEPCION, ALJAY</v>
      </c>
      <c r="C1128" s="1" t="str">
        <f>IFERROR(__xludf.DUMMYFUNCTION("""COMPUTED_VALUE"""),"ORGANIC")</f>
        <v>ORGANIC</v>
      </c>
      <c r="D1128" s="1" t="str">
        <f>IFERROR(__xludf.DUMMYFUNCTION("""COMPUTED_VALUE"""),"ALINGARO, CINDY")</f>
        <v>ALINGARO, CINDY</v>
      </c>
      <c r="E1128" s="1" t="str">
        <f>IFERROR(__xludf.DUMMYFUNCTION("""COMPUTED_VALUE"""),"PLDT")</f>
        <v>PLDT</v>
      </c>
      <c r="F1128" s="1"/>
      <c r="G1128" s="1"/>
      <c r="H1128" s="1" t="str">
        <f>IFERROR(__xludf.DUMMYFUNCTION("""COMPUTED_VALUE"""),"MARLON CASAS MINTO")</f>
        <v>MARLON CASAS MINTO</v>
      </c>
      <c r="I1128" s="1">
        <f>IFERROR(__xludf.DUMMYFUNCTION("""COMPUTED_VALUE"""),9095784906)</f>
        <v>9095784906</v>
      </c>
      <c r="J1128" s="1">
        <f>IFERROR(__xludf.DUMMYFUNCTION("""COMPUTED_VALUE"""),9945933141)</f>
        <v>9945933141</v>
      </c>
      <c r="K1128" s="1" t="str">
        <f>IFERROR(__xludf.DUMMYFUNCTION("""COMPUTED_VALUE"""),"MARLONMINTO48@GMAIL.COM")</f>
        <v>MARLONMINTO48@GMAIL.COM</v>
      </c>
      <c r="L1128" s="1" t="str">
        <f>IFERROR(__xludf.DUMMYFUNCTION("""COMPUTED_VALUE"""),"193")</f>
        <v>193</v>
      </c>
      <c r="M1128" s="1" t="str">
        <f>IFERROR(__xludf.DUMMYFUNCTION("""COMPUTED_VALUE"""),"SITIO MATRO GATE")</f>
        <v>SITIO MATRO GATE</v>
      </c>
      <c r="N1128" s="1"/>
      <c r="O1128" s="1" t="str">
        <f>IFERROR(__xludf.DUMMYFUNCTION("""COMPUTED_VALUE"""),"TIBIG")</f>
        <v>TIBIG</v>
      </c>
      <c r="P1128" s="1" t="str">
        <f>IFERROR(__xludf.DUMMYFUNCTION("""COMPUTED_VALUE"""),"SILANG")</f>
        <v>SILANG</v>
      </c>
      <c r="Q1128" s="1" t="str">
        <f>IFERROR(__xludf.DUMMYFUNCTION("""COMPUTED_VALUE"""),"CAVITE")</f>
        <v>CAVITE</v>
      </c>
      <c r="R1128" s="1" t="str">
        <f>IFERROR(__xludf.DUMMYFUNCTION("""COMPUTED_VALUE"""),"FIBR UNLI ALL PLAN 1399")</f>
        <v>FIBR UNLI ALL PLAN 1399</v>
      </c>
      <c r="S1128" s="1" t="str">
        <f>IFERROR(__xludf.DUMMYFUNCTION("""COMPUTED_VALUE"""),"CANCELLED ")</f>
        <v>CANCELLED </v>
      </c>
      <c r="T1128" s="1" t="str">
        <f>IFERROR(__xludf.DUMMYFUNCTION("""COMPUTED_VALUE"""),"INSTALLED ALREADY")</f>
        <v>INSTALLED ALREADY</v>
      </c>
      <c r="U1128" s="1"/>
      <c r="V1128" s="1"/>
      <c r="W1128" s="1"/>
    </row>
    <row r="1129" customHeight="1" spans="1:23">
      <c r="A1129" s="3">
        <f>IFERROR(__xludf.DUMMYFUNCTION("""COMPUTED_VALUE"""),46120)</f>
        <v>46120</v>
      </c>
      <c r="B1129" s="1" t="str">
        <f>IFERROR(__xludf.DUMMYFUNCTION("""COMPUTED_VALUE"""),"FARO, REFRANTA")</f>
        <v>FARO, REFRANTA</v>
      </c>
      <c r="C1129" s="1" t="str">
        <f>IFERROR(__xludf.DUMMYFUNCTION("""COMPUTED_VALUE"""),"ORGANIC")</f>
        <v>ORGANIC</v>
      </c>
      <c r="D1129" s="1" t="str">
        <f>IFERROR(__xludf.DUMMYFUNCTION("""COMPUTED_VALUE"""),"ALINGARO, CINDY")</f>
        <v>ALINGARO, CINDY</v>
      </c>
      <c r="E1129" s="1" t="str">
        <f>IFERROR(__xludf.DUMMYFUNCTION("""COMPUTED_VALUE"""),"PLDT")</f>
        <v>PLDT</v>
      </c>
      <c r="F1129" s="1">
        <f>IFERROR(__xludf.DUMMYFUNCTION("""COMPUTED_VALUE"""),2308741441)</f>
        <v>2308741441</v>
      </c>
      <c r="G1129" s="1">
        <f>IFERROR(__xludf.DUMMYFUNCTION("""COMPUTED_VALUE"""),449893459004)</f>
        <v>449893459004</v>
      </c>
      <c r="H1129" s="1" t="str">
        <f>IFERROR(__xludf.DUMMYFUNCTION("""COMPUTED_VALUE"""),"PERLITA VALDEZ PARVA")</f>
        <v>PERLITA VALDEZ PARVA</v>
      </c>
      <c r="I1129" s="1">
        <f>IFERROR(__xludf.DUMMYFUNCTION("""COMPUTED_VALUE"""),9637838605)</f>
        <v>9637838605</v>
      </c>
      <c r="J1129" s="1"/>
      <c r="K1129" s="1" t="str">
        <f>IFERROR(__xludf.DUMMYFUNCTION("""COMPUTED_VALUE"""),"FERLYN0315@GMAIL.COM")</f>
        <v>FERLYN0315@GMAIL.COM</v>
      </c>
      <c r="L1129" s="1" t="str">
        <f>IFERROR(__xludf.DUMMYFUNCTION("""COMPUTED_VALUE"""),"128")</f>
        <v>128</v>
      </c>
      <c r="M1129" s="1" t="str">
        <f>IFERROR(__xludf.DUMMYFUNCTION("""COMPUTED_VALUE"""),"NARRA 1")</f>
        <v>NARRA 1</v>
      </c>
      <c r="N1129" s="1"/>
      <c r="O1129" s="1" t="str">
        <f>IFERROR(__xludf.DUMMYFUNCTION("""COMPUTED_VALUE"""),"BANAYAD")</f>
        <v>BANAYAD</v>
      </c>
      <c r="P1129" s="1" t="str">
        <f>IFERROR(__xludf.DUMMYFUNCTION("""COMPUTED_VALUE"""),"MENDEZ")</f>
        <v>MENDEZ</v>
      </c>
      <c r="Q1129" s="1" t="str">
        <f>IFERROR(__xludf.DUMMYFUNCTION("""COMPUTED_VALUE"""),"CAVITE")</f>
        <v>CAVITE</v>
      </c>
      <c r="R1129" s="1" t="str">
        <f>IFERROR(__xludf.DUMMYFUNCTION("""COMPUTED_VALUE"""),"FIBR UNLI ALL PLAN 1399")</f>
        <v>FIBR UNLI ALL PLAN 1399</v>
      </c>
      <c r="S1129" s="1" t="str">
        <f>IFERROR(__xludf.DUMMYFUNCTION("""COMPUTED_VALUE"""),"APPROVED")</f>
        <v>APPROVED</v>
      </c>
      <c r="T1129" s="1"/>
      <c r="U1129" s="1"/>
      <c r="V1129" s="1"/>
      <c r="W1129" s="1"/>
    </row>
    <row r="1130" customHeight="1" spans="1:23">
      <c r="A1130" s="3">
        <f>IFERROR(__xludf.DUMMYFUNCTION("""COMPUTED_VALUE"""),46120)</f>
        <v>46120</v>
      </c>
      <c r="B1130" s="1" t="str">
        <f>IFERROR(__xludf.DUMMYFUNCTION("""COMPUTED_VALUE"""),"NAVARRO, JERIC")</f>
        <v>NAVARRO, JERIC</v>
      </c>
      <c r="C1130" s="1" t="str">
        <f>IFERROR(__xludf.DUMMYFUNCTION("""COMPUTED_VALUE"""),"FLA")</f>
        <v>FLA</v>
      </c>
      <c r="D1130" s="1" t="str">
        <f>IFERROR(__xludf.DUMMYFUNCTION("""COMPUTED_VALUE"""),"JERIC NAVARRO")</f>
        <v>JERIC NAVARRO</v>
      </c>
      <c r="E1130" s="1" t="str">
        <f>IFERROR(__xludf.DUMMYFUNCTION("""COMPUTED_VALUE"""),"PLDT")</f>
        <v>PLDT</v>
      </c>
      <c r="F1130" s="1">
        <f>IFERROR(__xludf.DUMMYFUNCTION("""COMPUTED_VALUE"""),2308743093)</f>
        <v>2308743093</v>
      </c>
      <c r="G1130" s="1">
        <f>IFERROR(__xludf.DUMMYFUNCTION("""COMPUTED_VALUE"""),449927682004)</f>
        <v>449927682004</v>
      </c>
      <c r="H1130" s="1" t="str">
        <f>IFERROR(__xludf.DUMMYFUNCTION("""COMPUTED_VALUE"""),"CRISPINA NOBLESALA DELOS SANTOS")</f>
        <v>CRISPINA NOBLESALA DELOS SANTOS</v>
      </c>
      <c r="I1130" s="1">
        <f>IFERROR(__xludf.DUMMYFUNCTION("""COMPUTED_VALUE"""),9652686833)</f>
        <v>9652686833</v>
      </c>
      <c r="J1130" s="1"/>
      <c r="K1130" s="1" t="str">
        <f>IFERROR(__xludf.DUMMYFUNCTION("""COMPUTED_VALUE"""),"CRISPINA83@GMAIL.COM")</f>
        <v>CRISPINA83@GMAIL.COM</v>
      </c>
      <c r="L1130" s="1" t="str">
        <f>IFERROR(__xludf.DUMMYFUNCTION("""COMPUTED_VALUE"""),"226")</f>
        <v>226</v>
      </c>
      <c r="M1130" s="1" t="str">
        <f>IFERROR(__xludf.DUMMYFUNCTION("""COMPUTED_VALUE"""),"RUBY")</f>
        <v>RUBY</v>
      </c>
      <c r="N1130" s="1" t="str">
        <f>IFERROR(__xludf.DUMMYFUNCTION("""COMPUTED_VALUE"""),"BLOCK 2")</f>
        <v>BLOCK 2</v>
      </c>
      <c r="O1130" s="1" t="str">
        <f>IFERROR(__xludf.DUMMYFUNCTION("""COMPUTED_VALUE"""),"MARCELINO MEMIJE")</f>
        <v>MARCELINO MEMIJE</v>
      </c>
      <c r="P1130" s="1" t="str">
        <f>IFERROR(__xludf.DUMMYFUNCTION("""COMPUTED_VALUE"""),"GEN MARIANO ALVAREZ")</f>
        <v>GEN MARIANO ALVAREZ</v>
      </c>
      <c r="Q1130" s="1" t="str">
        <f>IFERROR(__xludf.DUMMYFUNCTION("""COMPUTED_VALUE"""),"CAVITE")</f>
        <v>CAVITE</v>
      </c>
      <c r="R1130" s="1" t="str">
        <f>IFERROR(__xludf.DUMMYFUNCTION("""COMPUTED_VALUE"""),"FIBR PLAN 1299")</f>
        <v>FIBR PLAN 1299</v>
      </c>
      <c r="S1130" s="1" t="str">
        <f>IFERROR(__xludf.DUMMYFUNCTION("""COMPUTED_VALUE"""),"APPROVED")</f>
        <v>APPROVED</v>
      </c>
      <c r="T1130" s="1"/>
      <c r="U1130" s="1"/>
      <c r="V1130" s="1"/>
      <c r="W1130" s="1"/>
    </row>
    <row r="1131" customHeight="1" spans="1:23">
      <c r="A1131" s="3">
        <f>IFERROR(__xludf.DUMMYFUNCTION("""COMPUTED_VALUE"""),46120)</f>
        <v>46120</v>
      </c>
      <c r="B1131" s="1" t="str">
        <f>IFERROR(__xludf.DUMMYFUNCTION("""COMPUTED_VALUE"""),"CONCEPCION, ALJAY")</f>
        <v>CONCEPCION, ALJAY</v>
      </c>
      <c r="C1131" s="1" t="str">
        <f>IFERROR(__xludf.DUMMYFUNCTION("""COMPUTED_VALUE"""),"ORGANIC")</f>
        <v>ORGANIC</v>
      </c>
      <c r="D1131" s="1" t="str">
        <f>IFERROR(__xludf.DUMMYFUNCTION("""COMPUTED_VALUE"""),"ALINGARO, CINDY")</f>
        <v>ALINGARO, CINDY</v>
      </c>
      <c r="E1131" s="1" t="str">
        <f>IFERROR(__xludf.DUMMYFUNCTION("""COMPUTED_VALUE"""),"PLDT")</f>
        <v>PLDT</v>
      </c>
      <c r="F1131" s="1"/>
      <c r="G1131" s="1"/>
      <c r="H1131" s="1" t="str">
        <f>IFERROR(__xludf.DUMMYFUNCTION("""COMPUTED_VALUE"""),"EDDIERF FLORES GEVERO")</f>
        <v>EDDIERF FLORES GEVERO</v>
      </c>
      <c r="I1131" s="1">
        <f>IFERROR(__xludf.DUMMYFUNCTION("""COMPUTED_VALUE"""),9455515396)</f>
        <v>9455515396</v>
      </c>
      <c r="J1131" s="1">
        <f>IFERROR(__xludf.DUMMYFUNCTION("""COMPUTED_VALUE"""),9691431891)</f>
        <v>9691431891</v>
      </c>
      <c r="K1131" s="1" t="str">
        <f>IFERROR(__xludf.DUMMYFUNCTION("""COMPUTED_VALUE"""),"MALOUDAHAY0607@GMAIL.COM")</f>
        <v>MALOUDAHAY0607@GMAIL.COM</v>
      </c>
      <c r="L1131" s="1" t="str">
        <f>IFERROR(__xludf.DUMMYFUNCTION("""COMPUTED_VALUE"""),"38")</f>
        <v>38</v>
      </c>
      <c r="M1131" s="1" t="str">
        <f>IFERROR(__xludf.DUMMYFUNCTION("""COMPUTED_VALUE"""),"MABINI")</f>
        <v>MABINI</v>
      </c>
      <c r="N1131" s="1" t="str">
        <f>IFERROR(__xludf.DUMMYFUNCTION("""COMPUTED_VALUE"""),"PUROK 5")</f>
        <v>PUROK 5</v>
      </c>
      <c r="O1131" s="1" t="str">
        <f>IFERROR(__xludf.DUMMYFUNCTION("""COMPUTED_VALUE"""),"BARANGAY")</f>
        <v>BARANGAY</v>
      </c>
      <c r="P1131" s="1" t="str">
        <f>IFERROR(__xludf.DUMMYFUNCTION("""COMPUTED_VALUE"""),"TAGAYTAY")</f>
        <v>TAGAYTAY</v>
      </c>
      <c r="Q1131" s="1" t="str">
        <f>IFERROR(__xludf.DUMMYFUNCTION("""COMPUTED_VALUE"""),"CAVITE")</f>
        <v>CAVITE</v>
      </c>
      <c r="R1131" s="1" t="str">
        <f>IFERROR(__xludf.DUMMYFUNCTION("""COMPUTED_VALUE"""),"FIBR PLAN 1299")</f>
        <v>FIBR PLAN 1299</v>
      </c>
      <c r="S1131" s="1" t="str">
        <f>IFERROR(__xludf.DUMMYFUNCTION("""COMPUTED_VALUE"""),"CANCELLED ")</f>
        <v>CANCELLED </v>
      </c>
      <c r="T1131" s="1" t="str">
        <f>IFERROR(__xludf.DUMMYFUNCTION("""COMPUTED_VALUE"""),"WITH CONVERGE NOW KAKA INSTALL LANG")</f>
        <v>WITH CONVERGE NOW KAKA INSTALL LANG</v>
      </c>
      <c r="U1131" s="1"/>
      <c r="V1131" s="1"/>
      <c r="W1131" s="1"/>
    </row>
    <row r="1132" customHeight="1" spans="1:23">
      <c r="A1132" s="3">
        <f>IFERROR(__xludf.DUMMYFUNCTION("""COMPUTED_VALUE"""),46121)</f>
        <v>46121</v>
      </c>
      <c r="B1132" s="1" t="str">
        <f>IFERROR(__xludf.DUMMYFUNCTION("""COMPUTED_VALUE"""),"CONCEPCION, ALJAY")</f>
        <v>CONCEPCION, ALJAY</v>
      </c>
      <c r="C1132" s="1" t="str">
        <f>IFERROR(__xludf.DUMMYFUNCTION("""COMPUTED_VALUE"""),"ORGANIC")</f>
        <v>ORGANIC</v>
      </c>
      <c r="D1132" s="1" t="str">
        <f>IFERROR(__xludf.DUMMYFUNCTION("""COMPUTED_VALUE"""),"ALINGARO, CINDY")</f>
        <v>ALINGARO, CINDY</v>
      </c>
      <c r="E1132" s="1" t="str">
        <f>IFERROR(__xludf.DUMMYFUNCTION("""COMPUTED_VALUE"""),"PLDT")</f>
        <v>PLDT</v>
      </c>
      <c r="F1132" s="1"/>
      <c r="G1132" s="1"/>
      <c r="H1132" s="1" t="str">
        <f>IFERROR(__xludf.DUMMYFUNCTION("""COMPUTED_VALUE"""),"TERENCHILL CALIWAN PATAGAN")</f>
        <v>TERENCHILL CALIWAN PATAGAN</v>
      </c>
      <c r="I1132" s="1">
        <f>IFERROR(__xludf.DUMMYFUNCTION("""COMPUTED_VALUE"""),9630460177)</f>
        <v>9630460177</v>
      </c>
      <c r="J1132" s="1">
        <f>IFERROR(__xludf.DUMMYFUNCTION("""COMPUTED_VALUE"""),9261633180)</f>
        <v>9261633180</v>
      </c>
      <c r="K1132" s="1" t="str">
        <f>IFERROR(__xludf.DUMMYFUNCTION("""COMPUTED_VALUE"""),"ELLIECANEY8@GMAIL.COM")</f>
        <v>ELLIECANEY8@GMAIL.COM</v>
      </c>
      <c r="L1132" s="1" t="str">
        <f>IFERROR(__xludf.DUMMYFUNCTION("""COMPUTED_VALUE"""),"BLK 43 LOT 10")</f>
        <v>BLK 43 LOT 10</v>
      </c>
      <c r="M1132" s="1" t="str">
        <f>IFERROR(__xludf.DUMMYFUNCTION("""COMPUTED_VALUE"""),"ANAHAW 2")</f>
        <v>ANAHAW 2</v>
      </c>
      <c r="N1132" s="1"/>
      <c r="O1132" s="1" t="str">
        <f>IFERROR(__xludf.DUMMYFUNCTION("""COMPUTED_VALUE"""),"ANAHAW II")</f>
        <v>ANAHAW II</v>
      </c>
      <c r="P1132" s="1" t="str">
        <f>IFERROR(__xludf.DUMMYFUNCTION("""COMPUTED_VALUE"""),"SILANG")</f>
        <v>SILANG</v>
      </c>
      <c r="Q1132" s="1" t="str">
        <f>IFERROR(__xludf.DUMMYFUNCTION("""COMPUTED_VALUE"""),"CAVITE")</f>
        <v>CAVITE</v>
      </c>
      <c r="R1132" s="1" t="str">
        <f>IFERROR(__xludf.DUMMYFUNCTION("""COMPUTED_VALUE"""),"FIBR PLAN 1299")</f>
        <v>FIBR PLAN 1299</v>
      </c>
      <c r="S1132" s="1" t="str">
        <f>IFERROR(__xludf.DUMMYFUNCTION("""COMPUTED_VALUE"""),"CANCELLED ")</f>
        <v>CANCELLED </v>
      </c>
      <c r="T1132" s="1" t="str">
        <f>IFERROR(__xludf.DUMMYFUNCTION("""COMPUTED_VALUE"""),"SUBS CANCEL REQUEST")</f>
        <v>SUBS CANCEL REQUEST</v>
      </c>
      <c r="U1132" s="1"/>
      <c r="V1132" s="1"/>
      <c r="W1132" s="1"/>
    </row>
    <row r="1133" customHeight="1" spans="1:23">
      <c r="A1133" s="3">
        <f>IFERROR(__xludf.DUMMYFUNCTION("""COMPUTED_VALUE"""),46121)</f>
        <v>46121</v>
      </c>
      <c r="B1133" s="1" t="str">
        <f>IFERROR(__xludf.DUMMYFUNCTION("""COMPUTED_VALUE"""),"DELA ROSA, JENNELYN")</f>
        <v>DELA ROSA, JENNELYN</v>
      </c>
      <c r="C1133" s="1" t="str">
        <f>IFERROR(__xludf.DUMMYFUNCTION("""COMPUTED_VALUE"""),"ORGANIC")</f>
        <v>ORGANIC</v>
      </c>
      <c r="D1133" s="1" t="str">
        <f>IFERROR(__xludf.DUMMYFUNCTION("""COMPUTED_VALUE"""),"ALOS, CHARLS")</f>
        <v>ALOS, CHARLS</v>
      </c>
      <c r="E1133" s="1" t="str">
        <f>IFERROR(__xludf.DUMMYFUNCTION("""COMPUTED_VALUE"""),"PLDT")</f>
        <v>PLDT</v>
      </c>
      <c r="F1133" s="1"/>
      <c r="G1133" s="1"/>
      <c r="H1133" s="1" t="str">
        <f>IFERROR(__xludf.DUMMYFUNCTION("""COMPUTED_VALUE"""),"MARK ALVIN BLAS DITA")</f>
        <v>MARK ALVIN BLAS DITA</v>
      </c>
      <c r="I1133" s="1">
        <f>IFERROR(__xludf.DUMMYFUNCTION("""COMPUTED_VALUE"""),9541843365)</f>
        <v>9541843365</v>
      </c>
      <c r="J1133" s="1">
        <f>IFERROR(__xludf.DUMMYFUNCTION("""COMPUTED_VALUE"""),9933029977)</f>
        <v>9933029977</v>
      </c>
      <c r="K1133" s="1" t="str">
        <f>IFERROR(__xludf.DUMMYFUNCTION("""COMPUTED_VALUE"""),"ALLINAZARENEKRAM06@GMAIL.COM")</f>
        <v>ALLINAZARENEKRAM06@GMAIL.COM</v>
      </c>
      <c r="L1133" s="1" t="str">
        <f>IFERROR(__xludf.DUMMYFUNCTION("""COMPUTED_VALUE"""),"BLK 40 LOT 8")</f>
        <v>BLK 40 LOT 8</v>
      </c>
      <c r="M1133" s="1" t="str">
        <f>IFERROR(__xludf.DUMMYFUNCTION("""COMPUTED_VALUE"""),"NARRA 3")</f>
        <v>NARRA 3</v>
      </c>
      <c r="N1133" s="1"/>
      <c r="O1133" s="1" t="str">
        <f>IFERROR(__xludf.DUMMYFUNCTION("""COMPUTED_VALUE"""),"NARRA III")</f>
        <v>NARRA III</v>
      </c>
      <c r="P1133" s="1" t="str">
        <f>IFERROR(__xludf.DUMMYFUNCTION("""COMPUTED_VALUE"""),"SILANG")</f>
        <v>SILANG</v>
      </c>
      <c r="Q1133" s="1" t="str">
        <f>IFERROR(__xludf.DUMMYFUNCTION("""COMPUTED_VALUE"""),"CAVITE")</f>
        <v>CAVITE</v>
      </c>
      <c r="R1133" s="1" t="str">
        <f>IFERROR(__xludf.DUMMYFUNCTION("""COMPUTED_VALUE"""),"FIBR UNLI ALL PLAN 999")</f>
        <v>FIBR UNLI ALL PLAN 999</v>
      </c>
      <c r="S1133" s="1" t="str">
        <f>IFERROR(__xludf.DUMMYFUNCTION("""COMPUTED_VALUE"""),"FOR CALLBACK / CANNOT BE REACHED")</f>
        <v>FOR CALLBACK / CANNOT BE REACHED</v>
      </c>
      <c r="T1133" s="1" t="str">
        <f>IFERROR(__xludf.DUMMYFUNCTION("""COMPUTED_VALUE"""),"DONE CALLOUT , WILLING MAG ADAVANCE PAYMENT BY APRIL 20")</f>
        <v>DONE CALLOUT , WILLING MAG ADAVANCE PAYMENT BY APRIL 20</v>
      </c>
      <c r="U1133" s="1"/>
      <c r="V1133" s="1"/>
      <c r="W1133" s="1"/>
    </row>
    <row r="1134" customHeight="1" spans="1:23">
      <c r="A1134" s="3">
        <f>IFERROR(__xludf.DUMMYFUNCTION("""COMPUTED_VALUE"""),46121)</f>
        <v>46121</v>
      </c>
      <c r="B1134" s="1" t="str">
        <f>IFERROR(__xludf.DUMMYFUNCTION("""COMPUTED_VALUE"""),"CARPIO, STEPHANIE NICOLE")</f>
        <v>CARPIO, STEPHANIE NICOLE</v>
      </c>
      <c r="C1134" s="1" t="str">
        <f>IFERROR(__xludf.DUMMYFUNCTION("""COMPUTED_VALUE"""),"FLA")</f>
        <v>FLA</v>
      </c>
      <c r="D1134" s="1" t="str">
        <f>IFERROR(__xludf.DUMMYFUNCTION("""COMPUTED_VALUE"""),"JERIC NAVARRO")</f>
        <v>JERIC NAVARRO</v>
      </c>
      <c r="E1134" s="1" t="str">
        <f>IFERROR(__xludf.DUMMYFUNCTION("""COMPUTED_VALUE"""),"PLDT")</f>
        <v>PLDT</v>
      </c>
      <c r="F1134" s="1">
        <f>IFERROR(__xludf.DUMMYFUNCTION("""COMPUTED_VALUE"""),2308754626)</f>
        <v>2308754626</v>
      </c>
      <c r="G1134" s="1">
        <f>IFERROR(__xludf.DUMMYFUNCTION("""COMPUTED_VALUE"""),450022525004)</f>
        <v>450022525004</v>
      </c>
      <c r="H1134" s="1" t="str">
        <f>IFERROR(__xludf.DUMMYFUNCTION("""COMPUTED_VALUE"""),"FERNANDO JR BRIER CALDERON")</f>
        <v>FERNANDO JR BRIER CALDERON</v>
      </c>
      <c r="I1134" s="1">
        <f>IFERROR(__xludf.DUMMYFUNCTION("""COMPUTED_VALUE"""),639165476678)</f>
        <v>639165476678</v>
      </c>
      <c r="J1134" s="1"/>
      <c r="K1134" s="1" t="str">
        <f>IFERROR(__xludf.DUMMYFUNCTION("""COMPUTED_VALUE"""),"FERNANDOCALDERONJR83@GMAIL.COM")</f>
        <v>FERNANDOCALDERONJR83@GMAIL.COM</v>
      </c>
      <c r="L1134" s="1" t="str">
        <f>IFERROR(__xludf.DUMMYFUNCTION("""COMPUTED_VALUE"""),"37D")</f>
        <v>37D</v>
      </c>
      <c r="M1134" s="1" t="str">
        <f>IFERROR(__xludf.DUMMYFUNCTION("""COMPUTED_VALUE"""),"F REYES")</f>
        <v>F REYES</v>
      </c>
      <c r="N1134" s="1"/>
      <c r="O1134" s="1" t="str">
        <f>IFERROR(__xludf.DUMMYFUNCTION("""COMPUTED_VALUE"""),"BARANGAY 21 (SCORPIO)")</f>
        <v>BARANGAY 21 (SCORPIO)</v>
      </c>
      <c r="P1134" s="1" t="str">
        <f>IFERROR(__xludf.DUMMYFUNCTION("""COMPUTED_VALUE"""),"CAVITE CITY")</f>
        <v>CAVITE CITY</v>
      </c>
      <c r="Q1134" s="1" t="str">
        <f>IFERROR(__xludf.DUMMYFUNCTION("""COMPUTED_VALUE"""),"CAVITE")</f>
        <v>CAVITE</v>
      </c>
      <c r="R1134" s="1" t="str">
        <f>IFERROR(__xludf.DUMMYFUNCTION("""COMPUTED_VALUE"""),"FIBR PLAN 1299")</f>
        <v>FIBR PLAN 1299</v>
      </c>
      <c r="S1134" s="1" t="str">
        <f>IFERROR(__xludf.DUMMYFUNCTION("""COMPUTED_VALUE"""),"APPROVED")</f>
        <v>APPROVED</v>
      </c>
      <c r="T1134" s="1"/>
      <c r="U1134" s="1"/>
      <c r="V1134" s="1"/>
      <c r="W1134" s="1"/>
    </row>
    <row r="1135" customHeight="1" spans="1:23">
      <c r="A1135" s="3">
        <f>IFERROR(__xludf.DUMMYFUNCTION("""COMPUTED_VALUE"""),46121)</f>
        <v>46121</v>
      </c>
      <c r="B1135" s="1" t="str">
        <f>IFERROR(__xludf.DUMMYFUNCTION("""COMPUTED_VALUE"""),"DACALCAP RUBEN")</f>
        <v>DACALCAP RUBEN</v>
      </c>
      <c r="C1135" s="1" t="str">
        <f>IFERROR(__xludf.DUMMYFUNCTION("""COMPUTED_VALUE"""),"FLA")</f>
        <v>FLA</v>
      </c>
      <c r="D1135" s="1" t="str">
        <f>IFERROR(__xludf.DUMMYFUNCTION("""COMPUTED_VALUE"""),"JERIC NAVARRO")</f>
        <v>JERIC NAVARRO</v>
      </c>
      <c r="E1135" s="1" t="str">
        <f>IFERROR(__xludf.DUMMYFUNCTION("""COMPUTED_VALUE"""),"PLDT")</f>
        <v>PLDT</v>
      </c>
      <c r="F1135" s="1">
        <f>IFERROR(__xludf.DUMMYFUNCTION("""COMPUTED_VALUE"""),2308755784)</f>
        <v>2308755784</v>
      </c>
      <c r="G1135" s="1"/>
      <c r="H1135" s="1" t="str">
        <f>IFERROR(__xludf.DUMMYFUNCTION("""COMPUTED_VALUE"""),"JAY BUNI UMALI")</f>
        <v>JAY BUNI UMALI</v>
      </c>
      <c r="I1135" s="1">
        <f>IFERROR(__xludf.DUMMYFUNCTION("""COMPUTED_VALUE"""),639777751037)</f>
        <v>639777751037</v>
      </c>
      <c r="J1135" s="1">
        <f>IFERROR(__xludf.DUMMYFUNCTION("""COMPUTED_VALUE"""),639195857111)</f>
        <v>639195857111</v>
      </c>
      <c r="K1135" s="1" t="str">
        <f>IFERROR(__xludf.DUMMYFUNCTION("""COMPUTED_VALUE"""),"UMALIJAY20@GMAIL.COM")</f>
        <v>UMALIJAY20@GMAIL.COM</v>
      </c>
      <c r="L1135" s="1" t="str">
        <f>IFERROR(__xludf.DUMMYFUNCTION("""COMPUTED_VALUE"""),"031-BL-015")</f>
        <v>031-BL-015</v>
      </c>
      <c r="M1135" s="1" t="str">
        <f>IFERROR(__xludf.DUMMYFUNCTION("""COMPUTED_VALUE"""),"ACACIA")</f>
        <v>ACACIA</v>
      </c>
      <c r="N1135" s="1"/>
      <c r="O1135" s="1" t="str">
        <f>IFERROR(__xludf.DUMMYFUNCTION("""COMPUTED_VALUE"""),"ACACIA")</f>
        <v>ACACIA</v>
      </c>
      <c r="P1135" s="1" t="str">
        <f>IFERROR(__xludf.DUMMYFUNCTION("""COMPUTED_VALUE"""),"SILANG")</f>
        <v>SILANG</v>
      </c>
      <c r="Q1135" s="1" t="str">
        <f>IFERROR(__xludf.DUMMYFUNCTION("""COMPUTED_VALUE"""),"CAVITE")</f>
        <v>CAVITE</v>
      </c>
      <c r="R1135" s="1" t="str">
        <f>IFERROR(__xludf.DUMMYFUNCTION("""COMPUTED_VALUE"""),"FIBR UNLI ALL PLAN 1799")</f>
        <v>FIBR UNLI ALL PLAN 1799</v>
      </c>
      <c r="S1135" s="1" t="str">
        <f>IFERROR(__xludf.DUMMYFUNCTION("""COMPUTED_VALUE"""),"APPROVED")</f>
        <v>APPROVED</v>
      </c>
      <c r="T1135" s="1"/>
      <c r="U1135" s="1"/>
      <c r="V1135" s="1"/>
      <c r="W1135" s="1"/>
    </row>
    <row r="1136" customHeight="1" spans="1:23">
      <c r="A1136" s="3">
        <f>IFERROR(__xludf.DUMMYFUNCTION("""COMPUTED_VALUE"""),46121)</f>
        <v>46121</v>
      </c>
      <c r="B1136" s="1" t="str">
        <f>IFERROR(__xludf.DUMMYFUNCTION("""COMPUTED_VALUE"""),"MALIWAT MARK ELVIN")</f>
        <v>MALIWAT MARK ELVIN</v>
      </c>
      <c r="C1136" s="1" t="str">
        <f>IFERROR(__xludf.DUMMYFUNCTION("""COMPUTED_VALUE"""),"FLA")</f>
        <v>FLA</v>
      </c>
      <c r="D1136" s="1" t="str">
        <f>IFERROR(__xludf.DUMMYFUNCTION("""COMPUTED_VALUE"""),"JERIC NAVARRO")</f>
        <v>JERIC NAVARRO</v>
      </c>
      <c r="E1136" s="1" t="str">
        <f>IFERROR(__xludf.DUMMYFUNCTION("""COMPUTED_VALUE"""),"PLDT")</f>
        <v>PLDT</v>
      </c>
      <c r="F1136" s="1">
        <f>IFERROR(__xludf.DUMMYFUNCTION("""COMPUTED_VALUE"""),2308759948)</f>
        <v>2308759948</v>
      </c>
      <c r="G1136" s="1">
        <f>IFERROR(__xludf.DUMMYFUNCTION("""COMPUTED_VALUE"""),450046487004)</f>
        <v>450046487004</v>
      </c>
      <c r="H1136" s="1" t="str">
        <f>IFERROR(__xludf.DUMMYFUNCTION("""COMPUTED_VALUE"""),"FREDDIE VALENA AGUILAR")</f>
        <v>FREDDIE VALENA AGUILAR</v>
      </c>
      <c r="I1136" s="1">
        <f>IFERROR(__xludf.DUMMYFUNCTION("""COMPUTED_VALUE"""),639352900478)</f>
        <v>639352900478</v>
      </c>
      <c r="J1136" s="1">
        <f>IFERROR(__xludf.DUMMYFUNCTION("""COMPUTED_VALUE"""),639634613121)</f>
        <v>639634613121</v>
      </c>
      <c r="K1136" s="1" t="str">
        <f>IFERROR(__xludf.DUMMYFUNCTION("""COMPUTED_VALUE"""),"PIFO1569@GMAIL.COM")</f>
        <v>PIFO1569@GMAIL.COM</v>
      </c>
      <c r="L1136" s="1" t="str">
        <f>IFERROR(__xludf.DUMMYFUNCTION("""COMPUTED_VALUE"""),"002-BL-015")</f>
        <v>002-BL-015</v>
      </c>
      <c r="M1136" s="1" t="str">
        <f>IFERROR(__xludf.DUMMYFUNCTION("""COMPUTED_VALUE"""),"MALDIVIA")</f>
        <v>MALDIVIA</v>
      </c>
      <c r="N1136" s="1" t="str">
        <f>IFERROR(__xludf.DUMMYFUNCTION("""COMPUTED_VALUE"""),"KS7A LANCASTER")</f>
        <v>KS7A LANCASTER</v>
      </c>
      <c r="O1136" s="1" t="str">
        <f>IFERROR(__xludf.DUMMYFUNCTION("""COMPUTED_VALUE"""),"NAVARRO")</f>
        <v>NAVARRO</v>
      </c>
      <c r="P1136" s="1" t="str">
        <f>IFERROR(__xludf.DUMMYFUNCTION("""COMPUTED_VALUE"""),"GENERAL TRIAS")</f>
        <v>GENERAL TRIAS</v>
      </c>
      <c r="Q1136" s="1" t="str">
        <f>IFERROR(__xludf.DUMMYFUNCTION("""COMPUTED_VALUE"""),"CAVITE")</f>
        <v>CAVITE</v>
      </c>
      <c r="R1136" s="1" t="str">
        <f>IFERROR(__xludf.DUMMYFUNCTION("""COMPUTED_VALUE"""),"FIBR NETFLIX PLAN 1599")</f>
        <v>FIBR NETFLIX PLAN 1599</v>
      </c>
      <c r="S1136" s="1" t="str">
        <f>IFERROR(__xludf.DUMMYFUNCTION("""COMPUTED_VALUE"""),"APPROVED")</f>
        <v>APPROVED</v>
      </c>
      <c r="T1136" s="1"/>
      <c r="U1136" s="1"/>
      <c r="V1136" s="1"/>
      <c r="W1136" s="1"/>
    </row>
    <row r="1137" customHeight="1" spans="1:23">
      <c r="A1137" s="3">
        <f>IFERROR(__xludf.DUMMYFUNCTION("""COMPUTED_VALUE"""),46121)</f>
        <v>46121</v>
      </c>
      <c r="B1137" s="1" t="str">
        <f>IFERROR(__xludf.DUMMYFUNCTION("""COMPUTED_VALUE"""),"FARO, REFRANTA")</f>
        <v>FARO, REFRANTA</v>
      </c>
      <c r="C1137" s="1" t="str">
        <f>IFERROR(__xludf.DUMMYFUNCTION("""COMPUTED_VALUE"""),"ORGANIC")</f>
        <v>ORGANIC</v>
      </c>
      <c r="D1137" s="1" t="str">
        <f>IFERROR(__xludf.DUMMYFUNCTION("""COMPUTED_VALUE"""),"ALINGARO, CINDY")</f>
        <v>ALINGARO, CINDY</v>
      </c>
      <c r="E1137" s="1" t="str">
        <f>IFERROR(__xludf.DUMMYFUNCTION("""COMPUTED_VALUE"""),"PLDT")</f>
        <v>PLDT</v>
      </c>
      <c r="F1137" s="1">
        <f>IFERROR(__xludf.DUMMYFUNCTION("""COMPUTED_VALUE"""),2308760349)</f>
        <v>2308760349</v>
      </c>
      <c r="G1137" s="1">
        <f>IFERROR(__xludf.DUMMYFUNCTION("""COMPUTED_VALUE"""),450042404004)</f>
        <v>450042404004</v>
      </c>
      <c r="H1137" s="1" t="str">
        <f>IFERROR(__xludf.DUMMYFUNCTION("""COMPUTED_VALUE"""),"JESSA PASTRANA TEMPLONUEVO")</f>
        <v>JESSA PASTRANA TEMPLONUEVO</v>
      </c>
      <c r="I1137" s="1">
        <f>IFERROR(__xludf.DUMMYFUNCTION("""COMPUTED_VALUE"""),639778351290)</f>
        <v>639778351290</v>
      </c>
      <c r="J1137" s="1">
        <f>IFERROR(__xludf.DUMMYFUNCTION("""COMPUTED_VALUE"""),639778351290)</f>
        <v>639778351290</v>
      </c>
      <c r="K1137" s="1" t="str">
        <f>IFERROR(__xludf.DUMMYFUNCTION("""COMPUTED_VALUE"""),"JTEMPLONUEVO1227@GMAIL.COM")</f>
        <v>JTEMPLONUEVO1227@GMAIL.COM</v>
      </c>
      <c r="L1137" s="1" t="str">
        <f>IFERROR(__xludf.DUMMYFUNCTION("""COMPUTED_VALUE"""),"008-BL-001")</f>
        <v>008-BL-001</v>
      </c>
      <c r="M1137" s="1" t="str">
        <f>IFERROR(__xludf.DUMMYFUNCTION("""COMPUTED_VALUE"""),"008-BL-001")</f>
        <v>008-BL-001</v>
      </c>
      <c r="N1137" s="1"/>
      <c r="O1137" s="1" t="str">
        <f>IFERROR(__xludf.DUMMYFUNCTION("""COMPUTED_VALUE"""),"NARRA II")</f>
        <v>NARRA II</v>
      </c>
      <c r="P1137" s="1" t="str">
        <f>IFERROR(__xludf.DUMMYFUNCTION("""COMPUTED_VALUE"""),"SILANG")</f>
        <v>SILANG</v>
      </c>
      <c r="Q1137" s="1" t="str">
        <f>IFERROR(__xludf.DUMMYFUNCTION("""COMPUTED_VALUE"""),"CAVITE")</f>
        <v>CAVITE</v>
      </c>
      <c r="R1137" s="1" t="str">
        <f>IFERROR(__xludf.DUMMYFUNCTION("""COMPUTED_VALUE"""),"FIBR UNLI ALL PLAN 1799")</f>
        <v>FIBR UNLI ALL PLAN 1799</v>
      </c>
      <c r="S1137" s="1" t="str">
        <f>IFERROR(__xludf.DUMMYFUNCTION("""COMPUTED_VALUE"""),"APPROVED")</f>
        <v>APPROVED</v>
      </c>
      <c r="T1137" s="1"/>
      <c r="U1137" s="1"/>
      <c r="V1137" s="1"/>
      <c r="W1137" s="1"/>
    </row>
    <row r="1138" customHeight="1" spans="1:23">
      <c r="A1138" s="3">
        <f>IFERROR(__xludf.DUMMYFUNCTION("""COMPUTED_VALUE"""),46121)</f>
        <v>46121</v>
      </c>
      <c r="B1138" s="1" t="str">
        <f>IFERROR(__xludf.DUMMYFUNCTION("""COMPUTED_VALUE"""),"MAGDARAOG, KENNETH")</f>
        <v>MAGDARAOG, KENNETH</v>
      </c>
      <c r="C1138" s="1" t="str">
        <f>IFERROR(__xludf.DUMMYFUNCTION("""COMPUTED_VALUE"""),"ORGANIC")</f>
        <v>ORGANIC</v>
      </c>
      <c r="D1138" s="1" t="str">
        <f>IFERROR(__xludf.DUMMYFUNCTION("""COMPUTED_VALUE"""),"ALINGARO, CINDY")</f>
        <v>ALINGARO, CINDY</v>
      </c>
      <c r="E1138" s="1" t="str">
        <f>IFERROR(__xludf.DUMMYFUNCTION("""COMPUTED_VALUE"""),"PLDT")</f>
        <v>PLDT</v>
      </c>
      <c r="F1138" s="1"/>
      <c r="G1138" s="1"/>
      <c r="H1138" s="1" t="str">
        <f>IFERROR(__xludf.DUMMYFUNCTION("""COMPUTED_VALUE"""),"ARTURO JR SEPULVIDA TRINIDAD")</f>
        <v>ARTURO JR SEPULVIDA TRINIDAD</v>
      </c>
      <c r="I1138" s="1">
        <f>IFERROR(__xludf.DUMMYFUNCTION("""COMPUTED_VALUE"""),9385782668)</f>
        <v>9385782668</v>
      </c>
      <c r="J1138" s="1">
        <f>IFERROR(__xludf.DUMMYFUNCTION("""COMPUTED_VALUE"""),9201982135)</f>
        <v>9201982135</v>
      </c>
      <c r="K1138" s="1" t="str">
        <f>IFERROR(__xludf.DUMMYFUNCTION("""COMPUTED_VALUE"""),"ARTHUROTRINIDAD24@GMAIL.COM")</f>
        <v>ARTHUROTRINIDAD24@GMAIL.COM</v>
      </c>
      <c r="L1138" s="1" t="str">
        <f>IFERROR(__xludf.DUMMYFUNCTION("""COMPUTED_VALUE"""),"9002")</f>
        <v>9002</v>
      </c>
      <c r="M1138" s="1" t="str">
        <f>IFERROR(__xludf.DUMMYFUNCTION("""COMPUTED_VALUE"""),"PHASE 1")</f>
        <v>PHASE 1</v>
      </c>
      <c r="N1138" s="1"/>
      <c r="O1138" s="1" t="str">
        <f>IFERROR(__xludf.DUMMYFUNCTION("""COMPUTED_VALUE"""),"BUROL I")</f>
        <v>BUROL I</v>
      </c>
      <c r="P1138" s="1" t="str">
        <f>IFERROR(__xludf.DUMMYFUNCTION("""COMPUTED_VALUE"""),"DASMARINAS")</f>
        <v>DASMARINAS</v>
      </c>
      <c r="Q1138" s="1" t="str">
        <f>IFERROR(__xludf.DUMMYFUNCTION("""COMPUTED_VALUE"""),"CAVITE")</f>
        <v>CAVITE</v>
      </c>
      <c r="R1138" s="1" t="str">
        <f>IFERROR(__xludf.DUMMYFUNCTION("""COMPUTED_VALUE"""),"FIBR NETFLIX PLAN 1599")</f>
        <v>FIBR NETFLIX PLAN 1599</v>
      </c>
      <c r="S1138" s="1" t="str">
        <f>IFERROR(__xludf.DUMMYFUNCTION("""COMPUTED_VALUE"""),"FOR CALLBACK / CANNOT BE REACHED")</f>
        <v>FOR CALLBACK / CANNOT BE REACHED</v>
      </c>
      <c r="T1138" s="1" t="str">
        <f>IFERROR(__xludf.DUMMYFUNCTION("""COMPUTED_VALUE""")," 1st Cbr Cannot be reached - 2nd Cbr Incorrect")</f>
        <v> 1st Cbr Cannot be reached - 2nd Cbr Incorrect</v>
      </c>
      <c r="U1138" s="1"/>
      <c r="V1138" s="1"/>
      <c r="W1138" s="1"/>
    </row>
    <row r="1139" customHeight="1" spans="1:23">
      <c r="A1139" s="3">
        <f>IFERROR(__xludf.DUMMYFUNCTION("""COMPUTED_VALUE"""),46121)</f>
        <v>46121</v>
      </c>
      <c r="B1139" s="1" t="str">
        <f>IFERROR(__xludf.DUMMYFUNCTION("""COMPUTED_VALUE"""),"DE VERA, MARIVIC")</f>
        <v>DE VERA, MARIVIC</v>
      </c>
      <c r="C1139" s="1" t="str">
        <f>IFERROR(__xludf.DUMMYFUNCTION("""COMPUTED_VALUE"""),"ORGANIC")</f>
        <v>ORGANIC</v>
      </c>
      <c r="D1139" s="1" t="str">
        <f>IFERROR(__xludf.DUMMYFUNCTION("""COMPUTED_VALUE"""),"ALINGARO, CINDY")</f>
        <v>ALINGARO, CINDY</v>
      </c>
      <c r="E1139" s="1" t="str">
        <f>IFERROR(__xludf.DUMMYFUNCTION("""COMPUTED_VALUE"""),"PLDT")</f>
        <v>PLDT</v>
      </c>
      <c r="F1139" s="1">
        <f>IFERROR(__xludf.DUMMYFUNCTION("""COMPUTED_VALUE"""),2308783996)</f>
        <v>2308783996</v>
      </c>
      <c r="G1139" s="1">
        <f>IFERROR(__xludf.DUMMYFUNCTION("""COMPUTED_VALUE"""),450268290004)</f>
        <v>450268290004</v>
      </c>
      <c r="H1139" s="1" t="str">
        <f>IFERROR(__xludf.DUMMYFUNCTION("""COMPUTED_VALUE"""),"LORIE ANNE NATA LABASTIDA")</f>
        <v>LORIE ANNE NATA LABASTIDA</v>
      </c>
      <c r="I1139" s="1">
        <f>IFERROR(__xludf.DUMMYFUNCTION("""COMPUTED_VALUE"""),9634554947)</f>
        <v>9634554947</v>
      </c>
      <c r="J1139" s="1">
        <f>IFERROR(__xludf.DUMMYFUNCTION("""COMPUTED_VALUE"""),918448189)</f>
        <v>918448189</v>
      </c>
      <c r="K1139" s="1" t="str">
        <f>IFERROR(__xludf.DUMMYFUNCTION("""COMPUTED_VALUE"""),"GLAIZALABASTIDA08@GMAIL.COM")</f>
        <v>GLAIZALABASTIDA08@GMAIL.COM</v>
      </c>
      <c r="L1139" s="1" t="str">
        <f>IFERROR(__xludf.DUMMYFUNCTION("""COMPUTED_VALUE"""),"BLK 26 LOT 13")</f>
        <v>BLK 26 LOT 13</v>
      </c>
      <c r="M1139" s="1" t="str">
        <f>IFERROR(__xludf.DUMMYFUNCTION("""COMPUTED_VALUE"""),"NARRA 1")</f>
        <v>NARRA 1</v>
      </c>
      <c r="N1139" s="1"/>
      <c r="O1139" s="1" t="str">
        <f>IFERROR(__xludf.DUMMYFUNCTION("""COMPUTED_VALUE"""),"NARRA I")</f>
        <v>NARRA I</v>
      </c>
      <c r="P1139" s="1" t="str">
        <f>IFERROR(__xludf.DUMMYFUNCTION("""COMPUTED_VALUE"""),"SILANG")</f>
        <v>SILANG</v>
      </c>
      <c r="Q1139" s="1" t="str">
        <f>IFERROR(__xludf.DUMMYFUNCTION("""COMPUTED_VALUE"""),"CAVITE")</f>
        <v>CAVITE</v>
      </c>
      <c r="R1139" s="1" t="str">
        <f>IFERROR(__xludf.DUMMYFUNCTION("""COMPUTED_VALUE"""),"FIBR UNLI ALL PLAN 1399")</f>
        <v>FIBR UNLI ALL PLAN 1399</v>
      </c>
      <c r="S1139" s="1" t="str">
        <f>IFERROR(__xludf.DUMMYFUNCTION("""COMPUTED_VALUE"""),"APPROVED")</f>
        <v>APPROVED</v>
      </c>
      <c r="T1139" s="1" t="str">
        <f>IFERROR(__xludf.DUMMYFUNCTION("""COMPUTED_VALUE"""),"UNCLEARED POID")</f>
        <v>UNCLEARED POID</v>
      </c>
      <c r="U1139" s="1"/>
      <c r="V1139" s="1"/>
      <c r="W1139" s="1"/>
    </row>
    <row r="1140" customHeight="1" spans="1:23">
      <c r="A1140" s="3">
        <f>IFERROR(__xludf.DUMMYFUNCTION("""COMPUTED_VALUE"""),46121)</f>
        <v>46121</v>
      </c>
      <c r="B1140" s="1" t="str">
        <f>IFERROR(__xludf.DUMMYFUNCTION("""COMPUTED_VALUE"""),"CARPIO, STEPHANIE NICOLE")</f>
        <v>CARPIO, STEPHANIE NICOLE</v>
      </c>
      <c r="C1140" s="1" t="str">
        <f>IFERROR(__xludf.DUMMYFUNCTION("""COMPUTED_VALUE"""),"FLA")</f>
        <v>FLA</v>
      </c>
      <c r="D1140" s="1" t="str">
        <f>IFERROR(__xludf.DUMMYFUNCTION("""COMPUTED_VALUE"""),"JERIC NAVARRO")</f>
        <v>JERIC NAVARRO</v>
      </c>
      <c r="E1140" s="1" t="str">
        <f>IFERROR(__xludf.DUMMYFUNCTION("""COMPUTED_VALUE"""),"PLDT")</f>
        <v>PLDT</v>
      </c>
      <c r="F1140" s="1">
        <f>IFERROR(__xludf.DUMMYFUNCTION("""COMPUTED_VALUE"""),2308761811)</f>
        <v>2308761811</v>
      </c>
      <c r="G1140" s="1">
        <f>IFERROR(__xludf.DUMMYFUNCTION("""COMPUTED_VALUE"""),450052492004)</f>
        <v>450052492004</v>
      </c>
      <c r="H1140" s="1" t="str">
        <f>IFERROR(__xludf.DUMMYFUNCTION("""COMPUTED_VALUE"""),"ANALYN HERMOSO OROPESA")</f>
        <v>ANALYN HERMOSO OROPESA</v>
      </c>
      <c r="I1140" s="1">
        <f>IFERROR(__xludf.DUMMYFUNCTION("""COMPUTED_VALUE"""),639486672694)</f>
        <v>639486672694</v>
      </c>
      <c r="J1140" s="1"/>
      <c r="K1140" s="1" t="str">
        <f>IFERROR(__xludf.DUMMYFUNCTION("""COMPUTED_VALUE"""),"ANNEOROPESA01@GMAIL.OM")</f>
        <v>ANNEOROPESA01@GMAIL.OM</v>
      </c>
      <c r="L1140" s="1" t="str">
        <f>IFERROR(__xludf.DUMMYFUNCTION("""COMPUTED_VALUE"""),"039-BL-002")</f>
        <v>039-BL-002</v>
      </c>
      <c r="M1140" s="1" t="str">
        <f>IFERROR(__xludf.DUMMYFUNCTION("""COMPUTED_VALUE"""),"LHINETTE HOMES")</f>
        <v>LHINETTE HOMES</v>
      </c>
      <c r="N1140" s="1" t="str">
        <f>IFERROR(__xludf.DUMMYFUNCTION("""COMPUTED_VALUE"""),"LHINETTE HOMES SUBD")</f>
        <v>LHINETTE HOMES SUBD</v>
      </c>
      <c r="O1140" s="1" t="str">
        <f>IFERROR(__xludf.DUMMYFUNCTION("""COMPUTED_VALUE"""),"BIGA")</f>
        <v>BIGA</v>
      </c>
      <c r="P1140" s="1" t="str">
        <f>IFERROR(__xludf.DUMMYFUNCTION("""COMPUTED_VALUE"""),"TANZA")</f>
        <v>TANZA</v>
      </c>
      <c r="Q1140" s="1" t="str">
        <f>IFERROR(__xludf.DUMMYFUNCTION("""COMPUTED_VALUE"""),"CAVITE")</f>
        <v>CAVITE</v>
      </c>
      <c r="R1140" s="1" t="str">
        <f>IFERROR(__xludf.DUMMYFUNCTION("""COMPUTED_VALUE"""),"FIBR UNLI ALL PLAN 1399")</f>
        <v>FIBR UNLI ALL PLAN 1399</v>
      </c>
      <c r="S1140" s="1" t="str">
        <f>IFERROR(__xludf.DUMMYFUNCTION("""COMPUTED_VALUE"""),"APPROVED")</f>
        <v>APPROVED</v>
      </c>
      <c r="T1140" s="1"/>
      <c r="U1140" s="1"/>
      <c r="V1140" s="1"/>
      <c r="W1140" s="1"/>
    </row>
    <row r="1141" customHeight="1" spans="1:23">
      <c r="A1141" s="3">
        <f>IFERROR(__xludf.DUMMYFUNCTION("""COMPUTED_VALUE"""),46122)</f>
        <v>46122</v>
      </c>
      <c r="B1141" s="1" t="str">
        <f>IFERROR(__xludf.DUMMYFUNCTION("""COMPUTED_VALUE"""),"MALIWAT MARK ELVIN")</f>
        <v>MALIWAT MARK ELVIN</v>
      </c>
      <c r="C1141" s="1" t="str">
        <f>IFERROR(__xludf.DUMMYFUNCTION("""COMPUTED_VALUE"""),"FLA")</f>
        <v>FLA</v>
      </c>
      <c r="D1141" s="1" t="str">
        <f>IFERROR(__xludf.DUMMYFUNCTION("""COMPUTED_VALUE"""),"JERIC NAVARRO")</f>
        <v>JERIC NAVARRO</v>
      </c>
      <c r="E1141" s="1" t="str">
        <f>IFERROR(__xludf.DUMMYFUNCTION("""COMPUTED_VALUE"""),"PLDT")</f>
        <v>PLDT</v>
      </c>
      <c r="F1141" s="1">
        <f>IFERROR(__xludf.DUMMYFUNCTION("""COMPUTED_VALUE"""),2308761811)</f>
        <v>2308761811</v>
      </c>
      <c r="G1141" s="1">
        <f>IFERROR(__xludf.DUMMYFUNCTION("""COMPUTED_VALUE"""),450136559004)</f>
        <v>450136559004</v>
      </c>
      <c r="H1141" s="1" t="str">
        <f>IFERROR(__xludf.DUMMYFUNCTION("""COMPUTED_VALUE"""),"PACIFICO PUNONGBAYAN VALENZUELA")</f>
        <v>PACIFICO PUNONGBAYAN VALENZUELA</v>
      </c>
      <c r="I1141" s="1">
        <f>IFERROR(__xludf.DUMMYFUNCTION("""COMPUTED_VALUE"""),9464283025)</f>
        <v>9464283025</v>
      </c>
      <c r="J1141" s="1"/>
      <c r="K1141" s="1" t="str">
        <f>IFERROR(__xludf.DUMMYFUNCTION("""COMPUTED_VALUE"""),"JACKIELYNQUEZON07@GMAIL.COM")</f>
        <v>JACKIELYNQUEZON07@GMAIL.COM</v>
      </c>
      <c r="L1141" s="1" t="str">
        <f>IFERROR(__xludf.DUMMYFUNCTION("""COMPUTED_VALUE"""),"B ")</f>
        <v>B </v>
      </c>
      <c r="M1141" s="1" t="str">
        <f>IFERROR(__xludf.DUMMYFUNCTION("""COMPUTED_VALUE"""),"SITIO GULOD")</f>
        <v>SITIO GULOD</v>
      </c>
      <c r="N1141" s="1"/>
      <c r="O1141" s="1" t="str">
        <f>IFERROR(__xludf.DUMMYFUNCTION("""COMPUTED_VALUE"""),"URDANETA")</f>
        <v>URDANETA</v>
      </c>
      <c r="P1141" s="1" t="str">
        <f>IFERROR(__xludf.DUMMYFUNCTION("""COMPUTED_VALUE"""),"MAGALLANES")</f>
        <v>MAGALLANES</v>
      </c>
      <c r="Q1141" s="1" t="str">
        <f>IFERROR(__xludf.DUMMYFUNCTION("""COMPUTED_VALUE"""),"CAVITE")</f>
        <v>CAVITE</v>
      </c>
      <c r="R1141" s="1" t="str">
        <f>IFERROR(__xludf.DUMMYFUNCTION("""COMPUTED_VALUE"""),"PREPAID FIBER UNLI")</f>
        <v>PREPAID FIBER UNLI</v>
      </c>
      <c r="S1141" s="1" t="str">
        <f>IFERROR(__xludf.DUMMYFUNCTION("""COMPUTED_VALUE"""),"APPROVED")</f>
        <v>APPROVED</v>
      </c>
      <c r="T1141" s="1"/>
      <c r="U1141" s="1"/>
      <c r="V1141" s="1"/>
      <c r="W1141" s="1"/>
    </row>
    <row r="1142" customHeight="1" spans="1:23">
      <c r="A1142" s="3">
        <f>IFERROR(__xludf.DUMMYFUNCTION("""COMPUTED_VALUE"""),46122)</f>
        <v>46122</v>
      </c>
      <c r="B1142" s="1" t="str">
        <f>IFERROR(__xludf.DUMMYFUNCTION("""COMPUTED_VALUE"""),"TISTON, CEDRICK")</f>
        <v>TISTON, CEDRICK</v>
      </c>
      <c r="C1142" s="1" t="str">
        <f>IFERROR(__xludf.DUMMYFUNCTION("""COMPUTED_VALUE"""),"FLA")</f>
        <v>FLA</v>
      </c>
      <c r="D1142" s="1" t="str">
        <f>IFERROR(__xludf.DUMMYFUNCTION("""COMPUTED_VALUE"""),"JERIC NAVARRO")</f>
        <v>JERIC NAVARRO</v>
      </c>
      <c r="E1142" s="1" t="str">
        <f>IFERROR(__xludf.DUMMYFUNCTION("""COMPUTED_VALUE"""),"PLDT")</f>
        <v>PLDT</v>
      </c>
      <c r="F1142" s="1">
        <f>IFERROR(__xludf.DUMMYFUNCTION("""COMPUTED_VALUE"""),2308771776)</f>
        <v>2308771776</v>
      </c>
      <c r="G1142" s="1">
        <f>IFERROR(__xludf.DUMMYFUNCTION("""COMPUTED_VALUE"""),450157004004)</f>
        <v>450157004004</v>
      </c>
      <c r="H1142" s="1" t="str">
        <f>IFERROR(__xludf.DUMMYFUNCTION("""COMPUTED_VALUE"""),"ROSALINDA PENARANDA ABALLAR")</f>
        <v>ROSALINDA PENARANDA ABALLAR</v>
      </c>
      <c r="I1142" s="1">
        <f>IFERROR(__xludf.DUMMYFUNCTION("""COMPUTED_VALUE"""),9534775242)</f>
        <v>9534775242</v>
      </c>
      <c r="J1142" s="1"/>
      <c r="K1142" s="1" t="str">
        <f>IFERROR(__xludf.DUMMYFUNCTION("""COMPUTED_VALUE"""),"NICOLEAGUILAR010206@GMAIL.COM")</f>
        <v>NICOLEAGUILAR010206@GMAIL.COM</v>
      </c>
      <c r="L1142" s="1" t="str">
        <f>IFERROR(__xludf.DUMMYFUNCTION("""COMPUTED_VALUE"""),"BLK 7 LOT 14")</f>
        <v>BLK 7 LOT 14</v>
      </c>
      <c r="M1142" s="1" t="str">
        <f>IFERROR(__xludf.DUMMYFUNCTION("""COMPUTED_VALUE"""),"BUKLARAN 3")</f>
        <v>BUKLARAN 3</v>
      </c>
      <c r="N1142" s="1"/>
      <c r="O1142" s="1" t="str">
        <f>IFERROR(__xludf.DUMMYFUNCTION("""COMPUTED_VALUE"""),"BULIHAN")</f>
        <v>BULIHAN</v>
      </c>
      <c r="P1142" s="1" t="str">
        <f>IFERROR(__xludf.DUMMYFUNCTION("""COMPUTED_VALUE"""),"SILANG")</f>
        <v>SILANG</v>
      </c>
      <c r="Q1142" s="1" t="str">
        <f>IFERROR(__xludf.DUMMYFUNCTION("""COMPUTED_VALUE"""),"CAVITE")</f>
        <v>CAVITE</v>
      </c>
      <c r="R1142" s="1" t="str">
        <f>IFERROR(__xludf.DUMMYFUNCTION("""COMPUTED_VALUE"""),"FIBR PLAN 1299")</f>
        <v>FIBR PLAN 1299</v>
      </c>
      <c r="S1142" s="1" t="str">
        <f>IFERROR(__xludf.DUMMYFUNCTION("""COMPUTED_VALUE"""),"APPROVED")</f>
        <v>APPROVED</v>
      </c>
      <c r="T1142" s="1"/>
      <c r="U1142" s="1"/>
      <c r="V1142" s="1"/>
      <c r="W1142" s="1"/>
    </row>
    <row r="1143" customHeight="1" spans="1:23">
      <c r="A1143" s="3">
        <f>IFERROR(__xludf.DUMMYFUNCTION("""COMPUTED_VALUE"""),46122)</f>
        <v>46122</v>
      </c>
      <c r="B1143" s="1" t="str">
        <f>IFERROR(__xludf.DUMMYFUNCTION("""COMPUTED_VALUE"""),"OPS SIR BETZ")</f>
        <v>OPS SIR BETZ</v>
      </c>
      <c r="C1143" s="1" t="str">
        <f>IFERROR(__xludf.DUMMYFUNCTION("""COMPUTED_VALUE"""),"FLA")</f>
        <v>FLA</v>
      </c>
      <c r="D1143" s="1" t="str">
        <f>IFERROR(__xludf.DUMMYFUNCTION("""COMPUTED_VALUE"""),"JERIC NAVARRO")</f>
        <v>JERIC NAVARRO</v>
      </c>
      <c r="E1143" s="1" t="str">
        <f>IFERROR(__xludf.DUMMYFUNCTION("""COMPUTED_VALUE"""),"PLDT")</f>
        <v>PLDT</v>
      </c>
      <c r="F1143" s="1">
        <f>IFERROR(__xludf.DUMMYFUNCTION("""COMPUTED_VALUE"""),2308772502)</f>
        <v>2308772502</v>
      </c>
      <c r="G1143" s="1"/>
      <c r="H1143" s="1" t="str">
        <f>IFERROR(__xludf.DUMMYFUNCTION("""COMPUTED_VALUE"""),"ERNEST RUIGI RODIL SANTOS")</f>
        <v>ERNEST RUIGI RODIL SANTOS</v>
      </c>
      <c r="I1143" s="1">
        <f>IFERROR(__xludf.DUMMYFUNCTION("""COMPUTED_VALUE"""),9156027813)</f>
        <v>9156027813</v>
      </c>
      <c r="J1143" s="1"/>
      <c r="K1143" s="1" t="str">
        <f>IFERROR(__xludf.DUMMYFUNCTION("""COMPUTED_VALUE"""),"ZTPSCOC1987@GMAIL.COM")</f>
        <v>ZTPSCOC1987@GMAIL.COM</v>
      </c>
      <c r="L1143" s="1" t="str">
        <f>IFERROR(__xludf.DUMMYFUNCTION("""COMPUTED_VALUE"""),"UNIT 1")</f>
        <v>UNIT 1</v>
      </c>
      <c r="M1143" s="1" t="str">
        <f>IFERROR(__xludf.DUMMYFUNCTION("""COMPUTED_VALUE"""),"ROMANO BUILDING")</f>
        <v>ROMANO BUILDING</v>
      </c>
      <c r="N1143" s="1" t="str">
        <f>IFERROR(__xludf.DUMMYFUNCTION("""COMPUTED_VALUE"""),"HUMABON ST")</f>
        <v>HUMABON ST</v>
      </c>
      <c r="O1143" s="1" t="str">
        <f>IFERROR(__xludf.DUMMYFUNCTION("""COMPUTED_VALUE"""),"MOLINO V")</f>
        <v>MOLINO V</v>
      </c>
      <c r="P1143" s="1" t="str">
        <f>IFERROR(__xludf.DUMMYFUNCTION("""COMPUTED_VALUE"""),"BACOOR")</f>
        <v>BACOOR</v>
      </c>
      <c r="Q1143" s="1" t="str">
        <f>IFERROR(__xludf.DUMMYFUNCTION("""COMPUTED_VALUE"""),"CAVITE")</f>
        <v>CAVITE</v>
      </c>
      <c r="R1143" s="1" t="str">
        <f>IFERROR(__xludf.DUMMYFUNCTION("""COMPUTED_VALUE"""),"FIBR UNLI ALL PLAN 1399")</f>
        <v>FIBR UNLI ALL PLAN 1399</v>
      </c>
      <c r="S1143" s="1" t="str">
        <f>IFERROR(__xludf.DUMMYFUNCTION("""COMPUTED_VALUE"""),"APPROVED")</f>
        <v>APPROVED</v>
      </c>
      <c r="T1143" s="1"/>
      <c r="U1143" s="1"/>
      <c r="V1143" s="1"/>
      <c r="W1143" s="1"/>
    </row>
    <row r="1144" customHeight="1" spans="1:23">
      <c r="A1144" s="3">
        <f>IFERROR(__xludf.DUMMYFUNCTION("""COMPUTED_VALUE"""),46122)</f>
        <v>46122</v>
      </c>
      <c r="B1144" s="1" t="str">
        <f>IFERROR(__xludf.DUMMYFUNCTION("""COMPUTED_VALUE"""),"ALINGARO, CINDY")</f>
        <v>ALINGARO, CINDY</v>
      </c>
      <c r="C1144" s="1" t="str">
        <f>IFERROR(__xludf.DUMMYFUNCTION("""COMPUTED_VALUE"""),"FLA")</f>
        <v>FLA</v>
      </c>
      <c r="D1144" s="1" t="str">
        <f>IFERROR(__xludf.DUMMYFUNCTION("""COMPUTED_VALUE"""),"JERIC NAVARRO")</f>
        <v>JERIC NAVARRO</v>
      </c>
      <c r="E1144" s="1" t="str">
        <f>IFERROR(__xludf.DUMMYFUNCTION("""COMPUTED_VALUE"""),"PLDT")</f>
        <v>PLDT</v>
      </c>
      <c r="F1144" s="1">
        <f>IFERROR(__xludf.DUMMYFUNCTION("""COMPUTED_VALUE"""),2308773167)</f>
        <v>2308773167</v>
      </c>
      <c r="G1144" s="1">
        <f>IFERROR(__xludf.DUMMYFUNCTION("""COMPUTED_VALUE"""),450148873004)</f>
        <v>450148873004</v>
      </c>
      <c r="H1144" s="1" t="str">
        <f>IFERROR(__xludf.DUMMYFUNCTION("""COMPUTED_VALUE"""),"MARK LOUIE DIOLOLA PLAZA")</f>
        <v>MARK LOUIE DIOLOLA PLAZA</v>
      </c>
      <c r="I1144" s="1">
        <f>IFERROR(__xludf.DUMMYFUNCTION("""COMPUTED_VALUE"""),9542751553)</f>
        <v>9542751553</v>
      </c>
      <c r="J1144" s="1">
        <f>IFERROR(__xludf.DUMMYFUNCTION("""COMPUTED_VALUE"""),9760449173)</f>
        <v>9760449173</v>
      </c>
      <c r="K1144" s="1" t="str">
        <f>IFERROR(__xludf.DUMMYFUNCTION("""COMPUTED_VALUE"""),"TANP58202@GMAIL.COM")</f>
        <v>TANP58202@GMAIL.COM</v>
      </c>
      <c r="L1144" s="1" t="str">
        <f>IFERROR(__xludf.DUMMYFUNCTION("""COMPUTED_VALUE"""),"BLK 3LOT 19")</f>
        <v>BLK 3LOT 19</v>
      </c>
      <c r="M1144" s="1" t="str">
        <f>IFERROR(__xludf.DUMMYFUNCTION("""COMPUTED_VALUE"""),"CM RECTO")</f>
        <v>CM RECTO</v>
      </c>
      <c r="N1144" s="1"/>
      <c r="O1144" s="1" t="str">
        <f>IFERROR(__xludf.DUMMYFUNCTION("""COMPUTED_VALUE"""),"FIORELLO CALIMAG (AREA C)")</f>
        <v>FIORELLO CALIMAG (AREA C)</v>
      </c>
      <c r="P1144" s="1" t="str">
        <f>IFERROR(__xludf.DUMMYFUNCTION("""COMPUTED_VALUE"""),"GEN MARIANO ALVAREZ")</f>
        <v>GEN MARIANO ALVAREZ</v>
      </c>
      <c r="Q1144" s="1" t="str">
        <f>IFERROR(__xludf.DUMMYFUNCTION("""COMPUTED_VALUE"""),"CAVITE")</f>
        <v>CAVITE</v>
      </c>
      <c r="R1144" s="1" t="str">
        <f>IFERROR(__xludf.DUMMYFUNCTION("""COMPUTED_VALUE"""),"FIBR UNLI ALL PLAN 1799")</f>
        <v>FIBR UNLI ALL PLAN 1799</v>
      </c>
      <c r="S1144" s="1" t="str">
        <f>IFERROR(__xludf.DUMMYFUNCTION("""COMPUTED_VALUE"""),"APPROVED")</f>
        <v>APPROVED</v>
      </c>
      <c r="T1144" s="1"/>
      <c r="U1144" s="1"/>
      <c r="V1144" s="1"/>
      <c r="W1144" s="1"/>
    </row>
    <row r="1145" customHeight="1" spans="1:23">
      <c r="A1145" s="3">
        <f>IFERROR(__xludf.DUMMYFUNCTION("""COMPUTED_VALUE"""),46122)</f>
        <v>46122</v>
      </c>
      <c r="B1145" s="1" t="str">
        <f>IFERROR(__xludf.DUMMYFUNCTION("""COMPUTED_VALUE"""),"MAGDARAOG, KENNETH")</f>
        <v>MAGDARAOG, KENNETH</v>
      </c>
      <c r="C1145" s="1" t="str">
        <f>IFERROR(__xludf.DUMMYFUNCTION("""COMPUTED_VALUE"""),"ORGANIC")</f>
        <v>ORGANIC</v>
      </c>
      <c r="D1145" s="1" t="str">
        <f>IFERROR(__xludf.DUMMYFUNCTION("""COMPUTED_VALUE"""),"ALINGARO, CINDY")</f>
        <v>ALINGARO, CINDY</v>
      </c>
      <c r="E1145" s="1" t="str">
        <f>IFERROR(__xludf.DUMMYFUNCTION("""COMPUTED_VALUE"""),"PLDT")</f>
        <v>PLDT</v>
      </c>
      <c r="F1145" s="1">
        <f>IFERROR(__xludf.DUMMYFUNCTION("""COMPUTED_VALUE"""),2308773851)</f>
        <v>2308773851</v>
      </c>
      <c r="G1145" s="1">
        <f>IFERROR(__xludf.DUMMYFUNCTION("""COMPUTED_VALUE"""),450149718004)</f>
        <v>450149718004</v>
      </c>
      <c r="H1145" s="1" t="str">
        <f>IFERROR(__xludf.DUMMYFUNCTION("""COMPUTED_VALUE"""),"MA. LYN MANDOZA HABABAG")</f>
        <v>MA. LYN MANDOZA HABABAG</v>
      </c>
      <c r="I1145" s="1">
        <f>IFERROR(__xludf.DUMMYFUNCTION("""COMPUTED_VALUE"""),9705220612)</f>
        <v>9705220612</v>
      </c>
      <c r="J1145" s="1">
        <f>IFERROR(__xludf.DUMMYFUNCTION("""COMPUTED_VALUE"""),9852981321)</f>
        <v>9852981321</v>
      </c>
      <c r="K1145" s="1" t="str">
        <f>IFERROR(__xludf.DUMMYFUNCTION("""COMPUTED_VALUE"""),"AARONLEIFLORES53@GMAIL.COM")</f>
        <v>AARONLEIFLORES53@GMAIL.COM</v>
      </c>
      <c r="L1145" s="1" t="str">
        <f>IFERROR(__xludf.DUMMYFUNCTION("""COMPUTED_VALUE"""),"BLK 1 LOT 7")</f>
        <v>BLK 1 LOT 7</v>
      </c>
      <c r="M1145" s="1" t="str">
        <f>IFERROR(__xludf.DUMMYFUNCTION("""COMPUTED_VALUE"""),"GREGORIARD")</f>
        <v>GREGORIARD</v>
      </c>
      <c r="N1145" s="1"/>
      <c r="O1145" s="1" t="str">
        <f>IFERROR(__xludf.DUMMYFUNCTION("""COMPUTED_VALUE"""),"GREGORIA DE JESUS")</f>
        <v>GREGORIA DE JESUS</v>
      </c>
      <c r="P1145" s="1" t="str">
        <f>IFERROR(__xludf.DUMMYFUNCTION("""COMPUTED_VALUE"""),"GEN MARIANO ALVAREZ")</f>
        <v>GEN MARIANO ALVAREZ</v>
      </c>
      <c r="Q1145" s="1" t="str">
        <f>IFERROR(__xludf.DUMMYFUNCTION("""COMPUTED_VALUE"""),"CAVITE")</f>
        <v>CAVITE</v>
      </c>
      <c r="R1145" s="1" t="str">
        <f>IFERROR(__xludf.DUMMYFUNCTION("""COMPUTED_VALUE"""),"FIBR UNLI ALL PLAN 1399")</f>
        <v>FIBR UNLI ALL PLAN 1399</v>
      </c>
      <c r="S1145" s="1" t="str">
        <f>IFERROR(__xludf.DUMMYFUNCTION("""COMPUTED_VALUE"""),"APPROVED")</f>
        <v>APPROVED</v>
      </c>
      <c r="T1145" s="1"/>
      <c r="U1145" s="1"/>
      <c r="V1145" s="1"/>
      <c r="W1145" s="1"/>
    </row>
    <row r="1146" customHeight="1" spans="1:23">
      <c r="A1146" s="3">
        <f>IFERROR(__xludf.DUMMYFUNCTION("""COMPUTED_VALUE"""),46122)</f>
        <v>46122</v>
      </c>
      <c r="B1146" s="1" t="str">
        <f>IFERROR(__xludf.DUMMYFUNCTION("""COMPUTED_VALUE"""),"CONCEPCION, ALJAY")</f>
        <v>CONCEPCION, ALJAY</v>
      </c>
      <c r="C1146" s="1" t="str">
        <f>IFERROR(__xludf.DUMMYFUNCTION("""COMPUTED_VALUE"""),"ORGANIC")</f>
        <v>ORGANIC</v>
      </c>
      <c r="D1146" s="1" t="str">
        <f>IFERROR(__xludf.DUMMYFUNCTION("""COMPUTED_VALUE"""),"ALINGARO, CINDY")</f>
        <v>ALINGARO, CINDY</v>
      </c>
      <c r="E1146" s="1" t="str">
        <f>IFERROR(__xludf.DUMMYFUNCTION("""COMPUTED_VALUE"""),"PLDT")</f>
        <v>PLDT</v>
      </c>
      <c r="F1146" s="1">
        <f>IFERROR(__xludf.DUMMYFUNCTION("""COMPUTED_VALUE"""),2308774287)</f>
        <v>2308774287</v>
      </c>
      <c r="G1146" s="1">
        <f>IFERROR(__xludf.DUMMYFUNCTION("""COMPUTED_VALUE"""),450153338004)</f>
        <v>450153338004</v>
      </c>
      <c r="H1146" s="1" t="str">
        <f>IFERROR(__xludf.DUMMYFUNCTION("""COMPUTED_VALUE"""),"NORIEL MOJICA BENCITO")</f>
        <v>NORIEL MOJICA BENCITO</v>
      </c>
      <c r="I1146" s="1">
        <f>IFERROR(__xludf.DUMMYFUNCTION("""COMPUTED_VALUE"""),9127536012)</f>
        <v>9127536012</v>
      </c>
      <c r="J1146" s="1">
        <f>IFERROR(__xludf.DUMMYFUNCTION("""COMPUTED_VALUE"""),9753505760)</f>
        <v>9753505760</v>
      </c>
      <c r="K1146" s="1" t="str">
        <f>IFERROR(__xludf.DUMMYFUNCTION("""COMPUTED_VALUE"""),"GRACEBENCITO22@GMAIL.COM")</f>
        <v>GRACEBENCITO22@GMAIL.COM</v>
      </c>
      <c r="L1146" s="1" t="str">
        <f>IFERROR(__xludf.DUMMYFUNCTION("""COMPUTED_VALUE"""),"155")</f>
        <v>155</v>
      </c>
      <c r="M1146" s="1" t="str">
        <f>IFERROR(__xludf.DUMMYFUNCTION("""COMPUTED_VALUE"""),"BALAGTAS ST")</f>
        <v>BALAGTAS ST</v>
      </c>
      <c r="N1146" s="1"/>
      <c r="O1146" s="1" t="str">
        <f>IFERROR(__xludf.DUMMYFUNCTION("""COMPUTED_VALUE"""),"BARANGAY II (POB.)")</f>
        <v>BARANGAY II (POB.)</v>
      </c>
      <c r="P1146" s="1" t="str">
        <f>IFERROR(__xludf.DUMMYFUNCTION("""COMPUTED_VALUE"""),"GENERAL EMILIO AGUINALDO")</f>
        <v>GENERAL EMILIO AGUINALDO</v>
      </c>
      <c r="Q1146" s="1" t="str">
        <f>IFERROR(__xludf.DUMMYFUNCTION("""COMPUTED_VALUE"""),"CAVITE")</f>
        <v>CAVITE</v>
      </c>
      <c r="R1146" s="1" t="str">
        <f>IFERROR(__xludf.DUMMYFUNCTION("""COMPUTED_VALUE"""),"FIBR UNLI ALL PLAN 999")</f>
        <v>FIBR UNLI ALL PLAN 999</v>
      </c>
      <c r="S1146" s="1" t="str">
        <f>IFERROR(__xludf.DUMMYFUNCTION("""COMPUTED_VALUE"""),"APPROVED")</f>
        <v>APPROVED</v>
      </c>
      <c r="T1146" s="1"/>
      <c r="U1146" s="1"/>
      <c r="V1146" s="1"/>
      <c r="W1146" s="1"/>
    </row>
    <row r="1147" customHeight="1" spans="1:23">
      <c r="A1147" s="3">
        <f>IFERROR(__xludf.DUMMYFUNCTION("""COMPUTED_VALUE"""),46122)</f>
        <v>46122</v>
      </c>
      <c r="B1147" s="1" t="str">
        <f>IFERROR(__xludf.DUMMYFUNCTION("""COMPUTED_VALUE"""),"ESCARCHA, MA ALMA  ESCOTO")</f>
        <v>ESCARCHA, MA ALMA  ESCOTO</v>
      </c>
      <c r="C1147" s="1" t="str">
        <f>IFERROR(__xludf.DUMMYFUNCTION("""COMPUTED_VALUE"""),"ORGANIC")</f>
        <v>ORGANIC</v>
      </c>
      <c r="D1147" s="1" t="str">
        <f>IFERROR(__xludf.DUMMYFUNCTION("""COMPUTED_VALUE"""),"ALINGARO, CINDY")</f>
        <v>ALINGARO, CINDY</v>
      </c>
      <c r="E1147" s="1" t="str">
        <f>IFERROR(__xludf.DUMMYFUNCTION("""COMPUTED_VALUE"""),"PLDT")</f>
        <v>PLDT</v>
      </c>
      <c r="F1147" s="1">
        <f>IFERROR(__xludf.DUMMYFUNCTION("""COMPUTED_VALUE"""),2308775156)</f>
        <v>2308775156</v>
      </c>
      <c r="G1147" s="1">
        <f>IFERROR(__xludf.DUMMYFUNCTION("""COMPUTED_VALUE"""),450150470004)</f>
        <v>450150470004</v>
      </c>
      <c r="H1147" s="1" t="str">
        <f>IFERROR(__xludf.DUMMYFUNCTION("""COMPUTED_VALUE"""),"GINA GUINALING OROBIA")</f>
        <v>GINA GUINALING OROBIA</v>
      </c>
      <c r="I1147" s="1">
        <f>IFERROR(__xludf.DUMMYFUNCTION("""COMPUTED_VALUE"""),9513355052)</f>
        <v>9513355052</v>
      </c>
      <c r="J1147" s="1">
        <f>IFERROR(__xludf.DUMMYFUNCTION("""COMPUTED_VALUE"""),9858119369)</f>
        <v>9858119369</v>
      </c>
      <c r="K1147" s="1" t="str">
        <f>IFERROR(__xludf.DUMMYFUNCTION("""COMPUTED_VALUE"""),"GHIEOROBIA07@GMAIL.COM")</f>
        <v>GHIEOROBIA07@GMAIL.COM</v>
      </c>
      <c r="L1147" s="1" t="str">
        <f>IFERROR(__xludf.DUMMYFUNCTION("""COMPUTED_VALUE"""),"BLK 5 LOT 55")</f>
        <v>BLK 5 LOT 55</v>
      </c>
      <c r="M1147" s="1" t="str">
        <f>IFERROR(__xludf.DUMMYFUNCTION("""COMPUTED_VALUE"""),"TIAGO RD")</f>
        <v>TIAGO RD</v>
      </c>
      <c r="N1147" s="1"/>
      <c r="O1147" s="1" t="str">
        <f>IFERROR(__xludf.DUMMYFUNCTION("""COMPUTED_VALUE"""),"TINIENTE TIAGO")</f>
        <v>TINIENTE TIAGO</v>
      </c>
      <c r="P1147" s="1" t="str">
        <f>IFERROR(__xludf.DUMMYFUNCTION("""COMPUTED_VALUE"""),"GEN MARIANO ALVAREZ")</f>
        <v>GEN MARIANO ALVAREZ</v>
      </c>
      <c r="Q1147" s="1" t="str">
        <f>IFERROR(__xludf.DUMMYFUNCTION("""COMPUTED_VALUE"""),"CAVITE")</f>
        <v>CAVITE</v>
      </c>
      <c r="R1147" s="1" t="str">
        <f>IFERROR(__xludf.DUMMYFUNCTION("""COMPUTED_VALUE"""),"PREPAID FIBER UNLI")</f>
        <v>PREPAID FIBER UNLI</v>
      </c>
      <c r="S1147" s="1" t="str">
        <f>IFERROR(__xludf.DUMMYFUNCTION("""COMPUTED_VALUE"""),"APPROVED")</f>
        <v>APPROVED</v>
      </c>
      <c r="T1147" s="1"/>
      <c r="U1147" s="1"/>
      <c r="V1147" s="1"/>
      <c r="W1147" s="1"/>
    </row>
    <row r="1148" customHeight="1" spans="1:23">
      <c r="A1148" s="3">
        <f>IFERROR(__xludf.DUMMYFUNCTION("""COMPUTED_VALUE"""),46122)</f>
        <v>46122</v>
      </c>
      <c r="B1148" s="1" t="str">
        <f>IFERROR(__xludf.DUMMYFUNCTION("""COMPUTED_VALUE"""),"RIVERA, AIRIZH JOY")</f>
        <v>RIVERA, AIRIZH JOY</v>
      </c>
      <c r="C1148" s="1" t="str">
        <f>IFERROR(__xludf.DUMMYFUNCTION("""COMPUTED_VALUE"""),"ORGANIC")</f>
        <v>ORGANIC</v>
      </c>
      <c r="D1148" s="1" t="str">
        <f>IFERROR(__xludf.DUMMYFUNCTION("""COMPUTED_VALUE"""),"ALOS, CHARLS")</f>
        <v>ALOS, CHARLS</v>
      </c>
      <c r="E1148" s="1" t="str">
        <f>IFERROR(__xludf.DUMMYFUNCTION("""COMPUTED_VALUE"""),"RED FIBER")</f>
        <v>RED FIBER</v>
      </c>
      <c r="F1148" s="1"/>
      <c r="G1148" s="1"/>
      <c r="H1148" s="1" t="str">
        <f>IFERROR(__xludf.DUMMYFUNCTION("""COMPUTED_VALUE"""),"JEANNE TIFFANY AQUINO HERNANDEZ")</f>
        <v>JEANNE TIFFANY AQUINO HERNANDEZ</v>
      </c>
      <c r="I1148" s="1">
        <f>IFERROR(__xludf.DUMMYFUNCTION("""COMPUTED_VALUE"""),9938456508)</f>
        <v>9938456508</v>
      </c>
      <c r="J1148" s="1"/>
      <c r="K1148" s="1" t="str">
        <f>IFERROR(__xludf.DUMMYFUNCTION("""COMPUTED_VALUE"""),"JEANNEHERNANDEZ1115@GMAIL.COM")</f>
        <v>JEANNEHERNANDEZ1115@GMAIL.COM</v>
      </c>
      <c r="L1148" s="1" t="str">
        <f>IFERROR(__xludf.DUMMYFUNCTION("""COMPUTED_VALUE"""),"BLK 25 LOT 14")</f>
        <v>BLK 25 LOT 14</v>
      </c>
      <c r="M1148" s="1" t="str">
        <f>IFERROR(__xludf.DUMMYFUNCTION("""COMPUTED_VALUE"""),"SAN MANUEL RD")</f>
        <v>SAN MANUEL RD</v>
      </c>
      <c r="N1148" s="1"/>
      <c r="O1148" s="1" t="str">
        <f>IFERROR(__xludf.DUMMYFUNCTION("""COMPUTED_VALUE"""),"SAN MANUEL I")</f>
        <v>SAN MANUEL I</v>
      </c>
      <c r="P1148" s="1" t="str">
        <f>IFERROR(__xludf.DUMMYFUNCTION("""COMPUTED_VALUE"""),"DASMARINAS")</f>
        <v>DASMARINAS</v>
      </c>
      <c r="Q1148" s="1" t="str">
        <f>IFERROR(__xludf.DUMMYFUNCTION("""COMPUTED_VALUE"""),"CAVITE")</f>
        <v>CAVITE</v>
      </c>
      <c r="R1148" s="1" t="str">
        <f>IFERROR(__xludf.DUMMYFUNCTION("""COMPUTED_VALUE"""),"RED PLAN 1400")</f>
        <v>RED PLAN 1400</v>
      </c>
      <c r="S1148" s="1" t="str">
        <f>IFERROR(__xludf.DUMMYFUNCTION("""COMPUTED_VALUE"""),"APPROVED")</f>
        <v>APPROVED</v>
      </c>
      <c r="T1148" s="1"/>
      <c r="U1148" s="1"/>
      <c r="V1148" s="1"/>
      <c r="W1148" s="1"/>
    </row>
    <row r="1149" customHeight="1" spans="1:23">
      <c r="A1149" s="3">
        <f>IFERROR(__xludf.DUMMYFUNCTION("""COMPUTED_VALUE"""),46122)</f>
        <v>46122</v>
      </c>
      <c r="B1149" s="1" t="str">
        <f>IFERROR(__xludf.DUMMYFUNCTION("""COMPUTED_VALUE"""),"MAÑANITA, ERIKA")</f>
        <v>MAÑANITA, ERIKA</v>
      </c>
      <c r="C1149" s="1" t="str">
        <f>IFERROR(__xludf.DUMMYFUNCTION("""COMPUTED_VALUE"""),"ORGANIC")</f>
        <v>ORGANIC</v>
      </c>
      <c r="D1149" s="1" t="str">
        <f>IFERROR(__xludf.DUMMYFUNCTION("""COMPUTED_VALUE"""),"ALOS, CHARLS")</f>
        <v>ALOS, CHARLS</v>
      </c>
      <c r="E1149" s="1" t="str">
        <f>IFERROR(__xludf.DUMMYFUNCTION("""COMPUTED_VALUE"""),"RED FIBER")</f>
        <v>RED FIBER</v>
      </c>
      <c r="F1149" s="1"/>
      <c r="G1149" s="1"/>
      <c r="H1149" s="1" t="str">
        <f>IFERROR(__xludf.DUMMYFUNCTION("""COMPUTED_VALUE"""),"BEA BIANCA AQUINO INDUCIL")</f>
        <v>BEA BIANCA AQUINO INDUCIL</v>
      </c>
      <c r="I1149" s="1">
        <f>IFERROR(__xludf.DUMMYFUNCTION("""COMPUTED_VALUE"""),9094428892)</f>
        <v>9094428892</v>
      </c>
      <c r="J1149" s="1"/>
      <c r="K1149" s="1" t="str">
        <f>IFERROR(__xludf.DUMMYFUNCTION("""COMPUTED_VALUE"""),"INDICULBEABIANCA@GMAIL.COM")</f>
        <v>INDICULBEABIANCA@GMAIL.COM</v>
      </c>
      <c r="L1149" s="1" t="str">
        <f>IFERROR(__xludf.DUMMYFUNCTION("""COMPUTED_VALUE"""),"BLK 36 LOT 20")</f>
        <v>BLK 36 LOT 20</v>
      </c>
      <c r="M1149" s="1" t="str">
        <f>IFERROR(__xludf.DUMMYFUNCTION("""COMPUTED_VALUE"""),"SAN MIGUEL RD")</f>
        <v>SAN MIGUEL RD</v>
      </c>
      <c r="N1149" s="1"/>
      <c r="O1149" s="1" t="str">
        <f>IFERROR(__xludf.DUMMYFUNCTION("""COMPUTED_VALUE"""),"SAN MIGUEL I")</f>
        <v>SAN MIGUEL I</v>
      </c>
      <c r="P1149" s="1" t="str">
        <f>IFERROR(__xludf.DUMMYFUNCTION("""COMPUTED_VALUE"""),"DASMARINAS")</f>
        <v>DASMARINAS</v>
      </c>
      <c r="Q1149" s="1" t="str">
        <f>IFERROR(__xludf.DUMMYFUNCTION("""COMPUTED_VALUE"""),"CAVITE")</f>
        <v>CAVITE</v>
      </c>
      <c r="R1149" s="1" t="str">
        <f>IFERROR(__xludf.DUMMYFUNCTION("""COMPUTED_VALUE"""),"RED PLAN 1000")</f>
        <v>RED PLAN 1000</v>
      </c>
      <c r="S1149" s="1" t="str">
        <f>IFERROR(__xludf.DUMMYFUNCTION("""COMPUTED_VALUE"""),"APPROVED")</f>
        <v>APPROVED</v>
      </c>
      <c r="T1149" s="1"/>
      <c r="U1149" s="1"/>
      <c r="V1149" s="1"/>
      <c r="W1149" s="1"/>
    </row>
    <row r="1150" customHeight="1" spans="1:23">
      <c r="A1150" s="3">
        <f>IFERROR(__xludf.DUMMYFUNCTION("""COMPUTED_VALUE"""),46122)</f>
        <v>46122</v>
      </c>
      <c r="B1150" s="1" t="str">
        <f>IFERROR(__xludf.DUMMYFUNCTION("""COMPUTED_VALUE"""),"GATCHALIAN , LAIKA DANNIELLE")</f>
        <v>GATCHALIAN , LAIKA DANNIELLE</v>
      </c>
      <c r="C1150" s="1" t="str">
        <f>IFERROR(__xludf.DUMMYFUNCTION("""COMPUTED_VALUE"""),"ORGANIC")</f>
        <v>ORGANIC</v>
      </c>
      <c r="D1150" s="1" t="str">
        <f>IFERROR(__xludf.DUMMYFUNCTION("""COMPUTED_VALUE"""),"ALOS, CHARLS")</f>
        <v>ALOS, CHARLS</v>
      </c>
      <c r="E1150" s="1" t="str">
        <f>IFERROR(__xludf.DUMMYFUNCTION("""COMPUTED_VALUE"""),"RED FIBER")</f>
        <v>RED FIBER</v>
      </c>
      <c r="F1150" s="1"/>
      <c r="G1150" s="1"/>
      <c r="H1150" s="1" t="str">
        <f>IFERROR(__xludf.DUMMYFUNCTION("""COMPUTED_VALUE"""),"MARVIN AQUINO INDOCIL")</f>
        <v>MARVIN AQUINO INDOCIL</v>
      </c>
      <c r="I1150" s="1">
        <f>IFERROR(__xludf.DUMMYFUNCTION("""COMPUTED_VALUE"""),9109315381)</f>
        <v>9109315381</v>
      </c>
      <c r="J1150" s="1"/>
      <c r="K1150" s="1" t="str">
        <f>IFERROR(__xludf.DUMMYFUNCTION("""COMPUTED_VALUE"""),"GELLIEDOMANDAN3@GMAIL.COM")</f>
        <v>GELLIEDOMANDAN3@GMAIL.COM</v>
      </c>
      <c r="L1150" s="1" t="str">
        <f>IFERROR(__xludf.DUMMYFUNCTION("""COMPUTED_VALUE"""),"BLK 36 LOT 21")</f>
        <v>BLK 36 LOT 21</v>
      </c>
      <c r="M1150" s="1" t="str">
        <f>IFERROR(__xludf.DUMMYFUNCTION("""COMPUTED_VALUE"""),"SAN MIGUEL RD")</f>
        <v>SAN MIGUEL RD</v>
      </c>
      <c r="N1150" s="1"/>
      <c r="O1150" s="1" t="str">
        <f>IFERROR(__xludf.DUMMYFUNCTION("""COMPUTED_VALUE"""),"SAN MIGUEL I")</f>
        <v>SAN MIGUEL I</v>
      </c>
      <c r="P1150" s="1" t="str">
        <f>IFERROR(__xludf.DUMMYFUNCTION("""COMPUTED_VALUE"""),"DASMARINAS")</f>
        <v>DASMARINAS</v>
      </c>
      <c r="Q1150" s="1" t="str">
        <f>IFERROR(__xludf.DUMMYFUNCTION("""COMPUTED_VALUE"""),"CAVITE")</f>
        <v>CAVITE</v>
      </c>
      <c r="R1150" s="1" t="str">
        <f>IFERROR(__xludf.DUMMYFUNCTION("""COMPUTED_VALUE"""),"RED PLAN 1000")</f>
        <v>RED PLAN 1000</v>
      </c>
      <c r="S1150" s="1" t="str">
        <f>IFERROR(__xludf.DUMMYFUNCTION("""COMPUTED_VALUE"""),"APPROVED")</f>
        <v>APPROVED</v>
      </c>
      <c r="T1150" s="1"/>
      <c r="U1150" s="1"/>
      <c r="V1150" s="1"/>
      <c r="W1150" s="1"/>
    </row>
    <row r="1151" customHeight="1" spans="1:23">
      <c r="A1151" s="3">
        <f>IFERROR(__xludf.DUMMYFUNCTION("""COMPUTED_VALUE"""),46122)</f>
        <v>46122</v>
      </c>
      <c r="B1151" s="1" t="str">
        <f>IFERROR(__xludf.DUMMYFUNCTION("""COMPUTED_VALUE"""),"BUNSO, DRIVER")</f>
        <v>BUNSO, DRIVER</v>
      </c>
      <c r="C1151" s="1" t="str">
        <f>IFERROR(__xludf.DUMMYFUNCTION("""COMPUTED_VALUE"""),"FLA")</f>
        <v>FLA</v>
      </c>
      <c r="D1151" s="1" t="str">
        <f>IFERROR(__xludf.DUMMYFUNCTION("""COMPUTED_VALUE"""),"JERIC NAVARRO")</f>
        <v>JERIC NAVARRO</v>
      </c>
      <c r="E1151" s="1" t="str">
        <f>IFERROR(__xludf.DUMMYFUNCTION("""COMPUTED_VALUE"""),"RED FIBER")</f>
        <v>RED FIBER</v>
      </c>
      <c r="F1151" s="1"/>
      <c r="G1151" s="1"/>
      <c r="H1151" s="1" t="str">
        <f>IFERROR(__xludf.DUMMYFUNCTION("""COMPUTED_VALUE"""),"RENATO CASPE ARCENO")</f>
        <v>RENATO CASPE ARCENO</v>
      </c>
      <c r="I1151" s="1">
        <f>IFERROR(__xludf.DUMMYFUNCTION("""COMPUTED_VALUE"""),9925634927)</f>
        <v>9925634927</v>
      </c>
      <c r="J1151" s="1"/>
      <c r="K1151" s="1" t="str">
        <f>IFERROR(__xludf.DUMMYFUNCTION("""COMPUTED_VALUE"""),"RENEARCENO@GMAIL.COM")</f>
        <v>RENEARCENO@GMAIL.COM</v>
      </c>
      <c r="L1151" s="1" t="str">
        <f>IFERROR(__xludf.DUMMYFUNCTION("""COMPUTED_VALUE"""),"BLK 33 LOT 11")</f>
        <v>BLK 33 LOT 11</v>
      </c>
      <c r="M1151" s="1" t="str">
        <f>IFERROR(__xludf.DUMMYFUNCTION("""COMPUTED_VALUE"""),"SAN MIGUEL RD")</f>
        <v>SAN MIGUEL RD</v>
      </c>
      <c r="N1151" s="1"/>
      <c r="O1151" s="1" t="str">
        <f>IFERROR(__xludf.DUMMYFUNCTION("""COMPUTED_VALUE"""),"SAN MIGUEL I")</f>
        <v>SAN MIGUEL I</v>
      </c>
      <c r="P1151" s="1" t="str">
        <f>IFERROR(__xludf.DUMMYFUNCTION("""COMPUTED_VALUE"""),"DASMARINAS")</f>
        <v>DASMARINAS</v>
      </c>
      <c r="Q1151" s="1" t="str">
        <f>IFERROR(__xludf.DUMMYFUNCTION("""COMPUTED_VALUE"""),"CAVITE")</f>
        <v>CAVITE</v>
      </c>
      <c r="R1151" s="1" t="str">
        <f>IFERROR(__xludf.DUMMYFUNCTION("""COMPUTED_VALUE"""),"RED PLAN 1000")</f>
        <v>RED PLAN 1000</v>
      </c>
      <c r="S1151" s="1" t="str">
        <f>IFERROR(__xludf.DUMMYFUNCTION("""COMPUTED_VALUE"""),"APPROVED")</f>
        <v>APPROVED</v>
      </c>
      <c r="T1151" s="1"/>
      <c r="U1151" s="1"/>
      <c r="V1151" s="1"/>
      <c r="W1151" s="1"/>
    </row>
    <row r="1152" customHeight="1" spans="1:23">
      <c r="A1152" s="3">
        <f>IFERROR(__xludf.DUMMYFUNCTION("""COMPUTED_VALUE"""),46122)</f>
        <v>46122</v>
      </c>
      <c r="B1152" s="1" t="str">
        <f>IFERROR(__xludf.DUMMYFUNCTION("""COMPUTED_VALUE"""),"CABRERA JILLIENE")</f>
        <v>CABRERA JILLIENE</v>
      </c>
      <c r="C1152" s="1" t="str">
        <f>IFERROR(__xludf.DUMMYFUNCTION("""COMPUTED_VALUE"""),"ORGANIC")</f>
        <v>ORGANIC</v>
      </c>
      <c r="D1152" s="1" t="str">
        <f>IFERROR(__xludf.DUMMYFUNCTION("""COMPUTED_VALUE"""),"ALOS, CHARLS")</f>
        <v>ALOS, CHARLS</v>
      </c>
      <c r="E1152" s="1" t="str">
        <f>IFERROR(__xludf.DUMMYFUNCTION("""COMPUTED_VALUE"""),"PLDT")</f>
        <v>PLDT</v>
      </c>
      <c r="F1152" s="1">
        <f>IFERROR(__xludf.DUMMYFUNCTION("""COMPUTED_VALUE"""),2308788554)</f>
        <v>2308788554</v>
      </c>
      <c r="G1152" s="1">
        <f>IFERROR(__xludf.DUMMYFUNCTION("""COMPUTED_VALUE"""),450268547004)</f>
        <v>450268547004</v>
      </c>
      <c r="H1152" s="1" t="str">
        <f>IFERROR(__xludf.DUMMYFUNCTION("""COMPUTED_VALUE"""),"MARY ANTOINETTE ALABIN SANEZ")</f>
        <v>MARY ANTOINETTE ALABIN SANEZ</v>
      </c>
      <c r="I1152" s="1">
        <f>IFERROR(__xludf.DUMMYFUNCTION("""COMPUTED_VALUE"""),9926916612)</f>
        <v>9926916612</v>
      </c>
      <c r="J1152" s="1"/>
      <c r="K1152" s="1" t="str">
        <f>IFERROR(__xludf.DUMMYFUNCTION("""COMPUTED_VALUE"""),"MARYANTOINETTESANEZ@GMAIL.COM")</f>
        <v>MARYANTOINETTESANEZ@GMAIL.COM</v>
      </c>
      <c r="L1152" s="1" t="str">
        <f>IFERROR(__xludf.DUMMYFUNCTION("""COMPUTED_VALUE"""),"BLK 29 LOT 1")</f>
        <v>BLK 29 LOT 1</v>
      </c>
      <c r="M1152" s="1" t="str">
        <f>IFERROR(__xludf.DUMMYFUNCTION("""COMPUTED_VALUE"""),"SAN MANUEL RD")</f>
        <v>SAN MANUEL RD</v>
      </c>
      <c r="N1152" s="1"/>
      <c r="O1152" s="1" t="str">
        <f>IFERROR(__xludf.DUMMYFUNCTION("""COMPUTED_VALUE"""),"SAN MANUEL I")</f>
        <v>SAN MANUEL I</v>
      </c>
      <c r="P1152" s="1" t="str">
        <f>IFERROR(__xludf.DUMMYFUNCTION("""COMPUTED_VALUE"""),"DASMARINAS")</f>
        <v>DASMARINAS</v>
      </c>
      <c r="Q1152" s="1" t="str">
        <f>IFERROR(__xludf.DUMMYFUNCTION("""COMPUTED_VALUE"""),"CAVITE")</f>
        <v>CAVITE</v>
      </c>
      <c r="R1152" s="1" t="str">
        <f>IFERROR(__xludf.DUMMYFUNCTION("""COMPUTED_VALUE"""),"FIBR PLAN 2099")</f>
        <v>FIBR PLAN 2099</v>
      </c>
      <c r="S1152" s="1" t="str">
        <f>IFERROR(__xludf.DUMMYFUNCTION("""COMPUTED_VALUE"""),"APPROVED")</f>
        <v>APPROVED</v>
      </c>
      <c r="T1152" s="1"/>
      <c r="U1152" s="1"/>
      <c r="V1152" s="1"/>
      <c r="W1152" s="1"/>
    </row>
    <row r="1153" customHeight="1" spans="1:23">
      <c r="A1153" s="3">
        <f>IFERROR(__xludf.DUMMYFUNCTION("""COMPUTED_VALUE"""),46122)</f>
        <v>46122</v>
      </c>
      <c r="B1153" s="1" t="str">
        <f>IFERROR(__xludf.DUMMYFUNCTION("""COMPUTED_VALUE"""),"GABAY, MANUEL")</f>
        <v>GABAY, MANUEL</v>
      </c>
      <c r="C1153" s="1" t="str">
        <f>IFERROR(__xludf.DUMMYFUNCTION("""COMPUTED_VALUE"""),"FLA")</f>
        <v>FLA</v>
      </c>
      <c r="D1153" s="1" t="str">
        <f>IFERROR(__xludf.DUMMYFUNCTION("""COMPUTED_VALUE"""),"JERIC NAVARRO")</f>
        <v>JERIC NAVARRO</v>
      </c>
      <c r="E1153" s="1" t="str">
        <f>IFERROR(__xludf.DUMMYFUNCTION("""COMPUTED_VALUE"""),"PLDT")</f>
        <v>PLDT</v>
      </c>
      <c r="F1153" s="1">
        <f>IFERROR(__xludf.DUMMYFUNCTION("""COMPUTED_VALUE"""),2308780775)</f>
        <v>2308780775</v>
      </c>
      <c r="G1153" s="1">
        <f>IFERROR(__xludf.DUMMYFUNCTION("""COMPUTED_VALUE"""),450283002004)</f>
        <v>450283002004</v>
      </c>
      <c r="H1153" s="1" t="str">
        <f>IFERROR(__xludf.DUMMYFUNCTION("""COMPUTED_VALUE"""),"BINLADIN MONTOLINO SALIK")</f>
        <v>BINLADIN MONTOLINO SALIK</v>
      </c>
      <c r="I1153" s="1">
        <f>IFERROR(__xludf.DUMMYFUNCTION("""COMPUTED_VALUE"""),9551344146)</f>
        <v>9551344146</v>
      </c>
      <c r="J1153" s="1"/>
      <c r="K1153" s="1" t="str">
        <f>IFERROR(__xludf.DUMMYFUNCTION("""COMPUTED_VALUE"""),"SALBANONBANGEN@GMAIL.COM")</f>
        <v>SALBANONBANGEN@GMAIL.COM</v>
      </c>
      <c r="L1153" s="1" t="str">
        <f>IFERROR(__xludf.DUMMYFUNCTION("""COMPUTED_VALUE"""),"BLK 4 LOT 5")</f>
        <v>BLK 4 LOT 5</v>
      </c>
      <c r="M1153" s="1" t="str">
        <f>IFERROR(__xludf.DUMMYFUNCTION("""COMPUTED_VALUE"""),"MADRID")</f>
        <v>MADRID</v>
      </c>
      <c r="N1153" s="1" t="str">
        <f>IFERROR(__xludf.DUMMYFUNCTION("""COMPUTED_VALUE"""),"SAN MARINO")</f>
        <v>SAN MARINO</v>
      </c>
      <c r="O1153" s="1" t="str">
        <f>IFERROR(__xludf.DUMMYFUNCTION("""COMPUTED_VALUE"""),"SALAWAG")</f>
        <v>SALAWAG</v>
      </c>
      <c r="P1153" s="1" t="str">
        <f>IFERROR(__xludf.DUMMYFUNCTION("""COMPUTED_VALUE"""),"DASMARINAS")</f>
        <v>DASMARINAS</v>
      </c>
      <c r="Q1153" s="1" t="str">
        <f>IFERROR(__xludf.DUMMYFUNCTION("""COMPUTED_VALUE"""),"CAVITE")</f>
        <v>CAVITE</v>
      </c>
      <c r="R1153" s="1" t="str">
        <f>IFERROR(__xludf.DUMMYFUNCTION("""COMPUTED_VALUE"""),"FIBR UNLI ALL PLAN 1399")</f>
        <v>FIBR UNLI ALL PLAN 1399</v>
      </c>
      <c r="S1153" s="1" t="str">
        <f>IFERROR(__xludf.DUMMYFUNCTION("""COMPUTED_VALUE"""),"APPROVED")</f>
        <v>APPROVED</v>
      </c>
      <c r="T1153" s="1"/>
      <c r="U1153" s="1"/>
      <c r="V1153" s="1"/>
      <c r="W1153" s="1"/>
    </row>
    <row r="1154" customHeight="1" spans="1:23">
      <c r="A1154" s="3">
        <f>IFERROR(__xludf.DUMMYFUNCTION("""COMPUTED_VALUE"""),46122)</f>
        <v>46122</v>
      </c>
      <c r="B1154" s="1" t="str">
        <f>IFERROR(__xludf.DUMMYFUNCTION("""COMPUTED_VALUE"""),"CONCEPCION, ALJAY")</f>
        <v>CONCEPCION, ALJAY</v>
      </c>
      <c r="C1154" s="1" t="str">
        <f>IFERROR(__xludf.DUMMYFUNCTION("""COMPUTED_VALUE"""),"ORGANIC")</f>
        <v>ORGANIC</v>
      </c>
      <c r="D1154" s="1" t="str">
        <f>IFERROR(__xludf.DUMMYFUNCTION("""COMPUTED_VALUE"""),"ALINGARO, CINDY")</f>
        <v>ALINGARO, CINDY</v>
      </c>
      <c r="E1154" s="1" t="str">
        <f>IFERROR(__xludf.DUMMYFUNCTION("""COMPUTED_VALUE"""),"PLDT")</f>
        <v>PLDT</v>
      </c>
      <c r="F1154" s="1">
        <f>IFERROR(__xludf.DUMMYFUNCTION("""COMPUTED_VALUE"""),2308788296)</f>
        <v>2308788296</v>
      </c>
      <c r="G1154" s="1">
        <f>IFERROR(__xludf.DUMMYFUNCTION("""COMPUTED_VALUE"""),450268390004)</f>
        <v>450268390004</v>
      </c>
      <c r="H1154" s="1" t="str">
        <f>IFERROR(__xludf.DUMMYFUNCTION("""COMPUTED_VALUE"""),"CARMENCITA NIPAY HERMOSO")</f>
        <v>CARMENCITA NIPAY HERMOSO</v>
      </c>
      <c r="I1154" s="1">
        <f>IFERROR(__xludf.DUMMYFUNCTION("""COMPUTED_VALUE"""),9657465826)</f>
        <v>9657465826</v>
      </c>
      <c r="J1154" s="1">
        <f>IFERROR(__xludf.DUMMYFUNCTION("""COMPUTED_VALUE"""),9244563879)</f>
        <v>9244563879</v>
      </c>
      <c r="K1154" s="1" t="str">
        <f>IFERROR(__xludf.DUMMYFUNCTION("""COMPUTED_VALUE"""),"SMSNTRISHA@GMAIL.COM")</f>
        <v>SMSNTRISHA@GMAIL.COM</v>
      </c>
      <c r="L1154" s="1" t="str">
        <f>IFERROR(__xludf.DUMMYFUNCTION("""COMPUTED_VALUE"""),"177")</f>
        <v>177</v>
      </c>
      <c r="M1154" s="1" t="str">
        <f>IFERROR(__xludf.DUMMYFUNCTION("""COMPUTED_VALUE"""),"BALUBAD ST")</f>
        <v>BALUBAD ST</v>
      </c>
      <c r="N1154" s="1"/>
      <c r="O1154" s="1" t="str">
        <f>IFERROR(__xludf.DUMMYFUNCTION("""COMPUTED_VALUE"""),"MARAHAN II")</f>
        <v>MARAHAN II</v>
      </c>
      <c r="P1154" s="1" t="str">
        <f>IFERROR(__xludf.DUMMYFUNCTION("""COMPUTED_VALUE"""),"ALFONSO")</f>
        <v>ALFONSO</v>
      </c>
      <c r="Q1154" s="1" t="str">
        <f>IFERROR(__xludf.DUMMYFUNCTION("""COMPUTED_VALUE"""),"CAVITE")</f>
        <v>CAVITE</v>
      </c>
      <c r="R1154" s="1" t="str">
        <f>IFERROR(__xludf.DUMMYFUNCTION("""COMPUTED_VALUE"""),"FIBR PLAN 1299")</f>
        <v>FIBR PLAN 1299</v>
      </c>
      <c r="S1154" s="1" t="str">
        <f>IFERROR(__xludf.DUMMYFUNCTION("""COMPUTED_VALUE"""),"APPROVED")</f>
        <v>APPROVED</v>
      </c>
      <c r="T1154" s="1"/>
      <c r="U1154" s="1"/>
      <c r="V1154" s="1"/>
      <c r="W1154" s="1"/>
    </row>
    <row r="1155" customHeight="1" spans="1:23">
      <c r="A1155" s="3">
        <f>IFERROR(__xludf.DUMMYFUNCTION("""COMPUTED_VALUE"""),46122)</f>
        <v>46122</v>
      </c>
      <c r="B1155" s="1" t="str">
        <f>IFERROR(__xludf.DUMMYFUNCTION("""COMPUTED_VALUE"""),"DELA ROSA, JENNELYN")</f>
        <v>DELA ROSA, JENNELYN</v>
      </c>
      <c r="C1155" s="1" t="str">
        <f>IFERROR(__xludf.DUMMYFUNCTION("""COMPUTED_VALUE"""),"ORGANIC")</f>
        <v>ORGANIC</v>
      </c>
      <c r="D1155" s="1" t="str">
        <f>IFERROR(__xludf.DUMMYFUNCTION("""COMPUTED_VALUE"""),"ALOS, CHARLS")</f>
        <v>ALOS, CHARLS</v>
      </c>
      <c r="E1155" s="1" t="str">
        <f>IFERROR(__xludf.DUMMYFUNCTION("""COMPUTED_VALUE"""),"PLDT")</f>
        <v>PLDT</v>
      </c>
      <c r="F1155" s="1">
        <f>IFERROR(__xludf.DUMMYFUNCTION("""COMPUTED_VALUE"""),2308788101)</f>
        <v>2308788101</v>
      </c>
      <c r="G1155" s="1"/>
      <c r="H1155" s="1" t="str">
        <f>IFERROR(__xludf.DUMMYFUNCTION("""COMPUTED_VALUE"""),"VALERIE IRA ANTARAN BUCAYAN")</f>
        <v>VALERIE IRA ANTARAN BUCAYAN</v>
      </c>
      <c r="I1155" s="1">
        <f>IFERROR(__xludf.DUMMYFUNCTION("""COMPUTED_VALUE"""),9602158537)</f>
        <v>9602158537</v>
      </c>
      <c r="J1155" s="1"/>
      <c r="K1155" s="1" t="str">
        <f>IFERROR(__xludf.DUMMYFUNCTION("""COMPUTED_VALUE"""),"VABUCAYAN@DLSMHSI.EDU.PH")</f>
        <v>VABUCAYAN@DLSMHSI.EDU.PH</v>
      </c>
      <c r="L1155" s="1" t="str">
        <f>IFERROR(__xludf.DUMMYFUNCTION("""COMPUTED_VALUE"""),"BLK 1 LOT 3")</f>
        <v>BLK 1 LOT 3</v>
      </c>
      <c r="M1155" s="1" t="str">
        <f>IFERROR(__xludf.DUMMYFUNCTION("""COMPUTED_VALUE"""),"JAVIER")</f>
        <v>JAVIER</v>
      </c>
      <c r="N1155" s="1" t="str">
        <f>IFERROR(__xludf.DUMMYFUNCTION("""COMPUTED_VALUE"""),"BETCHAYDA APPARTMENT")</f>
        <v>BETCHAYDA APPARTMENT</v>
      </c>
      <c r="O1155" s="1" t="str">
        <f>IFERROR(__xludf.DUMMYFUNCTION("""COMPUTED_VALUE"""),"BUROL")</f>
        <v>BUROL</v>
      </c>
      <c r="P1155" s="1" t="str">
        <f>IFERROR(__xludf.DUMMYFUNCTION("""COMPUTED_VALUE"""),"DASMARINAS")</f>
        <v>DASMARINAS</v>
      </c>
      <c r="Q1155" s="1" t="str">
        <f>IFERROR(__xludf.DUMMYFUNCTION("""COMPUTED_VALUE"""),"CAVITE")</f>
        <v>CAVITE</v>
      </c>
      <c r="R1155" s="1" t="str">
        <f>IFERROR(__xludf.DUMMYFUNCTION("""COMPUTED_VALUE"""),"FIBR UNLI ALL PLAN 1799")</f>
        <v>FIBR UNLI ALL PLAN 1799</v>
      </c>
      <c r="S1155" s="1" t="str">
        <f>IFERROR(__xludf.DUMMYFUNCTION("""COMPUTED_VALUE"""),"APPROVED")</f>
        <v>APPROVED</v>
      </c>
      <c r="T1155" s="1"/>
      <c r="U1155" s="1"/>
      <c r="V1155" s="1"/>
      <c r="W1155" s="1"/>
    </row>
    <row r="1156" customHeight="1" spans="1:23">
      <c r="A1156" s="3">
        <f>IFERROR(__xludf.DUMMYFUNCTION("""COMPUTED_VALUE"""),46122)</f>
        <v>46122</v>
      </c>
      <c r="B1156" s="1" t="str">
        <f>IFERROR(__xludf.DUMMYFUNCTION("""COMPUTED_VALUE"""),"CANTANERO JUNEL")</f>
        <v>CANTANERO JUNEL</v>
      </c>
      <c r="C1156" s="1" t="str">
        <f>IFERROR(__xludf.DUMMYFUNCTION("""COMPUTED_VALUE"""),"ORGANIC")</f>
        <v>ORGANIC</v>
      </c>
      <c r="D1156" s="1" t="str">
        <f>IFERROR(__xludf.DUMMYFUNCTION("""COMPUTED_VALUE"""),"ALINGARO, CINDY")</f>
        <v>ALINGARO, CINDY</v>
      </c>
      <c r="E1156" s="1" t="str">
        <f>IFERROR(__xludf.DUMMYFUNCTION("""COMPUTED_VALUE"""),"PLDT")</f>
        <v>PLDT</v>
      </c>
      <c r="F1156" s="1">
        <f>IFERROR(__xludf.DUMMYFUNCTION("""COMPUTED_VALUE"""),2308783592)</f>
        <v>2308783592</v>
      </c>
      <c r="G1156" s="1">
        <f>IFERROR(__xludf.DUMMYFUNCTION("""COMPUTED_VALUE"""),450174515004)</f>
        <v>450174515004</v>
      </c>
      <c r="H1156" s="1" t="str">
        <f>IFERROR(__xludf.DUMMYFUNCTION("""COMPUTED_VALUE"""),"REGGIE AGUILOTCHO BORJA")</f>
        <v>REGGIE AGUILOTCHO BORJA</v>
      </c>
      <c r="I1156" s="1">
        <f>IFERROR(__xludf.DUMMYFUNCTION("""COMPUTED_VALUE"""),9685367476)</f>
        <v>9685367476</v>
      </c>
      <c r="J1156" s="1">
        <f>IFERROR(__xludf.DUMMYFUNCTION("""COMPUTED_VALUE"""),9913843386)</f>
        <v>9913843386</v>
      </c>
      <c r="K1156" s="1" t="str">
        <f>IFERROR(__xludf.DUMMYFUNCTION("""COMPUTED_VALUE"""),"MIRLABORJA51@GMAIL.COM")</f>
        <v>MIRLABORJA51@GMAIL.COM</v>
      </c>
      <c r="L1156" s="1" t="str">
        <f>IFERROR(__xludf.DUMMYFUNCTION("""COMPUTED_VALUE"""),"BLK 7 LOT 12")</f>
        <v>BLK 7 LOT 12</v>
      </c>
      <c r="M1156" s="1" t="str">
        <f>IFERROR(__xludf.DUMMYFUNCTION("""COMPUTED_VALUE"""),"PALIPARAN RD")</f>
        <v>PALIPARAN RD</v>
      </c>
      <c r="N1156" s="1"/>
      <c r="O1156" s="1" t="str">
        <f>IFERROR(__xludf.DUMMYFUNCTION("""COMPUTED_VALUE"""),"PALIPARAN I")</f>
        <v>PALIPARAN I</v>
      </c>
      <c r="P1156" s="1" t="str">
        <f>IFERROR(__xludf.DUMMYFUNCTION("""COMPUTED_VALUE"""),"DASMARINAS")</f>
        <v>DASMARINAS</v>
      </c>
      <c r="Q1156" s="1" t="str">
        <f>IFERROR(__xludf.DUMMYFUNCTION("""COMPUTED_VALUE"""),"CAVITE")</f>
        <v>CAVITE</v>
      </c>
      <c r="R1156" s="1" t="str">
        <f>IFERROR(__xludf.DUMMYFUNCTION("""COMPUTED_VALUE"""),"FIBR PLAN 1299")</f>
        <v>FIBR PLAN 1299</v>
      </c>
      <c r="S1156" s="1" t="str">
        <f>IFERROR(__xludf.DUMMYFUNCTION("""COMPUTED_VALUE"""),"APPROVED")</f>
        <v>APPROVED</v>
      </c>
      <c r="T1156" s="1"/>
      <c r="U1156" s="1"/>
      <c r="V1156" s="1"/>
      <c r="W1156" s="1"/>
    </row>
    <row r="1157" customHeight="1" spans="1:23">
      <c r="A1157" s="3">
        <f>IFERROR(__xludf.DUMMYFUNCTION("""COMPUTED_VALUE"""),46122)</f>
        <v>46122</v>
      </c>
      <c r="B1157" s="1" t="str">
        <f>IFERROR(__xludf.DUMMYFUNCTION("""COMPUTED_VALUE"""),"ESCARCHA, MA ALMA  ESCOTO")</f>
        <v>ESCARCHA, MA ALMA  ESCOTO</v>
      </c>
      <c r="C1157" s="1" t="str">
        <f>IFERROR(__xludf.DUMMYFUNCTION("""COMPUTED_VALUE"""),"ORGANIC")</f>
        <v>ORGANIC</v>
      </c>
      <c r="D1157" s="1" t="str">
        <f>IFERROR(__xludf.DUMMYFUNCTION("""COMPUTED_VALUE"""),"ALINGARO, CINDY")</f>
        <v>ALINGARO, CINDY</v>
      </c>
      <c r="E1157" s="1" t="str">
        <f>IFERROR(__xludf.DUMMYFUNCTION("""COMPUTED_VALUE"""),"PLDT")</f>
        <v>PLDT</v>
      </c>
      <c r="F1157" s="1">
        <f>IFERROR(__xludf.DUMMYFUNCTION("""COMPUTED_VALUE"""),2308787909)</f>
        <v>2308787909</v>
      </c>
      <c r="G1157" s="1"/>
      <c r="H1157" s="1" t="str">
        <f>IFERROR(__xludf.DUMMYFUNCTION("""COMPUTED_VALUE"""),"ALYSSA MONIQUE PENALBA HERRERA")</f>
        <v>ALYSSA MONIQUE PENALBA HERRERA</v>
      </c>
      <c r="I1157" s="1">
        <f>IFERROR(__xludf.DUMMYFUNCTION("""COMPUTED_VALUE"""),9473282466)</f>
        <v>9473282466</v>
      </c>
      <c r="J1157" s="1">
        <f>IFERROR(__xludf.DUMMYFUNCTION("""COMPUTED_VALUE"""),9994614292)</f>
        <v>9994614292</v>
      </c>
      <c r="K1157" s="1" t="str">
        <f>IFERROR(__xludf.DUMMYFUNCTION("""COMPUTED_VALUE"""),"ALYSSAMONIQUEHERRERA@GMAIL.COM")</f>
        <v>ALYSSAMONIQUEHERRERA@GMAIL.COM</v>
      </c>
      <c r="L1157" s="1" t="str">
        <f>IFERROR(__xludf.DUMMYFUNCTION("""COMPUTED_VALUE"""),"12")</f>
        <v>12</v>
      </c>
      <c r="M1157" s="1" t="str">
        <f>IFERROR(__xludf.DUMMYFUNCTION("""COMPUTED_VALUE"""),"SAINT FRANCIS ")</f>
        <v>SAINT FRANCIS </v>
      </c>
      <c r="N1157" s="1"/>
      <c r="O1157" s="1" t="str">
        <f>IFERROR(__xludf.DUMMYFUNCTION("""COMPUTED_VALUE"""),"ASIS I")</f>
        <v>ASIS I</v>
      </c>
      <c r="P1157" s="1" t="str">
        <f>IFERROR(__xludf.DUMMYFUNCTION("""COMPUTED_VALUE"""),"MENDEZ")</f>
        <v>MENDEZ</v>
      </c>
      <c r="Q1157" s="1" t="str">
        <f>IFERROR(__xludf.DUMMYFUNCTION("""COMPUTED_VALUE"""),"CAVITE")</f>
        <v>CAVITE</v>
      </c>
      <c r="R1157" s="1" t="str">
        <f>IFERROR(__xludf.DUMMYFUNCTION("""COMPUTED_VALUE"""),"FIBR UNLI ALL PLAN 1399")</f>
        <v>FIBR UNLI ALL PLAN 1399</v>
      </c>
      <c r="S1157" s="1" t="str">
        <f>IFERROR(__xludf.DUMMYFUNCTION("""COMPUTED_VALUE"""),"APPROVED")</f>
        <v>APPROVED</v>
      </c>
      <c r="T1157" s="1"/>
      <c r="U1157" s="1"/>
      <c r="V1157" s="1"/>
      <c r="W1157" s="1"/>
    </row>
    <row r="1158" customHeight="1" spans="1:23">
      <c r="A1158" s="3">
        <f>IFERROR(__xludf.DUMMYFUNCTION("""COMPUTED_VALUE"""),46122)</f>
        <v>46122</v>
      </c>
      <c r="B1158" s="1" t="str">
        <f>IFERROR(__xludf.DUMMYFUNCTION("""COMPUTED_VALUE"""),"PHILIP, DRIVER")</f>
        <v>PHILIP, DRIVER</v>
      </c>
      <c r="C1158" s="1" t="str">
        <f>IFERROR(__xludf.DUMMYFUNCTION("""COMPUTED_VALUE"""),"FLA")</f>
        <v>FLA</v>
      </c>
      <c r="D1158" s="1" t="str">
        <f>IFERROR(__xludf.DUMMYFUNCTION("""COMPUTED_VALUE"""),"JERIC NAVARRO")</f>
        <v>JERIC NAVARRO</v>
      </c>
      <c r="E1158" s="1" t="str">
        <f>IFERROR(__xludf.DUMMYFUNCTION("""COMPUTED_VALUE"""),"RED FIBER")</f>
        <v>RED FIBER</v>
      </c>
      <c r="F1158" s="1"/>
      <c r="G1158" s="1"/>
      <c r="H1158" s="1" t="str">
        <f>IFERROR(__xludf.DUMMYFUNCTION("""COMPUTED_VALUE"""),"JULIE MAR FLORENDO PALUBON")</f>
        <v>JULIE MAR FLORENDO PALUBON</v>
      </c>
      <c r="I1158" s="1">
        <f>IFERROR(__xludf.DUMMYFUNCTION("""COMPUTED_VALUE"""),9694892719)</f>
        <v>9694892719</v>
      </c>
      <c r="J1158" s="1"/>
      <c r="K1158" s="1" t="str">
        <f>IFERROR(__xludf.DUMMYFUNCTION("""COMPUTED_VALUE"""),"ERLYNNEAURE17@ICLOUD.COM")</f>
        <v>ERLYNNEAURE17@ICLOUD.COM</v>
      </c>
      <c r="L1158" s="1" t="str">
        <f>IFERROR(__xludf.DUMMYFUNCTION("""COMPUTED_VALUE"""),"113")</f>
        <v>113</v>
      </c>
      <c r="M1158" s="1" t="str">
        <f>IFERROR(__xludf.DUMMYFUNCTION("""COMPUTED_VALUE"""),"MADRID")</f>
        <v>MADRID</v>
      </c>
      <c r="N1158" s="1"/>
      <c r="O1158" s="1" t="str">
        <f>IFERROR(__xludf.DUMMYFUNCTION("""COMPUTED_VALUE"""),"POBLACION VI (BARANGAY VI)")</f>
        <v>POBLACION VI (BARANGAY VI)</v>
      </c>
      <c r="P1158" s="1" t="str">
        <f>IFERROR(__xludf.DUMMYFUNCTION("""COMPUTED_VALUE"""),"MAGALLANES")</f>
        <v>MAGALLANES</v>
      </c>
      <c r="Q1158" s="1" t="str">
        <f>IFERROR(__xludf.DUMMYFUNCTION("""COMPUTED_VALUE"""),"CAVITE")</f>
        <v>CAVITE</v>
      </c>
      <c r="R1158" s="1" t="str">
        <f>IFERROR(__xludf.DUMMYFUNCTION("""COMPUTED_VALUE"""),"RED PLAN 1000")</f>
        <v>RED PLAN 1000</v>
      </c>
      <c r="S1158" s="1" t="str">
        <f>IFERROR(__xludf.DUMMYFUNCTION("""COMPUTED_VALUE"""),"APPROVED")</f>
        <v>APPROVED</v>
      </c>
      <c r="T1158" s="1"/>
      <c r="U1158" s="1"/>
      <c r="V1158" s="1"/>
      <c r="W1158" s="1"/>
    </row>
    <row r="1159" customHeight="1" spans="1:23">
      <c r="A1159" s="3">
        <f>IFERROR(__xludf.DUMMYFUNCTION("""COMPUTED_VALUE"""),46122)</f>
        <v>46122</v>
      </c>
      <c r="B1159" s="1" t="str">
        <f>IFERROR(__xludf.DUMMYFUNCTION("""COMPUTED_VALUE"""),"NAVARRO, JERIC")</f>
        <v>NAVARRO, JERIC</v>
      </c>
      <c r="C1159" s="1" t="str">
        <f>IFERROR(__xludf.DUMMYFUNCTION("""COMPUTED_VALUE"""),"FLA")</f>
        <v>FLA</v>
      </c>
      <c r="D1159" s="1" t="str">
        <f>IFERROR(__xludf.DUMMYFUNCTION("""COMPUTED_VALUE"""),"JERIC NAVARRO")</f>
        <v>JERIC NAVARRO</v>
      </c>
      <c r="E1159" s="1" t="str">
        <f>IFERROR(__xludf.DUMMYFUNCTION("""COMPUTED_VALUE"""),"PLDT")</f>
        <v>PLDT</v>
      </c>
      <c r="F1159" s="1">
        <f>IFERROR(__xludf.DUMMYFUNCTION("""COMPUTED_VALUE"""),2308783219)</f>
        <v>2308783219</v>
      </c>
      <c r="G1159" s="1">
        <f>IFERROR(__xludf.DUMMYFUNCTION("""COMPUTED_VALUE"""),450160931004)</f>
        <v>450160931004</v>
      </c>
      <c r="H1159" s="1" t="str">
        <f>IFERROR(__xludf.DUMMYFUNCTION("""COMPUTED_VALUE"""),"JOEL TRAPAGO")</f>
        <v>JOEL TRAPAGO</v>
      </c>
      <c r="I1159" s="1">
        <f>IFERROR(__xludf.DUMMYFUNCTION("""COMPUTED_VALUE"""),9477607569)</f>
        <v>9477607569</v>
      </c>
      <c r="J1159" s="1"/>
      <c r="K1159" s="1" t="str">
        <f>IFERROR(__xludf.DUMMYFUNCTION("""COMPUTED_VALUE"""),"JTRAPAGO14@GMAIL.COM")</f>
        <v>JTRAPAGO14@GMAIL.COM</v>
      </c>
      <c r="L1159" s="1" t="str">
        <f>IFERROR(__xludf.DUMMYFUNCTION("""COMPUTED_VALUE"""),"105")</f>
        <v>105</v>
      </c>
      <c r="M1159" s="1" t="str">
        <f>IFERROR(__xludf.DUMMYFUNCTION("""COMPUTED_VALUE"""),"STO DOMINGO")</f>
        <v>STO DOMINGO</v>
      </c>
      <c r="N1159" s="1"/>
      <c r="O1159" s="1" t="str">
        <f>IFERROR(__xludf.DUMMYFUNCTION("""COMPUTED_VALUE"""),"POBLACION II")</f>
        <v>POBLACION II</v>
      </c>
      <c r="P1159" s="1" t="str">
        <f>IFERROR(__xludf.DUMMYFUNCTION("""COMPUTED_VALUE"""),"TANZA")</f>
        <v>TANZA</v>
      </c>
      <c r="Q1159" s="1" t="str">
        <f>IFERROR(__xludf.DUMMYFUNCTION("""COMPUTED_VALUE"""),"CAVITE")</f>
        <v>CAVITE</v>
      </c>
      <c r="R1159" s="1" t="str">
        <f>IFERROR(__xludf.DUMMYFUNCTION("""COMPUTED_VALUE"""),"FIBR NETFLIX PLAN 1599")</f>
        <v>FIBR NETFLIX PLAN 1599</v>
      </c>
      <c r="S1159" s="1" t="str">
        <f>IFERROR(__xludf.DUMMYFUNCTION("""COMPUTED_VALUE"""),"APPROVED")</f>
        <v>APPROVED</v>
      </c>
      <c r="T1159" s="1"/>
      <c r="U1159" s="1"/>
      <c r="V1159" s="1"/>
      <c r="W1159" s="1"/>
    </row>
    <row r="1160" customHeight="1" spans="1:23">
      <c r="A1160" s="3">
        <f>IFERROR(__xludf.DUMMYFUNCTION("""COMPUTED_VALUE"""),46122)</f>
        <v>46122</v>
      </c>
      <c r="B1160" s="1" t="str">
        <f>IFERROR(__xludf.DUMMYFUNCTION("""COMPUTED_VALUE"""),"MAGDARAOG, KENNETH")</f>
        <v>MAGDARAOG, KENNETH</v>
      </c>
      <c r="C1160" s="1" t="str">
        <f>IFERROR(__xludf.DUMMYFUNCTION("""COMPUTED_VALUE"""),"ORGANIC")</f>
        <v>ORGANIC</v>
      </c>
      <c r="D1160" s="1" t="str">
        <f>IFERROR(__xludf.DUMMYFUNCTION("""COMPUTED_VALUE"""),"ALINGARO, CINDY")</f>
        <v>ALINGARO, CINDY</v>
      </c>
      <c r="E1160" s="1" t="str">
        <f>IFERROR(__xludf.DUMMYFUNCTION("""COMPUTED_VALUE"""),"HOME BIZZ")</f>
        <v>HOME BIZZ</v>
      </c>
      <c r="F1160" s="1">
        <f>IFERROR(__xludf.DUMMYFUNCTION("""COMPUTED_VALUE"""),2308797149)</f>
        <v>2308797149</v>
      </c>
      <c r="G1160" s="1">
        <f>IFERROR(__xludf.DUMMYFUNCTION("""COMPUTED_VALUE"""),450275124004)</f>
        <v>450275124004</v>
      </c>
      <c r="H1160" s="1" t="str">
        <f>IFERROR(__xludf.DUMMYFUNCTION("""COMPUTED_VALUE"""),"VITRINA MODULAR CABINET TRADING")</f>
        <v>VITRINA MODULAR CABINET TRADING</v>
      </c>
      <c r="I1160" s="1">
        <f>IFERROR(__xludf.DUMMYFUNCTION("""COMPUTED_VALUE"""),9674619342)</f>
        <v>9674619342</v>
      </c>
      <c r="J1160" s="1">
        <f>IFERROR(__xludf.DUMMYFUNCTION("""COMPUTED_VALUE"""),9166345009)</f>
        <v>9166345009</v>
      </c>
      <c r="K1160" s="1" t="str">
        <f>IFERROR(__xludf.DUMMYFUNCTION("""COMPUTED_VALUE"""),"VITRINA.PH@GMAIL.COM")</f>
        <v>VITRINA.PH@GMAIL.COM</v>
      </c>
      <c r="L1160" s="1" t="str">
        <f>IFERROR(__xludf.DUMMYFUNCTION("""COMPUTED_VALUE"""),"10")</f>
        <v>10</v>
      </c>
      <c r="M1160" s="1" t="str">
        <f>IFERROR(__xludf.DUMMYFUNCTION("""COMPUTED_VALUE"""),"PALIPARAN RD")</f>
        <v>PALIPARAN RD</v>
      </c>
      <c r="N1160" s="1"/>
      <c r="O1160" s="1" t="str">
        <f>IFERROR(__xludf.DUMMYFUNCTION("""COMPUTED_VALUE"""),"PALIPARAN II")</f>
        <v>PALIPARAN II</v>
      </c>
      <c r="P1160" s="1" t="str">
        <f>IFERROR(__xludf.DUMMYFUNCTION("""COMPUTED_VALUE"""),"DASMARINAS")</f>
        <v>DASMARINAS</v>
      </c>
      <c r="Q1160" s="1" t="str">
        <f>IFERROR(__xludf.DUMMYFUNCTION("""COMPUTED_VALUE"""),"CAVITE")</f>
        <v>CAVITE</v>
      </c>
      <c r="R1160" s="1" t="str">
        <f>IFERROR(__xludf.DUMMYFUNCTION("""COMPUTED_VALUE"""),"HOME BIZ PLAN 2699")</f>
        <v>HOME BIZ PLAN 2699</v>
      </c>
      <c r="S1160" s="1" t="str">
        <f>IFERROR(__xludf.DUMMYFUNCTION("""COMPUTED_VALUE"""),"APPROVED")</f>
        <v>APPROVED</v>
      </c>
      <c r="T1160" s="1"/>
      <c r="U1160" s="1"/>
      <c r="V1160" s="1"/>
      <c r="W1160" s="1"/>
    </row>
    <row r="1161" customHeight="1" spans="1:23">
      <c r="A1161" s="3">
        <f>IFERROR(__xludf.DUMMYFUNCTION("""COMPUTED_VALUE"""),46123)</f>
        <v>46123</v>
      </c>
      <c r="B1161" s="1" t="str">
        <f>IFERROR(__xludf.DUMMYFUNCTION("""COMPUTED_VALUE"""),"FRANCISCO , ROSELYN")</f>
        <v>FRANCISCO , ROSELYN</v>
      </c>
      <c r="C1161" s="1" t="str">
        <f>IFERROR(__xludf.DUMMYFUNCTION("""COMPUTED_VALUE"""),"FLA")</f>
        <v>FLA</v>
      </c>
      <c r="D1161" s="1" t="str">
        <f>IFERROR(__xludf.DUMMYFUNCTION("""COMPUTED_VALUE"""),"JERIC NAVARRO")</f>
        <v>JERIC NAVARRO</v>
      </c>
      <c r="E1161" s="1" t="str">
        <f>IFERROR(__xludf.DUMMYFUNCTION("""COMPUTED_VALUE"""),"PLDT")</f>
        <v>PLDT</v>
      </c>
      <c r="F1161" s="1">
        <f>IFERROR(__xludf.DUMMYFUNCTION("""COMPUTED_VALUE"""),2308792471)</f>
        <v>2308792471</v>
      </c>
      <c r="G1161" s="1">
        <f>IFERROR(__xludf.DUMMYFUNCTION("""COMPUTED_VALUE"""),450276130004)</f>
        <v>450276130004</v>
      </c>
      <c r="H1161" s="1" t="str">
        <f>IFERROR(__xludf.DUMMYFUNCTION("""COMPUTED_VALUE"""),"MARY GRACIELLE JEREMIAS BUEDIA")</f>
        <v>MARY GRACIELLE JEREMIAS BUEDIA</v>
      </c>
      <c r="I1161" s="1">
        <f>IFERROR(__xludf.DUMMYFUNCTION("""COMPUTED_VALUE"""),9544676506)</f>
        <v>9544676506</v>
      </c>
      <c r="J1161" s="1">
        <f>IFERROR(__xludf.DUMMYFUNCTION("""COMPUTED_VALUE"""),9563500741)</f>
        <v>9563500741</v>
      </c>
      <c r="K1161" s="1" t="str">
        <f>IFERROR(__xludf.DUMMYFUNCTION("""COMPUTED_VALUE"""),"GRACIELLEBUENDIA@GMAIL.COM")</f>
        <v>GRACIELLEBUENDIA@GMAIL.COM</v>
      </c>
      <c r="L1161" s="1" t="str">
        <f>IFERROR(__xludf.DUMMYFUNCTION("""COMPUTED_VALUE"""),"BLK 68 LOT C2")</f>
        <v>BLK 68 LOT C2</v>
      </c>
      <c r="M1161" s="1" t="str">
        <f>IFERROR(__xludf.DUMMYFUNCTION("""COMPUTED_VALUE"""),"ELISA HOMES 4")</f>
        <v>ELISA HOMES 4</v>
      </c>
      <c r="N1161" s="1"/>
      <c r="O1161" s="1" t="str">
        <f>IFERROR(__xludf.DUMMYFUNCTION("""COMPUTED_VALUE"""),"MOLINO IV")</f>
        <v>MOLINO IV</v>
      </c>
      <c r="P1161" s="1" t="str">
        <f>IFERROR(__xludf.DUMMYFUNCTION("""COMPUTED_VALUE"""),"GEN MARIANO ALVAREZ")</f>
        <v>GEN MARIANO ALVAREZ</v>
      </c>
      <c r="Q1161" s="1" t="str">
        <f>IFERROR(__xludf.DUMMYFUNCTION("""COMPUTED_VALUE"""),"CAVITE")</f>
        <v>CAVITE</v>
      </c>
      <c r="R1161" s="1" t="str">
        <f>IFERROR(__xludf.DUMMYFUNCTION("""COMPUTED_VALUE"""),"FIBR UNLI ALL PLAN 1399")</f>
        <v>FIBR UNLI ALL PLAN 1399</v>
      </c>
      <c r="S1161" s="1" t="str">
        <f>IFERROR(__xludf.DUMMYFUNCTION("""COMPUTED_VALUE"""),"APPROVED")</f>
        <v>APPROVED</v>
      </c>
      <c r="T1161" s="1"/>
      <c r="U1161" s="1"/>
      <c r="V1161" s="1"/>
      <c r="W1161" s="1"/>
    </row>
    <row r="1162" customHeight="1" spans="1:23">
      <c r="A1162" s="3">
        <f>IFERROR(__xludf.DUMMYFUNCTION("""COMPUTED_VALUE"""),46123)</f>
        <v>46123</v>
      </c>
      <c r="B1162" s="1" t="str">
        <f>IFERROR(__xludf.DUMMYFUNCTION("""COMPUTED_VALUE"""),"CONCEPCION, ALJAY")</f>
        <v>CONCEPCION, ALJAY</v>
      </c>
      <c r="C1162" s="1" t="str">
        <f>IFERROR(__xludf.DUMMYFUNCTION("""COMPUTED_VALUE"""),"ORGANIC")</f>
        <v>ORGANIC</v>
      </c>
      <c r="D1162" s="1" t="str">
        <f>IFERROR(__xludf.DUMMYFUNCTION("""COMPUTED_VALUE"""),"ALINGARO, CINDY")</f>
        <v>ALINGARO, CINDY</v>
      </c>
      <c r="E1162" s="1" t="str">
        <f>IFERROR(__xludf.DUMMYFUNCTION("""COMPUTED_VALUE"""),"PLDT")</f>
        <v>PLDT</v>
      </c>
      <c r="F1162" s="1">
        <f>IFERROR(__xludf.DUMMYFUNCTION("""COMPUTED_VALUE"""),2308792480)</f>
        <v>2308792480</v>
      </c>
      <c r="G1162" s="1">
        <f>IFERROR(__xludf.DUMMYFUNCTION("""COMPUTED_VALUE"""),450390992004)</f>
        <v>450390992004</v>
      </c>
      <c r="H1162" s="1" t="str">
        <f>IFERROR(__xludf.DUMMYFUNCTION("""COMPUTED_VALUE"""),"LOUELA JASCHA CORDOVA CANGAYAO")</f>
        <v>LOUELA JASCHA CORDOVA CANGAYAO</v>
      </c>
      <c r="I1162" s="1">
        <f>IFERROR(__xludf.DUMMYFUNCTION("""COMPUTED_VALUE"""),9367035456)</f>
        <v>9367035456</v>
      </c>
      <c r="J1162" s="1">
        <f>IFERROR(__xludf.DUMMYFUNCTION("""COMPUTED_VALUE"""),9367035456)</f>
        <v>9367035456</v>
      </c>
      <c r="K1162" s="1" t="str">
        <f>IFERROR(__xludf.DUMMYFUNCTION("""COMPUTED_VALUE"""),"LJCANGAYAO08@GMAIL.COM")</f>
        <v>LJCANGAYAO08@GMAIL.COM</v>
      </c>
      <c r="L1162" s="1" t="str">
        <f>IFERROR(__xludf.DUMMYFUNCTION("""COMPUTED_VALUE"""),"270 BLK 3")</f>
        <v>270 BLK 3</v>
      </c>
      <c r="M1162" s="1" t="str">
        <f>IFERROR(__xludf.DUMMYFUNCTION("""COMPUTED_VALUE"""),"EXCESS LOT")</f>
        <v>EXCESS LOT</v>
      </c>
      <c r="N1162" s="1"/>
      <c r="O1162" s="1" t="str">
        <f>IFERROR(__xludf.DUMMYFUNCTION("""COMPUTED_VALUE"""),"BERNARDO PULIDO (AREA H)")</f>
        <v>BERNARDO PULIDO (AREA H)</v>
      </c>
      <c r="P1162" s="1" t="str">
        <f>IFERROR(__xludf.DUMMYFUNCTION("""COMPUTED_VALUE"""),"GEN MARIANO ALVAREZ")</f>
        <v>GEN MARIANO ALVAREZ</v>
      </c>
      <c r="Q1162" s="1" t="str">
        <f>IFERROR(__xludf.DUMMYFUNCTION("""COMPUTED_VALUE"""),"CAVITE")</f>
        <v>CAVITE</v>
      </c>
      <c r="R1162" s="1" t="str">
        <f>IFERROR(__xludf.DUMMYFUNCTION("""COMPUTED_VALUE"""),"FIBR UNLI ALL PLAN 1399")</f>
        <v>FIBR UNLI ALL PLAN 1399</v>
      </c>
      <c r="S1162" s="1" t="str">
        <f>IFERROR(__xludf.DUMMYFUNCTION("""COMPUTED_VALUE"""),"APPROVED")</f>
        <v>APPROVED</v>
      </c>
      <c r="T1162" s="1"/>
      <c r="U1162" s="1"/>
      <c r="V1162" s="1"/>
      <c r="W1162" s="1"/>
    </row>
    <row r="1163" customHeight="1" spans="1:23">
      <c r="A1163" s="3">
        <f>IFERROR(__xludf.DUMMYFUNCTION("""COMPUTED_VALUE"""),46123)</f>
        <v>46123</v>
      </c>
      <c r="B1163" s="1" t="str">
        <f>IFERROR(__xludf.DUMMYFUNCTION("""COMPUTED_VALUE"""),"ESCARCHA, MA ALMA  ESCOTO")</f>
        <v>ESCARCHA, MA ALMA  ESCOTO</v>
      </c>
      <c r="C1163" s="1" t="str">
        <f>IFERROR(__xludf.DUMMYFUNCTION("""COMPUTED_VALUE"""),"ORGANIC")</f>
        <v>ORGANIC</v>
      </c>
      <c r="D1163" s="1" t="str">
        <f>IFERROR(__xludf.DUMMYFUNCTION("""COMPUTED_VALUE"""),"ALINGARO, CINDY")</f>
        <v>ALINGARO, CINDY</v>
      </c>
      <c r="E1163" s="1" t="str">
        <f>IFERROR(__xludf.DUMMYFUNCTION("""COMPUTED_VALUE"""),"PLDT")</f>
        <v>PLDT</v>
      </c>
      <c r="F1163" s="1">
        <f>IFERROR(__xludf.DUMMYFUNCTION("""COMPUTED_VALUE"""),2308793798)</f>
        <v>2308793798</v>
      </c>
      <c r="G1163" s="1"/>
      <c r="H1163" s="1" t="str">
        <f>IFERROR(__xludf.DUMMYFUNCTION("""COMPUTED_VALUE"""),"JOSEPH OLID MONTANO")</f>
        <v>JOSEPH OLID MONTANO</v>
      </c>
      <c r="I1163" s="1">
        <f>IFERROR(__xludf.DUMMYFUNCTION("""COMPUTED_VALUE"""),9318177644)</f>
        <v>9318177644</v>
      </c>
      <c r="J1163" s="1"/>
      <c r="K1163" s="1" t="str">
        <f>IFERROR(__xludf.DUMMYFUNCTION("""COMPUTED_VALUE"""),"JOM769@GMAIL.COM")</f>
        <v>JOM769@GMAIL.COM</v>
      </c>
      <c r="L1163" s="1" t="str">
        <f>IFERROR(__xludf.DUMMYFUNCTION("""COMPUTED_VALUE"""),"BLK 6 LOT 8")</f>
        <v>BLK 6 LOT 8</v>
      </c>
      <c r="M1163" s="1" t="str">
        <f>IFERROR(__xludf.DUMMYFUNCTION("""COMPUTED_VALUE"""),"F REYES RD")</f>
        <v>F REYES RD</v>
      </c>
      <c r="N1163" s="1"/>
      <c r="O1163" s="1" t="str">
        <f>IFERROR(__xludf.DUMMYFUNCTION("""COMPUTED_VALUE"""),"FRANCISCO REYES")</f>
        <v>FRANCISCO REYES</v>
      </c>
      <c r="P1163" s="1" t="str">
        <f>IFERROR(__xludf.DUMMYFUNCTION("""COMPUTED_VALUE"""),"GEN MARIANO ALVAREZ")</f>
        <v>GEN MARIANO ALVAREZ</v>
      </c>
      <c r="Q1163" s="1" t="str">
        <f>IFERROR(__xludf.DUMMYFUNCTION("""COMPUTED_VALUE"""),"CAVITE")</f>
        <v>CAVITE</v>
      </c>
      <c r="R1163" s="1" t="str">
        <f>IFERROR(__xludf.DUMMYFUNCTION("""COMPUTED_VALUE"""),"FIBR UNLI ALL PLAN 1399")</f>
        <v>FIBR UNLI ALL PLAN 1399</v>
      </c>
      <c r="S1163" s="1" t="str">
        <f>IFERROR(__xludf.DUMMYFUNCTION("""COMPUTED_VALUE"""),"APPROVED")</f>
        <v>APPROVED</v>
      </c>
      <c r="T1163" s="1"/>
      <c r="U1163" s="1"/>
      <c r="V1163" s="1"/>
      <c r="W1163" s="1"/>
    </row>
    <row r="1164" customHeight="1" spans="1:23">
      <c r="A1164" s="3">
        <f>IFERROR(__xludf.DUMMYFUNCTION("""COMPUTED_VALUE"""),46123)</f>
        <v>46123</v>
      </c>
      <c r="B1164" s="1" t="str">
        <f>IFERROR(__xludf.DUMMYFUNCTION("""COMPUTED_VALUE"""),"CABRERA JILLIENE")</f>
        <v>CABRERA JILLIENE</v>
      </c>
      <c r="C1164" s="1" t="str">
        <f>IFERROR(__xludf.DUMMYFUNCTION("""COMPUTED_VALUE"""),"ORGANIC")</f>
        <v>ORGANIC</v>
      </c>
      <c r="D1164" s="1" t="str">
        <f>IFERROR(__xludf.DUMMYFUNCTION("""COMPUTED_VALUE"""),"ALOS, CHARLS")</f>
        <v>ALOS, CHARLS</v>
      </c>
      <c r="E1164" s="1" t="str">
        <f>IFERROR(__xludf.DUMMYFUNCTION("""COMPUTED_VALUE"""),"PLDT")</f>
        <v>PLDT</v>
      </c>
      <c r="F1164" s="1">
        <f>IFERROR(__xludf.DUMMYFUNCTION("""COMPUTED_VALUE"""),2308793821)</f>
        <v>2308793821</v>
      </c>
      <c r="G1164" s="1">
        <f>IFERROR(__xludf.DUMMYFUNCTION("""COMPUTED_VALUE"""),450268890004)</f>
        <v>450268890004</v>
      </c>
      <c r="H1164" s="1" t="str">
        <f>IFERROR(__xludf.DUMMYFUNCTION("""COMPUTED_VALUE"""),"MA SUZETTE VIERNES CALZADA")</f>
        <v>MA SUZETTE VIERNES CALZADA</v>
      </c>
      <c r="I1164" s="1">
        <f>IFERROR(__xludf.DUMMYFUNCTION("""COMPUTED_VALUE"""),9185103591)</f>
        <v>9185103591</v>
      </c>
      <c r="J1164" s="1"/>
      <c r="K1164" s="1" t="str">
        <f>IFERROR(__xludf.DUMMYFUNCTION("""COMPUTED_VALUE"""),"MA.SUZETTE.V.CALZADA@GMAIL.COM")</f>
        <v>MA.SUZETTE.V.CALZADA@GMAIL.COM</v>
      </c>
      <c r="L1164" s="1" t="str">
        <f>IFERROR(__xludf.DUMMYFUNCTION("""COMPUTED_VALUE"""),"210")</f>
        <v>210</v>
      </c>
      <c r="M1164" s="1" t="str">
        <f>IFERROR(__xludf.DUMMYFUNCTION("""COMPUTED_VALUE"""),"TRAMO")</f>
        <v>TRAMO</v>
      </c>
      <c r="N1164" s="1"/>
      <c r="O1164" s="1" t="str">
        <f>IFERROR(__xludf.DUMMYFUNCTION("""COMPUTED_VALUE"""),"GAHAK")</f>
        <v>GAHAK</v>
      </c>
      <c r="P1164" s="1" t="str">
        <f>IFERROR(__xludf.DUMMYFUNCTION("""COMPUTED_VALUE"""),"TANZA")</f>
        <v>TANZA</v>
      </c>
      <c r="Q1164" s="1" t="str">
        <f>IFERROR(__xludf.DUMMYFUNCTION("""COMPUTED_VALUE"""),"CAVITE")</f>
        <v>CAVITE</v>
      </c>
      <c r="R1164" s="1" t="str">
        <f>IFERROR(__xludf.DUMMYFUNCTION("""COMPUTED_VALUE"""),"FIBR UNLI ALL PLAN 1399")</f>
        <v>FIBR UNLI ALL PLAN 1399</v>
      </c>
      <c r="S1164" s="1" t="str">
        <f>IFERROR(__xludf.DUMMYFUNCTION("""COMPUTED_VALUE"""),"APPROVED")</f>
        <v>APPROVED</v>
      </c>
      <c r="T1164" s="1"/>
      <c r="U1164" s="1"/>
      <c r="V1164" s="1"/>
      <c r="W1164" s="1"/>
    </row>
    <row r="1165" customHeight="1" spans="1:23">
      <c r="A1165" s="3">
        <f>IFERROR(__xludf.DUMMYFUNCTION("""COMPUTED_VALUE"""),46123)</f>
        <v>46123</v>
      </c>
      <c r="B1165" s="1" t="str">
        <f>IFERROR(__xludf.DUMMYFUNCTION("""COMPUTED_VALUE"""),"AQUINO, LUIS")</f>
        <v>AQUINO, LUIS</v>
      </c>
      <c r="C1165" s="1" t="str">
        <f>IFERROR(__xludf.DUMMYFUNCTION("""COMPUTED_VALUE"""),"ORGANIC")</f>
        <v>ORGANIC</v>
      </c>
      <c r="D1165" s="1" t="str">
        <f>IFERROR(__xludf.DUMMYFUNCTION("""COMPUTED_VALUE"""),"ALOS, CHARLS")</f>
        <v>ALOS, CHARLS</v>
      </c>
      <c r="E1165" s="1" t="str">
        <f>IFERROR(__xludf.DUMMYFUNCTION("""COMPUTED_VALUE"""),"RED FIBER")</f>
        <v>RED FIBER</v>
      </c>
      <c r="F1165" s="1"/>
      <c r="G1165" s="1"/>
      <c r="H1165" s="1" t="str">
        <f>IFERROR(__xludf.DUMMYFUNCTION("""COMPUTED_VALUE"""),"ALGE MARC MALABO MARANGA")</f>
        <v>ALGE MARC MALABO MARANGA</v>
      </c>
      <c r="I1165" s="1">
        <f>IFERROR(__xludf.DUMMYFUNCTION("""COMPUTED_VALUE"""),9940570957)</f>
        <v>9940570957</v>
      </c>
      <c r="J1165" s="1"/>
      <c r="K1165" s="1" t="str">
        <f>IFERROR(__xludf.DUMMYFUNCTION("""COMPUTED_VALUE"""),"ALGEMARCMARANGA170@GMAIL.COM")</f>
        <v>ALGEMARCMARANGA170@GMAIL.COM</v>
      </c>
      <c r="L1165" s="1" t="str">
        <f>IFERROR(__xludf.DUMMYFUNCTION("""COMPUTED_VALUE"""),"BLK 37 LOT 15")</f>
        <v>BLK 37 LOT 15</v>
      </c>
      <c r="M1165" s="1" t="str">
        <f>IFERROR(__xludf.DUMMYFUNCTION("""COMPUTED_VALUE"""),"SAN MIGUEL RD")</f>
        <v>SAN MIGUEL RD</v>
      </c>
      <c r="N1165" s="1"/>
      <c r="O1165" s="1" t="str">
        <f>IFERROR(__xludf.DUMMYFUNCTION("""COMPUTED_VALUE"""),"SAN MIGUEL I")</f>
        <v>SAN MIGUEL I</v>
      </c>
      <c r="P1165" s="1" t="str">
        <f>IFERROR(__xludf.DUMMYFUNCTION("""COMPUTED_VALUE"""),"DASMARINAS")</f>
        <v>DASMARINAS</v>
      </c>
      <c r="Q1165" s="1" t="str">
        <f>IFERROR(__xludf.DUMMYFUNCTION("""COMPUTED_VALUE"""),"CAVITE")</f>
        <v>CAVITE</v>
      </c>
      <c r="R1165" s="1" t="str">
        <f>IFERROR(__xludf.DUMMYFUNCTION("""COMPUTED_VALUE"""),"RED PLAN 1000")</f>
        <v>RED PLAN 1000</v>
      </c>
      <c r="S1165" s="1" t="str">
        <f>IFERROR(__xludf.DUMMYFUNCTION("""COMPUTED_VALUE"""),"APPROVED")</f>
        <v>APPROVED</v>
      </c>
      <c r="T1165" s="1"/>
      <c r="U1165" s="1"/>
      <c r="V1165" s="1"/>
      <c r="W1165" s="1"/>
    </row>
    <row r="1166" customHeight="1" spans="1:23">
      <c r="A1166" s="3">
        <f>IFERROR(__xludf.DUMMYFUNCTION("""COMPUTED_VALUE"""),46123)</f>
        <v>46123</v>
      </c>
      <c r="B1166" s="1" t="str">
        <f>IFERROR(__xludf.DUMMYFUNCTION("""COMPUTED_VALUE"""),"DE VERA, MARIVIC")</f>
        <v>DE VERA, MARIVIC</v>
      </c>
      <c r="C1166" s="1" t="str">
        <f>IFERROR(__xludf.DUMMYFUNCTION("""COMPUTED_VALUE"""),"ORGANIC")</f>
        <v>ORGANIC</v>
      </c>
      <c r="D1166" s="1" t="str">
        <f>IFERROR(__xludf.DUMMYFUNCTION("""COMPUTED_VALUE"""),"ALINGARO, CINDY")</f>
        <v>ALINGARO, CINDY</v>
      </c>
      <c r="E1166" s="1" t="str">
        <f>IFERROR(__xludf.DUMMYFUNCTION("""COMPUTED_VALUE"""),"RED FIBER")</f>
        <v>RED FIBER</v>
      </c>
      <c r="F1166" s="1"/>
      <c r="G1166" s="1"/>
      <c r="H1166" s="1" t="str">
        <f>IFERROR(__xludf.DUMMYFUNCTION("""COMPUTED_VALUE"""),"ALLENETTE MALABO MARANGA")</f>
        <v>ALLENETTE MALABO MARANGA</v>
      </c>
      <c r="I1166" s="1">
        <f>IFERROR(__xludf.DUMMYFUNCTION("""COMPUTED_VALUE"""),9482102713)</f>
        <v>9482102713</v>
      </c>
      <c r="J1166" s="1">
        <f>IFERROR(__xludf.DUMMYFUNCTION("""COMPUTED_VALUE"""),9508435657)</f>
        <v>9508435657</v>
      </c>
      <c r="K1166" s="1" t="str">
        <f>IFERROR(__xludf.DUMMYFUNCTION("""COMPUTED_VALUE"""),"ALLENETTEMALABOMARANGA@GMAIL.COM")</f>
        <v>ALLENETTEMALABOMARANGA@GMAIL.COM</v>
      </c>
      <c r="L1166" s="1" t="str">
        <f>IFERROR(__xludf.DUMMYFUNCTION("""COMPUTED_VALUE"""),"BLK 35 LOT 15")</f>
        <v>BLK 35 LOT 15</v>
      </c>
      <c r="M1166" s="1" t="str">
        <f>IFERROR(__xludf.DUMMYFUNCTION("""COMPUTED_VALUE"""),"SAN MIGUEL RD")</f>
        <v>SAN MIGUEL RD</v>
      </c>
      <c r="N1166" s="1"/>
      <c r="O1166" s="1" t="str">
        <f>IFERROR(__xludf.DUMMYFUNCTION("""COMPUTED_VALUE"""),"SAN MIGUEL I")</f>
        <v>SAN MIGUEL I</v>
      </c>
      <c r="P1166" s="1" t="str">
        <f>IFERROR(__xludf.DUMMYFUNCTION("""COMPUTED_VALUE"""),"DASMARINAS")</f>
        <v>DASMARINAS</v>
      </c>
      <c r="Q1166" s="1" t="str">
        <f>IFERROR(__xludf.DUMMYFUNCTION("""COMPUTED_VALUE"""),"CAVITE")</f>
        <v>CAVITE</v>
      </c>
      <c r="R1166" s="1" t="str">
        <f>IFERROR(__xludf.DUMMYFUNCTION("""COMPUTED_VALUE"""),"RED PLAN 1000")</f>
        <v>RED PLAN 1000</v>
      </c>
      <c r="S1166" s="1" t="str">
        <f>IFERROR(__xludf.DUMMYFUNCTION("""COMPUTED_VALUE"""),"APPROVED")</f>
        <v>APPROVED</v>
      </c>
      <c r="T1166" s="1"/>
      <c r="U1166" s="1"/>
      <c r="V1166" s="1"/>
      <c r="W1166" s="1"/>
    </row>
    <row r="1167" customHeight="1" spans="1:23">
      <c r="A1167" s="3">
        <f>IFERROR(__xludf.DUMMYFUNCTION("""COMPUTED_VALUE"""),46123)</f>
        <v>46123</v>
      </c>
      <c r="B1167" s="1" t="str">
        <f>IFERROR(__xludf.DUMMYFUNCTION("""COMPUTED_VALUE"""),"MALIWAT MARK ELVIN")</f>
        <v>MALIWAT MARK ELVIN</v>
      </c>
      <c r="C1167" s="1" t="str">
        <f>IFERROR(__xludf.DUMMYFUNCTION("""COMPUTED_VALUE"""),"FLA")</f>
        <v>FLA</v>
      </c>
      <c r="D1167" s="1" t="str">
        <f>IFERROR(__xludf.DUMMYFUNCTION("""COMPUTED_VALUE"""),"JERIC NAVARRO")</f>
        <v>JERIC NAVARRO</v>
      </c>
      <c r="E1167" s="1" t="str">
        <f>IFERROR(__xludf.DUMMYFUNCTION("""COMPUTED_VALUE"""),"PLDT")</f>
        <v>PLDT</v>
      </c>
      <c r="F1167" s="1">
        <f>IFERROR(__xludf.DUMMYFUNCTION("""COMPUTED_VALUE"""),2308797169)</f>
        <v>2308797169</v>
      </c>
      <c r="G1167" s="1">
        <f>IFERROR(__xludf.DUMMYFUNCTION("""COMPUTED_VALUE"""),450279254004)</f>
        <v>450279254004</v>
      </c>
      <c r="H1167" s="1" t="str">
        <f>IFERROR(__xludf.DUMMYFUNCTION("""COMPUTED_VALUE"""),"ARJHELL CATALOGO MOJE")</f>
        <v>ARJHELL CATALOGO MOJE</v>
      </c>
      <c r="I1167" s="1">
        <f>IFERROR(__xludf.DUMMYFUNCTION("""COMPUTED_VALUE"""),9507368055)</f>
        <v>9507368055</v>
      </c>
      <c r="J1167" s="1">
        <f>IFERROR(__xludf.DUMMYFUNCTION("""COMPUTED_VALUE"""),9507368055)</f>
        <v>9507368055</v>
      </c>
      <c r="K1167" s="1" t="str">
        <f>IFERROR(__xludf.DUMMYFUNCTION("""COMPUTED_VALUE"""),"ARJHELLM14@GMAIL.COM")</f>
        <v>ARJHELLM14@GMAIL.COM</v>
      </c>
      <c r="L1167" s="1" t="str">
        <f>IFERROR(__xludf.DUMMYFUNCTION("""COMPUTED_VALUE"""),"BLK 3 LOT 11")</f>
        <v>BLK 3 LOT 11</v>
      </c>
      <c r="M1167" s="1" t="str">
        <f>IFERROR(__xludf.DUMMYFUNCTION("""COMPUTED_VALUE"""),"JUNTO")</f>
        <v>JUNTO</v>
      </c>
      <c r="N1167" s="1" t="str">
        <f>IFERROR(__xludf.DUMMYFUNCTION("""COMPUTED_VALUE"""),"DELMAR VILL")</f>
        <v>DELMAR VILL</v>
      </c>
      <c r="O1167" s="1" t="str">
        <f>IFERROR(__xludf.DUMMYFUNCTION("""COMPUTED_VALUE"""),"MUNTING MAPINO")</f>
        <v>MUNTING MAPINO</v>
      </c>
      <c r="P1167" s="1" t="str">
        <f>IFERROR(__xludf.DUMMYFUNCTION("""COMPUTED_VALUE"""),"NAIC")</f>
        <v>NAIC</v>
      </c>
      <c r="Q1167" s="1" t="str">
        <f>IFERROR(__xludf.DUMMYFUNCTION("""COMPUTED_VALUE"""),"CAVITE")</f>
        <v>CAVITE</v>
      </c>
      <c r="R1167" s="1" t="str">
        <f>IFERROR(__xludf.DUMMYFUNCTION("""COMPUTED_VALUE"""),"FIBR NETFLIX PLAN 1599")</f>
        <v>FIBR NETFLIX PLAN 1599</v>
      </c>
      <c r="S1167" s="1" t="str">
        <f>IFERROR(__xludf.DUMMYFUNCTION("""COMPUTED_VALUE"""),"APPROVED")</f>
        <v>APPROVED</v>
      </c>
      <c r="T1167" s="1"/>
      <c r="U1167" s="1"/>
      <c r="V1167" s="1"/>
      <c r="W1167" s="1"/>
    </row>
    <row r="1168" customHeight="1" spans="1:23">
      <c r="A1168" s="3">
        <f>IFERROR(__xludf.DUMMYFUNCTION("""COMPUTED_VALUE"""),46123)</f>
        <v>46123</v>
      </c>
      <c r="B1168" s="1" t="str">
        <f>IFERROR(__xludf.DUMMYFUNCTION("""COMPUTED_VALUE"""),"CANTANERO JUNEL")</f>
        <v>CANTANERO JUNEL</v>
      </c>
      <c r="C1168" s="1" t="str">
        <f>IFERROR(__xludf.DUMMYFUNCTION("""COMPUTED_VALUE"""),"ORGANIC")</f>
        <v>ORGANIC</v>
      </c>
      <c r="D1168" s="1" t="str">
        <f>IFERROR(__xludf.DUMMYFUNCTION("""COMPUTED_VALUE"""),"ALINGARO, CINDY")</f>
        <v>ALINGARO, CINDY</v>
      </c>
      <c r="E1168" s="1" t="str">
        <f>IFERROR(__xludf.DUMMYFUNCTION("""COMPUTED_VALUE"""),"PLDT")</f>
        <v>PLDT</v>
      </c>
      <c r="F1168" s="1">
        <f>IFERROR(__xludf.DUMMYFUNCTION("""COMPUTED_VALUE"""),2308797537)</f>
        <v>2308797537</v>
      </c>
      <c r="G1168" s="1"/>
      <c r="H1168" s="1" t="str">
        <f>IFERROR(__xludf.DUMMYFUNCTION("""COMPUTED_VALUE"""),"GIGI CLAVILLAS RACELIS")</f>
        <v>GIGI CLAVILLAS RACELIS</v>
      </c>
      <c r="I1168" s="1">
        <f>IFERROR(__xludf.DUMMYFUNCTION("""COMPUTED_VALUE"""),9626224152)</f>
        <v>9626224152</v>
      </c>
      <c r="J1168" s="1">
        <f>IFERROR(__xludf.DUMMYFUNCTION("""COMPUTED_VALUE"""),9319304661)</f>
        <v>9319304661</v>
      </c>
      <c r="K1168" s="1" t="str">
        <f>IFERROR(__xludf.DUMMYFUNCTION("""COMPUTED_VALUE"""),"VJERICO788@GMAIL.COM")</f>
        <v>VJERICO788@GMAIL.COM</v>
      </c>
      <c r="L1168" s="1" t="str">
        <f>IFERROR(__xludf.DUMMYFUNCTION("""COMPUTED_VALUE"""),"BLK 1 LOT 14C")</f>
        <v>BLK 1 LOT 14C</v>
      </c>
      <c r="M1168" s="1" t="str">
        <f>IFERROR(__xludf.DUMMYFUNCTION("""COMPUTED_VALUE"""),"GREGORIA RD")</f>
        <v>GREGORIA RD</v>
      </c>
      <c r="N1168" s="1"/>
      <c r="O1168" s="1" t="str">
        <f>IFERROR(__xludf.DUMMYFUNCTION("""COMPUTED_VALUE"""),"GREGORIA DE JESUS")</f>
        <v>GREGORIA DE JESUS</v>
      </c>
      <c r="P1168" s="1" t="str">
        <f>IFERROR(__xludf.DUMMYFUNCTION("""COMPUTED_VALUE"""),"GEN MARIANO ALVAREZ")</f>
        <v>GEN MARIANO ALVAREZ</v>
      </c>
      <c r="Q1168" s="1" t="str">
        <f>IFERROR(__xludf.DUMMYFUNCTION("""COMPUTED_VALUE"""),"CAVITE")</f>
        <v>CAVITE</v>
      </c>
      <c r="R1168" s="1" t="str">
        <f>IFERROR(__xludf.DUMMYFUNCTION("""COMPUTED_VALUE"""),"FIBR PLAN 1299")</f>
        <v>FIBR PLAN 1299</v>
      </c>
      <c r="S1168" s="1" t="str">
        <f>IFERROR(__xludf.DUMMYFUNCTION("""COMPUTED_VALUE"""),"APPROVED")</f>
        <v>APPROVED</v>
      </c>
      <c r="T1168" s="1"/>
      <c r="U1168" s="1"/>
      <c r="V1168" s="1"/>
      <c r="W1168" s="1"/>
    </row>
    <row r="1169" customHeight="1" spans="1:23">
      <c r="A1169" s="3">
        <f>IFERROR(__xludf.DUMMYFUNCTION("""COMPUTED_VALUE"""),46123)</f>
        <v>46123</v>
      </c>
      <c r="B1169" s="1" t="str">
        <f>IFERROR(__xludf.DUMMYFUNCTION("""COMPUTED_VALUE"""),"CANTANERO JUNEL")</f>
        <v>CANTANERO JUNEL</v>
      </c>
      <c r="C1169" s="1" t="str">
        <f>IFERROR(__xludf.DUMMYFUNCTION("""COMPUTED_VALUE"""),"ORGANIC")</f>
        <v>ORGANIC</v>
      </c>
      <c r="D1169" s="1" t="str">
        <f>IFERROR(__xludf.DUMMYFUNCTION("""COMPUTED_VALUE"""),"ALINGARO, CINDY")</f>
        <v>ALINGARO, CINDY</v>
      </c>
      <c r="E1169" s="1" t="str">
        <f>IFERROR(__xludf.DUMMYFUNCTION("""COMPUTED_VALUE"""),"PLDT")</f>
        <v>PLDT</v>
      </c>
      <c r="F1169" s="1">
        <f>IFERROR(__xludf.DUMMYFUNCTION("""COMPUTED_VALUE"""),2308797799)</f>
        <v>2308797799</v>
      </c>
      <c r="G1169" s="1">
        <f>IFERROR(__xludf.DUMMYFUNCTION("""COMPUTED_VALUE"""),450282573004)</f>
        <v>450282573004</v>
      </c>
      <c r="H1169" s="1" t="str">
        <f>IFERROR(__xludf.DUMMYFUNCTION("""COMPUTED_VALUE"""),"RICHELLE CALUSTRE PASTRANA")</f>
        <v>RICHELLE CALUSTRE PASTRANA</v>
      </c>
      <c r="I1169" s="1">
        <f>IFERROR(__xludf.DUMMYFUNCTION("""COMPUTED_VALUE"""),9944529712)</f>
        <v>9944529712</v>
      </c>
      <c r="J1169" s="1">
        <f>IFERROR(__xludf.DUMMYFUNCTION("""COMPUTED_VALUE"""),9091846405)</f>
        <v>9091846405</v>
      </c>
      <c r="K1169" s="1" t="str">
        <f>IFERROR(__xludf.DUMMYFUNCTION("""COMPUTED_VALUE"""),"RICHELLEPASTRANA0@GMAIL.COM")</f>
        <v>RICHELLEPASTRANA0@GMAIL.COM</v>
      </c>
      <c r="L1169" s="1" t="str">
        <f>IFERROR(__xludf.DUMMYFUNCTION("""COMPUTED_VALUE"""),"BLK 9B LOT 5")</f>
        <v>BLK 9B LOT 5</v>
      </c>
      <c r="M1169" s="1" t="str">
        <f>IFERROR(__xludf.DUMMYFUNCTION("""COMPUTED_VALUE"""),"GREGORIA RD")</f>
        <v>GREGORIA RD</v>
      </c>
      <c r="N1169" s="1"/>
      <c r="O1169" s="1" t="str">
        <f>IFERROR(__xludf.DUMMYFUNCTION("""COMPUTED_VALUE"""),"GREGORIA DE JESUS")</f>
        <v>GREGORIA DE JESUS</v>
      </c>
      <c r="P1169" s="1" t="str">
        <f>IFERROR(__xludf.DUMMYFUNCTION("""COMPUTED_VALUE"""),"GEN MARIANO ALVAREZ")</f>
        <v>GEN MARIANO ALVAREZ</v>
      </c>
      <c r="Q1169" s="1" t="str">
        <f>IFERROR(__xludf.DUMMYFUNCTION("""COMPUTED_VALUE"""),"CAVITE")</f>
        <v>CAVITE</v>
      </c>
      <c r="R1169" s="1" t="str">
        <f>IFERROR(__xludf.DUMMYFUNCTION("""COMPUTED_VALUE"""),"FIBR PLAN 1299")</f>
        <v>FIBR PLAN 1299</v>
      </c>
      <c r="S1169" s="1" t="str">
        <f>IFERROR(__xludf.DUMMYFUNCTION("""COMPUTED_VALUE"""),"APPROVED")</f>
        <v>APPROVED</v>
      </c>
      <c r="T1169" s="1"/>
      <c r="U1169" s="1"/>
      <c r="V1169" s="1"/>
      <c r="W1169" s="1"/>
    </row>
    <row r="1170" customHeight="1" spans="1:23">
      <c r="A1170" s="3">
        <f>IFERROR(__xludf.DUMMYFUNCTION("""COMPUTED_VALUE"""),46123)</f>
        <v>46123</v>
      </c>
      <c r="B1170" s="1" t="str">
        <f>IFERROR(__xludf.DUMMYFUNCTION("""COMPUTED_VALUE"""),"FERNANDEZ JERIC")</f>
        <v>FERNANDEZ JERIC</v>
      </c>
      <c r="C1170" s="1" t="str">
        <f>IFERROR(__xludf.DUMMYFUNCTION("""COMPUTED_VALUE"""),"ORGANIC")</f>
        <v>ORGANIC</v>
      </c>
      <c r="D1170" s="1" t="str">
        <f>IFERROR(__xludf.DUMMYFUNCTION("""COMPUTED_VALUE"""),"ALOS, CHARLS")</f>
        <v>ALOS, CHARLS</v>
      </c>
      <c r="E1170" s="1" t="str">
        <f>IFERROR(__xludf.DUMMYFUNCTION("""COMPUTED_VALUE"""),"PLDT")</f>
        <v>PLDT</v>
      </c>
      <c r="F1170" s="1">
        <f>IFERROR(__xludf.DUMMYFUNCTION("""COMPUTED_VALUE"""),2308798192)</f>
        <v>2308798192</v>
      </c>
      <c r="G1170" s="1">
        <f>IFERROR(__xludf.DUMMYFUNCTION("""COMPUTED_VALUE"""),450279395004)</f>
        <v>450279395004</v>
      </c>
      <c r="H1170" s="1" t="str">
        <f>IFERROR(__xludf.DUMMYFUNCTION("""COMPUTED_VALUE"""),"KYLA JOY ALDE PASCUA")</f>
        <v>KYLA JOY ALDE PASCUA</v>
      </c>
      <c r="I1170" s="1">
        <f>IFERROR(__xludf.DUMMYFUNCTION("""COMPUTED_VALUE"""),9162035925)</f>
        <v>9162035925</v>
      </c>
      <c r="J1170" s="1">
        <f>IFERROR(__xludf.DUMMYFUNCTION("""COMPUTED_VALUE"""),9502348443)</f>
        <v>9502348443</v>
      </c>
      <c r="K1170" s="1" t="str">
        <f>IFERROR(__xludf.DUMMYFUNCTION("""COMPUTED_VALUE"""),"KYLAPASCUA1503@GMAIL.COM")</f>
        <v>KYLAPASCUA1503@GMAIL.COM</v>
      </c>
      <c r="L1170" s="1" t="str">
        <f>IFERROR(__xludf.DUMMYFUNCTION("""COMPUTED_VALUE"""),"4")</f>
        <v>4</v>
      </c>
      <c r="M1170" s="1" t="str">
        <f>IFERROR(__xludf.DUMMYFUNCTION("""COMPUTED_VALUE"""),"PASONG MATANDA")</f>
        <v>PASONG MATANDA</v>
      </c>
      <c r="N1170" s="1"/>
      <c r="O1170" s="1" t="str">
        <f>IFERROR(__xludf.DUMMYFUNCTION("""COMPUTED_VALUE"""),"POBLACION V (BARANGAY V)")</f>
        <v>POBLACION V (BARANGAY V)</v>
      </c>
      <c r="P1170" s="1" t="str">
        <f>IFERROR(__xludf.DUMMYFUNCTION("""COMPUTED_VALUE"""),"AMADEO")</f>
        <v>AMADEO</v>
      </c>
      <c r="Q1170" s="1" t="str">
        <f>IFERROR(__xludf.DUMMYFUNCTION("""COMPUTED_VALUE"""),"CAVITE")</f>
        <v>CAVITE</v>
      </c>
      <c r="R1170" s="1" t="str">
        <f>IFERROR(__xludf.DUMMYFUNCTION("""COMPUTED_VALUE"""),"FIBR PLAN 1299")</f>
        <v>FIBR PLAN 1299</v>
      </c>
      <c r="S1170" s="1" t="str">
        <f>IFERROR(__xludf.DUMMYFUNCTION("""COMPUTED_VALUE"""),"APPROVED")</f>
        <v>APPROVED</v>
      </c>
      <c r="T1170" s="1"/>
      <c r="U1170" s="1"/>
      <c r="V1170" s="1"/>
      <c r="W1170" s="1"/>
    </row>
    <row r="1171" customHeight="1" spans="1:23">
      <c r="A1171" s="3">
        <f>IFERROR(__xludf.DUMMYFUNCTION("""COMPUTED_VALUE"""),46123)</f>
        <v>46123</v>
      </c>
      <c r="B1171" s="1" t="str">
        <f>IFERROR(__xludf.DUMMYFUNCTION("""COMPUTED_VALUE"""),"DELA ROSA, JENNELYN")</f>
        <v>DELA ROSA, JENNELYN</v>
      </c>
      <c r="C1171" s="1" t="str">
        <f>IFERROR(__xludf.DUMMYFUNCTION("""COMPUTED_VALUE"""),"ORGANIC")</f>
        <v>ORGANIC</v>
      </c>
      <c r="D1171" s="1" t="str">
        <f>IFERROR(__xludf.DUMMYFUNCTION("""COMPUTED_VALUE"""),"ALOS, CHARLS")</f>
        <v>ALOS, CHARLS</v>
      </c>
      <c r="E1171" s="1" t="str">
        <f>IFERROR(__xludf.DUMMYFUNCTION("""COMPUTED_VALUE"""),"PLDT")</f>
        <v>PLDT</v>
      </c>
      <c r="F1171" s="1">
        <f>IFERROR(__xludf.DUMMYFUNCTION("""COMPUTED_VALUE"""),2308798358)</f>
        <v>2308798358</v>
      </c>
      <c r="G1171" s="1">
        <f>IFERROR(__xludf.DUMMYFUNCTION("""COMPUTED_VALUE"""),450279509004)</f>
        <v>450279509004</v>
      </c>
      <c r="H1171" s="1" t="str">
        <f>IFERROR(__xludf.DUMMYFUNCTION("""COMPUTED_VALUE"""),"ARNOLD TAGUBA SUMAUANG")</f>
        <v>ARNOLD TAGUBA SUMAUANG</v>
      </c>
      <c r="I1171" s="1">
        <f>IFERROR(__xludf.DUMMYFUNCTION("""COMPUTED_VALUE"""),9451356071)</f>
        <v>9451356071</v>
      </c>
      <c r="J1171" s="1">
        <f>IFERROR(__xludf.DUMMYFUNCTION("""COMPUTED_VALUE"""),9483520264)</f>
        <v>9483520264</v>
      </c>
      <c r="K1171" s="1" t="str">
        <f>IFERROR(__xludf.DUMMYFUNCTION("""COMPUTED_VALUE"""),"ARNOLDSUMAUANG15@GMAIL.COM")</f>
        <v>ARNOLDSUMAUANG15@GMAIL.COM</v>
      </c>
      <c r="L1171" s="1" t="str">
        <f>IFERROR(__xludf.DUMMYFUNCTION("""COMPUTED_VALUE"""),"BLK C16 LOT 10")</f>
        <v>BLK C16 LOT 10</v>
      </c>
      <c r="M1171" s="1" t="str">
        <f>IFERROR(__xludf.DUMMYFUNCTION("""COMPUTED_VALUE"""),"LUZVIMINDA RD")</f>
        <v>LUZVIMINDA RD</v>
      </c>
      <c r="N1171" s="1"/>
      <c r="O1171" s="1" t="str">
        <f>IFERROR(__xludf.DUMMYFUNCTION("""COMPUTED_VALUE"""),"LUZVIMINDA II")</f>
        <v>LUZVIMINDA II</v>
      </c>
      <c r="P1171" s="1" t="str">
        <f>IFERROR(__xludf.DUMMYFUNCTION("""COMPUTED_VALUE"""),"DASMARINAS")</f>
        <v>DASMARINAS</v>
      </c>
      <c r="Q1171" s="1" t="str">
        <f>IFERROR(__xludf.DUMMYFUNCTION("""COMPUTED_VALUE"""),"CAVITE")</f>
        <v>CAVITE</v>
      </c>
      <c r="R1171" s="1" t="str">
        <f>IFERROR(__xludf.DUMMYFUNCTION("""COMPUTED_VALUE"""),"FIBR PLAN 1299")</f>
        <v>FIBR PLAN 1299</v>
      </c>
      <c r="S1171" s="1" t="str">
        <f>IFERROR(__xludf.DUMMYFUNCTION("""COMPUTED_VALUE"""),"APPROVED")</f>
        <v>APPROVED</v>
      </c>
      <c r="T1171" s="1"/>
      <c r="U1171" s="1"/>
      <c r="V1171" s="1"/>
      <c r="W1171" s="1"/>
    </row>
    <row r="1172" customHeight="1" spans="1:23">
      <c r="A1172" s="3">
        <f>IFERROR(__xludf.DUMMYFUNCTION("""COMPUTED_VALUE"""),46123)</f>
        <v>46123</v>
      </c>
      <c r="B1172" s="1" t="str">
        <f>IFERROR(__xludf.DUMMYFUNCTION("""COMPUTED_VALUE"""),"AYON MANUEL")</f>
        <v>AYON MANUEL</v>
      </c>
      <c r="C1172" s="1" t="str">
        <f>IFERROR(__xludf.DUMMYFUNCTION("""COMPUTED_VALUE"""),"FLA")</f>
        <v>FLA</v>
      </c>
      <c r="D1172" s="1" t="str">
        <f>IFERROR(__xludf.DUMMYFUNCTION("""COMPUTED_VALUE"""),"JERIC NAVARRO")</f>
        <v>JERIC NAVARRO</v>
      </c>
      <c r="E1172" s="1" t="str">
        <f>IFERROR(__xludf.DUMMYFUNCTION("""COMPUTED_VALUE"""),"PLDT")</f>
        <v>PLDT</v>
      </c>
      <c r="F1172" s="1">
        <f>IFERROR(__xludf.DUMMYFUNCTION("""COMPUTED_VALUE"""),2308799045)</f>
        <v>2308799045</v>
      </c>
      <c r="G1172" s="1">
        <f>IFERROR(__xludf.DUMMYFUNCTION("""COMPUTED_VALUE"""),450286136004)</f>
        <v>450286136004</v>
      </c>
      <c r="H1172" s="1" t="str">
        <f>IFERROR(__xludf.DUMMYFUNCTION("""COMPUTED_VALUE"""),"CARLO JUNE CASAYSAYAN TIBAYAN")</f>
        <v>CARLO JUNE CASAYSAYAN TIBAYAN</v>
      </c>
      <c r="I1172" s="1">
        <f>IFERROR(__xludf.DUMMYFUNCTION("""COMPUTED_VALUE"""),9209588268)</f>
        <v>9209588268</v>
      </c>
      <c r="J1172" s="1">
        <f>IFERROR(__xludf.DUMMYFUNCTION("""COMPUTED_VALUE"""),9258456266)</f>
        <v>9258456266</v>
      </c>
      <c r="K1172" s="1" t="str">
        <f>IFERROR(__xludf.DUMMYFUNCTION("""COMPUTED_VALUE"""),"CARLOJUNE_TIBAYAN@YAHOO.COM")</f>
        <v>CARLOJUNE_TIBAYAN@YAHOO.COM</v>
      </c>
      <c r="L1172" s="1" t="str">
        <f>IFERROR(__xludf.DUMMYFUNCTION("""COMPUTED_VALUE"""),"BLK 2 LOT 8")</f>
        <v>BLK 2 LOT 8</v>
      </c>
      <c r="M1172" s="1" t="str">
        <f>IFERROR(__xludf.DUMMYFUNCTION("""COMPUTED_VALUE"""),"PHASE 1")</f>
        <v>PHASE 1</v>
      </c>
      <c r="N1172" s="1" t="str">
        <f>IFERROR(__xludf.DUMMYFUNCTION("""COMPUTED_VALUE"""),"METROGATE")</f>
        <v>METROGATE</v>
      </c>
      <c r="O1172" s="1" t="str">
        <f>IFERROR(__xludf.DUMMYFUNCTION("""COMPUTED_VALUE"""),"BIGA I")</f>
        <v>BIGA I</v>
      </c>
      <c r="P1172" s="1" t="str">
        <f>IFERROR(__xludf.DUMMYFUNCTION("""COMPUTED_VALUE"""),"SILANG")</f>
        <v>SILANG</v>
      </c>
      <c r="Q1172" s="1" t="str">
        <f>IFERROR(__xludf.DUMMYFUNCTION("""COMPUTED_VALUE"""),"CAVITE")</f>
        <v>CAVITE</v>
      </c>
      <c r="R1172" s="1" t="str">
        <f>IFERROR(__xludf.DUMMYFUNCTION("""COMPUTED_VALUE"""),"FIBR UNLI ALL PLAN 1799")</f>
        <v>FIBR UNLI ALL PLAN 1799</v>
      </c>
      <c r="S1172" s="1" t="str">
        <f>IFERROR(__xludf.DUMMYFUNCTION("""COMPUTED_VALUE"""),"APPROVED")</f>
        <v>APPROVED</v>
      </c>
      <c r="T1172" s="1"/>
      <c r="U1172" s="1"/>
      <c r="V1172" s="1"/>
      <c r="W1172" s="1"/>
    </row>
    <row r="1173" customHeight="1" spans="1:23">
      <c r="A1173" s="3">
        <f>IFERROR(__xludf.DUMMYFUNCTION("""COMPUTED_VALUE"""),46123)</f>
        <v>46123</v>
      </c>
      <c r="B1173" s="1" t="str">
        <f>IFERROR(__xludf.DUMMYFUNCTION("""COMPUTED_VALUE"""),"AYON MANUEL")</f>
        <v>AYON MANUEL</v>
      </c>
      <c r="C1173" s="1" t="str">
        <f>IFERROR(__xludf.DUMMYFUNCTION("""COMPUTED_VALUE"""),"FLA")</f>
        <v>FLA</v>
      </c>
      <c r="D1173" s="1" t="str">
        <f>IFERROR(__xludf.DUMMYFUNCTION("""COMPUTED_VALUE"""),"JERIC NAVARRO")</f>
        <v>JERIC NAVARRO</v>
      </c>
      <c r="E1173" s="1" t="str">
        <f>IFERROR(__xludf.DUMMYFUNCTION("""COMPUTED_VALUE"""),"PLDT")</f>
        <v>PLDT</v>
      </c>
      <c r="F1173" s="1">
        <f>IFERROR(__xludf.DUMMYFUNCTION("""COMPUTED_VALUE"""),2308799605)</f>
        <v>2308799605</v>
      </c>
      <c r="G1173" s="1">
        <f>IFERROR(__xludf.DUMMYFUNCTION("""COMPUTED_VALUE"""),450389713004)</f>
        <v>450389713004</v>
      </c>
      <c r="H1173" s="1" t="str">
        <f>IFERROR(__xludf.DUMMYFUNCTION("""COMPUTED_VALUE"""),"JULIET TERAYTAY SULAPAS")</f>
        <v>JULIET TERAYTAY SULAPAS</v>
      </c>
      <c r="I1173" s="1">
        <f>IFERROR(__xludf.DUMMYFUNCTION("""COMPUTED_VALUE"""),9959314964)</f>
        <v>9959314964</v>
      </c>
      <c r="J1173" s="1">
        <f>IFERROR(__xludf.DUMMYFUNCTION("""COMPUTED_VALUE"""),9672043607)</f>
        <v>9672043607</v>
      </c>
      <c r="K1173" s="1" t="str">
        <f>IFERROR(__xludf.DUMMYFUNCTION("""COMPUTED_VALUE"""),"SALAPASJULIET5@GMAIL.COM")</f>
        <v>SALAPASJULIET5@GMAIL.COM</v>
      </c>
      <c r="L1173" s="1" t="str">
        <f>IFERROR(__xludf.DUMMYFUNCTION("""COMPUTED_VALUE"""),"BLK 1 LOT 31")</f>
        <v>BLK 1 LOT 31</v>
      </c>
      <c r="M1173" s="1" t="str">
        <f>IFERROR(__xludf.DUMMYFUNCTION("""COMPUTED_VALUE"""),"PHASE 1")</f>
        <v>PHASE 1</v>
      </c>
      <c r="N1173" s="1" t="str">
        <f>IFERROR(__xludf.DUMMYFUNCTION("""COMPUTED_VALUE"""),"WINDWARD HILLS")</f>
        <v>WINDWARD HILLS</v>
      </c>
      <c r="O1173" s="1" t="str">
        <f>IFERROR(__xludf.DUMMYFUNCTION("""COMPUTED_VALUE"""),"BUROL I")</f>
        <v>BUROL I</v>
      </c>
      <c r="P1173" s="1" t="str">
        <f>IFERROR(__xludf.DUMMYFUNCTION("""COMPUTED_VALUE"""),"DASMARINAS")</f>
        <v>DASMARINAS</v>
      </c>
      <c r="Q1173" s="1" t="str">
        <f>IFERROR(__xludf.DUMMYFUNCTION("""COMPUTED_VALUE"""),"CAVITE")</f>
        <v>CAVITE</v>
      </c>
      <c r="R1173" s="1" t="str">
        <f>IFERROR(__xludf.DUMMYFUNCTION("""COMPUTED_VALUE"""),"FIBR PLAN 1299")</f>
        <v>FIBR PLAN 1299</v>
      </c>
      <c r="S1173" s="1" t="str">
        <f>IFERROR(__xludf.DUMMYFUNCTION("""COMPUTED_VALUE"""),"APPROVED")</f>
        <v>APPROVED</v>
      </c>
      <c r="T1173" s="1"/>
      <c r="U1173" s="1"/>
      <c r="V1173" s="1"/>
      <c r="W1173" s="1"/>
    </row>
    <row r="1174" customHeight="1" spans="1:23">
      <c r="A1174" s="3">
        <f>IFERROR(__xludf.DUMMYFUNCTION("""COMPUTED_VALUE"""),46123)</f>
        <v>46123</v>
      </c>
      <c r="B1174" s="1" t="str">
        <f>IFERROR(__xludf.DUMMYFUNCTION("""COMPUTED_VALUE"""),"ESCARCHA, MA ALMA  ESCOTO")</f>
        <v>ESCARCHA, MA ALMA  ESCOTO</v>
      </c>
      <c r="C1174" s="1" t="str">
        <f>IFERROR(__xludf.DUMMYFUNCTION("""COMPUTED_VALUE"""),"ORGANIC")</f>
        <v>ORGANIC</v>
      </c>
      <c r="D1174" s="1" t="str">
        <f>IFERROR(__xludf.DUMMYFUNCTION("""COMPUTED_VALUE"""),"ALINGARO, CINDY")</f>
        <v>ALINGARO, CINDY</v>
      </c>
      <c r="E1174" s="1" t="str">
        <f>IFERROR(__xludf.DUMMYFUNCTION("""COMPUTED_VALUE"""),"PLDT")</f>
        <v>PLDT</v>
      </c>
      <c r="F1174" s="1">
        <f>IFERROR(__xludf.DUMMYFUNCTION("""COMPUTED_VALUE"""),2308800421)</f>
        <v>2308800421</v>
      </c>
      <c r="G1174" s="1">
        <f>IFERROR(__xludf.DUMMYFUNCTION("""COMPUTED_VALUE"""),450284215004)</f>
        <v>450284215004</v>
      </c>
      <c r="H1174" s="1" t="str">
        <f>IFERROR(__xludf.DUMMYFUNCTION("""COMPUTED_VALUE"""),"MYLES JOY MONTANO AMOR")</f>
        <v>MYLES JOY MONTANO AMOR</v>
      </c>
      <c r="I1174" s="1">
        <f>IFERROR(__xludf.DUMMYFUNCTION("""COMPUTED_VALUE"""),9461769471)</f>
        <v>9461769471</v>
      </c>
      <c r="J1174" s="1">
        <f>IFERROR(__xludf.DUMMYFUNCTION("""COMPUTED_VALUE"""),9815664151)</f>
        <v>9815664151</v>
      </c>
      <c r="K1174" s="1" t="str">
        <f>IFERROR(__xludf.DUMMYFUNCTION("""COMPUTED_VALUE"""),"AMORMYLES742@GMAIL.COM")</f>
        <v>AMORMYLES742@GMAIL.COM</v>
      </c>
      <c r="L1174" s="1" t="str">
        <f>IFERROR(__xludf.DUMMYFUNCTION("""COMPUTED_VALUE"""),"193")</f>
        <v>193</v>
      </c>
      <c r="M1174" s="1" t="str">
        <f>IFERROR(__xludf.DUMMYFUNCTION("""COMPUTED_VALUE"""),"QUEZON CITY ST")</f>
        <v>QUEZON CITY ST</v>
      </c>
      <c r="N1174" s="1"/>
      <c r="O1174" s="1" t="str">
        <f>IFERROR(__xludf.DUMMYFUNCTION("""COMPUTED_VALUE"""),"FRANCISCO REYES")</f>
        <v>FRANCISCO REYES</v>
      </c>
      <c r="P1174" s="1" t="str">
        <f>IFERROR(__xludf.DUMMYFUNCTION("""COMPUTED_VALUE"""),"GEN MARIANO ALVAREZ")</f>
        <v>GEN MARIANO ALVAREZ</v>
      </c>
      <c r="Q1174" s="1" t="str">
        <f>IFERROR(__xludf.DUMMYFUNCTION("""COMPUTED_VALUE"""),"CAVITE")</f>
        <v>CAVITE</v>
      </c>
      <c r="R1174" s="1" t="str">
        <f>IFERROR(__xludf.DUMMYFUNCTION("""COMPUTED_VALUE"""),"FIBR UNLI ALL PLAN 1399")</f>
        <v>FIBR UNLI ALL PLAN 1399</v>
      </c>
      <c r="S1174" s="1" t="str">
        <f>IFERROR(__xludf.DUMMYFUNCTION("""COMPUTED_VALUE"""),"APPROVED")</f>
        <v>APPROVED</v>
      </c>
      <c r="T1174" s="1"/>
      <c r="U1174" s="1"/>
      <c r="V1174" s="1"/>
      <c r="W1174" s="1"/>
    </row>
    <row r="1175" customHeight="1" spans="1:23">
      <c r="A1175" s="3">
        <f>IFERROR(__xludf.DUMMYFUNCTION("""COMPUTED_VALUE"""),46124)</f>
        <v>46124</v>
      </c>
      <c r="B1175" s="1" t="str">
        <f>IFERROR(__xludf.DUMMYFUNCTION("""COMPUTED_VALUE"""),"MALIWAT MARK ELVIN")</f>
        <v>MALIWAT MARK ELVIN</v>
      </c>
      <c r="C1175" s="1" t="str">
        <f>IFERROR(__xludf.DUMMYFUNCTION("""COMPUTED_VALUE"""),"FLA")</f>
        <v>FLA</v>
      </c>
      <c r="D1175" s="1" t="str">
        <f>IFERROR(__xludf.DUMMYFUNCTION("""COMPUTED_VALUE"""),"JERIC NAVARRO")</f>
        <v>JERIC NAVARRO</v>
      </c>
      <c r="E1175" s="1" t="str">
        <f>IFERROR(__xludf.DUMMYFUNCTION("""COMPUTED_VALUE"""),"PLDT")</f>
        <v>PLDT</v>
      </c>
      <c r="F1175" s="1">
        <f>IFERROR(__xludf.DUMMYFUNCTION("""COMPUTED_VALUE"""),2308808976)</f>
        <v>2308808976</v>
      </c>
      <c r="G1175" s="1"/>
      <c r="H1175" s="1" t="str">
        <f>IFERROR(__xludf.DUMMYFUNCTION("""COMPUTED_VALUE"""),"JAY ANTHONY GARNACI CARANDANG")</f>
        <v>JAY ANTHONY GARNACI CARANDANG</v>
      </c>
      <c r="I1175" s="1">
        <f>IFERROR(__xludf.DUMMYFUNCTION("""COMPUTED_VALUE"""),9664482589)</f>
        <v>9664482589</v>
      </c>
      <c r="J1175" s="1">
        <f>IFERROR(__xludf.DUMMYFUNCTION("""COMPUTED_VALUE"""),9093426590)</f>
        <v>9093426590</v>
      </c>
      <c r="K1175" s="1" t="str">
        <f>IFERROR(__xludf.DUMMYFUNCTION("""COMPUTED_VALUE"""),"DERGIS_15BESAS@YAHOO.COM")</f>
        <v>DERGIS_15BESAS@YAHOO.COM</v>
      </c>
      <c r="L1175" s="1" t="str">
        <f>IFERROR(__xludf.DUMMYFUNCTION("""COMPUTED_VALUE"""),"1")</f>
        <v>1</v>
      </c>
      <c r="M1175" s="1" t="str">
        <f>IFERROR(__xludf.DUMMYFUNCTION("""COMPUTED_VALUE"""),"ESGUERA")</f>
        <v>ESGUERA</v>
      </c>
      <c r="N1175" s="1"/>
      <c r="O1175" s="1" t="str">
        <f>IFERROR(__xludf.DUMMYFUNCTION("""COMPUTED_VALUE"""),"MIGUEL MOJICA")</f>
        <v>MIGUEL MOJICA</v>
      </c>
      <c r="P1175" s="1" t="str">
        <f>IFERROR(__xludf.DUMMYFUNCTION("""COMPUTED_VALUE"""),"MENDEZ")</f>
        <v>MENDEZ</v>
      </c>
      <c r="Q1175" s="1" t="str">
        <f>IFERROR(__xludf.DUMMYFUNCTION("""COMPUTED_VALUE"""),"CAVITE")</f>
        <v>CAVITE</v>
      </c>
      <c r="R1175" s="1" t="str">
        <f>IFERROR(__xludf.DUMMYFUNCTION("""COMPUTED_VALUE"""),"FIBR UNLI ALL PLAN 1799")</f>
        <v>FIBR UNLI ALL PLAN 1799</v>
      </c>
      <c r="S1175" s="1" t="str">
        <f>IFERROR(__xludf.DUMMYFUNCTION("""COMPUTED_VALUE"""),"APPROVED")</f>
        <v>APPROVED</v>
      </c>
      <c r="T1175" s="1"/>
      <c r="U1175" s="1"/>
      <c r="V1175" s="1"/>
      <c r="W1175" s="1"/>
    </row>
    <row r="1176" customHeight="1" spans="1:23">
      <c r="A1176" s="3">
        <f>IFERROR(__xludf.DUMMYFUNCTION("""COMPUTED_VALUE"""),46124)</f>
        <v>46124</v>
      </c>
      <c r="B1176" s="1" t="str">
        <f>IFERROR(__xludf.DUMMYFUNCTION("""COMPUTED_VALUE"""),"DELA ROSA, JENNELYN")</f>
        <v>DELA ROSA, JENNELYN</v>
      </c>
      <c r="C1176" s="1" t="str">
        <f>IFERROR(__xludf.DUMMYFUNCTION("""COMPUTED_VALUE"""),"ORGANIC")</f>
        <v>ORGANIC</v>
      </c>
      <c r="D1176" s="1" t="str">
        <f>IFERROR(__xludf.DUMMYFUNCTION("""COMPUTED_VALUE"""),"ALOS, CHARLS")</f>
        <v>ALOS, CHARLS</v>
      </c>
      <c r="E1176" s="1" t="str">
        <f>IFERROR(__xludf.DUMMYFUNCTION("""COMPUTED_VALUE"""),"PLDT")</f>
        <v>PLDT</v>
      </c>
      <c r="F1176" s="1">
        <f>IFERROR(__xludf.DUMMYFUNCTION("""COMPUTED_VALUE"""),2308810243)</f>
        <v>2308810243</v>
      </c>
      <c r="G1176" s="1">
        <f>IFERROR(__xludf.DUMMYFUNCTION("""COMPUTED_VALUE"""),450403136004)</f>
        <v>450403136004</v>
      </c>
      <c r="H1176" s="1" t="str">
        <f>IFERROR(__xludf.DUMMYFUNCTION("""COMPUTED_VALUE"""),"VIRGILLO ALIVIADO BUCAYAN")</f>
        <v>VIRGILLO ALIVIADO BUCAYAN</v>
      </c>
      <c r="I1176" s="1">
        <f>IFERROR(__xludf.DUMMYFUNCTION("""COMPUTED_VALUE"""),9986380091)</f>
        <v>9986380091</v>
      </c>
      <c r="J1176" s="1"/>
      <c r="K1176" s="1" t="str">
        <f>IFERROR(__xludf.DUMMYFUNCTION("""COMPUTED_VALUE"""),"VALBUCKSTRANSPORT@GMAIL.COM")</f>
        <v>VALBUCKSTRANSPORT@GMAIL.COM</v>
      </c>
      <c r="L1176" s="1" t="str">
        <f>IFERROR(__xludf.DUMMYFUNCTION("""COMPUTED_VALUE"""),"BLK 1 LOT 3")</f>
        <v>BLK 1 LOT 3</v>
      </c>
      <c r="M1176" s="1" t="str">
        <f>IFERROR(__xludf.DUMMYFUNCTION("""COMPUTED_VALUE"""),"BETCHAY DA")</f>
        <v>BETCHAY DA</v>
      </c>
      <c r="N1176" s="1"/>
      <c r="O1176" s="1" t="str">
        <f>IFERROR(__xludf.DUMMYFUNCTION("""COMPUTED_VALUE"""),"BUROL")</f>
        <v>BUROL</v>
      </c>
      <c r="P1176" s="1" t="str">
        <f>IFERROR(__xludf.DUMMYFUNCTION("""COMPUTED_VALUE"""),"DASMARINAS")</f>
        <v>DASMARINAS</v>
      </c>
      <c r="Q1176" s="1" t="str">
        <f>IFERROR(__xludf.DUMMYFUNCTION("""COMPUTED_VALUE"""),"CAVITE")</f>
        <v>CAVITE</v>
      </c>
      <c r="R1176" s="1" t="str">
        <f>IFERROR(__xludf.DUMMYFUNCTION("""COMPUTED_VALUE"""),"FIBR UNLI ALL PLAN 1799")</f>
        <v>FIBR UNLI ALL PLAN 1799</v>
      </c>
      <c r="S1176" s="1" t="str">
        <f>IFERROR(__xludf.DUMMYFUNCTION("""COMPUTED_VALUE"""),"APPROVED")</f>
        <v>APPROVED</v>
      </c>
      <c r="T1176" s="1"/>
      <c r="U1176" s="1"/>
      <c r="V1176" s="1"/>
      <c r="W1176" s="1"/>
    </row>
    <row r="1177" customHeight="1" spans="1:23">
      <c r="A1177" s="3">
        <f>IFERROR(__xludf.DUMMYFUNCTION("""COMPUTED_VALUE"""),46124)</f>
        <v>46124</v>
      </c>
      <c r="B1177" s="1" t="str">
        <f>IFERROR(__xludf.DUMMYFUNCTION("""COMPUTED_VALUE"""),"ESCARCHA, MA ALMA  ESCOTO")</f>
        <v>ESCARCHA, MA ALMA  ESCOTO</v>
      </c>
      <c r="C1177" s="1" t="str">
        <f>IFERROR(__xludf.DUMMYFUNCTION("""COMPUTED_VALUE"""),"ORGANIC")</f>
        <v>ORGANIC</v>
      </c>
      <c r="D1177" s="1" t="str">
        <f>IFERROR(__xludf.DUMMYFUNCTION("""COMPUTED_VALUE"""),"ALINGARO, CINDY")</f>
        <v>ALINGARO, CINDY</v>
      </c>
      <c r="E1177" s="1" t="str">
        <f>IFERROR(__xludf.DUMMYFUNCTION("""COMPUTED_VALUE"""),"PLDT")</f>
        <v>PLDT</v>
      </c>
      <c r="F1177" s="1">
        <f>IFERROR(__xludf.DUMMYFUNCTION("""COMPUTED_VALUE"""),2308810572)</f>
        <v>2308810572</v>
      </c>
      <c r="G1177" s="1">
        <f>IFERROR(__xludf.DUMMYFUNCTION("""COMPUTED_VALUE"""),450414769004)</f>
        <v>450414769004</v>
      </c>
      <c r="H1177" s="1" t="str">
        <f>IFERROR(__xludf.DUMMYFUNCTION("""COMPUTED_VALUE"""),"ROMNICK BARCENA NAVAL")</f>
        <v>ROMNICK BARCENA NAVAL</v>
      </c>
      <c r="I1177" s="1">
        <f>IFERROR(__xludf.DUMMYFUNCTION("""COMPUTED_VALUE"""),9912133234)</f>
        <v>9912133234</v>
      </c>
      <c r="J1177" s="1">
        <f>IFERROR(__xludf.DUMMYFUNCTION("""COMPUTED_VALUE"""),9464058042)</f>
        <v>9464058042</v>
      </c>
      <c r="K1177" s="1" t="str">
        <f>IFERROR(__xludf.DUMMYFUNCTION("""COMPUTED_VALUE"""),"NAVALROMNICK5@GMAIL.COM")</f>
        <v>NAVALROMNICK5@GMAIL.COM</v>
      </c>
      <c r="L1177" s="1" t="str">
        <f>IFERROR(__xludf.DUMMYFUNCTION("""COMPUTED_VALUE"""),"BLK 8B LOT 44")</f>
        <v>BLK 8B LOT 44</v>
      </c>
      <c r="M1177" s="1" t="str">
        <f>IFERROR(__xludf.DUMMYFUNCTION("""COMPUTED_VALUE"""),"GREGORIA RD")</f>
        <v>GREGORIA RD</v>
      </c>
      <c r="N1177" s="1"/>
      <c r="O1177" s="1" t="str">
        <f>IFERROR(__xludf.DUMMYFUNCTION("""COMPUTED_VALUE"""),"GREGORIA DE JESUS")</f>
        <v>GREGORIA DE JESUS</v>
      </c>
      <c r="P1177" s="1" t="str">
        <f>IFERROR(__xludf.DUMMYFUNCTION("""COMPUTED_VALUE"""),"GEN MARIANO ALVAREZ")</f>
        <v>GEN MARIANO ALVAREZ</v>
      </c>
      <c r="Q1177" s="1" t="str">
        <f>IFERROR(__xludf.DUMMYFUNCTION("""COMPUTED_VALUE"""),"CAVITE")</f>
        <v>CAVITE</v>
      </c>
      <c r="R1177" s="1" t="str">
        <f>IFERROR(__xludf.DUMMYFUNCTION("""COMPUTED_VALUE"""),"FIBR PLAN 1299")</f>
        <v>FIBR PLAN 1299</v>
      </c>
      <c r="S1177" s="1" t="str">
        <f>IFERROR(__xludf.DUMMYFUNCTION("""COMPUTED_VALUE"""),"APPROVED")</f>
        <v>APPROVED</v>
      </c>
      <c r="T1177" s="1"/>
      <c r="U1177" s="1"/>
      <c r="V1177" s="1"/>
      <c r="W1177" s="1"/>
    </row>
    <row r="1178" customHeight="1" spans="1:23">
      <c r="A1178" s="3">
        <f>IFERROR(__xludf.DUMMYFUNCTION("""COMPUTED_VALUE"""),46124)</f>
        <v>46124</v>
      </c>
      <c r="B1178" s="1" t="str">
        <f>IFERROR(__xludf.DUMMYFUNCTION("""COMPUTED_VALUE"""),"CANTANERO JUNEL")</f>
        <v>CANTANERO JUNEL</v>
      </c>
      <c r="C1178" s="1" t="str">
        <f>IFERROR(__xludf.DUMMYFUNCTION("""COMPUTED_VALUE"""),"ORGANIC")</f>
        <v>ORGANIC</v>
      </c>
      <c r="D1178" s="1" t="str">
        <f>IFERROR(__xludf.DUMMYFUNCTION("""COMPUTED_VALUE"""),"ALINGARO, CINDY")</f>
        <v>ALINGARO, CINDY</v>
      </c>
      <c r="E1178" s="1" t="str">
        <f>IFERROR(__xludf.DUMMYFUNCTION("""COMPUTED_VALUE"""),"PLDT")</f>
        <v>PLDT</v>
      </c>
      <c r="F1178" s="1">
        <f>IFERROR(__xludf.DUMMYFUNCTION("""COMPUTED_VALUE"""),2308810964)</f>
        <v>2308810964</v>
      </c>
      <c r="G1178" s="1">
        <f>IFERROR(__xludf.DUMMYFUNCTION("""COMPUTED_VALUE"""),450404539004)</f>
        <v>450404539004</v>
      </c>
      <c r="H1178" s="1" t="str">
        <f>IFERROR(__xludf.DUMMYFUNCTION("""COMPUTED_VALUE"""),"JOHN ANGELO SANTOS BALUYOT")</f>
        <v>JOHN ANGELO SANTOS BALUYOT</v>
      </c>
      <c r="I1178" s="1">
        <f>IFERROR(__xludf.DUMMYFUNCTION("""COMPUTED_VALUE"""),9653422491)</f>
        <v>9653422491</v>
      </c>
      <c r="J1178" s="1">
        <f>IFERROR(__xludf.DUMMYFUNCTION("""COMPUTED_VALUE"""),9568138973)</f>
        <v>9568138973</v>
      </c>
      <c r="K1178" s="1" t="str">
        <f>IFERROR(__xludf.DUMMYFUNCTION("""COMPUTED_VALUE"""),"BALUYOTJOHNANGELO@GMAIL.COM")</f>
        <v>BALUYOTJOHNANGELO@GMAIL.COM</v>
      </c>
      <c r="L1178" s="1" t="str">
        <f>IFERROR(__xludf.DUMMYFUNCTION("""COMPUTED_VALUE"""),"LOT 42")</f>
        <v>LOT 42</v>
      </c>
      <c r="M1178" s="1" t="str">
        <f>IFERROR(__xludf.DUMMYFUNCTION("""COMPUTED_VALUE"""),"PASONG SAGING")</f>
        <v>PASONG SAGING</v>
      </c>
      <c r="N1178" s="1"/>
      <c r="O1178" s="1" t="str">
        <f>IFERROR(__xludf.DUMMYFUNCTION("""COMPUTED_VALUE"""),"SEVERINO DE LAS ALAS")</f>
        <v>SEVERINO DE LAS ALAS</v>
      </c>
      <c r="P1178" s="1" t="str">
        <f>IFERROR(__xludf.DUMMYFUNCTION("""COMPUTED_VALUE"""),"GEN MARIANO ALVAREZ")</f>
        <v>GEN MARIANO ALVAREZ</v>
      </c>
      <c r="Q1178" s="1" t="str">
        <f>IFERROR(__xludf.DUMMYFUNCTION("""COMPUTED_VALUE"""),"CAVITE")</f>
        <v>CAVITE</v>
      </c>
      <c r="R1178" s="1" t="str">
        <f>IFERROR(__xludf.DUMMYFUNCTION("""COMPUTED_VALUE"""),"FIBR PLAN 1299")</f>
        <v>FIBR PLAN 1299</v>
      </c>
      <c r="S1178" s="1" t="str">
        <f>IFERROR(__xludf.DUMMYFUNCTION("""COMPUTED_VALUE"""),"APPROVED")</f>
        <v>APPROVED</v>
      </c>
      <c r="T1178" s="1"/>
      <c r="U1178" s="1"/>
      <c r="V1178" s="1"/>
      <c r="W1178" s="1"/>
    </row>
    <row r="1179" customHeight="1" spans="1:23">
      <c r="A1179" s="3">
        <f>IFERROR(__xludf.DUMMYFUNCTION("""COMPUTED_VALUE"""),46124)</f>
        <v>46124</v>
      </c>
      <c r="B1179" s="1" t="str">
        <f>IFERROR(__xludf.DUMMYFUNCTION("""COMPUTED_VALUE"""),"CONCEPCION, ALJAY")</f>
        <v>CONCEPCION, ALJAY</v>
      </c>
      <c r="C1179" s="1" t="str">
        <f>IFERROR(__xludf.DUMMYFUNCTION("""COMPUTED_VALUE"""),"ORGANIC")</f>
        <v>ORGANIC</v>
      </c>
      <c r="D1179" s="1" t="str">
        <f>IFERROR(__xludf.DUMMYFUNCTION("""COMPUTED_VALUE"""),"ALINGARO, CINDY")</f>
        <v>ALINGARO, CINDY</v>
      </c>
      <c r="E1179" s="1" t="str">
        <f>IFERROR(__xludf.DUMMYFUNCTION("""COMPUTED_VALUE"""),"PLDT")</f>
        <v>PLDT</v>
      </c>
      <c r="F1179" s="1">
        <f>IFERROR(__xludf.DUMMYFUNCTION("""COMPUTED_VALUE"""),2308812757)</f>
        <v>2308812757</v>
      </c>
      <c r="G1179" s="1">
        <f>IFERROR(__xludf.DUMMYFUNCTION("""COMPUTED_VALUE"""),450409157004)</f>
        <v>450409157004</v>
      </c>
      <c r="H1179" s="1" t="str">
        <f>IFERROR(__xludf.DUMMYFUNCTION("""COMPUTED_VALUE"""),"JONNAHLYN ARCAN JAVIER")</f>
        <v>JONNAHLYN ARCAN JAVIER</v>
      </c>
      <c r="I1179" s="1">
        <f>IFERROR(__xludf.DUMMYFUNCTION("""COMPUTED_VALUE"""),9859791942)</f>
        <v>9859791942</v>
      </c>
      <c r="J1179" s="1"/>
      <c r="K1179" s="1" t="str">
        <f>IFERROR(__xludf.DUMMYFUNCTION("""COMPUTED_VALUE"""),"JONNAHLYN.JAVIER79@GMAIL.COM")</f>
        <v>JONNAHLYN.JAVIER79@GMAIL.COM</v>
      </c>
      <c r="L1179" s="1" t="str">
        <f>IFERROR(__xludf.DUMMYFUNCTION("""COMPUTED_VALUE"""),"BLK 13 LOT 29")</f>
        <v>BLK 13 LOT 29</v>
      </c>
      <c r="M1179" s="1" t="str">
        <f>IFERROR(__xludf.DUMMYFUNCTION("""COMPUTED_VALUE"""),"TRINIDAD")</f>
        <v>TRINIDAD</v>
      </c>
      <c r="N1179" s="1"/>
      <c r="O1179" s="1" t="str">
        <f>IFERROR(__xludf.DUMMYFUNCTION("""COMPUTED_VALUE"""),"FRANCISCO DE CASTRO (SUNSHINE VILL.)")</f>
        <v>FRANCISCO DE CASTRO (SUNSHINE VILL.)</v>
      </c>
      <c r="P1179" s="1" t="str">
        <f>IFERROR(__xludf.DUMMYFUNCTION("""COMPUTED_VALUE"""),"GEN MARIANO ALVAREZ")</f>
        <v>GEN MARIANO ALVAREZ</v>
      </c>
      <c r="Q1179" s="1" t="str">
        <f>IFERROR(__xludf.DUMMYFUNCTION("""COMPUTED_VALUE"""),"CAVITE")</f>
        <v>CAVITE</v>
      </c>
      <c r="R1179" s="1" t="str">
        <f>IFERROR(__xludf.DUMMYFUNCTION("""COMPUTED_VALUE"""),"FIBR UNLI ALL PLAN 1399")</f>
        <v>FIBR UNLI ALL PLAN 1399</v>
      </c>
      <c r="S1179" s="1" t="str">
        <f>IFERROR(__xludf.DUMMYFUNCTION("""COMPUTED_VALUE"""),"APPROVED")</f>
        <v>APPROVED</v>
      </c>
      <c r="T1179" s="1"/>
      <c r="U1179" s="1"/>
      <c r="V1179" s="1"/>
      <c r="W1179" s="1"/>
    </row>
    <row r="1180" customHeight="1" spans="1:23">
      <c r="A1180" s="3">
        <f>IFERROR(__xludf.DUMMYFUNCTION("""COMPUTED_VALUE"""),46124)</f>
        <v>46124</v>
      </c>
      <c r="B1180" s="1" t="str">
        <f>IFERROR(__xludf.DUMMYFUNCTION("""COMPUTED_VALUE"""),"OPS SIR BETZ")</f>
        <v>OPS SIR BETZ</v>
      </c>
      <c r="C1180" s="1" t="str">
        <f>IFERROR(__xludf.DUMMYFUNCTION("""COMPUTED_VALUE"""),"FLA")</f>
        <v>FLA</v>
      </c>
      <c r="D1180" s="1" t="str">
        <f>IFERROR(__xludf.DUMMYFUNCTION("""COMPUTED_VALUE"""),"JERIC NAVARRO")</f>
        <v>JERIC NAVARRO</v>
      </c>
      <c r="E1180" s="1" t="str">
        <f>IFERROR(__xludf.DUMMYFUNCTION("""COMPUTED_VALUE"""),"PLDT")</f>
        <v>PLDT</v>
      </c>
      <c r="F1180" s="1">
        <f>IFERROR(__xludf.DUMMYFUNCTION("""COMPUTED_VALUE"""),2308813108)</f>
        <v>2308813108</v>
      </c>
      <c r="G1180" s="1"/>
      <c r="H1180" s="1" t="str">
        <f>IFERROR(__xludf.DUMMYFUNCTION("""COMPUTED_VALUE"""),"MA. MAGDALENA SURLA PEGA")</f>
        <v>MA. MAGDALENA SURLA PEGA</v>
      </c>
      <c r="I1180" s="1">
        <f>IFERROR(__xludf.DUMMYFUNCTION("""COMPUTED_VALUE"""),9283976279)</f>
        <v>9283976279</v>
      </c>
      <c r="J1180" s="1"/>
      <c r="K1180" s="1" t="str">
        <f>IFERROR(__xludf.DUMMYFUNCTION("""COMPUTED_VALUE"""),"MAMAGDALENA.PEGA@DEPEDQC")</f>
        <v>MAMAGDALENA.PEGA@DEPEDQC</v>
      </c>
      <c r="L1180" s="1" t="str">
        <f>IFERROR(__xludf.DUMMYFUNCTION("""COMPUTED_VALUE"""),"2865B")</f>
        <v>2865B</v>
      </c>
      <c r="M1180" s="1" t="str">
        <f>IFERROR(__xludf.DUMMYFUNCTION("""COMPUTED_VALUE"""),"PUROK 5")</f>
        <v>PUROK 5</v>
      </c>
      <c r="N1180" s="1"/>
      <c r="O1180" s="1" t="str">
        <f>IFERROR(__xludf.DUMMYFUNCTION("""COMPUTED_VALUE"""),"SANTA TERESA")</f>
        <v>SANTA TERESA</v>
      </c>
      <c r="P1180" s="1" t="str">
        <f>IFERROR(__xludf.DUMMYFUNCTION("""COMPUTED_VALUE"""),"ALFONSO")</f>
        <v>ALFONSO</v>
      </c>
      <c r="Q1180" s="1" t="str">
        <f>IFERROR(__xludf.DUMMYFUNCTION("""COMPUTED_VALUE"""),"CAVITE")</f>
        <v>CAVITE</v>
      </c>
      <c r="R1180" s="1" t="str">
        <f>IFERROR(__xludf.DUMMYFUNCTION("""COMPUTED_VALUE"""),"FIBR PLAN 1299")</f>
        <v>FIBR PLAN 1299</v>
      </c>
      <c r="S1180" s="1" t="str">
        <f>IFERROR(__xludf.DUMMYFUNCTION("""COMPUTED_VALUE"""),"APPROVED")</f>
        <v>APPROVED</v>
      </c>
      <c r="T1180" s="1"/>
      <c r="U1180" s="1"/>
      <c r="V1180" s="1"/>
      <c r="W1180" s="1"/>
    </row>
    <row r="1181" customHeight="1" spans="1:23">
      <c r="A1181" s="3">
        <f>IFERROR(__xludf.DUMMYFUNCTION("""COMPUTED_VALUE"""),46124)</f>
        <v>46124</v>
      </c>
      <c r="B1181" s="1" t="str">
        <f>IFERROR(__xludf.DUMMYFUNCTION("""COMPUTED_VALUE"""),"ESCARCHA, MA ALMA  ESCOTO")</f>
        <v>ESCARCHA, MA ALMA  ESCOTO</v>
      </c>
      <c r="C1181" s="1" t="str">
        <f>IFERROR(__xludf.DUMMYFUNCTION("""COMPUTED_VALUE"""),"ORGANIC")</f>
        <v>ORGANIC</v>
      </c>
      <c r="D1181" s="1" t="str">
        <f>IFERROR(__xludf.DUMMYFUNCTION("""COMPUTED_VALUE"""),"ALINGARO, CINDY")</f>
        <v>ALINGARO, CINDY</v>
      </c>
      <c r="E1181" s="1" t="str">
        <f>IFERROR(__xludf.DUMMYFUNCTION("""COMPUTED_VALUE"""),"HOME BIZZ")</f>
        <v>HOME BIZZ</v>
      </c>
      <c r="F1181" s="1">
        <f>IFERROR(__xludf.DUMMYFUNCTION("""COMPUTED_VALUE"""),2308813899)</f>
        <v>2308813899</v>
      </c>
      <c r="G1181" s="1">
        <f>IFERROR(__xludf.DUMMYFUNCTION("""COMPUTED_VALUE"""),450412148004)</f>
        <v>450412148004</v>
      </c>
      <c r="H1181" s="1" t="str">
        <f>IFERROR(__xludf.DUMMYFUNCTION("""COMPUTED_VALUE"""),"ARKINN BRYCE PRINTING SERVICES")</f>
        <v>ARKINN BRYCE PRINTING SERVICES</v>
      </c>
      <c r="I1181" s="1">
        <f>IFERROR(__xludf.DUMMYFUNCTION("""COMPUTED_VALUE"""),9274409170)</f>
        <v>9274409170</v>
      </c>
      <c r="J1181" s="1">
        <f>IFERROR(__xludf.DUMMYFUNCTION("""COMPUTED_VALUE"""),9473282466)</f>
        <v>9473282466</v>
      </c>
      <c r="K1181" s="1" t="str">
        <f>IFERROR(__xludf.DUMMYFUNCTION("""COMPUTED_VALUE"""),"ALLYSSAMONIQUEHERRERA@GMAIL.COM")</f>
        <v>ALLYSSAMONIQUEHERRERA@GMAIL.COM</v>
      </c>
      <c r="L1181" s="1" t="str">
        <f>IFERROR(__xludf.DUMMYFUNCTION("""COMPUTED_VALUE"""),"193")</f>
        <v>193</v>
      </c>
      <c r="M1181" s="1" t="str">
        <f>IFERROR(__xludf.DUMMYFUNCTION("""COMPUTED_VALUE"""),"ST FRANCIS")</f>
        <v>ST FRANCIS</v>
      </c>
      <c r="N1181" s="1"/>
      <c r="O1181" s="1" t="str">
        <f>IFERROR(__xludf.DUMMYFUNCTION("""COMPUTED_VALUE"""),"ASIS I")</f>
        <v>ASIS I</v>
      </c>
      <c r="P1181" s="1" t="str">
        <f>IFERROR(__xludf.DUMMYFUNCTION("""COMPUTED_VALUE"""),"MENDEZ")</f>
        <v>MENDEZ</v>
      </c>
      <c r="Q1181" s="1" t="str">
        <f>IFERROR(__xludf.DUMMYFUNCTION("""COMPUTED_VALUE"""),"CAVITE")</f>
        <v>CAVITE</v>
      </c>
      <c r="R1181" s="1" t="str">
        <f>IFERROR(__xludf.DUMMYFUNCTION("""COMPUTED_VALUE"""),"HOME BIZ PLAN 1299")</f>
        <v>HOME BIZ PLAN 1299</v>
      </c>
      <c r="S1181" s="1" t="str">
        <f>IFERROR(__xludf.DUMMYFUNCTION("""COMPUTED_VALUE"""),"APPROVED")</f>
        <v>APPROVED</v>
      </c>
      <c r="T1181" s="1"/>
      <c r="U1181" s="1"/>
      <c r="V1181" s="1"/>
      <c r="W1181" s="1"/>
    </row>
    <row r="1182" customHeight="1" spans="1:23">
      <c r="A1182" s="3">
        <f>IFERROR(__xludf.DUMMYFUNCTION("""COMPUTED_VALUE"""),46124)</f>
        <v>46124</v>
      </c>
      <c r="B1182" s="1" t="str">
        <f>IFERROR(__xludf.DUMMYFUNCTION("""COMPUTED_VALUE"""),"CANTANERO JUNEL")</f>
        <v>CANTANERO JUNEL</v>
      </c>
      <c r="C1182" s="1" t="str">
        <f>IFERROR(__xludf.DUMMYFUNCTION("""COMPUTED_VALUE"""),"ORGANIC")</f>
        <v>ORGANIC</v>
      </c>
      <c r="D1182" s="1" t="str">
        <f>IFERROR(__xludf.DUMMYFUNCTION("""COMPUTED_VALUE"""),"ALINGARO, CINDY")</f>
        <v>ALINGARO, CINDY</v>
      </c>
      <c r="E1182" s="1" t="str">
        <f>IFERROR(__xludf.DUMMYFUNCTION("""COMPUTED_VALUE"""),"PLDT")</f>
        <v>PLDT</v>
      </c>
      <c r="F1182" s="1">
        <f>IFERROR(__xludf.DUMMYFUNCTION("""COMPUTED_VALUE"""),2308814156)</f>
        <v>2308814156</v>
      </c>
      <c r="G1182" s="1">
        <f>IFERROR(__xludf.DUMMYFUNCTION("""COMPUTED_VALUE"""),450413230004)</f>
        <v>450413230004</v>
      </c>
      <c r="H1182" s="1" t="str">
        <f>IFERROR(__xludf.DUMMYFUNCTION("""COMPUTED_VALUE"""),"JERICO VELASCO")</f>
        <v>JERICO VELASCO</v>
      </c>
      <c r="I1182" s="1">
        <f>IFERROR(__xludf.DUMMYFUNCTION("""COMPUTED_VALUE"""),9626224152)</f>
        <v>9626224152</v>
      </c>
      <c r="J1182" s="1">
        <f>IFERROR(__xludf.DUMMYFUNCTION("""COMPUTED_VALUE"""),9319304661)</f>
        <v>9319304661</v>
      </c>
      <c r="K1182" s="1" t="str">
        <f>IFERROR(__xludf.DUMMYFUNCTION("""COMPUTED_VALUE"""),"VJERICO788@GMAIL.COM")</f>
        <v>VJERICO788@GMAIL.COM</v>
      </c>
      <c r="L1182" s="1" t="str">
        <f>IFERROR(__xludf.DUMMYFUNCTION("""COMPUTED_VALUE"""),"BLK 1 LOT 14C")</f>
        <v>BLK 1 LOT 14C</v>
      </c>
      <c r="M1182" s="1" t="str">
        <f>IFERROR(__xludf.DUMMYFUNCTION("""COMPUTED_VALUE"""),"GREGORIA RD")</f>
        <v>GREGORIA RD</v>
      </c>
      <c r="N1182" s="1"/>
      <c r="O1182" s="1" t="str">
        <f>IFERROR(__xludf.DUMMYFUNCTION("""COMPUTED_VALUE"""),"GREGORIA DE JESUS")</f>
        <v>GREGORIA DE JESUS</v>
      </c>
      <c r="P1182" s="1" t="str">
        <f>IFERROR(__xludf.DUMMYFUNCTION("""COMPUTED_VALUE"""),"GEN MARIANO ALVAREZ")</f>
        <v>GEN MARIANO ALVAREZ</v>
      </c>
      <c r="Q1182" s="1" t="str">
        <f>IFERROR(__xludf.DUMMYFUNCTION("""COMPUTED_VALUE"""),"CAVITE")</f>
        <v>CAVITE</v>
      </c>
      <c r="R1182" s="1" t="str">
        <f>IFERROR(__xludf.DUMMYFUNCTION("""COMPUTED_VALUE"""),"FIBR PLAN 1299")</f>
        <v>FIBR PLAN 1299</v>
      </c>
      <c r="S1182" s="1" t="str">
        <f>IFERROR(__xludf.DUMMYFUNCTION("""COMPUTED_VALUE"""),"APPROVED")</f>
        <v>APPROVED</v>
      </c>
      <c r="T1182" s="1"/>
      <c r="U1182" s="1"/>
      <c r="V1182" s="1"/>
      <c r="W1182" s="1"/>
    </row>
    <row r="1183" customHeight="1" spans="1:23">
      <c r="A1183" s="3">
        <f>IFERROR(__xludf.DUMMYFUNCTION("""COMPUTED_VALUE"""),46124)</f>
        <v>46124</v>
      </c>
      <c r="B1183" s="1" t="str">
        <f>IFERROR(__xludf.DUMMYFUNCTION("""COMPUTED_VALUE"""),"FARO, REFRANTA")</f>
        <v>FARO, REFRANTA</v>
      </c>
      <c r="C1183" s="1" t="str">
        <f>IFERROR(__xludf.DUMMYFUNCTION("""COMPUTED_VALUE"""),"ORGANIC")</f>
        <v>ORGANIC</v>
      </c>
      <c r="D1183" s="1" t="str">
        <f>IFERROR(__xludf.DUMMYFUNCTION("""COMPUTED_VALUE"""),"ALINGARO, CINDY")</f>
        <v>ALINGARO, CINDY</v>
      </c>
      <c r="E1183" s="1" t="str">
        <f>IFERROR(__xludf.DUMMYFUNCTION("""COMPUTED_VALUE"""),"PLDT")</f>
        <v>PLDT</v>
      </c>
      <c r="F1183" s="1">
        <f>IFERROR(__xludf.DUMMYFUNCTION("""COMPUTED_VALUE"""),2308814536)</f>
        <v>2308814536</v>
      </c>
      <c r="G1183" s="1"/>
      <c r="H1183" s="1" t="str">
        <f>IFERROR(__xludf.DUMMYFUNCTION("""COMPUTED_VALUE"""),"MA. FATIMA REQUEZ LOPEZ")</f>
        <v>MA. FATIMA REQUEZ LOPEZ</v>
      </c>
      <c r="I1183" s="1">
        <f>IFERROR(__xludf.DUMMYFUNCTION("""COMPUTED_VALUE"""),9463814765)</f>
        <v>9463814765</v>
      </c>
      <c r="J1183" s="1"/>
      <c r="K1183" s="1" t="str">
        <f>IFERROR(__xludf.DUMMYFUNCTION("""COMPUTED_VALUE"""),"LOPEZTIM374@GMAIL.COM")</f>
        <v>LOPEZTIM374@GMAIL.COM</v>
      </c>
      <c r="L1183" s="1" t="str">
        <f>IFERROR(__xludf.DUMMYFUNCTION("""COMPUTED_VALUE"""),"BLK 7B")</f>
        <v>BLK 7B</v>
      </c>
      <c r="M1183" s="1" t="str">
        <f>IFERROR(__xludf.DUMMYFUNCTION("""COMPUTED_VALUE"""),"EXCESS LOT")</f>
        <v>EXCESS LOT</v>
      </c>
      <c r="N1183" s="1"/>
      <c r="O1183" s="1" t="str">
        <f>IFERROR(__xludf.DUMMYFUNCTION("""COMPUTED_VALUE"""),"GREGORIA DE JESUS")</f>
        <v>GREGORIA DE JESUS</v>
      </c>
      <c r="P1183" s="1" t="str">
        <f>IFERROR(__xludf.DUMMYFUNCTION("""COMPUTED_VALUE"""),"GEN MARIANO ALVAREZ")</f>
        <v>GEN MARIANO ALVAREZ</v>
      </c>
      <c r="Q1183" s="1" t="str">
        <f>IFERROR(__xludf.DUMMYFUNCTION("""COMPUTED_VALUE"""),"CAVITE")</f>
        <v>CAVITE</v>
      </c>
      <c r="R1183" s="1" t="str">
        <f>IFERROR(__xludf.DUMMYFUNCTION("""COMPUTED_VALUE"""),"SWITCH FIBER UNLI ALL 1299")</f>
        <v>SWITCH FIBER UNLI ALL 1299</v>
      </c>
      <c r="S1183" s="1" t="str">
        <f>IFERROR(__xludf.DUMMYFUNCTION("""COMPUTED_VALUE"""),"APPROVED")</f>
        <v>APPROVED</v>
      </c>
      <c r="T1183" s="1"/>
      <c r="U1183" s="1"/>
      <c r="V1183" s="1"/>
      <c r="W1183" s="1"/>
    </row>
    <row r="1184" customHeight="1" spans="1:23">
      <c r="A1184" s="3">
        <f>IFERROR(__xludf.DUMMYFUNCTION("""COMPUTED_VALUE"""),46124)</f>
        <v>46124</v>
      </c>
      <c r="B1184" s="1" t="str">
        <f>IFERROR(__xludf.DUMMYFUNCTION("""COMPUTED_VALUE"""),"FERNANDEZ JERIC")</f>
        <v>FERNANDEZ JERIC</v>
      </c>
      <c r="C1184" s="1" t="str">
        <f>IFERROR(__xludf.DUMMYFUNCTION("""COMPUTED_VALUE"""),"ORGANIC")</f>
        <v>ORGANIC</v>
      </c>
      <c r="D1184" s="1" t="str">
        <f>IFERROR(__xludf.DUMMYFUNCTION("""COMPUTED_VALUE"""),"ALOS, CHARLS")</f>
        <v>ALOS, CHARLS</v>
      </c>
      <c r="E1184" s="1" t="str">
        <f>IFERROR(__xludf.DUMMYFUNCTION("""COMPUTED_VALUE"""),"PLDT")</f>
        <v>PLDT</v>
      </c>
      <c r="F1184" s="1">
        <f>IFERROR(__xludf.DUMMYFUNCTION("""COMPUTED_VALUE"""),2308815036)</f>
        <v>2308815036</v>
      </c>
      <c r="G1184" s="1">
        <f>IFERROR(__xludf.DUMMYFUNCTION("""COMPUTED_VALUE"""),450413580004)</f>
        <v>450413580004</v>
      </c>
      <c r="H1184" s="1" t="str">
        <f>IFERROR(__xludf.DUMMYFUNCTION("""COMPUTED_VALUE"""),"ZOSIMA ENDAYA MANALO")</f>
        <v>ZOSIMA ENDAYA MANALO</v>
      </c>
      <c r="I1184" s="1">
        <f>IFERROR(__xludf.DUMMYFUNCTION("""COMPUTED_VALUE"""),9395621278)</f>
        <v>9395621278</v>
      </c>
      <c r="J1184" s="1">
        <f>IFERROR(__xludf.DUMMYFUNCTION("""COMPUTED_VALUE"""),99916444960)</f>
        <v>99916444960</v>
      </c>
      <c r="K1184" s="1" t="str">
        <f>IFERROR(__xludf.DUMMYFUNCTION("""COMPUTED_VALUE"""),"JOMANSARABIA73@GMAIL.COM")</f>
        <v>JOMANSARABIA73@GMAIL.COM</v>
      </c>
      <c r="L1184" s="1" t="str">
        <f>IFERROR(__xludf.DUMMYFUNCTION("""COMPUTED_VALUE"""),"PABAHAY 9 LOT 10")</f>
        <v>PABAHAY 9 LOT 10</v>
      </c>
      <c r="M1184" s="1" t="str">
        <f>IFERROR(__xludf.DUMMYFUNCTION("""COMPUTED_VALUE"""),"PUROK 118")</f>
        <v>PUROK 118</v>
      </c>
      <c r="N1184" s="1"/>
      <c r="O1184" s="1" t="str">
        <f>IFERROR(__xludf.DUMMYFUNCTION("""COMPUTED_VALUE"""),"MENDEZ CROSSING EAST")</f>
        <v>MENDEZ CROSSING EAST</v>
      </c>
      <c r="P1184" s="1" t="str">
        <f>IFERROR(__xludf.DUMMYFUNCTION("""COMPUTED_VALUE"""),"TAGAYTAY")</f>
        <v>TAGAYTAY</v>
      </c>
      <c r="Q1184" s="1" t="str">
        <f>IFERROR(__xludf.DUMMYFUNCTION("""COMPUTED_VALUE"""),"CAVITE")</f>
        <v>CAVITE</v>
      </c>
      <c r="R1184" s="1" t="str">
        <f>IFERROR(__xludf.DUMMYFUNCTION("""COMPUTED_VALUE"""),"FIBR UNLI ALL PLAN 1399")</f>
        <v>FIBR UNLI ALL PLAN 1399</v>
      </c>
      <c r="S1184" s="1" t="str">
        <f>IFERROR(__xludf.DUMMYFUNCTION("""COMPUTED_VALUE"""),"APPROVED")</f>
        <v>APPROVED</v>
      </c>
      <c r="T1184" s="1"/>
      <c r="U1184" s="1"/>
      <c r="V1184" s="1"/>
      <c r="W1184" s="1"/>
    </row>
    <row r="1185" customHeight="1" spans="1:23">
      <c r="A1185" s="3">
        <f>IFERROR(__xludf.DUMMYFUNCTION("""COMPUTED_VALUE"""),46124)</f>
        <v>46124</v>
      </c>
      <c r="B1185" s="1" t="str">
        <f>IFERROR(__xludf.DUMMYFUNCTION("""COMPUTED_VALUE"""),"CANTANERO JUNEL")</f>
        <v>CANTANERO JUNEL</v>
      </c>
      <c r="C1185" s="1" t="str">
        <f>IFERROR(__xludf.DUMMYFUNCTION("""COMPUTED_VALUE"""),"ORGANIC")</f>
        <v>ORGANIC</v>
      </c>
      <c r="D1185" s="1" t="str">
        <f>IFERROR(__xludf.DUMMYFUNCTION("""COMPUTED_VALUE"""),"ALINGARO, CINDY")</f>
        <v>ALINGARO, CINDY</v>
      </c>
      <c r="E1185" s="1" t="str">
        <f>IFERROR(__xludf.DUMMYFUNCTION("""COMPUTED_VALUE"""),"PLDT")</f>
        <v>PLDT</v>
      </c>
      <c r="F1185" s="1">
        <f>IFERROR(__xludf.DUMMYFUNCTION("""COMPUTED_VALUE"""),2308815338)</f>
        <v>2308815338</v>
      </c>
      <c r="G1185" s="1">
        <f>IFERROR(__xludf.DUMMYFUNCTION("""COMPUTED_VALUE"""),450415144004)</f>
        <v>450415144004</v>
      </c>
      <c r="H1185" s="1" t="str">
        <f>IFERROR(__xludf.DUMMYFUNCTION("""COMPUTED_VALUE"""),"MARIE CELINE BIASON FERNANDEZ")</f>
        <v>MARIE CELINE BIASON FERNANDEZ</v>
      </c>
      <c r="I1185" s="1">
        <f>IFERROR(__xludf.DUMMYFUNCTION("""COMPUTED_VALUE"""),9165571800)</f>
        <v>9165571800</v>
      </c>
      <c r="J1185" s="1"/>
      <c r="K1185" s="1" t="str">
        <f>IFERROR(__xludf.DUMMYFUNCTION("""COMPUTED_VALUE"""),"LESOPINA20@GMAIL.COM")</f>
        <v>LESOPINA20@GMAIL.COM</v>
      </c>
      <c r="L1185" s="1" t="str">
        <f>IFERROR(__xludf.DUMMYFUNCTION("""COMPUTED_VALUE"""),"1287")</f>
        <v>1287</v>
      </c>
      <c r="M1185" s="1" t="str">
        <f>IFERROR(__xludf.DUMMYFUNCTION("""COMPUTED_VALUE"""),"PULIDO RD")</f>
        <v>PULIDO RD</v>
      </c>
      <c r="N1185" s="1"/>
      <c r="O1185" s="1" t="str">
        <f>IFERROR(__xludf.DUMMYFUNCTION("""COMPUTED_VALUE"""),"BERNARDO PULIDO (AREA H)")</f>
        <v>BERNARDO PULIDO (AREA H)</v>
      </c>
      <c r="P1185" s="1" t="str">
        <f>IFERROR(__xludf.DUMMYFUNCTION("""COMPUTED_VALUE"""),"GEN MARIANO ALVAREZ")</f>
        <v>GEN MARIANO ALVAREZ</v>
      </c>
      <c r="Q1185" s="1" t="str">
        <f>IFERROR(__xludf.DUMMYFUNCTION("""COMPUTED_VALUE"""),"CAVITE")</f>
        <v>CAVITE</v>
      </c>
      <c r="R1185" s="1" t="str">
        <f>IFERROR(__xludf.DUMMYFUNCTION("""COMPUTED_VALUE"""),"FIBR PLAN 1299")</f>
        <v>FIBR PLAN 1299</v>
      </c>
      <c r="S1185" s="1" t="str">
        <f>IFERROR(__xludf.DUMMYFUNCTION("""COMPUTED_VALUE"""),"APPROVED")</f>
        <v>APPROVED</v>
      </c>
      <c r="T1185" s="1"/>
      <c r="U1185" s="1"/>
      <c r="V1185" s="1"/>
      <c r="W1185" s="1"/>
    </row>
    <row r="1186" customHeight="1" spans="1:23">
      <c r="A1186" s="3">
        <f>IFERROR(__xludf.DUMMYFUNCTION("""COMPUTED_VALUE"""),46124)</f>
        <v>46124</v>
      </c>
      <c r="B1186" s="1" t="str">
        <f>IFERROR(__xludf.DUMMYFUNCTION("""COMPUTED_VALUE"""),"FARO, REFRANTA")</f>
        <v>FARO, REFRANTA</v>
      </c>
      <c r="C1186" s="1" t="str">
        <f>IFERROR(__xludf.DUMMYFUNCTION("""COMPUTED_VALUE"""),"ORGANIC")</f>
        <v>ORGANIC</v>
      </c>
      <c r="D1186" s="1" t="str">
        <f>IFERROR(__xludf.DUMMYFUNCTION("""COMPUTED_VALUE"""),"ALINGARO, CINDY")</f>
        <v>ALINGARO, CINDY</v>
      </c>
      <c r="E1186" s="1" t="str">
        <f>IFERROR(__xludf.DUMMYFUNCTION("""COMPUTED_VALUE"""),"PLDT")</f>
        <v>PLDT</v>
      </c>
      <c r="F1186" s="1">
        <f>IFERROR(__xludf.DUMMYFUNCTION("""COMPUTED_VALUE"""),2308815599)</f>
        <v>2308815599</v>
      </c>
      <c r="G1186" s="1">
        <f>IFERROR(__xludf.DUMMYFUNCTION("""COMPUTED_VALUE"""),450415030004)</f>
        <v>450415030004</v>
      </c>
      <c r="H1186" s="1" t="str">
        <f>IFERROR(__xludf.DUMMYFUNCTION("""COMPUTED_VALUE"""),"CELINE DIANNE DONES LIGTAS")</f>
        <v>CELINE DIANNE DONES LIGTAS</v>
      </c>
      <c r="I1186" s="1">
        <f>IFERROR(__xludf.DUMMYFUNCTION("""COMPUTED_VALUE"""),9911358417)</f>
        <v>9911358417</v>
      </c>
      <c r="J1186" s="1">
        <f>IFERROR(__xludf.DUMMYFUNCTION("""COMPUTED_VALUE"""),9682394575)</f>
        <v>9682394575</v>
      </c>
      <c r="K1186" s="1" t="str">
        <f>IFERROR(__xludf.DUMMYFUNCTION("""COMPUTED_VALUE"""),"LIGTASCELINEDIANE024@GMAIL.COM")</f>
        <v>LIGTASCELINEDIANE024@GMAIL.COM</v>
      </c>
      <c r="L1186" s="1" t="str">
        <f>IFERROR(__xludf.DUMMYFUNCTION("""COMPUTED_VALUE"""),"146")</f>
        <v>146</v>
      </c>
      <c r="M1186" s="1" t="str">
        <f>IFERROR(__xludf.DUMMYFUNCTION("""COMPUTED_VALUE"""),"BLK 22A")</f>
        <v>BLK 22A</v>
      </c>
      <c r="N1186" s="1" t="str">
        <f>IFERROR(__xludf.DUMMYFUNCTION("""COMPUTED_VALUE"""),"STRAWBERRY HILLS")</f>
        <v>STRAWBERRY HILLS</v>
      </c>
      <c r="O1186" s="1" t="str">
        <f>IFERROR(__xludf.DUMMYFUNCTION("""COMPUTED_VALUE"""),"FRANCISCO REYES")</f>
        <v>FRANCISCO REYES</v>
      </c>
      <c r="P1186" s="1" t="str">
        <f>IFERROR(__xludf.DUMMYFUNCTION("""COMPUTED_VALUE"""),"GEN MARIANO ALVAREZ")</f>
        <v>GEN MARIANO ALVAREZ</v>
      </c>
      <c r="Q1186" s="1" t="str">
        <f>IFERROR(__xludf.DUMMYFUNCTION("""COMPUTED_VALUE"""),"CAVITE")</f>
        <v>CAVITE</v>
      </c>
      <c r="R1186" s="1" t="str">
        <f>IFERROR(__xludf.DUMMYFUNCTION("""COMPUTED_VALUE"""),"FIBR NETFLIX PLAN 1599")</f>
        <v>FIBR NETFLIX PLAN 1599</v>
      </c>
      <c r="S1186" s="1" t="str">
        <f>IFERROR(__xludf.DUMMYFUNCTION("""COMPUTED_VALUE"""),"APPROVED")</f>
        <v>APPROVED</v>
      </c>
      <c r="T1186" s="1"/>
      <c r="U1186" s="1"/>
      <c r="V1186" s="1"/>
      <c r="W1186" s="1"/>
    </row>
    <row r="1187" customHeight="1" spans="1:23">
      <c r="A1187" s="3">
        <f>IFERROR(__xludf.DUMMYFUNCTION("""COMPUTED_VALUE"""),46125)</f>
        <v>46125</v>
      </c>
      <c r="B1187" s="1" t="str">
        <f>IFERROR(__xludf.DUMMYFUNCTION("""COMPUTED_VALUE"""),"DELA ROSA, JENNELYN")</f>
        <v>DELA ROSA, JENNELYN</v>
      </c>
      <c r="C1187" s="1" t="str">
        <f>IFERROR(__xludf.DUMMYFUNCTION("""COMPUTED_VALUE"""),"ORGANIC")</f>
        <v>ORGANIC</v>
      </c>
      <c r="D1187" s="1" t="str">
        <f>IFERROR(__xludf.DUMMYFUNCTION("""COMPUTED_VALUE"""),"ALOS, CHARLS")</f>
        <v>ALOS, CHARLS</v>
      </c>
      <c r="E1187" s="1" t="str">
        <f>IFERROR(__xludf.DUMMYFUNCTION("""COMPUTED_VALUE"""),"PLDT")</f>
        <v>PLDT</v>
      </c>
      <c r="F1187" s="1">
        <f>IFERROR(__xludf.DUMMYFUNCTION("""COMPUTED_VALUE"""),2308902109)</f>
        <v>2308902109</v>
      </c>
      <c r="G1187" s="1">
        <f>IFERROR(__xludf.DUMMYFUNCTION("""COMPUTED_VALUE"""),451058722004)</f>
        <v>451058722004</v>
      </c>
      <c r="H1187" s="1" t="str">
        <f>IFERROR(__xludf.DUMMYFUNCTION("""COMPUTED_VALUE"""),"ABIGAIL GACES HERNANDEZ")</f>
        <v>ABIGAIL GACES HERNANDEZ</v>
      </c>
      <c r="I1187" s="1">
        <f>IFERROR(__xludf.DUMMYFUNCTION("""COMPUTED_VALUE"""),9669224261)</f>
        <v>9669224261</v>
      </c>
      <c r="J1187" s="1"/>
      <c r="K1187" s="1" t="str">
        <f>IFERROR(__xludf.DUMMYFUNCTION("""COMPUTED_VALUE"""),"MARIANNEHERNANDEZ0090@GMAIL.COM")</f>
        <v>MARIANNEHERNANDEZ0090@GMAIL.COM</v>
      </c>
      <c r="L1187" s="1" t="str">
        <f>IFERROR(__xludf.DUMMYFUNCTION("""COMPUTED_VALUE"""),"360")</f>
        <v>360</v>
      </c>
      <c r="M1187" s="1" t="str">
        <f>IFERROR(__xludf.DUMMYFUNCTION("""COMPUTED_VALUE"""),"PUROK 1 ")</f>
        <v>PUROK 1 </v>
      </c>
      <c r="N1187" s="1"/>
      <c r="O1187" s="1"/>
      <c r="P1187" s="1"/>
      <c r="Q1187" s="1" t="str">
        <f>IFERROR(__xludf.DUMMYFUNCTION("""COMPUTED_VALUE"""),"LAGUNA")</f>
        <v>LAGUNA</v>
      </c>
      <c r="R1187" s="1" t="str">
        <f>IFERROR(__xludf.DUMMYFUNCTION("""COMPUTED_VALUE"""),"FIBR UNLI ALL PLAN 1799")</f>
        <v>FIBR UNLI ALL PLAN 1799</v>
      </c>
      <c r="S1187" s="1" t="str">
        <f>IFERROR(__xludf.DUMMYFUNCTION("""COMPUTED_VALUE"""),"APPROVED")</f>
        <v>APPROVED</v>
      </c>
      <c r="T1187" s="1" t="str">
        <f>IFERROR(__xludf.DUMMYFUNCTION("""COMPUTED_VALUE"""),"PAID FOR INSTALLATION")</f>
        <v>PAID FOR INSTALLATION</v>
      </c>
      <c r="U1187" s="1"/>
      <c r="V1187" s="1"/>
      <c r="W1187" s="1"/>
    </row>
    <row r="1188" customHeight="1" spans="1:23">
      <c r="A1188" s="3">
        <f>IFERROR(__xludf.DUMMYFUNCTION("""COMPUTED_VALUE"""),46125)</f>
        <v>46125</v>
      </c>
      <c r="B1188" s="1" t="str">
        <f>IFERROR(__xludf.DUMMYFUNCTION("""COMPUTED_VALUE"""),"OPS SIR BETZ")</f>
        <v>OPS SIR BETZ</v>
      </c>
      <c r="C1188" s="1" t="str">
        <f>IFERROR(__xludf.DUMMYFUNCTION("""COMPUTED_VALUE"""),"FLA")</f>
        <v>FLA</v>
      </c>
      <c r="D1188" s="1" t="str">
        <f>IFERROR(__xludf.DUMMYFUNCTION("""COMPUTED_VALUE"""),"JERIC NAVARRO")</f>
        <v>JERIC NAVARRO</v>
      </c>
      <c r="E1188" s="1" t="str">
        <f>IFERROR(__xludf.DUMMYFUNCTION("""COMPUTED_VALUE"""),"PLDT")</f>
        <v>PLDT</v>
      </c>
      <c r="F1188" s="1">
        <f>IFERROR(__xludf.DUMMYFUNCTION("""COMPUTED_VALUE"""),2308834552)</f>
        <v>2308834552</v>
      </c>
      <c r="G1188" s="1">
        <f>IFERROR(__xludf.DUMMYFUNCTION("""COMPUTED_VALUE"""),450648227004)</f>
        <v>450648227004</v>
      </c>
      <c r="H1188" s="1" t="str">
        <f>IFERROR(__xludf.DUMMYFUNCTION("""COMPUTED_VALUE"""),"MARCELINO LIGAYA PEGA")</f>
        <v>MARCELINO LIGAYA PEGA</v>
      </c>
      <c r="I1188" s="1">
        <f>IFERROR(__xludf.DUMMYFUNCTION("""COMPUTED_VALUE"""),9998080574)</f>
        <v>9998080574</v>
      </c>
      <c r="J1188" s="1">
        <f>IFERROR(__xludf.DUMMYFUNCTION("""COMPUTED_VALUE"""),9211512275)</f>
        <v>9211512275</v>
      </c>
      <c r="K1188" s="1" t="str">
        <f>IFERROR(__xludf.DUMMYFUNCTION("""COMPUTED_VALUE"""),"MARCELINOPEGA.0426@GMAIL.COM")</f>
        <v>MARCELINOPEGA.0426@GMAIL.COM</v>
      </c>
      <c r="L1188" s="1" t="str">
        <f>IFERROR(__xludf.DUMMYFUNCTION("""COMPUTED_VALUE"""),"2865-A")</f>
        <v>2865-A</v>
      </c>
      <c r="M1188" s="1" t="str">
        <f>IFERROR(__xludf.DUMMYFUNCTION("""COMPUTED_VALUE"""),"KAYTAYO RD")</f>
        <v>KAYTAYO RD</v>
      </c>
      <c r="N1188" s="1"/>
      <c r="O1188" s="1" t="str">
        <f>IFERROR(__xludf.DUMMYFUNCTION("""COMPUTED_VALUE"""),"SANTA TERESA")</f>
        <v>SANTA TERESA</v>
      </c>
      <c r="P1188" s="1" t="str">
        <f>IFERROR(__xludf.DUMMYFUNCTION("""COMPUTED_VALUE"""),"ALFONSO")</f>
        <v>ALFONSO</v>
      </c>
      <c r="Q1188" s="1" t="str">
        <f>IFERROR(__xludf.DUMMYFUNCTION("""COMPUTED_VALUE"""),"CAVITE")</f>
        <v>CAVITE</v>
      </c>
      <c r="R1188" s="1" t="str">
        <f>IFERROR(__xludf.DUMMYFUNCTION("""COMPUTED_VALUE"""),"FIBR PLAN 1299")</f>
        <v>FIBR PLAN 1299</v>
      </c>
      <c r="S1188" s="1" t="str">
        <f>IFERROR(__xludf.DUMMYFUNCTION("""COMPUTED_VALUE"""),"APPROVED")</f>
        <v>APPROVED</v>
      </c>
      <c r="T1188" s="1" t="str">
        <f>IFERROR(__xludf.DUMMYFUNCTION("""COMPUTED_VALUE"""),"POSTED")</f>
        <v>POSTED</v>
      </c>
      <c r="U1188" s="1"/>
      <c r="V1188" s="1"/>
      <c r="W1188" s="1"/>
    </row>
    <row r="1189" customHeight="1" spans="1:23">
      <c r="A1189" s="3">
        <f>IFERROR(__xludf.DUMMYFUNCTION("""COMPUTED_VALUE"""),46125)</f>
        <v>46125</v>
      </c>
      <c r="B1189" s="1" t="str">
        <f>IFERROR(__xludf.DUMMYFUNCTION("""COMPUTED_VALUE"""),"RIVERA, AIRIZH JOY")</f>
        <v>RIVERA, AIRIZH JOY</v>
      </c>
      <c r="C1189" s="1" t="str">
        <f>IFERROR(__xludf.DUMMYFUNCTION("""COMPUTED_VALUE"""),"ORGANIC")</f>
        <v>ORGANIC</v>
      </c>
      <c r="D1189" s="1" t="str">
        <f>IFERROR(__xludf.DUMMYFUNCTION("""COMPUTED_VALUE"""),"ALOS, CHARLS")</f>
        <v>ALOS, CHARLS</v>
      </c>
      <c r="E1189" s="1" t="str">
        <f>IFERROR(__xludf.DUMMYFUNCTION("""COMPUTED_VALUE"""),"PLDT")</f>
        <v>PLDT</v>
      </c>
      <c r="F1189" s="1">
        <f>IFERROR(__xludf.DUMMYFUNCTION("""COMPUTED_VALUE"""),2308827446)</f>
        <v>2308827446</v>
      </c>
      <c r="G1189" s="1">
        <f>IFERROR(__xludf.DUMMYFUNCTION("""COMPUTED_VALUE"""),450520595004)</f>
        <v>450520595004</v>
      </c>
      <c r="H1189" s="1" t="str">
        <f>IFERROR(__xludf.DUMMYFUNCTION("""COMPUTED_VALUE"""),"KIRBY SERENCIO DELMAR")</f>
        <v>KIRBY SERENCIO DELMAR</v>
      </c>
      <c r="I1189" s="1">
        <f>IFERROR(__xludf.DUMMYFUNCTION("""COMPUTED_VALUE"""),9602045497)</f>
        <v>9602045497</v>
      </c>
      <c r="J1189" s="1"/>
      <c r="K1189" s="1" t="str">
        <f>IFERROR(__xludf.DUMMYFUNCTION("""COMPUTED_VALUE"""),"ARBYDELMAR0@GMAIL.COM")</f>
        <v>ARBYDELMAR0@GMAIL.COM</v>
      </c>
      <c r="L1189" s="1" t="str">
        <f>IFERROR(__xludf.DUMMYFUNCTION("""COMPUTED_VALUE"""),"9075")</f>
        <v>9075</v>
      </c>
      <c r="M1189" s="1" t="str">
        <f>IFERROR(__xludf.DUMMYFUNCTION("""COMPUTED_VALUE"""),"GEN EMILIO AGUINALDO RD")</f>
        <v>GEN EMILIO AGUINALDO RD</v>
      </c>
      <c r="N1189" s="1"/>
      <c r="O1189" s="1" t="str">
        <f>IFERROR(__xludf.DUMMYFUNCTION("""COMPUTED_VALUE"""),"MAITIM 2ND EAST")</f>
        <v>MAITIM 2ND EAST</v>
      </c>
      <c r="P1189" s="1" t="str">
        <f>IFERROR(__xludf.DUMMYFUNCTION("""COMPUTED_VALUE"""),"TAGAYTAY")</f>
        <v>TAGAYTAY</v>
      </c>
      <c r="Q1189" s="1" t="str">
        <f>IFERROR(__xludf.DUMMYFUNCTION("""COMPUTED_VALUE"""),"CAVITE")</f>
        <v>CAVITE</v>
      </c>
      <c r="R1189" s="1" t="str">
        <f>IFERROR(__xludf.DUMMYFUNCTION("""COMPUTED_VALUE"""),"FIBR NETFLIX PLAN 1599")</f>
        <v>FIBR NETFLIX PLAN 1599</v>
      </c>
      <c r="S1189" s="1" t="str">
        <f>IFERROR(__xludf.DUMMYFUNCTION("""COMPUTED_VALUE"""),"APPROVED")</f>
        <v>APPROVED</v>
      </c>
      <c r="T1189" s="1" t="str">
        <f>IFERROR(__xludf.DUMMYFUNCTION("""COMPUTED_VALUE"""),"CANCELLED- FOR PAYMENT")</f>
        <v>CANCELLED- FOR PAYMENT</v>
      </c>
      <c r="U1189" s="1"/>
      <c r="V1189" s="1"/>
      <c r="W1189" s="1"/>
    </row>
    <row r="1190" customHeight="1" spans="1:23">
      <c r="A1190" s="3">
        <f>IFERROR(__xludf.DUMMYFUNCTION("""COMPUTED_VALUE"""),46125)</f>
        <v>46125</v>
      </c>
      <c r="B1190" s="1" t="str">
        <f>IFERROR(__xludf.DUMMYFUNCTION("""COMPUTED_VALUE"""),"MAÑANITA, ERIKA")</f>
        <v>MAÑANITA, ERIKA</v>
      </c>
      <c r="C1190" s="1" t="str">
        <f>IFERROR(__xludf.DUMMYFUNCTION("""COMPUTED_VALUE"""),"ORGANIC")</f>
        <v>ORGANIC</v>
      </c>
      <c r="D1190" s="1" t="str">
        <f>IFERROR(__xludf.DUMMYFUNCTION("""COMPUTED_VALUE"""),"ALOS, CHARLS")</f>
        <v>ALOS, CHARLS</v>
      </c>
      <c r="E1190" s="1" t="str">
        <f>IFERROR(__xludf.DUMMYFUNCTION("""COMPUTED_VALUE"""),"PLDT")</f>
        <v>PLDT</v>
      </c>
      <c r="F1190" s="1">
        <f>IFERROR(__xludf.DUMMYFUNCTION("""COMPUTED_VALUE"""),2308831888)</f>
        <v>2308831888</v>
      </c>
      <c r="G1190" s="1">
        <f>IFERROR(__xludf.DUMMYFUNCTION("""COMPUTED_VALUE"""),450523521004)</f>
        <v>450523521004</v>
      </c>
      <c r="H1190" s="1" t="str">
        <f>IFERROR(__xludf.DUMMYFUNCTION("""COMPUTED_VALUE"""),"JADE ANDREA OMBROG TOLENTINO")</f>
        <v>JADE ANDREA OMBROG TOLENTINO</v>
      </c>
      <c r="I1190" s="1">
        <f>IFERROR(__xludf.DUMMYFUNCTION("""COMPUTED_VALUE"""),9919787918)</f>
        <v>9919787918</v>
      </c>
      <c r="J1190" s="1"/>
      <c r="K1190" s="1" t="str">
        <f>IFERROR(__xludf.DUMMYFUNCTION("""COMPUTED_VALUE"""),"JADEANDREA020309@GMAIL.COM")</f>
        <v>JADEANDREA020309@GMAIL.COM</v>
      </c>
      <c r="L1190" s="1" t="str">
        <f>IFERROR(__xludf.DUMMYFUNCTION("""COMPUTED_VALUE"""),"BLK 23 LOT 17")</f>
        <v>BLK 23 LOT 17</v>
      </c>
      <c r="M1190" s="1" t="str">
        <f>IFERROR(__xludf.DUMMYFUNCTION("""COMPUTED_VALUE"""),"STA MARIA")</f>
        <v>STA MARIA</v>
      </c>
      <c r="N1190" s="1"/>
      <c r="O1190" s="1" t="str">
        <f>IFERROR(__xludf.DUMMYFUNCTION("""COMPUTED_VALUE"""),"SANTA MARIA (BARANGAY 20)")</f>
        <v>SANTA MARIA (BARANGAY 20)</v>
      </c>
      <c r="P1190" s="1" t="str">
        <f>IFERROR(__xludf.DUMMYFUNCTION("""COMPUTED_VALUE"""),"DASMARINAS")</f>
        <v>DASMARINAS</v>
      </c>
      <c r="Q1190" s="1" t="str">
        <f>IFERROR(__xludf.DUMMYFUNCTION("""COMPUTED_VALUE"""),"CAVITE")</f>
        <v>CAVITE</v>
      </c>
      <c r="R1190" s="1" t="str">
        <f>IFERROR(__xludf.DUMMYFUNCTION("""COMPUTED_VALUE"""),"FIBR UNLI ALL PLAN 1399")</f>
        <v>FIBR UNLI ALL PLAN 1399</v>
      </c>
      <c r="S1190" s="1" t="str">
        <f>IFERROR(__xludf.DUMMYFUNCTION("""COMPUTED_VALUE"""),"APPROVED")</f>
        <v>APPROVED</v>
      </c>
      <c r="T1190" s="1" t="str">
        <f>IFERROR(__xludf.DUMMYFUNCTION("""COMPUTED_VALUE"""),"CANCELLED- FOR PAYMENT")</f>
        <v>CANCELLED- FOR PAYMENT</v>
      </c>
      <c r="U1190" s="1"/>
      <c r="V1190" s="1"/>
      <c r="W1190" s="1"/>
    </row>
    <row r="1191" customHeight="1" spans="1:23">
      <c r="A1191" s="3">
        <f>IFERROR(__xludf.DUMMYFUNCTION("""COMPUTED_VALUE"""),46125)</f>
        <v>46125</v>
      </c>
      <c r="B1191" s="1" t="str">
        <f>IFERROR(__xludf.DUMMYFUNCTION("""COMPUTED_VALUE"""),"AQUINO, LUIS")</f>
        <v>AQUINO, LUIS</v>
      </c>
      <c r="C1191" s="1" t="str">
        <f>IFERROR(__xludf.DUMMYFUNCTION("""COMPUTED_VALUE"""),"ORGANIC")</f>
        <v>ORGANIC</v>
      </c>
      <c r="D1191" s="1" t="str">
        <f>IFERROR(__xludf.DUMMYFUNCTION("""COMPUTED_VALUE"""),"ALOS, CHARLS")</f>
        <v>ALOS, CHARLS</v>
      </c>
      <c r="E1191" s="1" t="str">
        <f>IFERROR(__xludf.DUMMYFUNCTION("""COMPUTED_VALUE"""),"PLDT")</f>
        <v>PLDT</v>
      </c>
      <c r="F1191" s="1">
        <f>IFERROR(__xludf.DUMMYFUNCTION("""COMPUTED_VALUE"""),2308831214)</f>
        <v>2308831214</v>
      </c>
      <c r="G1191" s="1">
        <f>IFERROR(__xludf.DUMMYFUNCTION("""COMPUTED_VALUE"""),450523189004)</f>
        <v>450523189004</v>
      </c>
      <c r="H1191" s="1" t="str">
        <f>IFERROR(__xludf.DUMMYFUNCTION("""COMPUTED_VALUE"""),"RICHARD MANALO AMPONIN")</f>
        <v>RICHARD MANALO AMPONIN</v>
      </c>
      <c r="I1191" s="1">
        <f>IFERROR(__xludf.DUMMYFUNCTION("""COMPUTED_VALUE"""),947781294)</f>
        <v>947781294</v>
      </c>
      <c r="J1191" s="1">
        <f>IFERROR(__xludf.DUMMYFUNCTION("""COMPUTED_VALUE"""),9208821560)</f>
        <v>9208821560</v>
      </c>
      <c r="K1191" s="1" t="str">
        <f>IFERROR(__xludf.DUMMYFUNCTION("""COMPUTED_VALUE"""),"SHIENAROSE@YAHOO.COM")</f>
        <v>SHIENAROSE@YAHOO.COM</v>
      </c>
      <c r="L1191" s="1" t="str">
        <f>IFERROR(__xludf.DUMMYFUNCTION("""COMPUTED_VALUE"""),"BLK 5 LOT 7")</f>
        <v>BLK 5 LOT 7</v>
      </c>
      <c r="M1191" s="1" t="str">
        <f>IFERROR(__xludf.DUMMYFUNCTION("""COMPUTED_VALUE"""),"MONREAL ST")</f>
        <v>MONREAL ST</v>
      </c>
      <c r="N1191" s="1" t="str">
        <f>IFERROR(__xludf.DUMMYFUNCTION("""COMPUTED_VALUE"""),"GREENBREEZE 2")</f>
        <v>GREENBREEZE 2</v>
      </c>
      <c r="O1191" s="1" t="str">
        <f>IFERROR(__xludf.DUMMYFUNCTION("""COMPUTED_VALUE"""),"LANGKAAN II")</f>
        <v>LANGKAAN II</v>
      </c>
      <c r="P1191" s="1" t="str">
        <f>IFERROR(__xludf.DUMMYFUNCTION("""COMPUTED_VALUE"""),"DASMARINAS")</f>
        <v>DASMARINAS</v>
      </c>
      <c r="Q1191" s="1" t="str">
        <f>IFERROR(__xludf.DUMMYFUNCTION("""COMPUTED_VALUE"""),"CAVITE")</f>
        <v>CAVITE</v>
      </c>
      <c r="R1191" s="1" t="str">
        <f>IFERROR(__xludf.DUMMYFUNCTION("""COMPUTED_VALUE"""),"FIBR PLAN 1299")</f>
        <v>FIBR PLAN 1299</v>
      </c>
      <c r="S1191" s="1" t="str">
        <f>IFERROR(__xludf.DUMMYFUNCTION("""COMPUTED_VALUE"""),"APPROVED")</f>
        <v>APPROVED</v>
      </c>
      <c r="T1191" s="1" t="str">
        <f>IFERROR(__xludf.DUMMYFUNCTION("""COMPUTED_VALUE"""),"PAID- RPR NAP FULL")</f>
        <v>PAID- RPR NAP FULL</v>
      </c>
      <c r="U1191" s="1"/>
      <c r="V1191" s="1"/>
      <c r="W1191" s="1"/>
    </row>
    <row r="1192" customHeight="1" spans="1:23">
      <c r="A1192" s="3">
        <f>IFERROR(__xludf.DUMMYFUNCTION("""COMPUTED_VALUE"""),46125)</f>
        <v>46125</v>
      </c>
      <c r="B1192" s="1" t="str">
        <f>IFERROR(__xludf.DUMMYFUNCTION("""COMPUTED_VALUE"""),"FRANCISCO , ROSELYN")</f>
        <v>FRANCISCO , ROSELYN</v>
      </c>
      <c r="C1192" s="1" t="str">
        <f>IFERROR(__xludf.DUMMYFUNCTION("""COMPUTED_VALUE"""),"ORGANIC")</f>
        <v>ORGANIC</v>
      </c>
      <c r="D1192" s="1" t="str">
        <f>IFERROR(__xludf.DUMMYFUNCTION("""COMPUTED_VALUE"""),"JERIC NAVARRO")</f>
        <v>JERIC NAVARRO</v>
      </c>
      <c r="E1192" s="1" t="str">
        <f>IFERROR(__xludf.DUMMYFUNCTION("""COMPUTED_VALUE"""),"PLDT")</f>
        <v>PLDT</v>
      </c>
      <c r="F1192" s="1">
        <f>IFERROR(__xludf.DUMMYFUNCTION("""COMPUTED_VALUE"""),2308832467)</f>
        <v>2308832467</v>
      </c>
      <c r="G1192" s="1">
        <f>IFERROR(__xludf.DUMMYFUNCTION("""COMPUTED_VALUE"""),450524641004)</f>
        <v>450524641004</v>
      </c>
      <c r="H1192" s="1" t="str">
        <f>IFERROR(__xludf.DUMMYFUNCTION("""COMPUTED_VALUE"""),"JOANNA MARIE SALERA BARLIG")</f>
        <v>JOANNA MARIE SALERA BARLIG</v>
      </c>
      <c r="I1192" s="1">
        <f>IFERROR(__xludf.DUMMYFUNCTION("""COMPUTED_VALUE"""),9632947689)</f>
        <v>9632947689</v>
      </c>
      <c r="J1192" s="1">
        <f>IFERROR(__xludf.DUMMYFUNCTION("""COMPUTED_VALUE"""),9318952316)</f>
        <v>9318952316</v>
      </c>
      <c r="K1192" s="1" t="str">
        <f>IFERROR(__xludf.DUMMYFUNCTION("""COMPUTED_VALUE"""),"BARLIGJM026@GMAIL.COM")</f>
        <v>BARLIGJM026@GMAIL.COM</v>
      </c>
      <c r="L1192" s="1" t="str">
        <f>IFERROR(__xludf.DUMMYFUNCTION("""COMPUTED_VALUE"""),"251")</f>
        <v>251</v>
      </c>
      <c r="M1192" s="1" t="str">
        <f>IFERROR(__xludf.DUMMYFUNCTION("""COMPUTED_VALUE"""),"PUROK 163")</f>
        <v>PUROK 163</v>
      </c>
      <c r="N1192" s="1"/>
      <c r="O1192" s="1" t="str">
        <f>IFERROR(__xludf.DUMMYFUNCTION("""COMPUTED_VALUE"""),"SAN JOSE")</f>
        <v>SAN JOSE</v>
      </c>
      <c r="P1192" s="1" t="str">
        <f>IFERROR(__xludf.DUMMYFUNCTION("""COMPUTED_VALUE"""),"TAGAYTAY")</f>
        <v>TAGAYTAY</v>
      </c>
      <c r="Q1192" s="1" t="str">
        <f>IFERROR(__xludf.DUMMYFUNCTION("""COMPUTED_VALUE"""),"CAVITE")</f>
        <v>CAVITE</v>
      </c>
      <c r="R1192" s="1" t="str">
        <f>IFERROR(__xludf.DUMMYFUNCTION("""COMPUTED_VALUE"""),"FIBR PLAN 1699")</f>
        <v>FIBR PLAN 1699</v>
      </c>
      <c r="S1192" s="1" t="str">
        <f>IFERROR(__xludf.DUMMYFUNCTION("""COMPUTED_VALUE"""),"APPROVED")</f>
        <v>APPROVED</v>
      </c>
      <c r="T1192" s="1" t="str">
        <f>IFERROR(__xludf.DUMMYFUNCTION("""COMPUTED_VALUE"""),"CANCELLED- FOR PAYMENT")</f>
        <v>CANCELLED- FOR PAYMENT</v>
      </c>
      <c r="U1192" s="1"/>
      <c r="V1192" s="1"/>
      <c r="W1192" s="1"/>
    </row>
    <row r="1193" customHeight="1" spans="1:23">
      <c r="A1193" s="3">
        <f>IFERROR(__xludf.DUMMYFUNCTION("""COMPUTED_VALUE"""),46125)</f>
        <v>46125</v>
      </c>
      <c r="B1193" s="1" t="str">
        <f>IFERROR(__xludf.DUMMYFUNCTION("""COMPUTED_VALUE"""),"MAÑANITA, ERIKA")</f>
        <v>MAÑANITA, ERIKA</v>
      </c>
      <c r="C1193" s="1" t="str">
        <f>IFERROR(__xludf.DUMMYFUNCTION("""COMPUTED_VALUE"""),"ORGANIC")</f>
        <v>ORGANIC</v>
      </c>
      <c r="D1193" s="1" t="str">
        <f>IFERROR(__xludf.DUMMYFUNCTION("""COMPUTED_VALUE"""),"ALOS, CHARLS")</f>
        <v>ALOS, CHARLS</v>
      </c>
      <c r="E1193" s="1" t="str">
        <f>IFERROR(__xludf.DUMMYFUNCTION("""COMPUTED_VALUE"""),"PLDT")</f>
        <v>PLDT</v>
      </c>
      <c r="F1193" s="1">
        <f>IFERROR(__xludf.DUMMYFUNCTION("""COMPUTED_VALUE"""),2308833373)</f>
        <v>2308833373</v>
      </c>
      <c r="G1193" s="1">
        <f>IFERROR(__xludf.DUMMYFUNCTION("""COMPUTED_VALUE"""),450525417004)</f>
        <v>450525417004</v>
      </c>
      <c r="H1193" s="1" t="str">
        <f>IFERROR(__xludf.DUMMYFUNCTION("""COMPUTED_VALUE"""),"LUANNE MARIE INAC CERVATOS")</f>
        <v>LUANNE MARIE INAC CERVATOS</v>
      </c>
      <c r="I1193" s="1">
        <f>IFERROR(__xludf.DUMMYFUNCTION("""COMPUTED_VALUE"""),9175873616)</f>
        <v>9175873616</v>
      </c>
      <c r="J1193" s="1"/>
      <c r="K1193" s="1" t="str">
        <f>IFERROR(__xludf.DUMMYFUNCTION("""COMPUTED_VALUE"""),"IMCERVATOS@GMAIL.COM")</f>
        <v>IMCERVATOS@GMAIL.COM</v>
      </c>
      <c r="L1193" s="1" t="str">
        <f>IFERROR(__xludf.DUMMYFUNCTION("""COMPUTED_VALUE"""),"LOT 1114B-1")</f>
        <v>LOT 1114B-1</v>
      </c>
      <c r="M1193" s="1" t="str">
        <f>IFERROR(__xludf.DUMMYFUNCTION("""COMPUTED_VALUE"""),"DAANG LUMA")</f>
        <v>DAANG LUMA</v>
      </c>
      <c r="N1193" s="1" t="str">
        <f>IFERROR(__xludf.DUMMYFUNCTION("""COMPUTED_VALUE"""),"PUROK 7")</f>
        <v>PUROK 7</v>
      </c>
      <c r="O1193" s="1" t="str">
        <f>IFERROR(__xludf.DUMMYFUNCTION("""COMPUTED_VALUE"""),"LOMA")</f>
        <v>LOMA</v>
      </c>
      <c r="P1193" s="1" t="str">
        <f>IFERROR(__xludf.DUMMYFUNCTION("""COMPUTED_VALUE"""),"AMADEO")</f>
        <v>AMADEO</v>
      </c>
      <c r="Q1193" s="1" t="str">
        <f>IFERROR(__xludf.DUMMYFUNCTION("""COMPUTED_VALUE"""),"CAVITE")</f>
        <v>CAVITE</v>
      </c>
      <c r="R1193" s="1" t="str">
        <f>IFERROR(__xludf.DUMMYFUNCTION("""COMPUTED_VALUE"""),"FIBR PLAN 2099")</f>
        <v>FIBR PLAN 2099</v>
      </c>
      <c r="S1193" s="1" t="str">
        <f>IFERROR(__xludf.DUMMYFUNCTION("""COMPUTED_VALUE"""),"APPROVED")</f>
        <v>APPROVED</v>
      </c>
      <c r="T1193" s="1" t="str">
        <f>IFERROR(__xludf.DUMMYFUNCTION("""COMPUTED_VALUE"""),"POSTED")</f>
        <v>POSTED</v>
      </c>
      <c r="U1193" s="1"/>
      <c r="V1193" s="1"/>
      <c r="W1193" s="1"/>
    </row>
    <row r="1194" customHeight="1" spans="1:23">
      <c r="A1194" s="3">
        <f>IFERROR(__xludf.DUMMYFUNCTION("""COMPUTED_VALUE"""),46125)</f>
        <v>46125</v>
      </c>
      <c r="B1194" s="1" t="str">
        <f>IFERROR(__xludf.DUMMYFUNCTION("""COMPUTED_VALUE"""),"ALINGARO, CINDY")</f>
        <v>ALINGARO, CINDY</v>
      </c>
      <c r="C1194" s="1" t="str">
        <f>IFERROR(__xludf.DUMMYFUNCTION("""COMPUTED_VALUE"""),"FLA")</f>
        <v>FLA</v>
      </c>
      <c r="D1194" s="1" t="str">
        <f>IFERROR(__xludf.DUMMYFUNCTION("""COMPUTED_VALUE"""),"JERIC NAVARRO")</f>
        <v>JERIC NAVARRO</v>
      </c>
      <c r="E1194" s="1" t="str">
        <f>IFERROR(__xludf.DUMMYFUNCTION("""COMPUTED_VALUE"""),"PLDT")</f>
        <v>PLDT</v>
      </c>
      <c r="F1194" s="1">
        <f>IFERROR(__xludf.DUMMYFUNCTION("""COMPUTED_VALUE"""),2308833906)</f>
        <v>2308833906</v>
      </c>
      <c r="G1194" s="1">
        <f>IFERROR(__xludf.DUMMYFUNCTION("""COMPUTED_VALUE"""),450526342004)</f>
        <v>450526342004</v>
      </c>
      <c r="H1194" s="1" t="str">
        <f>IFERROR(__xludf.DUMMYFUNCTION("""COMPUTED_VALUE"""),"JANUARIO CALADO CARASIG JR")</f>
        <v>JANUARIO CALADO CARASIG JR</v>
      </c>
      <c r="I1194" s="1">
        <f>IFERROR(__xludf.DUMMYFUNCTION("""COMPUTED_VALUE"""),9604129090)</f>
        <v>9604129090</v>
      </c>
      <c r="J1194" s="1"/>
      <c r="K1194" s="1" t="str">
        <f>IFERROR(__xludf.DUMMYFUNCTION("""COMPUTED_VALUE"""),"CARASIGJANUARIO@GMAIL.COM")</f>
        <v>CARASIGJANUARIO@GMAIL.COM</v>
      </c>
      <c r="L1194" s="1" t="str">
        <f>IFERROR(__xludf.DUMMYFUNCTION("""COMPUTED_VALUE"""),"BLK 11 LOT 5")</f>
        <v>BLK 11 LOT 5</v>
      </c>
      <c r="M1194" s="1" t="str">
        <f>IFERROR(__xludf.DUMMYFUNCTION("""COMPUTED_VALUE"""),"AREA H")</f>
        <v>AREA H</v>
      </c>
      <c r="N1194" s="1"/>
      <c r="O1194" s="1" t="str">
        <f>IFERROR(__xludf.DUMMYFUNCTION("""COMPUTED_VALUE"""),"MARCELINO MEMIJE")</f>
        <v>MARCELINO MEMIJE</v>
      </c>
      <c r="P1194" s="1" t="str">
        <f>IFERROR(__xludf.DUMMYFUNCTION("""COMPUTED_VALUE"""),"GEN MARIANO ALVAREZ")</f>
        <v>GEN MARIANO ALVAREZ</v>
      </c>
      <c r="Q1194" s="1" t="str">
        <f>IFERROR(__xludf.DUMMYFUNCTION("""COMPUTED_VALUE"""),"CAVITE")</f>
        <v>CAVITE</v>
      </c>
      <c r="R1194" s="1" t="str">
        <f>IFERROR(__xludf.DUMMYFUNCTION("""COMPUTED_VALUE"""),"FIBR UNLI ALL PLAN 1399")</f>
        <v>FIBR UNLI ALL PLAN 1399</v>
      </c>
      <c r="S1194" s="1" t="str">
        <f>IFERROR(__xludf.DUMMYFUNCTION("""COMPUTED_VALUE"""),"APPROVED")</f>
        <v>APPROVED</v>
      </c>
      <c r="T1194" s="1" t="str">
        <f>IFERROR(__xludf.DUMMYFUNCTION("""COMPUTED_VALUE"""),"POSTED")</f>
        <v>POSTED</v>
      </c>
      <c r="U1194" s="1"/>
      <c r="V1194" s="1"/>
      <c r="W1194" s="1"/>
    </row>
    <row r="1195" customHeight="1" spans="1:23">
      <c r="A1195" s="3">
        <f>IFERROR(__xludf.DUMMYFUNCTION("""COMPUTED_VALUE"""),46126)</f>
        <v>46126</v>
      </c>
      <c r="B1195" s="1" t="str">
        <f>IFERROR(__xludf.DUMMYFUNCTION("""COMPUTED_VALUE"""),"DACALCAP RUBEN")</f>
        <v>DACALCAP RUBEN</v>
      </c>
      <c r="C1195" s="1" t="str">
        <f>IFERROR(__xludf.DUMMYFUNCTION("""COMPUTED_VALUE"""),"FLA")</f>
        <v>FLA</v>
      </c>
      <c r="D1195" s="1" t="str">
        <f>IFERROR(__xludf.DUMMYFUNCTION("""COMPUTED_VALUE"""),"JERIC NAVARRO")</f>
        <v>JERIC NAVARRO</v>
      </c>
      <c r="E1195" s="1" t="str">
        <f>IFERROR(__xludf.DUMMYFUNCTION("""COMPUTED_VALUE"""),"PLDT")</f>
        <v>PLDT</v>
      </c>
      <c r="F1195" s="1">
        <f>IFERROR(__xludf.DUMMYFUNCTION("""COMPUTED_VALUE"""),2308845203)</f>
        <v>2308845203</v>
      </c>
      <c r="G1195" s="1">
        <f>IFERROR(__xludf.DUMMYFUNCTION("""COMPUTED_VALUE"""),450634369004)</f>
        <v>450634369004</v>
      </c>
      <c r="H1195" s="1" t="str">
        <f>IFERROR(__xludf.DUMMYFUNCTION("""COMPUTED_VALUE"""),"REXIE SALAZAR TAGLE")</f>
        <v>REXIE SALAZAR TAGLE</v>
      </c>
      <c r="I1195" s="1">
        <f>IFERROR(__xludf.DUMMYFUNCTION("""COMPUTED_VALUE"""),9638610884)</f>
        <v>9638610884</v>
      </c>
      <c r="J1195" s="1">
        <f>IFERROR(__xludf.DUMMYFUNCTION("""COMPUTED_VALUE"""),9506978024)</f>
        <v>9506978024</v>
      </c>
      <c r="K1195" s="1" t="str">
        <f>IFERROR(__xludf.DUMMYFUNCTION("""COMPUTED_VALUE"""),"EJHAYXIIE@GMAIL.COM")</f>
        <v>EJHAYXIIE@GMAIL.COM</v>
      </c>
      <c r="L1195" s="1" t="str">
        <f>IFERROR(__xludf.DUMMYFUNCTION("""COMPUTED_VALUE"""),"213")</f>
        <v>213</v>
      </c>
      <c r="M1195" s="1" t="str">
        <f>IFERROR(__xludf.DUMMYFUNCTION("""COMPUTED_VALUE"""),"STA RITA RD")</f>
        <v>STA RITA RD</v>
      </c>
      <c r="N1195" s="1"/>
      <c r="O1195" s="1" t="str">
        <f>IFERROR(__xludf.DUMMYFUNCTION("""COMPUTED_VALUE"""),"KAYBAGAL CENTRAL")</f>
        <v>KAYBAGAL CENTRAL</v>
      </c>
      <c r="P1195" s="1" t="str">
        <f>IFERROR(__xludf.DUMMYFUNCTION("""COMPUTED_VALUE"""),"TAGAYTAY")</f>
        <v>TAGAYTAY</v>
      </c>
      <c r="Q1195" s="1" t="str">
        <f>IFERROR(__xludf.DUMMYFUNCTION("""COMPUTED_VALUE"""),"CAVITE")</f>
        <v>CAVITE</v>
      </c>
      <c r="R1195" s="1" t="str">
        <f>IFERROR(__xludf.DUMMYFUNCTION("""COMPUTED_VALUE"""),"FIBR PLAN 1299")</f>
        <v>FIBR PLAN 1299</v>
      </c>
      <c r="S1195" s="1" t="str">
        <f>IFERROR(__xludf.DUMMYFUNCTION("""COMPUTED_VALUE"""),"APPROVED")</f>
        <v>APPROVED</v>
      </c>
      <c r="T1195" s="1" t="str">
        <f>IFERROR(__xludf.DUMMYFUNCTION("""COMPUTED_VALUE"""),"POSTED")</f>
        <v>POSTED</v>
      </c>
      <c r="U1195" s="1"/>
      <c r="V1195" s="1"/>
      <c r="W1195" s="1"/>
    </row>
    <row r="1196" customHeight="1" spans="1:23">
      <c r="A1196" s="3">
        <f>IFERROR(__xludf.DUMMYFUNCTION("""COMPUTED_VALUE"""),46126)</f>
        <v>46126</v>
      </c>
      <c r="B1196" s="1" t="str">
        <f>IFERROR(__xludf.DUMMYFUNCTION("""COMPUTED_VALUE"""),"DELA ROSA, JENNELYN")</f>
        <v>DELA ROSA, JENNELYN</v>
      </c>
      <c r="C1196" s="1" t="str">
        <f>IFERROR(__xludf.DUMMYFUNCTION("""COMPUTED_VALUE"""),"ORGANIC")</f>
        <v>ORGANIC</v>
      </c>
      <c r="D1196" s="1" t="str">
        <f>IFERROR(__xludf.DUMMYFUNCTION("""COMPUTED_VALUE"""),"ALOS, CHARLS")</f>
        <v>ALOS, CHARLS</v>
      </c>
      <c r="E1196" s="1" t="str">
        <f>IFERROR(__xludf.DUMMYFUNCTION("""COMPUTED_VALUE"""),"PLDT")</f>
        <v>PLDT</v>
      </c>
      <c r="F1196" s="1">
        <f>IFERROR(__xludf.DUMMYFUNCTION("""COMPUTED_VALUE"""),2308851440)</f>
        <v>2308851440</v>
      </c>
      <c r="G1196" s="1">
        <f>IFERROR(__xludf.DUMMYFUNCTION("""COMPUTED_VALUE"""),450649768004)</f>
        <v>450649768004</v>
      </c>
      <c r="H1196" s="1" t="str">
        <f>IFERROR(__xludf.DUMMYFUNCTION("""COMPUTED_VALUE"""),"BABY JEAN CHAVEZ ESIL")</f>
        <v>BABY JEAN CHAVEZ ESIL</v>
      </c>
      <c r="I1196" s="1">
        <f>IFERROR(__xludf.DUMMYFUNCTION("""COMPUTED_VALUE"""),9912856229)</f>
        <v>9912856229</v>
      </c>
      <c r="J1196" s="1"/>
      <c r="K1196" s="1" t="str">
        <f>IFERROR(__xludf.DUMMYFUNCTION("""COMPUTED_VALUE"""),"BABYJEANESLI0@GMAIL.COM")</f>
        <v>BABYJEANESLI0@GMAIL.COM</v>
      </c>
      <c r="L1196" s="1" t="str">
        <f>IFERROR(__xludf.DUMMYFUNCTION("""COMPUTED_VALUE"""),"113")</f>
        <v>113</v>
      </c>
      <c r="M1196" s="1" t="str">
        <f>IFERROR(__xludf.DUMMYFUNCTION("""COMPUTED_VALUE"""),"ANIBAN RD")</f>
        <v>ANIBAN RD</v>
      </c>
      <c r="N1196" s="1"/>
      <c r="O1196" s="1" t="str">
        <f>IFERROR(__xludf.DUMMYFUNCTION("""COMPUTED_VALUE"""),"ANIBAN II")</f>
        <v>ANIBAN II</v>
      </c>
      <c r="P1196" s="1" t="str">
        <f>IFERROR(__xludf.DUMMYFUNCTION("""COMPUTED_VALUE"""),"BACOOR")</f>
        <v>BACOOR</v>
      </c>
      <c r="Q1196" s="1" t="str">
        <f>IFERROR(__xludf.DUMMYFUNCTION("""COMPUTED_VALUE"""),"CAVITE")</f>
        <v>CAVITE</v>
      </c>
      <c r="R1196" s="1" t="str">
        <f>IFERROR(__xludf.DUMMYFUNCTION("""COMPUTED_VALUE"""),"FIBR UNLI ALL PLAN 1399")</f>
        <v>FIBR UNLI ALL PLAN 1399</v>
      </c>
      <c r="S1196" s="1" t="str">
        <f>IFERROR(__xludf.DUMMYFUNCTION("""COMPUTED_VALUE"""),"APPROVED")</f>
        <v>APPROVED</v>
      </c>
      <c r="T1196" s="1" t="str">
        <f>IFERROR(__xludf.DUMMYFUNCTION("""COMPUTED_VALUE"""),"CANCELLED- FOR PAYMENT")</f>
        <v>CANCELLED- FOR PAYMENT</v>
      </c>
      <c r="U1196" s="1"/>
      <c r="V1196" s="1"/>
      <c r="W1196" s="1"/>
    </row>
    <row r="1197" customHeight="1" spans="1:23">
      <c r="A1197" s="3">
        <f>IFERROR(__xludf.DUMMYFUNCTION("""COMPUTED_VALUE"""),46126)</f>
        <v>46126</v>
      </c>
      <c r="B1197" s="1" t="str">
        <f>IFERROR(__xludf.DUMMYFUNCTION("""COMPUTED_VALUE"""),"MAÑANITA, ERIKA")</f>
        <v>MAÑANITA, ERIKA</v>
      </c>
      <c r="C1197" s="1" t="str">
        <f>IFERROR(__xludf.DUMMYFUNCTION("""COMPUTED_VALUE"""),"ORGANIC")</f>
        <v>ORGANIC</v>
      </c>
      <c r="D1197" s="1" t="str">
        <f>IFERROR(__xludf.DUMMYFUNCTION("""COMPUTED_VALUE"""),"ALOS, CHARLS")</f>
        <v>ALOS, CHARLS</v>
      </c>
      <c r="E1197" s="1" t="str">
        <f>IFERROR(__xludf.DUMMYFUNCTION("""COMPUTED_VALUE"""),"PLDT")</f>
        <v>PLDT</v>
      </c>
      <c r="F1197" s="1">
        <f>IFERROR(__xludf.DUMMYFUNCTION("""COMPUTED_VALUE"""),2308854066)</f>
        <v>2308854066</v>
      </c>
      <c r="G1197" s="1">
        <f>IFERROR(__xludf.DUMMYFUNCTION("""COMPUTED_VALUE"""),450671311004)</f>
        <v>450671311004</v>
      </c>
      <c r="H1197" s="1" t="str">
        <f>IFERROR(__xludf.DUMMYFUNCTION("""COMPUTED_VALUE"""),"RUBY DEQUILLA OLIVIA")</f>
        <v>RUBY DEQUILLA OLIVIA</v>
      </c>
      <c r="I1197" s="1">
        <f>IFERROR(__xludf.DUMMYFUNCTION("""COMPUTED_VALUE"""),9945534407)</f>
        <v>9945534407</v>
      </c>
      <c r="J1197" s="1">
        <f>IFERROR(__xludf.DUMMYFUNCTION("""COMPUTED_VALUE"""),9062847034)</f>
        <v>9062847034</v>
      </c>
      <c r="K1197" s="1" t="str">
        <f>IFERROR(__xludf.DUMMYFUNCTION("""COMPUTED_VALUE"""),"ADRESSOLIVARUBY0@GMAIL.COM")</f>
        <v>ADRESSOLIVARUBY0@GMAIL.COM</v>
      </c>
      <c r="L1197" s="1" t="str">
        <f>IFERROR(__xludf.DUMMYFUNCTION("""COMPUTED_VALUE"""),"BLK 1 LOT 48")</f>
        <v>BLK 1 LOT 48</v>
      </c>
      <c r="M1197" s="1" t="str">
        <f>IFERROR(__xludf.DUMMYFUNCTION("""COMPUTED_VALUE"""),"PHASE 3")</f>
        <v>PHASE 3</v>
      </c>
      <c r="N1197" s="1" t="str">
        <f>IFERROR(__xludf.DUMMYFUNCTION("""COMPUTED_VALUE"""),"MARY HOMES 3")</f>
        <v>MARY HOMES 3</v>
      </c>
      <c r="O1197" s="1" t="str">
        <f>IFERROR(__xludf.DUMMYFUNCTION("""COMPUTED_VALUE"""),"MOLINO III")</f>
        <v>MOLINO III</v>
      </c>
      <c r="P1197" s="1" t="str">
        <f>IFERROR(__xludf.DUMMYFUNCTION("""COMPUTED_VALUE"""),"BACOOR")</f>
        <v>BACOOR</v>
      </c>
      <c r="Q1197" s="1" t="str">
        <f>IFERROR(__xludf.DUMMYFUNCTION("""COMPUTED_VALUE"""),"CAVITE")</f>
        <v>CAVITE</v>
      </c>
      <c r="R1197" s="1" t="str">
        <f>IFERROR(__xludf.DUMMYFUNCTION("""COMPUTED_VALUE"""),"FIBR UNLI ALL PLAN 1399")</f>
        <v>FIBR UNLI ALL PLAN 1399</v>
      </c>
      <c r="S1197" s="1" t="str">
        <f>IFERROR(__xludf.DUMMYFUNCTION("""COMPUTED_VALUE"""),"APPROVED")</f>
        <v>APPROVED</v>
      </c>
      <c r="T1197" s="1" t="str">
        <f>IFERROR(__xludf.DUMMYFUNCTION("""COMPUTED_VALUE"""),"PAID FOR INSTALLATION")</f>
        <v>PAID FOR INSTALLATION</v>
      </c>
      <c r="U1197" s="1"/>
      <c r="V1197" s="1"/>
      <c r="W1197" s="1"/>
    </row>
    <row r="1198" customHeight="1" spans="1:23">
      <c r="A1198" s="3">
        <f>IFERROR(__xludf.DUMMYFUNCTION("""COMPUTED_VALUE"""),46126)</f>
        <v>46126</v>
      </c>
      <c r="B1198" s="1" t="str">
        <f>IFERROR(__xludf.DUMMYFUNCTION("""COMPUTED_VALUE"""),"ESCARCHA, MA ALMA  ESCOTO")</f>
        <v>ESCARCHA, MA ALMA  ESCOTO</v>
      </c>
      <c r="C1198" s="1" t="str">
        <f>IFERROR(__xludf.DUMMYFUNCTION("""COMPUTED_VALUE"""),"ORGANIC")</f>
        <v>ORGANIC</v>
      </c>
      <c r="D1198" s="1" t="str">
        <f>IFERROR(__xludf.DUMMYFUNCTION("""COMPUTED_VALUE"""),"ALINGARO, CINDY")</f>
        <v>ALINGARO, CINDY</v>
      </c>
      <c r="E1198" s="1" t="str">
        <f>IFERROR(__xludf.DUMMYFUNCTION("""COMPUTED_VALUE"""),"PLDT")</f>
        <v>PLDT</v>
      </c>
      <c r="F1198" s="1">
        <f>IFERROR(__xludf.DUMMYFUNCTION("""COMPUTED_VALUE"""),2308853259)</f>
        <v>2308853259</v>
      </c>
      <c r="G1198" s="1"/>
      <c r="H1198" s="1" t="str">
        <f>IFERROR(__xludf.DUMMYFUNCTION("""COMPUTED_VALUE"""),"JUDY ANN NAYSAYO DELOS SANTOS")</f>
        <v>JUDY ANN NAYSAYO DELOS SANTOS</v>
      </c>
      <c r="I1198" s="1">
        <f>IFERROR(__xludf.DUMMYFUNCTION("""COMPUTED_VALUE"""),9975313910)</f>
        <v>9975313910</v>
      </c>
      <c r="J1198" s="1">
        <f>IFERROR(__xludf.DUMMYFUNCTION("""COMPUTED_VALUE"""),9525935893)</f>
        <v>9525935893</v>
      </c>
      <c r="K1198" s="1" t="str">
        <f>IFERROR(__xludf.DUMMYFUNCTION("""COMPUTED_VALUE"""),"NNAJSANTOS2025@GMAIL.COM")</f>
        <v>NNAJSANTOS2025@GMAIL.COM</v>
      </c>
      <c r="L1198" s="1" t="str">
        <f>IFERROR(__xludf.DUMMYFUNCTION("""COMPUTED_VALUE"""),"BLK 6 LOT 14")</f>
        <v>BLK 6 LOT 14</v>
      </c>
      <c r="M1198" s="1" t="str">
        <f>IFERROR(__xludf.DUMMYFUNCTION("""COMPUTED_VALUE"""),"BULIHAN")</f>
        <v>BULIHAN</v>
      </c>
      <c r="N1198" s="1"/>
      <c r="O1198" s="1" t="str">
        <f>IFERROR(__xludf.DUMMYFUNCTION("""COMPUTED_VALUE"""),"BULIHAN")</f>
        <v>BULIHAN</v>
      </c>
      <c r="P1198" s="1" t="str">
        <f>IFERROR(__xludf.DUMMYFUNCTION("""COMPUTED_VALUE"""),"SILANG")</f>
        <v>SILANG</v>
      </c>
      <c r="Q1198" s="1" t="str">
        <f>IFERROR(__xludf.DUMMYFUNCTION("""COMPUTED_VALUE"""),"CAVITE")</f>
        <v>CAVITE</v>
      </c>
      <c r="R1198" s="1" t="str">
        <f>IFERROR(__xludf.DUMMYFUNCTION("""COMPUTED_VALUE"""),"FIBR PLAN 1299")</f>
        <v>FIBR PLAN 1299</v>
      </c>
      <c r="S1198" s="1" t="str">
        <f>IFERROR(__xludf.DUMMYFUNCTION("""COMPUTED_VALUE"""),"APPROVED")</f>
        <v>APPROVED</v>
      </c>
      <c r="T1198" s="1" t="str">
        <f>IFERROR(__xludf.DUMMYFUNCTION("""COMPUTED_VALUE"""),"CANCELLED WITH OB")</f>
        <v>CANCELLED WITH OB</v>
      </c>
      <c r="U1198" s="1"/>
      <c r="V1198" s="1"/>
      <c r="W1198" s="1"/>
    </row>
    <row r="1199" customHeight="1" spans="1:23">
      <c r="A1199" s="3">
        <f>IFERROR(__xludf.DUMMYFUNCTION("""COMPUTED_VALUE"""),46126)</f>
        <v>46126</v>
      </c>
      <c r="B1199" s="1" t="str">
        <f>IFERROR(__xludf.DUMMYFUNCTION("""COMPUTED_VALUE"""),"AYON MANUEL")</f>
        <v>AYON MANUEL</v>
      </c>
      <c r="C1199" s="1" t="str">
        <f>IFERROR(__xludf.DUMMYFUNCTION("""COMPUTED_VALUE"""),"FLA")</f>
        <v>FLA</v>
      </c>
      <c r="D1199" s="1" t="str">
        <f>IFERROR(__xludf.DUMMYFUNCTION("""COMPUTED_VALUE"""),"JERIC NAVARRO")</f>
        <v>JERIC NAVARRO</v>
      </c>
      <c r="E1199" s="1" t="str">
        <f>IFERROR(__xludf.DUMMYFUNCTION("""COMPUTED_VALUE"""),"PLDT")</f>
        <v>PLDT</v>
      </c>
      <c r="F1199" s="1">
        <f>IFERROR(__xludf.DUMMYFUNCTION("""COMPUTED_VALUE"""),2308854690)</f>
        <v>2308854690</v>
      </c>
      <c r="G1199" s="1">
        <f>IFERROR(__xludf.DUMMYFUNCTION("""COMPUTED_VALUE"""),450654159004)</f>
        <v>450654159004</v>
      </c>
      <c r="H1199" s="1" t="str">
        <f>IFERROR(__xludf.DUMMYFUNCTION("""COMPUTED_VALUE"""),"REXTIVE JOHN EVARISTO NAILGAS")</f>
        <v>REXTIVE JOHN EVARISTO NAILGAS</v>
      </c>
      <c r="I1199" s="1">
        <f>IFERROR(__xludf.DUMMYFUNCTION("""COMPUTED_VALUE"""),9477881601)</f>
        <v>9477881601</v>
      </c>
      <c r="J1199" s="1">
        <f>IFERROR(__xludf.DUMMYFUNCTION("""COMPUTED_VALUE"""),9166758131)</f>
        <v>9166758131</v>
      </c>
      <c r="K1199" s="1" t="str">
        <f>IFERROR(__xludf.DUMMYFUNCTION("""COMPUTED_VALUE"""),"NAILGASREXTIVEJOHN@GMAIL.COM")</f>
        <v>NAILGASREXTIVEJOHN@GMAIL.COM</v>
      </c>
      <c r="L1199" s="1" t="str">
        <f>IFERROR(__xludf.DUMMYFUNCTION("""COMPUTED_VALUE"""),"19P")</f>
        <v>19P</v>
      </c>
      <c r="M1199" s="1" t="str">
        <f>IFERROR(__xludf.DUMMYFUNCTION("""COMPUTED_VALUE"""),"PERIDO ST")</f>
        <v>PERIDO ST</v>
      </c>
      <c r="N1199" s="1"/>
      <c r="O1199" s="1" t="str">
        <f>IFERROR(__xludf.DUMMYFUNCTION("""COMPUTED_VALUE"""),"BUKAL")</f>
        <v>BUKAL</v>
      </c>
      <c r="P1199" s="1" t="str">
        <f>IFERROR(__xludf.DUMMYFUNCTION("""COMPUTED_VALUE"""),"MENDEZ")</f>
        <v>MENDEZ</v>
      </c>
      <c r="Q1199" s="1" t="str">
        <f>IFERROR(__xludf.DUMMYFUNCTION("""COMPUTED_VALUE"""),"CAVITE")</f>
        <v>CAVITE</v>
      </c>
      <c r="R1199" s="1" t="str">
        <f>IFERROR(__xludf.DUMMYFUNCTION("""COMPUTED_VALUE"""),"FIBR PLAN 1699")</f>
        <v>FIBR PLAN 1699</v>
      </c>
      <c r="S1199" s="1" t="str">
        <f>IFERROR(__xludf.DUMMYFUNCTION("""COMPUTED_VALUE"""),"APPROVED")</f>
        <v>APPROVED</v>
      </c>
      <c r="T1199" s="1" t="str">
        <f>IFERROR(__xludf.DUMMYFUNCTION("""COMPUTED_VALUE"""),"POSTED")</f>
        <v>POSTED</v>
      </c>
      <c r="U1199" s="1"/>
      <c r="V1199" s="1"/>
      <c r="W1199" s="1"/>
    </row>
    <row r="1200" customHeight="1" spans="1:23">
      <c r="A1200" s="3">
        <f>IFERROR(__xludf.DUMMYFUNCTION("""COMPUTED_VALUE"""),46126)</f>
        <v>46126</v>
      </c>
      <c r="B1200" s="1" t="str">
        <f>IFERROR(__xludf.DUMMYFUNCTION("""COMPUTED_VALUE"""),"FERNANDEZ JERIC")</f>
        <v>FERNANDEZ JERIC</v>
      </c>
      <c r="C1200" s="1" t="str">
        <f>IFERROR(__xludf.DUMMYFUNCTION("""COMPUTED_VALUE"""),"ORGANIC")</f>
        <v>ORGANIC</v>
      </c>
      <c r="D1200" s="1" t="str">
        <f>IFERROR(__xludf.DUMMYFUNCTION("""COMPUTED_VALUE"""),"ALOS, CHARLS")</f>
        <v>ALOS, CHARLS</v>
      </c>
      <c r="E1200" s="1" t="str">
        <f>IFERROR(__xludf.DUMMYFUNCTION("""COMPUTED_VALUE"""),"PLDT")</f>
        <v>PLDT</v>
      </c>
      <c r="F1200" s="1">
        <f>IFERROR(__xludf.DUMMYFUNCTION("""COMPUTED_VALUE"""),2308855771)</f>
        <v>2308855771</v>
      </c>
      <c r="G1200" s="1">
        <f>IFERROR(__xludf.DUMMYFUNCTION("""COMPUTED_VALUE"""),450664288004)</f>
        <v>450664288004</v>
      </c>
      <c r="H1200" s="1" t="str">
        <f>IFERROR(__xludf.DUMMYFUNCTION("""COMPUTED_VALUE"""),"MADILYN ALCANTARA PINOHERMOSO")</f>
        <v>MADILYN ALCANTARA PINOHERMOSO</v>
      </c>
      <c r="I1200" s="1">
        <f>IFERROR(__xludf.DUMMYFUNCTION("""COMPUTED_VALUE"""),9558926929)</f>
        <v>9558926929</v>
      </c>
      <c r="J1200" s="1"/>
      <c r="K1200" s="1" t="str">
        <f>IFERROR(__xludf.DUMMYFUNCTION("""COMPUTED_VALUE"""),"ESGUERACALI7@GMAIL.COM")</f>
        <v>ESGUERACALI7@GMAIL.COM</v>
      </c>
      <c r="L1200" s="1" t="str">
        <f>IFERROR(__xludf.DUMMYFUNCTION("""COMPUTED_VALUE"""),"BLK 10 LOT 32")</f>
        <v>BLK 10 LOT 32</v>
      </c>
      <c r="M1200" s="1" t="str">
        <f>IFERROR(__xludf.DUMMYFUNCTION("""COMPUTED_VALUE"""),"POBLACION RD")</f>
        <v>POBLACION RD</v>
      </c>
      <c r="N1200" s="1"/>
      <c r="O1200" s="1" t="str">
        <f>IFERROR(__xludf.DUMMYFUNCTION("""COMPUTED_VALUE"""),"POBLACION II")</f>
        <v>POBLACION II</v>
      </c>
      <c r="P1200" s="1" t="str">
        <f>IFERROR(__xludf.DUMMYFUNCTION("""COMPUTED_VALUE"""),"GEN MARIANO ALVAREZ")</f>
        <v>GEN MARIANO ALVAREZ</v>
      </c>
      <c r="Q1200" s="1" t="str">
        <f>IFERROR(__xludf.DUMMYFUNCTION("""COMPUTED_VALUE"""),"CAVITE")</f>
        <v>CAVITE</v>
      </c>
      <c r="R1200" s="1" t="str">
        <f>IFERROR(__xludf.DUMMYFUNCTION("""COMPUTED_VALUE"""),"FIBR PLAN 1299")</f>
        <v>FIBR PLAN 1299</v>
      </c>
      <c r="S1200" s="1" t="str">
        <f>IFERROR(__xludf.DUMMYFUNCTION("""COMPUTED_VALUE"""),"APPROVED")</f>
        <v>APPROVED</v>
      </c>
      <c r="T1200" s="1" t="str">
        <f>IFERROR(__xludf.DUMMYFUNCTION("""COMPUTED_VALUE"""),"POSTED")</f>
        <v>POSTED</v>
      </c>
      <c r="U1200" s="1"/>
      <c r="V1200" s="1"/>
      <c r="W1200" s="1"/>
    </row>
    <row r="1201" customHeight="1" spans="1:23">
      <c r="A1201" s="3">
        <f>IFERROR(__xludf.DUMMYFUNCTION("""COMPUTED_VALUE"""),46126)</f>
        <v>46126</v>
      </c>
      <c r="B1201" s="1" t="str">
        <f>IFERROR(__xludf.DUMMYFUNCTION("""COMPUTED_VALUE"""),"CABRERA JILLIENE")</f>
        <v>CABRERA JILLIENE</v>
      </c>
      <c r="C1201" s="1" t="str">
        <f>IFERROR(__xludf.DUMMYFUNCTION("""COMPUTED_VALUE"""),"ORGANIC")</f>
        <v>ORGANIC</v>
      </c>
      <c r="D1201" s="1" t="str">
        <f>IFERROR(__xludf.DUMMYFUNCTION("""COMPUTED_VALUE"""),"ALOS, CHARLS")</f>
        <v>ALOS, CHARLS</v>
      </c>
      <c r="E1201" s="1" t="str">
        <f>IFERROR(__xludf.DUMMYFUNCTION("""COMPUTED_VALUE"""),"PLDT")</f>
        <v>PLDT</v>
      </c>
      <c r="F1201" s="1">
        <f>IFERROR(__xludf.DUMMYFUNCTION("""COMPUTED_VALUE"""),2308855342)</f>
        <v>2308855342</v>
      </c>
      <c r="G1201" s="1">
        <f>IFERROR(__xludf.DUMMYFUNCTION("""COMPUTED_VALUE"""),450667408004)</f>
        <v>450667408004</v>
      </c>
      <c r="H1201" s="1" t="str">
        <f>IFERROR(__xludf.DUMMYFUNCTION("""COMPUTED_VALUE"""),"AMY AMETIN DENOYO")</f>
        <v>AMY AMETIN DENOYO</v>
      </c>
      <c r="I1201" s="1">
        <f>IFERROR(__xludf.DUMMYFUNCTION("""COMPUTED_VALUE"""),9481707476)</f>
        <v>9481707476</v>
      </c>
      <c r="J1201" s="1"/>
      <c r="K1201" s="1" t="str">
        <f>IFERROR(__xludf.DUMMYFUNCTION("""COMPUTED_VALUE"""),"DENAYOJRJUN@GMAIL.COM")</f>
        <v>DENAYOJRJUN@GMAIL.COM</v>
      </c>
      <c r="L1201" s="1" t="str">
        <f>IFERROR(__xludf.DUMMYFUNCTION("""COMPUTED_VALUE"""),"63")</f>
        <v>63</v>
      </c>
      <c r="M1201" s="1" t="str">
        <f>IFERROR(__xludf.DUMMYFUNCTION("""COMPUTED_VALUE"""),"PUROK 3")</f>
        <v>PUROK 3</v>
      </c>
      <c r="N1201" s="1"/>
      <c r="O1201" s="1" t="str">
        <f>IFERROR(__xludf.DUMMYFUNCTION("""COMPUTED_VALUE"""),"LALAAN II")</f>
        <v>LALAAN II</v>
      </c>
      <c r="P1201" s="1" t="str">
        <f>IFERROR(__xludf.DUMMYFUNCTION("""COMPUTED_VALUE"""),"SILANG")</f>
        <v>SILANG</v>
      </c>
      <c r="Q1201" s="1" t="str">
        <f>IFERROR(__xludf.DUMMYFUNCTION("""COMPUTED_VALUE"""),"CAVITE")</f>
        <v>CAVITE</v>
      </c>
      <c r="R1201" s="1" t="str">
        <f>IFERROR(__xludf.DUMMYFUNCTION("""COMPUTED_VALUE"""),"FIBR UNLI ALL PLAN 1399")</f>
        <v>FIBR UNLI ALL PLAN 1399</v>
      </c>
      <c r="S1201" s="1" t="str">
        <f>IFERROR(__xludf.DUMMYFUNCTION("""COMPUTED_VALUE"""),"APPROVED")</f>
        <v>APPROVED</v>
      </c>
      <c r="T1201" s="1" t="str">
        <f>IFERROR(__xludf.DUMMYFUNCTION("""COMPUTED_VALUE"""),"PAID- RPR NAP FULL")</f>
        <v>PAID- RPR NAP FULL</v>
      </c>
      <c r="U1201" s="1"/>
      <c r="V1201" s="1"/>
      <c r="W1201" s="1"/>
    </row>
    <row r="1202" customHeight="1" spans="1:23">
      <c r="A1202" s="3">
        <f>IFERROR(__xludf.DUMMYFUNCTION("""COMPUTED_VALUE"""),46127)</f>
        <v>46127</v>
      </c>
      <c r="B1202" s="1" t="str">
        <f>IFERROR(__xludf.DUMMYFUNCTION("""COMPUTED_VALUE"""),"MAGDARAOG, KENNETH")</f>
        <v>MAGDARAOG, KENNETH</v>
      </c>
      <c r="C1202" s="1" t="str">
        <f>IFERROR(__xludf.DUMMYFUNCTION("""COMPUTED_VALUE"""),"ORGANIC")</f>
        <v>ORGANIC</v>
      </c>
      <c r="D1202" s="1" t="str">
        <f>IFERROR(__xludf.DUMMYFUNCTION("""COMPUTED_VALUE"""),"ALINGARO, CINDY")</f>
        <v>ALINGARO, CINDY</v>
      </c>
      <c r="E1202" s="1" t="str">
        <f>IFERROR(__xludf.DUMMYFUNCTION("""COMPUTED_VALUE"""),"PLDT")</f>
        <v>PLDT</v>
      </c>
      <c r="F1202" s="1">
        <f>IFERROR(__xludf.DUMMYFUNCTION("""COMPUTED_VALUE"""),2308867976)</f>
        <v>2308867976</v>
      </c>
      <c r="G1202" s="1">
        <f>IFERROR(__xludf.DUMMYFUNCTION("""COMPUTED_VALUE"""),450785596004)</f>
        <v>450785596004</v>
      </c>
      <c r="H1202" s="1" t="str">
        <f>IFERROR(__xludf.DUMMYFUNCTION("""COMPUTED_VALUE"""),"STEPHANNY CALPE DELOS REYES")</f>
        <v>STEPHANNY CALPE DELOS REYES</v>
      </c>
      <c r="I1202" s="1">
        <f>IFERROR(__xludf.DUMMYFUNCTION("""COMPUTED_VALUE"""),9916541473)</f>
        <v>9916541473</v>
      </c>
      <c r="J1202" s="1">
        <f>IFERROR(__xludf.DUMMYFUNCTION("""COMPUTED_VALUE"""),9692723036)</f>
        <v>9692723036</v>
      </c>
      <c r="K1202" s="1" t="str">
        <f>IFERROR(__xludf.DUMMYFUNCTION("""COMPUTED_VALUE"""),"DELOSREYESSTEPHANNY@GMAIL.COM")</f>
        <v>DELOSREYESSTEPHANNY@GMAIL.COM</v>
      </c>
      <c r="L1202" s="1" t="str">
        <f>IFERROR(__xludf.DUMMYFUNCTION("""COMPUTED_VALUE"""),"285")</f>
        <v>285</v>
      </c>
      <c r="M1202" s="1" t="str">
        <f>IFERROR(__xludf.DUMMYFUNCTION("""COMPUTED_VALUE"""),"TIBIG")</f>
        <v>TIBIG</v>
      </c>
      <c r="N1202" s="1"/>
      <c r="O1202" s="1" t="str">
        <f>IFERROR(__xludf.DUMMYFUNCTION("""COMPUTED_VALUE"""),"TIBIG")</f>
        <v>TIBIG</v>
      </c>
      <c r="P1202" s="1" t="str">
        <f>IFERROR(__xludf.DUMMYFUNCTION("""COMPUTED_VALUE"""),"SILANG")</f>
        <v>SILANG</v>
      </c>
      <c r="Q1202" s="1" t="str">
        <f>IFERROR(__xludf.DUMMYFUNCTION("""COMPUTED_VALUE"""),"CAVITE")</f>
        <v>CAVITE</v>
      </c>
      <c r="R1202" s="1" t="str">
        <f>IFERROR(__xludf.DUMMYFUNCTION("""COMPUTED_VALUE"""),"FIBR PLAN 1299")</f>
        <v>FIBR PLAN 1299</v>
      </c>
      <c r="S1202" s="1" t="str">
        <f>IFERROR(__xludf.DUMMYFUNCTION("""COMPUTED_VALUE"""),"APPROVED")</f>
        <v>APPROVED</v>
      </c>
      <c r="T1202" s="1" t="str">
        <f>IFERROR(__xludf.DUMMYFUNCTION("""COMPUTED_VALUE"""),"PAID- RPR NAP FULL")</f>
        <v>PAID- RPR NAP FULL</v>
      </c>
      <c r="U1202" s="1"/>
      <c r="V1202" s="1"/>
      <c r="W1202" s="1"/>
    </row>
    <row r="1203" customHeight="1" spans="1:23">
      <c r="A1203" s="3">
        <f>IFERROR(__xludf.DUMMYFUNCTION("""COMPUTED_VALUE"""),46127)</f>
        <v>46127</v>
      </c>
      <c r="B1203" s="1" t="str">
        <f>IFERROR(__xludf.DUMMYFUNCTION("""COMPUTED_VALUE"""),"ESCARCHA, MA ALMA  ESCOTO")</f>
        <v>ESCARCHA, MA ALMA  ESCOTO</v>
      </c>
      <c r="C1203" s="1" t="str">
        <f>IFERROR(__xludf.DUMMYFUNCTION("""COMPUTED_VALUE"""),"ORGANIC")</f>
        <v>ORGANIC</v>
      </c>
      <c r="D1203" s="1" t="str">
        <f>IFERROR(__xludf.DUMMYFUNCTION("""COMPUTED_VALUE"""),"ALINGARO, CINDY")</f>
        <v>ALINGARO, CINDY</v>
      </c>
      <c r="E1203" s="1" t="str">
        <f>IFERROR(__xludf.DUMMYFUNCTION("""COMPUTED_VALUE"""),"PLDT")</f>
        <v>PLDT</v>
      </c>
      <c r="F1203" s="1"/>
      <c r="G1203" s="1"/>
      <c r="H1203" s="1" t="str">
        <f>IFERROR(__xludf.DUMMYFUNCTION("""COMPUTED_VALUE"""),"JANICE DELOS SANTOS FRIAS")</f>
        <v>JANICE DELOS SANTOS FRIAS</v>
      </c>
      <c r="I1203" s="1">
        <f>IFERROR(__xludf.DUMMYFUNCTION("""COMPUTED_VALUE"""),9656784402)</f>
        <v>9656784402</v>
      </c>
      <c r="J1203" s="1">
        <f>IFERROR(__xludf.DUMMYFUNCTION("""COMPUTED_VALUE"""),9786926317)</f>
        <v>9786926317</v>
      </c>
      <c r="K1203" s="1" t="str">
        <f>IFERROR(__xludf.DUMMYFUNCTION("""COMPUTED_VALUE"""),"FRIASJANICE05@GMAIL.COM")</f>
        <v>FRIASJANICE05@GMAIL.COM</v>
      </c>
      <c r="L1203" s="1" t="str">
        <f>IFERROR(__xludf.DUMMYFUNCTION("""COMPUTED_VALUE"""),"247")</f>
        <v>247</v>
      </c>
      <c r="M1203" s="1" t="str">
        <f>IFERROR(__xludf.DUMMYFUNCTION("""COMPUTED_VALUE"""),"PUTOL")</f>
        <v>PUTOL</v>
      </c>
      <c r="N1203" s="1"/>
      <c r="O1203" s="1" t="str">
        <f>IFERROR(__xludf.DUMMYFUNCTION("""COMPUTED_VALUE"""),"TIBIG")</f>
        <v>TIBIG</v>
      </c>
      <c r="P1203" s="1" t="str">
        <f>IFERROR(__xludf.DUMMYFUNCTION("""COMPUTED_VALUE"""),"SILANG")</f>
        <v>SILANG</v>
      </c>
      <c r="Q1203" s="1" t="str">
        <f>IFERROR(__xludf.DUMMYFUNCTION("""COMPUTED_VALUE"""),"CAVITE")</f>
        <v>CAVITE</v>
      </c>
      <c r="R1203" s="1" t="str">
        <f>IFERROR(__xludf.DUMMYFUNCTION("""COMPUTED_VALUE"""),"FIBR PLAN 1299")</f>
        <v>FIBR PLAN 1299</v>
      </c>
      <c r="S1203" s="1" t="str">
        <f>IFERROR(__xludf.DUMMYFUNCTION("""COMPUTED_VALUE"""),"CANCELLED ")</f>
        <v>CANCELLED </v>
      </c>
      <c r="T1203" s="1" t="str">
        <f>IFERROR(__xludf.DUMMYFUNCTION("""COMPUTED_VALUE"""),"ASK MUNA KASAMA NYA IF WILLING MMAG ADVANCE")</f>
        <v>ASK MUNA KASAMA NYA IF WILLING MMAG ADVANCE</v>
      </c>
      <c r="U1203" s="1"/>
      <c r="V1203" s="1"/>
      <c r="W1203" s="1"/>
    </row>
    <row r="1204" customHeight="1" spans="1:23">
      <c r="A1204" s="3">
        <f>IFERROR(__xludf.DUMMYFUNCTION("""COMPUTED_VALUE"""),46127)</f>
        <v>46127</v>
      </c>
      <c r="B1204" s="1" t="str">
        <f>IFERROR(__xludf.DUMMYFUNCTION("""COMPUTED_VALUE"""),"RIVERA, AIRIZH JOY")</f>
        <v>RIVERA, AIRIZH JOY</v>
      </c>
      <c r="C1204" s="1" t="str">
        <f>IFERROR(__xludf.DUMMYFUNCTION("""COMPUTED_VALUE"""),"ORGANIC")</f>
        <v>ORGANIC</v>
      </c>
      <c r="D1204" s="1" t="str">
        <f>IFERROR(__xludf.DUMMYFUNCTION("""COMPUTED_VALUE"""),"ALOS, CHARLS")</f>
        <v>ALOS, CHARLS</v>
      </c>
      <c r="E1204" s="1" t="str">
        <f>IFERROR(__xludf.DUMMYFUNCTION("""COMPUTED_VALUE"""),"PLDT")</f>
        <v>PLDT</v>
      </c>
      <c r="F1204" s="1">
        <f>IFERROR(__xludf.DUMMYFUNCTION("""COMPUTED_VALUE"""),2308868871)</f>
        <v>2308868871</v>
      </c>
      <c r="G1204" s="1">
        <f>IFERROR(__xludf.DUMMYFUNCTION("""COMPUTED_VALUE"""),450787865004)</f>
        <v>450787865004</v>
      </c>
      <c r="H1204" s="1" t="str">
        <f>IFERROR(__xludf.DUMMYFUNCTION("""COMPUTED_VALUE"""),"ROCHELLE DABALOS EMPENIO")</f>
        <v>ROCHELLE DABALOS EMPENIO</v>
      </c>
      <c r="I1204" s="1">
        <f>IFERROR(__xludf.DUMMYFUNCTION("""COMPUTED_VALUE"""),9384790072)</f>
        <v>9384790072</v>
      </c>
      <c r="J1204" s="1">
        <f>IFERROR(__xludf.DUMMYFUNCTION("""COMPUTED_VALUE"""),9512902268)</f>
        <v>9512902268</v>
      </c>
      <c r="K1204" s="1" t="str">
        <f>IFERROR(__xludf.DUMMYFUNCTION("""COMPUTED_VALUE"""),"ROCHELLEEMPERIO@GMAIL.COM")</f>
        <v>ROCHELLEEMPERIO@GMAIL.COM</v>
      </c>
      <c r="L1204" s="1" t="str">
        <f>IFERROR(__xludf.DUMMYFUNCTION("""COMPUTED_VALUE"""),"BLK 16 LOT 8")</f>
        <v>BLK 16 LOT 8</v>
      </c>
      <c r="M1204" s="1" t="str">
        <f>IFERROR(__xludf.DUMMYFUNCTION("""COMPUTED_VALUE"""),"PHASE3")</f>
        <v>PHASE3</v>
      </c>
      <c r="N1204" s="1"/>
      <c r="O1204" s="1" t="str">
        <f>IFERROR(__xludf.DUMMYFUNCTION("""COMPUTED_VALUE"""),"PALIPARAN III")</f>
        <v>PALIPARAN III</v>
      </c>
      <c r="P1204" s="1" t="str">
        <f>IFERROR(__xludf.DUMMYFUNCTION("""COMPUTED_VALUE"""),"DASMARINAS")</f>
        <v>DASMARINAS</v>
      </c>
      <c r="Q1204" s="1" t="str">
        <f>IFERROR(__xludf.DUMMYFUNCTION("""COMPUTED_VALUE"""),"CAVITE")</f>
        <v>CAVITE</v>
      </c>
      <c r="R1204" s="1" t="str">
        <f>IFERROR(__xludf.DUMMYFUNCTION("""COMPUTED_VALUE"""),"FIBR PLAN 1299")</f>
        <v>FIBR PLAN 1299</v>
      </c>
      <c r="S1204" s="1" t="str">
        <f>IFERROR(__xludf.DUMMYFUNCTION("""COMPUTED_VALUE"""),"APPROVED")</f>
        <v>APPROVED</v>
      </c>
      <c r="T1204" s="1" t="str">
        <f>IFERROR(__xludf.DUMMYFUNCTION("""COMPUTED_VALUE"""),"RPR- NAP FULL/ NO PAYMENT")</f>
        <v>RPR- NAP FULL/ NO PAYMENT</v>
      </c>
      <c r="U1204" s="1"/>
      <c r="V1204" s="1"/>
      <c r="W1204" s="1"/>
    </row>
    <row r="1205" customHeight="1" spans="1:23">
      <c r="A1205" s="3">
        <f>IFERROR(__xludf.DUMMYFUNCTION("""COMPUTED_VALUE"""),46127)</f>
        <v>46127</v>
      </c>
      <c r="B1205" s="1" t="str">
        <f>IFERROR(__xludf.DUMMYFUNCTION("""COMPUTED_VALUE"""),"VILLANUEVA, MAUREEN")</f>
        <v>VILLANUEVA, MAUREEN</v>
      </c>
      <c r="C1205" s="1" t="str">
        <f>IFERROR(__xludf.DUMMYFUNCTION("""COMPUTED_VALUE"""),"ORGANIC")</f>
        <v>ORGANIC</v>
      </c>
      <c r="D1205" s="1" t="str">
        <f>IFERROR(__xludf.DUMMYFUNCTION("""COMPUTED_VALUE"""),"ALINGARO, CINDY")</f>
        <v>ALINGARO, CINDY</v>
      </c>
      <c r="E1205" s="1" t="str">
        <f>IFERROR(__xludf.DUMMYFUNCTION("""COMPUTED_VALUE"""),"PLDT")</f>
        <v>PLDT</v>
      </c>
      <c r="F1205" s="1">
        <f>IFERROR(__xludf.DUMMYFUNCTION("""COMPUTED_VALUE"""),2308870456)</f>
        <v>2308870456</v>
      </c>
      <c r="G1205" s="1">
        <f>IFERROR(__xludf.DUMMYFUNCTION("""COMPUTED_VALUE"""),450789817004)</f>
        <v>450789817004</v>
      </c>
      <c r="H1205" s="1" t="str">
        <f>IFERROR(__xludf.DUMMYFUNCTION("""COMPUTED_VALUE"""),"JHONA MAE DE JESUS LUSTERIO")</f>
        <v>JHONA MAE DE JESUS LUSTERIO</v>
      </c>
      <c r="I1205" s="1">
        <f>IFERROR(__xludf.DUMMYFUNCTION("""COMPUTED_VALUE"""),9936159871)</f>
        <v>9936159871</v>
      </c>
      <c r="J1205" s="1">
        <f>IFERROR(__xludf.DUMMYFUNCTION("""COMPUTED_VALUE"""),9936159871)</f>
        <v>9936159871</v>
      </c>
      <c r="K1205" s="1" t="str">
        <f>IFERROR(__xludf.DUMMYFUNCTION("""COMPUTED_VALUE"""),"LUSTERIOJHONAMAE013@GMAIL.COM")</f>
        <v>LUSTERIOJHONAMAE013@GMAIL.COM</v>
      </c>
      <c r="L1205" s="1" t="str">
        <f>IFERROR(__xludf.DUMMYFUNCTION("""COMPUTED_VALUE"""),"248")</f>
        <v>248</v>
      </c>
      <c r="M1205" s="1" t="str">
        <f>IFERROR(__xludf.DUMMYFUNCTION("""COMPUTED_VALUE"""),"PUTOL")</f>
        <v>PUTOL</v>
      </c>
      <c r="N1205" s="1"/>
      <c r="O1205" s="1" t="str">
        <f>IFERROR(__xludf.DUMMYFUNCTION("""COMPUTED_VALUE"""),"TIBIG")</f>
        <v>TIBIG</v>
      </c>
      <c r="P1205" s="1" t="str">
        <f>IFERROR(__xludf.DUMMYFUNCTION("""COMPUTED_VALUE"""),"SILANG")</f>
        <v>SILANG</v>
      </c>
      <c r="Q1205" s="1" t="str">
        <f>IFERROR(__xludf.DUMMYFUNCTION("""COMPUTED_VALUE"""),"CAVITE")</f>
        <v>CAVITE</v>
      </c>
      <c r="R1205" s="1" t="str">
        <f>IFERROR(__xludf.DUMMYFUNCTION("""COMPUTED_VALUE"""),"FIBR PLAN 1299")</f>
        <v>FIBR PLAN 1299</v>
      </c>
      <c r="S1205" s="1" t="str">
        <f>IFERROR(__xludf.DUMMYFUNCTION("""COMPUTED_VALUE"""),"APPROVED")</f>
        <v>APPROVED</v>
      </c>
      <c r="T1205" s="1" t="str">
        <f>IFERROR(__xludf.DUMMYFUNCTION("""COMPUTED_VALUE"""),"FOR PAYMENT")</f>
        <v>FOR PAYMENT</v>
      </c>
      <c r="U1205" s="1"/>
      <c r="V1205" s="1"/>
      <c r="W1205" s="1"/>
    </row>
    <row r="1206" customHeight="1" spans="1:23">
      <c r="A1206" s="3">
        <f>IFERROR(__xludf.DUMMYFUNCTION("""COMPUTED_VALUE"""),46127)</f>
        <v>46127</v>
      </c>
      <c r="B1206" s="1" t="str">
        <f>IFERROR(__xludf.DUMMYFUNCTION("""COMPUTED_VALUE"""),"CONCEPCION, ALJAY")</f>
        <v>CONCEPCION, ALJAY</v>
      </c>
      <c r="C1206" s="1" t="str">
        <f>IFERROR(__xludf.DUMMYFUNCTION("""COMPUTED_VALUE"""),"ORGANIC")</f>
        <v>ORGANIC</v>
      </c>
      <c r="D1206" s="1" t="str">
        <f>IFERROR(__xludf.DUMMYFUNCTION("""COMPUTED_VALUE"""),"ALINGARO, CINDY")</f>
        <v>ALINGARO, CINDY</v>
      </c>
      <c r="E1206" s="1" t="str">
        <f>IFERROR(__xludf.DUMMYFUNCTION("""COMPUTED_VALUE"""),"PLDT")</f>
        <v>PLDT</v>
      </c>
      <c r="F1206" s="1"/>
      <c r="G1206" s="1"/>
      <c r="H1206" s="1" t="str">
        <f>IFERROR(__xludf.DUMMYFUNCTION("""COMPUTED_VALUE"""),"JAYBOY BERNARTE ARINGO")</f>
        <v>JAYBOY BERNARTE ARINGO</v>
      </c>
      <c r="I1206" s="1">
        <f>IFERROR(__xludf.DUMMYFUNCTION("""COMPUTED_VALUE"""),9637157506)</f>
        <v>9637157506</v>
      </c>
      <c r="J1206" s="1"/>
      <c r="K1206" s="1" t="str">
        <f>IFERROR(__xludf.DUMMYFUNCTION("""COMPUTED_VALUE"""),"JHAYBOYARINGO@GMAIL.COM")</f>
        <v>JHAYBOYARINGO@GMAIL.COM</v>
      </c>
      <c r="L1206" s="1" t="str">
        <f>IFERROR(__xludf.DUMMYFUNCTION("""COMPUTED_VALUE"""),"253")</f>
        <v>253</v>
      </c>
      <c r="M1206" s="1" t="str">
        <f>IFERROR(__xludf.DUMMYFUNCTION("""COMPUTED_VALUE"""),"PH3")</f>
        <v>PH3</v>
      </c>
      <c r="N1206" s="1"/>
      <c r="O1206" s="1" t="str">
        <f>IFERROR(__xludf.DUMMYFUNCTION("""COMPUTED_VALUE"""),"PALIPARAN III")</f>
        <v>PALIPARAN III</v>
      </c>
      <c r="P1206" s="1" t="str">
        <f>IFERROR(__xludf.DUMMYFUNCTION("""COMPUTED_VALUE"""),"DASMARINAS")</f>
        <v>DASMARINAS</v>
      </c>
      <c r="Q1206" s="1" t="str">
        <f>IFERROR(__xludf.DUMMYFUNCTION("""COMPUTED_VALUE"""),"CAVITE")</f>
        <v>CAVITE</v>
      </c>
      <c r="R1206" s="1" t="str">
        <f>IFERROR(__xludf.DUMMYFUNCTION("""COMPUTED_VALUE"""),"FIBR PLAN 1299")</f>
        <v>FIBR PLAN 1299</v>
      </c>
      <c r="S1206" s="1" t="str">
        <f>IFERROR(__xludf.DUMMYFUNCTION("""COMPUTED_VALUE"""),"CANCELLED ")</f>
        <v>CANCELLED </v>
      </c>
      <c r="T1206" s="1" t="str">
        <f>IFERROR(__xludf.DUMMYFUNCTION("""COMPUTED_VALUE"""),"CBR RINGING ONLY/ AS PER SUBS AYAW NA DAW NG ASAWA NYA")</f>
        <v>CBR RINGING ONLY/ AS PER SUBS AYAW NA DAW NG ASAWA NYA</v>
      </c>
      <c r="U1206" s="1"/>
      <c r="V1206" s="1"/>
      <c r="W1206" s="1"/>
    </row>
    <row r="1207" customHeight="1" spans="1:23">
      <c r="A1207" s="3">
        <f>IFERROR(__xludf.DUMMYFUNCTION("""COMPUTED_VALUE"""),46127)</f>
        <v>46127</v>
      </c>
      <c r="B1207" s="1" t="str">
        <f>IFERROR(__xludf.DUMMYFUNCTION("""COMPUTED_VALUE"""),"ESCARCHA, MA ALMA  ESCOTO")</f>
        <v>ESCARCHA, MA ALMA  ESCOTO</v>
      </c>
      <c r="C1207" s="1" t="str">
        <f>IFERROR(__xludf.DUMMYFUNCTION("""COMPUTED_VALUE"""),"ORGANIC")</f>
        <v>ORGANIC</v>
      </c>
      <c r="D1207" s="1" t="str">
        <f>IFERROR(__xludf.DUMMYFUNCTION("""COMPUTED_VALUE"""),"ALINGARO, CINDY")</f>
        <v>ALINGARO, CINDY</v>
      </c>
      <c r="E1207" s="1" t="str">
        <f>IFERROR(__xludf.DUMMYFUNCTION("""COMPUTED_VALUE"""),"PLDT")</f>
        <v>PLDT</v>
      </c>
      <c r="F1207" s="1"/>
      <c r="G1207" s="1"/>
      <c r="H1207" s="1" t="str">
        <f>IFERROR(__xludf.DUMMYFUNCTION("""COMPUTED_VALUE"""),"MYLEN MONILAR TAMARAY")</f>
        <v>MYLEN MONILAR TAMARAY</v>
      </c>
      <c r="I1207" s="1">
        <f>IFERROR(__xludf.DUMMYFUNCTION("""COMPUTED_VALUE"""),9561230979)</f>
        <v>9561230979</v>
      </c>
      <c r="J1207" s="1">
        <f>IFERROR(__xludf.DUMMYFUNCTION("""COMPUTED_VALUE"""),9774648721)</f>
        <v>9774648721</v>
      </c>
      <c r="K1207" s="1" t="str">
        <f>IFERROR(__xludf.DUMMYFUNCTION("""COMPUTED_VALUE"""),"TANTAMARAM@GMAIL.COM")</f>
        <v>TANTAMARAM@GMAIL.COM</v>
      </c>
      <c r="L1207" s="1" t="str">
        <f>IFERROR(__xludf.DUMMYFUNCTION("""COMPUTED_VALUE"""),"229")</f>
        <v>229</v>
      </c>
      <c r="M1207" s="1" t="str">
        <f>IFERROR(__xludf.DUMMYFUNCTION("""COMPUTED_VALUE"""),"KALYE PUTOL")</f>
        <v>KALYE PUTOL</v>
      </c>
      <c r="N1207" s="1"/>
      <c r="O1207" s="1" t="str">
        <f>IFERROR(__xludf.DUMMYFUNCTION("""COMPUTED_VALUE"""),"TIBIG")</f>
        <v>TIBIG</v>
      </c>
      <c r="P1207" s="1" t="str">
        <f>IFERROR(__xludf.DUMMYFUNCTION("""COMPUTED_VALUE"""),"SILANG")</f>
        <v>SILANG</v>
      </c>
      <c r="Q1207" s="1" t="str">
        <f>IFERROR(__xludf.DUMMYFUNCTION("""COMPUTED_VALUE"""),"CAVITE")</f>
        <v>CAVITE</v>
      </c>
      <c r="R1207" s="1" t="str">
        <f>IFERROR(__xludf.DUMMYFUNCTION("""COMPUTED_VALUE"""),"FIBR PLAN 1299")</f>
        <v>FIBR PLAN 1299</v>
      </c>
      <c r="S1207" s="1" t="str">
        <f>IFERROR(__xludf.DUMMYFUNCTION("""COMPUTED_VALUE"""),"CANCELLED ")</f>
        <v>CANCELLED </v>
      </c>
      <c r="T1207" s="1" t="str">
        <f>IFERROR(__xludf.DUMMYFUNCTION("""COMPUTED_VALUE"""),"RINGING ONLY/ BOTH CBR RINGING ONLY APRIL 18")</f>
        <v>RINGING ONLY/ BOTH CBR RINGING ONLY APRIL 18</v>
      </c>
      <c r="U1207" s="1"/>
      <c r="V1207" s="1"/>
      <c r="W1207" s="1"/>
    </row>
    <row r="1208" customHeight="1" spans="1:23">
      <c r="A1208" s="3">
        <f>IFERROR(__xludf.DUMMYFUNCTION("""COMPUTED_VALUE"""),46127)</f>
        <v>46127</v>
      </c>
      <c r="B1208" s="1" t="str">
        <f>IFERROR(__xludf.DUMMYFUNCTION("""COMPUTED_VALUE"""),"AQUINO, LUIS")</f>
        <v>AQUINO, LUIS</v>
      </c>
      <c r="C1208" s="1" t="str">
        <f>IFERROR(__xludf.DUMMYFUNCTION("""COMPUTED_VALUE"""),"ORGANIC")</f>
        <v>ORGANIC</v>
      </c>
      <c r="D1208" s="1" t="str">
        <f>IFERROR(__xludf.DUMMYFUNCTION("""COMPUTED_VALUE"""),"ALOS, CHARLS")</f>
        <v>ALOS, CHARLS</v>
      </c>
      <c r="E1208" s="1" t="str">
        <f>IFERROR(__xludf.DUMMYFUNCTION("""COMPUTED_VALUE"""),"PLDT")</f>
        <v>PLDT</v>
      </c>
      <c r="F1208" s="1">
        <f>IFERROR(__xludf.DUMMYFUNCTION("""COMPUTED_VALUE"""),2308873617)</f>
        <v>2308873617</v>
      </c>
      <c r="G1208" s="1">
        <f>IFERROR(__xludf.DUMMYFUNCTION("""COMPUTED_VALUE"""),450797088004)</f>
        <v>450797088004</v>
      </c>
      <c r="H1208" s="1" t="str">
        <f>IFERROR(__xludf.DUMMYFUNCTION("""COMPUTED_VALUE"""),"MONIQUE ANGELI NOLASCO DELA CRUZ")</f>
        <v>MONIQUE ANGELI NOLASCO DELA CRUZ</v>
      </c>
      <c r="I1208" s="1">
        <f>IFERROR(__xludf.DUMMYFUNCTION("""COMPUTED_VALUE"""),9062084076)</f>
        <v>9062084076</v>
      </c>
      <c r="J1208" s="1"/>
      <c r="K1208" s="1" t="str">
        <f>IFERROR(__xludf.DUMMYFUNCTION("""COMPUTED_VALUE"""),"MONIQUEDELCRZ17@GMAIL.COM")</f>
        <v>MONIQUEDELCRZ17@GMAIL.COM</v>
      </c>
      <c r="L1208" s="1" t="str">
        <f>IFERROR(__xludf.DUMMYFUNCTION("""COMPUTED_VALUE"""),"109D")</f>
        <v>109D</v>
      </c>
      <c r="M1208" s="1" t="str">
        <f>IFERROR(__xludf.DUMMYFUNCTION("""COMPUTED_VALUE"""),"MACA[AGAL EXT ")</f>
        <v>MACA[AGAL EXT </v>
      </c>
      <c r="N1208" s="1"/>
      <c r="O1208" s="1" t="str">
        <f>IFERROR(__xludf.DUMMYFUNCTION("""COMPUTED_VALUE"""),"ANIBAN I")</f>
        <v>ANIBAN I</v>
      </c>
      <c r="P1208" s="1" t="str">
        <f>IFERROR(__xludf.DUMMYFUNCTION("""COMPUTED_VALUE"""),"BACOOR")</f>
        <v>BACOOR</v>
      </c>
      <c r="Q1208" s="1" t="str">
        <f>IFERROR(__xludf.DUMMYFUNCTION("""COMPUTED_VALUE"""),"CAVITE")</f>
        <v>CAVITE</v>
      </c>
      <c r="R1208" s="1" t="str">
        <f>IFERROR(__xludf.DUMMYFUNCTION("""COMPUTED_VALUE"""),"FIBR UNLI ALL PLAN 1799")</f>
        <v>FIBR UNLI ALL PLAN 1799</v>
      </c>
      <c r="S1208" s="1" t="str">
        <f>IFERROR(__xludf.DUMMYFUNCTION("""COMPUTED_VALUE"""),"APPROVED")</f>
        <v>APPROVED</v>
      </c>
      <c r="T1208" s="1" t="str">
        <f>IFERROR(__xludf.DUMMYFUNCTION("""COMPUTED_VALUE"""),"POSTED")</f>
        <v>POSTED</v>
      </c>
      <c r="U1208" s="1"/>
      <c r="V1208" s="1"/>
      <c r="W1208" s="1"/>
    </row>
    <row r="1209" customHeight="1" spans="1:23">
      <c r="A1209" s="3">
        <f>IFERROR(__xludf.DUMMYFUNCTION("""COMPUTED_VALUE"""),46127)</f>
        <v>46127</v>
      </c>
      <c r="B1209" s="1" t="str">
        <f>IFERROR(__xludf.DUMMYFUNCTION("""COMPUTED_VALUE"""),"TEODORO, ANTHONY JAMES")</f>
        <v>TEODORO, ANTHONY JAMES</v>
      </c>
      <c r="C1209" s="1" t="str">
        <f>IFERROR(__xludf.DUMMYFUNCTION("""COMPUTED_VALUE"""),"ORGANIC")</f>
        <v>ORGANIC</v>
      </c>
      <c r="D1209" s="1" t="str">
        <f>IFERROR(__xludf.DUMMYFUNCTION("""COMPUTED_VALUE"""),"ALOS, CHARLS")</f>
        <v>ALOS, CHARLS</v>
      </c>
      <c r="E1209" s="1" t="str">
        <f>IFERROR(__xludf.DUMMYFUNCTION("""COMPUTED_VALUE"""),"PLDT")</f>
        <v>PLDT</v>
      </c>
      <c r="F1209" s="1"/>
      <c r="G1209" s="1"/>
      <c r="H1209" s="1" t="str">
        <f>IFERROR(__xludf.DUMMYFUNCTION("""COMPUTED_VALUE"""),"JERICA DELGADO LABISTE")</f>
        <v>JERICA DELGADO LABISTE</v>
      </c>
      <c r="I1209" s="1">
        <f>IFERROR(__xludf.DUMMYFUNCTION("""COMPUTED_VALUE"""),9763740405)</f>
        <v>9763740405</v>
      </c>
      <c r="J1209" s="1">
        <f>IFERROR(__xludf.DUMMYFUNCTION("""COMPUTED_VALUE"""),9761450595)</f>
        <v>9761450595</v>
      </c>
      <c r="K1209" s="1" t="str">
        <f>IFERROR(__xludf.DUMMYFUNCTION("""COMPUTED_VALUE"""),"JERICALABISTE2@GMAIL.COM")</f>
        <v>JERICALABISTE2@GMAIL.COM</v>
      </c>
      <c r="L1209" s="1" t="str">
        <f>IFERROR(__xludf.DUMMYFUNCTION("""COMPUTED_VALUE"""),"BLK 9")</f>
        <v>BLK 9</v>
      </c>
      <c r="M1209" s="1" t="str">
        <f>IFERROR(__xludf.DUMMYFUNCTION("""COMPUTED_VALUE"""),"PH3")</f>
        <v>PH3</v>
      </c>
      <c r="N1209" s="1"/>
      <c r="O1209" s="1" t="str">
        <f>IFERROR(__xludf.DUMMYFUNCTION("""COMPUTED_VALUE"""),"PALIPARAN III")</f>
        <v>PALIPARAN III</v>
      </c>
      <c r="P1209" s="1" t="str">
        <f>IFERROR(__xludf.DUMMYFUNCTION("""COMPUTED_VALUE"""),"DASMARINAS")</f>
        <v>DASMARINAS</v>
      </c>
      <c r="Q1209" s="1" t="str">
        <f>IFERROR(__xludf.DUMMYFUNCTION("""COMPUTED_VALUE"""),"CAVITE")</f>
        <v>CAVITE</v>
      </c>
      <c r="R1209" s="1" t="str">
        <f>IFERROR(__xludf.DUMMYFUNCTION("""COMPUTED_VALUE"""),"FIBR PLAN 1299")</f>
        <v>FIBR PLAN 1299</v>
      </c>
      <c r="S1209" s="1" t="str">
        <f>IFERROR(__xludf.DUMMYFUNCTION("""COMPUTED_VALUE"""),"CANCELLED ")</f>
        <v>CANCELLED </v>
      </c>
      <c r="T1209" s="1" t="str">
        <f>IFERROR(__xludf.DUMMYFUNCTION("""COMPUTED_VALUE"""),"as per subs akala nya no cash out kasi free installation daw may 10 pa sya magkaka pera")</f>
        <v>as per subs akala nya no cash out kasi free installation daw may 10 pa sya magkaka pera</v>
      </c>
      <c r="U1209" s="1"/>
      <c r="V1209" s="1"/>
      <c r="W1209" s="1"/>
    </row>
    <row r="1210" customHeight="1" spans="1:23">
      <c r="A1210" s="3">
        <f>IFERROR(__xludf.DUMMYFUNCTION("""COMPUTED_VALUE"""),46127)</f>
        <v>46127</v>
      </c>
      <c r="B1210" s="1" t="str">
        <f>IFERROR(__xludf.DUMMYFUNCTION("""COMPUTED_VALUE"""),"FERNANDEZ JERIC")</f>
        <v>FERNANDEZ JERIC</v>
      </c>
      <c r="C1210" s="1" t="str">
        <f>IFERROR(__xludf.DUMMYFUNCTION("""COMPUTED_VALUE"""),"ORGANIC")</f>
        <v>ORGANIC</v>
      </c>
      <c r="D1210" s="1" t="str">
        <f>IFERROR(__xludf.DUMMYFUNCTION("""COMPUTED_VALUE"""),"ALOS, CHARLS")</f>
        <v>ALOS, CHARLS</v>
      </c>
      <c r="E1210" s="1" t="str">
        <f>IFERROR(__xludf.DUMMYFUNCTION("""COMPUTED_VALUE"""),"PLDT")</f>
        <v>PLDT</v>
      </c>
      <c r="F1210" s="1">
        <f>IFERROR(__xludf.DUMMYFUNCTION("""COMPUTED_VALUE"""),2308876186)</f>
        <v>2308876186</v>
      </c>
      <c r="G1210" s="1">
        <f>IFERROR(__xludf.DUMMYFUNCTION("""COMPUTED_VALUE"""),450940847004)</f>
        <v>450940847004</v>
      </c>
      <c r="H1210" s="1" t="str">
        <f>IFERROR(__xludf.DUMMYFUNCTION("""COMPUTED_VALUE"""),"MARIEL MAICO LAWIGAN")</f>
        <v>MARIEL MAICO LAWIGAN</v>
      </c>
      <c r="I1210" s="1">
        <f>IFERROR(__xludf.DUMMYFUNCTION("""COMPUTED_VALUE"""),9178760905)</f>
        <v>9178760905</v>
      </c>
      <c r="J1210" s="1"/>
      <c r="K1210" s="1" t="str">
        <f>IFERROR(__xludf.DUMMYFUNCTION("""COMPUTED_VALUE"""),"MARIELLAWIGAN@GMAIL.COM")</f>
        <v>MARIELLAWIGAN@GMAIL.COM</v>
      </c>
      <c r="L1210" s="1" t="str">
        <f>IFERROR(__xludf.DUMMYFUNCTION("""COMPUTED_VALUE"""),"BLK 20 LOT 38")</f>
        <v>BLK 20 LOT 38</v>
      </c>
      <c r="M1210" s="1" t="str">
        <f>IFERROR(__xludf.DUMMYFUNCTION("""COMPUTED_VALUE"""),"PHASE 2")</f>
        <v>PHASE 2</v>
      </c>
      <c r="N1210" s="1"/>
      <c r="O1210" s="1" t="str">
        <f>IFERROR(__xludf.DUMMYFUNCTION("""COMPUTED_VALUE"""),"BUROL")</f>
        <v>BUROL</v>
      </c>
      <c r="P1210" s="1" t="str">
        <f>IFERROR(__xludf.DUMMYFUNCTION("""COMPUTED_VALUE"""),"DASMARINAS")</f>
        <v>DASMARINAS</v>
      </c>
      <c r="Q1210" s="1" t="str">
        <f>IFERROR(__xludf.DUMMYFUNCTION("""COMPUTED_VALUE"""),"CAVITE")</f>
        <v>CAVITE</v>
      </c>
      <c r="R1210" s="1" t="str">
        <f>IFERROR(__xludf.DUMMYFUNCTION("""COMPUTED_VALUE"""),"FIBR PLAN 1299")</f>
        <v>FIBR PLAN 1299</v>
      </c>
      <c r="S1210" s="1" t="str">
        <f>IFERROR(__xludf.DUMMYFUNCTION("""COMPUTED_VALUE"""),"APPROVED")</f>
        <v>APPROVED</v>
      </c>
      <c r="T1210" s="1" t="str">
        <f>IFERROR(__xludf.DUMMYFUNCTION("""COMPUTED_VALUE"""),"POSTED")</f>
        <v>POSTED</v>
      </c>
      <c r="U1210" s="1"/>
      <c r="V1210" s="1"/>
      <c r="W1210" s="1"/>
    </row>
    <row r="1211" customHeight="1" spans="1:23">
      <c r="A1211" s="3">
        <f>IFERROR(__xludf.DUMMYFUNCTION("""COMPUTED_VALUE"""),46127)</f>
        <v>46127</v>
      </c>
      <c r="B1211" s="1" t="str">
        <f>IFERROR(__xludf.DUMMYFUNCTION("""COMPUTED_VALUE"""),"MALIWAT MARK ELVIN")</f>
        <v>MALIWAT MARK ELVIN</v>
      </c>
      <c r="C1211" s="1" t="str">
        <f>IFERROR(__xludf.DUMMYFUNCTION("""COMPUTED_VALUE"""),"FLA")</f>
        <v>FLA</v>
      </c>
      <c r="D1211" s="1" t="str">
        <f>IFERROR(__xludf.DUMMYFUNCTION("""COMPUTED_VALUE"""),"JERIC NAVARRO")</f>
        <v>JERIC NAVARRO</v>
      </c>
      <c r="E1211" s="1" t="str">
        <f>IFERROR(__xludf.DUMMYFUNCTION("""COMPUTED_VALUE"""),"PLDT")</f>
        <v>PLDT</v>
      </c>
      <c r="F1211" s="1">
        <f>IFERROR(__xludf.DUMMYFUNCTION("""COMPUTED_VALUE"""),2308876631)</f>
        <v>2308876631</v>
      </c>
      <c r="G1211" s="1">
        <f>IFERROR(__xludf.DUMMYFUNCTION("""COMPUTED_VALUE"""),450948068004)</f>
        <v>450948068004</v>
      </c>
      <c r="H1211" s="1" t="str">
        <f>IFERROR(__xludf.DUMMYFUNCTION("""COMPUTED_VALUE"""),"CATHERINE GABRIEL FLORES")</f>
        <v>CATHERINE GABRIEL FLORES</v>
      </c>
      <c r="I1211" s="1">
        <f>IFERROR(__xludf.DUMMYFUNCTION("""COMPUTED_VALUE"""),9927369767)</f>
        <v>9927369767</v>
      </c>
      <c r="J1211" s="1">
        <f>IFERROR(__xludf.DUMMYFUNCTION("""COMPUTED_VALUE"""),9095868007)</f>
        <v>9095868007</v>
      </c>
      <c r="K1211" s="1" t="str">
        <f>IFERROR(__xludf.DUMMYFUNCTION("""COMPUTED_VALUE"""),"CATHYFLORES0915@GMAIL.COM")</f>
        <v>CATHYFLORES0915@GMAIL.COM</v>
      </c>
      <c r="L1211" s="1" t="str">
        <f>IFERROR(__xludf.DUMMYFUNCTION("""COMPUTED_VALUE"""),"BLK 13 LOT 38")</f>
        <v>BLK 13 LOT 38</v>
      </c>
      <c r="M1211" s="1" t="str">
        <f>IFERROR(__xludf.DUMMYFUNCTION("""COMPUTED_VALUE"""),"PHASE 2")</f>
        <v>PHASE 2</v>
      </c>
      <c r="N1211" s="1" t="str">
        <f>IFERROR(__xludf.DUMMYFUNCTION("""COMPUTED_VALUE"""),"TIERRA NEVADA")</f>
        <v>TIERRA NEVADA</v>
      </c>
      <c r="O1211" s="1" t="str">
        <f>IFERROR(__xludf.DUMMYFUNCTION("""COMPUTED_VALUE"""),"SAN FRANCISCO")</f>
        <v>SAN FRANCISCO</v>
      </c>
      <c r="P1211" s="1" t="str">
        <f>IFERROR(__xludf.DUMMYFUNCTION("""COMPUTED_VALUE"""),"GENERAL TRIAS")</f>
        <v>GENERAL TRIAS</v>
      </c>
      <c r="Q1211" s="1" t="str">
        <f>IFERROR(__xludf.DUMMYFUNCTION("""COMPUTED_VALUE"""),"CAVITE")</f>
        <v>CAVITE</v>
      </c>
      <c r="R1211" s="1" t="str">
        <f>IFERROR(__xludf.DUMMYFUNCTION("""COMPUTED_VALUE"""),"FIBR UNLI ALL PLAN 1399")</f>
        <v>FIBR UNLI ALL PLAN 1399</v>
      </c>
      <c r="S1211" s="1" t="str">
        <f>IFERROR(__xludf.DUMMYFUNCTION("""COMPUTED_VALUE"""),"APPROVED")</f>
        <v>APPROVED</v>
      </c>
      <c r="T1211" s="1" t="str">
        <f>IFERROR(__xludf.DUMMYFUNCTION("""COMPUTED_VALUE"""),"PAID- RPR NAP FULL")</f>
        <v>PAID- RPR NAP FULL</v>
      </c>
      <c r="U1211" s="1"/>
      <c r="V1211" s="1"/>
      <c r="W1211" s="1"/>
    </row>
    <row r="1212" customHeight="1" spans="1:23">
      <c r="A1212" s="3">
        <f>IFERROR(__xludf.DUMMYFUNCTION("""COMPUTED_VALUE"""),46127)</f>
        <v>46127</v>
      </c>
      <c r="B1212" s="1" t="str">
        <f>IFERROR(__xludf.DUMMYFUNCTION("""COMPUTED_VALUE"""),"OPS SIR BETZ")</f>
        <v>OPS SIR BETZ</v>
      </c>
      <c r="C1212" s="1" t="str">
        <f>IFERROR(__xludf.DUMMYFUNCTION("""COMPUTED_VALUE"""),"FLA")</f>
        <v>FLA</v>
      </c>
      <c r="D1212" s="1" t="str">
        <f>IFERROR(__xludf.DUMMYFUNCTION("""COMPUTED_VALUE"""),"JERIC NAVARRO")</f>
        <v>JERIC NAVARRO</v>
      </c>
      <c r="E1212" s="1" t="str">
        <f>IFERROR(__xludf.DUMMYFUNCTION("""COMPUTED_VALUE"""),"PLDT")</f>
        <v>PLDT</v>
      </c>
      <c r="F1212" s="1">
        <f>IFERROR(__xludf.DUMMYFUNCTION("""COMPUTED_VALUE"""),2308874654)</f>
        <v>2308874654</v>
      </c>
      <c r="G1212" s="1">
        <f>IFERROR(__xludf.DUMMYFUNCTION("""COMPUTED_VALUE"""),450863303004)</f>
        <v>450863303004</v>
      </c>
      <c r="H1212" s="1" t="str">
        <f>IFERROR(__xludf.DUMMYFUNCTION("""COMPUTED_VALUE"""),"NUMERIANO ALCAZAR CHAVEZ")</f>
        <v>NUMERIANO ALCAZAR CHAVEZ</v>
      </c>
      <c r="I1212" s="1">
        <f>IFERROR(__xludf.DUMMYFUNCTION("""COMPUTED_VALUE"""),9997078848)</f>
        <v>9997078848</v>
      </c>
      <c r="J1212" s="1">
        <f>IFERROR(__xludf.DUMMYFUNCTION("""COMPUTED_VALUE"""),9997979011)</f>
        <v>9997979011</v>
      </c>
      <c r="K1212" s="1" t="str">
        <f>IFERROR(__xludf.DUMMYFUNCTION("""COMPUTED_VALUE"""),"NOMERCHAVEZ@GMAIL.COM")</f>
        <v>NOMERCHAVEZ@GMAIL.COM</v>
      </c>
      <c r="L1212" s="1" t="str">
        <f>IFERROR(__xludf.DUMMYFUNCTION("""COMPUTED_VALUE"""),"4880")</f>
        <v>4880</v>
      </c>
      <c r="M1212" s="1" t="str">
        <f>IFERROR(__xludf.DUMMYFUNCTION("""COMPUTED_VALUE"""),"LUKSUHIN MANGAS")</f>
        <v>LUKSUHIN MANGAS</v>
      </c>
      <c r="N1212" s="1"/>
      <c r="O1212" s="1" t="str">
        <f>IFERROR(__xludf.DUMMYFUNCTION("""COMPUTED_VALUE"""),"LUKSUHIN ILAYA")</f>
        <v>LUKSUHIN ILAYA</v>
      </c>
      <c r="P1212" s="1" t="str">
        <f>IFERROR(__xludf.DUMMYFUNCTION("""COMPUTED_VALUE"""),"ALFONSO")</f>
        <v>ALFONSO</v>
      </c>
      <c r="Q1212" s="1" t="str">
        <f>IFERROR(__xludf.DUMMYFUNCTION("""COMPUTED_VALUE"""),"CAVITE")</f>
        <v>CAVITE</v>
      </c>
      <c r="R1212" s="1" t="str">
        <f>IFERROR(__xludf.DUMMYFUNCTION("""COMPUTED_VALUE"""),"FIBR UNLI ALL PLAN 1799")</f>
        <v>FIBR UNLI ALL PLAN 1799</v>
      </c>
      <c r="S1212" s="1" t="str">
        <f>IFERROR(__xludf.DUMMYFUNCTION("""COMPUTED_VALUE"""),"APPROVED")</f>
        <v>APPROVED</v>
      </c>
      <c r="T1212" s="1" t="str">
        <f>IFERROR(__xludf.DUMMYFUNCTION("""COMPUTED_VALUE"""),"POSTED")</f>
        <v>POSTED</v>
      </c>
      <c r="U1212" s="1"/>
      <c r="V1212" s="1"/>
      <c r="W1212" s="1"/>
    </row>
    <row r="1213" customHeight="1" spans="1:23">
      <c r="A1213" s="3">
        <f>IFERROR(__xludf.DUMMYFUNCTION("""COMPUTED_VALUE"""),46127)</f>
        <v>46127</v>
      </c>
      <c r="B1213" s="1" t="str">
        <f>IFERROR(__xludf.DUMMYFUNCTION("""COMPUTED_VALUE"""),"NAVARRO, JERIC")</f>
        <v>NAVARRO, JERIC</v>
      </c>
      <c r="C1213" s="1" t="str">
        <f>IFERROR(__xludf.DUMMYFUNCTION("""COMPUTED_VALUE"""),"FLA")</f>
        <v>FLA</v>
      </c>
      <c r="D1213" s="1" t="str">
        <f>IFERROR(__xludf.DUMMYFUNCTION("""COMPUTED_VALUE"""),"JERIC NAVARRO")</f>
        <v>JERIC NAVARRO</v>
      </c>
      <c r="E1213" s="1" t="str">
        <f>IFERROR(__xludf.DUMMYFUNCTION("""COMPUTED_VALUE"""),"PLDT")</f>
        <v>PLDT</v>
      </c>
      <c r="F1213" s="1">
        <f>IFERROR(__xludf.DUMMYFUNCTION("""COMPUTED_VALUE"""),2308932339)</f>
        <v>2308932339</v>
      </c>
      <c r="G1213" s="1">
        <f>IFERROR(__xludf.DUMMYFUNCTION("""COMPUTED_VALUE"""),451414839004)</f>
        <v>451414839004</v>
      </c>
      <c r="H1213" s="1" t="str">
        <f>IFERROR(__xludf.DUMMYFUNCTION("""COMPUTED_VALUE"""),"EMMANUELLEE MASUNGSONG MAGDAONG")</f>
        <v>EMMANUELLEE MASUNGSONG MAGDAONG</v>
      </c>
      <c r="I1213" s="1">
        <f>IFERROR(__xludf.DUMMYFUNCTION("""COMPUTED_VALUE"""),9469156340)</f>
        <v>9469156340</v>
      </c>
      <c r="J1213" s="1">
        <f>IFERROR(__xludf.DUMMYFUNCTION("""COMPUTED_VALUE"""),9152509568)</f>
        <v>9152509568</v>
      </c>
      <c r="K1213" s="1" t="str">
        <f>IFERROR(__xludf.DUMMYFUNCTION("""COMPUTED_VALUE"""),"LEEMAGDAONG@GMAIL.COM")</f>
        <v>LEEMAGDAONG@GMAIL.COM</v>
      </c>
      <c r="L1213" s="1" t="str">
        <f>IFERROR(__xludf.DUMMYFUNCTION("""COMPUTED_VALUE"""),"1")</f>
        <v>1</v>
      </c>
      <c r="M1213" s="1" t="str">
        <f>IFERROR(__xludf.DUMMYFUNCTION("""COMPUTED_VALUE"""),"PALIGAWAN MATANDA")</f>
        <v>PALIGAWAN MATANDA</v>
      </c>
      <c r="N1213" s="1"/>
      <c r="O1213" s="1" t="str">
        <f>IFERROR(__xludf.DUMMYFUNCTION("""COMPUTED_VALUE"""),"LANTIC")</f>
        <v>LANTIC</v>
      </c>
      <c r="P1213" s="1" t="str">
        <f>IFERROR(__xludf.DUMMYFUNCTION("""COMPUTED_VALUE"""),"CARMONA")</f>
        <v>CARMONA</v>
      </c>
      <c r="Q1213" s="1" t="str">
        <f>IFERROR(__xludf.DUMMYFUNCTION("""COMPUTED_VALUE"""),"CAVITE")</f>
        <v>CAVITE</v>
      </c>
      <c r="R1213" s="1" t="str">
        <f>IFERROR(__xludf.DUMMYFUNCTION("""COMPUTED_VALUE"""),"SWITCH FIBER UNLI ALL 1799")</f>
        <v>SWITCH FIBER UNLI ALL 1799</v>
      </c>
      <c r="S1213" s="1" t="str">
        <f>IFERROR(__xludf.DUMMYFUNCTION("""COMPUTED_VALUE"""),"APPROVED")</f>
        <v>APPROVED</v>
      </c>
      <c r="T1213" s="1" t="str">
        <f>IFERROR(__xludf.DUMMYFUNCTION("""COMPUTED_VALUE"""),"POSTED")</f>
        <v>POSTED</v>
      </c>
      <c r="U1213" s="1"/>
      <c r="V1213" s="1"/>
      <c r="W1213" s="1"/>
    </row>
    <row r="1214" customHeight="1" spans="1:23">
      <c r="A1214" s="3">
        <f>IFERROR(__xludf.DUMMYFUNCTION("""COMPUTED_VALUE"""),46127)</f>
        <v>46127</v>
      </c>
      <c r="B1214" s="1" t="str">
        <f>IFERROR(__xludf.DUMMYFUNCTION("""COMPUTED_VALUE"""),"AYON MANUEL")</f>
        <v>AYON MANUEL</v>
      </c>
      <c r="C1214" s="1" t="str">
        <f>IFERROR(__xludf.DUMMYFUNCTION("""COMPUTED_VALUE"""),"FLA")</f>
        <v>FLA</v>
      </c>
      <c r="D1214" s="1" t="str">
        <f>IFERROR(__xludf.DUMMYFUNCTION("""COMPUTED_VALUE"""),"JERIC NAVARRO")</f>
        <v>JERIC NAVARRO</v>
      </c>
      <c r="E1214" s="1" t="str">
        <f>IFERROR(__xludf.DUMMYFUNCTION("""COMPUTED_VALUE"""),"PLDT")</f>
        <v>PLDT</v>
      </c>
      <c r="F1214" s="1">
        <f>IFERROR(__xludf.DUMMYFUNCTION("""COMPUTED_VALUE"""),2308877524)</f>
        <v>2308877524</v>
      </c>
      <c r="G1214" s="1">
        <f>IFERROR(__xludf.DUMMYFUNCTION("""COMPUTED_VALUE"""),450887128004)</f>
        <v>450887128004</v>
      </c>
      <c r="H1214" s="1" t="str">
        <f>IFERROR(__xludf.DUMMYFUNCTION("""COMPUTED_VALUE"""),"ORLANDO GARCIA DE LUNA")</f>
        <v>ORLANDO GARCIA DE LUNA</v>
      </c>
      <c r="I1214" s="1">
        <f>IFERROR(__xludf.DUMMYFUNCTION("""COMPUTED_VALUE"""),9276655972)</f>
        <v>9276655972</v>
      </c>
      <c r="J1214" s="1">
        <f>IFERROR(__xludf.DUMMYFUNCTION("""COMPUTED_VALUE"""),9185386617)</f>
        <v>9185386617</v>
      </c>
      <c r="K1214" s="1" t="str">
        <f>IFERROR(__xludf.DUMMYFUNCTION("""COMPUTED_VALUE"""),"JINGLOVEDELUNA@GMAIL.COM")</f>
        <v>JINGLOVEDELUNA@GMAIL.COM</v>
      </c>
      <c r="L1214" s="1" t="str">
        <f>IFERROR(__xludf.DUMMYFUNCTION("""COMPUTED_VALUE"""),"41")</f>
        <v>41</v>
      </c>
      <c r="M1214" s="1" t="str">
        <f>IFERROR(__xludf.DUMMYFUNCTION("""COMPUTED_VALUE"""),"CARASUCHI")</f>
        <v>CARASUCHI</v>
      </c>
      <c r="N1214" s="1"/>
      <c r="O1214" s="1" t="str">
        <f>IFERROR(__xludf.DUMMYFUNCTION("""COMPUTED_VALUE"""),"ANULING CERCA II")</f>
        <v>ANULING CERCA II</v>
      </c>
      <c r="P1214" s="1" t="str">
        <f>IFERROR(__xludf.DUMMYFUNCTION("""COMPUTED_VALUE"""),"MENDEZ")</f>
        <v>MENDEZ</v>
      </c>
      <c r="Q1214" s="1" t="str">
        <f>IFERROR(__xludf.DUMMYFUNCTION("""COMPUTED_VALUE"""),"CAVITE")</f>
        <v>CAVITE</v>
      </c>
      <c r="R1214" s="1" t="str">
        <f>IFERROR(__xludf.DUMMYFUNCTION("""COMPUTED_VALUE"""),"FIBR UNLI ALL PLAN 1399")</f>
        <v>FIBR UNLI ALL PLAN 1399</v>
      </c>
      <c r="S1214" s="1" t="str">
        <f>IFERROR(__xludf.DUMMYFUNCTION("""COMPUTED_VALUE"""),"APPROVED")</f>
        <v>APPROVED</v>
      </c>
      <c r="T1214" s="1" t="str">
        <f>IFERROR(__xludf.DUMMYFUNCTION("""COMPUTED_VALUE"""),"POSTED")</f>
        <v>POSTED</v>
      </c>
      <c r="U1214" s="1"/>
      <c r="V1214" s="1"/>
      <c r="W1214" s="1"/>
    </row>
    <row r="1215" customHeight="1" spans="1:23">
      <c r="A1215" s="3">
        <f>IFERROR(__xludf.DUMMYFUNCTION("""COMPUTED_VALUE"""),46127)</f>
        <v>46127</v>
      </c>
      <c r="B1215" s="1" t="str">
        <f>IFERROR(__xludf.DUMMYFUNCTION("""COMPUTED_VALUE"""),"AQUINO, LUIS")</f>
        <v>AQUINO, LUIS</v>
      </c>
      <c r="C1215" s="1" t="str">
        <f>IFERROR(__xludf.DUMMYFUNCTION("""COMPUTED_VALUE"""),"ORGANIC")</f>
        <v>ORGANIC</v>
      </c>
      <c r="D1215" s="1" t="str">
        <f>IFERROR(__xludf.DUMMYFUNCTION("""COMPUTED_VALUE"""),"ALOS, CHARLS")</f>
        <v>ALOS, CHARLS</v>
      </c>
      <c r="E1215" s="1" t="str">
        <f>IFERROR(__xludf.DUMMYFUNCTION("""COMPUTED_VALUE"""),"PLDT")</f>
        <v>PLDT</v>
      </c>
      <c r="F1215" s="1">
        <f>IFERROR(__xludf.DUMMYFUNCTION("""COMPUTED_VALUE"""),2308886524)</f>
        <v>2308886524</v>
      </c>
      <c r="G1215" s="1">
        <f>IFERROR(__xludf.DUMMYFUNCTION("""COMPUTED_VALUE"""),450947166004)</f>
        <v>450947166004</v>
      </c>
      <c r="H1215" s="1" t="str">
        <f>IFERROR(__xludf.DUMMYFUNCTION("""COMPUTED_VALUE"""),"RAQUEL ALFONSO NAVARRO")</f>
        <v>RAQUEL ALFONSO NAVARRO</v>
      </c>
      <c r="I1215" s="1">
        <f>IFERROR(__xludf.DUMMYFUNCTION("""COMPUTED_VALUE"""),9175144168)</f>
        <v>9175144168</v>
      </c>
      <c r="J1215" s="1"/>
      <c r="K1215" s="1" t="str">
        <f>IFERROR(__xludf.DUMMYFUNCTION("""COMPUTED_VALUE"""),"MIRAQUELINC@SBCGLOBAL.NET")</f>
        <v>MIRAQUELINC@SBCGLOBAL.NET</v>
      </c>
      <c r="L1215" s="1" t="str">
        <f>IFERROR(__xludf.DUMMYFUNCTION("""COMPUTED_VALUE"""),"L128B")</f>
        <v>L128B</v>
      </c>
      <c r="M1215" s="1" t="str">
        <f>IFERROR(__xludf.DUMMYFUNCTION("""COMPUTED_VALUE"""),"THE VINYARD")</f>
        <v>THE VINYARD</v>
      </c>
      <c r="N1215" s="1"/>
      <c r="O1215" s="1"/>
      <c r="P1215" s="1"/>
      <c r="Q1215" s="1" t="str">
        <f>IFERROR(__xludf.DUMMYFUNCTION("""COMPUTED_VALUE"""),"BATANGAS")</f>
        <v>BATANGAS</v>
      </c>
      <c r="R1215" s="1" t="str">
        <f>IFERROR(__xludf.DUMMYFUNCTION("""COMPUTED_VALUE"""),"FIBR PLAN 1299")</f>
        <v>FIBR PLAN 1299</v>
      </c>
      <c r="S1215" s="1" t="str">
        <f>IFERROR(__xludf.DUMMYFUNCTION("""COMPUTED_VALUE"""),"APPROVED")</f>
        <v>APPROVED</v>
      </c>
      <c r="T1215" s="1" t="str">
        <f>IFERROR(__xludf.DUMMYFUNCTION("""COMPUTED_VALUE"""),"POSTED")</f>
        <v>POSTED</v>
      </c>
      <c r="U1215" s="1"/>
      <c r="V1215" s="1"/>
      <c r="W1215" s="1"/>
    </row>
    <row r="1216" customHeight="1" spans="1:23">
      <c r="A1216" s="3">
        <f>IFERROR(__xludf.DUMMYFUNCTION("""COMPUTED_VALUE"""),46127)</f>
        <v>46127</v>
      </c>
      <c r="B1216" s="1" t="str">
        <f>IFERROR(__xludf.DUMMYFUNCTION("""COMPUTED_VALUE"""),"CANTANERO JUNEL")</f>
        <v>CANTANERO JUNEL</v>
      </c>
      <c r="C1216" s="1" t="str">
        <f>IFERROR(__xludf.DUMMYFUNCTION("""COMPUTED_VALUE"""),"ORGANIC")</f>
        <v>ORGANIC</v>
      </c>
      <c r="D1216" s="1" t="str">
        <f>IFERROR(__xludf.DUMMYFUNCTION("""COMPUTED_VALUE"""),"ALINGARO, CINDY")</f>
        <v>ALINGARO, CINDY</v>
      </c>
      <c r="E1216" s="1" t="str">
        <f>IFERROR(__xludf.DUMMYFUNCTION("""COMPUTED_VALUE"""),"PLDT")</f>
        <v>PLDT</v>
      </c>
      <c r="F1216" s="1">
        <f>IFERROR(__xludf.DUMMYFUNCTION("""COMPUTED_VALUE"""),2308878545)</f>
        <v>2308878545</v>
      </c>
      <c r="G1216" s="1">
        <f>IFERROR(__xludf.DUMMYFUNCTION("""COMPUTED_VALUE"""),450825110004)</f>
        <v>450825110004</v>
      </c>
      <c r="H1216" s="1" t="str">
        <f>IFERROR(__xludf.DUMMYFUNCTION("""COMPUTED_VALUE"""),"ROYEN PHILIP CEZAR")</f>
        <v>ROYEN PHILIP CEZAR</v>
      </c>
      <c r="I1216" s="1">
        <f>IFERROR(__xludf.DUMMYFUNCTION("""COMPUTED_VALUE"""),9932683475)</f>
        <v>9932683475</v>
      </c>
      <c r="J1216" s="1">
        <f>IFERROR(__xludf.DUMMYFUNCTION("""COMPUTED_VALUE"""),9244481250)</f>
        <v>9244481250</v>
      </c>
      <c r="K1216" s="1" t="str">
        <f>IFERROR(__xludf.DUMMYFUNCTION("""COMPUTED_VALUE"""),"ROYENCEZAR@GMAIL.COM")</f>
        <v>ROYENCEZAR@GMAIL.COM</v>
      </c>
      <c r="L1216" s="1" t="str">
        <f>IFERROR(__xludf.DUMMYFUNCTION("""COMPUTED_VALUE"""),"BLK 14 LOT 10")</f>
        <v>BLK 14 LOT 10</v>
      </c>
      <c r="M1216" s="1" t="str">
        <f>IFERROR(__xludf.DUMMYFUNCTION("""COMPUTED_VALUE"""),"BUKLURAN 4")</f>
        <v>BUKLURAN 4</v>
      </c>
      <c r="N1216" s="1"/>
      <c r="O1216" s="1" t="str">
        <f>IFERROR(__xludf.DUMMYFUNCTION("""COMPUTED_VALUE"""),"BULIHAN")</f>
        <v>BULIHAN</v>
      </c>
      <c r="P1216" s="1" t="str">
        <f>IFERROR(__xludf.DUMMYFUNCTION("""COMPUTED_VALUE"""),"SILANG")</f>
        <v>SILANG</v>
      </c>
      <c r="Q1216" s="1" t="str">
        <f>IFERROR(__xludf.DUMMYFUNCTION("""COMPUTED_VALUE"""),"CAVITE")</f>
        <v>CAVITE</v>
      </c>
      <c r="R1216" s="1" t="str">
        <f>IFERROR(__xludf.DUMMYFUNCTION("""COMPUTED_VALUE"""),"FIBR PLAN 1299")</f>
        <v>FIBR PLAN 1299</v>
      </c>
      <c r="S1216" s="1" t="str">
        <f>IFERROR(__xludf.DUMMYFUNCTION("""COMPUTED_VALUE"""),"APPROVED")</f>
        <v>APPROVED</v>
      </c>
      <c r="T1216" s="1" t="str">
        <f>IFERROR(__xludf.DUMMYFUNCTION("""COMPUTED_VALUE"""),"AFD")</f>
        <v>AFD</v>
      </c>
      <c r="U1216" s="1"/>
      <c r="V1216" s="1"/>
      <c r="W1216" s="1"/>
    </row>
    <row r="1217" customHeight="1" spans="1:23">
      <c r="A1217" s="3">
        <f>IFERROR(__xludf.DUMMYFUNCTION("""COMPUTED_VALUE"""),46128)</f>
        <v>46128</v>
      </c>
      <c r="B1217" s="1" t="str">
        <f>IFERROR(__xludf.DUMMYFUNCTION("""COMPUTED_VALUE"""),"REMOLLO, LEA")</f>
        <v>REMOLLO, LEA</v>
      </c>
      <c r="C1217" s="1" t="str">
        <f>IFERROR(__xludf.DUMMYFUNCTION("""COMPUTED_VALUE"""),"FLA")</f>
        <v>FLA</v>
      </c>
      <c r="D1217" s="1" t="str">
        <f>IFERROR(__xludf.DUMMYFUNCTION("""COMPUTED_VALUE"""),"JERIC NAVARRO")</f>
        <v>JERIC NAVARRO</v>
      </c>
      <c r="E1217" s="1" t="str">
        <f>IFERROR(__xludf.DUMMYFUNCTION("""COMPUTED_VALUE"""),"PLDT")</f>
        <v>PLDT</v>
      </c>
      <c r="F1217" s="1">
        <f>IFERROR(__xludf.DUMMYFUNCTION("""COMPUTED_VALUE"""),2308889409)</f>
        <v>2308889409</v>
      </c>
      <c r="G1217" s="1">
        <f>IFERROR(__xludf.DUMMYFUNCTION("""COMPUTED_VALUE"""),450948733004)</f>
        <v>450948733004</v>
      </c>
      <c r="H1217" s="1" t="str">
        <f>IFERROR(__xludf.DUMMYFUNCTION("""COMPUTED_VALUE"""),"ARMANDA TACASA RUBI CRUZ")</f>
        <v>ARMANDA TACASA RUBI CRUZ</v>
      </c>
      <c r="I1217" s="1">
        <f>IFERROR(__xludf.DUMMYFUNCTION("""COMPUTED_VALUE"""),9452745992)</f>
        <v>9452745992</v>
      </c>
      <c r="J1217" s="1"/>
      <c r="K1217" s="1" t="str">
        <f>IFERROR(__xludf.DUMMYFUNCTION("""COMPUTED_VALUE"""),"LOL4GAMERPLAYZ40@GMAIL.COM")</f>
        <v>LOL4GAMERPLAYZ40@GMAIL.COM</v>
      </c>
      <c r="L1217" s="1" t="str">
        <f>IFERROR(__xludf.DUMMYFUNCTION("""COMPUTED_VALUE"""),"120")</f>
        <v>120</v>
      </c>
      <c r="M1217" s="1" t="str">
        <f>IFERROR(__xludf.DUMMYFUNCTION("""COMPUTED_VALUE"""),"KAPITAN PEPE ST")</f>
        <v>KAPITAN PEPE ST</v>
      </c>
      <c r="N1217" s="1"/>
      <c r="O1217" s="1" t="str">
        <f>IFERROR(__xludf.DUMMYFUNCTION("""COMPUTED_VALUE"""),"TUBUAN III")</f>
        <v>TUBUAN III</v>
      </c>
      <c r="P1217" s="1" t="str">
        <f>IFERROR(__xludf.DUMMYFUNCTION("""COMPUTED_VALUE"""),"SILANG")</f>
        <v>SILANG</v>
      </c>
      <c r="Q1217" s="1" t="str">
        <f>IFERROR(__xludf.DUMMYFUNCTION("""COMPUTED_VALUE"""),"CAVITE")</f>
        <v>CAVITE</v>
      </c>
      <c r="R1217" s="1" t="str">
        <f>IFERROR(__xludf.DUMMYFUNCTION("""COMPUTED_VALUE"""),"FIBR PLAN 1299")</f>
        <v>FIBR PLAN 1299</v>
      </c>
      <c r="S1217" s="1" t="str">
        <f>IFERROR(__xludf.DUMMYFUNCTION("""COMPUTED_VALUE"""),"APPROVED")</f>
        <v>APPROVED</v>
      </c>
      <c r="T1217" s="1" t="str">
        <f>IFERROR(__xludf.DUMMYFUNCTION("""COMPUTED_VALUE"""),"POSTED")</f>
        <v>POSTED</v>
      </c>
      <c r="U1217" s="1"/>
      <c r="V1217" s="1"/>
      <c r="W1217" s="1"/>
    </row>
    <row r="1218" customHeight="1" spans="1:23">
      <c r="A1218" s="3">
        <f>IFERROR(__xludf.DUMMYFUNCTION("""COMPUTED_VALUE"""),46128)</f>
        <v>46128</v>
      </c>
      <c r="B1218" s="1" t="str">
        <f>IFERROR(__xludf.DUMMYFUNCTION("""COMPUTED_VALUE"""),"BUNSO, DRIVER")</f>
        <v>BUNSO, DRIVER</v>
      </c>
      <c r="C1218" s="1" t="str">
        <f>IFERROR(__xludf.DUMMYFUNCTION("""COMPUTED_VALUE"""),"FLA")</f>
        <v>FLA</v>
      </c>
      <c r="D1218" s="1" t="str">
        <f>IFERROR(__xludf.DUMMYFUNCTION("""COMPUTED_VALUE"""),"JERIC NAVARRO")</f>
        <v>JERIC NAVARRO</v>
      </c>
      <c r="E1218" s="1" t="str">
        <f>IFERROR(__xludf.DUMMYFUNCTION("""COMPUTED_VALUE"""),"PLDT")</f>
        <v>PLDT</v>
      </c>
      <c r="F1218" s="1">
        <f>IFERROR(__xludf.DUMMYFUNCTION("""COMPUTED_VALUE"""),2308889837)</f>
        <v>2308889837</v>
      </c>
      <c r="G1218" s="1">
        <f>IFERROR(__xludf.DUMMYFUNCTION("""COMPUTED_VALUE"""),450951795004)</f>
        <v>450951795004</v>
      </c>
      <c r="H1218" s="1" t="str">
        <f>IFERROR(__xludf.DUMMYFUNCTION("""COMPUTED_VALUE"""),"CHANE SIVA ROLLAN")</f>
        <v>CHANE SIVA ROLLAN</v>
      </c>
      <c r="I1218" s="1">
        <f>IFERROR(__xludf.DUMMYFUNCTION("""COMPUTED_VALUE"""),9459771907)</f>
        <v>9459771907</v>
      </c>
      <c r="J1218" s="1"/>
      <c r="K1218" s="1" t="str">
        <f>IFERROR(__xludf.DUMMYFUNCTION("""COMPUTED_VALUE"""),"SIVAROLLAN@GMAIL.COM")</f>
        <v>SIVAROLLAN@GMAIL.COM</v>
      </c>
      <c r="L1218" s="1" t="str">
        <f>IFERROR(__xludf.DUMMYFUNCTION("""COMPUTED_VALUE"""),"BLK 225 LOT 25")</f>
        <v>BLK 225 LOT 25</v>
      </c>
      <c r="M1218" s="1" t="str">
        <f>IFERROR(__xludf.DUMMYFUNCTION("""COMPUTED_VALUE"""),"PHASE 5")</f>
        <v>PHASE 5</v>
      </c>
      <c r="N1218" s="1"/>
      <c r="O1218" s="1" t="str">
        <f>IFERROR(__xludf.DUMMYFUNCTION("""COMPUTED_VALUE"""),"PALIPARAN III")</f>
        <v>PALIPARAN III</v>
      </c>
      <c r="P1218" s="1" t="str">
        <f>IFERROR(__xludf.DUMMYFUNCTION("""COMPUTED_VALUE"""),"DASMARINAS")</f>
        <v>DASMARINAS</v>
      </c>
      <c r="Q1218" s="1" t="str">
        <f>IFERROR(__xludf.DUMMYFUNCTION("""COMPUTED_VALUE"""),"CAVITE")</f>
        <v>CAVITE</v>
      </c>
      <c r="R1218" s="1" t="str">
        <f>IFERROR(__xludf.DUMMYFUNCTION("""COMPUTED_VALUE"""),"FIBR UNLI ALL PLAN 1799")</f>
        <v>FIBR UNLI ALL PLAN 1799</v>
      </c>
      <c r="S1218" s="1" t="str">
        <f>IFERROR(__xludf.DUMMYFUNCTION("""COMPUTED_VALUE"""),"APPROVED")</f>
        <v>APPROVED</v>
      </c>
      <c r="T1218" s="1" t="str">
        <f>IFERROR(__xludf.DUMMYFUNCTION("""COMPUTED_VALUE"""),"POSTED")</f>
        <v>POSTED</v>
      </c>
      <c r="U1218" s="1"/>
      <c r="V1218" s="1"/>
      <c r="W1218" s="1"/>
    </row>
    <row r="1219" customHeight="1" spans="1:23">
      <c r="A1219" s="3">
        <f>IFERROR(__xludf.DUMMYFUNCTION("""COMPUTED_VALUE"""),46128)</f>
        <v>46128</v>
      </c>
      <c r="B1219" s="1" t="str">
        <f>IFERROR(__xludf.DUMMYFUNCTION("""COMPUTED_VALUE"""),"FARO, REFRANTA")</f>
        <v>FARO, REFRANTA</v>
      </c>
      <c r="C1219" s="1" t="str">
        <f>IFERROR(__xludf.DUMMYFUNCTION("""COMPUTED_VALUE"""),"ORGANIC")</f>
        <v>ORGANIC</v>
      </c>
      <c r="D1219" s="1" t="str">
        <f>IFERROR(__xludf.DUMMYFUNCTION("""COMPUTED_VALUE"""),"ALINGARO, CINDY")</f>
        <v>ALINGARO, CINDY</v>
      </c>
      <c r="E1219" s="1" t="str">
        <f>IFERROR(__xludf.DUMMYFUNCTION("""COMPUTED_VALUE"""),"PLDT")</f>
        <v>PLDT</v>
      </c>
      <c r="F1219" s="1">
        <f>IFERROR(__xludf.DUMMYFUNCTION("""COMPUTED_VALUE"""),2308891118)</f>
        <v>2308891118</v>
      </c>
      <c r="G1219" s="1">
        <f>IFERROR(__xludf.DUMMYFUNCTION("""COMPUTED_VALUE"""),450952135004)</f>
        <v>450952135004</v>
      </c>
      <c r="H1219" s="1" t="str">
        <f>IFERROR(__xludf.DUMMYFUNCTION("""COMPUTED_VALUE"""),"JESUS VIZCARA MUNOZ")</f>
        <v>JESUS VIZCARA MUNOZ</v>
      </c>
      <c r="I1219" s="1">
        <f>IFERROR(__xludf.DUMMYFUNCTION("""COMPUTED_VALUE"""),9657660526)</f>
        <v>9657660526</v>
      </c>
      <c r="J1219" s="1"/>
      <c r="K1219" s="1" t="str">
        <f>IFERROR(__xludf.DUMMYFUNCTION("""COMPUTED_VALUE"""),"RONNIEDELACRUZ333@GMAIL.COM")</f>
        <v>RONNIEDELACRUZ333@GMAIL.COM</v>
      </c>
      <c r="L1219" s="1" t="str">
        <f>IFERROR(__xludf.DUMMYFUNCTION("""COMPUTED_VALUE"""),"D-13")</f>
        <v>D-13</v>
      </c>
      <c r="M1219" s="1" t="str">
        <f>IFERROR(__xludf.DUMMYFUNCTION("""COMPUTED_VALUE"""),"MAGLAVE DRVE")</f>
        <v>MAGLAVE DRVE</v>
      </c>
      <c r="N1219" s="1"/>
      <c r="O1219" s="1" t="str">
        <f>IFERROR(__xludf.DUMMYFUNCTION("""COMPUTED_VALUE"""),"ANULING CERCA I")</f>
        <v>ANULING CERCA I</v>
      </c>
      <c r="P1219" s="1" t="str">
        <f>IFERROR(__xludf.DUMMYFUNCTION("""COMPUTED_VALUE"""),"MENDEZ")</f>
        <v>MENDEZ</v>
      </c>
      <c r="Q1219" s="1" t="str">
        <f>IFERROR(__xludf.DUMMYFUNCTION("""COMPUTED_VALUE"""),"CAVITE")</f>
        <v>CAVITE</v>
      </c>
      <c r="R1219" s="1" t="str">
        <f>IFERROR(__xludf.DUMMYFUNCTION("""COMPUTED_VALUE"""),"FIBR NETFLIX PLAN 1599")</f>
        <v>FIBR NETFLIX PLAN 1599</v>
      </c>
      <c r="S1219" s="1" t="str">
        <f>IFERROR(__xludf.DUMMYFUNCTION("""COMPUTED_VALUE"""),"APPROVED")</f>
        <v>APPROVED</v>
      </c>
      <c r="T1219" s="1" t="str">
        <f>IFERROR(__xludf.DUMMYFUNCTION("""COMPUTED_VALUE"""),"POSTED")</f>
        <v>POSTED</v>
      </c>
      <c r="U1219" s="1"/>
      <c r="V1219" s="1"/>
      <c r="W1219" s="1"/>
    </row>
    <row r="1220" customHeight="1" spans="1:23">
      <c r="A1220" s="3">
        <f>IFERROR(__xludf.DUMMYFUNCTION("""COMPUTED_VALUE"""),46128)</f>
        <v>46128</v>
      </c>
      <c r="B1220" s="1" t="str">
        <f>IFERROR(__xludf.DUMMYFUNCTION("""COMPUTED_VALUE"""),"AYON MANUEL")</f>
        <v>AYON MANUEL</v>
      </c>
      <c r="C1220" s="1" t="str">
        <f>IFERROR(__xludf.DUMMYFUNCTION("""COMPUTED_VALUE"""),"FLA")</f>
        <v>FLA</v>
      </c>
      <c r="D1220" s="1" t="str">
        <f>IFERROR(__xludf.DUMMYFUNCTION("""COMPUTED_VALUE"""),"JERIC NAVARRO")</f>
        <v>JERIC NAVARRO</v>
      </c>
      <c r="E1220" s="1" t="str">
        <f>IFERROR(__xludf.DUMMYFUNCTION("""COMPUTED_VALUE"""),"PLDT")</f>
        <v>PLDT</v>
      </c>
      <c r="F1220" s="1">
        <f>IFERROR(__xludf.DUMMYFUNCTION("""COMPUTED_VALUE"""),2308892840)</f>
        <v>2308892840</v>
      </c>
      <c r="G1220" s="1"/>
      <c r="H1220" s="1" t="str">
        <f>IFERROR(__xludf.DUMMYFUNCTION("""COMPUTED_VALUE"""),"ANGELINE AYCARDO PERIDO")</f>
        <v>ANGELINE AYCARDO PERIDO</v>
      </c>
      <c r="I1220" s="1">
        <f>IFERROR(__xludf.DUMMYFUNCTION("""COMPUTED_VALUE"""),9489562601)</f>
        <v>9489562601</v>
      </c>
      <c r="J1220" s="1">
        <f>IFERROR(__xludf.DUMMYFUNCTION("""COMPUTED_VALUE"""),9957202756)</f>
        <v>9957202756</v>
      </c>
      <c r="K1220" s="1" t="str">
        <f>IFERROR(__xludf.DUMMYFUNCTION("""COMPUTED_VALUE"""),"APERIDO3@GMAIL.COM")</f>
        <v>APERIDO3@GMAIL.COM</v>
      </c>
      <c r="L1220" s="1" t="str">
        <f>IFERROR(__xludf.DUMMYFUNCTION("""COMPUTED_VALUE"""),"BLK 6 LOT 6")</f>
        <v>BLK 6 LOT 6</v>
      </c>
      <c r="M1220" s="1" t="str">
        <f>IFERROR(__xludf.DUMMYFUNCTION("""COMPUTED_VALUE"""),"PHASE 2")</f>
        <v>PHASE 2</v>
      </c>
      <c r="N1220" s="1" t="str">
        <f>IFERROR(__xludf.DUMMYFUNCTION("""COMPUTED_VALUE"""),"WINDWARD HOMES")</f>
        <v>WINDWARD HOMES</v>
      </c>
      <c r="O1220" s="1" t="str">
        <f>IFERROR(__xludf.DUMMYFUNCTION("""COMPUTED_VALUE"""),"BUROL I")</f>
        <v>BUROL I</v>
      </c>
      <c r="P1220" s="1" t="str">
        <f>IFERROR(__xludf.DUMMYFUNCTION("""COMPUTED_VALUE"""),"DASMARINAS")</f>
        <v>DASMARINAS</v>
      </c>
      <c r="Q1220" s="1" t="str">
        <f>IFERROR(__xludf.DUMMYFUNCTION("""COMPUTED_VALUE"""),"CAVITE")</f>
        <v>CAVITE</v>
      </c>
      <c r="R1220" s="1" t="str">
        <f>IFERROR(__xludf.DUMMYFUNCTION("""COMPUTED_VALUE"""),"FIBR PLAN 1299")</f>
        <v>FIBR PLAN 1299</v>
      </c>
      <c r="S1220" s="1" t="str">
        <f>IFERROR(__xludf.DUMMYFUNCTION("""COMPUTED_VALUE"""),"APPROVED")</f>
        <v>APPROVED</v>
      </c>
      <c r="T1220" s="1" t="str">
        <f>IFERROR(__xludf.DUMMYFUNCTION("""COMPUTED_VALUE"""),"CANCELLED WITH OB")</f>
        <v>CANCELLED WITH OB</v>
      </c>
      <c r="U1220" s="1"/>
      <c r="V1220" s="1"/>
      <c r="W1220" s="1"/>
    </row>
    <row r="1221" customHeight="1" spans="1:23">
      <c r="A1221" s="3">
        <f>IFERROR(__xludf.DUMMYFUNCTION("""COMPUTED_VALUE"""),46128)</f>
        <v>46128</v>
      </c>
      <c r="B1221" s="1" t="str">
        <f>IFERROR(__xludf.DUMMYFUNCTION("""COMPUTED_VALUE"""),"CABRERA JILLIENE")</f>
        <v>CABRERA JILLIENE</v>
      </c>
      <c r="C1221" s="1" t="str">
        <f>IFERROR(__xludf.DUMMYFUNCTION("""COMPUTED_VALUE"""),"ORGANIC")</f>
        <v>ORGANIC</v>
      </c>
      <c r="D1221" s="1" t="str">
        <f>IFERROR(__xludf.DUMMYFUNCTION("""COMPUTED_VALUE"""),"ALOS, CHARLS")</f>
        <v>ALOS, CHARLS</v>
      </c>
      <c r="E1221" s="1" t="str">
        <f>IFERROR(__xludf.DUMMYFUNCTION("""COMPUTED_VALUE"""),"PLDT")</f>
        <v>PLDT</v>
      </c>
      <c r="F1221" s="1">
        <f>IFERROR(__xludf.DUMMYFUNCTION("""COMPUTED_VALUE"""),2308895257)</f>
        <v>2308895257</v>
      </c>
      <c r="G1221" s="1">
        <f>IFERROR(__xludf.DUMMYFUNCTION("""COMPUTED_VALUE"""),450956177004)</f>
        <v>450956177004</v>
      </c>
      <c r="H1221" s="1" t="str">
        <f>IFERROR(__xludf.DUMMYFUNCTION("""COMPUTED_VALUE"""),"NICOLE CANTERAS CABIGAN")</f>
        <v>NICOLE CANTERAS CABIGAN</v>
      </c>
      <c r="I1221" s="1">
        <f>IFERROR(__xludf.DUMMYFUNCTION("""COMPUTED_VALUE"""),9634498182)</f>
        <v>9634498182</v>
      </c>
      <c r="J1221" s="1"/>
      <c r="K1221" s="1" t="str">
        <f>IFERROR(__xludf.DUMMYFUNCTION("""COMPUTED_VALUE"""),"CANTERASNICOLE3@GMAIL,COM")</f>
        <v>CANTERASNICOLE3@GMAIL,COM</v>
      </c>
      <c r="L1221" s="1" t="str">
        <f>IFERROR(__xludf.DUMMYFUNCTION("""COMPUTED_VALUE"""),"9005")</f>
        <v>9005</v>
      </c>
      <c r="M1221" s="1" t="str">
        <f>IFERROR(__xludf.DUMMYFUNCTION("""COMPUTED_VALUE"""),"SITIO MANALO")</f>
        <v>SITIO MANALO</v>
      </c>
      <c r="N1221" s="1"/>
      <c r="O1221" s="1" t="str">
        <f>IFERROR(__xludf.DUMMYFUNCTION("""COMPUTED_VALUE"""),"SAMPALOC III")</f>
        <v>SAMPALOC III</v>
      </c>
      <c r="P1221" s="1" t="str">
        <f>IFERROR(__xludf.DUMMYFUNCTION("""COMPUTED_VALUE"""),"DASMARINAS")</f>
        <v>DASMARINAS</v>
      </c>
      <c r="Q1221" s="1" t="str">
        <f>IFERROR(__xludf.DUMMYFUNCTION("""COMPUTED_VALUE"""),"CAVITE")</f>
        <v>CAVITE</v>
      </c>
      <c r="R1221" s="1" t="str">
        <f>IFERROR(__xludf.DUMMYFUNCTION("""COMPUTED_VALUE"""),"FIBR PLAN 1299")</f>
        <v>FIBR PLAN 1299</v>
      </c>
      <c r="S1221" s="1" t="str">
        <f>IFERROR(__xludf.DUMMYFUNCTION("""COMPUTED_VALUE"""),"APPROVED")</f>
        <v>APPROVED</v>
      </c>
      <c r="T1221" s="1" t="str">
        <f>IFERROR(__xludf.DUMMYFUNCTION("""COMPUTED_VALUE"""),"CANCELLED- FOR PAYMENT")</f>
        <v>CANCELLED- FOR PAYMENT</v>
      </c>
      <c r="U1221" s="1"/>
      <c r="V1221" s="1"/>
      <c r="W1221" s="1"/>
    </row>
    <row r="1222" customHeight="1" spans="1:23">
      <c r="A1222" s="3">
        <f>IFERROR(__xludf.DUMMYFUNCTION("""COMPUTED_VALUE"""),46128)</f>
        <v>46128</v>
      </c>
      <c r="B1222" s="1" t="str">
        <f>IFERROR(__xludf.DUMMYFUNCTION("""COMPUTED_VALUE"""),"CONCEPCION, ALJAY")</f>
        <v>CONCEPCION, ALJAY</v>
      </c>
      <c r="C1222" s="1" t="str">
        <f>IFERROR(__xludf.DUMMYFUNCTION("""COMPUTED_VALUE"""),"ORGANIC")</f>
        <v>ORGANIC</v>
      </c>
      <c r="D1222" s="1" t="str">
        <f>IFERROR(__xludf.DUMMYFUNCTION("""COMPUTED_VALUE"""),"ALINGARO, CINDY")</f>
        <v>ALINGARO, CINDY</v>
      </c>
      <c r="E1222" s="1" t="str">
        <f>IFERROR(__xludf.DUMMYFUNCTION("""COMPUTED_VALUE"""),"PLDT")</f>
        <v>PLDT</v>
      </c>
      <c r="F1222" s="1">
        <f>IFERROR(__xludf.DUMMYFUNCTION("""COMPUTED_VALUE"""),2308894862)</f>
        <v>2308894862</v>
      </c>
      <c r="G1222" s="1">
        <f>IFERROR(__xludf.DUMMYFUNCTION("""COMPUTED_VALUE"""),450957856004)</f>
        <v>450957856004</v>
      </c>
      <c r="H1222" s="1" t="str">
        <f>IFERROR(__xludf.DUMMYFUNCTION("""COMPUTED_VALUE"""),"RODEL HAYAG CAMAIN")</f>
        <v>RODEL HAYAG CAMAIN</v>
      </c>
      <c r="I1222" s="1">
        <f>IFERROR(__xludf.DUMMYFUNCTION("""COMPUTED_VALUE"""),9072998131)</f>
        <v>9072998131</v>
      </c>
      <c r="J1222" s="1">
        <f>IFERROR(__xludf.DUMMYFUNCTION("""COMPUTED_VALUE"""),9635607501)</f>
        <v>9635607501</v>
      </c>
      <c r="K1222" s="1" t="str">
        <f>IFERROR(__xludf.DUMMYFUNCTION("""COMPUTED_VALUE"""),"RAILYNCAMAIN@GMAIL.COM")</f>
        <v>RAILYNCAMAIN@GMAIL.COM</v>
      </c>
      <c r="L1222" s="1" t="str">
        <f>IFERROR(__xludf.DUMMYFUNCTION("""COMPUTED_VALUE"""),"3")</f>
        <v>3</v>
      </c>
      <c r="M1222" s="1" t="str">
        <f>IFERROR(__xludf.DUMMYFUNCTION("""COMPUTED_VALUE"""),"PUROK 5")</f>
        <v>PUROK 5</v>
      </c>
      <c r="N1222" s="1"/>
      <c r="O1222" s="1" t="str">
        <f>IFERROR(__xludf.DUMMYFUNCTION("""COMPUTED_VALUE"""),"PASONG LANGKA")</f>
        <v>PASONG LANGKA</v>
      </c>
      <c r="P1222" s="1" t="str">
        <f>IFERROR(__xludf.DUMMYFUNCTION("""COMPUTED_VALUE"""),"SILANG")</f>
        <v>SILANG</v>
      </c>
      <c r="Q1222" s="1" t="str">
        <f>IFERROR(__xludf.DUMMYFUNCTION("""COMPUTED_VALUE"""),"CAVITE")</f>
        <v>CAVITE</v>
      </c>
      <c r="R1222" s="1" t="str">
        <f>IFERROR(__xludf.DUMMYFUNCTION("""COMPUTED_VALUE"""),"FIBR NETFLIX PLAN 1599")</f>
        <v>FIBR NETFLIX PLAN 1599</v>
      </c>
      <c r="S1222" s="1" t="str">
        <f>IFERROR(__xludf.DUMMYFUNCTION("""COMPUTED_VALUE"""),"APPROVED")</f>
        <v>APPROVED</v>
      </c>
      <c r="T1222" s="1" t="str">
        <f>IFERROR(__xludf.DUMMYFUNCTION("""COMPUTED_VALUE"""),"POSTED")</f>
        <v>POSTED</v>
      </c>
      <c r="U1222" s="1"/>
      <c r="V1222" s="1"/>
      <c r="W1222" s="1"/>
    </row>
    <row r="1223" customHeight="1" spans="1:23">
      <c r="A1223" s="3">
        <f>IFERROR(__xludf.DUMMYFUNCTION("""COMPUTED_VALUE"""),46128)</f>
        <v>46128</v>
      </c>
      <c r="B1223" s="1" t="str">
        <f>IFERROR(__xludf.DUMMYFUNCTION("""COMPUTED_VALUE"""),"DE VERA, MARIVIC")</f>
        <v>DE VERA, MARIVIC</v>
      </c>
      <c r="C1223" s="1" t="str">
        <f>IFERROR(__xludf.DUMMYFUNCTION("""COMPUTED_VALUE"""),"ORGANIC")</f>
        <v>ORGANIC</v>
      </c>
      <c r="D1223" s="1" t="str">
        <f>IFERROR(__xludf.DUMMYFUNCTION("""COMPUTED_VALUE"""),"ALINGARO, CINDY")</f>
        <v>ALINGARO, CINDY</v>
      </c>
      <c r="E1223" s="1" t="str">
        <f>IFERROR(__xludf.DUMMYFUNCTION("""COMPUTED_VALUE"""),"PLDT")</f>
        <v>PLDT</v>
      </c>
      <c r="F1223" s="1">
        <f>IFERROR(__xludf.DUMMYFUNCTION("""COMPUTED_VALUE"""),2308894435)</f>
        <v>2308894435</v>
      </c>
      <c r="G1223" s="1"/>
      <c r="H1223" s="1" t="str">
        <f>IFERROR(__xludf.DUMMYFUNCTION("""COMPUTED_VALUE"""),"ROMEO ORTIZ HORDO")</f>
        <v>ROMEO ORTIZ HORDO</v>
      </c>
      <c r="I1223" s="1">
        <f>IFERROR(__xludf.DUMMYFUNCTION("""COMPUTED_VALUE"""),9659904386)</f>
        <v>9659904386</v>
      </c>
      <c r="J1223" s="1"/>
      <c r="K1223" s="1" t="str">
        <f>IFERROR(__xludf.DUMMYFUNCTION("""COMPUTED_VALUE"""),"ROMEOHORDO50@GMAIL.COM")</f>
        <v>ROMEOHORDO50@GMAIL.COM</v>
      </c>
      <c r="L1223" s="1" t="str">
        <f>IFERROR(__xludf.DUMMYFUNCTION("""COMPUTED_VALUE"""),"72")</f>
        <v>72</v>
      </c>
      <c r="M1223" s="1" t="str">
        <f>IFERROR(__xludf.DUMMYFUNCTION("""COMPUTED_VALUE"""),"MABINI")</f>
        <v>MABINI</v>
      </c>
      <c r="N1223" s="1"/>
      <c r="O1223" s="1" t="str">
        <f>IFERROR(__xludf.DUMMYFUNCTION("""COMPUTED_VALUE"""),"POBLACION III")</f>
        <v>POBLACION III</v>
      </c>
      <c r="P1223" s="1" t="str">
        <f>IFERROR(__xludf.DUMMYFUNCTION("""COMPUTED_VALUE"""),"MENDEZ")</f>
        <v>MENDEZ</v>
      </c>
      <c r="Q1223" s="1" t="str">
        <f>IFERROR(__xludf.DUMMYFUNCTION("""COMPUTED_VALUE"""),"CAVITE")</f>
        <v>CAVITE</v>
      </c>
      <c r="R1223" s="1" t="str">
        <f>IFERROR(__xludf.DUMMYFUNCTION("""COMPUTED_VALUE"""),"FIBR UNLI ALL PLAN 1399")</f>
        <v>FIBR UNLI ALL PLAN 1399</v>
      </c>
      <c r="S1223" s="1" t="str">
        <f>IFERROR(__xludf.DUMMYFUNCTION("""COMPUTED_VALUE"""),"APPROVED")</f>
        <v>APPROVED</v>
      </c>
      <c r="T1223" s="1" t="str">
        <f>IFERROR(__xludf.DUMMYFUNCTION("""COMPUTED_VALUE"""),"CANCELLED WITH OB")</f>
        <v>CANCELLED WITH OB</v>
      </c>
      <c r="U1223" s="1"/>
      <c r="V1223" s="1"/>
      <c r="W1223" s="1"/>
    </row>
    <row r="1224" customHeight="1" spans="1:23">
      <c r="A1224" s="3">
        <f>IFERROR(__xludf.DUMMYFUNCTION("""COMPUTED_VALUE"""),46128)</f>
        <v>46128</v>
      </c>
      <c r="B1224" s="1" t="str">
        <f>IFERROR(__xludf.DUMMYFUNCTION("""COMPUTED_VALUE"""),"FERNANDEZ JERIC")</f>
        <v>FERNANDEZ JERIC</v>
      </c>
      <c r="C1224" s="1" t="str">
        <f>IFERROR(__xludf.DUMMYFUNCTION("""COMPUTED_VALUE"""),"ORGANIC")</f>
        <v>ORGANIC</v>
      </c>
      <c r="D1224" s="1" t="str">
        <f>IFERROR(__xludf.DUMMYFUNCTION("""COMPUTED_VALUE"""),"ALOS, CHARLS")</f>
        <v>ALOS, CHARLS</v>
      </c>
      <c r="E1224" s="1" t="str">
        <f>IFERROR(__xludf.DUMMYFUNCTION("""COMPUTED_VALUE"""),"RED FIBER")</f>
        <v>RED FIBER</v>
      </c>
      <c r="F1224" s="1"/>
      <c r="G1224" s="1"/>
      <c r="H1224" s="1" t="str">
        <f>IFERROR(__xludf.DUMMYFUNCTION("""COMPUTED_VALUE"""),"CECILIA CAIGOY TERRADO")</f>
        <v>CECILIA CAIGOY TERRADO</v>
      </c>
      <c r="I1224" s="1">
        <f>IFERROR(__xludf.DUMMYFUNCTION("""COMPUTED_VALUE"""),9756239765)</f>
        <v>9756239765</v>
      </c>
      <c r="J1224" s="1">
        <f>IFERROR(__xludf.DUMMYFUNCTION("""COMPUTED_VALUE"""),9750460272)</f>
        <v>9750460272</v>
      </c>
      <c r="K1224" s="1" t="str">
        <f>IFERROR(__xludf.DUMMYFUNCTION("""COMPUTED_VALUE"""),"TERRADOCECILLA3@GMAIL.COM")</f>
        <v>TERRADOCECILLA3@GMAIL.COM</v>
      </c>
      <c r="L1224" s="1" t="str">
        <f>IFERROR(__xludf.DUMMYFUNCTION("""COMPUTED_VALUE"""),"101")</f>
        <v>101</v>
      </c>
      <c r="M1224" s="1" t="str">
        <f>IFERROR(__xludf.DUMMYFUNCTION("""COMPUTED_VALUE"""),"ASIS RD")</f>
        <v>ASIS RD</v>
      </c>
      <c r="N1224" s="1"/>
      <c r="O1224" s="1" t="str">
        <f>IFERROR(__xludf.DUMMYFUNCTION("""COMPUTED_VALUE"""),"ASIS I")</f>
        <v>ASIS I</v>
      </c>
      <c r="P1224" s="1" t="str">
        <f>IFERROR(__xludf.DUMMYFUNCTION("""COMPUTED_VALUE"""),"MENDEZ")</f>
        <v>MENDEZ</v>
      </c>
      <c r="Q1224" s="1" t="str">
        <f>IFERROR(__xludf.DUMMYFUNCTION("""COMPUTED_VALUE"""),"CAVITE")</f>
        <v>CAVITE</v>
      </c>
      <c r="R1224" s="1" t="str">
        <f>IFERROR(__xludf.DUMMYFUNCTION("""COMPUTED_VALUE"""),"RED PLAN 1000")</f>
        <v>RED PLAN 1000</v>
      </c>
      <c r="S1224" s="1" t="str">
        <f>IFERROR(__xludf.DUMMYFUNCTION("""COMPUTED_VALUE"""),"APPROVED")</f>
        <v>APPROVED</v>
      </c>
      <c r="T1224" s="1" t="str">
        <f>IFERROR(__xludf.DUMMYFUNCTION("""COMPUTED_VALUE"""),"POSTED")</f>
        <v>POSTED</v>
      </c>
      <c r="U1224" s="1"/>
      <c r="V1224" s="1"/>
      <c r="W1224" s="1"/>
    </row>
    <row r="1225" customHeight="1" spans="1:23">
      <c r="A1225" s="3">
        <f>IFERROR(__xludf.DUMMYFUNCTION("""COMPUTED_VALUE"""),46128)</f>
        <v>46128</v>
      </c>
      <c r="B1225" s="1" t="str">
        <f>IFERROR(__xludf.DUMMYFUNCTION("""COMPUTED_VALUE"""),"VILLANUEVA, MAUREEN")</f>
        <v>VILLANUEVA, MAUREEN</v>
      </c>
      <c r="C1225" s="1" t="str">
        <f>IFERROR(__xludf.DUMMYFUNCTION("""COMPUTED_VALUE"""),"ORGANIC")</f>
        <v>ORGANIC</v>
      </c>
      <c r="D1225" s="1" t="str">
        <f>IFERROR(__xludf.DUMMYFUNCTION("""COMPUTED_VALUE"""),"ALINGARO, CINDY")</f>
        <v>ALINGARO, CINDY</v>
      </c>
      <c r="E1225" s="1" t="str">
        <f>IFERROR(__xludf.DUMMYFUNCTION("""COMPUTED_VALUE"""),"PLDT")</f>
        <v>PLDT</v>
      </c>
      <c r="F1225" s="1">
        <f>IFERROR(__xludf.DUMMYFUNCTION("""COMPUTED_VALUE"""),2308895653)</f>
        <v>2308895653</v>
      </c>
      <c r="G1225" s="1">
        <f>IFERROR(__xludf.DUMMYFUNCTION("""COMPUTED_VALUE"""),450959788004)</f>
        <v>450959788004</v>
      </c>
      <c r="H1225" s="1" t="str">
        <f>IFERROR(__xludf.DUMMYFUNCTION("""COMPUTED_VALUE"""),"MATHEWS GARCIA WANDAGA")</f>
        <v>MATHEWS GARCIA WANDAGA</v>
      </c>
      <c r="I1225" s="1">
        <f>IFERROR(__xludf.DUMMYFUNCTION("""COMPUTED_VALUE"""),9278543962)</f>
        <v>9278543962</v>
      </c>
      <c r="J1225" s="1">
        <f>IFERROR(__xludf.DUMMYFUNCTION("""COMPUTED_VALUE"""),9278543962)</f>
        <v>9278543962</v>
      </c>
      <c r="K1225" s="1" t="str">
        <f>IFERROR(__xludf.DUMMYFUNCTION("""COMPUTED_VALUE"""),"MATHEWSWANDAGA6@GMAIL.COM")</f>
        <v>MATHEWSWANDAGA6@GMAIL.COM</v>
      </c>
      <c r="L1225" s="1" t="str">
        <f>IFERROR(__xludf.DUMMYFUNCTION("""COMPUTED_VALUE"""),"9606")</f>
        <v>9606</v>
      </c>
      <c r="M1225" s="1" t="str">
        <f>IFERROR(__xludf.DUMMYFUNCTION("""COMPUTED_VALUE"""),"IBAYONG ILAT")</f>
        <v>IBAYONG ILAT</v>
      </c>
      <c r="N1225" s="1"/>
      <c r="O1225" s="1" t="str">
        <f>IFERROR(__xludf.DUMMYFUNCTION("""COMPUTED_VALUE"""),"KAONG")</f>
        <v>KAONG</v>
      </c>
      <c r="P1225" s="1" t="str">
        <f>IFERROR(__xludf.DUMMYFUNCTION("""COMPUTED_VALUE"""),"SILANG")</f>
        <v>SILANG</v>
      </c>
      <c r="Q1225" s="1" t="str">
        <f>IFERROR(__xludf.DUMMYFUNCTION("""COMPUTED_VALUE"""),"CAVITE")</f>
        <v>CAVITE</v>
      </c>
      <c r="R1225" s="1" t="str">
        <f>IFERROR(__xludf.DUMMYFUNCTION("""COMPUTED_VALUE"""),"FIBR PLAN 1299")</f>
        <v>FIBR PLAN 1299</v>
      </c>
      <c r="S1225" s="1" t="str">
        <f>IFERROR(__xludf.DUMMYFUNCTION("""COMPUTED_VALUE"""),"APPROVED")</f>
        <v>APPROVED</v>
      </c>
      <c r="T1225" s="1" t="str">
        <f>IFERROR(__xludf.DUMMYFUNCTION("""COMPUTED_VALUE"""),"POSTED")</f>
        <v>POSTED</v>
      </c>
      <c r="U1225" s="1"/>
      <c r="V1225" s="1"/>
      <c r="W1225" s="1"/>
    </row>
    <row r="1226" customHeight="1" spans="1:23">
      <c r="A1226" s="3">
        <f>IFERROR(__xludf.DUMMYFUNCTION("""COMPUTED_VALUE"""),46128)</f>
        <v>46128</v>
      </c>
      <c r="B1226" s="1" t="str">
        <f>IFERROR(__xludf.DUMMYFUNCTION("""COMPUTED_VALUE"""),"MAGDARAOG, KENNETH")</f>
        <v>MAGDARAOG, KENNETH</v>
      </c>
      <c r="C1226" s="1" t="str">
        <f>IFERROR(__xludf.DUMMYFUNCTION("""COMPUTED_VALUE"""),"ORGANIC")</f>
        <v>ORGANIC</v>
      </c>
      <c r="D1226" s="1" t="str">
        <f>IFERROR(__xludf.DUMMYFUNCTION("""COMPUTED_VALUE"""),"ALINGARO, CINDY")</f>
        <v>ALINGARO, CINDY</v>
      </c>
      <c r="E1226" s="1" t="str">
        <f>IFERROR(__xludf.DUMMYFUNCTION("""COMPUTED_VALUE"""),"PLDT")</f>
        <v>PLDT</v>
      </c>
      <c r="F1226" s="1">
        <f>IFERROR(__xludf.DUMMYFUNCTION("""COMPUTED_VALUE"""),2308919726)</f>
        <v>2308919726</v>
      </c>
      <c r="G1226" s="1">
        <f>IFERROR(__xludf.DUMMYFUNCTION("""COMPUTED_VALUE"""),451161279004)</f>
        <v>451161279004</v>
      </c>
      <c r="H1226" s="1" t="str">
        <f>IFERROR(__xludf.DUMMYFUNCTION("""COMPUTED_VALUE"""),"JAZZER JAMES MENDOZA LARIOSA")</f>
        <v>JAZZER JAMES MENDOZA LARIOSA</v>
      </c>
      <c r="I1226" s="1">
        <f>IFERROR(__xludf.DUMMYFUNCTION("""COMPUTED_VALUE"""),9214019688)</f>
        <v>9214019688</v>
      </c>
      <c r="J1226" s="1">
        <f>IFERROR(__xludf.DUMMYFUNCTION("""COMPUTED_VALUE"""),9638946361)</f>
        <v>9638946361</v>
      </c>
      <c r="K1226" s="1" t="str">
        <f>IFERROR(__xludf.DUMMYFUNCTION("""COMPUTED_VALUE"""),"JAZZERLARIOSA96@GMAIL.COM")</f>
        <v>JAZZERLARIOSA96@GMAIL.COM</v>
      </c>
      <c r="L1226" s="1" t="str">
        <f>IFERROR(__xludf.DUMMYFUNCTION("""COMPUTED_VALUE"""),"BLK 4 LOT 3")</f>
        <v>BLK 4 LOT 3</v>
      </c>
      <c r="M1226" s="1" t="str">
        <f>IFERROR(__xludf.DUMMYFUNCTION("""COMPUTED_VALUE"""),"ELISES RD")</f>
        <v>ELISES RD</v>
      </c>
      <c r="N1226" s="1"/>
      <c r="O1226" s="1" t="str">
        <f>IFERROR(__xludf.DUMMYFUNCTION("""COMPUTED_VALUE"""),"KORONEL JOSE P. ELISES (AREA E)")</f>
        <v>KORONEL JOSE P. ELISES (AREA E)</v>
      </c>
      <c r="P1226" s="1" t="str">
        <f>IFERROR(__xludf.DUMMYFUNCTION("""COMPUTED_VALUE"""),"GEN MARIANO ALVAREZ")</f>
        <v>GEN MARIANO ALVAREZ</v>
      </c>
      <c r="Q1226" s="1" t="str">
        <f>IFERROR(__xludf.DUMMYFUNCTION("""COMPUTED_VALUE"""),"CAVITE")</f>
        <v>CAVITE</v>
      </c>
      <c r="R1226" s="1" t="str">
        <f>IFERROR(__xludf.DUMMYFUNCTION("""COMPUTED_VALUE"""),"FIBR UNLI ALL PLAN 1399")</f>
        <v>FIBR UNLI ALL PLAN 1399</v>
      </c>
      <c r="S1226" s="1" t="str">
        <f>IFERROR(__xludf.DUMMYFUNCTION("""COMPUTED_VALUE"""),"APPROVED")</f>
        <v>APPROVED</v>
      </c>
      <c r="T1226" s="1" t="str">
        <f>IFERROR(__xludf.DUMMYFUNCTION("""COMPUTED_VALUE"""),"PAID FOR INSTALLATION")</f>
        <v>PAID FOR INSTALLATION</v>
      </c>
      <c r="U1226" s="1" t="str">
        <f>IFERROR(__xludf.DUMMYFUNCTION("""COMPUTED_VALUE"""),"FOR APRIL 20/26 PAYROLL")</f>
        <v>FOR APRIL 20/26 PAYROLL</v>
      </c>
      <c r="V1226" s="1"/>
      <c r="W1226" s="1"/>
    </row>
    <row r="1227" customHeight="1" spans="1:23">
      <c r="A1227" s="3">
        <f>IFERROR(__xludf.DUMMYFUNCTION("""COMPUTED_VALUE"""),46128)</f>
        <v>46128</v>
      </c>
      <c r="B1227" s="1" t="str">
        <f>IFERROR(__xludf.DUMMYFUNCTION("""COMPUTED_VALUE"""),"MAÑANITA, ERIKA")</f>
        <v>MAÑANITA, ERIKA</v>
      </c>
      <c r="C1227" s="1" t="str">
        <f>IFERROR(__xludf.DUMMYFUNCTION("""COMPUTED_VALUE"""),"ORGANIC")</f>
        <v>ORGANIC</v>
      </c>
      <c r="D1227" s="1" t="str">
        <f>IFERROR(__xludf.DUMMYFUNCTION("""COMPUTED_VALUE"""),"ALOS, CHARLS")</f>
        <v>ALOS, CHARLS</v>
      </c>
      <c r="E1227" s="1" t="str">
        <f>IFERROR(__xludf.DUMMYFUNCTION("""COMPUTED_VALUE"""),"PLDT")</f>
        <v>PLDT</v>
      </c>
      <c r="F1227" s="1">
        <f>IFERROR(__xludf.DUMMYFUNCTION("""COMPUTED_VALUE"""),2308897304)</f>
        <v>2308897304</v>
      </c>
      <c r="G1227" s="1">
        <f>IFERROR(__xludf.DUMMYFUNCTION("""COMPUTED_VALUE"""),450958287004)</f>
        <v>450958287004</v>
      </c>
      <c r="H1227" s="1" t="str">
        <f>IFERROR(__xludf.DUMMYFUNCTION("""COMPUTED_VALUE"""),"JANEL ALMOITE")</f>
        <v>JANEL ALMOITE</v>
      </c>
      <c r="I1227" s="1">
        <f>IFERROR(__xludf.DUMMYFUNCTION("""COMPUTED_VALUE"""),9853931086)</f>
        <v>9853931086</v>
      </c>
      <c r="J1227" s="1">
        <f>IFERROR(__xludf.DUMMYFUNCTION("""COMPUTED_VALUE"""),9917160745)</f>
        <v>9917160745</v>
      </c>
      <c r="K1227" s="1" t="str">
        <f>IFERROR(__xludf.DUMMYFUNCTION("""COMPUTED_VALUE"""),"ALMOITE.NEL29@GMAIL.COM")</f>
        <v>ALMOITE.NEL29@GMAIL.COM</v>
      </c>
      <c r="L1227" s="1" t="str">
        <f>IFERROR(__xludf.DUMMYFUNCTION("""COMPUTED_VALUE"""),"BLK 55")</f>
        <v>BLK 55</v>
      </c>
      <c r="M1227" s="1" t="str">
        <f>IFERROR(__xludf.DUMMYFUNCTION("""COMPUTED_VALUE"""),"EXCESS LOT")</f>
        <v>EXCESS LOT</v>
      </c>
      <c r="N1227" s="1"/>
      <c r="O1227" s="1" t="str">
        <f>IFERROR(__xludf.DUMMYFUNCTION("""COMPUTED_VALUE"""),"SANTA MARIA (BARANGAY 20)")</f>
        <v>SANTA MARIA (BARANGAY 20)</v>
      </c>
      <c r="P1227" s="1" t="str">
        <f>IFERROR(__xludf.DUMMYFUNCTION("""COMPUTED_VALUE"""),"DASMARINAS")</f>
        <v>DASMARINAS</v>
      </c>
      <c r="Q1227" s="1" t="str">
        <f>IFERROR(__xludf.DUMMYFUNCTION("""COMPUTED_VALUE"""),"CAVITE")</f>
        <v>CAVITE</v>
      </c>
      <c r="R1227" s="1" t="str">
        <f>IFERROR(__xludf.DUMMYFUNCTION("""COMPUTED_VALUE"""),"FIBR NETFLIX PLAN 1599")</f>
        <v>FIBR NETFLIX PLAN 1599</v>
      </c>
      <c r="S1227" s="1" t="str">
        <f>IFERROR(__xludf.DUMMYFUNCTION("""COMPUTED_VALUE"""),"APPROVED")</f>
        <v>APPROVED</v>
      </c>
      <c r="T1227" s="1" t="str">
        <f>IFERROR(__xludf.DUMMYFUNCTION("""COMPUTED_VALUE"""),"POSTED")</f>
        <v>POSTED</v>
      </c>
      <c r="U1227" s="1"/>
      <c r="V1227" s="1"/>
      <c r="W1227" s="1"/>
    </row>
    <row r="1228" customHeight="1" spans="1:23">
      <c r="A1228" s="3">
        <f>IFERROR(__xludf.DUMMYFUNCTION("""COMPUTED_VALUE"""),46128)</f>
        <v>46128</v>
      </c>
      <c r="B1228" s="1" t="str">
        <f>IFERROR(__xludf.DUMMYFUNCTION("""COMPUTED_VALUE"""),"ESCARCHA, MA ALMA  ESCOTO")</f>
        <v>ESCARCHA, MA ALMA  ESCOTO</v>
      </c>
      <c r="C1228" s="1" t="str">
        <f>IFERROR(__xludf.DUMMYFUNCTION("""COMPUTED_VALUE"""),"ORGANIC")</f>
        <v>ORGANIC</v>
      </c>
      <c r="D1228" s="1" t="str">
        <f>IFERROR(__xludf.DUMMYFUNCTION("""COMPUTED_VALUE"""),"ALINGARO, CINDY")</f>
        <v>ALINGARO, CINDY</v>
      </c>
      <c r="E1228" s="1" t="str">
        <f>IFERROR(__xludf.DUMMYFUNCTION("""COMPUTED_VALUE"""),"PLDT")</f>
        <v>PLDT</v>
      </c>
      <c r="F1228" s="1">
        <f>IFERROR(__xludf.DUMMYFUNCTION("""COMPUTED_VALUE"""),2308897659)</f>
        <v>2308897659</v>
      </c>
      <c r="G1228" s="1"/>
      <c r="H1228" s="1" t="str">
        <f>IFERROR(__xludf.DUMMYFUNCTION("""COMPUTED_VALUE"""),"CRESENNCIANO DACILLO NAPARATO JR")</f>
        <v>CRESENNCIANO DACILLO NAPARATO JR</v>
      </c>
      <c r="I1228" s="1">
        <f>IFERROR(__xludf.DUMMYFUNCTION("""COMPUTED_VALUE"""),9304304994)</f>
        <v>9304304994</v>
      </c>
      <c r="J1228" s="1"/>
      <c r="K1228" s="1" t="str">
        <f>IFERROR(__xludf.DUMMYFUNCTION("""COMPUTED_VALUE"""),"BONIFACIOJOAN92@GMAIL.COM")</f>
        <v>BONIFACIOJOAN92@GMAIL.COM</v>
      </c>
      <c r="L1228" s="1" t="str">
        <f>IFERROR(__xludf.DUMMYFUNCTION("""COMPUTED_VALUE"""),"BLK 7 LOT 19")</f>
        <v>BLK 7 LOT 19</v>
      </c>
      <c r="M1228" s="1" t="str">
        <f>IFERROR(__xludf.DUMMYFUNCTION("""COMPUTED_VALUE"""),"ELISES RD")</f>
        <v>ELISES RD</v>
      </c>
      <c r="N1228" s="1"/>
      <c r="O1228" s="1" t="str">
        <f>IFERROR(__xludf.DUMMYFUNCTION("""COMPUTED_VALUE"""),"KORONEL JOSE P. ELISES (AREA E)")</f>
        <v>KORONEL JOSE P. ELISES (AREA E)</v>
      </c>
      <c r="P1228" s="1" t="str">
        <f>IFERROR(__xludf.DUMMYFUNCTION("""COMPUTED_VALUE"""),"GEN MARIANO ALVAREZ")</f>
        <v>GEN MARIANO ALVAREZ</v>
      </c>
      <c r="Q1228" s="1" t="str">
        <f>IFERROR(__xludf.DUMMYFUNCTION("""COMPUTED_VALUE"""),"CAVITE")</f>
        <v>CAVITE</v>
      </c>
      <c r="R1228" s="1" t="str">
        <f>IFERROR(__xludf.DUMMYFUNCTION("""COMPUTED_VALUE"""),"FIBR PLAN 1299")</f>
        <v>FIBR PLAN 1299</v>
      </c>
      <c r="S1228" s="1" t="str">
        <f>IFERROR(__xludf.DUMMYFUNCTION("""COMPUTED_VALUE"""),"APPROVED")</f>
        <v>APPROVED</v>
      </c>
      <c r="T1228" s="1" t="str">
        <f>IFERROR(__xludf.DUMMYFUNCTION("""COMPUTED_VALUE"""),"CANCELLED WITH OB")</f>
        <v>CANCELLED WITH OB</v>
      </c>
      <c r="U1228" s="1"/>
      <c r="V1228" s="1"/>
      <c r="W1228" s="1"/>
    </row>
    <row r="1229" customHeight="1" spans="1:23">
      <c r="A1229" s="3">
        <f>IFERROR(__xludf.DUMMYFUNCTION("""COMPUTED_VALUE"""),46128)</f>
        <v>46128</v>
      </c>
      <c r="B1229" s="1" t="str">
        <f>IFERROR(__xludf.DUMMYFUNCTION("""COMPUTED_VALUE"""),"CARPIO, STEPHANIE NICOLE")</f>
        <v>CARPIO, STEPHANIE NICOLE</v>
      </c>
      <c r="C1229" s="1" t="str">
        <f>IFERROR(__xludf.DUMMYFUNCTION("""COMPUTED_VALUE"""),"FLA")</f>
        <v>FLA</v>
      </c>
      <c r="D1229" s="1" t="str">
        <f>IFERROR(__xludf.DUMMYFUNCTION("""COMPUTED_VALUE"""),"JERIC NAVARRO")</f>
        <v>JERIC NAVARRO</v>
      </c>
      <c r="E1229" s="1" t="str">
        <f>IFERROR(__xludf.DUMMYFUNCTION("""COMPUTED_VALUE"""),"PLDT")</f>
        <v>PLDT</v>
      </c>
      <c r="F1229" s="1">
        <f>IFERROR(__xludf.DUMMYFUNCTION("""COMPUTED_VALUE"""),2308898769)</f>
        <v>2308898769</v>
      </c>
      <c r="G1229" s="1">
        <f>IFERROR(__xludf.DUMMYFUNCTION("""COMPUTED_VALUE"""),450960193004)</f>
        <v>450960193004</v>
      </c>
      <c r="H1229" s="1" t="str">
        <f>IFERROR(__xludf.DUMMYFUNCTION("""COMPUTED_VALUE"""),"SEDRICK JEDGE CHAVEZ ESGUERRA")</f>
        <v>SEDRICK JEDGE CHAVEZ ESGUERRA</v>
      </c>
      <c r="I1229" s="1">
        <f>IFERROR(__xludf.DUMMYFUNCTION("""COMPUTED_VALUE"""),9936251961)</f>
        <v>9936251961</v>
      </c>
      <c r="J1229" s="1"/>
      <c r="K1229" s="1" t="str">
        <f>IFERROR(__xludf.DUMMYFUNCTION("""COMPUTED_VALUE"""),"SEDGE1419@GMAIL.COM")</f>
        <v>SEDGE1419@GMAIL.COM</v>
      </c>
      <c r="L1229" s="1" t="str">
        <f>IFERROR(__xludf.DUMMYFUNCTION("""COMPUTED_VALUE"""),"53A")</f>
        <v>53A</v>
      </c>
      <c r="M1229" s="1" t="str">
        <f>IFERROR(__xludf.DUMMYFUNCTION("""COMPUTED_VALUE"""),"VISAYAS ST")</f>
        <v>VISAYAS ST</v>
      </c>
      <c r="N1229" s="1"/>
      <c r="O1229" s="1" t="str">
        <f>IFERROR(__xludf.DUMMYFUNCTION("""COMPUTED_VALUE"""),"SAN RAFAEL IV")</f>
        <v>SAN RAFAEL IV</v>
      </c>
      <c r="P1229" s="1" t="str">
        <f>IFERROR(__xludf.DUMMYFUNCTION("""COMPUTED_VALUE"""),"NOVELETA")</f>
        <v>NOVELETA</v>
      </c>
      <c r="Q1229" s="1" t="str">
        <f>IFERROR(__xludf.DUMMYFUNCTION("""COMPUTED_VALUE"""),"CAVITE")</f>
        <v>CAVITE</v>
      </c>
      <c r="R1229" s="1" t="str">
        <f>IFERROR(__xludf.DUMMYFUNCTION("""COMPUTED_VALUE"""),"FIBR UNLI ALL PLAN 1399")</f>
        <v>FIBR UNLI ALL PLAN 1399</v>
      </c>
      <c r="S1229" s="1" t="str">
        <f>IFERROR(__xludf.DUMMYFUNCTION("""COMPUTED_VALUE"""),"APPROVED")</f>
        <v>APPROVED</v>
      </c>
      <c r="T1229" s="1" t="str">
        <f>IFERROR(__xludf.DUMMYFUNCTION("""COMPUTED_VALUE"""),"POSTED")</f>
        <v>POSTED</v>
      </c>
      <c r="U1229" s="1"/>
      <c r="V1229" s="1"/>
      <c r="W1229" s="1"/>
    </row>
    <row r="1230" customHeight="1" spans="1:23">
      <c r="A1230" s="3">
        <f>IFERROR(__xludf.DUMMYFUNCTION("""COMPUTED_VALUE"""),46129)</f>
        <v>46129</v>
      </c>
      <c r="B1230" s="1" t="str">
        <f>IFERROR(__xludf.DUMMYFUNCTION("""COMPUTED_VALUE"""),"LEADSTORE - ILANO, LIANDRO TEJAS")</f>
        <v>LEADSTORE - ILANO, LIANDRO TEJAS</v>
      </c>
      <c r="C1230" s="1" t="str">
        <f>IFERROR(__xludf.DUMMYFUNCTION("""COMPUTED_VALUE"""),"FLA")</f>
        <v>FLA</v>
      </c>
      <c r="D1230" s="1" t="str">
        <f>IFERROR(__xludf.DUMMYFUNCTION("""COMPUTED_VALUE"""),"JERIC NAVARRO")</f>
        <v>JERIC NAVARRO</v>
      </c>
      <c r="E1230" s="1" t="str">
        <f>IFERROR(__xludf.DUMMYFUNCTION("""COMPUTED_VALUE"""),"PLDT")</f>
        <v>PLDT</v>
      </c>
      <c r="F1230" s="1">
        <f>IFERROR(__xludf.DUMMYFUNCTION("""COMPUTED_VALUE"""),2308907040)</f>
        <v>2308907040</v>
      </c>
      <c r="G1230" s="1">
        <f>IFERROR(__xludf.DUMMYFUNCTION("""COMPUTED_VALUE"""),451058805004)</f>
        <v>451058805004</v>
      </c>
      <c r="H1230" s="1" t="str">
        <f>IFERROR(__xludf.DUMMYFUNCTION("""COMPUTED_VALUE"""),"JEMEIL TORRES PELLEJERA")</f>
        <v>JEMEIL TORRES PELLEJERA</v>
      </c>
      <c r="I1230" s="1">
        <f>IFERROR(__xludf.DUMMYFUNCTION("""COMPUTED_VALUE"""),9063366926)</f>
        <v>9063366926</v>
      </c>
      <c r="J1230" s="1"/>
      <c r="K1230" s="1" t="str">
        <f>IFERROR(__xludf.DUMMYFUNCTION("""COMPUTED_VALUE"""),"JEMEILPELLEJERA@GMAIL.COM")</f>
        <v>JEMEILPELLEJERA@GMAIL.COM</v>
      </c>
      <c r="L1230" s="1" t="str">
        <f>IFERROR(__xludf.DUMMYFUNCTION("""COMPUTED_VALUE"""),"BLK 22 LOT 8")</f>
        <v>BLK 22 LOT 8</v>
      </c>
      <c r="M1230" s="1" t="str">
        <f>IFERROR(__xludf.DUMMYFUNCTION("""COMPUTED_VALUE"""),"SAN DIONISIO ")</f>
        <v>SAN DIONISIO </v>
      </c>
      <c r="N1230" s="1" t="str">
        <f>IFERROR(__xludf.DUMMYFUNCTION("""COMPUTED_VALUE"""),"AREA 1")</f>
        <v>AREA 1</v>
      </c>
      <c r="O1230" s="1" t="str">
        <f>IFERROR(__xludf.DUMMYFUNCTION("""COMPUTED_VALUE"""),"SAN DIONISIO (BARANGAY 1)")</f>
        <v>SAN DIONISIO (BARANGAY 1)</v>
      </c>
      <c r="P1230" s="1" t="str">
        <f>IFERROR(__xludf.DUMMYFUNCTION("""COMPUTED_VALUE"""),"DASMARINAS")</f>
        <v>DASMARINAS</v>
      </c>
      <c r="Q1230" s="1" t="str">
        <f>IFERROR(__xludf.DUMMYFUNCTION("""COMPUTED_VALUE"""),"CAVITE")</f>
        <v>CAVITE</v>
      </c>
      <c r="R1230" s="1" t="str">
        <f>IFERROR(__xludf.DUMMYFUNCTION("""COMPUTED_VALUE"""),"FIBR NETFLIX PLAN 1599")</f>
        <v>FIBR NETFLIX PLAN 1599</v>
      </c>
      <c r="S1230" s="1" t="str">
        <f>IFERROR(__xludf.DUMMYFUNCTION("""COMPUTED_VALUE"""),"APPROVED")</f>
        <v>APPROVED</v>
      </c>
      <c r="T1230" s="1" t="str">
        <f>IFERROR(__xludf.DUMMYFUNCTION("""COMPUTED_VALUE"""),"POSTED")</f>
        <v>POSTED</v>
      </c>
      <c r="U1230" s="1"/>
      <c r="V1230" s="1"/>
      <c r="W1230" s="1"/>
    </row>
    <row r="1231" customHeight="1" spans="1:23">
      <c r="A1231" s="3">
        <f>IFERROR(__xludf.DUMMYFUNCTION("""COMPUTED_VALUE"""),46129)</f>
        <v>46129</v>
      </c>
      <c r="B1231" s="1" t="str">
        <f>IFERROR(__xludf.DUMMYFUNCTION("""COMPUTED_VALUE"""),"AGUNOS, JHON AIRVIN")</f>
        <v>AGUNOS, JHON AIRVIN</v>
      </c>
      <c r="C1231" s="1" t="str">
        <f>IFERROR(__xludf.DUMMYFUNCTION("""COMPUTED_VALUE"""),"ORGANIC")</f>
        <v>ORGANIC</v>
      </c>
      <c r="D1231" s="1" t="str">
        <f>IFERROR(__xludf.DUMMYFUNCTION("""COMPUTED_VALUE"""),"ALINGARO, CINDY")</f>
        <v>ALINGARO, CINDY</v>
      </c>
      <c r="E1231" s="1" t="str">
        <f>IFERROR(__xludf.DUMMYFUNCTION("""COMPUTED_VALUE"""),"PLDT")</f>
        <v>PLDT</v>
      </c>
      <c r="F1231" s="1">
        <f>IFERROR(__xludf.DUMMYFUNCTION("""COMPUTED_VALUE"""),2308911457)</f>
        <v>2308911457</v>
      </c>
      <c r="G1231" s="1">
        <f>IFERROR(__xludf.DUMMYFUNCTION("""COMPUTED_VALUE"""),451067638004)</f>
        <v>451067638004</v>
      </c>
      <c r="H1231" s="1" t="str">
        <f>IFERROR(__xludf.DUMMYFUNCTION("""COMPUTED_VALUE"""),"MARIA MERCEDES MOJICA DIMARAAN")</f>
        <v>MARIA MERCEDES MOJICA DIMARAAN</v>
      </c>
      <c r="I1231" s="1">
        <f>IFERROR(__xludf.DUMMYFUNCTION("""COMPUTED_VALUE"""),9772635769)</f>
        <v>9772635769</v>
      </c>
      <c r="J1231" s="1"/>
      <c r="K1231" s="1" t="str">
        <f>IFERROR(__xludf.DUMMYFUNCTION("""COMPUTED_VALUE"""),"VEDIMARAAN@GMAIL.COM")</f>
        <v>VEDIMARAAN@GMAIL.COM</v>
      </c>
      <c r="L1231" s="1" t="str">
        <f>IFERROR(__xludf.DUMMYFUNCTION("""COMPUTED_VALUE"""),"88")</f>
        <v>88</v>
      </c>
      <c r="M1231" s="1" t="str">
        <f>IFERROR(__xludf.DUMMYFUNCTION("""COMPUTED_VALUE"""),"RIZAL")</f>
        <v>RIZAL</v>
      </c>
      <c r="N1231" s="1"/>
      <c r="O1231" s="1" t="str">
        <f>IFERROR(__xludf.DUMMYFUNCTION("""COMPUTED_VALUE"""),"ASIS III")</f>
        <v>ASIS III</v>
      </c>
      <c r="P1231" s="1" t="str">
        <f>IFERROR(__xludf.DUMMYFUNCTION("""COMPUTED_VALUE"""),"MENDEZ")</f>
        <v>MENDEZ</v>
      </c>
      <c r="Q1231" s="1" t="str">
        <f>IFERROR(__xludf.DUMMYFUNCTION("""COMPUTED_VALUE"""),"CAVITE")</f>
        <v>CAVITE</v>
      </c>
      <c r="R1231" s="1" t="str">
        <f>IFERROR(__xludf.DUMMYFUNCTION("""COMPUTED_VALUE"""),"FIBR UNLI ALL PLAN 1399")</f>
        <v>FIBR UNLI ALL PLAN 1399</v>
      </c>
      <c r="S1231" s="1" t="str">
        <f>IFERROR(__xludf.DUMMYFUNCTION("""COMPUTED_VALUE"""),"APPROVED")</f>
        <v>APPROVED</v>
      </c>
      <c r="T1231" s="1" t="str">
        <f>IFERROR(__xludf.DUMMYFUNCTION("""COMPUTED_VALUE"""),"POSTED")</f>
        <v>POSTED</v>
      </c>
      <c r="U1231" s="1"/>
      <c r="V1231" s="1"/>
      <c r="W1231" s="1"/>
    </row>
    <row r="1232" customHeight="1" spans="1:23">
      <c r="A1232" s="3">
        <f>IFERROR(__xludf.DUMMYFUNCTION("""COMPUTED_VALUE"""),46129)</f>
        <v>46129</v>
      </c>
      <c r="B1232" s="1" t="str">
        <f>IFERROR(__xludf.DUMMYFUNCTION("""COMPUTED_VALUE"""),"DELA ROSA, JENNELYN")</f>
        <v>DELA ROSA, JENNELYN</v>
      </c>
      <c r="C1232" s="1" t="str">
        <f>IFERROR(__xludf.DUMMYFUNCTION("""COMPUTED_VALUE"""),"ORGANIC")</f>
        <v>ORGANIC</v>
      </c>
      <c r="D1232" s="1" t="str">
        <f>IFERROR(__xludf.DUMMYFUNCTION("""COMPUTED_VALUE"""),"ALOS, CHARLS")</f>
        <v>ALOS, CHARLS</v>
      </c>
      <c r="E1232" s="1" t="str">
        <f>IFERROR(__xludf.DUMMYFUNCTION("""COMPUTED_VALUE"""),"PLDT")</f>
        <v>PLDT</v>
      </c>
      <c r="F1232" s="1">
        <f>IFERROR(__xludf.DUMMYFUNCTION("""COMPUTED_VALUE"""),2308929930)</f>
        <v>2308929930</v>
      </c>
      <c r="G1232" s="1">
        <f>IFERROR(__xludf.DUMMYFUNCTION("""COMPUTED_VALUE"""),451170989004)</f>
        <v>451170989004</v>
      </c>
      <c r="H1232" s="1" t="str">
        <f>IFERROR(__xludf.DUMMYFUNCTION("""COMPUTED_VALUE"""),"MICHAEL VINCENT CLOSA LAIHEE")</f>
        <v>MICHAEL VINCENT CLOSA LAIHEE</v>
      </c>
      <c r="I1232" s="1">
        <f>IFERROR(__xludf.DUMMYFUNCTION("""COMPUTED_VALUE"""),9625886528)</f>
        <v>9625886528</v>
      </c>
      <c r="J1232" s="1"/>
      <c r="K1232" s="1" t="str">
        <f>IFERROR(__xludf.DUMMYFUNCTION("""COMPUTED_VALUE"""),"MICHAEL082819@GMAIL.COM")</f>
        <v>MICHAEL082819@GMAIL.COM</v>
      </c>
      <c r="L1232" s="1" t="str">
        <f>IFERROR(__xludf.DUMMYFUNCTION("""COMPUTED_VALUE"""),"BLK 32 LOT 1")</f>
        <v>BLK 32 LOT 1</v>
      </c>
      <c r="M1232" s="1" t="str">
        <f>IFERROR(__xludf.DUMMYFUNCTION("""COMPUTED_VALUE"""),"P3")</f>
        <v>P3</v>
      </c>
      <c r="N1232" s="1"/>
      <c r="O1232" s="1" t="str">
        <f>IFERROR(__xludf.DUMMYFUNCTION("""COMPUTED_VALUE"""),"YAKAL")</f>
        <v>YAKAL</v>
      </c>
      <c r="P1232" s="1" t="str">
        <f>IFERROR(__xludf.DUMMYFUNCTION("""COMPUTED_VALUE"""),"SILANG")</f>
        <v>SILANG</v>
      </c>
      <c r="Q1232" s="1" t="str">
        <f>IFERROR(__xludf.DUMMYFUNCTION("""COMPUTED_VALUE"""),"CAVITE")</f>
        <v>CAVITE</v>
      </c>
      <c r="R1232" s="1" t="str">
        <f>IFERROR(__xludf.DUMMYFUNCTION("""COMPUTED_VALUE"""),"FIBR PLAN 1299")</f>
        <v>FIBR PLAN 1299</v>
      </c>
      <c r="S1232" s="1" t="str">
        <f>IFERROR(__xludf.DUMMYFUNCTION("""COMPUTED_VALUE"""),"APPROVED")</f>
        <v>APPROVED</v>
      </c>
      <c r="T1232" s="1" t="str">
        <f>IFERROR(__xludf.DUMMYFUNCTION("""COMPUTED_VALUE"""),"POSTED")</f>
        <v>POSTED</v>
      </c>
      <c r="U1232" s="1"/>
      <c r="V1232" s="1"/>
      <c r="W1232" s="1"/>
    </row>
    <row r="1233" customHeight="1" spans="1:23">
      <c r="A1233" s="3">
        <f>IFERROR(__xludf.DUMMYFUNCTION("""COMPUTED_VALUE"""),46129)</f>
        <v>46129</v>
      </c>
      <c r="B1233" s="1" t="str">
        <f>IFERROR(__xludf.DUMMYFUNCTION("""COMPUTED_VALUE"""),"ADVINCULA, NICOLE")</f>
        <v>ADVINCULA, NICOLE</v>
      </c>
      <c r="C1233" s="1" t="str">
        <f>IFERROR(__xludf.DUMMYFUNCTION("""COMPUTED_VALUE"""),"ORGANIC")</f>
        <v>ORGANIC</v>
      </c>
      <c r="D1233" s="1" t="str">
        <f>IFERROR(__xludf.DUMMYFUNCTION("""COMPUTED_VALUE"""),"ALINGARO, CINDY")</f>
        <v>ALINGARO, CINDY</v>
      </c>
      <c r="E1233" s="1" t="str">
        <f>IFERROR(__xludf.DUMMYFUNCTION("""COMPUTED_VALUE"""),"RED FIBER")</f>
        <v>RED FIBER</v>
      </c>
      <c r="F1233" s="1"/>
      <c r="G1233" s="1"/>
      <c r="H1233" s="1" t="str">
        <f>IFERROR(__xludf.DUMMYFUNCTION("""COMPUTED_VALUE"""),"CARL FRANCIS OBILLOS AGUADO")</f>
        <v>CARL FRANCIS OBILLOS AGUADO</v>
      </c>
      <c r="I1233" s="1">
        <f>IFERROR(__xludf.DUMMYFUNCTION("""COMPUTED_VALUE"""),9159284988)</f>
        <v>9159284988</v>
      </c>
      <c r="J1233" s="1">
        <f>IFERROR(__xludf.DUMMYFUNCTION("""COMPUTED_VALUE"""),9388659305)</f>
        <v>9388659305</v>
      </c>
      <c r="K1233" s="1" t="str">
        <f>IFERROR(__xludf.DUMMYFUNCTION("""COMPUTED_VALUE"""),"AGUADOCARLFRANCISCO091893@GMAIL.COM")</f>
        <v>AGUADOCARLFRANCISCO091893@GMAIL.COM</v>
      </c>
      <c r="L1233" s="1" t="str">
        <f>IFERROR(__xludf.DUMMYFUNCTION("""COMPUTED_VALUE"""),"138")</f>
        <v>138</v>
      </c>
      <c r="M1233" s="1" t="str">
        <f>IFERROR(__xludf.DUMMYFUNCTION("""COMPUTED_VALUE"""),"GEN TRIAS")</f>
        <v>GEN TRIAS</v>
      </c>
      <c r="N1233" s="1"/>
      <c r="O1233" s="1" t="str">
        <f>IFERROR(__xludf.DUMMYFUNCTION("""COMPUTED_VALUE"""),"UPLI")</f>
        <v>UPLI</v>
      </c>
      <c r="P1233" s="1" t="str">
        <f>IFERROR(__xludf.DUMMYFUNCTION("""COMPUTED_VALUE"""),"ALFONSO")</f>
        <v>ALFONSO</v>
      </c>
      <c r="Q1233" s="1" t="str">
        <f>IFERROR(__xludf.DUMMYFUNCTION("""COMPUTED_VALUE"""),"CAVITE")</f>
        <v>CAVITE</v>
      </c>
      <c r="R1233" s="1" t="str">
        <f>IFERROR(__xludf.DUMMYFUNCTION("""COMPUTED_VALUE"""),"RED PLAN 1000")</f>
        <v>RED PLAN 1000</v>
      </c>
      <c r="S1233" s="1" t="str">
        <f>IFERROR(__xludf.DUMMYFUNCTION("""COMPUTED_VALUE"""),"APPROVED")</f>
        <v>APPROVED</v>
      </c>
      <c r="T1233" s="1" t="str">
        <f>IFERROR(__xludf.DUMMYFUNCTION("""COMPUTED_VALUE"""),"POSTED")</f>
        <v>POSTED</v>
      </c>
      <c r="U1233" s="1"/>
      <c r="V1233" s="1"/>
      <c r="W1233" s="1"/>
    </row>
    <row r="1234" customHeight="1" spans="1:23">
      <c r="A1234" s="3">
        <f>IFERROR(__xludf.DUMMYFUNCTION("""COMPUTED_VALUE"""),46129)</f>
        <v>46129</v>
      </c>
      <c r="B1234" s="1" t="str">
        <f>IFERROR(__xludf.DUMMYFUNCTION("""COMPUTED_VALUE"""),"MAÑANITA, ERIKA")</f>
        <v>MAÑANITA, ERIKA</v>
      </c>
      <c r="C1234" s="1" t="str">
        <f>IFERROR(__xludf.DUMMYFUNCTION("""COMPUTED_VALUE"""),"ORGANIC")</f>
        <v>ORGANIC</v>
      </c>
      <c r="D1234" s="1" t="str">
        <f>IFERROR(__xludf.DUMMYFUNCTION("""COMPUTED_VALUE"""),"ALOS, CHARLS")</f>
        <v>ALOS, CHARLS</v>
      </c>
      <c r="E1234" s="1" t="str">
        <f>IFERROR(__xludf.DUMMYFUNCTION("""COMPUTED_VALUE"""),"PLDT")</f>
        <v>PLDT</v>
      </c>
      <c r="F1234" s="1">
        <f>IFERROR(__xludf.DUMMYFUNCTION("""COMPUTED_VALUE"""),2308915319)</f>
        <v>2308915319</v>
      </c>
      <c r="G1234" s="1">
        <f>IFERROR(__xludf.DUMMYFUNCTION("""COMPUTED_VALUE"""),451072531004)</f>
        <v>451072531004</v>
      </c>
      <c r="H1234" s="1" t="str">
        <f>IFERROR(__xludf.DUMMYFUNCTION("""COMPUTED_VALUE"""),"RICHARD GEORGE BRAUN")</f>
        <v>RICHARD GEORGE BRAUN</v>
      </c>
      <c r="I1234" s="1">
        <f>IFERROR(__xludf.DUMMYFUNCTION("""COMPUTED_VALUE"""),9087484134)</f>
        <v>9087484134</v>
      </c>
      <c r="J1234" s="1">
        <f>IFERROR(__xludf.DUMMYFUNCTION("""COMPUTED_VALUE"""),927935855580)</f>
        <v>927935855580</v>
      </c>
      <c r="K1234" s="1" t="str">
        <f>IFERROR(__xludf.DUMMYFUNCTION("""COMPUTED_VALUE"""),"RICKBRAUN1967@GMAIL.COM")</f>
        <v>RICKBRAUN1967@GMAIL.COM</v>
      </c>
      <c r="L1234" s="1" t="str">
        <f>IFERROR(__xludf.DUMMYFUNCTION("""COMPUTED_VALUE"""),"58")</f>
        <v>58</v>
      </c>
      <c r="M1234" s="1" t="str">
        <f>IFERROR(__xludf.DUMMYFUNCTION("""COMPUTED_VALUE"""),"PUROK 38")</f>
        <v>PUROK 38</v>
      </c>
      <c r="N1234" s="1" t="str">
        <f>IFERROR(__xludf.DUMMYFUNCTION("""COMPUTED_VALUE"""),"GUINHAWA")</f>
        <v>GUINHAWA</v>
      </c>
      <c r="O1234" s="1" t="str">
        <f>IFERROR(__xludf.DUMMYFUNCTION("""COMPUTED_VALUE"""),"GUINHAWA SOUTH")</f>
        <v>GUINHAWA SOUTH</v>
      </c>
      <c r="P1234" s="1" t="str">
        <f>IFERROR(__xludf.DUMMYFUNCTION("""COMPUTED_VALUE"""),"TAGAYTAY")</f>
        <v>TAGAYTAY</v>
      </c>
      <c r="Q1234" s="1" t="str">
        <f>IFERROR(__xludf.DUMMYFUNCTION("""COMPUTED_VALUE"""),"CAVITE")</f>
        <v>CAVITE</v>
      </c>
      <c r="R1234" s="1" t="str">
        <f>IFERROR(__xludf.DUMMYFUNCTION("""COMPUTED_VALUE"""),"FIBR UNLI ALL PLAN 1399")</f>
        <v>FIBR UNLI ALL PLAN 1399</v>
      </c>
      <c r="S1234" s="1" t="str">
        <f>IFERROR(__xludf.DUMMYFUNCTION("""COMPUTED_VALUE"""),"APPROVED")</f>
        <v>APPROVED</v>
      </c>
      <c r="T1234" s="1" t="str">
        <f>IFERROR(__xludf.DUMMYFUNCTION("""COMPUTED_VALUE"""),"POSTED")</f>
        <v>POSTED</v>
      </c>
      <c r="U1234" s="1"/>
      <c r="V1234" s="1"/>
      <c r="W1234" s="1"/>
    </row>
    <row r="1235" customHeight="1" spans="1:23">
      <c r="A1235" s="3">
        <f>IFERROR(__xludf.DUMMYFUNCTION("""COMPUTED_VALUE"""),46129)</f>
        <v>46129</v>
      </c>
      <c r="B1235" s="1" t="str">
        <f>IFERROR(__xludf.DUMMYFUNCTION("""COMPUTED_VALUE"""),"ESCARCHA, MA ALMA  ESCOTO")</f>
        <v>ESCARCHA, MA ALMA  ESCOTO</v>
      </c>
      <c r="C1235" s="1" t="str">
        <f>IFERROR(__xludf.DUMMYFUNCTION("""COMPUTED_VALUE"""),"ORGANIC")</f>
        <v>ORGANIC</v>
      </c>
      <c r="D1235" s="1" t="str">
        <f>IFERROR(__xludf.DUMMYFUNCTION("""COMPUTED_VALUE"""),"ALINGARO, CINDY")</f>
        <v>ALINGARO, CINDY</v>
      </c>
      <c r="E1235" s="1" t="str">
        <f>IFERROR(__xludf.DUMMYFUNCTION("""COMPUTED_VALUE"""),"PLDT")</f>
        <v>PLDT</v>
      </c>
      <c r="F1235" s="1">
        <f>IFERROR(__xludf.DUMMYFUNCTION("""COMPUTED_VALUE"""),2308914982)</f>
        <v>2308914982</v>
      </c>
      <c r="G1235" s="1">
        <f>IFERROR(__xludf.DUMMYFUNCTION("""COMPUTED_VALUE"""),451072195004)</f>
        <v>451072195004</v>
      </c>
      <c r="H1235" s="1" t="str">
        <f>IFERROR(__xludf.DUMMYFUNCTION("""COMPUTED_VALUE"""),"MARIA KAYCEE AGUSTIN AÑALA")</f>
        <v>MARIA KAYCEE AGUSTIN AÑALA</v>
      </c>
      <c r="I1235" s="1">
        <f>IFERROR(__xludf.DUMMYFUNCTION("""COMPUTED_VALUE"""),9269680582)</f>
        <v>9269680582</v>
      </c>
      <c r="J1235" s="1"/>
      <c r="K1235" s="1" t="str">
        <f>IFERROR(__xludf.DUMMYFUNCTION("""COMPUTED_VALUE"""),"MARIAKAYCEEAGUSTIN@GMAIL.COMO")</f>
        <v>MARIAKAYCEEAGUSTIN@GMAIL.COMO</v>
      </c>
      <c r="L1235" s="1" t="str">
        <f>IFERROR(__xludf.DUMMYFUNCTION("""COMPUTED_VALUE"""),"26")</f>
        <v>26</v>
      </c>
      <c r="M1235" s="1" t="str">
        <f>IFERROR(__xludf.DUMMYFUNCTION("""COMPUTED_VALUE"""),"PILAPIL")</f>
        <v>PILAPIL</v>
      </c>
      <c r="N1235" s="1"/>
      <c r="O1235" s="1" t="str">
        <f>IFERROR(__xludf.DUMMYFUNCTION("""COMPUTED_VALUE"""),"LIGTONG I")</f>
        <v>LIGTONG I</v>
      </c>
      <c r="P1235" s="1" t="str">
        <f>IFERROR(__xludf.DUMMYFUNCTION("""COMPUTED_VALUE"""),"ROSARIO")</f>
        <v>ROSARIO</v>
      </c>
      <c r="Q1235" s="1" t="str">
        <f>IFERROR(__xludf.DUMMYFUNCTION("""COMPUTED_VALUE"""),"CAVITE")</f>
        <v>CAVITE</v>
      </c>
      <c r="R1235" s="1" t="str">
        <f>IFERROR(__xludf.DUMMYFUNCTION("""COMPUTED_VALUE"""),"FIBR PLAN 1299")</f>
        <v>FIBR PLAN 1299</v>
      </c>
      <c r="S1235" s="1" t="str">
        <f>IFERROR(__xludf.DUMMYFUNCTION("""COMPUTED_VALUE"""),"APPROVED")</f>
        <v>APPROVED</v>
      </c>
      <c r="T1235" s="1" t="str">
        <f>IFERROR(__xludf.DUMMYFUNCTION("""COMPUTED_VALUE"""),"AFD")</f>
        <v>AFD</v>
      </c>
      <c r="U1235" s="1"/>
      <c r="V1235" s="1"/>
      <c r="W1235" s="1"/>
    </row>
    <row r="1236" customHeight="1" spans="1:23">
      <c r="A1236" s="3">
        <f>IFERROR(__xludf.DUMMYFUNCTION("""COMPUTED_VALUE"""),46129)</f>
        <v>46129</v>
      </c>
      <c r="B1236" s="1" t="str">
        <f>IFERROR(__xludf.DUMMYFUNCTION("""COMPUTED_VALUE"""),"DE VERA, MARIVIC")</f>
        <v>DE VERA, MARIVIC</v>
      </c>
      <c r="C1236" s="1" t="str">
        <f>IFERROR(__xludf.DUMMYFUNCTION("""COMPUTED_VALUE"""),"ORGANIC")</f>
        <v>ORGANIC</v>
      </c>
      <c r="D1236" s="1" t="str">
        <f>IFERROR(__xludf.DUMMYFUNCTION("""COMPUTED_VALUE"""),"ALINGARO, CINDY")</f>
        <v>ALINGARO, CINDY</v>
      </c>
      <c r="E1236" s="1" t="str">
        <f>IFERROR(__xludf.DUMMYFUNCTION("""COMPUTED_VALUE"""),"PLDT")</f>
        <v>PLDT</v>
      </c>
      <c r="F1236" s="1">
        <f>IFERROR(__xludf.DUMMYFUNCTION("""COMPUTED_VALUE"""),2308918983)</f>
        <v>2308918983</v>
      </c>
      <c r="G1236" s="1">
        <f>IFERROR(__xludf.DUMMYFUNCTION("""COMPUTED_VALUE"""),451082186004)</f>
        <v>451082186004</v>
      </c>
      <c r="H1236" s="1" t="str">
        <f>IFERROR(__xludf.DUMMYFUNCTION("""COMPUTED_VALUE"""),"MAILA AQUINO PENANO")</f>
        <v>MAILA AQUINO PENANO</v>
      </c>
      <c r="I1236" s="1">
        <f>IFERROR(__xludf.DUMMYFUNCTION("""COMPUTED_VALUE"""),9165569380)</f>
        <v>9165569380</v>
      </c>
      <c r="J1236" s="1">
        <f>IFERROR(__xludf.DUMMYFUNCTION("""COMPUTED_VALUE"""),9955368343)</f>
        <v>9955368343</v>
      </c>
      <c r="K1236" s="1" t="str">
        <f>IFERROR(__xludf.DUMMYFUNCTION("""COMPUTED_VALUE"""),"MAILAPENANO@GMAIL.COM")</f>
        <v>MAILAPENANO@GMAIL.COM</v>
      </c>
      <c r="L1236" s="1" t="str">
        <f>IFERROR(__xludf.DUMMYFUNCTION("""COMPUTED_VALUE"""),"1905")</f>
        <v>1905</v>
      </c>
      <c r="M1236" s="1" t="str">
        <f>IFERROR(__xludf.DUMMYFUNCTION("""COMPUTED_VALUE"""),"GUINHAWA")</f>
        <v>GUINHAWA</v>
      </c>
      <c r="N1236" s="1" t="str">
        <f>IFERROR(__xludf.DUMMYFUNCTION("""COMPUTED_VALUE"""),"PERLADOS COMPOUND")</f>
        <v>PERLADOS COMPOUND</v>
      </c>
      <c r="O1236" s="1" t="str">
        <f>IFERROR(__xludf.DUMMYFUNCTION("""COMPUTED_VALUE"""),"GUINHAWA SOUTH")</f>
        <v>GUINHAWA SOUTH</v>
      </c>
      <c r="P1236" s="1" t="str">
        <f>IFERROR(__xludf.DUMMYFUNCTION("""COMPUTED_VALUE"""),"TAGAYTAY")</f>
        <v>TAGAYTAY</v>
      </c>
      <c r="Q1236" s="1" t="str">
        <f>IFERROR(__xludf.DUMMYFUNCTION("""COMPUTED_VALUE"""),"CAVITE")</f>
        <v>CAVITE</v>
      </c>
      <c r="R1236" s="1" t="str">
        <f>IFERROR(__xludf.DUMMYFUNCTION("""COMPUTED_VALUE"""),"FIBR UNLI ALL PLAN 1399")</f>
        <v>FIBR UNLI ALL PLAN 1399</v>
      </c>
      <c r="S1236" s="1" t="str">
        <f>IFERROR(__xludf.DUMMYFUNCTION("""COMPUTED_VALUE"""),"APPROVED")</f>
        <v>APPROVED</v>
      </c>
      <c r="T1236" s="1" t="str">
        <f>IFERROR(__xludf.DUMMYFUNCTION("""COMPUTED_VALUE"""),"FOR PAYMENT")</f>
        <v>FOR PAYMENT</v>
      </c>
      <c r="U1236" s="1"/>
      <c r="V1236" s="1"/>
      <c r="W1236" s="1"/>
    </row>
    <row r="1237" customHeight="1" spans="1:23">
      <c r="A1237" s="3">
        <f>IFERROR(__xludf.DUMMYFUNCTION("""COMPUTED_VALUE"""),46129)</f>
        <v>46129</v>
      </c>
      <c r="B1237" s="1" t="str">
        <f>IFERROR(__xludf.DUMMYFUNCTION("""COMPUTED_VALUE"""),"FARO, REFRANTA")</f>
        <v>FARO, REFRANTA</v>
      </c>
      <c r="C1237" s="1" t="str">
        <f>IFERROR(__xludf.DUMMYFUNCTION("""COMPUTED_VALUE"""),"ORGANIC")</f>
        <v>ORGANIC</v>
      </c>
      <c r="D1237" s="1" t="str">
        <f>IFERROR(__xludf.DUMMYFUNCTION("""COMPUTED_VALUE"""),"ALINGARO, CINDY")</f>
        <v>ALINGARO, CINDY</v>
      </c>
      <c r="E1237" s="1" t="str">
        <f>IFERROR(__xludf.DUMMYFUNCTION("""COMPUTED_VALUE"""),"PLDT")</f>
        <v>PLDT</v>
      </c>
      <c r="F1237" s="1">
        <f>IFERROR(__xludf.DUMMYFUNCTION("""COMPUTED_VALUE"""),2308915546)</f>
        <v>2308915546</v>
      </c>
      <c r="G1237" s="1">
        <f>IFERROR(__xludf.DUMMYFUNCTION("""COMPUTED_VALUE"""),451072641004)</f>
        <v>451072641004</v>
      </c>
      <c r="H1237" s="1" t="str">
        <f>IFERROR(__xludf.DUMMYFUNCTION("""COMPUTED_VALUE"""),"EDGARDO ERNI NOVENO")</f>
        <v>EDGARDO ERNI NOVENO</v>
      </c>
      <c r="I1237" s="1">
        <f>IFERROR(__xludf.DUMMYFUNCTION("""COMPUTED_VALUE"""),9279120554)</f>
        <v>9279120554</v>
      </c>
      <c r="J1237" s="1"/>
      <c r="K1237" s="1" t="str">
        <f>IFERROR(__xludf.DUMMYFUNCTION("""COMPUTED_VALUE"""),"EDGAR26ERNI@GMAIL.COM")</f>
        <v>EDGAR26ERNI@GMAIL.COM</v>
      </c>
      <c r="L1237" s="1" t="str">
        <f>IFERROR(__xludf.DUMMYFUNCTION("""COMPUTED_VALUE"""),"9009")</f>
        <v>9009</v>
      </c>
      <c r="M1237" s="1" t="str">
        <f>IFERROR(__xludf.DUMMYFUNCTION("""COMPUTED_VALUE"""),"GUINHAWA")</f>
        <v>GUINHAWA</v>
      </c>
      <c r="N1237" s="1" t="str">
        <f>IFERROR(__xludf.DUMMYFUNCTION("""COMPUTED_VALUE"""),"PUROK 38")</f>
        <v>PUROK 38</v>
      </c>
      <c r="O1237" s="1" t="str">
        <f>IFERROR(__xludf.DUMMYFUNCTION("""COMPUTED_VALUE"""),"GUINHAWA SOUTH")</f>
        <v>GUINHAWA SOUTH</v>
      </c>
      <c r="P1237" s="1" t="str">
        <f>IFERROR(__xludf.DUMMYFUNCTION("""COMPUTED_VALUE"""),"TAGAYTAY")</f>
        <v>TAGAYTAY</v>
      </c>
      <c r="Q1237" s="1" t="str">
        <f>IFERROR(__xludf.DUMMYFUNCTION("""COMPUTED_VALUE"""),"CAVITE")</f>
        <v>CAVITE</v>
      </c>
      <c r="R1237" s="1" t="str">
        <f>IFERROR(__xludf.DUMMYFUNCTION("""COMPUTED_VALUE"""),"FIBR NETFLIX PLAN 1599")</f>
        <v>FIBR NETFLIX PLAN 1599</v>
      </c>
      <c r="S1237" s="1" t="str">
        <f>IFERROR(__xludf.DUMMYFUNCTION("""COMPUTED_VALUE"""),"APPROVED")</f>
        <v>APPROVED</v>
      </c>
      <c r="T1237" s="1" t="str">
        <f>IFERROR(__xludf.DUMMYFUNCTION("""COMPUTED_VALUE"""),"RPR- NAP FULL/ NO PAYMENT")</f>
        <v>RPR- NAP FULL/ NO PAYMENT</v>
      </c>
      <c r="U1237" s="1"/>
      <c r="V1237" s="1"/>
      <c r="W1237" s="1"/>
    </row>
    <row r="1238" customHeight="1" spans="1:23">
      <c r="A1238" s="3">
        <f>IFERROR(__xludf.DUMMYFUNCTION("""COMPUTED_VALUE"""),46129)</f>
        <v>46129</v>
      </c>
      <c r="B1238" s="1" t="str">
        <f>IFERROR(__xludf.DUMMYFUNCTION("""COMPUTED_VALUE"""),"AYON MANUEL")</f>
        <v>AYON MANUEL</v>
      </c>
      <c r="C1238" s="1" t="str">
        <f>IFERROR(__xludf.DUMMYFUNCTION("""COMPUTED_VALUE"""),"FLA")</f>
        <v>FLA</v>
      </c>
      <c r="D1238" s="1" t="str">
        <f>IFERROR(__xludf.DUMMYFUNCTION("""COMPUTED_VALUE"""),"JERIC NAVARRO")</f>
        <v>JERIC NAVARRO</v>
      </c>
      <c r="E1238" s="1" t="str">
        <f>IFERROR(__xludf.DUMMYFUNCTION("""COMPUTED_VALUE"""),"PLDT")</f>
        <v>PLDT</v>
      </c>
      <c r="F1238" s="1">
        <f>IFERROR(__xludf.DUMMYFUNCTION("""COMPUTED_VALUE"""),2308917181)</f>
        <v>2308917181</v>
      </c>
      <c r="G1238" s="1">
        <f>IFERROR(__xludf.DUMMYFUNCTION("""COMPUTED_VALUE"""),451163335004)</f>
        <v>451163335004</v>
      </c>
      <c r="H1238" s="1" t="str">
        <f>IFERROR(__xludf.DUMMYFUNCTION("""COMPUTED_VALUE"""),"BIOMEDICA HEALTH CARE INC")</f>
        <v>BIOMEDICA HEALTH CARE INC</v>
      </c>
      <c r="I1238" s="1">
        <f>IFERROR(__xludf.DUMMYFUNCTION("""COMPUTED_VALUE"""),9209384206)</f>
        <v>9209384206</v>
      </c>
      <c r="J1238" s="1">
        <f>IFERROR(__xludf.DUMMYFUNCTION("""COMPUTED_VALUE"""),9276204789)</f>
        <v>9276204789</v>
      </c>
      <c r="K1238" s="1" t="str">
        <f>IFERROR(__xludf.DUMMYFUNCTION("""COMPUTED_VALUE"""),"INFO@BIOMEDICAHEALTHCARE.COM")</f>
        <v>INFO@BIOMEDICAHEALTHCARE.COM</v>
      </c>
      <c r="L1238" s="1" t="str">
        <f>IFERROR(__xludf.DUMMYFUNCTION("""COMPUTED_VALUE"""),"300")</f>
        <v>300</v>
      </c>
      <c r="M1238" s="1" t="str">
        <f>IFERROR(__xludf.DUMMYFUNCTION("""COMPUTED_VALUE"""),"CM REYES")</f>
        <v>CM REYES</v>
      </c>
      <c r="N1238" s="1"/>
      <c r="O1238" s="1" t="str">
        <f>IFERROR(__xludf.DUMMYFUNCTION("""COMPUTED_VALUE"""),"SALABAN")</f>
        <v>SALABAN</v>
      </c>
      <c r="P1238" s="1" t="str">
        <f>IFERROR(__xludf.DUMMYFUNCTION("""COMPUTED_VALUE"""),"AMADEO")</f>
        <v>AMADEO</v>
      </c>
      <c r="Q1238" s="1" t="str">
        <f>IFERROR(__xludf.DUMMYFUNCTION("""COMPUTED_VALUE"""),"CAVITE")</f>
        <v>CAVITE</v>
      </c>
      <c r="R1238" s="1" t="str">
        <f>IFERROR(__xludf.DUMMYFUNCTION("""COMPUTED_VALUE"""),"HOME BIZ PLAN 2699")</f>
        <v>HOME BIZ PLAN 2699</v>
      </c>
      <c r="S1238" s="1" t="str">
        <f>IFERROR(__xludf.DUMMYFUNCTION("""COMPUTED_VALUE"""),"APPROVED")</f>
        <v>APPROVED</v>
      </c>
      <c r="T1238" s="1" t="str">
        <f>IFERROR(__xludf.DUMMYFUNCTION("""COMPUTED_VALUE"""),"POSTED")</f>
        <v>POSTED</v>
      </c>
      <c r="U1238" s="1"/>
      <c r="V1238" s="1"/>
      <c r="W1238" s="1"/>
    </row>
    <row r="1239" customHeight="1" spans="1:23">
      <c r="A1239" s="3">
        <f>IFERROR(__xludf.DUMMYFUNCTION("""COMPUTED_VALUE"""),46129)</f>
        <v>46129</v>
      </c>
      <c r="B1239" s="1" t="str">
        <f>IFERROR(__xludf.DUMMYFUNCTION("""COMPUTED_VALUE"""),"AYON MANUEL")</f>
        <v>AYON MANUEL</v>
      </c>
      <c r="C1239" s="1" t="str">
        <f>IFERROR(__xludf.DUMMYFUNCTION("""COMPUTED_VALUE"""),"FLA")</f>
        <v>FLA</v>
      </c>
      <c r="D1239" s="1" t="str">
        <f>IFERROR(__xludf.DUMMYFUNCTION("""COMPUTED_VALUE"""),"JERIC NAVARRO")</f>
        <v>JERIC NAVARRO</v>
      </c>
      <c r="E1239" s="1" t="str">
        <f>IFERROR(__xludf.DUMMYFUNCTION("""COMPUTED_VALUE"""),"PLDT")</f>
        <v>PLDT</v>
      </c>
      <c r="F1239" s="1">
        <f>IFERROR(__xludf.DUMMYFUNCTION("""COMPUTED_VALUE"""),2308917854)</f>
        <v>2308917854</v>
      </c>
      <c r="G1239" s="1">
        <f>IFERROR(__xludf.DUMMYFUNCTION("""COMPUTED_VALUE"""),451078248004)</f>
        <v>451078248004</v>
      </c>
      <c r="H1239" s="1" t="str">
        <f>IFERROR(__xludf.DUMMYFUNCTION("""COMPUTED_VALUE"""),"GAIL ANN ROSE TABO-TABO BAWAG")</f>
        <v>GAIL ANN ROSE TABO-TABO BAWAG</v>
      </c>
      <c r="I1239" s="1">
        <f>IFERROR(__xludf.DUMMYFUNCTION("""COMPUTED_VALUE"""),9939485483)</f>
        <v>9939485483</v>
      </c>
      <c r="J1239" s="1"/>
      <c r="K1239" s="1" t="str">
        <f>IFERROR(__xludf.DUMMYFUNCTION("""COMPUTED_VALUE"""),"GAILANNROSEBAWAG2@GMAIL.COM")</f>
        <v>GAILANNROSEBAWAG2@GMAIL.COM</v>
      </c>
      <c r="L1239" s="1" t="str">
        <f>IFERROR(__xludf.DUMMYFUNCTION("""COMPUTED_VALUE"""),"205")</f>
        <v>205</v>
      </c>
      <c r="M1239" s="1" t="str">
        <f>IFERROR(__xludf.DUMMYFUNCTION("""COMPUTED_VALUE"""),"BUCAL")</f>
        <v>BUCAL</v>
      </c>
      <c r="N1239" s="1"/>
      <c r="O1239" s="1" t="str">
        <f>IFERROR(__xludf.DUMMYFUNCTION("""COMPUTED_VALUE"""),"BUCAL")</f>
        <v>BUCAL</v>
      </c>
      <c r="P1239" s="1" t="str">
        <f>IFERROR(__xludf.DUMMYFUNCTION("""COMPUTED_VALUE"""),"AMADEO")</f>
        <v>AMADEO</v>
      </c>
      <c r="Q1239" s="1" t="str">
        <f>IFERROR(__xludf.DUMMYFUNCTION("""COMPUTED_VALUE"""),"CAVITE")</f>
        <v>CAVITE</v>
      </c>
      <c r="R1239" s="1" t="str">
        <f>IFERROR(__xludf.DUMMYFUNCTION("""COMPUTED_VALUE"""),"FIBR UNLI ALL PLAN 1399")</f>
        <v>FIBR UNLI ALL PLAN 1399</v>
      </c>
      <c r="S1239" s="1" t="str">
        <f>IFERROR(__xludf.DUMMYFUNCTION("""COMPUTED_VALUE"""),"APPROVED")</f>
        <v>APPROVED</v>
      </c>
      <c r="T1239" s="1" t="str">
        <f>IFERROR(__xludf.DUMMYFUNCTION("""COMPUTED_VALUE"""),"FOR PAYMENT")</f>
        <v>FOR PAYMENT</v>
      </c>
      <c r="U1239" s="1"/>
      <c r="V1239" s="1"/>
      <c r="W1239" s="1"/>
    </row>
    <row r="1240" customHeight="1" spans="1:23">
      <c r="A1240" s="3">
        <f>IFERROR(__xludf.DUMMYFUNCTION("""COMPUTED_VALUE"""),46129)</f>
        <v>46129</v>
      </c>
      <c r="B1240" s="1" t="str">
        <f>IFERROR(__xludf.DUMMYFUNCTION("""COMPUTED_VALUE"""),"DELA ROSA, JENNELYN")</f>
        <v>DELA ROSA, JENNELYN</v>
      </c>
      <c r="C1240" s="1" t="str">
        <f>IFERROR(__xludf.DUMMYFUNCTION("""COMPUTED_VALUE"""),"ORGANIC")</f>
        <v>ORGANIC</v>
      </c>
      <c r="D1240" s="1" t="str">
        <f>IFERROR(__xludf.DUMMYFUNCTION("""COMPUTED_VALUE"""),"ALOS, CHARLS")</f>
        <v>ALOS, CHARLS</v>
      </c>
      <c r="E1240" s="1" t="str">
        <f>IFERROR(__xludf.DUMMYFUNCTION("""COMPUTED_VALUE"""),"PLDT")</f>
        <v>PLDT</v>
      </c>
      <c r="F1240" s="1">
        <f>IFERROR(__xludf.DUMMYFUNCTION("""COMPUTED_VALUE"""),2308917749)</f>
        <v>2308917749</v>
      </c>
      <c r="G1240" s="1">
        <f>IFERROR(__xludf.DUMMYFUNCTION("""COMPUTED_VALUE"""),451161656004)</f>
        <v>451161656004</v>
      </c>
      <c r="H1240" s="1" t="str">
        <f>IFERROR(__xludf.DUMMYFUNCTION("""COMPUTED_VALUE"""),"CHERRY ANN GREGORIA BALONZA")</f>
        <v>CHERRY ANN GREGORIA BALONZA</v>
      </c>
      <c r="I1240" s="1">
        <f>IFERROR(__xludf.DUMMYFUNCTION("""COMPUTED_VALUE"""),9128362018)</f>
        <v>9128362018</v>
      </c>
      <c r="J1240" s="1">
        <f>IFERROR(__xludf.DUMMYFUNCTION("""COMPUTED_VALUE"""),9070979115)</f>
        <v>9070979115</v>
      </c>
      <c r="K1240" s="1" t="str">
        <f>IFERROR(__xludf.DUMMYFUNCTION("""COMPUTED_VALUE"""),"CHERRYANNBALONZA2018@GMAIL.COM")</f>
        <v>CHERRYANNBALONZA2018@GMAIL.COM</v>
      </c>
      <c r="L1240" s="1" t="str">
        <f>IFERROR(__xludf.DUMMYFUNCTION("""COMPUTED_VALUE"""),"BLK 21 EXC")</f>
        <v>BLK 21 EXC</v>
      </c>
      <c r="M1240" s="1" t="str">
        <f>IFERROR(__xludf.DUMMYFUNCTION("""COMPUTED_VALUE"""),"BANABA")</f>
        <v>BANABA</v>
      </c>
      <c r="N1240" s="1"/>
      <c r="O1240" s="1" t="str">
        <f>IFERROR(__xludf.DUMMYFUNCTION("""COMPUTED_VALUE"""),"BANABA")</f>
        <v>BANABA</v>
      </c>
      <c r="P1240" s="1" t="str">
        <f>IFERROR(__xludf.DUMMYFUNCTION("""COMPUTED_VALUE"""),"SILANG")</f>
        <v>SILANG</v>
      </c>
      <c r="Q1240" s="1" t="str">
        <f>IFERROR(__xludf.DUMMYFUNCTION("""COMPUTED_VALUE"""),"CAVITE")</f>
        <v>CAVITE</v>
      </c>
      <c r="R1240" s="1" t="str">
        <f>IFERROR(__xludf.DUMMYFUNCTION("""COMPUTED_VALUE"""),"FIBR NETFLIX PLAN 1599")</f>
        <v>FIBR NETFLIX PLAN 1599</v>
      </c>
      <c r="S1240" s="1" t="str">
        <f>IFERROR(__xludf.DUMMYFUNCTION("""COMPUTED_VALUE"""),"APPROVED")</f>
        <v>APPROVED</v>
      </c>
      <c r="T1240" s="1" t="str">
        <f>IFERROR(__xludf.DUMMYFUNCTION("""COMPUTED_VALUE"""),"FOR PAYMENT")</f>
        <v>FOR PAYMENT</v>
      </c>
      <c r="U1240" s="1"/>
      <c r="V1240" s="1"/>
      <c r="W1240" s="1"/>
    </row>
    <row r="1241" customHeight="1" spans="1:23">
      <c r="A1241" s="3">
        <f>IFERROR(__xludf.DUMMYFUNCTION("""COMPUTED_VALUE"""),46129)</f>
        <v>46129</v>
      </c>
      <c r="B1241" s="1" t="str">
        <f>IFERROR(__xludf.DUMMYFUNCTION("""COMPUTED_VALUE"""),"CONCEPCION, ALJAY")</f>
        <v>CONCEPCION, ALJAY</v>
      </c>
      <c r="C1241" s="1" t="str">
        <f>IFERROR(__xludf.DUMMYFUNCTION("""COMPUTED_VALUE"""),"ORGANIC")</f>
        <v>ORGANIC</v>
      </c>
      <c r="D1241" s="1" t="str">
        <f>IFERROR(__xludf.DUMMYFUNCTION("""COMPUTED_VALUE"""),"ALINGARO, CINDY")</f>
        <v>ALINGARO, CINDY</v>
      </c>
      <c r="E1241" s="1" t="str">
        <f>IFERROR(__xludf.DUMMYFUNCTION("""COMPUTED_VALUE"""),"PLDT")</f>
        <v>PLDT</v>
      </c>
      <c r="F1241" s="1"/>
      <c r="G1241" s="1"/>
      <c r="H1241" s="1" t="str">
        <f>IFERROR(__xludf.DUMMYFUNCTION("""COMPUTED_VALUE"""),"WYNALYN VIA FERNANDEZ BOLIVAR")</f>
        <v>WYNALYN VIA FERNANDEZ BOLIVAR</v>
      </c>
      <c r="I1241" s="1">
        <f>IFERROR(__xludf.DUMMYFUNCTION("""COMPUTED_VALUE"""),9108527155)</f>
        <v>9108527155</v>
      </c>
      <c r="J1241" s="1">
        <f>IFERROR(__xludf.DUMMYFUNCTION("""COMPUTED_VALUE"""),9978766702)</f>
        <v>9978766702</v>
      </c>
      <c r="K1241" s="1" t="str">
        <f>IFERROR(__xludf.DUMMYFUNCTION("""COMPUTED_VALUE"""),"WYNALYNVIABOLIVAR@GMAIL.COM")</f>
        <v>WYNALYNVIABOLIVAR@GMAIL.COM</v>
      </c>
      <c r="L1241" s="1" t="str">
        <f>IFERROR(__xludf.DUMMYFUNCTION("""COMPUTED_VALUE"""),"327")</f>
        <v>327</v>
      </c>
      <c r="M1241" s="1" t="str">
        <f>IFERROR(__xludf.DUMMYFUNCTION("""COMPUTED_VALUE"""),"APITONG")</f>
        <v>APITONG</v>
      </c>
      <c r="N1241" s="1" t="str">
        <f>IFERROR(__xludf.DUMMYFUNCTION("""COMPUTED_VALUE"""),"CAMELLA HOMES")</f>
        <v>CAMELLA HOMES</v>
      </c>
      <c r="O1241" s="1" t="str">
        <f>IFERROR(__xludf.DUMMYFUNCTION("""COMPUTED_VALUE"""),"HABAY II")</f>
        <v>HABAY II</v>
      </c>
      <c r="P1241" s="1" t="str">
        <f>IFERROR(__xludf.DUMMYFUNCTION("""COMPUTED_VALUE"""),"BACOOR")</f>
        <v>BACOOR</v>
      </c>
      <c r="Q1241" s="1" t="str">
        <f>IFERROR(__xludf.DUMMYFUNCTION("""COMPUTED_VALUE"""),"CAVITE")</f>
        <v>CAVITE</v>
      </c>
      <c r="R1241" s="1" t="str">
        <f>IFERROR(__xludf.DUMMYFUNCTION("""COMPUTED_VALUE"""),"FIBR PLAN 1299")</f>
        <v>FIBR PLAN 1299</v>
      </c>
      <c r="S1241" s="1" t="str">
        <f>IFERROR(__xludf.DUMMYFUNCTION("""COMPUTED_VALUE"""),"HOLD")</f>
        <v>HOLD</v>
      </c>
      <c r="T1241" s="1" t="str">
        <f>IFERROR(__xludf.DUMMYFUNCTION("""COMPUTED_VALUE"""),"FOR APPROVAL IF PASSABLE ANG SUBDIV UNDER VILLAR")</f>
        <v>FOR APPROVAL IF PASSABLE ANG SUBDIV UNDER VILLAR</v>
      </c>
      <c r="U1241" s="1"/>
      <c r="V1241" s="1"/>
      <c r="W1241" s="1"/>
    </row>
    <row r="1242" customHeight="1" spans="1:23">
      <c r="A1242" s="3">
        <f>IFERROR(__xludf.DUMMYFUNCTION("""COMPUTED_VALUE"""),46129)</f>
        <v>46129</v>
      </c>
      <c r="B1242" s="1" t="str">
        <f>IFERROR(__xludf.DUMMYFUNCTION("""COMPUTED_VALUE"""),"DE VERA, MARIVIC")</f>
        <v>DE VERA, MARIVIC</v>
      </c>
      <c r="C1242" s="1" t="str">
        <f>IFERROR(__xludf.DUMMYFUNCTION("""COMPUTED_VALUE"""),"ORGANIC")</f>
        <v>ORGANIC</v>
      </c>
      <c r="D1242" s="1" t="str">
        <f>IFERROR(__xludf.DUMMYFUNCTION("""COMPUTED_VALUE"""),"ALINGARO, CINDY")</f>
        <v>ALINGARO, CINDY</v>
      </c>
      <c r="E1242" s="1" t="str">
        <f>IFERROR(__xludf.DUMMYFUNCTION("""COMPUTED_VALUE"""),"PLDT")</f>
        <v>PLDT</v>
      </c>
      <c r="F1242" s="1">
        <f>IFERROR(__xludf.DUMMYFUNCTION("""COMPUTED_VALUE"""),2308918573)</f>
        <v>2308918573</v>
      </c>
      <c r="G1242" s="1">
        <f>IFERROR(__xludf.DUMMYFUNCTION("""COMPUTED_VALUE"""),451079419004)</f>
        <v>451079419004</v>
      </c>
      <c r="H1242" s="1" t="str">
        <f>IFERROR(__xludf.DUMMYFUNCTION("""COMPUTED_VALUE"""),"LENE DELA TORRE HONDO")</f>
        <v>LENE DELA TORRE HONDO</v>
      </c>
      <c r="I1242" s="1">
        <f>IFERROR(__xludf.DUMMYFUNCTION("""COMPUTED_VALUE"""),9621680834)</f>
        <v>9621680834</v>
      </c>
      <c r="J1242" s="1">
        <f>IFERROR(__xludf.DUMMYFUNCTION("""COMPUTED_VALUE"""),9621680834)</f>
        <v>9621680834</v>
      </c>
      <c r="K1242" s="1" t="str">
        <f>IFERROR(__xludf.DUMMYFUNCTION("""COMPUTED_VALUE"""),"LENEHONDO07@GMAIL.COM")</f>
        <v>LENEHONDO07@GMAIL.COM</v>
      </c>
      <c r="L1242" s="1" t="str">
        <f>IFERROR(__xludf.DUMMYFUNCTION("""COMPUTED_VALUE"""),"74")</f>
        <v>74</v>
      </c>
      <c r="M1242" s="1" t="str">
        <f>IFERROR(__xludf.DUMMYFUNCTION("""COMPUTED_VALUE"""),"MABINI")</f>
        <v>MABINI</v>
      </c>
      <c r="N1242" s="1"/>
      <c r="O1242" s="1" t="str">
        <f>IFERROR(__xludf.DUMMYFUNCTION("""COMPUTED_VALUE"""),"BARANGAY 3 POBLACION")</f>
        <v>BARANGAY 3 POBLACION</v>
      </c>
      <c r="P1242" s="1" t="str">
        <f>IFERROR(__xludf.DUMMYFUNCTION("""COMPUTED_VALUE"""),"MENDEZ")</f>
        <v>MENDEZ</v>
      </c>
      <c r="Q1242" s="1" t="str">
        <f>IFERROR(__xludf.DUMMYFUNCTION("""COMPUTED_VALUE"""),"CAVITE")</f>
        <v>CAVITE</v>
      </c>
      <c r="R1242" s="1" t="str">
        <f>IFERROR(__xludf.DUMMYFUNCTION("""COMPUTED_VALUE"""),"FIBR UNLI ALL PLAN 1399")</f>
        <v>FIBR UNLI ALL PLAN 1399</v>
      </c>
      <c r="S1242" s="1" t="str">
        <f>IFERROR(__xludf.DUMMYFUNCTION("""COMPUTED_VALUE"""),"APPROVED")</f>
        <v>APPROVED</v>
      </c>
      <c r="T1242" s="1" t="str">
        <f>IFERROR(__xludf.DUMMYFUNCTION("""COMPUTED_VALUE"""),"PAID- RPR NAP FULL")</f>
        <v>PAID- RPR NAP FULL</v>
      </c>
      <c r="U1242" s="1"/>
      <c r="V1242" s="1"/>
      <c r="W1242" s="1"/>
    </row>
    <row r="1243" customHeight="1" spans="1:23">
      <c r="A1243" s="3">
        <f>IFERROR(__xludf.DUMMYFUNCTION("""COMPUTED_VALUE"""),46129)</f>
        <v>46129</v>
      </c>
      <c r="B1243" s="1" t="str">
        <f>IFERROR(__xludf.DUMMYFUNCTION("""COMPUTED_VALUE"""),"MALIWAT MARK ELVIN")</f>
        <v>MALIWAT MARK ELVIN</v>
      </c>
      <c r="C1243" s="1" t="str">
        <f>IFERROR(__xludf.DUMMYFUNCTION("""COMPUTED_VALUE"""),"FLA")</f>
        <v>FLA</v>
      </c>
      <c r="D1243" s="1" t="str">
        <f>IFERROR(__xludf.DUMMYFUNCTION("""COMPUTED_VALUE"""),"JERIC NAVARRO")</f>
        <v>JERIC NAVARRO</v>
      </c>
      <c r="E1243" s="1" t="str">
        <f>IFERROR(__xludf.DUMMYFUNCTION("""COMPUTED_VALUE"""),"PLDT")</f>
        <v>PLDT</v>
      </c>
      <c r="F1243" s="1">
        <f>IFERROR(__xludf.DUMMYFUNCTION("""COMPUTED_VALUE"""),2308920764)</f>
        <v>2308920764</v>
      </c>
      <c r="G1243" s="1">
        <f>IFERROR(__xludf.DUMMYFUNCTION("""COMPUTED_VALUE"""),451163356004)</f>
        <v>451163356004</v>
      </c>
      <c r="H1243" s="1" t="str">
        <f>IFERROR(__xludf.DUMMYFUNCTION("""COMPUTED_VALUE"""),"JAMES PIMENTEL ONIA")</f>
        <v>JAMES PIMENTEL ONIA</v>
      </c>
      <c r="I1243" s="1">
        <f>IFERROR(__xludf.DUMMYFUNCTION("""COMPUTED_VALUE"""),9478010712)</f>
        <v>9478010712</v>
      </c>
      <c r="J1243" s="1">
        <f>IFERROR(__xludf.DUMMYFUNCTION("""COMPUTED_VALUE"""),9175263967)</f>
        <v>9175263967</v>
      </c>
      <c r="K1243" s="1" t="str">
        <f>IFERROR(__xludf.DUMMYFUNCTION("""COMPUTED_VALUE"""),"HJUDEONI@GMAIL.COM")</f>
        <v>HJUDEONI@GMAIL.COM</v>
      </c>
      <c r="L1243" s="1" t="str">
        <f>IFERROR(__xludf.DUMMYFUNCTION("""COMPUTED_VALUE"""),"BLK 28B LOT 14 ")</f>
        <v>BLK 28B LOT 14 </v>
      </c>
      <c r="M1243" s="1" t="str">
        <f>IFERROR(__xludf.DUMMYFUNCTION("""COMPUTED_VALUE"""),"PLUTO")</f>
        <v>PLUTO</v>
      </c>
      <c r="N1243" s="1" t="str">
        <f>IFERROR(__xludf.DUMMYFUNCTION("""COMPUTED_VALUE"""),"CHRV R5")</f>
        <v>CHRV R5</v>
      </c>
      <c r="O1243" s="1" t="str">
        <f>IFERROR(__xludf.DUMMYFUNCTION("""COMPUTED_VALUE"""),"LANGKAAN II")</f>
        <v>LANGKAAN II</v>
      </c>
      <c r="P1243" s="1" t="str">
        <f>IFERROR(__xludf.DUMMYFUNCTION("""COMPUTED_VALUE"""),"DASMARINAS")</f>
        <v>DASMARINAS</v>
      </c>
      <c r="Q1243" s="1" t="str">
        <f>IFERROR(__xludf.DUMMYFUNCTION("""COMPUTED_VALUE"""),"CAVITE")</f>
        <v>CAVITE</v>
      </c>
      <c r="R1243" s="1" t="str">
        <f>IFERROR(__xludf.DUMMYFUNCTION("""COMPUTED_VALUE"""),"FIBR UNLI ALL PLAN 1399")</f>
        <v>FIBR UNLI ALL PLAN 1399</v>
      </c>
      <c r="S1243" s="1" t="str">
        <f>IFERROR(__xludf.DUMMYFUNCTION("""COMPUTED_VALUE"""),"APPROVED")</f>
        <v>APPROVED</v>
      </c>
      <c r="T1243" s="1" t="str">
        <f>IFERROR(__xludf.DUMMYFUNCTION("""COMPUTED_VALUE"""),"POSTED")</f>
        <v>POSTED</v>
      </c>
      <c r="U1243" s="1"/>
      <c r="V1243" s="1"/>
      <c r="W1243" s="1"/>
    </row>
    <row r="1244" customHeight="1" spans="1:23">
      <c r="A1244" s="3">
        <f>IFERROR(__xludf.DUMMYFUNCTION("""COMPUTED_VALUE"""),46129)</f>
        <v>46129</v>
      </c>
      <c r="B1244" s="1" t="str">
        <f>IFERROR(__xludf.DUMMYFUNCTION("""COMPUTED_VALUE"""),"FERNANDEZ JERIC")</f>
        <v>FERNANDEZ JERIC</v>
      </c>
      <c r="C1244" s="1" t="str">
        <f>IFERROR(__xludf.DUMMYFUNCTION("""COMPUTED_VALUE"""),"ORGANIC")</f>
        <v>ORGANIC</v>
      </c>
      <c r="D1244" s="1" t="str">
        <f>IFERROR(__xludf.DUMMYFUNCTION("""COMPUTED_VALUE"""),"ALOS, CHARLS")</f>
        <v>ALOS, CHARLS</v>
      </c>
      <c r="E1244" s="1" t="str">
        <f>IFERROR(__xludf.DUMMYFUNCTION("""COMPUTED_VALUE"""),"RED FIBER")</f>
        <v>RED FIBER</v>
      </c>
      <c r="F1244" s="1"/>
      <c r="G1244" s="1">
        <f>IFERROR(__xludf.DUMMYFUNCTION("""COMPUTED_VALUE"""),8567168824)</f>
        <v>8567168824</v>
      </c>
      <c r="H1244" s="1" t="str">
        <f>IFERROR(__xludf.DUMMYFUNCTION("""COMPUTED_VALUE"""),"IAN GALANG BAGANG")</f>
        <v>IAN GALANG BAGANG</v>
      </c>
      <c r="I1244" s="1">
        <f>IFERROR(__xludf.DUMMYFUNCTION("""COMPUTED_VALUE"""),9125903178)</f>
        <v>9125903178</v>
      </c>
      <c r="J1244" s="1"/>
      <c r="K1244" s="1" t="str">
        <f>IFERROR(__xludf.DUMMYFUNCTION("""COMPUTED_VALUE"""),"RICHARDPANGILINAN5@GMAIL.COM")</f>
        <v>RICHARDPANGILINAN5@GMAIL.COM</v>
      </c>
      <c r="L1244" s="1" t="str">
        <f>IFERROR(__xludf.DUMMYFUNCTION("""COMPUTED_VALUE"""),"224")</f>
        <v>224</v>
      </c>
      <c r="M1244" s="1" t="str">
        <f>IFERROR(__xludf.DUMMYFUNCTION("""COMPUTED_VALUE"""),"MAITIM 2")</f>
        <v>MAITIM 2</v>
      </c>
      <c r="N1244" s="1" t="str">
        <f>IFERROR(__xludf.DUMMYFUNCTION("""COMPUTED_VALUE"""),"VICTORIA SUBD")</f>
        <v>VICTORIA SUBD</v>
      </c>
      <c r="O1244" s="1" t="str">
        <f>IFERROR(__xludf.DUMMYFUNCTION("""COMPUTED_VALUE"""),"MAITIM 2ND EAST")</f>
        <v>MAITIM 2ND EAST</v>
      </c>
      <c r="P1244" s="1" t="str">
        <f>IFERROR(__xludf.DUMMYFUNCTION("""COMPUTED_VALUE"""),"TAGAYTAY")</f>
        <v>TAGAYTAY</v>
      </c>
      <c r="Q1244" s="1" t="str">
        <f>IFERROR(__xludf.DUMMYFUNCTION("""COMPUTED_VALUE"""),"CAVITE")</f>
        <v>CAVITE</v>
      </c>
      <c r="R1244" s="1" t="str">
        <f>IFERROR(__xludf.DUMMYFUNCTION("""COMPUTED_VALUE"""),"RED PLAN 1400")</f>
        <v>RED PLAN 1400</v>
      </c>
      <c r="S1244" s="1" t="str">
        <f>IFERROR(__xludf.DUMMYFUNCTION("""COMPUTED_VALUE"""),"APPROVED")</f>
        <v>APPROVED</v>
      </c>
      <c r="T1244" s="1" t="str">
        <f>IFERROR(__xludf.DUMMYFUNCTION("""COMPUTED_VALUE"""),"POSTED/4/25/2026")</f>
        <v>POSTED/4/25/2026</v>
      </c>
      <c r="U1244" s="1" t="str">
        <f>IFERROR(__xludf.DUMMYFUNCTION("""COMPUTED_VALUE"""),"FOR APRIL 20/26 PAYROLL")</f>
        <v>FOR APRIL 20/26 PAYROLL</v>
      </c>
      <c r="V1244" s="1"/>
      <c r="W1244" s="1"/>
    </row>
    <row r="1245" customHeight="1" spans="1:23">
      <c r="A1245" s="3">
        <f>IFERROR(__xludf.DUMMYFUNCTION("""COMPUTED_VALUE"""),46129)</f>
        <v>46129</v>
      </c>
      <c r="B1245" s="1" t="str">
        <f>IFERROR(__xludf.DUMMYFUNCTION("""COMPUTED_VALUE"""),"RJAB JAZZ")</f>
        <v>RJAB JAZZ</v>
      </c>
      <c r="C1245" s="1" t="str">
        <f>IFERROR(__xludf.DUMMYFUNCTION("""COMPUTED_VALUE"""),"FLA")</f>
        <v>FLA</v>
      </c>
      <c r="D1245" s="1" t="str">
        <f>IFERROR(__xludf.DUMMYFUNCTION("""COMPUTED_VALUE"""),"JERIC NAVARRO")</f>
        <v>JERIC NAVARRO</v>
      </c>
      <c r="E1245" s="1" t="str">
        <f>IFERROR(__xludf.DUMMYFUNCTION("""COMPUTED_VALUE"""),"PLDT")</f>
        <v>PLDT</v>
      </c>
      <c r="F1245" s="1">
        <f>IFERROR(__xludf.DUMMYFUNCTION("""COMPUTED_VALUE"""),2308922608)</f>
        <v>2308922608</v>
      </c>
      <c r="G1245" s="1">
        <f>IFERROR(__xludf.DUMMYFUNCTION("""COMPUTED_VALUE"""),451118166004)</f>
        <v>451118166004</v>
      </c>
      <c r="H1245" s="1" t="str">
        <f>IFERROR(__xludf.DUMMYFUNCTION("""COMPUTED_VALUE"""),"KENN LAORENO CAPARAL")</f>
        <v>KENN LAORENO CAPARAL</v>
      </c>
      <c r="I1245" s="1">
        <f>IFERROR(__xludf.DUMMYFUNCTION("""COMPUTED_VALUE"""),9543124252)</f>
        <v>9543124252</v>
      </c>
      <c r="J1245" s="1"/>
      <c r="K1245" s="1" t="str">
        <f>IFERROR(__xludf.DUMMYFUNCTION("""COMPUTED_VALUE"""),"KENN.CAPARAL@GMAIL.COM")</f>
        <v>KENN.CAPARAL@GMAIL.COM</v>
      </c>
      <c r="L1245" s="1" t="str">
        <f>IFERROR(__xludf.DUMMYFUNCTION("""COMPUTED_VALUE"""),"BLK 9 ")</f>
        <v>BLK 9 </v>
      </c>
      <c r="M1245" s="1" t="str">
        <f>IFERROR(__xludf.DUMMYFUNCTION("""COMPUTED_VALUE"""),"MOLINO 3")</f>
        <v>MOLINO 3</v>
      </c>
      <c r="N1245" s="1" t="str">
        <f>IFERROR(__xludf.DUMMYFUNCTION("""COMPUTED_VALUE"""),"VILLAGEHOMES QUEENSTOWN WEST")</f>
        <v>VILLAGEHOMES QUEENSTOWN WEST</v>
      </c>
      <c r="O1245" s="1" t="str">
        <f>IFERROR(__xludf.DUMMYFUNCTION("""COMPUTED_VALUE"""),"MOLINO III")</f>
        <v>MOLINO III</v>
      </c>
      <c r="P1245" s="1" t="str">
        <f>IFERROR(__xludf.DUMMYFUNCTION("""COMPUTED_VALUE"""),"BACOOR")</f>
        <v>BACOOR</v>
      </c>
      <c r="Q1245" s="1" t="str">
        <f>IFERROR(__xludf.DUMMYFUNCTION("""COMPUTED_VALUE"""),"CAVITE")</f>
        <v>CAVITE</v>
      </c>
      <c r="R1245" s="1" t="str">
        <f>IFERROR(__xludf.DUMMYFUNCTION("""COMPUTED_VALUE"""),"FIBR NETFLIX PLAN 1599")</f>
        <v>FIBR NETFLIX PLAN 1599</v>
      </c>
      <c r="S1245" s="1" t="str">
        <f>IFERROR(__xludf.DUMMYFUNCTION("""COMPUTED_VALUE"""),"APPROVED")</f>
        <v>APPROVED</v>
      </c>
      <c r="T1245" s="1" t="str">
        <f>IFERROR(__xludf.DUMMYFUNCTION("""COMPUTED_VALUE"""),"POSTED")</f>
        <v>POSTED</v>
      </c>
      <c r="U1245" s="1"/>
      <c r="V1245" s="1"/>
      <c r="W1245" s="1"/>
    </row>
    <row r="1246" customHeight="1" spans="1:23">
      <c r="A1246" s="3">
        <f>IFERROR(__xludf.DUMMYFUNCTION("""COMPUTED_VALUE"""),46130)</f>
        <v>46130</v>
      </c>
      <c r="B1246" s="1" t="str">
        <f>IFERROR(__xludf.DUMMYFUNCTION("""COMPUTED_VALUE"""),"GABAY, MANUEL")</f>
        <v>GABAY, MANUEL</v>
      </c>
      <c r="C1246" s="1" t="str">
        <f>IFERROR(__xludf.DUMMYFUNCTION("""COMPUTED_VALUE"""),"FLA")</f>
        <v>FLA</v>
      </c>
      <c r="D1246" s="1" t="str">
        <f>IFERROR(__xludf.DUMMYFUNCTION("""COMPUTED_VALUE"""),"JERIC NAVARRO")</f>
        <v>JERIC NAVARRO</v>
      </c>
      <c r="E1246" s="1" t="str">
        <f>IFERROR(__xludf.DUMMYFUNCTION("""COMPUTED_VALUE"""),"PLDT")</f>
        <v>PLDT</v>
      </c>
      <c r="F1246" s="1">
        <f>IFERROR(__xludf.DUMMYFUNCTION("""COMPUTED_VALUE"""),2308933103)</f>
        <v>2308933103</v>
      </c>
      <c r="G1246" s="1"/>
      <c r="H1246" s="1" t="str">
        <f>IFERROR(__xludf.DUMMYFUNCTION("""COMPUTED_VALUE"""),"MARLO MAMMUAD UNIDA")</f>
        <v>MARLO MAMMUAD UNIDA</v>
      </c>
      <c r="I1246" s="1">
        <f>IFERROR(__xludf.DUMMYFUNCTION("""COMPUTED_VALUE"""),9929951531)</f>
        <v>9929951531</v>
      </c>
      <c r="J1246" s="1">
        <f>IFERROR(__xludf.DUMMYFUNCTION("""COMPUTED_VALUE"""),9563065184)</f>
        <v>9563065184</v>
      </c>
      <c r="K1246" s="1" t="str">
        <f>IFERROR(__xludf.DUMMYFUNCTION("""COMPUTED_VALUE"""),"MHARUNIDA@GMAIL.COM")</f>
        <v>MHARUNIDA@GMAIL.COM</v>
      </c>
      <c r="L1246" s="1" t="str">
        <f>IFERROR(__xludf.DUMMYFUNCTION("""COMPUTED_VALUE"""),"BLK 11 LOT 13")</f>
        <v>BLK 11 LOT 13</v>
      </c>
      <c r="M1246" s="1" t="str">
        <f>IFERROR(__xludf.DUMMYFUNCTION("""COMPUTED_VALUE"""),"WASHINGTON")</f>
        <v>WASHINGTON</v>
      </c>
      <c r="N1246" s="1" t="str">
        <f>IFERROR(__xludf.DUMMYFUNCTION("""COMPUTED_VALUE"""),"SAN MARINO")</f>
        <v>SAN MARINO</v>
      </c>
      <c r="O1246" s="1" t="str">
        <f>IFERROR(__xludf.DUMMYFUNCTION("""COMPUTED_VALUE"""),"SALAWAG")</f>
        <v>SALAWAG</v>
      </c>
      <c r="P1246" s="1" t="str">
        <f>IFERROR(__xludf.DUMMYFUNCTION("""COMPUTED_VALUE"""),"DASMARINAS")</f>
        <v>DASMARINAS</v>
      </c>
      <c r="Q1246" s="1" t="str">
        <f>IFERROR(__xludf.DUMMYFUNCTION("""COMPUTED_VALUE"""),"CAVITE")</f>
        <v>CAVITE</v>
      </c>
      <c r="R1246" s="1" t="str">
        <f>IFERROR(__xludf.DUMMYFUNCTION("""COMPUTED_VALUE"""),"FIBR UNLI ALL PLAN 1399")</f>
        <v>FIBR UNLI ALL PLAN 1399</v>
      </c>
      <c r="S1246" s="1" t="str">
        <f>IFERROR(__xludf.DUMMYFUNCTION("""COMPUTED_VALUE"""),"APPROVED")</f>
        <v>APPROVED</v>
      </c>
      <c r="T1246" s="1" t="str">
        <f>IFERROR(__xludf.DUMMYFUNCTION("""COMPUTED_VALUE"""),"CANCELLED WITH OB")</f>
        <v>CANCELLED WITH OB</v>
      </c>
      <c r="U1246" s="1"/>
      <c r="V1246" s="1"/>
      <c r="W1246" s="1"/>
    </row>
    <row r="1247" customHeight="1" spans="1:23">
      <c r="A1247" s="3">
        <f>IFERROR(__xludf.DUMMYFUNCTION("""COMPUTED_VALUE"""),46130)</f>
        <v>46130</v>
      </c>
      <c r="B1247" s="1" t="str">
        <f>IFERROR(__xludf.DUMMYFUNCTION("""COMPUTED_VALUE"""),"MAGDARAOG, KENNETH")</f>
        <v>MAGDARAOG, KENNETH</v>
      </c>
      <c r="C1247" s="1" t="str">
        <f>IFERROR(__xludf.DUMMYFUNCTION("""COMPUTED_VALUE"""),"ORGANIC")</f>
        <v>ORGANIC</v>
      </c>
      <c r="D1247" s="1" t="str">
        <f>IFERROR(__xludf.DUMMYFUNCTION("""COMPUTED_VALUE"""),"ALINGARO, CINDY")</f>
        <v>ALINGARO, CINDY</v>
      </c>
      <c r="E1247" s="1" t="str">
        <f>IFERROR(__xludf.DUMMYFUNCTION("""COMPUTED_VALUE"""),"PLDT")</f>
        <v>PLDT</v>
      </c>
      <c r="F1247" s="1">
        <f>IFERROR(__xludf.DUMMYFUNCTION("""COMPUTED_VALUE"""),2308933170)</f>
        <v>2308933170</v>
      </c>
      <c r="G1247" s="1">
        <f>IFERROR(__xludf.DUMMYFUNCTION("""COMPUTED_VALUE"""),451188707004)</f>
        <v>451188707004</v>
      </c>
      <c r="H1247" s="1" t="str">
        <f>IFERROR(__xludf.DUMMYFUNCTION("""COMPUTED_VALUE"""),"DOMINIC IAN RUIZ DELA CRUZ")</f>
        <v>DOMINIC IAN RUIZ DELA CRUZ</v>
      </c>
      <c r="I1247" s="1">
        <f>IFERROR(__xludf.DUMMYFUNCTION("""COMPUTED_VALUE"""),9625778453)</f>
        <v>9625778453</v>
      </c>
      <c r="J1247" s="1">
        <f>IFERROR(__xludf.DUMMYFUNCTION("""COMPUTED_VALUE"""),9159084140)</f>
        <v>9159084140</v>
      </c>
      <c r="K1247" s="1" t="str">
        <f>IFERROR(__xludf.DUMMYFUNCTION("""COMPUTED_VALUE"""),"DOMIANDC@GMAIL.COM")</f>
        <v>DOMIANDC@GMAIL.COM</v>
      </c>
      <c r="L1247" s="1" t="str">
        <f>IFERROR(__xludf.DUMMYFUNCTION("""COMPUTED_VALUE"""),"46")</f>
        <v>46</v>
      </c>
      <c r="M1247" s="1" t="str">
        <f>IFERROR(__xludf.DUMMYFUNCTION("""COMPUTED_VALUE"""),"LILLIA HIGHTS")</f>
        <v>LILLIA HIGHTS</v>
      </c>
      <c r="N1247" s="1"/>
      <c r="O1247" s="1" t="str">
        <f>IFERROR(__xludf.DUMMYFUNCTION("""COMPUTED_VALUE"""),"ASIS III")</f>
        <v>ASIS III</v>
      </c>
      <c r="P1247" s="1" t="str">
        <f>IFERROR(__xludf.DUMMYFUNCTION("""COMPUTED_VALUE"""),"MENDEZ")</f>
        <v>MENDEZ</v>
      </c>
      <c r="Q1247" s="1" t="str">
        <f>IFERROR(__xludf.DUMMYFUNCTION("""COMPUTED_VALUE"""),"CAVITE")</f>
        <v>CAVITE</v>
      </c>
      <c r="R1247" s="1" t="str">
        <f>IFERROR(__xludf.DUMMYFUNCTION("""COMPUTED_VALUE"""),"FIBR NETFLIX PLAN 1599")</f>
        <v>FIBR NETFLIX PLAN 1599</v>
      </c>
      <c r="S1247" s="1" t="str">
        <f>IFERROR(__xludf.DUMMYFUNCTION("""COMPUTED_VALUE"""),"APPROVED")</f>
        <v>APPROVED</v>
      </c>
      <c r="T1247" s="1" t="str">
        <f>IFERROR(__xludf.DUMMYFUNCTION("""COMPUTED_VALUE"""),"POSTED")</f>
        <v>POSTED</v>
      </c>
      <c r="U1247" s="1"/>
      <c r="V1247" s="1"/>
      <c r="W1247" s="1"/>
    </row>
    <row r="1248" customHeight="1" spans="1:23">
      <c r="A1248" s="3">
        <f>IFERROR(__xludf.DUMMYFUNCTION("""COMPUTED_VALUE"""),46130)</f>
        <v>46130</v>
      </c>
      <c r="B1248" s="1" t="str">
        <f>IFERROR(__xludf.DUMMYFUNCTION("""COMPUTED_VALUE"""),"ESCARCHA, MA ALMA  ESCOTO")</f>
        <v>ESCARCHA, MA ALMA  ESCOTO</v>
      </c>
      <c r="C1248" s="1" t="str">
        <f>IFERROR(__xludf.DUMMYFUNCTION("""COMPUTED_VALUE"""),"ORGANIC")</f>
        <v>ORGANIC</v>
      </c>
      <c r="D1248" s="1" t="str">
        <f>IFERROR(__xludf.DUMMYFUNCTION("""COMPUTED_VALUE"""),"ALINGARO, CINDY")</f>
        <v>ALINGARO, CINDY</v>
      </c>
      <c r="E1248" s="1" t="str">
        <f>IFERROR(__xludf.DUMMYFUNCTION("""COMPUTED_VALUE"""),"PLDT")</f>
        <v>PLDT</v>
      </c>
      <c r="F1248" s="1">
        <f>IFERROR(__xludf.DUMMYFUNCTION("""COMPUTED_VALUE"""),2308934912)</f>
        <v>2308934912</v>
      </c>
      <c r="G1248" s="1">
        <f>IFERROR(__xludf.DUMMYFUNCTION("""COMPUTED_VALUE"""),451196363004)</f>
        <v>451196363004</v>
      </c>
      <c r="H1248" s="1" t="str">
        <f>IFERROR(__xludf.DUMMYFUNCTION("""COMPUTED_VALUE"""),"SALVACION LABESIG AGRAMON")</f>
        <v>SALVACION LABESIG AGRAMON</v>
      </c>
      <c r="I1248" s="1">
        <f>IFERROR(__xludf.DUMMYFUNCTION("""COMPUTED_VALUE"""),9495959466)</f>
        <v>9495959466</v>
      </c>
      <c r="J1248" s="1">
        <f>IFERROR(__xludf.DUMMYFUNCTION("""COMPUTED_VALUE"""),9162084400)</f>
        <v>9162084400</v>
      </c>
      <c r="K1248" s="1" t="str">
        <f>IFERROR(__xludf.DUMMYFUNCTION("""COMPUTED_VALUE"""),"ERSALVACION@GMAIL.COM")</f>
        <v>ERSALVACION@GMAIL.COM</v>
      </c>
      <c r="L1248" s="1" t="str">
        <f>IFERROR(__xludf.DUMMYFUNCTION("""COMPUTED_VALUE"""),"3")</f>
        <v>3</v>
      </c>
      <c r="M1248" s="1" t="str">
        <f>IFERROR(__xludf.DUMMYFUNCTION("""COMPUTED_VALUE"""),"PUROK 4")</f>
        <v>PUROK 4</v>
      </c>
      <c r="N1248" s="1"/>
      <c r="O1248" s="1" t="str">
        <f>IFERROR(__xludf.DUMMYFUNCTION("""COMPUTED_VALUE"""),"GUINHAWA NORTH")</f>
        <v>GUINHAWA NORTH</v>
      </c>
      <c r="P1248" s="1" t="str">
        <f>IFERROR(__xludf.DUMMYFUNCTION("""COMPUTED_VALUE"""),"TAGAYTAY")</f>
        <v>TAGAYTAY</v>
      </c>
      <c r="Q1248" s="1" t="str">
        <f>IFERROR(__xludf.DUMMYFUNCTION("""COMPUTED_VALUE"""),"CAVITE")</f>
        <v>CAVITE</v>
      </c>
      <c r="R1248" s="1" t="str">
        <f>IFERROR(__xludf.DUMMYFUNCTION("""COMPUTED_VALUE"""),"FIBR PLAN 1299")</f>
        <v>FIBR PLAN 1299</v>
      </c>
      <c r="S1248" s="1" t="str">
        <f>IFERROR(__xludf.DUMMYFUNCTION("""COMPUTED_VALUE"""),"APPROVED")</f>
        <v>APPROVED</v>
      </c>
      <c r="T1248" s="1" t="str">
        <f>IFERROR(__xludf.DUMMYFUNCTION("""COMPUTED_VALUE"""),"FOR PAYMENT")</f>
        <v>FOR PAYMENT</v>
      </c>
      <c r="U1248" s="1"/>
      <c r="V1248" s="1"/>
      <c r="W1248" s="1"/>
    </row>
    <row r="1249" customHeight="1" spans="1:23">
      <c r="A1249" s="3">
        <f>IFERROR(__xludf.DUMMYFUNCTION("""COMPUTED_VALUE"""),46130)</f>
        <v>46130</v>
      </c>
      <c r="B1249" s="1" t="str">
        <f>IFERROR(__xludf.DUMMYFUNCTION("""COMPUTED_VALUE"""),"RIVERA, AIRIZH JOY")</f>
        <v>RIVERA, AIRIZH JOY</v>
      </c>
      <c r="C1249" s="1" t="str">
        <f>IFERROR(__xludf.DUMMYFUNCTION("""COMPUTED_VALUE"""),"ORGANIC")</f>
        <v>ORGANIC</v>
      </c>
      <c r="D1249" s="1" t="str">
        <f>IFERROR(__xludf.DUMMYFUNCTION("""COMPUTED_VALUE"""),"ALOS, CHARLS")</f>
        <v>ALOS, CHARLS</v>
      </c>
      <c r="E1249" s="1" t="str">
        <f>IFERROR(__xludf.DUMMYFUNCTION("""COMPUTED_VALUE"""),"PLDT")</f>
        <v>PLDT</v>
      </c>
      <c r="F1249" s="1">
        <f>IFERROR(__xludf.DUMMYFUNCTION("""COMPUTED_VALUE"""),2308934997)</f>
        <v>2308934997</v>
      </c>
      <c r="G1249" s="1">
        <f>IFERROR(__xludf.DUMMYFUNCTION("""COMPUTED_VALUE"""),451197913004)</f>
        <v>451197913004</v>
      </c>
      <c r="H1249" s="1" t="str">
        <f>IFERROR(__xludf.DUMMYFUNCTION("""COMPUTED_VALUE"""),"ROXANNE RECANIA")</f>
        <v>ROXANNE RECANIA</v>
      </c>
      <c r="I1249" s="1">
        <f>IFERROR(__xludf.DUMMYFUNCTION("""COMPUTED_VALUE"""),9153885887)</f>
        <v>9153885887</v>
      </c>
      <c r="J1249" s="1"/>
      <c r="K1249" s="1" t="str">
        <f>IFERROR(__xludf.DUMMYFUNCTION("""COMPUTED_VALUE"""),"ROXY061493@GMAIL.COM")</f>
        <v>ROXY061493@GMAIL.COM</v>
      </c>
      <c r="L1249" s="1" t="str">
        <f>IFERROR(__xludf.DUMMYFUNCTION("""COMPUTED_VALUE"""),"BLK 240 LOT 1")</f>
        <v>BLK 240 LOT 1</v>
      </c>
      <c r="M1249" s="1" t="str">
        <f>IFERROR(__xludf.DUMMYFUNCTION("""COMPUTED_VALUE"""),"PHASE 2")</f>
        <v>PHASE 2</v>
      </c>
      <c r="N1249" s="1" t="str">
        <f>IFERROR(__xludf.DUMMYFUNCTION("""COMPUTED_VALUE"""),"MABUHAY CITY")</f>
        <v>MABUHAY CITY</v>
      </c>
      <c r="O1249" s="1" t="str">
        <f>IFERROR(__xludf.DUMMYFUNCTION("""COMPUTED_VALUE"""),"PALIPARAN III")</f>
        <v>PALIPARAN III</v>
      </c>
      <c r="P1249" s="1" t="str">
        <f>IFERROR(__xludf.DUMMYFUNCTION("""COMPUTED_VALUE"""),"DASMARINAS")</f>
        <v>DASMARINAS</v>
      </c>
      <c r="Q1249" s="1" t="str">
        <f>IFERROR(__xludf.DUMMYFUNCTION("""COMPUTED_VALUE"""),"CAVITE")</f>
        <v>CAVITE</v>
      </c>
      <c r="R1249" s="1" t="str">
        <f>IFERROR(__xludf.DUMMYFUNCTION("""COMPUTED_VALUE"""),"FIBR PLAN 1299")</f>
        <v>FIBR PLAN 1299</v>
      </c>
      <c r="S1249" s="1" t="str">
        <f>IFERROR(__xludf.DUMMYFUNCTION("""COMPUTED_VALUE"""),"APPROVED")</f>
        <v>APPROVED</v>
      </c>
      <c r="T1249" s="1" t="str">
        <f>IFERROR(__xludf.DUMMYFUNCTION("""COMPUTED_VALUE"""),"POSTED")</f>
        <v>POSTED</v>
      </c>
      <c r="U1249" s="1"/>
      <c r="V1249" s="1"/>
      <c r="W1249" s="1"/>
    </row>
    <row r="1250" customHeight="1" spans="1:23">
      <c r="A1250" s="3">
        <f>IFERROR(__xludf.DUMMYFUNCTION("""COMPUTED_VALUE"""),46130)</f>
        <v>46130</v>
      </c>
      <c r="B1250" s="1" t="str">
        <f>IFERROR(__xludf.DUMMYFUNCTION("""COMPUTED_VALUE"""),"ESCARCHA, MA ALMA  ESCOTO")</f>
        <v>ESCARCHA, MA ALMA  ESCOTO</v>
      </c>
      <c r="C1250" s="1" t="str">
        <f>IFERROR(__xludf.DUMMYFUNCTION("""COMPUTED_VALUE"""),"ORGANIC")</f>
        <v>ORGANIC</v>
      </c>
      <c r="D1250" s="1" t="str">
        <f>IFERROR(__xludf.DUMMYFUNCTION("""COMPUTED_VALUE"""),"ALINGARO, CINDY")</f>
        <v>ALINGARO, CINDY</v>
      </c>
      <c r="E1250" s="1" t="str">
        <f>IFERROR(__xludf.DUMMYFUNCTION("""COMPUTED_VALUE"""),"PLDT")</f>
        <v>PLDT</v>
      </c>
      <c r="F1250" s="1">
        <f>IFERROR(__xludf.DUMMYFUNCTION("""COMPUTED_VALUE"""),2308935430)</f>
        <v>2308935430</v>
      </c>
      <c r="G1250" s="1">
        <f>IFERROR(__xludf.DUMMYFUNCTION("""COMPUTED_VALUE"""),451201253004)</f>
        <v>451201253004</v>
      </c>
      <c r="H1250" s="1" t="str">
        <f>IFERROR(__xludf.DUMMYFUNCTION("""COMPUTED_VALUE"""),"MARK REUEL SALO DESTURA")</f>
        <v>MARK REUEL SALO DESTURA</v>
      </c>
      <c r="I1250" s="1">
        <f>IFERROR(__xludf.DUMMYFUNCTION("""COMPUTED_VALUE"""),9675731114)</f>
        <v>9675731114</v>
      </c>
      <c r="J1250" s="1">
        <f>IFERROR(__xludf.DUMMYFUNCTION("""COMPUTED_VALUE"""),9466291612)</f>
        <v>9466291612</v>
      </c>
      <c r="K1250" s="1" t="str">
        <f>IFERROR(__xludf.DUMMYFUNCTION("""COMPUTED_VALUE"""),"NANNETHAURE.FANTECH@GMAIL.COM")</f>
        <v>NANNETHAURE.FANTECH@GMAIL.COM</v>
      </c>
      <c r="L1250" s="1" t="str">
        <f>IFERROR(__xludf.DUMMYFUNCTION("""COMPUTED_VALUE"""),"141")</f>
        <v>141</v>
      </c>
      <c r="M1250" s="1" t="str">
        <f>IFERROR(__xludf.DUMMYFUNCTION("""COMPUTED_VALUE"""),"ZAMORA ")</f>
        <v>ZAMORA </v>
      </c>
      <c r="N1250" s="1"/>
      <c r="O1250" s="1" t="str">
        <f>IFERROR(__xludf.DUMMYFUNCTION("""COMPUTED_VALUE"""),"ASIS I")</f>
        <v>ASIS I</v>
      </c>
      <c r="P1250" s="1" t="str">
        <f>IFERROR(__xludf.DUMMYFUNCTION("""COMPUTED_VALUE"""),"MENDEZ")</f>
        <v>MENDEZ</v>
      </c>
      <c r="Q1250" s="1" t="str">
        <f>IFERROR(__xludf.DUMMYFUNCTION("""COMPUTED_VALUE"""),"CAVITE")</f>
        <v>CAVITE</v>
      </c>
      <c r="R1250" s="1" t="str">
        <f>IFERROR(__xludf.DUMMYFUNCTION("""COMPUTED_VALUE"""),"FIBR PLAN 1299")</f>
        <v>FIBR PLAN 1299</v>
      </c>
      <c r="S1250" s="1" t="str">
        <f>IFERROR(__xludf.DUMMYFUNCTION("""COMPUTED_VALUE"""),"APPROVED")</f>
        <v>APPROVED</v>
      </c>
      <c r="T1250" s="1" t="str">
        <f>IFERROR(__xludf.DUMMYFUNCTION("""COMPUTED_VALUE"""),"POSTED")</f>
        <v>POSTED</v>
      </c>
      <c r="U1250" s="1"/>
      <c r="V1250" s="1"/>
      <c r="W1250" s="1"/>
    </row>
    <row r="1251" customHeight="1" spans="1:23">
      <c r="A1251" s="3">
        <f>IFERROR(__xludf.DUMMYFUNCTION("""COMPUTED_VALUE"""),46130)</f>
        <v>46130</v>
      </c>
      <c r="B1251" s="1" t="str">
        <f>IFERROR(__xludf.DUMMYFUNCTION("""COMPUTED_VALUE"""),"AYON MANUEL")</f>
        <v>AYON MANUEL</v>
      </c>
      <c r="C1251" s="1" t="str">
        <f>IFERROR(__xludf.DUMMYFUNCTION("""COMPUTED_VALUE"""),"FLA")</f>
        <v>FLA</v>
      </c>
      <c r="D1251" s="1" t="str">
        <f>IFERROR(__xludf.DUMMYFUNCTION("""COMPUTED_VALUE"""),"JERIC NAVARRO")</f>
        <v>JERIC NAVARRO</v>
      </c>
      <c r="E1251" s="1" t="str">
        <f>IFERROR(__xludf.DUMMYFUNCTION("""COMPUTED_VALUE"""),"PLDT")</f>
        <v>PLDT</v>
      </c>
      <c r="F1251" s="1">
        <f>IFERROR(__xludf.DUMMYFUNCTION("""COMPUTED_VALUE"""),2308936647)</f>
        <v>2308936647</v>
      </c>
      <c r="G1251" s="1"/>
      <c r="H1251" s="1" t="str">
        <f>IFERROR(__xludf.DUMMYFUNCTION("""COMPUTED_VALUE"""),"JONADEL NUNAG MEDRANO")</f>
        <v>JONADEL NUNAG MEDRANO</v>
      </c>
      <c r="I1251" s="1">
        <f>IFERROR(__xludf.DUMMYFUNCTION("""COMPUTED_VALUE"""),9661609236)</f>
        <v>9661609236</v>
      </c>
      <c r="J1251" s="1">
        <f>IFERROR(__xludf.DUMMYFUNCTION("""COMPUTED_VALUE"""),9927246063)</f>
        <v>9927246063</v>
      </c>
      <c r="K1251" s="1" t="str">
        <f>IFERROR(__xludf.DUMMYFUNCTION("""COMPUTED_VALUE"""),"DIMPZDHEL@GMAIL.COM")</f>
        <v>DIMPZDHEL@GMAIL.COM</v>
      </c>
      <c r="L1251" s="1" t="str">
        <f>IFERROR(__xludf.DUMMYFUNCTION("""COMPUTED_VALUE"""),"UNIT 929 9TH FLOOR")</f>
        <v>UNIT 929 9TH FLOOR</v>
      </c>
      <c r="M1251" s="1" t="str">
        <f>IFERROR(__xludf.DUMMYFUNCTION("""COMPUTED_VALUE"""),"TOWER 4")</f>
        <v>TOWER 4</v>
      </c>
      <c r="N1251" s="1" t="str">
        <f>IFERROR(__xludf.DUMMYFUNCTION("""COMPUTED_VALUE"""),"SMDC")</f>
        <v>SMDC</v>
      </c>
      <c r="O1251" s="1" t="str">
        <f>IFERROR(__xludf.DUMMYFUNCTION("""COMPUTED_VALUE"""),"MAHARLIKA WEST")</f>
        <v>MAHARLIKA WEST</v>
      </c>
      <c r="P1251" s="1" t="str">
        <f>IFERROR(__xludf.DUMMYFUNCTION("""COMPUTED_VALUE"""),"TAGAYTAY")</f>
        <v>TAGAYTAY</v>
      </c>
      <c r="Q1251" s="1" t="str">
        <f>IFERROR(__xludf.DUMMYFUNCTION("""COMPUTED_VALUE"""),"CAVITE")</f>
        <v>CAVITE</v>
      </c>
      <c r="R1251" s="1" t="str">
        <f>IFERROR(__xludf.DUMMYFUNCTION("""COMPUTED_VALUE"""),"FIBR PLAN 1299")</f>
        <v>FIBR PLAN 1299</v>
      </c>
      <c r="S1251" s="1" t="str">
        <f>IFERROR(__xludf.DUMMYFUNCTION("""COMPUTED_VALUE"""),"APPROVED")</f>
        <v>APPROVED</v>
      </c>
      <c r="T1251" s="1" t="str">
        <f>IFERROR(__xludf.DUMMYFUNCTION("""COMPUTED_VALUE"""),"CANCELLED WITH OB")</f>
        <v>CANCELLED WITH OB</v>
      </c>
      <c r="U1251" s="1"/>
      <c r="V1251" s="1"/>
      <c r="W1251" s="1"/>
    </row>
    <row r="1252" customHeight="1" spans="1:23">
      <c r="A1252" s="3">
        <f>IFERROR(__xludf.DUMMYFUNCTION("""COMPUTED_VALUE"""),46130)</f>
        <v>46130</v>
      </c>
      <c r="B1252" s="1" t="str">
        <f>IFERROR(__xludf.DUMMYFUNCTION("""COMPUTED_VALUE"""),"FRANCISCO , ROSELYN")</f>
        <v>FRANCISCO , ROSELYN</v>
      </c>
      <c r="C1252" s="1" t="str">
        <f>IFERROR(__xludf.DUMMYFUNCTION("""COMPUTED_VALUE"""),"FLA")</f>
        <v>FLA</v>
      </c>
      <c r="D1252" s="1" t="str">
        <f>IFERROR(__xludf.DUMMYFUNCTION("""COMPUTED_VALUE"""),"JERIC NAVARRO")</f>
        <v>JERIC NAVARRO</v>
      </c>
      <c r="E1252" s="1" t="str">
        <f>IFERROR(__xludf.DUMMYFUNCTION("""COMPUTED_VALUE"""),"PLDT")</f>
        <v>PLDT</v>
      </c>
      <c r="F1252" s="1">
        <f>IFERROR(__xludf.DUMMYFUNCTION("""COMPUTED_VALUE"""),2308936450)</f>
        <v>2308936450</v>
      </c>
      <c r="G1252" s="1"/>
      <c r="H1252" s="1" t="str">
        <f>IFERROR(__xludf.DUMMYFUNCTION("""COMPUTED_VALUE"""),"VINCENT ZABALA VALLE")</f>
        <v>VINCENT ZABALA VALLE</v>
      </c>
      <c r="I1252" s="1">
        <f>IFERROR(__xludf.DUMMYFUNCTION("""COMPUTED_VALUE"""),9459614924)</f>
        <v>9459614924</v>
      </c>
      <c r="J1252" s="1">
        <f>IFERROR(__xludf.DUMMYFUNCTION("""COMPUTED_VALUE"""),9936249448)</f>
        <v>9936249448</v>
      </c>
      <c r="K1252" s="1" t="str">
        <f>IFERROR(__xludf.DUMMYFUNCTION("""COMPUTED_VALUE"""),"VINCENTVALLE111180@GMAIL.COM")</f>
        <v>VINCENTVALLE111180@GMAIL.COM</v>
      </c>
      <c r="L1252" s="1" t="str">
        <f>IFERROR(__xludf.DUMMYFUNCTION("""COMPUTED_VALUE"""),"BLK 6 LOT 19")</f>
        <v>BLK 6 LOT 19</v>
      </c>
      <c r="M1252" s="1" t="str">
        <f>IFERROR(__xludf.DUMMYFUNCTION("""COMPUTED_VALUE"""),"BUKLURAN1")</f>
        <v>BUKLURAN1</v>
      </c>
      <c r="N1252" s="1"/>
      <c r="O1252" s="1" t="str">
        <f>IFERROR(__xludf.DUMMYFUNCTION("""COMPUTED_VALUE"""),"BULIHAN")</f>
        <v>BULIHAN</v>
      </c>
      <c r="P1252" s="1" t="str">
        <f>IFERROR(__xludf.DUMMYFUNCTION("""COMPUTED_VALUE"""),"SILANG")</f>
        <v>SILANG</v>
      </c>
      <c r="Q1252" s="1" t="str">
        <f>IFERROR(__xludf.DUMMYFUNCTION("""COMPUTED_VALUE"""),"CAVITE")</f>
        <v>CAVITE</v>
      </c>
      <c r="R1252" s="1" t="str">
        <f>IFERROR(__xludf.DUMMYFUNCTION("""COMPUTED_VALUE"""),"FIBR UNLI ALL PLAN 1399")</f>
        <v>FIBR UNLI ALL PLAN 1399</v>
      </c>
      <c r="S1252" s="1" t="str">
        <f>IFERROR(__xludf.DUMMYFUNCTION("""COMPUTED_VALUE"""),"APPROVED")</f>
        <v>APPROVED</v>
      </c>
      <c r="T1252" s="1" t="str">
        <f>IFERROR(__xludf.DUMMYFUNCTION("""COMPUTED_VALUE"""),"CANCELLED WITH OB")</f>
        <v>CANCELLED WITH OB</v>
      </c>
      <c r="U1252" s="1"/>
      <c r="V1252" s="1"/>
      <c r="W1252" s="1"/>
    </row>
    <row r="1253" customHeight="1" spans="1:23">
      <c r="A1253" s="3">
        <f>IFERROR(__xludf.DUMMYFUNCTION("""COMPUTED_VALUE"""),46130)</f>
        <v>46130</v>
      </c>
      <c r="B1253" s="1" t="str">
        <f>IFERROR(__xludf.DUMMYFUNCTION("""COMPUTED_VALUE"""),"MAGDARAOG, KENNETH")</f>
        <v>MAGDARAOG, KENNETH</v>
      </c>
      <c r="C1253" s="1" t="str">
        <f>IFERROR(__xludf.DUMMYFUNCTION("""COMPUTED_VALUE"""),"ORGANIC")</f>
        <v>ORGANIC</v>
      </c>
      <c r="D1253" s="1" t="str">
        <f>IFERROR(__xludf.DUMMYFUNCTION("""COMPUTED_VALUE"""),"ALINGARO, CINDY")</f>
        <v>ALINGARO, CINDY</v>
      </c>
      <c r="E1253" s="1" t="str">
        <f>IFERROR(__xludf.DUMMYFUNCTION("""COMPUTED_VALUE"""),"PLDT")</f>
        <v>PLDT</v>
      </c>
      <c r="F1253" s="1">
        <f>IFERROR(__xludf.DUMMYFUNCTION("""COMPUTED_VALUE"""),2308935462)</f>
        <v>2308935462</v>
      </c>
      <c r="G1253" s="1"/>
      <c r="H1253" s="1" t="str">
        <f>IFERROR(__xludf.DUMMYFUNCTION("""COMPUTED_VALUE"""),"CARMENCITA UMBAL LOPENA")</f>
        <v>CARMENCITA UMBAL LOPENA</v>
      </c>
      <c r="I1253" s="1">
        <f>IFERROR(__xludf.DUMMYFUNCTION("""COMPUTED_VALUE"""),9214938990)</f>
        <v>9214938990</v>
      </c>
      <c r="J1253" s="1">
        <f>IFERROR(__xludf.DUMMYFUNCTION("""COMPUTED_VALUE"""),9513585017)</f>
        <v>9513585017</v>
      </c>
      <c r="K1253" s="1" t="str">
        <f>IFERROR(__xludf.DUMMYFUNCTION("""COMPUTED_VALUE"""),"ALTHEAGOHON03@GMAIL.COM")</f>
        <v>ALTHEAGOHON03@GMAIL.COM</v>
      </c>
      <c r="L1253" s="1" t="str">
        <f>IFERROR(__xludf.DUMMYFUNCTION("""COMPUTED_VALUE"""),"2007")</f>
        <v>2007</v>
      </c>
      <c r="M1253" s="1" t="str">
        <f>IFERROR(__xludf.DUMMYFUNCTION("""COMPUTED_VALUE"""),"KAYSUYO RD")</f>
        <v>KAYSUYO RD</v>
      </c>
      <c r="N1253" s="1"/>
      <c r="O1253" s="1" t="str">
        <f>IFERROR(__xludf.DUMMYFUNCTION("""COMPUTED_VALUE"""),"KAYSUYO")</f>
        <v>KAYSUYO</v>
      </c>
      <c r="P1253" s="1" t="str">
        <f>IFERROR(__xludf.DUMMYFUNCTION("""COMPUTED_VALUE"""),"ALFONSO")</f>
        <v>ALFONSO</v>
      </c>
      <c r="Q1253" s="1" t="str">
        <f>IFERROR(__xludf.DUMMYFUNCTION("""COMPUTED_VALUE"""),"CAVITE")</f>
        <v>CAVITE</v>
      </c>
      <c r="R1253" s="1" t="str">
        <f>IFERROR(__xludf.DUMMYFUNCTION("""COMPUTED_VALUE"""),"FIBR PLAN 1299")</f>
        <v>FIBR PLAN 1299</v>
      </c>
      <c r="S1253" s="1" t="str">
        <f>IFERROR(__xludf.DUMMYFUNCTION("""COMPUTED_VALUE"""),"APPROVED")</f>
        <v>APPROVED</v>
      </c>
      <c r="T1253" s="1" t="str">
        <f>IFERROR(__xludf.DUMMYFUNCTION("""COMPUTED_VALUE"""),"CANCELLED WITH OB")</f>
        <v>CANCELLED WITH OB</v>
      </c>
      <c r="U1253" s="1"/>
      <c r="V1253" s="1"/>
      <c r="W1253" s="1"/>
    </row>
    <row r="1254" customHeight="1" spans="1:23">
      <c r="A1254" s="3">
        <f>IFERROR(__xludf.DUMMYFUNCTION("""COMPUTED_VALUE"""),46130)</f>
        <v>46130</v>
      </c>
      <c r="B1254" s="1" t="str">
        <f>IFERROR(__xludf.DUMMYFUNCTION("""COMPUTED_VALUE"""),"AYON MANUEL")</f>
        <v>AYON MANUEL</v>
      </c>
      <c r="C1254" s="1" t="str">
        <f>IFERROR(__xludf.DUMMYFUNCTION("""COMPUTED_VALUE"""),"FLA")</f>
        <v>FLA</v>
      </c>
      <c r="D1254" s="1" t="str">
        <f>IFERROR(__xludf.DUMMYFUNCTION("""COMPUTED_VALUE"""),"JERIC NAVARRO")</f>
        <v>JERIC NAVARRO</v>
      </c>
      <c r="E1254" s="1" t="str">
        <f>IFERROR(__xludf.DUMMYFUNCTION("""COMPUTED_VALUE"""),"PLDT")</f>
        <v>PLDT</v>
      </c>
      <c r="F1254" s="1">
        <f>IFERROR(__xludf.DUMMYFUNCTION("""COMPUTED_VALUE"""),2308937551)</f>
        <v>2308937551</v>
      </c>
      <c r="G1254" s="1">
        <f>IFERROR(__xludf.DUMMYFUNCTION("""COMPUTED_VALUE"""),451201740004)</f>
        <v>451201740004</v>
      </c>
      <c r="H1254" s="1" t="str">
        <f>IFERROR(__xludf.DUMMYFUNCTION("""COMPUTED_VALUE"""),"JENICA CUBILLAS MONTANA")</f>
        <v>JENICA CUBILLAS MONTANA</v>
      </c>
      <c r="I1254" s="1">
        <f>IFERROR(__xludf.DUMMYFUNCTION("""COMPUTED_VALUE"""),9274052342)</f>
        <v>9274052342</v>
      </c>
      <c r="J1254" s="1">
        <f>IFERROR(__xludf.DUMMYFUNCTION("""COMPUTED_VALUE"""),9202430525)</f>
        <v>9202430525</v>
      </c>
      <c r="K1254" s="1" t="str">
        <f>IFERROR(__xludf.DUMMYFUNCTION("""COMPUTED_VALUE"""),"MONTANAJENICA@GMAIL.COM")</f>
        <v>MONTANAJENICA@GMAIL.COM</v>
      </c>
      <c r="L1254" s="1" t="str">
        <f>IFERROR(__xludf.DUMMYFUNCTION("""COMPUTED_VALUE"""),"BLK 3 LOT 7")</f>
        <v>BLK 3 LOT 7</v>
      </c>
      <c r="M1254" s="1" t="str">
        <f>IFERROR(__xludf.DUMMYFUNCTION("""COMPUTED_VALUE"""),"XRD RES")</f>
        <v>XRD RES</v>
      </c>
      <c r="N1254" s="1"/>
      <c r="O1254" s="1" t="str">
        <f>IFERROR(__xludf.DUMMYFUNCTION("""COMPUTED_VALUE"""),"ANULING CERCA I")</f>
        <v>ANULING CERCA I</v>
      </c>
      <c r="P1254" s="1" t="str">
        <f>IFERROR(__xludf.DUMMYFUNCTION("""COMPUTED_VALUE"""),"MENDEZ")</f>
        <v>MENDEZ</v>
      </c>
      <c r="Q1254" s="1" t="str">
        <f>IFERROR(__xludf.DUMMYFUNCTION("""COMPUTED_VALUE"""),"CAVITE")</f>
        <v>CAVITE</v>
      </c>
      <c r="R1254" s="1" t="str">
        <f>IFERROR(__xludf.DUMMYFUNCTION("""COMPUTED_VALUE"""),"FIBR UNLI ALL PLAN 1399")</f>
        <v>FIBR UNLI ALL PLAN 1399</v>
      </c>
      <c r="S1254" s="1" t="str">
        <f>IFERROR(__xludf.DUMMYFUNCTION("""COMPUTED_VALUE"""),"APPROVED")</f>
        <v>APPROVED</v>
      </c>
      <c r="T1254" s="1" t="str">
        <f>IFERROR(__xludf.DUMMYFUNCTION("""COMPUTED_VALUE"""),"POSTED")</f>
        <v>POSTED</v>
      </c>
      <c r="U1254" s="1"/>
      <c r="V1254" s="1"/>
      <c r="W1254" s="1"/>
    </row>
    <row r="1255" customHeight="1" spans="1:23">
      <c r="A1255" s="3">
        <f>IFERROR(__xludf.DUMMYFUNCTION("""COMPUTED_VALUE"""),46130)</f>
        <v>46130</v>
      </c>
      <c r="B1255" s="1" t="str">
        <f>IFERROR(__xludf.DUMMYFUNCTION("""COMPUTED_VALUE"""),"DELA ROSA, JENNELYN")</f>
        <v>DELA ROSA, JENNELYN</v>
      </c>
      <c r="C1255" s="1" t="str">
        <f>IFERROR(__xludf.DUMMYFUNCTION("""COMPUTED_VALUE"""),"ORGANIC")</f>
        <v>ORGANIC</v>
      </c>
      <c r="D1255" s="1" t="str">
        <f>IFERROR(__xludf.DUMMYFUNCTION("""COMPUTED_VALUE"""),"ALOS, CHARLS")</f>
        <v>ALOS, CHARLS</v>
      </c>
      <c r="E1255" s="1" t="str">
        <f>IFERROR(__xludf.DUMMYFUNCTION("""COMPUTED_VALUE"""),"PLDT")</f>
        <v>PLDT</v>
      </c>
      <c r="F1255" s="1">
        <f>IFERROR(__xludf.DUMMYFUNCTION("""COMPUTED_VALUE"""),2308937329)</f>
        <v>2308937329</v>
      </c>
      <c r="G1255" s="1">
        <f>IFERROR(__xludf.DUMMYFUNCTION("""COMPUTED_VALUE"""),451201141004)</f>
        <v>451201141004</v>
      </c>
      <c r="H1255" s="1" t="str">
        <f>IFERROR(__xludf.DUMMYFUNCTION("""COMPUTED_VALUE"""),"NORA BALALI ALBAR")</f>
        <v>NORA BALALI ALBAR</v>
      </c>
      <c r="I1255" s="1">
        <f>IFERROR(__xludf.DUMMYFUNCTION("""COMPUTED_VALUE"""),9534228567)</f>
        <v>9534228567</v>
      </c>
      <c r="J1255" s="1"/>
      <c r="K1255" s="1" t="str">
        <f>IFERROR(__xludf.DUMMYFUNCTION("""COMPUTED_VALUE"""),"YNAARENAS563@GMAIL.COM")</f>
        <v>YNAARENAS563@GMAIL.COM</v>
      </c>
      <c r="L1255" s="1" t="str">
        <f>IFERROR(__xludf.DUMMYFUNCTION("""COMPUTED_VALUE"""),"400")</f>
        <v>400</v>
      </c>
      <c r="M1255" s="1" t="str">
        <f>IFERROR(__xludf.DUMMYFUNCTION("""COMPUTED_VALUE"""),"SALAZAR")</f>
        <v>SALAZAR</v>
      </c>
      <c r="N1255" s="1"/>
      <c r="O1255" s="1" t="str">
        <f>IFERROR(__xludf.DUMMYFUNCTION("""COMPUTED_VALUE"""),"BUCAL")</f>
        <v>BUCAL</v>
      </c>
      <c r="P1255" s="1" t="str">
        <f>IFERROR(__xludf.DUMMYFUNCTION("""COMPUTED_VALUE"""),"MENDEZ")</f>
        <v>MENDEZ</v>
      </c>
      <c r="Q1255" s="1" t="str">
        <f>IFERROR(__xludf.DUMMYFUNCTION("""COMPUTED_VALUE"""),"CAVITE")</f>
        <v>CAVITE</v>
      </c>
      <c r="R1255" s="1" t="str">
        <f>IFERROR(__xludf.DUMMYFUNCTION("""COMPUTED_VALUE"""),"FIBR PLAN 1299")</f>
        <v>FIBR PLAN 1299</v>
      </c>
      <c r="S1255" s="1" t="str">
        <f>IFERROR(__xludf.DUMMYFUNCTION("""COMPUTED_VALUE"""),"APPROVED")</f>
        <v>APPROVED</v>
      </c>
      <c r="T1255" s="1" t="str">
        <f>IFERROR(__xludf.DUMMYFUNCTION("""COMPUTED_VALUE"""),"FOR PAYMENT")</f>
        <v>FOR PAYMENT</v>
      </c>
      <c r="U1255" s="1"/>
      <c r="V1255" s="1"/>
      <c r="W1255" s="1"/>
    </row>
    <row r="1256" customHeight="1" spans="1:23">
      <c r="A1256" s="3">
        <f>IFERROR(__xludf.DUMMYFUNCTION("""COMPUTED_VALUE"""),46130)</f>
        <v>46130</v>
      </c>
      <c r="B1256" s="1" t="str">
        <f>IFERROR(__xludf.DUMMYFUNCTION("""COMPUTED_VALUE"""),"DELA ROSA, JENNELYN")</f>
        <v>DELA ROSA, JENNELYN</v>
      </c>
      <c r="C1256" s="1" t="str">
        <f>IFERROR(__xludf.DUMMYFUNCTION("""COMPUTED_VALUE"""),"ORGANIC")</f>
        <v>ORGANIC</v>
      </c>
      <c r="D1256" s="1" t="str">
        <f>IFERROR(__xludf.DUMMYFUNCTION("""COMPUTED_VALUE"""),"ALOS, CHARLS")</f>
        <v>ALOS, CHARLS</v>
      </c>
      <c r="E1256" s="1" t="str">
        <f>IFERROR(__xludf.DUMMYFUNCTION("""COMPUTED_VALUE"""),"PLDT")</f>
        <v>PLDT</v>
      </c>
      <c r="F1256" s="1">
        <f>IFERROR(__xludf.DUMMYFUNCTION("""COMPUTED_VALUE"""),2308938777)</f>
        <v>2308938777</v>
      </c>
      <c r="G1256" s="1">
        <f>IFERROR(__xludf.DUMMYFUNCTION("""COMPUTED_VALUE"""),451309532004)</f>
        <v>451309532004</v>
      </c>
      <c r="H1256" s="1" t="str">
        <f>IFERROR(__xludf.DUMMYFUNCTION("""COMPUTED_VALUE"""),"JEFFREY ROMERA BALBA")</f>
        <v>JEFFREY ROMERA BALBA</v>
      </c>
      <c r="I1256" s="1">
        <f>IFERROR(__xludf.DUMMYFUNCTION("""COMPUTED_VALUE"""),9176006348)</f>
        <v>9176006348</v>
      </c>
      <c r="J1256" s="1">
        <f>IFERROR(__xludf.DUMMYFUNCTION("""COMPUTED_VALUE"""),9506612868)</f>
        <v>9506612868</v>
      </c>
      <c r="K1256" s="1" t="str">
        <f>IFERROR(__xludf.DUMMYFUNCTION("""COMPUTED_VALUE"""),"BALBAJEFFREY1@GMAIL.COM")</f>
        <v>BALBAJEFFREY1@GMAIL.COM</v>
      </c>
      <c r="L1256" s="1" t="str">
        <f>IFERROR(__xludf.DUMMYFUNCTION("""COMPUTED_VALUE"""),"47A")</f>
        <v>47A</v>
      </c>
      <c r="M1256" s="1" t="str">
        <f>IFERROR(__xludf.DUMMYFUNCTION("""COMPUTED_VALUE"""),"MENDOZA ST")</f>
        <v>MENDOZA ST</v>
      </c>
      <c r="N1256" s="1" t="str">
        <f>IFERROR(__xludf.DUMMYFUNCTION("""COMPUTED_VALUE"""),"PAYAPA")</f>
        <v>PAYAPA</v>
      </c>
      <c r="O1256" s="1" t="str">
        <f>IFERROR(__xludf.DUMMYFUNCTION("""COMPUTED_VALUE"""),"GALICIA III")</f>
        <v>GALICIA III</v>
      </c>
      <c r="P1256" s="1" t="str">
        <f>IFERROR(__xludf.DUMMYFUNCTION("""COMPUTED_VALUE"""),"MENDEZ")</f>
        <v>MENDEZ</v>
      </c>
      <c r="Q1256" s="1" t="str">
        <f>IFERROR(__xludf.DUMMYFUNCTION("""COMPUTED_VALUE"""),"CAVITE")</f>
        <v>CAVITE</v>
      </c>
      <c r="R1256" s="1" t="str">
        <f>IFERROR(__xludf.DUMMYFUNCTION("""COMPUTED_VALUE"""),"FIBR NETFLIX PLAN 1599")</f>
        <v>FIBR NETFLIX PLAN 1599</v>
      </c>
      <c r="S1256" s="1" t="str">
        <f>IFERROR(__xludf.DUMMYFUNCTION("""COMPUTED_VALUE"""),"APPROVED")</f>
        <v>APPROVED</v>
      </c>
      <c r="T1256" s="1" t="str">
        <f>IFERROR(__xludf.DUMMYFUNCTION("""COMPUTED_VALUE"""),"POSTED")</f>
        <v>POSTED</v>
      </c>
      <c r="U1256" s="1"/>
      <c r="V1256" s="1"/>
      <c r="W1256" s="1"/>
    </row>
    <row r="1257" customHeight="1" spans="1:23">
      <c r="A1257" s="3">
        <f>IFERROR(__xludf.DUMMYFUNCTION("""COMPUTED_VALUE"""),46130)</f>
        <v>46130</v>
      </c>
      <c r="B1257" s="1" t="str">
        <f>IFERROR(__xludf.DUMMYFUNCTION("""COMPUTED_VALUE"""),"AGUNOS, JHON AIRVIN")</f>
        <v>AGUNOS, JHON AIRVIN</v>
      </c>
      <c r="C1257" s="1" t="str">
        <f>IFERROR(__xludf.DUMMYFUNCTION("""COMPUTED_VALUE"""),"ORGANIC")</f>
        <v>ORGANIC</v>
      </c>
      <c r="D1257" s="1" t="str">
        <f>IFERROR(__xludf.DUMMYFUNCTION("""COMPUTED_VALUE"""),"ALINGARO, CINDY")</f>
        <v>ALINGARO, CINDY</v>
      </c>
      <c r="E1257" s="1" t="str">
        <f>IFERROR(__xludf.DUMMYFUNCTION("""COMPUTED_VALUE"""),"PLDT")</f>
        <v>PLDT</v>
      </c>
      <c r="F1257" s="1">
        <f>IFERROR(__xludf.DUMMYFUNCTION("""COMPUTED_VALUE"""),2308938872)</f>
        <v>2308938872</v>
      </c>
      <c r="G1257" s="1">
        <f>IFERROR(__xludf.DUMMYFUNCTION("""COMPUTED_VALUE"""),451225814004)</f>
        <v>451225814004</v>
      </c>
      <c r="H1257" s="1" t="str">
        <f>IFERROR(__xludf.DUMMYFUNCTION("""COMPUTED_VALUE"""),"MARYBEL ROSALES STA MARIA")</f>
        <v>MARYBEL ROSALES STA MARIA</v>
      </c>
      <c r="I1257" s="1">
        <f>IFERROR(__xludf.DUMMYFUNCTION("""COMPUTED_VALUE"""),9455909952)</f>
        <v>9455909952</v>
      </c>
      <c r="J1257" s="1">
        <f>IFERROR(__xludf.DUMMYFUNCTION("""COMPUTED_VALUE"""),9171390621)</f>
        <v>9171390621</v>
      </c>
      <c r="K1257" s="1" t="str">
        <f>IFERROR(__xludf.DUMMYFUNCTION("""COMPUTED_VALUE"""),"MRSANTARIA@GMAIL.COM")</f>
        <v>MRSANTARIA@GMAIL.COM</v>
      </c>
      <c r="L1257" s="1" t="str">
        <f>IFERROR(__xludf.DUMMYFUNCTION("""COMPUTED_VALUE"""),"9655")</f>
        <v>9655</v>
      </c>
      <c r="M1257" s="1" t="str">
        <f>IFERROR(__xludf.DUMMYFUNCTION("""COMPUTED_VALUE"""),"NARRA ")</f>
        <v>NARRA </v>
      </c>
      <c r="N1257" s="1"/>
      <c r="O1257" s="1" t="str">
        <f>IFERROR(__xludf.DUMMYFUNCTION("""COMPUTED_VALUE"""),"KAYQUIT I")</f>
        <v>KAYQUIT I</v>
      </c>
      <c r="P1257" s="1" t="str">
        <f>IFERROR(__xludf.DUMMYFUNCTION("""COMPUTED_VALUE"""),"INDANG")</f>
        <v>INDANG</v>
      </c>
      <c r="Q1257" s="1" t="str">
        <f>IFERROR(__xludf.DUMMYFUNCTION("""COMPUTED_VALUE"""),"CAVITE")</f>
        <v>CAVITE</v>
      </c>
      <c r="R1257" s="1" t="str">
        <f>IFERROR(__xludf.DUMMYFUNCTION("""COMPUTED_VALUE"""),"FIBR UNLI ALL PLAN 1799")</f>
        <v>FIBR UNLI ALL PLAN 1799</v>
      </c>
      <c r="S1257" s="1" t="str">
        <f>IFERROR(__xludf.DUMMYFUNCTION("""COMPUTED_VALUE"""),"APPROVED")</f>
        <v>APPROVED</v>
      </c>
      <c r="T1257" s="1" t="str">
        <f>IFERROR(__xludf.DUMMYFUNCTION("""COMPUTED_VALUE"""),"RPR- NAP FULL/ NO PAYMENT")</f>
        <v>RPR- NAP FULL/ NO PAYMENT</v>
      </c>
      <c r="U1257" s="1"/>
      <c r="V1257" s="1"/>
      <c r="W1257" s="1"/>
    </row>
    <row r="1258" customHeight="1" spans="1:23">
      <c r="A1258" s="3">
        <f>IFERROR(__xludf.DUMMYFUNCTION("""COMPUTED_VALUE"""),46130)</f>
        <v>46130</v>
      </c>
      <c r="B1258" s="1" t="str">
        <f>IFERROR(__xludf.DUMMYFUNCTION("""COMPUTED_VALUE"""),"FARO, REFRANTA")</f>
        <v>FARO, REFRANTA</v>
      </c>
      <c r="C1258" s="1" t="str">
        <f>IFERROR(__xludf.DUMMYFUNCTION("""COMPUTED_VALUE"""),"ORGANIC")</f>
        <v>ORGANIC</v>
      </c>
      <c r="D1258" s="1" t="str">
        <f>IFERROR(__xludf.DUMMYFUNCTION("""COMPUTED_VALUE"""),"ALINGARO, CINDY")</f>
        <v>ALINGARO, CINDY</v>
      </c>
      <c r="E1258" s="1" t="str">
        <f>IFERROR(__xludf.DUMMYFUNCTION("""COMPUTED_VALUE"""),"PLDT")</f>
        <v>PLDT</v>
      </c>
      <c r="F1258" s="1">
        <f>IFERROR(__xludf.DUMMYFUNCTION("""COMPUTED_VALUE"""),2308939344)</f>
        <v>2308939344</v>
      </c>
      <c r="G1258" s="1">
        <f>IFERROR(__xludf.DUMMYFUNCTION("""COMPUTED_VALUE"""),451204703004)</f>
        <v>451204703004</v>
      </c>
      <c r="H1258" s="1" t="str">
        <f>IFERROR(__xludf.DUMMYFUNCTION("""COMPUTED_VALUE"""),"JOSEPH NICOLAS DALUPAN")</f>
        <v>JOSEPH NICOLAS DALUPAN</v>
      </c>
      <c r="I1258" s="1">
        <f>IFERROR(__xludf.DUMMYFUNCTION("""COMPUTED_VALUE"""),9266654441)</f>
        <v>9266654441</v>
      </c>
      <c r="J1258" s="1"/>
      <c r="K1258" s="1" t="str">
        <f>IFERROR(__xludf.DUMMYFUNCTION("""COMPUTED_VALUE"""),"MENCHECOLLIN@YAHOO.COM")</f>
        <v>MENCHECOLLIN@YAHOO.COM</v>
      </c>
      <c r="L1258" s="1" t="str">
        <f>IFERROR(__xludf.DUMMYFUNCTION("""COMPUTED_VALUE"""),"BLK 22 LOT 14")</f>
        <v>BLK 22 LOT 14</v>
      </c>
      <c r="M1258" s="1" t="str">
        <f>IFERROR(__xludf.DUMMYFUNCTION("""COMPUTED_VALUE"""),"DALAS ALAS RD")</f>
        <v>DALAS ALAS RD</v>
      </c>
      <c r="N1258" s="1" t="str">
        <f>IFERROR(__xludf.DUMMYFUNCTION("""COMPUTED_VALUE"""),"RIVER VIEW")</f>
        <v>RIVER VIEW</v>
      </c>
      <c r="O1258" s="1" t="str">
        <f>IFERROR(__xludf.DUMMYFUNCTION("""COMPUTED_VALUE"""),"SEVERINO DE LAS ALAS")</f>
        <v>SEVERINO DE LAS ALAS</v>
      </c>
      <c r="P1258" s="1" t="str">
        <f>IFERROR(__xludf.DUMMYFUNCTION("""COMPUTED_VALUE"""),"GEN MARIANO ALVAREZ")</f>
        <v>GEN MARIANO ALVAREZ</v>
      </c>
      <c r="Q1258" s="1" t="str">
        <f>IFERROR(__xludf.DUMMYFUNCTION("""COMPUTED_VALUE"""),"CAVITE")</f>
        <v>CAVITE</v>
      </c>
      <c r="R1258" s="1" t="str">
        <f>IFERROR(__xludf.DUMMYFUNCTION("""COMPUTED_VALUE"""),"FIBR UNLI ALL PLAN 1399")</f>
        <v>FIBR UNLI ALL PLAN 1399</v>
      </c>
      <c r="S1258" s="1" t="str">
        <f>IFERROR(__xludf.DUMMYFUNCTION("""COMPUTED_VALUE"""),"APPROVED")</f>
        <v>APPROVED</v>
      </c>
      <c r="T1258" s="1" t="str">
        <f>IFERROR(__xludf.DUMMYFUNCTION("""COMPUTED_VALUE"""),"POSTED")</f>
        <v>POSTED</v>
      </c>
      <c r="U1258" s="1"/>
      <c r="V1258" s="1"/>
      <c r="W1258" s="1"/>
    </row>
    <row r="1259" customHeight="1" spans="1:23">
      <c r="A1259" s="3">
        <f>IFERROR(__xludf.DUMMYFUNCTION("""COMPUTED_VALUE"""),46130)</f>
        <v>46130</v>
      </c>
      <c r="B1259" s="1" t="str">
        <f>IFERROR(__xludf.DUMMYFUNCTION("""COMPUTED_VALUE"""),"CABRERA JILLIENE")</f>
        <v>CABRERA JILLIENE</v>
      </c>
      <c r="C1259" s="1" t="str">
        <f>IFERROR(__xludf.DUMMYFUNCTION("""COMPUTED_VALUE"""),"ORGANIC")</f>
        <v>ORGANIC</v>
      </c>
      <c r="D1259" s="1" t="str">
        <f>IFERROR(__xludf.DUMMYFUNCTION("""COMPUTED_VALUE"""),"ALOS, CHARLS")</f>
        <v>ALOS, CHARLS</v>
      </c>
      <c r="E1259" s="1" t="str">
        <f>IFERROR(__xludf.DUMMYFUNCTION("""COMPUTED_VALUE"""),"PLDT")</f>
        <v>PLDT</v>
      </c>
      <c r="F1259" s="1">
        <f>IFERROR(__xludf.DUMMYFUNCTION("""COMPUTED_VALUE"""),2308940059)</f>
        <v>2308940059</v>
      </c>
      <c r="G1259" s="1">
        <f>IFERROR(__xludf.DUMMYFUNCTION("""COMPUTED_VALUE"""),451205642004)</f>
        <v>451205642004</v>
      </c>
      <c r="H1259" s="1" t="str">
        <f>IFERROR(__xludf.DUMMYFUNCTION("""COMPUTED_VALUE"""),"ANALOU LONOLONO BATION")</f>
        <v>ANALOU LONOLONO BATION</v>
      </c>
      <c r="I1259" s="1">
        <f>IFERROR(__xludf.DUMMYFUNCTION("""COMPUTED_VALUE"""),9685558072)</f>
        <v>9685558072</v>
      </c>
      <c r="J1259" s="1"/>
      <c r="K1259" s="1" t="str">
        <f>IFERROR(__xludf.DUMMYFUNCTION("""COMPUTED_VALUE"""),"ANALONOLONO1989@GMAIL.COM")</f>
        <v>ANALONOLONO1989@GMAIL.COM</v>
      </c>
      <c r="L1259" s="1" t="str">
        <f>IFERROR(__xludf.DUMMYFUNCTION("""COMPUTED_VALUE"""),"36")</f>
        <v>36</v>
      </c>
      <c r="M1259" s="1" t="str">
        <f>IFERROR(__xludf.DUMMYFUNCTION("""COMPUTED_VALUE"""),"PHASE 3")</f>
        <v>PHASE 3</v>
      </c>
      <c r="N1259" s="1" t="str">
        <f>IFERROR(__xludf.DUMMYFUNCTION("""COMPUTED_VALUE"""),"SHUNSHINE HOMES")</f>
        <v>SHUNSHINE HOMES</v>
      </c>
      <c r="O1259" s="1" t="str">
        <f>IFERROR(__xludf.DUMMYFUNCTION("""COMPUTED_VALUE"""),"FRANCISCO DE CASTRO (SUNSHINE VILL.)")</f>
        <v>FRANCISCO DE CASTRO (SUNSHINE VILL.)</v>
      </c>
      <c r="P1259" s="1" t="str">
        <f>IFERROR(__xludf.DUMMYFUNCTION("""COMPUTED_VALUE"""),"GEN MARIANO ALVAREZ")</f>
        <v>GEN MARIANO ALVAREZ</v>
      </c>
      <c r="Q1259" s="1" t="str">
        <f>IFERROR(__xludf.DUMMYFUNCTION("""COMPUTED_VALUE"""),"CAVITE")</f>
        <v>CAVITE</v>
      </c>
      <c r="R1259" s="1" t="str">
        <f>IFERROR(__xludf.DUMMYFUNCTION("""COMPUTED_VALUE"""),"FIBR PLAN 1299")</f>
        <v>FIBR PLAN 1299</v>
      </c>
      <c r="S1259" s="1" t="str">
        <f>IFERROR(__xludf.DUMMYFUNCTION("""COMPUTED_VALUE"""),"APPROVED")</f>
        <v>APPROVED</v>
      </c>
      <c r="T1259" s="1" t="str">
        <f>IFERROR(__xludf.DUMMYFUNCTION("""COMPUTED_VALUE"""),"FOR PAYMENT")</f>
        <v>FOR PAYMENT</v>
      </c>
      <c r="U1259" s="1"/>
      <c r="V1259" s="1"/>
      <c r="W1259" s="1"/>
    </row>
    <row r="1260" customHeight="1" spans="1:23">
      <c r="A1260" s="3">
        <f>IFERROR(__xludf.DUMMYFUNCTION("""COMPUTED_VALUE"""),46131)</f>
        <v>46131</v>
      </c>
      <c r="B1260" s="1" t="str">
        <f>IFERROR(__xludf.DUMMYFUNCTION("""COMPUTED_VALUE"""),"FRANCISCO , ROSELYN")</f>
        <v>FRANCISCO , ROSELYN</v>
      </c>
      <c r="C1260" s="1" t="str">
        <f>IFERROR(__xludf.DUMMYFUNCTION("""COMPUTED_VALUE"""),"FLA")</f>
        <v>FLA</v>
      </c>
      <c r="D1260" s="1" t="str">
        <f>IFERROR(__xludf.DUMMYFUNCTION("""COMPUTED_VALUE"""),"JERIC NAVARRO")</f>
        <v>JERIC NAVARRO</v>
      </c>
      <c r="E1260" s="1" t="str">
        <f>IFERROR(__xludf.DUMMYFUNCTION("""COMPUTED_VALUE"""),"PLDT")</f>
        <v>PLDT</v>
      </c>
      <c r="F1260" s="1">
        <f>IFERROR(__xludf.DUMMYFUNCTION("""COMPUTED_VALUE"""),2308947779)</f>
        <v>2308947779</v>
      </c>
      <c r="G1260" s="1">
        <f>IFERROR(__xludf.DUMMYFUNCTION("""COMPUTED_VALUE"""),451303221004)</f>
        <v>451303221004</v>
      </c>
      <c r="H1260" s="1" t="str">
        <f>IFERROR(__xludf.DUMMYFUNCTION("""COMPUTED_VALUE"""),"APRIL CRUZ ZARSA")</f>
        <v>APRIL CRUZ ZARSA</v>
      </c>
      <c r="I1260" s="1">
        <f>IFERROR(__xludf.DUMMYFUNCTION("""COMPUTED_VALUE"""),9542556335)</f>
        <v>9542556335</v>
      </c>
      <c r="J1260" s="1">
        <f>IFERROR(__xludf.DUMMYFUNCTION("""COMPUTED_VALUE"""),9517807052)</f>
        <v>9517807052</v>
      </c>
      <c r="K1260" s="1" t="str">
        <f>IFERROR(__xludf.DUMMYFUNCTION("""COMPUTED_VALUE"""),"ALVAREZCAVITE@GMAIL.COM")</f>
        <v>ALVAREZCAVITE@GMAIL.COM</v>
      </c>
      <c r="L1260" s="1" t="str">
        <f>IFERROR(__xludf.DUMMYFUNCTION("""COMPUTED_VALUE"""),"BLK 6 LOT 19")</f>
        <v>BLK 6 LOT 19</v>
      </c>
      <c r="M1260" s="1" t="str">
        <f>IFERROR(__xludf.DUMMYFUNCTION("""COMPUTED_VALUE"""),"BUKLURAN 1")</f>
        <v>BUKLURAN 1</v>
      </c>
      <c r="N1260" s="1"/>
      <c r="O1260" s="1" t="str">
        <f>IFERROR(__xludf.DUMMYFUNCTION("""COMPUTED_VALUE"""),"BULIHAN")</f>
        <v>BULIHAN</v>
      </c>
      <c r="P1260" s="1" t="str">
        <f>IFERROR(__xludf.DUMMYFUNCTION("""COMPUTED_VALUE"""),"SILANG")</f>
        <v>SILANG</v>
      </c>
      <c r="Q1260" s="1" t="str">
        <f>IFERROR(__xludf.DUMMYFUNCTION("""COMPUTED_VALUE"""),"CAVITE")</f>
        <v>CAVITE</v>
      </c>
      <c r="R1260" s="1" t="str">
        <f>IFERROR(__xludf.DUMMYFUNCTION("""COMPUTED_VALUE"""),"FIBR UNLI ALL PLAN 1399")</f>
        <v>FIBR UNLI ALL PLAN 1399</v>
      </c>
      <c r="S1260" s="1" t="str">
        <f>IFERROR(__xludf.DUMMYFUNCTION("""COMPUTED_VALUE"""),"APPROVED")</f>
        <v>APPROVED</v>
      </c>
      <c r="T1260" s="1" t="str">
        <f>IFERROR(__xludf.DUMMYFUNCTION("""COMPUTED_VALUE"""),"POSTED")</f>
        <v>POSTED</v>
      </c>
      <c r="U1260" s="1"/>
      <c r="V1260" s="1"/>
      <c r="W1260" s="1"/>
    </row>
    <row r="1261" customHeight="1" spans="1:23">
      <c r="A1261" s="3">
        <f>IFERROR(__xludf.DUMMYFUNCTION("""COMPUTED_VALUE"""),46131)</f>
        <v>46131</v>
      </c>
      <c r="B1261" s="1" t="str">
        <f>IFERROR(__xludf.DUMMYFUNCTION("""COMPUTED_VALUE"""),"DACALCAP RUBEN")</f>
        <v>DACALCAP RUBEN</v>
      </c>
      <c r="C1261" s="1" t="str">
        <f>IFERROR(__xludf.DUMMYFUNCTION("""COMPUTED_VALUE"""),"FLA")</f>
        <v>FLA</v>
      </c>
      <c r="D1261" s="1" t="str">
        <f>IFERROR(__xludf.DUMMYFUNCTION("""COMPUTED_VALUE"""),"JERIC NAVARRO")</f>
        <v>JERIC NAVARRO</v>
      </c>
      <c r="E1261" s="1" t="str">
        <f>IFERROR(__xludf.DUMMYFUNCTION("""COMPUTED_VALUE"""),"PLDT")</f>
        <v>PLDT</v>
      </c>
      <c r="F1261" s="1">
        <f>IFERROR(__xludf.DUMMYFUNCTION("""COMPUTED_VALUE"""),2308947736)</f>
        <v>2308947736</v>
      </c>
      <c r="G1261" s="1">
        <f>IFERROR(__xludf.DUMMYFUNCTION("""COMPUTED_VALUE"""),451304143004)</f>
        <v>451304143004</v>
      </c>
      <c r="H1261" s="1" t="str">
        <f>IFERROR(__xludf.DUMMYFUNCTION("""COMPUTED_VALUE"""),"JHOVIELYN APOLONA MAGNO")</f>
        <v>JHOVIELYN APOLONA MAGNO</v>
      </c>
      <c r="I1261" s="1">
        <f>IFERROR(__xludf.DUMMYFUNCTION("""COMPUTED_VALUE"""),9923377368)</f>
        <v>9923377368</v>
      </c>
      <c r="J1261" s="1">
        <f>IFERROR(__xludf.DUMMYFUNCTION("""COMPUTED_VALUE"""),9976930789)</f>
        <v>9976930789</v>
      </c>
      <c r="K1261" s="1" t="str">
        <f>IFERROR(__xludf.DUMMYFUNCTION("""COMPUTED_VALUE"""),"MAGNOJHOVIELYN@GMAIL.COM")</f>
        <v>MAGNOJHOVIELYN@GMAIL.COM</v>
      </c>
      <c r="L1261" s="1" t="str">
        <f>IFERROR(__xludf.DUMMYFUNCTION("""COMPUTED_VALUE"""),"BLK G9 LOT 7")</f>
        <v>BLK G9 LOT 7</v>
      </c>
      <c r="M1261" s="1" t="str">
        <f>IFERROR(__xludf.DUMMYFUNCTION("""COMPUTED_VALUE"""),"LORENZO RD")</f>
        <v>LORENZO RD</v>
      </c>
      <c r="N1261" s="1"/>
      <c r="O1261" s="1" t="str">
        <f>IFERROR(__xludf.DUMMYFUNCTION("""COMPUTED_VALUE"""),"SAN LORENZO RUIZ I")</f>
        <v>SAN LORENZO RUIZ I</v>
      </c>
      <c r="P1261" s="1" t="str">
        <f>IFERROR(__xludf.DUMMYFUNCTION("""COMPUTED_VALUE"""),"DASMARINAS")</f>
        <v>DASMARINAS</v>
      </c>
      <c r="Q1261" s="1" t="str">
        <f>IFERROR(__xludf.DUMMYFUNCTION("""COMPUTED_VALUE"""),"CAVITE")</f>
        <v>CAVITE</v>
      </c>
      <c r="R1261" s="1" t="str">
        <f>IFERROR(__xludf.DUMMYFUNCTION("""COMPUTED_VALUE"""),"FIBR PLAN 2099")</f>
        <v>FIBR PLAN 2099</v>
      </c>
      <c r="S1261" s="1" t="str">
        <f>IFERROR(__xludf.DUMMYFUNCTION("""COMPUTED_VALUE"""),"APPROVED")</f>
        <v>APPROVED</v>
      </c>
      <c r="T1261" s="1" t="str">
        <f>IFERROR(__xludf.DUMMYFUNCTION("""COMPUTED_VALUE"""),"POSTED")</f>
        <v>POSTED</v>
      </c>
      <c r="U1261" s="1"/>
      <c r="V1261" s="1"/>
      <c r="W1261" s="1"/>
    </row>
    <row r="1262" customHeight="1" spans="1:23">
      <c r="A1262" s="3">
        <f>IFERROR(__xludf.DUMMYFUNCTION("""COMPUTED_VALUE"""),46131)</f>
        <v>46131</v>
      </c>
      <c r="B1262" s="1" t="str">
        <f>IFERROR(__xludf.DUMMYFUNCTION("""COMPUTED_VALUE"""),"MAGDARAOG, KENNETH")</f>
        <v>MAGDARAOG, KENNETH</v>
      </c>
      <c r="C1262" s="1" t="str">
        <f>IFERROR(__xludf.DUMMYFUNCTION("""COMPUTED_VALUE"""),"ORGANIC")</f>
        <v>ORGANIC</v>
      </c>
      <c r="D1262" s="1" t="str">
        <f>IFERROR(__xludf.DUMMYFUNCTION("""COMPUTED_VALUE"""),"ALINGARO, CINDY")</f>
        <v>ALINGARO, CINDY</v>
      </c>
      <c r="E1262" s="1" t="str">
        <f>IFERROR(__xludf.DUMMYFUNCTION("""COMPUTED_VALUE"""),"PLDT")</f>
        <v>PLDT</v>
      </c>
      <c r="F1262" s="1">
        <f>IFERROR(__xludf.DUMMYFUNCTION("""COMPUTED_VALUE"""),2308948523)</f>
        <v>2308948523</v>
      </c>
      <c r="G1262" s="1">
        <f>IFERROR(__xludf.DUMMYFUNCTION("""COMPUTED_VALUE"""),451309511004)</f>
        <v>451309511004</v>
      </c>
      <c r="H1262" s="1" t="str">
        <f>IFERROR(__xludf.DUMMYFUNCTION("""COMPUTED_VALUE"""),"REYMOND CARL BABAD FUNELAS")</f>
        <v>REYMOND CARL BABAD FUNELAS</v>
      </c>
      <c r="I1262" s="1">
        <f>IFERROR(__xludf.DUMMYFUNCTION("""COMPUTED_VALUE"""),9635134512)</f>
        <v>9635134512</v>
      </c>
      <c r="J1262" s="1">
        <f>IFERROR(__xludf.DUMMYFUNCTION("""COMPUTED_VALUE"""),9508933107)</f>
        <v>9508933107</v>
      </c>
      <c r="K1262" s="1" t="str">
        <f>IFERROR(__xludf.DUMMYFUNCTION("""COMPUTED_VALUE"""),"REYMONDCARLFUNELAS@GMAIL.COM")</f>
        <v>REYMONDCARLFUNELAS@GMAIL.COM</v>
      </c>
      <c r="L1262" s="1" t="str">
        <f>IFERROR(__xludf.DUMMYFUNCTION("""COMPUTED_VALUE"""),"BLK 68 LOT 8")</f>
        <v>BLK 68 LOT 8</v>
      </c>
      <c r="M1262" s="1" t="str">
        <f>IFERROR(__xludf.DUMMYFUNCTION("""COMPUTED_VALUE"""),"PUROK 5")</f>
        <v>PUROK 5</v>
      </c>
      <c r="N1262" s="1"/>
      <c r="O1262" s="1" t="str">
        <f>IFERROR(__xludf.DUMMYFUNCTION("""COMPUTED_VALUE"""),"VICTORIA REYES")</f>
        <v>VICTORIA REYES</v>
      </c>
      <c r="P1262" s="1" t="str">
        <f>IFERROR(__xludf.DUMMYFUNCTION("""COMPUTED_VALUE"""),"DASMARINAS")</f>
        <v>DASMARINAS</v>
      </c>
      <c r="Q1262" s="1" t="str">
        <f>IFERROR(__xludf.DUMMYFUNCTION("""COMPUTED_VALUE"""),"CAVITE")</f>
        <v>CAVITE</v>
      </c>
      <c r="R1262" s="1" t="str">
        <f>IFERROR(__xludf.DUMMYFUNCTION("""COMPUTED_VALUE"""),"FIBR PLAN 1299")</f>
        <v>FIBR PLAN 1299</v>
      </c>
      <c r="S1262" s="1" t="str">
        <f>IFERROR(__xludf.DUMMYFUNCTION("""COMPUTED_VALUE"""),"APPROVED")</f>
        <v>APPROVED</v>
      </c>
      <c r="T1262" s="1" t="str">
        <f>IFERROR(__xludf.DUMMYFUNCTION("""COMPUTED_VALUE"""),"FOR PAYMENT")</f>
        <v>FOR PAYMENT</v>
      </c>
      <c r="U1262" s="1"/>
      <c r="V1262" s="1"/>
      <c r="W1262" s="1"/>
    </row>
    <row r="1263" customHeight="1" spans="1:23">
      <c r="A1263" s="3">
        <f>IFERROR(__xludf.DUMMYFUNCTION("""COMPUTED_VALUE"""),46131)</f>
        <v>46131</v>
      </c>
      <c r="B1263" s="1" t="str">
        <f>IFERROR(__xludf.DUMMYFUNCTION("""COMPUTED_VALUE"""),"FARO, REFRANTA")</f>
        <v>FARO, REFRANTA</v>
      </c>
      <c r="C1263" s="1" t="str">
        <f>IFERROR(__xludf.DUMMYFUNCTION("""COMPUTED_VALUE"""),"ORGANIC")</f>
        <v>ORGANIC</v>
      </c>
      <c r="D1263" s="1" t="str">
        <f>IFERROR(__xludf.DUMMYFUNCTION("""COMPUTED_VALUE"""),"ALINGARO, CINDY")</f>
        <v>ALINGARO, CINDY</v>
      </c>
      <c r="E1263" s="1" t="str">
        <f>IFERROR(__xludf.DUMMYFUNCTION("""COMPUTED_VALUE"""),"PLDT")</f>
        <v>PLDT</v>
      </c>
      <c r="F1263" s="1">
        <f>IFERROR(__xludf.DUMMYFUNCTION("""COMPUTED_VALUE"""),2308949899)</f>
        <v>2308949899</v>
      </c>
      <c r="G1263" s="1">
        <f>IFERROR(__xludf.DUMMYFUNCTION("""COMPUTED_VALUE"""),451305962004)</f>
        <v>451305962004</v>
      </c>
      <c r="H1263" s="1" t="str">
        <f>IFERROR(__xludf.DUMMYFUNCTION("""COMPUTED_VALUE"""),"JOVELYN MARTINEZ LOJERA")</f>
        <v>JOVELYN MARTINEZ LOJERA</v>
      </c>
      <c r="I1263" s="1">
        <f>IFERROR(__xludf.DUMMYFUNCTION("""COMPUTED_VALUE"""),9455225965)</f>
        <v>9455225965</v>
      </c>
      <c r="J1263" s="1"/>
      <c r="K1263" s="1" t="str">
        <f>IFERROR(__xludf.DUMMYFUNCTION("""COMPUTED_VALUE"""),"JOVELYNMATINEZ14@GMAIL.COM")</f>
        <v>JOVELYNMATINEZ14@GMAIL.COM</v>
      </c>
      <c r="L1263" s="1" t="str">
        <f>IFERROR(__xludf.DUMMYFUNCTION("""COMPUTED_VALUE"""),"29-A")</f>
        <v>29-A</v>
      </c>
      <c r="M1263" s="1" t="str">
        <f>IFERROR(__xludf.DUMMYFUNCTION("""COMPUTED_VALUE"""),"KALUBKOB RD")</f>
        <v>KALUBKOB RD</v>
      </c>
      <c r="N1263" s="1"/>
      <c r="O1263" s="1" t="str">
        <f>IFERROR(__xludf.DUMMYFUNCTION("""COMPUTED_VALUE"""),"ASIS I")</f>
        <v>ASIS I</v>
      </c>
      <c r="P1263" s="1" t="str">
        <f>IFERROR(__xludf.DUMMYFUNCTION("""COMPUTED_VALUE"""),"MENDEZ")</f>
        <v>MENDEZ</v>
      </c>
      <c r="Q1263" s="1" t="str">
        <f>IFERROR(__xludf.DUMMYFUNCTION("""COMPUTED_VALUE"""),"CAVITE")</f>
        <v>CAVITE</v>
      </c>
      <c r="R1263" s="1" t="str">
        <f>IFERROR(__xludf.DUMMYFUNCTION("""COMPUTED_VALUE"""),"FIBR UNLI ALL PLAN 1399")</f>
        <v>FIBR UNLI ALL PLAN 1399</v>
      </c>
      <c r="S1263" s="1" t="str">
        <f>IFERROR(__xludf.DUMMYFUNCTION("""COMPUTED_VALUE"""),"APPROVED")</f>
        <v>APPROVED</v>
      </c>
      <c r="T1263" s="1" t="str">
        <f>IFERROR(__xludf.DUMMYFUNCTION("""COMPUTED_VALUE"""),"POSTED")</f>
        <v>POSTED</v>
      </c>
      <c r="U1263" s="1"/>
      <c r="V1263" s="1"/>
      <c r="W1263" s="1"/>
    </row>
    <row r="1264" customHeight="1" spans="1:23">
      <c r="A1264" s="3">
        <f>IFERROR(__xludf.DUMMYFUNCTION("""COMPUTED_VALUE"""),46131)</f>
        <v>46131</v>
      </c>
      <c r="B1264" s="1" t="str">
        <f>IFERROR(__xludf.DUMMYFUNCTION("""COMPUTED_VALUE"""),"FARO, REFRANTA")</f>
        <v>FARO, REFRANTA</v>
      </c>
      <c r="C1264" s="1" t="str">
        <f>IFERROR(__xludf.DUMMYFUNCTION("""COMPUTED_VALUE"""),"ORGANIC")</f>
        <v>ORGANIC</v>
      </c>
      <c r="D1264" s="1" t="str">
        <f>IFERROR(__xludf.DUMMYFUNCTION("""COMPUTED_VALUE"""),"ALINGARO, CINDY")</f>
        <v>ALINGARO, CINDY</v>
      </c>
      <c r="E1264" s="1" t="str">
        <f>IFERROR(__xludf.DUMMYFUNCTION("""COMPUTED_VALUE"""),"PLDT")</f>
        <v>PLDT</v>
      </c>
      <c r="F1264" s="1">
        <f>IFERROR(__xludf.DUMMYFUNCTION("""COMPUTED_VALUE"""),2308949763)</f>
        <v>2308949763</v>
      </c>
      <c r="G1264" s="1">
        <f>IFERROR(__xludf.DUMMYFUNCTION("""COMPUTED_VALUE"""),451305589004)</f>
        <v>451305589004</v>
      </c>
      <c r="H1264" s="1" t="str">
        <f>IFERROR(__xludf.DUMMYFUNCTION("""COMPUTED_VALUE"""),"EMIL ROBERT VIDA VIDAMO")</f>
        <v>EMIL ROBERT VIDA VIDAMO</v>
      </c>
      <c r="I1264" s="1">
        <f>IFERROR(__xludf.DUMMYFUNCTION("""COMPUTED_VALUE"""),9751193793)</f>
        <v>9751193793</v>
      </c>
      <c r="J1264" s="1">
        <f>IFERROR(__xludf.DUMMYFUNCTION("""COMPUTED_VALUE"""),9652454390)</f>
        <v>9652454390</v>
      </c>
      <c r="K1264" s="1" t="str">
        <f>IFERROR(__xludf.DUMMYFUNCTION("""COMPUTED_VALUE"""),"EMILROBERT@GMAIL.COM")</f>
        <v>EMILROBERT@GMAIL.COM</v>
      </c>
      <c r="L1264" s="1" t="str">
        <f>IFERROR(__xludf.DUMMYFUNCTION("""COMPUTED_VALUE"""),"97")</f>
        <v>97</v>
      </c>
      <c r="M1264" s="1" t="str">
        <f>IFERROR(__xludf.DUMMYFUNCTION("""COMPUTED_VALUE"""),"JP RIZAL")</f>
        <v>JP RIZAL</v>
      </c>
      <c r="N1264" s="1"/>
      <c r="O1264" s="1" t="str">
        <f>IFERROR(__xludf.DUMMYFUNCTION("""COMPUTED_VALUE"""),"ASIS I")</f>
        <v>ASIS I</v>
      </c>
      <c r="P1264" s="1" t="str">
        <f>IFERROR(__xludf.DUMMYFUNCTION("""COMPUTED_VALUE"""),"MENDEZ")</f>
        <v>MENDEZ</v>
      </c>
      <c r="Q1264" s="1" t="str">
        <f>IFERROR(__xludf.DUMMYFUNCTION("""COMPUTED_VALUE"""),"CAVITE")</f>
        <v>CAVITE</v>
      </c>
      <c r="R1264" s="1" t="str">
        <f>IFERROR(__xludf.DUMMYFUNCTION("""COMPUTED_VALUE"""),"FIBR NETFLIX PLAN 1599")</f>
        <v>FIBR NETFLIX PLAN 1599</v>
      </c>
      <c r="S1264" s="1" t="str">
        <f>IFERROR(__xludf.DUMMYFUNCTION("""COMPUTED_VALUE"""),"APPROVED")</f>
        <v>APPROVED</v>
      </c>
      <c r="T1264" s="1" t="str">
        <f>IFERROR(__xludf.DUMMYFUNCTION("""COMPUTED_VALUE"""),"POSTED")</f>
        <v>POSTED</v>
      </c>
      <c r="U1264" s="1"/>
      <c r="V1264" s="1"/>
      <c r="W1264" s="1"/>
    </row>
    <row r="1265" customHeight="1" spans="1:23">
      <c r="A1265" s="3">
        <f>IFERROR(__xludf.DUMMYFUNCTION("""COMPUTED_VALUE"""),46131)</f>
        <v>46131</v>
      </c>
      <c r="B1265" s="1" t="str">
        <f>IFERROR(__xludf.DUMMYFUNCTION("""COMPUTED_VALUE"""),"FERNANDEZ JERIC")</f>
        <v>FERNANDEZ JERIC</v>
      </c>
      <c r="C1265" s="1" t="str">
        <f>IFERROR(__xludf.DUMMYFUNCTION("""COMPUTED_VALUE"""),"ORGANIC")</f>
        <v>ORGANIC</v>
      </c>
      <c r="D1265" s="1" t="str">
        <f>IFERROR(__xludf.DUMMYFUNCTION("""COMPUTED_VALUE"""),"ALOS, CHARLS")</f>
        <v>ALOS, CHARLS</v>
      </c>
      <c r="E1265" s="1" t="str">
        <f>IFERROR(__xludf.DUMMYFUNCTION("""COMPUTED_VALUE"""),"PLDT")</f>
        <v>PLDT</v>
      </c>
      <c r="F1265" s="1">
        <f>IFERROR(__xludf.DUMMYFUNCTION("""COMPUTED_VALUE"""),2308984393)</f>
        <v>2308984393</v>
      </c>
      <c r="G1265" s="1">
        <f>IFERROR(__xludf.DUMMYFUNCTION("""COMPUTED_VALUE"""),451429492004)</f>
        <v>451429492004</v>
      </c>
      <c r="H1265" s="1" t="str">
        <f>IFERROR(__xludf.DUMMYFUNCTION("""COMPUTED_VALUE"""),"MICHAEL UBIAS MIGUEL")</f>
        <v>MICHAEL UBIAS MIGUEL</v>
      </c>
      <c r="I1265" s="1">
        <f>IFERROR(__xludf.DUMMYFUNCTION("""COMPUTED_VALUE"""),9178638831)</f>
        <v>9178638831</v>
      </c>
      <c r="J1265" s="1">
        <f>IFERROR(__xludf.DUMMYFUNCTION("""COMPUTED_VALUE"""),9209068831)</f>
        <v>9209068831</v>
      </c>
      <c r="K1265" s="1" t="str">
        <f>IFERROR(__xludf.DUMMYFUNCTION("""COMPUTED_VALUE"""),"XTMICRO@YAHOO.COM")</f>
        <v>XTMICRO@YAHOO.COM</v>
      </c>
      <c r="L1265" s="1" t="str">
        <f>IFERROR(__xludf.DUMMYFUNCTION("""COMPUTED_VALUE"""),"BLK 1A LOT 1")</f>
        <v>BLK 1A LOT 1</v>
      </c>
      <c r="M1265" s="1" t="str">
        <f>IFERROR(__xludf.DUMMYFUNCTION("""COMPUTED_VALUE"""),"ACACIA")</f>
        <v>ACACIA</v>
      </c>
      <c r="N1265" s="1" t="str">
        <f>IFERROR(__xludf.DUMMYFUNCTION("""COMPUTED_VALUE"""),"GREENVILLE SUBDS")</f>
        <v>GREENVILLE SUBDS</v>
      </c>
      <c r="O1265" s="1" t="str">
        <f>IFERROR(__xludf.DUMMYFUNCTION("""COMPUTED_VALUE"""),"KAYBAGAL NORTH")</f>
        <v>KAYBAGAL NORTH</v>
      </c>
      <c r="P1265" s="1" t="str">
        <f>IFERROR(__xludf.DUMMYFUNCTION("""COMPUTED_VALUE"""),"TAGAYTAY")</f>
        <v>TAGAYTAY</v>
      </c>
      <c r="Q1265" s="1" t="str">
        <f>IFERROR(__xludf.DUMMYFUNCTION("""COMPUTED_VALUE"""),"CAVITE")</f>
        <v>CAVITE</v>
      </c>
      <c r="R1265" s="1" t="str">
        <f>IFERROR(__xludf.DUMMYFUNCTION("""COMPUTED_VALUE"""),"FIBR UNLI ALL PLAN 1399")</f>
        <v>FIBR UNLI ALL PLAN 1399</v>
      </c>
      <c r="S1265" s="1" t="str">
        <f>IFERROR(__xludf.DUMMYFUNCTION("""COMPUTED_VALUE"""),"APPROVED")</f>
        <v>APPROVED</v>
      </c>
      <c r="T1265" s="1" t="str">
        <f>IFERROR(__xludf.DUMMYFUNCTION("""COMPUTED_VALUE"""),"POSTED")</f>
        <v>POSTED</v>
      </c>
      <c r="U1265" s="1"/>
      <c r="V1265" s="1"/>
      <c r="W1265" s="1"/>
    </row>
    <row r="1266" customHeight="1" spans="1:23">
      <c r="A1266" s="3">
        <f>IFERROR(__xludf.DUMMYFUNCTION("""COMPUTED_VALUE"""),46131)</f>
        <v>46131</v>
      </c>
      <c r="B1266" s="1" t="str">
        <f>IFERROR(__xludf.DUMMYFUNCTION("""COMPUTED_VALUE"""),"AYON MANUEL")</f>
        <v>AYON MANUEL</v>
      </c>
      <c r="C1266" s="1" t="str">
        <f>IFERROR(__xludf.DUMMYFUNCTION("""COMPUTED_VALUE"""),"FLA")</f>
        <v>FLA</v>
      </c>
      <c r="D1266" s="1" t="str">
        <f>IFERROR(__xludf.DUMMYFUNCTION("""COMPUTED_VALUE"""),"JERIC NAVARRO")</f>
        <v>JERIC NAVARRO</v>
      </c>
      <c r="E1266" s="1" t="str">
        <f>IFERROR(__xludf.DUMMYFUNCTION("""COMPUTED_VALUE"""),"PLDT")</f>
        <v>PLDT</v>
      </c>
      <c r="F1266" s="1">
        <f>IFERROR(__xludf.DUMMYFUNCTION("""COMPUTED_VALUE"""),2308952236)</f>
        <v>2308952236</v>
      </c>
      <c r="G1266" s="1">
        <f>IFERROR(__xludf.DUMMYFUNCTION("""COMPUTED_VALUE"""),451309866004)</f>
        <v>451309866004</v>
      </c>
      <c r="H1266" s="1" t="str">
        <f>IFERROR(__xludf.DUMMYFUNCTION("""COMPUTED_VALUE"""),"ESTRELLA LORENZANA JURADO")</f>
        <v>ESTRELLA LORENZANA JURADO</v>
      </c>
      <c r="I1266" s="1">
        <f>IFERROR(__xludf.DUMMYFUNCTION("""COMPUTED_VALUE"""),9204253308)</f>
        <v>9204253308</v>
      </c>
      <c r="J1266" s="1">
        <f>IFERROR(__xludf.DUMMYFUNCTION("""COMPUTED_VALUE"""),9516370738)</f>
        <v>9516370738</v>
      </c>
      <c r="K1266" s="1" t="str">
        <f>IFERROR(__xludf.DUMMYFUNCTION("""COMPUTED_VALUE"""),"GANDAPATI@YAHOO.COM")</f>
        <v>GANDAPATI@YAHOO.COM</v>
      </c>
      <c r="L1266" s="1" t="str">
        <f>IFERROR(__xludf.DUMMYFUNCTION("""COMPUTED_VALUE"""),"9065")</f>
        <v>9065</v>
      </c>
      <c r="M1266" s="1" t="str">
        <f>IFERROR(__xludf.DUMMYFUNCTION("""COMPUTED_VALUE"""),"PUROK 7")</f>
        <v>PUROK 7</v>
      </c>
      <c r="N1266" s="1"/>
      <c r="O1266" s="1" t="str">
        <f>IFERROR(__xludf.DUMMYFUNCTION("""COMPUTED_VALUE"""),"BUCAL")</f>
        <v>BUCAL</v>
      </c>
      <c r="P1266" s="1" t="str">
        <f>IFERROR(__xludf.DUMMYFUNCTION("""COMPUTED_VALUE"""),"AMADEO")</f>
        <v>AMADEO</v>
      </c>
      <c r="Q1266" s="1" t="str">
        <f>IFERROR(__xludf.DUMMYFUNCTION("""COMPUTED_VALUE"""),"CAVITE")</f>
        <v>CAVITE</v>
      </c>
      <c r="R1266" s="1" t="str">
        <f>IFERROR(__xludf.DUMMYFUNCTION("""COMPUTED_VALUE"""),"FIBR UNLI ALL PLAN 1799")</f>
        <v>FIBR UNLI ALL PLAN 1799</v>
      </c>
      <c r="S1266" s="1" t="str">
        <f>IFERROR(__xludf.DUMMYFUNCTION("""COMPUTED_VALUE"""),"APPROVED")</f>
        <v>APPROVED</v>
      </c>
      <c r="T1266" s="1" t="str">
        <f>IFERROR(__xludf.DUMMYFUNCTION("""COMPUTED_VALUE"""),"FOR PAYMENT")</f>
        <v>FOR PAYMENT</v>
      </c>
      <c r="U1266" s="1"/>
      <c r="V1266" s="1"/>
      <c r="W1266" s="1"/>
    </row>
    <row r="1267" customHeight="1" spans="1:23">
      <c r="A1267" s="3">
        <f>IFERROR(__xludf.DUMMYFUNCTION("""COMPUTED_VALUE"""),46131)</f>
        <v>46131</v>
      </c>
      <c r="B1267" s="1" t="str">
        <f>IFERROR(__xludf.DUMMYFUNCTION("""COMPUTED_VALUE"""),"CABRERA JILLIENE")</f>
        <v>CABRERA JILLIENE</v>
      </c>
      <c r="C1267" s="1" t="str">
        <f>IFERROR(__xludf.DUMMYFUNCTION("""COMPUTED_VALUE"""),"ORGANIC")</f>
        <v>ORGANIC</v>
      </c>
      <c r="D1267" s="1" t="str">
        <f>IFERROR(__xludf.DUMMYFUNCTION("""COMPUTED_VALUE"""),"ALOS, CHARLS")</f>
        <v>ALOS, CHARLS</v>
      </c>
      <c r="E1267" s="1" t="str">
        <f>IFERROR(__xludf.DUMMYFUNCTION("""COMPUTED_VALUE"""),"PLDT")</f>
        <v>PLDT</v>
      </c>
      <c r="F1267" s="1">
        <f>IFERROR(__xludf.DUMMYFUNCTION("""COMPUTED_VALUE"""),2308951919)</f>
        <v>2308951919</v>
      </c>
      <c r="G1267" s="1">
        <f>IFERROR(__xludf.DUMMYFUNCTION("""COMPUTED_VALUE"""),451308509004)</f>
        <v>451308509004</v>
      </c>
      <c r="H1267" s="1" t="str">
        <f>IFERROR(__xludf.DUMMYFUNCTION("""COMPUTED_VALUE"""),"PRINCESS ELAINE PAMESA BULAWAN")</f>
        <v>PRINCESS ELAINE PAMESA BULAWAN</v>
      </c>
      <c r="I1267" s="1">
        <f>IFERROR(__xludf.DUMMYFUNCTION("""COMPUTED_VALUE"""),9245020405)</f>
        <v>9245020405</v>
      </c>
      <c r="J1267" s="1"/>
      <c r="K1267" s="1" t="str">
        <f>IFERROR(__xludf.DUMMYFUNCTION("""COMPUTED_VALUE"""),"JANELLIE028@GMAIL.COM")</f>
        <v>JANELLIE028@GMAIL.COM</v>
      </c>
      <c r="L1267" s="1" t="str">
        <f>IFERROR(__xludf.DUMMYFUNCTION("""COMPUTED_VALUE"""),"66")</f>
        <v>66</v>
      </c>
      <c r="M1267" s="1" t="str">
        <f>IFERROR(__xludf.DUMMYFUNCTION("""COMPUTED_VALUE"""),"SAINT JOHN ")</f>
        <v>SAINT JOHN </v>
      </c>
      <c r="N1267" s="1"/>
      <c r="O1267" s="1" t="str">
        <f>IFERROR(__xludf.DUMMYFUNCTION("""COMPUTED_VALUE"""),"MIGUEL MOJICA")</f>
        <v>MIGUEL MOJICA</v>
      </c>
      <c r="P1267" s="1" t="str">
        <f>IFERROR(__xludf.DUMMYFUNCTION("""COMPUTED_VALUE"""),"MENDEZ")</f>
        <v>MENDEZ</v>
      </c>
      <c r="Q1267" s="1" t="str">
        <f>IFERROR(__xludf.DUMMYFUNCTION("""COMPUTED_VALUE"""),"CAVITE")</f>
        <v>CAVITE</v>
      </c>
      <c r="R1267" s="1" t="str">
        <f>IFERROR(__xludf.DUMMYFUNCTION("""COMPUTED_VALUE"""),"FIBR PLAN 1299")</f>
        <v>FIBR PLAN 1299</v>
      </c>
      <c r="S1267" s="1" t="str">
        <f>IFERROR(__xludf.DUMMYFUNCTION("""COMPUTED_VALUE"""),"APPROVED")</f>
        <v>APPROVED</v>
      </c>
      <c r="T1267" s="1" t="str">
        <f>IFERROR(__xludf.DUMMYFUNCTION("""COMPUTED_VALUE"""),"POSTED")</f>
        <v>POSTED</v>
      </c>
      <c r="U1267" s="1"/>
      <c r="V1267" s="1"/>
      <c r="W1267" s="1"/>
    </row>
    <row r="1268" customHeight="1" spans="1:23">
      <c r="A1268" s="3">
        <f>IFERROR(__xludf.DUMMYFUNCTION("""COMPUTED_VALUE"""),46131)</f>
        <v>46131</v>
      </c>
      <c r="B1268" s="1" t="str">
        <f>IFERROR(__xludf.DUMMYFUNCTION("""COMPUTED_VALUE"""),"DE VERA, MARIVIC")</f>
        <v>DE VERA, MARIVIC</v>
      </c>
      <c r="C1268" s="1" t="str">
        <f>IFERROR(__xludf.DUMMYFUNCTION("""COMPUTED_VALUE"""),"ORGANIC")</f>
        <v>ORGANIC</v>
      </c>
      <c r="D1268" s="1" t="str">
        <f>IFERROR(__xludf.DUMMYFUNCTION("""COMPUTED_VALUE"""),"ALINGARO, CINDY")</f>
        <v>ALINGARO, CINDY</v>
      </c>
      <c r="E1268" s="1" t="str">
        <f>IFERROR(__xludf.DUMMYFUNCTION("""COMPUTED_VALUE"""),"RED FIBER")</f>
        <v>RED FIBER</v>
      </c>
      <c r="F1268" s="1"/>
      <c r="G1268" s="1"/>
      <c r="H1268" s="1" t="str">
        <f>IFERROR(__xludf.DUMMYFUNCTION("""COMPUTED_VALUE"""),"REEGINE DELA CRUZ OBAL")</f>
        <v>REEGINE DELA CRUZ OBAL</v>
      </c>
      <c r="I1268" s="1">
        <f>IFERROR(__xludf.DUMMYFUNCTION("""COMPUTED_VALUE"""),9514935953)</f>
        <v>9514935953</v>
      </c>
      <c r="J1268" s="1"/>
      <c r="K1268" s="1" t="str">
        <f>IFERROR(__xludf.DUMMYFUNCTION("""COMPUTED_VALUE"""),"REEGINEOBAL@GMAIL.COM")</f>
        <v>REEGINEOBAL@GMAIL.COM</v>
      </c>
      <c r="L1268" s="1" t="str">
        <f>IFERROR(__xludf.DUMMYFUNCTION("""COMPUTED_VALUE"""),"43")</f>
        <v>43</v>
      </c>
      <c r="M1268" s="1" t="str">
        <f>IFERROR(__xludf.DUMMYFUNCTION("""COMPUTED_VALUE"""),"ZAMORA ")</f>
        <v>ZAMORA </v>
      </c>
      <c r="N1268" s="1"/>
      <c r="O1268" s="1" t="str">
        <f>IFERROR(__xludf.DUMMYFUNCTION("""COMPUTED_VALUE"""),"ASIS I")</f>
        <v>ASIS I</v>
      </c>
      <c r="P1268" s="1" t="str">
        <f>IFERROR(__xludf.DUMMYFUNCTION("""COMPUTED_VALUE"""),"MENDEZ")</f>
        <v>MENDEZ</v>
      </c>
      <c r="Q1268" s="1" t="str">
        <f>IFERROR(__xludf.DUMMYFUNCTION("""COMPUTED_VALUE"""),"CAVITE")</f>
        <v>CAVITE</v>
      </c>
      <c r="R1268" s="1" t="str">
        <f>IFERROR(__xludf.DUMMYFUNCTION("""COMPUTED_VALUE"""),"RED PLAN 1400")</f>
        <v>RED PLAN 1400</v>
      </c>
      <c r="S1268" s="1" t="str">
        <f>IFERROR(__xludf.DUMMYFUNCTION("""COMPUTED_VALUE"""),"APPROVED")</f>
        <v>APPROVED</v>
      </c>
      <c r="T1268" s="1" t="str">
        <f>IFERROR(__xludf.DUMMYFUNCTION("""COMPUTED_VALUE"""),"POSTED")</f>
        <v>POSTED</v>
      </c>
      <c r="U1268" s="1"/>
      <c r="V1268" s="1"/>
      <c r="W1268" s="1"/>
    </row>
    <row r="1269" customHeight="1" spans="1:23">
      <c r="A1269" s="3">
        <f>IFERROR(__xludf.DUMMYFUNCTION("""COMPUTED_VALUE"""),46131)</f>
        <v>46131</v>
      </c>
      <c r="B1269" s="1" t="str">
        <f>IFERROR(__xludf.DUMMYFUNCTION("""COMPUTED_VALUE"""),"DELA ROSA, JENNELYN")</f>
        <v>DELA ROSA, JENNELYN</v>
      </c>
      <c r="C1269" s="1" t="str">
        <f>IFERROR(__xludf.DUMMYFUNCTION("""COMPUTED_VALUE"""),"ORGANIC")</f>
        <v>ORGANIC</v>
      </c>
      <c r="D1269" s="1" t="str">
        <f>IFERROR(__xludf.DUMMYFUNCTION("""COMPUTED_VALUE"""),"ALOS, CHARLS")</f>
        <v>ALOS, CHARLS</v>
      </c>
      <c r="E1269" s="1" t="str">
        <f>IFERROR(__xludf.DUMMYFUNCTION("""COMPUTED_VALUE"""),"PLDT")</f>
        <v>PLDT</v>
      </c>
      <c r="F1269" s="1">
        <f>IFERROR(__xludf.DUMMYFUNCTION("""COMPUTED_VALUE"""),2308952672)</f>
        <v>2308952672</v>
      </c>
      <c r="G1269" s="1"/>
      <c r="H1269" s="1" t="str">
        <f>IFERROR(__xludf.DUMMYFUNCTION("""COMPUTED_VALUE"""),"JOHN RODRIGO PARINA BERNARDO")</f>
        <v>JOHN RODRIGO PARINA BERNARDO</v>
      </c>
      <c r="I1269" s="1">
        <f>IFERROR(__xludf.DUMMYFUNCTION("""COMPUTED_VALUE"""),9272529845)</f>
        <v>9272529845</v>
      </c>
      <c r="J1269" s="1"/>
      <c r="K1269" s="1" t="str">
        <f>IFERROR(__xludf.DUMMYFUNCTION("""COMPUTED_VALUE"""),"BERNARDOJOHN0401@GMAIL.COM")</f>
        <v>BERNARDOJOHN0401@GMAIL.COM</v>
      </c>
      <c r="L1269" s="1" t="str">
        <f>IFERROR(__xludf.DUMMYFUNCTION("""COMPUTED_VALUE"""),"BLK 137 LOT 37")</f>
        <v>BLK 137 LOT 37</v>
      </c>
      <c r="M1269" s="1" t="str">
        <f>IFERROR(__xludf.DUMMYFUNCTION("""COMPUTED_VALUE"""),"PHASE 3")</f>
        <v>PHASE 3</v>
      </c>
      <c r="N1269" s="1"/>
      <c r="O1269" s="1" t="str">
        <f>IFERROR(__xludf.DUMMYFUNCTION("""COMPUTED_VALUE"""),"PALIPARAN III")</f>
        <v>PALIPARAN III</v>
      </c>
      <c r="P1269" s="1" t="str">
        <f>IFERROR(__xludf.DUMMYFUNCTION("""COMPUTED_VALUE"""),"DASMARINAS")</f>
        <v>DASMARINAS</v>
      </c>
      <c r="Q1269" s="1" t="str">
        <f>IFERROR(__xludf.DUMMYFUNCTION("""COMPUTED_VALUE"""),"CAVITE")</f>
        <v>CAVITE</v>
      </c>
      <c r="R1269" s="1" t="str">
        <f>IFERROR(__xludf.DUMMYFUNCTION("""COMPUTED_VALUE"""),"FIBR NETFLIX PLAN 1599")</f>
        <v>FIBR NETFLIX PLAN 1599</v>
      </c>
      <c r="S1269" s="1" t="str">
        <f>IFERROR(__xludf.DUMMYFUNCTION("""COMPUTED_VALUE"""),"APPROVED")</f>
        <v>APPROVED</v>
      </c>
      <c r="T1269" s="1" t="str">
        <f>IFERROR(__xludf.DUMMYFUNCTION("""COMPUTED_VALUE"""),"CANCELLED WITH OB")</f>
        <v>CANCELLED WITH OB</v>
      </c>
      <c r="U1269" s="1"/>
      <c r="V1269" s="1"/>
      <c r="W1269" s="1"/>
    </row>
    <row r="1270" customHeight="1" spans="1:23">
      <c r="A1270" s="3">
        <f>IFERROR(__xludf.DUMMYFUNCTION("""COMPUTED_VALUE"""),46131)</f>
        <v>46131</v>
      </c>
      <c r="B1270" s="1" t="str">
        <f>IFERROR(__xludf.DUMMYFUNCTION("""COMPUTED_VALUE"""),"ESCARCHA, MA ALMA  ESCOTO")</f>
        <v>ESCARCHA, MA ALMA  ESCOTO</v>
      </c>
      <c r="C1270" s="1" t="str">
        <f>IFERROR(__xludf.DUMMYFUNCTION("""COMPUTED_VALUE"""),"ORGANIC")</f>
        <v>ORGANIC</v>
      </c>
      <c r="D1270" s="1" t="str">
        <f>IFERROR(__xludf.DUMMYFUNCTION("""COMPUTED_VALUE"""),"ALINGARO, CINDY")</f>
        <v>ALINGARO, CINDY</v>
      </c>
      <c r="E1270" s="1" t="str">
        <f>IFERROR(__xludf.DUMMYFUNCTION("""COMPUTED_VALUE"""),"PLDT")</f>
        <v>PLDT</v>
      </c>
      <c r="F1270" s="1">
        <f>IFERROR(__xludf.DUMMYFUNCTION("""COMPUTED_VALUE"""),2308953926)</f>
        <v>2308953926</v>
      </c>
      <c r="G1270" s="1">
        <f>IFERROR(__xludf.DUMMYFUNCTION("""COMPUTED_VALUE"""),451310864004)</f>
        <v>451310864004</v>
      </c>
      <c r="H1270" s="1" t="str">
        <f>IFERROR(__xludf.DUMMYFUNCTION("""COMPUTED_VALUE"""),"DOROTEO JR ASAL TABONGBANUA")</f>
        <v>DOROTEO JR ASAL TABONGBANUA</v>
      </c>
      <c r="I1270" s="1">
        <f>IFERROR(__xludf.DUMMYFUNCTION("""COMPUTED_VALUE"""),9911207546)</f>
        <v>9911207546</v>
      </c>
      <c r="J1270" s="1"/>
      <c r="K1270" s="1" t="str">
        <f>IFERROR(__xludf.DUMMYFUNCTION("""COMPUTED_VALUE"""),"DORETEO.TOBONGBANUA@GMAIL.COM")</f>
        <v>DORETEO.TOBONGBANUA@GMAIL.COM</v>
      </c>
      <c r="L1270" s="1" t="str">
        <f>IFERROR(__xludf.DUMMYFUNCTION("""COMPUTED_VALUE"""),"BLK 38 LOT 8")</f>
        <v>BLK 38 LOT 8</v>
      </c>
      <c r="M1270" s="1" t="str">
        <f>IFERROR(__xludf.DUMMYFUNCTION("""COMPUTED_VALUE"""),"ANAHAW RD")</f>
        <v>ANAHAW RD</v>
      </c>
      <c r="N1270" s="1"/>
      <c r="O1270" s="1" t="str">
        <f>IFERROR(__xludf.DUMMYFUNCTION("""COMPUTED_VALUE"""),"ANAHAW II")</f>
        <v>ANAHAW II</v>
      </c>
      <c r="P1270" s="1" t="str">
        <f>IFERROR(__xludf.DUMMYFUNCTION("""COMPUTED_VALUE"""),"SILANG")</f>
        <v>SILANG</v>
      </c>
      <c r="Q1270" s="1" t="str">
        <f>IFERROR(__xludf.DUMMYFUNCTION("""COMPUTED_VALUE"""),"CAVITE")</f>
        <v>CAVITE</v>
      </c>
      <c r="R1270" s="1" t="str">
        <f>IFERROR(__xludf.DUMMYFUNCTION("""COMPUTED_VALUE"""),"FIBR PLAN 1299")</f>
        <v>FIBR PLAN 1299</v>
      </c>
      <c r="S1270" s="1" t="str">
        <f>IFERROR(__xludf.DUMMYFUNCTION("""COMPUTED_VALUE"""),"APPROVED")</f>
        <v>APPROVED</v>
      </c>
      <c r="T1270" s="1" t="str">
        <f>IFERROR(__xludf.DUMMYFUNCTION("""COMPUTED_VALUE"""),"POSTED")</f>
        <v>POSTED</v>
      </c>
      <c r="U1270" s="1"/>
      <c r="V1270" s="1"/>
      <c r="W1270" s="1"/>
    </row>
    <row r="1271" customHeight="1" spans="1:23">
      <c r="A1271" s="3">
        <f>IFERROR(__xludf.DUMMYFUNCTION("""COMPUTED_VALUE"""),46131)</f>
        <v>46131</v>
      </c>
      <c r="B1271" s="1" t="str">
        <f>IFERROR(__xludf.DUMMYFUNCTION("""COMPUTED_VALUE"""),"PELICANO, JHUVY")</f>
        <v>PELICANO, JHUVY</v>
      </c>
      <c r="C1271" s="1" t="str">
        <f>IFERROR(__xludf.DUMMYFUNCTION("""COMPUTED_VALUE"""),"ORGANIC")</f>
        <v>ORGANIC</v>
      </c>
      <c r="D1271" s="1" t="str">
        <f>IFERROR(__xludf.DUMMYFUNCTION("""COMPUTED_VALUE"""),"ALINGARO, CINDY")</f>
        <v>ALINGARO, CINDY</v>
      </c>
      <c r="E1271" s="1" t="str">
        <f>IFERROR(__xludf.DUMMYFUNCTION("""COMPUTED_VALUE"""),"PLDT")</f>
        <v>PLDT</v>
      </c>
      <c r="F1271" s="1">
        <f>IFERROR(__xludf.DUMMYFUNCTION("""COMPUTED_VALUE"""),2308954024)</f>
        <v>2308954024</v>
      </c>
      <c r="G1271" s="1">
        <f>IFERROR(__xludf.DUMMYFUNCTION("""COMPUTED_VALUE"""),451311855004)</f>
        <v>451311855004</v>
      </c>
      <c r="H1271" s="1" t="str">
        <f>IFERROR(__xludf.DUMMYFUNCTION("""COMPUTED_VALUE"""),"JOHN PAULO EDISON MINDANAO")</f>
        <v>JOHN PAULO EDISON MINDANAO</v>
      </c>
      <c r="I1271" s="1">
        <f>IFERROR(__xludf.DUMMYFUNCTION("""COMPUTED_VALUE"""),9267464196)</f>
        <v>9267464196</v>
      </c>
      <c r="J1271" s="1">
        <f>IFERROR(__xludf.DUMMYFUNCTION("""COMPUTED_VALUE"""),9162519946)</f>
        <v>9162519946</v>
      </c>
      <c r="K1271" s="1" t="str">
        <f>IFERROR(__xludf.DUMMYFUNCTION("""COMPUTED_VALUE"""),"JPMINDANAO09@GMAIL.COM")</f>
        <v>JPMINDANAO09@GMAIL.COM</v>
      </c>
      <c r="L1271" s="1" t="str">
        <f>IFERROR(__xludf.DUMMYFUNCTION("""COMPUTED_VALUE"""),"BLK 53 LOT 24")</f>
        <v>BLK 53 LOT 24</v>
      </c>
      <c r="M1271" s="1" t="str">
        <f>IFERROR(__xludf.DUMMYFUNCTION("""COMPUTED_VALUE"""),"PHASE 4")</f>
        <v>PHASE 4</v>
      </c>
      <c r="N1271" s="1" t="str">
        <f>IFERROR(__xludf.DUMMYFUNCTION("""COMPUTED_VALUE"""),"ALTA TIERA")</f>
        <v>ALTA TIERA</v>
      </c>
      <c r="O1271" s="1" t="str">
        <f>IFERROR(__xludf.DUMMYFUNCTION("""COMPUTED_VALUE"""),"ALDIANO OLAES")</f>
        <v>ALDIANO OLAES</v>
      </c>
      <c r="P1271" s="1" t="str">
        <f>IFERROR(__xludf.DUMMYFUNCTION("""COMPUTED_VALUE"""),"GEN MARIANO ALVAREZ")</f>
        <v>GEN MARIANO ALVAREZ</v>
      </c>
      <c r="Q1271" s="1" t="str">
        <f>IFERROR(__xludf.DUMMYFUNCTION("""COMPUTED_VALUE"""),"CAVITE")</f>
        <v>CAVITE</v>
      </c>
      <c r="R1271" s="1" t="str">
        <f>IFERROR(__xludf.DUMMYFUNCTION("""COMPUTED_VALUE"""),"FIBR PLAN 1299")</f>
        <v>FIBR PLAN 1299</v>
      </c>
      <c r="S1271" s="1" t="str">
        <f>IFERROR(__xludf.DUMMYFUNCTION("""COMPUTED_VALUE"""),"APPROVED")</f>
        <v>APPROVED</v>
      </c>
      <c r="T1271" s="1" t="str">
        <f>IFERROR(__xludf.DUMMYFUNCTION("""COMPUTED_VALUE"""),"PAID FOR INSTALLATION / AFD")</f>
        <v>PAID FOR INSTALLATION / AFD</v>
      </c>
      <c r="U1271" s="1"/>
      <c r="V1271" s="1"/>
      <c r="W1271" s="1"/>
    </row>
    <row r="1272" customHeight="1" spans="1:23">
      <c r="A1272" s="3">
        <f>IFERROR(__xludf.DUMMYFUNCTION("""COMPUTED_VALUE"""),46132)</f>
        <v>46132</v>
      </c>
      <c r="B1272" s="1" t="str">
        <f>IFERROR(__xludf.DUMMYFUNCTION("""COMPUTED_VALUE"""),"AYON MANUEL")</f>
        <v>AYON MANUEL</v>
      </c>
      <c r="C1272" s="1" t="str">
        <f>IFERROR(__xludf.DUMMYFUNCTION("""COMPUTED_VALUE"""),"FLA")</f>
        <v>FLA</v>
      </c>
      <c r="D1272" s="1" t="str">
        <f>IFERROR(__xludf.DUMMYFUNCTION("""COMPUTED_VALUE"""),"JERIC NAVARRO")</f>
        <v>JERIC NAVARRO</v>
      </c>
      <c r="E1272" s="1" t="str">
        <f>IFERROR(__xludf.DUMMYFUNCTION("""COMPUTED_VALUE"""),"PLDT")</f>
        <v>PLDT</v>
      </c>
      <c r="F1272" s="1">
        <f>IFERROR(__xludf.DUMMYFUNCTION("""COMPUTED_VALUE"""),2308967674)</f>
        <v>2308967674</v>
      </c>
      <c r="G1272" s="1">
        <f>IFERROR(__xludf.DUMMYFUNCTION("""COMPUTED_VALUE"""),451419834004)</f>
        <v>451419834004</v>
      </c>
      <c r="H1272" s="1" t="str">
        <f>IFERROR(__xludf.DUMMYFUNCTION("""COMPUTED_VALUE"""),"JAMIE ARBOLEDA GLORIOSO")</f>
        <v>JAMIE ARBOLEDA GLORIOSO</v>
      </c>
      <c r="I1272" s="1">
        <f>IFERROR(__xludf.DUMMYFUNCTION("""COMPUTED_VALUE"""),9176231362)</f>
        <v>9176231362</v>
      </c>
      <c r="J1272" s="1">
        <f>IFERROR(__xludf.DUMMYFUNCTION("""COMPUTED_VALUE"""),9952404176)</f>
        <v>9952404176</v>
      </c>
      <c r="K1272" s="1" t="str">
        <f>IFERROR(__xludf.DUMMYFUNCTION("""COMPUTED_VALUE"""),"JAMIEARBOLEDA@YAHOO.COM")</f>
        <v>JAMIEARBOLEDA@YAHOO.COM</v>
      </c>
      <c r="L1272" s="1" t="str">
        <f>IFERROR(__xludf.DUMMYFUNCTION("""COMPUTED_VALUE"""),"LOT 2")</f>
        <v>LOT 2</v>
      </c>
      <c r="M1272" s="1" t="str">
        <f>IFERROR(__xludf.DUMMYFUNCTION("""COMPUTED_VALUE"""),"IBA RD")</f>
        <v>IBA RD</v>
      </c>
      <c r="N1272" s="1"/>
      <c r="O1272" s="1" t="str">
        <f>IFERROR(__xludf.DUMMYFUNCTION("""COMPUTED_VALUE"""),"IBA")</f>
        <v>IBA</v>
      </c>
      <c r="P1272" s="1" t="str">
        <f>IFERROR(__xludf.DUMMYFUNCTION("""COMPUTED_VALUE"""),"SILANG")</f>
        <v>SILANG</v>
      </c>
      <c r="Q1272" s="1" t="str">
        <f>IFERROR(__xludf.DUMMYFUNCTION("""COMPUTED_VALUE"""),"CAVITE")</f>
        <v>CAVITE</v>
      </c>
      <c r="R1272" s="1" t="str">
        <f>IFERROR(__xludf.DUMMYFUNCTION("""COMPUTED_VALUE"""),"FIBR UNLI ALL PLAN 1399")</f>
        <v>FIBR UNLI ALL PLAN 1399</v>
      </c>
      <c r="S1272" s="1" t="str">
        <f>IFERROR(__xludf.DUMMYFUNCTION("""COMPUTED_VALUE"""),"APPROVED")</f>
        <v>APPROVED</v>
      </c>
      <c r="T1272" s="1" t="str">
        <f>IFERROR(__xludf.DUMMYFUNCTION("""COMPUTED_VALUE"""),"POSTED")</f>
        <v>POSTED</v>
      </c>
      <c r="U1272" s="1"/>
      <c r="V1272" s="1"/>
      <c r="W1272" s="1"/>
    </row>
    <row r="1273" customHeight="1" spans="1:23">
      <c r="A1273" s="3">
        <f>IFERROR(__xludf.DUMMYFUNCTION("""COMPUTED_VALUE"""),46132)</f>
        <v>46132</v>
      </c>
      <c r="B1273" s="1" t="str">
        <f>IFERROR(__xludf.DUMMYFUNCTION("""COMPUTED_VALUE"""),"FARO, REFRANTA")</f>
        <v>FARO, REFRANTA</v>
      </c>
      <c r="C1273" s="1" t="str">
        <f>IFERROR(__xludf.DUMMYFUNCTION("""COMPUTED_VALUE"""),"ORGANIC")</f>
        <v>ORGANIC</v>
      </c>
      <c r="D1273" s="1" t="str">
        <f>IFERROR(__xludf.DUMMYFUNCTION("""COMPUTED_VALUE"""),"ALINGARO, CINDY")</f>
        <v>ALINGARO, CINDY</v>
      </c>
      <c r="E1273" s="1" t="str">
        <f>IFERROR(__xludf.DUMMYFUNCTION("""COMPUTED_VALUE"""),"HOME BIZZ")</f>
        <v>HOME BIZZ</v>
      </c>
      <c r="F1273" s="1">
        <f>IFERROR(__xludf.DUMMYFUNCTION("""COMPUTED_VALUE"""),2308981026)</f>
        <v>2308981026</v>
      </c>
      <c r="G1273" s="1">
        <f>IFERROR(__xludf.DUMMYFUNCTION("""COMPUTED_VALUE"""),451420694004)</f>
        <v>451420694004</v>
      </c>
      <c r="H1273" s="1" t="str">
        <f>IFERROR(__xludf.DUMMYFUNCTION("""COMPUTED_VALUE"""),"KAZASHI RAMEN HOUSE")</f>
        <v>KAZASHI RAMEN HOUSE</v>
      </c>
      <c r="I1273" s="1">
        <f>IFERROR(__xludf.DUMMYFUNCTION("""COMPUTED_VALUE"""),9683859695)</f>
        <v>9683859695</v>
      </c>
      <c r="J1273" s="1"/>
      <c r="K1273" s="1" t="str">
        <f>IFERROR(__xludf.DUMMYFUNCTION("""COMPUTED_VALUE"""),"ORANGETABABA@YAHOO.COM")</f>
        <v>ORANGETABABA@YAHOO.COM</v>
      </c>
      <c r="L1273" s="1" t="str">
        <f>IFERROR(__xludf.DUMMYFUNCTION("""COMPUTED_VALUE"""),"2258 P")</f>
        <v>2258 P</v>
      </c>
      <c r="M1273" s="1" t="str">
        <f>IFERROR(__xludf.DUMMYFUNCTION("""COMPUTED_VALUE"""),"AMADEO RD")</f>
        <v>AMADEO RD</v>
      </c>
      <c r="N1273" s="1"/>
      <c r="O1273" s="1" t="str">
        <f>IFERROR(__xludf.DUMMYFUNCTION("""COMPUTED_VALUE"""),"BANAYBANAY")</f>
        <v>BANAYBANAY</v>
      </c>
      <c r="P1273" s="1" t="str">
        <f>IFERROR(__xludf.DUMMYFUNCTION("""COMPUTED_VALUE"""),"AMADEO")</f>
        <v>AMADEO</v>
      </c>
      <c r="Q1273" s="1" t="str">
        <f>IFERROR(__xludf.DUMMYFUNCTION("""COMPUTED_VALUE"""),"CAVITE")</f>
        <v>CAVITE</v>
      </c>
      <c r="R1273" s="1" t="str">
        <f>IFERROR(__xludf.DUMMYFUNCTION("""COMPUTED_VALUE"""),"HOME BIZ PLAN 1299")</f>
        <v>HOME BIZ PLAN 1299</v>
      </c>
      <c r="S1273" s="1" t="str">
        <f>IFERROR(__xludf.DUMMYFUNCTION("""COMPUTED_VALUE"""),"APPROVED")</f>
        <v>APPROVED</v>
      </c>
      <c r="T1273" s="1" t="str">
        <f>IFERROR(__xludf.DUMMYFUNCTION("""COMPUTED_VALUE"""),"POSTED")</f>
        <v>POSTED</v>
      </c>
      <c r="U1273" s="1"/>
      <c r="V1273" s="1"/>
      <c r="W1273" s="1"/>
    </row>
    <row r="1274" customHeight="1" spans="1:23">
      <c r="A1274" s="3">
        <f>IFERROR(__xludf.DUMMYFUNCTION("""COMPUTED_VALUE"""),46132)</f>
        <v>46132</v>
      </c>
      <c r="B1274" s="1" t="str">
        <f>IFERROR(__xludf.DUMMYFUNCTION("""COMPUTED_VALUE"""),"MAGDARAOG, KENNETH")</f>
        <v>MAGDARAOG, KENNETH</v>
      </c>
      <c r="C1274" s="1" t="str">
        <f>IFERROR(__xludf.DUMMYFUNCTION("""COMPUTED_VALUE"""),"ORGANIC")</f>
        <v>ORGANIC</v>
      </c>
      <c r="D1274" s="1" t="str">
        <f>IFERROR(__xludf.DUMMYFUNCTION("""COMPUTED_VALUE"""),"ALINGARO, CINDY")</f>
        <v>ALINGARO, CINDY</v>
      </c>
      <c r="E1274" s="1" t="str">
        <f>IFERROR(__xludf.DUMMYFUNCTION("""COMPUTED_VALUE"""),"PLDT")</f>
        <v>PLDT</v>
      </c>
      <c r="F1274" s="1">
        <f>IFERROR(__xludf.DUMMYFUNCTION("""COMPUTED_VALUE"""),2308968145)</f>
        <v>2308968145</v>
      </c>
      <c r="G1274" s="1">
        <f>IFERROR(__xludf.DUMMYFUNCTION("""COMPUTED_VALUE"""),451420020004)</f>
        <v>451420020004</v>
      </c>
      <c r="H1274" s="1" t="str">
        <f>IFERROR(__xludf.DUMMYFUNCTION("""COMPUTED_VALUE"""),"RANDY ATTIENZA RAMIREZ")</f>
        <v>RANDY ATTIENZA RAMIREZ</v>
      </c>
      <c r="I1274" s="1">
        <f>IFERROR(__xludf.DUMMYFUNCTION("""COMPUTED_VALUE"""),9392269969)</f>
        <v>9392269969</v>
      </c>
      <c r="J1274" s="1"/>
      <c r="K1274" s="1" t="str">
        <f>IFERROR(__xludf.DUMMYFUNCTION("""COMPUTED_VALUE"""),"RANDYRAMIREZ023@GMAIL.COM")</f>
        <v>RANDYRAMIREZ023@GMAIL.COM</v>
      </c>
      <c r="L1274" s="1" t="str">
        <f>IFERROR(__xludf.DUMMYFUNCTION("""COMPUTED_VALUE"""),"57")</f>
        <v>57</v>
      </c>
      <c r="M1274" s="1" t="str">
        <f>IFERROR(__xludf.DUMMYFUNCTION("""COMPUTED_VALUE"""),"BANAYBANAY RD")</f>
        <v>BANAYBANAY RD</v>
      </c>
      <c r="N1274" s="1"/>
      <c r="O1274" s="1" t="str">
        <f>IFERROR(__xludf.DUMMYFUNCTION("""COMPUTED_VALUE"""),"BANAYBANAY")</f>
        <v>BANAYBANAY</v>
      </c>
      <c r="P1274" s="1" t="str">
        <f>IFERROR(__xludf.DUMMYFUNCTION("""COMPUTED_VALUE"""),"AMADEO")</f>
        <v>AMADEO</v>
      </c>
      <c r="Q1274" s="1" t="str">
        <f>IFERROR(__xludf.DUMMYFUNCTION("""COMPUTED_VALUE"""),"CAVITE")</f>
        <v>CAVITE</v>
      </c>
      <c r="R1274" s="1" t="str">
        <f>IFERROR(__xludf.DUMMYFUNCTION("""COMPUTED_VALUE"""),"FIBR UNLI ALL PLAN 1399")</f>
        <v>FIBR UNLI ALL PLAN 1399</v>
      </c>
      <c r="S1274" s="1" t="str">
        <f>IFERROR(__xludf.DUMMYFUNCTION("""COMPUTED_VALUE"""),"APPROVED")</f>
        <v>APPROVED</v>
      </c>
      <c r="T1274" s="1" t="str">
        <f>IFERROR(__xludf.DUMMYFUNCTION("""COMPUTED_VALUE"""),"POSTED")</f>
        <v>POSTED</v>
      </c>
      <c r="U1274" s="1"/>
      <c r="V1274" s="1"/>
      <c r="W1274" s="1"/>
    </row>
    <row r="1275" customHeight="1" spans="1:23">
      <c r="A1275" s="3">
        <f>IFERROR(__xludf.DUMMYFUNCTION("""COMPUTED_VALUE"""),46132)</f>
        <v>46132</v>
      </c>
      <c r="B1275" s="1" t="str">
        <f>IFERROR(__xludf.DUMMYFUNCTION("""COMPUTED_VALUE"""),"MAÑANITA, ERIKA")</f>
        <v>MAÑANITA, ERIKA</v>
      </c>
      <c r="C1275" s="1" t="str">
        <f>IFERROR(__xludf.DUMMYFUNCTION("""COMPUTED_VALUE"""),"ORGANIC")</f>
        <v>ORGANIC</v>
      </c>
      <c r="D1275" s="1" t="str">
        <f>IFERROR(__xludf.DUMMYFUNCTION("""COMPUTED_VALUE"""),"ALOS, CHARLS")</f>
        <v>ALOS, CHARLS</v>
      </c>
      <c r="E1275" s="1" t="str">
        <f>IFERROR(__xludf.DUMMYFUNCTION("""COMPUTED_VALUE"""),"PLDT")</f>
        <v>PLDT</v>
      </c>
      <c r="F1275" s="1">
        <f>IFERROR(__xludf.DUMMYFUNCTION("""COMPUTED_VALUE"""),2308985578)</f>
        <v>2308985578</v>
      </c>
      <c r="G1275" s="1">
        <f>IFERROR(__xludf.DUMMYFUNCTION("""COMPUTED_VALUE"""),451444873004)</f>
        <v>451444873004</v>
      </c>
      <c r="H1275" s="1" t="str">
        <f>IFERROR(__xludf.DUMMYFUNCTION("""COMPUTED_VALUE"""),"GLENLY BESIDO MAROLLANO")</f>
        <v>GLENLY BESIDO MAROLLANO</v>
      </c>
      <c r="I1275" s="1">
        <f>IFERROR(__xludf.DUMMYFUNCTION("""COMPUTED_VALUE"""),9939644935)</f>
        <v>9939644935</v>
      </c>
      <c r="J1275" s="1">
        <f>IFERROR(__xludf.DUMMYFUNCTION("""COMPUTED_VALUE"""),9124488195)</f>
        <v>9124488195</v>
      </c>
      <c r="K1275" s="1" t="str">
        <f>IFERROR(__xludf.DUMMYFUNCTION("""COMPUTED_VALUE"""),"GLENLYMAROLLANO24@GMAIL.COM")</f>
        <v>GLENLYMAROLLANO24@GMAIL.COM</v>
      </c>
      <c r="L1275" s="1" t="str">
        <f>IFERROR(__xludf.DUMMYFUNCTION("""COMPUTED_VALUE"""),"46")</f>
        <v>46</v>
      </c>
      <c r="M1275" s="1" t="str">
        <f>IFERROR(__xludf.DUMMYFUNCTION("""COMPUTED_VALUE"""),"SECTION 2")</f>
        <v>SECTION 2</v>
      </c>
      <c r="N1275" s="1" t="str">
        <f>IFERROR(__xludf.DUMMYFUNCTION("""COMPUTED_VALUE"""),"SUNNYBROOKE 2")</f>
        <v>SUNNYBROOKE 2</v>
      </c>
      <c r="O1275" s="1" t="str">
        <f>IFERROR(__xludf.DUMMYFUNCTION("""COMPUTED_VALUE"""),"SAN FRANCISCO")</f>
        <v>SAN FRANCISCO</v>
      </c>
      <c r="P1275" s="1" t="str">
        <f>IFERROR(__xludf.DUMMYFUNCTION("""COMPUTED_VALUE"""),"GENERAL TRIAS")</f>
        <v>GENERAL TRIAS</v>
      </c>
      <c r="Q1275" s="1" t="str">
        <f>IFERROR(__xludf.DUMMYFUNCTION("""COMPUTED_VALUE"""),"CAVITE")</f>
        <v>CAVITE</v>
      </c>
      <c r="R1275" s="1" t="str">
        <f>IFERROR(__xludf.DUMMYFUNCTION("""COMPUTED_VALUE"""),"FIBR PLAN 1299")</f>
        <v>FIBR PLAN 1299</v>
      </c>
      <c r="S1275" s="1" t="str">
        <f>IFERROR(__xludf.DUMMYFUNCTION("""COMPUTED_VALUE"""),"APPROVED")</f>
        <v>APPROVED</v>
      </c>
      <c r="T1275" s="1" t="str">
        <f>IFERROR(__xludf.DUMMYFUNCTION("""COMPUTED_VALUE"""),"AFD/NEED HOA PERMIT")</f>
        <v>AFD/NEED HOA PERMIT</v>
      </c>
      <c r="U1275" s="1"/>
      <c r="V1275" s="1"/>
      <c r="W1275" s="1"/>
    </row>
    <row r="1276" customHeight="1" spans="1:23">
      <c r="A1276" s="3">
        <f>IFERROR(__xludf.DUMMYFUNCTION("""COMPUTED_VALUE"""),46132)</f>
        <v>46132</v>
      </c>
      <c r="B1276" s="1" t="str">
        <f>IFERROR(__xludf.DUMMYFUNCTION("""COMPUTED_VALUE"""),"AGUNOS, JHON AIRVIN")</f>
        <v>AGUNOS, JHON AIRVIN</v>
      </c>
      <c r="C1276" s="1" t="str">
        <f>IFERROR(__xludf.DUMMYFUNCTION("""COMPUTED_VALUE"""),"ORGANIC")</f>
        <v>ORGANIC</v>
      </c>
      <c r="D1276" s="1" t="str">
        <f>IFERROR(__xludf.DUMMYFUNCTION("""COMPUTED_VALUE"""),"ALINGARO, CINDY")</f>
        <v>ALINGARO, CINDY</v>
      </c>
      <c r="E1276" s="1" t="str">
        <f>IFERROR(__xludf.DUMMYFUNCTION("""COMPUTED_VALUE"""),"PLDT")</f>
        <v>PLDT</v>
      </c>
      <c r="F1276" s="1">
        <f>IFERROR(__xludf.DUMMYFUNCTION("""COMPUTED_VALUE"""),2309025042)</f>
        <v>2309025042</v>
      </c>
      <c r="G1276" s="1">
        <f>IFERROR(__xludf.DUMMYFUNCTION("""COMPUTED_VALUE"""),451590821004)</f>
        <v>451590821004</v>
      </c>
      <c r="H1276" s="1" t="str">
        <f>IFERROR(__xludf.DUMMYFUNCTION("""COMPUTED_VALUE"""),"ESTRELITA BAYSA NIETO")</f>
        <v>ESTRELITA BAYSA NIETO</v>
      </c>
      <c r="I1276" s="1">
        <f>IFERROR(__xludf.DUMMYFUNCTION("""COMPUTED_VALUE"""),9260317859)</f>
        <v>9260317859</v>
      </c>
      <c r="J1276" s="1">
        <f>IFERROR(__xludf.DUMMYFUNCTION("""COMPUTED_VALUE"""),9279607344)</f>
        <v>9279607344</v>
      </c>
      <c r="K1276" s="1" t="str">
        <f>IFERROR(__xludf.DUMMYFUNCTION("""COMPUTED_VALUE"""),"ESTRELITANIETO69@GMAIL.COM")</f>
        <v>ESTRELITANIETO69@GMAIL.COM</v>
      </c>
      <c r="L1276" s="1" t="str">
        <f>IFERROR(__xludf.DUMMYFUNCTION("""COMPUTED_VALUE"""),"85")</f>
        <v>85</v>
      </c>
      <c r="M1276" s="1" t="str">
        <f>IFERROR(__xludf.DUMMYFUNCTION("""COMPUTED_VALUE"""),"PUROK 2")</f>
        <v>PUROK 2</v>
      </c>
      <c r="N1276" s="1"/>
      <c r="O1276" s="1" t="str">
        <f>IFERROR(__xludf.DUMMYFUNCTION("""COMPUTED_VALUE"""),"TAMACAN")</f>
        <v>TAMACAN</v>
      </c>
      <c r="P1276" s="1" t="str">
        <f>IFERROR(__xludf.DUMMYFUNCTION("""COMPUTED_VALUE"""),"AMADEO")</f>
        <v>AMADEO</v>
      </c>
      <c r="Q1276" s="1" t="str">
        <f>IFERROR(__xludf.DUMMYFUNCTION("""COMPUTED_VALUE"""),"CAVITE")</f>
        <v>CAVITE</v>
      </c>
      <c r="R1276" s="1" t="str">
        <f>IFERROR(__xludf.DUMMYFUNCTION("""COMPUTED_VALUE"""),"SWITCH FIBER NETFLIX PLAN 1599")</f>
        <v>SWITCH FIBER NETFLIX PLAN 1599</v>
      </c>
      <c r="S1276" s="1" t="str">
        <f>IFERROR(__xludf.DUMMYFUNCTION("""COMPUTED_VALUE"""),"APPROVED")</f>
        <v>APPROVED</v>
      </c>
      <c r="T1276" s="1" t="str">
        <f>IFERROR(__xludf.DUMMYFUNCTION("""COMPUTED_VALUE"""),"POSTED")</f>
        <v>POSTED</v>
      </c>
      <c r="U1276" s="1"/>
      <c r="V1276" s="1"/>
      <c r="W1276" s="1"/>
    </row>
    <row r="1277" customHeight="1" spans="1:23">
      <c r="A1277" s="3">
        <f>IFERROR(__xludf.DUMMYFUNCTION("""COMPUTED_VALUE"""),46132)</f>
        <v>46132</v>
      </c>
      <c r="B1277" s="1" t="str">
        <f>IFERROR(__xludf.DUMMYFUNCTION("""COMPUTED_VALUE"""),"DELA ROSA, JENNELYN")</f>
        <v>DELA ROSA, JENNELYN</v>
      </c>
      <c r="C1277" s="1" t="str">
        <f>IFERROR(__xludf.DUMMYFUNCTION("""COMPUTED_VALUE"""),"ORGANIC")</f>
        <v>ORGANIC</v>
      </c>
      <c r="D1277" s="1" t="str">
        <f>IFERROR(__xludf.DUMMYFUNCTION("""COMPUTED_VALUE"""),"ALOS, CHARLS")</f>
        <v>ALOS, CHARLS</v>
      </c>
      <c r="E1277" s="1" t="str">
        <f>IFERROR(__xludf.DUMMYFUNCTION("""COMPUTED_VALUE"""),"PLDT")</f>
        <v>PLDT</v>
      </c>
      <c r="F1277" s="1">
        <f>IFERROR(__xludf.DUMMYFUNCTION("""COMPUTED_VALUE"""),2308984719)</f>
        <v>2308984719</v>
      </c>
      <c r="G1277" s="1">
        <f>IFERROR(__xludf.DUMMYFUNCTION("""COMPUTED_VALUE"""),451433114004)</f>
        <v>451433114004</v>
      </c>
      <c r="H1277" s="1" t="str">
        <f>IFERROR(__xludf.DUMMYFUNCTION("""COMPUTED_VALUE"""),"MARIAPAZ GUSTILLO DOMASIAN")</f>
        <v>MARIAPAZ GUSTILLO DOMASIAN</v>
      </c>
      <c r="I1277" s="1">
        <f>IFERROR(__xludf.DUMMYFUNCTION("""COMPUTED_VALUE"""),9300370129)</f>
        <v>9300370129</v>
      </c>
      <c r="J1277" s="1">
        <f>IFERROR(__xludf.DUMMYFUNCTION("""COMPUTED_VALUE"""),9558432517)</f>
        <v>9558432517</v>
      </c>
      <c r="K1277" s="1" t="str">
        <f>IFERROR(__xludf.DUMMYFUNCTION("""COMPUTED_VALUE"""),"ARJAYDOMACION@GMAIL.COM")</f>
        <v>ARJAYDOMACION@GMAIL.COM</v>
      </c>
      <c r="L1277" s="1" t="str">
        <f>IFERROR(__xludf.DUMMYFUNCTION("""COMPUTED_VALUE"""),"BLK 7 LOT 2")</f>
        <v>BLK 7 LOT 2</v>
      </c>
      <c r="M1277" s="1" t="str">
        <f>IFERROR(__xludf.DUMMYFUNCTION("""COMPUTED_VALUE"""),"PUROK 131")</f>
        <v>PUROK 131</v>
      </c>
      <c r="N1277" s="1"/>
      <c r="O1277" s="1" t="str">
        <f>IFERROR(__xludf.DUMMYFUNCTION("""COMPUTED_VALUE"""),"MENDEZ CROSSING WEST")</f>
        <v>MENDEZ CROSSING WEST</v>
      </c>
      <c r="P1277" s="1" t="str">
        <f>IFERROR(__xludf.DUMMYFUNCTION("""COMPUTED_VALUE"""),"TAGAYTAY")</f>
        <v>TAGAYTAY</v>
      </c>
      <c r="Q1277" s="1" t="str">
        <f>IFERROR(__xludf.DUMMYFUNCTION("""COMPUTED_VALUE"""),"CAVITE")</f>
        <v>CAVITE</v>
      </c>
      <c r="R1277" s="1" t="str">
        <f>IFERROR(__xludf.DUMMYFUNCTION("""COMPUTED_VALUE"""),"FIBR PLAN 1299")</f>
        <v>FIBR PLAN 1299</v>
      </c>
      <c r="S1277" s="1" t="str">
        <f>IFERROR(__xludf.DUMMYFUNCTION("""COMPUTED_VALUE"""),"APPROVED")</f>
        <v>APPROVED</v>
      </c>
      <c r="T1277" s="1" t="str">
        <f>IFERROR(__xludf.DUMMYFUNCTION("""COMPUTED_VALUE"""),"FOR PAYMENT")</f>
        <v>FOR PAYMENT</v>
      </c>
      <c r="U1277" s="1"/>
      <c r="V1277" s="1"/>
      <c r="W1277" s="1"/>
    </row>
    <row r="1278" customHeight="1" spans="1:23">
      <c r="A1278" s="3">
        <f>IFERROR(__xludf.DUMMYFUNCTION("""COMPUTED_VALUE"""),46132)</f>
        <v>46132</v>
      </c>
      <c r="B1278" s="1" t="str">
        <f>IFERROR(__xludf.DUMMYFUNCTION("""COMPUTED_VALUE"""),"CARPIO, STEPHANIE NICOLE")</f>
        <v>CARPIO, STEPHANIE NICOLE</v>
      </c>
      <c r="C1278" s="1" t="str">
        <f>IFERROR(__xludf.DUMMYFUNCTION("""COMPUTED_VALUE"""),"FLA")</f>
        <v>FLA</v>
      </c>
      <c r="D1278" s="1" t="str">
        <f>IFERROR(__xludf.DUMMYFUNCTION("""COMPUTED_VALUE"""),"JERIC NAVARRO")</f>
        <v>JERIC NAVARRO</v>
      </c>
      <c r="E1278" s="1" t="str">
        <f>IFERROR(__xludf.DUMMYFUNCTION("""COMPUTED_VALUE"""),"PLDT")</f>
        <v>PLDT</v>
      </c>
      <c r="F1278" s="1">
        <f>IFERROR(__xludf.DUMMYFUNCTION("""COMPUTED_VALUE"""),2308986400)</f>
        <v>2308986400</v>
      </c>
      <c r="G1278" s="1"/>
      <c r="H1278" s="1" t="str">
        <f>IFERROR(__xludf.DUMMYFUNCTION("""COMPUTED_VALUE"""),"NOVELYN MENDOZA NICOLAS")</f>
        <v>NOVELYN MENDOZA NICOLAS</v>
      </c>
      <c r="I1278" s="1">
        <f>IFERROR(__xludf.DUMMYFUNCTION("""COMPUTED_VALUE"""),9122828006)</f>
        <v>9122828006</v>
      </c>
      <c r="J1278" s="1"/>
      <c r="K1278" s="1" t="str">
        <f>IFERROR(__xludf.DUMMYFUNCTION("""COMPUTED_VALUE"""),"LEAELORDE4@GMAIL.COM")</f>
        <v>LEAELORDE4@GMAIL.COM</v>
      </c>
      <c r="L1278" s="1" t="str">
        <f>IFERROR(__xludf.DUMMYFUNCTION("""COMPUTED_VALUE"""),"168")</f>
        <v>168</v>
      </c>
      <c r="M1278" s="1" t="str">
        <f>IFERROR(__xludf.DUMMYFUNCTION("""COMPUTED_VALUE"""),"TRABAJO")</f>
        <v>TRABAJO</v>
      </c>
      <c r="N1278" s="1"/>
      <c r="O1278" s="1" t="str">
        <f>IFERROR(__xludf.DUMMYFUNCTION("""COMPUTED_VALUE"""),"BARANGAY 57 (REPOLYO)")</f>
        <v>BARANGAY 57 (REPOLYO)</v>
      </c>
      <c r="P1278" s="1" t="str">
        <f>IFERROR(__xludf.DUMMYFUNCTION("""COMPUTED_VALUE"""),"CAVITE CITY")</f>
        <v>CAVITE CITY</v>
      </c>
      <c r="Q1278" s="1" t="str">
        <f>IFERROR(__xludf.DUMMYFUNCTION("""COMPUTED_VALUE"""),"CAVITE")</f>
        <v>CAVITE</v>
      </c>
      <c r="R1278" s="1" t="str">
        <f>IFERROR(__xludf.DUMMYFUNCTION("""COMPUTED_VALUE"""),"FIBR PLAN 1299")</f>
        <v>FIBR PLAN 1299</v>
      </c>
      <c r="S1278" s="1" t="str">
        <f>IFERROR(__xludf.DUMMYFUNCTION("""COMPUTED_VALUE"""),"APPROVED")</f>
        <v>APPROVED</v>
      </c>
      <c r="T1278" s="1" t="str">
        <f>IFERROR(__xludf.DUMMYFUNCTION("""COMPUTED_VALUE"""),"CANCELLED WITH OB")</f>
        <v>CANCELLED WITH OB</v>
      </c>
      <c r="U1278" s="1"/>
      <c r="V1278" s="1"/>
      <c r="W1278" s="1"/>
    </row>
    <row r="1279" customHeight="1" spans="1:23">
      <c r="A1279" s="3">
        <f>IFERROR(__xludf.DUMMYFUNCTION("""COMPUTED_VALUE"""),46132)</f>
        <v>46132</v>
      </c>
      <c r="B1279" s="1" t="str">
        <f>IFERROR(__xludf.DUMMYFUNCTION("""COMPUTED_VALUE"""),"RIVERA, AIRIZH JOY")</f>
        <v>RIVERA, AIRIZH JOY</v>
      </c>
      <c r="C1279" s="1" t="str">
        <f>IFERROR(__xludf.DUMMYFUNCTION("""COMPUTED_VALUE"""),"ORGANIC")</f>
        <v>ORGANIC</v>
      </c>
      <c r="D1279" s="1" t="str">
        <f>IFERROR(__xludf.DUMMYFUNCTION("""COMPUTED_VALUE"""),"ALOS, CHARLS")</f>
        <v>ALOS, CHARLS</v>
      </c>
      <c r="E1279" s="1" t="str">
        <f>IFERROR(__xludf.DUMMYFUNCTION("""COMPUTED_VALUE"""),"PLDT")</f>
        <v>PLDT</v>
      </c>
      <c r="F1279" s="1">
        <f>IFERROR(__xludf.DUMMYFUNCTION("""COMPUTED_VALUE"""),2308986395)</f>
        <v>2308986395</v>
      </c>
      <c r="G1279" s="1">
        <f>IFERROR(__xludf.DUMMYFUNCTION("""COMPUTED_VALUE"""),451440270004)</f>
        <v>451440270004</v>
      </c>
      <c r="H1279" s="1" t="str">
        <f>IFERROR(__xludf.DUMMYFUNCTION("""COMPUTED_VALUE"""),"MA HENIA FIRMO BARRANDA")</f>
        <v>MA HENIA FIRMO BARRANDA</v>
      </c>
      <c r="I1279" s="1">
        <f>IFERROR(__xludf.DUMMYFUNCTION("""COMPUTED_VALUE"""),9284058278)</f>
        <v>9284058278</v>
      </c>
      <c r="J1279" s="1"/>
      <c r="K1279" s="1" t="str">
        <f>IFERROR(__xludf.DUMMYFUNCTION("""COMPUTED_VALUE"""),"AIRCON.METROAIRE@GMAIL.COM")</f>
        <v>AIRCON.METROAIRE@GMAIL.COM</v>
      </c>
      <c r="L1279" s="1" t="str">
        <f>IFERROR(__xludf.DUMMYFUNCTION("""COMPUTED_VALUE"""),"BLK 21 LOT 27")</f>
        <v>BLK 21 LOT 27</v>
      </c>
      <c r="M1279" s="1" t="str">
        <f>IFERROR(__xludf.DUMMYFUNCTION("""COMPUTED_VALUE"""),"JACINTO ST")</f>
        <v>JACINTO ST</v>
      </c>
      <c r="N1279" s="1" t="str">
        <f>IFERROR(__xludf.DUMMYFUNCTION("""COMPUTED_VALUE"""),"PUEBLOCILLO")</f>
        <v>PUEBLOCILLO</v>
      </c>
      <c r="O1279" s="1" t="str">
        <f>IFERROR(__xludf.DUMMYFUNCTION("""COMPUTED_VALUE"""),"LANGKAAN I")</f>
        <v>LANGKAAN I</v>
      </c>
      <c r="P1279" s="1" t="str">
        <f>IFERROR(__xludf.DUMMYFUNCTION("""COMPUTED_VALUE"""),"DASMARINAS")</f>
        <v>DASMARINAS</v>
      </c>
      <c r="Q1279" s="1" t="str">
        <f>IFERROR(__xludf.DUMMYFUNCTION("""COMPUTED_VALUE"""),"CAVITE")</f>
        <v>CAVITE</v>
      </c>
      <c r="R1279" s="1" t="str">
        <f>IFERROR(__xludf.DUMMYFUNCTION("""COMPUTED_VALUE"""),"FIBR PLAN 1299")</f>
        <v>FIBR PLAN 1299</v>
      </c>
      <c r="S1279" s="1" t="str">
        <f>IFERROR(__xludf.DUMMYFUNCTION("""COMPUTED_VALUE"""),"APPROVED")</f>
        <v>APPROVED</v>
      </c>
      <c r="T1279" s="1" t="str">
        <f>IFERROR(__xludf.DUMMYFUNCTION("""COMPUTED_VALUE"""),"POSTED")</f>
        <v>POSTED</v>
      </c>
      <c r="U1279" s="1"/>
      <c r="V1279" s="1"/>
      <c r="W1279" s="1"/>
    </row>
    <row r="1280" customHeight="1" spans="1:23">
      <c r="A1280" s="3">
        <f>IFERROR(__xludf.DUMMYFUNCTION("""COMPUTED_VALUE"""),46132)</f>
        <v>46132</v>
      </c>
      <c r="B1280" s="1" t="str">
        <f>IFERROR(__xludf.DUMMYFUNCTION("""COMPUTED_VALUE"""),"FARO, REFRANTA")</f>
        <v>FARO, REFRANTA</v>
      </c>
      <c r="C1280" s="1" t="str">
        <f>IFERROR(__xludf.DUMMYFUNCTION("""COMPUTED_VALUE"""),"ORGANIC")</f>
        <v>ORGANIC</v>
      </c>
      <c r="D1280" s="1" t="str">
        <f>IFERROR(__xludf.DUMMYFUNCTION("""COMPUTED_VALUE"""),"ALINGARO, CINDY")</f>
        <v>ALINGARO, CINDY</v>
      </c>
      <c r="E1280" s="1" t="str">
        <f>IFERROR(__xludf.DUMMYFUNCTION("""COMPUTED_VALUE"""),"HOME BIZZ")</f>
        <v>HOME BIZZ</v>
      </c>
      <c r="F1280" s="1">
        <f>IFERROR(__xludf.DUMMYFUNCTION("""COMPUTED_VALUE"""),2309006174)</f>
        <v>2309006174</v>
      </c>
      <c r="G1280" s="1">
        <f>IFERROR(__xludf.DUMMYFUNCTION("""COMPUTED_VALUE"""),451435856004)</f>
        <v>451435856004</v>
      </c>
      <c r="H1280" s="1" t="str">
        <f>IFERROR(__xludf.DUMMYFUNCTION("""COMPUTED_VALUE"""),"KUYADING SPOT RSETAURANT")</f>
        <v>KUYADING SPOT RSETAURANT</v>
      </c>
      <c r="I1280" s="1">
        <f>IFERROR(__xludf.DUMMYFUNCTION("""COMPUTED_VALUE"""),9922676424)</f>
        <v>9922676424</v>
      </c>
      <c r="J1280" s="1"/>
      <c r="K1280" s="1" t="str">
        <f>IFERROR(__xludf.DUMMYFUNCTION("""COMPUTED_VALUE"""),"SANTIOGOMALINAY081261@GMAIL.COM")</f>
        <v>SANTIOGOMALINAY081261@GMAIL.COM</v>
      </c>
      <c r="L1280" s="1" t="str">
        <f>IFERROR(__xludf.DUMMYFUNCTION("""COMPUTED_VALUE"""),"2258 P")</f>
        <v>2258 P</v>
      </c>
      <c r="M1280" s="1" t="str">
        <f>IFERROR(__xludf.DUMMYFUNCTION("""COMPUTED_VALUE"""),"UNIT 1")</f>
        <v>UNIT 1</v>
      </c>
      <c r="N1280" s="1"/>
      <c r="O1280" s="1" t="str">
        <f>IFERROR(__xludf.DUMMYFUNCTION("""COMPUTED_VALUE"""),"BANAYBANAY")</f>
        <v>BANAYBANAY</v>
      </c>
      <c r="P1280" s="1" t="str">
        <f>IFERROR(__xludf.DUMMYFUNCTION("""COMPUTED_VALUE"""),"AMADEO")</f>
        <v>AMADEO</v>
      </c>
      <c r="Q1280" s="1" t="str">
        <f>IFERROR(__xludf.DUMMYFUNCTION("""COMPUTED_VALUE"""),"CAVITE")</f>
        <v>CAVITE</v>
      </c>
      <c r="R1280" s="1" t="str">
        <f>IFERROR(__xludf.DUMMYFUNCTION("""COMPUTED_VALUE"""),"HOME BIZ PLAN 1299")</f>
        <v>HOME BIZ PLAN 1299</v>
      </c>
      <c r="S1280" s="1" t="str">
        <f>IFERROR(__xludf.DUMMYFUNCTION("""COMPUTED_VALUE"""),"APPROVED")</f>
        <v>APPROVED</v>
      </c>
      <c r="T1280" s="1" t="str">
        <f>IFERROR(__xludf.DUMMYFUNCTION("""COMPUTED_VALUE"""),"PAID FOR INSTALLATION / NAP FULL")</f>
        <v>PAID FOR INSTALLATION / NAP FULL</v>
      </c>
      <c r="U1280" s="1"/>
      <c r="V1280" s="1"/>
      <c r="W1280" s="1"/>
    </row>
    <row r="1281" customHeight="1" spans="1:23">
      <c r="A1281" s="3">
        <f>IFERROR(__xludf.DUMMYFUNCTION("""COMPUTED_VALUE"""),46133)</f>
        <v>46133</v>
      </c>
      <c r="B1281" s="1" t="str">
        <f>IFERROR(__xludf.DUMMYFUNCTION("""COMPUTED_VALUE"""),"ODY , CLARENCE")</f>
        <v>ODY , CLARENCE</v>
      </c>
      <c r="C1281" s="1" t="str">
        <f>IFERROR(__xludf.DUMMYFUNCTION("""COMPUTED_VALUE"""),"ORGANIC")</f>
        <v>ORGANIC</v>
      </c>
      <c r="D1281" s="1" t="str">
        <f>IFERROR(__xludf.DUMMYFUNCTION("""COMPUTED_VALUE"""),"ALOS, CHARLS")</f>
        <v>ALOS, CHARLS</v>
      </c>
      <c r="E1281" s="1" t="str">
        <f>IFERROR(__xludf.DUMMYFUNCTION("""COMPUTED_VALUE"""),"PLDT")</f>
        <v>PLDT</v>
      </c>
      <c r="F1281" s="1">
        <f>IFERROR(__xludf.DUMMYFUNCTION("""COMPUTED_VALUE"""),2309017209)</f>
        <v>2309017209</v>
      </c>
      <c r="G1281" s="1"/>
      <c r="H1281" s="1" t="str">
        <f>IFERROR(__xludf.DUMMYFUNCTION("""COMPUTED_VALUE"""),"JOY DELA CRUZ DELA CRUZ")</f>
        <v>JOY DELA CRUZ DELA CRUZ</v>
      </c>
      <c r="I1281" s="1">
        <f>IFERROR(__xludf.DUMMYFUNCTION("""COMPUTED_VALUE"""),9516653276)</f>
        <v>9516653276</v>
      </c>
      <c r="J1281" s="1">
        <f>IFERROR(__xludf.DUMMYFUNCTION("""COMPUTED_VALUE"""),9560985705)</f>
        <v>9560985705</v>
      </c>
      <c r="K1281" s="1" t="str">
        <f>IFERROR(__xludf.DUMMYFUNCTION("""COMPUTED_VALUE"""),"JOYPARINA18@GMAIL.COM")</f>
        <v>JOYPARINA18@GMAIL.COM</v>
      </c>
      <c r="L1281" s="1" t="str">
        <f>IFERROR(__xludf.DUMMYFUNCTION("""COMPUTED_VALUE"""),"18")</f>
        <v>18</v>
      </c>
      <c r="M1281" s="1" t="str">
        <f>IFERROR(__xludf.DUMMYFUNCTION("""COMPUTED_VALUE"""),"BUHOY HIGHWAY")</f>
        <v>BUHOY HIGHWAY</v>
      </c>
      <c r="N1281" s="1"/>
      <c r="O1281" s="1" t="str">
        <f>IFERROR(__xludf.DUMMYFUNCTION("""COMPUTED_VALUE"""),"BUHO")</f>
        <v>BUHO</v>
      </c>
      <c r="P1281" s="1" t="str">
        <f>IFERROR(__xludf.DUMMYFUNCTION("""COMPUTED_VALUE"""),"SILANG")</f>
        <v>SILANG</v>
      </c>
      <c r="Q1281" s="1" t="str">
        <f>IFERROR(__xludf.DUMMYFUNCTION("""COMPUTED_VALUE"""),"CAVITE")</f>
        <v>CAVITE</v>
      </c>
      <c r="R1281" s="1" t="str">
        <f>IFERROR(__xludf.DUMMYFUNCTION("""COMPUTED_VALUE"""),"FIBR PLAN 1299")</f>
        <v>FIBR PLAN 1299</v>
      </c>
      <c r="S1281" s="1" t="str">
        <f>IFERROR(__xludf.DUMMYFUNCTION("""COMPUTED_VALUE"""),"APPROVED")</f>
        <v>APPROVED</v>
      </c>
      <c r="T1281" s="1" t="str">
        <f>IFERROR(__xludf.DUMMYFUNCTION("""COMPUTED_VALUE"""),"CANCELLED WITH OB")</f>
        <v>CANCELLED WITH OB</v>
      </c>
      <c r="U1281" s="1"/>
      <c r="V1281" s="1"/>
      <c r="W1281" s="1"/>
    </row>
    <row r="1282" customHeight="1" spans="1:23">
      <c r="A1282" s="3">
        <f>IFERROR(__xludf.DUMMYFUNCTION("""COMPUTED_VALUE"""),46133)</f>
        <v>46133</v>
      </c>
      <c r="B1282" s="1" t="str">
        <f>IFERROR(__xludf.DUMMYFUNCTION("""COMPUTED_VALUE"""),"AYON MANUEL")</f>
        <v>AYON MANUEL</v>
      </c>
      <c r="C1282" s="1" t="str">
        <f>IFERROR(__xludf.DUMMYFUNCTION("""COMPUTED_VALUE"""),"FLA")</f>
        <v>FLA</v>
      </c>
      <c r="D1282" s="1" t="str">
        <f>IFERROR(__xludf.DUMMYFUNCTION("""COMPUTED_VALUE"""),"JERIC NAVARRO")</f>
        <v>JERIC NAVARRO</v>
      </c>
      <c r="E1282" s="1" t="str">
        <f>IFERROR(__xludf.DUMMYFUNCTION("""COMPUTED_VALUE"""),"PLDT")</f>
        <v>PLDT</v>
      </c>
      <c r="F1282" s="1">
        <f>IFERROR(__xludf.DUMMYFUNCTION("""COMPUTED_VALUE"""),2309017599)</f>
        <v>2309017599</v>
      </c>
      <c r="G1282" s="1">
        <f>IFERROR(__xludf.DUMMYFUNCTION("""COMPUTED_VALUE"""),451569396004)</f>
        <v>451569396004</v>
      </c>
      <c r="H1282" s="1" t="str">
        <f>IFERROR(__xludf.DUMMYFUNCTION("""COMPUTED_VALUE"""),"EDELYN BARILE EVARISTO")</f>
        <v>EDELYN BARILE EVARISTO</v>
      </c>
      <c r="I1282" s="1">
        <f>IFERROR(__xludf.DUMMYFUNCTION("""COMPUTED_VALUE"""),9301507218)</f>
        <v>9301507218</v>
      </c>
      <c r="J1282" s="1">
        <f>IFERROR(__xludf.DUMMYFUNCTION("""COMPUTED_VALUE"""),9972202568)</f>
        <v>9972202568</v>
      </c>
      <c r="K1282" s="1" t="str">
        <f>IFERROR(__xludf.DUMMYFUNCTION("""COMPUTED_VALUE"""),"EVARISTOEDELYN@GMAIL.COM")</f>
        <v>EVARISTOEDELYN@GMAIL.COM</v>
      </c>
      <c r="L1282" s="1" t="str">
        <f>IFERROR(__xludf.DUMMYFUNCTION("""COMPUTED_VALUE"""),"19")</f>
        <v>19</v>
      </c>
      <c r="M1282" s="1" t="str">
        <f>IFERROR(__xludf.DUMMYFUNCTION("""COMPUTED_VALUE"""),"SAN PEDRO")</f>
        <v>SAN PEDRO</v>
      </c>
      <c r="N1282" s="1"/>
      <c r="O1282" s="1" t="str">
        <f>IFERROR(__xludf.DUMMYFUNCTION("""COMPUTED_VALUE"""),"BUCAL")</f>
        <v>BUCAL</v>
      </c>
      <c r="P1282" s="1" t="str">
        <f>IFERROR(__xludf.DUMMYFUNCTION("""COMPUTED_VALUE"""),"AMADEO")</f>
        <v>AMADEO</v>
      </c>
      <c r="Q1282" s="1" t="str">
        <f>IFERROR(__xludf.DUMMYFUNCTION("""COMPUTED_VALUE"""),"CAVITE")</f>
        <v>CAVITE</v>
      </c>
      <c r="R1282" s="1" t="str">
        <f>IFERROR(__xludf.DUMMYFUNCTION("""COMPUTED_VALUE"""),"FIBR UNLI ALL PLAN 1399")</f>
        <v>FIBR UNLI ALL PLAN 1399</v>
      </c>
      <c r="S1282" s="1" t="str">
        <f>IFERROR(__xludf.DUMMYFUNCTION("""COMPUTED_VALUE"""),"APPROVED")</f>
        <v>APPROVED</v>
      </c>
      <c r="T1282" s="1" t="str">
        <f>IFERROR(__xludf.DUMMYFUNCTION("""COMPUTED_VALUE"""),"POSTED")</f>
        <v>POSTED</v>
      </c>
      <c r="U1282" s="1"/>
      <c r="V1282" s="1"/>
      <c r="W1282" s="1"/>
    </row>
    <row r="1283" customHeight="1" spans="1:23">
      <c r="A1283" s="3">
        <f>IFERROR(__xludf.DUMMYFUNCTION("""COMPUTED_VALUE"""),46133)</f>
        <v>46133</v>
      </c>
      <c r="B1283" s="1" t="str">
        <f>IFERROR(__xludf.DUMMYFUNCTION("""COMPUTED_VALUE"""),"MAÑANITA, ERIKA")</f>
        <v>MAÑANITA, ERIKA</v>
      </c>
      <c r="C1283" s="1" t="str">
        <f>IFERROR(__xludf.DUMMYFUNCTION("""COMPUTED_VALUE"""),"ORGANIC")</f>
        <v>ORGANIC</v>
      </c>
      <c r="D1283" s="1" t="str">
        <f>IFERROR(__xludf.DUMMYFUNCTION("""COMPUTED_VALUE"""),"ALOS, CHARLS")</f>
        <v>ALOS, CHARLS</v>
      </c>
      <c r="E1283" s="1" t="str">
        <f>IFERROR(__xludf.DUMMYFUNCTION("""COMPUTED_VALUE"""),"PLDT")</f>
        <v>PLDT</v>
      </c>
      <c r="F1283" s="1">
        <f>IFERROR(__xludf.DUMMYFUNCTION("""COMPUTED_VALUE"""),2309018309)</f>
        <v>2309018309</v>
      </c>
      <c r="G1283" s="1">
        <f>IFERROR(__xludf.DUMMYFUNCTION("""COMPUTED_VALUE"""),451573358004)</f>
        <v>451573358004</v>
      </c>
      <c r="H1283" s="1" t="str">
        <f>IFERROR(__xludf.DUMMYFUNCTION("""COMPUTED_VALUE"""),"DON KING HERRERA CACHUELA")</f>
        <v>DON KING HERRERA CACHUELA</v>
      </c>
      <c r="I1283" s="1">
        <f>IFERROR(__xludf.DUMMYFUNCTION("""COMPUTED_VALUE"""),9688525979)</f>
        <v>9688525979</v>
      </c>
      <c r="J1283" s="1">
        <f>IFERROR(__xludf.DUMMYFUNCTION("""COMPUTED_VALUE"""),9190091145)</f>
        <v>9190091145</v>
      </c>
      <c r="K1283" s="1" t="str">
        <f>IFERROR(__xludf.DUMMYFUNCTION("""COMPUTED_VALUE"""),"DONCACHEULA@GMAIL.COM")</f>
        <v>DONCACHEULA@GMAIL.COM</v>
      </c>
      <c r="L1283" s="1" t="str">
        <f>IFERROR(__xludf.DUMMYFUNCTION("""COMPUTED_VALUE"""),"BLK 4 LOT 2")</f>
        <v>BLK 4 LOT 2</v>
      </c>
      <c r="M1283" s="1" t="str">
        <f>IFERROR(__xludf.DUMMYFUNCTION("""COMPUTED_VALUE"""),"PHASE 1")</f>
        <v>PHASE 1</v>
      </c>
      <c r="N1283" s="1" t="str">
        <f>IFERROR(__xludf.DUMMYFUNCTION("""COMPUTED_VALUE"""),"SUMMERPOINTE")</f>
        <v>SUMMERPOINTE</v>
      </c>
      <c r="O1283" s="1" t="str">
        <f>IFERROR(__xludf.DUMMYFUNCTION("""COMPUTED_VALUE"""),"PASONG BUAYA II")</f>
        <v>PASONG BUAYA II</v>
      </c>
      <c r="P1283" s="1" t="str">
        <f>IFERROR(__xludf.DUMMYFUNCTION("""COMPUTED_VALUE"""),"IMUS")</f>
        <v>IMUS</v>
      </c>
      <c r="Q1283" s="1" t="str">
        <f>IFERROR(__xludf.DUMMYFUNCTION("""COMPUTED_VALUE"""),"CAVITE")</f>
        <v>CAVITE</v>
      </c>
      <c r="R1283" s="1" t="str">
        <f>IFERROR(__xludf.DUMMYFUNCTION("""COMPUTED_VALUE"""),"FIBR UNLI ALL PLAN 1399")</f>
        <v>FIBR UNLI ALL PLAN 1399</v>
      </c>
      <c r="S1283" s="1" t="str">
        <f>IFERROR(__xludf.DUMMYFUNCTION("""COMPUTED_VALUE"""),"APPROVED")</f>
        <v>APPROVED</v>
      </c>
      <c r="T1283" s="1" t="str">
        <f>IFERROR(__xludf.DUMMYFUNCTION("""COMPUTED_VALUE"""),"POSTED")</f>
        <v>POSTED</v>
      </c>
      <c r="U1283" s="1"/>
      <c r="V1283" s="1"/>
      <c r="W1283" s="1"/>
    </row>
    <row r="1284" customHeight="1" spans="1:23">
      <c r="A1284" s="3">
        <f>IFERROR(__xludf.DUMMYFUNCTION("""COMPUTED_VALUE"""),46133)</f>
        <v>46133</v>
      </c>
      <c r="B1284" s="1" t="str">
        <f>IFERROR(__xludf.DUMMYFUNCTION("""COMPUTED_VALUE"""),"MALIWAT MARK ELVIN")</f>
        <v>MALIWAT MARK ELVIN</v>
      </c>
      <c r="C1284" s="1" t="str">
        <f>IFERROR(__xludf.DUMMYFUNCTION("""COMPUTED_VALUE"""),"FLA")</f>
        <v>FLA</v>
      </c>
      <c r="D1284" s="1" t="str">
        <f>IFERROR(__xludf.DUMMYFUNCTION("""COMPUTED_VALUE"""),"JERIC NAVARRO")</f>
        <v>JERIC NAVARRO</v>
      </c>
      <c r="E1284" s="1" t="str">
        <f>IFERROR(__xludf.DUMMYFUNCTION("""COMPUTED_VALUE"""),"PLDT")</f>
        <v>PLDT</v>
      </c>
      <c r="F1284" s="1">
        <f>IFERROR(__xludf.DUMMYFUNCTION("""COMPUTED_VALUE"""),2309019289)</f>
        <v>2309019289</v>
      </c>
      <c r="G1284" s="1">
        <f>IFERROR(__xludf.DUMMYFUNCTION("""COMPUTED_VALUE"""),451579519004)</f>
        <v>451579519004</v>
      </c>
      <c r="H1284" s="1" t="str">
        <f>IFERROR(__xludf.DUMMYFUNCTION("""COMPUTED_VALUE"""),"JENNY CRUZ ALONZO")</f>
        <v>JENNY CRUZ ALONZO</v>
      </c>
      <c r="I1284" s="1">
        <f>IFERROR(__xludf.DUMMYFUNCTION("""COMPUTED_VALUE"""),9158009963)</f>
        <v>9158009963</v>
      </c>
      <c r="J1284" s="1"/>
      <c r="K1284" s="1" t="str">
        <f>IFERROR(__xludf.DUMMYFUNCTION("""COMPUTED_VALUE"""),"ITSYAHAUBREYY03@GMAIL.COM")</f>
        <v>ITSYAHAUBREYY03@GMAIL.COM</v>
      </c>
      <c r="L1284" s="1" t="str">
        <f>IFERROR(__xludf.DUMMYFUNCTION("""COMPUTED_VALUE"""),"BLK D14 LOT 2B")</f>
        <v>BLK D14 LOT 2B</v>
      </c>
      <c r="M1284" s="1" t="str">
        <f>IFERROR(__xludf.DUMMYFUNCTION("""COMPUTED_VALUE"""),"SAN ANDRESS RD")</f>
        <v>SAN ANDRESS RD</v>
      </c>
      <c r="N1284" s="1"/>
      <c r="O1284" s="1" t="str">
        <f>IFERROR(__xludf.DUMMYFUNCTION("""COMPUTED_VALUE"""),"SAN ANDRES II")</f>
        <v>SAN ANDRES II</v>
      </c>
      <c r="P1284" s="1" t="str">
        <f>IFERROR(__xludf.DUMMYFUNCTION("""COMPUTED_VALUE"""),"DASMARINAS")</f>
        <v>DASMARINAS</v>
      </c>
      <c r="Q1284" s="1" t="str">
        <f>IFERROR(__xludf.DUMMYFUNCTION("""COMPUTED_VALUE"""),"CAVITE")</f>
        <v>CAVITE</v>
      </c>
      <c r="R1284" s="1" t="str">
        <f>IFERROR(__xludf.DUMMYFUNCTION("""COMPUTED_VALUE"""),"FIBR PLAN 1299")</f>
        <v>FIBR PLAN 1299</v>
      </c>
      <c r="S1284" s="1" t="str">
        <f>IFERROR(__xludf.DUMMYFUNCTION("""COMPUTED_VALUE"""),"APPROVED")</f>
        <v>APPROVED</v>
      </c>
      <c r="T1284" s="1" t="str">
        <f>IFERROR(__xludf.DUMMYFUNCTION("""COMPUTED_VALUE"""),"POSTED")</f>
        <v>POSTED</v>
      </c>
      <c r="U1284" s="1"/>
      <c r="V1284" s="1"/>
      <c r="W1284" s="1"/>
    </row>
    <row r="1285" customHeight="1" spans="1:23">
      <c r="A1285" s="3">
        <f>IFERROR(__xludf.DUMMYFUNCTION("""COMPUTED_VALUE"""),46133)</f>
        <v>46133</v>
      </c>
      <c r="B1285" s="1" t="str">
        <f>IFERROR(__xludf.DUMMYFUNCTION("""COMPUTED_VALUE"""),"AYON MANUEL")</f>
        <v>AYON MANUEL</v>
      </c>
      <c r="C1285" s="1" t="str">
        <f>IFERROR(__xludf.DUMMYFUNCTION("""COMPUTED_VALUE"""),"FLA")</f>
        <v>FLA</v>
      </c>
      <c r="D1285" s="1" t="str">
        <f>IFERROR(__xludf.DUMMYFUNCTION("""COMPUTED_VALUE"""),"JERIC NAVARRO")</f>
        <v>JERIC NAVARRO</v>
      </c>
      <c r="E1285" s="1" t="str">
        <f>IFERROR(__xludf.DUMMYFUNCTION("""COMPUTED_VALUE"""),"PLDT")</f>
        <v>PLDT</v>
      </c>
      <c r="F1285" s="1">
        <f>IFERROR(__xludf.DUMMYFUNCTION("""COMPUTED_VALUE"""),2309022576)</f>
        <v>2309022576</v>
      </c>
      <c r="G1285" s="1">
        <f>IFERROR(__xludf.DUMMYFUNCTION("""COMPUTED_VALUE"""),451583934004)</f>
        <v>451583934004</v>
      </c>
      <c r="H1285" s="1" t="str">
        <f>IFERROR(__xludf.DUMMYFUNCTION("""COMPUTED_VALUE"""),"MARJORIE LAPORE MARJORIE")</f>
        <v>MARJORIE LAPORE MARJORIE</v>
      </c>
      <c r="I1285" s="1">
        <f>IFERROR(__xludf.DUMMYFUNCTION("""COMPUTED_VALUE"""),9616747049)</f>
        <v>9616747049</v>
      </c>
      <c r="J1285" s="1">
        <f>IFERROR(__xludf.DUMMYFUNCTION("""COMPUTED_VALUE"""),9275737416)</f>
        <v>9275737416</v>
      </c>
      <c r="K1285" s="1" t="str">
        <f>IFERROR(__xludf.DUMMYFUNCTION("""COMPUTED_VALUE"""),"ARJAY2017JOY@GMAIL.COM")</f>
        <v>ARJAY2017JOY@GMAIL.COM</v>
      </c>
      <c r="L1285" s="1" t="str">
        <f>IFERROR(__xludf.DUMMYFUNCTION("""COMPUTED_VALUE"""),"2")</f>
        <v>2</v>
      </c>
      <c r="M1285" s="1" t="str">
        <f>IFERROR(__xludf.DUMMYFUNCTION("""COMPUTED_VALUE"""),"PUROK 1")</f>
        <v>PUROK 1</v>
      </c>
      <c r="N1285" s="1"/>
      <c r="O1285" s="1" t="str">
        <f>IFERROR(__xludf.DUMMYFUNCTION("""COMPUTED_VALUE"""),"MINANTOK KANLURAN")</f>
        <v>MINANTOK KANLURAN</v>
      </c>
      <c r="P1285" s="1" t="str">
        <f>IFERROR(__xludf.DUMMYFUNCTION("""COMPUTED_VALUE"""),"AMADEO")</f>
        <v>AMADEO</v>
      </c>
      <c r="Q1285" s="1" t="str">
        <f>IFERROR(__xludf.DUMMYFUNCTION("""COMPUTED_VALUE"""),"CAVITE")</f>
        <v>CAVITE</v>
      </c>
      <c r="R1285" s="1" t="str">
        <f>IFERROR(__xludf.DUMMYFUNCTION("""COMPUTED_VALUE"""),"FIBR NETFLIX PLAN 1599")</f>
        <v>FIBR NETFLIX PLAN 1599</v>
      </c>
      <c r="S1285" s="1" t="str">
        <f>IFERROR(__xludf.DUMMYFUNCTION("""COMPUTED_VALUE"""),"APPROVED")</f>
        <v>APPROVED</v>
      </c>
      <c r="T1285" s="1" t="str">
        <f>IFERROR(__xludf.DUMMYFUNCTION("""COMPUTED_VALUE"""),"POSTED")</f>
        <v>POSTED</v>
      </c>
      <c r="U1285" s="1"/>
      <c r="V1285" s="1"/>
      <c r="W1285" s="1"/>
    </row>
    <row r="1286" customHeight="1" spans="1:23">
      <c r="A1286" s="3">
        <f>IFERROR(__xludf.DUMMYFUNCTION("""COMPUTED_VALUE"""),46133)</f>
        <v>46133</v>
      </c>
      <c r="B1286" s="1" t="str">
        <f>IFERROR(__xludf.DUMMYFUNCTION("""COMPUTED_VALUE"""),"DE VERA, MARIVIC")</f>
        <v>DE VERA, MARIVIC</v>
      </c>
      <c r="C1286" s="1" t="str">
        <f>IFERROR(__xludf.DUMMYFUNCTION("""COMPUTED_VALUE"""),"ORGANIC")</f>
        <v>ORGANIC</v>
      </c>
      <c r="D1286" s="1" t="str">
        <f>IFERROR(__xludf.DUMMYFUNCTION("""COMPUTED_VALUE"""),"ALINGARO, CINDY")</f>
        <v>ALINGARO, CINDY</v>
      </c>
      <c r="E1286" s="1" t="str">
        <f>IFERROR(__xludf.DUMMYFUNCTION("""COMPUTED_VALUE"""),"RED FIBER")</f>
        <v>RED FIBER</v>
      </c>
      <c r="F1286" s="1"/>
      <c r="G1286" s="1"/>
      <c r="H1286" s="1" t="str">
        <f>IFERROR(__xludf.DUMMYFUNCTION("""COMPUTED_VALUE"""),"VISITACION GORDON SENIEGO")</f>
        <v>VISITACION GORDON SENIEGO</v>
      </c>
      <c r="I1286" s="1">
        <f>IFERROR(__xludf.DUMMYFUNCTION("""COMPUTED_VALUE"""),9302773468)</f>
        <v>9302773468</v>
      </c>
      <c r="J1286" s="1"/>
      <c r="K1286" s="1" t="str">
        <f>IFERROR(__xludf.DUMMYFUNCTION("""COMPUTED_VALUE"""),"VISITACIONSANIEGO@gmail.com")</f>
        <v>VISITACIONSANIEGO@gmail.com</v>
      </c>
      <c r="L1286" s="1" t="str">
        <f>IFERROR(__xludf.DUMMYFUNCTION("""COMPUTED_VALUE"""),"BLK 2 LOT 13")</f>
        <v>BLK 2 LOT 13</v>
      </c>
      <c r="M1286" s="1" t="str">
        <f>IFERROR(__xludf.DUMMYFUNCTION("""COMPUTED_VALUE"""),"MUZON RD")</f>
        <v>MUZON RD</v>
      </c>
      <c r="N1286" s="1" t="str">
        <f>IFERROR(__xludf.DUMMYFUNCTION("""COMPUTED_VALUE"""),"PATRICIA YOLANDA")</f>
        <v>PATRICIA YOLANDA</v>
      </c>
      <c r="O1286" s="1" t="str">
        <f>IFERROR(__xludf.DUMMYFUNCTION("""COMPUTED_VALUE"""),"ASIS I")</f>
        <v>ASIS I</v>
      </c>
      <c r="P1286" s="1" t="str">
        <f>IFERROR(__xludf.DUMMYFUNCTION("""COMPUTED_VALUE"""),"MENDEZ")</f>
        <v>MENDEZ</v>
      </c>
      <c r="Q1286" s="1" t="str">
        <f>IFERROR(__xludf.DUMMYFUNCTION("""COMPUTED_VALUE"""),"CAVITE")</f>
        <v>CAVITE</v>
      </c>
      <c r="R1286" s="1" t="str">
        <f>IFERROR(__xludf.DUMMYFUNCTION("""COMPUTED_VALUE"""),"RED PLAN 1000")</f>
        <v>RED PLAN 1000</v>
      </c>
      <c r="S1286" s="1" t="str">
        <f>IFERROR(__xludf.DUMMYFUNCTION("""COMPUTED_VALUE"""),"APPROVED")</f>
        <v>APPROVED</v>
      </c>
      <c r="T1286" s="1" t="str">
        <f>IFERROR(__xludf.DUMMYFUNCTION("""COMPUTED_VALUE"""),"POSTED")</f>
        <v>POSTED</v>
      </c>
      <c r="U1286" s="1"/>
      <c r="V1286" s="1"/>
      <c r="W1286" s="1"/>
    </row>
    <row r="1287" customHeight="1" spans="1:23">
      <c r="A1287" s="3">
        <f>IFERROR(__xludf.DUMMYFUNCTION("""COMPUTED_VALUE"""),46133)</f>
        <v>46133</v>
      </c>
      <c r="B1287" s="1" t="str">
        <f>IFERROR(__xludf.DUMMYFUNCTION("""COMPUTED_VALUE"""),"DELA ROSA, JENNELYN")</f>
        <v>DELA ROSA, JENNELYN</v>
      </c>
      <c r="C1287" s="1" t="str">
        <f>IFERROR(__xludf.DUMMYFUNCTION("""COMPUTED_VALUE"""),"ORGANIC")</f>
        <v>ORGANIC</v>
      </c>
      <c r="D1287" s="1" t="str">
        <f>IFERROR(__xludf.DUMMYFUNCTION("""COMPUTED_VALUE"""),"ALOS, CHARLS")</f>
        <v>ALOS, CHARLS</v>
      </c>
      <c r="E1287" s="1" t="str">
        <f>IFERROR(__xludf.DUMMYFUNCTION("""COMPUTED_VALUE"""),"PLDT")</f>
        <v>PLDT</v>
      </c>
      <c r="F1287" s="1">
        <f>IFERROR(__xludf.DUMMYFUNCTION("""COMPUTED_VALUE"""),2309025872)</f>
        <v>2309025872</v>
      </c>
      <c r="G1287" s="1">
        <f>IFERROR(__xludf.DUMMYFUNCTION("""COMPUTED_VALUE"""),451588351004)</f>
        <v>451588351004</v>
      </c>
      <c r="H1287" s="1" t="str">
        <f>IFERROR(__xludf.DUMMYFUNCTION("""COMPUTED_VALUE"""),"JHON RODEL BERNARDO CARAIG")</f>
        <v>JHON RODEL BERNARDO CARAIG</v>
      </c>
      <c r="I1287" s="1">
        <f>IFERROR(__xludf.DUMMYFUNCTION("""COMPUTED_VALUE"""),9124844627)</f>
        <v>9124844627</v>
      </c>
      <c r="J1287" s="1">
        <f>IFERROR(__xludf.DUMMYFUNCTION("""COMPUTED_VALUE"""),9272529845)</f>
        <v>9272529845</v>
      </c>
      <c r="K1287" s="1" t="str">
        <f>IFERROR(__xludf.DUMMYFUNCTION("""COMPUTED_VALUE"""),"ATARCARAIG@GMAIL.COM")</f>
        <v>ATARCARAIG@GMAIL.COM</v>
      </c>
      <c r="L1287" s="1" t="str">
        <f>IFERROR(__xludf.DUMMYFUNCTION("""COMPUTED_VALUE"""),"BLK 137 LOT 37")</f>
        <v>BLK 137 LOT 37</v>
      </c>
      <c r="M1287" s="1" t="str">
        <f>IFERROR(__xludf.DUMMYFUNCTION("""COMPUTED_VALUE"""),"PHASE 3")</f>
        <v>PHASE 3</v>
      </c>
      <c r="N1287" s="1"/>
      <c r="O1287" s="1" t="str">
        <f>IFERROR(__xludf.DUMMYFUNCTION("""COMPUTED_VALUE"""),"PALIPARAN III")</f>
        <v>PALIPARAN III</v>
      </c>
      <c r="P1287" s="1" t="str">
        <f>IFERROR(__xludf.DUMMYFUNCTION("""COMPUTED_VALUE"""),"DASMARINAS")</f>
        <v>DASMARINAS</v>
      </c>
      <c r="Q1287" s="1" t="str">
        <f>IFERROR(__xludf.DUMMYFUNCTION("""COMPUTED_VALUE"""),"CAVITE")</f>
        <v>CAVITE</v>
      </c>
      <c r="R1287" s="1" t="str">
        <f>IFERROR(__xludf.DUMMYFUNCTION("""COMPUTED_VALUE"""),"FIBR NETFLIX PLAN 1599")</f>
        <v>FIBR NETFLIX PLAN 1599</v>
      </c>
      <c r="S1287" s="1" t="str">
        <f>IFERROR(__xludf.DUMMYFUNCTION("""COMPUTED_VALUE"""),"APPROVED")</f>
        <v>APPROVED</v>
      </c>
      <c r="T1287" s="1" t="str">
        <f>IFERROR(__xludf.DUMMYFUNCTION("""COMPUTED_VALUE"""),"PAID FOR INSTALLATION/AFD")</f>
        <v>PAID FOR INSTALLATION/AFD</v>
      </c>
      <c r="U1287" s="1"/>
      <c r="V1287" s="1"/>
      <c r="W1287" s="1"/>
    </row>
    <row r="1288" customHeight="1" spans="1:23">
      <c r="A1288" s="3">
        <f>IFERROR(__xludf.DUMMYFUNCTION("""COMPUTED_VALUE"""),46133)</f>
        <v>46133</v>
      </c>
      <c r="B1288" s="1" t="str">
        <f>IFERROR(__xludf.DUMMYFUNCTION("""COMPUTED_VALUE"""),"LEADSTORE - ILANO, LIANDRO TEJAS")</f>
        <v>LEADSTORE - ILANO, LIANDRO TEJAS</v>
      </c>
      <c r="C1288" s="1" t="str">
        <f>IFERROR(__xludf.DUMMYFUNCTION("""COMPUTED_VALUE"""),"FLA")</f>
        <v>FLA</v>
      </c>
      <c r="D1288" s="1" t="str">
        <f>IFERROR(__xludf.DUMMYFUNCTION("""COMPUTED_VALUE"""),"JERIC NAVARRO")</f>
        <v>JERIC NAVARRO</v>
      </c>
      <c r="E1288" s="1" t="str">
        <f>IFERROR(__xludf.DUMMYFUNCTION("""COMPUTED_VALUE"""),"PLDT")</f>
        <v>PLDT</v>
      </c>
      <c r="F1288" s="1">
        <f>IFERROR(__xludf.DUMMYFUNCTION("""COMPUTED_VALUE"""),2309027643)</f>
        <v>2309027643</v>
      </c>
      <c r="G1288" s="1">
        <f>IFERROR(__xludf.DUMMYFUNCTION("""COMPUTED_VALUE"""),451598619004)</f>
        <v>451598619004</v>
      </c>
      <c r="H1288" s="1" t="str">
        <f>IFERROR(__xludf.DUMMYFUNCTION("""COMPUTED_VALUE"""),"RUBEN ARABEJO TUANO JR")</f>
        <v>RUBEN ARABEJO TUANO JR</v>
      </c>
      <c r="I1288" s="1">
        <f>IFERROR(__xludf.DUMMYFUNCTION("""COMPUTED_VALUE"""),9930451608)</f>
        <v>9930451608</v>
      </c>
      <c r="J1288" s="1"/>
      <c r="K1288" s="1" t="str">
        <f>IFERROR(__xludf.DUMMYFUNCTION("""COMPUTED_VALUE"""),"TUANORUBEN6@GMAIL.COM")</f>
        <v>TUANORUBEN6@GMAIL.COM</v>
      </c>
      <c r="L1288" s="1" t="str">
        <f>IFERROR(__xludf.DUMMYFUNCTION("""COMPUTED_VALUE"""),"4-127")</f>
        <v>4-127</v>
      </c>
      <c r="M1288" s="1" t="str">
        <f>IFERROR(__xludf.DUMMYFUNCTION("""COMPUTED_VALUE"""),"SITIO LOOB")</f>
        <v>SITIO LOOB</v>
      </c>
      <c r="N1288" s="1"/>
      <c r="O1288" s="1" t="str">
        <f>IFERROR(__xludf.DUMMYFUNCTION("""COMPUTED_VALUE"""),"MAITIM I")</f>
        <v>MAITIM I</v>
      </c>
      <c r="P1288" s="1" t="str">
        <f>IFERROR(__xludf.DUMMYFUNCTION("""COMPUTED_VALUE"""),"AMADEO")</f>
        <v>AMADEO</v>
      </c>
      <c r="Q1288" s="1" t="str">
        <f>IFERROR(__xludf.DUMMYFUNCTION("""COMPUTED_VALUE"""),"CAVITE")</f>
        <v>CAVITE</v>
      </c>
      <c r="R1288" s="1" t="str">
        <f>IFERROR(__xludf.DUMMYFUNCTION("""COMPUTED_VALUE"""),"FIBR PLAN 1699")</f>
        <v>FIBR PLAN 1699</v>
      </c>
      <c r="S1288" s="1" t="str">
        <f>IFERROR(__xludf.DUMMYFUNCTION("""COMPUTED_VALUE"""),"APPROVED")</f>
        <v>APPROVED</v>
      </c>
      <c r="T1288" s="1" t="str">
        <f>IFERROR(__xludf.DUMMYFUNCTION("""COMPUTED_VALUE"""),"FOR PAYMENT")</f>
        <v>FOR PAYMENT</v>
      </c>
      <c r="U1288" s="1"/>
      <c r="V1288" s="1"/>
      <c r="W1288" s="1"/>
    </row>
    <row r="1289" customHeight="1" spans="1:23">
      <c r="A1289" s="3">
        <f>IFERROR(__xludf.DUMMYFUNCTION("""COMPUTED_VALUE"""),46133)</f>
        <v>46133</v>
      </c>
      <c r="B1289" s="1" t="str">
        <f>IFERROR(__xludf.DUMMYFUNCTION("""COMPUTED_VALUE"""),"ESCARCHA, MA ALMA  ESCOTO")</f>
        <v>ESCARCHA, MA ALMA  ESCOTO</v>
      </c>
      <c r="C1289" s="1" t="str">
        <f>IFERROR(__xludf.DUMMYFUNCTION("""COMPUTED_VALUE"""),"ORGANIC")</f>
        <v>ORGANIC</v>
      </c>
      <c r="D1289" s="1" t="str">
        <f>IFERROR(__xludf.DUMMYFUNCTION("""COMPUTED_VALUE"""),"ALINGARO, CINDY")</f>
        <v>ALINGARO, CINDY</v>
      </c>
      <c r="E1289" s="1" t="str">
        <f>IFERROR(__xludf.DUMMYFUNCTION("""COMPUTED_VALUE"""),"PLDT")</f>
        <v>PLDT</v>
      </c>
      <c r="F1289" s="1">
        <f>IFERROR(__xludf.DUMMYFUNCTION("""COMPUTED_VALUE"""),2309028418)</f>
        <v>2309028418</v>
      </c>
      <c r="G1289" s="1">
        <f>IFERROR(__xludf.DUMMYFUNCTION("""COMPUTED_VALUE"""),451590652004)</f>
        <v>451590652004</v>
      </c>
      <c r="H1289" s="1" t="str">
        <f>IFERROR(__xludf.DUMMYFUNCTION("""COMPUTED_VALUE"""),"REYNANTE JR ANDAYA BAWAG")</f>
        <v>REYNANTE JR ANDAYA BAWAG</v>
      </c>
      <c r="I1289" s="1">
        <f>IFERROR(__xludf.DUMMYFUNCTION("""COMPUTED_VALUE"""),9916309958)</f>
        <v>9916309958</v>
      </c>
      <c r="J1289" s="1">
        <f>IFERROR(__xludf.DUMMYFUNCTION("""COMPUTED_VALUE"""),9939485483)</f>
        <v>9939485483</v>
      </c>
      <c r="K1289" s="1" t="str">
        <f>IFERROR(__xludf.DUMMYFUNCTION("""COMPUTED_VALUE"""),"RHEVARBIEANDAYA@GMAIL.COM")</f>
        <v>RHEVARBIEANDAYA@GMAIL.COM</v>
      </c>
      <c r="L1289" s="1" t="str">
        <f>IFERROR(__xludf.DUMMYFUNCTION("""COMPUTED_VALUE"""),"205")</f>
        <v>205</v>
      </c>
      <c r="M1289" s="1" t="str">
        <f>IFERROR(__xludf.DUMMYFUNCTION("""COMPUTED_VALUE"""),"PUROK 7")</f>
        <v>PUROK 7</v>
      </c>
      <c r="N1289" s="1"/>
      <c r="O1289" s="1" t="str">
        <f>IFERROR(__xludf.DUMMYFUNCTION("""COMPUTED_VALUE"""),"BUKAL")</f>
        <v>BUKAL</v>
      </c>
      <c r="P1289" s="1" t="str">
        <f>IFERROR(__xludf.DUMMYFUNCTION("""COMPUTED_VALUE"""),"AMADEO")</f>
        <v>AMADEO</v>
      </c>
      <c r="Q1289" s="1" t="str">
        <f>IFERROR(__xludf.DUMMYFUNCTION("""COMPUTED_VALUE"""),"CAVITE")</f>
        <v>CAVITE</v>
      </c>
      <c r="R1289" s="1" t="str">
        <f>IFERROR(__xludf.DUMMYFUNCTION("""COMPUTED_VALUE"""),"FIBR PLAN 1299")</f>
        <v>FIBR PLAN 1299</v>
      </c>
      <c r="S1289" s="1" t="str">
        <f>IFERROR(__xludf.DUMMYFUNCTION("""COMPUTED_VALUE"""),"APPROVED")</f>
        <v>APPROVED</v>
      </c>
      <c r="T1289" s="1" t="str">
        <f>IFERROR(__xludf.DUMMYFUNCTION("""COMPUTED_VALUE"""),"POSTED")</f>
        <v>POSTED</v>
      </c>
      <c r="U1289" s="1"/>
      <c r="V1289" s="1"/>
      <c r="W1289" s="1"/>
    </row>
    <row r="1290" customHeight="1" spans="1:23">
      <c r="A1290" s="3">
        <f>IFERROR(__xludf.DUMMYFUNCTION("""COMPUTED_VALUE"""),46133)</f>
        <v>46133</v>
      </c>
      <c r="B1290" s="1" t="str">
        <f>IFERROR(__xludf.DUMMYFUNCTION("""COMPUTED_VALUE"""),"FERNANDEZ JERIC")</f>
        <v>FERNANDEZ JERIC</v>
      </c>
      <c r="C1290" s="1" t="str">
        <f>IFERROR(__xludf.DUMMYFUNCTION("""COMPUTED_VALUE"""),"ORGANIC")</f>
        <v>ORGANIC</v>
      </c>
      <c r="D1290" s="1" t="str">
        <f>IFERROR(__xludf.DUMMYFUNCTION("""COMPUTED_VALUE"""),"ALOS, CHARLS")</f>
        <v>ALOS, CHARLS</v>
      </c>
      <c r="E1290" s="1" t="str">
        <f>IFERROR(__xludf.DUMMYFUNCTION("""COMPUTED_VALUE"""),"PLDT")</f>
        <v>PLDT</v>
      </c>
      <c r="F1290" s="1">
        <f>IFERROR(__xludf.DUMMYFUNCTION("""COMPUTED_VALUE"""),2309028955)</f>
        <v>2309028955</v>
      </c>
      <c r="G1290" s="1"/>
      <c r="H1290" s="1" t="str">
        <f>IFERROR(__xludf.DUMMYFUNCTION("""COMPUTED_VALUE"""),"JONNY ALAYZA CIUBAL")</f>
        <v>JONNY ALAYZA CIUBAL</v>
      </c>
      <c r="I1290" s="1">
        <f>IFERROR(__xludf.DUMMYFUNCTION("""COMPUTED_VALUE"""),9757611699)</f>
        <v>9757611699</v>
      </c>
      <c r="J1290" s="1"/>
      <c r="K1290" s="1" t="str">
        <f>IFERROR(__xludf.DUMMYFUNCTION("""COMPUTED_VALUE"""),"KELVINEMMANUEL3030@GMAIL.COM")</f>
        <v>KELVINEMMANUEL3030@GMAIL.COM</v>
      </c>
      <c r="L1290" s="1" t="str">
        <f>IFERROR(__xludf.DUMMYFUNCTION("""COMPUTED_VALUE"""),"UNIT B")</f>
        <v>UNIT B</v>
      </c>
      <c r="M1290" s="1" t="str">
        <f>IFERROR(__xludf.DUMMYFUNCTION("""COMPUTED_VALUE"""),"PUROK 5")</f>
        <v>PUROK 5</v>
      </c>
      <c r="N1290" s="1" t="str">
        <f>IFERROR(__xludf.DUMMYFUNCTION("""COMPUTED_VALUE"""),"OLV APPARTMENT")</f>
        <v>OLV APPARTMENT</v>
      </c>
      <c r="O1290" s="1" t="str">
        <f>IFERROR(__xludf.DUMMYFUNCTION("""COMPUTED_VALUE"""),"TALON")</f>
        <v>TALON</v>
      </c>
      <c r="P1290" s="1" t="str">
        <f>IFERROR(__xludf.DUMMYFUNCTION("""COMPUTED_VALUE"""),"AMADEO")</f>
        <v>AMADEO</v>
      </c>
      <c r="Q1290" s="1" t="str">
        <f>IFERROR(__xludf.DUMMYFUNCTION("""COMPUTED_VALUE"""),"CAVITE")</f>
        <v>CAVITE</v>
      </c>
      <c r="R1290" s="1" t="str">
        <f>IFERROR(__xludf.DUMMYFUNCTION("""COMPUTED_VALUE"""),"FIBR UNLI ALL PLAN 1399")</f>
        <v>FIBR UNLI ALL PLAN 1399</v>
      </c>
      <c r="S1290" s="1" t="str">
        <f>IFERROR(__xludf.DUMMYFUNCTION("""COMPUTED_VALUE"""),"APPROVED")</f>
        <v>APPROVED</v>
      </c>
      <c r="T1290" s="1" t="str">
        <f>IFERROR(__xludf.DUMMYFUNCTION("""COMPUTED_VALUE"""),"CANCELLED WITH OB")</f>
        <v>CANCELLED WITH OB</v>
      </c>
      <c r="U1290" s="1"/>
      <c r="V1290" s="1"/>
      <c r="W1290" s="1"/>
    </row>
    <row r="1291" customHeight="1" spans="1:23">
      <c r="A1291" s="3">
        <f>IFERROR(__xludf.DUMMYFUNCTION("""COMPUTED_VALUE"""),46133)</f>
        <v>46133</v>
      </c>
      <c r="B1291" s="1" t="str">
        <f>IFERROR(__xludf.DUMMYFUNCTION("""COMPUTED_VALUE"""),"FARO, REFRANTA")</f>
        <v>FARO, REFRANTA</v>
      </c>
      <c r="C1291" s="1" t="str">
        <f>IFERROR(__xludf.DUMMYFUNCTION("""COMPUTED_VALUE"""),"ORGANIC")</f>
        <v>ORGANIC</v>
      </c>
      <c r="D1291" s="1" t="str">
        <f>IFERROR(__xludf.DUMMYFUNCTION("""COMPUTED_VALUE"""),"ALINGARO, CINDY")</f>
        <v>ALINGARO, CINDY</v>
      </c>
      <c r="E1291" s="1" t="str">
        <f>IFERROR(__xludf.DUMMYFUNCTION("""COMPUTED_VALUE"""),"HOME BIZZ")</f>
        <v>HOME BIZZ</v>
      </c>
      <c r="F1291" s="1">
        <f>IFERROR(__xludf.DUMMYFUNCTION("""COMPUTED_VALUE"""),2309030013)</f>
        <v>2309030013</v>
      </c>
      <c r="G1291" s="1">
        <f>IFERROR(__xludf.DUMMYFUNCTION("""COMPUTED_VALUE"""),451592656004)</f>
        <v>451592656004</v>
      </c>
      <c r="H1291" s="1" t="str">
        <f>IFERROR(__xludf.DUMMYFUNCTION("""COMPUTED_VALUE"""),"KAZASHI RAMEN AND SARI SARI STORE")</f>
        <v>KAZASHI RAMEN AND SARI SARI STORE</v>
      </c>
      <c r="I1291" s="1">
        <f>IFERROR(__xludf.DUMMYFUNCTION("""COMPUTED_VALUE"""),9156948821)</f>
        <v>9156948821</v>
      </c>
      <c r="J1291" s="1"/>
      <c r="K1291" s="1" t="str">
        <f>IFERROR(__xludf.DUMMYFUNCTION("""COMPUTED_VALUE"""),"JULIA.GARCIA1904@GMAIL.COM")</f>
        <v>JULIA.GARCIA1904@GMAIL.COM</v>
      </c>
      <c r="L1291" s="1" t="str">
        <f>IFERROR(__xludf.DUMMYFUNCTION("""COMPUTED_VALUE"""),"9219")</f>
        <v>9219</v>
      </c>
      <c r="M1291" s="1" t="str">
        <f>IFERROR(__xludf.DUMMYFUNCTION("""COMPUTED_VALUE"""),"TAMACAN RD")</f>
        <v>TAMACAN RD</v>
      </c>
      <c r="N1291" s="1"/>
      <c r="O1291" s="1" t="str">
        <f>IFERROR(__xludf.DUMMYFUNCTION("""COMPUTED_VALUE"""),"TAMACAN")</f>
        <v>TAMACAN</v>
      </c>
      <c r="P1291" s="1" t="str">
        <f>IFERROR(__xludf.DUMMYFUNCTION("""COMPUTED_VALUE"""),"AMADEO")</f>
        <v>AMADEO</v>
      </c>
      <c r="Q1291" s="1" t="str">
        <f>IFERROR(__xludf.DUMMYFUNCTION("""COMPUTED_VALUE"""),"CAVITE")</f>
        <v>CAVITE</v>
      </c>
      <c r="R1291" s="1" t="str">
        <f>IFERROR(__xludf.DUMMYFUNCTION("""COMPUTED_VALUE"""),"HOME BIZ PLAN 1699")</f>
        <v>HOME BIZ PLAN 1699</v>
      </c>
      <c r="S1291" s="1" t="str">
        <f>IFERROR(__xludf.DUMMYFUNCTION("""COMPUTED_VALUE"""),"APPROVED")</f>
        <v>APPROVED</v>
      </c>
      <c r="T1291" s="1" t="str">
        <f>IFERROR(__xludf.DUMMYFUNCTION("""COMPUTED_VALUE"""),"POSTED")</f>
        <v>POSTED</v>
      </c>
      <c r="U1291" s="1"/>
      <c r="V1291" s="1"/>
      <c r="W1291" s="1"/>
    </row>
    <row r="1292" customHeight="1" spans="1:23">
      <c r="A1292" s="3">
        <f>IFERROR(__xludf.DUMMYFUNCTION("""COMPUTED_VALUE"""),46133)</f>
        <v>46133</v>
      </c>
      <c r="B1292" s="1" t="str">
        <f>IFERROR(__xludf.DUMMYFUNCTION("""COMPUTED_VALUE"""),"CASANDIG, MA KRISTINA CASSANDRA")</f>
        <v>CASANDIG, MA KRISTINA CASSANDRA</v>
      </c>
      <c r="C1292" s="1" t="str">
        <f>IFERROR(__xludf.DUMMYFUNCTION("""COMPUTED_VALUE"""),"ORGANIC")</f>
        <v>ORGANIC</v>
      </c>
      <c r="D1292" s="1" t="str">
        <f>IFERROR(__xludf.DUMMYFUNCTION("""COMPUTED_VALUE"""),"ALINGARO, CINDY")</f>
        <v>ALINGARO, CINDY</v>
      </c>
      <c r="E1292" s="1" t="str">
        <f>IFERROR(__xludf.DUMMYFUNCTION("""COMPUTED_VALUE"""),"PLDT")</f>
        <v>PLDT</v>
      </c>
      <c r="F1292" s="1"/>
      <c r="G1292" s="1"/>
      <c r="H1292" s="1" t="str">
        <f>IFERROR(__xludf.DUMMYFUNCTION("""COMPUTED_VALUE"""),"DANICA IGANA")</f>
        <v>DANICA IGANA</v>
      </c>
      <c r="I1292" s="1">
        <f>IFERROR(__xludf.DUMMYFUNCTION("""COMPUTED_VALUE"""),9670490433)</f>
        <v>9670490433</v>
      </c>
      <c r="J1292" s="1"/>
      <c r="K1292" s="1" t="str">
        <f>IFERROR(__xludf.DUMMYFUNCTION("""COMPUTED_VALUE"""),"IGANADANICA@GMAIL.COM")</f>
        <v>IGANADANICA@GMAIL.COM</v>
      </c>
      <c r="L1292" s="1" t="str">
        <f>IFERROR(__xludf.DUMMYFUNCTION("""COMPUTED_VALUE"""),"BLK 24 LOT 6")</f>
        <v>BLK 24 LOT 6</v>
      </c>
      <c r="M1292" s="1" t="str">
        <f>IFERROR(__xludf.DUMMYFUNCTION("""COMPUTED_VALUE"""),"LUZVIMINDA RD")</f>
        <v>LUZVIMINDA RD</v>
      </c>
      <c r="N1292" s="1"/>
      <c r="O1292" s="1" t="str">
        <f>IFERROR(__xludf.DUMMYFUNCTION("""COMPUTED_VALUE"""),"LUZVIMINDA II")</f>
        <v>LUZVIMINDA II</v>
      </c>
      <c r="P1292" s="1" t="str">
        <f>IFERROR(__xludf.DUMMYFUNCTION("""COMPUTED_VALUE"""),"DASMARINAS")</f>
        <v>DASMARINAS</v>
      </c>
      <c r="Q1292" s="1" t="str">
        <f>IFERROR(__xludf.DUMMYFUNCTION("""COMPUTED_VALUE"""),"CAVITE")</f>
        <v>CAVITE</v>
      </c>
      <c r="R1292" s="1" t="str">
        <f>IFERROR(__xludf.DUMMYFUNCTION("""COMPUTED_VALUE"""),"FIBR PLAN 1299")</f>
        <v>FIBR PLAN 1299</v>
      </c>
      <c r="S1292" s="1" t="str">
        <f>IFERROR(__xludf.DUMMYFUNCTION("""COMPUTED_VALUE"""),"CANCELLED ")</f>
        <v>CANCELLED </v>
      </c>
      <c r="T1292" s="1" t="str">
        <f>IFERROR(__xludf.DUMMYFUNCTION("""COMPUTED_VALUE"""),"CBR RINGING ON/CBR RINGING THEN PINAPATAY YUNG TAWAG APRIL 23")</f>
        <v>CBR RINGING ON/CBR RINGING THEN PINAPATAY YUNG TAWAG APRIL 23</v>
      </c>
      <c r="U1292" s="1"/>
      <c r="V1292" s="1"/>
      <c r="W1292" s="1"/>
    </row>
    <row r="1293" customHeight="1" spans="1:23">
      <c r="A1293" s="3">
        <f>IFERROR(__xludf.DUMMYFUNCTION("""COMPUTED_VALUE"""),46134)</f>
        <v>46134</v>
      </c>
      <c r="B1293" s="1" t="str">
        <f>IFERROR(__xludf.DUMMYFUNCTION("""COMPUTED_VALUE"""),"AYON MANUEL")</f>
        <v>AYON MANUEL</v>
      </c>
      <c r="C1293" s="1" t="str">
        <f>IFERROR(__xludf.DUMMYFUNCTION("""COMPUTED_VALUE"""),"FLA")</f>
        <v>FLA</v>
      </c>
      <c r="D1293" s="1" t="str">
        <f>IFERROR(__xludf.DUMMYFUNCTION("""COMPUTED_VALUE"""),"JERIC NAVARRO")</f>
        <v>JERIC NAVARRO</v>
      </c>
      <c r="E1293" s="1" t="str">
        <f>IFERROR(__xludf.DUMMYFUNCTION("""COMPUTED_VALUE"""),"PLDT")</f>
        <v>PLDT</v>
      </c>
      <c r="F1293" s="1">
        <f>IFERROR(__xludf.DUMMYFUNCTION("""COMPUTED_VALUE"""),2309048006)</f>
        <v>2309048006</v>
      </c>
      <c r="G1293" s="1">
        <f>IFERROR(__xludf.DUMMYFUNCTION("""COMPUTED_VALUE"""),451705969004)</f>
        <v>451705969004</v>
      </c>
      <c r="H1293" s="1" t="str">
        <f>IFERROR(__xludf.DUMMYFUNCTION("""COMPUTED_VALUE"""),"LANIE SALDANA PATAM")</f>
        <v>LANIE SALDANA PATAM</v>
      </c>
      <c r="I1293" s="1">
        <f>IFERROR(__xludf.DUMMYFUNCTION("""COMPUTED_VALUE"""),9959229031)</f>
        <v>9959229031</v>
      </c>
      <c r="J1293" s="1">
        <f>IFERROR(__xludf.DUMMYFUNCTION("""COMPUTED_VALUE"""),945150777)</f>
        <v>945150777</v>
      </c>
      <c r="K1293" s="1" t="str">
        <f>IFERROR(__xludf.DUMMYFUNCTION("""COMPUTED_VALUE"""),"LANIEFARREN@GMAIL.COM")</f>
        <v>LANIEFARREN@GMAIL.COM</v>
      </c>
      <c r="L1293" s="1" t="str">
        <f>IFERROR(__xludf.DUMMYFUNCTION("""COMPUTED_VALUE"""),"14")</f>
        <v>14</v>
      </c>
      <c r="M1293" s="1" t="str">
        <f>IFERROR(__xludf.DUMMYFUNCTION("""COMPUTED_VALUE"""),"PUROK 2")</f>
        <v>PUROK 2</v>
      </c>
      <c r="N1293" s="1"/>
      <c r="O1293" s="1" t="str">
        <f>IFERROR(__xludf.DUMMYFUNCTION("""COMPUTED_VALUE"""),"TAMACAN")</f>
        <v>TAMACAN</v>
      </c>
      <c r="P1293" s="1" t="str">
        <f>IFERROR(__xludf.DUMMYFUNCTION("""COMPUTED_VALUE"""),"AMADEO")</f>
        <v>AMADEO</v>
      </c>
      <c r="Q1293" s="1" t="str">
        <f>IFERROR(__xludf.DUMMYFUNCTION("""COMPUTED_VALUE"""),"CAVITE")</f>
        <v>CAVITE</v>
      </c>
      <c r="R1293" s="1" t="str">
        <f>IFERROR(__xludf.DUMMYFUNCTION("""COMPUTED_VALUE"""),"FIBR PLAN 1299")</f>
        <v>FIBR PLAN 1299</v>
      </c>
      <c r="S1293" s="1" t="str">
        <f>IFERROR(__xludf.DUMMYFUNCTION("""COMPUTED_VALUE"""),"APPROVED")</f>
        <v>APPROVED</v>
      </c>
      <c r="T1293" s="1" t="str">
        <f>IFERROR(__xludf.DUMMYFUNCTION("""COMPUTED_VALUE"""),"POSTED")</f>
        <v>POSTED</v>
      </c>
      <c r="U1293" s="1"/>
      <c r="V1293" s="1"/>
      <c r="W1293" s="1"/>
    </row>
    <row r="1294" customHeight="1" spans="1:23">
      <c r="A1294" s="3">
        <f>IFERROR(__xludf.DUMMYFUNCTION("""COMPUTED_VALUE"""),46134)</f>
        <v>46134</v>
      </c>
      <c r="B1294" s="1" t="str">
        <f>IFERROR(__xludf.DUMMYFUNCTION("""COMPUTED_VALUE"""),"AYON MANUEL")</f>
        <v>AYON MANUEL</v>
      </c>
      <c r="C1294" s="1" t="str">
        <f>IFERROR(__xludf.DUMMYFUNCTION("""COMPUTED_VALUE"""),"FLA")</f>
        <v>FLA</v>
      </c>
      <c r="D1294" s="1" t="str">
        <f>IFERROR(__xludf.DUMMYFUNCTION("""COMPUTED_VALUE"""),"JERIC NAVARRO")</f>
        <v>JERIC NAVARRO</v>
      </c>
      <c r="E1294" s="1" t="str">
        <f>IFERROR(__xludf.DUMMYFUNCTION("""COMPUTED_VALUE"""),"PLDT")</f>
        <v>PLDT</v>
      </c>
      <c r="F1294" s="1">
        <f>IFERROR(__xludf.DUMMYFUNCTION("""COMPUTED_VALUE"""),2309086425)</f>
        <v>2309086425</v>
      </c>
      <c r="G1294" s="1">
        <f>IFERROR(__xludf.DUMMYFUNCTION("""COMPUTED_VALUE"""),451979794004)</f>
        <v>451979794004</v>
      </c>
      <c r="H1294" s="1" t="str">
        <f>IFERROR(__xludf.DUMMYFUNCTION("""COMPUTED_VALUE"""),"DENNISH DIZON DAVID")</f>
        <v>DENNISH DIZON DAVID</v>
      </c>
      <c r="I1294" s="1">
        <f>IFERROR(__xludf.DUMMYFUNCTION("""COMPUTED_VALUE"""),9352103428)</f>
        <v>9352103428</v>
      </c>
      <c r="J1294" s="1">
        <f>IFERROR(__xludf.DUMMYFUNCTION("""COMPUTED_VALUE"""),9171052607)</f>
        <v>9171052607</v>
      </c>
      <c r="K1294" s="1" t="str">
        <f>IFERROR(__xludf.DUMMYFUNCTION("""COMPUTED_VALUE"""),"DENNISDAVIDUS@YAHOO.COM0")</f>
        <v>DENNISDAVIDUS@YAHOO.COM0</v>
      </c>
      <c r="L1294" s="1" t="str">
        <f>IFERROR(__xludf.DUMMYFUNCTION("""COMPUTED_VALUE"""),"LOT 115")</f>
        <v>LOT 115</v>
      </c>
      <c r="M1294" s="1" t="str">
        <f>IFERROR(__xludf.DUMMYFUNCTION("""COMPUTED_VALUE"""),"PULUNAN RD")</f>
        <v>PULUNAN RD</v>
      </c>
      <c r="N1294" s="1"/>
      <c r="O1294" s="1" t="str">
        <f>IFERROR(__xludf.DUMMYFUNCTION("""COMPUTED_VALUE"""),"DAGATAN")</f>
        <v>DAGATAN</v>
      </c>
      <c r="P1294" s="1" t="str">
        <f>IFERROR(__xludf.DUMMYFUNCTION("""COMPUTED_VALUE"""),"AMADEO")</f>
        <v>AMADEO</v>
      </c>
      <c r="Q1294" s="1" t="str">
        <f>IFERROR(__xludf.DUMMYFUNCTION("""COMPUTED_VALUE"""),"CAVITE")</f>
        <v>CAVITE</v>
      </c>
      <c r="R1294" s="1" t="str">
        <f>IFERROR(__xludf.DUMMYFUNCTION("""COMPUTED_VALUE"""),"FIBR PLAN 1299")</f>
        <v>FIBR PLAN 1299</v>
      </c>
      <c r="S1294" s="1" t="str">
        <f>IFERROR(__xludf.DUMMYFUNCTION("""COMPUTED_VALUE"""),"APPROVED")</f>
        <v>APPROVED</v>
      </c>
      <c r="T1294" s="1" t="str">
        <f>IFERROR(__xludf.DUMMYFUNCTION("""COMPUTED_VALUE"""),"POSTED")</f>
        <v>POSTED</v>
      </c>
      <c r="U1294" s="1"/>
      <c r="V1294" s="1"/>
      <c r="W1294" s="1"/>
    </row>
    <row r="1295" customHeight="1" spans="1:23">
      <c r="A1295" s="3">
        <f>IFERROR(__xludf.DUMMYFUNCTION("""COMPUTED_VALUE"""),46134)</f>
        <v>46134</v>
      </c>
      <c r="B1295" s="1" t="str">
        <f>IFERROR(__xludf.DUMMYFUNCTION("""COMPUTED_VALUE"""),"AYON MANUEL")</f>
        <v>AYON MANUEL</v>
      </c>
      <c r="C1295" s="1" t="str">
        <f>IFERROR(__xludf.DUMMYFUNCTION("""COMPUTED_VALUE"""),"FLA")</f>
        <v>FLA</v>
      </c>
      <c r="D1295" s="1" t="str">
        <f>IFERROR(__xludf.DUMMYFUNCTION("""COMPUTED_VALUE"""),"JERIC NAVARRO")</f>
        <v>JERIC NAVARRO</v>
      </c>
      <c r="E1295" s="1" t="str">
        <f>IFERROR(__xludf.DUMMYFUNCTION("""COMPUTED_VALUE"""),"PLDT")</f>
        <v>PLDT</v>
      </c>
      <c r="F1295" s="1">
        <f>IFERROR(__xludf.DUMMYFUNCTION("""COMPUTED_VALUE"""),2309046213)</f>
        <v>2309046213</v>
      </c>
      <c r="G1295" s="1">
        <f>IFERROR(__xludf.DUMMYFUNCTION("""COMPUTED_VALUE"""),451709105004)</f>
        <v>451709105004</v>
      </c>
      <c r="H1295" s="1" t="str">
        <f>IFERROR(__xludf.DUMMYFUNCTION("""COMPUTED_VALUE"""),"LYCHELLE ANNE  SULIT AMADURE")</f>
        <v>LYCHELLE ANNE  SULIT AMADURE</v>
      </c>
      <c r="I1295" s="1">
        <f>IFERROR(__xludf.DUMMYFUNCTION("""COMPUTED_VALUE"""),9212997910)</f>
        <v>9212997910</v>
      </c>
      <c r="J1295" s="1">
        <f>IFERROR(__xludf.DUMMYFUNCTION("""COMPUTED_VALUE"""),9268280258)</f>
        <v>9268280258</v>
      </c>
      <c r="K1295" s="1" t="str">
        <f>IFERROR(__xludf.DUMMYFUNCTION("""COMPUTED_VALUE"""),"LYCHELLEAMADURE@GMAIL.COM")</f>
        <v>LYCHELLEAMADURE@GMAIL.COM</v>
      </c>
      <c r="L1295" s="1" t="str">
        <f>IFERROR(__xludf.DUMMYFUNCTION("""COMPUTED_VALUE"""),"9271")</f>
        <v>9271</v>
      </c>
      <c r="M1295" s="1" t="str">
        <f>IFERROR(__xludf.DUMMYFUNCTION("""COMPUTED_VALUE"""),"SITIO GITNA")</f>
        <v>SITIO GITNA</v>
      </c>
      <c r="N1295" s="1"/>
      <c r="O1295" s="1" t="str">
        <f>IFERROR(__xludf.DUMMYFUNCTION("""COMPUTED_VALUE"""),"MAGUYAM")</f>
        <v>MAGUYAM</v>
      </c>
      <c r="P1295" s="1" t="str">
        <f>IFERROR(__xludf.DUMMYFUNCTION("""COMPUTED_VALUE"""),"SILANG")</f>
        <v>SILANG</v>
      </c>
      <c r="Q1295" s="1" t="str">
        <f>IFERROR(__xludf.DUMMYFUNCTION("""COMPUTED_VALUE"""),"CAVITE")</f>
        <v>CAVITE</v>
      </c>
      <c r="R1295" s="1" t="str">
        <f>IFERROR(__xludf.DUMMYFUNCTION("""COMPUTED_VALUE"""),"FIBR PLAN 1299")</f>
        <v>FIBR PLAN 1299</v>
      </c>
      <c r="S1295" s="1" t="str">
        <f>IFERROR(__xludf.DUMMYFUNCTION("""COMPUTED_VALUE"""),"APPROVED")</f>
        <v>APPROVED</v>
      </c>
      <c r="T1295" s="1" t="str">
        <f>IFERROR(__xludf.DUMMYFUNCTION("""COMPUTED_VALUE"""),"PAID FOR INSTALLATION")</f>
        <v>PAID FOR INSTALLATION</v>
      </c>
      <c r="U1295" s="1"/>
      <c r="V1295" s="1"/>
      <c r="W1295" s="1"/>
    </row>
    <row r="1296" customHeight="1" spans="1:23">
      <c r="A1296" s="3">
        <f>IFERROR(__xludf.DUMMYFUNCTION("""COMPUTED_VALUE"""),46134)</f>
        <v>46134</v>
      </c>
      <c r="B1296" s="1" t="str">
        <f>IFERROR(__xludf.DUMMYFUNCTION("""COMPUTED_VALUE"""),"MAÑANITA, ERIKA")</f>
        <v>MAÑANITA, ERIKA</v>
      </c>
      <c r="C1296" s="1" t="str">
        <f>IFERROR(__xludf.DUMMYFUNCTION("""COMPUTED_VALUE"""),"ORGANIC")</f>
        <v>ORGANIC</v>
      </c>
      <c r="D1296" s="1" t="str">
        <f>IFERROR(__xludf.DUMMYFUNCTION("""COMPUTED_VALUE"""),"ALOS, CHARLS")</f>
        <v>ALOS, CHARLS</v>
      </c>
      <c r="E1296" s="1" t="str">
        <f>IFERROR(__xludf.DUMMYFUNCTION("""COMPUTED_VALUE"""),"RED FIBER")</f>
        <v>RED FIBER</v>
      </c>
      <c r="F1296" s="1"/>
      <c r="G1296" s="1"/>
      <c r="H1296" s="1" t="str">
        <f>IFERROR(__xludf.DUMMYFUNCTION("""COMPUTED_VALUE"""),"MARIFE GARCIA DELA TORRE")</f>
        <v>MARIFE GARCIA DELA TORRE</v>
      </c>
      <c r="I1296" s="1">
        <f>IFERROR(__xludf.DUMMYFUNCTION("""COMPUTED_VALUE"""),9658546913)</f>
        <v>9658546913</v>
      </c>
      <c r="J1296" s="1"/>
      <c r="K1296" s="1" t="str">
        <f>IFERROR(__xludf.DUMMYFUNCTION("""COMPUTED_VALUE"""),"DRIOMAR@GMAIL.COM")</f>
        <v>DRIOMAR@GMAIL.COM</v>
      </c>
      <c r="L1296" s="1" t="str">
        <f>IFERROR(__xludf.DUMMYFUNCTION("""COMPUTED_VALUE"""),"124")</f>
        <v>124</v>
      </c>
      <c r="M1296" s="1" t="str">
        <f>IFERROR(__xludf.DUMMYFUNCTION("""COMPUTED_VALUE"""),"PUROK 1")</f>
        <v>PUROK 1</v>
      </c>
      <c r="N1296" s="1"/>
      <c r="O1296" s="1" t="str">
        <f>IFERROR(__xludf.DUMMYFUNCTION("""COMPUTED_VALUE"""),"LUKSUHIN")</f>
        <v>LUKSUHIN</v>
      </c>
      <c r="P1296" s="1" t="str">
        <f>IFERROR(__xludf.DUMMYFUNCTION("""COMPUTED_VALUE"""),"ALFONSO")</f>
        <v>ALFONSO</v>
      </c>
      <c r="Q1296" s="1" t="str">
        <f>IFERROR(__xludf.DUMMYFUNCTION("""COMPUTED_VALUE"""),"CAVITE")</f>
        <v>CAVITE</v>
      </c>
      <c r="R1296" s="1" t="str">
        <f>IFERROR(__xludf.DUMMYFUNCTION("""COMPUTED_VALUE"""),"RED PLAN 1000")</f>
        <v>RED PLAN 1000</v>
      </c>
      <c r="S1296" s="1" t="str">
        <f>IFERROR(__xludf.DUMMYFUNCTION("""COMPUTED_VALUE"""),"APPROVED")</f>
        <v>APPROVED</v>
      </c>
      <c r="T1296" s="1" t="str">
        <f>IFERROR(__xludf.DUMMYFUNCTION("""COMPUTED_VALUE"""),"FOR PAYMENT")</f>
        <v>FOR PAYMENT</v>
      </c>
      <c r="U1296" s="1"/>
      <c r="V1296" s="1"/>
      <c r="W1296" s="1"/>
    </row>
    <row r="1297" customHeight="1" spans="1:23">
      <c r="A1297" s="3">
        <f>IFERROR(__xludf.DUMMYFUNCTION("""COMPUTED_VALUE"""),46134)</f>
        <v>46134</v>
      </c>
      <c r="B1297" s="1" t="str">
        <f>IFERROR(__xludf.DUMMYFUNCTION("""COMPUTED_VALUE"""),"ODY , CLARENCE")</f>
        <v>ODY , CLARENCE</v>
      </c>
      <c r="C1297" s="1" t="str">
        <f>IFERROR(__xludf.DUMMYFUNCTION("""COMPUTED_VALUE"""),"ORGANIC")</f>
        <v>ORGANIC</v>
      </c>
      <c r="D1297" s="1" t="str">
        <f>IFERROR(__xludf.DUMMYFUNCTION("""COMPUTED_VALUE"""),"ALOS, CHARLS")</f>
        <v>ALOS, CHARLS</v>
      </c>
      <c r="E1297" s="1" t="str">
        <f>IFERROR(__xludf.DUMMYFUNCTION("""COMPUTED_VALUE"""),"PLDT")</f>
        <v>PLDT</v>
      </c>
      <c r="F1297" s="1"/>
      <c r="G1297" s="1"/>
      <c r="H1297" s="1" t="str">
        <f>IFERROR(__xludf.DUMMYFUNCTION("""COMPUTED_VALUE"""),"LOUIE MARK DATU TARUC")</f>
        <v>LOUIE MARK DATU TARUC</v>
      </c>
      <c r="I1297" s="1">
        <f>IFERROR(__xludf.DUMMYFUNCTION("""COMPUTED_VALUE"""),9283112966)</f>
        <v>9283112966</v>
      </c>
      <c r="J1297" s="1"/>
      <c r="K1297" s="1" t="str">
        <f>IFERROR(__xludf.DUMMYFUNCTION("""COMPUTED_VALUE"""),"LOUIEBOY1982@GMAIL.COM")</f>
        <v>LOUIEBOY1982@GMAIL.COM</v>
      </c>
      <c r="L1297" s="1" t="str">
        <f>IFERROR(__xludf.DUMMYFUNCTION("""COMPUTED_VALUE"""),"8")</f>
        <v>8</v>
      </c>
      <c r="M1297" s="1" t="str">
        <f>IFERROR(__xludf.DUMMYFUNCTION("""COMPUTED_VALUE"""),"KYLE")</f>
        <v>KYLE</v>
      </c>
      <c r="N1297" s="1"/>
      <c r="O1297" s="1" t="str">
        <f>IFERROR(__xludf.DUMMYFUNCTION("""COMPUTED_VALUE"""),"LALAAN II")</f>
        <v>LALAAN II</v>
      </c>
      <c r="P1297" s="1" t="str">
        <f>IFERROR(__xludf.DUMMYFUNCTION("""COMPUTED_VALUE"""),"SILANG")</f>
        <v>SILANG</v>
      </c>
      <c r="Q1297" s="1" t="str">
        <f>IFERROR(__xludf.DUMMYFUNCTION("""COMPUTED_VALUE"""),"CAVITE")</f>
        <v>CAVITE</v>
      </c>
      <c r="R1297" s="1" t="str">
        <f>IFERROR(__xludf.DUMMYFUNCTION("""COMPUTED_VALUE"""),"FIBR UNLI ALL PLAN 1399")</f>
        <v>FIBR UNLI ALL PLAN 1399</v>
      </c>
      <c r="S1297" s="1" t="str">
        <f>IFERROR(__xludf.DUMMYFUNCTION("""COMPUTED_VALUE"""),"RETURN FOR COMPLIANCE - AGENT")</f>
        <v>RETURN FOR COMPLIANCE - AGENT</v>
      </c>
      <c r="T1297" s="1" t="str">
        <f>IFERROR(__xludf.DUMMYFUNCTION("""COMPUTED_VALUE"""),"PLS PROVIDE CAFAC NAP FULL")</f>
        <v>PLS PROVIDE CAFAC NAP FULL</v>
      </c>
      <c r="U1297" s="1"/>
      <c r="V1297" s="1"/>
      <c r="W1297" s="1"/>
    </row>
    <row r="1298" customHeight="1" spans="1:23">
      <c r="A1298" s="3">
        <f>IFERROR(__xludf.DUMMYFUNCTION("""COMPUTED_VALUE"""),46134)</f>
        <v>46134</v>
      </c>
      <c r="B1298" s="1" t="str">
        <f>IFERROR(__xludf.DUMMYFUNCTION("""COMPUTED_VALUE"""),"FARO, REFRANTA")</f>
        <v>FARO, REFRANTA</v>
      </c>
      <c r="C1298" s="1" t="str">
        <f>IFERROR(__xludf.DUMMYFUNCTION("""COMPUTED_VALUE"""),"ORGANIC")</f>
        <v>ORGANIC</v>
      </c>
      <c r="D1298" s="1" t="str">
        <f>IFERROR(__xludf.DUMMYFUNCTION("""COMPUTED_VALUE"""),"ALINGARO, CINDY")</f>
        <v>ALINGARO, CINDY</v>
      </c>
      <c r="E1298" s="1" t="str">
        <f>IFERROR(__xludf.DUMMYFUNCTION("""COMPUTED_VALUE"""),"PLDT")</f>
        <v>PLDT</v>
      </c>
      <c r="F1298" s="1">
        <f>IFERROR(__xludf.DUMMYFUNCTION("""COMPUTED_VALUE"""),2309051425)</f>
        <v>2309051425</v>
      </c>
      <c r="G1298" s="1">
        <f>IFERROR(__xludf.DUMMYFUNCTION("""COMPUTED_VALUE"""),451716119004)</f>
        <v>451716119004</v>
      </c>
      <c r="H1298" s="1" t="str">
        <f>IFERROR(__xludf.DUMMYFUNCTION("""COMPUTED_VALUE"""),"RONALD PENALBA SANCHEZ")</f>
        <v>RONALD PENALBA SANCHEZ</v>
      </c>
      <c r="I1298" s="1">
        <f>IFERROR(__xludf.DUMMYFUNCTION("""COMPUTED_VALUE"""),9917877848)</f>
        <v>9917877848</v>
      </c>
      <c r="J1298" s="1">
        <f>IFERROR(__xludf.DUMMYFUNCTION("""COMPUTED_VALUE"""),9085356325)</f>
        <v>9085356325</v>
      </c>
      <c r="K1298" s="1" t="str">
        <f>IFERROR(__xludf.DUMMYFUNCTION("""COMPUTED_VALUE"""),"RONALDSAMCHEZ@GMAIL.COM")</f>
        <v>RONALDSAMCHEZ@GMAIL.COM</v>
      </c>
      <c r="L1298" s="1" t="str">
        <f>IFERROR(__xludf.DUMMYFUNCTION("""COMPUTED_VALUE"""),"140")</f>
        <v>140</v>
      </c>
      <c r="M1298" s="1" t="str">
        <f>IFERROR(__xludf.DUMMYFUNCTION("""COMPUTED_VALUE"""),"BLK 22A")</f>
        <v>BLK 22A</v>
      </c>
      <c r="N1298" s="1" t="str">
        <f>IFERROR(__xludf.DUMMYFUNCTION("""COMPUTED_VALUE"""),"STRAWBERRY HILLS")</f>
        <v>STRAWBERRY HILLS</v>
      </c>
      <c r="O1298" s="1" t="str">
        <f>IFERROR(__xludf.DUMMYFUNCTION("""COMPUTED_VALUE"""),"FRANCISCO REYES")</f>
        <v>FRANCISCO REYES</v>
      </c>
      <c r="P1298" s="1" t="str">
        <f>IFERROR(__xludf.DUMMYFUNCTION("""COMPUTED_VALUE"""),"GEN MARIANO ALVAREZ")</f>
        <v>GEN MARIANO ALVAREZ</v>
      </c>
      <c r="Q1298" s="1" t="str">
        <f>IFERROR(__xludf.DUMMYFUNCTION("""COMPUTED_VALUE"""),"CAVITE")</f>
        <v>CAVITE</v>
      </c>
      <c r="R1298" s="1" t="str">
        <f>IFERROR(__xludf.DUMMYFUNCTION("""COMPUTED_VALUE"""),"FIBR PLAN 1299")</f>
        <v>FIBR PLAN 1299</v>
      </c>
      <c r="S1298" s="1" t="str">
        <f>IFERROR(__xludf.DUMMYFUNCTION("""COMPUTED_VALUE"""),"APPROVED")</f>
        <v>APPROVED</v>
      </c>
      <c r="T1298" s="1" t="str">
        <f>IFERROR(__xludf.DUMMYFUNCTION("""COMPUTED_VALUE"""),"POSTED")</f>
        <v>POSTED</v>
      </c>
      <c r="U1298" s="1"/>
      <c r="V1298" s="1"/>
      <c r="W1298" s="1"/>
    </row>
    <row r="1299" customHeight="1" spans="1:23">
      <c r="A1299" s="3">
        <f>IFERROR(__xludf.DUMMYFUNCTION("""COMPUTED_VALUE"""),46134)</f>
        <v>46134</v>
      </c>
      <c r="B1299" s="1" t="str">
        <f>IFERROR(__xludf.DUMMYFUNCTION("""COMPUTED_VALUE"""),"DE VERA, MARIVIC")</f>
        <v>DE VERA, MARIVIC</v>
      </c>
      <c r="C1299" s="1" t="str">
        <f>IFERROR(__xludf.DUMMYFUNCTION("""COMPUTED_VALUE"""),"ORGANIC")</f>
        <v>ORGANIC</v>
      </c>
      <c r="D1299" s="1" t="str">
        <f>IFERROR(__xludf.DUMMYFUNCTION("""COMPUTED_VALUE"""),"ALINGARO, CINDY")</f>
        <v>ALINGARO, CINDY</v>
      </c>
      <c r="E1299" s="1" t="str">
        <f>IFERROR(__xludf.DUMMYFUNCTION("""COMPUTED_VALUE"""),"PLDT")</f>
        <v>PLDT</v>
      </c>
      <c r="F1299" s="1">
        <f>IFERROR(__xludf.DUMMYFUNCTION("""COMPUTED_VALUE"""),2309051809)</f>
        <v>2309051809</v>
      </c>
      <c r="G1299" s="1">
        <f>IFERROR(__xludf.DUMMYFUNCTION("""COMPUTED_VALUE"""),451716620004)</f>
        <v>451716620004</v>
      </c>
      <c r="H1299" s="1" t="str">
        <f>IFERROR(__xludf.DUMMYFUNCTION("""COMPUTED_VALUE"""),"DHING ARMAN CORPORAL VILLANUEVA")</f>
        <v>DHING ARMAN CORPORAL VILLANUEVA</v>
      </c>
      <c r="I1299" s="1">
        <f>IFERROR(__xludf.DUMMYFUNCTION("""COMPUTED_VALUE"""),9244090771)</f>
        <v>9244090771</v>
      </c>
      <c r="J1299" s="1">
        <f>IFERROR(__xludf.DUMMYFUNCTION("""COMPUTED_VALUE"""),9932881886)</f>
        <v>9932881886</v>
      </c>
      <c r="K1299" s="1" t="str">
        <f>IFERROR(__xludf.DUMMYFUNCTION("""COMPUTED_VALUE"""),"DHINGARMAN.VILLANUEVA06@GMAIL.COM")</f>
        <v>DHINGARMAN.VILLANUEVA06@GMAIL.COM</v>
      </c>
      <c r="L1299" s="1" t="str">
        <f>IFERROR(__xludf.DUMMYFUNCTION("""COMPUTED_VALUE"""),"454")</f>
        <v>454</v>
      </c>
      <c r="M1299" s="1" t="str">
        <f>IFERROR(__xludf.DUMMYFUNCTION("""COMPUTED_VALUE"""),"BLK 22A")</f>
        <v>BLK 22A</v>
      </c>
      <c r="N1299" s="1" t="str">
        <f>IFERROR(__xludf.DUMMYFUNCTION("""COMPUTED_VALUE"""),"STRAWBERRY HILLS")</f>
        <v>STRAWBERRY HILLS</v>
      </c>
      <c r="O1299" s="1" t="str">
        <f>IFERROR(__xludf.DUMMYFUNCTION("""COMPUTED_VALUE"""),"FRANCISCO REYES")</f>
        <v>FRANCISCO REYES</v>
      </c>
      <c r="P1299" s="1" t="str">
        <f>IFERROR(__xludf.DUMMYFUNCTION("""COMPUTED_VALUE"""),"GEN MARIANO ALVAREZ")</f>
        <v>GEN MARIANO ALVAREZ</v>
      </c>
      <c r="Q1299" s="1" t="str">
        <f>IFERROR(__xludf.DUMMYFUNCTION("""COMPUTED_VALUE"""),"CAVITE")</f>
        <v>CAVITE</v>
      </c>
      <c r="R1299" s="1" t="str">
        <f>IFERROR(__xludf.DUMMYFUNCTION("""COMPUTED_VALUE"""),"FIBR UNLI ALL PLAN 1399")</f>
        <v>FIBR UNLI ALL PLAN 1399</v>
      </c>
      <c r="S1299" s="1" t="str">
        <f>IFERROR(__xludf.DUMMYFUNCTION("""COMPUTED_VALUE"""),"APPROVED")</f>
        <v>APPROVED</v>
      </c>
      <c r="T1299" s="1" t="str">
        <f>IFERROR(__xludf.DUMMYFUNCTION("""COMPUTED_VALUE"""),"POSTED")</f>
        <v>POSTED</v>
      </c>
      <c r="U1299" s="1"/>
      <c r="V1299" s="1"/>
      <c r="W1299" s="1"/>
    </row>
    <row r="1300" customHeight="1" spans="1:23">
      <c r="A1300" s="3">
        <f>IFERROR(__xludf.DUMMYFUNCTION("""COMPUTED_VALUE"""),46134)</f>
        <v>46134</v>
      </c>
      <c r="B1300" s="1" t="str">
        <f>IFERROR(__xludf.DUMMYFUNCTION("""COMPUTED_VALUE"""),"GABAY, MANUEL")</f>
        <v>GABAY, MANUEL</v>
      </c>
      <c r="C1300" s="1" t="str">
        <f>IFERROR(__xludf.DUMMYFUNCTION("""COMPUTED_VALUE"""),"FLA")</f>
        <v>FLA</v>
      </c>
      <c r="D1300" s="1" t="str">
        <f>IFERROR(__xludf.DUMMYFUNCTION("""COMPUTED_VALUE"""),"JERIC NAVARRO")</f>
        <v>JERIC NAVARRO</v>
      </c>
      <c r="E1300" s="1" t="str">
        <f>IFERROR(__xludf.DUMMYFUNCTION("""COMPUTED_VALUE"""),"PLDT")</f>
        <v>PLDT</v>
      </c>
      <c r="F1300" s="1">
        <f>IFERROR(__xludf.DUMMYFUNCTION("""COMPUTED_VALUE"""),2309052492)</f>
        <v>2309052492</v>
      </c>
      <c r="G1300" s="1">
        <f>IFERROR(__xludf.DUMMYFUNCTION("""COMPUTED_VALUE"""),451714762004)</f>
        <v>451714762004</v>
      </c>
      <c r="H1300" s="1" t="str">
        <f>IFERROR(__xludf.DUMMYFUNCTION("""COMPUTED_VALUE"""),"MAY PRINCES CAINGLES UNIDA")</f>
        <v>MAY PRINCES CAINGLES UNIDA</v>
      </c>
      <c r="I1300" s="1">
        <f>IFERROR(__xludf.DUMMYFUNCTION("""COMPUTED_VALUE"""),9101508827)</f>
        <v>9101508827</v>
      </c>
      <c r="J1300" s="1">
        <f>IFERROR(__xludf.DUMMYFUNCTION("""COMPUTED_VALUE"""),9666357248)</f>
        <v>9666357248</v>
      </c>
      <c r="K1300" s="1" t="str">
        <f>IFERROR(__xludf.DUMMYFUNCTION("""COMPUTED_VALUE"""),"UNIDAMAYPRINCES2@GMAIL.COM")</f>
        <v>UNIDAMAYPRINCES2@GMAIL.COM</v>
      </c>
      <c r="L1300" s="1" t="str">
        <f>IFERROR(__xludf.DUMMYFUNCTION("""COMPUTED_VALUE"""),"BLK 11 LOT 13")</f>
        <v>BLK 11 LOT 13</v>
      </c>
      <c r="M1300" s="1" t="str">
        <f>IFERROR(__xludf.DUMMYFUNCTION("""COMPUTED_VALUE"""),"WASHINGTON")</f>
        <v>WASHINGTON</v>
      </c>
      <c r="N1300" s="1" t="str">
        <f>IFERROR(__xludf.DUMMYFUNCTION("""COMPUTED_VALUE"""),"SAN MARINO SUBS")</f>
        <v>SAN MARINO SUBS</v>
      </c>
      <c r="O1300" s="1" t="str">
        <f>IFERROR(__xludf.DUMMYFUNCTION("""COMPUTED_VALUE"""),"SALAWAG")</f>
        <v>SALAWAG</v>
      </c>
      <c r="P1300" s="1" t="str">
        <f>IFERROR(__xludf.DUMMYFUNCTION("""COMPUTED_VALUE"""),"DASMARINAS")</f>
        <v>DASMARINAS</v>
      </c>
      <c r="Q1300" s="1" t="str">
        <f>IFERROR(__xludf.DUMMYFUNCTION("""COMPUTED_VALUE"""),"CAVITE")</f>
        <v>CAVITE</v>
      </c>
      <c r="R1300" s="1" t="str">
        <f>IFERROR(__xludf.DUMMYFUNCTION("""COMPUTED_VALUE"""),"FIBR UNLI ALL PLAN 1399")</f>
        <v>FIBR UNLI ALL PLAN 1399</v>
      </c>
      <c r="S1300" s="1" t="str">
        <f>IFERROR(__xludf.DUMMYFUNCTION("""COMPUTED_VALUE"""),"APPROVED")</f>
        <v>APPROVED</v>
      </c>
      <c r="T1300" s="1" t="str">
        <f>IFERROR(__xludf.DUMMYFUNCTION("""COMPUTED_VALUE"""),"POSTED")</f>
        <v>POSTED</v>
      </c>
      <c r="U1300" s="1"/>
      <c r="V1300" s="1"/>
      <c r="W1300" s="1"/>
    </row>
    <row r="1301" customHeight="1" spans="1:23">
      <c r="A1301" s="3">
        <f>IFERROR(__xludf.DUMMYFUNCTION("""COMPUTED_VALUE"""),46135)</f>
        <v>46135</v>
      </c>
      <c r="B1301" s="1" t="str">
        <f>IFERROR(__xludf.DUMMYFUNCTION("""COMPUTED_VALUE"""),"NAVARRO, JERIC")</f>
        <v>NAVARRO, JERIC</v>
      </c>
      <c r="C1301" s="1" t="str">
        <f>IFERROR(__xludf.DUMMYFUNCTION("""COMPUTED_VALUE"""),"FLA")</f>
        <v>FLA</v>
      </c>
      <c r="D1301" s="1" t="str">
        <f>IFERROR(__xludf.DUMMYFUNCTION("""COMPUTED_VALUE"""),"JERIC NAVARRO")</f>
        <v>JERIC NAVARRO</v>
      </c>
      <c r="E1301" s="1" t="str">
        <f>IFERROR(__xludf.DUMMYFUNCTION("""COMPUTED_VALUE"""),"PLDT")</f>
        <v>PLDT</v>
      </c>
      <c r="F1301" s="1">
        <f>IFERROR(__xludf.DUMMYFUNCTION("""COMPUTED_VALUE"""),2309062097)</f>
        <v>2309062097</v>
      </c>
      <c r="G1301" s="1"/>
      <c r="H1301" s="1" t="str">
        <f>IFERROR(__xludf.DUMMYFUNCTION("""COMPUTED_VALUE"""),"CRISPIN CABILLAN DAUPLO")</f>
        <v>CRISPIN CABILLAN DAUPLO</v>
      </c>
      <c r="I1301" s="1">
        <f>IFERROR(__xludf.DUMMYFUNCTION("""COMPUTED_VALUE"""),9278167136)</f>
        <v>9278167136</v>
      </c>
      <c r="J1301" s="1">
        <f>IFERROR(__xludf.DUMMYFUNCTION("""COMPUTED_VALUE"""),9955092910)</f>
        <v>9955092910</v>
      </c>
      <c r="K1301" s="1" t="str">
        <f>IFERROR(__xludf.DUMMYFUNCTION("""COMPUTED_VALUE"""),"CDAUPLO111@GMAIL.COM")</f>
        <v>CDAUPLO111@GMAIL.COM</v>
      </c>
      <c r="L1301" s="1" t="str">
        <f>IFERROR(__xludf.DUMMYFUNCTION("""COMPUTED_VALUE"""),"BLK 33 LOT 1")</f>
        <v>BLK 33 LOT 1</v>
      </c>
      <c r="M1301" s="1" t="str">
        <f>IFERROR(__xludf.DUMMYFUNCTION("""COMPUTED_VALUE"""),"PHASE 1")</f>
        <v>PHASE 1</v>
      </c>
      <c r="N1301" s="1" t="str">
        <f>IFERROR(__xludf.DUMMYFUNCTION("""COMPUTED_VALUE"""),"PARKLANE")</f>
        <v>PARKLANE</v>
      </c>
      <c r="O1301" s="1" t="str">
        <f>IFERROR(__xludf.DUMMYFUNCTION("""COMPUTED_VALUE"""),"SAN FRANCISCO")</f>
        <v>SAN FRANCISCO</v>
      </c>
      <c r="P1301" s="1" t="str">
        <f>IFERROR(__xludf.DUMMYFUNCTION("""COMPUTED_VALUE"""),"GENERAL TRIAS")</f>
        <v>GENERAL TRIAS</v>
      </c>
      <c r="Q1301" s="1" t="str">
        <f>IFERROR(__xludf.DUMMYFUNCTION("""COMPUTED_VALUE"""),"CAVITE")</f>
        <v>CAVITE</v>
      </c>
      <c r="R1301" s="1" t="str">
        <f>IFERROR(__xludf.DUMMYFUNCTION("""COMPUTED_VALUE"""),"FIBR NETFLIX PLAN 1599")</f>
        <v>FIBR NETFLIX PLAN 1599</v>
      </c>
      <c r="S1301" s="1" t="str">
        <f>IFERROR(__xludf.DUMMYFUNCTION("""COMPUTED_VALUE"""),"APPROVED")</f>
        <v>APPROVED</v>
      </c>
      <c r="T1301" s="1" t="str">
        <f>IFERROR(__xludf.DUMMYFUNCTION("""COMPUTED_VALUE"""),"CANCELLED WITH OB")</f>
        <v>CANCELLED WITH OB</v>
      </c>
      <c r="U1301" s="1"/>
      <c r="V1301" s="1"/>
      <c r="W1301" s="1"/>
    </row>
    <row r="1302" customHeight="1" spans="1:23">
      <c r="A1302" s="3">
        <f>IFERROR(__xludf.DUMMYFUNCTION("""COMPUTED_VALUE"""),46135)</f>
        <v>46135</v>
      </c>
      <c r="B1302" s="1" t="str">
        <f>IFERROR(__xludf.DUMMYFUNCTION("""COMPUTED_VALUE"""),"ESCARCHA, MA ALMA  ESCOTO")</f>
        <v>ESCARCHA, MA ALMA  ESCOTO</v>
      </c>
      <c r="C1302" s="1" t="str">
        <f>IFERROR(__xludf.DUMMYFUNCTION("""COMPUTED_VALUE"""),"ORGANIC")</f>
        <v>ORGANIC</v>
      </c>
      <c r="D1302" s="1" t="str">
        <f>IFERROR(__xludf.DUMMYFUNCTION("""COMPUTED_VALUE"""),"ALINGARO, CINDY")</f>
        <v>ALINGARO, CINDY</v>
      </c>
      <c r="E1302" s="1" t="str">
        <f>IFERROR(__xludf.DUMMYFUNCTION("""COMPUTED_VALUE"""),"PLDT")</f>
        <v>PLDT</v>
      </c>
      <c r="F1302" s="1">
        <f>IFERROR(__xludf.DUMMYFUNCTION("""COMPUTED_VALUE"""),2309062382)</f>
        <v>2309062382</v>
      </c>
      <c r="G1302" s="1">
        <f>IFERROR(__xludf.DUMMYFUNCTION("""COMPUTED_VALUE"""),451823903004)</f>
        <v>451823903004</v>
      </c>
      <c r="H1302" s="1" t="str">
        <f>IFERROR(__xludf.DUMMYFUNCTION("""COMPUTED_VALUE"""),"ALEXANDER SILVERIO GALVE")</f>
        <v>ALEXANDER SILVERIO GALVE</v>
      </c>
      <c r="I1302" s="1">
        <f>IFERROR(__xludf.DUMMYFUNCTION("""COMPUTED_VALUE"""),9452733499)</f>
        <v>9452733499</v>
      </c>
      <c r="J1302" s="1"/>
      <c r="K1302" s="1" t="str">
        <f>IFERROR(__xludf.DUMMYFUNCTION("""COMPUTED_VALUE"""),"XYU6906@GMAIL.COM")</f>
        <v>XYU6906@GMAIL.COM</v>
      </c>
      <c r="L1302" s="1" t="str">
        <f>IFERROR(__xludf.DUMMYFUNCTION("""COMPUTED_VALUE"""),"23")</f>
        <v>23</v>
      </c>
      <c r="M1302" s="1" t="str">
        <f>IFERROR(__xludf.DUMMYFUNCTION("""COMPUTED_VALUE"""),"PALIGAWAN MATANDA")</f>
        <v>PALIGAWAN MATANDA</v>
      </c>
      <c r="N1302" s="1"/>
      <c r="O1302" s="1" t="str">
        <f>IFERROR(__xludf.DUMMYFUNCTION("""COMPUTED_VALUE"""),"PALIGAWAN")</f>
        <v>PALIGAWAN</v>
      </c>
      <c r="P1302" s="1" t="str">
        <f>IFERROR(__xludf.DUMMYFUNCTION("""COMPUTED_VALUE"""),"SILANG")</f>
        <v>SILANG</v>
      </c>
      <c r="Q1302" s="1" t="str">
        <f>IFERROR(__xludf.DUMMYFUNCTION("""COMPUTED_VALUE"""),"CAVITE")</f>
        <v>CAVITE</v>
      </c>
      <c r="R1302" s="1" t="str">
        <f>IFERROR(__xludf.DUMMYFUNCTION("""COMPUTED_VALUE"""),"FIBR PLAN 1299")</f>
        <v>FIBR PLAN 1299</v>
      </c>
      <c r="S1302" s="1" t="str">
        <f>IFERROR(__xludf.DUMMYFUNCTION("""COMPUTED_VALUE"""),"APPROVED")</f>
        <v>APPROVED</v>
      </c>
      <c r="T1302" s="1" t="str">
        <f>IFERROR(__xludf.DUMMYFUNCTION("""COMPUTED_VALUE"""),"POSTED")</f>
        <v>POSTED</v>
      </c>
      <c r="U1302" s="1"/>
      <c r="V1302" s="1"/>
      <c r="W1302" s="1"/>
    </row>
    <row r="1303" customHeight="1" spans="1:23">
      <c r="A1303" s="3">
        <f>IFERROR(__xludf.DUMMYFUNCTION("""COMPUTED_VALUE"""),46135)</f>
        <v>46135</v>
      </c>
      <c r="B1303" s="1" t="str">
        <f>IFERROR(__xludf.DUMMYFUNCTION("""COMPUTED_VALUE"""),"FERNANDEZ JERIC")</f>
        <v>FERNANDEZ JERIC</v>
      </c>
      <c r="C1303" s="1" t="str">
        <f>IFERROR(__xludf.DUMMYFUNCTION("""COMPUTED_VALUE"""),"ORGANIC")</f>
        <v>ORGANIC</v>
      </c>
      <c r="D1303" s="1" t="str">
        <f>IFERROR(__xludf.DUMMYFUNCTION("""COMPUTED_VALUE"""),"ALOS, CHARLS")</f>
        <v>ALOS, CHARLS</v>
      </c>
      <c r="E1303" s="1" t="str">
        <f>IFERROR(__xludf.DUMMYFUNCTION("""COMPUTED_VALUE"""),"PLDT")</f>
        <v>PLDT</v>
      </c>
      <c r="F1303" s="1">
        <f>IFERROR(__xludf.DUMMYFUNCTION("""COMPUTED_VALUE"""),2309065353)</f>
        <v>2309065353</v>
      </c>
      <c r="G1303" s="1">
        <f>IFERROR(__xludf.DUMMYFUNCTION("""COMPUTED_VALUE"""),451968534004)</f>
        <v>451968534004</v>
      </c>
      <c r="H1303" s="1" t="str">
        <f>IFERROR(__xludf.DUMMYFUNCTION("""COMPUTED_VALUE"""),"RONALDO JR TAYONA TUMAMAO")</f>
        <v>RONALDO JR TAYONA TUMAMAO</v>
      </c>
      <c r="I1303" s="1">
        <f>IFERROR(__xludf.DUMMYFUNCTION("""COMPUTED_VALUE"""),9776230669)</f>
        <v>9776230669</v>
      </c>
      <c r="J1303" s="1"/>
      <c r="K1303" s="1" t="str">
        <f>IFERROR(__xludf.DUMMYFUNCTION("""COMPUTED_VALUE"""),"MAGGIECUTE008@GMAIL.COM")</f>
        <v>MAGGIECUTE008@GMAIL.COM</v>
      </c>
      <c r="L1303" s="1" t="str">
        <f>IFERROR(__xludf.DUMMYFUNCTION("""COMPUTED_VALUE"""),"805")</f>
        <v>805</v>
      </c>
      <c r="M1303" s="1" t="str">
        <f>IFERROR(__xludf.DUMMYFUNCTION("""COMPUTED_VALUE"""),"OLD APPARTMENT")</f>
        <v>OLD APPARTMENT</v>
      </c>
      <c r="N1303" s="1"/>
      <c r="O1303" s="1" t="str">
        <f>IFERROR(__xludf.DUMMYFUNCTION("""COMPUTED_VALUE"""),"TALON")</f>
        <v>TALON</v>
      </c>
      <c r="P1303" s="1" t="str">
        <f>IFERROR(__xludf.DUMMYFUNCTION("""COMPUTED_VALUE"""),"AMADEO")</f>
        <v>AMADEO</v>
      </c>
      <c r="Q1303" s="1" t="str">
        <f>IFERROR(__xludf.DUMMYFUNCTION("""COMPUTED_VALUE"""),"CAVITE")</f>
        <v>CAVITE</v>
      </c>
      <c r="R1303" s="1" t="str">
        <f>IFERROR(__xludf.DUMMYFUNCTION("""COMPUTED_VALUE"""),"FIBR UNLI ALL PLAN 1399")</f>
        <v>FIBR UNLI ALL PLAN 1399</v>
      </c>
      <c r="S1303" s="1" t="str">
        <f>IFERROR(__xludf.DUMMYFUNCTION("""COMPUTED_VALUE"""),"APPROVED")</f>
        <v>APPROVED</v>
      </c>
      <c r="T1303" s="1" t="str">
        <f>IFERROR(__xludf.DUMMYFUNCTION("""COMPUTED_VALUE"""),"PAID FOR INSTALLATION / NAP FULL")</f>
        <v>PAID FOR INSTALLATION / NAP FULL</v>
      </c>
      <c r="U1303" s="1"/>
      <c r="V1303" s="1"/>
      <c r="W1303" s="1"/>
    </row>
    <row r="1304" customHeight="1" spans="1:23">
      <c r="A1304" s="3">
        <f>IFERROR(__xludf.DUMMYFUNCTION("""COMPUTED_VALUE"""),46135)</f>
        <v>46135</v>
      </c>
      <c r="B1304" s="1" t="str">
        <f>IFERROR(__xludf.DUMMYFUNCTION("""COMPUTED_VALUE"""),"ODY , CLARENCE")</f>
        <v>ODY , CLARENCE</v>
      </c>
      <c r="C1304" s="1" t="str">
        <f>IFERROR(__xludf.DUMMYFUNCTION("""COMPUTED_VALUE"""),"ORGANIC")</f>
        <v>ORGANIC</v>
      </c>
      <c r="D1304" s="1" t="str">
        <f>IFERROR(__xludf.DUMMYFUNCTION("""COMPUTED_VALUE"""),"ALOS, CHARLS")</f>
        <v>ALOS, CHARLS</v>
      </c>
      <c r="E1304" s="1" t="str">
        <f>IFERROR(__xludf.DUMMYFUNCTION("""COMPUTED_VALUE"""),"PLDT")</f>
        <v>PLDT</v>
      </c>
      <c r="F1304" s="1">
        <f>IFERROR(__xludf.DUMMYFUNCTION("""COMPUTED_VALUE"""),2309065865)</f>
        <v>2309065865</v>
      </c>
      <c r="G1304" s="1">
        <f>IFERROR(__xludf.DUMMYFUNCTION("""COMPUTED_VALUE"""),451883575004)</f>
        <v>451883575004</v>
      </c>
      <c r="H1304" s="1" t="str">
        <f>IFERROR(__xludf.DUMMYFUNCTION("""COMPUTED_VALUE"""),"JOHN LOUIE CAMARINTA GALURA")</f>
        <v>JOHN LOUIE CAMARINTA GALURA</v>
      </c>
      <c r="I1304" s="1">
        <f>IFERROR(__xludf.DUMMYFUNCTION("""COMPUTED_VALUE"""),9278520961)</f>
        <v>9278520961</v>
      </c>
      <c r="J1304" s="1"/>
      <c r="K1304" s="1" t="str">
        <f>IFERROR(__xludf.DUMMYFUNCTION("""COMPUTED_VALUE"""),"LUKEALTHEO19@GMAIL.COM")</f>
        <v>LUKEALTHEO19@GMAIL.COM</v>
      </c>
      <c r="L1304" s="1" t="str">
        <f>IFERROR(__xludf.DUMMYFUNCTION("""COMPUTED_VALUE"""),"BLK 99 LOT 32")</f>
        <v>BLK 99 LOT 32</v>
      </c>
      <c r="M1304" s="1" t="str">
        <f>IFERROR(__xludf.DUMMYFUNCTION("""COMPUTED_VALUE"""),"PHASE 4")</f>
        <v>PHASE 4</v>
      </c>
      <c r="N1304" s="1" t="str">
        <f>IFERROR(__xludf.DUMMYFUNCTION("""COMPUTED_VALUE"""),"MABUHAY CITY")</f>
        <v>MABUHAY CITY</v>
      </c>
      <c r="O1304" s="1" t="str">
        <f>IFERROR(__xludf.DUMMYFUNCTION("""COMPUTED_VALUE"""),"PALIPARAN III")</f>
        <v>PALIPARAN III</v>
      </c>
      <c r="P1304" s="1" t="str">
        <f>IFERROR(__xludf.DUMMYFUNCTION("""COMPUTED_VALUE"""),"DASMARINAS")</f>
        <v>DASMARINAS</v>
      </c>
      <c r="Q1304" s="1" t="str">
        <f>IFERROR(__xludf.DUMMYFUNCTION("""COMPUTED_VALUE"""),"CAVITE")</f>
        <v>CAVITE</v>
      </c>
      <c r="R1304" s="1" t="str">
        <f>IFERROR(__xludf.DUMMYFUNCTION("""COMPUTED_VALUE"""),"FIBR UNLI ALL PLAN 1399")</f>
        <v>FIBR UNLI ALL PLAN 1399</v>
      </c>
      <c r="S1304" s="1" t="str">
        <f>IFERROR(__xludf.DUMMYFUNCTION("""COMPUTED_VALUE"""),"APPROVED")</f>
        <v>APPROVED</v>
      </c>
      <c r="T1304" s="1" t="str">
        <f>IFERROR(__xludf.DUMMYFUNCTION("""COMPUTED_VALUE"""),"FOR PAYMENT")</f>
        <v>FOR PAYMENT</v>
      </c>
      <c r="U1304" s="1"/>
      <c r="V1304" s="1"/>
      <c r="W1304" s="1"/>
    </row>
    <row r="1305" customHeight="1" spans="1:23">
      <c r="A1305" s="3">
        <f>IFERROR(__xludf.DUMMYFUNCTION("""COMPUTED_VALUE"""),46135)</f>
        <v>46135</v>
      </c>
      <c r="B1305" s="1" t="str">
        <f>IFERROR(__xludf.DUMMYFUNCTION("""COMPUTED_VALUE"""),"NAVARRO, JERIC")</f>
        <v>NAVARRO, JERIC</v>
      </c>
      <c r="C1305" s="1" t="str">
        <f>IFERROR(__xludf.DUMMYFUNCTION("""COMPUTED_VALUE"""),"FLA")</f>
        <v>FLA</v>
      </c>
      <c r="D1305" s="1" t="str">
        <f>IFERROR(__xludf.DUMMYFUNCTION("""COMPUTED_VALUE"""),"JERIC NAVARRO")</f>
        <v>JERIC NAVARRO</v>
      </c>
      <c r="E1305" s="1" t="str">
        <f>IFERROR(__xludf.DUMMYFUNCTION("""COMPUTED_VALUE"""),"PLDT")</f>
        <v>PLDT</v>
      </c>
      <c r="F1305" s="1">
        <f>IFERROR(__xludf.DUMMYFUNCTION("""COMPUTED_VALUE"""),2309071784)</f>
        <v>2309071784</v>
      </c>
      <c r="G1305" s="1">
        <f>IFERROR(__xludf.DUMMYFUNCTION("""COMPUTED_VALUE"""),451839940004)</f>
        <v>451839940004</v>
      </c>
      <c r="H1305" s="1" t="str">
        <f>IFERROR(__xludf.DUMMYFUNCTION("""COMPUTED_VALUE"""),"MARY ANNE ZUNIEGA MIANE")</f>
        <v>MARY ANNE ZUNIEGA MIANE</v>
      </c>
      <c r="I1305" s="1">
        <f>IFERROR(__xludf.DUMMYFUNCTION("""COMPUTED_VALUE"""),9633954560)</f>
        <v>9633954560</v>
      </c>
      <c r="J1305" s="1">
        <f>IFERROR(__xludf.DUMMYFUNCTION("""COMPUTED_VALUE"""),9205249938)</f>
        <v>9205249938</v>
      </c>
      <c r="K1305" s="1" t="str">
        <f>IFERROR(__xludf.DUMMYFUNCTION("""COMPUTED_VALUE"""),"M.ANNMIANE@GMAIL.COM")</f>
        <v>M.ANNMIANE@GMAIL.COM</v>
      </c>
      <c r="L1305" s="1" t="str">
        <f>IFERROR(__xludf.DUMMYFUNCTION("""COMPUTED_VALUE"""),"BLK 51 LOT 1")</f>
        <v>BLK 51 LOT 1</v>
      </c>
      <c r="M1305" s="1" t="str">
        <f>IFERROR(__xludf.DUMMYFUNCTION("""COMPUTED_VALUE"""),"PHASE 2")</f>
        <v>PHASE 2</v>
      </c>
      <c r="N1305" s="1"/>
      <c r="O1305" s="1" t="str">
        <f>IFERROR(__xludf.DUMMYFUNCTION("""COMPUTED_VALUE"""),"SAN FRANCISCO")</f>
        <v>SAN FRANCISCO</v>
      </c>
      <c r="P1305" s="1" t="str">
        <f>IFERROR(__xludf.DUMMYFUNCTION("""COMPUTED_VALUE"""),"GENERAL TRIAS")</f>
        <v>GENERAL TRIAS</v>
      </c>
      <c r="Q1305" s="1" t="str">
        <f>IFERROR(__xludf.DUMMYFUNCTION("""COMPUTED_VALUE"""),"CAVITE")</f>
        <v>CAVITE</v>
      </c>
      <c r="R1305" s="1" t="str">
        <f>IFERROR(__xludf.DUMMYFUNCTION("""COMPUTED_VALUE"""),"FIBR PLAN 1699")</f>
        <v>FIBR PLAN 1699</v>
      </c>
      <c r="S1305" s="1" t="str">
        <f>IFERROR(__xludf.DUMMYFUNCTION("""COMPUTED_VALUE"""),"APPROVED")</f>
        <v>APPROVED</v>
      </c>
      <c r="T1305" s="1" t="str">
        <f>IFERROR(__xludf.DUMMYFUNCTION("""COMPUTED_VALUE"""),"RPR- NAP FULL/ NO PAYMENT")</f>
        <v>RPR- NAP FULL/ NO PAYMENT</v>
      </c>
      <c r="U1305" s="1"/>
      <c r="V1305" s="1"/>
      <c r="W1305" s="1"/>
    </row>
    <row r="1306" customHeight="1" spans="1:23">
      <c r="A1306" s="3">
        <f>IFERROR(__xludf.DUMMYFUNCTION("""COMPUTED_VALUE"""),46136)</f>
        <v>46136</v>
      </c>
      <c r="B1306" s="1" t="str">
        <f>IFERROR(__xludf.DUMMYFUNCTION("""COMPUTED_VALUE"""),"NAVARRO, JERIC")</f>
        <v>NAVARRO, JERIC</v>
      </c>
      <c r="C1306" s="1" t="str">
        <f>IFERROR(__xludf.DUMMYFUNCTION("""COMPUTED_VALUE"""),"FLA")</f>
        <v>FLA</v>
      </c>
      <c r="D1306" s="1" t="str">
        <f>IFERROR(__xludf.DUMMYFUNCTION("""COMPUTED_VALUE"""),"JERIC NAVARRO")</f>
        <v>JERIC NAVARRO</v>
      </c>
      <c r="E1306" s="1" t="str">
        <f>IFERROR(__xludf.DUMMYFUNCTION("""COMPUTED_VALUE"""),"PLDT")</f>
        <v>PLDT</v>
      </c>
      <c r="F1306" s="1">
        <f>IFERROR(__xludf.DUMMYFUNCTION("""COMPUTED_VALUE"""),2309086425)</f>
        <v>2309086425</v>
      </c>
      <c r="G1306" s="1">
        <f>IFERROR(__xludf.DUMMYFUNCTION("""COMPUTED_VALUE"""),451982577004)</f>
        <v>451982577004</v>
      </c>
      <c r="H1306" s="1" t="str">
        <f>IFERROR(__xludf.DUMMYFUNCTION("""COMPUTED_VALUE"""),"AIRA OCAMPO BUENAVENTURA")</f>
        <v>AIRA OCAMPO BUENAVENTURA</v>
      </c>
      <c r="I1306" s="1">
        <f>IFERROR(__xludf.DUMMYFUNCTION("""COMPUTED_VALUE"""),9701785765)</f>
        <v>9701785765</v>
      </c>
      <c r="J1306" s="1">
        <f>IFERROR(__xludf.DUMMYFUNCTION("""COMPUTED_VALUE"""),9511456039)</f>
        <v>9511456039</v>
      </c>
      <c r="K1306" s="1" t="str">
        <f>IFERROR(__xludf.DUMMYFUNCTION("""COMPUTED_VALUE"""),"BUENAVENTURAAIRA@YAHOO.COM")</f>
        <v>BUENAVENTURAAIRA@YAHOO.COM</v>
      </c>
      <c r="L1306" s="1" t="str">
        <f>IFERROR(__xludf.DUMMYFUNCTION("""COMPUTED_VALUE"""),"40")</f>
        <v>40</v>
      </c>
      <c r="M1306" s="1" t="str">
        <f>IFERROR(__xludf.DUMMYFUNCTION("""COMPUTED_VALUE"""),"PARKE")</f>
        <v>PARKE</v>
      </c>
      <c r="N1306" s="1"/>
      <c r="O1306" s="1" t="str">
        <f>IFERROR(__xludf.DUMMYFUNCTION("""COMPUTED_VALUE"""),"JULUGAN I")</f>
        <v>JULUGAN I</v>
      </c>
      <c r="P1306" s="1" t="str">
        <f>IFERROR(__xludf.DUMMYFUNCTION("""COMPUTED_VALUE"""),"TANZA")</f>
        <v>TANZA</v>
      </c>
      <c r="Q1306" s="1" t="str">
        <f>IFERROR(__xludf.DUMMYFUNCTION("""COMPUTED_VALUE"""),"CAVITE")</f>
        <v>CAVITE</v>
      </c>
      <c r="R1306" s="1" t="str">
        <f>IFERROR(__xludf.DUMMYFUNCTION("""COMPUTED_VALUE"""),"FIBR UNLI ALL PLAN 1399")</f>
        <v>FIBR UNLI ALL PLAN 1399</v>
      </c>
      <c r="S1306" s="1" t="str">
        <f>IFERROR(__xludf.DUMMYFUNCTION("""COMPUTED_VALUE"""),"APPROVED")</f>
        <v>APPROVED</v>
      </c>
      <c r="T1306" s="1" t="str">
        <f>IFERROR(__xludf.DUMMYFUNCTION("""COMPUTED_VALUE"""),"FOR PAYMENT")</f>
        <v>FOR PAYMENT</v>
      </c>
      <c r="U1306" s="1"/>
      <c r="V1306" s="1"/>
      <c r="W1306" s="1"/>
    </row>
    <row r="1307" customHeight="1" spans="1:23">
      <c r="A1307" s="3">
        <f>IFERROR(__xludf.DUMMYFUNCTION("""COMPUTED_VALUE"""),46136)</f>
        <v>46136</v>
      </c>
      <c r="B1307" s="1" t="str">
        <f>IFERROR(__xludf.DUMMYFUNCTION("""COMPUTED_VALUE"""),"OPS SIR BETZ")</f>
        <v>OPS SIR BETZ</v>
      </c>
      <c r="C1307" s="1" t="str">
        <f>IFERROR(__xludf.DUMMYFUNCTION("""COMPUTED_VALUE"""),"FLA")</f>
        <v>FLA</v>
      </c>
      <c r="D1307" s="1" t="str">
        <f>IFERROR(__xludf.DUMMYFUNCTION("""COMPUTED_VALUE"""),"JERIC NAVARRO")</f>
        <v>JERIC NAVARRO</v>
      </c>
      <c r="E1307" s="1" t="str">
        <f>IFERROR(__xludf.DUMMYFUNCTION("""COMPUTED_VALUE"""),"PLDT")</f>
        <v>PLDT</v>
      </c>
      <c r="F1307" s="1">
        <f>IFERROR(__xludf.DUMMYFUNCTION("""COMPUTED_VALUE"""),2309088836)</f>
        <v>2309088836</v>
      </c>
      <c r="G1307" s="1">
        <f>IFERROR(__xludf.DUMMYFUNCTION("""COMPUTED_VALUE"""),451973998004)</f>
        <v>451973998004</v>
      </c>
      <c r="H1307" s="1" t="str">
        <f>IFERROR(__xludf.DUMMYFUNCTION("""COMPUTED_VALUE"""),"RICHARD MOLINA YANSON")</f>
        <v>RICHARD MOLINA YANSON</v>
      </c>
      <c r="I1307" s="1">
        <f>IFERROR(__xludf.DUMMYFUNCTION("""COMPUTED_VALUE"""),9061251428)</f>
        <v>9061251428</v>
      </c>
      <c r="J1307" s="1">
        <f>IFERROR(__xludf.DUMMYFUNCTION("""COMPUTED_VALUE"""),9163306097)</f>
        <v>9163306097</v>
      </c>
      <c r="K1307" s="1" t="str">
        <f>IFERROR(__xludf.DUMMYFUNCTION("""COMPUTED_VALUE"""),"RICHARDYANZON@GMAIL.COM")</f>
        <v>RICHARDYANZON@GMAIL.COM</v>
      </c>
      <c r="L1307" s="1" t="str">
        <f>IFERROR(__xludf.DUMMYFUNCTION("""COMPUTED_VALUE"""),"LTO")</f>
        <v>LTO</v>
      </c>
      <c r="M1307" s="1" t="str">
        <f>IFERROR(__xludf.DUMMYFUNCTION("""COMPUTED_VALUE"""),"SAN JUAN RD")</f>
        <v>SAN JUAN RD</v>
      </c>
      <c r="N1307" s="1"/>
      <c r="O1307" s="1" t="str">
        <f>IFERROR(__xludf.DUMMYFUNCTION("""COMPUTED_VALUE"""),"SAN JUAN II")</f>
        <v>SAN JUAN II</v>
      </c>
      <c r="P1307" s="1" t="str">
        <f>IFERROR(__xludf.DUMMYFUNCTION("""COMPUTED_VALUE"""),"GENERAL TRIAS")</f>
        <v>GENERAL TRIAS</v>
      </c>
      <c r="Q1307" s="1" t="str">
        <f>IFERROR(__xludf.DUMMYFUNCTION("""COMPUTED_VALUE"""),"CAVITE")</f>
        <v>CAVITE</v>
      </c>
      <c r="R1307" s="1" t="str">
        <f>IFERROR(__xludf.DUMMYFUNCTION("""COMPUTED_VALUE"""),"FIBR PLAN 2099")</f>
        <v>FIBR PLAN 2099</v>
      </c>
      <c r="S1307" s="1" t="str">
        <f>IFERROR(__xludf.DUMMYFUNCTION("""COMPUTED_VALUE"""),"APPROVED")</f>
        <v>APPROVED</v>
      </c>
      <c r="T1307" s="1" t="str">
        <f>IFERROR(__xludf.DUMMYFUNCTION("""COMPUTED_VALUE"""),"POSTED")</f>
        <v>POSTED</v>
      </c>
      <c r="U1307" s="1"/>
      <c r="V1307" s="1"/>
      <c r="W1307" s="1"/>
    </row>
    <row r="1308" customHeight="1" spans="1:23">
      <c r="A1308" s="3">
        <f>IFERROR(__xludf.DUMMYFUNCTION("""COMPUTED_VALUE"""),46136)</f>
        <v>46136</v>
      </c>
      <c r="B1308" s="1" t="str">
        <f>IFERROR(__xludf.DUMMYFUNCTION("""COMPUTED_VALUE"""),"NAVARRO, JERIC")</f>
        <v>NAVARRO, JERIC</v>
      </c>
      <c r="C1308" s="1" t="str">
        <f>IFERROR(__xludf.DUMMYFUNCTION("""COMPUTED_VALUE"""),"FLA")</f>
        <v>FLA</v>
      </c>
      <c r="D1308" s="1" t="str">
        <f>IFERROR(__xludf.DUMMYFUNCTION("""COMPUTED_VALUE"""),"JERIC NAVARRO")</f>
        <v>JERIC NAVARRO</v>
      </c>
      <c r="E1308" s="1" t="str">
        <f>IFERROR(__xludf.DUMMYFUNCTION("""COMPUTED_VALUE"""),"PLDT")</f>
        <v>PLDT</v>
      </c>
      <c r="F1308" s="1">
        <f>IFERROR(__xludf.DUMMYFUNCTION("""COMPUTED_VALUE"""),2309091810)</f>
        <v>2309091810</v>
      </c>
      <c r="G1308" s="1">
        <f>IFERROR(__xludf.DUMMYFUNCTION("""COMPUTED_VALUE"""),451983859004)</f>
        <v>451983859004</v>
      </c>
      <c r="H1308" s="1" t="str">
        <f>IFERROR(__xludf.DUMMYFUNCTION("""COMPUTED_VALUE"""),"GELEEN GASGOINIA BALOLOY")</f>
        <v>GELEEN GASGOINIA BALOLOY</v>
      </c>
      <c r="I1308" s="1">
        <f>IFERROR(__xludf.DUMMYFUNCTION("""COMPUTED_VALUE"""),9926420793)</f>
        <v>9926420793</v>
      </c>
      <c r="J1308" s="1">
        <f>IFERROR(__xludf.DUMMYFUNCTION("""COMPUTED_VALUE"""),9369098354)</f>
        <v>9369098354</v>
      </c>
      <c r="K1308" s="1" t="str">
        <f>IFERROR(__xludf.DUMMYFUNCTION("""COMPUTED_VALUE"""),"GELEENGASGONIA0@GMAIL.COM")</f>
        <v>GELEENGASGONIA0@GMAIL.COM</v>
      </c>
      <c r="L1308" s="1" t="str">
        <f>IFERROR(__xludf.DUMMYFUNCTION("""COMPUTED_VALUE"""),"BLK 33 LOT 1")</f>
        <v>BLK 33 LOT 1</v>
      </c>
      <c r="M1308" s="1" t="str">
        <f>IFERROR(__xludf.DUMMYFUNCTION("""COMPUTED_VALUE"""),"PHASE 1")</f>
        <v>PHASE 1</v>
      </c>
      <c r="N1308" s="1" t="str">
        <f>IFERROR(__xludf.DUMMYFUNCTION("""COMPUTED_VALUE"""),"PARKPLANE")</f>
        <v>PARKPLANE</v>
      </c>
      <c r="O1308" s="1" t="str">
        <f>IFERROR(__xludf.DUMMYFUNCTION("""COMPUTED_VALUE"""),"SAN FRANCISCO")</f>
        <v>SAN FRANCISCO</v>
      </c>
      <c r="P1308" s="1" t="str">
        <f>IFERROR(__xludf.DUMMYFUNCTION("""COMPUTED_VALUE"""),"GENERAL TRIAS")</f>
        <v>GENERAL TRIAS</v>
      </c>
      <c r="Q1308" s="1" t="str">
        <f>IFERROR(__xludf.DUMMYFUNCTION("""COMPUTED_VALUE"""),"CAVITE")</f>
        <v>CAVITE</v>
      </c>
      <c r="R1308" s="1" t="str">
        <f>IFERROR(__xludf.DUMMYFUNCTION("""COMPUTED_VALUE"""),"FIBR NETFLIX PLAN 1599")</f>
        <v>FIBR NETFLIX PLAN 1599</v>
      </c>
      <c r="S1308" s="1" t="str">
        <f>IFERROR(__xludf.DUMMYFUNCTION("""COMPUTED_VALUE"""),"APPROVED")</f>
        <v>APPROVED</v>
      </c>
      <c r="T1308" s="1" t="str">
        <f>IFERROR(__xludf.DUMMYFUNCTION("""COMPUTED_VALUE"""),"RESERVED FACILITY")</f>
        <v>RESERVED FACILITY</v>
      </c>
      <c r="U1308" s="1"/>
      <c r="V1308" s="1"/>
      <c r="W1308" s="1"/>
    </row>
    <row r="1309" customHeight="1" spans="1:23">
      <c r="A1309" s="3">
        <f>IFERROR(__xludf.DUMMYFUNCTION("""COMPUTED_VALUE"""),46136)</f>
        <v>46136</v>
      </c>
      <c r="B1309" s="1" t="str">
        <f>IFERROR(__xludf.DUMMYFUNCTION("""COMPUTED_VALUE"""),"MAGDARAOG, KENNETH")</f>
        <v>MAGDARAOG, KENNETH</v>
      </c>
      <c r="C1309" s="1" t="str">
        <f>IFERROR(__xludf.DUMMYFUNCTION("""COMPUTED_VALUE"""),"ORGANIC")</f>
        <v>ORGANIC</v>
      </c>
      <c r="D1309" s="1" t="str">
        <f>IFERROR(__xludf.DUMMYFUNCTION("""COMPUTED_VALUE"""),"ALINGARO, CINDY")</f>
        <v>ALINGARO, CINDY</v>
      </c>
      <c r="E1309" s="1" t="str">
        <f>IFERROR(__xludf.DUMMYFUNCTION("""COMPUTED_VALUE"""),"PLDT")</f>
        <v>PLDT</v>
      </c>
      <c r="F1309" s="1">
        <f>IFERROR(__xludf.DUMMYFUNCTION("""COMPUTED_VALUE"""),2309092998)</f>
        <v>2309092998</v>
      </c>
      <c r="G1309" s="1">
        <f>IFERROR(__xludf.DUMMYFUNCTION("""COMPUTED_VALUE"""),451980437004)</f>
        <v>451980437004</v>
      </c>
      <c r="H1309" s="1" t="str">
        <f>IFERROR(__xludf.DUMMYFUNCTION("""COMPUTED_VALUE"""),"MARY GRACE OLIVAN BARCELON")</f>
        <v>MARY GRACE OLIVAN BARCELON</v>
      </c>
      <c r="I1309" s="1">
        <f>IFERROR(__xludf.DUMMYFUNCTION("""COMPUTED_VALUE"""),9538512913)</f>
        <v>9538512913</v>
      </c>
      <c r="J1309" s="1"/>
      <c r="K1309" s="1" t="str">
        <f>IFERROR(__xludf.DUMMYFUNCTION("""COMPUTED_VALUE"""),"RHIANJACED@GMAIL.COM")</f>
        <v>RHIANJACED@GMAIL.COM</v>
      </c>
      <c r="L1309" s="1" t="str">
        <f>IFERROR(__xludf.DUMMYFUNCTION("""COMPUTED_VALUE"""),"77040")</f>
        <v>77040</v>
      </c>
      <c r="M1309" s="1" t="str">
        <f>IFERROR(__xludf.DUMMYFUNCTION("""COMPUTED_VALUE"""),"BALITE RD")</f>
        <v>BALITE RD</v>
      </c>
      <c r="N1309" s="1"/>
      <c r="O1309" s="1" t="str">
        <f>IFERROR(__xludf.DUMMYFUNCTION("""COMPUTED_VALUE"""),"BANAYBANAY")</f>
        <v>BANAYBANAY</v>
      </c>
      <c r="P1309" s="1" t="str">
        <f>IFERROR(__xludf.DUMMYFUNCTION("""COMPUTED_VALUE"""),"AMADEO")</f>
        <v>AMADEO</v>
      </c>
      <c r="Q1309" s="1" t="str">
        <f>IFERROR(__xludf.DUMMYFUNCTION("""COMPUTED_VALUE"""),"CAVITE")</f>
        <v>CAVITE</v>
      </c>
      <c r="R1309" s="1" t="str">
        <f>IFERROR(__xludf.DUMMYFUNCTION("""COMPUTED_VALUE"""),"FIBR PLAN 1299")</f>
        <v>FIBR PLAN 1299</v>
      </c>
      <c r="S1309" s="1" t="str">
        <f>IFERROR(__xludf.DUMMYFUNCTION("""COMPUTED_VALUE"""),"APPROVED")</f>
        <v>APPROVED</v>
      </c>
      <c r="T1309" s="1" t="str">
        <f>IFERROR(__xludf.DUMMYFUNCTION("""COMPUTED_VALUE"""),"RPR- NAP FULL/ NO PAYMENT")</f>
        <v>RPR- NAP FULL/ NO PAYMENT</v>
      </c>
      <c r="U1309" s="1"/>
      <c r="V1309" s="1"/>
      <c r="W1309" s="1"/>
    </row>
    <row r="1310" customHeight="1" spans="1:23">
      <c r="A1310" s="3">
        <f>IFERROR(__xludf.DUMMYFUNCTION("""COMPUTED_VALUE"""),46136)</f>
        <v>46136</v>
      </c>
      <c r="B1310" s="1" t="str">
        <f>IFERROR(__xludf.DUMMYFUNCTION("""COMPUTED_VALUE"""),"AYON MANUEL")</f>
        <v>AYON MANUEL</v>
      </c>
      <c r="C1310" s="1" t="str">
        <f>IFERROR(__xludf.DUMMYFUNCTION("""COMPUTED_VALUE"""),"FLA")</f>
        <v>FLA</v>
      </c>
      <c r="D1310" s="1" t="str">
        <f>IFERROR(__xludf.DUMMYFUNCTION("""COMPUTED_VALUE"""),"JERIC NAVARRO")</f>
        <v>JERIC NAVARRO</v>
      </c>
      <c r="E1310" s="1" t="str">
        <f>IFERROR(__xludf.DUMMYFUNCTION("""COMPUTED_VALUE"""),"PLDT")</f>
        <v>PLDT</v>
      </c>
      <c r="F1310" s="1">
        <f>IFERROR(__xludf.DUMMYFUNCTION("""COMPUTED_VALUE"""),2309095802)</f>
        <v>2309095802</v>
      </c>
      <c r="G1310" s="1">
        <f>IFERROR(__xludf.DUMMYFUNCTION("""COMPUTED_VALUE"""),451984863004)</f>
        <v>451984863004</v>
      </c>
      <c r="H1310" s="1" t="str">
        <f>IFERROR(__xludf.DUMMYFUNCTION("""COMPUTED_VALUE"""),"MARITESS TUBELLEZA PERANA")</f>
        <v>MARITESS TUBELLEZA PERANA</v>
      </c>
      <c r="I1310" s="1">
        <f>IFERROR(__xludf.DUMMYFUNCTION("""COMPUTED_VALUE"""),9278945692)</f>
        <v>9278945692</v>
      </c>
      <c r="J1310" s="1">
        <f>IFERROR(__xludf.DUMMYFUNCTION("""COMPUTED_VALUE"""),9150974547)</f>
        <v>9150974547</v>
      </c>
      <c r="K1310" s="1" t="str">
        <f>IFERROR(__xludf.DUMMYFUNCTION("""COMPUTED_VALUE"""),"MARVINTUBELLEZA@GMAIL.COM")</f>
        <v>MARVINTUBELLEZA@GMAIL.COM</v>
      </c>
      <c r="L1310" s="1" t="str">
        <f>IFERROR(__xludf.DUMMYFUNCTION("""COMPUTED_VALUE"""),"9134")</f>
        <v>9134</v>
      </c>
      <c r="M1310" s="1" t="str">
        <f>IFERROR(__xludf.DUMMYFUNCTION("""COMPUTED_VALUE"""),"BANAYBANAY RD")</f>
        <v>BANAYBANAY RD</v>
      </c>
      <c r="N1310" s="1"/>
      <c r="O1310" s="1" t="str">
        <f>IFERROR(__xludf.DUMMYFUNCTION("""COMPUTED_VALUE"""),"BANAYBANAY")</f>
        <v>BANAYBANAY</v>
      </c>
      <c r="P1310" s="1" t="str">
        <f>IFERROR(__xludf.DUMMYFUNCTION("""COMPUTED_VALUE"""),"AMADEO")</f>
        <v>AMADEO</v>
      </c>
      <c r="Q1310" s="1" t="str">
        <f>IFERROR(__xludf.DUMMYFUNCTION("""COMPUTED_VALUE"""),"CAVITE")</f>
        <v>CAVITE</v>
      </c>
      <c r="R1310" s="1" t="str">
        <f>IFERROR(__xludf.DUMMYFUNCTION("""COMPUTED_VALUE"""),"FIBR UNLI ALL PLAN 1399")</f>
        <v>FIBR UNLI ALL PLAN 1399</v>
      </c>
      <c r="S1310" s="1" t="str">
        <f>IFERROR(__xludf.DUMMYFUNCTION("""COMPUTED_VALUE"""),"APPROVED")</f>
        <v>APPROVED</v>
      </c>
      <c r="T1310" s="1" t="str">
        <f>IFERROR(__xludf.DUMMYFUNCTION("""COMPUTED_VALUE"""),"POSTED")</f>
        <v>POSTED</v>
      </c>
      <c r="U1310" s="1"/>
      <c r="V1310" s="1"/>
      <c r="W1310" s="1"/>
    </row>
    <row r="1311" customHeight="1" spans="1:23">
      <c r="A1311" s="3">
        <f>IFERROR(__xludf.DUMMYFUNCTION("""COMPUTED_VALUE"""),46137)</f>
        <v>46137</v>
      </c>
      <c r="B1311" s="1" t="str">
        <f>IFERROR(__xludf.DUMMYFUNCTION("""COMPUTED_VALUE"""),"FRANCISCO , ROSELYN")</f>
        <v>FRANCISCO , ROSELYN</v>
      </c>
      <c r="C1311" s="1" t="str">
        <f>IFERROR(__xludf.DUMMYFUNCTION("""COMPUTED_VALUE"""),"FLA")</f>
        <v>FLA</v>
      </c>
      <c r="D1311" s="1" t="str">
        <f>IFERROR(__xludf.DUMMYFUNCTION("""COMPUTED_VALUE"""),"JERIC NAVARRO")</f>
        <v>JERIC NAVARRO</v>
      </c>
      <c r="E1311" s="1" t="str">
        <f>IFERROR(__xludf.DUMMYFUNCTION("""COMPUTED_VALUE"""),"PLDT")</f>
        <v>PLDT</v>
      </c>
      <c r="F1311" s="1">
        <f>IFERROR(__xludf.DUMMYFUNCTION("""COMPUTED_VALUE"""),2309105623)</f>
        <v>2309105623</v>
      </c>
      <c r="G1311" s="1">
        <f>IFERROR(__xludf.DUMMYFUNCTION("""COMPUTED_VALUE"""),452059869004)</f>
        <v>452059869004</v>
      </c>
      <c r="H1311" s="1" t="str">
        <f>IFERROR(__xludf.DUMMYFUNCTION("""COMPUTED_VALUE"""),"LOUISA MAY PEREZ ENRIQUEZ")</f>
        <v>LOUISA MAY PEREZ ENRIQUEZ</v>
      </c>
      <c r="I1311" s="1">
        <f>IFERROR(__xludf.DUMMYFUNCTION("""COMPUTED_VALUE"""),9654366628)</f>
        <v>9654366628</v>
      </c>
      <c r="J1311" s="1">
        <f>IFERROR(__xludf.DUMMYFUNCTION("""COMPUTED_VALUE"""),9611961223)</f>
        <v>9611961223</v>
      </c>
      <c r="K1311" s="1" t="str">
        <f>IFERROR(__xludf.DUMMYFUNCTION("""COMPUTED_VALUE"""),"LOUISAMAY_PEREZ@YAHOO.COM")</f>
        <v>LOUISAMAY_PEREZ@YAHOO.COM</v>
      </c>
      <c r="L1311" s="1" t="str">
        <f>IFERROR(__xludf.DUMMYFUNCTION("""COMPUTED_VALUE"""),"BLK 4 LOT 53")</f>
        <v>BLK 4 LOT 53</v>
      </c>
      <c r="M1311" s="1" t="str">
        <f>IFERROR(__xludf.DUMMYFUNCTION("""COMPUTED_VALUE"""),"POBLACION RD")</f>
        <v>POBLACION RD</v>
      </c>
      <c r="N1311" s="1"/>
      <c r="O1311" s="1" t="str">
        <f>IFERROR(__xludf.DUMMYFUNCTION("""COMPUTED_VALUE"""),"POBLACION II")</f>
        <v>POBLACION II</v>
      </c>
      <c r="P1311" s="1" t="str">
        <f>IFERROR(__xludf.DUMMYFUNCTION("""COMPUTED_VALUE"""),"GEN MARIANO ALVAREZ")</f>
        <v>GEN MARIANO ALVAREZ</v>
      </c>
      <c r="Q1311" s="1" t="str">
        <f>IFERROR(__xludf.DUMMYFUNCTION("""COMPUTED_VALUE"""),"CAVITE")</f>
        <v>CAVITE</v>
      </c>
      <c r="R1311" s="1" t="str">
        <f>IFERROR(__xludf.DUMMYFUNCTION("""COMPUTED_VALUE"""),"FIBR UNLI ALL PLAN 1399")</f>
        <v>FIBR UNLI ALL PLAN 1399</v>
      </c>
      <c r="S1311" s="1" t="str">
        <f>IFERROR(__xludf.DUMMYFUNCTION("""COMPUTED_VALUE"""),"APPROVED")</f>
        <v>APPROVED</v>
      </c>
      <c r="T1311" s="1" t="str">
        <f>IFERROR(__xludf.DUMMYFUNCTION("""COMPUTED_VALUE"""),"POSTED")</f>
        <v>POSTED</v>
      </c>
      <c r="U1311" s="1"/>
      <c r="V1311" s="1"/>
      <c r="W1311" s="1"/>
    </row>
    <row r="1312" customHeight="1" spans="1:23">
      <c r="A1312" s="3">
        <f>IFERROR(__xludf.DUMMYFUNCTION("""COMPUTED_VALUE"""),46137)</f>
        <v>46137</v>
      </c>
      <c r="B1312" s="1" t="str">
        <f>IFERROR(__xludf.DUMMYFUNCTION("""COMPUTED_VALUE"""),"AYON MANUEL")</f>
        <v>AYON MANUEL</v>
      </c>
      <c r="C1312" s="1" t="str">
        <f>IFERROR(__xludf.DUMMYFUNCTION("""COMPUTED_VALUE"""),"FLA")</f>
        <v>FLA</v>
      </c>
      <c r="D1312" s="1" t="str">
        <f>IFERROR(__xludf.DUMMYFUNCTION("""COMPUTED_VALUE"""),"JERIC NAVARRO")</f>
        <v>JERIC NAVARRO</v>
      </c>
      <c r="E1312" s="1" t="str">
        <f>IFERROR(__xludf.DUMMYFUNCTION("""COMPUTED_VALUE"""),"PLDT")</f>
        <v>PLDT</v>
      </c>
      <c r="F1312" s="1">
        <f>IFERROR(__xludf.DUMMYFUNCTION("""COMPUTED_VALUE"""),2309107213)</f>
        <v>2309107213</v>
      </c>
      <c r="G1312" s="1">
        <f>IFERROR(__xludf.DUMMYFUNCTION("""COMPUTED_VALUE"""),452060131004)</f>
        <v>452060131004</v>
      </c>
      <c r="H1312" s="1" t="str">
        <f>IFERROR(__xludf.DUMMYFUNCTION("""COMPUTED_VALUE"""),"MAECAELA BUENAFLOR DELMO")</f>
        <v>MAECAELA BUENAFLOR DELMO</v>
      </c>
      <c r="I1312" s="1">
        <f>IFERROR(__xludf.DUMMYFUNCTION("""COMPUTED_VALUE"""),9692868223)</f>
        <v>9692868223</v>
      </c>
      <c r="J1312" s="1">
        <f>IFERROR(__xludf.DUMMYFUNCTION("""COMPUTED_VALUE"""),9198914597)</f>
        <v>9198914597</v>
      </c>
      <c r="K1312" s="1"/>
      <c r="L1312" s="1" t="str">
        <f>IFERROR(__xludf.DUMMYFUNCTION("""COMPUTED_VALUE"""),"379")</f>
        <v>379</v>
      </c>
      <c r="M1312" s="1" t="str">
        <f>IFERROR(__xludf.DUMMYFUNCTION("""COMPUTED_VALUE"""),"JP RIZAL")</f>
        <v>JP RIZAL</v>
      </c>
      <c r="N1312" s="1" t="str">
        <f>IFERROR(__xludf.DUMMYFUNCTION("""COMPUTED_VALUE"""),"OLD SABUNGAN")</f>
        <v>OLD SABUNGAN</v>
      </c>
      <c r="O1312" s="1" t="str">
        <f>IFERROR(__xludf.DUMMYFUNCTION("""COMPUTED_VALUE"""),"GALICIA III")</f>
        <v>GALICIA III</v>
      </c>
      <c r="P1312" s="1" t="str">
        <f>IFERROR(__xludf.DUMMYFUNCTION("""COMPUTED_VALUE"""),"MENDEZ")</f>
        <v>MENDEZ</v>
      </c>
      <c r="Q1312" s="1" t="str">
        <f>IFERROR(__xludf.DUMMYFUNCTION("""COMPUTED_VALUE"""),"CAVITE")</f>
        <v>CAVITE</v>
      </c>
      <c r="R1312" s="1" t="str">
        <f>IFERROR(__xludf.DUMMYFUNCTION("""COMPUTED_VALUE"""),"FIBR PLAN 1299")</f>
        <v>FIBR PLAN 1299</v>
      </c>
      <c r="S1312" s="1" t="str">
        <f>IFERROR(__xludf.DUMMYFUNCTION("""COMPUTED_VALUE"""),"APPROVED")</f>
        <v>APPROVED</v>
      </c>
      <c r="T1312" s="1" t="str">
        <f>IFERROR(__xludf.DUMMYFUNCTION("""COMPUTED_VALUE"""),"RPR-NAP FULL")</f>
        <v>RPR-NAP FULL</v>
      </c>
      <c r="U1312" s="1"/>
      <c r="V1312" s="1"/>
      <c r="W1312" s="1"/>
    </row>
    <row r="1313" customHeight="1" spans="1:23">
      <c r="A1313" s="3">
        <f>IFERROR(__xludf.DUMMYFUNCTION("""COMPUTED_VALUE"""),46137)</f>
        <v>46137</v>
      </c>
      <c r="B1313" s="1" t="str">
        <f>IFERROR(__xludf.DUMMYFUNCTION("""COMPUTED_VALUE"""),"AYON MANUEL")</f>
        <v>AYON MANUEL</v>
      </c>
      <c r="C1313" s="1" t="str">
        <f>IFERROR(__xludf.DUMMYFUNCTION("""COMPUTED_VALUE"""),"FLA")</f>
        <v>FLA</v>
      </c>
      <c r="D1313" s="1" t="str">
        <f>IFERROR(__xludf.DUMMYFUNCTION("""COMPUTED_VALUE"""),"JERIC NAVARRO")</f>
        <v>JERIC NAVARRO</v>
      </c>
      <c r="E1313" s="1" t="str">
        <f>IFERROR(__xludf.DUMMYFUNCTION("""COMPUTED_VALUE"""),"PLDT")</f>
        <v>PLDT</v>
      </c>
      <c r="F1313" s="1">
        <f>IFERROR(__xludf.DUMMYFUNCTION("""COMPUTED_VALUE"""),2309107170)</f>
        <v>2309107170</v>
      </c>
      <c r="G1313" s="1">
        <f>IFERROR(__xludf.DUMMYFUNCTION("""COMPUTED_VALUE"""),452060240004)</f>
        <v>452060240004</v>
      </c>
      <c r="H1313" s="1" t="str">
        <f>IFERROR(__xludf.DUMMYFUNCTION("""COMPUTED_VALUE"""),"JAN KENNETH MALLI TANGON")</f>
        <v>JAN KENNETH MALLI TANGON</v>
      </c>
      <c r="I1313" s="1">
        <f>IFERROR(__xludf.DUMMYFUNCTION("""COMPUTED_VALUE"""),9937986872)</f>
        <v>9937986872</v>
      </c>
      <c r="J1313" s="1">
        <f>IFERROR(__xludf.DUMMYFUNCTION("""COMPUTED_VALUE"""),9617059016)</f>
        <v>9617059016</v>
      </c>
      <c r="K1313" s="1" t="str">
        <f>IFERROR(__xludf.DUMMYFUNCTION("""COMPUTED_VALUE"""),"TEYTANGON.WTPE@GMAIL.COM")</f>
        <v>TEYTANGON.WTPE@GMAIL.COM</v>
      </c>
      <c r="L1313" s="1" t="str">
        <f>IFERROR(__xludf.DUMMYFUNCTION("""COMPUTED_VALUE"""),"21")</f>
        <v>21</v>
      </c>
      <c r="M1313" s="1" t="str">
        <f>IFERROR(__xludf.DUMMYFUNCTION("""COMPUTED_VALUE"""),"PUROK 1B")</f>
        <v>PUROK 1B</v>
      </c>
      <c r="N1313" s="1"/>
      <c r="O1313" s="1" t="str">
        <f>IFERROR(__xludf.DUMMYFUNCTION("""COMPUTED_VALUE"""),"LUKSUHIN ILAYA")</f>
        <v>LUKSUHIN ILAYA</v>
      </c>
      <c r="P1313" s="1" t="str">
        <f>IFERROR(__xludf.DUMMYFUNCTION("""COMPUTED_VALUE"""),"ALFONSO")</f>
        <v>ALFONSO</v>
      </c>
      <c r="Q1313" s="1" t="str">
        <f>IFERROR(__xludf.DUMMYFUNCTION("""COMPUTED_VALUE"""),"CAVITE")</f>
        <v>CAVITE</v>
      </c>
      <c r="R1313" s="1" t="str">
        <f>IFERROR(__xludf.DUMMYFUNCTION("""COMPUTED_VALUE"""),"FIBR NETFLIX PLAN 1599")</f>
        <v>FIBR NETFLIX PLAN 1599</v>
      </c>
      <c r="S1313" s="1" t="str">
        <f>IFERROR(__xludf.DUMMYFUNCTION("""COMPUTED_VALUE"""),"APPROVED")</f>
        <v>APPROVED</v>
      </c>
      <c r="T1313" s="1" t="str">
        <f>IFERROR(__xludf.DUMMYFUNCTION("""COMPUTED_VALUE"""),"POSTED")</f>
        <v>POSTED</v>
      </c>
      <c r="U1313" s="1"/>
      <c r="V1313" s="1"/>
      <c r="W1313" s="1"/>
    </row>
    <row r="1314" customHeight="1" spans="1:23">
      <c r="A1314" s="3">
        <f>IFERROR(__xludf.DUMMYFUNCTION("""COMPUTED_VALUE"""),46137)</f>
        <v>46137</v>
      </c>
      <c r="B1314" s="1" t="str">
        <f>IFERROR(__xludf.DUMMYFUNCTION("""COMPUTED_VALUE"""),"ESCARCHA, MA ALMA  ESCOTO")</f>
        <v>ESCARCHA, MA ALMA  ESCOTO</v>
      </c>
      <c r="C1314" s="1" t="str">
        <f>IFERROR(__xludf.DUMMYFUNCTION("""COMPUTED_VALUE"""),"ORGANIC")</f>
        <v>ORGANIC</v>
      </c>
      <c r="D1314" s="1" t="str">
        <f>IFERROR(__xludf.DUMMYFUNCTION("""COMPUTED_VALUE"""),"ALINGARO, CINDY")</f>
        <v>ALINGARO, CINDY</v>
      </c>
      <c r="E1314" s="1" t="str">
        <f>IFERROR(__xludf.DUMMYFUNCTION("""COMPUTED_VALUE"""),"PLDT")</f>
        <v>PLDT</v>
      </c>
      <c r="F1314" s="1">
        <f>IFERROR(__xludf.DUMMYFUNCTION("""COMPUTED_VALUE"""),2309108069)</f>
        <v>2309108069</v>
      </c>
      <c r="G1314" s="1">
        <f>IFERROR(__xludf.DUMMYFUNCTION("""COMPUTED_VALUE"""),452064727004)</f>
        <v>452064727004</v>
      </c>
      <c r="H1314" s="1" t="str">
        <f>IFERROR(__xludf.DUMMYFUNCTION("""COMPUTED_VALUE"""),"ROVIELYN ESGUERRA MARRON")</f>
        <v>ROVIELYN ESGUERRA MARRON</v>
      </c>
      <c r="I1314" s="1">
        <f>IFERROR(__xludf.DUMMYFUNCTION("""COMPUTED_VALUE"""),9702151132)</f>
        <v>9702151132</v>
      </c>
      <c r="J1314" s="1">
        <f>IFERROR(__xludf.DUMMYFUNCTION("""COMPUTED_VALUE"""),9515822074)</f>
        <v>9515822074</v>
      </c>
      <c r="K1314" s="1"/>
      <c r="L1314" s="1" t="str">
        <f>IFERROR(__xludf.DUMMYFUNCTION("""COMPUTED_VALUE"""),"BLK L15 LOT 6")</f>
        <v>BLK L15 LOT 6</v>
      </c>
      <c r="M1314" s="1" t="str">
        <f>IFERROR(__xludf.DUMMYFUNCTION("""COMPUTED_VALUE"""),"EMMANUEL")</f>
        <v>EMMANUEL</v>
      </c>
      <c r="N1314" s="1"/>
      <c r="O1314" s="1" t="str">
        <f>IFERROR(__xludf.DUMMYFUNCTION("""COMPUTED_VALUE"""),"EMMANUEL BERGADO I")</f>
        <v>EMMANUEL BERGADO I</v>
      </c>
      <c r="P1314" s="1" t="str">
        <f>IFERROR(__xludf.DUMMYFUNCTION("""COMPUTED_VALUE"""),"DASMARINAS")</f>
        <v>DASMARINAS</v>
      </c>
      <c r="Q1314" s="1" t="str">
        <f>IFERROR(__xludf.DUMMYFUNCTION("""COMPUTED_VALUE"""),"CAVITE")</f>
        <v>CAVITE</v>
      </c>
      <c r="R1314" s="1" t="str">
        <f>IFERROR(__xludf.DUMMYFUNCTION("""COMPUTED_VALUE"""),"FIBR PLAN 1299")</f>
        <v>FIBR PLAN 1299</v>
      </c>
      <c r="S1314" s="1" t="str">
        <f>IFERROR(__xludf.DUMMYFUNCTION("""COMPUTED_VALUE"""),"APPROVED")</f>
        <v>APPROVED</v>
      </c>
      <c r="T1314" s="1" t="str">
        <f>IFERROR(__xludf.DUMMYFUNCTION("""COMPUTED_VALUE"""),"POSTED")</f>
        <v>POSTED</v>
      </c>
      <c r="U1314" s="1"/>
      <c r="V1314" s="1"/>
      <c r="W1314" s="1"/>
    </row>
    <row r="1315" customHeight="1" spans="1:23">
      <c r="A1315" s="3">
        <f>IFERROR(__xludf.DUMMYFUNCTION("""COMPUTED_VALUE"""),46137)</f>
        <v>46137</v>
      </c>
      <c r="B1315" s="1" t="str">
        <f>IFERROR(__xludf.DUMMYFUNCTION("""COMPUTED_VALUE"""),"GABAY, MANUEL")</f>
        <v>GABAY, MANUEL</v>
      </c>
      <c r="C1315" s="1" t="str">
        <f>IFERROR(__xludf.DUMMYFUNCTION("""COMPUTED_VALUE"""),"FLA")</f>
        <v>FLA</v>
      </c>
      <c r="D1315" s="1" t="str">
        <f>IFERROR(__xludf.DUMMYFUNCTION("""COMPUTED_VALUE"""),"JERIC NAVARRO")</f>
        <v>JERIC NAVARRO</v>
      </c>
      <c r="E1315" s="1" t="str">
        <f>IFERROR(__xludf.DUMMYFUNCTION("""COMPUTED_VALUE"""),"PLDT")</f>
        <v>PLDT</v>
      </c>
      <c r="F1315" s="1">
        <f>IFERROR(__xludf.DUMMYFUNCTION("""COMPUTED_VALUE"""),2309107863)</f>
        <v>2309107863</v>
      </c>
      <c r="G1315" s="1">
        <f>IFERROR(__xludf.DUMMYFUNCTION("""COMPUTED_VALUE"""),452062159004)</f>
        <v>452062159004</v>
      </c>
      <c r="H1315" s="1" t="str">
        <f>IFERROR(__xludf.DUMMYFUNCTION("""COMPUTED_VALUE"""),"JERIC MACANAS PALOYO")</f>
        <v>JERIC MACANAS PALOYO</v>
      </c>
      <c r="I1315" s="1">
        <f>IFERROR(__xludf.DUMMYFUNCTION("""COMPUTED_VALUE"""),9950111482)</f>
        <v>9950111482</v>
      </c>
      <c r="J1315" s="1">
        <f>IFERROR(__xludf.DUMMYFUNCTION("""COMPUTED_VALUE"""),9516479897)</f>
        <v>9516479897</v>
      </c>
      <c r="K1315" s="1" t="str">
        <f>IFERROR(__xludf.DUMMYFUNCTION("""COMPUTED_VALUE"""),"JERICPALOYO@GMAIL.COM")</f>
        <v>JERICPALOYO@GMAIL.COM</v>
      </c>
      <c r="L1315" s="1" t="str">
        <f>IFERROR(__xludf.DUMMYFUNCTION("""COMPUTED_VALUE"""),"513")</f>
        <v>513</v>
      </c>
      <c r="M1315" s="1" t="str">
        <f>IFERROR(__xludf.DUMMYFUNCTION("""COMPUTED_VALUE"""),"DAAN KALUBKOB")</f>
        <v>DAAN KALUBKOB</v>
      </c>
      <c r="N1315" s="1"/>
      <c r="O1315" s="1" t="str">
        <f>IFERROR(__xludf.DUMMYFUNCTION("""COMPUTED_VALUE"""),"KALUBKOB")</f>
        <v>KALUBKOB</v>
      </c>
      <c r="P1315" s="1" t="str">
        <f>IFERROR(__xludf.DUMMYFUNCTION("""COMPUTED_VALUE"""),"SILANG")</f>
        <v>SILANG</v>
      </c>
      <c r="Q1315" s="1" t="str">
        <f>IFERROR(__xludf.DUMMYFUNCTION("""COMPUTED_VALUE"""),"CAVITE")</f>
        <v>CAVITE</v>
      </c>
      <c r="R1315" s="1" t="str">
        <f>IFERROR(__xludf.DUMMYFUNCTION("""COMPUTED_VALUE"""),"FIBR UNLI ALL PLAN 1799")</f>
        <v>FIBR UNLI ALL PLAN 1799</v>
      </c>
      <c r="S1315" s="1" t="str">
        <f>IFERROR(__xludf.DUMMYFUNCTION("""COMPUTED_VALUE"""),"APPROVED")</f>
        <v>APPROVED</v>
      </c>
      <c r="T1315" s="1" t="str">
        <f>IFERROR(__xludf.DUMMYFUNCTION("""COMPUTED_VALUE"""),"POSTED")</f>
        <v>POSTED</v>
      </c>
      <c r="U1315" s="1"/>
      <c r="V1315" s="1"/>
      <c r="W1315" s="1"/>
    </row>
    <row r="1316" customHeight="1" spans="1:23">
      <c r="A1316" s="3">
        <f>IFERROR(__xludf.DUMMYFUNCTION("""COMPUTED_VALUE"""),46137)</f>
        <v>46137</v>
      </c>
      <c r="B1316" s="1" t="str">
        <f>IFERROR(__xludf.DUMMYFUNCTION("""COMPUTED_VALUE"""),"CARPIO, STEPHANIE NICOLE")</f>
        <v>CARPIO, STEPHANIE NICOLE</v>
      </c>
      <c r="C1316" s="1" t="str">
        <f>IFERROR(__xludf.DUMMYFUNCTION("""COMPUTED_VALUE"""),"FLA")</f>
        <v>FLA</v>
      </c>
      <c r="D1316" s="1" t="str">
        <f>IFERROR(__xludf.DUMMYFUNCTION("""COMPUTED_VALUE"""),"JERIC NAVARRO")</f>
        <v>JERIC NAVARRO</v>
      </c>
      <c r="E1316" s="1" t="str">
        <f>IFERROR(__xludf.DUMMYFUNCTION("""COMPUTED_VALUE"""),"PLDT")</f>
        <v>PLDT</v>
      </c>
      <c r="F1316" s="1">
        <f>IFERROR(__xludf.DUMMYFUNCTION("""COMPUTED_VALUE"""),2309109423)</f>
        <v>2309109423</v>
      </c>
      <c r="G1316" s="1">
        <f>IFERROR(__xludf.DUMMYFUNCTION("""COMPUTED_VALUE"""),452282771004)</f>
        <v>452282771004</v>
      </c>
      <c r="H1316" s="1" t="str">
        <f>IFERROR(__xludf.DUMMYFUNCTION("""COMPUTED_VALUE"""),"FRANCISCO MERCADO VILLAROSA")</f>
        <v>FRANCISCO MERCADO VILLAROSA</v>
      </c>
      <c r="I1316" s="1">
        <f>IFERROR(__xludf.DUMMYFUNCTION("""COMPUTED_VALUE"""),9663040220)</f>
        <v>9663040220</v>
      </c>
      <c r="J1316" s="1"/>
      <c r="K1316" s="1" t="str">
        <f>IFERROR(__xludf.DUMMYFUNCTION("""COMPUTED_VALUE"""),"MTBVILLAROSA@GMAIL.COM")</f>
        <v>MTBVILLAROSA@GMAIL.COM</v>
      </c>
      <c r="L1316" s="1" t="str">
        <f>IFERROR(__xludf.DUMMYFUNCTION("""COMPUTED_VALUE"""),"220")</f>
        <v>220</v>
      </c>
      <c r="M1316" s="1" t="str">
        <f>IFERROR(__xludf.DUMMYFUNCTION("""COMPUTED_VALUE"""),"CABANELLA")</f>
        <v>CABANELLA</v>
      </c>
      <c r="N1316" s="1"/>
      <c r="O1316" s="1" t="str">
        <f>IFERROR(__xludf.DUMMYFUNCTION("""COMPUTED_VALUE"""),"BARANGAY 50 (KABALYERO)")</f>
        <v>BARANGAY 50 (KABALYERO)</v>
      </c>
      <c r="P1316" s="1" t="str">
        <f>IFERROR(__xludf.DUMMYFUNCTION("""COMPUTED_VALUE"""),"CAVITE CITY")</f>
        <v>CAVITE CITY</v>
      </c>
      <c r="Q1316" s="1" t="str">
        <f>IFERROR(__xludf.DUMMYFUNCTION("""COMPUTED_VALUE"""),"CAVITE")</f>
        <v>CAVITE</v>
      </c>
      <c r="R1316" s="1" t="str">
        <f>IFERROR(__xludf.DUMMYFUNCTION("""COMPUTED_VALUE"""),"FIBR UNLI ALL PLAN 1399")</f>
        <v>FIBR UNLI ALL PLAN 1399</v>
      </c>
      <c r="S1316" s="1" t="str">
        <f>IFERROR(__xludf.DUMMYFUNCTION("""COMPUTED_VALUE"""),"APPROVED")</f>
        <v>APPROVED</v>
      </c>
      <c r="T1316" s="1" t="str">
        <f>IFERROR(__xludf.DUMMYFUNCTION("""COMPUTED_VALUE"""),"FOR PAYMENT")</f>
        <v>FOR PAYMENT</v>
      </c>
      <c r="U1316" s="1"/>
      <c r="V1316" s="1"/>
      <c r="W1316" s="1"/>
    </row>
    <row r="1317" customHeight="1" spans="1:23">
      <c r="A1317" s="3">
        <f>IFERROR(__xludf.DUMMYFUNCTION("""COMPUTED_VALUE"""),46137)</f>
        <v>46137</v>
      </c>
      <c r="B1317" s="1" t="str">
        <f>IFERROR(__xludf.DUMMYFUNCTION("""COMPUTED_VALUE"""),"MAÑANITA, ERIKA")</f>
        <v>MAÑANITA, ERIKA</v>
      </c>
      <c r="C1317" s="1" t="str">
        <f>IFERROR(__xludf.DUMMYFUNCTION("""COMPUTED_VALUE"""),"ORGANIC")</f>
        <v>ORGANIC</v>
      </c>
      <c r="D1317" s="1" t="str">
        <f>IFERROR(__xludf.DUMMYFUNCTION("""COMPUTED_VALUE"""),"ALOS, CHARLS")</f>
        <v>ALOS, CHARLS</v>
      </c>
      <c r="E1317" s="1" t="str">
        <f>IFERROR(__xludf.DUMMYFUNCTION("""COMPUTED_VALUE"""),"PLDT")</f>
        <v>PLDT</v>
      </c>
      <c r="F1317" s="1">
        <f>IFERROR(__xludf.DUMMYFUNCTION("""COMPUTED_VALUE"""),2309110925)</f>
        <v>2309110925</v>
      </c>
      <c r="G1317" s="1">
        <f>IFERROR(__xludf.DUMMYFUNCTION("""COMPUTED_VALUE"""),452065346004)</f>
        <v>452065346004</v>
      </c>
      <c r="H1317" s="1" t="str">
        <f>IFERROR(__xludf.DUMMYFUNCTION("""COMPUTED_VALUE"""),"BELINDA ABINGUNA")</f>
        <v>BELINDA ABINGUNA</v>
      </c>
      <c r="I1317" s="1">
        <f>IFERROR(__xludf.DUMMYFUNCTION("""COMPUTED_VALUE"""),9932831902)</f>
        <v>9932831902</v>
      </c>
      <c r="J1317" s="1">
        <f>IFERROR(__xludf.DUMMYFUNCTION("""COMPUTED_VALUE"""),9935790978)</f>
        <v>9935790978</v>
      </c>
      <c r="K1317" s="1" t="str">
        <f>IFERROR(__xludf.DUMMYFUNCTION("""COMPUTED_VALUE"""),"BELINDAABINGUNA0022@GMAIL.COM")</f>
        <v>BELINDAABINGUNA0022@GMAIL.COM</v>
      </c>
      <c r="L1317" s="1" t="str">
        <f>IFERROR(__xludf.DUMMYFUNCTION("""COMPUTED_VALUE"""),"BLK 43 LOT 8")</f>
        <v>BLK 43 LOT 8</v>
      </c>
      <c r="M1317" s="1" t="str">
        <f>IFERROR(__xludf.DUMMYFUNCTION("""COMPUTED_VALUE"""),"PHASE 1")</f>
        <v>PHASE 1</v>
      </c>
      <c r="N1317" s="1"/>
      <c r="O1317" s="1" t="str">
        <f>IFERROR(__xludf.DUMMYFUNCTION("""COMPUTED_VALUE"""),"PALIPARAN III")</f>
        <v>PALIPARAN III</v>
      </c>
      <c r="P1317" s="1" t="str">
        <f>IFERROR(__xludf.DUMMYFUNCTION("""COMPUTED_VALUE"""),"DASMARINAS")</f>
        <v>DASMARINAS</v>
      </c>
      <c r="Q1317" s="1" t="str">
        <f>IFERROR(__xludf.DUMMYFUNCTION("""COMPUTED_VALUE"""),"CAVITE")</f>
        <v>CAVITE</v>
      </c>
      <c r="R1317" s="1" t="str">
        <f>IFERROR(__xludf.DUMMYFUNCTION("""COMPUTED_VALUE"""),"SWITCH FIBER UNLI ALL 1799")</f>
        <v>SWITCH FIBER UNLI ALL 1799</v>
      </c>
      <c r="S1317" s="1" t="str">
        <f>IFERROR(__xludf.DUMMYFUNCTION("""COMPUTED_VALUE"""),"APPROVED")</f>
        <v>APPROVED</v>
      </c>
      <c r="T1317" s="1" t="str">
        <f>IFERROR(__xludf.DUMMYFUNCTION("""COMPUTED_VALUE"""),"POSTED")</f>
        <v>POSTED</v>
      </c>
      <c r="U1317" s="1"/>
      <c r="V1317" s="1"/>
      <c r="W1317" s="1"/>
    </row>
    <row r="1318" customHeight="1" spans="1:23">
      <c r="A1318" s="3">
        <f>IFERROR(__xludf.DUMMYFUNCTION("""COMPUTED_VALUE"""),46137)</f>
        <v>46137</v>
      </c>
      <c r="B1318" s="1" t="str">
        <f>IFERROR(__xludf.DUMMYFUNCTION("""COMPUTED_VALUE"""),"ADVINCULA, NICOLE")</f>
        <v>ADVINCULA, NICOLE</v>
      </c>
      <c r="C1318" s="1" t="str">
        <f>IFERROR(__xludf.DUMMYFUNCTION("""COMPUTED_VALUE"""),"ORGANIC")</f>
        <v>ORGANIC</v>
      </c>
      <c r="D1318" s="1" t="str">
        <f>IFERROR(__xludf.DUMMYFUNCTION("""COMPUTED_VALUE"""),"ALINGARO, CINDY")</f>
        <v>ALINGARO, CINDY</v>
      </c>
      <c r="E1318" s="1" t="str">
        <f>IFERROR(__xludf.DUMMYFUNCTION("""COMPUTED_VALUE"""),"PLDT")</f>
        <v>PLDT</v>
      </c>
      <c r="F1318" s="1">
        <f>IFERROR(__xludf.DUMMYFUNCTION("""COMPUTED_VALUE"""),2309113580)</f>
        <v>2309113580</v>
      </c>
      <c r="G1318" s="1">
        <f>IFERROR(__xludf.DUMMYFUNCTION("""COMPUTED_VALUE"""),452067914004)</f>
        <v>452067914004</v>
      </c>
      <c r="H1318" s="1" t="str">
        <f>IFERROR(__xludf.DUMMYFUNCTION("""COMPUTED_VALUE"""),"AYMAR BAURILE BAYBAY")</f>
        <v>AYMAR BAURILE BAYBAY</v>
      </c>
      <c r="I1318" s="1">
        <f>IFERROR(__xludf.DUMMYFUNCTION("""COMPUTED_VALUE"""),9189156460)</f>
        <v>9189156460</v>
      </c>
      <c r="J1318" s="1"/>
      <c r="K1318" s="1" t="str">
        <f>IFERROR(__xludf.DUMMYFUNCTION("""COMPUTED_VALUE"""),"DOKAYAMAR2021@GMAIL.COM")</f>
        <v>DOKAYAMAR2021@GMAIL.COM</v>
      </c>
      <c r="L1318" s="1" t="str">
        <f>IFERROR(__xludf.DUMMYFUNCTION("""COMPUTED_VALUE"""),"446")</f>
        <v>446</v>
      </c>
      <c r="M1318" s="1" t="str">
        <f>IFERROR(__xludf.DUMMYFUNCTION("""COMPUTED_VALUE"""),"LAVINIA")</f>
        <v>LAVINIA</v>
      </c>
      <c r="N1318" s="1"/>
      <c r="O1318" s="1" t="str">
        <f>IFERROR(__xludf.DUMMYFUNCTION("""COMPUTED_VALUE"""),"BARANGAY 4 POBLACION")</f>
        <v>BARANGAY 4 POBLACION</v>
      </c>
      <c r="P1318" s="1" t="str">
        <f>IFERROR(__xludf.DUMMYFUNCTION("""COMPUTED_VALUE"""),"AMADEO")</f>
        <v>AMADEO</v>
      </c>
      <c r="Q1318" s="1" t="str">
        <f>IFERROR(__xludf.DUMMYFUNCTION("""COMPUTED_VALUE"""),"CAVITE")</f>
        <v>CAVITE</v>
      </c>
      <c r="R1318" s="1" t="str">
        <f>IFERROR(__xludf.DUMMYFUNCTION("""COMPUTED_VALUE"""),"FIBR PLAN 1299")</f>
        <v>FIBR PLAN 1299</v>
      </c>
      <c r="S1318" s="1" t="str">
        <f>IFERROR(__xludf.DUMMYFUNCTION("""COMPUTED_VALUE"""),"APPROVED")</f>
        <v>APPROVED</v>
      </c>
      <c r="T1318" s="1" t="str">
        <f>IFERROR(__xludf.DUMMYFUNCTION("""COMPUTED_VALUE"""),"PAID FOR INSTALLATION")</f>
        <v>PAID FOR INSTALLATION</v>
      </c>
      <c r="U1318" s="1"/>
      <c r="V1318" s="1"/>
      <c r="W1318" s="1"/>
    </row>
    <row r="1319" customHeight="1" spans="1:23">
      <c r="A1319" s="3">
        <f>IFERROR(__xludf.DUMMYFUNCTION("""COMPUTED_VALUE"""),46137)</f>
        <v>46137</v>
      </c>
      <c r="B1319" s="1" t="str">
        <f>IFERROR(__xludf.DUMMYFUNCTION("""COMPUTED_VALUE"""),"REMOLLO, LEA")</f>
        <v>REMOLLO, LEA</v>
      </c>
      <c r="C1319" s="1" t="str">
        <f>IFERROR(__xludf.DUMMYFUNCTION("""COMPUTED_VALUE"""),"FLA")</f>
        <v>FLA</v>
      </c>
      <c r="D1319" s="1" t="str">
        <f>IFERROR(__xludf.DUMMYFUNCTION("""COMPUTED_VALUE"""),"JERIC NAVARRO")</f>
        <v>JERIC NAVARRO</v>
      </c>
      <c r="E1319" s="1" t="str">
        <f>IFERROR(__xludf.DUMMYFUNCTION("""COMPUTED_VALUE"""),"PLDT")</f>
        <v>PLDT</v>
      </c>
      <c r="F1319" s="1">
        <f>IFERROR(__xludf.DUMMYFUNCTION("""COMPUTED_VALUE"""),2309114011)</f>
        <v>2309114011</v>
      </c>
      <c r="G1319" s="1"/>
      <c r="H1319" s="1" t="str">
        <f>IFERROR(__xludf.DUMMYFUNCTION("""COMPUTED_VALUE"""),"GLENN PAUL CANCEJO SORIANO")</f>
        <v>GLENN PAUL CANCEJO SORIANO</v>
      </c>
      <c r="I1319" s="1">
        <f>IFERROR(__xludf.DUMMYFUNCTION("""COMPUTED_VALUE"""),9293278752)</f>
        <v>9293278752</v>
      </c>
      <c r="J1319" s="1"/>
      <c r="K1319" s="1" t="str">
        <f>IFERROR(__xludf.DUMMYFUNCTION("""COMPUTED_VALUE"""),"SORIANOGLENNPAULC@YAHOO.COM")</f>
        <v>SORIANOGLENNPAULC@YAHOO.COM</v>
      </c>
      <c r="L1319" s="1" t="str">
        <f>IFERROR(__xludf.DUMMYFUNCTION("""COMPUTED_VALUE"""),"BLK 13 LOT 10")</f>
        <v>BLK 13 LOT 10</v>
      </c>
      <c r="M1319" s="1" t="str">
        <f>IFERROR(__xludf.DUMMYFUNCTION("""COMPUTED_VALUE"""),"GOITI ")</f>
        <v>GOITI </v>
      </c>
      <c r="N1319" s="1" t="str">
        <f>IFERROR(__xludf.DUMMYFUNCTION("""COMPUTED_VALUE"""),"MALLORCA PHASE 2")</f>
        <v>MALLORCA PHASE 2</v>
      </c>
      <c r="O1319" s="1" t="str">
        <f>IFERROR(__xludf.DUMMYFUNCTION("""COMPUTED_VALUE"""),"MAGUYAM")</f>
        <v>MAGUYAM</v>
      </c>
      <c r="P1319" s="1" t="str">
        <f>IFERROR(__xludf.DUMMYFUNCTION("""COMPUTED_VALUE"""),"SILANG")</f>
        <v>SILANG</v>
      </c>
      <c r="Q1319" s="1" t="str">
        <f>IFERROR(__xludf.DUMMYFUNCTION("""COMPUTED_VALUE"""),"CAVITE")</f>
        <v>CAVITE</v>
      </c>
      <c r="R1319" s="1" t="str">
        <f>IFERROR(__xludf.DUMMYFUNCTION("""COMPUTED_VALUE"""),"SWITCH FIBER NETFLIX PLAN 1599")</f>
        <v>SWITCH FIBER NETFLIX PLAN 1599</v>
      </c>
      <c r="S1319" s="1" t="str">
        <f>IFERROR(__xludf.DUMMYFUNCTION("""COMPUTED_VALUE"""),"APPROVED")</f>
        <v>APPROVED</v>
      </c>
      <c r="T1319" s="1" t="str">
        <f>IFERROR(__xludf.DUMMYFUNCTION("""COMPUTED_VALUE"""),"HD VALIDATION")</f>
        <v>HD VALIDATION</v>
      </c>
      <c r="U1319" s="1"/>
      <c r="V1319" s="1"/>
      <c r="W1319" s="1"/>
    </row>
    <row r="1320" customHeight="1" spans="1:23">
      <c r="A1320" s="3">
        <f>IFERROR(__xludf.DUMMYFUNCTION("""COMPUTED_VALUE"""),46137)</f>
        <v>46137</v>
      </c>
      <c r="B1320" s="1" t="str">
        <f>IFERROR(__xludf.DUMMYFUNCTION("""COMPUTED_VALUE"""),"LEADSTORE - ILANO, LIANDRO TEJAS")</f>
        <v>LEADSTORE - ILANO, LIANDRO TEJAS</v>
      </c>
      <c r="C1320" s="1" t="str">
        <f>IFERROR(__xludf.DUMMYFUNCTION("""COMPUTED_VALUE"""),"FLA")</f>
        <v>FLA</v>
      </c>
      <c r="D1320" s="1" t="str">
        <f>IFERROR(__xludf.DUMMYFUNCTION("""COMPUTED_VALUE"""),"JERIC NAVARRO")</f>
        <v>JERIC NAVARRO</v>
      </c>
      <c r="E1320" s="1" t="str">
        <f>IFERROR(__xludf.DUMMYFUNCTION("""COMPUTED_VALUE"""),"PLDT")</f>
        <v>PLDT</v>
      </c>
      <c r="F1320" s="1">
        <f>IFERROR(__xludf.DUMMYFUNCTION("""COMPUTED_VALUE"""),2309123050)</f>
        <v>2309123050</v>
      </c>
      <c r="G1320" s="1">
        <f>IFERROR(__xludf.DUMMYFUNCTION("""COMPUTED_VALUE"""),452167191004)</f>
        <v>452167191004</v>
      </c>
      <c r="H1320" s="1" t="str">
        <f>IFERROR(__xludf.DUMMYFUNCTION("""COMPUTED_VALUE"""),"ALVIN VERGARA ALMANZOR")</f>
        <v>ALVIN VERGARA ALMANZOR</v>
      </c>
      <c r="I1320" s="1">
        <f>IFERROR(__xludf.DUMMYFUNCTION("""COMPUTED_VALUE"""),9193200767)</f>
        <v>9193200767</v>
      </c>
      <c r="J1320" s="1">
        <f>IFERROR(__xludf.DUMMYFUNCTION("""COMPUTED_VALUE"""),9209470982)</f>
        <v>9209470982</v>
      </c>
      <c r="K1320" s="1" t="str">
        <f>IFERROR(__xludf.DUMMYFUNCTION("""COMPUTED_VALUE"""),"TRINZOR@GMAIL.COM")</f>
        <v>TRINZOR@GMAIL.COM</v>
      </c>
      <c r="L1320" s="1" t="str">
        <f>IFERROR(__xludf.DUMMYFUNCTION("""COMPUTED_VALUE"""),"BLK 10 LOT 27")</f>
        <v>BLK 10 LOT 27</v>
      </c>
      <c r="M1320" s="1" t="str">
        <f>IFERROR(__xludf.DUMMYFUNCTION("""COMPUTED_VALUE"""),"LIMBO")</f>
        <v>LIMBO</v>
      </c>
      <c r="N1320" s="1" t="str">
        <f>IFERROR(__xludf.DUMMYFUNCTION("""COMPUTED_VALUE"""),"COUNTRY HOMES")</f>
        <v>COUNTRY HOMES</v>
      </c>
      <c r="O1320" s="1" t="str">
        <f>IFERROR(__xludf.DUMMYFUNCTION("""COMPUTED_VALUE"""),"MAITIM 2ND WEST")</f>
        <v>MAITIM 2ND WEST</v>
      </c>
      <c r="P1320" s="1" t="str">
        <f>IFERROR(__xludf.DUMMYFUNCTION("""COMPUTED_VALUE"""),"TAGAYTAY")</f>
        <v>TAGAYTAY</v>
      </c>
      <c r="Q1320" s="1" t="str">
        <f>IFERROR(__xludf.DUMMYFUNCTION("""COMPUTED_VALUE"""),"CAVITE")</f>
        <v>CAVITE</v>
      </c>
      <c r="R1320" s="1" t="str">
        <f>IFERROR(__xludf.DUMMYFUNCTION("""COMPUTED_VALUE"""),"FIBR NETFLIX PLAN 1599")</f>
        <v>FIBR NETFLIX PLAN 1599</v>
      </c>
      <c r="S1320" s="1" t="str">
        <f>IFERROR(__xludf.DUMMYFUNCTION("""COMPUTED_VALUE"""),"APPROVED")</f>
        <v>APPROVED</v>
      </c>
      <c r="T1320" s="1" t="str">
        <f>IFERROR(__xludf.DUMMYFUNCTION("""COMPUTED_VALUE"""),"POSTED")</f>
        <v>POSTED</v>
      </c>
      <c r="U1320" s="1"/>
      <c r="V1320" s="1"/>
      <c r="W1320" s="1"/>
    </row>
    <row r="1321" customHeight="1" spans="1:23">
      <c r="A1321" s="3">
        <f>IFERROR(__xludf.DUMMYFUNCTION("""COMPUTED_VALUE"""),46137)</f>
        <v>46137</v>
      </c>
      <c r="B1321" s="1" t="str">
        <f>IFERROR(__xludf.DUMMYFUNCTION("""COMPUTED_VALUE"""),"REMOLLO, LEA")</f>
        <v>REMOLLO, LEA</v>
      </c>
      <c r="C1321" s="1" t="str">
        <f>IFERROR(__xludf.DUMMYFUNCTION("""COMPUTED_VALUE"""),"FLA")</f>
        <v>FLA</v>
      </c>
      <c r="D1321" s="1" t="str">
        <f>IFERROR(__xludf.DUMMYFUNCTION("""COMPUTED_VALUE"""),"JERIC NAVARRO")</f>
        <v>JERIC NAVARRO</v>
      </c>
      <c r="E1321" s="1" t="str">
        <f>IFERROR(__xludf.DUMMYFUNCTION("""COMPUTED_VALUE"""),"PLDT")</f>
        <v>PLDT</v>
      </c>
      <c r="F1321" s="1">
        <f>IFERROR(__xludf.DUMMYFUNCTION("""COMPUTED_VALUE"""),2309114578)</f>
        <v>2309114578</v>
      </c>
      <c r="G1321" s="1">
        <f>IFERROR(__xludf.DUMMYFUNCTION("""COMPUTED_VALUE"""),452282804004)</f>
        <v>452282804004</v>
      </c>
      <c r="H1321" s="1" t="str">
        <f>IFERROR(__xludf.DUMMYFUNCTION("""COMPUTED_VALUE"""),"KEVIN JAPZON DELFIN")</f>
        <v>KEVIN JAPZON DELFIN</v>
      </c>
      <c r="I1321" s="1">
        <f>IFERROR(__xludf.DUMMYFUNCTION("""COMPUTED_VALUE"""),9477520275)</f>
        <v>9477520275</v>
      </c>
      <c r="J1321" s="1"/>
      <c r="K1321" s="1" t="str">
        <f>IFERROR(__xludf.DUMMYFUNCTION("""COMPUTED_VALUE"""),"KEVINDELFIN0311@GMAIL.COM")</f>
        <v>KEVINDELFIN0311@GMAIL.COM</v>
      </c>
      <c r="L1321" s="1" t="str">
        <f>IFERROR(__xludf.DUMMYFUNCTION("""COMPUTED_VALUE"""),"9158")</f>
        <v>9158</v>
      </c>
      <c r="M1321" s="1" t="str">
        <f>IFERROR(__xludf.DUMMYFUNCTION("""COMPUTED_VALUE"""),"LAURENTE")</f>
        <v>LAURENTE</v>
      </c>
      <c r="N1321" s="1"/>
      <c r="O1321" s="1" t="str">
        <f>IFERROR(__xludf.DUMMYFUNCTION("""COMPUTED_VALUE"""),"EPIFANIO MALIA")</f>
        <v>EPIFANIO MALIA</v>
      </c>
      <c r="P1321" s="1" t="str">
        <f>IFERROR(__xludf.DUMMYFUNCTION("""COMPUTED_VALUE"""),"GEN MARIANO ALVAREZ")</f>
        <v>GEN MARIANO ALVAREZ</v>
      </c>
      <c r="Q1321" s="1" t="str">
        <f>IFERROR(__xludf.DUMMYFUNCTION("""COMPUTED_VALUE"""),"CAVITE")</f>
        <v>CAVITE</v>
      </c>
      <c r="R1321" s="1" t="str">
        <f>IFERROR(__xludf.DUMMYFUNCTION("""COMPUTED_VALUE"""),"FIBR PLAN 1299")</f>
        <v>FIBR PLAN 1299</v>
      </c>
      <c r="S1321" s="1" t="str">
        <f>IFERROR(__xludf.DUMMYFUNCTION("""COMPUTED_VALUE"""),"APPROVED")</f>
        <v>APPROVED</v>
      </c>
      <c r="T1321" s="1" t="str">
        <f>IFERROR(__xludf.DUMMYFUNCTION("""COMPUTED_VALUE"""),"FOR PAYMENT")</f>
        <v>FOR PAYMENT</v>
      </c>
      <c r="U1321" s="1"/>
      <c r="V1321" s="1"/>
      <c r="W1321" s="1"/>
    </row>
    <row r="1322" customHeight="1" spans="1:23">
      <c r="A1322" s="3">
        <f>IFERROR(__xludf.DUMMYFUNCTION("""COMPUTED_VALUE"""),46138)</f>
        <v>46138</v>
      </c>
      <c r="B1322" s="1" t="str">
        <f>IFERROR(__xludf.DUMMYFUNCTION("""COMPUTED_VALUE"""),"FARO, REFRANTA")</f>
        <v>FARO, REFRANTA</v>
      </c>
      <c r="C1322" s="1" t="str">
        <f>IFERROR(__xludf.DUMMYFUNCTION("""COMPUTED_VALUE"""),"ORGANIC")</f>
        <v>ORGANIC</v>
      </c>
      <c r="D1322" s="1" t="str">
        <f>IFERROR(__xludf.DUMMYFUNCTION("""COMPUTED_VALUE"""),"ALINGARO, CINDY")</f>
        <v>ALINGARO, CINDY</v>
      </c>
      <c r="E1322" s="1" t="str">
        <f>IFERROR(__xludf.DUMMYFUNCTION("""COMPUTED_VALUE"""),"PLDT")</f>
        <v>PLDT</v>
      </c>
      <c r="F1322" s="1">
        <f>IFERROR(__xludf.DUMMYFUNCTION("""COMPUTED_VALUE"""),2309123235)</f>
        <v>2309123235</v>
      </c>
      <c r="G1322" s="1">
        <f>IFERROR(__xludf.DUMMYFUNCTION("""COMPUTED_VALUE"""),452282801004)</f>
        <v>452282801004</v>
      </c>
      <c r="H1322" s="1" t="str">
        <f>IFERROR(__xludf.DUMMYFUNCTION("""COMPUTED_VALUE"""),"GRECHEN BARTOLOME RAMIREZ")</f>
        <v>GRECHEN BARTOLOME RAMIREZ</v>
      </c>
      <c r="I1322" s="1">
        <f>IFERROR(__xludf.DUMMYFUNCTION("""COMPUTED_VALUE"""),9850194719)</f>
        <v>9850194719</v>
      </c>
      <c r="J1322" s="1">
        <f>IFERROR(__xludf.DUMMYFUNCTION("""COMPUTED_VALUE"""),9631992805)</f>
        <v>9631992805</v>
      </c>
      <c r="K1322" s="1" t="str">
        <f>IFERROR(__xludf.DUMMYFUNCTION("""COMPUTED_VALUE"""),"GRETCHENRAMIREZ@GMAIL.COM")</f>
        <v>GRETCHENRAMIREZ@GMAIL.COM</v>
      </c>
      <c r="L1322" s="1" t="str">
        <f>IFERROR(__xludf.DUMMYFUNCTION("""COMPUTED_VALUE"""),"23C")</f>
        <v>23C</v>
      </c>
      <c r="M1322" s="1" t="str">
        <f>IFERROR(__xludf.DUMMYFUNCTION("""COMPUTED_VALUE"""),"ANULING RD")</f>
        <v>ANULING RD</v>
      </c>
      <c r="N1322" s="1"/>
      <c r="O1322" s="1" t="str">
        <f>IFERROR(__xludf.DUMMYFUNCTION("""COMPUTED_VALUE"""),"ANULING CERCA II")</f>
        <v>ANULING CERCA II</v>
      </c>
      <c r="P1322" s="1" t="str">
        <f>IFERROR(__xludf.DUMMYFUNCTION("""COMPUTED_VALUE"""),"MENDEZ")</f>
        <v>MENDEZ</v>
      </c>
      <c r="Q1322" s="1" t="str">
        <f>IFERROR(__xludf.DUMMYFUNCTION("""COMPUTED_VALUE"""),"CAVITE")</f>
        <v>CAVITE</v>
      </c>
      <c r="R1322" s="1" t="str">
        <f>IFERROR(__xludf.DUMMYFUNCTION("""COMPUTED_VALUE"""),"FIBR PLAN 1299")</f>
        <v>FIBR PLAN 1299</v>
      </c>
      <c r="S1322" s="1" t="str">
        <f>IFERROR(__xludf.DUMMYFUNCTION("""COMPUTED_VALUE"""),"APPROVED")</f>
        <v>APPROVED</v>
      </c>
      <c r="T1322" s="1" t="str">
        <f>IFERROR(__xludf.DUMMYFUNCTION("""COMPUTED_VALUE"""),"FOR PAYMENT")</f>
        <v>FOR PAYMENT</v>
      </c>
      <c r="U1322" s="1"/>
      <c r="V1322" s="1"/>
      <c r="W1322" s="1"/>
    </row>
    <row r="1323" customHeight="1" spans="1:23">
      <c r="A1323" s="3">
        <f>IFERROR(__xludf.DUMMYFUNCTION("""COMPUTED_VALUE"""),46138)</f>
        <v>46138</v>
      </c>
      <c r="B1323" s="1" t="str">
        <f>IFERROR(__xludf.DUMMYFUNCTION("""COMPUTED_VALUE"""),"ODY , CLARENCE")</f>
        <v>ODY , CLARENCE</v>
      </c>
      <c r="C1323" s="1" t="str">
        <f>IFERROR(__xludf.DUMMYFUNCTION("""COMPUTED_VALUE"""),"ORGANIC")</f>
        <v>ORGANIC</v>
      </c>
      <c r="D1323" s="1" t="str">
        <f>IFERROR(__xludf.DUMMYFUNCTION("""COMPUTED_VALUE"""),"ALOS, CHARLS")</f>
        <v>ALOS, CHARLS</v>
      </c>
      <c r="E1323" s="1" t="str">
        <f>IFERROR(__xludf.DUMMYFUNCTION("""COMPUTED_VALUE"""),"PLDT")</f>
        <v>PLDT</v>
      </c>
      <c r="F1323" s="1"/>
      <c r="G1323" s="1"/>
      <c r="H1323" s="1" t="str">
        <f>IFERROR(__xludf.DUMMYFUNCTION("""COMPUTED_VALUE"""),"RENANTE ESARZA LUPANGGO")</f>
        <v>RENANTE ESARZA LUPANGGO</v>
      </c>
      <c r="I1323" s="1">
        <f>IFERROR(__xludf.DUMMYFUNCTION("""COMPUTED_VALUE"""),9457712966)</f>
        <v>9457712966</v>
      </c>
      <c r="J1323" s="1"/>
      <c r="K1323" s="1" t="str">
        <f>IFERROR(__xludf.DUMMYFUNCTION("""COMPUTED_VALUE"""),"RENANTELUPANGGO861@GMAIL.COM")</f>
        <v>RENANTELUPANGGO861@GMAIL.COM</v>
      </c>
      <c r="L1323" s="1" t="str">
        <f>IFERROR(__xludf.DUMMYFUNCTION("""COMPUTED_VALUE"""),"204")</f>
        <v>204</v>
      </c>
      <c r="M1323" s="1" t="str">
        <f>IFERROR(__xludf.DUMMYFUNCTION("""COMPUTED_VALUE"""),"ISIDRO ST")</f>
        <v>ISIDRO ST</v>
      </c>
      <c r="N1323" s="1"/>
      <c r="O1323" s="1" t="str">
        <f>IFERROR(__xludf.DUMMYFUNCTION("""COMPUTED_VALUE"""),"PALOCPOC I")</f>
        <v>PALOCPOC I</v>
      </c>
      <c r="P1323" s="1" t="str">
        <f>IFERROR(__xludf.DUMMYFUNCTION("""COMPUTED_VALUE"""),"MENDEZ")</f>
        <v>MENDEZ</v>
      </c>
      <c r="Q1323" s="1" t="str">
        <f>IFERROR(__xludf.DUMMYFUNCTION("""COMPUTED_VALUE"""),"CAVITE")</f>
        <v>CAVITE</v>
      </c>
      <c r="R1323" s="1" t="str">
        <f>IFERROR(__xludf.DUMMYFUNCTION("""COMPUTED_VALUE"""),"FIBR PLAN 1299")</f>
        <v>FIBR PLAN 1299</v>
      </c>
      <c r="S1323" s="1" t="str">
        <f>IFERROR(__xludf.DUMMYFUNCTION("""COMPUTED_VALUE"""),"HOLD")</f>
        <v>HOLD</v>
      </c>
      <c r="T1323" s="1" t="str">
        <f>IFERROR(__xludf.DUMMYFUNCTION("""COMPUTED_VALUE"""),"per subs nagsabe nman daw sila kay agent na kung pwede na sa 1st bill na sila magpayment. Nag Oo daw si agent! HOLD MAY 15 PA MAGKAKAPERA")</f>
        <v>per subs nagsabe nman daw sila kay agent na kung pwede na sa 1st bill na sila magpayment. Nag Oo daw si agent! HOLD MAY 15 PA MAGKAKAPERA</v>
      </c>
      <c r="U1323" s="1"/>
      <c r="V1323" s="1"/>
      <c r="W1323" s="1"/>
    </row>
    <row r="1324" customHeight="1" spans="1:23">
      <c r="A1324" s="3">
        <f>IFERROR(__xludf.DUMMYFUNCTION("""COMPUTED_VALUE"""),46138)</f>
        <v>46138</v>
      </c>
      <c r="B1324" s="1" t="str">
        <f>IFERROR(__xludf.DUMMYFUNCTION("""COMPUTED_VALUE"""),"DELA ROSA, JENNELYN")</f>
        <v>DELA ROSA, JENNELYN</v>
      </c>
      <c r="C1324" s="1" t="str">
        <f>IFERROR(__xludf.DUMMYFUNCTION("""COMPUTED_VALUE"""),"ORGANIC")</f>
        <v>ORGANIC</v>
      </c>
      <c r="D1324" s="1" t="str">
        <f>IFERROR(__xludf.DUMMYFUNCTION("""COMPUTED_VALUE"""),"ALOS, CHARLS")</f>
        <v>ALOS, CHARLS</v>
      </c>
      <c r="E1324" s="1" t="str">
        <f>IFERROR(__xludf.DUMMYFUNCTION("""COMPUTED_VALUE"""),"PLDT")</f>
        <v>PLDT</v>
      </c>
      <c r="F1324" s="1">
        <f>IFERROR(__xludf.DUMMYFUNCTION("""COMPUTED_VALUE"""),2309123793)</f>
        <v>2309123793</v>
      </c>
      <c r="G1324" s="1"/>
      <c r="H1324" s="1" t="str">
        <f>IFERROR(__xludf.DUMMYFUNCTION("""COMPUTED_VALUE"""),"DINDO EBARLE CANAPE")</f>
        <v>DINDO EBARLE CANAPE</v>
      </c>
      <c r="I1324" s="1">
        <f>IFERROR(__xludf.DUMMYFUNCTION("""COMPUTED_VALUE"""),9293186045)</f>
        <v>9293186045</v>
      </c>
      <c r="J1324" s="1">
        <f>IFERROR(__xludf.DUMMYFUNCTION("""COMPUTED_VALUE"""),9933485033)</f>
        <v>9933485033</v>
      </c>
      <c r="K1324" s="1" t="str">
        <f>IFERROR(__xludf.DUMMYFUNCTION("""COMPUTED_VALUE"""),"DINDOCANAPE.DC@GMAIL.COM")</f>
        <v>DINDOCANAPE.DC@GMAIL.COM</v>
      </c>
      <c r="L1324" s="1" t="str">
        <f>IFERROR(__xludf.DUMMYFUNCTION("""COMPUTED_VALUE"""),"BLK 9B LOT 26")</f>
        <v>BLK 9B LOT 26</v>
      </c>
      <c r="M1324" s="1" t="str">
        <f>IFERROR(__xludf.DUMMYFUNCTION("""COMPUTED_VALUE"""),"SAN JOSE RD")</f>
        <v>SAN JOSE RD</v>
      </c>
      <c r="N1324" s="1"/>
      <c r="O1324" s="1" t="str">
        <f>IFERROR(__xludf.DUMMYFUNCTION("""COMPUTED_VALUE"""),"SAN JOSE")</f>
        <v>SAN JOSE</v>
      </c>
      <c r="P1324" s="1" t="str">
        <f>IFERROR(__xludf.DUMMYFUNCTION("""COMPUTED_VALUE"""),"GEN MARIANO ALVAREZ")</f>
        <v>GEN MARIANO ALVAREZ</v>
      </c>
      <c r="Q1324" s="1" t="str">
        <f>IFERROR(__xludf.DUMMYFUNCTION("""COMPUTED_VALUE"""),"CAVITE")</f>
        <v>CAVITE</v>
      </c>
      <c r="R1324" s="1" t="str">
        <f>IFERROR(__xludf.DUMMYFUNCTION("""COMPUTED_VALUE"""),"FIBR PLAN 1299")</f>
        <v>FIBR PLAN 1299</v>
      </c>
      <c r="S1324" s="1" t="str">
        <f>IFERROR(__xludf.DUMMYFUNCTION("""COMPUTED_VALUE"""),"APPROVED")</f>
        <v>APPROVED</v>
      </c>
      <c r="T1324" s="1" t="str">
        <f>IFERROR(__xludf.DUMMYFUNCTION("""COMPUTED_VALUE"""),"CANCELLED WITH OB")</f>
        <v>CANCELLED WITH OB</v>
      </c>
      <c r="U1324" s="1"/>
      <c r="V1324" s="1"/>
      <c r="W1324" s="1"/>
    </row>
    <row r="1325" customHeight="1" spans="1:23">
      <c r="A1325" s="3">
        <f>IFERROR(__xludf.DUMMYFUNCTION("""COMPUTED_VALUE"""),46138)</f>
        <v>46138</v>
      </c>
      <c r="B1325" s="1" t="str">
        <f>IFERROR(__xludf.DUMMYFUNCTION("""COMPUTED_VALUE"""),"CASTILLEJOS, ARREL")</f>
        <v>CASTILLEJOS, ARREL</v>
      </c>
      <c r="C1325" s="1" t="str">
        <f>IFERROR(__xludf.DUMMYFUNCTION("""COMPUTED_VALUE"""),"ORGANIC")</f>
        <v>ORGANIC</v>
      </c>
      <c r="D1325" s="1" t="str">
        <f>IFERROR(__xludf.DUMMYFUNCTION("""COMPUTED_VALUE"""),"REMOLLO LEA")</f>
        <v>REMOLLO LEA</v>
      </c>
      <c r="E1325" s="1" t="str">
        <f>IFERROR(__xludf.DUMMYFUNCTION("""COMPUTED_VALUE"""),"PLDT")</f>
        <v>PLDT</v>
      </c>
      <c r="F1325" s="1">
        <f>IFERROR(__xludf.DUMMYFUNCTION("""COMPUTED_VALUE"""),2309126237)</f>
        <v>2309126237</v>
      </c>
      <c r="G1325" s="1">
        <f>IFERROR(__xludf.DUMMYFUNCTION("""COMPUTED_VALUE"""),452169660004)</f>
        <v>452169660004</v>
      </c>
      <c r="H1325" s="1" t="str">
        <f>IFERROR(__xludf.DUMMYFUNCTION("""COMPUTED_VALUE"""),"PEDRITO CRUZADA PENAFIEL")</f>
        <v>PEDRITO CRUZADA PENAFIEL</v>
      </c>
      <c r="I1325" s="1">
        <f>IFERROR(__xludf.DUMMYFUNCTION("""COMPUTED_VALUE"""),9493237551)</f>
        <v>9493237551</v>
      </c>
      <c r="J1325" s="1">
        <f>IFERROR(__xludf.DUMMYFUNCTION("""COMPUTED_VALUE"""),9532304995)</f>
        <v>9532304995</v>
      </c>
      <c r="K1325" s="1" t="str">
        <f>IFERROR(__xludf.DUMMYFUNCTION("""COMPUTED_VALUE"""),"PEDRITOPENAFIEL1952@GMAIL.COM")</f>
        <v>PEDRITOPENAFIEL1952@GMAIL.COM</v>
      </c>
      <c r="L1325" s="1" t="str">
        <f>IFERROR(__xludf.DUMMYFUNCTION("""COMPUTED_VALUE"""),"99")</f>
        <v>99</v>
      </c>
      <c r="M1325" s="1" t="str">
        <f>IFERROR(__xludf.DUMMYFUNCTION("""COMPUTED_VALUE"""),"PALOCPOC RD")</f>
        <v>PALOCPOC RD</v>
      </c>
      <c r="N1325" s="1"/>
      <c r="O1325" s="1" t="str">
        <f>IFERROR(__xludf.DUMMYFUNCTION("""COMPUTED_VALUE"""),"PALOCPOC I")</f>
        <v>PALOCPOC I</v>
      </c>
      <c r="P1325" s="1" t="str">
        <f>IFERROR(__xludf.DUMMYFUNCTION("""COMPUTED_VALUE"""),"MENDEZ")</f>
        <v>MENDEZ</v>
      </c>
      <c r="Q1325" s="1" t="str">
        <f>IFERROR(__xludf.DUMMYFUNCTION("""COMPUTED_VALUE"""),"CAVITE")</f>
        <v>CAVITE</v>
      </c>
      <c r="R1325" s="1" t="str">
        <f>IFERROR(__xludf.DUMMYFUNCTION("""COMPUTED_VALUE"""),"FIBR PLAN 1299")</f>
        <v>FIBR PLAN 1299</v>
      </c>
      <c r="S1325" s="1" t="str">
        <f>IFERROR(__xludf.DUMMYFUNCTION("""COMPUTED_VALUE"""),"APPROVED")</f>
        <v>APPROVED</v>
      </c>
      <c r="T1325" s="1" t="str">
        <f>IFERROR(__xludf.DUMMYFUNCTION("""COMPUTED_VALUE"""),"RPR-SUBS CANCELLED REQUEST")</f>
        <v>RPR-SUBS CANCELLED REQUEST</v>
      </c>
      <c r="U1325" s="1"/>
      <c r="V1325" s="1"/>
      <c r="W1325" s="1"/>
    </row>
    <row r="1326" customHeight="1" spans="1:23">
      <c r="A1326" s="3">
        <f>IFERROR(__xludf.DUMMYFUNCTION("""COMPUTED_VALUE"""),46138)</f>
        <v>46138</v>
      </c>
      <c r="B1326" s="1" t="str">
        <f>IFERROR(__xludf.DUMMYFUNCTION("""COMPUTED_VALUE"""),"FRONDEZ, JEDREFF")</f>
        <v>FRONDEZ, JEDREFF</v>
      </c>
      <c r="C1326" s="1" t="str">
        <f>IFERROR(__xludf.DUMMYFUNCTION("""COMPUTED_VALUE"""),"ORGANIC")</f>
        <v>ORGANIC</v>
      </c>
      <c r="D1326" s="1" t="str">
        <f>IFERROR(__xludf.DUMMYFUNCTION("""COMPUTED_VALUE"""),"REMOLLO LEA")</f>
        <v>REMOLLO LEA</v>
      </c>
      <c r="E1326" s="1" t="str">
        <f>IFERROR(__xludf.DUMMYFUNCTION("""COMPUTED_VALUE"""),"PLDT")</f>
        <v>PLDT</v>
      </c>
      <c r="F1326" s="1">
        <f>IFERROR(__xludf.DUMMYFUNCTION("""COMPUTED_VALUE"""),2309125883)</f>
        <v>2309125883</v>
      </c>
      <c r="G1326" s="1">
        <f>IFERROR(__xludf.DUMMYFUNCTION("""COMPUTED_VALUE"""),452169327004)</f>
        <v>452169327004</v>
      </c>
      <c r="H1326" s="1" t="str">
        <f>IFERROR(__xludf.DUMMYFUNCTION("""COMPUTED_VALUE"""),"MICHELLE ESPARZA DELA CRUZ")</f>
        <v>MICHELLE ESPARZA DELA CRUZ</v>
      </c>
      <c r="I1326" s="1">
        <f>IFERROR(__xludf.DUMMYFUNCTION("""COMPUTED_VALUE"""),9537820665)</f>
        <v>9537820665</v>
      </c>
      <c r="J1326" s="1">
        <f>IFERROR(__xludf.DUMMYFUNCTION("""COMPUTED_VALUE"""),9667066024)</f>
        <v>9667066024</v>
      </c>
      <c r="K1326" s="1" t="str">
        <f>IFERROR(__xludf.DUMMYFUNCTION("""COMPUTED_VALUE"""),"ESPARZAMICHELLE4121@GMAIL.COM")</f>
        <v>ESPARZAMICHELLE4121@GMAIL.COM</v>
      </c>
      <c r="L1326" s="1" t="str">
        <f>IFERROR(__xludf.DUMMYFUNCTION("""COMPUTED_VALUE"""),"90")</f>
        <v>90</v>
      </c>
      <c r="M1326" s="1" t="str">
        <f>IFERROR(__xludf.DUMMYFUNCTION("""COMPUTED_VALUE"""),"SAN ISIDRO")</f>
        <v>SAN ISIDRO</v>
      </c>
      <c r="N1326" s="1"/>
      <c r="O1326" s="1" t="str">
        <f>IFERROR(__xludf.DUMMYFUNCTION("""COMPUTED_VALUE"""),"PALOCPOC I")</f>
        <v>PALOCPOC I</v>
      </c>
      <c r="P1326" s="1" t="str">
        <f>IFERROR(__xludf.DUMMYFUNCTION("""COMPUTED_VALUE"""),"MENDEZ")</f>
        <v>MENDEZ</v>
      </c>
      <c r="Q1326" s="1" t="str">
        <f>IFERROR(__xludf.DUMMYFUNCTION("""COMPUTED_VALUE"""),"CAVITE")</f>
        <v>CAVITE</v>
      </c>
      <c r="R1326" s="1" t="str">
        <f>IFERROR(__xludf.DUMMYFUNCTION("""COMPUTED_VALUE"""),"FIBR PLAN 1299")</f>
        <v>FIBR PLAN 1299</v>
      </c>
      <c r="S1326" s="1" t="str">
        <f>IFERROR(__xludf.DUMMYFUNCTION("""COMPUTED_VALUE"""),"APPROVED")</f>
        <v>APPROVED</v>
      </c>
      <c r="T1326" s="1" t="str">
        <f>IFERROR(__xludf.DUMMYFUNCTION("""COMPUTED_VALUE"""),"POSTED")</f>
        <v>POSTED</v>
      </c>
      <c r="U1326" s="1"/>
      <c r="V1326" s="1"/>
      <c r="W1326" s="1"/>
    </row>
    <row r="1327" customHeight="1" spans="1:23">
      <c r="A1327" s="3">
        <f>IFERROR(__xludf.DUMMYFUNCTION("""COMPUTED_VALUE"""),46138)</f>
        <v>46138</v>
      </c>
      <c r="B1327" s="1" t="str">
        <f>IFERROR(__xludf.DUMMYFUNCTION("""COMPUTED_VALUE"""),"MALIWAT MARK ELVIN")</f>
        <v>MALIWAT MARK ELVIN</v>
      </c>
      <c r="C1327" s="1" t="str">
        <f>IFERROR(__xludf.DUMMYFUNCTION("""COMPUTED_VALUE"""),"FLA")</f>
        <v>FLA</v>
      </c>
      <c r="D1327" s="1" t="str">
        <f>IFERROR(__xludf.DUMMYFUNCTION("""COMPUTED_VALUE"""),"JERIC NAVARRO")</f>
        <v>JERIC NAVARRO</v>
      </c>
      <c r="E1327" s="1" t="str">
        <f>IFERROR(__xludf.DUMMYFUNCTION("""COMPUTED_VALUE"""),"PLDT")</f>
        <v>PLDT</v>
      </c>
      <c r="F1327" s="1">
        <f>IFERROR(__xludf.DUMMYFUNCTION("""COMPUTED_VALUE"""),2309126878)</f>
        <v>2309126878</v>
      </c>
      <c r="G1327" s="1">
        <f>IFERROR(__xludf.DUMMYFUNCTION("""COMPUTED_VALUE"""),452172160004)</f>
        <v>452172160004</v>
      </c>
      <c r="H1327" s="1" t="str">
        <f>IFERROR(__xludf.DUMMYFUNCTION("""COMPUTED_VALUE"""),"JULIE PULIDO GARCIA")</f>
        <v>JULIE PULIDO GARCIA</v>
      </c>
      <c r="I1327" s="1">
        <f>IFERROR(__xludf.DUMMYFUNCTION("""COMPUTED_VALUE"""),9279622393)</f>
        <v>9279622393</v>
      </c>
      <c r="J1327" s="1">
        <f>IFERROR(__xludf.DUMMYFUNCTION("""COMPUTED_VALUE"""),9064945339)</f>
        <v>9064945339</v>
      </c>
      <c r="K1327" s="1" t="str">
        <f>IFERROR(__xludf.DUMMYFUNCTION("""COMPUTED_VALUE"""),"GARCIAJULIEPXX@GMAIL.COM")</f>
        <v>GARCIAJULIEPXX@GMAIL.COM</v>
      </c>
      <c r="L1327" s="1" t="str">
        <f>IFERROR(__xludf.DUMMYFUNCTION("""COMPUTED_VALUE"""),"LOT 16292")</f>
        <v>LOT 16292</v>
      </c>
      <c r="M1327" s="1" t="str">
        <f>IFERROR(__xludf.DUMMYFUNCTION("""COMPUTED_VALUE"""),"IBA SABUTAN RD")</f>
        <v>IBA SABUTAN RD</v>
      </c>
      <c r="N1327" s="1"/>
      <c r="O1327" s="1" t="str">
        <f>IFERROR(__xludf.DUMMYFUNCTION("""COMPUTED_VALUE"""),"SABUTAN")</f>
        <v>SABUTAN</v>
      </c>
      <c r="P1327" s="1" t="str">
        <f>IFERROR(__xludf.DUMMYFUNCTION("""COMPUTED_VALUE"""),"SILANG")</f>
        <v>SILANG</v>
      </c>
      <c r="Q1327" s="1" t="str">
        <f>IFERROR(__xludf.DUMMYFUNCTION("""COMPUTED_VALUE"""),"CAVITE")</f>
        <v>CAVITE</v>
      </c>
      <c r="R1327" s="1" t="str">
        <f>IFERROR(__xludf.DUMMYFUNCTION("""COMPUTED_VALUE"""),"FIBR PLAN 1299")</f>
        <v>FIBR PLAN 1299</v>
      </c>
      <c r="S1327" s="1" t="str">
        <f>IFERROR(__xludf.DUMMYFUNCTION("""COMPUTED_VALUE"""),"APPROVED")</f>
        <v>APPROVED</v>
      </c>
      <c r="T1327" s="1" t="str">
        <f>IFERROR(__xludf.DUMMYFUNCTION("""COMPUTED_VALUE"""),"RPR- NAP FULL/ NO PAYMENT")</f>
        <v>RPR- NAP FULL/ NO PAYMENT</v>
      </c>
      <c r="U1327" s="1"/>
      <c r="V1327" s="1"/>
      <c r="W1327" s="1"/>
    </row>
    <row r="1328" customHeight="1" spans="1:23">
      <c r="A1328" s="3">
        <f>IFERROR(__xludf.DUMMYFUNCTION("""COMPUTED_VALUE"""),46138)</f>
        <v>46138</v>
      </c>
      <c r="B1328" s="1" t="str">
        <f>IFERROR(__xludf.DUMMYFUNCTION("""COMPUTED_VALUE"""),"AGUNOS, JHON AIRVIN")</f>
        <v>AGUNOS, JHON AIRVIN</v>
      </c>
      <c r="C1328" s="1" t="str">
        <f>IFERROR(__xludf.DUMMYFUNCTION("""COMPUTED_VALUE"""),"ORGANIC")</f>
        <v>ORGANIC</v>
      </c>
      <c r="D1328" s="1" t="str">
        <f>IFERROR(__xludf.DUMMYFUNCTION("""COMPUTED_VALUE"""),"ALINGARO, CINDY")</f>
        <v>ALINGARO, CINDY</v>
      </c>
      <c r="E1328" s="1" t="str">
        <f>IFERROR(__xludf.DUMMYFUNCTION("""COMPUTED_VALUE"""),"PLDT")</f>
        <v>PLDT</v>
      </c>
      <c r="F1328" s="1">
        <f>IFERROR(__xludf.DUMMYFUNCTION("""COMPUTED_VALUE"""),2309129056)</f>
        <v>2309129056</v>
      </c>
      <c r="G1328" s="1">
        <f>IFERROR(__xludf.DUMMYFUNCTION("""COMPUTED_VALUE"""),452186801004)</f>
        <v>452186801004</v>
      </c>
      <c r="H1328" s="1" t="str">
        <f>IFERROR(__xludf.DUMMYFUNCTION("""COMPUTED_VALUE"""),"JELLY TORRES ODAL")</f>
        <v>JELLY TORRES ODAL</v>
      </c>
      <c r="I1328" s="1">
        <f>IFERROR(__xludf.DUMMYFUNCTION("""COMPUTED_VALUE"""),9637829318)</f>
        <v>9637829318</v>
      </c>
      <c r="J1328" s="1"/>
      <c r="K1328" s="1" t="str">
        <f>IFERROR(__xludf.DUMMYFUNCTION("""COMPUTED_VALUE"""),"JELLYODAL14@GMAIL.COM")</f>
        <v>JELLYODAL14@GMAIL.COM</v>
      </c>
      <c r="L1328" s="1" t="str">
        <f>IFERROR(__xludf.DUMMYFUNCTION("""COMPUTED_VALUE"""),"1807")</f>
        <v>1807</v>
      </c>
      <c r="M1328" s="1" t="str">
        <f>IFERROR(__xludf.DUMMYFUNCTION("""COMPUTED_VALUE"""),"LAURENTE AVE")</f>
        <v>LAURENTE AVE</v>
      </c>
      <c r="N1328" s="1"/>
      <c r="O1328" s="1" t="str">
        <f>IFERROR(__xludf.DUMMYFUNCTION("""COMPUTED_VALUE"""),"EPIFANIO MALIA")</f>
        <v>EPIFANIO MALIA</v>
      </c>
      <c r="P1328" s="1" t="str">
        <f>IFERROR(__xludf.DUMMYFUNCTION("""COMPUTED_VALUE"""),"GEN MARIANO ALVAREZ")</f>
        <v>GEN MARIANO ALVAREZ</v>
      </c>
      <c r="Q1328" s="1" t="str">
        <f>IFERROR(__xludf.DUMMYFUNCTION("""COMPUTED_VALUE"""),"CAVITE")</f>
        <v>CAVITE</v>
      </c>
      <c r="R1328" s="1" t="str">
        <f>IFERROR(__xludf.DUMMYFUNCTION("""COMPUTED_VALUE"""),"FIBR UNLI ALL PLAN 1399")</f>
        <v>FIBR UNLI ALL PLAN 1399</v>
      </c>
      <c r="S1328" s="1" t="str">
        <f>IFERROR(__xludf.DUMMYFUNCTION("""COMPUTED_VALUE"""),"APPROVED")</f>
        <v>APPROVED</v>
      </c>
      <c r="T1328" s="1" t="str">
        <f>IFERROR(__xludf.DUMMYFUNCTION("""COMPUTED_VALUE"""),"POSTED")</f>
        <v>POSTED</v>
      </c>
      <c r="U1328" s="1"/>
      <c r="V1328" s="1"/>
      <c r="W1328" s="1"/>
    </row>
    <row r="1329" customHeight="1" spans="1:23">
      <c r="A1329" s="3">
        <f>IFERROR(__xludf.DUMMYFUNCTION("""COMPUTED_VALUE"""),46138)</f>
        <v>46138</v>
      </c>
      <c r="B1329" s="1" t="str">
        <f>IFERROR(__xludf.DUMMYFUNCTION("""COMPUTED_VALUE"""),"FRANCISCO , ROSELYN")</f>
        <v>FRANCISCO , ROSELYN</v>
      </c>
      <c r="C1329" s="1" t="str">
        <f>IFERROR(__xludf.DUMMYFUNCTION("""COMPUTED_VALUE"""),"FLA")</f>
        <v>FLA</v>
      </c>
      <c r="D1329" s="1" t="str">
        <f>IFERROR(__xludf.DUMMYFUNCTION("""COMPUTED_VALUE"""),"JERIC NAVARRO")</f>
        <v>JERIC NAVARRO</v>
      </c>
      <c r="E1329" s="1" t="str">
        <f>IFERROR(__xludf.DUMMYFUNCTION("""COMPUTED_VALUE"""),"PLDT")</f>
        <v>PLDT</v>
      </c>
      <c r="F1329" s="1">
        <f>IFERROR(__xludf.DUMMYFUNCTION("""COMPUTED_VALUE"""),2309129406)</f>
        <v>2309129406</v>
      </c>
      <c r="G1329" s="1">
        <f>IFERROR(__xludf.DUMMYFUNCTION("""COMPUTED_VALUE"""),452173280004)</f>
        <v>452173280004</v>
      </c>
      <c r="H1329" s="1" t="str">
        <f>IFERROR(__xludf.DUMMYFUNCTION("""COMPUTED_VALUE"""),"FRANZ AIRON CAGANDAHAN MAGADIA")</f>
        <v>FRANZ AIRON CAGANDAHAN MAGADIA</v>
      </c>
      <c r="I1329" s="1">
        <f>IFERROR(__xludf.DUMMYFUNCTION("""COMPUTED_VALUE"""),9550091205)</f>
        <v>9550091205</v>
      </c>
      <c r="J1329" s="1"/>
      <c r="K1329" s="1" t="str">
        <f>IFERROR(__xludf.DUMMYFUNCTION("""COMPUTED_VALUE"""),"FRANZAIRONM@GMAIL.COM")</f>
        <v>FRANZAIRONM@GMAIL.COM</v>
      </c>
      <c r="L1329" s="1" t="str">
        <f>IFERROR(__xludf.DUMMYFUNCTION("""COMPUTED_VALUE"""),"227")</f>
        <v>227</v>
      </c>
      <c r="M1329" s="1" t="str">
        <f>IFERROR(__xludf.DUMMYFUNCTION("""COMPUTED_VALUE"""),"RIVERA APPARTMENT")</f>
        <v>RIVERA APPARTMENT</v>
      </c>
      <c r="N1329" s="1"/>
      <c r="O1329" s="1" t="str">
        <f>IFERROR(__xludf.DUMMYFUNCTION("""COMPUTED_VALUE"""),"PUTING KAHOY")</f>
        <v>PUTING KAHOY</v>
      </c>
      <c r="P1329" s="1" t="str">
        <f>IFERROR(__xludf.DUMMYFUNCTION("""COMPUTED_VALUE"""),"SILANG")</f>
        <v>SILANG</v>
      </c>
      <c r="Q1329" s="1" t="str">
        <f>IFERROR(__xludf.DUMMYFUNCTION("""COMPUTED_VALUE"""),"CAVITE")</f>
        <v>CAVITE</v>
      </c>
      <c r="R1329" s="1" t="str">
        <f>IFERROR(__xludf.DUMMYFUNCTION("""COMPUTED_VALUE"""),"FIBR UNLI ALL PLAN 1399")</f>
        <v>FIBR UNLI ALL PLAN 1399</v>
      </c>
      <c r="S1329" s="1" t="str">
        <f>IFERROR(__xludf.DUMMYFUNCTION("""COMPUTED_VALUE"""),"APPROVED")</f>
        <v>APPROVED</v>
      </c>
      <c r="T1329" s="1" t="str">
        <f>IFERROR(__xludf.DUMMYFUNCTION("""COMPUTED_VALUE"""),"RPR- NAP FULL/ NO PAYMENT")</f>
        <v>RPR- NAP FULL/ NO PAYMENT</v>
      </c>
      <c r="U1329" s="1"/>
      <c r="V1329" s="1"/>
      <c r="W1329" s="1"/>
    </row>
    <row r="1330" customHeight="1" spans="1:23">
      <c r="A1330" s="3">
        <f>IFERROR(__xludf.DUMMYFUNCTION("""COMPUTED_VALUE"""),46138)</f>
        <v>46138</v>
      </c>
      <c r="B1330" s="1" t="str">
        <f>IFERROR(__xludf.DUMMYFUNCTION("""COMPUTED_VALUE"""),"ESCARCHA, MA ALMA  ESCOTO")</f>
        <v>ESCARCHA, MA ALMA  ESCOTO</v>
      </c>
      <c r="C1330" s="1" t="str">
        <f>IFERROR(__xludf.DUMMYFUNCTION("""COMPUTED_VALUE"""),"ORGANIC")</f>
        <v>ORGANIC</v>
      </c>
      <c r="D1330" s="1" t="str">
        <f>IFERROR(__xludf.DUMMYFUNCTION("""COMPUTED_VALUE"""),"ALINGARO, CINDY")</f>
        <v>ALINGARO, CINDY</v>
      </c>
      <c r="E1330" s="1" t="str">
        <f>IFERROR(__xludf.DUMMYFUNCTION("""COMPUTED_VALUE"""),"PLDT")</f>
        <v>PLDT</v>
      </c>
      <c r="F1330" s="1">
        <f>IFERROR(__xludf.DUMMYFUNCTION("""COMPUTED_VALUE"""),2309146208)</f>
        <v>2309146208</v>
      </c>
      <c r="G1330" s="1"/>
      <c r="H1330" s="1" t="str">
        <f>IFERROR(__xludf.DUMMYFUNCTION("""COMPUTED_VALUE"""),"DAISY CALISA DE LEON")</f>
        <v>DAISY CALISA DE LEON</v>
      </c>
      <c r="I1330" s="1">
        <f>IFERROR(__xludf.DUMMYFUNCTION("""COMPUTED_VALUE"""),9243214224)</f>
        <v>9243214224</v>
      </c>
      <c r="J1330" s="1"/>
      <c r="K1330" s="1" t="str">
        <f>IFERROR(__xludf.DUMMYFUNCTION("""COMPUTED_VALUE"""),"GELONGAELODANANGAE@GMAIL.COM")</f>
        <v>GELONGAELODANANGAE@GMAIL.COM</v>
      </c>
      <c r="L1330" s="1" t="str">
        <f>IFERROR(__xludf.DUMMYFUNCTION("""COMPUTED_VALUE"""),"BLK 5 LOT 4")</f>
        <v>BLK 5 LOT 4</v>
      </c>
      <c r="M1330" s="1" t="str">
        <f>IFERROR(__xludf.DUMMYFUNCTION("""COMPUTED_VALUE"""),"AIRMENS VILLAGE")</f>
        <v>AIRMENS VILLAGE</v>
      </c>
      <c r="N1330" s="1"/>
      <c r="O1330" s="1" t="str">
        <f>IFERROR(__xludf.DUMMYFUNCTION("""COMPUTED_VALUE"""),"SAMPALOC III")</f>
        <v>SAMPALOC III</v>
      </c>
      <c r="P1330" s="1" t="str">
        <f>IFERROR(__xludf.DUMMYFUNCTION("""COMPUTED_VALUE"""),"DASMARINAS")</f>
        <v>DASMARINAS</v>
      </c>
      <c r="Q1330" s="1" t="str">
        <f>IFERROR(__xludf.DUMMYFUNCTION("""COMPUTED_VALUE"""),"CAVITE")</f>
        <v>CAVITE</v>
      </c>
      <c r="R1330" s="1" t="str">
        <f>IFERROR(__xludf.DUMMYFUNCTION("""COMPUTED_VALUE"""),"FIBR NETFLIX PLAN 1599")</f>
        <v>FIBR NETFLIX PLAN 1599</v>
      </c>
      <c r="S1330" s="1" t="str">
        <f>IFERROR(__xludf.DUMMYFUNCTION("""COMPUTED_VALUE"""),"APPROVED")</f>
        <v>APPROVED</v>
      </c>
      <c r="T1330" s="1" t="str">
        <f>IFERROR(__xludf.DUMMYFUNCTION("""COMPUTED_VALUE"""),"SUBS CANCELLED REQUEST/ DUE TO PENDING APPLICATION")</f>
        <v>SUBS CANCELLED REQUEST/ DUE TO PENDING APPLICATION</v>
      </c>
      <c r="U1330" s="1"/>
      <c r="V1330" s="1"/>
      <c r="W1330" s="1"/>
    </row>
    <row r="1331" customHeight="1" spans="1:23">
      <c r="A1331" s="3">
        <f>IFERROR(__xludf.DUMMYFUNCTION("""COMPUTED_VALUE"""),46139)</f>
        <v>46139</v>
      </c>
      <c r="B1331" s="1" t="str">
        <f>IFERROR(__xludf.DUMMYFUNCTION("""COMPUTED_VALUE"""),"FARO, REFRANTA")</f>
        <v>FARO, REFRANTA</v>
      </c>
      <c r="C1331" s="1" t="str">
        <f>IFERROR(__xludf.DUMMYFUNCTION("""COMPUTED_VALUE"""),"ORGANIC")</f>
        <v>ORGANIC</v>
      </c>
      <c r="D1331" s="1" t="str">
        <f>IFERROR(__xludf.DUMMYFUNCTION("""COMPUTED_VALUE"""),"ALINGARO, CINDY")</f>
        <v>ALINGARO, CINDY</v>
      </c>
      <c r="E1331" s="1" t="str">
        <f>IFERROR(__xludf.DUMMYFUNCTION("""COMPUTED_VALUE"""),"PLDT")</f>
        <v>PLDT</v>
      </c>
      <c r="F1331" s="1">
        <f>IFERROR(__xludf.DUMMYFUNCTION("""COMPUTED_VALUE"""),2309139154)</f>
        <v>2309139154</v>
      </c>
      <c r="G1331" s="1">
        <f>IFERROR(__xludf.DUMMYFUNCTION("""COMPUTED_VALUE"""),452518753004)</f>
        <v>452518753004</v>
      </c>
      <c r="H1331" s="1" t="str">
        <f>IFERROR(__xludf.DUMMYFUNCTION("""COMPUTED_VALUE"""),"CARLO JARINO LUCERO")</f>
        <v>CARLO JARINO LUCERO</v>
      </c>
      <c r="I1331" s="1">
        <f>IFERROR(__xludf.DUMMYFUNCTION("""COMPUTED_VALUE"""),9634596453)</f>
        <v>9634596453</v>
      </c>
      <c r="J1331" s="1"/>
      <c r="K1331" s="1" t="str">
        <f>IFERROR(__xludf.DUMMYFUNCTION("""COMPUTED_VALUE"""),"CARLOLUCERO185@GMAIL.COM")</f>
        <v>CARLOLUCERO185@GMAIL.COM</v>
      </c>
      <c r="L1331" s="1" t="str">
        <f>IFERROR(__xludf.DUMMYFUNCTION("""COMPUTED_VALUE"""),"283")</f>
        <v>283</v>
      </c>
      <c r="M1331" s="1" t="str">
        <f>IFERROR(__xludf.DUMMYFUNCTION("""COMPUTED_VALUE"""),"GREGORIA RD")</f>
        <v>GREGORIA RD</v>
      </c>
      <c r="N1331" s="1"/>
      <c r="O1331" s="1" t="str">
        <f>IFERROR(__xludf.DUMMYFUNCTION("""COMPUTED_VALUE"""),"GREGORIA DE JESUS")</f>
        <v>GREGORIA DE JESUS</v>
      </c>
      <c r="P1331" s="1" t="str">
        <f>IFERROR(__xludf.DUMMYFUNCTION("""COMPUTED_VALUE"""),"GEN MARIANO ALVAREZ")</f>
        <v>GEN MARIANO ALVAREZ</v>
      </c>
      <c r="Q1331" s="1" t="str">
        <f>IFERROR(__xludf.DUMMYFUNCTION("""COMPUTED_VALUE"""),"CAVITE")</f>
        <v>CAVITE</v>
      </c>
      <c r="R1331" s="1" t="str">
        <f>IFERROR(__xludf.DUMMYFUNCTION("""COMPUTED_VALUE"""),"FIBR UNLI ALL PLAN 1399")</f>
        <v>FIBR UNLI ALL PLAN 1399</v>
      </c>
      <c r="S1331" s="1" t="str">
        <f>IFERROR(__xludf.DUMMYFUNCTION("""COMPUTED_VALUE"""),"APPROVED")</f>
        <v>APPROVED</v>
      </c>
      <c r="T1331" s="1" t="str">
        <f>IFERROR(__xludf.DUMMYFUNCTION("""COMPUTED_VALUE"""),"FOR PAYMENT")</f>
        <v>FOR PAYMENT</v>
      </c>
      <c r="U1331" s="1"/>
      <c r="V1331" s="1"/>
      <c r="W1331" s="1"/>
    </row>
    <row r="1332" customHeight="1" spans="1:23">
      <c r="A1332" s="3">
        <f>IFERROR(__xludf.DUMMYFUNCTION("""COMPUTED_VALUE"""),46139)</f>
        <v>46139</v>
      </c>
      <c r="B1332" s="1" t="str">
        <f>IFERROR(__xludf.DUMMYFUNCTION("""COMPUTED_VALUE"""),"FARO, REFRANTA")</f>
        <v>FARO, REFRANTA</v>
      </c>
      <c r="C1332" s="1" t="str">
        <f>IFERROR(__xludf.DUMMYFUNCTION("""COMPUTED_VALUE"""),"ORGANIC")</f>
        <v>ORGANIC</v>
      </c>
      <c r="D1332" s="1" t="str">
        <f>IFERROR(__xludf.DUMMYFUNCTION("""COMPUTED_VALUE"""),"ALINGARO, CINDY")</f>
        <v>ALINGARO, CINDY</v>
      </c>
      <c r="E1332" s="1" t="str">
        <f>IFERROR(__xludf.DUMMYFUNCTION("""COMPUTED_VALUE"""),"PLDT")</f>
        <v>PLDT</v>
      </c>
      <c r="F1332" s="1">
        <f>IFERROR(__xludf.DUMMYFUNCTION("""COMPUTED_VALUE"""),2309139261)</f>
        <v>2309139261</v>
      </c>
      <c r="G1332" s="1">
        <f>IFERROR(__xludf.DUMMYFUNCTION("""COMPUTED_VALUE"""),452292436004)</f>
        <v>452292436004</v>
      </c>
      <c r="H1332" s="1" t="str">
        <f>IFERROR(__xludf.DUMMYFUNCTION("""COMPUTED_VALUE"""),"ZAYREN MOJERES ESPANOLA")</f>
        <v>ZAYREN MOJERES ESPANOLA</v>
      </c>
      <c r="I1332" s="1">
        <f>IFERROR(__xludf.DUMMYFUNCTION("""COMPUTED_VALUE"""),9124132200)</f>
        <v>9124132200</v>
      </c>
      <c r="J1332" s="1">
        <f>IFERROR(__xludf.DUMMYFUNCTION("""COMPUTED_VALUE"""),9702878019)</f>
        <v>9702878019</v>
      </c>
      <c r="K1332" s="1" t="str">
        <f>IFERROR(__xludf.DUMMYFUNCTION("""COMPUTED_VALUE"""),"ESPANOLASAYREN25TH@GMAIL.COM")</f>
        <v>ESPANOLASAYREN25TH@GMAIL.COM</v>
      </c>
      <c r="L1332" s="1" t="str">
        <f>IFERROR(__xludf.DUMMYFUNCTION("""COMPUTED_VALUE"""),"BLK 35")</f>
        <v>BLK 35</v>
      </c>
      <c r="M1332" s="1" t="str">
        <f>IFERROR(__xludf.DUMMYFUNCTION("""COMPUTED_VALUE"""),"EXCESS LOT")</f>
        <v>EXCESS LOT</v>
      </c>
      <c r="N1332" s="1"/>
      <c r="O1332" s="1" t="str">
        <f>IFERROR(__xludf.DUMMYFUNCTION("""COMPUTED_VALUE"""),"BARANGAY 3 (POB.)")</f>
        <v>BARANGAY 3 (POB.)</v>
      </c>
      <c r="P1332" s="1" t="str">
        <f>IFERROR(__xludf.DUMMYFUNCTION("""COMPUTED_VALUE"""),"GEN MARIANO ALVAREZ")</f>
        <v>GEN MARIANO ALVAREZ</v>
      </c>
      <c r="Q1332" s="1" t="str">
        <f>IFERROR(__xludf.DUMMYFUNCTION("""COMPUTED_VALUE"""),"CAVITE")</f>
        <v>CAVITE</v>
      </c>
      <c r="R1332" s="1" t="str">
        <f>IFERROR(__xludf.DUMMYFUNCTION("""COMPUTED_VALUE"""),"FIBR NETFLIX PLAN 1599")</f>
        <v>FIBR NETFLIX PLAN 1599</v>
      </c>
      <c r="S1332" s="1" t="str">
        <f>IFERROR(__xludf.DUMMYFUNCTION("""COMPUTED_VALUE"""),"APPROVED")</f>
        <v>APPROVED</v>
      </c>
      <c r="T1332" s="1" t="str">
        <f>IFERROR(__xludf.DUMMYFUNCTION("""COMPUTED_VALUE"""),"POSTED")</f>
        <v>POSTED</v>
      </c>
      <c r="U1332" s="1"/>
      <c r="V1332" s="1"/>
      <c r="W1332" s="1"/>
    </row>
    <row r="1333" customHeight="1" spans="1:23">
      <c r="A1333" s="3">
        <f>IFERROR(__xludf.DUMMYFUNCTION("""COMPUTED_VALUE"""),46139)</f>
        <v>46139</v>
      </c>
      <c r="B1333" s="1" t="str">
        <f>IFERROR(__xludf.DUMMYFUNCTION("""COMPUTED_VALUE"""),"MAGDARAOG, KENNETH")</f>
        <v>MAGDARAOG, KENNETH</v>
      </c>
      <c r="C1333" s="1" t="str">
        <f>IFERROR(__xludf.DUMMYFUNCTION("""COMPUTED_VALUE"""),"ORGANIC")</f>
        <v>ORGANIC</v>
      </c>
      <c r="D1333" s="1" t="str">
        <f>IFERROR(__xludf.DUMMYFUNCTION("""COMPUTED_VALUE"""),"ALINGARO, CINDY")</f>
        <v>ALINGARO, CINDY</v>
      </c>
      <c r="E1333" s="1" t="str">
        <f>IFERROR(__xludf.DUMMYFUNCTION("""COMPUTED_VALUE"""),"PLDT")</f>
        <v>PLDT</v>
      </c>
      <c r="F1333" s="1">
        <f>IFERROR(__xludf.DUMMYFUNCTION("""COMPUTED_VALUE"""),2309139793)</f>
        <v>2309139793</v>
      </c>
      <c r="G1333" s="1">
        <f>IFERROR(__xludf.DUMMYFUNCTION("""COMPUTED_VALUE"""),452293479004)</f>
        <v>452293479004</v>
      </c>
      <c r="H1333" s="1" t="str">
        <f>IFERROR(__xludf.DUMMYFUNCTION("""COMPUTED_VALUE"""),"FERMIN UMBAL LOPENA")</f>
        <v>FERMIN UMBAL LOPENA</v>
      </c>
      <c r="I1333" s="1">
        <f>IFERROR(__xludf.DUMMYFUNCTION("""COMPUTED_VALUE"""),9053135789)</f>
        <v>9053135789</v>
      </c>
      <c r="J1333" s="1"/>
      <c r="K1333" s="1" t="str">
        <f>IFERROR(__xludf.DUMMYFUNCTION("""COMPUTED_VALUE"""),"THOMASLOPENA@GMAIL.COM")</f>
        <v>THOMASLOPENA@GMAIL.COM</v>
      </c>
      <c r="L1333" s="1" t="str">
        <f>IFERROR(__xludf.DUMMYFUNCTION("""COMPUTED_VALUE"""),"83")</f>
        <v>83</v>
      </c>
      <c r="M1333" s="1" t="str">
        <f>IFERROR(__xludf.DUMMYFUNCTION("""COMPUTED_VALUE"""),"PUROK 6")</f>
        <v>PUROK 6</v>
      </c>
      <c r="N1333" s="1"/>
      <c r="O1333" s="1" t="str">
        <f>IFERROR(__xludf.DUMMYFUNCTION("""COMPUTED_VALUE"""),"KAYSUYO")</f>
        <v>KAYSUYO</v>
      </c>
      <c r="P1333" s="1" t="str">
        <f>IFERROR(__xludf.DUMMYFUNCTION("""COMPUTED_VALUE"""),"ALFONSO")</f>
        <v>ALFONSO</v>
      </c>
      <c r="Q1333" s="1" t="str">
        <f>IFERROR(__xludf.DUMMYFUNCTION("""COMPUTED_VALUE"""),"CAVITE")</f>
        <v>CAVITE</v>
      </c>
      <c r="R1333" s="1" t="str">
        <f>IFERROR(__xludf.DUMMYFUNCTION("""COMPUTED_VALUE"""),"FIBR PLAN 1299")</f>
        <v>FIBR PLAN 1299</v>
      </c>
      <c r="S1333" s="1" t="str">
        <f>IFERROR(__xludf.DUMMYFUNCTION("""COMPUTED_VALUE"""),"APPROVED")</f>
        <v>APPROVED</v>
      </c>
      <c r="T1333" s="1" t="str">
        <f>IFERROR(__xludf.DUMMYFUNCTION("""COMPUTED_VALUE"""),"POSTED")</f>
        <v>POSTED</v>
      </c>
      <c r="U1333" s="1"/>
      <c r="V1333" s="1"/>
      <c r="W1333" s="1"/>
    </row>
    <row r="1334" customHeight="1" spans="1:23">
      <c r="A1334" s="3">
        <f>IFERROR(__xludf.DUMMYFUNCTION("""COMPUTED_VALUE"""),46139)</f>
        <v>46139</v>
      </c>
      <c r="B1334" s="1" t="str">
        <f>IFERROR(__xludf.DUMMYFUNCTION("""COMPUTED_VALUE"""),"FERNANDEZ JERIC")</f>
        <v>FERNANDEZ JERIC</v>
      </c>
      <c r="C1334" s="1" t="str">
        <f>IFERROR(__xludf.DUMMYFUNCTION("""COMPUTED_VALUE"""),"ORGANIC")</f>
        <v>ORGANIC</v>
      </c>
      <c r="D1334" s="1" t="str">
        <f>IFERROR(__xludf.DUMMYFUNCTION("""COMPUTED_VALUE"""),"ALOS, CHARLS")</f>
        <v>ALOS, CHARLS</v>
      </c>
      <c r="E1334" s="1" t="str">
        <f>IFERROR(__xludf.DUMMYFUNCTION("""COMPUTED_VALUE"""),"PLDT")</f>
        <v>PLDT</v>
      </c>
      <c r="F1334" s="1">
        <f>IFERROR(__xludf.DUMMYFUNCTION("""COMPUTED_VALUE"""),2309139711)</f>
        <v>2309139711</v>
      </c>
      <c r="G1334" s="1">
        <f>IFERROR(__xludf.DUMMYFUNCTION("""COMPUTED_VALUE"""),452293476004)</f>
        <v>452293476004</v>
      </c>
      <c r="H1334" s="1" t="str">
        <f>IFERROR(__xludf.DUMMYFUNCTION("""COMPUTED_VALUE"""),"LITO VINAS JARDEN")</f>
        <v>LITO VINAS JARDEN</v>
      </c>
      <c r="I1334" s="1">
        <f>IFERROR(__xludf.DUMMYFUNCTION("""COMPUTED_VALUE"""),9317718313)</f>
        <v>9317718313</v>
      </c>
      <c r="J1334" s="1">
        <f>IFERROR(__xludf.DUMMYFUNCTION("""COMPUTED_VALUE"""),9930839939)</f>
        <v>9930839939</v>
      </c>
      <c r="K1334" s="1" t="str">
        <f>IFERROR(__xludf.DUMMYFUNCTION("""COMPUTED_VALUE"""),"LITOJARDEN35@GMAIL.COM")</f>
        <v>LITOJARDEN35@GMAIL.COM</v>
      </c>
      <c r="L1334" s="1" t="str">
        <f>IFERROR(__xludf.DUMMYFUNCTION("""COMPUTED_VALUE"""),"100")</f>
        <v>100</v>
      </c>
      <c r="M1334" s="1" t="str">
        <f>IFERROR(__xludf.DUMMYFUNCTION("""COMPUTED_VALUE"""),"KAYTITINGA MAGALLANES RD")</f>
        <v>KAYTITINGA MAGALLANES RD</v>
      </c>
      <c r="N1334" s="1"/>
      <c r="O1334" s="1" t="str">
        <f>IFERROR(__xludf.DUMMYFUNCTION("""COMPUTED_VALUE"""),"MEDINA")</f>
        <v>MEDINA</v>
      </c>
      <c r="P1334" s="1" t="str">
        <f>IFERROR(__xludf.DUMMYFUNCTION("""COMPUTED_VALUE"""),"MAGALLANES")</f>
        <v>MAGALLANES</v>
      </c>
      <c r="Q1334" s="1" t="str">
        <f>IFERROR(__xludf.DUMMYFUNCTION("""COMPUTED_VALUE"""),"CAVITE")</f>
        <v>CAVITE</v>
      </c>
      <c r="R1334" s="1" t="str">
        <f>IFERROR(__xludf.DUMMYFUNCTION("""COMPUTED_VALUE"""),"FIBR UNLI ALL PLAN 1399")</f>
        <v>FIBR UNLI ALL PLAN 1399</v>
      </c>
      <c r="S1334" s="1" t="str">
        <f>IFERROR(__xludf.DUMMYFUNCTION("""COMPUTED_VALUE"""),"APPROVED")</f>
        <v>APPROVED</v>
      </c>
      <c r="T1334" s="1" t="str">
        <f>IFERROR(__xludf.DUMMYFUNCTION("""COMPUTED_VALUE"""),"POSTED")</f>
        <v>POSTED</v>
      </c>
      <c r="U1334" s="1"/>
      <c r="V1334" s="1"/>
      <c r="W1334" s="1"/>
    </row>
    <row r="1335" customHeight="1" spans="1:23">
      <c r="A1335" s="3">
        <f>IFERROR(__xludf.DUMMYFUNCTION("""COMPUTED_VALUE"""),46139)</f>
        <v>46139</v>
      </c>
      <c r="B1335" s="1" t="str">
        <f>IFERROR(__xludf.DUMMYFUNCTION("""COMPUTED_VALUE"""),"LEADSTORE - ILANO, LIANDRO TEJAS")</f>
        <v>LEADSTORE - ILANO, LIANDRO TEJAS</v>
      </c>
      <c r="C1335" s="1" t="str">
        <f>IFERROR(__xludf.DUMMYFUNCTION("""COMPUTED_VALUE"""),"FLA")</f>
        <v>FLA</v>
      </c>
      <c r="D1335" s="1" t="str">
        <f>IFERROR(__xludf.DUMMYFUNCTION("""COMPUTED_VALUE"""),"JERIC NAVARRO")</f>
        <v>JERIC NAVARRO</v>
      </c>
      <c r="E1335" s="1" t="str">
        <f>IFERROR(__xludf.DUMMYFUNCTION("""COMPUTED_VALUE"""),"RED FIBER")</f>
        <v>RED FIBER</v>
      </c>
      <c r="F1335" s="1"/>
      <c r="G1335" s="1"/>
      <c r="H1335" s="1" t="str">
        <f>IFERROR(__xludf.DUMMYFUNCTION("""COMPUTED_VALUE"""),"ANGELOU JANE CUYO ROJAS")</f>
        <v>ANGELOU JANE CUYO ROJAS</v>
      </c>
      <c r="I1335" s="1">
        <f>IFERROR(__xludf.DUMMYFUNCTION("""COMPUTED_VALUE"""),9695227448)</f>
        <v>9695227448</v>
      </c>
      <c r="J1335" s="1">
        <f>IFERROR(__xludf.DUMMYFUNCTION("""COMPUTED_VALUE"""),9169997240)</f>
        <v>9169997240</v>
      </c>
      <c r="K1335" s="1" t="str">
        <f>IFERROR(__xludf.DUMMYFUNCTION("""COMPUTED_VALUE"""),"ANGELOUJANER@GMAIL.COM")</f>
        <v>ANGELOUJANER@GMAIL.COM</v>
      </c>
      <c r="L1335" s="1" t="str">
        <f>IFERROR(__xludf.DUMMYFUNCTION("""COMPUTED_VALUE"""),"BLK 18 LOT 15 ")</f>
        <v>BLK 18 LOT 15 </v>
      </c>
      <c r="M1335" s="1" t="str">
        <f>IFERROR(__xludf.DUMMYFUNCTION("""COMPUTED_VALUE"""),"PHASE 1")</f>
        <v>PHASE 1</v>
      </c>
      <c r="N1335" s="1" t="str">
        <f>IFERROR(__xludf.DUMMYFUNCTION("""COMPUTED_VALUE"""),"WESTWOODS")</f>
        <v>WESTWOODS</v>
      </c>
      <c r="O1335" s="1" t="str">
        <f>IFERROR(__xludf.DUMMYFUNCTION("""COMPUTED_VALUE"""),"LANGKAAN I")</f>
        <v>LANGKAAN I</v>
      </c>
      <c r="P1335" s="1" t="str">
        <f>IFERROR(__xludf.DUMMYFUNCTION("""COMPUTED_VALUE"""),"DASMARINAS")</f>
        <v>DASMARINAS</v>
      </c>
      <c r="Q1335" s="1" t="str">
        <f>IFERROR(__xludf.DUMMYFUNCTION("""COMPUTED_VALUE"""),"CAVITE")</f>
        <v>CAVITE</v>
      </c>
      <c r="R1335" s="1" t="str">
        <f>IFERROR(__xludf.DUMMYFUNCTION("""COMPUTED_VALUE"""),"RED PLAN 1000")</f>
        <v>RED PLAN 1000</v>
      </c>
      <c r="S1335" s="1" t="str">
        <f>IFERROR(__xludf.DUMMYFUNCTION("""COMPUTED_VALUE"""),"APPROVED")</f>
        <v>APPROVED</v>
      </c>
      <c r="T1335" s="1" t="str">
        <f>IFERROR(__xludf.DUMMYFUNCTION("""COMPUTED_VALUE"""),"POSTED")</f>
        <v>POSTED</v>
      </c>
      <c r="U1335" s="1"/>
      <c r="V1335" s="1"/>
      <c r="W1335" s="1"/>
    </row>
    <row r="1336" customHeight="1" spans="1:23">
      <c r="A1336" s="3">
        <f>IFERROR(__xludf.DUMMYFUNCTION("""COMPUTED_VALUE"""),46139)</f>
        <v>46139</v>
      </c>
      <c r="B1336" s="1" t="str">
        <f>IFERROR(__xludf.DUMMYFUNCTION("""COMPUTED_VALUE"""),"GABAY, MANUEL")</f>
        <v>GABAY, MANUEL</v>
      </c>
      <c r="C1336" s="1" t="str">
        <f>IFERROR(__xludf.DUMMYFUNCTION("""COMPUTED_VALUE"""),"FLA")</f>
        <v>FLA</v>
      </c>
      <c r="D1336" s="1" t="str">
        <f>IFERROR(__xludf.DUMMYFUNCTION("""COMPUTED_VALUE"""),"JERIC NAVARRO")</f>
        <v>JERIC NAVARRO</v>
      </c>
      <c r="E1336" s="1" t="str">
        <f>IFERROR(__xludf.DUMMYFUNCTION("""COMPUTED_VALUE"""),"PLDT")</f>
        <v>PLDT</v>
      </c>
      <c r="F1336" s="1">
        <f>IFERROR(__xludf.DUMMYFUNCTION("""COMPUTED_VALUE"""),2309140885)</f>
        <v>2309140885</v>
      </c>
      <c r="G1336" s="1"/>
      <c r="H1336" s="1" t="str">
        <f>IFERROR(__xludf.DUMMYFUNCTION("""COMPUTED_VALUE"""),"TESSIE LOPEZ ROXAS")</f>
        <v>TESSIE LOPEZ ROXAS</v>
      </c>
      <c r="I1336" s="1">
        <f>IFERROR(__xludf.DUMMYFUNCTION("""COMPUTED_VALUE"""),9552649893)</f>
        <v>9552649893</v>
      </c>
      <c r="J1336" s="1"/>
      <c r="K1336" s="1" t="str">
        <f>IFERROR(__xludf.DUMMYFUNCTION("""COMPUTED_VALUE"""),"ANGELJOYCEROXAS1999@GMAIL.COM")</f>
        <v>ANGELJOYCEROXAS1999@GMAIL.COM</v>
      </c>
      <c r="L1336" s="1" t="str">
        <f>IFERROR(__xludf.DUMMYFUNCTION("""COMPUTED_VALUE"""),"9563")</f>
        <v>9563</v>
      </c>
      <c r="M1336" s="1" t="str">
        <f>IFERROR(__xludf.DUMMYFUNCTION("""COMPUTED_VALUE"""),"GUINHAWA")</f>
        <v>GUINHAWA</v>
      </c>
      <c r="N1336" s="1"/>
      <c r="O1336" s="1" t="str">
        <f>IFERROR(__xludf.DUMMYFUNCTION("""COMPUTED_VALUE"""),"GUINHAWA NORTH")</f>
        <v>GUINHAWA NORTH</v>
      </c>
      <c r="P1336" s="1" t="str">
        <f>IFERROR(__xludf.DUMMYFUNCTION("""COMPUTED_VALUE"""),"TAGAYTAY")</f>
        <v>TAGAYTAY</v>
      </c>
      <c r="Q1336" s="1" t="str">
        <f>IFERROR(__xludf.DUMMYFUNCTION("""COMPUTED_VALUE"""),"CAVITE")</f>
        <v>CAVITE</v>
      </c>
      <c r="R1336" s="1" t="str">
        <f>IFERROR(__xludf.DUMMYFUNCTION("""COMPUTED_VALUE"""),"FIBR UNLI ALL PLAN 1799")</f>
        <v>FIBR UNLI ALL PLAN 1799</v>
      </c>
      <c r="S1336" s="1" t="str">
        <f>IFERROR(__xludf.DUMMYFUNCTION("""COMPUTED_VALUE"""),"APPROVED")</f>
        <v>APPROVED</v>
      </c>
      <c r="T1336" s="1" t="str">
        <f>IFERROR(__xludf.DUMMYFUNCTION("""COMPUTED_VALUE"""),"CANCELLED WITH OB")</f>
        <v>CANCELLED WITH OB</v>
      </c>
      <c r="U1336" s="1"/>
      <c r="V1336" s="1"/>
      <c r="W1336" s="1"/>
    </row>
    <row r="1337" customHeight="1" spans="1:23">
      <c r="A1337" s="3">
        <f>IFERROR(__xludf.DUMMYFUNCTION("""COMPUTED_VALUE"""),46139)</f>
        <v>46139</v>
      </c>
      <c r="B1337" s="1" t="str">
        <f>IFERROR(__xludf.DUMMYFUNCTION("""COMPUTED_VALUE"""),"CABRERA JILLIENE")</f>
        <v>CABRERA JILLIENE</v>
      </c>
      <c r="C1337" s="1" t="str">
        <f>IFERROR(__xludf.DUMMYFUNCTION("""COMPUTED_VALUE"""),"ORGANIC")</f>
        <v>ORGANIC</v>
      </c>
      <c r="D1337" s="1" t="str">
        <f>IFERROR(__xludf.DUMMYFUNCTION("""COMPUTED_VALUE"""),"ALOS, CHARLS")</f>
        <v>ALOS, CHARLS</v>
      </c>
      <c r="E1337" s="1" t="str">
        <f>IFERROR(__xludf.DUMMYFUNCTION("""COMPUTED_VALUE"""),"PLDT")</f>
        <v>PLDT</v>
      </c>
      <c r="F1337" s="1">
        <f>IFERROR(__xludf.DUMMYFUNCTION("""COMPUTED_VALUE"""),2309140688)</f>
        <v>2309140688</v>
      </c>
      <c r="G1337" s="1">
        <f>IFERROR(__xludf.DUMMYFUNCTION("""COMPUTED_VALUE"""),452518999004)</f>
        <v>452518999004</v>
      </c>
      <c r="H1337" s="1" t="str">
        <f>IFERROR(__xludf.DUMMYFUNCTION("""COMPUTED_VALUE"""),"HILARIO DE DIOS ENDRIGA")</f>
        <v>HILARIO DE DIOS ENDRIGA</v>
      </c>
      <c r="I1337" s="1">
        <f>IFERROR(__xludf.DUMMYFUNCTION("""COMPUTED_VALUE"""),9943710610)</f>
        <v>9943710610</v>
      </c>
      <c r="J1337" s="1">
        <f>IFERROR(__xludf.DUMMYFUNCTION("""COMPUTED_VALUE"""),9977730426)</f>
        <v>9977730426</v>
      </c>
      <c r="K1337" s="1" t="str">
        <f>IFERROR(__xludf.DUMMYFUNCTION("""COMPUTED_VALUE"""),"HILARIOENDRIGA511@GMAIL.COM")</f>
        <v>HILARIOENDRIGA511@GMAIL.COM</v>
      </c>
      <c r="L1337" s="1" t="str">
        <f>IFERROR(__xludf.DUMMYFUNCTION("""COMPUTED_VALUE"""),"477")</f>
        <v>477</v>
      </c>
      <c r="M1337" s="1" t="str">
        <f>IFERROR(__xludf.DUMMYFUNCTION("""COMPUTED_VALUE"""),"SAN MIGUEL RD")</f>
        <v>SAN MIGUEL RD</v>
      </c>
      <c r="N1337" s="1"/>
      <c r="O1337" s="1" t="str">
        <f>IFERROR(__xludf.DUMMYFUNCTION("""COMPUTED_VALUE"""),"GALICIA III")</f>
        <v>GALICIA III</v>
      </c>
      <c r="P1337" s="1" t="str">
        <f>IFERROR(__xludf.DUMMYFUNCTION("""COMPUTED_VALUE"""),"MENDEZ")</f>
        <v>MENDEZ</v>
      </c>
      <c r="Q1337" s="1" t="str">
        <f>IFERROR(__xludf.DUMMYFUNCTION("""COMPUTED_VALUE"""),"CAVITE")</f>
        <v>CAVITE</v>
      </c>
      <c r="R1337" s="1" t="str">
        <f>IFERROR(__xludf.DUMMYFUNCTION("""COMPUTED_VALUE"""),"FIBR PLAN 1299")</f>
        <v>FIBR PLAN 1299</v>
      </c>
      <c r="S1337" s="1" t="str">
        <f>IFERROR(__xludf.DUMMYFUNCTION("""COMPUTED_VALUE"""),"APPROVED")</f>
        <v>APPROVED</v>
      </c>
      <c r="T1337" s="1" t="str">
        <f>IFERROR(__xludf.DUMMYFUNCTION("""COMPUTED_VALUE"""),"POSTED")</f>
        <v>POSTED</v>
      </c>
      <c r="U1337" s="1"/>
      <c r="V1337" s="1"/>
      <c r="W1337" s="1"/>
    </row>
    <row r="1338" customHeight="1" spans="1:23">
      <c r="A1338" s="3">
        <f>IFERROR(__xludf.DUMMYFUNCTION("""COMPUTED_VALUE"""),46139)</f>
        <v>46139</v>
      </c>
      <c r="B1338" s="1" t="str">
        <f>IFERROR(__xludf.DUMMYFUNCTION("""COMPUTED_VALUE"""),"IVNO, RAZZEL")</f>
        <v>IVNO, RAZZEL</v>
      </c>
      <c r="C1338" s="1" t="str">
        <f>IFERROR(__xludf.DUMMYFUNCTION("""COMPUTED_VALUE"""),"ORGANIC")</f>
        <v>ORGANIC</v>
      </c>
      <c r="D1338" s="1" t="str">
        <f>IFERROR(__xludf.DUMMYFUNCTION("""COMPUTED_VALUE"""),"REMOLLO LEA")</f>
        <v>REMOLLO LEA</v>
      </c>
      <c r="E1338" s="1" t="str">
        <f>IFERROR(__xludf.DUMMYFUNCTION("""COMPUTED_VALUE"""),"PLDT")</f>
        <v>PLDT</v>
      </c>
      <c r="F1338" s="1">
        <f>IFERROR(__xludf.DUMMYFUNCTION("""COMPUTED_VALUE"""),2309145619)</f>
        <v>2309145619</v>
      </c>
      <c r="G1338" s="1">
        <f>IFERROR(__xludf.DUMMYFUNCTION("""COMPUTED_VALUE"""),452306401004)</f>
        <v>452306401004</v>
      </c>
      <c r="H1338" s="1" t="str">
        <f>IFERROR(__xludf.DUMMYFUNCTION("""COMPUTED_VALUE"""),"MERCEDITA ASPILIAGA GUMBOC")</f>
        <v>MERCEDITA ASPILIAGA GUMBOC</v>
      </c>
      <c r="I1338" s="1">
        <f>IFERROR(__xludf.DUMMYFUNCTION("""COMPUTED_VALUE"""),9307224707)</f>
        <v>9307224707</v>
      </c>
      <c r="J1338" s="1">
        <f>IFERROR(__xludf.DUMMYFUNCTION("""COMPUTED_VALUE"""),9926139497)</f>
        <v>9926139497</v>
      </c>
      <c r="K1338" s="1" t="str">
        <f>IFERROR(__xludf.DUMMYFUNCTION("""COMPUTED_VALUE"""),"JHANEASPILLAGA67@YAHOO.COM")</f>
        <v>JHANEASPILLAGA67@YAHOO.COM</v>
      </c>
      <c r="L1338" s="1" t="str">
        <f>IFERROR(__xludf.DUMMYFUNCTION("""COMPUTED_VALUE"""),"BLK 96 LOT 72")</f>
        <v>BLK 96 LOT 72</v>
      </c>
      <c r="M1338" s="1" t="str">
        <f>IFERROR(__xludf.DUMMYFUNCTION("""COMPUTED_VALUE"""),"SAN JOSE RD")</f>
        <v>SAN JOSE RD</v>
      </c>
      <c r="N1338" s="1"/>
      <c r="O1338" s="1" t="str">
        <f>IFERROR(__xludf.DUMMYFUNCTION("""COMPUTED_VALUE"""),"SAN JOSE")</f>
        <v>SAN JOSE</v>
      </c>
      <c r="P1338" s="1" t="str">
        <f>IFERROR(__xludf.DUMMYFUNCTION("""COMPUTED_VALUE"""),"GEN MARIANO ALVAREZ")</f>
        <v>GEN MARIANO ALVAREZ</v>
      </c>
      <c r="Q1338" s="1" t="str">
        <f>IFERROR(__xludf.DUMMYFUNCTION("""COMPUTED_VALUE"""),"CAVITE")</f>
        <v>CAVITE</v>
      </c>
      <c r="R1338" s="1" t="str">
        <f>IFERROR(__xludf.DUMMYFUNCTION("""COMPUTED_VALUE"""),"FIBR PLAN 1299")</f>
        <v>FIBR PLAN 1299</v>
      </c>
      <c r="S1338" s="1" t="str">
        <f>IFERROR(__xludf.DUMMYFUNCTION("""COMPUTED_VALUE"""),"APPROVED")</f>
        <v>APPROVED</v>
      </c>
      <c r="T1338" s="1" t="str">
        <f>IFERROR(__xludf.DUMMYFUNCTION("""COMPUTED_VALUE"""),"RESERVED FACILITY")</f>
        <v>RESERVED FACILITY</v>
      </c>
      <c r="U1338" s="1"/>
      <c r="V1338" s="1"/>
      <c r="W1338" s="1"/>
    </row>
    <row r="1339" customHeight="1" spans="1:23">
      <c r="A1339" s="3">
        <f>IFERROR(__xludf.DUMMYFUNCTION("""COMPUTED_VALUE"""),46139)</f>
        <v>46139</v>
      </c>
      <c r="B1339" s="1" t="str">
        <f>IFERROR(__xludf.DUMMYFUNCTION("""COMPUTED_VALUE"""),"FRONDEZ, JEDREFF")</f>
        <v>FRONDEZ, JEDREFF</v>
      </c>
      <c r="C1339" s="1" t="str">
        <f>IFERROR(__xludf.DUMMYFUNCTION("""COMPUTED_VALUE"""),"ORGANIC")</f>
        <v>ORGANIC</v>
      </c>
      <c r="D1339" s="1" t="str">
        <f>IFERROR(__xludf.DUMMYFUNCTION("""COMPUTED_VALUE"""),"REMOLLO LEA")</f>
        <v>REMOLLO LEA</v>
      </c>
      <c r="E1339" s="1" t="str">
        <f>IFERROR(__xludf.DUMMYFUNCTION("""COMPUTED_VALUE"""),"PLDT")</f>
        <v>PLDT</v>
      </c>
      <c r="F1339" s="1">
        <f>IFERROR(__xludf.DUMMYFUNCTION("""COMPUTED_VALUE"""),2309141519)</f>
        <v>2309141519</v>
      </c>
      <c r="G1339" s="1">
        <f>IFERROR(__xludf.DUMMYFUNCTION("""COMPUTED_VALUE"""),452296899004)</f>
        <v>452296899004</v>
      </c>
      <c r="H1339" s="1" t="str">
        <f>IFERROR(__xludf.DUMMYFUNCTION("""COMPUTED_VALUE"""),"ROSABELL LAZARTE MERTO")</f>
        <v>ROSABELL LAZARTE MERTO</v>
      </c>
      <c r="I1339" s="1">
        <f>IFERROR(__xludf.DUMMYFUNCTION("""COMPUTED_VALUE"""),9950210677)</f>
        <v>9950210677</v>
      </c>
      <c r="J1339" s="1">
        <f>IFERROR(__xludf.DUMMYFUNCTION("""COMPUTED_VALUE"""),9100136495)</f>
        <v>9100136495</v>
      </c>
      <c r="K1339" s="1" t="str">
        <f>IFERROR(__xludf.DUMMYFUNCTION("""COMPUTED_VALUE"""),"MAPRINCESLAZARTE@GMAIL.COM")</f>
        <v>MAPRINCESLAZARTE@GMAIL.COM</v>
      </c>
      <c r="L1339" s="1" t="str">
        <f>IFERROR(__xludf.DUMMYFUNCTION("""COMPUTED_VALUE"""),"BLK 98")</f>
        <v>BLK 98</v>
      </c>
      <c r="M1339" s="1" t="str">
        <f>IFERROR(__xludf.DUMMYFUNCTION("""COMPUTED_VALUE"""),"EXCESS LOT")</f>
        <v>EXCESS LOT</v>
      </c>
      <c r="N1339" s="1"/>
      <c r="O1339" s="1" t="str">
        <f>IFERROR(__xludf.DUMMYFUNCTION("""COMPUTED_VALUE"""),"SAN JOSE")</f>
        <v>SAN JOSE</v>
      </c>
      <c r="P1339" s="1" t="str">
        <f>IFERROR(__xludf.DUMMYFUNCTION("""COMPUTED_VALUE"""),"GEN MARIANO ALVAREZ")</f>
        <v>GEN MARIANO ALVAREZ</v>
      </c>
      <c r="Q1339" s="1" t="str">
        <f>IFERROR(__xludf.DUMMYFUNCTION("""COMPUTED_VALUE"""),"CAVITE")</f>
        <v>CAVITE</v>
      </c>
      <c r="R1339" s="1" t="str">
        <f>IFERROR(__xludf.DUMMYFUNCTION("""COMPUTED_VALUE"""),"FIBR UNLI ALL PLAN 1399")</f>
        <v>FIBR UNLI ALL PLAN 1399</v>
      </c>
      <c r="S1339" s="1" t="str">
        <f>IFERROR(__xludf.DUMMYFUNCTION("""COMPUTED_VALUE"""),"APPROVED")</f>
        <v>APPROVED</v>
      </c>
      <c r="T1339" s="1" t="str">
        <f>IFERROR(__xludf.DUMMYFUNCTION("""COMPUTED_VALUE"""),"FOR PAYMENT")</f>
        <v>FOR PAYMENT</v>
      </c>
      <c r="U1339" s="1"/>
      <c r="V1339" s="1"/>
      <c r="W1339" s="1"/>
    </row>
    <row r="1340" customHeight="1" spans="1:23">
      <c r="A1340" s="3">
        <f>IFERROR(__xludf.DUMMYFUNCTION("""COMPUTED_VALUE"""),46139)</f>
        <v>46139</v>
      </c>
      <c r="B1340" s="1" t="str">
        <f>IFERROR(__xludf.DUMMYFUNCTION("""COMPUTED_VALUE"""),"CASTILLEJOS, ARREL")</f>
        <v>CASTILLEJOS, ARREL</v>
      </c>
      <c r="C1340" s="1" t="str">
        <f>IFERROR(__xludf.DUMMYFUNCTION("""COMPUTED_VALUE"""),"ORGANIC")</f>
        <v>ORGANIC</v>
      </c>
      <c r="D1340" s="1" t="str">
        <f>IFERROR(__xludf.DUMMYFUNCTION("""COMPUTED_VALUE"""),"REMOLLO LEA")</f>
        <v>REMOLLO LEA</v>
      </c>
      <c r="E1340" s="1" t="str">
        <f>IFERROR(__xludf.DUMMYFUNCTION("""COMPUTED_VALUE"""),"PLDT")</f>
        <v>PLDT</v>
      </c>
      <c r="F1340" s="1">
        <f>IFERROR(__xludf.DUMMYFUNCTION("""COMPUTED_VALUE"""),2309146023)</f>
        <v>2309146023</v>
      </c>
      <c r="G1340" s="1">
        <f>IFERROR(__xludf.DUMMYFUNCTION("""COMPUTED_VALUE"""),452306119004)</f>
        <v>452306119004</v>
      </c>
      <c r="H1340" s="1" t="str">
        <f>IFERROR(__xludf.DUMMYFUNCTION("""COMPUTED_VALUE"""),"KISHIAN ELCY CALONGE MENDOZA")</f>
        <v>KISHIAN ELCY CALONGE MENDOZA</v>
      </c>
      <c r="I1340" s="1">
        <f>IFERROR(__xludf.DUMMYFUNCTION("""COMPUTED_VALUE"""),9318237123)</f>
        <v>9318237123</v>
      </c>
      <c r="J1340" s="1">
        <f>IFERROR(__xludf.DUMMYFUNCTION("""COMPUTED_VALUE"""),9310563088)</f>
        <v>9310563088</v>
      </c>
      <c r="K1340" s="1" t="str">
        <f>IFERROR(__xludf.DUMMYFUNCTION("""COMPUTED_VALUE"""),"MARYANNCALONGE1723@GMAIL.COM")</f>
        <v>MARYANNCALONGE1723@GMAIL.COM</v>
      </c>
      <c r="L1340" s="1" t="str">
        <f>IFERROR(__xludf.DUMMYFUNCTION("""COMPUTED_VALUE"""),"BLK 17 LOT 26")</f>
        <v>BLK 17 LOT 26</v>
      </c>
      <c r="M1340" s="1" t="str">
        <f>IFERROR(__xludf.DUMMYFUNCTION("""COMPUTED_VALUE"""),"SAN JOSE RD")</f>
        <v>SAN JOSE RD</v>
      </c>
      <c r="N1340" s="1"/>
      <c r="O1340" s="1" t="str">
        <f>IFERROR(__xludf.DUMMYFUNCTION("""COMPUTED_VALUE"""),"SAN JOSE")</f>
        <v>SAN JOSE</v>
      </c>
      <c r="P1340" s="1" t="str">
        <f>IFERROR(__xludf.DUMMYFUNCTION("""COMPUTED_VALUE"""),"GEN MARIANO ALVAREZ")</f>
        <v>GEN MARIANO ALVAREZ</v>
      </c>
      <c r="Q1340" s="1" t="str">
        <f>IFERROR(__xludf.DUMMYFUNCTION("""COMPUTED_VALUE"""),"CAVITE")</f>
        <v>CAVITE</v>
      </c>
      <c r="R1340" s="1" t="str">
        <f>IFERROR(__xludf.DUMMYFUNCTION("""COMPUTED_VALUE"""),"FIBR PLAN 1299")</f>
        <v>FIBR PLAN 1299</v>
      </c>
      <c r="S1340" s="1" t="str">
        <f>IFERROR(__xludf.DUMMYFUNCTION("""COMPUTED_VALUE"""),"APPROVED")</f>
        <v>APPROVED</v>
      </c>
      <c r="T1340" s="1" t="str">
        <f>IFERROR(__xludf.DUMMYFUNCTION("""COMPUTED_VALUE"""),"FOR PAYMENT")</f>
        <v>FOR PAYMENT</v>
      </c>
      <c r="U1340" s="1"/>
      <c r="V1340" s="1"/>
      <c r="W1340" s="1"/>
    </row>
    <row r="1341" customHeight="1" spans="1:23">
      <c r="A1341" s="3">
        <f>IFERROR(__xludf.DUMMYFUNCTION("""COMPUTED_VALUE"""),46139)</f>
        <v>46139</v>
      </c>
      <c r="B1341" s="1" t="str">
        <f>IFERROR(__xludf.DUMMYFUNCTION("""COMPUTED_VALUE"""),"REMOLLO, LEA")</f>
        <v>REMOLLO, LEA</v>
      </c>
      <c r="C1341" s="1" t="str">
        <f>IFERROR(__xludf.DUMMYFUNCTION("""COMPUTED_VALUE"""),"FLA")</f>
        <v>FLA</v>
      </c>
      <c r="D1341" s="1" t="str">
        <f>IFERROR(__xludf.DUMMYFUNCTION("""COMPUTED_VALUE"""),"JERIC NAVARRO")</f>
        <v>JERIC NAVARRO</v>
      </c>
      <c r="E1341" s="1" t="str">
        <f>IFERROR(__xludf.DUMMYFUNCTION("""COMPUTED_VALUE"""),"PLDT")</f>
        <v>PLDT</v>
      </c>
      <c r="F1341" s="1">
        <f>IFERROR(__xludf.DUMMYFUNCTION("""COMPUTED_VALUE"""),2309147229)</f>
        <v>2309147229</v>
      </c>
      <c r="G1341" s="1">
        <f>IFERROR(__xludf.DUMMYFUNCTION("""COMPUTED_VALUE"""),452525020004)</f>
        <v>452525020004</v>
      </c>
      <c r="H1341" s="1" t="str">
        <f>IFERROR(__xludf.DUMMYFUNCTION("""COMPUTED_VALUE"""),"JASON MARTINEZ LUBUGAN")</f>
        <v>JASON MARTINEZ LUBUGAN</v>
      </c>
      <c r="I1341" s="1">
        <f>IFERROR(__xludf.DUMMYFUNCTION("""COMPUTED_VALUE"""),9162077438)</f>
        <v>9162077438</v>
      </c>
      <c r="J1341" s="1"/>
      <c r="K1341" s="1" t="str">
        <f>IFERROR(__xludf.DUMMYFUNCTION("""COMPUTED_VALUE"""),"JASONLUBUNGAN7@GMAIL.COM")</f>
        <v>JASONLUBUNGAN7@GMAIL.COM</v>
      </c>
      <c r="L1341" s="1" t="str">
        <f>IFERROR(__xludf.DUMMYFUNCTION("""COMPUTED_VALUE"""),"218")</f>
        <v>218</v>
      </c>
      <c r="M1341" s="1" t="str">
        <f>IFERROR(__xludf.DUMMYFUNCTION("""COMPUTED_VALUE"""),"PUROK 144")</f>
        <v>PUROK 144</v>
      </c>
      <c r="N1341" s="1"/>
      <c r="O1341" s="1" t="str">
        <f>IFERROR(__xludf.DUMMYFUNCTION("""COMPUTED_VALUE"""),"PATUTONG MALAKI NORTH")</f>
        <v>PATUTONG MALAKI NORTH</v>
      </c>
      <c r="P1341" s="1" t="str">
        <f>IFERROR(__xludf.DUMMYFUNCTION("""COMPUTED_VALUE"""),"TAGAYTAY")</f>
        <v>TAGAYTAY</v>
      </c>
      <c r="Q1341" s="1" t="str">
        <f>IFERROR(__xludf.DUMMYFUNCTION("""COMPUTED_VALUE"""),"CAVITE")</f>
        <v>CAVITE</v>
      </c>
      <c r="R1341" s="1" t="str">
        <f>IFERROR(__xludf.DUMMYFUNCTION("""COMPUTED_VALUE"""),"FIBR UNLI ALL PLAN 1399")</f>
        <v>FIBR UNLI ALL PLAN 1399</v>
      </c>
      <c r="S1341" s="1" t="str">
        <f>IFERROR(__xludf.DUMMYFUNCTION("""COMPUTED_VALUE"""),"APPROVED")</f>
        <v>APPROVED</v>
      </c>
      <c r="T1341" s="1" t="str">
        <f>IFERROR(__xludf.DUMMYFUNCTION("""COMPUTED_VALUE"""),"RPR NAPFULL/WITH PAYMENT")</f>
        <v>RPR NAPFULL/WITH PAYMENT</v>
      </c>
      <c r="U1341" s="1"/>
      <c r="V1341" s="1"/>
      <c r="W1341" s="1"/>
    </row>
    <row r="1342" customHeight="1" spans="1:23">
      <c r="A1342" s="3">
        <f>IFERROR(__xludf.DUMMYFUNCTION("""COMPUTED_VALUE"""),46139)</f>
        <v>46139</v>
      </c>
      <c r="B1342" s="1" t="str">
        <f>IFERROR(__xludf.DUMMYFUNCTION("""COMPUTED_VALUE"""),"REMOLLO, LEA")</f>
        <v>REMOLLO, LEA</v>
      </c>
      <c r="C1342" s="1" t="str">
        <f>IFERROR(__xludf.DUMMYFUNCTION("""COMPUTED_VALUE"""),"FLA")</f>
        <v>FLA</v>
      </c>
      <c r="D1342" s="1" t="str">
        <f>IFERROR(__xludf.DUMMYFUNCTION("""COMPUTED_VALUE"""),"JERIC NAVARRO")</f>
        <v>JERIC NAVARRO</v>
      </c>
      <c r="E1342" s="1" t="str">
        <f>IFERROR(__xludf.DUMMYFUNCTION("""COMPUTED_VALUE"""),"PLDT")</f>
        <v>PLDT</v>
      </c>
      <c r="F1342" s="1">
        <f>IFERROR(__xludf.DUMMYFUNCTION("""COMPUTED_VALUE"""),2309147756)</f>
        <v>2309147756</v>
      </c>
      <c r="G1342" s="1">
        <f>IFERROR(__xludf.DUMMYFUNCTION("""COMPUTED_VALUE"""),452309782004)</f>
        <v>452309782004</v>
      </c>
      <c r="H1342" s="1" t="str">
        <f>IFERROR(__xludf.DUMMYFUNCTION("""COMPUTED_VALUE"""),"ARLENE CASTILLO RDIZ")</f>
        <v>ARLENE CASTILLO RDIZ</v>
      </c>
      <c r="I1342" s="1">
        <f>IFERROR(__xludf.DUMMYFUNCTION("""COMPUTED_VALUE"""),9189036065)</f>
        <v>9189036065</v>
      </c>
      <c r="J1342" s="1"/>
      <c r="K1342" s="1" t="str">
        <f>IFERROR(__xludf.DUMMYFUNCTION("""COMPUTED_VALUE"""),"ARLENEORDIZ@YAHOO.COM.PH")</f>
        <v>ARLENEORDIZ@YAHOO.COM.PH</v>
      </c>
      <c r="L1342" s="1" t="str">
        <f>IFERROR(__xludf.DUMMYFUNCTION("""COMPUTED_VALUE"""),"BLK 67 LOT 1")</f>
        <v>BLK 67 LOT 1</v>
      </c>
      <c r="M1342" s="1" t="str">
        <f>IFERROR(__xludf.DUMMYFUNCTION("""COMPUTED_VALUE"""),"ZONE 5")</f>
        <v>ZONE 5</v>
      </c>
      <c r="N1342" s="1" t="str">
        <f>IFERROR(__xludf.DUMMYFUNCTION("""COMPUTED_VALUE"""),"AFP HOUSING")</f>
        <v>AFP HOUSING</v>
      </c>
      <c r="O1342" s="1" t="str">
        <f>IFERROR(__xludf.DUMMYFUNCTION("""COMPUTED_VALUE"""),"BULIHAN")</f>
        <v>BULIHAN</v>
      </c>
      <c r="P1342" s="1" t="str">
        <f>IFERROR(__xludf.DUMMYFUNCTION("""COMPUTED_VALUE"""),"SILANG")</f>
        <v>SILANG</v>
      </c>
      <c r="Q1342" s="1" t="str">
        <f>IFERROR(__xludf.DUMMYFUNCTION("""COMPUTED_VALUE"""),"CAVITE")</f>
        <v>CAVITE</v>
      </c>
      <c r="R1342" s="1" t="str">
        <f>IFERROR(__xludf.DUMMYFUNCTION("""COMPUTED_VALUE"""),"FIBR PLAN 1299")</f>
        <v>FIBR PLAN 1299</v>
      </c>
      <c r="S1342" s="1" t="str">
        <f>IFERROR(__xludf.DUMMYFUNCTION("""COMPUTED_VALUE"""),"APPROVED")</f>
        <v>APPROVED</v>
      </c>
      <c r="T1342" s="1" t="str">
        <f>IFERROR(__xludf.DUMMYFUNCTION("""COMPUTED_VALUE"""),"POSTED")</f>
        <v>POSTED</v>
      </c>
      <c r="U1342" s="1"/>
      <c r="V1342" s="1"/>
      <c r="W1342" s="1"/>
    </row>
    <row r="1343" customHeight="1" spans="1:23">
      <c r="A1343" s="3">
        <f>IFERROR(__xludf.DUMMYFUNCTION("""COMPUTED_VALUE"""),46139)</f>
        <v>46139</v>
      </c>
      <c r="B1343" s="1" t="str">
        <f>IFERROR(__xludf.DUMMYFUNCTION("""COMPUTED_VALUE"""),"MALIWAT MARK ELVIN")</f>
        <v>MALIWAT MARK ELVIN</v>
      </c>
      <c r="C1343" s="1" t="str">
        <f>IFERROR(__xludf.DUMMYFUNCTION("""COMPUTED_VALUE"""),"FLA")</f>
        <v>FLA</v>
      </c>
      <c r="D1343" s="1" t="str">
        <f>IFERROR(__xludf.DUMMYFUNCTION("""COMPUTED_VALUE"""),"JERIC NAVARRO")</f>
        <v>JERIC NAVARRO</v>
      </c>
      <c r="E1343" s="1" t="str">
        <f>IFERROR(__xludf.DUMMYFUNCTION("""COMPUTED_VALUE"""),"HOME BIZZ")</f>
        <v>HOME BIZZ</v>
      </c>
      <c r="F1343" s="1">
        <f>IFERROR(__xludf.DUMMYFUNCTION("""COMPUTED_VALUE"""),2309147008)</f>
        <v>2309147008</v>
      </c>
      <c r="G1343" s="1">
        <f>IFERROR(__xludf.DUMMYFUNCTION("""COMPUTED_VALUE"""),452308405004)</f>
        <v>452308405004</v>
      </c>
      <c r="H1343" s="1" t="str">
        <f>IFERROR(__xludf.DUMMYFUNCTION("""COMPUTED_VALUE"""),"BEAN A WHILE CAFE")</f>
        <v>BEAN A WHILE CAFE</v>
      </c>
      <c r="I1343" s="1">
        <f>IFERROR(__xludf.DUMMYFUNCTION("""COMPUTED_VALUE"""),9082082309)</f>
        <v>9082082309</v>
      </c>
      <c r="J1343" s="1">
        <f>IFERROR(__xludf.DUMMYFUNCTION("""COMPUTED_VALUE"""),9993319770)</f>
        <v>9993319770</v>
      </c>
      <c r="K1343" s="1" t="str">
        <f>IFERROR(__xludf.DUMMYFUNCTION("""COMPUTED_VALUE"""),"HELLO.BEANAWHILE@GMAIL.COM")</f>
        <v>HELLO.BEANAWHILE@GMAIL.COM</v>
      </c>
      <c r="L1343" s="1" t="str">
        <f>IFERROR(__xludf.DUMMYFUNCTION("""COMPUTED_VALUE"""),"1ST FLOOR")</f>
        <v>1ST FLOOR</v>
      </c>
      <c r="M1343" s="1" t="str">
        <f>IFERROR(__xludf.DUMMYFUNCTION("""COMPUTED_VALUE"""),"DRAGON PLAZA")</f>
        <v>DRAGON PLAZA</v>
      </c>
      <c r="N1343" s="1"/>
      <c r="O1343" s="1" t="str">
        <f>IFERROR(__xludf.DUMMYFUNCTION("""COMPUTED_VALUE"""),"BUROL")</f>
        <v>BUROL</v>
      </c>
      <c r="P1343" s="1" t="str">
        <f>IFERROR(__xludf.DUMMYFUNCTION("""COMPUTED_VALUE"""),"DASMARINAS")</f>
        <v>DASMARINAS</v>
      </c>
      <c r="Q1343" s="1" t="str">
        <f>IFERROR(__xludf.DUMMYFUNCTION("""COMPUTED_VALUE"""),"CAVITE")</f>
        <v>CAVITE</v>
      </c>
      <c r="R1343" s="1" t="str">
        <f>IFERROR(__xludf.DUMMYFUNCTION("""COMPUTED_VALUE"""),"HOME BIZ PLAN 2699")</f>
        <v>HOME BIZ PLAN 2699</v>
      </c>
      <c r="S1343" s="1" t="str">
        <f>IFERROR(__xludf.DUMMYFUNCTION("""COMPUTED_VALUE"""),"APPROVED")</f>
        <v>APPROVED</v>
      </c>
      <c r="T1343" s="1" t="str">
        <f>IFERROR(__xludf.DUMMYFUNCTION("""COMPUTED_VALUE"""),"PAID FOR INSTALLATION/AFD")</f>
        <v>PAID FOR INSTALLATION/AFD</v>
      </c>
      <c r="U1343" s="1"/>
      <c r="V1343" s="1"/>
      <c r="W1343" s="1"/>
    </row>
    <row r="1344" customHeight="1" spans="1:23">
      <c r="A1344" s="3">
        <f>IFERROR(__xludf.DUMMYFUNCTION("""COMPUTED_VALUE"""),46139)</f>
        <v>46139</v>
      </c>
      <c r="B1344" s="1" t="str">
        <f>IFERROR(__xludf.DUMMYFUNCTION("""COMPUTED_VALUE"""),"AYON MANUEL")</f>
        <v>AYON MANUEL</v>
      </c>
      <c r="C1344" s="1" t="str">
        <f>IFERROR(__xludf.DUMMYFUNCTION("""COMPUTED_VALUE"""),"FLA")</f>
        <v>FLA</v>
      </c>
      <c r="D1344" s="1" t="str">
        <f>IFERROR(__xludf.DUMMYFUNCTION("""COMPUTED_VALUE"""),"JERIC NAVARRO")</f>
        <v>JERIC NAVARRO</v>
      </c>
      <c r="E1344" s="1" t="str">
        <f>IFERROR(__xludf.DUMMYFUNCTION("""COMPUTED_VALUE"""),"HOME BIZZ")</f>
        <v>HOME BIZZ</v>
      </c>
      <c r="F1344" s="1">
        <f>IFERROR(__xludf.DUMMYFUNCTION("""COMPUTED_VALUE"""),2309149274)</f>
        <v>2309149274</v>
      </c>
      <c r="G1344" s="1">
        <f>IFERROR(__xludf.DUMMYFUNCTION("""COMPUTED_VALUE"""),452312583004)</f>
        <v>452312583004</v>
      </c>
      <c r="H1344" s="1" t="str">
        <f>IFERROR(__xludf.DUMMYFUNCTION("""COMPUTED_VALUE"""),"DAMAYAN SA CAVITE")</f>
        <v>DAMAYAN SA CAVITE</v>
      </c>
      <c r="I1344" s="1">
        <f>IFERROR(__xludf.DUMMYFUNCTION("""COMPUTED_VALUE"""),9072999894)</f>
        <v>9072999894</v>
      </c>
      <c r="J1344" s="1">
        <f>IFERROR(__xludf.DUMMYFUNCTION("""COMPUTED_VALUE"""),9175448439)</f>
        <v>9175448439</v>
      </c>
      <c r="K1344" s="1" t="str">
        <f>IFERROR(__xludf.DUMMYFUNCTION("""COMPUTED_VALUE"""),"AVELINALOPEZ06@YAHOO.COM")</f>
        <v>AVELINALOPEZ06@YAHOO.COM</v>
      </c>
      <c r="L1344" s="1" t="str">
        <f>IFERROR(__xludf.DUMMYFUNCTION("""COMPUTED_VALUE"""),"4")</f>
        <v>4</v>
      </c>
      <c r="M1344" s="1" t="str">
        <f>IFERROR(__xludf.DUMMYFUNCTION("""COMPUTED_VALUE"""),"CM DELOS REYES")</f>
        <v>CM DELOS REYES</v>
      </c>
      <c r="N1344" s="1"/>
      <c r="O1344" s="1" t="str">
        <f>IFERROR(__xludf.DUMMYFUNCTION("""COMPUTED_VALUE"""),"BUCAL")</f>
        <v>BUCAL</v>
      </c>
      <c r="P1344" s="1" t="str">
        <f>IFERROR(__xludf.DUMMYFUNCTION("""COMPUTED_VALUE"""),"AMADEO")</f>
        <v>AMADEO</v>
      </c>
      <c r="Q1344" s="1" t="str">
        <f>IFERROR(__xludf.DUMMYFUNCTION("""COMPUTED_VALUE"""),"CAVITE")</f>
        <v>CAVITE</v>
      </c>
      <c r="R1344" s="1" t="str">
        <f>IFERROR(__xludf.DUMMYFUNCTION("""COMPUTED_VALUE"""),"HOME BIZ PLAN 1699")</f>
        <v>HOME BIZ PLAN 1699</v>
      </c>
      <c r="S1344" s="1" t="str">
        <f>IFERROR(__xludf.DUMMYFUNCTION("""COMPUTED_VALUE"""),"APPROVED")</f>
        <v>APPROVED</v>
      </c>
      <c r="T1344" s="1" t="str">
        <f>IFERROR(__xludf.DUMMYFUNCTION("""COMPUTED_VALUE"""),"POSTED")</f>
        <v>POSTED</v>
      </c>
      <c r="U1344" s="1"/>
      <c r="V1344" s="1"/>
      <c r="W1344" s="1"/>
    </row>
    <row r="1345" customHeight="1" spans="1:23">
      <c r="A1345" s="3">
        <f>IFERROR(__xludf.DUMMYFUNCTION("""COMPUTED_VALUE"""),46140)</f>
        <v>46140</v>
      </c>
      <c r="B1345" s="1" t="str">
        <f>IFERROR(__xludf.DUMMYFUNCTION("""COMPUTED_VALUE"""),"FARO, REFRANTA")</f>
        <v>FARO, REFRANTA</v>
      </c>
      <c r="C1345" s="1" t="str">
        <f>IFERROR(__xludf.DUMMYFUNCTION("""COMPUTED_VALUE"""),"ORGANIC")</f>
        <v>ORGANIC</v>
      </c>
      <c r="D1345" s="1" t="str">
        <f>IFERROR(__xludf.DUMMYFUNCTION("""COMPUTED_VALUE"""),"ALINGARO, CINDY")</f>
        <v>ALINGARO, CINDY</v>
      </c>
      <c r="E1345" s="1" t="str">
        <f>IFERROR(__xludf.DUMMYFUNCTION("""COMPUTED_VALUE"""),"PLDT")</f>
        <v>PLDT</v>
      </c>
      <c r="F1345" s="1">
        <f>IFERROR(__xludf.DUMMYFUNCTION("""COMPUTED_VALUE"""),2309274986)</f>
        <v>2309274986</v>
      </c>
      <c r="G1345" s="1">
        <f>IFERROR(__xludf.DUMMYFUNCTION("""COMPUTED_VALUE"""),453144936004)</f>
        <v>453144936004</v>
      </c>
      <c r="H1345" s="1" t="str">
        <f>IFERROR(__xludf.DUMMYFUNCTION("""COMPUTED_VALUE"""),"ALOHA ALONZO REYES")</f>
        <v>ALOHA ALONZO REYES</v>
      </c>
      <c r="I1345" s="1">
        <f>IFERROR(__xludf.DUMMYFUNCTION("""COMPUTED_VALUE"""),9941809822)</f>
        <v>9941809822</v>
      </c>
      <c r="J1345" s="1">
        <f>IFERROR(__xludf.DUMMYFUNCTION("""COMPUTED_VALUE"""),9941809796)</f>
        <v>9941809796</v>
      </c>
      <c r="K1345" s="1" t="str">
        <f>IFERROR(__xludf.DUMMYFUNCTION("""COMPUTED_VALUE"""),"RAIKHOABAWAG08@GMAIL.COM")</f>
        <v>RAIKHOABAWAG08@GMAIL.COM</v>
      </c>
      <c r="L1345" s="1" t="str">
        <f>IFERROR(__xludf.DUMMYFUNCTION("""COMPUTED_VALUE"""),"BLK 13 LOT 25")</f>
        <v>BLK 13 LOT 25</v>
      </c>
      <c r="M1345" s="1" t="str">
        <f>IFERROR(__xludf.DUMMYFUNCTION("""COMPUTED_VALUE"""),"VIRATA RD")</f>
        <v>VIRATA RD</v>
      </c>
      <c r="N1345" s="1"/>
      <c r="O1345" s="1" t="str">
        <f>IFERROR(__xludf.DUMMYFUNCTION("""COMPUTED_VALUE"""),"NICOLASA VIRATA (SAN JOSE)")</f>
        <v>NICOLASA VIRATA (SAN JOSE)</v>
      </c>
      <c r="P1345" s="1" t="str">
        <f>IFERROR(__xludf.DUMMYFUNCTION("""COMPUTED_VALUE"""),"GEN MARIANO ALVAREZ")</f>
        <v>GEN MARIANO ALVAREZ</v>
      </c>
      <c r="Q1345" s="1" t="str">
        <f>IFERROR(__xludf.DUMMYFUNCTION("""COMPUTED_VALUE"""),"CAVITE")</f>
        <v>CAVITE</v>
      </c>
      <c r="R1345" s="1" t="str">
        <f>IFERROR(__xludf.DUMMYFUNCTION("""COMPUTED_VALUE"""),"FIBR UNLI ALL PLAN 1399")</f>
        <v>FIBR UNLI ALL PLAN 1399</v>
      </c>
      <c r="S1345" s="1" t="str">
        <f>IFERROR(__xludf.DUMMYFUNCTION("""COMPUTED_VALUE"""),"APPROVED")</f>
        <v>APPROVED</v>
      </c>
      <c r="T1345" s="1" t="str">
        <f>IFERROR(__xludf.DUMMYFUNCTION("""COMPUTED_VALUE"""),"POSTED")</f>
        <v>POSTED</v>
      </c>
      <c r="U1345" s="1"/>
      <c r="V1345" s="1"/>
      <c r="W1345" s="1"/>
    </row>
    <row r="1346" customHeight="1" spans="1:23">
      <c r="A1346" s="3">
        <f>IFERROR(__xludf.DUMMYFUNCTION("""COMPUTED_VALUE"""),46140)</f>
        <v>46140</v>
      </c>
      <c r="B1346" s="1" t="str">
        <f>IFERROR(__xludf.DUMMYFUNCTION("""COMPUTED_VALUE"""),"FARO, REFRANTA")</f>
        <v>FARO, REFRANTA</v>
      </c>
      <c r="C1346" s="1" t="str">
        <f>IFERROR(__xludf.DUMMYFUNCTION("""COMPUTED_VALUE"""),"ORGANIC")</f>
        <v>ORGANIC</v>
      </c>
      <c r="D1346" s="1" t="str">
        <f>IFERROR(__xludf.DUMMYFUNCTION("""COMPUTED_VALUE"""),"ALINGARO, CINDY")</f>
        <v>ALINGARO, CINDY</v>
      </c>
      <c r="E1346" s="1" t="str">
        <f>IFERROR(__xludf.DUMMYFUNCTION("""COMPUTED_VALUE"""),"PLDT")</f>
        <v>PLDT</v>
      </c>
      <c r="F1346" s="1">
        <f>IFERROR(__xludf.DUMMYFUNCTION("""COMPUTED_VALUE"""),2309163219)</f>
        <v>2309163219</v>
      </c>
      <c r="G1346" s="1">
        <f>IFERROR(__xludf.DUMMYFUNCTION("""COMPUTED_VALUE"""),452477672004)</f>
        <v>452477672004</v>
      </c>
      <c r="H1346" s="1" t="str">
        <f>IFERROR(__xludf.DUMMYFUNCTION("""COMPUTED_VALUE"""),"ALFONSO 111 ALONSO REYES")</f>
        <v>ALFONSO 111 ALONSO REYES</v>
      </c>
      <c r="I1346" s="1">
        <f>IFERROR(__xludf.DUMMYFUNCTION("""COMPUTED_VALUE"""),9102195108)</f>
        <v>9102195108</v>
      </c>
      <c r="J1346" s="1"/>
      <c r="K1346" s="1" t="str">
        <f>IFERROR(__xludf.DUMMYFUNCTION("""COMPUTED_VALUE"""),"ALFONSOREYES111@YAHOO.COM")</f>
        <v>ALFONSOREYES111@YAHOO.COM</v>
      </c>
      <c r="L1346" s="1" t="str">
        <f>IFERROR(__xludf.DUMMYFUNCTION("""COMPUTED_VALUE"""),"BLK 13 LOT 25")</f>
        <v>BLK 13 LOT 25</v>
      </c>
      <c r="M1346" s="1" t="str">
        <f>IFERROR(__xludf.DUMMYFUNCTION("""COMPUTED_VALUE"""),"VIRATA RD")</f>
        <v>VIRATA RD</v>
      </c>
      <c r="N1346" s="1"/>
      <c r="O1346" s="1" t="str">
        <f>IFERROR(__xludf.DUMMYFUNCTION("""COMPUTED_VALUE"""),"NICOLASA VIRATA (SAN JOSE)")</f>
        <v>NICOLASA VIRATA (SAN JOSE)</v>
      </c>
      <c r="P1346" s="1" t="str">
        <f>IFERROR(__xludf.DUMMYFUNCTION("""COMPUTED_VALUE"""),"GEN MARIANO ALVAREZ")</f>
        <v>GEN MARIANO ALVAREZ</v>
      </c>
      <c r="Q1346" s="1" t="str">
        <f>IFERROR(__xludf.DUMMYFUNCTION("""COMPUTED_VALUE"""),"CAVITE")</f>
        <v>CAVITE</v>
      </c>
      <c r="R1346" s="1" t="str">
        <f>IFERROR(__xludf.DUMMYFUNCTION("""COMPUTED_VALUE"""),"FIBR UNLI ALL PLAN 1399")</f>
        <v>FIBR UNLI ALL PLAN 1399</v>
      </c>
      <c r="S1346" s="1" t="str">
        <f>IFERROR(__xludf.DUMMYFUNCTION("""COMPUTED_VALUE"""),"APPROVED")</f>
        <v>APPROVED</v>
      </c>
      <c r="T1346" s="1" t="str">
        <f>IFERROR(__xludf.DUMMYFUNCTION("""COMPUTED_VALUE"""),"RPR- SUBS CANCELLED")</f>
        <v>RPR- SUBS CANCELLED</v>
      </c>
      <c r="U1346" s="1"/>
      <c r="V1346" s="1"/>
      <c r="W1346" s="1"/>
    </row>
    <row r="1347" customHeight="1" spans="1:23">
      <c r="A1347" s="3">
        <f>IFERROR(__xludf.DUMMYFUNCTION("""COMPUTED_VALUE"""),46140)</f>
        <v>46140</v>
      </c>
      <c r="B1347" s="1" t="str">
        <f>IFERROR(__xludf.DUMMYFUNCTION("""COMPUTED_VALUE"""),"CABRERA JILLIENE")</f>
        <v>CABRERA JILLIENE</v>
      </c>
      <c r="C1347" s="1" t="str">
        <f>IFERROR(__xludf.DUMMYFUNCTION("""COMPUTED_VALUE"""),"ORGANIC")</f>
        <v>ORGANIC</v>
      </c>
      <c r="D1347" s="1" t="str">
        <f>IFERROR(__xludf.DUMMYFUNCTION("""COMPUTED_VALUE"""),"ALOS, CHARLS")</f>
        <v>ALOS, CHARLS</v>
      </c>
      <c r="E1347" s="1" t="str">
        <f>IFERROR(__xludf.DUMMYFUNCTION("""COMPUTED_VALUE"""),"PLDT")</f>
        <v>PLDT</v>
      </c>
      <c r="F1347" s="1">
        <f>IFERROR(__xludf.DUMMYFUNCTION("""COMPUTED_VALUE"""),2309164119)</f>
        <v>2309164119</v>
      </c>
      <c r="G1347" s="1">
        <f>IFERROR(__xludf.DUMMYFUNCTION("""COMPUTED_VALUE"""),452477692004)</f>
        <v>452477692004</v>
      </c>
      <c r="H1347" s="1" t="str">
        <f>IFERROR(__xludf.DUMMYFUNCTION("""COMPUTED_VALUE"""),"JOHN RUSSEL ABUDA")</f>
        <v>JOHN RUSSEL ABUDA</v>
      </c>
      <c r="I1347" s="1">
        <f>IFERROR(__xludf.DUMMYFUNCTION("""COMPUTED_VALUE"""),9672865950)</f>
        <v>9672865950</v>
      </c>
      <c r="J1347" s="1"/>
      <c r="K1347" s="1" t="str">
        <f>IFERROR(__xludf.DUMMYFUNCTION("""COMPUTED_VALUE"""),"RUSSELABUDA13@GMAIL.COM")</f>
        <v>RUSSELABUDA13@GMAIL.COM</v>
      </c>
      <c r="L1347" s="1" t="str">
        <f>IFERROR(__xludf.DUMMYFUNCTION("""COMPUTED_VALUE"""),"BLK 19 LOT 5")</f>
        <v>BLK 19 LOT 5</v>
      </c>
      <c r="M1347" s="1" t="str">
        <f>IFERROR(__xludf.DUMMYFUNCTION("""COMPUTED_VALUE"""),"DACON RD")</f>
        <v>DACON RD</v>
      </c>
      <c r="N1347" s="1"/>
      <c r="O1347" s="1" t="str">
        <f>IFERROR(__xludf.DUMMYFUNCTION("""COMPUTED_VALUE"""),"MACARIO DACON")</f>
        <v>MACARIO DACON</v>
      </c>
      <c r="P1347" s="1" t="str">
        <f>IFERROR(__xludf.DUMMYFUNCTION("""COMPUTED_VALUE"""),"GEN MARIANO ALVAREZ")</f>
        <v>GEN MARIANO ALVAREZ</v>
      </c>
      <c r="Q1347" s="1" t="str">
        <f>IFERROR(__xludf.DUMMYFUNCTION("""COMPUTED_VALUE"""),"CAVITE")</f>
        <v>CAVITE</v>
      </c>
      <c r="R1347" s="1" t="str">
        <f>IFERROR(__xludf.DUMMYFUNCTION("""COMPUTED_VALUE"""),"FIBR PLAN 1299")</f>
        <v>FIBR PLAN 1299</v>
      </c>
      <c r="S1347" s="1" t="str">
        <f>IFERROR(__xludf.DUMMYFUNCTION("""COMPUTED_VALUE"""),"APPROVED")</f>
        <v>APPROVED</v>
      </c>
      <c r="T1347" s="1" t="str">
        <f>IFERROR(__xludf.DUMMYFUNCTION("""COMPUTED_VALUE"""),"POSTED")</f>
        <v>POSTED</v>
      </c>
      <c r="U1347" s="1"/>
      <c r="V1347" s="1"/>
      <c r="W1347" s="1"/>
    </row>
    <row r="1348" customHeight="1" spans="1:23">
      <c r="A1348" s="3">
        <f>IFERROR(__xludf.DUMMYFUNCTION("""COMPUTED_VALUE"""),46140)</f>
        <v>46140</v>
      </c>
      <c r="B1348" s="1" t="str">
        <f>IFERROR(__xludf.DUMMYFUNCTION("""COMPUTED_VALUE"""),"MAÑANITA, ERIKA")</f>
        <v>MAÑANITA, ERIKA</v>
      </c>
      <c r="C1348" s="1" t="str">
        <f>IFERROR(__xludf.DUMMYFUNCTION("""COMPUTED_VALUE"""),"ORGANIC")</f>
        <v>ORGANIC</v>
      </c>
      <c r="D1348" s="1" t="str">
        <f>IFERROR(__xludf.DUMMYFUNCTION("""COMPUTED_VALUE"""),"ALOS, CHARLS")</f>
        <v>ALOS, CHARLS</v>
      </c>
      <c r="E1348" s="1" t="str">
        <f>IFERROR(__xludf.DUMMYFUNCTION("""COMPUTED_VALUE"""),"PLDT")</f>
        <v>PLDT</v>
      </c>
      <c r="F1348" s="1">
        <f>IFERROR(__xludf.DUMMYFUNCTION("""COMPUTED_VALUE"""),2309164725)</f>
        <v>2309164725</v>
      </c>
      <c r="G1348" s="1">
        <f>IFERROR(__xludf.DUMMYFUNCTION("""COMPUTED_VALUE"""),452478206004)</f>
        <v>452478206004</v>
      </c>
      <c r="H1348" s="1" t="str">
        <f>IFERROR(__xludf.DUMMYFUNCTION("""COMPUTED_VALUE"""),"JUSTINE IVAN LLAMADO")</f>
        <v>JUSTINE IVAN LLAMADO</v>
      </c>
      <c r="I1348" s="1">
        <f>IFERROR(__xludf.DUMMYFUNCTION("""COMPUTED_VALUE"""),9069421403)</f>
        <v>9069421403</v>
      </c>
      <c r="J1348" s="1"/>
      <c r="K1348" s="1" t="str">
        <f>IFERROR(__xludf.DUMMYFUNCTION("""COMPUTED_VALUE"""),"IANZUELAREMELYN@GMAIL.COM")</f>
        <v>IANZUELAREMELYN@GMAIL.COM</v>
      </c>
      <c r="L1348" s="1" t="str">
        <f>IFERROR(__xludf.DUMMYFUNCTION("""COMPUTED_VALUE"""),"8743")</f>
        <v>8743</v>
      </c>
      <c r="M1348" s="1" t="str">
        <f>IFERROR(__xludf.DUMMYFUNCTION("""COMPUTED_VALUE"""),"BAGONG TUBIG ")</f>
        <v>BAGONG TUBIG </v>
      </c>
      <c r="N1348" s="1"/>
      <c r="O1348" s="1" t="str">
        <f>IFERROR(__xludf.DUMMYFUNCTION("""COMPUTED_VALUE"""),"GALICIA I")</f>
        <v>GALICIA I</v>
      </c>
      <c r="P1348" s="1" t="str">
        <f>IFERROR(__xludf.DUMMYFUNCTION("""COMPUTED_VALUE"""),"MENDEZ")</f>
        <v>MENDEZ</v>
      </c>
      <c r="Q1348" s="1" t="str">
        <f>IFERROR(__xludf.DUMMYFUNCTION("""COMPUTED_VALUE"""),"CAVITE")</f>
        <v>CAVITE</v>
      </c>
      <c r="R1348" s="1" t="str">
        <f>IFERROR(__xludf.DUMMYFUNCTION("""COMPUTED_VALUE"""),"FIBR PLAN 1299")</f>
        <v>FIBR PLAN 1299</v>
      </c>
      <c r="S1348" s="1" t="str">
        <f>IFERROR(__xludf.DUMMYFUNCTION("""COMPUTED_VALUE"""),"APPROVED")</f>
        <v>APPROVED</v>
      </c>
      <c r="T1348" s="1" t="str">
        <f>IFERROR(__xludf.DUMMYFUNCTION("""COMPUTED_VALUE"""),"FOR PAYMENT")</f>
        <v>FOR PAYMENT</v>
      </c>
      <c r="U1348" s="1"/>
      <c r="V1348" s="1"/>
      <c r="W1348" s="1"/>
    </row>
    <row r="1349" customHeight="1" spans="1:23">
      <c r="A1349" s="3">
        <f>IFERROR(__xludf.DUMMYFUNCTION("""COMPUTED_VALUE"""),46140)</f>
        <v>46140</v>
      </c>
      <c r="B1349" s="1" t="str">
        <f>IFERROR(__xludf.DUMMYFUNCTION("""COMPUTED_VALUE"""),"DELA ROSA, JENNELYN")</f>
        <v>DELA ROSA, JENNELYN</v>
      </c>
      <c r="C1349" s="1" t="str">
        <f>IFERROR(__xludf.DUMMYFUNCTION("""COMPUTED_VALUE"""),"ORGANIC")</f>
        <v>ORGANIC</v>
      </c>
      <c r="D1349" s="1" t="str">
        <f>IFERROR(__xludf.DUMMYFUNCTION("""COMPUTED_VALUE"""),"ALOS, CHARLS")</f>
        <v>ALOS, CHARLS</v>
      </c>
      <c r="E1349" s="1" t="str">
        <f>IFERROR(__xludf.DUMMYFUNCTION("""COMPUTED_VALUE"""),"PLDT")</f>
        <v>PLDT</v>
      </c>
      <c r="F1349" s="1"/>
      <c r="G1349" s="1"/>
      <c r="H1349" s="1" t="str">
        <f>IFERROR(__xludf.DUMMYFUNCTION("""COMPUTED_VALUE"""),"ESTELLA MARIE BALAGOT DEL NORTE")</f>
        <v>ESTELLA MARIE BALAGOT DEL NORTE</v>
      </c>
      <c r="I1349" s="1">
        <f>IFERROR(__xludf.DUMMYFUNCTION("""COMPUTED_VALUE"""),9636417115)</f>
        <v>9636417115</v>
      </c>
      <c r="J1349" s="1">
        <f>IFERROR(__xludf.DUMMYFUNCTION("""COMPUTED_VALUE"""),9177129794)</f>
        <v>9177129794</v>
      </c>
      <c r="K1349" s="1" t="str">
        <f>IFERROR(__xludf.DUMMYFUNCTION("""COMPUTED_VALUE"""),"ESTELLAMARIE1114@GMAIL.COM")</f>
        <v>ESTELLAMARIE1114@GMAIL.COM</v>
      </c>
      <c r="L1349" s="1" t="str">
        <f>IFERROR(__xludf.DUMMYFUNCTION("""COMPUTED_VALUE"""),"BLK 13 LOT 16")</f>
        <v>BLK 13 LOT 16</v>
      </c>
      <c r="M1349" s="1" t="str">
        <f>IFERROR(__xludf.DUMMYFUNCTION("""COMPUTED_VALUE"""),"CITY LAND")</f>
        <v>CITY LAND</v>
      </c>
      <c r="N1349" s="1"/>
      <c r="O1349" s="1" t="str">
        <f>IFERROR(__xludf.DUMMYFUNCTION("""COMPUTED_VALUE"""),"MABUHAY")</f>
        <v>MABUHAY</v>
      </c>
      <c r="P1349" s="1" t="str">
        <f>IFERROR(__xludf.DUMMYFUNCTION("""COMPUTED_VALUE"""),"CARMONA")</f>
        <v>CARMONA</v>
      </c>
      <c r="Q1349" s="1" t="str">
        <f>IFERROR(__xludf.DUMMYFUNCTION("""COMPUTED_VALUE"""),"CAVITE")</f>
        <v>CAVITE</v>
      </c>
      <c r="R1349" s="1" t="str">
        <f>IFERROR(__xludf.DUMMYFUNCTION("""COMPUTED_VALUE"""),"FIBR PLAN 1299")</f>
        <v>FIBR PLAN 1299</v>
      </c>
      <c r="S1349" s="1" t="str">
        <f>IFERROR(__xludf.DUMMYFUNCTION("""COMPUTED_VALUE"""),"HOLD")</f>
        <v>HOLD</v>
      </c>
      <c r="T1349" s="1" t="str">
        <f>IFERROR(__xludf.DUMMYFUNCTION("""COMPUTED_VALUE"""),"AS PER SUBS HINDI NAPALIWANAG SA KANYA YUNG ADVANCE PAYMENT")</f>
        <v>AS PER SUBS HINDI NAPALIWANAG SA KANYA YUNG ADVANCE PAYMENT</v>
      </c>
      <c r="U1349" s="1"/>
      <c r="V1349" s="1"/>
      <c r="W1349" s="1"/>
    </row>
    <row r="1350" customHeight="1" spans="1:23">
      <c r="A1350" s="3">
        <f>IFERROR(__xludf.DUMMYFUNCTION("""COMPUTED_VALUE"""),46140)</f>
        <v>46140</v>
      </c>
      <c r="B1350" s="1" t="str">
        <f>IFERROR(__xludf.DUMMYFUNCTION("""COMPUTED_VALUE"""),"CONCEPCION, ALJAY")</f>
        <v>CONCEPCION, ALJAY</v>
      </c>
      <c r="C1350" s="1" t="str">
        <f>IFERROR(__xludf.DUMMYFUNCTION("""COMPUTED_VALUE"""),"ORGANIC")</f>
        <v>ORGANIC</v>
      </c>
      <c r="D1350" s="1" t="str">
        <f>IFERROR(__xludf.DUMMYFUNCTION("""COMPUTED_VALUE"""),"ALINGARO, CINDY")</f>
        <v>ALINGARO, CINDY</v>
      </c>
      <c r="E1350" s="1" t="str">
        <f>IFERROR(__xludf.DUMMYFUNCTION("""COMPUTED_VALUE"""),"PLDT")</f>
        <v>PLDT</v>
      </c>
      <c r="F1350" s="1">
        <f>IFERROR(__xludf.DUMMYFUNCTION("""COMPUTED_VALUE"""),2309171169)</f>
        <v>2309171169</v>
      </c>
      <c r="G1350" s="1"/>
      <c r="H1350" s="1" t="str">
        <f>IFERROR(__xludf.DUMMYFUNCTION("""COMPUTED_VALUE"""),"MARIEL GUSTILLO ROQUE")</f>
        <v>MARIEL GUSTILLO ROQUE</v>
      </c>
      <c r="I1350" s="1">
        <f>IFERROR(__xludf.DUMMYFUNCTION("""COMPUTED_VALUE"""),9958158645)</f>
        <v>9958158645</v>
      </c>
      <c r="J1350" s="1"/>
      <c r="K1350" s="1" t="str">
        <f>IFERROR(__xludf.DUMMYFUNCTION("""COMPUTED_VALUE"""),"RAFALA19ANDRIEL@GMAIL.COM")</f>
        <v>RAFALA19ANDRIEL@GMAIL.COM</v>
      </c>
      <c r="L1350" s="1" t="str">
        <f>IFERROR(__xludf.DUMMYFUNCTION("""COMPUTED_VALUE"""),"BLK 2 LOT 1")</f>
        <v>BLK 2 LOT 1</v>
      </c>
      <c r="M1350" s="1" t="str">
        <f>IFERROR(__xludf.DUMMYFUNCTION("""COMPUTED_VALUE"""),"PHILHOMES VILLE")</f>
        <v>PHILHOMES VILLE</v>
      </c>
      <c r="N1350" s="1"/>
      <c r="O1350" s="1" t="str">
        <f>IFERROR(__xludf.DUMMYFUNCTION("""COMPUTED_VALUE"""),"TOCLONG")</f>
        <v>TOCLONG</v>
      </c>
      <c r="P1350" s="1" t="str">
        <f>IFERROR(__xludf.DUMMYFUNCTION("""COMPUTED_VALUE"""),"KAWIT")</f>
        <v>KAWIT</v>
      </c>
      <c r="Q1350" s="1" t="str">
        <f>IFERROR(__xludf.DUMMYFUNCTION("""COMPUTED_VALUE"""),"CAVITE")</f>
        <v>CAVITE</v>
      </c>
      <c r="R1350" s="1" t="str">
        <f>IFERROR(__xludf.DUMMYFUNCTION("""COMPUTED_VALUE"""),"FIBR UNLI ALL PLAN 1399")</f>
        <v>FIBR UNLI ALL PLAN 1399</v>
      </c>
      <c r="S1350" s="1" t="str">
        <f>IFERROR(__xludf.DUMMYFUNCTION("""COMPUTED_VALUE"""),"APPROVED")</f>
        <v>APPROVED</v>
      </c>
      <c r="T1350" s="1" t="str">
        <f>IFERROR(__xludf.DUMMYFUNCTION("""COMPUTED_VALUE"""),"CANCELLED WITH OB")</f>
        <v>CANCELLED WITH OB</v>
      </c>
      <c r="U1350" s="1"/>
      <c r="V1350" s="1"/>
      <c r="W1350" s="1"/>
    </row>
    <row r="1351" customHeight="1" spans="1:23">
      <c r="A1351" s="3">
        <f>IFERROR(__xludf.DUMMYFUNCTION("""COMPUTED_VALUE"""),46140)</f>
        <v>46140</v>
      </c>
      <c r="B1351" s="1" t="str">
        <f>IFERROR(__xludf.DUMMYFUNCTION("""COMPUTED_VALUE"""),"DELA ROSA, JENNELYN")</f>
        <v>DELA ROSA, JENNELYN</v>
      </c>
      <c r="C1351" s="1" t="str">
        <f>IFERROR(__xludf.DUMMYFUNCTION("""COMPUTED_VALUE"""),"ORGANIC")</f>
        <v>ORGANIC</v>
      </c>
      <c r="D1351" s="1" t="str">
        <f>IFERROR(__xludf.DUMMYFUNCTION("""COMPUTED_VALUE"""),"ALOS, CHARLS")</f>
        <v>ALOS, CHARLS</v>
      </c>
      <c r="E1351" s="1" t="str">
        <f>IFERROR(__xludf.DUMMYFUNCTION("""COMPUTED_VALUE"""),"PLDT")</f>
        <v>PLDT</v>
      </c>
      <c r="F1351" s="1">
        <f>IFERROR(__xludf.DUMMYFUNCTION("""COMPUTED_VALUE"""),2309168478)</f>
        <v>2309168478</v>
      </c>
      <c r="G1351" s="1">
        <f>IFERROR(__xludf.DUMMYFUNCTION("""COMPUTED_VALUE"""),452494936004)</f>
        <v>452494936004</v>
      </c>
      <c r="H1351" s="1" t="str">
        <f>IFERROR(__xludf.DUMMYFUNCTION("""COMPUTED_VALUE"""),"LADY LYN MARTOS CARLES")</f>
        <v>LADY LYN MARTOS CARLES</v>
      </c>
      <c r="I1351" s="1">
        <f>IFERROR(__xludf.DUMMYFUNCTION("""COMPUTED_VALUE"""),9925278065)</f>
        <v>9925278065</v>
      </c>
      <c r="J1351" s="1">
        <f>IFERROR(__xludf.DUMMYFUNCTION("""COMPUTED_VALUE"""),9923345344)</f>
        <v>9923345344</v>
      </c>
      <c r="K1351" s="1" t="str">
        <f>IFERROR(__xludf.DUMMYFUNCTION("""COMPUTED_VALUE"""),"LADYLYNCARLES59@GMAIL.COM")</f>
        <v>LADYLYNCARLES59@GMAIL.COM</v>
      </c>
      <c r="L1351" s="1" t="str">
        <f>IFERROR(__xludf.DUMMYFUNCTION("""COMPUTED_VALUE"""),"75")</f>
        <v>75</v>
      </c>
      <c r="M1351" s="1" t="str">
        <f>IFERROR(__xludf.DUMMYFUNCTION("""COMPUTED_VALUE"""),"JOSE ABAD")</f>
        <v>JOSE ABAD</v>
      </c>
      <c r="N1351" s="1"/>
      <c r="O1351" s="1" t="str">
        <f>IFERROR(__xludf.DUMMYFUNCTION("""COMPUTED_VALUE"""),"SALAWAG")</f>
        <v>SALAWAG</v>
      </c>
      <c r="P1351" s="1" t="str">
        <f>IFERROR(__xludf.DUMMYFUNCTION("""COMPUTED_VALUE"""),"DASMARINAS")</f>
        <v>DASMARINAS</v>
      </c>
      <c r="Q1351" s="1" t="str">
        <f>IFERROR(__xludf.DUMMYFUNCTION("""COMPUTED_VALUE"""),"CAVITE")</f>
        <v>CAVITE</v>
      </c>
      <c r="R1351" s="1" t="str">
        <f>IFERROR(__xludf.DUMMYFUNCTION("""COMPUTED_VALUE"""),"FIBR PLAN 1299")</f>
        <v>FIBR PLAN 1299</v>
      </c>
      <c r="S1351" s="1" t="str">
        <f>IFERROR(__xludf.DUMMYFUNCTION("""COMPUTED_VALUE"""),"APPROVED")</f>
        <v>APPROVED</v>
      </c>
      <c r="T1351" s="1" t="str">
        <f>IFERROR(__xludf.DUMMYFUNCTION("""COMPUTED_VALUE"""),"POSTED")</f>
        <v>POSTED</v>
      </c>
      <c r="U1351" s="1"/>
      <c r="V1351" s="1"/>
      <c r="W1351" s="1"/>
    </row>
    <row r="1352" customHeight="1" spans="1:23">
      <c r="A1352" s="3">
        <f>IFERROR(__xludf.DUMMYFUNCTION("""COMPUTED_VALUE"""),46140)</f>
        <v>46140</v>
      </c>
      <c r="B1352" s="1" t="str">
        <f>IFERROR(__xludf.DUMMYFUNCTION("""COMPUTED_VALUE"""),"MAGDARAOG, KENNETH")</f>
        <v>MAGDARAOG, KENNETH</v>
      </c>
      <c r="C1352" s="1" t="str">
        <f>IFERROR(__xludf.DUMMYFUNCTION("""COMPUTED_VALUE"""),"ORGANIC")</f>
        <v>ORGANIC</v>
      </c>
      <c r="D1352" s="1" t="str">
        <f>IFERROR(__xludf.DUMMYFUNCTION("""COMPUTED_VALUE"""),"ALINGARO, CINDY")</f>
        <v>ALINGARO, CINDY</v>
      </c>
      <c r="E1352" s="1" t="str">
        <f>IFERROR(__xludf.DUMMYFUNCTION("""COMPUTED_VALUE"""),"PLDT")</f>
        <v>PLDT</v>
      </c>
      <c r="F1352" s="1">
        <f>IFERROR(__xludf.DUMMYFUNCTION("""COMPUTED_VALUE"""),2309190967)</f>
        <v>2309190967</v>
      </c>
      <c r="G1352" s="1">
        <f>IFERROR(__xludf.DUMMYFUNCTION("""COMPUTED_VALUE"""),452644200004)</f>
        <v>452644200004</v>
      </c>
      <c r="H1352" s="1" t="str">
        <f>IFERROR(__xludf.DUMMYFUNCTION("""COMPUTED_VALUE"""),"JOSHUA ABANG PAGUIA")</f>
        <v>JOSHUA ABANG PAGUIA</v>
      </c>
      <c r="I1352" s="1">
        <f>IFERROR(__xludf.DUMMYFUNCTION("""COMPUTED_VALUE"""),9460618091)</f>
        <v>9460618091</v>
      </c>
      <c r="J1352" s="1">
        <f>IFERROR(__xludf.DUMMYFUNCTION("""COMPUTED_VALUE"""),9934065405)</f>
        <v>9934065405</v>
      </c>
      <c r="K1352" s="1" t="str">
        <f>IFERROR(__xludf.DUMMYFUNCTION("""COMPUTED_VALUE"""),"JHONDAVIDOOGI@GMAIL.COM")</f>
        <v>JHONDAVIDOOGI@GMAIL.COM</v>
      </c>
      <c r="L1352" s="1" t="str">
        <f>IFERROR(__xludf.DUMMYFUNCTION("""COMPUTED_VALUE"""),"1488")</f>
        <v>1488</v>
      </c>
      <c r="M1352" s="1" t="str">
        <f>IFERROR(__xludf.DUMMYFUNCTION("""COMPUTED_VALUE"""),"PULIDO RD")</f>
        <v>PULIDO RD</v>
      </c>
      <c r="N1352" s="1"/>
      <c r="O1352" s="1" t="str">
        <f>IFERROR(__xludf.DUMMYFUNCTION("""COMPUTED_VALUE"""),"BERNARDO PULIDO (AREA H)")</f>
        <v>BERNARDO PULIDO (AREA H)</v>
      </c>
      <c r="P1352" s="1" t="str">
        <f>IFERROR(__xludf.DUMMYFUNCTION("""COMPUTED_VALUE"""),"GEN MARIANO ALVAREZ")</f>
        <v>GEN MARIANO ALVAREZ</v>
      </c>
      <c r="Q1352" s="1" t="str">
        <f>IFERROR(__xludf.DUMMYFUNCTION("""COMPUTED_VALUE"""),"CAVITE")</f>
        <v>CAVITE</v>
      </c>
      <c r="R1352" s="1" t="str">
        <f>IFERROR(__xludf.DUMMYFUNCTION("""COMPUTED_VALUE"""),"FIBR UNLI ALL PLAN 1399")</f>
        <v>FIBR UNLI ALL PLAN 1399</v>
      </c>
      <c r="S1352" s="1" t="str">
        <f>IFERROR(__xludf.DUMMYFUNCTION("""COMPUTED_VALUE"""),"APPROVED")</f>
        <v>APPROVED</v>
      </c>
      <c r="T1352" s="1" t="str">
        <f>IFERROR(__xludf.DUMMYFUNCTION("""COMPUTED_VALUE"""),"FOR PAYMENT")</f>
        <v>FOR PAYMENT</v>
      </c>
      <c r="U1352" s="1"/>
      <c r="V1352" s="1"/>
      <c r="W1352" s="1"/>
    </row>
    <row r="1353" customHeight="1" spans="1:23">
      <c r="A1353" s="3">
        <f>IFERROR(__xludf.DUMMYFUNCTION("""COMPUTED_VALUE"""),46140)</f>
        <v>46140</v>
      </c>
      <c r="B1353" s="1" t="str">
        <f>IFERROR(__xludf.DUMMYFUNCTION("""COMPUTED_VALUE"""),"LEADSTORE - ILANO, LIANDRO TEJAS")</f>
        <v>LEADSTORE - ILANO, LIANDRO TEJAS</v>
      </c>
      <c r="C1353" s="1" t="str">
        <f>IFERROR(__xludf.DUMMYFUNCTION("""COMPUTED_VALUE"""),"FLA")</f>
        <v>FLA</v>
      </c>
      <c r="D1353" s="1" t="str">
        <f>IFERROR(__xludf.DUMMYFUNCTION("""COMPUTED_VALUE"""),"JERIC NAVARRO")</f>
        <v>JERIC NAVARRO</v>
      </c>
      <c r="E1353" s="1" t="str">
        <f>IFERROR(__xludf.DUMMYFUNCTION("""COMPUTED_VALUE"""),"PLDT")</f>
        <v>PLDT</v>
      </c>
      <c r="F1353" s="1"/>
      <c r="G1353" s="1"/>
      <c r="H1353" s="1" t="str">
        <f>IFERROR(__xludf.DUMMYFUNCTION("""COMPUTED_VALUE"""),"JANINE GONZALES DADAP")</f>
        <v>JANINE GONZALES DADAP</v>
      </c>
      <c r="I1353" s="1">
        <f>IFERROR(__xludf.DUMMYFUNCTION("""COMPUTED_VALUE"""),9656643826)</f>
        <v>9656643826</v>
      </c>
      <c r="J1353" s="1"/>
      <c r="K1353" s="1" t="str">
        <f>IFERROR(__xludf.DUMMYFUNCTION("""COMPUTED_VALUE"""),"DADAPJANICE18@GMAIL.COM")</f>
        <v>DADAPJANICE18@GMAIL.COM</v>
      </c>
      <c r="L1353" s="1" t="str">
        <f>IFERROR(__xludf.DUMMYFUNCTION("""COMPUTED_VALUE"""),"BLK 12 LOT 15")</f>
        <v>BLK 12 LOT 15</v>
      </c>
      <c r="M1353" s="1" t="str">
        <f>IFERROR(__xludf.DUMMYFUNCTION("""COMPUTED_VALUE"""),"SOS RD")</f>
        <v>SOS RD</v>
      </c>
      <c r="N1353" s="1"/>
      <c r="O1353" s="1" t="str">
        <f>IFERROR(__xludf.DUMMYFUNCTION("""COMPUTED_VALUE"""),"FATIMA I")</f>
        <v>FATIMA I</v>
      </c>
      <c r="P1353" s="1" t="str">
        <f>IFERROR(__xludf.DUMMYFUNCTION("""COMPUTED_VALUE"""),"DASMARINAS")</f>
        <v>DASMARINAS</v>
      </c>
      <c r="Q1353" s="1" t="str">
        <f>IFERROR(__xludf.DUMMYFUNCTION("""COMPUTED_VALUE"""),"CAVITE")</f>
        <v>CAVITE</v>
      </c>
      <c r="R1353" s="1" t="str">
        <f>IFERROR(__xludf.DUMMYFUNCTION("""COMPUTED_VALUE"""),"FIBR PLAN 1299")</f>
        <v>FIBR PLAN 1299</v>
      </c>
      <c r="S1353" s="1" t="str">
        <f>IFERROR(__xludf.DUMMYFUNCTION("""COMPUTED_VALUE"""),"RETURN FOR COMPLIANCE - AGENT")</f>
        <v>RETURN FOR COMPLIANCE - AGENT</v>
      </c>
      <c r="T1353" s="1" t="str">
        <f>IFERROR(__xludf.DUMMYFUNCTION("""COMPUTED_VALUE"""),"PLS PROVIDE ID WITH SIGNATURE")</f>
        <v>PLS PROVIDE ID WITH SIGNATURE</v>
      </c>
      <c r="U1353" s="1"/>
      <c r="V1353" s="1"/>
      <c r="W1353" s="1"/>
    </row>
    <row r="1354" customHeight="1" spans="1:23">
      <c r="A1354" s="3">
        <f>IFERROR(__xludf.DUMMYFUNCTION("""COMPUTED_VALUE"""),46140)</f>
        <v>46140</v>
      </c>
      <c r="B1354" s="1" t="str">
        <f>IFERROR(__xludf.DUMMYFUNCTION("""COMPUTED_VALUE"""),"AYON MANUEL")</f>
        <v>AYON MANUEL</v>
      </c>
      <c r="C1354" s="1" t="str">
        <f>IFERROR(__xludf.DUMMYFUNCTION("""COMPUTED_VALUE"""),"FLA")</f>
        <v>FLA</v>
      </c>
      <c r="D1354" s="1" t="str">
        <f>IFERROR(__xludf.DUMMYFUNCTION("""COMPUTED_VALUE"""),"JERIC NAVARRO")</f>
        <v>JERIC NAVARRO</v>
      </c>
      <c r="E1354" s="1" t="str">
        <f>IFERROR(__xludf.DUMMYFUNCTION("""COMPUTED_VALUE"""),"PLDT")</f>
        <v>PLDT</v>
      </c>
      <c r="F1354" s="1">
        <f>IFERROR(__xludf.DUMMYFUNCTION("""COMPUTED_VALUE"""),2309170758)</f>
        <v>2309170758</v>
      </c>
      <c r="G1354" s="1"/>
      <c r="H1354" s="1" t="str">
        <f>IFERROR(__xludf.DUMMYFUNCTION("""COMPUTED_VALUE"""),"FLORINA ARIOLA AYCRDO")</f>
        <v>FLORINA ARIOLA AYCRDO</v>
      </c>
      <c r="I1354" s="1">
        <f>IFERROR(__xludf.DUMMYFUNCTION("""COMPUTED_VALUE"""),9957202756)</f>
        <v>9957202756</v>
      </c>
      <c r="J1354" s="1">
        <f>IFERROR(__xludf.DUMMYFUNCTION("""COMPUTED_VALUE"""),9669350037)</f>
        <v>9669350037</v>
      </c>
      <c r="K1354" s="1" t="str">
        <f>IFERROR(__xludf.DUMMYFUNCTION("""COMPUTED_VALUE"""),"LORIEAYCRDO3@GMAIL.COM")</f>
        <v>LORIEAYCRDO3@GMAIL.COM</v>
      </c>
      <c r="L1354" s="1" t="str">
        <f>IFERROR(__xludf.DUMMYFUNCTION("""COMPUTED_VALUE"""),"BLK 6 LOT 6")</f>
        <v>BLK 6 LOT 6</v>
      </c>
      <c r="M1354" s="1" t="str">
        <f>IFERROR(__xludf.DUMMYFUNCTION("""COMPUTED_VALUE"""),"WINDWARD")</f>
        <v>WINDWARD</v>
      </c>
      <c r="N1354" s="1"/>
      <c r="O1354" s="1" t="str">
        <f>IFERROR(__xludf.DUMMYFUNCTION("""COMPUTED_VALUE"""),"BUROL I")</f>
        <v>BUROL I</v>
      </c>
      <c r="P1354" s="1" t="str">
        <f>IFERROR(__xludf.DUMMYFUNCTION("""COMPUTED_VALUE"""),"DASMARINAS")</f>
        <v>DASMARINAS</v>
      </c>
      <c r="Q1354" s="1" t="str">
        <f>IFERROR(__xludf.DUMMYFUNCTION("""COMPUTED_VALUE"""),"CAVITE")</f>
        <v>CAVITE</v>
      </c>
      <c r="R1354" s="1" t="str">
        <f>IFERROR(__xludf.DUMMYFUNCTION("""COMPUTED_VALUE"""),"FIBR PLAN 1299")</f>
        <v>FIBR PLAN 1299</v>
      </c>
      <c r="S1354" s="1" t="str">
        <f>IFERROR(__xludf.DUMMYFUNCTION("""COMPUTED_VALUE"""),"APPROVED")</f>
        <v>APPROVED</v>
      </c>
      <c r="T1354" s="1" t="str">
        <f>IFERROR(__xludf.DUMMYFUNCTION("""COMPUTED_VALUE"""),"CANCELLED WITH OB")</f>
        <v>CANCELLED WITH OB</v>
      </c>
      <c r="U1354" s="1"/>
      <c r="V1354" s="1"/>
      <c r="W1354" s="1"/>
    </row>
    <row r="1355" customHeight="1" spans="1:23">
      <c r="A1355" s="3">
        <f>IFERROR(__xludf.DUMMYFUNCTION("""COMPUTED_VALUE"""),46140)</f>
        <v>46140</v>
      </c>
      <c r="B1355" s="1" t="str">
        <f>IFERROR(__xludf.DUMMYFUNCTION("""COMPUTED_VALUE"""),"FRONDEZ, JEDREFF")</f>
        <v>FRONDEZ, JEDREFF</v>
      </c>
      <c r="C1355" s="1" t="str">
        <f>IFERROR(__xludf.DUMMYFUNCTION("""COMPUTED_VALUE"""),"ORGANIC")</f>
        <v>ORGANIC</v>
      </c>
      <c r="D1355" s="1" t="str">
        <f>IFERROR(__xludf.DUMMYFUNCTION("""COMPUTED_VALUE"""),"REMOLLO LEA")</f>
        <v>REMOLLO LEA</v>
      </c>
      <c r="E1355" s="1" t="str">
        <f>IFERROR(__xludf.DUMMYFUNCTION("""COMPUTED_VALUE"""),"PLDT")</f>
        <v>PLDT</v>
      </c>
      <c r="F1355" s="1">
        <f>IFERROR(__xludf.DUMMYFUNCTION("""COMPUTED_VALUE"""),2309171229)</f>
        <v>2309171229</v>
      </c>
      <c r="G1355" s="1">
        <f>IFERROR(__xludf.DUMMYFUNCTION("""COMPUTED_VALUE"""),452525103004)</f>
        <v>452525103004</v>
      </c>
      <c r="H1355" s="1" t="str">
        <f>IFERROR(__xludf.DUMMYFUNCTION("""COMPUTED_VALUE"""),"JUDY ANN DEL VALLE ROSAS")</f>
        <v>JUDY ANN DEL VALLE ROSAS</v>
      </c>
      <c r="I1355" s="1">
        <f>IFERROR(__xludf.DUMMYFUNCTION("""COMPUTED_VALUE"""),9277901039)</f>
        <v>9277901039</v>
      </c>
      <c r="J1355" s="1">
        <f>IFERROR(__xludf.DUMMYFUNCTION("""COMPUTED_VALUE"""),9280032378)</f>
        <v>9280032378</v>
      </c>
      <c r="K1355" s="1" t="str">
        <f>IFERROR(__xludf.DUMMYFUNCTION("""COMPUTED_VALUE"""),"JUDDYANNROSAS167@GMAIL.COM")</f>
        <v>JUDDYANNROSAS167@GMAIL.COM</v>
      </c>
      <c r="L1355" s="1" t="str">
        <f>IFERROR(__xludf.DUMMYFUNCTION("""COMPUTED_VALUE"""),"BLK 19 LOT 13")</f>
        <v>BLK 19 LOT 13</v>
      </c>
      <c r="M1355" s="1" t="str">
        <f>IFERROR(__xludf.DUMMYFUNCTION("""COMPUTED_VALUE"""),"PHASE 5")</f>
        <v>PHASE 5</v>
      </c>
      <c r="N1355" s="1"/>
      <c r="O1355" s="1" t="str">
        <f>IFERROR(__xludf.DUMMYFUNCTION("""COMPUTED_VALUE"""),"NARRA II")</f>
        <v>NARRA II</v>
      </c>
      <c r="P1355" s="1" t="str">
        <f>IFERROR(__xludf.DUMMYFUNCTION("""COMPUTED_VALUE"""),"SILANG")</f>
        <v>SILANG</v>
      </c>
      <c r="Q1355" s="1" t="str">
        <f>IFERROR(__xludf.DUMMYFUNCTION("""COMPUTED_VALUE"""),"CAVITE")</f>
        <v>CAVITE</v>
      </c>
      <c r="R1355" s="1" t="str">
        <f>IFERROR(__xludf.DUMMYFUNCTION("""COMPUTED_VALUE"""),"FIBR PLAN 1299")</f>
        <v>FIBR PLAN 1299</v>
      </c>
      <c r="S1355" s="1" t="str">
        <f>IFERROR(__xludf.DUMMYFUNCTION("""COMPUTED_VALUE"""),"APPROVED")</f>
        <v>APPROVED</v>
      </c>
      <c r="T1355" s="1" t="str">
        <f>IFERROR(__xludf.DUMMYFUNCTION("""COMPUTED_VALUE"""),"FOR PAYMENT")</f>
        <v>FOR PAYMENT</v>
      </c>
      <c r="U1355" s="1"/>
      <c r="V1355" s="1"/>
      <c r="W1355" s="1"/>
    </row>
    <row r="1356" customHeight="1" spans="1:23">
      <c r="A1356" s="3">
        <f>IFERROR(__xludf.DUMMYFUNCTION("""COMPUTED_VALUE"""),46140)</f>
        <v>46140</v>
      </c>
      <c r="B1356" s="1" t="str">
        <f>IFERROR(__xludf.DUMMYFUNCTION("""COMPUTED_VALUE"""),"MALIWAT MARK ELVIN")</f>
        <v>MALIWAT MARK ELVIN</v>
      </c>
      <c r="C1356" s="1" t="str">
        <f>IFERROR(__xludf.DUMMYFUNCTION("""COMPUTED_VALUE"""),"FLA")</f>
        <v>FLA</v>
      </c>
      <c r="D1356" s="1" t="str">
        <f>IFERROR(__xludf.DUMMYFUNCTION("""COMPUTED_VALUE"""),"JERIC NAVARRO")</f>
        <v>JERIC NAVARRO</v>
      </c>
      <c r="E1356" s="1" t="str">
        <f>IFERROR(__xludf.DUMMYFUNCTION("""COMPUTED_VALUE"""),"PLDT")</f>
        <v>PLDT</v>
      </c>
      <c r="F1356" s="1">
        <f>IFERROR(__xludf.DUMMYFUNCTION("""COMPUTED_VALUE"""),2309172009)</f>
        <v>2309172009</v>
      </c>
      <c r="G1356" s="1">
        <f>IFERROR(__xludf.DUMMYFUNCTION("""COMPUTED_VALUE"""),452505371004)</f>
        <v>452505371004</v>
      </c>
      <c r="H1356" s="1" t="str">
        <f>IFERROR(__xludf.DUMMYFUNCTION("""COMPUTED_VALUE"""),"REX TAGANAS BUNA")</f>
        <v>REX TAGANAS BUNA</v>
      </c>
      <c r="I1356" s="1">
        <f>IFERROR(__xludf.DUMMYFUNCTION("""COMPUTED_VALUE"""),9937353993)</f>
        <v>9937353993</v>
      </c>
      <c r="J1356" s="1"/>
      <c r="K1356" s="1" t="str">
        <f>IFERROR(__xludf.DUMMYFUNCTION("""COMPUTED_VALUE"""),"HONNEYJHE@YAHOO.COM")</f>
        <v>HONNEYJHE@YAHOO.COM</v>
      </c>
      <c r="L1356" s="1" t="str">
        <f>IFERROR(__xludf.DUMMYFUNCTION("""COMPUTED_VALUE"""),"UNIT 601")</f>
        <v>UNIT 601</v>
      </c>
      <c r="M1356" s="1" t="str">
        <f>IFERROR(__xludf.DUMMYFUNCTION("""COMPUTED_VALUE"""),"SURYA BUILDING")</f>
        <v>SURYA BUILDING</v>
      </c>
      <c r="N1356" s="1"/>
      <c r="O1356" s="1" t="str">
        <f>IFERROR(__xludf.DUMMYFUNCTION("""COMPUTED_VALUE"""),"ZAPOTE III")</f>
        <v>ZAPOTE III</v>
      </c>
      <c r="P1356" s="1" t="str">
        <f>IFERROR(__xludf.DUMMYFUNCTION("""COMPUTED_VALUE"""),"BACOOR")</f>
        <v>BACOOR</v>
      </c>
      <c r="Q1356" s="1" t="str">
        <f>IFERROR(__xludf.DUMMYFUNCTION("""COMPUTED_VALUE"""),"CAVITE")</f>
        <v>CAVITE</v>
      </c>
      <c r="R1356" s="1" t="str">
        <f>IFERROR(__xludf.DUMMYFUNCTION("""COMPUTED_VALUE"""),"FIBR PLAN 1299")</f>
        <v>FIBR PLAN 1299</v>
      </c>
      <c r="S1356" s="1" t="str">
        <f>IFERROR(__xludf.DUMMYFUNCTION("""COMPUTED_VALUE"""),"APPROVED")</f>
        <v>APPROVED</v>
      </c>
      <c r="T1356" s="1" t="str">
        <f>IFERROR(__xludf.DUMMYFUNCTION("""COMPUTED_VALUE"""),"FOR PAYMENT")</f>
        <v>FOR PAYMENT</v>
      </c>
      <c r="U1356" s="1"/>
      <c r="V1356" s="1"/>
      <c r="W1356" s="1"/>
    </row>
    <row r="1357" customHeight="1" spans="1:23">
      <c r="A1357" s="3">
        <f>IFERROR(__xludf.DUMMYFUNCTION("""COMPUTED_VALUE"""),46141)</f>
        <v>46141</v>
      </c>
      <c r="B1357" s="1" t="str">
        <f>IFERROR(__xludf.DUMMYFUNCTION("""COMPUTED_VALUE"""),"GABAY, MANUEL")</f>
        <v>GABAY, MANUEL</v>
      </c>
      <c r="C1357" s="1" t="str">
        <f>IFERROR(__xludf.DUMMYFUNCTION("""COMPUTED_VALUE"""),"FLA")</f>
        <v>FLA</v>
      </c>
      <c r="D1357" s="1" t="str">
        <f>IFERROR(__xludf.DUMMYFUNCTION("""COMPUTED_VALUE"""),"JERIC NAVARRO")</f>
        <v>JERIC NAVARRO</v>
      </c>
      <c r="E1357" s="1" t="str">
        <f>IFERROR(__xludf.DUMMYFUNCTION("""COMPUTED_VALUE"""),"PLDT")</f>
        <v>PLDT</v>
      </c>
      <c r="F1357" s="1">
        <f>IFERROR(__xludf.DUMMYFUNCTION("""COMPUTED_VALUE"""),2309184007)</f>
        <v>2309184007</v>
      </c>
      <c r="G1357" s="1">
        <f>IFERROR(__xludf.DUMMYFUNCTION("""COMPUTED_VALUE"""),452609503004)</f>
        <v>452609503004</v>
      </c>
      <c r="H1357" s="1" t="str">
        <f>IFERROR(__xludf.DUMMYFUNCTION("""COMPUTED_VALUE"""),"SUPREME SERVICES E LOADING CENTER")</f>
        <v>SUPREME SERVICES E LOADING CENTER</v>
      </c>
      <c r="I1357" s="1">
        <f>IFERROR(__xludf.DUMMYFUNCTION("""COMPUTED_VALUE"""),9817581201)</f>
        <v>9817581201</v>
      </c>
      <c r="J1357" s="1">
        <f>IFERROR(__xludf.DUMMYFUNCTION("""COMPUTED_VALUE"""),9611111163)</f>
        <v>9611111163</v>
      </c>
      <c r="K1357" s="1" t="str">
        <f>IFERROR(__xludf.DUMMYFUNCTION("""COMPUTED_VALUE"""),"ANNABELLEBOCADO@YAHOO.COM")</f>
        <v>ANNABELLEBOCADO@YAHOO.COM</v>
      </c>
      <c r="L1357" s="1" t="str">
        <f>IFERROR(__xludf.DUMMYFUNCTION("""COMPUTED_VALUE"""),"BLK E-12 LOT 13")</f>
        <v>BLK E-12 LOT 13</v>
      </c>
      <c r="M1357" s="1" t="str">
        <f>IFERROR(__xludf.DUMMYFUNCTION("""COMPUTED_VALUE"""),"SAN LORENZO RD")</f>
        <v>SAN LORENZO RD</v>
      </c>
      <c r="N1357" s="1"/>
      <c r="O1357" s="1" t="str">
        <f>IFERROR(__xludf.DUMMYFUNCTION("""COMPUTED_VALUE"""),"SAN LORENZO RUIZ I")</f>
        <v>SAN LORENZO RUIZ I</v>
      </c>
      <c r="P1357" s="1" t="str">
        <f>IFERROR(__xludf.DUMMYFUNCTION("""COMPUTED_VALUE"""),"DASMARINAS")</f>
        <v>DASMARINAS</v>
      </c>
      <c r="Q1357" s="1" t="str">
        <f>IFERROR(__xludf.DUMMYFUNCTION("""COMPUTED_VALUE"""),"CAVITE")</f>
        <v>CAVITE</v>
      </c>
      <c r="R1357" s="1" t="str">
        <f>IFERROR(__xludf.DUMMYFUNCTION("""COMPUTED_VALUE"""),"HOME BIZ PLAN 1299")</f>
        <v>HOME BIZ PLAN 1299</v>
      </c>
      <c r="S1357" s="1" t="str">
        <f>IFERROR(__xludf.DUMMYFUNCTION("""COMPUTED_VALUE"""),"APPROVED")</f>
        <v>APPROVED</v>
      </c>
      <c r="T1357" s="1" t="str">
        <f>IFERROR(__xludf.DUMMYFUNCTION("""COMPUTED_VALUE"""),"POSTED")</f>
        <v>POSTED</v>
      </c>
      <c r="U1357" s="1"/>
      <c r="V1357" s="1"/>
      <c r="W1357" s="1"/>
    </row>
    <row r="1358" customHeight="1" spans="1:23">
      <c r="A1358" s="3">
        <f>IFERROR(__xludf.DUMMYFUNCTION("""COMPUTED_VALUE"""),46141)</f>
        <v>46141</v>
      </c>
      <c r="B1358" s="1" t="str">
        <f>IFERROR(__xludf.DUMMYFUNCTION("""COMPUTED_VALUE"""),"FRANCISCO , ROSELYN")</f>
        <v>FRANCISCO , ROSELYN</v>
      </c>
      <c r="C1358" s="1" t="str">
        <f>IFERROR(__xludf.DUMMYFUNCTION("""COMPUTED_VALUE"""),"FLA")</f>
        <v>FLA</v>
      </c>
      <c r="D1358" s="1" t="str">
        <f>IFERROR(__xludf.DUMMYFUNCTION("""COMPUTED_VALUE"""),"JERIC NAVARRO")</f>
        <v>JERIC NAVARRO</v>
      </c>
      <c r="E1358" s="1" t="str">
        <f>IFERROR(__xludf.DUMMYFUNCTION("""COMPUTED_VALUE"""),"PLDT")</f>
        <v>PLDT</v>
      </c>
      <c r="F1358" s="1">
        <f>IFERROR(__xludf.DUMMYFUNCTION("""COMPUTED_VALUE"""),2309187844)</f>
        <v>2309187844</v>
      </c>
      <c r="G1358" s="1">
        <f>IFERROR(__xludf.DUMMYFUNCTION("""COMPUTED_VALUE"""),452613855004)</f>
        <v>452613855004</v>
      </c>
      <c r="H1358" s="1" t="str">
        <f>IFERROR(__xludf.DUMMYFUNCTION("""COMPUTED_VALUE"""),"SAMANTHA JOYCE CULASINO")</f>
        <v>SAMANTHA JOYCE CULASINO</v>
      </c>
      <c r="I1358" s="1">
        <f>IFERROR(__xludf.DUMMYFUNCTION("""COMPUTED_VALUE"""),9937684005)</f>
        <v>9937684005</v>
      </c>
      <c r="J1358" s="1">
        <f>IFERROR(__xludf.DUMMYFUNCTION("""COMPUTED_VALUE"""),9751051069)</f>
        <v>9751051069</v>
      </c>
      <c r="K1358" s="1" t="str">
        <f>IFERROR(__xludf.DUMMYFUNCTION("""COMPUTED_VALUE"""),"VILLAVICENCIO.LEI26@GMAIL.COM")</f>
        <v>VILLAVICENCIO.LEI26@GMAIL.COM</v>
      </c>
      <c r="L1358" s="1" t="str">
        <f>IFERROR(__xludf.DUMMYFUNCTION("""COMPUTED_VALUE"""),"BLK 35 LOT 15")</f>
        <v>BLK 35 LOT 15</v>
      </c>
      <c r="M1358" s="1" t="str">
        <f>IFERROR(__xludf.DUMMYFUNCTION("""COMPUTED_VALUE"""),"MATAHIMIK")</f>
        <v>MATAHIMIK</v>
      </c>
      <c r="N1358" s="1"/>
      <c r="O1358" s="1" t="str">
        <f>IFERROR(__xludf.DUMMYFUNCTION("""COMPUTED_VALUE"""),"SAN MIGUEL I")</f>
        <v>SAN MIGUEL I</v>
      </c>
      <c r="P1358" s="1" t="str">
        <f>IFERROR(__xludf.DUMMYFUNCTION("""COMPUTED_VALUE"""),"DASMARINAS")</f>
        <v>DASMARINAS</v>
      </c>
      <c r="Q1358" s="1" t="str">
        <f>IFERROR(__xludf.DUMMYFUNCTION("""COMPUTED_VALUE"""),"CAVITE")</f>
        <v>CAVITE</v>
      </c>
      <c r="R1358" s="1" t="str">
        <f>IFERROR(__xludf.DUMMYFUNCTION("""COMPUTED_VALUE"""),"FIBR UNLI ALL PLAN 1399")</f>
        <v>FIBR UNLI ALL PLAN 1399</v>
      </c>
      <c r="S1358" s="1" t="str">
        <f>IFERROR(__xludf.DUMMYFUNCTION("""COMPUTED_VALUE"""),"APPROVED")</f>
        <v>APPROVED</v>
      </c>
      <c r="T1358" s="1" t="str">
        <f>IFERROR(__xludf.DUMMYFUNCTION("""COMPUTED_VALUE"""),"POSTED")</f>
        <v>POSTED</v>
      </c>
      <c r="U1358" s="1"/>
      <c r="V1358" s="1"/>
      <c r="W1358" s="1"/>
    </row>
    <row r="1359" customHeight="1" spans="1:23">
      <c r="A1359" s="3">
        <f>IFERROR(__xludf.DUMMYFUNCTION("""COMPUTED_VALUE"""),46141)</f>
        <v>46141</v>
      </c>
      <c r="B1359" s="1" t="str">
        <f>IFERROR(__xludf.DUMMYFUNCTION("""COMPUTED_VALUE"""),"AYON MANUEL")</f>
        <v>AYON MANUEL</v>
      </c>
      <c r="C1359" s="1" t="str">
        <f>IFERROR(__xludf.DUMMYFUNCTION("""COMPUTED_VALUE"""),"FLA")</f>
        <v>FLA</v>
      </c>
      <c r="D1359" s="1" t="str">
        <f>IFERROR(__xludf.DUMMYFUNCTION("""COMPUTED_VALUE"""),"JERIC NAVARRO")</f>
        <v>JERIC NAVARRO</v>
      </c>
      <c r="E1359" s="1" t="str">
        <f>IFERROR(__xludf.DUMMYFUNCTION("""COMPUTED_VALUE"""),"PLDT")</f>
        <v>PLDT</v>
      </c>
      <c r="F1359" s="1">
        <f>IFERROR(__xludf.DUMMYFUNCTION("""COMPUTED_VALUE"""),2309184738)</f>
        <v>2309184738</v>
      </c>
      <c r="G1359" s="1"/>
      <c r="H1359" s="1" t="str">
        <f>IFERROR(__xludf.DUMMYFUNCTION("""COMPUTED_VALUE"""),"ERNESTO ACEVEDA FLORES")</f>
        <v>ERNESTO ACEVEDA FLORES</v>
      </c>
      <c r="I1359" s="1">
        <f>IFERROR(__xludf.DUMMYFUNCTION("""COMPUTED_VALUE"""),9175008849)</f>
        <v>9175008849</v>
      </c>
      <c r="J1359" s="1">
        <f>IFERROR(__xludf.DUMMYFUNCTION("""COMPUTED_VALUE"""),9176577820)</f>
        <v>9176577820</v>
      </c>
      <c r="K1359" s="1" t="str">
        <f>IFERROR(__xludf.DUMMYFUNCTION("""COMPUTED_VALUE"""),"ERNEST_AFLORES@YAHOO.COM")</f>
        <v>ERNEST_AFLORES@YAHOO.COM</v>
      </c>
      <c r="L1359" s="1" t="str">
        <f>IFERROR(__xludf.DUMMYFUNCTION("""COMPUTED_VALUE"""),"67")</f>
        <v>67</v>
      </c>
      <c r="M1359" s="1" t="str">
        <f>IFERROR(__xludf.DUMMYFUNCTION("""COMPUTED_VALUE"""),"JP RIZAL")</f>
        <v>JP RIZAL</v>
      </c>
      <c r="N1359" s="1"/>
      <c r="O1359" s="1" t="str">
        <f>IFERROR(__xludf.DUMMYFUNCTION("""COMPUTED_VALUE"""),"GALICIA II")</f>
        <v>GALICIA II</v>
      </c>
      <c r="P1359" s="1" t="str">
        <f>IFERROR(__xludf.DUMMYFUNCTION("""COMPUTED_VALUE"""),"MENDEZ")</f>
        <v>MENDEZ</v>
      </c>
      <c r="Q1359" s="1" t="str">
        <f>IFERROR(__xludf.DUMMYFUNCTION("""COMPUTED_VALUE"""),"CAVITE")</f>
        <v>CAVITE</v>
      </c>
      <c r="R1359" s="1" t="str">
        <f>IFERROR(__xludf.DUMMYFUNCTION("""COMPUTED_VALUE"""),"FIBR PLAN 1299")</f>
        <v>FIBR PLAN 1299</v>
      </c>
      <c r="S1359" s="1" t="str">
        <f>IFERROR(__xludf.DUMMYFUNCTION("""COMPUTED_VALUE"""),"APPROVED")</f>
        <v>APPROVED</v>
      </c>
      <c r="T1359" s="1" t="str">
        <f>IFERROR(__xludf.DUMMYFUNCTION("""COMPUTED_VALUE"""),"CANCELLED WITH OB")</f>
        <v>CANCELLED WITH OB</v>
      </c>
      <c r="U1359" s="1"/>
      <c r="V1359" s="1"/>
      <c r="W1359" s="1"/>
    </row>
    <row r="1360" customHeight="1" spans="1:23">
      <c r="A1360" s="3">
        <f>IFERROR(__xludf.DUMMYFUNCTION("""COMPUTED_VALUE"""),46141)</f>
        <v>46141</v>
      </c>
      <c r="B1360" s="1" t="str">
        <f>IFERROR(__xludf.DUMMYFUNCTION("""COMPUTED_VALUE"""),"AYON MANUEL")</f>
        <v>AYON MANUEL</v>
      </c>
      <c r="C1360" s="1" t="str">
        <f>IFERROR(__xludf.DUMMYFUNCTION("""COMPUTED_VALUE"""),"FLA")</f>
        <v>FLA</v>
      </c>
      <c r="D1360" s="1" t="str">
        <f>IFERROR(__xludf.DUMMYFUNCTION("""COMPUTED_VALUE"""),"JERIC NAVARRO")</f>
        <v>JERIC NAVARRO</v>
      </c>
      <c r="E1360" s="1" t="str">
        <f>IFERROR(__xludf.DUMMYFUNCTION("""COMPUTED_VALUE"""),"PLDT")</f>
        <v>PLDT</v>
      </c>
      <c r="F1360" s="1">
        <f>IFERROR(__xludf.DUMMYFUNCTION("""COMPUTED_VALUE"""),2309185181)</f>
        <v>2309185181</v>
      </c>
      <c r="G1360" s="1">
        <f>IFERROR(__xludf.DUMMYFUNCTION("""COMPUTED_VALUE"""),452612399004)</f>
        <v>452612399004</v>
      </c>
      <c r="H1360" s="1" t="str">
        <f>IFERROR(__xludf.DUMMYFUNCTION("""COMPUTED_VALUE"""),"MAECAELA BUENAFLOR DELMO")</f>
        <v>MAECAELA BUENAFLOR DELMO</v>
      </c>
      <c r="I1360" s="1">
        <f>IFERROR(__xludf.DUMMYFUNCTION("""COMPUTED_VALUE"""),9692868223)</f>
        <v>9692868223</v>
      </c>
      <c r="J1360" s="1">
        <f>IFERROR(__xludf.DUMMYFUNCTION("""COMPUTED_VALUE"""),9198914597)</f>
        <v>9198914597</v>
      </c>
      <c r="K1360" s="1" t="str">
        <f>IFERROR(__xludf.DUMMYFUNCTION("""COMPUTED_VALUE"""),"KWATROCINCOSTAYCATION@GMAIL.COM")</f>
        <v>KWATROCINCOSTAYCATION@GMAIL.COM</v>
      </c>
      <c r="L1360" s="1" t="str">
        <f>IFERROR(__xludf.DUMMYFUNCTION("""COMPUTED_VALUE"""),"UNIT 929")</f>
        <v>UNIT 929</v>
      </c>
      <c r="M1360" s="1" t="str">
        <f>IFERROR(__xludf.DUMMYFUNCTION("""COMPUTED_VALUE"""),"TOWER 4")</f>
        <v>TOWER 4</v>
      </c>
      <c r="N1360" s="1" t="str">
        <f>IFERROR(__xludf.DUMMYFUNCTION("""COMPUTED_VALUE"""),"SMDC")</f>
        <v>SMDC</v>
      </c>
      <c r="O1360" s="1" t="str">
        <f>IFERROR(__xludf.DUMMYFUNCTION("""COMPUTED_VALUE"""),"MAHARLIKA WEST")</f>
        <v>MAHARLIKA WEST</v>
      </c>
      <c r="P1360" s="1" t="str">
        <f>IFERROR(__xludf.DUMMYFUNCTION("""COMPUTED_VALUE"""),"TAGAYTAY")</f>
        <v>TAGAYTAY</v>
      </c>
      <c r="Q1360" s="1" t="str">
        <f>IFERROR(__xludf.DUMMYFUNCTION("""COMPUTED_VALUE"""),"CAVITE")</f>
        <v>CAVITE</v>
      </c>
      <c r="R1360" s="1" t="str">
        <f>IFERROR(__xludf.DUMMYFUNCTION("""COMPUTED_VALUE"""),"FIBR PLAN 1299")</f>
        <v>FIBR PLAN 1299</v>
      </c>
      <c r="S1360" s="1" t="str">
        <f>IFERROR(__xludf.DUMMYFUNCTION("""COMPUTED_VALUE"""),"APPROVED")</f>
        <v>APPROVED</v>
      </c>
      <c r="T1360" s="1" t="str">
        <f>IFERROR(__xludf.DUMMYFUNCTION("""COMPUTED_VALUE"""),"AFD/WITH PAYMENT")</f>
        <v>AFD/WITH PAYMENT</v>
      </c>
      <c r="U1360" s="1"/>
      <c r="V1360" s="1"/>
      <c r="W1360" s="1"/>
    </row>
    <row r="1361" customHeight="1" spans="1:23">
      <c r="A1361" s="3">
        <f>IFERROR(__xludf.DUMMYFUNCTION("""COMPUTED_VALUE"""),46141)</f>
        <v>46141</v>
      </c>
      <c r="B1361" s="1" t="str">
        <f>IFERROR(__xludf.DUMMYFUNCTION("""COMPUTED_VALUE"""),"MALIWAT MARK ELVIN")</f>
        <v>MALIWAT MARK ELVIN</v>
      </c>
      <c r="C1361" s="1" t="str">
        <f>IFERROR(__xludf.DUMMYFUNCTION("""COMPUTED_VALUE"""),"FLA")</f>
        <v>FLA</v>
      </c>
      <c r="D1361" s="1" t="str">
        <f>IFERROR(__xludf.DUMMYFUNCTION("""COMPUTED_VALUE"""),"JERIC NAVARRO")</f>
        <v>JERIC NAVARRO</v>
      </c>
      <c r="E1361" s="1" t="str">
        <f>IFERROR(__xludf.DUMMYFUNCTION("""COMPUTED_VALUE"""),"PLDT")</f>
        <v>PLDT</v>
      </c>
      <c r="F1361" s="1">
        <f>IFERROR(__xludf.DUMMYFUNCTION("""COMPUTED_VALUE"""),2309185718)</f>
        <v>2309185718</v>
      </c>
      <c r="G1361" s="1">
        <f>IFERROR(__xludf.DUMMYFUNCTION("""COMPUTED_VALUE"""),452612710004)</f>
        <v>452612710004</v>
      </c>
      <c r="H1361" s="1" t="str">
        <f>IFERROR(__xludf.DUMMYFUNCTION("""COMPUTED_VALUE"""),"JOCELYN MEREGILDO NAZA")</f>
        <v>JOCELYN MEREGILDO NAZA</v>
      </c>
      <c r="I1361" s="1">
        <f>IFERROR(__xludf.DUMMYFUNCTION("""COMPUTED_VALUE"""),9484522872)</f>
        <v>9484522872</v>
      </c>
      <c r="J1361" s="1">
        <f>IFERROR(__xludf.DUMMYFUNCTION("""COMPUTED_VALUE"""),9637113203)</f>
        <v>9637113203</v>
      </c>
      <c r="K1361" s="1" t="str">
        <f>IFERROR(__xludf.DUMMYFUNCTION("""COMPUTED_VALUE"""),"NAZAJOCELYN6@GMAIL.COM")</f>
        <v>NAZAJOCELYN6@GMAIL.COM</v>
      </c>
      <c r="L1361" s="1" t="str">
        <f>IFERROR(__xludf.DUMMYFUNCTION("""COMPUTED_VALUE"""),"BLK 15 LOT 8")</f>
        <v>BLK 15 LOT 8</v>
      </c>
      <c r="M1361" s="1" t="str">
        <f>IFERROR(__xludf.DUMMYFUNCTION("""COMPUTED_VALUE"""),"GATE 1")</f>
        <v>GATE 1</v>
      </c>
      <c r="N1361" s="1" t="str">
        <f>IFERROR(__xludf.DUMMYFUNCTION("""COMPUTED_VALUE"""),"CHRV")</f>
        <v>CHRV</v>
      </c>
      <c r="O1361" s="1" t="str">
        <f>IFERROR(__xludf.DUMMYFUNCTION("""COMPUTED_VALUE"""),"LANGKAAN II")</f>
        <v>LANGKAAN II</v>
      </c>
      <c r="P1361" s="1" t="str">
        <f>IFERROR(__xludf.DUMMYFUNCTION("""COMPUTED_VALUE"""),"DASMARINAS")</f>
        <v>DASMARINAS</v>
      </c>
      <c r="Q1361" s="1" t="str">
        <f>IFERROR(__xludf.DUMMYFUNCTION("""COMPUTED_VALUE"""),"CAVITE")</f>
        <v>CAVITE</v>
      </c>
      <c r="R1361" s="1" t="str">
        <f>IFERROR(__xludf.DUMMYFUNCTION("""COMPUTED_VALUE"""),"FIBR PLAN 1299")</f>
        <v>FIBR PLAN 1299</v>
      </c>
      <c r="S1361" s="1" t="str">
        <f>IFERROR(__xludf.DUMMYFUNCTION("""COMPUTED_VALUE"""),"APPROVED")</f>
        <v>APPROVED</v>
      </c>
      <c r="T1361" s="1" t="str">
        <f>IFERROR(__xludf.DUMMYFUNCTION("""COMPUTED_VALUE"""),"POSTED")</f>
        <v>POSTED</v>
      </c>
      <c r="U1361" s="1"/>
      <c r="V1361" s="1"/>
      <c r="W1361" s="1"/>
    </row>
    <row r="1362" customHeight="1" spans="1:23">
      <c r="A1362" s="3">
        <f>IFERROR(__xludf.DUMMYFUNCTION("""COMPUTED_VALUE"""),46141)</f>
        <v>46141</v>
      </c>
      <c r="B1362" s="1" t="str">
        <f>IFERROR(__xludf.DUMMYFUNCTION("""COMPUTED_VALUE"""),"ADVINCULA, NICOLE")</f>
        <v>ADVINCULA, NICOLE</v>
      </c>
      <c r="C1362" s="1" t="str">
        <f>IFERROR(__xludf.DUMMYFUNCTION("""COMPUTED_VALUE"""),"ORGANIC")</f>
        <v>ORGANIC</v>
      </c>
      <c r="D1362" s="1" t="str">
        <f>IFERROR(__xludf.DUMMYFUNCTION("""COMPUTED_VALUE"""),"ALINGARO, CINDY")</f>
        <v>ALINGARO, CINDY</v>
      </c>
      <c r="E1362" s="1" t="str">
        <f>IFERROR(__xludf.DUMMYFUNCTION("""COMPUTED_VALUE"""),"RED FIBER")</f>
        <v>RED FIBER</v>
      </c>
      <c r="F1362" s="1"/>
      <c r="G1362" s="1"/>
      <c r="H1362" s="1" t="str">
        <f>IFERROR(__xludf.DUMMYFUNCTION("""COMPUTED_VALUE"""),"ROBERT DE LIMA CASTRO")</f>
        <v>ROBERT DE LIMA CASTRO</v>
      </c>
      <c r="I1362" s="1">
        <f>IFERROR(__xludf.DUMMYFUNCTION("""COMPUTED_VALUE"""),9766189607)</f>
        <v>9766189607</v>
      </c>
      <c r="J1362" s="1">
        <f>IFERROR(__xludf.DUMMYFUNCTION("""COMPUTED_VALUE"""),9458895792)</f>
        <v>9458895792</v>
      </c>
      <c r="K1362" s="1" t="str">
        <f>IFERROR(__xludf.DUMMYFUNCTION("""COMPUTED_VALUE"""),"ROBERTAPRIL11.56@GMAIL.COM")</f>
        <v>ROBERTAPRIL11.56@GMAIL.COM</v>
      </c>
      <c r="L1362" s="1" t="str">
        <f>IFERROR(__xludf.DUMMYFUNCTION("""COMPUTED_VALUE"""),"285")</f>
        <v>285</v>
      </c>
      <c r="M1362" s="1" t="str">
        <f>IFERROR(__xludf.DUMMYFUNCTION("""COMPUTED_VALUE"""),"HUMAYAO")</f>
        <v>HUMAYAO</v>
      </c>
      <c r="N1362" s="1"/>
      <c r="O1362" s="1" t="str">
        <f>IFERROR(__xludf.DUMMYFUNCTION("""COMPUTED_VALUE"""),"LANGKAAN II")</f>
        <v>LANGKAAN II</v>
      </c>
      <c r="P1362" s="1" t="str">
        <f>IFERROR(__xludf.DUMMYFUNCTION("""COMPUTED_VALUE"""),"DASMARINAS")</f>
        <v>DASMARINAS</v>
      </c>
      <c r="Q1362" s="1" t="str">
        <f>IFERROR(__xludf.DUMMYFUNCTION("""COMPUTED_VALUE"""),"CAVITE")</f>
        <v>CAVITE</v>
      </c>
      <c r="R1362" s="1" t="str">
        <f>IFERROR(__xludf.DUMMYFUNCTION("""COMPUTED_VALUE"""),"RED PLAN 1000")</f>
        <v>RED PLAN 1000</v>
      </c>
      <c r="S1362" s="1" t="str">
        <f>IFERROR(__xludf.DUMMYFUNCTION("""COMPUTED_VALUE"""),"APPROVED")</f>
        <v>APPROVED</v>
      </c>
      <c r="T1362" s="1" t="str">
        <f>IFERROR(__xludf.DUMMYFUNCTION("""COMPUTED_VALUE"""),"POSTED")</f>
        <v>POSTED</v>
      </c>
      <c r="U1362" s="1"/>
      <c r="V1362" s="1"/>
      <c r="W1362" s="1"/>
    </row>
    <row r="1363" customHeight="1" spans="1:23">
      <c r="A1363" s="3">
        <f>IFERROR(__xludf.DUMMYFUNCTION("""COMPUTED_VALUE"""),46141)</f>
        <v>46141</v>
      </c>
      <c r="B1363" s="1" t="str">
        <f>IFERROR(__xludf.DUMMYFUNCTION("""COMPUTED_VALUE"""),"RIVERA, AIRIZH JOY")</f>
        <v>RIVERA, AIRIZH JOY</v>
      </c>
      <c r="C1363" s="1" t="str">
        <f>IFERROR(__xludf.DUMMYFUNCTION("""COMPUTED_VALUE"""),"ORGANIC")</f>
        <v>ORGANIC</v>
      </c>
      <c r="D1363" s="1" t="str">
        <f>IFERROR(__xludf.DUMMYFUNCTION("""COMPUTED_VALUE"""),"ALOS, CHARLS")</f>
        <v>ALOS, CHARLS</v>
      </c>
      <c r="E1363" s="1" t="str">
        <f>IFERROR(__xludf.DUMMYFUNCTION("""COMPUTED_VALUE"""),"RED FIBER")</f>
        <v>RED FIBER</v>
      </c>
      <c r="F1363" s="1"/>
      <c r="G1363" s="1"/>
      <c r="H1363" s="1" t="str">
        <f>IFERROR(__xludf.DUMMYFUNCTION("""COMPUTED_VALUE"""),"JUICY GRACE SECRETARIO MONTEALTO")</f>
        <v>JUICY GRACE SECRETARIO MONTEALTO</v>
      </c>
      <c r="I1363" s="1">
        <f>IFERROR(__xludf.DUMMYFUNCTION("""COMPUTED_VALUE"""),9486576130)</f>
        <v>9486576130</v>
      </c>
      <c r="J1363" s="1"/>
      <c r="K1363" s="1" t="str">
        <f>IFERROR(__xludf.DUMMYFUNCTION("""COMPUTED_VALUE"""),"LEANNEFERNADEZ924@GMAIL.COM")</f>
        <v>LEANNEFERNADEZ924@GMAIL.COM</v>
      </c>
      <c r="L1363" s="1" t="str">
        <f>IFERROR(__xludf.DUMMYFUNCTION("""COMPUTED_VALUE"""),"236")</f>
        <v>236</v>
      </c>
      <c r="M1363" s="1" t="str">
        <f>IFERROR(__xludf.DUMMYFUNCTION("""COMPUTED_VALUE"""),"HUMAYAO")</f>
        <v>HUMAYAO</v>
      </c>
      <c r="N1363" s="1"/>
      <c r="O1363" s="1" t="str">
        <f>IFERROR(__xludf.DUMMYFUNCTION("""COMPUTED_VALUE"""),"LANGKAAN II")</f>
        <v>LANGKAAN II</v>
      </c>
      <c r="P1363" s="1" t="str">
        <f>IFERROR(__xludf.DUMMYFUNCTION("""COMPUTED_VALUE"""),"DASMARINAS")</f>
        <v>DASMARINAS</v>
      </c>
      <c r="Q1363" s="1" t="str">
        <f>IFERROR(__xludf.DUMMYFUNCTION("""COMPUTED_VALUE"""),"CAVITE")</f>
        <v>CAVITE</v>
      </c>
      <c r="R1363" s="1" t="str">
        <f>IFERROR(__xludf.DUMMYFUNCTION("""COMPUTED_VALUE"""),"RED PLAN 1000")</f>
        <v>RED PLAN 1000</v>
      </c>
      <c r="S1363" s="1" t="str">
        <f>IFERROR(__xludf.DUMMYFUNCTION("""COMPUTED_VALUE"""),"APPROVED")</f>
        <v>APPROVED</v>
      </c>
      <c r="T1363" s="1" t="str">
        <f>IFERROR(__xludf.DUMMYFUNCTION("""COMPUTED_VALUE"""),"EMAIL VERIF")</f>
        <v>EMAIL VERIF</v>
      </c>
      <c r="U1363" s="1"/>
      <c r="V1363" s="1"/>
      <c r="W1363" s="1"/>
    </row>
    <row r="1364" customHeight="1" spans="1:23">
      <c r="A1364" s="3">
        <f>IFERROR(__xludf.DUMMYFUNCTION("""COMPUTED_VALUE"""),46141)</f>
        <v>46141</v>
      </c>
      <c r="B1364" s="1" t="str">
        <f>IFERROR(__xludf.DUMMYFUNCTION("""COMPUTED_VALUE"""),"CABRERA JILLIENE")</f>
        <v>CABRERA JILLIENE</v>
      </c>
      <c r="C1364" s="1" t="str">
        <f>IFERROR(__xludf.DUMMYFUNCTION("""COMPUTED_VALUE"""),"ORGANIC")</f>
        <v>ORGANIC</v>
      </c>
      <c r="D1364" s="1" t="str">
        <f>IFERROR(__xludf.DUMMYFUNCTION("""COMPUTED_VALUE"""),"ALOS, CHARLS")</f>
        <v>ALOS, CHARLS</v>
      </c>
      <c r="E1364" s="1" t="str">
        <f>IFERROR(__xludf.DUMMYFUNCTION("""COMPUTED_VALUE"""),"RED FIBER")</f>
        <v>RED FIBER</v>
      </c>
      <c r="F1364" s="1"/>
      <c r="G1364" s="1"/>
      <c r="H1364" s="1" t="str">
        <f>IFERROR(__xludf.DUMMYFUNCTION("""COMPUTED_VALUE"""),"ROSEMARIE MALLARI JIMENEZ")</f>
        <v>ROSEMARIE MALLARI JIMENEZ</v>
      </c>
      <c r="I1364" s="1">
        <f>IFERROR(__xludf.DUMMYFUNCTION("""COMPUTED_VALUE"""),9923071664)</f>
        <v>9923071664</v>
      </c>
      <c r="J1364" s="1"/>
      <c r="K1364" s="1" t="str">
        <f>IFERROR(__xludf.DUMMYFUNCTION("""COMPUTED_VALUE"""),"JIMENEZROSEMARIE354@GMAIL.COM")</f>
        <v>JIMENEZROSEMARIE354@GMAIL.COM</v>
      </c>
      <c r="L1364" s="1" t="str">
        <f>IFERROR(__xludf.DUMMYFUNCTION("""COMPUTED_VALUE"""),"344")</f>
        <v>344</v>
      </c>
      <c r="M1364" s="1" t="str">
        <f>IFERROR(__xludf.DUMMYFUNCTION("""COMPUTED_VALUE"""),"HUMAYAO")</f>
        <v>HUMAYAO</v>
      </c>
      <c r="N1364" s="1"/>
      <c r="O1364" s="1" t="str">
        <f>IFERROR(__xludf.DUMMYFUNCTION("""COMPUTED_VALUE"""),"LANGKAAN II")</f>
        <v>LANGKAAN II</v>
      </c>
      <c r="P1364" s="1" t="str">
        <f>IFERROR(__xludf.DUMMYFUNCTION("""COMPUTED_VALUE"""),"DASMARINAS")</f>
        <v>DASMARINAS</v>
      </c>
      <c r="Q1364" s="1" t="str">
        <f>IFERROR(__xludf.DUMMYFUNCTION("""COMPUTED_VALUE"""),"CAVITE")</f>
        <v>CAVITE</v>
      </c>
      <c r="R1364" s="1" t="str">
        <f>IFERROR(__xludf.DUMMYFUNCTION("""COMPUTED_VALUE"""),"RED PLAN 1000")</f>
        <v>RED PLAN 1000</v>
      </c>
      <c r="S1364" s="1" t="str">
        <f>IFERROR(__xludf.DUMMYFUNCTION("""COMPUTED_VALUE"""),"APPROVED")</f>
        <v>APPROVED</v>
      </c>
      <c r="T1364" s="1" t="str">
        <f>IFERROR(__xludf.DUMMYFUNCTION("""COMPUTED_VALUE"""),"EMAIL VERIF")</f>
        <v>EMAIL VERIF</v>
      </c>
      <c r="U1364" s="1"/>
      <c r="V1364" s="1"/>
      <c r="W1364" s="1"/>
    </row>
    <row r="1365" customHeight="1" spans="1:23">
      <c r="A1365" s="3">
        <f>IFERROR(__xludf.DUMMYFUNCTION("""COMPUTED_VALUE"""),46141)</f>
        <v>46141</v>
      </c>
      <c r="B1365" s="1" t="str">
        <f>IFERROR(__xludf.DUMMYFUNCTION("""COMPUTED_VALUE"""),"FARO, REFRANTA")</f>
        <v>FARO, REFRANTA</v>
      </c>
      <c r="C1365" s="1" t="str">
        <f>IFERROR(__xludf.DUMMYFUNCTION("""COMPUTED_VALUE"""),"ORGANIC")</f>
        <v>ORGANIC</v>
      </c>
      <c r="D1365" s="1" t="str">
        <f>IFERROR(__xludf.DUMMYFUNCTION("""COMPUTED_VALUE"""),"ALINGARO, CINDY")</f>
        <v>ALINGARO, CINDY</v>
      </c>
      <c r="E1365" s="1" t="str">
        <f>IFERROR(__xludf.DUMMYFUNCTION("""COMPUTED_VALUE"""),"PLDT")</f>
        <v>PLDT</v>
      </c>
      <c r="F1365" s="1">
        <f>IFERROR(__xludf.DUMMYFUNCTION("""COMPUTED_VALUE"""),2309191319)</f>
        <v>2309191319</v>
      </c>
      <c r="G1365" s="1">
        <f>IFERROR(__xludf.DUMMYFUNCTION("""COMPUTED_VALUE"""),452618682004)</f>
        <v>452618682004</v>
      </c>
      <c r="H1365" s="1" t="str">
        <f>IFERROR(__xludf.DUMMYFUNCTION("""COMPUTED_VALUE"""),"MARK KEVIN MALAZZAB LOVERES")</f>
        <v>MARK KEVIN MALAZZAB LOVERES</v>
      </c>
      <c r="I1365" s="1">
        <f>IFERROR(__xludf.DUMMYFUNCTION("""COMPUTED_VALUE"""),9098224971)</f>
        <v>9098224971</v>
      </c>
      <c r="J1365" s="1">
        <f>IFERROR(__xludf.DUMMYFUNCTION("""COMPUTED_VALUE"""),9935119106)</f>
        <v>9935119106</v>
      </c>
      <c r="K1365" s="1" t="str">
        <f>IFERROR(__xludf.DUMMYFUNCTION("""COMPUTED_VALUE"""),"LOVERESMARKEVIN@GMAIL.COM")</f>
        <v>LOVERESMARKEVIN@GMAIL.COM</v>
      </c>
      <c r="L1365" s="1" t="str">
        <f>IFERROR(__xludf.DUMMYFUNCTION("""COMPUTED_VALUE"""),"BLK 7 LOT 29")</f>
        <v>BLK 7 LOT 29</v>
      </c>
      <c r="M1365" s="1" t="str">
        <f>IFERROR(__xludf.DUMMYFUNCTION("""COMPUTED_VALUE"""),"PHASE 2")</f>
        <v>PHASE 2</v>
      </c>
      <c r="N1365" s="1" t="str">
        <f>IFERROR(__xludf.DUMMYFUNCTION("""COMPUTED_VALUE"""),"ABOT KAMAY")</f>
        <v>ABOT KAMAY</v>
      </c>
      <c r="O1365" s="1" t="str">
        <f>IFERROR(__xludf.DUMMYFUNCTION("""COMPUTED_VALUE"""),"LANGKAAN I")</f>
        <v>LANGKAAN I</v>
      </c>
      <c r="P1365" s="1" t="str">
        <f>IFERROR(__xludf.DUMMYFUNCTION("""COMPUTED_VALUE"""),"DASMARINAS")</f>
        <v>DASMARINAS</v>
      </c>
      <c r="Q1365" s="1" t="str">
        <f>IFERROR(__xludf.DUMMYFUNCTION("""COMPUTED_VALUE"""),"CAVITE")</f>
        <v>CAVITE</v>
      </c>
      <c r="R1365" s="1" t="str">
        <f>IFERROR(__xludf.DUMMYFUNCTION("""COMPUTED_VALUE"""),"FIBR PLAN 1299")</f>
        <v>FIBR PLAN 1299</v>
      </c>
      <c r="S1365" s="1" t="str">
        <f>IFERROR(__xludf.DUMMYFUNCTION("""COMPUTED_VALUE"""),"APPROVED")</f>
        <v>APPROVED</v>
      </c>
      <c r="T1365" s="1" t="str">
        <f>IFERROR(__xludf.DUMMYFUNCTION("""COMPUTED_VALUE"""),"AFD/NEED HOA PERMIT")</f>
        <v>AFD/NEED HOA PERMIT</v>
      </c>
      <c r="U1365" s="1"/>
      <c r="V1365" s="1"/>
      <c r="W1365" s="1"/>
    </row>
    <row r="1366" customHeight="1" spans="1:23">
      <c r="A1366" s="3">
        <f>IFERROR(__xludf.DUMMYFUNCTION("""COMPUTED_VALUE"""),46141)</f>
        <v>46141</v>
      </c>
      <c r="B1366" s="1" t="str">
        <f>IFERROR(__xludf.DUMMYFUNCTION("""COMPUTED_VALUE"""),"MAGDARAOG, KENNETH")</f>
        <v>MAGDARAOG, KENNETH</v>
      </c>
      <c r="C1366" s="1" t="str">
        <f>IFERROR(__xludf.DUMMYFUNCTION("""COMPUTED_VALUE"""),"ORGANIC")</f>
        <v>ORGANIC</v>
      </c>
      <c r="D1366" s="1" t="str">
        <f>IFERROR(__xludf.DUMMYFUNCTION("""COMPUTED_VALUE"""),"ALINGARO, CINDY")</f>
        <v>ALINGARO, CINDY</v>
      </c>
      <c r="E1366" s="1" t="str">
        <f>IFERROR(__xludf.DUMMYFUNCTION("""COMPUTED_VALUE"""),"PLDT")</f>
        <v>PLDT</v>
      </c>
      <c r="F1366" s="1">
        <f>IFERROR(__xludf.DUMMYFUNCTION("""COMPUTED_VALUE"""),2309192083)</f>
        <v>2309192083</v>
      </c>
      <c r="G1366" s="1">
        <f>IFERROR(__xludf.DUMMYFUNCTION("""COMPUTED_VALUE"""),452631460004)</f>
        <v>452631460004</v>
      </c>
      <c r="H1366" s="1" t="str">
        <f>IFERROR(__xludf.DUMMYFUNCTION("""COMPUTED_VALUE"""),"AIMELYN VILLAMOR SEGUINTE")</f>
        <v>AIMELYN VILLAMOR SEGUINTE</v>
      </c>
      <c r="I1366" s="1">
        <f>IFERROR(__xludf.DUMMYFUNCTION("""COMPUTED_VALUE"""),9770714270)</f>
        <v>9770714270</v>
      </c>
      <c r="J1366" s="1">
        <f>IFERROR(__xludf.DUMMYFUNCTION("""COMPUTED_VALUE"""),9695227880)</f>
        <v>9695227880</v>
      </c>
      <c r="K1366" s="1" t="str">
        <f>IFERROR(__xludf.DUMMYFUNCTION("""COMPUTED_VALUE"""),"AIMELYNSEGUINTE@GMAIL.COM")</f>
        <v>AIMELYNSEGUINTE@GMAIL.COM</v>
      </c>
      <c r="L1366" s="1" t="str">
        <f>IFERROR(__xludf.DUMMYFUNCTION("""COMPUTED_VALUE"""),"B-209")</f>
        <v>B-209</v>
      </c>
      <c r="M1366" s="1" t="str">
        <f>IFERROR(__xludf.DUMMYFUNCTION("""COMPUTED_VALUE"""),"EXCESS LOT")</f>
        <v>EXCESS LOT</v>
      </c>
      <c r="N1366" s="1"/>
      <c r="O1366" s="1" t="str">
        <f>IFERROR(__xludf.DUMMYFUNCTION("""COMPUTED_VALUE"""),"PALIPARAN III")</f>
        <v>PALIPARAN III</v>
      </c>
      <c r="P1366" s="1" t="str">
        <f>IFERROR(__xludf.DUMMYFUNCTION("""COMPUTED_VALUE"""),"DASMARINAS")</f>
        <v>DASMARINAS</v>
      </c>
      <c r="Q1366" s="1" t="str">
        <f>IFERROR(__xludf.DUMMYFUNCTION("""COMPUTED_VALUE"""),"CAVITE")</f>
        <v>CAVITE</v>
      </c>
      <c r="R1366" s="1" t="str">
        <f>IFERROR(__xludf.DUMMYFUNCTION("""COMPUTED_VALUE"""),"SWITCH FIBER UNLI ALL 1799")</f>
        <v>SWITCH FIBER UNLI ALL 1799</v>
      </c>
      <c r="S1366" s="1" t="str">
        <f>IFERROR(__xludf.DUMMYFUNCTION("""COMPUTED_VALUE"""),"APPROVED")</f>
        <v>APPROVED</v>
      </c>
      <c r="T1366" s="1" t="str">
        <f>IFERROR(__xludf.DUMMYFUNCTION("""COMPUTED_VALUE"""),"RPR UNMAINTABLE/ NO PAYMENT")</f>
        <v>RPR UNMAINTABLE/ NO PAYMENT</v>
      </c>
      <c r="U1366" s="1"/>
      <c r="V1366" s="1"/>
      <c r="W1366" s="1"/>
    </row>
    <row r="1367" customHeight="1" spans="1:23">
      <c r="A1367" s="3">
        <f>IFERROR(__xludf.DUMMYFUNCTION("""COMPUTED_VALUE"""),46141)</f>
        <v>46141</v>
      </c>
      <c r="B1367" s="1" t="str">
        <f>IFERROR(__xludf.DUMMYFUNCTION("""COMPUTED_VALUE"""),"ADVINCULA, NICOLE")</f>
        <v>ADVINCULA, NICOLE</v>
      </c>
      <c r="C1367" s="1" t="str">
        <f>IFERROR(__xludf.DUMMYFUNCTION("""COMPUTED_VALUE"""),"ORGANIC")</f>
        <v>ORGANIC</v>
      </c>
      <c r="D1367" s="1" t="str">
        <f>IFERROR(__xludf.DUMMYFUNCTION("""COMPUTED_VALUE"""),"ALINGARO, CINDY")</f>
        <v>ALINGARO, CINDY</v>
      </c>
      <c r="E1367" s="1" t="str">
        <f>IFERROR(__xludf.DUMMYFUNCTION("""COMPUTED_VALUE"""),"RED FIBER")</f>
        <v>RED FIBER</v>
      </c>
      <c r="F1367" s="1"/>
      <c r="G1367" s="1"/>
      <c r="H1367" s="1" t="str">
        <f>IFERROR(__xludf.DUMMYFUNCTION("""COMPUTED_VALUE"""),"PRINCESS MARIE BALENA")</f>
        <v>PRINCESS MARIE BALENA</v>
      </c>
      <c r="I1367" s="1">
        <f>IFERROR(__xludf.DUMMYFUNCTION("""COMPUTED_VALUE"""),9271241861)</f>
        <v>9271241861</v>
      </c>
      <c r="J1367" s="1">
        <f>IFERROR(__xludf.DUMMYFUNCTION("""COMPUTED_VALUE"""),9098542946)</f>
        <v>9098542946</v>
      </c>
      <c r="K1367" s="1" t="str">
        <f>IFERROR(__xludf.DUMMYFUNCTION("""COMPUTED_VALUE"""),"BELENAPRINCESSMARIE@GMAIL.COM")</f>
        <v>BELENAPRINCESSMARIE@GMAIL.COM</v>
      </c>
      <c r="L1367" s="1" t="str">
        <f>IFERROR(__xludf.DUMMYFUNCTION("""COMPUTED_VALUE"""),"BLK 14 LOT 12")</f>
        <v>BLK 14 LOT 12</v>
      </c>
      <c r="M1367" s="1" t="str">
        <f>IFERROR(__xludf.DUMMYFUNCTION("""COMPUTED_VALUE"""),"PHASE 2")</f>
        <v>PHASE 2</v>
      </c>
      <c r="N1367" s="1" t="str">
        <f>IFERROR(__xludf.DUMMYFUNCTION("""COMPUTED_VALUE"""),"ABOT KAMAY")</f>
        <v>ABOT KAMAY</v>
      </c>
      <c r="O1367" s="1" t="str">
        <f>IFERROR(__xludf.DUMMYFUNCTION("""COMPUTED_VALUE"""),"LANGKAAN I")</f>
        <v>LANGKAAN I</v>
      </c>
      <c r="P1367" s="1" t="str">
        <f>IFERROR(__xludf.DUMMYFUNCTION("""COMPUTED_VALUE"""),"DASMARINAS")</f>
        <v>DASMARINAS</v>
      </c>
      <c r="Q1367" s="1" t="str">
        <f>IFERROR(__xludf.DUMMYFUNCTION("""COMPUTED_VALUE"""),"CAVITE")</f>
        <v>CAVITE</v>
      </c>
      <c r="R1367" s="1" t="str">
        <f>IFERROR(__xludf.DUMMYFUNCTION("""COMPUTED_VALUE"""),"RED PLAN 1000")</f>
        <v>RED PLAN 1000</v>
      </c>
      <c r="S1367" s="1" t="str">
        <f>IFERROR(__xludf.DUMMYFUNCTION("""COMPUTED_VALUE"""),"APPROVED")</f>
        <v>APPROVED</v>
      </c>
      <c r="T1367" s="1" t="str">
        <f>IFERROR(__xludf.DUMMYFUNCTION("""COMPUTED_VALUE"""),"POSTED")</f>
        <v>POSTED</v>
      </c>
      <c r="U1367" s="1"/>
      <c r="V1367" s="1"/>
      <c r="W1367" s="1"/>
    </row>
    <row r="1368" customHeight="1" spans="1:23">
      <c r="A1368" s="3">
        <f>IFERROR(__xludf.DUMMYFUNCTION("""COMPUTED_VALUE"""),46141)</f>
        <v>46141</v>
      </c>
      <c r="B1368" s="1" t="str">
        <f>IFERROR(__xludf.DUMMYFUNCTION("""COMPUTED_VALUE"""),"GABAY, MANUEL")</f>
        <v>GABAY, MANUEL</v>
      </c>
      <c r="C1368" s="1" t="str">
        <f>IFERROR(__xludf.DUMMYFUNCTION("""COMPUTED_VALUE"""),"FLA")</f>
        <v>FLA</v>
      </c>
      <c r="D1368" s="1" t="str">
        <f>IFERROR(__xludf.DUMMYFUNCTION("""COMPUTED_VALUE"""),"JERIC NAVARRO")</f>
        <v>JERIC NAVARRO</v>
      </c>
      <c r="E1368" s="1" t="str">
        <f>IFERROR(__xludf.DUMMYFUNCTION("""COMPUTED_VALUE"""),"RED FIBER")</f>
        <v>RED FIBER</v>
      </c>
      <c r="F1368" s="1"/>
      <c r="G1368" s="1"/>
      <c r="H1368" s="1" t="str">
        <f>IFERROR(__xludf.DUMMYFUNCTION("""COMPUTED_VALUE"""),"EDEN ROSE GUITA")</f>
        <v>EDEN ROSE GUITA</v>
      </c>
      <c r="I1368" s="1">
        <f>IFERROR(__xludf.DUMMYFUNCTION("""COMPUTED_VALUE"""),9262744981)</f>
        <v>9262744981</v>
      </c>
      <c r="J1368" s="1">
        <f>IFERROR(__xludf.DUMMYFUNCTION("""COMPUTED_VALUE"""),9319122391)</f>
        <v>9319122391</v>
      </c>
      <c r="K1368" s="1" t="str">
        <f>IFERROR(__xludf.DUMMYFUNCTION("""COMPUTED_VALUE"""),"MILMIKGUITAN@GMAIL.COM")</f>
        <v>MILMIKGUITAN@GMAIL.COM</v>
      </c>
      <c r="L1368" s="1" t="str">
        <f>IFERROR(__xludf.DUMMYFUNCTION("""COMPUTED_VALUE"""),"BLK 12 LOT 11")</f>
        <v>BLK 12 LOT 11</v>
      </c>
      <c r="M1368" s="1" t="str">
        <f>IFERROR(__xludf.DUMMYFUNCTION("""COMPUTED_VALUE"""),"PHASE 2")</f>
        <v>PHASE 2</v>
      </c>
      <c r="N1368" s="1" t="str">
        <f>IFERROR(__xludf.DUMMYFUNCTION("""COMPUTED_VALUE"""),"ABOT KAMAY")</f>
        <v>ABOT KAMAY</v>
      </c>
      <c r="O1368" s="1" t="str">
        <f>IFERROR(__xludf.DUMMYFUNCTION("""COMPUTED_VALUE"""),"LANGKAAN I")</f>
        <v>LANGKAAN I</v>
      </c>
      <c r="P1368" s="1" t="str">
        <f>IFERROR(__xludf.DUMMYFUNCTION("""COMPUTED_VALUE"""),"DASMARINAS")</f>
        <v>DASMARINAS</v>
      </c>
      <c r="Q1368" s="1" t="str">
        <f>IFERROR(__xludf.DUMMYFUNCTION("""COMPUTED_VALUE"""),"CAVITE")</f>
        <v>CAVITE</v>
      </c>
      <c r="R1368" s="1" t="str">
        <f>IFERROR(__xludf.DUMMYFUNCTION("""COMPUTED_VALUE"""),"RED PLAN 1000")</f>
        <v>RED PLAN 1000</v>
      </c>
      <c r="S1368" s="1" t="str">
        <f>IFERROR(__xludf.DUMMYFUNCTION("""COMPUTED_VALUE"""),"APPROVED")</f>
        <v>APPROVED</v>
      </c>
      <c r="T1368" s="1" t="str">
        <f>IFERROR(__xludf.DUMMYFUNCTION("""COMPUTED_VALUE"""),"EMAIL VERIF")</f>
        <v>EMAIL VERIF</v>
      </c>
      <c r="U1368" s="1"/>
      <c r="V1368" s="1"/>
      <c r="W1368" s="1"/>
    </row>
    <row r="1369" customHeight="1" spans="1:23">
      <c r="A1369" s="3">
        <f>IFERROR(__xludf.DUMMYFUNCTION("""COMPUTED_VALUE"""),46141)</f>
        <v>46141</v>
      </c>
      <c r="B1369" s="1" t="str">
        <f>IFERROR(__xludf.DUMMYFUNCTION("""COMPUTED_VALUE"""),"GABAY, MANUEL")</f>
        <v>GABAY, MANUEL</v>
      </c>
      <c r="C1369" s="1" t="str">
        <f>IFERROR(__xludf.DUMMYFUNCTION("""COMPUTED_VALUE"""),"FLA")</f>
        <v>FLA</v>
      </c>
      <c r="D1369" s="1" t="str">
        <f>IFERROR(__xludf.DUMMYFUNCTION("""COMPUTED_VALUE"""),"JERIC NAVARRO")</f>
        <v>JERIC NAVARRO</v>
      </c>
      <c r="E1369" s="1" t="str">
        <f>IFERROR(__xludf.DUMMYFUNCTION("""COMPUTED_VALUE"""),"RED FIBER")</f>
        <v>RED FIBER</v>
      </c>
      <c r="F1369" s="1"/>
      <c r="G1369" s="1"/>
      <c r="H1369" s="1" t="str">
        <f>IFERROR(__xludf.DUMMYFUNCTION("""COMPUTED_VALUE"""),"JOHN ERICKSON DESTURA DICHE")</f>
        <v>JOHN ERICKSON DESTURA DICHE</v>
      </c>
      <c r="I1369" s="1">
        <f>IFERROR(__xludf.DUMMYFUNCTION("""COMPUTED_VALUE"""),9666188650)</f>
        <v>9666188650</v>
      </c>
      <c r="J1369" s="1">
        <f>IFERROR(__xludf.DUMMYFUNCTION("""COMPUTED_VALUE"""),9072217391)</f>
        <v>9072217391</v>
      </c>
      <c r="K1369" s="1" t="str">
        <f>IFERROR(__xludf.DUMMYFUNCTION("""COMPUTED_VALUE"""),"DICHESSPENCER3@GMAIL.COM")</f>
        <v>DICHESSPENCER3@GMAIL.COM</v>
      </c>
      <c r="L1369" s="1" t="str">
        <f>IFERROR(__xludf.DUMMYFUNCTION("""COMPUTED_VALUE"""),"BLK 1 LOT 8")</f>
        <v>BLK 1 LOT 8</v>
      </c>
      <c r="M1369" s="1" t="str">
        <f>IFERROR(__xludf.DUMMYFUNCTION("""COMPUTED_VALUE"""),"PHASE 2")</f>
        <v>PHASE 2</v>
      </c>
      <c r="N1369" s="1" t="str">
        <f>IFERROR(__xludf.DUMMYFUNCTION("""COMPUTED_VALUE"""),"ABOT KAMAY")</f>
        <v>ABOT KAMAY</v>
      </c>
      <c r="O1369" s="1" t="str">
        <f>IFERROR(__xludf.DUMMYFUNCTION("""COMPUTED_VALUE"""),"LANGKAAN I")</f>
        <v>LANGKAAN I</v>
      </c>
      <c r="P1369" s="1" t="str">
        <f>IFERROR(__xludf.DUMMYFUNCTION("""COMPUTED_VALUE"""),"DASMARINAS")</f>
        <v>DASMARINAS</v>
      </c>
      <c r="Q1369" s="1" t="str">
        <f>IFERROR(__xludf.DUMMYFUNCTION("""COMPUTED_VALUE"""),"CAVITE")</f>
        <v>CAVITE</v>
      </c>
      <c r="R1369" s="1" t="str">
        <f>IFERROR(__xludf.DUMMYFUNCTION("""COMPUTED_VALUE"""),"RED PLAN 1400")</f>
        <v>RED PLAN 1400</v>
      </c>
      <c r="S1369" s="1" t="str">
        <f>IFERROR(__xludf.DUMMYFUNCTION("""COMPUTED_VALUE"""),"APPROVED")</f>
        <v>APPROVED</v>
      </c>
      <c r="T1369" s="1" t="str">
        <f>IFERROR(__xludf.DUMMYFUNCTION("""COMPUTED_VALUE"""),"EMAIL VERIF")</f>
        <v>EMAIL VERIF</v>
      </c>
      <c r="U1369" s="1"/>
      <c r="V1369" s="1"/>
      <c r="W1369" s="1"/>
    </row>
    <row r="1370" customHeight="1" spans="1:23">
      <c r="A1370" s="3">
        <f>IFERROR(__xludf.DUMMYFUNCTION("""COMPUTED_VALUE"""),46141)</f>
        <v>46141</v>
      </c>
      <c r="B1370" s="1" t="str">
        <f>IFERROR(__xludf.DUMMYFUNCTION("""COMPUTED_VALUE"""),"FRANCISCO , ROSELYN")</f>
        <v>FRANCISCO , ROSELYN</v>
      </c>
      <c r="C1370" s="1" t="str">
        <f>IFERROR(__xludf.DUMMYFUNCTION("""COMPUTED_VALUE"""),"FLA")</f>
        <v>FLA</v>
      </c>
      <c r="D1370" s="1" t="str">
        <f>IFERROR(__xludf.DUMMYFUNCTION("""COMPUTED_VALUE"""),"JERIC NAVARRO")</f>
        <v>JERIC NAVARRO</v>
      </c>
      <c r="E1370" s="1" t="str">
        <f>IFERROR(__xludf.DUMMYFUNCTION("""COMPUTED_VALUE"""),"PLDT")</f>
        <v>PLDT</v>
      </c>
      <c r="F1370" s="1">
        <f>IFERROR(__xludf.DUMMYFUNCTION("""COMPUTED_VALUE"""),2309194093)</f>
        <v>2309194093</v>
      </c>
      <c r="G1370" s="1">
        <f>IFERROR(__xludf.DUMMYFUNCTION("""COMPUTED_VALUE"""),452626392004)</f>
        <v>452626392004</v>
      </c>
      <c r="H1370" s="1" t="str">
        <f>IFERROR(__xludf.DUMMYFUNCTION("""COMPUTED_VALUE"""),"EDLYN JOY CASINAS MANANGAN")</f>
        <v>EDLYN JOY CASINAS MANANGAN</v>
      </c>
      <c r="I1370" s="1">
        <f>IFERROR(__xludf.DUMMYFUNCTION("""COMPUTED_VALUE"""),9364109233)</f>
        <v>9364109233</v>
      </c>
      <c r="J1370" s="1"/>
      <c r="K1370" s="1" t="str">
        <f>IFERROR(__xludf.DUMMYFUNCTION("""COMPUTED_VALUE"""),"EDZMANAGAN23@GMAIL.COM")</f>
        <v>EDZMANAGAN23@GMAIL.COM</v>
      </c>
      <c r="L1370" s="1" t="str">
        <f>IFERROR(__xludf.DUMMYFUNCTION("""COMPUTED_VALUE"""),"46")</f>
        <v>46</v>
      </c>
      <c r="M1370" s="1" t="str">
        <f>IFERROR(__xludf.DUMMYFUNCTION("""COMPUTED_VALUE"""),"REYVILLE")</f>
        <v>REYVILLE</v>
      </c>
      <c r="N1370" s="1"/>
      <c r="O1370" s="1" t="str">
        <f>IFERROR(__xludf.DUMMYFUNCTION("""COMPUTED_VALUE"""),"HABAY II")</f>
        <v>HABAY II</v>
      </c>
      <c r="P1370" s="1" t="str">
        <f>IFERROR(__xludf.DUMMYFUNCTION("""COMPUTED_VALUE"""),"BACOOR")</f>
        <v>BACOOR</v>
      </c>
      <c r="Q1370" s="1" t="str">
        <f>IFERROR(__xludf.DUMMYFUNCTION("""COMPUTED_VALUE"""),"CAVITE")</f>
        <v>CAVITE</v>
      </c>
      <c r="R1370" s="1" t="str">
        <f>IFERROR(__xludf.DUMMYFUNCTION("""COMPUTED_VALUE"""),"FIBR UNLI ALL PLAN 1399")</f>
        <v>FIBR UNLI ALL PLAN 1399</v>
      </c>
      <c r="S1370" s="1" t="str">
        <f>IFERROR(__xludf.DUMMYFUNCTION("""COMPUTED_VALUE"""),"APPROVED")</f>
        <v>APPROVED</v>
      </c>
      <c r="T1370" s="1" t="str">
        <f>IFERROR(__xludf.DUMMYFUNCTION("""COMPUTED_VALUE"""),"POSTED")</f>
        <v>POSTED</v>
      </c>
      <c r="U1370" s="1"/>
      <c r="V1370" s="1"/>
      <c r="W1370" s="1"/>
    </row>
    <row r="1371" customHeight="1" spans="1:23">
      <c r="A1371" s="3">
        <f>IFERROR(__xludf.DUMMYFUNCTION("""COMPUTED_VALUE"""),46141)</f>
        <v>46141</v>
      </c>
      <c r="B1371" s="1" t="str">
        <f>IFERROR(__xludf.DUMMYFUNCTION("""COMPUTED_VALUE"""),"AYON MANUEL")</f>
        <v>AYON MANUEL</v>
      </c>
      <c r="C1371" s="1" t="str">
        <f>IFERROR(__xludf.DUMMYFUNCTION("""COMPUTED_VALUE"""),"FLA")</f>
        <v>FLA</v>
      </c>
      <c r="D1371" s="1" t="str">
        <f>IFERROR(__xludf.DUMMYFUNCTION("""COMPUTED_VALUE"""),"JERIC NAVARRO")</f>
        <v>JERIC NAVARRO</v>
      </c>
      <c r="E1371" s="1" t="str">
        <f>IFERROR(__xludf.DUMMYFUNCTION("""COMPUTED_VALUE"""),"PLDT")</f>
        <v>PLDT</v>
      </c>
      <c r="F1371" s="1">
        <f>IFERROR(__xludf.DUMMYFUNCTION("""COMPUTED_VALUE"""),2309195015)</f>
        <v>2309195015</v>
      </c>
      <c r="G1371" s="1">
        <f>IFERROR(__xludf.DUMMYFUNCTION("""COMPUTED_VALUE"""),452623712004)</f>
        <v>452623712004</v>
      </c>
      <c r="H1371" s="1" t="str">
        <f>IFERROR(__xludf.DUMMYFUNCTION("""COMPUTED_VALUE"""),"RIMER RINNELL DANTES ATABAY")</f>
        <v>RIMER RINNELL DANTES ATABAY</v>
      </c>
      <c r="I1371" s="1">
        <f>IFERROR(__xludf.DUMMYFUNCTION("""COMPUTED_VALUE"""),9069722601)</f>
        <v>9069722601</v>
      </c>
      <c r="J1371" s="1">
        <f>IFERROR(__xludf.DUMMYFUNCTION("""COMPUTED_VALUE"""),9516590374)</f>
        <v>9516590374</v>
      </c>
      <c r="K1371" s="1" t="str">
        <f>IFERROR(__xludf.DUMMYFUNCTION("""COMPUTED_VALUE"""),"NELNEL12DANTES@GMAIL.COM")</f>
        <v>NELNEL12DANTES@GMAIL.COM</v>
      </c>
      <c r="L1371" s="1" t="str">
        <f>IFERROR(__xludf.DUMMYFUNCTION("""COMPUTED_VALUE"""),"9090")</f>
        <v>9090</v>
      </c>
      <c r="M1371" s="1" t="str">
        <f>IFERROR(__xludf.DUMMYFUNCTION("""COMPUTED_VALUE"""),"PUROK 1")</f>
        <v>PUROK 1</v>
      </c>
      <c r="N1371" s="1"/>
      <c r="O1371" s="1" t="str">
        <f>IFERROR(__xludf.DUMMYFUNCTION("""COMPUTED_VALUE"""),"BIGA I")</f>
        <v>BIGA I</v>
      </c>
      <c r="P1371" s="1" t="str">
        <f>IFERROR(__xludf.DUMMYFUNCTION("""COMPUTED_VALUE"""),"SILANG")</f>
        <v>SILANG</v>
      </c>
      <c r="Q1371" s="1" t="str">
        <f>IFERROR(__xludf.DUMMYFUNCTION("""COMPUTED_VALUE"""),"CAVITE")</f>
        <v>CAVITE</v>
      </c>
      <c r="R1371" s="1" t="str">
        <f>IFERROR(__xludf.DUMMYFUNCTION("""COMPUTED_VALUE"""),"FIBR NETFLIX PLAN 1599")</f>
        <v>FIBR NETFLIX PLAN 1599</v>
      </c>
      <c r="S1371" s="1" t="str">
        <f>IFERROR(__xludf.DUMMYFUNCTION("""COMPUTED_VALUE"""),"APPROVED")</f>
        <v>APPROVED</v>
      </c>
      <c r="T1371" s="1" t="str">
        <f>IFERROR(__xludf.DUMMYFUNCTION("""COMPUTED_VALUE"""),"POSTED")</f>
        <v>POSTED</v>
      </c>
      <c r="U1371" s="1"/>
      <c r="V1371" s="1"/>
      <c r="W1371" s="1"/>
    </row>
    <row r="1372" customHeight="1" spans="1:23">
      <c r="A1372" s="3">
        <f>IFERROR(__xludf.DUMMYFUNCTION("""COMPUTED_VALUE"""),46141)</f>
        <v>46141</v>
      </c>
      <c r="B1372" s="1" t="str">
        <f>IFERROR(__xludf.DUMMYFUNCTION("""COMPUTED_VALUE"""),"FERNANDEZ JERIC")</f>
        <v>FERNANDEZ JERIC</v>
      </c>
      <c r="C1372" s="1" t="str">
        <f>IFERROR(__xludf.DUMMYFUNCTION("""COMPUTED_VALUE"""),"ORGANIC")</f>
        <v>ORGANIC</v>
      </c>
      <c r="D1372" s="1" t="str">
        <f>IFERROR(__xludf.DUMMYFUNCTION("""COMPUTED_VALUE"""),"ALOS, CHARLS")</f>
        <v>ALOS, CHARLS</v>
      </c>
      <c r="E1372" s="1" t="str">
        <f>IFERROR(__xludf.DUMMYFUNCTION("""COMPUTED_VALUE"""),"PLDT")</f>
        <v>PLDT</v>
      </c>
      <c r="F1372" s="1">
        <f>IFERROR(__xludf.DUMMYFUNCTION("""COMPUTED_VALUE"""),2309195744)</f>
        <v>2309195744</v>
      </c>
      <c r="G1372" s="1">
        <f>IFERROR(__xludf.DUMMYFUNCTION("""COMPUTED_VALUE"""),452624523004)</f>
        <v>452624523004</v>
      </c>
      <c r="H1372" s="1" t="str">
        <f>IFERROR(__xludf.DUMMYFUNCTION("""COMPUTED_VALUE"""),"EARL LOURINCE CABUGAYAN SUPAN")</f>
        <v>EARL LOURINCE CABUGAYAN SUPAN</v>
      </c>
      <c r="I1372" s="1">
        <f>IFERROR(__xludf.DUMMYFUNCTION("""COMPUTED_VALUE"""),9946209252)</f>
        <v>9946209252</v>
      </c>
      <c r="J1372" s="1"/>
      <c r="K1372" s="1" t="str">
        <f>IFERROR(__xludf.DUMMYFUNCTION("""COMPUTED_VALUE"""),"JELOOSUPAN48@GMAIL.COM")</f>
        <v>JELOOSUPAN48@GMAIL.COM</v>
      </c>
      <c r="L1372" s="1" t="str">
        <f>IFERROR(__xludf.DUMMYFUNCTION("""COMPUTED_VALUE"""),"1306")</f>
        <v>1306</v>
      </c>
      <c r="M1372" s="1" t="str">
        <f>IFERROR(__xludf.DUMMYFUNCTION("""COMPUTED_VALUE"""),"BLK 21")</f>
        <v>BLK 21</v>
      </c>
      <c r="N1372" s="1"/>
      <c r="O1372" s="1" t="str">
        <f>IFERROR(__xludf.DUMMYFUNCTION("""COMPUTED_VALUE"""),"BERNARDO PULIDO (AREA H)")</f>
        <v>BERNARDO PULIDO (AREA H)</v>
      </c>
      <c r="P1372" s="1" t="str">
        <f>IFERROR(__xludf.DUMMYFUNCTION("""COMPUTED_VALUE"""),"GEN MARIANO ALVAREZ")</f>
        <v>GEN MARIANO ALVAREZ</v>
      </c>
      <c r="Q1372" s="1" t="str">
        <f>IFERROR(__xludf.DUMMYFUNCTION("""COMPUTED_VALUE"""),"CAVITE")</f>
        <v>CAVITE</v>
      </c>
      <c r="R1372" s="1" t="str">
        <f>IFERROR(__xludf.DUMMYFUNCTION("""COMPUTED_VALUE"""),"FIBR UNLI ALL PLAN 1399")</f>
        <v>FIBR UNLI ALL PLAN 1399</v>
      </c>
      <c r="S1372" s="1" t="str">
        <f>IFERROR(__xludf.DUMMYFUNCTION("""COMPUTED_VALUE"""),"APPROVED")</f>
        <v>APPROVED</v>
      </c>
      <c r="T1372" s="1" t="str">
        <f>IFERROR(__xludf.DUMMYFUNCTION("""COMPUTED_VALUE"""),"AFD/UNDECIDED")</f>
        <v>AFD/UNDECIDED</v>
      </c>
      <c r="U1372" s="1"/>
      <c r="V1372" s="1"/>
      <c r="W1372" s="1"/>
    </row>
    <row r="1373" customHeight="1" spans="1:23">
      <c r="A1373" s="3">
        <f>IFERROR(__xludf.DUMMYFUNCTION("""COMPUTED_VALUE"""),46141)</f>
        <v>46141</v>
      </c>
      <c r="B1373" s="1" t="str">
        <f>IFERROR(__xludf.DUMMYFUNCTION("""COMPUTED_VALUE"""),"FRONDEZ, JEDREFF")</f>
        <v>FRONDEZ, JEDREFF</v>
      </c>
      <c r="C1373" s="1" t="str">
        <f>IFERROR(__xludf.DUMMYFUNCTION("""COMPUTED_VALUE"""),"ORGANIC")</f>
        <v>ORGANIC</v>
      </c>
      <c r="D1373" s="1" t="str">
        <f>IFERROR(__xludf.DUMMYFUNCTION("""COMPUTED_VALUE"""),"REMOLLO LEA")</f>
        <v>REMOLLO LEA</v>
      </c>
      <c r="E1373" s="1" t="str">
        <f>IFERROR(__xludf.DUMMYFUNCTION("""COMPUTED_VALUE"""),"PLDT")</f>
        <v>PLDT</v>
      </c>
      <c r="F1373" s="1">
        <f>IFERROR(__xludf.DUMMYFUNCTION("""COMPUTED_VALUE"""),2309196232)</f>
        <v>2309196232</v>
      </c>
      <c r="G1373" s="1">
        <f>IFERROR(__xludf.DUMMYFUNCTION("""COMPUTED_VALUE"""),452628679004)</f>
        <v>452628679004</v>
      </c>
      <c r="H1373" s="1" t="str">
        <f>IFERROR(__xludf.DUMMYFUNCTION("""COMPUTED_VALUE"""),"LYDIA BAAC ALORA")</f>
        <v>LYDIA BAAC ALORA</v>
      </c>
      <c r="I1373" s="1">
        <f>IFERROR(__xludf.DUMMYFUNCTION("""COMPUTED_VALUE"""),9084505863)</f>
        <v>9084505863</v>
      </c>
      <c r="J1373" s="1">
        <f>IFERROR(__xludf.DUMMYFUNCTION("""COMPUTED_VALUE"""),9928717723)</f>
        <v>9928717723</v>
      </c>
      <c r="K1373" s="1" t="str">
        <f>IFERROR(__xludf.DUMMYFUNCTION("""COMPUTED_VALUE"""),"MAUI.ALORA21@GMAIL.COM")</f>
        <v>MAUI.ALORA21@GMAIL.COM</v>
      </c>
      <c r="L1373" s="1" t="str">
        <f>IFERROR(__xludf.DUMMYFUNCTION("""COMPUTED_VALUE"""),"BLK 9B")</f>
        <v>BLK 9B</v>
      </c>
      <c r="M1373" s="1" t="str">
        <f>IFERROR(__xludf.DUMMYFUNCTION("""COMPUTED_VALUE"""),"EXTENTION")</f>
        <v>EXTENTION</v>
      </c>
      <c r="N1373" s="1"/>
      <c r="O1373" s="1" t="str">
        <f>IFERROR(__xludf.DUMMYFUNCTION("""COMPUTED_VALUE"""),"SAN JOSE")</f>
        <v>SAN JOSE</v>
      </c>
      <c r="P1373" s="1" t="str">
        <f>IFERROR(__xludf.DUMMYFUNCTION("""COMPUTED_VALUE"""),"GEN MARIANO ALVAREZ")</f>
        <v>GEN MARIANO ALVAREZ</v>
      </c>
      <c r="Q1373" s="1" t="str">
        <f>IFERROR(__xludf.DUMMYFUNCTION("""COMPUTED_VALUE"""),"CAVITE")</f>
        <v>CAVITE</v>
      </c>
      <c r="R1373" s="1" t="str">
        <f>IFERROR(__xludf.DUMMYFUNCTION("""COMPUTED_VALUE"""),"FIBR PLAN 1299")</f>
        <v>FIBR PLAN 1299</v>
      </c>
      <c r="S1373" s="1" t="str">
        <f>IFERROR(__xludf.DUMMYFUNCTION("""COMPUTED_VALUE"""),"APPROVED")</f>
        <v>APPROVED</v>
      </c>
      <c r="T1373" s="1" t="str">
        <f>IFERROR(__xludf.DUMMYFUNCTION("""COMPUTED_VALUE"""),"POSTED")</f>
        <v>POSTED</v>
      </c>
      <c r="U1373" s="1"/>
      <c r="V1373" s="1"/>
      <c r="W1373" s="1"/>
    </row>
    <row r="1374" customHeight="1" spans="1:23">
      <c r="A1374" s="3">
        <f>IFERROR(__xludf.DUMMYFUNCTION("""COMPUTED_VALUE"""),46141)</f>
        <v>46141</v>
      </c>
      <c r="B1374" s="1" t="str">
        <f>IFERROR(__xludf.DUMMYFUNCTION("""COMPUTED_VALUE"""),"ODY , CLARENCE")</f>
        <v>ODY , CLARENCE</v>
      </c>
      <c r="C1374" s="1" t="str">
        <f>IFERROR(__xludf.DUMMYFUNCTION("""COMPUTED_VALUE"""),"ORGANIC")</f>
        <v>ORGANIC</v>
      </c>
      <c r="D1374" s="1" t="str">
        <f>IFERROR(__xludf.DUMMYFUNCTION("""COMPUTED_VALUE"""),"ALOS, CHARLS")</f>
        <v>ALOS, CHARLS</v>
      </c>
      <c r="E1374" s="1" t="str">
        <f>IFERROR(__xludf.DUMMYFUNCTION("""COMPUTED_VALUE"""),"PLDT")</f>
        <v>PLDT</v>
      </c>
      <c r="F1374" s="1">
        <f>IFERROR(__xludf.DUMMYFUNCTION("""COMPUTED_VALUE"""),2309197046)</f>
        <v>2309197046</v>
      </c>
      <c r="G1374" s="1">
        <f>IFERROR(__xludf.DUMMYFUNCTION("""COMPUTED_VALUE"""),452656132004)</f>
        <v>452656132004</v>
      </c>
      <c r="H1374" s="1" t="str">
        <f>IFERROR(__xludf.DUMMYFUNCTION("""COMPUTED_VALUE"""),"KATLEEN JAMIE VILLEGAS ALILANO")</f>
        <v>KATLEEN JAMIE VILLEGAS ALILANO</v>
      </c>
      <c r="I1374" s="1">
        <f>IFERROR(__xludf.DUMMYFUNCTION("""COMPUTED_VALUE"""),9696178612)</f>
        <v>9696178612</v>
      </c>
      <c r="J1374" s="1">
        <f>IFERROR(__xludf.DUMMYFUNCTION("""COMPUTED_VALUE"""),9756367893)</f>
        <v>9756367893</v>
      </c>
      <c r="K1374" s="1" t="str">
        <f>IFERROR(__xludf.DUMMYFUNCTION("""COMPUTED_VALUE"""),"KATLEENJAMIEA@GMAIL.COM")</f>
        <v>KATLEENJAMIEA@GMAIL.COM</v>
      </c>
      <c r="L1374" s="1" t="str">
        <f>IFERROR(__xludf.DUMMYFUNCTION("""COMPUTED_VALUE"""),"BLK 188")</f>
        <v>BLK 188</v>
      </c>
      <c r="M1374" s="1" t="str">
        <f>IFERROR(__xludf.DUMMYFUNCTION("""COMPUTED_VALUE"""),"EXCESS LOT")</f>
        <v>EXCESS LOT</v>
      </c>
      <c r="N1374" s="1" t="str">
        <f>IFERROR(__xludf.DUMMYFUNCTION("""COMPUTED_VALUE"""),"PHASE 4")</f>
        <v>PHASE 4</v>
      </c>
      <c r="O1374" s="1" t="str">
        <f>IFERROR(__xludf.DUMMYFUNCTION("""COMPUTED_VALUE"""),"PALIPARAN III")</f>
        <v>PALIPARAN III</v>
      </c>
      <c r="P1374" s="1" t="str">
        <f>IFERROR(__xludf.DUMMYFUNCTION("""COMPUTED_VALUE"""),"DASMARINAS")</f>
        <v>DASMARINAS</v>
      </c>
      <c r="Q1374" s="1" t="str">
        <f>IFERROR(__xludf.DUMMYFUNCTION("""COMPUTED_VALUE"""),"CAVITE")</f>
        <v>CAVITE</v>
      </c>
      <c r="R1374" s="1" t="str">
        <f>IFERROR(__xludf.DUMMYFUNCTION("""COMPUTED_VALUE"""),"FIBR NETFLIX PLAN 1599")</f>
        <v>FIBR NETFLIX PLAN 1599</v>
      </c>
      <c r="S1374" s="1" t="str">
        <f>IFERROR(__xludf.DUMMYFUNCTION("""COMPUTED_VALUE"""),"APPROVED")</f>
        <v>APPROVED</v>
      </c>
      <c r="T1374" s="1" t="str">
        <f>IFERROR(__xludf.DUMMYFUNCTION("""COMPUTED_VALUE"""),"RPR NAPFULL/NO PAYMENT")</f>
        <v>RPR NAPFULL/NO PAYMENT</v>
      </c>
      <c r="U1374" s="1"/>
      <c r="V1374" s="1"/>
      <c r="W1374" s="1"/>
    </row>
    <row r="1375" customHeight="1" spans="1:23">
      <c r="A1375" s="3">
        <f>IFERROR(__xludf.DUMMYFUNCTION("""COMPUTED_VALUE"""),46141)</f>
        <v>46141</v>
      </c>
      <c r="B1375" s="1" t="str">
        <f>IFERROR(__xludf.DUMMYFUNCTION("""COMPUTED_VALUE"""),"ODY , CLARENCE")</f>
        <v>ODY , CLARENCE</v>
      </c>
      <c r="C1375" s="1" t="str">
        <f>IFERROR(__xludf.DUMMYFUNCTION("""COMPUTED_VALUE"""),"ORGANIC")</f>
        <v>ORGANIC</v>
      </c>
      <c r="D1375" s="1" t="str">
        <f>IFERROR(__xludf.DUMMYFUNCTION("""COMPUTED_VALUE"""),"ALOS, CHARLS")</f>
        <v>ALOS, CHARLS</v>
      </c>
      <c r="E1375" s="1" t="str">
        <f>IFERROR(__xludf.DUMMYFUNCTION("""COMPUTED_VALUE"""),"PLDT")</f>
        <v>PLDT</v>
      </c>
      <c r="F1375" s="1">
        <f>IFERROR(__xludf.DUMMYFUNCTION("""COMPUTED_VALUE"""),2309196269)</f>
        <v>2309196269</v>
      </c>
      <c r="G1375" s="1">
        <f>IFERROR(__xludf.DUMMYFUNCTION("""COMPUTED_VALUE"""),452628381004)</f>
        <v>452628381004</v>
      </c>
      <c r="H1375" s="1" t="str">
        <f>IFERROR(__xludf.DUMMYFUNCTION("""COMPUTED_VALUE"""),"MARRY FAITH ROMERO GAN")</f>
        <v>MARRY FAITH ROMERO GAN</v>
      </c>
      <c r="I1375" s="1">
        <f>IFERROR(__xludf.DUMMYFUNCTION("""COMPUTED_VALUE"""),9708448962)</f>
        <v>9708448962</v>
      </c>
      <c r="J1375" s="1"/>
      <c r="K1375" s="1" t="str">
        <f>IFERROR(__xludf.DUMMYFUNCTION("""COMPUTED_VALUE"""),"FAITHRMERO08@GMAIL.COM")</f>
        <v>FAITHRMERO08@GMAIL.COM</v>
      </c>
      <c r="L1375" s="1" t="str">
        <f>IFERROR(__xludf.DUMMYFUNCTION("""COMPUTED_VALUE"""),"BLK 23 LOT 26")</f>
        <v>BLK 23 LOT 26</v>
      </c>
      <c r="M1375" s="1" t="str">
        <f>IFERROR(__xludf.DUMMYFUNCTION("""COMPUTED_VALUE"""),"GREENMEADOW")</f>
        <v>GREENMEADOW</v>
      </c>
      <c r="N1375" s="1"/>
      <c r="O1375" s="1"/>
      <c r="P1375" s="1"/>
      <c r="Q1375" s="1" t="str">
        <f>IFERROR(__xludf.DUMMYFUNCTION("""COMPUTED_VALUE"""),"BATANGAS")</f>
        <v>BATANGAS</v>
      </c>
      <c r="R1375" s="1" t="str">
        <f>IFERROR(__xludf.DUMMYFUNCTION("""COMPUTED_VALUE"""),"FIBR UNLI ALL PLAN 1399")</f>
        <v>FIBR UNLI ALL PLAN 1399</v>
      </c>
      <c r="S1375" s="1" t="str">
        <f>IFERROR(__xludf.DUMMYFUNCTION("""COMPUTED_VALUE"""),"APPROVED")</f>
        <v>APPROVED</v>
      </c>
      <c r="T1375" s="1" t="str">
        <f>IFERROR(__xludf.DUMMYFUNCTION("""COMPUTED_VALUE"""),"RPR NO FFTH/ NO PAYMENT")</f>
        <v>RPR NO FFTH/ NO PAYMENT</v>
      </c>
      <c r="U1375" s="1"/>
      <c r="V1375" s="1"/>
      <c r="W1375" s="1"/>
    </row>
    <row r="1376" customHeight="1" spans="1:23">
      <c r="A1376" s="3">
        <f>IFERROR(__xludf.DUMMYFUNCTION("""COMPUTED_VALUE"""),46141)</f>
        <v>46141</v>
      </c>
      <c r="B1376" s="1" t="str">
        <f>IFERROR(__xludf.DUMMYFUNCTION("""COMPUTED_VALUE"""),"CASTILLEJOS, ARREL")</f>
        <v>CASTILLEJOS, ARREL</v>
      </c>
      <c r="C1376" s="1" t="str">
        <f>IFERROR(__xludf.DUMMYFUNCTION("""COMPUTED_VALUE"""),"ORGANIC")</f>
        <v>ORGANIC</v>
      </c>
      <c r="D1376" s="1" t="str">
        <f>IFERROR(__xludf.DUMMYFUNCTION("""COMPUTED_VALUE"""),"REMOLLO LEA")</f>
        <v>REMOLLO LEA</v>
      </c>
      <c r="E1376" s="1" t="str">
        <f>IFERROR(__xludf.DUMMYFUNCTION("""COMPUTED_VALUE"""),"PLDT")</f>
        <v>PLDT</v>
      </c>
      <c r="F1376" s="1">
        <f>IFERROR(__xludf.DUMMYFUNCTION("""COMPUTED_VALUE"""),2309197640)</f>
        <v>2309197640</v>
      </c>
      <c r="G1376" s="1">
        <f>IFERROR(__xludf.DUMMYFUNCTION("""COMPUTED_VALUE"""),452628709004)</f>
        <v>452628709004</v>
      </c>
      <c r="H1376" s="1" t="str">
        <f>IFERROR(__xludf.DUMMYFUNCTION("""COMPUTED_VALUE"""),"NOE CABER SY")</f>
        <v>NOE CABER SY</v>
      </c>
      <c r="I1376" s="1">
        <f>IFERROR(__xludf.DUMMYFUNCTION("""COMPUTED_VALUE"""),9305848088)</f>
        <v>9305848088</v>
      </c>
      <c r="J1376" s="1"/>
      <c r="K1376" s="1" t="str">
        <f>IFERROR(__xludf.DUMMYFUNCTION("""COMPUTED_VALUE"""),"MOESY6762@GMAIL.COM")</f>
        <v>MOESY6762@GMAIL.COM</v>
      </c>
      <c r="L1376" s="1" t="str">
        <f>IFERROR(__xludf.DUMMYFUNCTION("""COMPUTED_VALUE"""),"BLK 10 LOT 4")</f>
        <v>BLK 10 LOT 4</v>
      </c>
      <c r="M1376" s="1" t="str">
        <f>IFERROR(__xludf.DUMMYFUNCTION("""COMPUTED_VALUE"""),"BUNGA ST")</f>
        <v>BUNGA ST</v>
      </c>
      <c r="N1376" s="1"/>
      <c r="O1376" s="1" t="str">
        <f>IFERROR(__xludf.DUMMYFUNCTION("""COMPUTED_VALUE"""),"RAMON CRUZ (AREA J)")</f>
        <v>RAMON CRUZ (AREA J)</v>
      </c>
      <c r="P1376" s="1" t="str">
        <f>IFERROR(__xludf.DUMMYFUNCTION("""COMPUTED_VALUE"""),"GEN MARIANO ALVAREZ")</f>
        <v>GEN MARIANO ALVAREZ</v>
      </c>
      <c r="Q1376" s="1" t="str">
        <f>IFERROR(__xludf.DUMMYFUNCTION("""COMPUTED_VALUE"""),"CAVITE")</f>
        <v>CAVITE</v>
      </c>
      <c r="R1376" s="1" t="str">
        <f>IFERROR(__xludf.DUMMYFUNCTION("""COMPUTED_VALUE"""),"FIBR PLAN 1299")</f>
        <v>FIBR PLAN 1299</v>
      </c>
      <c r="S1376" s="1" t="str">
        <f>IFERROR(__xludf.DUMMYFUNCTION("""COMPUTED_VALUE"""),"APPROVED")</f>
        <v>APPROVED</v>
      </c>
      <c r="T1376" s="1" t="str">
        <f>IFERROR(__xludf.DUMMYFUNCTION("""COMPUTED_VALUE"""),"POSTED")</f>
        <v>POSTED</v>
      </c>
      <c r="U1376" s="1"/>
      <c r="V1376" s="1"/>
      <c r="W1376" s="1"/>
    </row>
    <row r="1377" customHeight="1" spans="1:23">
      <c r="A1377" s="3">
        <f>IFERROR(__xludf.DUMMYFUNCTION("""COMPUTED_VALUE"""),46141)</f>
        <v>46141</v>
      </c>
      <c r="B1377" s="1" t="str">
        <f>IFERROR(__xludf.DUMMYFUNCTION("""COMPUTED_VALUE"""),"VERESO , MERL FRANCINE")</f>
        <v>VERESO , MERL FRANCINE</v>
      </c>
      <c r="C1377" s="1" t="str">
        <f>IFERROR(__xludf.DUMMYFUNCTION("""COMPUTED_VALUE"""),"ORGANIC")</f>
        <v>ORGANIC</v>
      </c>
      <c r="D1377" s="1" t="str">
        <f>IFERROR(__xludf.DUMMYFUNCTION("""COMPUTED_VALUE"""),"ALOS, CHARLS")</f>
        <v>ALOS, CHARLS</v>
      </c>
      <c r="E1377" s="1" t="str">
        <f>IFERROR(__xludf.DUMMYFUNCTION("""COMPUTED_VALUE"""),"PLDT")</f>
        <v>PLDT</v>
      </c>
      <c r="F1377" s="1">
        <f>IFERROR(__xludf.DUMMYFUNCTION("""COMPUTED_VALUE"""),2309193244)</f>
        <v>2309193244</v>
      </c>
      <c r="G1377" s="1">
        <f>IFERROR(__xludf.DUMMYFUNCTION("""COMPUTED_VALUE"""),452621549004)</f>
        <v>452621549004</v>
      </c>
      <c r="H1377" s="1" t="str">
        <f>IFERROR(__xludf.DUMMYFUNCTION("""COMPUTED_VALUE"""),"JOANNA MARIE GOMEZ FERRER")</f>
        <v>JOANNA MARIE GOMEZ FERRER</v>
      </c>
      <c r="I1377" s="1">
        <f>IFERROR(__xludf.DUMMYFUNCTION("""COMPUTED_VALUE"""),9482884094)</f>
        <v>9482884094</v>
      </c>
      <c r="J1377" s="1"/>
      <c r="K1377" s="1" t="str">
        <f>IFERROR(__xludf.DUMMYFUNCTION("""COMPUTED_VALUE"""),"FERRERJILL82@GMAIL.COM")</f>
        <v>FERRERJILL82@GMAIL.COM</v>
      </c>
      <c r="L1377" s="1" t="str">
        <f>IFERROR(__xludf.DUMMYFUNCTION("""COMPUTED_VALUE"""),"BLK 15 LOT 37")</f>
        <v>BLK 15 LOT 37</v>
      </c>
      <c r="M1377" s="1" t="str">
        <f>IFERROR(__xludf.DUMMYFUNCTION("""COMPUTED_VALUE"""),"LA MEDETERRENEAN")</f>
        <v>LA MEDETERRENEAN</v>
      </c>
      <c r="N1377" s="1"/>
      <c r="O1377" s="1" t="str">
        <f>IFERROR(__xludf.DUMMYFUNCTION("""COMPUTED_VALUE"""),"SAMPALOC IV")</f>
        <v>SAMPALOC IV</v>
      </c>
      <c r="P1377" s="1" t="str">
        <f>IFERROR(__xludf.DUMMYFUNCTION("""COMPUTED_VALUE"""),"DASMARINAS")</f>
        <v>DASMARINAS</v>
      </c>
      <c r="Q1377" s="1" t="str">
        <f>IFERROR(__xludf.DUMMYFUNCTION("""COMPUTED_VALUE"""),"CAVITE")</f>
        <v>CAVITE</v>
      </c>
      <c r="R1377" s="1" t="str">
        <f>IFERROR(__xludf.DUMMYFUNCTION("""COMPUTED_VALUE"""),"FIBR UNLI ALL PLAN 1399")</f>
        <v>FIBR UNLI ALL PLAN 1399</v>
      </c>
      <c r="S1377" s="1" t="str">
        <f>IFERROR(__xludf.DUMMYFUNCTION("""COMPUTED_VALUE"""),"APPROVED")</f>
        <v>APPROVED</v>
      </c>
      <c r="T1377" s="1" t="str">
        <f>IFERROR(__xludf.DUMMYFUNCTION("""COMPUTED_VALUE"""),"RPR NO FFTH/ NO PAYMENT")</f>
        <v>RPR NO FFTH/ NO PAYMENT</v>
      </c>
      <c r="U1377" s="1"/>
      <c r="V1377" s="1"/>
      <c r="W1377" s="1"/>
    </row>
    <row r="1378" customHeight="1" spans="1:23">
      <c r="A1378" s="3">
        <f>IFERROR(__xludf.DUMMYFUNCTION("""COMPUTED_VALUE"""),46142)</f>
        <v>46142</v>
      </c>
      <c r="B1378" s="1" t="str">
        <f>IFERROR(__xludf.DUMMYFUNCTION("""COMPUTED_VALUE"""),"REMOLLO, LEA")</f>
        <v>REMOLLO, LEA</v>
      </c>
      <c r="C1378" s="1" t="str">
        <f>IFERROR(__xludf.DUMMYFUNCTION("""COMPUTED_VALUE"""),"FLA")</f>
        <v>FLA</v>
      </c>
      <c r="D1378" s="1" t="str">
        <f>IFERROR(__xludf.DUMMYFUNCTION("""COMPUTED_VALUE"""),"JERIC NAVARRO")</f>
        <v>JERIC NAVARRO</v>
      </c>
      <c r="E1378" s="1" t="str">
        <f>IFERROR(__xludf.DUMMYFUNCTION("""COMPUTED_VALUE"""),"PLDT")</f>
        <v>PLDT</v>
      </c>
      <c r="F1378" s="1">
        <f>IFERROR(__xludf.DUMMYFUNCTION("""COMPUTED_VALUE"""),2309210232)</f>
        <v>2309210232</v>
      </c>
      <c r="G1378" s="1">
        <f>IFERROR(__xludf.DUMMYFUNCTION("""COMPUTED_VALUE"""),452722577004)</f>
        <v>452722577004</v>
      </c>
      <c r="H1378" s="1" t="str">
        <f>IFERROR(__xludf.DUMMYFUNCTION("""COMPUTED_VALUE"""),"MARY JOY BARON SAPATUA")</f>
        <v>MARY JOY BARON SAPATUA</v>
      </c>
      <c r="I1378" s="1">
        <f>IFERROR(__xludf.DUMMYFUNCTION("""COMPUTED_VALUE"""),9166883222)</f>
        <v>9166883222</v>
      </c>
      <c r="J1378" s="1">
        <f>IFERROR(__xludf.DUMMYFUNCTION("""COMPUTED_VALUE"""),9679843370)</f>
        <v>9679843370</v>
      </c>
      <c r="K1378" s="1" t="str">
        <f>IFERROR(__xludf.DUMMYFUNCTION("""COMPUTED_VALUE"""),"ASRIEJOYSAPATUA@GMAIL.COM")</f>
        <v>ASRIEJOYSAPATUA@GMAIL.COM</v>
      </c>
      <c r="L1378" s="1" t="str">
        <f>IFERROR(__xludf.DUMMYFUNCTION("""COMPUTED_VALUE"""),"BLK 44 LOT 9")</f>
        <v>BLK 44 LOT 9</v>
      </c>
      <c r="M1378" s="1" t="str">
        <f>IFERROR(__xludf.DUMMYFUNCTION("""COMPUTED_VALUE"""),"INTERGRETY")</f>
        <v>INTERGRETY</v>
      </c>
      <c r="N1378" s="1" t="str">
        <f>IFERROR(__xludf.DUMMYFUNCTION("""COMPUTED_VALUE"""),"PASINAYA CENTRAL")</f>
        <v>PASINAYA CENTRAL</v>
      </c>
      <c r="O1378" s="1" t="str">
        <f>IFERROR(__xludf.DUMMYFUNCTION("""COMPUTED_VALUE"""),"SABANG")</f>
        <v>SABANG</v>
      </c>
      <c r="P1378" s="1" t="str">
        <f>IFERROR(__xludf.DUMMYFUNCTION("""COMPUTED_VALUE"""),"NAIC")</f>
        <v>NAIC</v>
      </c>
      <c r="Q1378" s="1" t="str">
        <f>IFERROR(__xludf.DUMMYFUNCTION("""COMPUTED_VALUE"""),"CAVITE")</f>
        <v>CAVITE</v>
      </c>
      <c r="R1378" s="1" t="str">
        <f>IFERROR(__xludf.DUMMYFUNCTION("""COMPUTED_VALUE"""),"FIBR UNLI ALL PLAN 2499")</f>
        <v>FIBR UNLI ALL PLAN 2499</v>
      </c>
      <c r="S1378" s="1" t="str">
        <f>IFERROR(__xludf.DUMMYFUNCTION("""COMPUTED_VALUE"""),"APPROVED")</f>
        <v>APPROVED</v>
      </c>
      <c r="T1378" s="1" t="str">
        <f>IFERROR(__xludf.DUMMYFUNCTION("""COMPUTED_VALUE"""),"POSTED")</f>
        <v>POSTED</v>
      </c>
      <c r="U1378" s="1"/>
      <c r="V1378" s="1"/>
      <c r="W1378" s="1"/>
    </row>
    <row r="1379" customHeight="1" spans="1:23">
      <c r="A1379" s="3">
        <f>IFERROR(__xludf.DUMMYFUNCTION("""COMPUTED_VALUE"""),46142)</f>
        <v>46142</v>
      </c>
      <c r="B1379" s="1" t="str">
        <f>IFERROR(__xludf.DUMMYFUNCTION("""COMPUTED_VALUE"""),"FERNANDEZ JERIC")</f>
        <v>FERNANDEZ JERIC</v>
      </c>
      <c r="C1379" s="1" t="str">
        <f>IFERROR(__xludf.DUMMYFUNCTION("""COMPUTED_VALUE"""),"ORGANIC")</f>
        <v>ORGANIC</v>
      </c>
      <c r="D1379" s="1" t="str">
        <f>IFERROR(__xludf.DUMMYFUNCTION("""COMPUTED_VALUE"""),"REMOLLO LEA")</f>
        <v>REMOLLO LEA</v>
      </c>
      <c r="E1379" s="1" t="str">
        <f>IFERROR(__xludf.DUMMYFUNCTION("""COMPUTED_VALUE"""),"PLDT")</f>
        <v>PLDT</v>
      </c>
      <c r="F1379" s="1">
        <f>IFERROR(__xludf.DUMMYFUNCTION("""COMPUTED_VALUE"""),2309209037)</f>
        <v>2309209037</v>
      </c>
      <c r="G1379" s="1">
        <f>IFERROR(__xludf.DUMMYFUNCTION("""COMPUTED_VALUE"""),452719671004)</f>
        <v>452719671004</v>
      </c>
      <c r="H1379" s="1" t="str">
        <f>IFERROR(__xludf.DUMMYFUNCTION("""COMPUTED_VALUE"""),"MARICRIS RAMOS MACALALAD")</f>
        <v>MARICRIS RAMOS MACALALAD</v>
      </c>
      <c r="I1379" s="1">
        <f>IFERROR(__xludf.DUMMYFUNCTION("""COMPUTED_VALUE"""),9368163367)</f>
        <v>9368163367</v>
      </c>
      <c r="J1379" s="1">
        <f>IFERROR(__xludf.DUMMYFUNCTION("""COMPUTED_VALUE"""),9423318176)</f>
        <v>9423318176</v>
      </c>
      <c r="K1379" s="1" t="str">
        <f>IFERROR(__xludf.DUMMYFUNCTION("""COMPUTED_VALUE"""),"AKRISMCLADZ@GMAIL.COM")</f>
        <v>AKRISMCLADZ@GMAIL.COM</v>
      </c>
      <c r="L1379" s="1" t="str">
        <f>IFERROR(__xludf.DUMMYFUNCTION("""COMPUTED_VALUE"""),"UNIT 619")</f>
        <v>UNIT 619</v>
      </c>
      <c r="M1379" s="1" t="str">
        <f>IFERROR(__xludf.DUMMYFUNCTION("""COMPUTED_VALUE"""),"TOWER 3")</f>
        <v>TOWER 3</v>
      </c>
      <c r="N1379" s="1" t="str">
        <f>IFERROR(__xludf.DUMMYFUNCTION("""COMPUTED_VALUE"""),"SMDC")</f>
        <v>SMDC</v>
      </c>
      <c r="O1379" s="1" t="str">
        <f>IFERROR(__xludf.DUMMYFUNCTION("""COMPUTED_VALUE"""),"MAHARLIKA WEST")</f>
        <v>MAHARLIKA WEST</v>
      </c>
      <c r="P1379" s="1" t="str">
        <f>IFERROR(__xludf.DUMMYFUNCTION("""COMPUTED_VALUE"""),"TAGAYTAY")</f>
        <v>TAGAYTAY</v>
      </c>
      <c r="Q1379" s="1" t="str">
        <f>IFERROR(__xludf.DUMMYFUNCTION("""COMPUTED_VALUE"""),"CAVITE")</f>
        <v>CAVITE</v>
      </c>
      <c r="R1379" s="1" t="str">
        <f>IFERROR(__xludf.DUMMYFUNCTION("""COMPUTED_VALUE"""),"FIBR NETFLIX PLAN 1599")</f>
        <v>FIBR NETFLIX PLAN 1599</v>
      </c>
      <c r="S1379" s="1" t="str">
        <f>IFERROR(__xludf.DUMMYFUNCTION("""COMPUTED_VALUE"""),"APPROVED")</f>
        <v>APPROVED</v>
      </c>
      <c r="T1379" s="1" t="str">
        <f>IFERROR(__xludf.DUMMYFUNCTION("""COMPUTED_VALUE"""),"POSTED")</f>
        <v>POSTED</v>
      </c>
      <c r="U1379" s="1"/>
      <c r="V1379" s="1"/>
      <c r="W1379" s="1"/>
    </row>
    <row r="1380" customHeight="1" spans="1:23">
      <c r="A1380" s="3">
        <f>IFERROR(__xludf.DUMMYFUNCTION("""COMPUTED_VALUE"""),46142)</f>
        <v>46142</v>
      </c>
      <c r="B1380" s="1" t="str">
        <f>IFERROR(__xludf.DUMMYFUNCTION("""COMPUTED_VALUE"""),"MAÑANITA, ERIKA")</f>
        <v>MAÑANITA, ERIKA</v>
      </c>
      <c r="C1380" s="1" t="str">
        <f>IFERROR(__xludf.DUMMYFUNCTION("""COMPUTED_VALUE"""),"ORGANIC")</f>
        <v>ORGANIC</v>
      </c>
      <c r="D1380" s="1" t="str">
        <f>IFERROR(__xludf.DUMMYFUNCTION("""COMPUTED_VALUE"""),"ALOS, CHARLS")</f>
        <v>ALOS, CHARLS</v>
      </c>
      <c r="E1380" s="1" t="str">
        <f>IFERROR(__xludf.DUMMYFUNCTION("""COMPUTED_VALUE"""),"PLDT")</f>
        <v>PLDT</v>
      </c>
      <c r="F1380" s="1">
        <f>IFERROR(__xludf.DUMMYFUNCTION("""COMPUTED_VALUE"""),2309209702)</f>
        <v>2309209702</v>
      </c>
      <c r="G1380" s="1">
        <f>IFERROR(__xludf.DUMMYFUNCTION("""COMPUTED_VALUE"""),452720348004)</f>
        <v>452720348004</v>
      </c>
      <c r="H1380" s="1" t="str">
        <f>IFERROR(__xludf.DUMMYFUNCTION("""COMPUTED_VALUE"""),"ADELLAE TOLIBAS FERNANDEZ")</f>
        <v>ADELLAE TOLIBAS FERNANDEZ</v>
      </c>
      <c r="I1380" s="1">
        <f>IFERROR(__xludf.DUMMYFUNCTION("""COMPUTED_VALUE"""),9541947336)</f>
        <v>9541947336</v>
      </c>
      <c r="J1380" s="1">
        <f>IFERROR(__xludf.DUMMYFUNCTION("""COMPUTED_VALUE"""),9664876632)</f>
        <v>9664876632</v>
      </c>
      <c r="K1380" s="1" t="str">
        <f>IFERROR(__xludf.DUMMYFUNCTION("""COMPUTED_VALUE"""),"ADELLAEFERNANDEZ06@GMAIL.COM")</f>
        <v>ADELLAEFERNANDEZ06@GMAIL.COM</v>
      </c>
      <c r="L1380" s="1" t="str">
        <f>IFERROR(__xludf.DUMMYFUNCTION("""COMPUTED_VALUE"""),"9021")</f>
        <v>9021</v>
      </c>
      <c r="M1380" s="1" t="str">
        <f>IFERROR(__xludf.DUMMYFUNCTION("""COMPUTED_VALUE"""),"CLUSTER H")</f>
        <v>CLUSTER H</v>
      </c>
      <c r="N1380" s="1"/>
      <c r="O1380" s="1" t="str">
        <f>IFERROR(__xludf.DUMMYFUNCTION("""COMPUTED_VALUE"""),"SAN LORENZO RUIZ II")</f>
        <v>SAN LORENZO RUIZ II</v>
      </c>
      <c r="P1380" s="1" t="str">
        <f>IFERROR(__xludf.DUMMYFUNCTION("""COMPUTED_VALUE"""),"DASMARINAS")</f>
        <v>DASMARINAS</v>
      </c>
      <c r="Q1380" s="1" t="str">
        <f>IFERROR(__xludf.DUMMYFUNCTION("""COMPUTED_VALUE"""),"CAVITE")</f>
        <v>CAVITE</v>
      </c>
      <c r="R1380" s="1" t="str">
        <f>IFERROR(__xludf.DUMMYFUNCTION("""COMPUTED_VALUE"""),"FIBR NETFLIX PLAN 1599")</f>
        <v>FIBR NETFLIX PLAN 1599</v>
      </c>
      <c r="S1380" s="1" t="str">
        <f>IFERROR(__xludf.DUMMYFUNCTION("""COMPUTED_VALUE"""),"APPROVED")</f>
        <v>APPROVED</v>
      </c>
      <c r="T1380" s="1" t="str">
        <f>IFERROR(__xludf.DUMMYFUNCTION("""COMPUTED_VALUE"""),"POSTED")</f>
        <v>POSTED</v>
      </c>
      <c r="U1380" s="1"/>
      <c r="V1380" s="1"/>
      <c r="W1380" s="1"/>
    </row>
    <row r="1381" customHeight="1" spans="1:23">
      <c r="A1381" s="3">
        <f>IFERROR(__xludf.DUMMYFUNCTION("""COMPUTED_VALUE"""),46142)</f>
        <v>46142</v>
      </c>
      <c r="B1381" s="1" t="str">
        <f>IFERROR(__xludf.DUMMYFUNCTION("""COMPUTED_VALUE"""),"CASTILLEJOS, ARREL")</f>
        <v>CASTILLEJOS, ARREL</v>
      </c>
      <c r="C1381" s="1" t="str">
        <f>IFERROR(__xludf.DUMMYFUNCTION("""COMPUTED_VALUE"""),"ORGANIC")</f>
        <v>ORGANIC</v>
      </c>
      <c r="D1381" s="1" t="str">
        <f>IFERROR(__xludf.DUMMYFUNCTION("""COMPUTED_VALUE"""),"REMOLLO LEA")</f>
        <v>REMOLLO LEA</v>
      </c>
      <c r="E1381" s="1" t="str">
        <f>IFERROR(__xludf.DUMMYFUNCTION("""COMPUTED_VALUE"""),"RED FIBER")</f>
        <v>RED FIBER</v>
      </c>
      <c r="F1381" s="1"/>
      <c r="G1381" s="1"/>
      <c r="H1381" s="1" t="str">
        <f>IFERROR(__xludf.DUMMYFUNCTION("""COMPUTED_VALUE"""),"ROVELYN FERNANDEZ ABELA")</f>
        <v>ROVELYN FERNANDEZ ABELA</v>
      </c>
      <c r="I1381" s="1">
        <f>IFERROR(__xludf.DUMMYFUNCTION("""COMPUTED_VALUE"""),9507329739)</f>
        <v>9507329739</v>
      </c>
      <c r="J1381" s="1">
        <f>IFERROR(__xludf.DUMMYFUNCTION("""COMPUTED_VALUE"""),9106704426)</f>
        <v>9106704426</v>
      </c>
      <c r="K1381" s="1" t="str">
        <f>IFERROR(__xludf.DUMMYFUNCTION("""COMPUTED_VALUE"""),"PRINCESSTRIUMFANTE9@GMAIL.COM")</f>
        <v>PRINCESSTRIUMFANTE9@GMAIL.COM</v>
      </c>
      <c r="L1381" s="1" t="str">
        <f>IFERROR(__xludf.DUMMYFUNCTION("""COMPUTED_VALUE"""),"3861")</f>
        <v>3861</v>
      </c>
      <c r="M1381" s="1" t="str">
        <f>IFERROR(__xludf.DUMMYFUNCTION("""COMPUTED_VALUE"""),"HUMAYAO")</f>
        <v>HUMAYAO</v>
      </c>
      <c r="N1381" s="1"/>
      <c r="O1381" s="1" t="str">
        <f>IFERROR(__xludf.DUMMYFUNCTION("""COMPUTED_VALUE"""),"LANGKAAN II")</f>
        <v>LANGKAAN II</v>
      </c>
      <c r="P1381" s="1" t="str">
        <f>IFERROR(__xludf.DUMMYFUNCTION("""COMPUTED_VALUE"""),"DASMARINAS")</f>
        <v>DASMARINAS</v>
      </c>
      <c r="Q1381" s="1" t="str">
        <f>IFERROR(__xludf.DUMMYFUNCTION("""COMPUTED_VALUE"""),"CAVITE")</f>
        <v>CAVITE</v>
      </c>
      <c r="R1381" s="1" t="str">
        <f>IFERROR(__xludf.DUMMYFUNCTION("""COMPUTED_VALUE"""),"RED PLAN 1000")</f>
        <v>RED PLAN 1000</v>
      </c>
      <c r="S1381" s="1" t="str">
        <f>IFERROR(__xludf.DUMMYFUNCTION("""COMPUTED_VALUE"""),"APPROVED")</f>
        <v>APPROVED</v>
      </c>
      <c r="T1381" s="1" t="str">
        <f>IFERROR(__xludf.DUMMYFUNCTION("""COMPUTED_VALUE"""),"PAID FOR INSTALLATION")</f>
        <v>PAID FOR INSTALLATION</v>
      </c>
      <c r="U1381" s="1"/>
      <c r="V1381" s="1"/>
      <c r="W1381" s="1"/>
    </row>
    <row r="1382" customHeight="1" spans="1:23">
      <c r="A1382" s="3">
        <f>IFERROR(__xludf.DUMMYFUNCTION("""COMPUTED_VALUE"""),46142)</f>
        <v>46142</v>
      </c>
      <c r="B1382" s="1" t="str">
        <f>IFERROR(__xludf.DUMMYFUNCTION("""COMPUTED_VALUE"""),"ADVINCULA, NICOLE")</f>
        <v>ADVINCULA, NICOLE</v>
      </c>
      <c r="C1382" s="1" t="str">
        <f>IFERROR(__xludf.DUMMYFUNCTION("""COMPUTED_VALUE"""),"ORGANIC")</f>
        <v>ORGANIC</v>
      </c>
      <c r="D1382" s="1" t="str">
        <f>IFERROR(__xludf.DUMMYFUNCTION("""COMPUTED_VALUE"""),"ALINGARO, CINDY")</f>
        <v>ALINGARO, CINDY</v>
      </c>
      <c r="E1382" s="1" t="str">
        <f>IFERROR(__xludf.DUMMYFUNCTION("""COMPUTED_VALUE"""),"RED FIBER")</f>
        <v>RED FIBER</v>
      </c>
      <c r="F1382" s="1"/>
      <c r="G1382" s="1"/>
      <c r="H1382" s="1" t="str">
        <f>IFERROR(__xludf.DUMMYFUNCTION("""COMPUTED_VALUE"""),"JOHN PAUL BENJAMIN BONIFE")</f>
        <v>JOHN PAUL BENJAMIN BONIFE</v>
      </c>
      <c r="I1382" s="1">
        <f>IFERROR(__xludf.DUMMYFUNCTION("""COMPUTED_VALUE"""),9542560860)</f>
        <v>9542560860</v>
      </c>
      <c r="J1382" s="1">
        <f>IFERROR(__xludf.DUMMYFUNCTION("""COMPUTED_VALUE"""),9123006781)</f>
        <v>9123006781</v>
      </c>
      <c r="K1382" s="1" t="str">
        <f>IFERROR(__xludf.DUMMYFUNCTION("""COMPUTED_VALUE"""),"JAYPEEBONIFE@GMAIL.COM")</f>
        <v>JAYPEEBONIFE@GMAIL.COM</v>
      </c>
      <c r="L1382" s="1" t="str">
        <f>IFERROR(__xludf.DUMMYFUNCTION("""COMPUTED_VALUE"""),"394")</f>
        <v>394</v>
      </c>
      <c r="M1382" s="1" t="str">
        <f>IFERROR(__xludf.DUMMYFUNCTION("""COMPUTED_VALUE"""),"HUMAYAO")</f>
        <v>HUMAYAO</v>
      </c>
      <c r="N1382" s="1"/>
      <c r="O1382" s="1" t="str">
        <f>IFERROR(__xludf.DUMMYFUNCTION("""COMPUTED_VALUE"""),"LANGKAAN II")</f>
        <v>LANGKAAN II</v>
      </c>
      <c r="P1382" s="1" t="str">
        <f>IFERROR(__xludf.DUMMYFUNCTION("""COMPUTED_VALUE"""),"DASMARINAS")</f>
        <v>DASMARINAS</v>
      </c>
      <c r="Q1382" s="1" t="str">
        <f>IFERROR(__xludf.DUMMYFUNCTION("""COMPUTED_VALUE"""),"CAVITE")</f>
        <v>CAVITE</v>
      </c>
      <c r="R1382" s="1" t="str">
        <f>IFERROR(__xludf.DUMMYFUNCTION("""COMPUTED_VALUE"""),"RED PLAN 1000")</f>
        <v>RED PLAN 1000</v>
      </c>
      <c r="S1382" s="1" t="str">
        <f>IFERROR(__xludf.DUMMYFUNCTION("""COMPUTED_VALUE"""),"CANCELLED ")</f>
        <v>CANCELLED </v>
      </c>
      <c r="T1382" s="1" t="str">
        <f>IFERROR(__xludf.DUMMYFUNCTION("""COMPUTED_VALUE"""),"DI NA INFORM SA PROMO")</f>
        <v>DI NA INFORM SA PROMO</v>
      </c>
      <c r="U1382" s="1"/>
      <c r="V1382" s="1"/>
      <c r="W1382" s="1"/>
    </row>
    <row r="1383" customHeight="1" spans="1:23">
      <c r="A1383" s="3">
        <f>IFERROR(__xludf.DUMMYFUNCTION("""COMPUTED_VALUE"""),46142)</f>
        <v>46142</v>
      </c>
      <c r="B1383" s="1" t="str">
        <f>IFERROR(__xludf.DUMMYFUNCTION("""COMPUTED_VALUE"""),"FRONDEZ, JEDREFF")</f>
        <v>FRONDEZ, JEDREFF</v>
      </c>
      <c r="C1383" s="1" t="str">
        <f>IFERROR(__xludf.DUMMYFUNCTION("""COMPUTED_VALUE"""),"ORGANIC")</f>
        <v>ORGANIC</v>
      </c>
      <c r="D1383" s="1" t="str">
        <f>IFERROR(__xludf.DUMMYFUNCTION("""COMPUTED_VALUE"""),"REMOLLO LEA")</f>
        <v>REMOLLO LEA</v>
      </c>
      <c r="E1383" s="1" t="str">
        <f>IFERROR(__xludf.DUMMYFUNCTION("""COMPUTED_VALUE"""),"RED FIBER")</f>
        <v>RED FIBER</v>
      </c>
      <c r="F1383" s="1"/>
      <c r="G1383" s="1"/>
      <c r="H1383" s="1" t="str">
        <f>IFERROR(__xludf.DUMMYFUNCTION("""COMPUTED_VALUE"""),"DENNIS ISLA EVASCO")</f>
        <v>DENNIS ISLA EVASCO</v>
      </c>
      <c r="I1383" s="1">
        <f>IFERROR(__xludf.DUMMYFUNCTION("""COMPUTED_VALUE"""),9636495891)</f>
        <v>9636495891</v>
      </c>
      <c r="J1383" s="1"/>
      <c r="K1383" s="1" t="str">
        <f>IFERROR(__xludf.DUMMYFUNCTION("""COMPUTED_VALUE"""),"DHENZLEE24@GMAIL.COM")</f>
        <v>DHENZLEE24@GMAIL.COM</v>
      </c>
      <c r="L1383" s="1" t="str">
        <f>IFERROR(__xludf.DUMMYFUNCTION("""COMPUTED_VALUE"""),"149")</f>
        <v>149</v>
      </c>
      <c r="M1383" s="1" t="str">
        <f>IFERROR(__xludf.DUMMYFUNCTION("""COMPUTED_VALUE"""),"HUMAYAO")</f>
        <v>HUMAYAO</v>
      </c>
      <c r="N1383" s="1"/>
      <c r="O1383" s="1" t="str">
        <f>IFERROR(__xludf.DUMMYFUNCTION("""COMPUTED_VALUE"""),"LANGKAAN II")</f>
        <v>LANGKAAN II</v>
      </c>
      <c r="P1383" s="1" t="str">
        <f>IFERROR(__xludf.DUMMYFUNCTION("""COMPUTED_VALUE"""),"DASMARINAS")</f>
        <v>DASMARINAS</v>
      </c>
      <c r="Q1383" s="1" t="str">
        <f>IFERROR(__xludf.DUMMYFUNCTION("""COMPUTED_VALUE"""),"CAVITE")</f>
        <v>CAVITE</v>
      </c>
      <c r="R1383" s="1" t="str">
        <f>IFERROR(__xludf.DUMMYFUNCTION("""COMPUTED_VALUE"""),"RED PLAN 1000")</f>
        <v>RED PLAN 1000</v>
      </c>
      <c r="S1383" s="1" t="str">
        <f>IFERROR(__xludf.DUMMYFUNCTION("""COMPUTED_VALUE"""),"APPROVED")</f>
        <v>APPROVED</v>
      </c>
      <c r="T1383" s="1" t="str">
        <f>IFERROR(__xludf.DUMMYFUNCTION("""COMPUTED_VALUE"""),"PAID FOR INSTALLATION")</f>
        <v>PAID FOR INSTALLATION</v>
      </c>
      <c r="U1383" s="1"/>
      <c r="V1383" s="1"/>
      <c r="W1383" s="1"/>
    </row>
    <row r="1384" customHeight="1" spans="1:23">
      <c r="A1384" s="3">
        <f>IFERROR(__xludf.DUMMYFUNCTION("""COMPUTED_VALUE"""),46142)</f>
        <v>46142</v>
      </c>
      <c r="B1384" s="1" t="str">
        <f>IFERROR(__xludf.DUMMYFUNCTION("""COMPUTED_VALUE"""),"ADVINCULA, NICOLE")</f>
        <v>ADVINCULA, NICOLE</v>
      </c>
      <c r="C1384" s="1" t="str">
        <f>IFERROR(__xludf.DUMMYFUNCTION("""COMPUTED_VALUE"""),"ORGANIC")</f>
        <v>ORGANIC</v>
      </c>
      <c r="D1384" s="1" t="str">
        <f>IFERROR(__xludf.DUMMYFUNCTION("""COMPUTED_VALUE"""),"ALINGARO, CINDY")</f>
        <v>ALINGARO, CINDY</v>
      </c>
      <c r="E1384" s="1" t="str">
        <f>IFERROR(__xludf.DUMMYFUNCTION("""COMPUTED_VALUE"""),"RED FIBER")</f>
        <v>RED FIBER</v>
      </c>
      <c r="F1384" s="1"/>
      <c r="G1384" s="1"/>
      <c r="H1384" s="1" t="str">
        <f>IFERROR(__xludf.DUMMYFUNCTION("""COMPUTED_VALUE"""),"GLENDA LAURITO CURAY")</f>
        <v>GLENDA LAURITO CURAY</v>
      </c>
      <c r="I1384" s="1">
        <f>IFERROR(__xludf.DUMMYFUNCTION("""COMPUTED_VALUE"""),9750681172)</f>
        <v>9750681172</v>
      </c>
      <c r="J1384" s="1">
        <f>IFERROR(__xludf.DUMMYFUNCTION("""COMPUTED_VALUE"""),9070484309)</f>
        <v>9070484309</v>
      </c>
      <c r="K1384" s="1" t="str">
        <f>IFERROR(__xludf.DUMMYFUNCTION("""COMPUTED_VALUE"""),"GLENDACURAY@GMAIL.COM")</f>
        <v>GLENDACURAY@GMAIL.COM</v>
      </c>
      <c r="L1384" s="1" t="str">
        <f>IFERROR(__xludf.DUMMYFUNCTION("""COMPUTED_VALUE"""),"173")</f>
        <v>173</v>
      </c>
      <c r="M1384" s="1" t="str">
        <f>IFERROR(__xludf.DUMMYFUNCTION("""COMPUTED_VALUE"""),"HUMAYAO")</f>
        <v>HUMAYAO</v>
      </c>
      <c r="N1384" s="1"/>
      <c r="O1384" s="1" t="str">
        <f>IFERROR(__xludf.DUMMYFUNCTION("""COMPUTED_VALUE"""),"LANGKAAN II")</f>
        <v>LANGKAAN II</v>
      </c>
      <c r="P1384" s="1" t="str">
        <f>IFERROR(__xludf.DUMMYFUNCTION("""COMPUTED_VALUE"""),"DASMARINAS")</f>
        <v>DASMARINAS</v>
      </c>
      <c r="Q1384" s="1" t="str">
        <f>IFERROR(__xludf.DUMMYFUNCTION("""COMPUTED_VALUE"""),"CAVITE")</f>
        <v>CAVITE</v>
      </c>
      <c r="R1384" s="1" t="str">
        <f>IFERROR(__xludf.DUMMYFUNCTION("""COMPUTED_VALUE"""),"RED PLAN 1000")</f>
        <v>RED PLAN 1000</v>
      </c>
      <c r="S1384" s="1" t="str">
        <f>IFERROR(__xludf.DUMMYFUNCTION("""COMPUTED_VALUE"""),"APPROVED")</f>
        <v>APPROVED</v>
      </c>
      <c r="T1384" s="1" t="str">
        <f>IFERROR(__xludf.DUMMYFUNCTION("""COMPUTED_VALUE"""),"PENDING FOR EMAIL VERIF")</f>
        <v>PENDING FOR EMAIL VERIF</v>
      </c>
      <c r="U1384" s="1"/>
      <c r="V1384" s="1"/>
      <c r="W1384" s="1"/>
    </row>
    <row r="1385" customHeight="1" spans="1:23">
      <c r="A1385" s="3">
        <f>IFERROR(__xludf.DUMMYFUNCTION("""COMPUTED_VALUE"""),46142)</f>
        <v>46142</v>
      </c>
      <c r="B1385" s="1" t="str">
        <f>IFERROR(__xludf.DUMMYFUNCTION("""COMPUTED_VALUE"""),"DELA ROSA, JENNELYN")</f>
        <v>DELA ROSA, JENNELYN</v>
      </c>
      <c r="C1385" s="1" t="str">
        <f>IFERROR(__xludf.DUMMYFUNCTION("""COMPUTED_VALUE"""),"ORGANIC")</f>
        <v>ORGANIC</v>
      </c>
      <c r="D1385" s="1" t="str">
        <f>IFERROR(__xludf.DUMMYFUNCTION("""COMPUTED_VALUE"""),"ALOS, CHARLS")</f>
        <v>ALOS, CHARLS</v>
      </c>
      <c r="E1385" s="1" t="str">
        <f>IFERROR(__xludf.DUMMYFUNCTION("""COMPUTED_VALUE"""),"PLDT")</f>
        <v>PLDT</v>
      </c>
      <c r="F1385" s="1"/>
      <c r="G1385" s="1"/>
      <c r="H1385" s="1" t="str">
        <f>IFERROR(__xludf.DUMMYFUNCTION("""COMPUTED_VALUE"""),"GREG RAGAS BAGALAY")</f>
        <v>GREG RAGAS BAGALAY</v>
      </c>
      <c r="I1385" s="1">
        <f>IFERROR(__xludf.DUMMYFUNCTION("""COMPUTED_VALUE"""),9625097189)</f>
        <v>9625097189</v>
      </c>
      <c r="J1385" s="1"/>
      <c r="K1385" s="1" t="str">
        <f>IFERROR(__xludf.DUMMYFUNCTION("""COMPUTED_VALUE"""),"GREGBAGALAYJR@GMAIL.COM")</f>
        <v>GREGBAGALAYJR@GMAIL.COM</v>
      </c>
      <c r="L1385" s="1" t="str">
        <f>IFERROR(__xludf.DUMMYFUNCTION("""COMPUTED_VALUE"""),"0")</f>
        <v>0</v>
      </c>
      <c r="M1385" s="1" t="str">
        <f>IFERROR(__xludf.DUMMYFUNCTION("""COMPUTED_VALUE"""),"PALIPARAN RD")</f>
        <v>PALIPARAN RD</v>
      </c>
      <c r="N1385" s="1"/>
      <c r="O1385" s="1" t="str">
        <f>IFERROR(__xludf.DUMMYFUNCTION("""COMPUTED_VALUE"""),"PALIPARAN I")</f>
        <v>PALIPARAN I</v>
      </c>
      <c r="P1385" s="1" t="str">
        <f>IFERROR(__xludf.DUMMYFUNCTION("""COMPUTED_VALUE"""),"DASMARINAS")</f>
        <v>DASMARINAS</v>
      </c>
      <c r="Q1385" s="1" t="str">
        <f>IFERROR(__xludf.DUMMYFUNCTION("""COMPUTED_VALUE"""),"CAVITE")</f>
        <v>CAVITE</v>
      </c>
      <c r="R1385" s="1" t="str">
        <f>IFERROR(__xludf.DUMMYFUNCTION("""COMPUTED_VALUE"""),"FIBR PLAN 1299")</f>
        <v>FIBR PLAN 1299</v>
      </c>
      <c r="S1385" s="1" t="str">
        <f>IFERROR(__xludf.DUMMYFUNCTION("""COMPUTED_VALUE"""),"RETURN FOR COMPLIANCE - AGENT")</f>
        <v>RETURN FOR COMPLIANCE - AGENT</v>
      </c>
      <c r="T1385" s="1" t="str">
        <f>IFERROR(__xludf.DUMMYFUNCTION("""COMPUTED_VALUE"""),"PLS PROVIDE POA")</f>
        <v>PLS PROVIDE POA</v>
      </c>
      <c r="U1385" s="1"/>
      <c r="V1385" s="1"/>
      <c r="W1385" s="1"/>
    </row>
    <row r="1386" customHeight="1" spans="1:23">
      <c r="A1386" s="3">
        <f>IFERROR(__xludf.DUMMYFUNCTION("""COMPUTED_VALUE"""),46142)</f>
        <v>46142</v>
      </c>
      <c r="B1386" s="1" t="str">
        <f>IFERROR(__xludf.DUMMYFUNCTION("""COMPUTED_VALUE"""),"OPS SIR BETZ")</f>
        <v>OPS SIR BETZ</v>
      </c>
      <c r="C1386" s="1" t="str">
        <f>IFERROR(__xludf.DUMMYFUNCTION("""COMPUTED_VALUE"""),"FLA")</f>
        <v>FLA</v>
      </c>
      <c r="D1386" s="1" t="str">
        <f>IFERROR(__xludf.DUMMYFUNCTION("""COMPUTED_VALUE"""),"JERIC NAVARRO")</f>
        <v>JERIC NAVARRO</v>
      </c>
      <c r="E1386" s="1" t="str">
        <f>IFERROR(__xludf.DUMMYFUNCTION("""COMPUTED_VALUE"""),"PLDT")</f>
        <v>PLDT</v>
      </c>
      <c r="F1386" s="1">
        <f>IFERROR(__xludf.DUMMYFUNCTION("""COMPUTED_VALUE"""),2309217423)</f>
        <v>2309217423</v>
      </c>
      <c r="G1386" s="1"/>
      <c r="H1386" s="1" t="str">
        <f>IFERROR(__xludf.DUMMYFUNCTION("""COMPUTED_VALUE"""),"ROMEO ERMITA CORPUZ")</f>
        <v>ROMEO ERMITA CORPUZ</v>
      </c>
      <c r="I1386" s="1">
        <f>IFERROR(__xludf.DUMMYFUNCTION("""COMPUTED_VALUE"""),9931447282)</f>
        <v>9931447282</v>
      </c>
      <c r="J1386" s="1">
        <f>IFERROR(__xludf.DUMMYFUNCTION("""COMPUTED_VALUE"""),9926410413)</f>
        <v>9926410413</v>
      </c>
      <c r="K1386" s="1" t="str">
        <f>IFERROR(__xludf.DUMMYFUNCTION("""COMPUTED_VALUE"""),"CORPUSNIKS@GMAIL.COM")</f>
        <v>CORPUSNIKS@GMAIL.COM</v>
      </c>
      <c r="L1386" s="1" t="str">
        <f>IFERROR(__xludf.DUMMYFUNCTION("""COMPUTED_VALUE"""),"9008")</f>
        <v>9008</v>
      </c>
      <c r="M1386" s="1" t="str">
        <f>IFERROR(__xludf.DUMMYFUNCTION("""COMPUTED_VALUE"""),"PANTIHAN RD")</f>
        <v>PANTIHAN RD</v>
      </c>
      <c r="N1386" s="1"/>
      <c r="O1386" s="1" t="str">
        <f>IFERROR(__xludf.DUMMYFUNCTION("""COMPUTED_VALUE"""),"PANTIHAN II (SAGBAT)")</f>
        <v>PANTIHAN II (SAGBAT)</v>
      </c>
      <c r="P1386" s="1" t="str">
        <f>IFERROR(__xludf.DUMMYFUNCTION("""COMPUTED_VALUE"""),"MARAGONDON")</f>
        <v>MARAGONDON</v>
      </c>
      <c r="Q1386" s="1" t="str">
        <f>IFERROR(__xludf.DUMMYFUNCTION("""COMPUTED_VALUE"""),"CAVITE")</f>
        <v>CAVITE</v>
      </c>
      <c r="R1386" s="1" t="str">
        <f>IFERROR(__xludf.DUMMYFUNCTION("""COMPUTED_VALUE"""),"FIBR NETFLIX PLAN 1599")</f>
        <v>FIBR NETFLIX PLAN 1599</v>
      </c>
      <c r="S1386" s="1" t="str">
        <f>IFERROR(__xludf.DUMMYFUNCTION("""COMPUTED_VALUE"""),"APPROVED")</f>
        <v>APPROVED</v>
      </c>
      <c r="T1386" s="1" t="str">
        <f>IFERROR(__xludf.DUMMYFUNCTION("""COMPUTED_VALUE"""),"CANCELLED WITH OB")</f>
        <v>CANCELLED WITH OB</v>
      </c>
      <c r="U1386" s="1"/>
      <c r="V1386" s="1"/>
      <c r="W1386" s="1"/>
    </row>
    <row r="1387" customHeight="1" spans="1:23">
      <c r="A1387" s="3">
        <f>IFERROR(__xludf.DUMMYFUNCTION("""COMPUTED_VALUE"""),46142)</f>
        <v>46142</v>
      </c>
      <c r="B1387" s="1" t="str">
        <f>IFERROR(__xludf.DUMMYFUNCTION("""COMPUTED_VALUE"""),"GABAY, MANUEL")</f>
        <v>GABAY, MANUEL</v>
      </c>
      <c r="C1387" s="1" t="str">
        <f>IFERROR(__xludf.DUMMYFUNCTION("""COMPUTED_VALUE"""),"FLA")</f>
        <v>FLA</v>
      </c>
      <c r="D1387" s="1" t="str">
        <f>IFERROR(__xludf.DUMMYFUNCTION("""COMPUTED_VALUE"""),"JERIC NAVARRO")</f>
        <v>JERIC NAVARRO</v>
      </c>
      <c r="E1387" s="1" t="str">
        <f>IFERROR(__xludf.DUMMYFUNCTION("""COMPUTED_VALUE"""),"PLDT")</f>
        <v>PLDT</v>
      </c>
      <c r="F1387" s="1">
        <f>IFERROR(__xludf.DUMMYFUNCTION("""COMPUTED_VALUE"""),2309218040)</f>
        <v>2309218040</v>
      </c>
      <c r="G1387" s="1">
        <f>IFERROR(__xludf.DUMMYFUNCTION("""COMPUTED_VALUE"""),452729451004)</f>
        <v>452729451004</v>
      </c>
      <c r="H1387" s="1" t="str">
        <f>IFERROR(__xludf.DUMMYFUNCTION("""COMPUTED_VALUE"""),"ALEEN ESTOLAYDES RODRIGUEZ")</f>
        <v>ALEEN ESTOLAYDES RODRIGUEZ</v>
      </c>
      <c r="I1387" s="1">
        <f>IFERROR(__xludf.DUMMYFUNCTION("""COMPUTED_VALUE"""),9959135580)</f>
        <v>9959135580</v>
      </c>
      <c r="J1387" s="1">
        <f>IFERROR(__xludf.DUMMYFUNCTION("""COMPUTED_VALUE"""),9959133716)</f>
        <v>9959133716</v>
      </c>
      <c r="K1387" s="1" t="str">
        <f>IFERROR(__xludf.DUMMYFUNCTION("""COMPUTED_VALUE"""),"RODRIGUEZALEEN77@GMAIL.COM")</f>
        <v>RODRIGUEZALEEN77@GMAIL.COM</v>
      </c>
      <c r="L1387" s="1" t="str">
        <f>IFERROR(__xludf.DUMMYFUNCTION("""COMPUTED_VALUE"""),"502")</f>
        <v>502</v>
      </c>
      <c r="M1387" s="1" t="str">
        <f>IFERROR(__xludf.DUMMYFUNCTION("""COMPUTED_VALUE"""),"HUMAYAO")</f>
        <v>HUMAYAO</v>
      </c>
      <c r="N1387" s="1"/>
      <c r="O1387" s="1" t="str">
        <f>IFERROR(__xludf.DUMMYFUNCTION("""COMPUTED_VALUE"""),"LANGKAAN II")</f>
        <v>LANGKAAN II</v>
      </c>
      <c r="P1387" s="1" t="str">
        <f>IFERROR(__xludf.DUMMYFUNCTION("""COMPUTED_VALUE"""),"DASMARINAS")</f>
        <v>DASMARINAS</v>
      </c>
      <c r="Q1387" s="1" t="str">
        <f>IFERROR(__xludf.DUMMYFUNCTION("""COMPUTED_VALUE"""),"CAVITE")</f>
        <v>CAVITE</v>
      </c>
      <c r="R1387" s="1" t="str">
        <f>IFERROR(__xludf.DUMMYFUNCTION("""COMPUTED_VALUE"""),"FIBR UNLI ALL PLAN 1399")</f>
        <v>FIBR UNLI ALL PLAN 1399</v>
      </c>
      <c r="S1387" s="1" t="str">
        <f>IFERROR(__xludf.DUMMYFUNCTION("""COMPUTED_VALUE"""),"APPROVED")</f>
        <v>APPROVED</v>
      </c>
      <c r="T1387" s="1" t="str">
        <f>IFERROR(__xludf.DUMMYFUNCTION("""COMPUTED_VALUE"""),"POSTED")</f>
        <v>POSTED</v>
      </c>
      <c r="U1387" s="1"/>
      <c r="V1387" s="1"/>
      <c r="W1387" s="1"/>
    </row>
    <row r="1388" customHeight="1" spans="1:23">
      <c r="A1388" s="3">
        <f>IFERROR(__xludf.DUMMYFUNCTION("""COMPUTED_VALUE"""),46142)</f>
        <v>46142</v>
      </c>
      <c r="B1388" s="1" t="str">
        <f>IFERROR(__xludf.DUMMYFUNCTION("""COMPUTED_VALUE"""),"ADVINCULA, NICOLE")</f>
        <v>ADVINCULA, NICOLE</v>
      </c>
      <c r="C1388" s="1" t="str">
        <f>IFERROR(__xludf.DUMMYFUNCTION("""COMPUTED_VALUE"""),"ORGANIC")</f>
        <v>ORGANIC</v>
      </c>
      <c r="D1388" s="1" t="str">
        <f>IFERROR(__xludf.DUMMYFUNCTION("""COMPUTED_VALUE"""),"ALINGARO, CINDY")</f>
        <v>ALINGARO, CINDY</v>
      </c>
      <c r="E1388" s="1" t="str">
        <f>IFERROR(__xludf.DUMMYFUNCTION("""COMPUTED_VALUE"""),"PLDT")</f>
        <v>PLDT</v>
      </c>
      <c r="F1388" s="1">
        <f>IFERROR(__xludf.DUMMYFUNCTION("""COMPUTED_VALUE"""),2309219883)</f>
        <v>2309219883</v>
      </c>
      <c r="G1388" s="1">
        <f>IFERROR(__xludf.DUMMYFUNCTION("""COMPUTED_VALUE"""),452740893004)</f>
        <v>452740893004</v>
      </c>
      <c r="H1388" s="1" t="str">
        <f>IFERROR(__xludf.DUMMYFUNCTION("""COMPUTED_VALUE"""),"AUBREY BERGANCIA REYES")</f>
        <v>AUBREY BERGANCIA REYES</v>
      </c>
      <c r="I1388" s="1">
        <f>IFERROR(__xludf.DUMMYFUNCTION("""COMPUTED_VALUE"""),9925388982)</f>
        <v>9925388982</v>
      </c>
      <c r="J1388" s="1">
        <f>IFERROR(__xludf.DUMMYFUNCTION("""COMPUTED_VALUE"""),930073830)</f>
        <v>930073830</v>
      </c>
      <c r="K1388" s="1" t="str">
        <f>IFERROR(__xludf.DUMMYFUNCTION("""COMPUTED_VALUE"""),"REYESAUBREY009@GMAIL.COM")</f>
        <v>REYESAUBREY009@GMAIL.COM</v>
      </c>
      <c r="L1388" s="1" t="str">
        <f>IFERROR(__xludf.DUMMYFUNCTION("""COMPUTED_VALUE"""),"401")</f>
        <v>401</v>
      </c>
      <c r="M1388" s="1" t="str">
        <f>IFERROR(__xludf.DUMMYFUNCTION("""COMPUTED_VALUE"""),"LOWER MOONLIGHT")</f>
        <v>LOWER MOONLIGHT</v>
      </c>
      <c r="N1388" s="1"/>
      <c r="O1388" s="1" t="str">
        <f>IFERROR(__xludf.DUMMYFUNCTION("""COMPUTED_VALUE"""),"GREGORIA DE JESUS")</f>
        <v>GREGORIA DE JESUS</v>
      </c>
      <c r="P1388" s="1" t="str">
        <f>IFERROR(__xludf.DUMMYFUNCTION("""COMPUTED_VALUE"""),"GEN MARIANO ALVAREZ")</f>
        <v>GEN MARIANO ALVAREZ</v>
      </c>
      <c r="Q1388" s="1" t="str">
        <f>IFERROR(__xludf.DUMMYFUNCTION("""COMPUTED_VALUE"""),"CAVITE")</f>
        <v>CAVITE</v>
      </c>
      <c r="R1388" s="1" t="str">
        <f>IFERROR(__xludf.DUMMYFUNCTION("""COMPUTED_VALUE"""),"FIBR NETFLIX PLAN 1599")</f>
        <v>FIBR NETFLIX PLAN 1599</v>
      </c>
      <c r="S1388" s="1" t="str">
        <f>IFERROR(__xludf.DUMMYFUNCTION("""COMPUTED_VALUE"""),"APPROVED")</f>
        <v>APPROVED</v>
      </c>
      <c r="T1388" s="1" t="str">
        <f>IFERROR(__xludf.DUMMYFUNCTION("""COMPUTED_VALUE"""),"POSTED")</f>
        <v>POSTED</v>
      </c>
      <c r="U1388" s="1"/>
      <c r="V1388" s="1"/>
      <c r="W1388" s="1"/>
    </row>
    <row r="1389" customHeight="1" spans="1:23">
      <c r="A1389" s="3">
        <f>IFERROR(__xludf.DUMMYFUNCTION("""COMPUTED_VALUE"""),46142)</f>
        <v>46142</v>
      </c>
      <c r="B1389" s="1" t="str">
        <f>IFERROR(__xludf.DUMMYFUNCTION("""COMPUTED_VALUE"""),"VERESO , MERL FRANCINE")</f>
        <v>VERESO , MERL FRANCINE</v>
      </c>
      <c r="C1389" s="1" t="str">
        <f>IFERROR(__xludf.DUMMYFUNCTION("""COMPUTED_VALUE"""),"ORGANIC")</f>
        <v>ORGANIC</v>
      </c>
      <c r="D1389" s="1" t="str">
        <f>IFERROR(__xludf.DUMMYFUNCTION("""COMPUTED_VALUE"""),"ALOS, CHARLS")</f>
        <v>ALOS, CHARLS</v>
      </c>
      <c r="E1389" s="1" t="str">
        <f>IFERROR(__xludf.DUMMYFUNCTION("""COMPUTED_VALUE"""),"PLDT")</f>
        <v>PLDT</v>
      </c>
      <c r="F1389" s="1">
        <f>IFERROR(__xludf.DUMMYFUNCTION("""COMPUTED_VALUE"""),2309220529)</f>
        <v>2309220529</v>
      </c>
      <c r="G1389" s="1">
        <f>IFERROR(__xludf.DUMMYFUNCTION("""COMPUTED_VALUE"""),452841623004)</f>
        <v>452841623004</v>
      </c>
      <c r="H1389" s="1" t="str">
        <f>IFERROR(__xludf.DUMMYFUNCTION("""COMPUTED_VALUE"""),"ELIZABETH MIRA SULIT")</f>
        <v>ELIZABETH MIRA SULIT</v>
      </c>
      <c r="I1389" s="1">
        <f>IFERROR(__xludf.DUMMYFUNCTION("""COMPUTED_VALUE"""),9974860021)</f>
        <v>9974860021</v>
      </c>
      <c r="J1389" s="1"/>
      <c r="K1389" s="1" t="str">
        <f>IFERROR(__xludf.DUMMYFUNCTION("""COMPUTED_VALUE"""),"ELIZABETHMITRA16@GMAIL.COM")</f>
        <v>ELIZABETHMITRA16@GMAIL.COM</v>
      </c>
      <c r="L1389" s="1" t="str">
        <f>IFERROR(__xludf.DUMMYFUNCTION("""COMPUTED_VALUE"""),"BLK 31 LOT 10")</f>
        <v>BLK 31 LOT 10</v>
      </c>
      <c r="M1389" s="1" t="str">
        <f>IFERROR(__xludf.DUMMYFUNCTION("""COMPUTED_VALUE"""),"PHASE 3")</f>
        <v>PHASE 3</v>
      </c>
      <c r="N1389" s="1"/>
      <c r="O1389" s="1" t="str">
        <f>IFERROR(__xludf.DUMMYFUNCTION("""COMPUTED_VALUE"""),"YAKAL")</f>
        <v>YAKAL</v>
      </c>
      <c r="P1389" s="1" t="str">
        <f>IFERROR(__xludf.DUMMYFUNCTION("""COMPUTED_VALUE"""),"GEN MARIANO ALVAREZ")</f>
        <v>GEN MARIANO ALVAREZ</v>
      </c>
      <c r="Q1389" s="1" t="str">
        <f>IFERROR(__xludf.DUMMYFUNCTION("""COMPUTED_VALUE"""),"CAVITE")</f>
        <v>CAVITE</v>
      </c>
      <c r="R1389" s="1" t="str">
        <f>IFERROR(__xludf.DUMMYFUNCTION("""COMPUTED_VALUE"""),"FIBR PLAN 1299")</f>
        <v>FIBR PLAN 1299</v>
      </c>
      <c r="S1389" s="1" t="str">
        <f>IFERROR(__xludf.DUMMYFUNCTION("""COMPUTED_VALUE"""),"APPROVED")</f>
        <v>APPROVED</v>
      </c>
      <c r="T1389" s="1" t="str">
        <f>IFERROR(__xludf.DUMMYFUNCTION("""COMPUTED_VALUE"""),"FOR PAYMENT")</f>
        <v>FOR PAYMENT</v>
      </c>
      <c r="U1389" s="1"/>
      <c r="V1389" s="1"/>
      <c r="W1389" s="1"/>
    </row>
    <row r="1390" customHeight="1" spans="1:23">
      <c r="A1390" s="3">
        <f>IFERROR(__xludf.DUMMYFUNCTION("""COMPUTED_VALUE"""),46142)</f>
        <v>46142</v>
      </c>
      <c r="B1390" s="1" t="str">
        <f>IFERROR(__xludf.DUMMYFUNCTION("""COMPUTED_VALUE"""),"AYON MANUEL")</f>
        <v>AYON MANUEL</v>
      </c>
      <c r="C1390" s="1" t="str">
        <f>IFERROR(__xludf.DUMMYFUNCTION("""COMPUTED_VALUE"""),"FLA")</f>
        <v>FLA</v>
      </c>
      <c r="D1390" s="1" t="str">
        <f>IFERROR(__xludf.DUMMYFUNCTION("""COMPUTED_VALUE"""),"JERIC NAVARRO")</f>
        <v>JERIC NAVARRO</v>
      </c>
      <c r="E1390" s="1" t="str">
        <f>IFERROR(__xludf.DUMMYFUNCTION("""COMPUTED_VALUE"""),"PLDT")</f>
        <v>PLDT</v>
      </c>
      <c r="F1390" s="1">
        <f>IFERROR(__xludf.DUMMYFUNCTION("""COMPUTED_VALUE"""),2309212821)</f>
        <v>2309212821</v>
      </c>
      <c r="G1390" s="1">
        <f>IFERROR(__xludf.DUMMYFUNCTION("""COMPUTED_VALUE"""),452726406004)</f>
        <v>452726406004</v>
      </c>
      <c r="H1390" s="1" t="str">
        <f>IFERROR(__xludf.DUMMYFUNCTION("""COMPUTED_VALUE"""),"SEUNG YOUNG SUNG")</f>
        <v>SEUNG YOUNG SUNG</v>
      </c>
      <c r="I1390" s="1">
        <f>IFERROR(__xludf.DUMMYFUNCTION("""COMPUTED_VALUE"""),9171685912)</f>
        <v>9171685912</v>
      </c>
      <c r="J1390" s="1">
        <f>IFERROR(__xludf.DUMMYFUNCTION("""COMPUTED_VALUE"""),9683629195)</f>
        <v>9683629195</v>
      </c>
      <c r="K1390" s="1" t="str">
        <f>IFERROR(__xludf.DUMMYFUNCTION("""COMPUTED_VALUE"""),"MEDICALSURE@KAKAO.COM")</f>
        <v>MEDICALSURE@KAKAO.COM</v>
      </c>
      <c r="L1390" s="1" t="str">
        <f>IFERROR(__xludf.DUMMYFUNCTION("""COMPUTED_VALUE"""),"31A")</f>
        <v>31A</v>
      </c>
      <c r="M1390" s="1" t="str">
        <f>IFERROR(__xludf.DUMMYFUNCTION("""COMPUTED_VALUE"""),"CONGRESSIONAL RD")</f>
        <v>CONGRESSIONAL RD</v>
      </c>
      <c r="N1390" s="1" t="str">
        <f>IFERROR(__xludf.DUMMYFUNCTION("""COMPUTED_VALUE"""),"SOUTHWOODS")</f>
        <v>SOUTHWOODS</v>
      </c>
      <c r="O1390" s="1" t="str">
        <f>IFERROR(__xludf.DUMMYFUNCTION("""COMPUTED_VALUE"""),"CABILANG BAYBAY")</f>
        <v>CABILANG BAYBAY</v>
      </c>
      <c r="P1390" s="1" t="str">
        <f>IFERROR(__xludf.DUMMYFUNCTION("""COMPUTED_VALUE"""),"CARMONA")</f>
        <v>CARMONA</v>
      </c>
      <c r="Q1390" s="1" t="str">
        <f>IFERROR(__xludf.DUMMYFUNCTION("""COMPUTED_VALUE"""),"CAVITE")</f>
        <v>CAVITE</v>
      </c>
      <c r="R1390" s="1" t="str">
        <f>IFERROR(__xludf.DUMMYFUNCTION("""COMPUTED_VALUE"""),"FIBR NETFLIX PLAN 1599")</f>
        <v>FIBR NETFLIX PLAN 1599</v>
      </c>
      <c r="S1390" s="1" t="str">
        <f>IFERROR(__xludf.DUMMYFUNCTION("""COMPUTED_VALUE"""),"APPROVED")</f>
        <v>APPROVED</v>
      </c>
      <c r="T1390" s="1" t="str">
        <f>IFERROR(__xludf.DUMMYFUNCTION("""COMPUTED_VALUE"""),"AFD")</f>
        <v>AFD</v>
      </c>
      <c r="U1390" s="1"/>
      <c r="V1390" s="1"/>
      <c r="W1390" s="1"/>
    </row>
    <row r="1391" customHeight="1" spans="1:23">
      <c r="A1391" s="3">
        <f>IFERROR(__xludf.DUMMYFUNCTION("""COMPUTED_VALUE"""),46143)</f>
        <v>46143</v>
      </c>
      <c r="B1391" s="1" t="str">
        <f>IFERROR(__xludf.DUMMYFUNCTION("""COMPUTED_VALUE"""),"ADVINCULA, NICOLE")</f>
        <v>ADVINCULA, NICOLE</v>
      </c>
      <c r="C1391" s="1" t="str">
        <f>IFERROR(__xludf.DUMMYFUNCTION("""COMPUTED_VALUE"""),"ORGANIC")</f>
        <v>ORGANIC</v>
      </c>
      <c r="D1391" s="1" t="str">
        <f>IFERROR(__xludf.DUMMYFUNCTION("""COMPUTED_VALUE"""),"ALINGARO, CINDY")</f>
        <v>ALINGARO, CINDY</v>
      </c>
      <c r="E1391" s="1" t="str">
        <f>IFERROR(__xludf.DUMMYFUNCTION("""COMPUTED_VALUE"""),"PLDT / H2H")</f>
        <v>PLDT / H2H</v>
      </c>
      <c r="F1391" s="1">
        <f>IFERROR(__xludf.DUMMYFUNCTION("""COMPUTED_VALUE"""),2309237839)</f>
        <v>2309237839</v>
      </c>
      <c r="G1391" s="1">
        <f>IFERROR(__xludf.DUMMYFUNCTION("""COMPUTED_VALUE"""),452861499004)</f>
        <v>452861499004</v>
      </c>
      <c r="H1391" s="1" t="str">
        <f>IFERROR(__xludf.DUMMYFUNCTION("""COMPUTED_VALUE"""),"JENEVIL PORTUGAL MARCAIDA ")</f>
        <v>JENEVIL PORTUGAL MARCAIDA </v>
      </c>
      <c r="I1391" s="1">
        <f>IFERROR(__xludf.DUMMYFUNCTION("""COMPUTED_VALUE"""),9073063521)</f>
        <v>9073063521</v>
      </c>
      <c r="J1391" s="1"/>
      <c r="K1391" s="1" t="str">
        <f>IFERROR(__xludf.DUMMYFUNCTION("""COMPUTED_VALUE"""),"PUROY029@GMAIL.COM")</f>
        <v>PUROY029@GMAIL.COM</v>
      </c>
      <c r="L1391" s="1" t="str">
        <f>IFERROR(__xludf.DUMMYFUNCTION("""COMPUTED_VALUE"""),"156")</f>
        <v>156</v>
      </c>
      <c r="M1391" s="1" t="str">
        <f>IFERROR(__xludf.DUMMYFUNCTION("""COMPUTED_VALUE"""),"SERENADE LOWER MOONLIGHT")</f>
        <v>SERENADE LOWER MOONLIGHT</v>
      </c>
      <c r="N1391" s="1" t="str">
        <f>IFERROR(__xludf.DUMMYFUNCTION("""COMPUTED_VALUE"""),"PHASE 2")</f>
        <v>PHASE 2</v>
      </c>
      <c r="O1391" s="1" t="str">
        <f>IFERROR(__xludf.DUMMYFUNCTION("""COMPUTED_VALUE"""),"GREGORIA DE JESUS")</f>
        <v>GREGORIA DE JESUS</v>
      </c>
      <c r="P1391" s="1" t="str">
        <f>IFERROR(__xludf.DUMMYFUNCTION("""COMPUTED_VALUE"""),"GEN MARIANO ALVAREZ")</f>
        <v>GEN MARIANO ALVAREZ</v>
      </c>
      <c r="Q1391" s="1" t="str">
        <f>IFERROR(__xludf.DUMMYFUNCTION("""COMPUTED_VALUE"""),"CAVITE")</f>
        <v>CAVITE</v>
      </c>
      <c r="R1391" s="1" t="str">
        <f>IFERROR(__xludf.DUMMYFUNCTION("""COMPUTED_VALUE"""),"PREPAID FIBER UNLI")</f>
        <v>PREPAID FIBER UNLI</v>
      </c>
      <c r="S1391" s="1" t="str">
        <f>IFERROR(__xludf.DUMMYFUNCTION("""COMPUTED_VALUE"""),"APPROVED")</f>
        <v>APPROVED</v>
      </c>
      <c r="T1391" s="1" t="str">
        <f>IFERROR(__xludf.DUMMYFUNCTION("""COMPUTED_VALUE"""),"CLOSED")</f>
        <v>CLOSED</v>
      </c>
      <c r="U1391" s="1" t="str">
        <f>IFERROR(__xludf.DUMMYFUNCTION("""COMPUTED_VALUE"""),"POSTED")</f>
        <v>POSTED</v>
      </c>
      <c r="V1391" s="1"/>
      <c r="W1391" s="1"/>
    </row>
    <row r="1392" customHeight="1" spans="1:23">
      <c r="A1392" s="3">
        <f>IFERROR(__xludf.DUMMYFUNCTION("""COMPUTED_VALUE"""),46143)</f>
        <v>46143</v>
      </c>
      <c r="B1392" s="1" t="str">
        <f>IFERROR(__xludf.DUMMYFUNCTION("""COMPUTED_VALUE"""),"FRANCISCO , ROSELYN")</f>
        <v>FRANCISCO , ROSELYN</v>
      </c>
      <c r="C1392" s="1" t="str">
        <f>IFERROR(__xludf.DUMMYFUNCTION("""COMPUTED_VALUE"""),"FLA")</f>
        <v>FLA</v>
      </c>
      <c r="D1392" s="1" t="str">
        <f>IFERROR(__xludf.DUMMYFUNCTION("""COMPUTED_VALUE"""),"JERIC NAVARRO")</f>
        <v>JERIC NAVARRO</v>
      </c>
      <c r="E1392" s="1" t="str">
        <f>IFERROR(__xludf.DUMMYFUNCTION("""COMPUTED_VALUE"""),"RED FIBER")</f>
        <v>RED FIBER</v>
      </c>
      <c r="F1392" s="1"/>
      <c r="G1392" s="1"/>
      <c r="H1392" s="1" t="str">
        <f>IFERROR(__xludf.DUMMYFUNCTION("""COMPUTED_VALUE"""),"JEFFERSON PANTE VILLANUEVA")</f>
        <v>JEFFERSON PANTE VILLANUEVA</v>
      </c>
      <c r="I1392" s="1">
        <f>IFERROR(__xludf.DUMMYFUNCTION("""COMPUTED_VALUE"""),9950228012)</f>
        <v>9950228012</v>
      </c>
      <c r="J1392" s="1"/>
      <c r="K1392" s="1" t="str">
        <f>IFERROR(__xludf.DUMMYFUNCTION("""COMPUTED_VALUE"""),"VICENTVILLANUEVA409@GMAIL.COM")</f>
        <v>VICENTVILLANUEVA409@GMAIL.COM</v>
      </c>
      <c r="L1392" s="1" t="str">
        <f>IFERROR(__xludf.DUMMYFUNCTION("""COMPUTED_VALUE"""),"42")</f>
        <v>42</v>
      </c>
      <c r="M1392" s="1" t="str">
        <f>IFERROR(__xludf.DUMMYFUNCTION("""COMPUTED_VALUE"""),"JP RIZAL")</f>
        <v>JP RIZAL</v>
      </c>
      <c r="N1392" s="1"/>
      <c r="O1392" s="1" t="str">
        <f>IFERROR(__xludf.DUMMYFUNCTION("""COMPUTED_VALUE"""),"ASIS III")</f>
        <v>ASIS III</v>
      </c>
      <c r="P1392" s="1" t="str">
        <f>IFERROR(__xludf.DUMMYFUNCTION("""COMPUTED_VALUE"""),"MENDEZ")</f>
        <v>MENDEZ</v>
      </c>
      <c r="Q1392" s="1" t="str">
        <f>IFERROR(__xludf.DUMMYFUNCTION("""COMPUTED_VALUE"""),"CAVITE")</f>
        <v>CAVITE</v>
      </c>
      <c r="R1392" s="1" t="str">
        <f>IFERROR(__xludf.DUMMYFUNCTION("""COMPUTED_VALUE"""),"RED PLAN 1000")</f>
        <v>RED PLAN 1000</v>
      </c>
      <c r="S1392" s="1" t="str">
        <f>IFERROR(__xludf.DUMMYFUNCTION("""COMPUTED_VALUE"""),"APPROVED")</f>
        <v>APPROVED</v>
      </c>
      <c r="T1392" s="1" t="str">
        <f>IFERROR(__xludf.DUMMYFUNCTION("""COMPUTED_VALUE"""),"#N/A")</f>
        <v>#N/A</v>
      </c>
      <c r="U1392" s="1"/>
      <c r="V1392" s="1"/>
      <c r="W1392" s="1"/>
    </row>
    <row r="1393" customHeight="1" spans="1:23">
      <c r="A1393" s="3">
        <f>IFERROR(__xludf.DUMMYFUNCTION("""COMPUTED_VALUE"""),46143)</f>
        <v>46143</v>
      </c>
      <c r="B1393" s="1" t="str">
        <f>IFERROR(__xludf.DUMMYFUNCTION("""COMPUTED_VALUE"""),"MALIWAT MARK ELVIN")</f>
        <v>MALIWAT MARK ELVIN</v>
      </c>
      <c r="C1393" s="1" t="str">
        <f>IFERROR(__xludf.DUMMYFUNCTION("""COMPUTED_VALUE"""),"FLA")</f>
        <v>FLA</v>
      </c>
      <c r="D1393" s="1" t="str">
        <f>IFERROR(__xludf.DUMMYFUNCTION("""COMPUTED_VALUE"""),"JERIC NAVARRO")</f>
        <v>JERIC NAVARRO</v>
      </c>
      <c r="E1393" s="1" t="str">
        <f>IFERROR(__xludf.DUMMYFUNCTION("""COMPUTED_VALUE"""),"PLDT / ONLINE")</f>
        <v>PLDT / ONLINE</v>
      </c>
      <c r="F1393" s="1">
        <f>IFERROR(__xludf.DUMMYFUNCTION("""COMPUTED_VALUE"""),2309298661)</f>
        <v>2309298661</v>
      </c>
      <c r="G1393" s="1">
        <f>IFERROR(__xludf.DUMMYFUNCTION("""COMPUTED_VALUE"""),453319564004)</f>
        <v>453319564004</v>
      </c>
      <c r="H1393" s="1" t="str">
        <f>IFERROR(__xludf.DUMMYFUNCTION("""COMPUTED_VALUE"""),"MARIEL CAMPOMANES CALIXTRO")</f>
        <v>MARIEL CAMPOMANES CALIXTRO</v>
      </c>
      <c r="I1393" s="1">
        <f>IFERROR(__xludf.DUMMYFUNCTION("""COMPUTED_VALUE"""),9054908659)</f>
        <v>9054908659</v>
      </c>
      <c r="J1393" s="1"/>
      <c r="K1393" s="1" t="str">
        <f>IFERROR(__xludf.DUMMYFUNCTION("""COMPUTED_VALUE"""),"MARIELCALIXTRO31@GMAIL.COM")</f>
        <v>MARIELCALIXTRO31@GMAIL.COM</v>
      </c>
      <c r="L1393" s="1" t="str">
        <f>IFERROR(__xludf.DUMMYFUNCTION("""COMPUTED_VALUE"""),"BLK 15 LOT 33")</f>
        <v>BLK 15 LOT 33</v>
      </c>
      <c r="M1393" s="1" t="str">
        <f>IFERROR(__xludf.DUMMYFUNCTION("""COMPUTED_VALUE"""),"15 TH ")</f>
        <v>15 TH </v>
      </c>
      <c r="N1393" s="1" t="str">
        <f>IFERROR(__xludf.DUMMYFUNCTION("""COMPUTED_VALUE"""),"THE LEGIAN 2")</f>
        <v>THE LEGIAN 2</v>
      </c>
      <c r="O1393" s="1" t="str">
        <f>IFERROR(__xludf.DUMMYFUNCTION("""COMPUTED_VALUE"""),"CARSADANG BAGO II")</f>
        <v>CARSADANG BAGO II</v>
      </c>
      <c r="P1393" s="1" t="str">
        <f>IFERROR(__xludf.DUMMYFUNCTION("""COMPUTED_VALUE"""),"IMUS")</f>
        <v>IMUS</v>
      </c>
      <c r="Q1393" s="1" t="str">
        <f>IFERROR(__xludf.DUMMYFUNCTION("""COMPUTED_VALUE"""),"CAVITE")</f>
        <v>CAVITE</v>
      </c>
      <c r="R1393" s="1" t="str">
        <f>IFERROR(__xludf.DUMMYFUNCTION("""COMPUTED_VALUE"""),"FIBR UNLI ALL PLAN 999")</f>
        <v>FIBR UNLI ALL PLAN 999</v>
      </c>
      <c r="S1393" s="1" t="str">
        <f>IFERROR(__xludf.DUMMYFUNCTION("""COMPUTED_VALUE"""),"APPROVED")</f>
        <v>APPROVED</v>
      </c>
      <c r="T1393" s="1" t="str">
        <f>IFERROR(__xludf.DUMMYFUNCTION("""COMPUTED_VALUE"""),"CLOSED")</f>
        <v>CLOSED</v>
      </c>
      <c r="U1393" s="1" t="str">
        <f>IFERROR(__xludf.DUMMYFUNCTION("""COMPUTED_VALUE"""),"POSTED")</f>
        <v>POSTED</v>
      </c>
      <c r="V1393" s="1"/>
      <c r="W1393" s="1"/>
    </row>
    <row r="1394" customHeight="1" spans="1:23">
      <c r="A1394" s="3">
        <f>IFERROR(__xludf.DUMMYFUNCTION("""COMPUTED_VALUE"""),46143)</f>
        <v>46143</v>
      </c>
      <c r="B1394" s="1" t="str">
        <f>IFERROR(__xludf.DUMMYFUNCTION("""COMPUTED_VALUE"""),"OPS SIR BETZ")</f>
        <v>OPS SIR BETZ</v>
      </c>
      <c r="C1394" s="1" t="str">
        <f>IFERROR(__xludf.DUMMYFUNCTION("""COMPUTED_VALUE"""),"OPS")</f>
        <v>OPS</v>
      </c>
      <c r="D1394" s="1" t="str">
        <f>IFERROR(__xludf.DUMMYFUNCTION("""COMPUTED_VALUE"""),"JERIC NAVARRO")</f>
        <v>JERIC NAVARRO</v>
      </c>
      <c r="E1394" s="1" t="str">
        <f>IFERROR(__xludf.DUMMYFUNCTION("""COMPUTED_VALUE"""),"PLDT / ONLINE")</f>
        <v>PLDT / ONLINE</v>
      </c>
      <c r="F1394" s="1">
        <f>IFERROR(__xludf.DUMMYFUNCTION("""COMPUTED_VALUE"""),2309232450)</f>
        <v>2309232450</v>
      </c>
      <c r="G1394" s="1">
        <f>IFERROR(__xludf.DUMMYFUNCTION("""COMPUTED_VALUE"""),452851898004)</f>
        <v>452851898004</v>
      </c>
      <c r="H1394" s="1" t="str">
        <f>IFERROR(__xludf.DUMMYFUNCTION("""COMPUTED_VALUE"""),"JAHNAH NIKOS MALIGAYA CORPUS")</f>
        <v>JAHNAH NIKOS MALIGAYA CORPUS</v>
      </c>
      <c r="I1394" s="1">
        <f>IFERROR(__xludf.DUMMYFUNCTION("""COMPUTED_VALUE"""),9354314597)</f>
        <v>9354314597</v>
      </c>
      <c r="J1394" s="1">
        <f>IFERROR(__xludf.DUMMYFUNCTION("""COMPUTED_VALUE"""),9750591438)</f>
        <v>9750591438</v>
      </c>
      <c r="K1394" s="1" t="str">
        <f>IFERROR(__xludf.DUMMYFUNCTION("""COMPUTED_VALUE"""),"CORPUSHANNAHGRACE@GMAIL.COM")</f>
        <v>CORPUSHANNAHGRACE@GMAIL.COM</v>
      </c>
      <c r="L1394" s="1" t="str">
        <f>IFERROR(__xludf.DUMMYFUNCTION("""COMPUTED_VALUE"""),"9008")</f>
        <v>9008</v>
      </c>
      <c r="M1394" s="1" t="str">
        <f>IFERROR(__xludf.DUMMYFUNCTION("""COMPUTED_VALUE"""),"PANTIHAN 2")</f>
        <v>PANTIHAN 2</v>
      </c>
      <c r="N1394" s="1"/>
      <c r="O1394" s="1" t="str">
        <f>IFERROR(__xludf.DUMMYFUNCTION("""COMPUTED_VALUE"""),"PANTIHAN II (SAGBAT)")</f>
        <v>PANTIHAN II (SAGBAT)</v>
      </c>
      <c r="P1394" s="1" t="str">
        <f>IFERROR(__xludf.DUMMYFUNCTION("""COMPUTED_VALUE"""),"MARAGONDON")</f>
        <v>MARAGONDON</v>
      </c>
      <c r="Q1394" s="1" t="str">
        <f>IFERROR(__xludf.DUMMYFUNCTION("""COMPUTED_VALUE"""),"CAVITE")</f>
        <v>CAVITE</v>
      </c>
      <c r="R1394" s="1" t="str">
        <f>IFERROR(__xludf.DUMMYFUNCTION("""COMPUTED_VALUE"""),"FIBR NETFLIX PLAN 1599")</f>
        <v>FIBR NETFLIX PLAN 1599</v>
      </c>
      <c r="S1394" s="1" t="str">
        <f>IFERROR(__xludf.DUMMYFUNCTION("""COMPUTED_VALUE"""),"APPROVED")</f>
        <v>APPROVED</v>
      </c>
      <c r="T1394" s="1" t="str">
        <f>IFERROR(__xludf.DUMMYFUNCTION("""COMPUTED_VALUE"""),"RPR")</f>
        <v>RPR</v>
      </c>
      <c r="U1394" s="1"/>
      <c r="V1394" s="1"/>
      <c r="W1394" s="1"/>
    </row>
    <row r="1395" customHeight="1" spans="1:23">
      <c r="A1395" s="3">
        <f>IFERROR(__xludf.DUMMYFUNCTION("""COMPUTED_VALUE"""),46143)</f>
        <v>46143</v>
      </c>
      <c r="B1395" s="1" t="str">
        <f>IFERROR(__xludf.DUMMYFUNCTION("""COMPUTED_VALUE"""),"MALIWAT MARK ELVIN")</f>
        <v>MALIWAT MARK ELVIN</v>
      </c>
      <c r="C1395" s="1" t="str">
        <f>IFERROR(__xludf.DUMMYFUNCTION("""COMPUTED_VALUE"""),"FLA")</f>
        <v>FLA</v>
      </c>
      <c r="D1395" s="1" t="str">
        <f>IFERROR(__xludf.DUMMYFUNCTION("""COMPUTED_VALUE"""),"JERIC NAVARRO")</f>
        <v>JERIC NAVARRO</v>
      </c>
      <c r="E1395" s="1" t="str">
        <f>IFERROR(__xludf.DUMMYFUNCTION("""COMPUTED_VALUE"""),"PLDT / H2H")</f>
        <v>PLDT / H2H</v>
      </c>
      <c r="F1395" s="1">
        <f>IFERROR(__xludf.DUMMYFUNCTION("""COMPUTED_VALUE"""),2309233026)</f>
        <v>2309233026</v>
      </c>
      <c r="G1395" s="1">
        <f>IFERROR(__xludf.DUMMYFUNCTION("""COMPUTED_VALUE"""),452851617004)</f>
        <v>452851617004</v>
      </c>
      <c r="H1395" s="1" t="str">
        <f>IFERROR(__xludf.DUMMYFUNCTION("""COMPUTED_VALUE"""),"JANICE DELOS SANTOS FRIAS")</f>
        <v>JANICE DELOS SANTOS FRIAS</v>
      </c>
      <c r="I1395" s="1">
        <f>IFERROR(__xludf.DUMMYFUNCTION("""COMPUTED_VALUE"""),9656784402)</f>
        <v>9656784402</v>
      </c>
      <c r="J1395" s="1">
        <f>IFERROR(__xludf.DUMMYFUNCTION("""COMPUTED_VALUE"""),9786926317)</f>
        <v>9786926317</v>
      </c>
      <c r="K1395" s="1" t="str">
        <f>IFERROR(__xludf.DUMMYFUNCTION("""COMPUTED_VALUE"""),"FRIAS.JANICE05@GMAIL.COM")</f>
        <v>FRIAS.JANICE05@GMAIL.COM</v>
      </c>
      <c r="L1395" s="1" t="str">
        <f>IFERROR(__xludf.DUMMYFUNCTION("""COMPUTED_VALUE"""),"247")</f>
        <v>247</v>
      </c>
      <c r="M1395" s="1" t="str">
        <f>IFERROR(__xludf.DUMMYFUNCTION("""COMPUTED_VALUE"""),"PUTOL")</f>
        <v>PUTOL</v>
      </c>
      <c r="N1395" s="1"/>
      <c r="O1395" s="1" t="str">
        <f>IFERROR(__xludf.DUMMYFUNCTION("""COMPUTED_VALUE"""),"TIBIG")</f>
        <v>TIBIG</v>
      </c>
      <c r="P1395" s="1" t="str">
        <f>IFERROR(__xludf.DUMMYFUNCTION("""COMPUTED_VALUE"""),"SILANG")</f>
        <v>SILANG</v>
      </c>
      <c r="Q1395" s="1" t="str">
        <f>IFERROR(__xludf.DUMMYFUNCTION("""COMPUTED_VALUE"""),"CAVITE")</f>
        <v>CAVITE</v>
      </c>
      <c r="R1395" s="1" t="str">
        <f>IFERROR(__xludf.DUMMYFUNCTION("""COMPUTED_VALUE"""),"PREPAID FIBER UNLI")</f>
        <v>PREPAID FIBER UNLI</v>
      </c>
      <c r="S1395" s="1" t="str">
        <f>IFERROR(__xludf.DUMMYFUNCTION("""COMPUTED_VALUE"""),"APPROVED")</f>
        <v>APPROVED</v>
      </c>
      <c r="T1395" s="1" t="str">
        <f>IFERROR(__xludf.DUMMYFUNCTION("""COMPUTED_VALUE"""),"CANCELLED")</f>
        <v>CANCELLED</v>
      </c>
      <c r="U1395" s="1"/>
      <c r="V1395" s="1"/>
      <c r="W1395" s="1"/>
    </row>
    <row r="1396" customHeight="1" spans="1:23">
      <c r="A1396" s="3">
        <f>IFERROR(__xludf.DUMMYFUNCTION("""COMPUTED_VALUE"""),46143)</f>
        <v>46143</v>
      </c>
      <c r="B1396" s="1" t="str">
        <f>IFERROR(__xludf.DUMMYFUNCTION("""COMPUTED_VALUE"""),"MALIWAT MARK ELVIN")</f>
        <v>MALIWAT MARK ELVIN</v>
      </c>
      <c r="C1396" s="1" t="str">
        <f>IFERROR(__xludf.DUMMYFUNCTION("""COMPUTED_VALUE"""),"FLA")</f>
        <v>FLA</v>
      </c>
      <c r="D1396" s="1" t="str">
        <f>IFERROR(__xludf.DUMMYFUNCTION("""COMPUTED_VALUE"""),"JERIC NAVARRO")</f>
        <v>JERIC NAVARRO</v>
      </c>
      <c r="E1396" s="1" t="str">
        <f>IFERROR(__xludf.DUMMYFUNCTION("""COMPUTED_VALUE"""),"PLDT / H2H")</f>
        <v>PLDT / H2H</v>
      </c>
      <c r="F1396" s="1">
        <f>IFERROR(__xludf.DUMMYFUNCTION("""COMPUTED_VALUE"""),2309300174)</f>
        <v>2309300174</v>
      </c>
      <c r="G1396" s="1">
        <f>IFERROR(__xludf.DUMMYFUNCTION("""COMPUTED_VALUE"""),453304321004)</f>
        <v>453304321004</v>
      </c>
      <c r="H1396" s="1" t="str">
        <f>IFERROR(__xludf.DUMMYFUNCTION("""COMPUTED_VALUE"""),"MAK ALVIN BLAS DITA")</f>
        <v>MAK ALVIN BLAS DITA</v>
      </c>
      <c r="I1396" s="1">
        <f>IFERROR(__xludf.DUMMYFUNCTION("""COMPUTED_VALUE"""),9541843365)</f>
        <v>9541843365</v>
      </c>
      <c r="J1396" s="1">
        <f>IFERROR(__xludf.DUMMYFUNCTION("""COMPUTED_VALUE"""),9933029977)</f>
        <v>9933029977</v>
      </c>
      <c r="K1396" s="1" t="str">
        <f>IFERROR(__xludf.DUMMYFUNCTION("""COMPUTED_VALUE"""),"ALLINAZARENEKRAM06@GMAIL.COM")</f>
        <v>ALLINAZARENEKRAM06@GMAIL.COM</v>
      </c>
      <c r="L1396" s="1" t="str">
        <f>IFERROR(__xludf.DUMMYFUNCTION("""COMPUTED_VALUE"""),"BLK 40 LOT 8")</f>
        <v>BLK 40 LOT 8</v>
      </c>
      <c r="M1396" s="1" t="str">
        <f>IFERROR(__xludf.DUMMYFUNCTION("""COMPUTED_VALUE"""),"NARRA")</f>
        <v>NARRA</v>
      </c>
      <c r="N1396" s="1"/>
      <c r="O1396" s="1" t="str">
        <f>IFERROR(__xludf.DUMMYFUNCTION("""COMPUTED_VALUE"""),"NARRA III")</f>
        <v>NARRA III</v>
      </c>
      <c r="P1396" s="1" t="str">
        <f>IFERROR(__xludf.DUMMYFUNCTION("""COMPUTED_VALUE"""),"SILANG")</f>
        <v>SILANG</v>
      </c>
      <c r="Q1396" s="1" t="str">
        <f>IFERROR(__xludf.DUMMYFUNCTION("""COMPUTED_VALUE"""),"CAVITE")</f>
        <v>CAVITE</v>
      </c>
      <c r="R1396" s="1" t="str">
        <f>IFERROR(__xludf.DUMMYFUNCTION("""COMPUTED_VALUE"""),"FIBR UNLI ALL PLAN 999")</f>
        <v>FIBR UNLI ALL PLAN 999</v>
      </c>
      <c r="S1396" s="1" t="str">
        <f>IFERROR(__xludf.DUMMYFUNCTION("""COMPUTED_VALUE"""),"APPROVED")</f>
        <v>APPROVED</v>
      </c>
      <c r="T1396" s="1" t="str">
        <f>IFERROR(__xludf.DUMMYFUNCTION("""COMPUTED_VALUE"""),"CLOSED")</f>
        <v>CLOSED</v>
      </c>
      <c r="U1396" s="1" t="str">
        <f>IFERROR(__xludf.DUMMYFUNCTION("""COMPUTED_VALUE"""),"POSTED")</f>
        <v>POSTED</v>
      </c>
      <c r="V1396" s="1"/>
      <c r="W1396" s="1"/>
    </row>
    <row r="1397" customHeight="1" spans="1:23">
      <c r="A1397" s="3">
        <f>IFERROR(__xludf.DUMMYFUNCTION("""COMPUTED_VALUE"""),46143)</f>
        <v>46143</v>
      </c>
      <c r="B1397" s="1" t="str">
        <f>IFERROR(__xludf.DUMMYFUNCTION("""COMPUTED_VALUE"""),"AYON MANUEL")</f>
        <v>AYON MANUEL</v>
      </c>
      <c r="C1397" s="1" t="str">
        <f>IFERROR(__xludf.DUMMYFUNCTION("""COMPUTED_VALUE"""),"FLA")</f>
        <v>FLA</v>
      </c>
      <c r="D1397" s="1" t="str">
        <f>IFERROR(__xludf.DUMMYFUNCTION("""COMPUTED_VALUE"""),"JERIC NAVARRO")</f>
        <v>JERIC NAVARRO</v>
      </c>
      <c r="E1397" s="1" t="str">
        <f>IFERROR(__xludf.DUMMYFUNCTION("""COMPUTED_VALUE"""),"PLDT / H2H")</f>
        <v>PLDT / H2H</v>
      </c>
      <c r="F1397" s="1">
        <f>IFERROR(__xludf.DUMMYFUNCTION("""COMPUTED_VALUE"""),2309233749)</f>
        <v>2309233749</v>
      </c>
      <c r="G1397" s="1">
        <f>IFERROR(__xludf.DUMMYFUNCTION("""COMPUTED_VALUE"""),452859443004)</f>
        <v>452859443004</v>
      </c>
      <c r="H1397" s="1" t="str">
        <f>IFERROR(__xludf.DUMMYFUNCTION("""COMPUTED_VALUE"""),"FLORITA BACOSA VILLAFLORES ")</f>
        <v>FLORITA BACOSA VILLAFLORES </v>
      </c>
      <c r="I1397" s="1">
        <f>IFERROR(__xludf.DUMMYFUNCTION("""COMPUTED_VALUE"""),919318117)</f>
        <v>919318117</v>
      </c>
      <c r="J1397" s="1">
        <f>IFERROR(__xludf.DUMMYFUNCTION("""COMPUTED_VALUE"""),9628893441)</f>
        <v>9628893441</v>
      </c>
      <c r="K1397" s="1" t="str">
        <f>IFERROR(__xludf.DUMMYFUNCTION("""COMPUTED_VALUE"""),"FLORAVIL@YAHOO.COM")</f>
        <v>FLORAVIL@YAHOO.COM</v>
      </c>
      <c r="L1397" s="1" t="str">
        <f>IFERROR(__xludf.DUMMYFUNCTION("""COMPUTED_VALUE"""),"9035")</f>
        <v>9035</v>
      </c>
      <c r="M1397" s="1" t="str">
        <f>IFERROR(__xludf.DUMMYFUNCTION("""COMPUTED_VALUE"""),"SITIO LIPAHAN ")</f>
        <v>SITIO LIPAHAN </v>
      </c>
      <c r="N1397" s="1"/>
      <c r="O1397" s="1" t="str">
        <f>IFERROR(__xludf.DUMMYFUNCTION("""COMPUTED_VALUE"""),"PULONG BUNGA")</f>
        <v>PULONG BUNGA</v>
      </c>
      <c r="P1397" s="1" t="str">
        <f>IFERROR(__xludf.DUMMYFUNCTION("""COMPUTED_VALUE"""),"SILANG")</f>
        <v>SILANG</v>
      </c>
      <c r="Q1397" s="1" t="str">
        <f>IFERROR(__xludf.DUMMYFUNCTION("""COMPUTED_VALUE"""),"CAVITE")</f>
        <v>CAVITE</v>
      </c>
      <c r="R1397" s="1" t="str">
        <f>IFERROR(__xludf.DUMMYFUNCTION("""COMPUTED_VALUE"""),"FIBR UNLI ALL PLAN 1399")</f>
        <v>FIBR UNLI ALL PLAN 1399</v>
      </c>
      <c r="S1397" s="1" t="str">
        <f>IFERROR(__xludf.DUMMYFUNCTION("""COMPUTED_VALUE"""),"APPROVED")</f>
        <v>APPROVED</v>
      </c>
      <c r="T1397" s="1" t="str">
        <f>IFERROR(__xludf.DUMMYFUNCTION("""COMPUTED_VALUE"""),"CLOSED")</f>
        <v>CLOSED</v>
      </c>
      <c r="U1397" s="1" t="str">
        <f>IFERROR(__xludf.DUMMYFUNCTION("""COMPUTED_VALUE"""),"POSTED")</f>
        <v>POSTED</v>
      </c>
      <c r="V1397" s="1"/>
      <c r="W1397" s="1"/>
    </row>
    <row r="1398" customHeight="1" spans="1:23">
      <c r="A1398" s="3">
        <f>IFERROR(__xludf.DUMMYFUNCTION("""COMPUTED_VALUE"""),46143)</f>
        <v>46143</v>
      </c>
      <c r="B1398" s="1" t="str">
        <f>IFERROR(__xludf.DUMMYFUNCTION("""COMPUTED_VALUE"""),"MALIWAT MARK ELVIN")</f>
        <v>MALIWAT MARK ELVIN</v>
      </c>
      <c r="C1398" s="1" t="str">
        <f>IFERROR(__xludf.DUMMYFUNCTION("""COMPUTED_VALUE"""),"FLA")</f>
        <v>FLA</v>
      </c>
      <c r="D1398" s="1" t="str">
        <f>IFERROR(__xludf.DUMMYFUNCTION("""COMPUTED_VALUE"""),"JERIC NAVARRO")</f>
        <v>JERIC NAVARRO</v>
      </c>
      <c r="E1398" s="1" t="str">
        <f>IFERROR(__xludf.DUMMYFUNCTION("""COMPUTED_VALUE"""),"PLDT / H2H")</f>
        <v>PLDT / H2H</v>
      </c>
      <c r="F1398" s="1">
        <f>IFERROR(__xludf.DUMMYFUNCTION("""COMPUTED_VALUE"""),2309234206)</f>
        <v>2309234206</v>
      </c>
      <c r="G1398" s="1">
        <f>IFERROR(__xludf.DUMMYFUNCTION("""COMPUTED_VALUE"""),452854410004)</f>
        <v>452854410004</v>
      </c>
      <c r="H1398" s="1" t="str">
        <f>IFERROR(__xludf.DUMMYFUNCTION("""COMPUTED_VALUE"""),"RENANTE ESPARZA LUPANGGO")</f>
        <v>RENANTE ESPARZA LUPANGGO</v>
      </c>
      <c r="I1398" s="1">
        <f>IFERROR(__xludf.DUMMYFUNCTION("""COMPUTED_VALUE"""),9457712966)</f>
        <v>9457712966</v>
      </c>
      <c r="J1398" s="1"/>
      <c r="K1398" s="1" t="str">
        <f>IFERROR(__xludf.DUMMYFUNCTION("""COMPUTED_VALUE"""),"RENANTELUPANGGO861@GMAIL.COM")</f>
        <v>RENANTELUPANGGO861@GMAIL.COM</v>
      </c>
      <c r="L1398" s="1" t="str">
        <f>IFERROR(__xludf.DUMMYFUNCTION("""COMPUTED_VALUE"""),"204")</f>
        <v>204</v>
      </c>
      <c r="M1398" s="1" t="str">
        <f>IFERROR(__xludf.DUMMYFUNCTION("""COMPUTED_VALUE"""),"SAN ISIDRO")</f>
        <v>SAN ISIDRO</v>
      </c>
      <c r="N1398" s="1"/>
      <c r="O1398" s="1" t="str">
        <f>IFERROR(__xludf.DUMMYFUNCTION("""COMPUTED_VALUE"""),"PALOCPOC I")</f>
        <v>PALOCPOC I</v>
      </c>
      <c r="P1398" s="1" t="str">
        <f>IFERROR(__xludf.DUMMYFUNCTION("""COMPUTED_VALUE"""),"MENDEZ")</f>
        <v>MENDEZ</v>
      </c>
      <c r="Q1398" s="1" t="str">
        <f>IFERROR(__xludf.DUMMYFUNCTION("""COMPUTED_VALUE"""),"CAVITE")</f>
        <v>CAVITE</v>
      </c>
      <c r="R1398" s="1" t="str">
        <f>IFERROR(__xludf.DUMMYFUNCTION("""COMPUTED_VALUE"""),"PREPAID FIBER UNLI")</f>
        <v>PREPAID FIBER UNLI</v>
      </c>
      <c r="S1398" s="1" t="str">
        <f>IFERROR(__xludf.DUMMYFUNCTION("""COMPUTED_VALUE"""),"APPROVED")</f>
        <v>APPROVED</v>
      </c>
      <c r="T1398" s="1" t="str">
        <f>IFERROR(__xludf.DUMMYFUNCTION("""COMPUTED_VALUE"""),"CANCELLED")</f>
        <v>CANCELLED</v>
      </c>
      <c r="U1398" s="1"/>
      <c r="V1398" s="1"/>
      <c r="W1398" s="1"/>
    </row>
    <row r="1399" customHeight="1" spans="1:23">
      <c r="A1399" s="3">
        <f>IFERROR(__xludf.DUMMYFUNCTION("""COMPUTED_VALUE"""),46143)</f>
        <v>46143</v>
      </c>
      <c r="B1399" s="1" t="str">
        <f>IFERROR(__xludf.DUMMYFUNCTION("""COMPUTED_VALUE"""),"DELA ROSA, JENNELYN")</f>
        <v>DELA ROSA, JENNELYN</v>
      </c>
      <c r="C1399" s="1" t="str">
        <f>IFERROR(__xludf.DUMMYFUNCTION("""COMPUTED_VALUE"""),"ORGANIC")</f>
        <v>ORGANIC</v>
      </c>
      <c r="D1399" s="1" t="str">
        <f>IFERROR(__xludf.DUMMYFUNCTION("""COMPUTED_VALUE"""),"ALOS, CHARLS")</f>
        <v>ALOS, CHARLS</v>
      </c>
      <c r="E1399" s="1" t="str">
        <f>IFERROR(__xludf.DUMMYFUNCTION("""COMPUTED_VALUE"""),"PLDT / H2H")</f>
        <v>PLDT / H2H</v>
      </c>
      <c r="F1399" s="1">
        <f>IFERROR(__xludf.DUMMYFUNCTION("""COMPUTED_VALUE"""),2309234923)</f>
        <v>2309234923</v>
      </c>
      <c r="G1399" s="1">
        <f>IFERROR(__xludf.DUMMYFUNCTION("""COMPUTED_VALUE"""),452854729004)</f>
        <v>452854729004</v>
      </c>
      <c r="H1399" s="1" t="str">
        <f>IFERROR(__xludf.DUMMYFUNCTION("""COMPUTED_VALUE"""),"AGUSTINA ADELAN PILLEJERA")</f>
        <v>AGUSTINA ADELAN PILLEJERA</v>
      </c>
      <c r="I1399" s="1">
        <f>IFERROR(__xludf.DUMMYFUNCTION("""COMPUTED_VALUE"""),9465969628)</f>
        <v>9465969628</v>
      </c>
      <c r="J1399" s="1"/>
      <c r="K1399" s="1" t="str">
        <f>IFERROR(__xludf.DUMMYFUNCTION("""COMPUTED_VALUE"""),"PILLEJERATIOS@GMAIL.COM")</f>
        <v>PILLEJERATIOS@GMAIL.COM</v>
      </c>
      <c r="L1399" s="1" t="str">
        <f>IFERROR(__xludf.DUMMYFUNCTION("""COMPUTED_VALUE"""),"711")</f>
        <v>711</v>
      </c>
      <c r="M1399" s="1" t="str">
        <f>IFERROR(__xludf.DUMMYFUNCTION("""COMPUTED_VALUE"""),"UPPER MOONLIGHT")</f>
        <v>UPPER MOONLIGHT</v>
      </c>
      <c r="N1399" s="1"/>
      <c r="O1399" s="1" t="str">
        <f>IFERROR(__xludf.DUMMYFUNCTION("""COMPUTED_VALUE"""),"GREGORIA DE JESUS")</f>
        <v>GREGORIA DE JESUS</v>
      </c>
      <c r="P1399" s="1" t="str">
        <f>IFERROR(__xludf.DUMMYFUNCTION("""COMPUTED_VALUE"""),"GEN MARIANO ALVAREZ")</f>
        <v>GEN MARIANO ALVAREZ</v>
      </c>
      <c r="Q1399" s="1" t="str">
        <f>IFERROR(__xludf.DUMMYFUNCTION("""COMPUTED_VALUE"""),"CAVITE")</f>
        <v>CAVITE</v>
      </c>
      <c r="R1399" s="1" t="str">
        <f>IFERROR(__xludf.DUMMYFUNCTION("""COMPUTED_VALUE"""),"PREPAID FIBER UNLI")</f>
        <v>PREPAID FIBER UNLI</v>
      </c>
      <c r="S1399" s="1" t="str">
        <f>IFERROR(__xludf.DUMMYFUNCTION("""COMPUTED_VALUE"""),"APPROVED")</f>
        <v>APPROVED</v>
      </c>
      <c r="T1399" s="1" t="str">
        <f>IFERROR(__xludf.DUMMYFUNCTION("""COMPUTED_VALUE"""),"CANCELLED")</f>
        <v>CANCELLED</v>
      </c>
      <c r="U1399" s="1"/>
      <c r="V1399" s="1"/>
      <c r="W1399" s="1"/>
    </row>
    <row r="1400" customHeight="1" spans="1:23">
      <c r="A1400" s="3">
        <f>IFERROR(__xludf.DUMMYFUNCTION("""COMPUTED_VALUE"""),46143)</f>
        <v>46143</v>
      </c>
      <c r="B1400" s="1" t="str">
        <f>IFERROR(__xludf.DUMMYFUNCTION("""COMPUTED_VALUE"""),"MAÑANITA, ERIKA")</f>
        <v>MAÑANITA, ERIKA</v>
      </c>
      <c r="C1400" s="1" t="str">
        <f>IFERROR(__xludf.DUMMYFUNCTION("""COMPUTED_VALUE"""),"ORGANIC")</f>
        <v>ORGANIC</v>
      </c>
      <c r="D1400" s="1" t="str">
        <f>IFERROR(__xludf.DUMMYFUNCTION("""COMPUTED_VALUE"""),"ALOS, CHARLS")</f>
        <v>ALOS, CHARLS</v>
      </c>
      <c r="E1400" s="1" t="str">
        <f>IFERROR(__xludf.DUMMYFUNCTION("""COMPUTED_VALUE"""),"PLDT / H2H")</f>
        <v>PLDT / H2H</v>
      </c>
      <c r="F1400" s="1">
        <f>IFERROR(__xludf.DUMMYFUNCTION("""COMPUTED_VALUE"""),2309236599)</f>
        <v>2309236599</v>
      </c>
      <c r="G1400" s="1">
        <f>IFERROR(__xludf.DUMMYFUNCTION("""COMPUTED_VALUE"""),452859118004)</f>
        <v>452859118004</v>
      </c>
      <c r="H1400" s="1" t="str">
        <f>IFERROR(__xludf.DUMMYFUNCTION("""COMPUTED_VALUE"""),"RANDY ADORNA ACAS")</f>
        <v>RANDY ADORNA ACAS</v>
      </c>
      <c r="I1400" s="1">
        <f>IFERROR(__xludf.DUMMYFUNCTION("""COMPUTED_VALUE"""),9618494460)</f>
        <v>9618494460</v>
      </c>
      <c r="J1400" s="1">
        <f>IFERROR(__xludf.DUMMYFUNCTION("""COMPUTED_VALUE"""),9261623187)</f>
        <v>9261623187</v>
      </c>
      <c r="K1400" s="1" t="str">
        <f>IFERROR(__xludf.DUMMYFUNCTION("""COMPUTED_VALUE"""),"RANDYACAS25@GMAIL.COM")</f>
        <v>RANDYACAS25@GMAIL.COM</v>
      </c>
      <c r="L1400" s="1"/>
      <c r="M1400" s="1" t="str">
        <f>IFERROR(__xludf.DUMMYFUNCTION("""COMPUTED_VALUE"""),"PUROK 53 ")</f>
        <v>PUROK 53 </v>
      </c>
      <c r="N1400" s="1" t="str">
        <f>IFERROR(__xludf.DUMMYFUNCTION("""COMPUTED_VALUE"""),"KABANG RD")</f>
        <v>KABANG RD</v>
      </c>
      <c r="O1400" s="1" t="str">
        <f>IFERROR(__xludf.DUMMYFUNCTION("""COMPUTED_VALUE"""),"IRUHIN WEST")</f>
        <v>IRUHIN WEST</v>
      </c>
      <c r="P1400" s="1" t="str">
        <f>IFERROR(__xludf.DUMMYFUNCTION("""COMPUTED_VALUE"""),"TAGAYTAY")</f>
        <v>TAGAYTAY</v>
      </c>
      <c r="Q1400" s="1" t="str">
        <f>IFERROR(__xludf.DUMMYFUNCTION("""COMPUTED_VALUE"""),"CAVITE")</f>
        <v>CAVITE</v>
      </c>
      <c r="R1400" s="1" t="str">
        <f>IFERROR(__xludf.DUMMYFUNCTION("""COMPUTED_VALUE"""),"FIBR PLAN 1299")</f>
        <v>FIBR PLAN 1299</v>
      </c>
      <c r="S1400" s="1" t="str">
        <f>IFERROR(__xludf.DUMMYFUNCTION("""COMPUTED_VALUE"""),"APPROVED")</f>
        <v>APPROVED</v>
      </c>
      <c r="T1400" s="1" t="str">
        <f>IFERROR(__xludf.DUMMYFUNCTION("""COMPUTED_VALUE"""),"RPR")</f>
        <v>RPR</v>
      </c>
      <c r="U1400" s="1"/>
      <c r="V1400" s="1"/>
      <c r="W1400" s="1"/>
    </row>
    <row r="1401" customHeight="1" spans="1:23">
      <c r="A1401" s="3">
        <f>IFERROR(__xludf.DUMMYFUNCTION("""COMPUTED_VALUE"""),46143)</f>
        <v>46143</v>
      </c>
      <c r="B1401" s="1" t="str">
        <f>IFERROR(__xludf.DUMMYFUNCTION("""COMPUTED_VALUE"""),"ESCARCHA, MA ALMA  ESCOTO")</f>
        <v>ESCARCHA, MA ALMA  ESCOTO</v>
      </c>
      <c r="C1401" s="1" t="str">
        <f>IFERROR(__xludf.DUMMYFUNCTION("""COMPUTED_VALUE"""),"ORGANIC")</f>
        <v>ORGANIC</v>
      </c>
      <c r="D1401" s="1" t="str">
        <f>IFERROR(__xludf.DUMMYFUNCTION("""COMPUTED_VALUE"""),"ALINGARO, CINDY")</f>
        <v>ALINGARO, CINDY</v>
      </c>
      <c r="E1401" s="1" t="str">
        <f>IFERROR(__xludf.DUMMYFUNCTION("""COMPUTED_VALUE"""),"PLDT / H2H")</f>
        <v>PLDT / H2H</v>
      </c>
      <c r="F1401" s="1">
        <f>IFERROR(__xludf.DUMMYFUNCTION("""COMPUTED_VALUE"""),2309237389)</f>
        <v>2309237389</v>
      </c>
      <c r="G1401" s="1">
        <f>IFERROR(__xludf.DUMMYFUNCTION("""COMPUTED_VALUE"""),452859557004)</f>
        <v>452859557004</v>
      </c>
      <c r="H1401" s="1" t="str">
        <f>IFERROR(__xludf.DUMMYFUNCTION("""COMPUTED_VALUE"""),"MARICEL BASILOY ANDALES")</f>
        <v>MARICEL BASILOY ANDALES</v>
      </c>
      <c r="I1401" s="1">
        <f>IFERROR(__xludf.DUMMYFUNCTION("""COMPUTED_VALUE"""),9153769332)</f>
        <v>9153769332</v>
      </c>
      <c r="J1401" s="1"/>
      <c r="K1401" s="1" t="str">
        <f>IFERROR(__xludf.DUMMYFUNCTION("""COMPUTED_VALUE"""),"ANDALESMARICEL@GMAIL.COM")</f>
        <v>ANDALESMARICEL@GMAIL.COM</v>
      </c>
      <c r="L1401" s="1" t="str">
        <f>IFERROR(__xludf.DUMMYFUNCTION("""COMPUTED_VALUE"""),"302")</f>
        <v>302</v>
      </c>
      <c r="M1401" s="1" t="str">
        <f>IFERROR(__xludf.DUMMYFUNCTION("""COMPUTED_VALUE"""),"ANULING LEJOS")</f>
        <v>ANULING LEJOS</v>
      </c>
      <c r="N1401" s="1"/>
      <c r="O1401" s="1" t="str">
        <f>IFERROR(__xludf.DUMMYFUNCTION("""COMPUTED_VALUE"""),"ANULING LEJOS II")</f>
        <v>ANULING LEJOS II</v>
      </c>
      <c r="P1401" s="1" t="str">
        <f>IFERROR(__xludf.DUMMYFUNCTION("""COMPUTED_VALUE"""),"MENDEZ")</f>
        <v>MENDEZ</v>
      </c>
      <c r="Q1401" s="1" t="str">
        <f>IFERROR(__xludf.DUMMYFUNCTION("""COMPUTED_VALUE"""),"CAVITE")</f>
        <v>CAVITE</v>
      </c>
      <c r="R1401" s="1" t="str">
        <f>IFERROR(__xludf.DUMMYFUNCTION("""COMPUTED_VALUE"""),"PREPAID FIBER UNLI")</f>
        <v>PREPAID FIBER UNLI</v>
      </c>
      <c r="S1401" s="1" t="str">
        <f>IFERROR(__xludf.DUMMYFUNCTION("""COMPUTED_VALUE"""),"APPROVED")</f>
        <v>APPROVED</v>
      </c>
      <c r="T1401" s="1" t="str">
        <f>IFERROR(__xludf.DUMMYFUNCTION("""COMPUTED_VALUE"""),"CLOSED")</f>
        <v>CLOSED</v>
      </c>
      <c r="U1401" s="1" t="str">
        <f>IFERROR(__xludf.DUMMYFUNCTION("""COMPUTED_VALUE"""),"POSTED")</f>
        <v>POSTED</v>
      </c>
      <c r="V1401" s="1"/>
      <c r="W1401" s="1"/>
    </row>
    <row r="1402" customHeight="1" spans="1:23">
      <c r="A1402" s="3">
        <f>IFERROR(__xludf.DUMMYFUNCTION("""COMPUTED_VALUE"""),46143)</f>
        <v>46143</v>
      </c>
      <c r="B1402" s="1" t="str">
        <f>IFERROR(__xludf.DUMMYFUNCTION("""COMPUTED_VALUE"""),"ODY , CLARENCE")</f>
        <v>ODY , CLARENCE</v>
      </c>
      <c r="C1402" s="1" t="str">
        <f>IFERROR(__xludf.DUMMYFUNCTION("""COMPUTED_VALUE"""),"ORGANIC")</f>
        <v>ORGANIC</v>
      </c>
      <c r="D1402" s="1" t="str">
        <f>IFERROR(__xludf.DUMMYFUNCTION("""COMPUTED_VALUE"""),"ALOS, CHARLS")</f>
        <v>ALOS, CHARLS</v>
      </c>
      <c r="E1402" s="1" t="str">
        <f>IFERROR(__xludf.DUMMYFUNCTION("""COMPUTED_VALUE"""),"PLDT / H2H")</f>
        <v>PLDT / H2H</v>
      </c>
      <c r="F1402" s="1">
        <f>IFERROR(__xludf.DUMMYFUNCTION("""COMPUTED_VALUE"""),2309239613)</f>
        <v>2309239613</v>
      </c>
      <c r="G1402" s="1">
        <f>IFERROR(__xludf.DUMMYFUNCTION("""COMPUTED_VALUE"""),452867590004)</f>
        <v>452867590004</v>
      </c>
      <c r="H1402" s="1" t="str">
        <f>IFERROR(__xludf.DUMMYFUNCTION("""COMPUTED_VALUE"""),"MARY CRIS ABELLANO LIPIO")</f>
        <v>MARY CRIS ABELLANO LIPIO</v>
      </c>
      <c r="I1402" s="1">
        <f>IFERROR(__xludf.DUMMYFUNCTION("""COMPUTED_VALUE"""),9638125001)</f>
        <v>9638125001</v>
      </c>
      <c r="J1402" s="1"/>
      <c r="K1402" s="1" t="str">
        <f>IFERROR(__xludf.DUMMYFUNCTION("""COMPUTED_VALUE"""),"MERYCRISLIPIO22@GMAIL.COM")</f>
        <v>MERYCRISLIPIO22@GMAIL.COM</v>
      </c>
      <c r="L1402" s="1" t="str">
        <f>IFERROR(__xludf.DUMMYFUNCTION("""COMPUTED_VALUE"""),"325")</f>
        <v>325</v>
      </c>
      <c r="M1402" s="1" t="str">
        <f>IFERROR(__xludf.DUMMYFUNCTION("""COMPUTED_VALUE"""),"INDANG")</f>
        <v>INDANG</v>
      </c>
      <c r="N1402" s="1"/>
      <c r="O1402" s="1" t="str">
        <f>IFERROR(__xludf.DUMMYFUNCTION("""COMPUTED_VALUE"""),"BANAYAD")</f>
        <v>BANAYAD</v>
      </c>
      <c r="P1402" s="1" t="str">
        <f>IFERROR(__xludf.DUMMYFUNCTION("""COMPUTED_VALUE"""),"MENDEZ")</f>
        <v>MENDEZ</v>
      </c>
      <c r="Q1402" s="1" t="str">
        <f>IFERROR(__xludf.DUMMYFUNCTION("""COMPUTED_VALUE"""),"CAVITE")</f>
        <v>CAVITE</v>
      </c>
      <c r="R1402" s="1" t="str">
        <f>IFERROR(__xludf.DUMMYFUNCTION("""COMPUTED_VALUE"""),"PREPAID FIBER UNLI")</f>
        <v>PREPAID FIBER UNLI</v>
      </c>
      <c r="S1402" s="1" t="str">
        <f>IFERROR(__xludf.DUMMYFUNCTION("""COMPUTED_VALUE"""),"APPROVED")</f>
        <v>APPROVED</v>
      </c>
      <c r="T1402" s="1" t="str">
        <f>IFERROR(__xludf.DUMMYFUNCTION("""COMPUTED_VALUE"""),"CANCELLED")</f>
        <v>CANCELLED</v>
      </c>
      <c r="U1402" s="1"/>
      <c r="V1402" s="1"/>
      <c r="W1402" s="1"/>
    </row>
    <row r="1403" customHeight="1" spans="1:23">
      <c r="A1403" s="3">
        <f>IFERROR(__xludf.DUMMYFUNCTION("""COMPUTED_VALUE"""),46143)</f>
        <v>46143</v>
      </c>
      <c r="B1403" s="1" t="str">
        <f>IFERROR(__xludf.DUMMYFUNCTION("""COMPUTED_VALUE"""),"GABAY, MANUEL")</f>
        <v>GABAY, MANUEL</v>
      </c>
      <c r="C1403" s="1" t="str">
        <f>IFERROR(__xludf.DUMMYFUNCTION("""COMPUTED_VALUE"""),"ORGANIC")</f>
        <v>ORGANIC</v>
      </c>
      <c r="D1403" s="1" t="str">
        <f>IFERROR(__xludf.DUMMYFUNCTION("""COMPUTED_VALUE"""),"JERIC NAVARRO")</f>
        <v>JERIC NAVARRO</v>
      </c>
      <c r="E1403" s="1" t="str">
        <f>IFERROR(__xludf.DUMMYFUNCTION("""COMPUTED_VALUE"""),"PLDT / H2H")</f>
        <v>PLDT / H2H</v>
      </c>
      <c r="F1403" s="1">
        <f>IFERROR(__xludf.DUMMYFUNCTION("""COMPUTED_VALUE"""),2309238210)</f>
        <v>2309238210</v>
      </c>
      <c r="G1403" s="1">
        <f>IFERROR(__xludf.DUMMYFUNCTION("""COMPUTED_VALUE"""),452867790004)</f>
        <v>452867790004</v>
      </c>
      <c r="H1403" s="1" t="str">
        <f>IFERROR(__xludf.DUMMYFUNCTION("""COMPUTED_VALUE"""),"BABYLYN RICAFRANCA BERBO")</f>
        <v>BABYLYN RICAFRANCA BERBO</v>
      </c>
      <c r="I1403" s="1">
        <f>IFERROR(__xludf.DUMMYFUNCTION("""COMPUTED_VALUE"""),9307022438)</f>
        <v>9307022438</v>
      </c>
      <c r="J1403" s="1"/>
      <c r="K1403" s="1" t="str">
        <f>IFERROR(__xludf.DUMMYFUNCTION("""COMPUTED_VALUE"""),"BABYLYNRICAFRANCA2322@GMAIL.COM")</f>
        <v>BABYLYNRICAFRANCA2322@GMAIL.COM</v>
      </c>
      <c r="L1403" s="1" t="str">
        <f>IFERROR(__xludf.DUMMYFUNCTION("""COMPUTED_VALUE"""),"BLK 21 LOT 28")</f>
        <v>BLK 21 LOT 28</v>
      </c>
      <c r="M1403" s="1" t="str">
        <f>IFERROR(__xludf.DUMMYFUNCTION("""COMPUTED_VALUE"""),"VIRATA")</f>
        <v>VIRATA</v>
      </c>
      <c r="N1403" s="1"/>
      <c r="O1403" s="1" t="str">
        <f>IFERROR(__xludf.DUMMYFUNCTION("""COMPUTED_VALUE"""),"NICOLASA VIRATA (SAN JOSE)")</f>
        <v>NICOLASA VIRATA (SAN JOSE)</v>
      </c>
      <c r="P1403" s="1" t="str">
        <f>IFERROR(__xludf.DUMMYFUNCTION("""COMPUTED_VALUE"""),"GEN MARIANO ALVAREZ")</f>
        <v>GEN MARIANO ALVAREZ</v>
      </c>
      <c r="Q1403" s="1" t="str">
        <f>IFERROR(__xludf.DUMMYFUNCTION("""COMPUTED_VALUE"""),"CAVITE")</f>
        <v>CAVITE</v>
      </c>
      <c r="R1403" s="1" t="str">
        <f>IFERROR(__xludf.DUMMYFUNCTION("""COMPUTED_VALUE"""),"FIBR UNLI ALL PLAN 1399")</f>
        <v>FIBR UNLI ALL PLAN 1399</v>
      </c>
      <c r="S1403" s="1" t="str">
        <f>IFERROR(__xludf.DUMMYFUNCTION("""COMPUTED_VALUE"""),"APPROVED")</f>
        <v>APPROVED</v>
      </c>
      <c r="T1403" s="1" t="str">
        <f>IFERROR(__xludf.DUMMYFUNCTION("""COMPUTED_VALUE"""),"CANCELLED")</f>
        <v>CANCELLED</v>
      </c>
      <c r="U1403" s="1"/>
      <c r="V1403" s="1"/>
      <c r="W1403" s="1"/>
    </row>
    <row r="1404" customHeight="1" spans="1:23">
      <c r="A1404" s="3">
        <f>IFERROR(__xludf.DUMMYFUNCTION("""COMPUTED_VALUE"""),46143)</f>
        <v>46143</v>
      </c>
      <c r="B1404" s="1" t="str">
        <f>IFERROR(__xludf.DUMMYFUNCTION("""COMPUTED_VALUE"""),"CASTILLEJOS, ARREL")</f>
        <v>CASTILLEJOS, ARREL</v>
      </c>
      <c r="C1404" s="1" t="str">
        <f>IFERROR(__xludf.DUMMYFUNCTION("""COMPUTED_VALUE"""),"ORGANIC")</f>
        <v>ORGANIC</v>
      </c>
      <c r="D1404" s="1" t="str">
        <f>IFERROR(__xludf.DUMMYFUNCTION("""COMPUTED_VALUE"""),"REMOLLO LEA")</f>
        <v>REMOLLO LEA</v>
      </c>
      <c r="E1404" s="1" t="str">
        <f>IFERROR(__xludf.DUMMYFUNCTION("""COMPUTED_VALUE"""),"PLDT / H2H")</f>
        <v>PLDT / H2H</v>
      </c>
      <c r="F1404" s="1">
        <f>IFERROR(__xludf.DUMMYFUNCTION("""COMPUTED_VALUE"""),2309238622)</f>
        <v>2309238622</v>
      </c>
      <c r="G1404" s="1">
        <f>IFERROR(__xludf.DUMMYFUNCTION("""COMPUTED_VALUE"""),452861648004)</f>
        <v>452861648004</v>
      </c>
      <c r="H1404" s="1" t="str">
        <f>IFERROR(__xludf.DUMMYFUNCTION("""COMPUTED_VALUE"""),"ARRGIE FELIX NAVAL")</f>
        <v>ARRGIE FELIX NAVAL</v>
      </c>
      <c r="I1404" s="1">
        <f>IFERROR(__xludf.DUMMYFUNCTION("""COMPUTED_VALUE"""),9924785674)</f>
        <v>9924785674</v>
      </c>
      <c r="J1404" s="1">
        <f>IFERROR(__xludf.DUMMYFUNCTION("""COMPUTED_VALUE"""),9918989432)</f>
        <v>9918989432</v>
      </c>
      <c r="K1404" s="1" t="str">
        <f>IFERROR(__xludf.DUMMYFUNCTION("""COMPUTED_VALUE"""),"NAVALMATT88@GMAIL.COM")</f>
        <v>NAVALMATT88@GMAIL.COM</v>
      </c>
      <c r="L1404" s="1" t="str">
        <f>IFERROR(__xludf.DUMMYFUNCTION("""COMPUTED_VALUE"""),"BLK 4 AB")</f>
        <v>BLK 4 AB</v>
      </c>
      <c r="M1404" s="1" t="str">
        <f>IFERROR(__xludf.DUMMYFUNCTION("""COMPUTED_VALUE"""),"VIRATA")</f>
        <v>VIRATA</v>
      </c>
      <c r="N1404" s="1"/>
      <c r="O1404" s="1" t="str">
        <f>IFERROR(__xludf.DUMMYFUNCTION("""COMPUTED_VALUE"""),"NICOLASA VIRATA (SAN JOSE)")</f>
        <v>NICOLASA VIRATA (SAN JOSE)</v>
      </c>
      <c r="P1404" s="1" t="str">
        <f>IFERROR(__xludf.DUMMYFUNCTION("""COMPUTED_VALUE"""),"GEN MARIANO ALVAREZ")</f>
        <v>GEN MARIANO ALVAREZ</v>
      </c>
      <c r="Q1404" s="1" t="str">
        <f>IFERROR(__xludf.DUMMYFUNCTION("""COMPUTED_VALUE"""),"CAVITE")</f>
        <v>CAVITE</v>
      </c>
      <c r="R1404" s="1" t="str">
        <f>IFERROR(__xludf.DUMMYFUNCTION("""COMPUTED_VALUE"""),"PREPAID FIBER UNLI")</f>
        <v>PREPAID FIBER UNLI</v>
      </c>
      <c r="S1404" s="1" t="str">
        <f>IFERROR(__xludf.DUMMYFUNCTION("""COMPUTED_VALUE"""),"APPROVED")</f>
        <v>APPROVED</v>
      </c>
      <c r="T1404" s="1" t="str">
        <f>IFERROR(__xludf.DUMMYFUNCTION("""COMPUTED_VALUE"""),"CANCELLED")</f>
        <v>CANCELLED</v>
      </c>
      <c r="U1404" s="1"/>
      <c r="V1404" s="1"/>
      <c r="W1404" s="1"/>
    </row>
    <row r="1405" customHeight="1" spans="1:23">
      <c r="A1405" s="3">
        <f>IFERROR(__xludf.DUMMYFUNCTION("""COMPUTED_VALUE"""),46143)</f>
        <v>46143</v>
      </c>
      <c r="B1405" s="1" t="str">
        <f>IFERROR(__xludf.DUMMYFUNCTION("""COMPUTED_VALUE"""),"FARO, REFRANTA")</f>
        <v>FARO, REFRANTA</v>
      </c>
      <c r="C1405" s="1" t="str">
        <f>IFERROR(__xludf.DUMMYFUNCTION("""COMPUTED_VALUE"""),"ORGANIC")</f>
        <v>ORGANIC</v>
      </c>
      <c r="D1405" s="1" t="str">
        <f>IFERROR(__xludf.DUMMYFUNCTION("""COMPUTED_VALUE"""),"ALINGARO, CINDY")</f>
        <v>ALINGARO, CINDY</v>
      </c>
      <c r="E1405" s="1" t="str">
        <f>IFERROR(__xludf.DUMMYFUNCTION("""COMPUTED_VALUE"""),"PLDT / H2H")</f>
        <v>PLDT / H2H</v>
      </c>
      <c r="F1405" s="1">
        <f>IFERROR(__xludf.DUMMYFUNCTION("""COMPUTED_VALUE"""),2309238909)</f>
        <v>2309238909</v>
      </c>
      <c r="G1405" s="1">
        <f>IFERROR(__xludf.DUMMYFUNCTION("""COMPUTED_VALUE"""),452862524004)</f>
        <v>452862524004</v>
      </c>
      <c r="H1405" s="1" t="str">
        <f>IFERROR(__xludf.DUMMYFUNCTION("""COMPUTED_VALUE"""),"ALYANA PANGILINAN DUNO")</f>
        <v>ALYANA PANGILINAN DUNO</v>
      </c>
      <c r="I1405" s="1">
        <f>IFERROR(__xludf.DUMMYFUNCTION("""COMPUTED_VALUE"""),9571443328)</f>
        <v>9571443328</v>
      </c>
      <c r="J1405" s="1"/>
      <c r="K1405" s="1" t="str">
        <f>IFERROR(__xludf.DUMMYFUNCTION("""COMPUTED_VALUE"""),"DUNOALYANYEN@GMAIL.COM")</f>
        <v>DUNOALYANYEN@GMAIL.COM</v>
      </c>
      <c r="L1405" s="1" t="str">
        <f>IFERROR(__xludf.DUMMYFUNCTION("""COMPUTED_VALUE"""),"BLK 9B LOT 84")</f>
        <v>BLK 9B LOT 84</v>
      </c>
      <c r="M1405" s="1" t="str">
        <f>IFERROR(__xludf.DUMMYFUNCTION("""COMPUTED_VALUE"""),"SAN JOSE")</f>
        <v>SAN JOSE</v>
      </c>
      <c r="N1405" s="1"/>
      <c r="O1405" s="1" t="str">
        <f>IFERROR(__xludf.DUMMYFUNCTION("""COMPUTED_VALUE"""),"SAN JOSE")</f>
        <v>SAN JOSE</v>
      </c>
      <c r="P1405" s="1" t="str">
        <f>IFERROR(__xludf.DUMMYFUNCTION("""COMPUTED_VALUE"""),"GEN MARIANO ALVAREZ")</f>
        <v>GEN MARIANO ALVAREZ</v>
      </c>
      <c r="Q1405" s="1" t="str">
        <f>IFERROR(__xludf.DUMMYFUNCTION("""COMPUTED_VALUE"""),"CAVITE")</f>
        <v>CAVITE</v>
      </c>
      <c r="R1405" s="1" t="str">
        <f>IFERROR(__xludf.DUMMYFUNCTION("""COMPUTED_VALUE"""),"PREPAID FIBER UNLI")</f>
        <v>PREPAID FIBER UNLI</v>
      </c>
      <c r="S1405" s="1" t="str">
        <f>IFERROR(__xludf.DUMMYFUNCTION("""COMPUTED_VALUE"""),"APPROVED")</f>
        <v>APPROVED</v>
      </c>
      <c r="T1405" s="1" t="str">
        <f>IFERROR(__xludf.DUMMYFUNCTION("""COMPUTED_VALUE"""),"CANCELLED")</f>
        <v>CANCELLED</v>
      </c>
      <c r="U1405" s="1"/>
      <c r="V1405" s="1"/>
      <c r="W1405" s="1"/>
    </row>
    <row r="1406" customHeight="1" spans="1:23">
      <c r="A1406" s="3">
        <f>IFERROR(__xludf.DUMMYFUNCTION("""COMPUTED_VALUE"""),46143)</f>
        <v>46143</v>
      </c>
      <c r="B1406" s="1" t="str">
        <f>IFERROR(__xludf.DUMMYFUNCTION("""COMPUTED_VALUE"""),"ADVINCULA, NICOLE")</f>
        <v>ADVINCULA, NICOLE</v>
      </c>
      <c r="C1406" s="1" t="str">
        <f>IFERROR(__xludf.DUMMYFUNCTION("""COMPUTED_VALUE"""),"ORGANIC")</f>
        <v>ORGANIC</v>
      </c>
      <c r="D1406" s="1" t="str">
        <f>IFERROR(__xludf.DUMMYFUNCTION("""COMPUTED_VALUE"""),"ALINGARO, CINDY")</f>
        <v>ALINGARO, CINDY</v>
      </c>
      <c r="E1406" s="1" t="str">
        <f>IFERROR(__xludf.DUMMYFUNCTION("""COMPUTED_VALUE"""),"PLDT / H2H")</f>
        <v>PLDT / H2H</v>
      </c>
      <c r="F1406" s="1">
        <f>IFERROR(__xludf.DUMMYFUNCTION("""COMPUTED_VALUE"""),2309239308)</f>
        <v>2309239308</v>
      </c>
      <c r="G1406" s="1">
        <f>IFERROR(__xludf.DUMMYFUNCTION("""COMPUTED_VALUE"""),452864303004)</f>
        <v>452864303004</v>
      </c>
      <c r="H1406" s="1" t="str">
        <f>IFERROR(__xludf.DUMMYFUNCTION("""COMPUTED_VALUE"""),"LOURDES BLANCO ALEGA ")</f>
        <v>LOURDES BLANCO ALEGA </v>
      </c>
      <c r="I1406" s="1">
        <f>IFERROR(__xludf.DUMMYFUNCTION("""COMPUTED_VALUE"""),9631767585)</f>
        <v>9631767585</v>
      </c>
      <c r="J1406" s="1"/>
      <c r="K1406" s="1" t="str">
        <f>IFERROR(__xludf.DUMMYFUNCTION("""COMPUTED_VALUE"""),"JACKIEALEGA256@GMAIL.COM")</f>
        <v>JACKIEALEGA256@GMAIL.COM</v>
      </c>
      <c r="L1406" s="1" t="str">
        <f>IFERROR(__xludf.DUMMYFUNCTION("""COMPUTED_VALUE"""),"BLK 6 LOT 9")</f>
        <v>BLK 6 LOT 9</v>
      </c>
      <c r="M1406" s="1" t="str">
        <f>IFERROR(__xludf.DUMMYFUNCTION("""COMPUTED_VALUE"""),"LOWER MOONLIGHT")</f>
        <v>LOWER MOONLIGHT</v>
      </c>
      <c r="N1406" s="1"/>
      <c r="O1406" s="1" t="str">
        <f>IFERROR(__xludf.DUMMYFUNCTION("""COMPUTED_VALUE"""),"GREGORIA DE JESUS")</f>
        <v>GREGORIA DE JESUS</v>
      </c>
      <c r="P1406" s="1" t="str">
        <f>IFERROR(__xludf.DUMMYFUNCTION("""COMPUTED_VALUE"""),"GEN MARIANO ALVAREZ")</f>
        <v>GEN MARIANO ALVAREZ</v>
      </c>
      <c r="Q1406" s="1" t="str">
        <f>IFERROR(__xludf.DUMMYFUNCTION("""COMPUTED_VALUE"""),"CAVITE")</f>
        <v>CAVITE</v>
      </c>
      <c r="R1406" s="1" t="str">
        <f>IFERROR(__xludf.DUMMYFUNCTION("""COMPUTED_VALUE"""),"PREPAID FIBER UNLI")</f>
        <v>PREPAID FIBER UNLI</v>
      </c>
      <c r="S1406" s="1" t="str">
        <f>IFERROR(__xludf.DUMMYFUNCTION("""COMPUTED_VALUE"""),"APPROVED")</f>
        <v>APPROVED</v>
      </c>
      <c r="T1406" s="1" t="str">
        <f>IFERROR(__xludf.DUMMYFUNCTION("""COMPUTED_VALUE"""),"CANCELLED")</f>
        <v>CANCELLED</v>
      </c>
      <c r="U1406" s="1"/>
      <c r="V1406" s="1"/>
      <c r="W1406" s="1"/>
    </row>
    <row r="1407" customHeight="1" spans="1:23">
      <c r="A1407" s="3">
        <f>IFERROR(__xludf.DUMMYFUNCTION("""COMPUTED_VALUE"""),46143)</f>
        <v>46143</v>
      </c>
      <c r="B1407" s="1" t="str">
        <f>IFERROR(__xludf.DUMMYFUNCTION("""COMPUTED_VALUE"""),"MAGDARAOG, KENNETH")</f>
        <v>MAGDARAOG, KENNETH</v>
      </c>
      <c r="C1407" s="1" t="str">
        <f>IFERROR(__xludf.DUMMYFUNCTION("""COMPUTED_VALUE"""),"ORGANIC")</f>
        <v>ORGANIC</v>
      </c>
      <c r="D1407" s="1" t="str">
        <f>IFERROR(__xludf.DUMMYFUNCTION("""COMPUTED_VALUE"""),"ALINGARO, CINDY")</f>
        <v>ALINGARO, CINDY</v>
      </c>
      <c r="E1407" s="1" t="str">
        <f>IFERROR(__xludf.DUMMYFUNCTION("""COMPUTED_VALUE"""),"PLDT / H2H")</f>
        <v>PLDT / H2H</v>
      </c>
      <c r="F1407" s="1">
        <f>IFERROR(__xludf.DUMMYFUNCTION("""COMPUTED_VALUE"""),2309240407)</f>
        <v>2309240407</v>
      </c>
      <c r="G1407" s="1">
        <f>IFERROR(__xludf.DUMMYFUNCTION("""COMPUTED_VALUE"""),452870397004)</f>
        <v>452870397004</v>
      </c>
      <c r="H1407" s="1" t="str">
        <f>IFERROR(__xludf.DUMMYFUNCTION("""COMPUTED_VALUE"""),"LOVENY SULGAN RAGO")</f>
        <v>LOVENY SULGAN RAGO</v>
      </c>
      <c r="I1407" s="1">
        <f>IFERROR(__xludf.DUMMYFUNCTION("""COMPUTED_VALUE"""),9266766180)</f>
        <v>9266766180</v>
      </c>
      <c r="J1407" s="1"/>
      <c r="K1407" s="1" t="str">
        <f>IFERROR(__xludf.DUMMYFUNCTION("""COMPUTED_VALUE"""),"LOVENYSULGAN@GMAIL.COM")</f>
        <v>LOVENYSULGAN@GMAIL.COM</v>
      </c>
      <c r="L1407" s="1" t="str">
        <f>IFERROR(__xludf.DUMMYFUNCTION("""COMPUTED_VALUE"""),"50")</f>
        <v>50</v>
      </c>
      <c r="M1407" s="1" t="str">
        <f>IFERROR(__xludf.DUMMYFUNCTION("""COMPUTED_VALUE"""),"MAYSILI")</f>
        <v>MAYSILI</v>
      </c>
      <c r="N1407" s="1"/>
      <c r="O1407" s="1" t="str">
        <f>IFERROR(__xludf.DUMMYFUNCTION("""COMPUTED_VALUE"""),"ASIS III")</f>
        <v>ASIS III</v>
      </c>
      <c r="P1407" s="1" t="str">
        <f>IFERROR(__xludf.DUMMYFUNCTION("""COMPUTED_VALUE"""),"MENDEZ")</f>
        <v>MENDEZ</v>
      </c>
      <c r="Q1407" s="1" t="str">
        <f>IFERROR(__xludf.DUMMYFUNCTION("""COMPUTED_VALUE"""),"CAVITE")</f>
        <v>CAVITE</v>
      </c>
      <c r="R1407" s="1" t="str">
        <f>IFERROR(__xludf.DUMMYFUNCTION("""COMPUTED_VALUE"""),"PREPAID FIBER UNLI")</f>
        <v>PREPAID FIBER UNLI</v>
      </c>
      <c r="S1407" s="1" t="str">
        <f>IFERROR(__xludf.DUMMYFUNCTION("""COMPUTED_VALUE"""),"APPROVED")</f>
        <v>APPROVED</v>
      </c>
      <c r="T1407" s="1" t="str">
        <f>IFERROR(__xludf.DUMMYFUNCTION("""COMPUTED_VALUE"""),"CLOSED")</f>
        <v>CLOSED</v>
      </c>
      <c r="U1407" s="1" t="str">
        <f>IFERROR(__xludf.DUMMYFUNCTION("""COMPUTED_VALUE"""),"POSTED")</f>
        <v>POSTED</v>
      </c>
      <c r="V1407" s="1"/>
      <c r="W1407" s="1"/>
    </row>
    <row r="1408" customHeight="1" spans="1:23">
      <c r="A1408" s="3">
        <f>IFERROR(__xludf.DUMMYFUNCTION("""COMPUTED_VALUE"""),46143)</f>
        <v>46143</v>
      </c>
      <c r="B1408" s="1" t="str">
        <f>IFERROR(__xludf.DUMMYFUNCTION("""COMPUTED_VALUE"""),"DELA ROSA, JENNELYN")</f>
        <v>DELA ROSA, JENNELYN</v>
      </c>
      <c r="C1408" s="1" t="str">
        <f>IFERROR(__xludf.DUMMYFUNCTION("""COMPUTED_VALUE"""),"ORGANIC")</f>
        <v>ORGANIC</v>
      </c>
      <c r="D1408" s="1" t="str">
        <f>IFERROR(__xludf.DUMMYFUNCTION("""COMPUTED_VALUE"""),"ALOS, CHARLS")</f>
        <v>ALOS, CHARLS</v>
      </c>
      <c r="E1408" s="1" t="str">
        <f>IFERROR(__xludf.DUMMYFUNCTION("""COMPUTED_VALUE"""),"PLDT / ONLINE")</f>
        <v>PLDT / ONLINE</v>
      </c>
      <c r="F1408" s="1">
        <f>IFERROR(__xludf.DUMMYFUNCTION("""COMPUTED_VALUE"""),2309240063)</f>
        <v>2309240063</v>
      </c>
      <c r="G1408" s="1">
        <f>IFERROR(__xludf.DUMMYFUNCTION("""COMPUTED_VALUE"""),452868781004)</f>
        <v>452868781004</v>
      </c>
      <c r="H1408" s="1" t="str">
        <f>IFERROR(__xludf.DUMMYFUNCTION("""COMPUTED_VALUE"""),"AMILYN VILANO ANTONIO")</f>
        <v>AMILYN VILANO ANTONIO</v>
      </c>
      <c r="I1408" s="1">
        <f>IFERROR(__xludf.DUMMYFUNCTION("""COMPUTED_VALUE"""),9056707433)</f>
        <v>9056707433</v>
      </c>
      <c r="J1408" s="1"/>
      <c r="K1408" s="1" t="str">
        <f>IFERROR(__xludf.DUMMYFUNCTION("""COMPUTED_VALUE"""),"AMILYNANTONIO_18@YAHOO.COM")</f>
        <v>AMILYNANTONIO_18@YAHOO.COM</v>
      </c>
      <c r="L1408" s="1" t="str">
        <f>IFERROR(__xludf.DUMMYFUNCTION("""COMPUTED_VALUE"""),"BLK 3 LOT 18")</f>
        <v>BLK 3 LOT 18</v>
      </c>
      <c r="M1408" s="1" t="str">
        <f>IFERROR(__xludf.DUMMYFUNCTION("""COMPUTED_VALUE"""),"GREENFORBES")</f>
        <v>GREENFORBES</v>
      </c>
      <c r="N1408" s="1" t="str">
        <f>IFERROR(__xludf.DUMMYFUNCTION("""COMPUTED_VALUE"""),"GREENFORBES")</f>
        <v>GREENFORBES</v>
      </c>
      <c r="O1408" s="1" t="str">
        <f>IFERROR(__xludf.DUMMYFUNCTION("""COMPUTED_VALUE"""),"HUGO PEREZ")</f>
        <v>HUGO PEREZ</v>
      </c>
      <c r="P1408" s="1" t="str">
        <f>IFERROR(__xludf.DUMMYFUNCTION("""COMPUTED_VALUE"""),"TRECE MARTIREZ CITY")</f>
        <v>TRECE MARTIREZ CITY</v>
      </c>
      <c r="Q1408" s="1" t="str">
        <f>IFERROR(__xludf.DUMMYFUNCTION("""COMPUTED_VALUE"""),"CAVITE")</f>
        <v>CAVITE</v>
      </c>
      <c r="R1408" s="1" t="str">
        <f>IFERROR(__xludf.DUMMYFUNCTION("""COMPUTED_VALUE"""),"PREPAID FIBER UNLI")</f>
        <v>PREPAID FIBER UNLI</v>
      </c>
      <c r="S1408" s="1" t="str">
        <f>IFERROR(__xludf.DUMMYFUNCTION("""COMPUTED_VALUE"""),"APPROVED")</f>
        <v>APPROVED</v>
      </c>
      <c r="T1408" s="1" t="str">
        <f>IFERROR(__xludf.DUMMYFUNCTION("""COMPUTED_VALUE"""),"CLOSED")</f>
        <v>CLOSED</v>
      </c>
      <c r="U1408" s="1" t="str">
        <f>IFERROR(__xludf.DUMMYFUNCTION("""COMPUTED_VALUE"""),"POSTED")</f>
        <v>POSTED</v>
      </c>
      <c r="V1408" s="1"/>
      <c r="W1408" s="1"/>
    </row>
    <row r="1409" customHeight="1" spans="1:23">
      <c r="A1409" s="3">
        <f>IFERROR(__xludf.DUMMYFUNCTION("""COMPUTED_VALUE"""),46143)</f>
        <v>46143</v>
      </c>
      <c r="B1409" s="1" t="str">
        <f>IFERROR(__xludf.DUMMYFUNCTION("""COMPUTED_VALUE"""),"MAGDARAOG, KENNETH")</f>
        <v>MAGDARAOG, KENNETH</v>
      </c>
      <c r="C1409" s="1" t="str">
        <f>IFERROR(__xludf.DUMMYFUNCTION("""COMPUTED_VALUE"""),"ORGANIC")</f>
        <v>ORGANIC</v>
      </c>
      <c r="D1409" s="1" t="str">
        <f>IFERROR(__xludf.DUMMYFUNCTION("""COMPUTED_VALUE"""),"ALINGARO, CINDY")</f>
        <v>ALINGARO, CINDY</v>
      </c>
      <c r="E1409" s="1" t="str">
        <f>IFERROR(__xludf.DUMMYFUNCTION("""COMPUTED_VALUE"""),"PLDT / H2H")</f>
        <v>PLDT / H2H</v>
      </c>
      <c r="F1409" s="1">
        <f>IFERROR(__xludf.DUMMYFUNCTION("""COMPUTED_VALUE"""),2309240669)</f>
        <v>2309240669</v>
      </c>
      <c r="G1409" s="1">
        <f>IFERROR(__xludf.DUMMYFUNCTION("""COMPUTED_VALUE"""),452870791004)</f>
        <v>452870791004</v>
      </c>
      <c r="H1409" s="1" t="str">
        <f>IFERROR(__xludf.DUMMYFUNCTION("""COMPUTED_VALUE"""),"CINDILY PASCUAL ALINGARO")</f>
        <v>CINDILY PASCUAL ALINGARO</v>
      </c>
      <c r="I1409" s="1">
        <f>IFERROR(__xludf.DUMMYFUNCTION("""COMPUTED_VALUE"""),9912070855)</f>
        <v>9912070855</v>
      </c>
      <c r="J1409" s="1">
        <f>IFERROR(__xludf.DUMMYFUNCTION("""COMPUTED_VALUE"""),9912070819)</f>
        <v>9912070819</v>
      </c>
      <c r="K1409" s="1" t="str">
        <f>IFERROR(__xludf.DUMMYFUNCTION("""COMPUTED_VALUE"""),"PASCUALCINDILY10@GMAIL.COM")</f>
        <v>PASCUALCINDILY10@GMAIL.COM</v>
      </c>
      <c r="L1409" s="1" t="str">
        <f>IFERROR(__xludf.DUMMYFUNCTION("""COMPUTED_VALUE"""),"BLK 3 LOT 6")</f>
        <v>BLK 3 LOT 6</v>
      </c>
      <c r="M1409" s="1" t="str">
        <f>IFERROR(__xludf.DUMMYFUNCTION("""COMPUTED_VALUE"""),"GRANADOS")</f>
        <v>GRANADOS</v>
      </c>
      <c r="N1409" s="1"/>
      <c r="O1409" s="1" t="str">
        <f>IFERROR(__xludf.DUMMYFUNCTION("""COMPUTED_VALUE"""),"PANTALEON GRANADOS (AREA G)")</f>
        <v>PANTALEON GRANADOS (AREA G)</v>
      </c>
      <c r="P1409" s="1" t="str">
        <f>IFERROR(__xludf.DUMMYFUNCTION("""COMPUTED_VALUE"""),"GEN MARIANO ALVAREZ")</f>
        <v>GEN MARIANO ALVAREZ</v>
      </c>
      <c r="Q1409" s="1" t="str">
        <f>IFERROR(__xludf.DUMMYFUNCTION("""COMPUTED_VALUE"""),"CAVITE")</f>
        <v>CAVITE</v>
      </c>
      <c r="R1409" s="1" t="str">
        <f>IFERROR(__xludf.DUMMYFUNCTION("""COMPUTED_VALUE"""),"PREPAID FIBER UNLI")</f>
        <v>PREPAID FIBER UNLI</v>
      </c>
      <c r="S1409" s="1" t="str">
        <f>IFERROR(__xludf.DUMMYFUNCTION("""COMPUTED_VALUE"""),"APPROVED")</f>
        <v>APPROVED</v>
      </c>
      <c r="T1409" s="1" t="str">
        <f>IFERROR(__xludf.DUMMYFUNCTION("""COMPUTED_VALUE"""),"CLOSED")</f>
        <v>CLOSED</v>
      </c>
      <c r="U1409" s="1" t="str">
        <f>IFERROR(__xludf.DUMMYFUNCTION("""COMPUTED_VALUE"""),"POSTED")</f>
        <v>POSTED</v>
      </c>
      <c r="V1409" s="1"/>
      <c r="W1409" s="1"/>
    </row>
    <row r="1410" customHeight="1" spans="1:23">
      <c r="A1410" s="3">
        <f>IFERROR(__xludf.DUMMYFUNCTION("""COMPUTED_VALUE"""),46143)</f>
        <v>46143</v>
      </c>
      <c r="B1410" s="1" t="str">
        <f>IFERROR(__xludf.DUMMYFUNCTION("""COMPUTED_VALUE"""),"FARO, REFRANTA")</f>
        <v>FARO, REFRANTA</v>
      </c>
      <c r="C1410" s="1" t="str">
        <f>IFERROR(__xludf.DUMMYFUNCTION("""COMPUTED_VALUE"""),"ORGANIC")</f>
        <v>ORGANIC</v>
      </c>
      <c r="D1410" s="1" t="str">
        <f>IFERROR(__xludf.DUMMYFUNCTION("""COMPUTED_VALUE"""),"ALINGARO, CINDY")</f>
        <v>ALINGARO, CINDY</v>
      </c>
      <c r="E1410" s="1" t="str">
        <f>IFERROR(__xludf.DUMMYFUNCTION("""COMPUTED_VALUE"""),"PLDT / H2H")</f>
        <v>PLDT / H2H</v>
      </c>
      <c r="F1410" s="1">
        <f>IFERROR(__xludf.DUMMYFUNCTION("""COMPUTED_VALUE"""),2309240875)</f>
        <v>2309240875</v>
      </c>
      <c r="G1410" s="1">
        <f>IFERROR(__xludf.DUMMYFUNCTION("""COMPUTED_VALUE"""),452871340004)</f>
        <v>452871340004</v>
      </c>
      <c r="H1410" s="1" t="str">
        <f>IFERROR(__xludf.DUMMYFUNCTION("""COMPUTED_VALUE"""),"MARY ANN CALACAR TAC-AN")</f>
        <v>MARY ANN CALACAR TAC-AN</v>
      </c>
      <c r="I1410" s="1">
        <f>IFERROR(__xludf.DUMMYFUNCTION("""COMPUTED_VALUE"""),9391499007)</f>
        <v>9391499007</v>
      </c>
      <c r="J1410" s="1"/>
      <c r="K1410" s="1" t="str">
        <f>IFERROR(__xludf.DUMMYFUNCTION("""COMPUTED_VALUE"""),"SHARMAINESAGUING@GMAIL.COM")</f>
        <v>SHARMAINESAGUING@GMAIL.COM</v>
      </c>
      <c r="L1410" s="1" t="str">
        <f>IFERROR(__xludf.DUMMYFUNCTION("""COMPUTED_VALUE"""),"BLK 19 LOT 16")</f>
        <v>BLK 19 LOT 16</v>
      </c>
      <c r="M1410" s="1" t="str">
        <f>IFERROR(__xludf.DUMMYFUNCTION("""COMPUTED_VALUE"""),"AFP ")</f>
        <v>AFP </v>
      </c>
      <c r="N1410" s="1"/>
      <c r="O1410" s="1" t="str">
        <f>IFERROR(__xludf.DUMMYFUNCTION("""COMPUTED_VALUE"""),"BULIHAN")</f>
        <v>BULIHAN</v>
      </c>
      <c r="P1410" s="1" t="str">
        <f>IFERROR(__xludf.DUMMYFUNCTION("""COMPUTED_VALUE"""),"SILANG")</f>
        <v>SILANG</v>
      </c>
      <c r="Q1410" s="1" t="str">
        <f>IFERROR(__xludf.DUMMYFUNCTION("""COMPUTED_VALUE"""),"CAVITE")</f>
        <v>CAVITE</v>
      </c>
      <c r="R1410" s="1" t="str">
        <f>IFERROR(__xludf.DUMMYFUNCTION("""COMPUTED_VALUE"""),"FIBR PLAN 1299")</f>
        <v>FIBR PLAN 1299</v>
      </c>
      <c r="S1410" s="1" t="str">
        <f>IFERROR(__xludf.DUMMYFUNCTION("""COMPUTED_VALUE"""),"APPROVED")</f>
        <v>APPROVED</v>
      </c>
      <c r="T1410" s="1" t="str">
        <f>IFERROR(__xludf.DUMMYFUNCTION("""COMPUTED_VALUE"""),"CLOSED")</f>
        <v>CLOSED</v>
      </c>
      <c r="U1410" s="1" t="str">
        <f>IFERROR(__xludf.DUMMYFUNCTION("""COMPUTED_VALUE"""),"POSTED")</f>
        <v>POSTED</v>
      </c>
      <c r="V1410" s="1"/>
      <c r="W1410" s="1"/>
    </row>
    <row r="1411" customHeight="1" spans="1:23">
      <c r="A1411" s="3">
        <f>IFERROR(__xludf.DUMMYFUNCTION("""COMPUTED_VALUE"""),46143)</f>
        <v>46143</v>
      </c>
      <c r="B1411" s="1" t="str">
        <f>IFERROR(__xludf.DUMMYFUNCTION("""COMPUTED_VALUE"""),"ESCARCHA, MA ALMA  ESCOTO")</f>
        <v>ESCARCHA, MA ALMA  ESCOTO</v>
      </c>
      <c r="C1411" s="1" t="str">
        <f>IFERROR(__xludf.DUMMYFUNCTION("""COMPUTED_VALUE"""),"ORGANIC")</f>
        <v>ORGANIC</v>
      </c>
      <c r="D1411" s="1" t="str">
        <f>IFERROR(__xludf.DUMMYFUNCTION("""COMPUTED_VALUE"""),"ALINGARO, CINDY")</f>
        <v>ALINGARO, CINDY</v>
      </c>
      <c r="E1411" s="1" t="str">
        <f>IFERROR(__xludf.DUMMYFUNCTION("""COMPUTED_VALUE"""),"PLDT / ONLINE")</f>
        <v>PLDT / ONLINE</v>
      </c>
      <c r="F1411" s="1">
        <f>IFERROR(__xludf.DUMMYFUNCTION("""COMPUTED_VALUE"""),2309253695)</f>
        <v>2309253695</v>
      </c>
      <c r="G1411" s="1"/>
      <c r="H1411" s="1" t="str">
        <f>IFERROR(__xludf.DUMMYFUNCTION("""COMPUTED_VALUE"""),"MARK IAN BAYHON SARTIEL")</f>
        <v>MARK IAN BAYHON SARTIEL</v>
      </c>
      <c r="I1411" s="1">
        <f>IFERROR(__xludf.DUMMYFUNCTION("""COMPUTED_VALUE"""),9156644448)</f>
        <v>9156644448</v>
      </c>
      <c r="J1411" s="1">
        <f>IFERROR(__xludf.DUMMYFUNCTION("""COMPUTED_VALUE"""),9660889530)</f>
        <v>9660889530</v>
      </c>
      <c r="K1411" s="1" t="str">
        <f>IFERROR(__xludf.DUMMYFUNCTION("""COMPUTED_VALUE"""),"MARKIANSARTIEL@GMAIL.COM")</f>
        <v>MARKIANSARTIEL@GMAIL.COM</v>
      </c>
      <c r="L1411" s="1" t="str">
        <f>IFERROR(__xludf.DUMMYFUNCTION("""COMPUTED_VALUE"""),"140")</f>
        <v>140</v>
      </c>
      <c r="M1411" s="1" t="str">
        <f>IFERROR(__xludf.DUMMYFUNCTION("""COMPUTED_VALUE"""),"BUNGAHAN")</f>
        <v>BUNGAHAN</v>
      </c>
      <c r="N1411" s="1"/>
      <c r="O1411" s="1" t="str">
        <f>IFERROR(__xludf.DUMMYFUNCTION("""COMPUTED_VALUE"""),"BARANGAY")</f>
        <v>BARANGAY</v>
      </c>
      <c r="P1411" s="1" t="str">
        <f>IFERROR(__xludf.DUMMYFUNCTION("""COMPUTED_VALUE"""),"LAGUNA")</f>
        <v>LAGUNA</v>
      </c>
      <c r="Q1411" s="1" t="str">
        <f>IFERROR(__xludf.DUMMYFUNCTION("""COMPUTED_VALUE"""),"LAGUNA")</f>
        <v>LAGUNA</v>
      </c>
      <c r="R1411" s="1" t="str">
        <f>IFERROR(__xludf.DUMMYFUNCTION("""COMPUTED_VALUE"""),"PREPAID FIBER UNLI")</f>
        <v>PREPAID FIBER UNLI</v>
      </c>
      <c r="S1411" s="1" t="str">
        <f>IFERROR(__xludf.DUMMYFUNCTION("""COMPUTED_VALUE"""),"APPROVED")</f>
        <v>APPROVED</v>
      </c>
      <c r="T1411" s="1" t="str">
        <f>IFERROR(__xludf.DUMMYFUNCTION("""COMPUTED_VALUE"""),"#N/A")</f>
        <v>#N/A</v>
      </c>
      <c r="U1411" s="1"/>
      <c r="V1411" s="1"/>
      <c r="W1411" s="1"/>
    </row>
    <row r="1412" customHeight="1" spans="1:23">
      <c r="A1412" s="3">
        <f>IFERROR(__xludf.DUMMYFUNCTION("""COMPUTED_VALUE"""),46143)</f>
        <v>46143</v>
      </c>
      <c r="B1412" s="1" t="str">
        <f>IFERROR(__xludf.DUMMYFUNCTION("""COMPUTED_VALUE"""),"CABRERA JILLIENE")</f>
        <v>CABRERA JILLIENE</v>
      </c>
      <c r="C1412" s="1" t="str">
        <f>IFERROR(__xludf.DUMMYFUNCTION("""COMPUTED_VALUE"""),"ORGANIC")</f>
        <v>ORGANIC</v>
      </c>
      <c r="D1412" s="1" t="str">
        <f>IFERROR(__xludf.DUMMYFUNCTION("""COMPUTED_VALUE"""),"ALOS, CHARLS")</f>
        <v>ALOS, CHARLS</v>
      </c>
      <c r="E1412" s="1" t="str">
        <f>IFERROR(__xludf.DUMMYFUNCTION("""COMPUTED_VALUE"""),"RED FIBER")</f>
        <v>RED FIBER</v>
      </c>
      <c r="F1412" s="1"/>
      <c r="G1412" s="1"/>
      <c r="H1412" s="1" t="str">
        <f>IFERROR(__xludf.DUMMYFUNCTION("""COMPUTED_VALUE"""),"PERLITA BERNABE DELA CRUZ")</f>
        <v>PERLITA BERNABE DELA CRUZ</v>
      </c>
      <c r="I1412" s="1">
        <f>IFERROR(__xludf.DUMMYFUNCTION("""COMPUTED_VALUE"""),9703270190)</f>
        <v>9703270190</v>
      </c>
      <c r="J1412" s="1"/>
      <c r="K1412" s="1" t="str">
        <f>IFERROR(__xludf.DUMMYFUNCTION("""COMPUTED_VALUE"""),"DELACRUZPEARL410@GMAIL.COM")</f>
        <v>DELACRUZPEARL410@GMAIL.COM</v>
      </c>
      <c r="L1412" s="1" t="str">
        <f>IFERROR(__xludf.DUMMYFUNCTION("""COMPUTED_VALUE"""),"116")</f>
        <v>116</v>
      </c>
      <c r="M1412" s="1" t="str">
        <f>IFERROR(__xludf.DUMMYFUNCTION("""COMPUTED_VALUE"""),"PUROK 4")</f>
        <v>PUROK 4</v>
      </c>
      <c r="N1412" s="1"/>
      <c r="O1412" s="1" t="str">
        <f>IFERROR(__xludf.DUMMYFUNCTION("""COMPUTED_VALUE"""),"LANGKAAN I")</f>
        <v>LANGKAAN I</v>
      </c>
      <c r="P1412" s="1" t="str">
        <f>IFERROR(__xludf.DUMMYFUNCTION("""COMPUTED_VALUE"""),"DASMARINAS")</f>
        <v>DASMARINAS</v>
      </c>
      <c r="Q1412" s="1" t="str">
        <f>IFERROR(__xludf.DUMMYFUNCTION("""COMPUTED_VALUE"""),"CAVITE")</f>
        <v>CAVITE</v>
      </c>
      <c r="R1412" s="1" t="str">
        <f>IFERROR(__xludf.DUMMYFUNCTION("""COMPUTED_VALUE"""),"RED PLAN 1000")</f>
        <v>RED PLAN 1000</v>
      </c>
      <c r="S1412" s="1" t="str">
        <f>IFERROR(__xludf.DUMMYFUNCTION("""COMPUTED_VALUE"""),"APPROVED")</f>
        <v>APPROVED</v>
      </c>
      <c r="T1412" s="1" t="str">
        <f>IFERROR(__xludf.DUMMYFUNCTION("""COMPUTED_VALUE"""),"#N/A")</f>
        <v>#N/A</v>
      </c>
      <c r="U1412" s="1"/>
      <c r="V1412" s="1"/>
      <c r="W1412" s="1"/>
    </row>
    <row r="1413" customHeight="1" spans="1:23">
      <c r="A1413" s="3">
        <f>IFERROR(__xludf.DUMMYFUNCTION("""COMPUTED_VALUE"""),46143)</f>
        <v>46143</v>
      </c>
      <c r="B1413" s="1" t="str">
        <f>IFERROR(__xludf.DUMMYFUNCTION("""COMPUTED_VALUE"""),"AGUNOS, JHON AIRVIN")</f>
        <v>AGUNOS, JHON AIRVIN</v>
      </c>
      <c r="C1413" s="1" t="str">
        <f>IFERROR(__xludf.DUMMYFUNCTION("""COMPUTED_VALUE"""),"ORGANIC")</f>
        <v>ORGANIC</v>
      </c>
      <c r="D1413" s="1" t="str">
        <f>IFERROR(__xludf.DUMMYFUNCTION("""COMPUTED_VALUE"""),"ALINGARO, CINDY")</f>
        <v>ALINGARO, CINDY</v>
      </c>
      <c r="E1413" s="1" t="str">
        <f>IFERROR(__xludf.DUMMYFUNCTION("""COMPUTED_VALUE"""),"PLDT / ONLINE")</f>
        <v>PLDT / ONLINE</v>
      </c>
      <c r="F1413" s="1">
        <f>IFERROR(__xludf.DUMMYFUNCTION("""COMPUTED_VALUE"""),2309241307)</f>
        <v>2309241307</v>
      </c>
      <c r="G1413" s="1">
        <f>IFERROR(__xludf.DUMMYFUNCTION("""COMPUTED_VALUE"""),452871531004)</f>
        <v>452871531004</v>
      </c>
      <c r="H1413" s="1" t="str">
        <f>IFERROR(__xludf.DUMMYFUNCTION("""COMPUTED_VALUE"""),"REYNALDO ARADA REYES")</f>
        <v>REYNALDO ARADA REYES</v>
      </c>
      <c r="I1413" s="1">
        <f>IFERROR(__xludf.DUMMYFUNCTION("""COMPUTED_VALUE"""),9978632920)</f>
        <v>9978632920</v>
      </c>
      <c r="J1413" s="1"/>
      <c r="K1413" s="1" t="str">
        <f>IFERROR(__xludf.DUMMYFUNCTION("""COMPUTED_VALUE"""),"JOHNDREI.REYES@GMAIL.COM")</f>
        <v>JOHNDREI.REYES@GMAIL.COM</v>
      </c>
      <c r="L1413" s="1" t="str">
        <f>IFERROR(__xludf.DUMMYFUNCTION("""COMPUTED_VALUE"""),"84")</f>
        <v>84</v>
      </c>
      <c r="M1413" s="1" t="str">
        <f>IFERROR(__xludf.DUMMYFUNCTION("""COMPUTED_VALUE"""),"HUMAYAO")</f>
        <v>HUMAYAO</v>
      </c>
      <c r="N1413" s="1" t="str">
        <f>IFERROR(__xludf.DUMMYFUNCTION("""COMPUTED_VALUE"""),"MAYMAY APARTMENT")</f>
        <v>MAYMAY APARTMENT</v>
      </c>
      <c r="O1413" s="1" t="str">
        <f>IFERROR(__xludf.DUMMYFUNCTION("""COMPUTED_VALUE"""),"LANGKAAN II")</f>
        <v>LANGKAAN II</v>
      </c>
      <c r="P1413" s="1" t="str">
        <f>IFERROR(__xludf.DUMMYFUNCTION("""COMPUTED_VALUE"""),"DASMARINAS")</f>
        <v>DASMARINAS</v>
      </c>
      <c r="Q1413" s="1" t="str">
        <f>IFERROR(__xludf.DUMMYFUNCTION("""COMPUTED_VALUE"""),"CAVITE")</f>
        <v>CAVITE</v>
      </c>
      <c r="R1413" s="1" t="str">
        <f>IFERROR(__xludf.DUMMYFUNCTION("""COMPUTED_VALUE"""),"PREPAID FIBER UNLI")</f>
        <v>PREPAID FIBER UNLI</v>
      </c>
      <c r="S1413" s="1" t="str">
        <f>IFERROR(__xludf.DUMMYFUNCTION("""COMPUTED_VALUE"""),"APPROVED")</f>
        <v>APPROVED</v>
      </c>
      <c r="T1413" s="1" t="str">
        <f>IFERROR(__xludf.DUMMYFUNCTION("""COMPUTED_VALUE"""),"CLOSED")</f>
        <v>CLOSED</v>
      </c>
      <c r="U1413" s="1" t="str">
        <f>IFERROR(__xludf.DUMMYFUNCTION("""COMPUTED_VALUE"""),"POSTED")</f>
        <v>POSTED</v>
      </c>
      <c r="V1413" s="1"/>
      <c r="W1413" s="1"/>
    </row>
    <row r="1414" customHeight="1" spans="1:23">
      <c r="A1414" s="3">
        <f>IFERROR(__xludf.DUMMYFUNCTION("""COMPUTED_VALUE"""),46143)</f>
        <v>46143</v>
      </c>
      <c r="B1414" s="1" t="str">
        <f>IFERROR(__xludf.DUMMYFUNCTION("""COMPUTED_VALUE"""),"REMOLLO, LEA")</f>
        <v>REMOLLO, LEA</v>
      </c>
      <c r="C1414" s="1" t="str">
        <f>IFERROR(__xludf.DUMMYFUNCTION("""COMPUTED_VALUE"""),"FLA")</f>
        <v>FLA</v>
      </c>
      <c r="D1414" s="1" t="str">
        <f>IFERROR(__xludf.DUMMYFUNCTION("""COMPUTED_VALUE"""),"JERIC NAVARRO")</f>
        <v>JERIC NAVARRO</v>
      </c>
      <c r="E1414" s="1" t="str">
        <f>IFERROR(__xludf.DUMMYFUNCTION("""COMPUTED_VALUE"""),"PLDT / H2H")</f>
        <v>PLDT / H2H</v>
      </c>
      <c r="F1414" s="1">
        <f>IFERROR(__xludf.DUMMYFUNCTION("""COMPUTED_VALUE"""),2309241559)</f>
        <v>2309241559</v>
      </c>
      <c r="G1414" s="1">
        <f>IFERROR(__xludf.DUMMYFUNCTION("""COMPUTED_VALUE"""),452872184004)</f>
        <v>452872184004</v>
      </c>
      <c r="H1414" s="1" t="str">
        <f>IFERROR(__xludf.DUMMYFUNCTION("""COMPUTED_VALUE"""),"REMALYN GUINED ABDUL")</f>
        <v>REMALYN GUINED ABDUL</v>
      </c>
      <c r="I1414" s="1">
        <f>IFERROR(__xludf.DUMMYFUNCTION("""COMPUTED_VALUE"""),9814546087)</f>
        <v>9814546087</v>
      </c>
      <c r="J1414" s="1"/>
      <c r="K1414" s="1" t="str">
        <f>IFERROR(__xludf.DUMMYFUNCTION("""COMPUTED_VALUE"""),"GUINEDREMALYN@GMAIL.COM")</f>
        <v>GUINEDREMALYN@GMAIL.COM</v>
      </c>
      <c r="L1414" s="1" t="str">
        <f>IFERROR(__xludf.DUMMYFUNCTION("""COMPUTED_VALUE"""),"9068")</f>
        <v>9068</v>
      </c>
      <c r="M1414" s="1" t="str">
        <f>IFERROR(__xludf.DUMMYFUNCTION("""COMPUTED_VALUE"""),"LUCSUHIN")</f>
        <v>LUCSUHIN</v>
      </c>
      <c r="N1414" s="1"/>
      <c r="O1414" s="1" t="str">
        <f>IFERROR(__xludf.DUMMYFUNCTION("""COMPUTED_VALUE"""),"LUCSUHIN")</f>
        <v>LUCSUHIN</v>
      </c>
      <c r="P1414" s="1" t="str">
        <f>IFERROR(__xludf.DUMMYFUNCTION("""COMPUTED_VALUE"""),"SILANG")</f>
        <v>SILANG</v>
      </c>
      <c r="Q1414" s="1" t="str">
        <f>IFERROR(__xludf.DUMMYFUNCTION("""COMPUTED_VALUE"""),"CAVITE")</f>
        <v>CAVITE</v>
      </c>
      <c r="R1414" s="1" t="str">
        <f>IFERROR(__xludf.DUMMYFUNCTION("""COMPUTED_VALUE"""),"PREPAID FIBER UNLI")</f>
        <v>PREPAID FIBER UNLI</v>
      </c>
      <c r="S1414" s="1" t="str">
        <f>IFERROR(__xludf.DUMMYFUNCTION("""COMPUTED_VALUE"""),"APPROVED")</f>
        <v>APPROVED</v>
      </c>
      <c r="T1414" s="1" t="str">
        <f>IFERROR(__xludf.DUMMYFUNCTION("""COMPUTED_VALUE"""),"CLOSED")</f>
        <v>CLOSED</v>
      </c>
      <c r="U1414" s="1" t="str">
        <f>IFERROR(__xludf.DUMMYFUNCTION("""COMPUTED_VALUE"""),"POSTED")</f>
        <v>POSTED</v>
      </c>
      <c r="V1414" s="1"/>
      <c r="W1414" s="1"/>
    </row>
    <row r="1415" customHeight="1" spans="1:23">
      <c r="A1415" s="3">
        <f>IFERROR(__xludf.DUMMYFUNCTION("""COMPUTED_VALUE"""),46143)</f>
        <v>46143</v>
      </c>
      <c r="B1415" s="1" t="str">
        <f>IFERROR(__xludf.DUMMYFUNCTION("""COMPUTED_VALUE"""),"MALIWAT MARK ELVIN")</f>
        <v>MALIWAT MARK ELVIN</v>
      </c>
      <c r="C1415" s="1" t="str">
        <f>IFERROR(__xludf.DUMMYFUNCTION("""COMPUTED_VALUE"""),"FLA")</f>
        <v>FLA</v>
      </c>
      <c r="D1415" s="1" t="str">
        <f>IFERROR(__xludf.DUMMYFUNCTION("""COMPUTED_VALUE"""),"JERIC NAVARRO")</f>
        <v>JERIC NAVARRO</v>
      </c>
      <c r="E1415" s="1" t="str">
        <f>IFERROR(__xludf.DUMMYFUNCTION("""COMPUTED_VALUE"""),"PLDT / H2H")</f>
        <v>PLDT / H2H</v>
      </c>
      <c r="F1415" s="1">
        <f>IFERROR(__xludf.DUMMYFUNCTION("""COMPUTED_VALUE"""),2309243224)</f>
        <v>2309243224</v>
      </c>
      <c r="G1415" s="1">
        <f>IFERROR(__xludf.DUMMYFUNCTION("""COMPUTED_VALUE"""),452886163004)</f>
        <v>452886163004</v>
      </c>
      <c r="H1415" s="1" t="str">
        <f>IFERROR(__xludf.DUMMYFUNCTION("""COMPUTED_VALUE"""),"MARLO ANINO SARONA")</f>
        <v>MARLO ANINO SARONA</v>
      </c>
      <c r="I1415" s="1">
        <f>IFERROR(__xludf.DUMMYFUNCTION("""COMPUTED_VALUE"""),9531735335)</f>
        <v>9531735335</v>
      </c>
      <c r="J1415" s="1">
        <f>IFERROR(__xludf.DUMMYFUNCTION("""COMPUTED_VALUE"""),9291244753)</f>
        <v>9291244753</v>
      </c>
      <c r="K1415" s="1" t="str">
        <f>IFERROR(__xludf.DUMMYFUNCTION("""COMPUTED_VALUE"""),"SARONAMARLO26@GMAIL.COM")</f>
        <v>SARONAMARLO26@GMAIL.COM</v>
      </c>
      <c r="L1415" s="1" t="str">
        <f>IFERROR(__xludf.DUMMYFUNCTION("""COMPUTED_VALUE"""),"1")</f>
        <v>1</v>
      </c>
      <c r="M1415" s="1" t="str">
        <f>IFERROR(__xludf.DUMMYFUNCTION("""COMPUTED_VALUE"""),"LUKSUHIN")</f>
        <v>LUKSUHIN</v>
      </c>
      <c r="N1415" s="1"/>
      <c r="O1415" s="1" t="str">
        <f>IFERROR(__xludf.DUMMYFUNCTION("""COMPUTED_VALUE"""),"LUCSUHIN")</f>
        <v>LUCSUHIN</v>
      </c>
      <c r="P1415" s="1" t="str">
        <f>IFERROR(__xludf.DUMMYFUNCTION("""COMPUTED_VALUE"""),"ALFONSO")</f>
        <v>ALFONSO</v>
      </c>
      <c r="Q1415" s="1" t="str">
        <f>IFERROR(__xludf.DUMMYFUNCTION("""COMPUTED_VALUE"""),"CAVITE")</f>
        <v>CAVITE</v>
      </c>
      <c r="R1415" s="1" t="str">
        <f>IFERROR(__xludf.DUMMYFUNCTION("""COMPUTED_VALUE"""),"FIBR PLAN 1299")</f>
        <v>FIBR PLAN 1299</v>
      </c>
      <c r="S1415" s="1" t="str">
        <f>IFERROR(__xludf.DUMMYFUNCTION("""COMPUTED_VALUE"""),"APPROVED")</f>
        <v>APPROVED</v>
      </c>
      <c r="T1415" s="1" t="str">
        <f>IFERROR(__xludf.DUMMYFUNCTION("""COMPUTED_VALUE"""),"CANCELLED")</f>
        <v>CANCELLED</v>
      </c>
      <c r="U1415" s="1"/>
      <c r="V1415" s="1"/>
      <c r="W1415" s="1"/>
    </row>
    <row r="1416" customHeight="1" spans="1:23">
      <c r="A1416" s="3">
        <f>IFERROR(__xludf.DUMMYFUNCTION("""COMPUTED_VALUE"""),46143)</f>
        <v>46143</v>
      </c>
      <c r="B1416" s="1" t="str">
        <f>IFERROR(__xludf.DUMMYFUNCTION("""COMPUTED_VALUE"""),"AGUNOS, JHON AIRVIN")</f>
        <v>AGUNOS, JHON AIRVIN</v>
      </c>
      <c r="C1416" s="1" t="str">
        <f>IFERROR(__xludf.DUMMYFUNCTION("""COMPUTED_VALUE"""),"ORGANIC")</f>
        <v>ORGANIC</v>
      </c>
      <c r="D1416" s="1" t="str">
        <f>IFERROR(__xludf.DUMMYFUNCTION("""COMPUTED_VALUE"""),"ALINGARO, CINDY")</f>
        <v>ALINGARO, CINDY</v>
      </c>
      <c r="E1416" s="1" t="str">
        <f>IFERROR(__xludf.DUMMYFUNCTION("""COMPUTED_VALUE"""),"PLDT / H2H")</f>
        <v>PLDT / H2H</v>
      </c>
      <c r="F1416" s="1">
        <f>IFERROR(__xludf.DUMMYFUNCTION("""COMPUTED_VALUE"""),2309241766)</f>
        <v>2309241766</v>
      </c>
      <c r="G1416" s="1">
        <f>IFERROR(__xludf.DUMMYFUNCTION("""COMPUTED_VALUE"""),452873436004)</f>
        <v>452873436004</v>
      </c>
      <c r="H1416" s="1" t="str">
        <f>IFERROR(__xludf.DUMMYFUNCTION("""COMPUTED_VALUE"""),"HYJECK TOLEJANO BACONG")</f>
        <v>HYJECK TOLEJANO BACONG</v>
      </c>
      <c r="I1416" s="1">
        <f>IFERROR(__xludf.DUMMYFUNCTION("""COMPUTED_VALUE"""),9106522226)</f>
        <v>9106522226</v>
      </c>
      <c r="J1416" s="1"/>
      <c r="K1416" s="1" t="str">
        <f>IFERROR(__xludf.DUMMYFUNCTION("""COMPUTED_VALUE"""),"ADVINCULAAIMRIEL@GMAIL.COM")</f>
        <v>ADVINCULAAIMRIEL@GMAIL.COM</v>
      </c>
      <c r="L1416" s="1" t="str">
        <f>IFERROR(__xludf.DUMMYFUNCTION("""COMPUTED_VALUE"""),"BLK 9B OT 20")</f>
        <v>BLK 9B OT 20</v>
      </c>
      <c r="M1416" s="1" t="str">
        <f>IFERROR(__xludf.DUMMYFUNCTION("""COMPUTED_VALUE"""),"SAN JOSE")</f>
        <v>SAN JOSE</v>
      </c>
      <c r="N1416" s="1"/>
      <c r="O1416" s="1" t="str">
        <f>IFERROR(__xludf.DUMMYFUNCTION("""COMPUTED_VALUE"""),"SAN JOSE")</f>
        <v>SAN JOSE</v>
      </c>
      <c r="P1416" s="1" t="str">
        <f>IFERROR(__xludf.DUMMYFUNCTION("""COMPUTED_VALUE"""),"GEN MARIANO ALVAREZ")</f>
        <v>GEN MARIANO ALVAREZ</v>
      </c>
      <c r="Q1416" s="1" t="str">
        <f>IFERROR(__xludf.DUMMYFUNCTION("""COMPUTED_VALUE"""),"CAVITE")</f>
        <v>CAVITE</v>
      </c>
      <c r="R1416" s="1" t="str">
        <f>IFERROR(__xludf.DUMMYFUNCTION("""COMPUTED_VALUE"""),"PREPAID FIBER UNLI")</f>
        <v>PREPAID FIBER UNLI</v>
      </c>
      <c r="S1416" s="1" t="str">
        <f>IFERROR(__xludf.DUMMYFUNCTION("""COMPUTED_VALUE"""),"APPROVED")</f>
        <v>APPROVED</v>
      </c>
      <c r="T1416" s="1" t="str">
        <f>IFERROR(__xludf.DUMMYFUNCTION("""COMPUTED_VALUE"""),"CANCELLED")</f>
        <v>CANCELLED</v>
      </c>
      <c r="U1416" s="1"/>
      <c r="V1416" s="1"/>
      <c r="W1416" s="1"/>
    </row>
    <row r="1417" customHeight="1" spans="1:23">
      <c r="A1417" s="3">
        <f>IFERROR(__xludf.DUMMYFUNCTION("""COMPUTED_VALUE"""),46143)</f>
        <v>46143</v>
      </c>
      <c r="B1417" s="1" t="str">
        <f>IFERROR(__xludf.DUMMYFUNCTION("""COMPUTED_VALUE"""),"MALIWAT MARK ELVIN")</f>
        <v>MALIWAT MARK ELVIN</v>
      </c>
      <c r="C1417" s="1" t="str">
        <f>IFERROR(__xludf.DUMMYFUNCTION("""COMPUTED_VALUE"""),"FLA")</f>
        <v>FLA</v>
      </c>
      <c r="D1417" s="1" t="str">
        <f>IFERROR(__xludf.DUMMYFUNCTION("""COMPUTED_VALUE"""),"JERIC NAVARRO")</f>
        <v>JERIC NAVARRO</v>
      </c>
      <c r="E1417" s="1" t="str">
        <f>IFERROR(__xludf.DUMMYFUNCTION("""COMPUTED_VALUE"""),"PLDT / ONLINE")</f>
        <v>PLDT / ONLINE</v>
      </c>
      <c r="F1417" s="1">
        <f>IFERROR(__xludf.DUMMYFUNCTION("""COMPUTED_VALUE"""),2309241638)</f>
        <v>2309241638</v>
      </c>
      <c r="G1417" s="1">
        <f>IFERROR(__xludf.DUMMYFUNCTION("""COMPUTED_VALUE"""),452877170004)</f>
        <v>452877170004</v>
      </c>
      <c r="H1417" s="1" t="str">
        <f>IFERROR(__xludf.DUMMYFUNCTION("""COMPUTED_VALUE""")," MARJORIE PORLARES DOLLENTE")</f>
        <v> MARJORIE PORLARES DOLLENTE</v>
      </c>
      <c r="I1417" s="1">
        <f>IFERROR(__xludf.DUMMYFUNCTION("""COMPUTED_VALUE"""),9071593388)</f>
        <v>9071593388</v>
      </c>
      <c r="J1417" s="1">
        <f>IFERROR(__xludf.DUMMYFUNCTION("""COMPUTED_VALUE"""),9568203848)</f>
        <v>9568203848</v>
      </c>
      <c r="K1417" s="1" t="str">
        <f>IFERROR(__xludf.DUMMYFUNCTION("""COMPUTED_VALUE"""),"LUISATAGUPA917@GMAIL.COM")</f>
        <v>LUISATAGUPA917@GMAIL.COM</v>
      </c>
      <c r="L1417" s="1" t="str">
        <f>IFERROR(__xludf.DUMMYFUNCTION("""COMPUTED_VALUE"""),"173")</f>
        <v>173</v>
      </c>
      <c r="M1417" s="1" t="str">
        <f>IFERROR(__xludf.DUMMYFUNCTION("""COMPUTED_VALUE"""),"KAYTAPOS")</f>
        <v>KAYTAPOS</v>
      </c>
      <c r="N1417" s="1"/>
      <c r="O1417" s="1" t="str">
        <f>IFERROR(__xludf.DUMMYFUNCTION("""COMPUTED_VALUE"""),"KAYTAPOS")</f>
        <v>KAYTAPOS</v>
      </c>
      <c r="P1417" s="1" t="str">
        <f>IFERROR(__xludf.DUMMYFUNCTION("""COMPUTED_VALUE"""),"INDANG")</f>
        <v>INDANG</v>
      </c>
      <c r="Q1417" s="1" t="str">
        <f>IFERROR(__xludf.DUMMYFUNCTION("""COMPUTED_VALUE"""),"CAVITE")</f>
        <v>CAVITE</v>
      </c>
      <c r="R1417" s="1" t="str">
        <f>IFERROR(__xludf.DUMMYFUNCTION("""COMPUTED_VALUE"""),"FIBR PLAN 1299")</f>
        <v>FIBR PLAN 1299</v>
      </c>
      <c r="S1417" s="1" t="str">
        <f>IFERROR(__xludf.DUMMYFUNCTION("""COMPUTED_VALUE"""),"APPROVED")</f>
        <v>APPROVED</v>
      </c>
      <c r="T1417" s="1" t="str">
        <f>IFERROR(__xludf.DUMMYFUNCTION("""COMPUTED_VALUE"""),"CLOSED")</f>
        <v>CLOSED</v>
      </c>
      <c r="U1417" s="1" t="str">
        <f>IFERROR(__xludf.DUMMYFUNCTION("""COMPUTED_VALUE"""),"POSTED")</f>
        <v>POSTED</v>
      </c>
      <c r="V1417" s="1"/>
      <c r="W1417" s="1"/>
    </row>
    <row r="1418" customHeight="1" spans="1:23">
      <c r="A1418" s="3">
        <f>IFERROR(__xludf.DUMMYFUNCTION("""COMPUTED_VALUE"""),46144)</f>
        <v>46144</v>
      </c>
      <c r="B1418" s="1" t="str">
        <f>IFERROR(__xludf.DUMMYFUNCTION("""COMPUTED_VALUE"""),"ESCARCHA, MA ALMA  ESCOTO")</f>
        <v>ESCARCHA, MA ALMA  ESCOTO</v>
      </c>
      <c r="C1418" s="1" t="str">
        <f>IFERROR(__xludf.DUMMYFUNCTION("""COMPUTED_VALUE"""),"ORGANIC")</f>
        <v>ORGANIC</v>
      </c>
      <c r="D1418" s="1" t="str">
        <f>IFERROR(__xludf.DUMMYFUNCTION("""COMPUTED_VALUE"""),"ALINGARO, CINDY")</f>
        <v>ALINGARO, CINDY</v>
      </c>
      <c r="E1418" s="1" t="str">
        <f>IFERROR(__xludf.DUMMYFUNCTION("""COMPUTED_VALUE"""),"PLDT / H2H")</f>
        <v>PLDT / H2H</v>
      </c>
      <c r="F1418" s="1">
        <f>IFERROR(__xludf.DUMMYFUNCTION("""COMPUTED_VALUE"""),2309258680)</f>
        <v>2309258680</v>
      </c>
      <c r="G1418" s="1">
        <f>IFERROR(__xludf.DUMMYFUNCTION("""COMPUTED_VALUE"""),452989638004)</f>
        <v>452989638004</v>
      </c>
      <c r="H1418" s="1" t="str">
        <f>IFERROR(__xludf.DUMMYFUNCTION("""COMPUTED_VALUE"""),"ELAINE PADILLA OLIVEROS")</f>
        <v>ELAINE PADILLA OLIVEROS</v>
      </c>
      <c r="I1418" s="1">
        <f>IFERROR(__xludf.DUMMYFUNCTION("""COMPUTED_VALUE"""),9539369956)</f>
        <v>9539369956</v>
      </c>
      <c r="J1418" s="1">
        <f>IFERROR(__xludf.DUMMYFUNCTION("""COMPUTED_VALUE"""),9696357828)</f>
        <v>9696357828</v>
      </c>
      <c r="K1418" s="1" t="str">
        <f>IFERROR(__xludf.DUMMYFUNCTION("""COMPUTED_VALUE"""),"ALONZOMICA@GMAIL.COM")</f>
        <v>ALONZOMICA@GMAIL.COM</v>
      </c>
      <c r="L1418" s="1" t="str">
        <f>IFERROR(__xludf.DUMMYFUNCTION("""COMPUTED_VALUE"""),"120")</f>
        <v>120</v>
      </c>
      <c r="M1418" s="1" t="str">
        <f>IFERROR(__xludf.DUMMYFUNCTION("""COMPUTED_VALUE"""),"PUROK 3")</f>
        <v>PUROK 3</v>
      </c>
      <c r="N1418" s="1"/>
      <c r="O1418" s="1" t="str">
        <f>IFERROR(__xludf.DUMMYFUNCTION("""COMPUTED_VALUE"""),"BALITE II")</f>
        <v>BALITE II</v>
      </c>
      <c r="P1418" s="1" t="str">
        <f>IFERROR(__xludf.DUMMYFUNCTION("""COMPUTED_VALUE"""),"SILANG")</f>
        <v>SILANG</v>
      </c>
      <c r="Q1418" s="1" t="str">
        <f>IFERROR(__xludf.DUMMYFUNCTION("""COMPUTED_VALUE"""),"CAVITE")</f>
        <v>CAVITE</v>
      </c>
      <c r="R1418" s="1" t="str">
        <f>IFERROR(__xludf.DUMMYFUNCTION("""COMPUTED_VALUE"""),"PREPAID FIBER UNLI")</f>
        <v>PREPAID FIBER UNLI</v>
      </c>
      <c r="S1418" s="1" t="str">
        <f>IFERROR(__xludf.DUMMYFUNCTION("""COMPUTED_VALUE"""),"APPROVED")</f>
        <v>APPROVED</v>
      </c>
      <c r="T1418" s="1" t="str">
        <f>IFERROR(__xludf.DUMMYFUNCTION("""COMPUTED_VALUE"""),"CLOSED")</f>
        <v>CLOSED</v>
      </c>
      <c r="U1418" s="1" t="str">
        <f>IFERROR(__xludf.DUMMYFUNCTION("""COMPUTED_VALUE"""),"POSTED")</f>
        <v>POSTED</v>
      </c>
      <c r="V1418" s="1"/>
      <c r="W1418" s="1"/>
    </row>
    <row r="1419" customHeight="1" spans="1:23">
      <c r="A1419" s="3">
        <f>IFERROR(__xludf.DUMMYFUNCTION("""COMPUTED_VALUE"""),46144)</f>
        <v>46144</v>
      </c>
      <c r="B1419" s="1" t="str">
        <f>IFERROR(__xludf.DUMMYFUNCTION("""COMPUTED_VALUE"""),"RIVERA, AIRIZH JOY")</f>
        <v>RIVERA, AIRIZH JOY</v>
      </c>
      <c r="C1419" s="1" t="str">
        <f>IFERROR(__xludf.DUMMYFUNCTION("""COMPUTED_VALUE"""),"ORGANIC")</f>
        <v>ORGANIC</v>
      </c>
      <c r="D1419" s="1" t="str">
        <f>IFERROR(__xludf.DUMMYFUNCTION("""COMPUTED_VALUE"""),"ALOS, CHARLS")</f>
        <v>ALOS, CHARLS</v>
      </c>
      <c r="E1419" s="1" t="str">
        <f>IFERROR(__xludf.DUMMYFUNCTION("""COMPUTED_VALUE"""),"PLDT / H2H")</f>
        <v>PLDT / H2H</v>
      </c>
      <c r="F1419" s="1">
        <f>IFERROR(__xludf.DUMMYFUNCTION("""COMPUTED_VALUE"""),2309251768)</f>
        <v>2309251768</v>
      </c>
      <c r="G1419" s="1">
        <f>IFERROR(__xludf.DUMMYFUNCTION("""COMPUTED_VALUE"""),452975387004)</f>
        <v>452975387004</v>
      </c>
      <c r="H1419" s="1" t="str">
        <f>IFERROR(__xludf.DUMMYFUNCTION("""COMPUTED_VALUE"""),"EDNA DESINGAÑO GATPANDAN")</f>
        <v>EDNA DESINGAÑO GATPANDAN</v>
      </c>
      <c r="I1419" s="1">
        <f>IFERROR(__xludf.DUMMYFUNCTION("""COMPUTED_VALUE"""),9639194858)</f>
        <v>9639194858</v>
      </c>
      <c r="J1419" s="1"/>
      <c r="K1419" s="1" t="str">
        <f>IFERROR(__xludf.DUMMYFUNCTION("""COMPUTED_VALUE"""),"EDNAARATEA@GMAIL.COM")</f>
        <v>EDNAARATEA@GMAIL.COM</v>
      </c>
      <c r="L1419" s="1" t="str">
        <f>IFERROR(__xludf.DUMMYFUNCTION("""COMPUTED_VALUE"""),"90")</f>
        <v>90</v>
      </c>
      <c r="M1419" s="1" t="str">
        <f>IFERROR(__xludf.DUMMYFUNCTION("""COMPUTED_VALUE"""),"MENDOZA")</f>
        <v>MENDOZA</v>
      </c>
      <c r="N1419" s="1"/>
      <c r="O1419" s="1" t="str">
        <f>IFERROR(__xludf.DUMMYFUNCTION("""COMPUTED_VALUE"""),"GALICIA III")</f>
        <v>GALICIA III</v>
      </c>
      <c r="P1419" s="1" t="str">
        <f>IFERROR(__xludf.DUMMYFUNCTION("""COMPUTED_VALUE"""),"MENDEZ")</f>
        <v>MENDEZ</v>
      </c>
      <c r="Q1419" s="1" t="str">
        <f>IFERROR(__xludf.DUMMYFUNCTION("""COMPUTED_VALUE"""),"CAVITE")</f>
        <v>CAVITE</v>
      </c>
      <c r="R1419" s="1" t="str">
        <f>IFERROR(__xludf.DUMMYFUNCTION("""COMPUTED_VALUE"""),"PREPAID FIBER UNLI")</f>
        <v>PREPAID FIBER UNLI</v>
      </c>
      <c r="S1419" s="1" t="str">
        <f>IFERROR(__xludf.DUMMYFUNCTION("""COMPUTED_VALUE"""),"APPROVED")</f>
        <v>APPROVED</v>
      </c>
      <c r="T1419" s="1" t="str">
        <f>IFERROR(__xludf.DUMMYFUNCTION("""COMPUTED_VALUE"""),"CLOSED")</f>
        <v>CLOSED</v>
      </c>
      <c r="U1419" s="1" t="str">
        <f>IFERROR(__xludf.DUMMYFUNCTION("""COMPUTED_VALUE"""),"POSTED")</f>
        <v>POSTED</v>
      </c>
      <c r="V1419" s="1"/>
      <c r="W1419" s="1"/>
    </row>
    <row r="1420" customHeight="1" spans="1:23">
      <c r="A1420" s="3">
        <f>IFERROR(__xludf.DUMMYFUNCTION("""COMPUTED_VALUE"""),46144)</f>
        <v>46144</v>
      </c>
      <c r="B1420" s="1" t="str">
        <f>IFERROR(__xludf.DUMMYFUNCTION("""COMPUTED_VALUE"""),"MAÑANITA, ERIKA")</f>
        <v>MAÑANITA, ERIKA</v>
      </c>
      <c r="C1420" s="1" t="str">
        <f>IFERROR(__xludf.DUMMYFUNCTION("""COMPUTED_VALUE"""),"ORGANIC")</f>
        <v>ORGANIC</v>
      </c>
      <c r="D1420" s="1" t="str">
        <f>IFERROR(__xludf.DUMMYFUNCTION("""COMPUTED_VALUE"""),"ALOS, CHARLS")</f>
        <v>ALOS, CHARLS</v>
      </c>
      <c r="E1420" s="1" t="str">
        <f>IFERROR(__xludf.DUMMYFUNCTION("""COMPUTED_VALUE"""),"PLDT / ONLINE")</f>
        <v>PLDT / ONLINE</v>
      </c>
      <c r="F1420" s="1">
        <f>IFERROR(__xludf.DUMMYFUNCTION("""COMPUTED_VALUE"""),2309251973)</f>
        <v>2309251973</v>
      </c>
      <c r="G1420" s="1">
        <f>IFERROR(__xludf.DUMMYFUNCTION("""COMPUTED_VALUE"""),452978744004)</f>
        <v>452978744004</v>
      </c>
      <c r="H1420" s="1" t="str">
        <f>IFERROR(__xludf.DUMMYFUNCTION("""COMPUTED_VALUE"""),"ABBA GARDENIELLA CATRE TIXON")</f>
        <v>ABBA GARDENIELLA CATRE TIXON</v>
      </c>
      <c r="I1420" s="1">
        <f>IFERROR(__xludf.DUMMYFUNCTION("""COMPUTED_VALUE"""),9938683683)</f>
        <v>9938683683</v>
      </c>
      <c r="J1420" s="1">
        <f>IFERROR(__xludf.DUMMYFUNCTION("""COMPUTED_VALUE"""),9910242086)</f>
        <v>9910242086</v>
      </c>
      <c r="K1420" s="1" t="str">
        <f>IFERROR(__xludf.DUMMYFUNCTION("""COMPUTED_VALUE"""),"TABBAGARDENIELLAO@GMAIL.COM")</f>
        <v>TABBAGARDENIELLAO@GMAIL.COM</v>
      </c>
      <c r="L1420" s="1" t="str">
        <f>IFERROR(__xludf.DUMMYFUNCTION("""COMPUTED_VALUE"""),"33")</f>
        <v>33</v>
      </c>
      <c r="M1420" s="1" t="str">
        <f>IFERROR(__xludf.DUMMYFUNCTION("""COMPUTED_VALUE"""),"MANGUBAT")</f>
        <v>MANGUBAT</v>
      </c>
      <c r="N1420" s="1"/>
      <c r="O1420" s="1" t="str">
        <f>IFERROR(__xludf.DUMMYFUNCTION("""COMPUTED_VALUE"""),"ZONE IV (POB.)")</f>
        <v>ZONE IV (POB.)</v>
      </c>
      <c r="P1420" s="1" t="str">
        <f>IFERROR(__xludf.DUMMYFUNCTION("""COMPUTED_VALUE"""),"DASMARINAS")</f>
        <v>DASMARINAS</v>
      </c>
      <c r="Q1420" s="1" t="str">
        <f>IFERROR(__xludf.DUMMYFUNCTION("""COMPUTED_VALUE"""),"CAVITE")</f>
        <v>CAVITE</v>
      </c>
      <c r="R1420" s="1" t="str">
        <f>IFERROR(__xludf.DUMMYFUNCTION("""COMPUTED_VALUE"""),"FIBR PLAN 1299")</f>
        <v>FIBR PLAN 1299</v>
      </c>
      <c r="S1420" s="1" t="str">
        <f>IFERROR(__xludf.DUMMYFUNCTION("""COMPUTED_VALUE"""),"APPROVED")</f>
        <v>APPROVED</v>
      </c>
      <c r="T1420" s="1" t="str">
        <f>IFERROR(__xludf.DUMMYFUNCTION("""COMPUTED_VALUE"""),"CLOSED")</f>
        <v>CLOSED</v>
      </c>
      <c r="U1420" s="1" t="str">
        <f>IFERROR(__xludf.DUMMYFUNCTION("""COMPUTED_VALUE"""),"POSTED")</f>
        <v>POSTED</v>
      </c>
      <c r="V1420" s="1"/>
      <c r="W1420" s="1"/>
    </row>
    <row r="1421" customHeight="1" spans="1:23">
      <c r="A1421" s="3">
        <f>IFERROR(__xludf.DUMMYFUNCTION("""COMPUTED_VALUE"""),46144)</f>
        <v>46144</v>
      </c>
      <c r="B1421" s="1" t="str">
        <f>IFERROR(__xludf.DUMMYFUNCTION("""COMPUTED_VALUE"""),"ODY , CLARENCE")</f>
        <v>ODY , CLARENCE</v>
      </c>
      <c r="C1421" s="1" t="str">
        <f>IFERROR(__xludf.DUMMYFUNCTION("""COMPUTED_VALUE"""),"ORGANIC")</f>
        <v>ORGANIC</v>
      </c>
      <c r="D1421" s="1" t="str">
        <f>IFERROR(__xludf.DUMMYFUNCTION("""COMPUTED_VALUE"""),"ALOS, CHARLS")</f>
        <v>ALOS, CHARLS</v>
      </c>
      <c r="E1421" s="1" t="str">
        <f>IFERROR(__xludf.DUMMYFUNCTION("""COMPUTED_VALUE"""),"PLDT / ONLINE")</f>
        <v>PLDT / ONLINE</v>
      </c>
      <c r="F1421" s="1">
        <f>IFERROR(__xludf.DUMMYFUNCTION("""COMPUTED_VALUE"""),2309253593)</f>
        <v>2309253593</v>
      </c>
      <c r="G1421" s="1">
        <f>IFERROR(__xludf.DUMMYFUNCTION("""COMPUTED_VALUE"""),452982605004)</f>
        <v>452982605004</v>
      </c>
      <c r="H1421" s="1" t="str">
        <f>IFERROR(__xludf.DUMMYFUNCTION("""COMPUTED_VALUE"""),"MARIZZA EVENGELIO FELICIANO")</f>
        <v>MARIZZA EVENGELIO FELICIANO</v>
      </c>
      <c r="I1421" s="1">
        <f>IFERROR(__xludf.DUMMYFUNCTION("""COMPUTED_VALUE"""),9605266262)</f>
        <v>9605266262</v>
      </c>
      <c r="J1421" s="1"/>
      <c r="K1421" s="1" t="str">
        <f>IFERROR(__xludf.DUMMYFUNCTION("""COMPUTED_VALUE"""),"KRIZTOFFERJHAN@GMAIL.COM")</f>
        <v>KRIZTOFFERJHAN@GMAIL.COM</v>
      </c>
      <c r="L1421" s="1" t="str">
        <f>IFERROR(__xludf.DUMMYFUNCTION("""COMPUTED_VALUE"""),"65")</f>
        <v>65</v>
      </c>
      <c r="M1421" s="1" t="str">
        <f>IFERROR(__xludf.DUMMYFUNCTION("""COMPUTED_VALUE"""),"PALIPARAN")</f>
        <v>PALIPARAN</v>
      </c>
      <c r="N1421" s="1"/>
      <c r="O1421" s="1" t="str">
        <f>IFERROR(__xludf.DUMMYFUNCTION("""COMPUTED_VALUE"""),"PALIPARAN II")</f>
        <v>PALIPARAN II</v>
      </c>
      <c r="P1421" s="1" t="str">
        <f>IFERROR(__xludf.DUMMYFUNCTION("""COMPUTED_VALUE"""),"DASMARINAS")</f>
        <v>DASMARINAS</v>
      </c>
      <c r="Q1421" s="1" t="str">
        <f>IFERROR(__xludf.DUMMYFUNCTION("""COMPUTED_VALUE"""),"CAVITE")</f>
        <v>CAVITE</v>
      </c>
      <c r="R1421" s="1" t="str">
        <f>IFERROR(__xludf.DUMMYFUNCTION("""COMPUTED_VALUE"""),"FIBR UNLI ALL PLAN 999")</f>
        <v>FIBR UNLI ALL PLAN 999</v>
      </c>
      <c r="S1421" s="1" t="str">
        <f>IFERROR(__xludf.DUMMYFUNCTION("""COMPUTED_VALUE"""),"APPROVED")</f>
        <v>APPROVED</v>
      </c>
      <c r="T1421" s="1" t="str">
        <f>IFERROR(__xludf.DUMMYFUNCTION("""COMPUTED_VALUE"""),"CANCELLED")</f>
        <v>CANCELLED</v>
      </c>
      <c r="U1421" s="1"/>
      <c r="V1421" s="1"/>
      <c r="W1421" s="1"/>
    </row>
    <row r="1422" customHeight="1" spans="1:23">
      <c r="A1422" s="3">
        <f>IFERROR(__xludf.DUMMYFUNCTION("""COMPUTED_VALUE"""),46144)</f>
        <v>46144</v>
      </c>
      <c r="B1422" s="1" t="str">
        <f>IFERROR(__xludf.DUMMYFUNCTION("""COMPUTED_VALUE"""),"GABAY, MANUEL")</f>
        <v>GABAY, MANUEL</v>
      </c>
      <c r="C1422" s="1" t="str">
        <f>IFERROR(__xludf.DUMMYFUNCTION("""COMPUTED_VALUE"""),"FLA")</f>
        <v>FLA</v>
      </c>
      <c r="D1422" s="1" t="str">
        <f>IFERROR(__xludf.DUMMYFUNCTION("""COMPUTED_VALUE"""),"JERIC NAVARRO")</f>
        <v>JERIC NAVARRO</v>
      </c>
      <c r="E1422" s="1" t="str">
        <f>IFERROR(__xludf.DUMMYFUNCTION("""COMPUTED_VALUE"""),"PLDT / H2H")</f>
        <v>PLDT / H2H</v>
      </c>
      <c r="F1422" s="1">
        <f>IFERROR(__xludf.DUMMYFUNCTION("""COMPUTED_VALUE"""),2309253065)</f>
        <v>2309253065</v>
      </c>
      <c r="G1422" s="1">
        <f>IFERROR(__xludf.DUMMYFUNCTION("""COMPUTED_VALUE"""),452977628004)</f>
        <v>452977628004</v>
      </c>
      <c r="H1422" s="1" t="str">
        <f>IFERROR(__xludf.DUMMYFUNCTION("""COMPUTED_VALUE"""),"MARLON AGDIPA FERNANDEZ")</f>
        <v>MARLON AGDIPA FERNANDEZ</v>
      </c>
      <c r="I1422" s="1">
        <f>IFERROR(__xludf.DUMMYFUNCTION("""COMPUTED_VALUE"""),9434706432)</f>
        <v>9434706432</v>
      </c>
      <c r="J1422" s="1">
        <f>IFERROR(__xludf.DUMMYFUNCTION("""COMPUTED_VALUE"""),9763102551)</f>
        <v>9763102551</v>
      </c>
      <c r="K1422" s="1" t="str">
        <f>IFERROR(__xludf.DUMMYFUNCTION("""COMPUTED_VALUE"""),"MARLON.FERNANDEZ19@YAHOO.COM")</f>
        <v>MARLON.FERNANDEZ19@YAHOO.COM</v>
      </c>
      <c r="L1422" s="1" t="str">
        <f>IFERROR(__xludf.DUMMYFUNCTION("""COMPUTED_VALUE"""),"419")</f>
        <v>419</v>
      </c>
      <c r="M1422" s="1" t="str">
        <f>IFERROR(__xludf.DUMMYFUNCTION("""COMPUTED_VALUE"""),"MUNTING ILOG")</f>
        <v>MUNTING ILOG</v>
      </c>
      <c r="N1422" s="1"/>
      <c r="O1422" s="1" t="str">
        <f>IFERROR(__xludf.DUMMYFUNCTION("""COMPUTED_VALUE"""),"MUNTING ILOG")</f>
        <v>MUNTING ILOG</v>
      </c>
      <c r="P1422" s="1" t="str">
        <f>IFERROR(__xludf.DUMMYFUNCTION("""COMPUTED_VALUE"""),"SILANG")</f>
        <v>SILANG</v>
      </c>
      <c r="Q1422" s="1" t="str">
        <f>IFERROR(__xludf.DUMMYFUNCTION("""COMPUTED_VALUE"""),"CAVITE")</f>
        <v>CAVITE</v>
      </c>
      <c r="R1422" s="1" t="str">
        <f>IFERROR(__xludf.DUMMYFUNCTION("""COMPUTED_VALUE"""),"FIBR NETFLIX PLAN 1599")</f>
        <v>FIBR NETFLIX PLAN 1599</v>
      </c>
      <c r="S1422" s="1" t="str">
        <f>IFERROR(__xludf.DUMMYFUNCTION("""COMPUTED_VALUE"""),"APPROVED")</f>
        <v>APPROVED</v>
      </c>
      <c r="T1422" s="1" t="str">
        <f>IFERROR(__xludf.DUMMYFUNCTION("""COMPUTED_VALUE"""),"CLOSED")</f>
        <v>CLOSED</v>
      </c>
      <c r="U1422" s="1" t="str">
        <f>IFERROR(__xludf.DUMMYFUNCTION("""COMPUTED_VALUE"""),"POSTED")</f>
        <v>POSTED</v>
      </c>
      <c r="V1422" s="1"/>
      <c r="W1422" s="1"/>
    </row>
    <row r="1423" customHeight="1" spans="1:23">
      <c r="A1423" s="3">
        <f>IFERROR(__xludf.DUMMYFUNCTION("""COMPUTED_VALUE"""),46144)</f>
        <v>46144</v>
      </c>
      <c r="B1423" s="1" t="str">
        <f>IFERROR(__xludf.DUMMYFUNCTION("""COMPUTED_VALUE"""),"GABAY, MANUEL")</f>
        <v>GABAY, MANUEL</v>
      </c>
      <c r="C1423" s="1" t="str">
        <f>IFERROR(__xludf.DUMMYFUNCTION("""COMPUTED_VALUE"""),"FLA")</f>
        <v>FLA</v>
      </c>
      <c r="D1423" s="1" t="str">
        <f>IFERROR(__xludf.DUMMYFUNCTION("""COMPUTED_VALUE"""),"JERIC NAVARRO")</f>
        <v>JERIC NAVARRO</v>
      </c>
      <c r="E1423" s="1" t="str">
        <f>IFERROR(__xludf.DUMMYFUNCTION("""COMPUTED_VALUE"""),"RED FIBER")</f>
        <v>RED FIBER</v>
      </c>
      <c r="F1423" s="1"/>
      <c r="G1423" s="1"/>
      <c r="H1423" s="1" t="str">
        <f>IFERROR(__xludf.DUMMYFUNCTION("""COMPUTED_VALUE"""),"DEXTER RUSIANA MAYORMITA")</f>
        <v>DEXTER RUSIANA MAYORMITA</v>
      </c>
      <c r="I1423" s="1">
        <f>IFERROR(__xludf.DUMMYFUNCTION("""COMPUTED_VALUE"""),9166505246)</f>
        <v>9166505246</v>
      </c>
      <c r="J1423" s="1">
        <f>IFERROR(__xludf.DUMMYFUNCTION("""COMPUTED_VALUE"""),9513120839)</f>
        <v>9513120839</v>
      </c>
      <c r="K1423" s="1" t="str">
        <f>IFERROR(__xludf.DUMMYFUNCTION("""COMPUTED_VALUE"""),"JENDEX1994@GMAIL.COM")</f>
        <v>JENDEX1994@GMAIL.COM</v>
      </c>
      <c r="L1423" s="1" t="str">
        <f>IFERROR(__xludf.DUMMYFUNCTION("""COMPUTED_VALUE"""),"9258")</f>
        <v>9258</v>
      </c>
      <c r="M1423" s="1" t="str">
        <f>IFERROR(__xludf.DUMMYFUNCTION("""COMPUTED_VALUE"""),"HUMAYAO")</f>
        <v>HUMAYAO</v>
      </c>
      <c r="N1423" s="1"/>
      <c r="O1423" s="1" t="str">
        <f>IFERROR(__xludf.DUMMYFUNCTION("""COMPUTED_VALUE"""),"LANGKAAN II")</f>
        <v>LANGKAAN II</v>
      </c>
      <c r="P1423" s="1" t="str">
        <f>IFERROR(__xludf.DUMMYFUNCTION("""COMPUTED_VALUE"""),"DASMARINAS")</f>
        <v>DASMARINAS</v>
      </c>
      <c r="Q1423" s="1" t="str">
        <f>IFERROR(__xludf.DUMMYFUNCTION("""COMPUTED_VALUE"""),"CAVITE")</f>
        <v>CAVITE</v>
      </c>
      <c r="R1423" s="1" t="str">
        <f>IFERROR(__xludf.DUMMYFUNCTION("""COMPUTED_VALUE"""),"RED PLAN 1400")</f>
        <v>RED PLAN 1400</v>
      </c>
      <c r="S1423" s="1" t="str">
        <f>IFERROR(__xludf.DUMMYFUNCTION("""COMPUTED_VALUE"""),"APPROVED")</f>
        <v>APPROVED</v>
      </c>
      <c r="T1423" s="1" t="str">
        <f>IFERROR(__xludf.DUMMYFUNCTION("""COMPUTED_VALUE"""),"CLOSED")</f>
        <v>CLOSED</v>
      </c>
      <c r="U1423" s="1" t="str">
        <f>IFERROR(__xludf.DUMMYFUNCTION("""COMPUTED_VALUE"""),"POSTED")</f>
        <v>POSTED</v>
      </c>
      <c r="V1423" s="1"/>
      <c r="W1423" s="1"/>
    </row>
    <row r="1424" customHeight="1" spans="1:23">
      <c r="A1424" s="3">
        <f>IFERROR(__xludf.DUMMYFUNCTION("""COMPUTED_VALUE"""),46144)</f>
        <v>46144</v>
      </c>
      <c r="B1424" s="1" t="str">
        <f>IFERROR(__xludf.DUMMYFUNCTION("""COMPUTED_VALUE"""),"AGUNOS, JHON AIRVIN")</f>
        <v>AGUNOS, JHON AIRVIN</v>
      </c>
      <c r="C1424" s="1" t="str">
        <f>IFERROR(__xludf.DUMMYFUNCTION("""COMPUTED_VALUE"""),"ORGANIC")</f>
        <v>ORGANIC</v>
      </c>
      <c r="D1424" s="1" t="str">
        <f>IFERROR(__xludf.DUMMYFUNCTION("""COMPUTED_VALUE"""),"ALINGARO, CINDY")</f>
        <v>ALINGARO, CINDY</v>
      </c>
      <c r="E1424" s="1" t="str">
        <f>IFERROR(__xludf.DUMMYFUNCTION("""COMPUTED_VALUE"""),"PLDT / H2H")</f>
        <v>PLDT / H2H</v>
      </c>
      <c r="F1424" s="1">
        <f>IFERROR(__xludf.DUMMYFUNCTION("""COMPUTED_VALUE"""),2309252932)</f>
        <v>2309252932</v>
      </c>
      <c r="G1424" s="1">
        <f>IFERROR(__xludf.DUMMYFUNCTION("""COMPUTED_VALUE"""),452978617004)</f>
        <v>452978617004</v>
      </c>
      <c r="H1424" s="1" t="str">
        <f>IFERROR(__xludf.DUMMYFUNCTION("""COMPUTED_VALUE"""),"EDNA HABABAG FIGUES ")</f>
        <v>EDNA HABABAG FIGUES </v>
      </c>
      <c r="I1424" s="1">
        <f>IFERROR(__xludf.DUMMYFUNCTION("""COMPUTED_VALUE"""),930793813)</f>
        <v>930793813</v>
      </c>
      <c r="J1424" s="1"/>
      <c r="K1424" s="1" t="str">
        <f>IFERROR(__xludf.DUMMYFUNCTION("""COMPUTED_VALUE"""),"CHRISTINEFIGUES21@GAMIL.COM")</f>
        <v>CHRISTINEFIGUES21@GAMIL.COM</v>
      </c>
      <c r="L1424" s="1" t="str">
        <f>IFERROR(__xludf.DUMMYFUNCTION("""COMPUTED_VALUE"""),"BLK 6 LOT 7")</f>
        <v>BLK 6 LOT 7</v>
      </c>
      <c r="M1424" s="1" t="str">
        <f>IFERROR(__xludf.DUMMYFUNCTION("""COMPUTED_VALUE"""),"LOWER MOONLIGHT")</f>
        <v>LOWER MOONLIGHT</v>
      </c>
      <c r="N1424" s="1"/>
      <c r="O1424" s="1" t="str">
        <f>IFERROR(__xludf.DUMMYFUNCTION("""COMPUTED_VALUE"""),"GREGORIA DE JESUS")</f>
        <v>GREGORIA DE JESUS</v>
      </c>
      <c r="P1424" s="1" t="str">
        <f>IFERROR(__xludf.DUMMYFUNCTION("""COMPUTED_VALUE"""),"GEN MARIANO ALVAREZ")</f>
        <v>GEN MARIANO ALVAREZ</v>
      </c>
      <c r="Q1424" s="1" t="str">
        <f>IFERROR(__xludf.DUMMYFUNCTION("""COMPUTED_VALUE"""),"CAVITE")</f>
        <v>CAVITE</v>
      </c>
      <c r="R1424" s="1" t="str">
        <f>IFERROR(__xludf.DUMMYFUNCTION("""COMPUTED_VALUE"""),"PREPAID FIBER UNLI")</f>
        <v>PREPAID FIBER UNLI</v>
      </c>
      <c r="S1424" s="1" t="str">
        <f>IFERROR(__xludf.DUMMYFUNCTION("""COMPUTED_VALUE"""),"APPROVED")</f>
        <v>APPROVED</v>
      </c>
      <c r="T1424" s="1" t="str">
        <f>IFERROR(__xludf.DUMMYFUNCTION("""COMPUTED_VALUE"""),"RPR")</f>
        <v>RPR</v>
      </c>
      <c r="U1424" s="1"/>
      <c r="V1424" s="1"/>
      <c r="W1424" s="1"/>
    </row>
    <row r="1425" customHeight="1" spans="1:23">
      <c r="A1425" s="3">
        <f>IFERROR(__xludf.DUMMYFUNCTION("""COMPUTED_VALUE"""),46144)</f>
        <v>46144</v>
      </c>
      <c r="B1425" s="1" t="str">
        <f>IFERROR(__xludf.DUMMYFUNCTION("""COMPUTED_VALUE"""),"NAVARRO, JERIC")</f>
        <v>NAVARRO, JERIC</v>
      </c>
      <c r="C1425" s="1" t="str">
        <f>IFERROR(__xludf.DUMMYFUNCTION("""COMPUTED_VALUE"""),"FLA")</f>
        <v>FLA</v>
      </c>
      <c r="D1425" s="1" t="str">
        <f>IFERROR(__xludf.DUMMYFUNCTION("""COMPUTED_VALUE"""),"JERIC NAVARRO")</f>
        <v>JERIC NAVARRO</v>
      </c>
      <c r="E1425" s="1" t="str">
        <f>IFERROR(__xludf.DUMMYFUNCTION("""COMPUTED_VALUE"""),"PLDT / ONLINE")</f>
        <v>PLDT / ONLINE</v>
      </c>
      <c r="F1425" s="1">
        <f>IFERROR(__xludf.DUMMYFUNCTION("""COMPUTED_VALUE"""),2309254654)</f>
        <v>2309254654</v>
      </c>
      <c r="G1425" s="1">
        <f>IFERROR(__xludf.DUMMYFUNCTION("""COMPUTED_VALUE"""),452982608004)</f>
        <v>452982608004</v>
      </c>
      <c r="H1425" s="1" t="str">
        <f>IFERROR(__xludf.DUMMYFUNCTION("""COMPUTED_VALUE"""),"DARYL MALICS BERNAT")</f>
        <v>DARYL MALICS BERNAT</v>
      </c>
      <c r="I1425" s="1">
        <f>IFERROR(__xludf.DUMMYFUNCTION("""COMPUTED_VALUE"""),9219464929)</f>
        <v>9219464929</v>
      </c>
      <c r="J1425" s="1">
        <f>IFERROR(__xludf.DUMMYFUNCTION("""COMPUTED_VALUE"""),9930968299)</f>
        <v>9930968299</v>
      </c>
      <c r="K1425" s="1" t="str">
        <f>IFERROR(__xludf.DUMMYFUNCTION("""COMPUTED_VALUE"""),"BERNATDARYL23@GMAIL.COM")</f>
        <v>BERNATDARYL23@GMAIL.COM</v>
      </c>
      <c r="L1425" s="1" t="str">
        <f>IFERROR(__xludf.DUMMYFUNCTION("""COMPUTED_VALUE"""),"BLK 13 LOT 17")</f>
        <v>BLK 13 LOT 17</v>
      </c>
      <c r="M1425" s="1" t="str">
        <f>IFERROR(__xludf.DUMMYFUNCTION("""COMPUTED_VALUE"""),"DILAG")</f>
        <v>DILAG</v>
      </c>
      <c r="N1425" s="1" t="str">
        <f>IFERROR(__xludf.DUMMYFUNCTION("""COMPUTED_VALUE"""),"PASINAYA PRIME CENTRAL")</f>
        <v>PASINAYA PRIME CENTRAL</v>
      </c>
      <c r="O1425" s="1" t="str">
        <f>IFERROR(__xludf.DUMMYFUNCTION("""COMPUTED_VALUE"""),"SABANG")</f>
        <v>SABANG</v>
      </c>
      <c r="P1425" s="1" t="str">
        <f>IFERROR(__xludf.DUMMYFUNCTION("""COMPUTED_VALUE"""),"NAIC")</f>
        <v>NAIC</v>
      </c>
      <c r="Q1425" s="1" t="str">
        <f>IFERROR(__xludf.DUMMYFUNCTION("""COMPUTED_VALUE"""),"CAVITE")</f>
        <v>CAVITE</v>
      </c>
      <c r="R1425" s="1" t="str">
        <f>IFERROR(__xludf.DUMMYFUNCTION("""COMPUTED_VALUE"""),"FIBR UNLI ALL PLAN 1399")</f>
        <v>FIBR UNLI ALL PLAN 1399</v>
      </c>
      <c r="S1425" s="1" t="str">
        <f>IFERROR(__xludf.DUMMYFUNCTION("""COMPUTED_VALUE"""),"APPROVED")</f>
        <v>APPROVED</v>
      </c>
      <c r="T1425" s="1" t="str">
        <f>IFERROR(__xludf.DUMMYFUNCTION("""COMPUTED_VALUE"""),"CLOSED")</f>
        <v>CLOSED</v>
      </c>
      <c r="U1425" s="1" t="str">
        <f>IFERROR(__xludf.DUMMYFUNCTION("""COMPUTED_VALUE"""),"POSTED")</f>
        <v>POSTED</v>
      </c>
      <c r="V1425" s="1"/>
      <c r="W1425" s="1"/>
    </row>
    <row r="1426" customHeight="1" spans="1:23">
      <c r="A1426" s="3">
        <f>IFERROR(__xludf.DUMMYFUNCTION("""COMPUTED_VALUE"""),46144)</f>
        <v>46144</v>
      </c>
      <c r="B1426" s="1" t="str">
        <f>IFERROR(__xludf.DUMMYFUNCTION("""COMPUTED_VALUE"""),"AYON MANUEL")</f>
        <v>AYON MANUEL</v>
      </c>
      <c r="C1426" s="1" t="str">
        <f>IFERROR(__xludf.DUMMYFUNCTION("""COMPUTED_VALUE"""),"FLA")</f>
        <v>FLA</v>
      </c>
      <c r="D1426" s="1" t="str">
        <f>IFERROR(__xludf.DUMMYFUNCTION("""COMPUTED_VALUE"""),"JERIC NAVARRO")</f>
        <v>JERIC NAVARRO</v>
      </c>
      <c r="E1426" s="1" t="str">
        <f>IFERROR(__xludf.DUMMYFUNCTION("""COMPUTED_VALUE"""),"PLDT / H2H")</f>
        <v>PLDT / H2H</v>
      </c>
      <c r="F1426" s="1">
        <f>IFERROR(__xludf.DUMMYFUNCTION("""COMPUTED_VALUE"""),2309255029)</f>
        <v>2309255029</v>
      </c>
      <c r="G1426" s="1">
        <f>IFERROR(__xludf.DUMMYFUNCTION("""COMPUTED_VALUE"""),452983240004)</f>
        <v>452983240004</v>
      </c>
      <c r="H1426" s="1" t="str">
        <f>IFERROR(__xludf.DUMMYFUNCTION("""COMPUTED_VALUE"""),"JOSEF PAOLO VIDALLON JIMENEZ")</f>
        <v>JOSEF PAOLO VIDALLON JIMENEZ</v>
      </c>
      <c r="I1426" s="1">
        <f>IFERROR(__xludf.DUMMYFUNCTION("""COMPUTED_VALUE"""),9171220402)</f>
        <v>9171220402</v>
      </c>
      <c r="J1426" s="1">
        <f>IFERROR(__xludf.DUMMYFUNCTION("""COMPUTED_VALUE"""),9171457606)</f>
        <v>9171457606</v>
      </c>
      <c r="K1426" s="1" t="str">
        <f>IFERROR(__xludf.DUMMYFUNCTION("""COMPUTED_VALUE"""),"JOPI.JIMENEZ1994@GMAIL.COM")</f>
        <v>JOPI.JIMENEZ1994@GMAIL.COM</v>
      </c>
      <c r="L1426" s="1" t="str">
        <f>IFERROR(__xludf.DUMMYFUNCTION("""COMPUTED_VALUE"""),"BLK 69 LOT 31")</f>
        <v>BLK 69 LOT 31</v>
      </c>
      <c r="M1426" s="1" t="str">
        <f>IFERROR(__xludf.DUMMYFUNCTION("""COMPUTED_VALUE"""),"PHASE 5")</f>
        <v>PHASE 5</v>
      </c>
      <c r="N1426" s="1" t="str">
        <f>IFERROR(__xludf.DUMMYFUNCTION("""COMPUTED_VALUE"""),"SUNTRUST VERONA PHASE 5")</f>
        <v>SUNTRUST VERONA PHASE 5</v>
      </c>
      <c r="O1426" s="1" t="str">
        <f>IFERROR(__xludf.DUMMYFUNCTION("""COMPUTED_VALUE"""),"HOYO")</f>
        <v>HOYO</v>
      </c>
      <c r="P1426" s="1" t="str">
        <f>IFERROR(__xludf.DUMMYFUNCTION("""COMPUTED_VALUE"""),"SILANG")</f>
        <v>SILANG</v>
      </c>
      <c r="Q1426" s="1" t="str">
        <f>IFERROR(__xludf.DUMMYFUNCTION("""COMPUTED_VALUE"""),"CAVITE")</f>
        <v>CAVITE</v>
      </c>
      <c r="R1426" s="1" t="str">
        <f>IFERROR(__xludf.DUMMYFUNCTION("""COMPUTED_VALUE"""),"FIBR UNLI ALL PLAN 1399")</f>
        <v>FIBR UNLI ALL PLAN 1399</v>
      </c>
      <c r="S1426" s="1" t="str">
        <f>IFERROR(__xludf.DUMMYFUNCTION("""COMPUTED_VALUE"""),"APPROVED")</f>
        <v>APPROVED</v>
      </c>
      <c r="T1426" s="1" t="str">
        <f>IFERROR(__xludf.DUMMYFUNCTION("""COMPUTED_VALUE"""),"CLOSED")</f>
        <v>CLOSED</v>
      </c>
      <c r="U1426" s="1" t="str">
        <f>IFERROR(__xludf.DUMMYFUNCTION("""COMPUTED_VALUE"""),"POSTED")</f>
        <v>POSTED</v>
      </c>
      <c r="V1426" s="1"/>
      <c r="W1426" s="1"/>
    </row>
    <row r="1427" customHeight="1" spans="1:23">
      <c r="A1427" s="3">
        <f>IFERROR(__xludf.DUMMYFUNCTION("""COMPUTED_VALUE"""),46144)</f>
        <v>46144</v>
      </c>
      <c r="B1427" s="1" t="str">
        <f>IFERROR(__xludf.DUMMYFUNCTION("""COMPUTED_VALUE"""),"FERNANDEZ JERIC")</f>
        <v>FERNANDEZ JERIC</v>
      </c>
      <c r="C1427" s="1" t="str">
        <f>IFERROR(__xludf.DUMMYFUNCTION("""COMPUTED_VALUE"""),"ORGANIC")</f>
        <v>ORGANIC</v>
      </c>
      <c r="D1427" s="1" t="str">
        <f>IFERROR(__xludf.DUMMYFUNCTION("""COMPUTED_VALUE"""),"ALOS, CHARLS")</f>
        <v>ALOS, CHARLS</v>
      </c>
      <c r="E1427" s="1" t="str">
        <f>IFERROR(__xludf.DUMMYFUNCTION("""COMPUTED_VALUE"""),"PLDT / H2H")</f>
        <v>PLDT / H2H</v>
      </c>
      <c r="F1427" s="1">
        <f>IFERROR(__xludf.DUMMYFUNCTION("""COMPUTED_VALUE"""),2309255586)</f>
        <v>2309255586</v>
      </c>
      <c r="G1427" s="1"/>
      <c r="H1427" s="1" t="str">
        <f>IFERROR(__xludf.DUMMYFUNCTION("""COMPUTED_VALUE"""),"TERESA CELZO PELIAS")</f>
        <v>TERESA CELZO PELIAS</v>
      </c>
      <c r="I1427" s="1">
        <f>IFERROR(__xludf.DUMMYFUNCTION("""COMPUTED_VALUE"""),9052452338)</f>
        <v>9052452338</v>
      </c>
      <c r="J1427" s="1"/>
      <c r="K1427" s="1" t="str">
        <f>IFERROR(__xludf.DUMMYFUNCTION("""COMPUTED_VALUE"""),"JENIPELIAS70@GMAIL.COM")</f>
        <v>JENIPELIAS70@GMAIL.COM</v>
      </c>
      <c r="L1427" s="1" t="str">
        <f>IFERROR(__xludf.DUMMYFUNCTION("""COMPUTED_VALUE"""),"BLK 35 LOT 11")</f>
        <v>BLK 35 LOT 11</v>
      </c>
      <c r="M1427" s="1" t="str">
        <f>IFERROR(__xludf.DUMMYFUNCTION("""COMPUTED_VALUE"""),"ANAHAW 2")</f>
        <v>ANAHAW 2</v>
      </c>
      <c r="N1427" s="1"/>
      <c r="O1427" s="1" t="str">
        <f>IFERROR(__xludf.DUMMYFUNCTION("""COMPUTED_VALUE"""),"ANAHAW I")</f>
        <v>ANAHAW I</v>
      </c>
      <c r="P1427" s="1" t="str">
        <f>IFERROR(__xludf.DUMMYFUNCTION("""COMPUTED_VALUE"""),"SILANG")</f>
        <v>SILANG</v>
      </c>
      <c r="Q1427" s="1" t="str">
        <f>IFERROR(__xludf.DUMMYFUNCTION("""COMPUTED_VALUE"""),"CAVITE")</f>
        <v>CAVITE</v>
      </c>
      <c r="R1427" s="1" t="str">
        <f>IFERROR(__xludf.DUMMYFUNCTION("""COMPUTED_VALUE"""),"FIBR UNLI ALL PLAN 999")</f>
        <v>FIBR UNLI ALL PLAN 999</v>
      </c>
      <c r="S1427" s="1" t="str">
        <f>IFERROR(__xludf.DUMMYFUNCTION("""COMPUTED_VALUE"""),"APPROVED")</f>
        <v>APPROVED</v>
      </c>
      <c r="T1427" s="1" t="str">
        <f>IFERROR(__xludf.DUMMYFUNCTION("""COMPUTED_VALUE"""),"CANCELLED")</f>
        <v>CANCELLED</v>
      </c>
      <c r="U1427" s="1"/>
      <c r="V1427" s="1"/>
      <c r="W1427" s="1"/>
    </row>
    <row r="1428" customHeight="1" spans="1:23">
      <c r="A1428" s="3">
        <f>IFERROR(__xludf.DUMMYFUNCTION("""COMPUTED_VALUE"""),46144)</f>
        <v>46144</v>
      </c>
      <c r="B1428" s="1" t="str">
        <f>IFERROR(__xludf.DUMMYFUNCTION("""COMPUTED_VALUE"""),"VERESO , MERL FRANCINE")</f>
        <v>VERESO , MERL FRANCINE</v>
      </c>
      <c r="C1428" s="1" t="str">
        <f>IFERROR(__xludf.DUMMYFUNCTION("""COMPUTED_VALUE"""),"ORGANIC")</f>
        <v>ORGANIC</v>
      </c>
      <c r="D1428" s="1" t="str">
        <f>IFERROR(__xludf.DUMMYFUNCTION("""COMPUTED_VALUE"""),"ALOS, CHARLS")</f>
        <v>ALOS, CHARLS</v>
      </c>
      <c r="E1428" s="1" t="str">
        <f>IFERROR(__xludf.DUMMYFUNCTION("""COMPUTED_VALUE"""),"PLDT / H2H")</f>
        <v>PLDT / H2H</v>
      </c>
      <c r="F1428" s="1">
        <f>IFERROR(__xludf.DUMMYFUNCTION("""COMPUTED_VALUE"""),2309255860)</f>
        <v>2309255860</v>
      </c>
      <c r="G1428" s="1"/>
      <c r="H1428" s="1" t="str">
        <f>IFERROR(__xludf.DUMMYFUNCTION("""COMPUTED_VALUE"""),"MERLIN TIMAN GUGULIN")</f>
        <v>MERLIN TIMAN GUGULIN</v>
      </c>
      <c r="I1428" s="1">
        <f>IFERROR(__xludf.DUMMYFUNCTION("""COMPUTED_VALUE"""),9649933174)</f>
        <v>9649933174</v>
      </c>
      <c r="J1428" s="1">
        <f>IFERROR(__xludf.DUMMYFUNCTION("""COMPUTED_VALUE"""),9205568615)</f>
        <v>9205568615</v>
      </c>
      <c r="K1428" s="1" t="str">
        <f>IFERROR(__xludf.DUMMYFUNCTION("""COMPUTED_VALUE"""),"RAMGENGGOGOLIN6@GMAIL.COM")</f>
        <v>RAMGENGGOGOLIN6@GMAIL.COM</v>
      </c>
      <c r="L1428" s="1" t="str">
        <f>IFERROR(__xludf.DUMMYFUNCTION("""COMPUTED_VALUE"""),"BLK 35 LOT 21")</f>
        <v>BLK 35 LOT 21</v>
      </c>
      <c r="M1428" s="1" t="str">
        <f>IFERROR(__xludf.DUMMYFUNCTION("""COMPUTED_VALUE"""),"ANAHAW 2")</f>
        <v>ANAHAW 2</v>
      </c>
      <c r="N1428" s="1"/>
      <c r="O1428" s="1" t="str">
        <f>IFERROR(__xludf.DUMMYFUNCTION("""COMPUTED_VALUE"""),"ANAHAW II")</f>
        <v>ANAHAW II</v>
      </c>
      <c r="P1428" s="1" t="str">
        <f>IFERROR(__xludf.DUMMYFUNCTION("""COMPUTED_VALUE"""),"SILANG")</f>
        <v>SILANG</v>
      </c>
      <c r="Q1428" s="1" t="str">
        <f>IFERROR(__xludf.DUMMYFUNCTION("""COMPUTED_VALUE"""),"CAVITE")</f>
        <v>CAVITE</v>
      </c>
      <c r="R1428" s="1" t="str">
        <f>IFERROR(__xludf.DUMMYFUNCTION("""COMPUTED_VALUE"""),"FIBR PLAN 1299")</f>
        <v>FIBR PLAN 1299</v>
      </c>
      <c r="S1428" s="1" t="str">
        <f>IFERROR(__xludf.DUMMYFUNCTION("""COMPUTED_VALUE"""),"APPROVED")</f>
        <v>APPROVED</v>
      </c>
      <c r="T1428" s="1" t="str">
        <f>IFERROR(__xludf.DUMMYFUNCTION("""COMPUTED_VALUE"""),"DISAPPROVED")</f>
        <v>DISAPPROVED</v>
      </c>
      <c r="U1428" s="1"/>
      <c r="V1428" s="1"/>
      <c r="W1428" s="1"/>
    </row>
    <row r="1429" customHeight="1" spans="1:23">
      <c r="A1429" s="3">
        <f>IFERROR(__xludf.DUMMYFUNCTION("""COMPUTED_VALUE"""),46144)</f>
        <v>46144</v>
      </c>
      <c r="B1429" s="1" t="str">
        <f>IFERROR(__xludf.DUMMYFUNCTION("""COMPUTED_VALUE"""),"DELA ROSA, JENNELYN")</f>
        <v>DELA ROSA, JENNELYN</v>
      </c>
      <c r="C1429" s="1" t="str">
        <f>IFERROR(__xludf.DUMMYFUNCTION("""COMPUTED_VALUE"""),"ORGANIC")</f>
        <v>ORGANIC</v>
      </c>
      <c r="D1429" s="1" t="str">
        <f>IFERROR(__xludf.DUMMYFUNCTION("""COMPUTED_VALUE"""),"ALOS, CHARLS")</f>
        <v>ALOS, CHARLS</v>
      </c>
      <c r="E1429" s="1" t="str">
        <f>IFERROR(__xludf.DUMMYFUNCTION("""COMPUTED_VALUE"""),"PLDT / H2H")</f>
        <v>PLDT / H2H</v>
      </c>
      <c r="F1429" s="1">
        <f>IFERROR(__xludf.DUMMYFUNCTION("""COMPUTED_VALUE"""),2309256988)</f>
        <v>2309256988</v>
      </c>
      <c r="G1429" s="1">
        <f>IFERROR(__xludf.DUMMYFUNCTION("""COMPUTED_VALUE"""),452986749004)</f>
        <v>452986749004</v>
      </c>
      <c r="H1429" s="1" t="str">
        <f>IFERROR(__xludf.DUMMYFUNCTION("""COMPUTED_VALUE"""),"MARY ANN ALMENDRAS PEREZ")</f>
        <v>MARY ANN ALMENDRAS PEREZ</v>
      </c>
      <c r="I1429" s="1">
        <f>IFERROR(__xludf.DUMMYFUNCTION("""COMPUTED_VALUE"""),9859428253)</f>
        <v>9859428253</v>
      </c>
      <c r="J1429" s="1"/>
      <c r="K1429" s="1" t="str">
        <f>IFERROR(__xludf.DUMMYFUNCTION("""COMPUTED_VALUE"""),"PEREZARYANN@GMAIL.COM")</f>
        <v>PEREZARYANN@GMAIL.COM</v>
      </c>
      <c r="L1429" s="1" t="str">
        <f>IFERROR(__xludf.DUMMYFUNCTION("""COMPUTED_VALUE"""),"166")</f>
        <v>166</v>
      </c>
      <c r="M1429" s="1" t="str">
        <f>IFERROR(__xludf.DUMMYFUNCTION("""COMPUTED_VALUE"""),"DAPDAP WEST")</f>
        <v>DAPDAP WEST</v>
      </c>
      <c r="N1429" s="1"/>
      <c r="O1429" s="1" t="str">
        <f>IFERROR(__xludf.DUMMYFUNCTION("""COMPUTED_VALUE"""),"DAPDAP WEST")</f>
        <v>DAPDAP WEST</v>
      </c>
      <c r="P1429" s="1" t="str">
        <f>IFERROR(__xludf.DUMMYFUNCTION("""COMPUTED_VALUE"""),"TAGAYTAY")</f>
        <v>TAGAYTAY</v>
      </c>
      <c r="Q1429" s="1" t="str">
        <f>IFERROR(__xludf.DUMMYFUNCTION("""COMPUTED_VALUE"""),"CAVITE")</f>
        <v>CAVITE</v>
      </c>
      <c r="R1429" s="1" t="str">
        <f>IFERROR(__xludf.DUMMYFUNCTION("""COMPUTED_VALUE"""),"FIBR PLAN 1299")</f>
        <v>FIBR PLAN 1299</v>
      </c>
      <c r="S1429" s="1" t="str">
        <f>IFERROR(__xludf.DUMMYFUNCTION("""COMPUTED_VALUE"""),"APPROVED")</f>
        <v>APPROVED</v>
      </c>
      <c r="T1429" s="1" t="str">
        <f>IFERROR(__xludf.DUMMYFUNCTION("""COMPUTED_VALUE"""),"RPR")</f>
        <v>RPR</v>
      </c>
      <c r="U1429" s="1"/>
      <c r="V1429" s="1"/>
      <c r="W1429" s="1"/>
    </row>
    <row r="1430" customHeight="1" spans="1:23">
      <c r="A1430" s="3">
        <f>IFERROR(__xludf.DUMMYFUNCTION("""COMPUTED_VALUE"""),46144)</f>
        <v>46144</v>
      </c>
      <c r="B1430" s="1" t="str">
        <f>IFERROR(__xludf.DUMMYFUNCTION("""COMPUTED_VALUE"""),"AYON MANUEL")</f>
        <v>AYON MANUEL</v>
      </c>
      <c r="C1430" s="1" t="str">
        <f>IFERROR(__xludf.DUMMYFUNCTION("""COMPUTED_VALUE"""),"FLA")</f>
        <v>FLA</v>
      </c>
      <c r="D1430" s="1" t="str">
        <f>IFERROR(__xludf.DUMMYFUNCTION("""COMPUTED_VALUE"""),"JERIC NAVARRO")</f>
        <v>JERIC NAVARRO</v>
      </c>
      <c r="E1430" s="1" t="str">
        <f>IFERROR(__xludf.DUMMYFUNCTION("""COMPUTED_VALUE"""),"PLDT / H2H")</f>
        <v>PLDT / H2H</v>
      </c>
      <c r="F1430" s="1">
        <f>IFERROR(__xludf.DUMMYFUNCTION("""COMPUTED_VALUE"""),2309257518)</f>
        <v>2309257518</v>
      </c>
      <c r="G1430" s="1">
        <f>IFERROR(__xludf.DUMMYFUNCTION("""COMPUTED_VALUE"""),452989173004)</f>
        <v>452989173004</v>
      </c>
      <c r="H1430" s="1" t="str">
        <f>IFERROR(__xludf.DUMMYFUNCTION("""COMPUTED_VALUE"""),"ROCHELLE GAMBOA OLFATO")</f>
        <v>ROCHELLE GAMBOA OLFATO</v>
      </c>
      <c r="I1430" s="1">
        <f>IFERROR(__xludf.DUMMYFUNCTION("""COMPUTED_VALUE"""),9614642251)</f>
        <v>9614642251</v>
      </c>
      <c r="J1430" s="1">
        <f>IFERROR(__xludf.DUMMYFUNCTION("""COMPUTED_VALUE"""),9685595456)</f>
        <v>9685595456</v>
      </c>
      <c r="K1430" s="1" t="str">
        <f>IFERROR(__xludf.DUMMYFUNCTION("""COMPUTED_VALUE"""),"OLFATOROCHELLE7@GMAIL.COM")</f>
        <v>OLFATOROCHELLE7@GMAIL.COM</v>
      </c>
      <c r="L1430" s="1" t="str">
        <f>IFERROR(__xludf.DUMMYFUNCTION("""COMPUTED_VALUE"""),"BLK 5 LOT 10")</f>
        <v>BLK 5 LOT 10</v>
      </c>
      <c r="M1430" s="1" t="str">
        <f>IFERROR(__xludf.DUMMYFUNCTION("""COMPUTED_VALUE"""),"MAGNAGON")</f>
        <v>MAGNAGON</v>
      </c>
      <c r="N1430" s="1"/>
      <c r="O1430" s="1" t="str">
        <f>IFERROR(__xludf.DUMMYFUNCTION("""COMPUTED_VALUE"""),"MAGUYAM")</f>
        <v>MAGUYAM</v>
      </c>
      <c r="P1430" s="1" t="str">
        <f>IFERROR(__xludf.DUMMYFUNCTION("""COMPUTED_VALUE"""),"SILANG")</f>
        <v>SILANG</v>
      </c>
      <c r="Q1430" s="1" t="str">
        <f>IFERROR(__xludf.DUMMYFUNCTION("""COMPUTED_VALUE"""),"CAVITE")</f>
        <v>CAVITE</v>
      </c>
      <c r="R1430" s="1" t="str">
        <f>IFERROR(__xludf.DUMMYFUNCTION("""COMPUTED_VALUE"""),"FIBR UNLI ALL PLAN 999")</f>
        <v>FIBR UNLI ALL PLAN 999</v>
      </c>
      <c r="S1430" s="1" t="str">
        <f>IFERROR(__xludf.DUMMYFUNCTION("""COMPUTED_VALUE"""),"APPROVED")</f>
        <v>APPROVED</v>
      </c>
      <c r="T1430" s="1" t="str">
        <f>IFERROR(__xludf.DUMMYFUNCTION("""COMPUTED_VALUE"""),"CLOSED")</f>
        <v>CLOSED</v>
      </c>
      <c r="U1430" s="1" t="str">
        <f>IFERROR(__xludf.DUMMYFUNCTION("""COMPUTED_VALUE"""),"POSTED")</f>
        <v>POSTED</v>
      </c>
      <c r="V1430" s="1"/>
      <c r="W1430" s="1"/>
    </row>
    <row r="1431" customHeight="1" spans="1:23">
      <c r="A1431" s="3">
        <f>IFERROR(__xludf.DUMMYFUNCTION("""COMPUTED_VALUE"""),46144)</f>
        <v>46144</v>
      </c>
      <c r="B1431" s="1" t="str">
        <f>IFERROR(__xludf.DUMMYFUNCTION("""COMPUTED_VALUE"""),"ESCARCHA, MA ALMA  ESCOTO")</f>
        <v>ESCARCHA, MA ALMA  ESCOTO</v>
      </c>
      <c r="C1431" s="1" t="str">
        <f>IFERROR(__xludf.DUMMYFUNCTION("""COMPUTED_VALUE"""),"ORGANIC")</f>
        <v>ORGANIC</v>
      </c>
      <c r="D1431" s="1" t="str">
        <f>IFERROR(__xludf.DUMMYFUNCTION("""COMPUTED_VALUE"""),"ALINGARO, CINDY")</f>
        <v>ALINGARO, CINDY</v>
      </c>
      <c r="E1431" s="1" t="str">
        <f>IFERROR(__xludf.DUMMYFUNCTION("""COMPUTED_VALUE"""),"PLDT / ONLINE")</f>
        <v>PLDT / ONLINE</v>
      </c>
      <c r="F1431" s="1">
        <f>IFERROR(__xludf.DUMMYFUNCTION("""COMPUTED_VALUE"""),2309258479)</f>
        <v>2309258479</v>
      </c>
      <c r="G1431" s="1">
        <f>IFERROR(__xludf.DUMMYFUNCTION("""COMPUTED_VALUE"""),452988660004)</f>
        <v>452988660004</v>
      </c>
      <c r="H1431" s="1" t="str">
        <f>IFERROR(__xludf.DUMMYFUNCTION("""COMPUTED_VALUE"""),"LEOVIC VILLEGAS SALITRE")</f>
        <v>LEOVIC VILLEGAS SALITRE</v>
      </c>
      <c r="I1431" s="1">
        <f>IFERROR(__xludf.DUMMYFUNCTION("""COMPUTED_VALUE"""),9554716482)</f>
        <v>9554716482</v>
      </c>
      <c r="J1431" s="1"/>
      <c r="K1431" s="1" t="str">
        <f>IFERROR(__xludf.DUMMYFUNCTION("""COMPUTED_VALUE"""),"LEOVIC.SALITRE@GMAIL.COM")</f>
        <v>LEOVIC.SALITRE@GMAIL.COM</v>
      </c>
      <c r="L1431" s="1" t="str">
        <f>IFERROR(__xludf.DUMMYFUNCTION("""COMPUTED_VALUE"""),"310")</f>
        <v>310</v>
      </c>
      <c r="M1431" s="1" t="str">
        <f>IFERROR(__xludf.DUMMYFUNCTION("""COMPUTED_VALUE"""),"JOSE SALUD")</f>
        <v>JOSE SALUD</v>
      </c>
      <c r="N1431" s="1"/>
      <c r="O1431" s="1" t="str">
        <f>IFERROR(__xludf.DUMMYFUNCTION("""COMPUTED_VALUE"""),"MAGDIWANG")</f>
        <v>MAGDIWANG</v>
      </c>
      <c r="P1431" s="1" t="str">
        <f>IFERROR(__xludf.DUMMYFUNCTION("""COMPUTED_VALUE"""),"NOVELETA")</f>
        <v>NOVELETA</v>
      </c>
      <c r="Q1431" s="1" t="str">
        <f>IFERROR(__xludf.DUMMYFUNCTION("""COMPUTED_VALUE"""),"CAVITE")</f>
        <v>CAVITE</v>
      </c>
      <c r="R1431" s="1" t="str">
        <f>IFERROR(__xludf.DUMMYFUNCTION("""COMPUTED_VALUE"""),"PREPAID FIBER UNLI")</f>
        <v>PREPAID FIBER UNLI</v>
      </c>
      <c r="S1431" s="1" t="str">
        <f>IFERROR(__xludf.DUMMYFUNCTION("""COMPUTED_VALUE"""),"APPROVED")</f>
        <v>APPROVED</v>
      </c>
      <c r="T1431" s="1" t="str">
        <f>IFERROR(__xludf.DUMMYFUNCTION("""COMPUTED_VALUE"""),"CANCELLED")</f>
        <v>CANCELLED</v>
      </c>
      <c r="U1431" s="1"/>
      <c r="V1431" s="1"/>
      <c r="W1431" s="1"/>
    </row>
    <row r="1432" customHeight="1" spans="1:23">
      <c r="A1432" s="3">
        <f>IFERROR(__xludf.DUMMYFUNCTION("""COMPUTED_VALUE"""),46144)</f>
        <v>46144</v>
      </c>
      <c r="B1432" s="1" t="str">
        <f>IFERROR(__xludf.DUMMYFUNCTION("""COMPUTED_VALUE"""),"FARO, REFRANTA")</f>
        <v>FARO, REFRANTA</v>
      </c>
      <c r="C1432" s="1" t="str">
        <f>IFERROR(__xludf.DUMMYFUNCTION("""COMPUTED_VALUE"""),"ORGANIC")</f>
        <v>ORGANIC</v>
      </c>
      <c r="D1432" s="1" t="str">
        <f>IFERROR(__xludf.DUMMYFUNCTION("""COMPUTED_VALUE"""),"ALINGARO, CINDY")</f>
        <v>ALINGARO, CINDY</v>
      </c>
      <c r="E1432" s="1" t="str">
        <f>IFERROR(__xludf.DUMMYFUNCTION("""COMPUTED_VALUE"""),"PLDT / H2H")</f>
        <v>PLDT / H2H</v>
      </c>
      <c r="F1432" s="1">
        <f>IFERROR(__xludf.DUMMYFUNCTION("""COMPUTED_VALUE"""),2309258955)</f>
        <v>2309258955</v>
      </c>
      <c r="G1432" s="1">
        <f>IFERROR(__xludf.DUMMYFUNCTION("""COMPUTED_VALUE"""),452989792004)</f>
        <v>452989792004</v>
      </c>
      <c r="H1432" s="1" t="str">
        <f>IFERROR(__xludf.DUMMYFUNCTION("""COMPUTED_VALUE"""),"VIRGINIA DAGMANTE FARO")</f>
        <v>VIRGINIA DAGMANTE FARO</v>
      </c>
      <c r="I1432" s="1">
        <f>IFERROR(__xludf.DUMMYFUNCTION("""COMPUTED_VALUE"""),9480777497)</f>
        <v>9480777497</v>
      </c>
      <c r="J1432" s="1"/>
      <c r="K1432" s="1" t="str">
        <f>IFERROR(__xludf.DUMMYFUNCTION("""COMPUTED_VALUE"""),"VERGIEFARO@GMAIL.COM")</f>
        <v>VERGIEFARO@GMAIL.COM</v>
      </c>
      <c r="L1432" s="1" t="str">
        <f>IFERROR(__xludf.DUMMYFUNCTION("""COMPUTED_VALUE"""),"BLK 8 LOT 116")</f>
        <v>BLK 8 LOT 116</v>
      </c>
      <c r="M1432" s="1" t="str">
        <f>IFERROR(__xludf.DUMMYFUNCTION("""COMPUTED_VALUE"""),"PROPER")</f>
        <v>PROPER</v>
      </c>
      <c r="N1432" s="1"/>
      <c r="O1432" s="1" t="str">
        <f>IFERROR(__xludf.DUMMYFUNCTION("""COMPUTED_VALUE"""),"POBLACION V (BARANGAY V)")</f>
        <v>POBLACION V (BARANGAY V)</v>
      </c>
      <c r="P1432" s="1" t="str">
        <f>IFERROR(__xludf.DUMMYFUNCTION("""COMPUTED_VALUE"""),"GEN MARIANO ALVAREZ")</f>
        <v>GEN MARIANO ALVAREZ</v>
      </c>
      <c r="Q1432" s="1" t="str">
        <f>IFERROR(__xludf.DUMMYFUNCTION("""COMPUTED_VALUE"""),"CAVITE")</f>
        <v>CAVITE</v>
      </c>
      <c r="R1432" s="1" t="str">
        <f>IFERROR(__xludf.DUMMYFUNCTION("""COMPUTED_VALUE"""),"FIBR PLAN 1299")</f>
        <v>FIBR PLAN 1299</v>
      </c>
      <c r="S1432" s="1" t="str">
        <f>IFERROR(__xludf.DUMMYFUNCTION("""COMPUTED_VALUE"""),"APPROVED")</f>
        <v>APPROVED</v>
      </c>
      <c r="T1432" s="1" t="str">
        <f>IFERROR(__xludf.DUMMYFUNCTION("""COMPUTED_VALUE"""),"AFD")</f>
        <v>AFD</v>
      </c>
      <c r="U1432" s="1"/>
      <c r="V1432" s="1"/>
      <c r="W1432" s="1"/>
    </row>
    <row r="1433" customHeight="1" spans="1:23">
      <c r="A1433" s="3">
        <f>IFERROR(__xludf.DUMMYFUNCTION("""COMPUTED_VALUE"""),46144)</f>
        <v>46144</v>
      </c>
      <c r="B1433" s="1" t="str">
        <f>IFERROR(__xludf.DUMMYFUNCTION("""COMPUTED_VALUE"""),"FRONDEZ, JEDREFF")</f>
        <v>FRONDEZ, JEDREFF</v>
      </c>
      <c r="C1433" s="1" t="str">
        <f>IFERROR(__xludf.DUMMYFUNCTION("""COMPUTED_VALUE"""),"ORGANIC")</f>
        <v>ORGANIC</v>
      </c>
      <c r="D1433" s="1" t="str">
        <f>IFERROR(__xludf.DUMMYFUNCTION("""COMPUTED_VALUE"""),"REMOLLO LEA")</f>
        <v>REMOLLO LEA</v>
      </c>
      <c r="E1433" s="1" t="str">
        <f>IFERROR(__xludf.DUMMYFUNCTION("""COMPUTED_VALUE"""),"PLDT / H2H")</f>
        <v>PLDT / H2H</v>
      </c>
      <c r="F1433" s="1">
        <f>IFERROR(__xludf.DUMMYFUNCTION("""COMPUTED_VALUE"""),2309258143)</f>
        <v>2309258143</v>
      </c>
      <c r="G1433" s="1">
        <f>IFERROR(__xludf.DUMMYFUNCTION("""COMPUTED_VALUE"""),453002700004)</f>
        <v>453002700004</v>
      </c>
      <c r="H1433" s="1" t="str">
        <f>IFERROR(__xludf.DUMMYFUNCTION("""COMPUTED_VALUE"""),"JOSELITO SEVELLINO ALOLOR")</f>
        <v>JOSELITO SEVELLINO ALOLOR</v>
      </c>
      <c r="I1433" s="1">
        <f>IFERROR(__xludf.DUMMYFUNCTION("""COMPUTED_VALUE"""),9652686833)</f>
        <v>9652686833</v>
      </c>
      <c r="J1433" s="1"/>
      <c r="K1433" s="1" t="str">
        <f>IFERROR(__xludf.DUMMYFUNCTION("""COMPUTED_VALUE"""),"ROBERTO84@GMAIL.COM")</f>
        <v>ROBERTO84@GMAIL.COM</v>
      </c>
      <c r="L1433" s="1" t="str">
        <f>IFERROR(__xludf.DUMMYFUNCTION("""COMPUTED_VALUE"""),"BLK 2 LOT 26")</f>
        <v>BLK 2 LOT 26</v>
      </c>
      <c r="M1433" s="1" t="str">
        <f>IFERROR(__xludf.DUMMYFUNCTION("""COMPUTED_VALUE"""),"MEMIJE")</f>
        <v>MEMIJE</v>
      </c>
      <c r="N1433" s="1"/>
      <c r="O1433" s="1" t="str">
        <f>IFERROR(__xludf.DUMMYFUNCTION("""COMPUTED_VALUE"""),"MARCELINO MEMIJE")</f>
        <v>MARCELINO MEMIJE</v>
      </c>
      <c r="P1433" s="1" t="str">
        <f>IFERROR(__xludf.DUMMYFUNCTION("""COMPUTED_VALUE"""),"GEN MARIANO ALVAREZ")</f>
        <v>GEN MARIANO ALVAREZ</v>
      </c>
      <c r="Q1433" s="1" t="str">
        <f>IFERROR(__xludf.DUMMYFUNCTION("""COMPUTED_VALUE"""),"CAVITE")</f>
        <v>CAVITE</v>
      </c>
      <c r="R1433" s="1" t="str">
        <f>IFERROR(__xludf.DUMMYFUNCTION("""COMPUTED_VALUE"""),"FIBR PLAN 1299")</f>
        <v>FIBR PLAN 1299</v>
      </c>
      <c r="S1433" s="1" t="str">
        <f>IFERROR(__xludf.DUMMYFUNCTION("""COMPUTED_VALUE"""),"APPROVED")</f>
        <v>APPROVED</v>
      </c>
      <c r="T1433" s="1" t="str">
        <f>IFERROR(__xludf.DUMMYFUNCTION("""COMPUTED_VALUE"""),"CANCELLED")</f>
        <v>CANCELLED</v>
      </c>
      <c r="U1433" s="1"/>
      <c r="V1433" s="1"/>
      <c r="W1433" s="1"/>
    </row>
    <row r="1434" customHeight="1" spans="1:23">
      <c r="A1434" s="3">
        <f>IFERROR(__xludf.DUMMYFUNCTION("""COMPUTED_VALUE"""),46145)</f>
        <v>46145</v>
      </c>
      <c r="B1434" s="1" t="str">
        <f>IFERROR(__xludf.DUMMYFUNCTION("""COMPUTED_VALUE"""),"NAVARRO, JERIC")</f>
        <v>NAVARRO, JERIC</v>
      </c>
      <c r="C1434" s="1" t="str">
        <f>IFERROR(__xludf.DUMMYFUNCTION("""COMPUTED_VALUE"""),"FLA")</f>
        <v>FLA</v>
      </c>
      <c r="D1434" s="1" t="str">
        <f>IFERROR(__xludf.DUMMYFUNCTION("""COMPUTED_VALUE"""),"JERIC NAVARRO")</f>
        <v>JERIC NAVARRO</v>
      </c>
      <c r="E1434" s="1" t="str">
        <f>IFERROR(__xludf.DUMMYFUNCTION("""COMPUTED_VALUE"""),"PLDT / ONLINE")</f>
        <v>PLDT / ONLINE</v>
      </c>
      <c r="F1434" s="1">
        <f>IFERROR(__xludf.DUMMYFUNCTION("""COMPUTED_VALUE"""),2309267562)</f>
        <v>2309267562</v>
      </c>
      <c r="G1434" s="1">
        <f>IFERROR(__xludf.DUMMYFUNCTION("""COMPUTED_VALUE"""),453164294004)</f>
        <v>453164294004</v>
      </c>
      <c r="H1434" s="1" t="str">
        <f>IFERROR(__xludf.DUMMYFUNCTION("""COMPUTED_VALUE"""),"JOANA CRUZ CIPRIANO")</f>
        <v>JOANA CRUZ CIPRIANO</v>
      </c>
      <c r="I1434" s="1">
        <f>IFERROR(__xludf.DUMMYFUNCTION("""COMPUTED_VALUE"""),9451756785)</f>
        <v>9451756785</v>
      </c>
      <c r="J1434" s="1">
        <f>IFERROR(__xludf.DUMMYFUNCTION("""COMPUTED_VALUE"""),9601044897)</f>
        <v>9601044897</v>
      </c>
      <c r="K1434" s="1" t="str">
        <f>IFERROR(__xludf.DUMMYFUNCTION("""COMPUTED_VALUE"""),"JOANNACRUZCIPRIANO@GMAIL.COM")</f>
        <v>JOANNACRUZCIPRIANO@GMAIL.COM</v>
      </c>
      <c r="L1434" s="1" t="str">
        <f>IFERROR(__xludf.DUMMYFUNCTION("""COMPUTED_VALUE"""),"15")</f>
        <v>15</v>
      </c>
      <c r="M1434" s="1" t="str">
        <f>IFERROR(__xludf.DUMMYFUNCTION("""COMPUTED_VALUE"""),"ANABU RD")</f>
        <v>ANABU RD</v>
      </c>
      <c r="N1434" s="1"/>
      <c r="O1434" s="1" t="str">
        <f>IFERROR(__xludf.DUMMYFUNCTION("""COMPUTED_VALUE"""),"ANABU I-F")</f>
        <v>ANABU I-F</v>
      </c>
      <c r="P1434" s="1" t="str">
        <f>IFERROR(__xludf.DUMMYFUNCTION("""COMPUTED_VALUE"""),"IMUS")</f>
        <v>IMUS</v>
      </c>
      <c r="Q1434" s="1" t="str">
        <f>IFERROR(__xludf.DUMMYFUNCTION("""COMPUTED_VALUE"""),"CAVITE")</f>
        <v>CAVITE</v>
      </c>
      <c r="R1434" s="1" t="str">
        <f>IFERROR(__xludf.DUMMYFUNCTION("""COMPUTED_VALUE"""),"FIBR PLAN 1699")</f>
        <v>FIBR PLAN 1699</v>
      </c>
      <c r="S1434" s="1" t="str">
        <f>IFERROR(__xludf.DUMMYFUNCTION("""COMPUTED_VALUE"""),"APPROVED")</f>
        <v>APPROVED</v>
      </c>
      <c r="T1434" s="1" t="str">
        <f>IFERROR(__xludf.DUMMYFUNCTION("""COMPUTED_VALUE"""),"RPR")</f>
        <v>RPR</v>
      </c>
      <c r="U1434" s="1"/>
      <c r="V1434" s="1"/>
      <c r="W1434" s="1"/>
    </row>
    <row r="1435" customHeight="1" spans="1:23">
      <c r="A1435" s="3">
        <f>IFERROR(__xludf.DUMMYFUNCTION("""COMPUTED_VALUE"""),46145)</f>
        <v>46145</v>
      </c>
      <c r="B1435" s="1" t="str">
        <f>IFERROR(__xludf.DUMMYFUNCTION("""COMPUTED_VALUE"""),"DACALCAP RUBEN")</f>
        <v>DACALCAP RUBEN</v>
      </c>
      <c r="C1435" s="1" t="str">
        <f>IFERROR(__xludf.DUMMYFUNCTION("""COMPUTED_VALUE"""),"FLA")</f>
        <v>FLA</v>
      </c>
      <c r="D1435" s="1" t="str">
        <f>IFERROR(__xludf.DUMMYFUNCTION("""COMPUTED_VALUE"""),"JERIC NAVARRO")</f>
        <v>JERIC NAVARRO</v>
      </c>
      <c r="E1435" s="1" t="str">
        <f>IFERROR(__xludf.DUMMYFUNCTION("""COMPUTED_VALUE"""),"PLDT / H2H")</f>
        <v>PLDT / H2H</v>
      </c>
      <c r="F1435" s="1">
        <f>IFERROR(__xludf.DUMMYFUNCTION("""COMPUTED_VALUE"""),2309267956)</f>
        <v>2309267956</v>
      </c>
      <c r="G1435" s="1">
        <f>IFERROR(__xludf.DUMMYFUNCTION("""COMPUTED_VALUE"""),453142294004)</f>
        <v>453142294004</v>
      </c>
      <c r="H1435" s="1" t="str">
        <f>IFERROR(__xludf.DUMMYFUNCTION("""COMPUTED_VALUE"""),"AMARIAH MARVYNNE ZABALA SANTOS")</f>
        <v>AMARIAH MARVYNNE ZABALA SANTOS</v>
      </c>
      <c r="I1435" s="1">
        <f>IFERROR(__xludf.DUMMYFUNCTION("""COMPUTED_VALUE"""),9274555591)</f>
        <v>9274555591</v>
      </c>
      <c r="J1435" s="1">
        <f>IFERROR(__xludf.DUMMYFUNCTION("""COMPUTED_VALUE"""),9477355014)</f>
        <v>9477355014</v>
      </c>
      <c r="K1435" s="1" t="str">
        <f>IFERROR(__xludf.DUMMYFUNCTION("""COMPUTED_VALUE"""),"AMARIAHDEOCAMPO@GMAIL.COM")</f>
        <v>AMARIAHDEOCAMPO@GMAIL.COM</v>
      </c>
      <c r="L1435" s="1" t="str">
        <f>IFERROR(__xludf.DUMMYFUNCTION("""COMPUTED_VALUE"""),"BLK 33 LOT 10")</f>
        <v>BLK 33 LOT 10</v>
      </c>
      <c r="M1435" s="1" t="str">
        <f>IFERROR(__xludf.DUMMYFUNCTION("""COMPUTED_VALUE"""),"PHASE 2")</f>
        <v>PHASE 2</v>
      </c>
      <c r="N1435" s="1" t="str">
        <f>IFERROR(__xludf.DUMMYFUNCTION("""COMPUTED_VALUE"""),"SUNTRUST VERONA")</f>
        <v>SUNTRUST VERONA</v>
      </c>
      <c r="O1435" s="1" t="str">
        <f>IFERROR(__xludf.DUMMYFUNCTION("""COMPUTED_VALUE"""),"HOYO")</f>
        <v>HOYO</v>
      </c>
      <c r="P1435" s="1" t="str">
        <f>IFERROR(__xludf.DUMMYFUNCTION("""COMPUTED_VALUE"""),"SILANG")</f>
        <v>SILANG</v>
      </c>
      <c r="Q1435" s="1" t="str">
        <f>IFERROR(__xludf.DUMMYFUNCTION("""COMPUTED_VALUE"""),"CAVITE")</f>
        <v>CAVITE</v>
      </c>
      <c r="R1435" s="1" t="str">
        <f>IFERROR(__xludf.DUMMYFUNCTION("""COMPUTED_VALUE"""),"FIBR PLAN 1299")</f>
        <v>FIBR PLAN 1299</v>
      </c>
      <c r="S1435" s="1" t="str">
        <f>IFERROR(__xludf.DUMMYFUNCTION("""COMPUTED_VALUE"""),"APPROVED")</f>
        <v>APPROVED</v>
      </c>
      <c r="T1435" s="1" t="str">
        <f>IFERROR(__xludf.DUMMYFUNCTION("""COMPUTED_VALUE"""),"CLOSED")</f>
        <v>CLOSED</v>
      </c>
      <c r="U1435" s="1" t="str">
        <f>IFERROR(__xludf.DUMMYFUNCTION("""COMPUTED_VALUE"""),"POSTED")</f>
        <v>POSTED</v>
      </c>
      <c r="V1435" s="1"/>
      <c r="W1435" s="1"/>
    </row>
    <row r="1436" customHeight="1" spans="1:23">
      <c r="A1436" s="3">
        <f>IFERROR(__xludf.DUMMYFUNCTION("""COMPUTED_VALUE"""),46145)</f>
        <v>46145</v>
      </c>
      <c r="B1436" s="1" t="str">
        <f>IFERROR(__xludf.DUMMYFUNCTION("""COMPUTED_VALUE"""),"MAÑANITA, ERIKA")</f>
        <v>MAÑANITA, ERIKA</v>
      </c>
      <c r="C1436" s="1" t="str">
        <f>IFERROR(__xludf.DUMMYFUNCTION("""COMPUTED_VALUE"""),"ORGANIC")</f>
        <v>ORGANIC</v>
      </c>
      <c r="D1436" s="1" t="str">
        <f>IFERROR(__xludf.DUMMYFUNCTION("""COMPUTED_VALUE"""),"ALOS, CHARLS")</f>
        <v>ALOS, CHARLS</v>
      </c>
      <c r="E1436" s="1" t="str">
        <f>IFERROR(__xludf.DUMMYFUNCTION("""COMPUTED_VALUE"""),"PLDT / H2H")</f>
        <v>PLDT / H2H</v>
      </c>
      <c r="F1436" s="1">
        <f>IFERROR(__xludf.DUMMYFUNCTION("""COMPUTED_VALUE"""),2309268573)</f>
        <v>2309268573</v>
      </c>
      <c r="G1436" s="1">
        <f>IFERROR(__xludf.DUMMYFUNCTION("""COMPUTED_VALUE"""),453129420004)</f>
        <v>453129420004</v>
      </c>
      <c r="H1436" s="1" t="str">
        <f>IFERROR(__xludf.DUMMYFUNCTION("""COMPUTED_VALUE"""),"JESSA REFUGIO GAKO")</f>
        <v>JESSA REFUGIO GAKO</v>
      </c>
      <c r="I1436" s="1">
        <f>IFERROR(__xludf.DUMMYFUNCTION("""COMPUTED_VALUE"""),9562452956)</f>
        <v>9562452956</v>
      </c>
      <c r="J1436" s="1">
        <f>IFERROR(__xludf.DUMMYFUNCTION("""COMPUTED_VALUE"""),9386716084)</f>
        <v>9386716084</v>
      </c>
      <c r="K1436" s="1" t="str">
        <f>IFERROR(__xludf.DUMMYFUNCTION("""COMPUTED_VALUE"""),"JESSAGAKO3@GMAIL.COM")</f>
        <v>JESSAGAKO3@GMAIL.COM</v>
      </c>
      <c r="L1436" s="1" t="str">
        <f>IFERROR(__xludf.DUMMYFUNCTION("""COMPUTED_VALUE"""),"9148")</f>
        <v>9148</v>
      </c>
      <c r="M1436" s="1" t="str">
        <f>IFERROR(__xludf.DUMMYFUNCTION("""COMPUTED_VALUE"""),"MOJICA ")</f>
        <v>MOJICA </v>
      </c>
      <c r="N1436" s="1"/>
      <c r="O1436" s="1" t="str">
        <f>IFERROR(__xludf.DUMMYFUNCTION("""COMPUTED_VALUE"""),"BARANGAY 4 POBLACION")</f>
        <v>BARANGAY 4 POBLACION</v>
      </c>
      <c r="P1436" s="1" t="str">
        <f>IFERROR(__xludf.DUMMYFUNCTION("""COMPUTED_VALUE"""),"ALFONSO")</f>
        <v>ALFONSO</v>
      </c>
      <c r="Q1436" s="1" t="str">
        <f>IFERROR(__xludf.DUMMYFUNCTION("""COMPUTED_VALUE"""),"CAVITE")</f>
        <v>CAVITE</v>
      </c>
      <c r="R1436" s="1" t="str">
        <f>IFERROR(__xludf.DUMMYFUNCTION("""COMPUTED_VALUE"""),"FIBR NETFLIX PLAN 1599")</f>
        <v>FIBR NETFLIX PLAN 1599</v>
      </c>
      <c r="S1436" s="1" t="str">
        <f>IFERROR(__xludf.DUMMYFUNCTION("""COMPUTED_VALUE"""),"APPROVED")</f>
        <v>APPROVED</v>
      </c>
      <c r="T1436" s="1" t="str">
        <f>IFERROR(__xludf.DUMMYFUNCTION("""COMPUTED_VALUE"""),"CLOSED")</f>
        <v>CLOSED</v>
      </c>
      <c r="U1436" s="1" t="str">
        <f>IFERROR(__xludf.DUMMYFUNCTION("""COMPUTED_VALUE"""),"POSTED")</f>
        <v>POSTED</v>
      </c>
      <c r="V1436" s="1"/>
      <c r="W1436" s="1"/>
    </row>
    <row r="1437" customHeight="1" spans="1:23">
      <c r="A1437" s="3">
        <f>IFERROR(__xludf.DUMMYFUNCTION("""COMPUTED_VALUE"""),46145)</f>
        <v>46145</v>
      </c>
      <c r="B1437" s="1" t="str">
        <f>IFERROR(__xludf.DUMMYFUNCTION("""COMPUTED_VALUE"""),"ADVINCULA, NICOLE")</f>
        <v>ADVINCULA, NICOLE</v>
      </c>
      <c r="C1437" s="1" t="str">
        <f>IFERROR(__xludf.DUMMYFUNCTION("""COMPUTED_VALUE"""),"ORGANIC")</f>
        <v>ORGANIC</v>
      </c>
      <c r="D1437" s="1" t="str">
        <f>IFERROR(__xludf.DUMMYFUNCTION("""COMPUTED_VALUE"""),"ALINGARO, CINDY")</f>
        <v>ALINGARO, CINDY</v>
      </c>
      <c r="E1437" s="1" t="str">
        <f>IFERROR(__xludf.DUMMYFUNCTION("""COMPUTED_VALUE"""),"PLDT / H2H")</f>
        <v>PLDT / H2H</v>
      </c>
      <c r="F1437" s="1">
        <f>IFERROR(__xludf.DUMMYFUNCTION("""COMPUTED_VALUE"""),2309269354)</f>
        <v>2309269354</v>
      </c>
      <c r="G1437" s="1">
        <f>IFERROR(__xludf.DUMMYFUNCTION("""COMPUTED_VALUE"""),453131449004)</f>
        <v>453131449004</v>
      </c>
      <c r="H1437" s="1" t="str">
        <f>IFERROR(__xludf.DUMMYFUNCTION("""COMPUTED_VALUE"""),"JHONNEL SAPNU TOLENTINO")</f>
        <v>JHONNEL SAPNU TOLENTINO</v>
      </c>
      <c r="I1437" s="1">
        <f>IFERROR(__xludf.DUMMYFUNCTION("""COMPUTED_VALUE"""),9933246615)</f>
        <v>9933246615</v>
      </c>
      <c r="J1437" s="1">
        <f>IFERROR(__xludf.DUMMYFUNCTION("""COMPUTED_VALUE"""),9243017103)</f>
        <v>9243017103</v>
      </c>
      <c r="K1437" s="1" t="str">
        <f>IFERROR(__xludf.DUMMYFUNCTION("""COMPUTED_VALUE"""),"JHONNELTOLENTINO9@GMAIL.COM")</f>
        <v>JHONNELTOLENTINO9@GMAIL.COM</v>
      </c>
      <c r="L1437" s="1" t="str">
        <f>IFERROR(__xludf.DUMMYFUNCTION("""COMPUTED_VALUE"""),"BLK 10 LOT 39")</f>
        <v>BLK 10 LOT 39</v>
      </c>
      <c r="M1437" s="1" t="str">
        <f>IFERROR(__xludf.DUMMYFUNCTION("""COMPUTED_VALUE"""),"SAN JOSE")</f>
        <v>SAN JOSE</v>
      </c>
      <c r="N1437" s="1"/>
      <c r="O1437" s="1" t="str">
        <f>IFERROR(__xludf.DUMMYFUNCTION("""COMPUTED_VALUE"""),"SAN JOSE")</f>
        <v>SAN JOSE</v>
      </c>
      <c r="P1437" s="1" t="str">
        <f>IFERROR(__xludf.DUMMYFUNCTION("""COMPUTED_VALUE"""),"GEN MARIANO ALVAREZ")</f>
        <v>GEN MARIANO ALVAREZ</v>
      </c>
      <c r="Q1437" s="1" t="str">
        <f>IFERROR(__xludf.DUMMYFUNCTION("""COMPUTED_VALUE"""),"CAVITE")</f>
        <v>CAVITE</v>
      </c>
      <c r="R1437" s="1" t="str">
        <f>IFERROR(__xludf.DUMMYFUNCTION("""COMPUTED_VALUE"""),"FIBR PLAN 1299")</f>
        <v>FIBR PLAN 1299</v>
      </c>
      <c r="S1437" s="1" t="str">
        <f>IFERROR(__xludf.DUMMYFUNCTION("""COMPUTED_VALUE"""),"APPROVED")</f>
        <v>APPROVED</v>
      </c>
      <c r="T1437" s="1" t="str">
        <f>IFERROR(__xludf.DUMMYFUNCTION("""COMPUTED_VALUE"""),"CANCELLED")</f>
        <v>CANCELLED</v>
      </c>
      <c r="U1437" s="1"/>
      <c r="V1437" s="1"/>
      <c r="W1437" s="1"/>
    </row>
    <row r="1438" customHeight="1" spans="1:23">
      <c r="A1438" s="3">
        <f>IFERROR(__xludf.DUMMYFUNCTION("""COMPUTED_VALUE"""),46145)</f>
        <v>46145</v>
      </c>
      <c r="B1438" s="1" t="str">
        <f>IFERROR(__xludf.DUMMYFUNCTION("""COMPUTED_VALUE"""),"MAGDARAOG, KENNETH")</f>
        <v>MAGDARAOG, KENNETH</v>
      </c>
      <c r="C1438" s="1" t="str">
        <f>IFERROR(__xludf.DUMMYFUNCTION("""COMPUTED_VALUE"""),"ORGANIC")</f>
        <v>ORGANIC</v>
      </c>
      <c r="D1438" s="1" t="str">
        <f>IFERROR(__xludf.DUMMYFUNCTION("""COMPUTED_VALUE"""),"ALINGARO, CINDY")</f>
        <v>ALINGARO, CINDY</v>
      </c>
      <c r="E1438" s="1" t="str">
        <f>IFERROR(__xludf.DUMMYFUNCTION("""COMPUTED_VALUE"""),"PLDT / H2H")</f>
        <v>PLDT / H2H</v>
      </c>
      <c r="F1438" s="1">
        <f>IFERROR(__xludf.DUMMYFUNCTION("""COMPUTED_VALUE"""),2309276321)</f>
        <v>2309276321</v>
      </c>
      <c r="G1438" s="1">
        <f>IFERROR(__xludf.DUMMYFUNCTION("""COMPUTED_VALUE"""),453151295004)</f>
        <v>453151295004</v>
      </c>
      <c r="H1438" s="1" t="str">
        <f>IFERROR(__xludf.DUMMYFUNCTION("""COMPUTED_VALUE"""),"KATRINA JIMENO MAJORENOS")</f>
        <v>KATRINA JIMENO MAJORENOS</v>
      </c>
      <c r="I1438" s="1">
        <f>IFERROR(__xludf.DUMMYFUNCTION("""COMPUTED_VALUE"""),9190954941)</f>
        <v>9190954941</v>
      </c>
      <c r="J1438" s="1"/>
      <c r="K1438" s="1" t="str">
        <f>IFERROR(__xludf.DUMMYFUNCTION("""COMPUTED_VALUE"""),"KMAJORENOS@GMAIL.COM")</f>
        <v>KMAJORENOS@GMAIL.COM</v>
      </c>
      <c r="L1438" s="1" t="str">
        <f>IFERROR(__xludf.DUMMYFUNCTION("""COMPUTED_VALUE"""),"49")</f>
        <v>49</v>
      </c>
      <c r="M1438" s="1" t="str">
        <f>IFERROR(__xludf.DUMMYFUNCTION("""COMPUTED_VALUE"""),"MONTENEGRO ")</f>
        <v>MONTENEGRO </v>
      </c>
      <c r="N1438" s="1"/>
      <c r="O1438" s="1" t="str">
        <f>IFERROR(__xludf.DUMMYFUNCTION("""COMPUTED_VALUE"""),"PAJO")</f>
        <v>PAJO</v>
      </c>
      <c r="P1438" s="1" t="str">
        <f>IFERROR(__xludf.DUMMYFUNCTION("""COMPUTED_VALUE"""),"ALFONSO")</f>
        <v>ALFONSO</v>
      </c>
      <c r="Q1438" s="1" t="str">
        <f>IFERROR(__xludf.DUMMYFUNCTION("""COMPUTED_VALUE"""),"CAVITE")</f>
        <v>CAVITE</v>
      </c>
      <c r="R1438" s="1" t="str">
        <f>IFERROR(__xludf.DUMMYFUNCTION("""COMPUTED_VALUE"""),"PREPAID FIBER UNLI")</f>
        <v>PREPAID FIBER UNLI</v>
      </c>
      <c r="S1438" s="1" t="str">
        <f>IFERROR(__xludf.DUMMYFUNCTION("""COMPUTED_VALUE"""),"APPROVED")</f>
        <v>APPROVED</v>
      </c>
      <c r="T1438" s="1" t="str">
        <f>IFERROR(__xludf.DUMMYFUNCTION("""COMPUTED_VALUE"""),"CLOSED")</f>
        <v>CLOSED</v>
      </c>
      <c r="U1438" s="1" t="str">
        <f>IFERROR(__xludf.DUMMYFUNCTION("""COMPUTED_VALUE"""),"POSTED")</f>
        <v>POSTED</v>
      </c>
      <c r="V1438" s="1"/>
      <c r="W1438" s="1"/>
    </row>
    <row r="1439" customHeight="1" spans="1:23">
      <c r="A1439" s="3">
        <f>IFERROR(__xludf.DUMMYFUNCTION("""COMPUTED_VALUE"""),46145)</f>
        <v>46145</v>
      </c>
      <c r="B1439" s="1" t="str">
        <f>IFERROR(__xludf.DUMMYFUNCTION("""COMPUTED_VALUE"""),"VERESO , MERL FRANCINE")</f>
        <v>VERESO , MERL FRANCINE</v>
      </c>
      <c r="C1439" s="1" t="str">
        <f>IFERROR(__xludf.DUMMYFUNCTION("""COMPUTED_VALUE"""),"ORGANIC")</f>
        <v>ORGANIC</v>
      </c>
      <c r="D1439" s="1" t="str">
        <f>IFERROR(__xludf.DUMMYFUNCTION("""COMPUTED_VALUE"""),"ALOS, CHARLS")</f>
        <v>ALOS, CHARLS</v>
      </c>
      <c r="E1439" s="1" t="str">
        <f>IFERROR(__xludf.DUMMYFUNCTION("""COMPUTED_VALUE"""),"PLDT / H2H")</f>
        <v>PLDT / H2H</v>
      </c>
      <c r="F1439" s="1">
        <f>IFERROR(__xludf.DUMMYFUNCTION("""COMPUTED_VALUE"""),2309274429)</f>
        <v>2309274429</v>
      </c>
      <c r="G1439" s="1">
        <f>IFERROR(__xludf.DUMMYFUNCTION("""COMPUTED_VALUE"""),453143565004)</f>
        <v>453143565004</v>
      </c>
      <c r="H1439" s="1" t="str">
        <f>IFERROR(__xludf.DUMMYFUNCTION("""COMPUTED_VALUE"""),"RAMON TOECITA INDEMME")</f>
        <v>RAMON TOECITA INDEMME</v>
      </c>
      <c r="I1439" s="1">
        <f>IFERROR(__xludf.DUMMYFUNCTION("""COMPUTED_VALUE"""),9999459066)</f>
        <v>9999459066</v>
      </c>
      <c r="J1439" s="1"/>
      <c r="K1439" s="1" t="str">
        <f>IFERROR(__xludf.DUMMYFUNCTION("""COMPUTED_VALUE"""),"CHINGINDEMME@GMAIL.COM")</f>
        <v>CHINGINDEMME@GMAIL.COM</v>
      </c>
      <c r="L1439" s="1" t="str">
        <f>IFERROR(__xludf.DUMMYFUNCTION("""COMPUTED_VALUE"""),"15")</f>
        <v>15</v>
      </c>
      <c r="M1439" s="1" t="str">
        <f>IFERROR(__xludf.DUMMYFUNCTION("""COMPUTED_VALUE"""),"FIGUEROA ")</f>
        <v>FIGUEROA </v>
      </c>
      <c r="N1439" s="1"/>
      <c r="O1439" s="1" t="str">
        <f>IFERROR(__xludf.DUMMYFUNCTION("""COMPUTED_VALUE"""),"MOLINO V")</f>
        <v>MOLINO V</v>
      </c>
      <c r="P1439" s="1" t="str">
        <f>IFERROR(__xludf.DUMMYFUNCTION("""COMPUTED_VALUE"""),"BACOOR")</f>
        <v>BACOOR</v>
      </c>
      <c r="Q1439" s="1" t="str">
        <f>IFERROR(__xludf.DUMMYFUNCTION("""COMPUTED_VALUE"""),"CAVITE")</f>
        <v>CAVITE</v>
      </c>
      <c r="R1439" s="1" t="str">
        <f>IFERROR(__xludf.DUMMYFUNCTION("""COMPUTED_VALUE"""),"PREPAID FIBER UNLI")</f>
        <v>PREPAID FIBER UNLI</v>
      </c>
      <c r="S1439" s="1" t="str">
        <f>IFERROR(__xludf.DUMMYFUNCTION("""COMPUTED_VALUE"""),"APPROVED")</f>
        <v>APPROVED</v>
      </c>
      <c r="T1439" s="1" t="str">
        <f>IFERROR(__xludf.DUMMYFUNCTION("""COMPUTED_VALUE"""),"CLOSED")</f>
        <v>CLOSED</v>
      </c>
      <c r="U1439" s="1" t="str">
        <f>IFERROR(__xludf.DUMMYFUNCTION("""COMPUTED_VALUE"""),"POSTED")</f>
        <v>POSTED</v>
      </c>
      <c r="V1439" s="1"/>
      <c r="W1439" s="1"/>
    </row>
    <row r="1440" customHeight="1" spans="1:23">
      <c r="A1440" s="3">
        <f>IFERROR(__xludf.DUMMYFUNCTION("""COMPUTED_VALUE"""),46145)</f>
        <v>46145</v>
      </c>
      <c r="B1440" s="1" t="str">
        <f>IFERROR(__xludf.DUMMYFUNCTION("""COMPUTED_VALUE"""),"MAGDARAOG, KENNETH")</f>
        <v>MAGDARAOG, KENNETH</v>
      </c>
      <c r="C1440" s="1" t="str">
        <f>IFERROR(__xludf.DUMMYFUNCTION("""COMPUTED_VALUE"""),"ORGANIC")</f>
        <v>ORGANIC</v>
      </c>
      <c r="D1440" s="1" t="str">
        <f>IFERROR(__xludf.DUMMYFUNCTION("""COMPUTED_VALUE"""),"ALINGARO, CINDY")</f>
        <v>ALINGARO, CINDY</v>
      </c>
      <c r="E1440" s="1" t="str">
        <f>IFERROR(__xludf.DUMMYFUNCTION("""COMPUTED_VALUE"""),"PLDT / ONLINE")</f>
        <v>PLDT / ONLINE</v>
      </c>
      <c r="F1440" s="1"/>
      <c r="G1440" s="1"/>
      <c r="H1440" s="1" t="str">
        <f>IFERROR(__xludf.DUMMYFUNCTION("""COMPUTED_VALUE"""),"NERRYLYN BARILLOS DE LEON")</f>
        <v>NERRYLYN BARILLOS DE LEON</v>
      </c>
      <c r="I1440" s="1">
        <f>IFERROR(__xludf.DUMMYFUNCTION("""COMPUTED_VALUE"""),9318326032)</f>
        <v>9318326032</v>
      </c>
      <c r="J1440" s="1">
        <f>IFERROR(__xludf.DUMMYFUNCTION("""COMPUTED_VALUE"""),9917826820)</f>
        <v>9917826820</v>
      </c>
      <c r="K1440" s="1" t="str">
        <f>IFERROR(__xludf.DUMMYFUNCTION("""COMPUTED_VALUE"""),"DELEONNERRILYN0402@GMAIL.COM")</f>
        <v>DELEONNERRILYN0402@GMAIL.COM</v>
      </c>
      <c r="L1440" s="1" t="str">
        <f>IFERROR(__xludf.DUMMYFUNCTION("""COMPUTED_VALUE"""),"57")</f>
        <v>57</v>
      </c>
      <c r="M1440" s="1" t="str">
        <f>IFERROR(__xludf.DUMMYFUNCTION("""COMPUTED_VALUE"""),"SAN ROQUE")</f>
        <v>SAN ROQUE</v>
      </c>
      <c r="N1440" s="1"/>
      <c r="O1440" s="1" t="str">
        <f>IFERROR(__xludf.DUMMYFUNCTION("""COMPUTED_VALUE"""),"SAN ROQUE")</f>
        <v>SAN ROQUE</v>
      </c>
      <c r="P1440" s="1"/>
      <c r="Q1440" s="1" t="str">
        <f>IFERROR(__xludf.DUMMYFUNCTION("""COMPUTED_VALUE"""),"BATANGAS")</f>
        <v>BATANGAS</v>
      </c>
      <c r="R1440" s="1" t="str">
        <f>IFERROR(__xludf.DUMMYFUNCTION("""COMPUTED_VALUE"""),"FIBR PLAN 1299")</f>
        <v>FIBR PLAN 1299</v>
      </c>
      <c r="S1440" s="1" t="str">
        <f>IFERROR(__xludf.DUMMYFUNCTION("""COMPUTED_VALUE"""),"APPROVED")</f>
        <v>APPROVED</v>
      </c>
      <c r="T1440" s="1" t="str">
        <f>IFERROR(__xludf.DUMMYFUNCTION("""COMPUTED_VALUE"""),"#N/A")</f>
        <v>#N/A</v>
      </c>
      <c r="U1440" s="1" t="str">
        <f>IFERROR(__xludf.DUMMYFUNCTION("""COMPUTED_VALUE"""),"ENDORSED TO BATANGAS")</f>
        <v>ENDORSED TO BATANGAS</v>
      </c>
      <c r="V1440" s="1"/>
      <c r="W1440" s="1"/>
    </row>
    <row r="1441" customHeight="1" spans="1:23">
      <c r="A1441" s="3">
        <f>IFERROR(__xludf.DUMMYFUNCTION("""COMPUTED_VALUE"""),46145)</f>
        <v>46145</v>
      </c>
      <c r="B1441" s="1" t="str">
        <f>IFERROR(__xludf.DUMMYFUNCTION("""COMPUTED_VALUE"""),"REMOLLO, LEA")</f>
        <v>REMOLLO, LEA</v>
      </c>
      <c r="C1441" s="1" t="str">
        <f>IFERROR(__xludf.DUMMYFUNCTION("""COMPUTED_VALUE"""),"FLA")</f>
        <v>FLA</v>
      </c>
      <c r="D1441" s="1" t="str">
        <f>IFERROR(__xludf.DUMMYFUNCTION("""COMPUTED_VALUE"""),"JERIC NAVARRO")</f>
        <v>JERIC NAVARRO</v>
      </c>
      <c r="E1441" s="1" t="str">
        <f>IFERROR(__xludf.DUMMYFUNCTION("""COMPUTED_VALUE"""),"PLDT / H2H")</f>
        <v>PLDT / H2H</v>
      </c>
      <c r="F1441" s="1">
        <f>IFERROR(__xludf.DUMMYFUNCTION("""COMPUTED_VALUE"""),2309276705)</f>
        <v>2309276705</v>
      </c>
      <c r="G1441" s="1">
        <f>IFERROR(__xludf.DUMMYFUNCTION("""COMPUTED_VALUE"""),453259470004)</f>
        <v>453259470004</v>
      </c>
      <c r="H1441" s="1" t="str">
        <f>IFERROR(__xludf.DUMMYFUNCTION("""COMPUTED_VALUE"""),"SHAIRA MACAISIP CEZAR")</f>
        <v>SHAIRA MACAISIP CEZAR</v>
      </c>
      <c r="I1441" s="1">
        <f>IFERROR(__xludf.DUMMYFUNCTION("""COMPUTED_VALUE"""),9353136098)</f>
        <v>9353136098</v>
      </c>
      <c r="J1441" s="1"/>
      <c r="K1441" s="1" t="str">
        <f>IFERROR(__xludf.DUMMYFUNCTION("""COMPUTED_VALUE"""),"SHAIRA.CEZAR@ICLOUD.COM")</f>
        <v>SHAIRA.CEZAR@ICLOUD.COM</v>
      </c>
      <c r="L1441" s="1" t="str">
        <f>IFERROR(__xludf.DUMMYFUNCTION("""COMPUTED_VALUE"""),"189")</f>
        <v>189</v>
      </c>
      <c r="M1441" s="1" t="str">
        <f>IFERROR(__xludf.DUMMYFUNCTION("""COMPUTED_VALUE"""),"ANULING LEJOS")</f>
        <v>ANULING LEJOS</v>
      </c>
      <c r="N1441" s="1"/>
      <c r="O1441" s="1" t="str">
        <f>IFERROR(__xludf.DUMMYFUNCTION("""COMPUTED_VALUE"""),"ANULING LEJOS II")</f>
        <v>ANULING LEJOS II</v>
      </c>
      <c r="P1441" s="1" t="str">
        <f>IFERROR(__xludf.DUMMYFUNCTION("""COMPUTED_VALUE"""),"MENDEZ")</f>
        <v>MENDEZ</v>
      </c>
      <c r="Q1441" s="1" t="str">
        <f>IFERROR(__xludf.DUMMYFUNCTION("""COMPUTED_VALUE"""),"CAVITE")</f>
        <v>CAVITE</v>
      </c>
      <c r="R1441" s="1" t="str">
        <f>IFERROR(__xludf.DUMMYFUNCTION("""COMPUTED_VALUE"""),"FIBR PLAN 1699")</f>
        <v>FIBR PLAN 1699</v>
      </c>
      <c r="S1441" s="1" t="str">
        <f>IFERROR(__xludf.DUMMYFUNCTION("""COMPUTED_VALUE"""),"APPROVED")</f>
        <v>APPROVED</v>
      </c>
      <c r="T1441" s="1" t="str">
        <f>IFERROR(__xludf.DUMMYFUNCTION("""COMPUTED_VALUE"""),"CLOSED")</f>
        <v>CLOSED</v>
      </c>
      <c r="U1441" s="1" t="str">
        <f>IFERROR(__xludf.DUMMYFUNCTION("""COMPUTED_VALUE"""),"POSTED")</f>
        <v>POSTED</v>
      </c>
      <c r="V1441" s="1"/>
      <c r="W1441" s="1"/>
    </row>
    <row r="1442" customHeight="1" spans="1:23">
      <c r="A1442" s="3">
        <f>IFERROR(__xludf.DUMMYFUNCTION("""COMPUTED_VALUE"""),46145)</f>
        <v>46145</v>
      </c>
      <c r="B1442" s="1" t="str">
        <f>IFERROR(__xludf.DUMMYFUNCTION("""COMPUTED_VALUE"""),"FARO, REFRANTA")</f>
        <v>FARO, REFRANTA</v>
      </c>
      <c r="C1442" s="1" t="str">
        <f>IFERROR(__xludf.DUMMYFUNCTION("""COMPUTED_VALUE"""),"ORGANIC")</f>
        <v>ORGANIC</v>
      </c>
      <c r="D1442" s="1" t="str">
        <f>IFERROR(__xludf.DUMMYFUNCTION("""COMPUTED_VALUE"""),"ALINGARO, CINDY")</f>
        <v>ALINGARO, CINDY</v>
      </c>
      <c r="E1442" s="1" t="str">
        <f>IFERROR(__xludf.DUMMYFUNCTION("""COMPUTED_VALUE"""),"PLDT / H2H")</f>
        <v>PLDT / H2H</v>
      </c>
      <c r="F1442" s="1">
        <f>IFERROR(__xludf.DUMMYFUNCTION("""COMPUTED_VALUE"""),2309277232)</f>
        <v>2309277232</v>
      </c>
      <c r="G1442" s="1">
        <f>IFERROR(__xludf.DUMMYFUNCTION("""COMPUTED_VALUE"""),453171357004)</f>
        <v>453171357004</v>
      </c>
      <c r="H1442" s="1" t="str">
        <f>IFERROR(__xludf.DUMMYFUNCTION("""COMPUTED_VALUE"""),"DIONISIO MEDINA REGOLES")</f>
        <v>DIONISIO MEDINA REGOLES</v>
      </c>
      <c r="I1442" s="1">
        <f>IFERROR(__xludf.DUMMYFUNCTION("""COMPUTED_VALUE"""),9955376051)</f>
        <v>9955376051</v>
      </c>
      <c r="J1442" s="1"/>
      <c r="K1442" s="1" t="str">
        <f>IFERROR(__xludf.DUMMYFUNCTION("""COMPUTED_VALUE"""),"REGOLESJUVYMAE@GMAIL.COM")</f>
        <v>REGOLESJUVYMAE@GMAIL.COM</v>
      </c>
      <c r="L1442" s="1" t="str">
        <f>IFERROR(__xludf.DUMMYFUNCTION("""COMPUTED_VALUE"""),"BLK 24 LOT 57")</f>
        <v>BLK 24 LOT 57</v>
      </c>
      <c r="M1442" s="1" t="str">
        <f>IFERROR(__xludf.DUMMYFUNCTION("""COMPUTED_VALUE"""),"PHASE 4")</f>
        <v>PHASE 4</v>
      </c>
      <c r="N1442" s="1" t="str">
        <f>IFERROR(__xludf.DUMMYFUNCTION("""COMPUTED_VALUE"""),"ALTA TIERA")</f>
        <v>ALTA TIERA</v>
      </c>
      <c r="O1442" s="1" t="str">
        <f>IFERROR(__xludf.DUMMYFUNCTION("""COMPUTED_VALUE"""),"ALDIANO OLAES")</f>
        <v>ALDIANO OLAES</v>
      </c>
      <c r="P1442" s="1" t="str">
        <f>IFERROR(__xludf.DUMMYFUNCTION("""COMPUTED_VALUE"""),"GEN MARIANO ALVAREZ")</f>
        <v>GEN MARIANO ALVAREZ</v>
      </c>
      <c r="Q1442" s="1" t="str">
        <f>IFERROR(__xludf.DUMMYFUNCTION("""COMPUTED_VALUE"""),"CAVITE")</f>
        <v>CAVITE</v>
      </c>
      <c r="R1442" s="1" t="str">
        <f>IFERROR(__xludf.DUMMYFUNCTION("""COMPUTED_VALUE"""),"FIBR PLAN 1299")</f>
        <v>FIBR PLAN 1299</v>
      </c>
      <c r="S1442" s="1" t="str">
        <f>IFERROR(__xludf.DUMMYFUNCTION("""COMPUTED_VALUE"""),"APPROVED")</f>
        <v>APPROVED</v>
      </c>
      <c r="T1442" s="1" t="str">
        <f>IFERROR(__xludf.DUMMYFUNCTION("""COMPUTED_VALUE"""),"RPR")</f>
        <v>RPR</v>
      </c>
      <c r="U1442" s="1"/>
      <c r="V1442" s="1"/>
      <c r="W1442" s="1"/>
    </row>
    <row r="1443" customHeight="1" spans="1:23">
      <c r="A1443" s="3">
        <f>IFERROR(__xludf.DUMMYFUNCTION("""COMPUTED_VALUE"""),46145)</f>
        <v>46145</v>
      </c>
      <c r="B1443" s="1" t="str">
        <f>IFERROR(__xludf.DUMMYFUNCTION("""COMPUTED_VALUE"""),"DELA ROSA, JENNELYN")</f>
        <v>DELA ROSA, JENNELYN</v>
      </c>
      <c r="C1443" s="1" t="str">
        <f>IFERROR(__xludf.DUMMYFUNCTION("""COMPUTED_VALUE"""),"ORGANIC")</f>
        <v>ORGANIC</v>
      </c>
      <c r="D1443" s="1" t="str">
        <f>IFERROR(__xludf.DUMMYFUNCTION("""COMPUTED_VALUE"""),"ALOS, CHARLS")</f>
        <v>ALOS, CHARLS</v>
      </c>
      <c r="E1443" s="1" t="str">
        <f>IFERROR(__xludf.DUMMYFUNCTION("""COMPUTED_VALUE"""),"PLDT / H2H")</f>
        <v>PLDT / H2H</v>
      </c>
      <c r="F1443" s="1">
        <f>IFERROR(__xludf.DUMMYFUNCTION("""COMPUTED_VALUE"""),2309276934)</f>
        <v>2309276934</v>
      </c>
      <c r="G1443" s="1">
        <f>IFERROR(__xludf.DUMMYFUNCTION("""COMPUTED_VALUE"""),453164907004)</f>
        <v>453164907004</v>
      </c>
      <c r="H1443" s="1" t="str">
        <f>IFERROR(__xludf.DUMMYFUNCTION("""COMPUTED_VALUE"""),"MICHELLE PELIAS LABRADOR")</f>
        <v>MICHELLE PELIAS LABRADOR</v>
      </c>
      <c r="I1443" s="1">
        <f>IFERROR(__xludf.DUMMYFUNCTION("""COMPUTED_VALUE"""),9515543806)</f>
        <v>9515543806</v>
      </c>
      <c r="J1443" s="1"/>
      <c r="K1443" s="1" t="str">
        <f>IFERROR(__xludf.DUMMYFUNCTION("""COMPUTED_VALUE"""),"CHELLE.PELIAS@GMAIL.COM")</f>
        <v>CHELLE.PELIAS@GMAIL.COM</v>
      </c>
      <c r="L1443" s="1" t="str">
        <f>IFERROR(__xludf.DUMMYFUNCTION("""COMPUTED_VALUE"""),"31")</f>
        <v>31</v>
      </c>
      <c r="M1443" s="1" t="str">
        <f>IFERROR(__xludf.DUMMYFUNCTION("""COMPUTED_VALUE"""),"PHASE 2")</f>
        <v>PHASE 2</v>
      </c>
      <c r="N1443" s="1"/>
      <c r="O1443" s="1" t="str">
        <f>IFERROR(__xludf.DUMMYFUNCTION("""COMPUTED_VALUE"""),"ANAHAW II")</f>
        <v>ANAHAW II</v>
      </c>
      <c r="P1443" s="1" t="str">
        <f>IFERROR(__xludf.DUMMYFUNCTION("""COMPUTED_VALUE"""),"SILANG")</f>
        <v>SILANG</v>
      </c>
      <c r="Q1443" s="1" t="str">
        <f>IFERROR(__xludf.DUMMYFUNCTION("""COMPUTED_VALUE"""),"CAVITE")</f>
        <v>CAVITE</v>
      </c>
      <c r="R1443" s="1" t="str">
        <f>IFERROR(__xludf.DUMMYFUNCTION("""COMPUTED_VALUE"""),"FIBR UNLI ALL PLAN 999")</f>
        <v>FIBR UNLI ALL PLAN 999</v>
      </c>
      <c r="S1443" s="1" t="str">
        <f>IFERROR(__xludf.DUMMYFUNCTION("""COMPUTED_VALUE"""),"APPROVED")</f>
        <v>APPROVED</v>
      </c>
      <c r="T1443" s="1" t="str">
        <f>IFERROR(__xludf.DUMMYFUNCTION("""COMPUTED_VALUE"""),"CLOSED")</f>
        <v>CLOSED</v>
      </c>
      <c r="U1443" s="1" t="str">
        <f>IFERROR(__xludf.DUMMYFUNCTION("""COMPUTED_VALUE"""),"POSTED")</f>
        <v>POSTED</v>
      </c>
      <c r="V1443" s="1"/>
      <c r="W1443" s="1"/>
    </row>
    <row r="1444" customHeight="1" spans="1:23">
      <c r="A1444" s="3">
        <f>IFERROR(__xludf.DUMMYFUNCTION("""COMPUTED_VALUE"""),46145)</f>
        <v>46145</v>
      </c>
      <c r="B1444" s="1" t="str">
        <f>IFERROR(__xludf.DUMMYFUNCTION("""COMPUTED_VALUE"""),"VERESO , MERL FRANCINE")</f>
        <v>VERESO , MERL FRANCINE</v>
      </c>
      <c r="C1444" s="1" t="str">
        <f>IFERROR(__xludf.DUMMYFUNCTION("""COMPUTED_VALUE"""),"ORGANIC")</f>
        <v>ORGANIC</v>
      </c>
      <c r="D1444" s="1" t="str">
        <f>IFERROR(__xludf.DUMMYFUNCTION("""COMPUTED_VALUE"""),"ALOS, CHARLS")</f>
        <v>ALOS, CHARLS</v>
      </c>
      <c r="E1444" s="1" t="str">
        <f>IFERROR(__xludf.DUMMYFUNCTION("""COMPUTED_VALUE"""),"PLDT / H2H")</f>
        <v>PLDT / H2H</v>
      </c>
      <c r="F1444" s="1">
        <f>IFERROR(__xludf.DUMMYFUNCTION("""COMPUTED_VALUE"""),2309277568)</f>
        <v>2309277568</v>
      </c>
      <c r="G1444" s="1">
        <f>IFERROR(__xludf.DUMMYFUNCTION("""COMPUTED_VALUE"""),453259550004)</f>
        <v>453259550004</v>
      </c>
      <c r="H1444" s="1" t="str">
        <f>IFERROR(__xludf.DUMMYFUNCTION("""COMPUTED_VALUE"""),"ALLAN ARONG SULLANO")</f>
        <v>ALLAN ARONG SULLANO</v>
      </c>
      <c r="I1444" s="1">
        <f>IFERROR(__xludf.DUMMYFUNCTION("""COMPUTED_VALUE"""),9850324459)</f>
        <v>9850324459</v>
      </c>
      <c r="J1444" s="1"/>
      <c r="K1444" s="1" t="str">
        <f>IFERROR(__xludf.DUMMYFUNCTION("""COMPUTED_VALUE"""),"MIALYNGOGOLIN@GMAIL.COM")</f>
        <v>MIALYNGOGOLIN@GMAIL.COM</v>
      </c>
      <c r="L1444" s="1" t="str">
        <f>IFERROR(__xludf.DUMMYFUNCTION("""COMPUTED_VALUE"""),"141")</f>
        <v>141</v>
      </c>
      <c r="M1444" s="1" t="str">
        <f>IFERROR(__xludf.DUMMYFUNCTION("""COMPUTED_VALUE"""),"PHASE 2")</f>
        <v>PHASE 2</v>
      </c>
      <c r="N1444" s="1"/>
      <c r="O1444" s="1" t="str">
        <f>IFERROR(__xludf.DUMMYFUNCTION("""COMPUTED_VALUE"""),"ANAHAW II")</f>
        <v>ANAHAW II</v>
      </c>
      <c r="P1444" s="1" t="str">
        <f>IFERROR(__xludf.DUMMYFUNCTION("""COMPUTED_VALUE"""),"SILANG")</f>
        <v>SILANG</v>
      </c>
      <c r="Q1444" s="1" t="str">
        <f>IFERROR(__xludf.DUMMYFUNCTION("""COMPUTED_VALUE"""),"CAVITE")</f>
        <v>CAVITE</v>
      </c>
      <c r="R1444" s="1" t="str">
        <f>IFERROR(__xludf.DUMMYFUNCTION("""COMPUTED_VALUE"""),"FIBR PLAN 1299")</f>
        <v>FIBR PLAN 1299</v>
      </c>
      <c r="S1444" s="1" t="str">
        <f>IFERROR(__xludf.DUMMYFUNCTION("""COMPUTED_VALUE"""),"APPROVED")</f>
        <v>APPROVED</v>
      </c>
      <c r="T1444" s="1" t="str">
        <f>IFERROR(__xludf.DUMMYFUNCTION("""COMPUTED_VALUE"""),"CANCELLED")</f>
        <v>CANCELLED</v>
      </c>
      <c r="U1444" s="1"/>
      <c r="V1444" s="1"/>
      <c r="W1444" s="1"/>
    </row>
    <row r="1445" customHeight="1" spans="1:23">
      <c r="A1445" s="3">
        <f>IFERROR(__xludf.DUMMYFUNCTION("""COMPUTED_VALUE"""),46145)</f>
        <v>46145</v>
      </c>
      <c r="B1445" s="1" t="str">
        <f>IFERROR(__xludf.DUMMYFUNCTION("""COMPUTED_VALUE"""),"AGUNOS, JHON AIRVIN")</f>
        <v>AGUNOS, JHON AIRVIN</v>
      </c>
      <c r="C1445" s="1" t="str">
        <f>IFERROR(__xludf.DUMMYFUNCTION("""COMPUTED_VALUE"""),"ORGANIC")</f>
        <v>ORGANIC</v>
      </c>
      <c r="D1445" s="1" t="str">
        <f>IFERROR(__xludf.DUMMYFUNCTION("""COMPUTED_VALUE"""),"ALINGARO, CINDY")</f>
        <v>ALINGARO, CINDY</v>
      </c>
      <c r="E1445" s="1" t="str">
        <f>IFERROR(__xludf.DUMMYFUNCTION("""COMPUTED_VALUE"""),"PLDT / ONLINE")</f>
        <v>PLDT / ONLINE</v>
      </c>
      <c r="F1445" s="1">
        <f>IFERROR(__xludf.DUMMYFUNCTION("""COMPUTED_VALUE"""),2309278289)</f>
        <v>2309278289</v>
      </c>
      <c r="G1445" s="1">
        <f>IFERROR(__xludf.DUMMYFUNCTION("""COMPUTED_VALUE"""),453177067004)</f>
        <v>453177067004</v>
      </c>
      <c r="H1445" s="1" t="str">
        <f>IFERROR(__xludf.DUMMYFUNCTION("""COMPUTED_VALUE"""),"BARRY ACONTAZA CARINO")</f>
        <v>BARRY ACONTAZA CARINO</v>
      </c>
      <c r="I1445" s="1">
        <f>IFERROR(__xludf.DUMMYFUNCTION("""COMPUTED_VALUE"""),9324236210)</f>
        <v>9324236210</v>
      </c>
      <c r="J1445" s="1">
        <f>IFERROR(__xludf.DUMMYFUNCTION("""COMPUTED_VALUE"""),9461051164)</f>
        <v>9461051164</v>
      </c>
      <c r="K1445" s="1" t="str">
        <f>IFERROR(__xludf.DUMMYFUNCTION("""COMPUTED_VALUE"""),"BARRYCARINO@012345@GMAIL.COM")</f>
        <v>BARRYCARINO@012345@GMAIL.COM</v>
      </c>
      <c r="L1445" s="1" t="str">
        <f>IFERROR(__xludf.DUMMYFUNCTION("""COMPUTED_VALUE"""),"BLK 3 LOT 58")</f>
        <v>BLK 3 LOT 58</v>
      </c>
      <c r="M1445" s="1" t="str">
        <f>IFERROR(__xludf.DUMMYFUNCTION("""COMPUTED_VALUE"""),"GRANADOS")</f>
        <v>GRANADOS</v>
      </c>
      <c r="N1445" s="1"/>
      <c r="O1445" s="1" t="str">
        <f>IFERROR(__xludf.DUMMYFUNCTION("""COMPUTED_VALUE"""),"PANTALEON GRANADOS (AREA G)")</f>
        <v>PANTALEON GRANADOS (AREA G)</v>
      </c>
      <c r="P1445" s="1" t="str">
        <f>IFERROR(__xludf.DUMMYFUNCTION("""COMPUTED_VALUE"""),"GENERAL EMILIO AGUINALDO")</f>
        <v>GENERAL EMILIO AGUINALDO</v>
      </c>
      <c r="Q1445" s="1" t="str">
        <f>IFERROR(__xludf.DUMMYFUNCTION("""COMPUTED_VALUE"""),"CAVITE")</f>
        <v>CAVITE</v>
      </c>
      <c r="R1445" s="1" t="str">
        <f>IFERROR(__xludf.DUMMYFUNCTION("""COMPUTED_VALUE"""),"PREPAID FIBER UNLI")</f>
        <v>PREPAID FIBER UNLI</v>
      </c>
      <c r="S1445" s="1" t="str">
        <f>IFERROR(__xludf.DUMMYFUNCTION("""COMPUTED_VALUE"""),"APPROVED")</f>
        <v>APPROVED</v>
      </c>
      <c r="T1445" s="1" t="str">
        <f>IFERROR(__xludf.DUMMYFUNCTION("""COMPUTED_VALUE"""),"CANCELLED")</f>
        <v>CANCELLED</v>
      </c>
      <c r="U1445" s="1"/>
      <c r="V1445" s="1"/>
      <c r="W1445" s="1"/>
    </row>
    <row r="1446" customHeight="1" spans="1:23">
      <c r="A1446" s="3">
        <f>IFERROR(__xludf.DUMMYFUNCTION("""COMPUTED_VALUE"""),46145)</f>
        <v>46145</v>
      </c>
      <c r="B1446" s="1" t="str">
        <f>IFERROR(__xludf.DUMMYFUNCTION("""COMPUTED_VALUE"""),"RIVERA, AIRIZH JOY")</f>
        <v>RIVERA, AIRIZH JOY</v>
      </c>
      <c r="C1446" s="1" t="str">
        <f>IFERROR(__xludf.DUMMYFUNCTION("""COMPUTED_VALUE"""),"ORGANIC")</f>
        <v>ORGANIC</v>
      </c>
      <c r="D1446" s="1" t="str">
        <f>IFERROR(__xludf.DUMMYFUNCTION("""COMPUTED_VALUE"""),"ALOS, CHARLS")</f>
        <v>ALOS, CHARLS</v>
      </c>
      <c r="E1446" s="1" t="str">
        <f>IFERROR(__xludf.DUMMYFUNCTION("""COMPUTED_VALUE"""),"PLDT / ONLINE")</f>
        <v>PLDT / ONLINE</v>
      </c>
      <c r="F1446" s="1">
        <f>IFERROR(__xludf.DUMMYFUNCTION("""COMPUTED_VALUE"""),2309277975)</f>
        <v>2309277975</v>
      </c>
      <c r="G1446" s="1">
        <f>IFERROR(__xludf.DUMMYFUNCTION("""COMPUTED_VALUE"""),453239189004)</f>
        <v>453239189004</v>
      </c>
      <c r="H1446" s="1" t="str">
        <f>IFERROR(__xludf.DUMMYFUNCTION("""COMPUTED_VALUE"""),"MARCEDITA DITAUNON FERNANDEZ")</f>
        <v>MARCEDITA DITAUNON FERNANDEZ</v>
      </c>
      <c r="I1446" s="1">
        <f>IFERROR(__xludf.DUMMYFUNCTION("""COMPUTED_VALUE"""),9506258757)</f>
        <v>9506258757</v>
      </c>
      <c r="J1446" s="1"/>
      <c r="K1446" s="1" t="str">
        <f>IFERROR(__xludf.DUMMYFUNCTION("""COMPUTED_VALUE"""),"SANTIF01971@GMAIL.COM")</f>
        <v>SANTIF01971@GMAIL.COM</v>
      </c>
      <c r="L1446" s="1" t="str">
        <f>IFERROR(__xludf.DUMMYFUNCTION("""COMPUTED_VALUE"""),"BLK 4A LOT 54")</f>
        <v>BLK 4A LOT 54</v>
      </c>
      <c r="M1446" s="1" t="str">
        <f>IFERROR(__xludf.DUMMYFUNCTION("""COMPUTED_VALUE"""),"PUSHIA ")</f>
        <v>PUSHIA </v>
      </c>
      <c r="N1446" s="1"/>
      <c r="O1446" s="1" t="str">
        <f>IFERROR(__xludf.DUMMYFUNCTION("""COMPUTED_VALUE"""),"TINIENTE TIAGO")</f>
        <v>TINIENTE TIAGO</v>
      </c>
      <c r="P1446" s="1" t="str">
        <f>IFERROR(__xludf.DUMMYFUNCTION("""COMPUTED_VALUE"""),"GENERAL EMILIO AGUINALDO")</f>
        <v>GENERAL EMILIO AGUINALDO</v>
      </c>
      <c r="Q1446" s="1" t="str">
        <f>IFERROR(__xludf.DUMMYFUNCTION("""COMPUTED_VALUE"""),"CAVITE")</f>
        <v>CAVITE</v>
      </c>
      <c r="R1446" s="1" t="str">
        <f>IFERROR(__xludf.DUMMYFUNCTION("""COMPUTED_VALUE"""),"FIBR PLAN 1299")</f>
        <v>FIBR PLAN 1299</v>
      </c>
      <c r="S1446" s="1" t="str">
        <f>IFERROR(__xludf.DUMMYFUNCTION("""COMPUTED_VALUE"""),"APPROVED")</f>
        <v>APPROVED</v>
      </c>
      <c r="T1446" s="1" t="str">
        <f>IFERROR(__xludf.DUMMYFUNCTION("""COMPUTED_VALUE"""),"CLOSED")</f>
        <v>CLOSED</v>
      </c>
      <c r="U1446" s="1" t="str">
        <f>IFERROR(__xludf.DUMMYFUNCTION("""COMPUTED_VALUE"""),"POSTED")</f>
        <v>POSTED</v>
      </c>
      <c r="V1446" s="1"/>
      <c r="W1446" s="1"/>
    </row>
    <row r="1447" customHeight="1" spans="1:23">
      <c r="A1447" s="3">
        <f>IFERROR(__xludf.DUMMYFUNCTION("""COMPUTED_VALUE"""),46145)</f>
        <v>46145</v>
      </c>
      <c r="B1447" s="1" t="str">
        <f>IFERROR(__xludf.DUMMYFUNCTION("""COMPUTED_VALUE"""),"ODY , CLARENCE")</f>
        <v>ODY , CLARENCE</v>
      </c>
      <c r="C1447" s="1" t="str">
        <f>IFERROR(__xludf.DUMMYFUNCTION("""COMPUTED_VALUE"""),"ORGANIC")</f>
        <v>ORGANIC</v>
      </c>
      <c r="D1447" s="1" t="str">
        <f>IFERROR(__xludf.DUMMYFUNCTION("""COMPUTED_VALUE"""),"ALOS, CHARLS")</f>
        <v>ALOS, CHARLS</v>
      </c>
      <c r="E1447" s="1" t="str">
        <f>IFERROR(__xludf.DUMMYFUNCTION("""COMPUTED_VALUE"""),"PLDT / H2H")</f>
        <v>PLDT / H2H</v>
      </c>
      <c r="F1447" s="1">
        <f>IFERROR(__xludf.DUMMYFUNCTION("""COMPUTED_VALUE"""),2309278564)</f>
        <v>2309278564</v>
      </c>
      <c r="G1447" s="1">
        <f>IFERROR(__xludf.DUMMYFUNCTION("""COMPUTED_VALUE"""),453245470004)</f>
        <v>453245470004</v>
      </c>
      <c r="H1447" s="1" t="str">
        <f>IFERROR(__xludf.DUMMYFUNCTION("""COMPUTED_VALUE"""),"EMIL JOHN LUGATIMAN NERCUA")</f>
        <v>EMIL JOHN LUGATIMAN NERCUA</v>
      </c>
      <c r="I1447" s="1">
        <f>IFERROR(__xludf.DUMMYFUNCTION("""COMPUTED_VALUE"""),9941773583)</f>
        <v>9941773583</v>
      </c>
      <c r="J1447" s="1">
        <f>IFERROR(__xludf.DUMMYFUNCTION("""COMPUTED_VALUE"""),9777658006)</f>
        <v>9777658006</v>
      </c>
      <c r="K1447" s="1" t="str">
        <f>IFERROR(__xludf.DUMMYFUNCTION("""COMPUTED_VALUE"""),"MARYLOUJELLEN@GMAIL.COM")</f>
        <v>MARYLOUJELLEN@GMAIL.COM</v>
      </c>
      <c r="L1447" s="1" t="str">
        <f>IFERROR(__xludf.DUMMYFUNCTION("""COMPUTED_VALUE"""),"9147")</f>
        <v>9147</v>
      </c>
      <c r="M1447" s="1" t="str">
        <f>IFERROR(__xludf.DUMMYFUNCTION("""COMPUTED_VALUE"""),"PUROK 3")</f>
        <v>PUROK 3</v>
      </c>
      <c r="N1447" s="1"/>
      <c r="O1447" s="1" t="str">
        <f>IFERROR(__xludf.DUMMYFUNCTION("""COMPUTED_VALUE"""),"SINALIW MALAKI")</f>
        <v>SINALIW MALAKI</v>
      </c>
      <c r="P1447" s="1" t="str">
        <f>IFERROR(__xludf.DUMMYFUNCTION("""COMPUTED_VALUE"""),"ALFONSO")</f>
        <v>ALFONSO</v>
      </c>
      <c r="Q1447" s="1" t="str">
        <f>IFERROR(__xludf.DUMMYFUNCTION("""COMPUTED_VALUE"""),"CAVITE")</f>
        <v>CAVITE</v>
      </c>
      <c r="R1447" s="1" t="str">
        <f>IFERROR(__xludf.DUMMYFUNCTION("""COMPUTED_VALUE"""),"FIBR NETFLIX PLAN 1599")</f>
        <v>FIBR NETFLIX PLAN 1599</v>
      </c>
      <c r="S1447" s="1" t="str">
        <f>IFERROR(__xludf.DUMMYFUNCTION("""COMPUTED_VALUE"""),"APPROVED")</f>
        <v>APPROVED</v>
      </c>
      <c r="T1447" s="1" t="str">
        <f>IFERROR(__xludf.DUMMYFUNCTION("""COMPUTED_VALUE"""),"CLOSED")</f>
        <v>CLOSED</v>
      </c>
      <c r="U1447" s="1" t="str">
        <f>IFERROR(__xludf.DUMMYFUNCTION("""COMPUTED_VALUE"""),"POSTED")</f>
        <v>POSTED</v>
      </c>
      <c r="V1447" s="1"/>
      <c r="W1447" s="1"/>
    </row>
    <row r="1448" customHeight="1" spans="1:23">
      <c r="A1448" s="3">
        <f>IFERROR(__xludf.DUMMYFUNCTION("""COMPUTED_VALUE"""),46145)</f>
        <v>46145</v>
      </c>
      <c r="B1448" s="1" t="str">
        <f>IFERROR(__xludf.DUMMYFUNCTION("""COMPUTED_VALUE"""),"CABRERA JILLIENE")</f>
        <v>CABRERA JILLIENE</v>
      </c>
      <c r="C1448" s="1" t="str">
        <f>IFERROR(__xludf.DUMMYFUNCTION("""COMPUTED_VALUE"""),"ORGANIC")</f>
        <v>ORGANIC</v>
      </c>
      <c r="D1448" s="1" t="str">
        <f>IFERROR(__xludf.DUMMYFUNCTION("""COMPUTED_VALUE"""),"ALOS, CHARLS")</f>
        <v>ALOS, CHARLS</v>
      </c>
      <c r="E1448" s="1" t="str">
        <f>IFERROR(__xludf.DUMMYFUNCTION("""COMPUTED_VALUE"""),"PLDT / ONLINE")</f>
        <v>PLDT / ONLINE</v>
      </c>
      <c r="F1448" s="1">
        <f>IFERROR(__xludf.DUMMYFUNCTION("""COMPUTED_VALUE"""),2309278765)</f>
        <v>2309278765</v>
      </c>
      <c r="G1448" s="1"/>
      <c r="H1448" s="1" t="str">
        <f>IFERROR(__xludf.DUMMYFUNCTION("""COMPUTED_VALUE"""),"GILBERT CELSTIAL FERNANDEZ")</f>
        <v>GILBERT CELSTIAL FERNANDEZ</v>
      </c>
      <c r="I1448" s="1">
        <f>IFERROR(__xludf.DUMMYFUNCTION("""COMPUTED_VALUE"""),9622311218)</f>
        <v>9622311218</v>
      </c>
      <c r="J1448" s="1"/>
      <c r="K1448" s="1" t="str">
        <f>IFERROR(__xludf.DUMMYFUNCTION("""COMPUTED_VALUE"""),"GCF112129@GMAIL.COM")</f>
        <v>GCF112129@GMAIL.COM</v>
      </c>
      <c r="L1448" s="1" t="str">
        <f>IFERROR(__xludf.DUMMYFUNCTION("""COMPUTED_VALUE"""),"BLK 7 LOT 14")</f>
        <v>BLK 7 LOT 14</v>
      </c>
      <c r="M1448" s="1" t="str">
        <f>IFERROR(__xludf.DUMMYFUNCTION("""COMPUTED_VALUE"""),"GREENVALE")</f>
        <v>GREENVALE</v>
      </c>
      <c r="N1448" s="1"/>
      <c r="O1448" s="1" t="str">
        <f>IFERROR(__xludf.DUMMYFUNCTION("""COMPUTED_VALUE"""),"MALAGASANG II-C")</f>
        <v>MALAGASANG II-C</v>
      </c>
      <c r="P1448" s="1" t="str">
        <f>IFERROR(__xludf.DUMMYFUNCTION("""COMPUTED_VALUE"""),"IMUS")</f>
        <v>IMUS</v>
      </c>
      <c r="Q1448" s="1" t="str">
        <f>IFERROR(__xludf.DUMMYFUNCTION("""COMPUTED_VALUE"""),"CAVITE")</f>
        <v>CAVITE</v>
      </c>
      <c r="R1448" s="1" t="str">
        <f>IFERROR(__xludf.DUMMYFUNCTION("""COMPUTED_VALUE"""),"PREPAID FIBER UNLI")</f>
        <v>PREPAID FIBER UNLI</v>
      </c>
      <c r="S1448" s="1" t="str">
        <f>IFERROR(__xludf.DUMMYFUNCTION("""COMPUTED_VALUE"""),"APPROVED")</f>
        <v>APPROVED</v>
      </c>
      <c r="T1448" s="1" t="str">
        <f>IFERROR(__xludf.DUMMYFUNCTION("""COMPUTED_VALUE"""),"CANCELLED-NO CAFAC")</f>
        <v>CANCELLED-NO CAFAC</v>
      </c>
      <c r="U1448" s="1"/>
      <c r="V1448" s="1"/>
      <c r="W1448" s="1"/>
    </row>
    <row r="1449" customHeight="1" spans="1:23">
      <c r="A1449" s="3">
        <f>IFERROR(__xludf.DUMMYFUNCTION("""COMPUTED_VALUE"""),46145)</f>
        <v>46145</v>
      </c>
      <c r="B1449" s="1" t="str">
        <f>IFERROR(__xludf.DUMMYFUNCTION("""COMPUTED_VALUE"""),"FRANCISCO , ROSELYN")</f>
        <v>FRANCISCO , ROSELYN</v>
      </c>
      <c r="C1449" s="1" t="str">
        <f>IFERROR(__xludf.DUMMYFUNCTION("""COMPUTED_VALUE"""),"FLA")</f>
        <v>FLA</v>
      </c>
      <c r="D1449" s="1" t="str">
        <f>IFERROR(__xludf.DUMMYFUNCTION("""COMPUTED_VALUE"""),"JERIC NAVARRO")</f>
        <v>JERIC NAVARRO</v>
      </c>
      <c r="E1449" s="1" t="str">
        <f>IFERROR(__xludf.DUMMYFUNCTION("""COMPUTED_VALUE"""),"PLDT / ONLINE")</f>
        <v>PLDT / ONLINE</v>
      </c>
      <c r="F1449" s="1">
        <f>IFERROR(__xludf.DUMMYFUNCTION("""COMPUTED_VALUE"""),2309278913)</f>
        <v>2309278913</v>
      </c>
      <c r="G1449" s="1"/>
      <c r="H1449" s="1" t="str">
        <f>IFERROR(__xludf.DUMMYFUNCTION("""COMPUTED_VALUE"""),"JIMMY ALTICHE MADARASO")</f>
        <v>JIMMY ALTICHE MADARASO</v>
      </c>
      <c r="I1449" s="1">
        <f>IFERROR(__xludf.DUMMYFUNCTION("""COMPUTED_VALUE"""),9310344135)</f>
        <v>9310344135</v>
      </c>
      <c r="J1449" s="1"/>
      <c r="K1449" s="1" t="str">
        <f>IFERROR(__xludf.DUMMYFUNCTION("""COMPUTED_VALUE"""),"JAMMOTO04@GMAIL.COM")</f>
        <v>JAMMOTO04@GMAIL.COM</v>
      </c>
      <c r="L1449" s="1"/>
      <c r="M1449" s="1"/>
      <c r="N1449" s="1"/>
      <c r="O1449" s="1"/>
      <c r="P1449" s="1"/>
      <c r="Q1449" s="1"/>
      <c r="R1449" s="1"/>
      <c r="S1449" s="1" t="str">
        <f>IFERROR(__xludf.DUMMYFUNCTION("""COMPUTED_VALUE"""),"APPROVED")</f>
        <v>APPROVED</v>
      </c>
      <c r="T1449" s="1" t="str">
        <f>IFERROR(__xludf.DUMMYFUNCTION("""COMPUTED_VALUE"""),"CANCELLED")</f>
        <v>CANCELLED</v>
      </c>
      <c r="U1449" s="1"/>
      <c r="V1449" s="1"/>
      <c r="W1449" s="1"/>
    </row>
    <row r="1450" customHeight="1" spans="1:23">
      <c r="A1450" s="3">
        <f>IFERROR(__xludf.DUMMYFUNCTION("""COMPUTED_VALUE"""),46146)</f>
        <v>46146</v>
      </c>
      <c r="B1450" s="1" t="str">
        <f>IFERROR(__xludf.DUMMYFUNCTION("""COMPUTED_VALUE"""),"MALIWAT MARK ELVIN")</f>
        <v>MALIWAT MARK ELVIN</v>
      </c>
      <c r="C1450" s="1" t="str">
        <f>IFERROR(__xludf.DUMMYFUNCTION("""COMPUTED_VALUE"""),"FLA")</f>
        <v>FLA</v>
      </c>
      <c r="D1450" s="1" t="str">
        <f>IFERROR(__xludf.DUMMYFUNCTION("""COMPUTED_VALUE"""),"JERIC NAVARRO")</f>
        <v>JERIC NAVARRO</v>
      </c>
      <c r="E1450" s="1" t="str">
        <f>IFERROR(__xludf.DUMMYFUNCTION("""COMPUTED_VALUE"""),"PLDT / H2H")</f>
        <v>PLDT / H2H</v>
      </c>
      <c r="F1450" s="1">
        <f>IFERROR(__xludf.DUMMYFUNCTION("""COMPUTED_VALUE"""),2309282319)</f>
        <v>2309282319</v>
      </c>
      <c r="G1450" s="1">
        <f>IFERROR(__xludf.DUMMYFUNCTION("""COMPUTED_VALUE"""),453240418004)</f>
        <v>453240418004</v>
      </c>
      <c r="H1450" s="1" t="str">
        <f>IFERROR(__xludf.DUMMYFUNCTION("""COMPUTED_VALUE"""),"JEAN EVANGELISTA CASTILLO")</f>
        <v>JEAN EVANGELISTA CASTILLO</v>
      </c>
      <c r="I1450" s="1">
        <f>IFERROR(__xludf.DUMMYFUNCTION("""COMPUTED_VALUE"""),9155092275)</f>
        <v>9155092275</v>
      </c>
      <c r="J1450" s="1"/>
      <c r="K1450" s="1" t="str">
        <f>IFERROR(__xludf.DUMMYFUNCTION("""COMPUTED_VALUE"""),"TONICHOLAUS@GMAIL.COM")</f>
        <v>TONICHOLAUS@GMAIL.COM</v>
      </c>
      <c r="L1450" s="1" t="str">
        <f>IFERROR(__xludf.DUMMYFUNCTION("""COMPUTED_VALUE"""),"BLOCK 11 LOT 10")</f>
        <v>BLOCK 11 LOT 10</v>
      </c>
      <c r="M1450" s="1" t="str">
        <f>IFERROR(__xludf.DUMMYFUNCTION("""COMPUTED_VALUE"""),"MAHOGANY IPIL")</f>
        <v>MAHOGANY IPIL</v>
      </c>
      <c r="N1450" s="1" t="str">
        <f>IFERROR(__xludf.DUMMYFUNCTION("""COMPUTED_VALUE"""),"GREENVILLE SUBDIVISION")</f>
        <v>GREENVILLE SUBDIVISION</v>
      </c>
      <c r="O1450" s="1" t="str">
        <f>IFERROR(__xludf.DUMMYFUNCTION("""COMPUTED_VALUE"""),"KAYBAGAL NORTH")</f>
        <v>KAYBAGAL NORTH</v>
      </c>
      <c r="P1450" s="1" t="str">
        <f>IFERROR(__xludf.DUMMYFUNCTION("""COMPUTED_VALUE"""),"TAGAYTAY")</f>
        <v>TAGAYTAY</v>
      </c>
      <c r="Q1450" s="1" t="str">
        <f>IFERROR(__xludf.DUMMYFUNCTION("""COMPUTED_VALUE"""),"CAVITE")</f>
        <v>CAVITE</v>
      </c>
      <c r="R1450" s="1" t="str">
        <f>IFERROR(__xludf.DUMMYFUNCTION("""COMPUTED_VALUE"""),"PREPAID FIBER UNLI")</f>
        <v>PREPAID FIBER UNLI</v>
      </c>
      <c r="S1450" s="1" t="str">
        <f>IFERROR(__xludf.DUMMYFUNCTION("""COMPUTED_VALUE"""),"APPROVED")</f>
        <v>APPROVED</v>
      </c>
      <c r="T1450" s="1" t="str">
        <f>IFERROR(__xludf.DUMMYFUNCTION("""COMPUTED_VALUE"""),"CLOSED")</f>
        <v>CLOSED</v>
      </c>
      <c r="U1450" s="1" t="str">
        <f>IFERROR(__xludf.DUMMYFUNCTION("""COMPUTED_VALUE"""),"POSTED")</f>
        <v>POSTED</v>
      </c>
      <c r="V1450" s="1"/>
      <c r="W1450" s="1"/>
    </row>
    <row r="1451" customHeight="1" spans="1:23">
      <c r="A1451" s="3">
        <f>IFERROR(__xludf.DUMMYFUNCTION("""COMPUTED_VALUE"""),46146)</f>
        <v>46146</v>
      </c>
      <c r="B1451" s="1" t="str">
        <f>IFERROR(__xludf.DUMMYFUNCTION("""COMPUTED_VALUE"""),"CARPIO, STEPHANIE NICOLE")</f>
        <v>CARPIO, STEPHANIE NICOLE</v>
      </c>
      <c r="C1451" s="1" t="str">
        <f>IFERROR(__xludf.DUMMYFUNCTION("""COMPUTED_VALUE"""),"FLA")</f>
        <v>FLA</v>
      </c>
      <c r="D1451" s="1" t="str">
        <f>IFERROR(__xludf.DUMMYFUNCTION("""COMPUTED_VALUE"""),"JERIC NAVARRO")</f>
        <v>JERIC NAVARRO</v>
      </c>
      <c r="E1451" s="1" t="str">
        <f>IFERROR(__xludf.DUMMYFUNCTION("""COMPUTED_VALUE"""),"PLDT / H2H")</f>
        <v>PLDT / H2H</v>
      </c>
      <c r="F1451" s="1">
        <f>IFERROR(__xludf.DUMMYFUNCTION("""COMPUTED_VALUE"""),2309293981)</f>
        <v>2309293981</v>
      </c>
      <c r="G1451" s="1">
        <f>IFERROR(__xludf.DUMMYFUNCTION("""COMPUTED_VALUE"""),453290473004)</f>
        <v>453290473004</v>
      </c>
      <c r="H1451" s="1" t="str">
        <f>IFERROR(__xludf.DUMMYFUNCTION("""COMPUTED_VALUE"""),"RONEL OBAL ESPIRITU")</f>
        <v>RONEL OBAL ESPIRITU</v>
      </c>
      <c r="I1451" s="1">
        <f>IFERROR(__xludf.DUMMYFUNCTION("""COMPUTED_VALUE"""),9999445992)</f>
        <v>9999445992</v>
      </c>
      <c r="J1451" s="1">
        <f>IFERROR(__xludf.DUMMYFUNCTION("""COMPUTED_VALUE"""),4891802)</f>
        <v>4891802</v>
      </c>
      <c r="K1451" s="1" t="str">
        <f>IFERROR(__xludf.DUMMYFUNCTION("""COMPUTED_VALUE"""),"ESPIRITUFAMILY3@YAHOO.COM")</f>
        <v>ESPIRITUFAMILY3@YAHOO.COM</v>
      </c>
      <c r="L1451" s="1" t="str">
        <f>IFERROR(__xludf.DUMMYFUNCTION("""COMPUTED_VALUE"""),"243")</f>
        <v>243</v>
      </c>
      <c r="M1451" s="1" t="str">
        <f>IFERROR(__xludf.DUMMYFUNCTION("""COMPUTED_VALUE"""),"CLEMENTE")</f>
        <v>CLEMENTE</v>
      </c>
      <c r="N1451" s="1"/>
      <c r="O1451" s="1" t="str">
        <f>IFERROR(__xludf.DUMMYFUNCTION("""COMPUTED_VALUE"""),"BARANGAY 29 (LAO-LAO)")</f>
        <v>BARANGAY 29 (LAO-LAO)</v>
      </c>
      <c r="P1451" s="1" t="str">
        <f>IFERROR(__xludf.DUMMYFUNCTION("""COMPUTED_VALUE"""),"CAVITE CITY")</f>
        <v>CAVITE CITY</v>
      </c>
      <c r="Q1451" s="1" t="str">
        <f>IFERROR(__xludf.DUMMYFUNCTION("""COMPUTED_VALUE"""),"CAVITE")</f>
        <v>CAVITE</v>
      </c>
      <c r="R1451" s="1" t="str">
        <f>IFERROR(__xludf.DUMMYFUNCTION("""COMPUTED_VALUE"""),"FIBR PLAN 2099")</f>
        <v>FIBR PLAN 2099</v>
      </c>
      <c r="S1451" s="1" t="str">
        <f>IFERROR(__xludf.DUMMYFUNCTION("""COMPUTED_VALUE"""),"APPROVED")</f>
        <v>APPROVED</v>
      </c>
      <c r="T1451" s="1" t="str">
        <f>IFERROR(__xludf.DUMMYFUNCTION("""COMPUTED_VALUE"""),"CANCELLED")</f>
        <v>CANCELLED</v>
      </c>
      <c r="U1451" s="1"/>
      <c r="V1451" s="1"/>
      <c r="W1451" s="1"/>
    </row>
    <row r="1452" customHeight="1" spans="1:23">
      <c r="A1452" s="3">
        <f>IFERROR(__xludf.DUMMYFUNCTION("""COMPUTED_VALUE"""),46146)</f>
        <v>46146</v>
      </c>
      <c r="B1452" s="1" t="str">
        <f>IFERROR(__xludf.DUMMYFUNCTION("""COMPUTED_VALUE"""),"RIVERA, AIRIZH JOY")</f>
        <v>RIVERA, AIRIZH JOY</v>
      </c>
      <c r="C1452" s="1" t="str">
        <f>IFERROR(__xludf.DUMMYFUNCTION("""COMPUTED_VALUE"""),"ORGANIC")</f>
        <v>ORGANIC</v>
      </c>
      <c r="D1452" s="1" t="str">
        <f>IFERROR(__xludf.DUMMYFUNCTION("""COMPUTED_VALUE"""),"ALOS, CHARLS")</f>
        <v>ALOS, CHARLS</v>
      </c>
      <c r="E1452" s="1" t="str">
        <f>IFERROR(__xludf.DUMMYFUNCTION("""COMPUTED_VALUE"""),"PLDT / H2H")</f>
        <v>PLDT / H2H</v>
      </c>
      <c r="F1452" s="1">
        <f>IFERROR(__xludf.DUMMYFUNCTION("""COMPUTED_VALUE"""),2309294491)</f>
        <v>2309294491</v>
      </c>
      <c r="G1452" s="1">
        <f>IFERROR(__xludf.DUMMYFUNCTION("""COMPUTED_VALUE"""),453270981004)</f>
        <v>453270981004</v>
      </c>
      <c r="H1452" s="1" t="str">
        <f>IFERROR(__xludf.DUMMYFUNCTION("""COMPUTED_VALUE"""),"MYLENE ORDONA ESTAMPA")</f>
        <v>MYLENE ORDONA ESTAMPA</v>
      </c>
      <c r="I1452" s="1">
        <f>IFERROR(__xludf.DUMMYFUNCTION("""COMPUTED_VALUE"""),9121633918)</f>
        <v>9121633918</v>
      </c>
      <c r="J1452" s="1"/>
      <c r="K1452" s="1" t="str">
        <f>IFERROR(__xludf.DUMMYFUNCTION("""COMPUTED_VALUE"""),"NYGENE8STAMPA@GMAIL.COM")</f>
        <v>NYGENE8STAMPA@GMAIL.COM</v>
      </c>
      <c r="L1452" s="1" t="str">
        <f>IFERROR(__xludf.DUMMYFUNCTION("""COMPUTED_VALUE"""),"BLK 22 LOT 15")</f>
        <v>BLK 22 LOT 15</v>
      </c>
      <c r="M1452" s="1" t="str">
        <f>IFERROR(__xludf.DUMMYFUNCTION("""COMPUTED_VALUE"""),"NARRA")</f>
        <v>NARRA</v>
      </c>
      <c r="N1452" s="1"/>
      <c r="O1452" s="1" t="str">
        <f>IFERROR(__xludf.DUMMYFUNCTION("""COMPUTED_VALUE"""),"NARRA I")</f>
        <v>NARRA I</v>
      </c>
      <c r="P1452" s="1" t="str">
        <f>IFERROR(__xludf.DUMMYFUNCTION("""COMPUTED_VALUE"""),"SILANG")</f>
        <v>SILANG</v>
      </c>
      <c r="Q1452" s="1" t="str">
        <f>IFERROR(__xludf.DUMMYFUNCTION("""COMPUTED_VALUE"""),"CAVITE")</f>
        <v>CAVITE</v>
      </c>
      <c r="R1452" s="1" t="str">
        <f>IFERROR(__xludf.DUMMYFUNCTION("""COMPUTED_VALUE"""),"PREPAID FIBER UNLI")</f>
        <v>PREPAID FIBER UNLI</v>
      </c>
      <c r="S1452" s="1" t="str">
        <f>IFERROR(__xludf.DUMMYFUNCTION("""COMPUTED_VALUE"""),"APPROVED")</f>
        <v>APPROVED</v>
      </c>
      <c r="T1452" s="1" t="str">
        <f>IFERROR(__xludf.DUMMYFUNCTION("""COMPUTED_VALUE"""),"CANCELLED")</f>
        <v>CANCELLED</v>
      </c>
      <c r="U1452" s="1"/>
      <c r="V1452" s="1"/>
      <c r="W1452" s="1"/>
    </row>
    <row r="1453" customHeight="1" spans="1:23">
      <c r="A1453" s="3">
        <f>IFERROR(__xludf.DUMMYFUNCTION("""COMPUTED_VALUE"""),46146)</f>
        <v>46146</v>
      </c>
      <c r="B1453" s="1" t="str">
        <f>IFERROR(__xludf.DUMMYFUNCTION("""COMPUTED_VALUE"""),"MAÑANITA, ERIKA")</f>
        <v>MAÑANITA, ERIKA</v>
      </c>
      <c r="C1453" s="1" t="str">
        <f>IFERROR(__xludf.DUMMYFUNCTION("""COMPUTED_VALUE"""),"ORGANIC")</f>
        <v>ORGANIC</v>
      </c>
      <c r="D1453" s="1" t="str">
        <f>IFERROR(__xludf.DUMMYFUNCTION("""COMPUTED_VALUE"""),"ALOS, CHARLS")</f>
        <v>ALOS, CHARLS</v>
      </c>
      <c r="E1453" s="1" t="str">
        <f>IFERROR(__xludf.DUMMYFUNCTION("""COMPUTED_VALUE"""),"PLDT / H2H")</f>
        <v>PLDT / H2H</v>
      </c>
      <c r="F1453" s="1">
        <f>IFERROR(__xludf.DUMMYFUNCTION("""COMPUTED_VALUE"""),2309294879)</f>
        <v>2309294879</v>
      </c>
      <c r="G1453" s="1">
        <f>IFERROR(__xludf.DUMMYFUNCTION("""COMPUTED_VALUE"""),453271409004)</f>
        <v>453271409004</v>
      </c>
      <c r="H1453" s="1" t="str">
        <f>IFERROR(__xludf.DUMMYFUNCTION("""COMPUTED_VALUE"""),"JEAN PESIDAS PUSO")</f>
        <v>JEAN PESIDAS PUSO</v>
      </c>
      <c r="I1453" s="1">
        <f>IFERROR(__xludf.DUMMYFUNCTION("""COMPUTED_VALUE"""),9481402712)</f>
        <v>9481402712</v>
      </c>
      <c r="J1453" s="1"/>
      <c r="K1453" s="1" t="str">
        <f>IFERROR(__xludf.DUMMYFUNCTION("""COMPUTED_VALUE"""),"EDGARDOBLOIS25@GMAIL.COM")</f>
        <v>EDGARDOBLOIS25@GMAIL.COM</v>
      </c>
      <c r="L1453" s="1" t="str">
        <f>IFERROR(__xludf.DUMMYFUNCTION("""COMPUTED_VALUE"""),"BLK 23 LOT 7")</f>
        <v>BLK 23 LOT 7</v>
      </c>
      <c r="M1453" s="1" t="str">
        <f>IFERROR(__xludf.DUMMYFUNCTION("""COMPUTED_VALUE"""),"BUKLURAN")</f>
        <v>BUKLURAN</v>
      </c>
      <c r="N1453" s="1"/>
      <c r="O1453" s="1" t="str">
        <f>IFERROR(__xludf.DUMMYFUNCTION("""COMPUTED_VALUE"""),"BULIHAN")</f>
        <v>BULIHAN</v>
      </c>
      <c r="P1453" s="1" t="str">
        <f>IFERROR(__xludf.DUMMYFUNCTION("""COMPUTED_VALUE"""),"SILANG")</f>
        <v>SILANG</v>
      </c>
      <c r="Q1453" s="1" t="str">
        <f>IFERROR(__xludf.DUMMYFUNCTION("""COMPUTED_VALUE"""),"CAVITE")</f>
        <v>CAVITE</v>
      </c>
      <c r="R1453" s="1" t="str">
        <f>IFERROR(__xludf.DUMMYFUNCTION("""COMPUTED_VALUE"""),"PREPAID FIBER UNLI")</f>
        <v>PREPAID FIBER UNLI</v>
      </c>
      <c r="S1453" s="1" t="str">
        <f>IFERROR(__xludf.DUMMYFUNCTION("""COMPUTED_VALUE"""),"APPROVED")</f>
        <v>APPROVED</v>
      </c>
      <c r="T1453" s="1" t="str">
        <f>IFERROR(__xludf.DUMMYFUNCTION("""COMPUTED_VALUE"""),"CANCELLED")</f>
        <v>CANCELLED</v>
      </c>
      <c r="U1453" s="1"/>
      <c r="V1453" s="1"/>
      <c r="W1453" s="1"/>
    </row>
    <row r="1454" customHeight="1" spans="1:23">
      <c r="A1454" s="3">
        <f>IFERROR(__xludf.DUMMYFUNCTION("""COMPUTED_VALUE"""),46146)</f>
        <v>46146</v>
      </c>
      <c r="B1454" s="1" t="str">
        <f>IFERROR(__xludf.DUMMYFUNCTION("""COMPUTED_VALUE"""),"CASTILLEJOS, ARREL")</f>
        <v>CASTILLEJOS, ARREL</v>
      </c>
      <c r="C1454" s="1" t="str">
        <f>IFERROR(__xludf.DUMMYFUNCTION("""COMPUTED_VALUE"""),"ORGANIC")</f>
        <v>ORGANIC</v>
      </c>
      <c r="D1454" s="1" t="str">
        <f>IFERROR(__xludf.DUMMYFUNCTION("""COMPUTED_VALUE"""),"REMOLLO LEA")</f>
        <v>REMOLLO LEA</v>
      </c>
      <c r="E1454" s="1" t="str">
        <f>IFERROR(__xludf.DUMMYFUNCTION("""COMPUTED_VALUE"""),"PLDT / H2H")</f>
        <v>PLDT / H2H</v>
      </c>
      <c r="F1454" s="1">
        <f>IFERROR(__xludf.DUMMYFUNCTION("""COMPUTED_VALUE"""),2309295219)</f>
        <v>2309295219</v>
      </c>
      <c r="G1454" s="1">
        <f>IFERROR(__xludf.DUMMYFUNCTION("""COMPUTED_VALUE"""),453272432004)</f>
        <v>453272432004</v>
      </c>
      <c r="H1454" s="1" t="str">
        <f>IFERROR(__xludf.DUMMYFUNCTION("""COMPUTED_VALUE"""),"ARIEL ALBUERNELAVAPIE")</f>
        <v>ARIEL ALBUERNELAVAPIE</v>
      </c>
      <c r="I1454" s="1">
        <f>IFERROR(__xludf.DUMMYFUNCTION("""COMPUTED_VALUE"""),9057858707)</f>
        <v>9057858707</v>
      </c>
      <c r="J1454" s="1">
        <f>IFERROR(__xludf.DUMMYFUNCTION("""COMPUTED_VALUE"""),9567996921)</f>
        <v>9567996921</v>
      </c>
      <c r="K1454" s="1" t="str">
        <f>IFERROR(__xludf.DUMMYFUNCTION("""COMPUTED_VALUE"""),"EVARAMOS@GMAIL.COM")</f>
        <v>EVARAMOS@GMAIL.COM</v>
      </c>
      <c r="L1454" s="1" t="str">
        <f>IFERROR(__xludf.DUMMYFUNCTION("""COMPUTED_VALUE"""),"BLK 24 LOT 17")</f>
        <v>BLK 24 LOT 17</v>
      </c>
      <c r="M1454" s="1" t="str">
        <f>IFERROR(__xludf.DUMMYFUNCTION("""COMPUTED_VALUE"""),"BULIHAN ")</f>
        <v>BULIHAN </v>
      </c>
      <c r="N1454" s="1"/>
      <c r="O1454" s="1" t="str">
        <f>IFERROR(__xludf.DUMMYFUNCTION("""COMPUTED_VALUE"""),"NARRA I")</f>
        <v>NARRA I</v>
      </c>
      <c r="P1454" s="1" t="str">
        <f>IFERROR(__xludf.DUMMYFUNCTION("""COMPUTED_VALUE"""),"SILANG")</f>
        <v>SILANG</v>
      </c>
      <c r="Q1454" s="1" t="str">
        <f>IFERROR(__xludf.DUMMYFUNCTION("""COMPUTED_VALUE"""),"CAVITE")</f>
        <v>CAVITE</v>
      </c>
      <c r="R1454" s="1" t="str">
        <f>IFERROR(__xludf.DUMMYFUNCTION("""COMPUTED_VALUE"""),"PREPAID FIBER UNLI")</f>
        <v>PREPAID FIBER UNLI</v>
      </c>
      <c r="S1454" s="1" t="str">
        <f>IFERROR(__xludf.DUMMYFUNCTION("""COMPUTED_VALUE"""),"APPROVED")</f>
        <v>APPROVED</v>
      </c>
      <c r="T1454" s="1" t="str">
        <f>IFERROR(__xludf.DUMMYFUNCTION("""COMPUTED_VALUE"""),"CANCELLED")</f>
        <v>CANCELLED</v>
      </c>
      <c r="U1454" s="1"/>
      <c r="V1454" s="1"/>
      <c r="W1454" s="1"/>
    </row>
    <row r="1455" customHeight="1" spans="1:23">
      <c r="A1455" s="3">
        <f>IFERROR(__xludf.DUMMYFUNCTION("""COMPUTED_VALUE"""),46146)</f>
        <v>46146</v>
      </c>
      <c r="B1455" s="1" t="str">
        <f>IFERROR(__xludf.DUMMYFUNCTION("""COMPUTED_VALUE"""),"GABAY, MANUEL")</f>
        <v>GABAY, MANUEL</v>
      </c>
      <c r="C1455" s="1" t="str">
        <f>IFERROR(__xludf.DUMMYFUNCTION("""COMPUTED_VALUE"""),"FLA")</f>
        <v>FLA</v>
      </c>
      <c r="D1455" s="1" t="str">
        <f>IFERROR(__xludf.DUMMYFUNCTION("""COMPUTED_VALUE"""),"JERIC NAVARRO")</f>
        <v>JERIC NAVARRO</v>
      </c>
      <c r="E1455" s="1" t="str">
        <f>IFERROR(__xludf.DUMMYFUNCTION("""COMPUTED_VALUE"""),"PLDT / H2H")</f>
        <v>PLDT / H2H</v>
      </c>
      <c r="F1455" s="1">
        <f>IFERROR(__xludf.DUMMYFUNCTION("""COMPUTED_VALUE"""),2309295577)</f>
        <v>2309295577</v>
      </c>
      <c r="G1455" s="1">
        <f>IFERROR(__xludf.DUMMYFUNCTION("""COMPUTED_VALUE"""),453272573004)</f>
        <v>453272573004</v>
      </c>
      <c r="H1455" s="1" t="str">
        <f>IFERROR(__xludf.DUMMYFUNCTION("""COMPUTED_VALUE"""),"JENNEVIE FABILLARAN SERWELAS")</f>
        <v>JENNEVIE FABILLARAN SERWELAS</v>
      </c>
      <c r="I1455" s="1">
        <f>IFERROR(__xludf.DUMMYFUNCTION("""COMPUTED_VALUE"""),9500848530)</f>
        <v>9500848530</v>
      </c>
      <c r="J1455" s="1"/>
      <c r="K1455" s="1" t="str">
        <f>IFERROR(__xludf.DUMMYFUNCTION("""COMPUTED_VALUE"""),"JFSERWELA@GMAIL.COM")</f>
        <v>JFSERWELA@GMAIL.COM</v>
      </c>
      <c r="L1455" s="1" t="str">
        <f>IFERROR(__xludf.DUMMYFUNCTION("""COMPUTED_VALUE"""),"BLK 21 LOT 9")</f>
        <v>BLK 21 LOT 9</v>
      </c>
      <c r="M1455" s="1" t="str">
        <f>IFERROR(__xludf.DUMMYFUNCTION("""COMPUTED_VALUE"""),"NARRA 1")</f>
        <v>NARRA 1</v>
      </c>
      <c r="N1455" s="1"/>
      <c r="O1455" s="1" t="str">
        <f>IFERROR(__xludf.DUMMYFUNCTION("""COMPUTED_VALUE"""),"NARRA I")</f>
        <v>NARRA I</v>
      </c>
      <c r="P1455" s="1" t="str">
        <f>IFERROR(__xludf.DUMMYFUNCTION("""COMPUTED_VALUE"""),"SILANG")</f>
        <v>SILANG</v>
      </c>
      <c r="Q1455" s="1" t="str">
        <f>IFERROR(__xludf.DUMMYFUNCTION("""COMPUTED_VALUE"""),"CAVITE")</f>
        <v>CAVITE</v>
      </c>
      <c r="R1455" s="1" t="str">
        <f>IFERROR(__xludf.DUMMYFUNCTION("""COMPUTED_VALUE"""),"FIBR NETFLIX PLAN 1599")</f>
        <v>FIBR NETFLIX PLAN 1599</v>
      </c>
      <c r="S1455" s="1" t="str">
        <f>IFERROR(__xludf.DUMMYFUNCTION("""COMPUTED_VALUE"""),"APPROVED")</f>
        <v>APPROVED</v>
      </c>
      <c r="T1455" s="1" t="str">
        <f>IFERROR(__xludf.DUMMYFUNCTION("""COMPUTED_VALUE"""),"CLOSED")</f>
        <v>CLOSED</v>
      </c>
      <c r="U1455" s="1" t="str">
        <f>IFERROR(__xludf.DUMMYFUNCTION("""COMPUTED_VALUE"""),"POSTED")</f>
        <v>POSTED</v>
      </c>
      <c r="V1455" s="1"/>
      <c r="W1455" s="1"/>
    </row>
    <row r="1456" customHeight="1" spans="1:23">
      <c r="A1456" s="3">
        <f>IFERROR(__xludf.DUMMYFUNCTION("""COMPUTED_VALUE"""),46146)</f>
        <v>46146</v>
      </c>
      <c r="B1456" s="1" t="str">
        <f>IFERROR(__xludf.DUMMYFUNCTION("""COMPUTED_VALUE"""),"VERESO , MERL FRANCINE")</f>
        <v>VERESO , MERL FRANCINE</v>
      </c>
      <c r="C1456" s="1" t="str">
        <f>IFERROR(__xludf.DUMMYFUNCTION("""COMPUTED_VALUE"""),"ORGANIC")</f>
        <v>ORGANIC</v>
      </c>
      <c r="D1456" s="1" t="str">
        <f>IFERROR(__xludf.DUMMYFUNCTION("""COMPUTED_VALUE"""),"ALOS, CHARLS")</f>
        <v>ALOS, CHARLS</v>
      </c>
      <c r="E1456" s="1" t="str">
        <f>IFERROR(__xludf.DUMMYFUNCTION("""COMPUTED_VALUE"""),"PLDT / H2H")</f>
        <v>PLDT / H2H</v>
      </c>
      <c r="F1456" s="1">
        <f>IFERROR(__xludf.DUMMYFUNCTION("""COMPUTED_VALUE"""),2309296323)</f>
        <v>2309296323</v>
      </c>
      <c r="G1456" s="1">
        <f>IFERROR(__xludf.DUMMYFUNCTION("""COMPUTED_VALUE"""),453273381004)</f>
        <v>453273381004</v>
      </c>
      <c r="H1456" s="1" t="str">
        <f>IFERROR(__xludf.DUMMYFUNCTION("""COMPUTED_VALUE"""),"IRENE TAN PERALTA")</f>
        <v>IRENE TAN PERALTA</v>
      </c>
      <c r="I1456" s="1">
        <f>IFERROR(__xludf.DUMMYFUNCTION("""COMPUTED_VALUE"""),9159420525)</f>
        <v>9159420525</v>
      </c>
      <c r="J1456" s="1"/>
      <c r="K1456" s="1" t="str">
        <f>IFERROR(__xludf.DUMMYFUNCTION("""COMPUTED_VALUE"""),"JAMES537PERALTA@GMAIL.COM")</f>
        <v>JAMES537PERALTA@GMAIL.COM</v>
      </c>
      <c r="L1456" s="1" t="str">
        <f>IFERROR(__xludf.DUMMYFUNCTION("""COMPUTED_VALUE"""),"BLK 217 LOT 1")</f>
        <v>BLK 217 LOT 1</v>
      </c>
      <c r="M1456" s="1" t="str">
        <f>IFERROR(__xludf.DUMMYFUNCTION("""COMPUTED_VALUE"""),"AFP HOUSING")</f>
        <v>AFP HOUSING</v>
      </c>
      <c r="N1456" s="1"/>
      <c r="O1456" s="1" t="str">
        <f>IFERROR(__xludf.DUMMYFUNCTION("""COMPUTED_VALUE"""),"BULIHAN")</f>
        <v>BULIHAN</v>
      </c>
      <c r="P1456" s="1" t="str">
        <f>IFERROR(__xludf.DUMMYFUNCTION("""COMPUTED_VALUE"""),"SILANG")</f>
        <v>SILANG</v>
      </c>
      <c r="Q1456" s="1" t="str">
        <f>IFERROR(__xludf.DUMMYFUNCTION("""COMPUTED_VALUE"""),"CAVITE")</f>
        <v>CAVITE</v>
      </c>
      <c r="R1456" s="1" t="str">
        <f>IFERROR(__xludf.DUMMYFUNCTION("""COMPUTED_VALUE"""),"PREPAID FIBER UNLI")</f>
        <v>PREPAID FIBER UNLI</v>
      </c>
      <c r="S1456" s="1" t="str">
        <f>IFERROR(__xludf.DUMMYFUNCTION("""COMPUTED_VALUE"""),"APPROVED")</f>
        <v>APPROVED</v>
      </c>
      <c r="T1456" s="1" t="str">
        <f>IFERROR(__xludf.DUMMYFUNCTION("""COMPUTED_VALUE"""),"CANCELLED")</f>
        <v>CANCELLED</v>
      </c>
      <c r="U1456" s="1"/>
      <c r="V1456" s="1"/>
      <c r="W1456" s="1"/>
    </row>
    <row r="1457" customHeight="1" spans="1:23">
      <c r="A1457" s="3">
        <f>IFERROR(__xludf.DUMMYFUNCTION("""COMPUTED_VALUE"""),46146)</f>
        <v>46146</v>
      </c>
      <c r="B1457" s="1" t="str">
        <f>IFERROR(__xludf.DUMMYFUNCTION("""COMPUTED_VALUE"""),"RIVERA, AIRIZH JOY")</f>
        <v>RIVERA, AIRIZH JOY</v>
      </c>
      <c r="C1457" s="1" t="str">
        <f>IFERROR(__xludf.DUMMYFUNCTION("""COMPUTED_VALUE"""),"ORGANIC")</f>
        <v>ORGANIC</v>
      </c>
      <c r="D1457" s="1" t="str">
        <f>IFERROR(__xludf.DUMMYFUNCTION("""COMPUTED_VALUE"""),"ALOS, CHARLS")</f>
        <v>ALOS, CHARLS</v>
      </c>
      <c r="E1457" s="1" t="str">
        <f>IFERROR(__xludf.DUMMYFUNCTION("""COMPUTED_VALUE"""),"PLDT / H2H")</f>
        <v>PLDT / H2H</v>
      </c>
      <c r="F1457" s="1">
        <f>IFERROR(__xludf.DUMMYFUNCTION("""COMPUTED_VALUE"""),2309296585)</f>
        <v>2309296585</v>
      </c>
      <c r="G1457" s="1">
        <f>IFERROR(__xludf.DUMMYFUNCTION("""COMPUTED_VALUE"""),453275321004)</f>
        <v>453275321004</v>
      </c>
      <c r="H1457" s="1" t="str">
        <f>IFERROR(__xludf.DUMMYFUNCTION("""COMPUTED_VALUE"""),"EFREN JR GUANSING DELOSATA")</f>
        <v>EFREN JR GUANSING DELOSATA</v>
      </c>
      <c r="I1457" s="1">
        <f>IFERROR(__xludf.DUMMYFUNCTION("""COMPUTED_VALUE"""),9508117730)</f>
        <v>9508117730</v>
      </c>
      <c r="J1457" s="1"/>
      <c r="K1457" s="1" t="str">
        <f>IFERROR(__xludf.DUMMYFUNCTION("""COMPUTED_VALUE"""),"DELOSATAEFREN@GMAIL.COM")</f>
        <v>DELOSATAEFREN@GMAIL.COM</v>
      </c>
      <c r="L1457" s="1" t="str">
        <f>IFERROR(__xludf.DUMMYFUNCTION("""COMPUTED_VALUE"""),"BLK 1 LOT 5")</f>
        <v>BLK 1 LOT 5</v>
      </c>
      <c r="M1457" s="1" t="str">
        <f>IFERROR(__xludf.DUMMYFUNCTION("""COMPUTED_VALUE"""),"BUKLURAN 2")</f>
        <v>BUKLURAN 2</v>
      </c>
      <c r="N1457" s="1"/>
      <c r="O1457" s="1" t="str">
        <f>IFERROR(__xludf.DUMMYFUNCTION("""COMPUTED_VALUE"""),"BULIHAN")</f>
        <v>BULIHAN</v>
      </c>
      <c r="P1457" s="1" t="str">
        <f>IFERROR(__xludf.DUMMYFUNCTION("""COMPUTED_VALUE"""),"SILANG")</f>
        <v>SILANG</v>
      </c>
      <c r="Q1457" s="1" t="str">
        <f>IFERROR(__xludf.DUMMYFUNCTION("""COMPUTED_VALUE"""),"CAVITE")</f>
        <v>CAVITE</v>
      </c>
      <c r="R1457" s="1" t="str">
        <f>IFERROR(__xludf.DUMMYFUNCTION("""COMPUTED_VALUE"""),"PREPAID FIBER UNLI")</f>
        <v>PREPAID FIBER UNLI</v>
      </c>
      <c r="S1457" s="1" t="str">
        <f>IFERROR(__xludf.DUMMYFUNCTION("""COMPUTED_VALUE"""),"APPROVED")</f>
        <v>APPROVED</v>
      </c>
      <c r="T1457" s="1" t="str">
        <f>IFERROR(__xludf.DUMMYFUNCTION("""COMPUTED_VALUE"""),"CANCELLED")</f>
        <v>CANCELLED</v>
      </c>
      <c r="U1457" s="1"/>
      <c r="V1457" s="1"/>
      <c r="W1457" s="1"/>
    </row>
    <row r="1458" customHeight="1" spans="1:23">
      <c r="A1458" s="3">
        <f>IFERROR(__xludf.DUMMYFUNCTION("""COMPUTED_VALUE"""),46146)</f>
        <v>46146</v>
      </c>
      <c r="B1458" s="1" t="str">
        <f>IFERROR(__xludf.DUMMYFUNCTION("""COMPUTED_VALUE"""),"FRANCISCO , ROSELYN")</f>
        <v>FRANCISCO , ROSELYN</v>
      </c>
      <c r="C1458" s="1" t="str">
        <f>IFERROR(__xludf.DUMMYFUNCTION("""COMPUTED_VALUE"""),"ORGANIC")</f>
        <v>ORGANIC</v>
      </c>
      <c r="D1458" s="1" t="str">
        <f>IFERROR(__xludf.DUMMYFUNCTION("""COMPUTED_VALUE"""),"ALOS, CHARLS")</f>
        <v>ALOS, CHARLS</v>
      </c>
      <c r="E1458" s="1" t="str">
        <f>IFERROR(__xludf.DUMMYFUNCTION("""COMPUTED_VALUE"""),"PLDT / ONLINE")</f>
        <v>PLDT / ONLINE</v>
      </c>
      <c r="F1458" s="1">
        <f>IFERROR(__xludf.DUMMYFUNCTION("""COMPUTED_VALUE"""),2309290910)</f>
        <v>2309290910</v>
      </c>
      <c r="G1458" s="1">
        <f>IFERROR(__xludf.DUMMYFUNCTION("""COMPUTED_VALUE"""),453265620004)</f>
        <v>453265620004</v>
      </c>
      <c r="H1458" s="1" t="str">
        <f>IFERROR(__xludf.DUMMYFUNCTION("""COMPUTED_VALUE"""),"JAYRIWIN BESA RAMOS")</f>
        <v>JAYRIWIN BESA RAMOS</v>
      </c>
      <c r="I1458" s="1">
        <f>IFERROR(__xludf.DUMMYFUNCTION("""COMPUTED_VALUE"""),9384058826)</f>
        <v>9384058826</v>
      </c>
      <c r="J1458" s="1"/>
      <c r="K1458" s="1" t="str">
        <f>IFERROR(__xludf.DUMMYFUNCTION("""COMPUTED_VALUE"""),"JAYRIWINBRAMOS@GMAIL.COM")</f>
        <v>JAYRIWINBRAMOS@GMAIL.COM</v>
      </c>
      <c r="L1458" s="1" t="str">
        <f>IFERROR(__xludf.DUMMYFUNCTION("""COMPUTED_VALUE"""),"BLK 17 LOT 14 ")</f>
        <v>BLK 17 LOT 14 </v>
      </c>
      <c r="M1458" s="1" t="str">
        <f>IFERROR(__xludf.DUMMYFUNCTION("""COMPUTED_VALUE"""),"PH2")</f>
        <v>PH2</v>
      </c>
      <c r="N1458" s="1"/>
      <c r="O1458" s="1" t="str">
        <f>IFERROR(__xludf.DUMMYFUNCTION("""COMPUTED_VALUE"""),"BUROL")</f>
        <v>BUROL</v>
      </c>
      <c r="P1458" s="1" t="str">
        <f>IFERROR(__xludf.DUMMYFUNCTION("""COMPUTED_VALUE"""),"DASMARINAS")</f>
        <v>DASMARINAS</v>
      </c>
      <c r="Q1458" s="1" t="str">
        <f>IFERROR(__xludf.DUMMYFUNCTION("""COMPUTED_VALUE"""),"CAVITE")</f>
        <v>CAVITE</v>
      </c>
      <c r="R1458" s="1" t="str">
        <f>IFERROR(__xludf.DUMMYFUNCTION("""COMPUTED_VALUE"""),"FIBR NETFLIX PLAN 1599")</f>
        <v>FIBR NETFLIX PLAN 1599</v>
      </c>
      <c r="S1458" s="1" t="str">
        <f>IFERROR(__xludf.DUMMYFUNCTION("""COMPUTED_VALUE"""),"APPROVED")</f>
        <v>APPROVED</v>
      </c>
      <c r="T1458" s="1" t="str">
        <f>IFERROR(__xludf.DUMMYFUNCTION("""COMPUTED_VALUE"""),"CLOSED")</f>
        <v>CLOSED</v>
      </c>
      <c r="U1458" s="1" t="str">
        <f>IFERROR(__xludf.DUMMYFUNCTION("""COMPUTED_VALUE"""),"POSTED")</f>
        <v>POSTED</v>
      </c>
      <c r="V1458" s="1"/>
      <c r="W1458" s="1"/>
    </row>
    <row r="1459" customHeight="1" spans="1:23">
      <c r="A1459" s="3">
        <f>IFERROR(__xludf.DUMMYFUNCTION("""COMPUTED_VALUE"""),46146)</f>
        <v>46146</v>
      </c>
      <c r="B1459" s="1" t="str">
        <f>IFERROR(__xludf.DUMMYFUNCTION("""COMPUTED_VALUE"""),"GABAY, MANUEL")</f>
        <v>GABAY, MANUEL</v>
      </c>
      <c r="C1459" s="1" t="str">
        <f>IFERROR(__xludf.DUMMYFUNCTION("""COMPUTED_VALUE"""),"FLA")</f>
        <v>FLA</v>
      </c>
      <c r="D1459" s="1" t="str">
        <f>IFERROR(__xludf.DUMMYFUNCTION("""COMPUTED_VALUE"""),"JERIC NAVARRO")</f>
        <v>JERIC NAVARRO</v>
      </c>
      <c r="E1459" s="1" t="str">
        <f>IFERROR(__xludf.DUMMYFUNCTION("""COMPUTED_VALUE"""),"PLDT / ONLINE")</f>
        <v>PLDT / ONLINE</v>
      </c>
      <c r="F1459" s="1">
        <f>IFERROR(__xludf.DUMMYFUNCTION("""COMPUTED_VALUE"""),2309291538)</f>
        <v>2309291538</v>
      </c>
      <c r="G1459" s="1">
        <f>IFERROR(__xludf.DUMMYFUNCTION("""COMPUTED_VALUE"""),453272761004)</f>
        <v>453272761004</v>
      </c>
      <c r="H1459" s="1" t="str">
        <f>IFERROR(__xludf.DUMMYFUNCTION("""COMPUTED_VALUE"""),"KATHLEEN VITANGCOR MARANGA")</f>
        <v>KATHLEEN VITANGCOR MARANGA</v>
      </c>
      <c r="I1459" s="1">
        <f>IFERROR(__xludf.DUMMYFUNCTION("""COMPUTED_VALUE"""),9667082163)</f>
        <v>9667082163</v>
      </c>
      <c r="J1459" s="1"/>
      <c r="K1459" s="1" t="str">
        <f>IFERROR(__xludf.DUMMYFUNCTION("""COMPUTED_VALUE"""),"MARANGAKATHLEEN11@GMAIL.COM")</f>
        <v>MARANGAKATHLEEN11@GMAIL.COM</v>
      </c>
      <c r="L1459" s="1" t="str">
        <f>IFERROR(__xludf.DUMMYFUNCTION("""COMPUTED_VALUE"""),"BLK E1 LOT 24")</f>
        <v>BLK E1 LOT 24</v>
      </c>
      <c r="M1459" s="1" t="str">
        <f>IFERROR(__xludf.DUMMYFUNCTION("""COMPUTED_VALUE"""),"SAN LORENZO RUIZ 1")</f>
        <v>SAN LORENZO RUIZ 1</v>
      </c>
      <c r="N1459" s="1"/>
      <c r="O1459" s="1" t="str">
        <f>IFERROR(__xludf.DUMMYFUNCTION("""COMPUTED_VALUE"""),"SAN LORENZO RUIZ I")</f>
        <v>SAN LORENZO RUIZ I</v>
      </c>
      <c r="P1459" s="1" t="str">
        <f>IFERROR(__xludf.DUMMYFUNCTION("""COMPUTED_VALUE"""),"DASMARINAS")</f>
        <v>DASMARINAS</v>
      </c>
      <c r="Q1459" s="1" t="str">
        <f>IFERROR(__xludf.DUMMYFUNCTION("""COMPUTED_VALUE"""),"CAVITE")</f>
        <v>CAVITE</v>
      </c>
      <c r="R1459" s="1" t="str">
        <f>IFERROR(__xludf.DUMMYFUNCTION("""COMPUTED_VALUE"""),"FIBR PLAN 1299")</f>
        <v>FIBR PLAN 1299</v>
      </c>
      <c r="S1459" s="1" t="str">
        <f>IFERROR(__xludf.DUMMYFUNCTION("""COMPUTED_VALUE"""),"APPROVED")</f>
        <v>APPROVED</v>
      </c>
      <c r="T1459" s="1" t="str">
        <f>IFERROR(__xludf.DUMMYFUNCTION("""COMPUTED_VALUE"""),"CLOSED")</f>
        <v>CLOSED</v>
      </c>
      <c r="U1459" s="1" t="str">
        <f>IFERROR(__xludf.DUMMYFUNCTION("""COMPUTED_VALUE"""),"POSTED")</f>
        <v>POSTED</v>
      </c>
      <c r="V1459" s="1"/>
      <c r="W1459" s="1"/>
    </row>
    <row r="1460" customHeight="1" spans="1:23">
      <c r="A1460" s="3">
        <f>IFERROR(__xludf.DUMMYFUNCTION("""COMPUTED_VALUE"""),46146)</f>
        <v>46146</v>
      </c>
      <c r="B1460" s="1" t="str">
        <f>IFERROR(__xludf.DUMMYFUNCTION("""COMPUTED_VALUE"""),"ODY , CLARENCE")</f>
        <v>ODY , CLARENCE</v>
      </c>
      <c r="C1460" s="1" t="str">
        <f>IFERROR(__xludf.DUMMYFUNCTION("""COMPUTED_VALUE"""),"ORGANIC")</f>
        <v>ORGANIC</v>
      </c>
      <c r="D1460" s="1" t="str">
        <f>IFERROR(__xludf.DUMMYFUNCTION("""COMPUTED_VALUE"""),"ALOS, CHARLS")</f>
        <v>ALOS, CHARLS</v>
      </c>
      <c r="E1460" s="1" t="str">
        <f>IFERROR(__xludf.DUMMYFUNCTION("""COMPUTED_VALUE"""),"PLDT / ONLINE")</f>
        <v>PLDT / ONLINE</v>
      </c>
      <c r="F1460" s="1">
        <f>IFERROR(__xludf.DUMMYFUNCTION("""COMPUTED_VALUE"""),2309292932)</f>
        <v>2309292932</v>
      </c>
      <c r="G1460" s="1">
        <f>IFERROR(__xludf.DUMMYFUNCTION("""COMPUTED_VALUE"""),453269574004)</f>
        <v>453269574004</v>
      </c>
      <c r="H1460" s="1" t="str">
        <f>IFERROR(__xludf.DUMMYFUNCTION("""COMPUTED_VALUE"""),"JULIA KRISTEL SANTIAGO RAIN")</f>
        <v>JULIA KRISTEL SANTIAGO RAIN</v>
      </c>
      <c r="I1460" s="1">
        <f>IFERROR(__xludf.DUMMYFUNCTION("""COMPUTED_VALUE"""),9685547845)</f>
        <v>9685547845</v>
      </c>
      <c r="J1460" s="1"/>
      <c r="K1460" s="1" t="str">
        <f>IFERROR(__xludf.DUMMYFUNCTION("""COMPUTED_VALUE"""),"SANTIAGOJULIA0878@GMAIL.COM")</f>
        <v>SANTIAGOJULIA0878@GMAIL.COM</v>
      </c>
      <c r="L1460" s="1" t="str">
        <f>IFERROR(__xludf.DUMMYFUNCTION("""COMPUTED_VALUE"""),"BLK 6 LOT 1")</f>
        <v>BLK 6 LOT 1</v>
      </c>
      <c r="M1460" s="1" t="str">
        <f>IFERROR(__xludf.DUMMYFUNCTION("""COMPUTED_VALUE"""),"MABUHAS=Y")</f>
        <v>MABUHAS=Y</v>
      </c>
      <c r="N1460" s="1" t="str">
        <f>IFERROR(__xludf.DUMMYFUNCTION("""COMPUTED_VALUE"""),"MABUHAY CITY PH 2")</f>
        <v>MABUHAY CITY PH 2</v>
      </c>
      <c r="O1460" s="1" t="str">
        <f>IFERROR(__xludf.DUMMYFUNCTION("""COMPUTED_VALUE"""),"PALIPARAN III")</f>
        <v>PALIPARAN III</v>
      </c>
      <c r="P1460" s="1" t="str">
        <f>IFERROR(__xludf.DUMMYFUNCTION("""COMPUTED_VALUE"""),"DASMARINAS")</f>
        <v>DASMARINAS</v>
      </c>
      <c r="Q1460" s="1" t="str">
        <f>IFERROR(__xludf.DUMMYFUNCTION("""COMPUTED_VALUE"""),"CAVITE")</f>
        <v>CAVITE</v>
      </c>
      <c r="R1460" s="1" t="str">
        <f>IFERROR(__xludf.DUMMYFUNCTION("""COMPUTED_VALUE"""),"PREPAID FIBER UNLI")</f>
        <v>PREPAID FIBER UNLI</v>
      </c>
      <c r="S1460" s="1" t="str">
        <f>IFERROR(__xludf.DUMMYFUNCTION("""COMPUTED_VALUE"""),"APPROVED")</f>
        <v>APPROVED</v>
      </c>
      <c r="T1460" s="1" t="str">
        <f>IFERROR(__xludf.DUMMYFUNCTION("""COMPUTED_VALUE"""),"CLOSED")</f>
        <v>CLOSED</v>
      </c>
      <c r="U1460" s="1" t="str">
        <f>IFERROR(__xludf.DUMMYFUNCTION("""COMPUTED_VALUE"""),"POSTED")</f>
        <v>POSTED</v>
      </c>
      <c r="V1460" s="1"/>
      <c r="W1460" s="1"/>
    </row>
    <row r="1461" customHeight="1" spans="1:23">
      <c r="A1461" s="3">
        <f>IFERROR(__xludf.DUMMYFUNCTION("""COMPUTED_VALUE"""),46146)</f>
        <v>46146</v>
      </c>
      <c r="B1461" s="1" t="str">
        <f>IFERROR(__xludf.DUMMYFUNCTION("""COMPUTED_VALUE"""),"VERESO , MERL FRANCINE")</f>
        <v>VERESO , MERL FRANCINE</v>
      </c>
      <c r="C1461" s="1" t="str">
        <f>IFERROR(__xludf.DUMMYFUNCTION("""COMPUTED_VALUE"""),"ORGANIC")</f>
        <v>ORGANIC</v>
      </c>
      <c r="D1461" s="1" t="str">
        <f>IFERROR(__xludf.DUMMYFUNCTION("""COMPUTED_VALUE"""),"ALOS, CHARLS")</f>
        <v>ALOS, CHARLS</v>
      </c>
      <c r="E1461" s="1" t="str">
        <f>IFERROR(__xludf.DUMMYFUNCTION("""COMPUTED_VALUE"""),"PLDT / H2H")</f>
        <v>PLDT / H2H</v>
      </c>
      <c r="F1461" s="1">
        <f>IFERROR(__xludf.DUMMYFUNCTION("""COMPUTED_VALUE"""),2309297249)</f>
        <v>2309297249</v>
      </c>
      <c r="G1461" s="1">
        <f>IFERROR(__xludf.DUMMYFUNCTION("""COMPUTED_VALUE"""),453281001004)</f>
        <v>453281001004</v>
      </c>
      <c r="H1461" s="1" t="str">
        <f>IFERROR(__xludf.DUMMYFUNCTION("""COMPUTED_VALUE"""),"ALLAN CACATIN PENERO")</f>
        <v>ALLAN CACATIN PENERO</v>
      </c>
      <c r="I1461" s="1">
        <f>IFERROR(__xludf.DUMMYFUNCTION("""COMPUTED_VALUE"""),93917131717)</f>
        <v>93917131717</v>
      </c>
      <c r="J1461" s="1"/>
      <c r="K1461" s="1" t="str">
        <f>IFERROR(__xludf.DUMMYFUNCTION("""COMPUTED_VALUE"""),"PENEROVILMA70@GMAIL.COM")</f>
        <v>PENEROVILMA70@GMAIL.COM</v>
      </c>
      <c r="L1461" s="1" t="str">
        <f>IFERROR(__xludf.DUMMYFUNCTION("""COMPUTED_VALUE"""),"BLK 23 LOT 1")</f>
        <v>BLK 23 LOT 1</v>
      </c>
      <c r="M1461" s="1" t="str">
        <f>IFERROR(__xludf.DUMMYFUNCTION("""COMPUTED_VALUE"""),"BUKLURAN")</f>
        <v>BUKLURAN</v>
      </c>
      <c r="N1461" s="1"/>
      <c r="O1461" s="1" t="str">
        <f>IFERROR(__xludf.DUMMYFUNCTION("""COMPUTED_VALUE"""),"BULIHAN")</f>
        <v>BULIHAN</v>
      </c>
      <c r="P1461" s="1" t="str">
        <f>IFERROR(__xludf.DUMMYFUNCTION("""COMPUTED_VALUE"""),"SILANG")</f>
        <v>SILANG</v>
      </c>
      <c r="Q1461" s="1" t="str">
        <f>IFERROR(__xludf.DUMMYFUNCTION("""COMPUTED_VALUE"""),"CAVITE")</f>
        <v>CAVITE</v>
      </c>
      <c r="R1461" s="1" t="str">
        <f>IFERROR(__xludf.DUMMYFUNCTION("""COMPUTED_VALUE"""),"PREPAID FIBER UNLI")</f>
        <v>PREPAID FIBER UNLI</v>
      </c>
      <c r="S1461" s="1" t="str">
        <f>IFERROR(__xludf.DUMMYFUNCTION("""COMPUTED_VALUE"""),"APPROVED")</f>
        <v>APPROVED</v>
      </c>
      <c r="T1461" s="1" t="str">
        <f>IFERROR(__xludf.DUMMYFUNCTION("""COMPUTED_VALUE"""),"CANCELLED")</f>
        <v>CANCELLED</v>
      </c>
      <c r="U1461" s="1"/>
      <c r="V1461" s="1"/>
      <c r="W1461" s="1"/>
    </row>
    <row r="1462" customHeight="1" spans="1:23">
      <c r="A1462" s="3">
        <f>IFERROR(__xludf.DUMMYFUNCTION("""COMPUTED_VALUE"""),46146)</f>
        <v>46146</v>
      </c>
      <c r="B1462" s="1" t="str">
        <f>IFERROR(__xludf.DUMMYFUNCTION("""COMPUTED_VALUE"""),"CASTILLEJOS, ARREL")</f>
        <v>CASTILLEJOS, ARREL</v>
      </c>
      <c r="C1462" s="1" t="str">
        <f>IFERROR(__xludf.DUMMYFUNCTION("""COMPUTED_VALUE"""),"ORGANIC")</f>
        <v>ORGANIC</v>
      </c>
      <c r="D1462" s="1" t="str">
        <f>IFERROR(__xludf.DUMMYFUNCTION("""COMPUTED_VALUE"""),"REMOLLO LEA")</f>
        <v>REMOLLO LEA</v>
      </c>
      <c r="E1462" s="1" t="str">
        <f>IFERROR(__xludf.DUMMYFUNCTION("""COMPUTED_VALUE"""),"PLDT / ONLINE")</f>
        <v>PLDT / ONLINE</v>
      </c>
      <c r="F1462" s="1">
        <f>IFERROR(__xludf.DUMMYFUNCTION("""COMPUTED_VALUE"""),2309292429)</f>
        <v>2309292429</v>
      </c>
      <c r="G1462" s="1">
        <f>IFERROR(__xludf.DUMMYFUNCTION("""COMPUTED_VALUE"""),453290489004)</f>
        <v>453290489004</v>
      </c>
      <c r="H1462" s="1" t="str">
        <f>IFERROR(__xludf.DUMMYFUNCTION("""COMPUTED_VALUE"""),"KARL ANGELO HERRAN QUIZZAGAN")</f>
        <v>KARL ANGELO HERRAN QUIZZAGAN</v>
      </c>
      <c r="I1462" s="1">
        <f>IFERROR(__xludf.DUMMYFUNCTION("""COMPUTED_VALUE"""),9567995945)</f>
        <v>9567995945</v>
      </c>
      <c r="J1462" s="1"/>
      <c r="K1462" s="1" t="str">
        <f>IFERROR(__xludf.DUMMYFUNCTION("""COMPUTED_VALUE"""),"QUIZZAGONKARL@GMAIL.COM")</f>
        <v>QUIZZAGONKARL@GMAIL.COM</v>
      </c>
      <c r="L1462" s="1" t="str">
        <f>IFERROR(__xludf.DUMMYFUNCTION("""COMPUTED_VALUE"""),"BLK 13 LOT 2")</f>
        <v>BLK 13 LOT 2</v>
      </c>
      <c r="M1462" s="1" t="str">
        <f>IFERROR(__xludf.DUMMYFUNCTION("""COMPUTED_VALUE"""),"MOZILLA ")</f>
        <v>MOZILLA </v>
      </c>
      <c r="N1462" s="1" t="str">
        <f>IFERROR(__xludf.DUMMYFUNCTION("""COMPUTED_VALUE"""),"CYBERVILL")</f>
        <v>CYBERVILL</v>
      </c>
      <c r="O1462" s="1" t="str">
        <f>IFERROR(__xludf.DUMMYFUNCTION("""COMPUTED_VALUE"""),"SABANG")</f>
        <v>SABANG</v>
      </c>
      <c r="P1462" s="1" t="str">
        <f>IFERROR(__xludf.DUMMYFUNCTION("""COMPUTED_VALUE"""),"DASMARINAS")</f>
        <v>DASMARINAS</v>
      </c>
      <c r="Q1462" s="1" t="str">
        <f>IFERROR(__xludf.DUMMYFUNCTION("""COMPUTED_VALUE"""),"CAVITE")</f>
        <v>CAVITE</v>
      </c>
      <c r="R1462" s="1" t="str">
        <f>IFERROR(__xludf.DUMMYFUNCTION("""COMPUTED_VALUE"""),"FIBR NETFLIX PLAN 1599")</f>
        <v>FIBR NETFLIX PLAN 1599</v>
      </c>
      <c r="S1462" s="1" t="str">
        <f>IFERROR(__xludf.DUMMYFUNCTION("""COMPUTED_VALUE"""),"APPROVED")</f>
        <v>APPROVED</v>
      </c>
      <c r="T1462" s="1" t="str">
        <f>IFERROR(__xludf.DUMMYFUNCTION("""COMPUTED_VALUE"""),"RPR")</f>
        <v>RPR</v>
      </c>
      <c r="U1462" s="1"/>
      <c r="V1462" s="1"/>
      <c r="W1462" s="1"/>
    </row>
    <row r="1463" customHeight="1" spans="1:23">
      <c r="A1463" s="3">
        <f>IFERROR(__xludf.DUMMYFUNCTION("""COMPUTED_VALUE"""),46146)</f>
        <v>46146</v>
      </c>
      <c r="B1463" s="1" t="str">
        <f>IFERROR(__xludf.DUMMYFUNCTION("""COMPUTED_VALUE"""),"AGUNOS, JHON AIRVIN")</f>
        <v>AGUNOS, JHON AIRVIN</v>
      </c>
      <c r="C1463" s="1" t="str">
        <f>IFERROR(__xludf.DUMMYFUNCTION("""COMPUTED_VALUE"""),"ORGANIC")</f>
        <v>ORGANIC</v>
      </c>
      <c r="D1463" s="1" t="str">
        <f>IFERROR(__xludf.DUMMYFUNCTION("""COMPUTED_VALUE"""),"ALINGARO, CINDY")</f>
        <v>ALINGARO, CINDY</v>
      </c>
      <c r="E1463" s="1" t="str">
        <f>IFERROR(__xludf.DUMMYFUNCTION("""COMPUTED_VALUE"""),"PLDT / ONLINE")</f>
        <v>PLDT / ONLINE</v>
      </c>
      <c r="F1463" s="1">
        <f>IFERROR(__xludf.DUMMYFUNCTION("""COMPUTED_VALUE"""),2309293734)</f>
        <v>2309293734</v>
      </c>
      <c r="G1463" s="1">
        <f>IFERROR(__xludf.DUMMYFUNCTION("""COMPUTED_VALUE"""),453270634004)</f>
        <v>453270634004</v>
      </c>
      <c r="H1463" s="1" t="str">
        <f>IFERROR(__xludf.DUMMYFUNCTION("""COMPUTED_VALUE"""),"MARRY JANE CAINDOC ELESIS")</f>
        <v>MARRY JANE CAINDOC ELESIS</v>
      </c>
      <c r="I1463" s="1">
        <f>IFERROR(__xludf.DUMMYFUNCTION("""COMPUTED_VALUE"""),991486485)</f>
        <v>991486485</v>
      </c>
      <c r="J1463" s="1"/>
      <c r="K1463" s="1" t="str">
        <f>IFERROR(__xludf.DUMMYFUNCTION("""COMPUTED_VALUE"""),"JHANDIE1230@GMAIL.COM")</f>
        <v>JHANDIE1230@GMAIL.COM</v>
      </c>
      <c r="L1463" s="1" t="str">
        <f>IFERROR(__xludf.DUMMYFUNCTION("""COMPUTED_VALUE"""),"BLK 26 LOT 24")</f>
        <v>BLK 26 LOT 24</v>
      </c>
      <c r="M1463" s="1" t="str">
        <f>IFERROR(__xludf.DUMMYFUNCTION("""COMPUTED_VALUE"""),"PHASE 2")</f>
        <v>PHASE 2</v>
      </c>
      <c r="N1463" s="1"/>
      <c r="O1463" s="1" t="str">
        <f>IFERROR(__xludf.DUMMYFUNCTION("""COMPUTED_VALUE"""),"IBAYO SILANGAN")</f>
        <v>IBAYO SILANGAN</v>
      </c>
      <c r="P1463" s="1" t="str">
        <f>IFERROR(__xludf.DUMMYFUNCTION("""COMPUTED_VALUE"""),"NAIC")</f>
        <v>NAIC</v>
      </c>
      <c r="Q1463" s="1" t="str">
        <f>IFERROR(__xludf.DUMMYFUNCTION("""COMPUTED_VALUE"""),"CAVITE")</f>
        <v>CAVITE</v>
      </c>
      <c r="R1463" s="1" t="str">
        <f>IFERROR(__xludf.DUMMYFUNCTION("""COMPUTED_VALUE"""),"PREPAID FIBER UNLI")</f>
        <v>PREPAID FIBER UNLI</v>
      </c>
      <c r="S1463" s="1" t="str">
        <f>IFERROR(__xludf.DUMMYFUNCTION("""COMPUTED_VALUE"""),"APPROVED")</f>
        <v>APPROVED</v>
      </c>
      <c r="T1463" s="1" t="str">
        <f>IFERROR(__xludf.DUMMYFUNCTION("""COMPUTED_VALUE"""),"CANCELLED")</f>
        <v>CANCELLED</v>
      </c>
      <c r="U1463" s="1"/>
      <c r="V1463" s="1"/>
      <c r="W1463" s="1"/>
    </row>
    <row r="1464" customHeight="1" spans="1:23">
      <c r="A1464" s="3">
        <f>IFERROR(__xludf.DUMMYFUNCTION("""COMPUTED_VALUE"""),46146)</f>
        <v>46146</v>
      </c>
      <c r="B1464" s="1" t="str">
        <f>IFERROR(__xludf.DUMMYFUNCTION("""COMPUTED_VALUE"""),"GABAY, MANUEL")</f>
        <v>GABAY, MANUEL</v>
      </c>
      <c r="C1464" s="1" t="str">
        <f>IFERROR(__xludf.DUMMYFUNCTION("""COMPUTED_VALUE"""),"FLA")</f>
        <v>FLA</v>
      </c>
      <c r="D1464" s="1" t="str">
        <f>IFERROR(__xludf.DUMMYFUNCTION("""COMPUTED_VALUE"""),"JERIC NAVARRO")</f>
        <v>JERIC NAVARRO</v>
      </c>
      <c r="E1464" s="1" t="str">
        <f>IFERROR(__xludf.DUMMYFUNCTION("""COMPUTED_VALUE"""),"PLDT / H2H")</f>
        <v>PLDT / H2H</v>
      </c>
      <c r="F1464" s="1">
        <f>IFERROR(__xludf.DUMMYFUNCTION("""COMPUTED_VALUE"""),2309296767)</f>
        <v>2309296767</v>
      </c>
      <c r="G1464" s="1">
        <f>IFERROR(__xludf.DUMMYFUNCTION("""COMPUTED_VALUE"""),453275761004)</f>
        <v>453275761004</v>
      </c>
      <c r="H1464" s="1" t="str">
        <f>IFERROR(__xludf.DUMMYFUNCTION("""COMPUTED_VALUE"""),"MYLA ISSA PELAGIO HABABAG")</f>
        <v>MYLA ISSA PELAGIO HABABAG</v>
      </c>
      <c r="I1464" s="1">
        <f>IFERROR(__xludf.DUMMYFUNCTION("""COMPUTED_VALUE"""),994220698610)</f>
        <v>994220698610</v>
      </c>
      <c r="J1464" s="1">
        <f>IFERROR(__xludf.DUMMYFUNCTION("""COMPUTED_VALUE"""),9484546742)</f>
        <v>9484546742</v>
      </c>
      <c r="K1464" s="1" t="str">
        <f>IFERROR(__xludf.DUMMYFUNCTION("""COMPUTED_VALUE"""),"MYLAISSAHABABAG@GMAIL.COM")</f>
        <v>MYLAISSAHABABAG@GMAIL.COM</v>
      </c>
      <c r="L1464" s="1" t="str">
        <f>IFERROR(__xludf.DUMMYFUNCTION("""COMPUTED_VALUE"""),"101")</f>
        <v>101</v>
      </c>
      <c r="M1464" s="1" t="str">
        <f>IFERROR(__xludf.DUMMYFUNCTION("""COMPUTED_VALUE"""),"MANUELA")</f>
        <v>MANUELA</v>
      </c>
      <c r="N1464" s="1" t="str">
        <f>IFERROR(__xludf.DUMMYFUNCTION("""COMPUTED_VALUE"""),"MANUELA VILLE")</f>
        <v>MANUELA VILLE</v>
      </c>
      <c r="O1464" s="1" t="str">
        <f>IFERROR(__xludf.DUMMYFUNCTION("""COMPUTED_VALUE"""),"SABUTAN")</f>
        <v>SABUTAN</v>
      </c>
      <c r="P1464" s="1" t="str">
        <f>IFERROR(__xludf.DUMMYFUNCTION("""COMPUTED_VALUE"""),"SILANG")</f>
        <v>SILANG</v>
      </c>
      <c r="Q1464" s="1" t="str">
        <f>IFERROR(__xludf.DUMMYFUNCTION("""COMPUTED_VALUE"""),"CAVITE")</f>
        <v>CAVITE</v>
      </c>
      <c r="R1464" s="1" t="str">
        <f>IFERROR(__xludf.DUMMYFUNCTION("""COMPUTED_VALUE"""),"FIBR UNLI ALL PLAN 1399")</f>
        <v>FIBR UNLI ALL PLAN 1399</v>
      </c>
      <c r="S1464" s="1" t="str">
        <f>IFERROR(__xludf.DUMMYFUNCTION("""COMPUTED_VALUE"""),"APPROVED")</f>
        <v>APPROVED</v>
      </c>
      <c r="T1464" s="1" t="str">
        <f>IFERROR(__xludf.DUMMYFUNCTION("""COMPUTED_VALUE"""),"CLOSED")</f>
        <v>CLOSED</v>
      </c>
      <c r="U1464" s="1" t="str">
        <f>IFERROR(__xludf.DUMMYFUNCTION("""COMPUTED_VALUE"""),"POSTED")</f>
        <v>POSTED</v>
      </c>
      <c r="V1464" s="1"/>
      <c r="W1464" s="1"/>
    </row>
    <row r="1465" customHeight="1" spans="1:23">
      <c r="A1465" s="3">
        <f>IFERROR(__xludf.DUMMYFUNCTION("""COMPUTED_VALUE"""),46146)</f>
        <v>46146</v>
      </c>
      <c r="B1465" s="1" t="str">
        <f>IFERROR(__xludf.DUMMYFUNCTION("""COMPUTED_VALUE"""),"DELA ROSA, JENNELYN")</f>
        <v>DELA ROSA, JENNELYN</v>
      </c>
      <c r="C1465" s="1" t="str">
        <f>IFERROR(__xludf.DUMMYFUNCTION("""COMPUTED_VALUE"""),"ORGANIC")</f>
        <v>ORGANIC</v>
      </c>
      <c r="D1465" s="1" t="str">
        <f>IFERROR(__xludf.DUMMYFUNCTION("""COMPUTED_VALUE"""),"ALOS, CHARLS")</f>
        <v>ALOS, CHARLS</v>
      </c>
      <c r="E1465" s="1" t="str">
        <f>IFERROR(__xludf.DUMMYFUNCTION("""COMPUTED_VALUE"""),"PLDT / H2H")</f>
        <v>PLDT / H2H</v>
      </c>
      <c r="F1465" s="1">
        <f>IFERROR(__xludf.DUMMYFUNCTION("""COMPUTED_VALUE"""),2309297459)</f>
        <v>2309297459</v>
      </c>
      <c r="G1465" s="1">
        <f>IFERROR(__xludf.DUMMYFUNCTION("""COMPUTED_VALUE"""),453280353004)</f>
        <v>453280353004</v>
      </c>
      <c r="H1465" s="1" t="str">
        <f>IFERROR(__xludf.DUMMYFUNCTION("""COMPUTED_VALUE"""),"JAYR AMBAT ROMERA")</f>
        <v>JAYR AMBAT ROMERA</v>
      </c>
      <c r="I1465" s="1">
        <f>IFERROR(__xludf.DUMMYFUNCTION("""COMPUTED_VALUE"""),9637851805)</f>
        <v>9637851805</v>
      </c>
      <c r="J1465" s="1"/>
      <c r="K1465" s="1" t="str">
        <f>IFERROR(__xludf.DUMMYFUNCTION("""COMPUTED_VALUE"""),"JAYROMERO@GMAIL.COM")</f>
        <v>JAYROMERO@GMAIL.COM</v>
      </c>
      <c r="L1465" s="1" t="str">
        <f>IFERROR(__xludf.DUMMYFUNCTION("""COMPUTED_VALUE"""),"264")</f>
        <v>264</v>
      </c>
      <c r="M1465" s="1" t="str">
        <f>IFERROR(__xludf.DUMMYFUNCTION("""COMPUTED_VALUE"""),"DAAN LUNA")</f>
        <v>DAAN LUNA</v>
      </c>
      <c r="N1465" s="1"/>
      <c r="O1465" s="1" t="str">
        <f>IFERROR(__xludf.DUMMYFUNCTION("""COMPUTED_VALUE"""),"SALABAN")</f>
        <v>SALABAN</v>
      </c>
      <c r="P1465" s="1" t="str">
        <f>IFERROR(__xludf.DUMMYFUNCTION("""COMPUTED_VALUE"""),"AMADEO")</f>
        <v>AMADEO</v>
      </c>
      <c r="Q1465" s="1" t="str">
        <f>IFERROR(__xludf.DUMMYFUNCTION("""COMPUTED_VALUE"""),"CAVITE")</f>
        <v>CAVITE</v>
      </c>
      <c r="R1465" s="1" t="str">
        <f>IFERROR(__xludf.DUMMYFUNCTION("""COMPUTED_VALUE"""),"PREPAID FIBER UNLI")</f>
        <v>PREPAID FIBER UNLI</v>
      </c>
      <c r="S1465" s="1" t="str">
        <f>IFERROR(__xludf.DUMMYFUNCTION("""COMPUTED_VALUE"""),"APPROVED")</f>
        <v>APPROVED</v>
      </c>
      <c r="T1465" s="1" t="str">
        <f>IFERROR(__xludf.DUMMYFUNCTION("""COMPUTED_VALUE"""),"CANCELLED")</f>
        <v>CANCELLED</v>
      </c>
      <c r="U1465" s="1"/>
      <c r="V1465" s="1"/>
      <c r="W1465" s="1"/>
    </row>
    <row r="1466" customHeight="1" spans="1:23">
      <c r="A1466" s="3">
        <f>IFERROR(__xludf.DUMMYFUNCTION("""COMPUTED_VALUE"""),46146)</f>
        <v>46146</v>
      </c>
      <c r="B1466" s="1" t="str">
        <f>IFERROR(__xludf.DUMMYFUNCTION("""COMPUTED_VALUE"""),"MAÑANITA, ERIKA")</f>
        <v>MAÑANITA, ERIKA</v>
      </c>
      <c r="C1466" s="1" t="str">
        <f>IFERROR(__xludf.DUMMYFUNCTION("""COMPUTED_VALUE"""),"ORGANIC")</f>
        <v>ORGANIC</v>
      </c>
      <c r="D1466" s="1" t="str">
        <f>IFERROR(__xludf.DUMMYFUNCTION("""COMPUTED_VALUE"""),"ALOS, CHARLS")</f>
        <v>ALOS, CHARLS</v>
      </c>
      <c r="E1466" s="1" t="str">
        <f>IFERROR(__xludf.DUMMYFUNCTION("""COMPUTED_VALUE"""),"PLDT / H2H")</f>
        <v>PLDT / H2H</v>
      </c>
      <c r="F1466" s="1">
        <f>IFERROR(__xludf.DUMMYFUNCTION("""COMPUTED_VALUE"""),2309297768)</f>
        <v>2309297768</v>
      </c>
      <c r="G1466" s="1"/>
      <c r="H1466" s="1" t="str">
        <f>IFERROR(__xludf.DUMMYFUNCTION("""COMPUTED_VALUE"""),"JENNIFER MARTINEZ CRUZ")</f>
        <v>JENNIFER MARTINEZ CRUZ</v>
      </c>
      <c r="I1466" s="1">
        <f>IFERROR(__xludf.DUMMYFUNCTION("""COMPUTED_VALUE"""),9926292362)</f>
        <v>9926292362</v>
      </c>
      <c r="J1466" s="1"/>
      <c r="K1466" s="1" t="str">
        <f>IFERROR(__xludf.DUMMYFUNCTION("""COMPUTED_VALUE"""),"CRUZNHENENG@GMAIL.COM")</f>
        <v>CRUZNHENENG@GMAIL.COM</v>
      </c>
      <c r="L1466" s="1" t="str">
        <f>IFERROR(__xludf.DUMMYFUNCTION("""COMPUTED_VALUE"""),"BLK 20 LOT 1")</f>
        <v>BLK 20 LOT 1</v>
      </c>
      <c r="M1466" s="1" t="str">
        <f>IFERROR(__xludf.DUMMYFUNCTION("""COMPUTED_VALUE"""),"ZONE 10")</f>
        <v>ZONE 10</v>
      </c>
      <c r="N1466" s="1" t="str">
        <f>IFERROR(__xludf.DUMMYFUNCTION("""COMPUTED_VALUE"""),"BULIHAN")</f>
        <v>BULIHAN</v>
      </c>
      <c r="O1466" s="1" t="str">
        <f>IFERROR(__xludf.DUMMYFUNCTION("""COMPUTED_VALUE"""),"BULIHAN")</f>
        <v>BULIHAN</v>
      </c>
      <c r="P1466" s="1" t="str">
        <f>IFERROR(__xludf.DUMMYFUNCTION("""COMPUTED_VALUE"""),"SILANG")</f>
        <v>SILANG</v>
      </c>
      <c r="Q1466" s="1" t="str">
        <f>IFERROR(__xludf.DUMMYFUNCTION("""COMPUTED_VALUE"""),"CAVITE")</f>
        <v>CAVITE</v>
      </c>
      <c r="R1466" s="1" t="str">
        <f>IFERROR(__xludf.DUMMYFUNCTION("""COMPUTED_VALUE"""),"FIBR PLAN 1299")</f>
        <v>FIBR PLAN 1299</v>
      </c>
      <c r="S1466" s="1" t="str">
        <f>IFERROR(__xludf.DUMMYFUNCTION("""COMPUTED_VALUE"""),"APPROVED")</f>
        <v>APPROVED</v>
      </c>
      <c r="T1466" s="1" t="str">
        <f>IFERROR(__xludf.DUMMYFUNCTION("""COMPUTED_VALUE"""),"CANCELLED")</f>
        <v>CANCELLED</v>
      </c>
      <c r="U1466" s="1"/>
      <c r="V1466" s="1"/>
      <c r="W1466" s="1"/>
    </row>
    <row r="1467" customHeight="1" spans="1:23">
      <c r="A1467" s="3">
        <f>IFERROR(__xludf.DUMMYFUNCTION("""COMPUTED_VALUE"""),46146)</f>
        <v>46146</v>
      </c>
      <c r="B1467" s="1" t="str">
        <f>IFERROR(__xludf.DUMMYFUNCTION("""COMPUTED_VALUE"""),"FERNANDEZ JERIC")</f>
        <v>FERNANDEZ JERIC</v>
      </c>
      <c r="C1467" s="1" t="str">
        <f>IFERROR(__xludf.DUMMYFUNCTION("""COMPUTED_VALUE"""),"ORGANIC")</f>
        <v>ORGANIC</v>
      </c>
      <c r="D1467" s="1" t="str">
        <f>IFERROR(__xludf.DUMMYFUNCTION("""COMPUTED_VALUE"""),"ALOS, CHARLS")</f>
        <v>ALOS, CHARLS</v>
      </c>
      <c r="E1467" s="1" t="str">
        <f>IFERROR(__xludf.DUMMYFUNCTION("""COMPUTED_VALUE"""),"PLDT / H2H")</f>
        <v>PLDT / H2H</v>
      </c>
      <c r="F1467" s="1">
        <f>IFERROR(__xludf.DUMMYFUNCTION("""COMPUTED_VALUE"""),2309298106)</f>
        <v>2309298106</v>
      </c>
      <c r="G1467" s="1">
        <f>IFERROR(__xludf.DUMMYFUNCTION("""COMPUTED_VALUE"""),453300329004)</f>
        <v>453300329004</v>
      </c>
      <c r="H1467" s="1" t="str">
        <f>IFERROR(__xludf.DUMMYFUNCTION("""COMPUTED_VALUE"""),"LAWRENCE DALE GUPO FERMA")</f>
        <v>LAWRENCE DALE GUPO FERMA</v>
      </c>
      <c r="I1467" s="1">
        <f>IFERROR(__xludf.DUMMYFUNCTION("""COMPUTED_VALUE"""),9325490771)</f>
        <v>9325490771</v>
      </c>
      <c r="J1467" s="1">
        <f>IFERROR(__xludf.DUMMYFUNCTION("""COMPUTED_VALUE"""),9261915947)</f>
        <v>9261915947</v>
      </c>
      <c r="K1467" s="1" t="str">
        <f>IFERROR(__xludf.DUMMYFUNCTION("""COMPUTED_VALUE"""),"GUPORELETH@GMAIL.COM")</f>
        <v>GUPORELETH@GMAIL.COM</v>
      </c>
      <c r="L1467" s="1" t="str">
        <f>IFERROR(__xludf.DUMMYFUNCTION("""COMPUTED_VALUE"""),"2875")</f>
        <v>2875</v>
      </c>
      <c r="M1467" s="1" t="str">
        <f>IFERROR(__xludf.DUMMYFUNCTION("""COMPUTED_VALUE"""),"CPD ALLEGRE")</f>
        <v>CPD ALLEGRE</v>
      </c>
      <c r="N1467" s="1"/>
      <c r="O1467" s="1" t="str">
        <f>IFERROR(__xludf.DUMMYFUNCTION("""COMPUTED_VALUE"""),"PATUTONG MALAKI NORTH")</f>
        <v>PATUTONG MALAKI NORTH</v>
      </c>
      <c r="P1467" s="1" t="str">
        <f>IFERROR(__xludf.DUMMYFUNCTION("""COMPUTED_VALUE"""),"TAGAYTAY")</f>
        <v>TAGAYTAY</v>
      </c>
      <c r="Q1467" s="1" t="str">
        <f>IFERROR(__xludf.DUMMYFUNCTION("""COMPUTED_VALUE"""),"CAVITE")</f>
        <v>CAVITE</v>
      </c>
      <c r="R1467" s="1" t="str">
        <f>IFERROR(__xludf.DUMMYFUNCTION("""COMPUTED_VALUE"""),"FIBR PLAN 1299")</f>
        <v>FIBR PLAN 1299</v>
      </c>
      <c r="S1467" s="1" t="str">
        <f>IFERROR(__xludf.DUMMYFUNCTION("""COMPUTED_VALUE"""),"APPROVED")</f>
        <v>APPROVED</v>
      </c>
      <c r="T1467" s="1" t="str">
        <f>IFERROR(__xludf.DUMMYFUNCTION("""COMPUTED_VALUE"""),"CLOSED")</f>
        <v>CLOSED</v>
      </c>
      <c r="U1467" s="1" t="str">
        <f>IFERROR(__xludf.DUMMYFUNCTION("""COMPUTED_VALUE"""),"POSTED")</f>
        <v>POSTED</v>
      </c>
      <c r="V1467" s="1"/>
      <c r="W1467" s="1"/>
    </row>
    <row r="1468" customHeight="1" spans="1:23">
      <c r="A1468" s="3">
        <f>IFERROR(__xludf.DUMMYFUNCTION("""COMPUTED_VALUE"""),46146)</f>
        <v>46146</v>
      </c>
      <c r="B1468" s="1" t="str">
        <f>IFERROR(__xludf.DUMMYFUNCTION("""COMPUTED_VALUE"""),"MALIWAT MARK ELVIN")</f>
        <v>MALIWAT MARK ELVIN</v>
      </c>
      <c r="C1468" s="1" t="str">
        <f>IFERROR(__xludf.DUMMYFUNCTION("""COMPUTED_VALUE"""),"FLA")</f>
        <v>FLA</v>
      </c>
      <c r="D1468" s="1" t="str">
        <f>IFERROR(__xludf.DUMMYFUNCTION("""COMPUTED_VALUE"""),"JERIC NAVARRO")</f>
        <v>JERIC NAVARRO</v>
      </c>
      <c r="E1468" s="1" t="str">
        <f>IFERROR(__xludf.DUMMYFUNCTION("""COMPUTED_VALUE"""),"PLDT / ONLINE")</f>
        <v>PLDT / ONLINE</v>
      </c>
      <c r="F1468" s="1">
        <f>IFERROR(__xludf.DUMMYFUNCTION("""COMPUTED_VALUE"""),2309298272)</f>
        <v>2309298272</v>
      </c>
      <c r="G1468" s="1">
        <f>IFERROR(__xludf.DUMMYFUNCTION("""COMPUTED_VALUE"""),453300218004)</f>
        <v>453300218004</v>
      </c>
      <c r="H1468" s="1" t="str">
        <f>IFERROR(__xludf.DUMMYFUNCTION("""COMPUTED_VALUE"""),"IMALDA RAGMAC ORTIZ")</f>
        <v>IMALDA RAGMAC ORTIZ</v>
      </c>
      <c r="I1468" s="1">
        <f>IFERROR(__xludf.DUMMYFUNCTION("""COMPUTED_VALUE"""),9058765439)</f>
        <v>9058765439</v>
      </c>
      <c r="J1468" s="1">
        <f>IFERROR(__xludf.DUMMYFUNCTION("""COMPUTED_VALUE"""),960555342)</f>
        <v>960555342</v>
      </c>
      <c r="K1468" s="1" t="str">
        <f>IFERROR(__xludf.DUMMYFUNCTION("""COMPUTED_VALUE"""),"ORTIZIMALDA@GMAIL.COM")</f>
        <v>ORTIZIMALDA@GMAIL.COM</v>
      </c>
      <c r="L1468" s="1" t="str">
        <f>IFERROR(__xludf.DUMMYFUNCTION("""COMPUTED_VALUE"""),"BLK 12 LOT 33B")</f>
        <v>BLK 12 LOT 33B</v>
      </c>
      <c r="M1468" s="1" t="str">
        <f>IFERROR(__xludf.DUMMYFUNCTION("""COMPUTED_VALUE"""),"BARCELONA")</f>
        <v>BARCELONA</v>
      </c>
      <c r="N1468" s="1" t="str">
        <f>IFERROR(__xludf.DUMMYFUNCTION("""COMPUTED_VALUE"""),"BARCELONA PHASE 1")</f>
        <v>BARCELONA PHASE 1</v>
      </c>
      <c r="O1468" s="1" t="str">
        <f>IFERROR(__xludf.DUMMYFUNCTION("""COMPUTED_VALUE"""),"BUHAY NA TUBIG")</f>
        <v>BUHAY NA TUBIG</v>
      </c>
      <c r="P1468" s="1" t="str">
        <f>IFERROR(__xludf.DUMMYFUNCTION("""COMPUTED_VALUE"""),"IMUS")</f>
        <v>IMUS</v>
      </c>
      <c r="Q1468" s="1" t="str">
        <f>IFERROR(__xludf.DUMMYFUNCTION("""COMPUTED_VALUE"""),"CAVITE")</f>
        <v>CAVITE</v>
      </c>
      <c r="R1468" s="1" t="str">
        <f>IFERROR(__xludf.DUMMYFUNCTION("""COMPUTED_VALUE"""),"FIBR UNLI ALL PLAN 1799")</f>
        <v>FIBR UNLI ALL PLAN 1799</v>
      </c>
      <c r="S1468" s="1" t="str">
        <f>IFERROR(__xludf.DUMMYFUNCTION("""COMPUTED_VALUE"""),"APPROVED")</f>
        <v>APPROVED</v>
      </c>
      <c r="T1468" s="1" t="str">
        <f>IFERROR(__xludf.DUMMYFUNCTION("""COMPUTED_VALUE"""),"CANCELLED")</f>
        <v>CANCELLED</v>
      </c>
      <c r="U1468" s="1"/>
      <c r="V1468" s="1"/>
      <c r="W1468" s="1"/>
    </row>
    <row r="1469" customHeight="1" spans="1:23">
      <c r="A1469" s="3">
        <f>IFERROR(__xludf.DUMMYFUNCTION("""COMPUTED_VALUE"""),46147)</f>
        <v>46147</v>
      </c>
      <c r="B1469" s="1" t="str">
        <f>IFERROR(__xludf.DUMMYFUNCTION("""COMPUTED_VALUE"""),"DACALCAP RUBEN")</f>
        <v>DACALCAP RUBEN</v>
      </c>
      <c r="C1469" s="1" t="str">
        <f>IFERROR(__xludf.DUMMYFUNCTION("""COMPUTED_VALUE"""),"FLA")</f>
        <v>FLA</v>
      </c>
      <c r="D1469" s="1" t="str">
        <f>IFERROR(__xludf.DUMMYFUNCTION("""COMPUTED_VALUE"""),"JERIC NAVARRO")</f>
        <v>JERIC NAVARRO</v>
      </c>
      <c r="E1469" s="1" t="str">
        <f>IFERROR(__xludf.DUMMYFUNCTION("""COMPUTED_VALUE"""),"PLDT / H2H")</f>
        <v>PLDT / H2H</v>
      </c>
      <c r="F1469" s="1">
        <f>IFERROR(__xludf.DUMMYFUNCTION("""COMPUTED_VALUE"""),2309311078)</f>
        <v>2309311078</v>
      </c>
      <c r="G1469" s="1">
        <f>IFERROR(__xludf.DUMMYFUNCTION("""COMPUTED_VALUE"""),453431911004)</f>
        <v>453431911004</v>
      </c>
      <c r="H1469" s="1" t="str">
        <f>IFERROR(__xludf.DUMMYFUNCTION("""COMPUTED_VALUE"""),"KAMILLE PORTEM PENAFLOR")</f>
        <v>KAMILLE PORTEM PENAFLOR</v>
      </c>
      <c r="I1469" s="1">
        <f>IFERROR(__xludf.DUMMYFUNCTION("""COMPUTED_VALUE"""),9453826361)</f>
        <v>9453826361</v>
      </c>
      <c r="J1469" s="1">
        <f>IFERROR(__xludf.DUMMYFUNCTION("""COMPUTED_VALUE"""),9760854735)</f>
        <v>9760854735</v>
      </c>
      <c r="K1469" s="1" t="str">
        <f>IFERROR(__xludf.DUMMYFUNCTION("""COMPUTED_VALUE"""),"KAMILLEPENAFLOR@GMAIL.COM")</f>
        <v>KAMILLEPENAFLOR@GMAIL.COM</v>
      </c>
      <c r="L1469" s="1" t="str">
        <f>IFERROR(__xludf.DUMMYFUNCTION("""COMPUTED_VALUE"""),"181")</f>
        <v>181</v>
      </c>
      <c r="M1469" s="1" t="str">
        <f>IFERROR(__xludf.DUMMYFUNCTION("""COMPUTED_VALUE"""),"PUROK 5")</f>
        <v>PUROK 5</v>
      </c>
      <c r="N1469" s="1"/>
      <c r="O1469" s="1" t="str">
        <f>IFERROR(__xludf.DUMMYFUNCTION("""COMPUTED_VALUE"""),"PASONG LANGKA")</f>
        <v>PASONG LANGKA</v>
      </c>
      <c r="P1469" s="1" t="str">
        <f>IFERROR(__xludf.DUMMYFUNCTION("""COMPUTED_VALUE"""),"SILANG")</f>
        <v>SILANG</v>
      </c>
      <c r="Q1469" s="1" t="str">
        <f>IFERROR(__xludf.DUMMYFUNCTION("""COMPUTED_VALUE"""),"CAVITE")</f>
        <v>CAVITE</v>
      </c>
      <c r="R1469" s="1" t="str">
        <f>IFERROR(__xludf.DUMMYFUNCTION("""COMPUTED_VALUE"""),"FIBR UNLI ALL PLAN 1399")</f>
        <v>FIBR UNLI ALL PLAN 1399</v>
      </c>
      <c r="S1469" s="1" t="str">
        <f>IFERROR(__xludf.DUMMYFUNCTION("""COMPUTED_VALUE"""),"APPROVED")</f>
        <v>APPROVED</v>
      </c>
      <c r="T1469" s="1" t="str">
        <f>IFERROR(__xludf.DUMMYFUNCTION("""COMPUTED_VALUE"""),"CLOSED")</f>
        <v>CLOSED</v>
      </c>
      <c r="U1469" s="1" t="str">
        <f>IFERROR(__xludf.DUMMYFUNCTION("""COMPUTED_VALUE"""),"POSTED")</f>
        <v>POSTED</v>
      </c>
      <c r="V1469" s="1"/>
      <c r="W1469" s="1"/>
    </row>
    <row r="1470" customHeight="1" spans="1:23">
      <c r="A1470" s="3">
        <f>IFERROR(__xludf.DUMMYFUNCTION("""COMPUTED_VALUE"""),46147)</f>
        <v>46147</v>
      </c>
      <c r="B1470" s="1" t="str">
        <f>IFERROR(__xludf.DUMMYFUNCTION("""COMPUTED_VALUE"""),"FRANCISCO , ROSELYN")</f>
        <v>FRANCISCO , ROSELYN</v>
      </c>
      <c r="C1470" s="1" t="str">
        <f>IFERROR(__xludf.DUMMYFUNCTION("""COMPUTED_VALUE"""),"ORGANIC")</f>
        <v>ORGANIC</v>
      </c>
      <c r="D1470" s="1" t="str">
        <f>IFERROR(__xludf.DUMMYFUNCTION("""COMPUTED_VALUE"""),"ALOS, CHARLS")</f>
        <v>ALOS, CHARLS</v>
      </c>
      <c r="E1470" s="1" t="str">
        <f>IFERROR(__xludf.DUMMYFUNCTION("""COMPUTED_VALUE"""),"PLDT / H2H")</f>
        <v>PLDT / H2H</v>
      </c>
      <c r="F1470" s="1">
        <f>IFERROR(__xludf.DUMMYFUNCTION("""COMPUTED_VALUE"""),2309307636)</f>
        <v>2309307636</v>
      </c>
      <c r="G1470" s="1">
        <f>IFERROR(__xludf.DUMMYFUNCTION("""COMPUTED_VALUE"""),453399275004)</f>
        <v>453399275004</v>
      </c>
      <c r="H1470" s="1" t="str">
        <f>IFERROR(__xludf.DUMMYFUNCTION("""COMPUTED_VALUE"""),"RONALD RECAMADAS ARCENAL")</f>
        <v>RONALD RECAMADAS ARCENAL</v>
      </c>
      <c r="I1470" s="1">
        <f>IFERROR(__xludf.DUMMYFUNCTION("""COMPUTED_VALUE"""),9517727522)</f>
        <v>9517727522</v>
      </c>
      <c r="J1470" s="1">
        <f>IFERROR(__xludf.DUMMYFUNCTION("""COMPUTED_VALUE"""),9305462654)</f>
        <v>9305462654</v>
      </c>
      <c r="K1470" s="1" t="str">
        <f>IFERROR(__xludf.DUMMYFUNCTION("""COMPUTED_VALUE"""),"RONALDARCENAL@GMAIL.COM")</f>
        <v>RONALDARCENAL@GMAIL.COM</v>
      </c>
      <c r="L1470" s="1" t="str">
        <f>IFERROR(__xludf.DUMMYFUNCTION("""COMPUTED_VALUE"""),"31")</f>
        <v>31</v>
      </c>
      <c r="M1470" s="1" t="str">
        <f>IFERROR(__xludf.DUMMYFUNCTION("""COMPUTED_VALUE"""),"CRISANTO DELOS REYES")</f>
        <v>CRISANTO DELOS REYES</v>
      </c>
      <c r="N1470" s="1"/>
      <c r="O1470" s="1" t="str">
        <f>IFERROR(__xludf.DUMMYFUNCTION("""COMPUTED_VALUE"""),"BARANGAY 6 (POB.)")</f>
        <v>BARANGAY 6 (POB.)</v>
      </c>
      <c r="P1470" s="1" t="str">
        <f>IFERROR(__xludf.DUMMYFUNCTION("""COMPUTED_VALUE"""),"AMADEO")</f>
        <v>AMADEO</v>
      </c>
      <c r="Q1470" s="1" t="str">
        <f>IFERROR(__xludf.DUMMYFUNCTION("""COMPUTED_VALUE"""),"CAVITE")</f>
        <v>CAVITE</v>
      </c>
      <c r="R1470" s="1" t="str">
        <f>IFERROR(__xludf.DUMMYFUNCTION("""COMPUTED_VALUE"""),"FIBR UNLI ALL PLAN 1399")</f>
        <v>FIBR UNLI ALL PLAN 1399</v>
      </c>
      <c r="S1470" s="1" t="str">
        <f>IFERROR(__xludf.DUMMYFUNCTION("""COMPUTED_VALUE"""),"APPROVED")</f>
        <v>APPROVED</v>
      </c>
      <c r="T1470" s="1" t="str">
        <f>IFERROR(__xludf.DUMMYFUNCTION("""COMPUTED_VALUE"""),"CANCELLED")</f>
        <v>CANCELLED</v>
      </c>
      <c r="U1470" s="1"/>
      <c r="V1470" s="1"/>
      <c r="W1470" s="1"/>
    </row>
    <row r="1471" customHeight="1" spans="1:23">
      <c r="A1471" s="3">
        <f>IFERROR(__xludf.DUMMYFUNCTION("""COMPUTED_VALUE"""),46147)</f>
        <v>46147</v>
      </c>
      <c r="B1471" s="1" t="str">
        <f>IFERROR(__xludf.DUMMYFUNCTION("""COMPUTED_VALUE"""),"VERESO , MERL FRANCINE")</f>
        <v>VERESO , MERL FRANCINE</v>
      </c>
      <c r="C1471" s="1" t="str">
        <f>IFERROR(__xludf.DUMMYFUNCTION("""COMPUTED_VALUE"""),"ORGANIC")</f>
        <v>ORGANIC</v>
      </c>
      <c r="D1471" s="1" t="str">
        <f>IFERROR(__xludf.DUMMYFUNCTION("""COMPUTED_VALUE"""),"ALOS, CHARLS")</f>
        <v>ALOS, CHARLS</v>
      </c>
      <c r="E1471" s="1" t="str">
        <f>IFERROR(__xludf.DUMMYFUNCTION("""COMPUTED_VALUE"""),"PLDT / H2H")</f>
        <v>PLDT / H2H</v>
      </c>
      <c r="F1471" s="1">
        <f>IFERROR(__xludf.DUMMYFUNCTION("""COMPUTED_VALUE"""),2309310597)</f>
        <v>2309310597</v>
      </c>
      <c r="G1471" s="1">
        <f>IFERROR(__xludf.DUMMYFUNCTION("""COMPUTED_VALUE"""),453397788004)</f>
        <v>453397788004</v>
      </c>
      <c r="H1471" s="1" t="str">
        <f>IFERROR(__xludf.DUMMYFUNCTION("""COMPUTED_VALUE"""),"ALMA BOHOL MIRALLES")</f>
        <v>ALMA BOHOL MIRALLES</v>
      </c>
      <c r="I1471" s="1">
        <f>IFERROR(__xludf.DUMMYFUNCTION("""COMPUTED_VALUE"""),9566176564)</f>
        <v>9566176564</v>
      </c>
      <c r="J1471" s="1">
        <f>IFERROR(__xludf.DUMMYFUNCTION("""COMPUTED_VALUE"""),9482715607)</f>
        <v>9482715607</v>
      </c>
      <c r="K1471" s="1" t="str">
        <f>IFERROR(__xludf.DUMMYFUNCTION("""COMPUTED_VALUE"""),"ALMAMIRALLES15@GMAIL.COM")</f>
        <v>ALMAMIRALLES15@GMAIL.COM</v>
      </c>
      <c r="L1471" s="1" t="str">
        <f>IFERROR(__xludf.DUMMYFUNCTION("""COMPUTED_VALUE"""),"BLK 37 LOT 10")</f>
        <v>BLK 37 LOT 10</v>
      </c>
      <c r="M1471" s="1" t="str">
        <f>IFERROR(__xludf.DUMMYFUNCTION("""COMPUTED_VALUE"""),"LEKKAPA")</f>
        <v>LEKKAPA</v>
      </c>
      <c r="N1471" s="1"/>
      <c r="O1471" s="1" t="str">
        <f>IFERROR(__xludf.DUMMYFUNCTION("""COMPUTED_VALUE"""),"BARANGAY 3 (POB.)")</f>
        <v>BARANGAY 3 (POB.)</v>
      </c>
      <c r="P1471" s="1" t="str">
        <f>IFERROR(__xludf.DUMMYFUNCTION("""COMPUTED_VALUE"""),"GEN MARIANO ALVAREZ")</f>
        <v>GEN MARIANO ALVAREZ</v>
      </c>
      <c r="Q1471" s="1" t="str">
        <f>IFERROR(__xludf.DUMMYFUNCTION("""COMPUTED_VALUE"""),"CAVITE")</f>
        <v>CAVITE</v>
      </c>
      <c r="R1471" s="1" t="str">
        <f>IFERROR(__xludf.DUMMYFUNCTION("""COMPUTED_VALUE"""),"FIBR NETFLIX PLAN 1599")</f>
        <v>FIBR NETFLIX PLAN 1599</v>
      </c>
      <c r="S1471" s="1" t="str">
        <f>IFERROR(__xludf.DUMMYFUNCTION("""COMPUTED_VALUE"""),"APPROVED")</f>
        <v>APPROVED</v>
      </c>
      <c r="T1471" s="1" t="str">
        <f>IFERROR(__xludf.DUMMYFUNCTION("""COMPUTED_VALUE"""),"CLOSED")</f>
        <v>CLOSED</v>
      </c>
      <c r="U1471" s="1" t="str">
        <f>IFERROR(__xludf.DUMMYFUNCTION("""COMPUTED_VALUE"""),"POSTED")</f>
        <v>POSTED</v>
      </c>
      <c r="V1471" s="1"/>
      <c r="W1471" s="1"/>
    </row>
    <row r="1472" customHeight="1" spans="1:23">
      <c r="A1472" s="3">
        <f>IFERROR(__xludf.DUMMYFUNCTION("""COMPUTED_VALUE"""),46147)</f>
        <v>46147</v>
      </c>
      <c r="B1472" s="1" t="str">
        <f>IFERROR(__xludf.DUMMYFUNCTION("""COMPUTED_VALUE"""),"TISTON, CEDRICK")</f>
        <v>TISTON, CEDRICK</v>
      </c>
      <c r="C1472" s="1" t="str">
        <f>IFERROR(__xludf.DUMMYFUNCTION("""COMPUTED_VALUE"""),"FLA")</f>
        <v>FLA</v>
      </c>
      <c r="D1472" s="1" t="str">
        <f>IFERROR(__xludf.DUMMYFUNCTION("""COMPUTED_VALUE"""),"JERIC NAVARRO")</f>
        <v>JERIC NAVARRO</v>
      </c>
      <c r="E1472" s="1" t="str">
        <f>IFERROR(__xludf.DUMMYFUNCTION("""COMPUTED_VALUE"""),"PLDT / H2H")</f>
        <v>PLDT / H2H</v>
      </c>
      <c r="F1472" s="1">
        <f>IFERROR(__xludf.DUMMYFUNCTION("""COMPUTED_VALUE"""),2309308209)</f>
        <v>2309308209</v>
      </c>
      <c r="G1472" s="1">
        <f>IFERROR(__xludf.DUMMYFUNCTION("""COMPUTED_VALUE"""),453399237004)</f>
        <v>453399237004</v>
      </c>
      <c r="H1472" s="1" t="str">
        <f>IFERROR(__xludf.DUMMYFUNCTION("""COMPUTED_VALUE"""),"JANICE ALCANTARA CABALATUNGAN")</f>
        <v>JANICE ALCANTARA CABALATUNGAN</v>
      </c>
      <c r="I1472" s="1">
        <f>IFERROR(__xludf.DUMMYFUNCTION("""COMPUTED_VALUE"""),9269530838)</f>
        <v>9269530838</v>
      </c>
      <c r="J1472" s="1">
        <f>IFERROR(__xludf.DUMMYFUNCTION("""COMPUTED_VALUE"""),9166345855)</f>
        <v>9166345855</v>
      </c>
      <c r="K1472" s="1" t="str">
        <f>IFERROR(__xludf.DUMMYFUNCTION("""COMPUTED_VALUE"""),"ALCANTARAJINNO6@GMAIL.COM")</f>
        <v>ALCANTARAJINNO6@GMAIL.COM</v>
      </c>
      <c r="L1472" s="1" t="str">
        <f>IFERROR(__xludf.DUMMYFUNCTION("""COMPUTED_VALUE"""),"BLK 2 LOT 25")</f>
        <v>BLK 2 LOT 25</v>
      </c>
      <c r="M1472" s="1" t="str">
        <f>IFERROR(__xludf.DUMMYFUNCTION("""COMPUTED_VALUE"""),"GRANADOS")</f>
        <v>GRANADOS</v>
      </c>
      <c r="N1472" s="1"/>
      <c r="O1472" s="1" t="str">
        <f>IFERROR(__xludf.DUMMYFUNCTION("""COMPUTED_VALUE"""),"PANTALEON GRANADOS (AREA G)")</f>
        <v>PANTALEON GRANADOS (AREA G)</v>
      </c>
      <c r="P1472" s="1" t="str">
        <f>IFERROR(__xludf.DUMMYFUNCTION("""COMPUTED_VALUE"""),"GEN MARIANO ALVAREZ")</f>
        <v>GEN MARIANO ALVAREZ</v>
      </c>
      <c r="Q1472" s="1" t="str">
        <f>IFERROR(__xludf.DUMMYFUNCTION("""COMPUTED_VALUE"""),"CAVITE")</f>
        <v>CAVITE</v>
      </c>
      <c r="R1472" s="1" t="str">
        <f>IFERROR(__xludf.DUMMYFUNCTION("""COMPUTED_VALUE"""),"FIBR UNLI ALL PLAN 1399")</f>
        <v>FIBR UNLI ALL PLAN 1399</v>
      </c>
      <c r="S1472" s="1" t="str">
        <f>IFERROR(__xludf.DUMMYFUNCTION("""COMPUTED_VALUE"""),"APPROVED")</f>
        <v>APPROVED</v>
      </c>
      <c r="T1472" s="1" t="str">
        <f>IFERROR(__xludf.DUMMYFUNCTION("""COMPUTED_VALUE"""),"CANCELLED")</f>
        <v>CANCELLED</v>
      </c>
      <c r="U1472" s="1"/>
      <c r="V1472" s="1"/>
      <c r="W1472" s="1"/>
    </row>
    <row r="1473" customHeight="1" spans="1:23">
      <c r="A1473" s="3">
        <f>IFERROR(__xludf.DUMMYFUNCTION("""COMPUTED_VALUE"""),46147)</f>
        <v>46147</v>
      </c>
      <c r="B1473" s="1" t="str">
        <f>IFERROR(__xludf.DUMMYFUNCTION("""COMPUTED_VALUE"""),"DELA ROSA, JENNELYN")</f>
        <v>DELA ROSA, JENNELYN</v>
      </c>
      <c r="C1473" s="1" t="str">
        <f>IFERROR(__xludf.DUMMYFUNCTION("""COMPUTED_VALUE"""),"ORGANIC")</f>
        <v>ORGANIC</v>
      </c>
      <c r="D1473" s="1" t="str">
        <f>IFERROR(__xludf.DUMMYFUNCTION("""COMPUTED_VALUE"""),"ALOS, CHARLS")</f>
        <v>ALOS, CHARLS</v>
      </c>
      <c r="E1473" s="1" t="str">
        <f>IFERROR(__xludf.DUMMYFUNCTION("""COMPUTED_VALUE"""),"PLDT / ONLINE")</f>
        <v>PLDT / ONLINE</v>
      </c>
      <c r="F1473" s="1">
        <f>IFERROR(__xludf.DUMMYFUNCTION("""COMPUTED_VALUE"""),2309308600)</f>
        <v>2309308600</v>
      </c>
      <c r="G1473" s="1">
        <f>IFERROR(__xludf.DUMMYFUNCTION("""COMPUTED_VALUE"""),453431784004)</f>
        <v>453431784004</v>
      </c>
      <c r="H1473" s="1" t="str">
        <f>IFERROR(__xludf.DUMMYFUNCTION("""COMPUTED_VALUE"""),"ANGEL MAY DELGADO DELA CRUZ")</f>
        <v>ANGEL MAY DELGADO DELA CRUZ</v>
      </c>
      <c r="I1473" s="1">
        <f>IFERROR(__xludf.DUMMYFUNCTION("""COMPUTED_VALUE"""),9952337992)</f>
        <v>9952337992</v>
      </c>
      <c r="J1473" s="1">
        <f>IFERROR(__xludf.DUMMYFUNCTION("""COMPUTED_VALUE"""),9386909233)</f>
        <v>9386909233</v>
      </c>
      <c r="K1473" s="1" t="str">
        <f>IFERROR(__xludf.DUMMYFUNCTION("""COMPUTED_VALUE"""),"ANGELMAYDELACRUZ@GMAIL.COM")</f>
        <v>ANGELMAYDELACRUZ@GMAIL.COM</v>
      </c>
      <c r="L1473" s="1" t="str">
        <f>IFERROR(__xludf.DUMMYFUNCTION("""COMPUTED_VALUE"""),"BLK 36 LOT 30")</f>
        <v>BLK 36 LOT 30</v>
      </c>
      <c r="M1473" s="1" t="str">
        <f>IFERROR(__xludf.DUMMYFUNCTION("""COMPUTED_VALUE"""),"MABUHAY")</f>
        <v>MABUHAY</v>
      </c>
      <c r="N1473" s="1"/>
      <c r="O1473" s="1" t="str">
        <f>IFERROR(__xludf.DUMMYFUNCTION("""COMPUTED_VALUE"""),"PALIPARAN II")</f>
        <v>PALIPARAN II</v>
      </c>
      <c r="P1473" s="1" t="str">
        <f>IFERROR(__xludf.DUMMYFUNCTION("""COMPUTED_VALUE"""),"DASMARINAS")</f>
        <v>DASMARINAS</v>
      </c>
      <c r="Q1473" s="1" t="str">
        <f>IFERROR(__xludf.DUMMYFUNCTION("""COMPUTED_VALUE"""),"CAVITE")</f>
        <v>CAVITE</v>
      </c>
      <c r="R1473" s="1" t="str">
        <f>IFERROR(__xludf.DUMMYFUNCTION("""COMPUTED_VALUE"""),"FIBR PLAN 1299")</f>
        <v>FIBR PLAN 1299</v>
      </c>
      <c r="S1473" s="1" t="str">
        <f>IFERROR(__xludf.DUMMYFUNCTION("""COMPUTED_VALUE"""),"APPROVED")</f>
        <v>APPROVED</v>
      </c>
      <c r="T1473" s="1" t="str">
        <f>IFERROR(__xludf.DUMMYFUNCTION("""COMPUTED_VALUE"""),"RPR")</f>
        <v>RPR</v>
      </c>
      <c r="U1473" s="1"/>
      <c r="V1473" s="1"/>
      <c r="W1473" s="1"/>
    </row>
    <row r="1474" customHeight="1" spans="1:23">
      <c r="A1474" s="3">
        <f>IFERROR(__xludf.DUMMYFUNCTION("""COMPUTED_VALUE"""),46147)</f>
        <v>46147</v>
      </c>
      <c r="B1474" s="1" t="str">
        <f>IFERROR(__xludf.DUMMYFUNCTION("""COMPUTED_VALUE"""),"ADVINCULA, NICOLE")</f>
        <v>ADVINCULA, NICOLE</v>
      </c>
      <c r="C1474" s="1" t="str">
        <f>IFERROR(__xludf.DUMMYFUNCTION("""COMPUTED_VALUE"""),"ORGANIC")</f>
        <v>ORGANIC</v>
      </c>
      <c r="D1474" s="1" t="str">
        <f>IFERROR(__xludf.DUMMYFUNCTION("""COMPUTED_VALUE"""),"ALINGARO, CINDY")</f>
        <v>ALINGARO, CINDY</v>
      </c>
      <c r="E1474" s="1" t="str">
        <f>IFERROR(__xludf.DUMMYFUNCTION("""COMPUTED_VALUE"""),"PLDT / H2H")</f>
        <v>PLDT / H2H</v>
      </c>
      <c r="F1474" s="1">
        <f>IFERROR(__xludf.DUMMYFUNCTION("""COMPUTED_VALUE"""),2309310136)</f>
        <v>2309310136</v>
      </c>
      <c r="G1474" s="1">
        <f>IFERROR(__xludf.DUMMYFUNCTION("""COMPUTED_VALUE"""),453395501004)</f>
        <v>453395501004</v>
      </c>
      <c r="H1474" s="1" t="str">
        <f>IFERROR(__xludf.DUMMYFUNCTION("""COMPUTED_VALUE"""),"MARY GRACE PASION GACUD")</f>
        <v>MARY GRACE PASION GACUD</v>
      </c>
      <c r="I1474" s="1">
        <f>IFERROR(__xludf.DUMMYFUNCTION("""COMPUTED_VALUE"""),9261328752)</f>
        <v>9261328752</v>
      </c>
      <c r="J1474" s="1">
        <f>IFERROR(__xludf.DUMMYFUNCTION("""COMPUTED_VALUE"""),9261328752)</f>
        <v>9261328752</v>
      </c>
      <c r="K1474" s="1" t="str">
        <f>IFERROR(__xludf.DUMMYFUNCTION("""COMPUTED_VALUE"""),"GACUDMARYGRACE20@GMAIL.COM")</f>
        <v>GACUDMARYGRACE20@GMAIL.COM</v>
      </c>
      <c r="L1474" s="1" t="str">
        <f>IFERROR(__xludf.DUMMYFUNCTION("""COMPUTED_VALUE"""),"BLK 13 LOT 15")</f>
        <v>BLK 13 LOT 15</v>
      </c>
      <c r="M1474" s="1" t="str">
        <f>IFERROR(__xludf.DUMMYFUNCTION("""COMPUTED_VALUE"""),"MELO ST")</f>
        <v>MELO ST</v>
      </c>
      <c r="N1474" s="1"/>
      <c r="O1474" s="1" t="str">
        <f>IFERROR(__xludf.DUMMYFUNCTION("""COMPUTED_VALUE"""),"KORONEL JOSE P. ELISES (AREA E)")</f>
        <v>KORONEL JOSE P. ELISES (AREA E)</v>
      </c>
      <c r="P1474" s="1" t="str">
        <f>IFERROR(__xludf.DUMMYFUNCTION("""COMPUTED_VALUE"""),"GEN MARIANO ALVAREZ")</f>
        <v>GEN MARIANO ALVAREZ</v>
      </c>
      <c r="Q1474" s="1" t="str">
        <f>IFERROR(__xludf.DUMMYFUNCTION("""COMPUTED_VALUE"""),"CAVITE")</f>
        <v>CAVITE</v>
      </c>
      <c r="R1474" s="1" t="str">
        <f>IFERROR(__xludf.DUMMYFUNCTION("""COMPUTED_VALUE"""),"PREPAID FIBER UNLI")</f>
        <v>PREPAID FIBER UNLI</v>
      </c>
      <c r="S1474" s="1" t="str">
        <f>IFERROR(__xludf.DUMMYFUNCTION("""COMPUTED_VALUE"""),"APPROVED")</f>
        <v>APPROVED</v>
      </c>
      <c r="T1474" s="1" t="str">
        <f>IFERROR(__xludf.DUMMYFUNCTION("""COMPUTED_VALUE"""),"CLOSED")</f>
        <v>CLOSED</v>
      </c>
      <c r="U1474" s="1" t="str">
        <f>IFERROR(__xludf.DUMMYFUNCTION("""COMPUTED_VALUE"""),"POSTED")</f>
        <v>POSTED</v>
      </c>
      <c r="V1474" s="1"/>
      <c r="W1474" s="1"/>
    </row>
    <row r="1475" customHeight="1" spans="1:23">
      <c r="A1475" s="3">
        <f>IFERROR(__xludf.DUMMYFUNCTION("""COMPUTED_VALUE"""),46147)</f>
        <v>46147</v>
      </c>
      <c r="B1475" s="1" t="str">
        <f>IFERROR(__xludf.DUMMYFUNCTION("""COMPUTED_VALUE"""),"FARO, REFRANTA")</f>
        <v>FARO, REFRANTA</v>
      </c>
      <c r="C1475" s="1" t="str">
        <f>IFERROR(__xludf.DUMMYFUNCTION("""COMPUTED_VALUE"""),"ORGANIC")</f>
        <v>ORGANIC</v>
      </c>
      <c r="D1475" s="1" t="str">
        <f>IFERROR(__xludf.DUMMYFUNCTION("""COMPUTED_VALUE"""),"ALINGARO, CINDY")</f>
        <v>ALINGARO, CINDY</v>
      </c>
      <c r="E1475" s="1" t="str">
        <f>IFERROR(__xludf.DUMMYFUNCTION("""COMPUTED_VALUE"""),"PLDT / H2H")</f>
        <v>PLDT / H2H</v>
      </c>
      <c r="F1475" s="1">
        <f>IFERROR(__xludf.DUMMYFUNCTION("""COMPUTED_VALUE"""),2309309362)</f>
        <v>2309309362</v>
      </c>
      <c r="G1475" s="1">
        <f>IFERROR(__xludf.DUMMYFUNCTION("""COMPUTED_VALUE"""),453421111004)</f>
        <v>453421111004</v>
      </c>
      <c r="H1475" s="1" t="str">
        <f>IFERROR(__xludf.DUMMYFUNCTION("""COMPUTED_VALUE"""),"JOHN PAUL FACUNLA PABLO")</f>
        <v>JOHN PAUL FACUNLA PABLO</v>
      </c>
      <c r="I1475" s="1">
        <f>IFERROR(__xludf.DUMMYFUNCTION("""COMPUTED_VALUE"""),9603121658)</f>
        <v>9603121658</v>
      </c>
      <c r="J1475" s="1"/>
      <c r="K1475" s="1" t="str">
        <f>IFERROR(__xludf.DUMMYFUNCTION("""COMPUTED_VALUE"""),"JOHNPAULPABLO1124@GMAIL.COM")</f>
        <v>JOHNPAULPABLO1124@GMAIL.COM</v>
      </c>
      <c r="L1475" s="1" t="str">
        <f>IFERROR(__xludf.DUMMYFUNCTION("""COMPUTED_VALUE"""),"244")</f>
        <v>244</v>
      </c>
      <c r="M1475" s="1" t="str">
        <f>IFERROR(__xludf.DUMMYFUNCTION("""COMPUTED_VALUE"""),"LITLIT")</f>
        <v>LITLIT</v>
      </c>
      <c r="N1475" s="1"/>
      <c r="O1475" s="1" t="str">
        <f>IFERROR(__xludf.DUMMYFUNCTION("""COMPUTED_VALUE"""),"LITLIT")</f>
        <v>LITLIT</v>
      </c>
      <c r="P1475" s="1" t="str">
        <f>IFERROR(__xludf.DUMMYFUNCTION("""COMPUTED_VALUE"""),"SILANG")</f>
        <v>SILANG</v>
      </c>
      <c r="Q1475" s="1" t="str">
        <f>IFERROR(__xludf.DUMMYFUNCTION("""COMPUTED_VALUE"""),"CAVITE")</f>
        <v>CAVITE</v>
      </c>
      <c r="R1475" s="1" t="str">
        <f>IFERROR(__xludf.DUMMYFUNCTION("""COMPUTED_VALUE"""),"FIBR UNLI ALL PLAN 1399")</f>
        <v>FIBR UNLI ALL PLAN 1399</v>
      </c>
      <c r="S1475" s="1" t="str">
        <f>IFERROR(__xludf.DUMMYFUNCTION("""COMPUTED_VALUE"""),"APPROVED")</f>
        <v>APPROVED</v>
      </c>
      <c r="T1475" s="1" t="str">
        <f>IFERROR(__xludf.DUMMYFUNCTION("""COMPUTED_VALUE"""),"CLOSED")</f>
        <v>CLOSED</v>
      </c>
      <c r="U1475" s="1" t="str">
        <f>IFERROR(__xludf.DUMMYFUNCTION("""COMPUTED_VALUE"""),"POSTED")</f>
        <v>POSTED</v>
      </c>
      <c r="V1475" s="1"/>
      <c r="W1475" s="1"/>
    </row>
    <row r="1476" customHeight="1" spans="1:23">
      <c r="A1476" s="3">
        <f>IFERROR(__xludf.DUMMYFUNCTION("""COMPUTED_VALUE"""),46147)</f>
        <v>46147</v>
      </c>
      <c r="B1476" s="1" t="str">
        <f>IFERROR(__xludf.DUMMYFUNCTION("""COMPUTED_VALUE"""),"CARPIO, STEPHANIE NICOLE")</f>
        <v>CARPIO, STEPHANIE NICOLE</v>
      </c>
      <c r="C1476" s="1" t="str">
        <f>IFERROR(__xludf.DUMMYFUNCTION("""COMPUTED_VALUE"""),"FLA")</f>
        <v>FLA</v>
      </c>
      <c r="D1476" s="1" t="str">
        <f>IFERROR(__xludf.DUMMYFUNCTION("""COMPUTED_VALUE"""),"JERIC NAVARRO")</f>
        <v>JERIC NAVARRO</v>
      </c>
      <c r="E1476" s="1" t="str">
        <f>IFERROR(__xludf.DUMMYFUNCTION("""COMPUTED_VALUE"""),"PLDT / H2H")</f>
        <v>PLDT / H2H</v>
      </c>
      <c r="F1476" s="1">
        <f>IFERROR(__xludf.DUMMYFUNCTION("""COMPUTED_VALUE"""),2309309318)</f>
        <v>2309309318</v>
      </c>
      <c r="G1476" s="1">
        <f>IFERROR(__xludf.DUMMYFUNCTION("""COMPUTED_VALUE"""),453393778004)</f>
        <v>453393778004</v>
      </c>
      <c r="H1476" s="1" t="str">
        <f>IFERROR(__xludf.DUMMYFUNCTION("""COMPUTED_VALUE"""),"NERISA VILLAVICENCIO AWIT")</f>
        <v>NERISA VILLAVICENCIO AWIT</v>
      </c>
      <c r="I1476" s="1">
        <f>IFERROR(__xludf.DUMMYFUNCTION("""COMPUTED_VALUE"""),9273008622)</f>
        <v>9273008622</v>
      </c>
      <c r="J1476" s="1"/>
      <c r="K1476" s="1" t="str">
        <f>IFERROR(__xludf.DUMMYFUNCTION("""COMPUTED_VALUE"""),"NERISAAWIT@ICLOUD.COM")</f>
        <v>NERISAAWIT@ICLOUD.COM</v>
      </c>
      <c r="L1476" s="1" t="str">
        <f>IFERROR(__xludf.DUMMYFUNCTION("""COMPUTED_VALUE"""),"425")</f>
        <v>425</v>
      </c>
      <c r="M1476" s="1" t="str">
        <f>IFERROR(__xludf.DUMMYFUNCTION("""COMPUTED_VALUE"""),"KASAGANAAN")</f>
        <v>KASAGANAAN</v>
      </c>
      <c r="N1476" s="1"/>
      <c r="O1476" s="1" t="str">
        <f>IFERROR(__xludf.DUMMYFUNCTION("""COMPUTED_VALUE"""),"BARANGAY 53-B (YAKAL B)")</f>
        <v>BARANGAY 53-B (YAKAL B)</v>
      </c>
      <c r="P1476" s="1" t="str">
        <f>IFERROR(__xludf.DUMMYFUNCTION("""COMPUTED_VALUE"""),"CAVITE CITY")</f>
        <v>CAVITE CITY</v>
      </c>
      <c r="Q1476" s="1" t="str">
        <f>IFERROR(__xludf.DUMMYFUNCTION("""COMPUTED_VALUE"""),"CAVITE")</f>
        <v>CAVITE</v>
      </c>
      <c r="R1476" s="1" t="str">
        <f>IFERROR(__xludf.DUMMYFUNCTION("""COMPUTED_VALUE"""),"FIBR UNLI ALL PLAN 1399")</f>
        <v>FIBR UNLI ALL PLAN 1399</v>
      </c>
      <c r="S1476" s="1" t="str">
        <f>IFERROR(__xludf.DUMMYFUNCTION("""COMPUTED_VALUE"""),"APPROVED")</f>
        <v>APPROVED</v>
      </c>
      <c r="T1476" s="1" t="str">
        <f>IFERROR(__xludf.DUMMYFUNCTION("""COMPUTED_VALUE"""),"CLOSED")</f>
        <v>CLOSED</v>
      </c>
      <c r="U1476" s="1" t="str">
        <f>IFERROR(__xludf.DUMMYFUNCTION("""COMPUTED_VALUE"""),"POSTED")</f>
        <v>POSTED</v>
      </c>
      <c r="V1476" s="1"/>
      <c r="W1476" s="1"/>
    </row>
    <row r="1477" customHeight="1" spans="1:23">
      <c r="A1477" s="3">
        <f>IFERROR(__xludf.DUMMYFUNCTION("""COMPUTED_VALUE"""),46147)</f>
        <v>46147</v>
      </c>
      <c r="B1477" s="1" t="str">
        <f>IFERROR(__xludf.DUMMYFUNCTION("""COMPUTED_VALUE"""),"FARO, REFRANTA")</f>
        <v>FARO, REFRANTA</v>
      </c>
      <c r="C1477" s="1" t="str">
        <f>IFERROR(__xludf.DUMMYFUNCTION("""COMPUTED_VALUE"""),"ORGANIC")</f>
        <v>ORGANIC</v>
      </c>
      <c r="D1477" s="1" t="str">
        <f>IFERROR(__xludf.DUMMYFUNCTION("""COMPUTED_VALUE"""),"ALINGARO, CINDY")</f>
        <v>ALINGARO, CINDY</v>
      </c>
      <c r="E1477" s="1" t="str">
        <f>IFERROR(__xludf.DUMMYFUNCTION("""COMPUTED_VALUE"""),"PLDT / H2H")</f>
        <v>PLDT / H2H</v>
      </c>
      <c r="F1477" s="1">
        <f>IFERROR(__xludf.DUMMYFUNCTION("""COMPUTED_VALUE"""),2309309703)</f>
        <v>2309309703</v>
      </c>
      <c r="G1477" s="1">
        <f>IFERROR(__xludf.DUMMYFUNCTION("""COMPUTED_VALUE"""),453406938004)</f>
        <v>453406938004</v>
      </c>
      <c r="H1477" s="1" t="str">
        <f>IFERROR(__xludf.DUMMYFUNCTION("""COMPUTED_VALUE"""),"BENJAMIN JR LASAIN FERNANDEZ")</f>
        <v>BENJAMIN JR LASAIN FERNANDEZ</v>
      </c>
      <c r="I1477" s="1">
        <f>IFERROR(__xludf.DUMMYFUNCTION("""COMPUTED_VALUE"""),9051982697)</f>
        <v>9051982697</v>
      </c>
      <c r="J1477" s="1"/>
      <c r="K1477" s="1" t="str">
        <f>IFERROR(__xludf.DUMMYFUNCTION("""COMPUTED_VALUE"""),"KYOLEN10@GMAIL.COM")</f>
        <v>KYOLEN10@GMAIL.COM</v>
      </c>
      <c r="L1477" s="1" t="str">
        <f>IFERROR(__xludf.DUMMYFUNCTION("""COMPUTED_VALUE"""),"9091")</f>
        <v>9091</v>
      </c>
      <c r="M1477" s="1" t="str">
        <f>IFERROR(__xludf.DUMMYFUNCTION("""COMPUTED_VALUE"""),"LITLIT")</f>
        <v>LITLIT</v>
      </c>
      <c r="N1477" s="1"/>
      <c r="O1477" s="1" t="str">
        <f>IFERROR(__xludf.DUMMYFUNCTION("""COMPUTED_VALUE"""),"LITLIT")</f>
        <v>LITLIT</v>
      </c>
      <c r="P1477" s="1" t="str">
        <f>IFERROR(__xludf.DUMMYFUNCTION("""COMPUTED_VALUE"""),"SILANG")</f>
        <v>SILANG</v>
      </c>
      <c r="Q1477" s="1" t="str">
        <f>IFERROR(__xludf.DUMMYFUNCTION("""COMPUTED_VALUE"""),"CAVITE")</f>
        <v>CAVITE</v>
      </c>
      <c r="R1477" s="1" t="str">
        <f>IFERROR(__xludf.DUMMYFUNCTION("""COMPUTED_VALUE"""),"FIBR UNLI ALL PLAN 1399")</f>
        <v>FIBR UNLI ALL PLAN 1399</v>
      </c>
      <c r="S1477" s="1" t="str">
        <f>IFERROR(__xludf.DUMMYFUNCTION("""COMPUTED_VALUE"""),"APPROVED")</f>
        <v>APPROVED</v>
      </c>
      <c r="T1477" s="1" t="str">
        <f>IFERROR(__xludf.DUMMYFUNCTION("""COMPUTED_VALUE"""),"CLOSED")</f>
        <v>CLOSED</v>
      </c>
      <c r="U1477" s="1" t="str">
        <f>IFERROR(__xludf.DUMMYFUNCTION("""COMPUTED_VALUE"""),"POSTED")</f>
        <v>POSTED</v>
      </c>
      <c r="V1477" s="1"/>
      <c r="W1477" s="1"/>
    </row>
    <row r="1478" customHeight="1" spans="1:23">
      <c r="A1478" s="3">
        <f>IFERROR(__xludf.DUMMYFUNCTION("""COMPUTED_VALUE"""),46147)</f>
        <v>46147</v>
      </c>
      <c r="B1478" s="1" t="str">
        <f>IFERROR(__xludf.DUMMYFUNCTION("""COMPUTED_VALUE"""),"OPS WESLY")</f>
        <v>OPS WESLY</v>
      </c>
      <c r="C1478" s="1" t="str">
        <f>IFERROR(__xludf.DUMMYFUNCTION("""COMPUTED_VALUE"""),"FLA")</f>
        <v>FLA</v>
      </c>
      <c r="D1478" s="1" t="str">
        <f>IFERROR(__xludf.DUMMYFUNCTION("""COMPUTED_VALUE"""),"JERIC NAVARRO")</f>
        <v>JERIC NAVARRO</v>
      </c>
      <c r="E1478" s="1" t="str">
        <f>IFERROR(__xludf.DUMMYFUNCTION("""COMPUTED_VALUE"""),"PLDT / H2H")</f>
        <v>PLDT / H2H</v>
      </c>
      <c r="F1478" s="1">
        <f>IFERROR(__xludf.DUMMYFUNCTION("""COMPUTED_VALUE"""),2309310077)</f>
        <v>2309310077</v>
      </c>
      <c r="G1478" s="1">
        <f>IFERROR(__xludf.DUMMYFUNCTION("""COMPUTED_VALUE"""),453398454004)</f>
        <v>453398454004</v>
      </c>
      <c r="H1478" s="1" t="str">
        <f>IFERROR(__xludf.DUMMYFUNCTION("""COMPUTED_VALUE"""),"RENATO JR TORRES BORRINAGA")</f>
        <v>RENATO JR TORRES BORRINAGA</v>
      </c>
      <c r="I1478" s="1">
        <f>IFERROR(__xludf.DUMMYFUNCTION("""COMPUTED_VALUE"""),9083895514)</f>
        <v>9083895514</v>
      </c>
      <c r="J1478" s="1"/>
      <c r="K1478" s="1" t="str">
        <f>IFERROR(__xludf.DUMMYFUNCTION("""COMPUTED_VALUE"""),"PAULBORRINAGAJR@YAHOO.COM")</f>
        <v>PAULBORRINAGAJR@YAHOO.COM</v>
      </c>
      <c r="L1478" s="1" t="str">
        <f>IFERROR(__xludf.DUMMYFUNCTION("""COMPUTED_VALUE"""),"LOT 9")</f>
        <v>LOT 9</v>
      </c>
      <c r="M1478" s="1" t="str">
        <f>IFERROR(__xludf.DUMMYFUNCTION("""COMPUTED_VALUE"""),"DELTA HOMES")</f>
        <v>DELTA HOMES</v>
      </c>
      <c r="N1478" s="1"/>
      <c r="O1478" s="1" t="str">
        <f>IFERROR(__xludf.DUMMYFUNCTION("""COMPUTED_VALUE"""),"ANIBAN I")</f>
        <v>ANIBAN I</v>
      </c>
      <c r="P1478" s="1" t="str">
        <f>IFERROR(__xludf.DUMMYFUNCTION("""COMPUTED_VALUE"""),"BACOOR")</f>
        <v>BACOOR</v>
      </c>
      <c r="Q1478" s="1" t="str">
        <f>IFERROR(__xludf.DUMMYFUNCTION("""COMPUTED_VALUE"""),"CAVITE")</f>
        <v>CAVITE</v>
      </c>
      <c r="R1478" s="1" t="str">
        <f>IFERROR(__xludf.DUMMYFUNCTION("""COMPUTED_VALUE"""),"FIBR UNLI ALL PLAN 1399")</f>
        <v>FIBR UNLI ALL PLAN 1399</v>
      </c>
      <c r="S1478" s="1" t="str">
        <f>IFERROR(__xludf.DUMMYFUNCTION("""COMPUTED_VALUE"""),"APPROVED")</f>
        <v>APPROVED</v>
      </c>
      <c r="T1478" s="1" t="str">
        <f>IFERROR(__xludf.DUMMYFUNCTION("""COMPUTED_VALUE"""),"CLOSED")</f>
        <v>CLOSED</v>
      </c>
      <c r="U1478" s="1" t="str">
        <f>IFERROR(__xludf.DUMMYFUNCTION("""COMPUTED_VALUE"""),"POSTED")</f>
        <v>POSTED</v>
      </c>
      <c r="V1478" s="1"/>
      <c r="W1478" s="1"/>
    </row>
    <row r="1479" customHeight="1" spans="1:23">
      <c r="A1479" s="3">
        <f>IFERROR(__xludf.DUMMYFUNCTION("""COMPUTED_VALUE"""),46147)</f>
        <v>46147</v>
      </c>
      <c r="B1479" s="1" t="str">
        <f>IFERROR(__xludf.DUMMYFUNCTION("""COMPUTED_VALUE"""),"AGUNOS, JHON AIRVIN")</f>
        <v>AGUNOS, JHON AIRVIN</v>
      </c>
      <c r="C1479" s="1" t="str">
        <f>IFERROR(__xludf.DUMMYFUNCTION("""COMPUTED_VALUE"""),"ORGANIC")</f>
        <v>ORGANIC</v>
      </c>
      <c r="D1479" s="1" t="str">
        <f>IFERROR(__xludf.DUMMYFUNCTION("""COMPUTED_VALUE"""),"ALINGARO, CINDY")</f>
        <v>ALINGARO, CINDY</v>
      </c>
      <c r="E1479" s="1" t="str">
        <f>IFERROR(__xludf.DUMMYFUNCTION("""COMPUTED_VALUE"""),"PLDT / H2H")</f>
        <v>PLDT / H2H</v>
      </c>
      <c r="F1479" s="1">
        <f>IFERROR(__xludf.DUMMYFUNCTION("""COMPUTED_VALUE"""),2309313393)</f>
        <v>2309313393</v>
      </c>
      <c r="G1479" s="1">
        <f>IFERROR(__xludf.DUMMYFUNCTION("""COMPUTED_VALUE"""),453400285004)</f>
        <v>453400285004</v>
      </c>
      <c r="H1479" s="1" t="str">
        <f>IFERROR(__xludf.DUMMYFUNCTION("""COMPUTED_VALUE"""),"JHONDEL EMELO RUIZ")</f>
        <v>JHONDEL EMELO RUIZ</v>
      </c>
      <c r="I1479" s="1">
        <f>IFERROR(__xludf.DUMMYFUNCTION("""COMPUTED_VALUE"""),9279697284)</f>
        <v>9279697284</v>
      </c>
      <c r="J1479" s="1"/>
      <c r="K1479" s="1" t="str">
        <f>IFERROR(__xludf.DUMMYFUNCTION("""COMPUTED_VALUE"""),"RUIZJHONDEL65@GMAIL.COM")</f>
        <v>RUIZJHONDEL65@GMAIL.COM</v>
      </c>
      <c r="L1479" s="1" t="str">
        <f>IFERROR(__xludf.DUMMYFUNCTION("""COMPUTED_VALUE"""),"126")</f>
        <v>126</v>
      </c>
      <c r="M1479" s="1" t="str">
        <f>IFERROR(__xludf.DUMMYFUNCTION("""COMPUTED_VALUE"""),"LAYSA")</f>
        <v>LAYSA</v>
      </c>
      <c r="N1479" s="1"/>
      <c r="O1479" s="1" t="str">
        <f>IFERROR(__xludf.DUMMYFUNCTION("""COMPUTED_VALUE"""),"BATAS")</f>
        <v>BATAS</v>
      </c>
      <c r="P1479" s="1" t="str">
        <f>IFERROR(__xludf.DUMMYFUNCTION("""COMPUTED_VALUE"""),"SILANG")</f>
        <v>SILANG</v>
      </c>
      <c r="Q1479" s="1" t="str">
        <f>IFERROR(__xludf.DUMMYFUNCTION("""COMPUTED_VALUE"""),"CAVITE")</f>
        <v>CAVITE</v>
      </c>
      <c r="R1479" s="1" t="str">
        <f>IFERROR(__xludf.DUMMYFUNCTION("""COMPUTED_VALUE"""),"FIBR UNLI ALL PLAN 1399")</f>
        <v>FIBR UNLI ALL PLAN 1399</v>
      </c>
      <c r="S1479" s="1" t="str">
        <f>IFERROR(__xludf.DUMMYFUNCTION("""COMPUTED_VALUE"""),"APPROVED")</f>
        <v>APPROVED</v>
      </c>
      <c r="T1479" s="1" t="str">
        <f>IFERROR(__xludf.DUMMYFUNCTION("""COMPUTED_VALUE"""),"CLOSED")</f>
        <v>CLOSED</v>
      </c>
      <c r="U1479" s="1" t="str">
        <f>IFERROR(__xludf.DUMMYFUNCTION("""COMPUTED_VALUE"""),"POSTED")</f>
        <v>POSTED</v>
      </c>
      <c r="V1479" s="1"/>
      <c r="W1479" s="1"/>
    </row>
    <row r="1480" customHeight="1" spans="1:23">
      <c r="A1480" s="3">
        <f>IFERROR(__xludf.DUMMYFUNCTION("""COMPUTED_VALUE"""),46147)</f>
        <v>46147</v>
      </c>
      <c r="B1480" s="1" t="str">
        <f>IFERROR(__xludf.DUMMYFUNCTION("""COMPUTED_VALUE"""),"MAÑANITA, ERIKA")</f>
        <v>MAÑANITA, ERIKA</v>
      </c>
      <c r="C1480" s="1" t="str">
        <f>IFERROR(__xludf.DUMMYFUNCTION("""COMPUTED_VALUE"""),"ORGANIC")</f>
        <v>ORGANIC</v>
      </c>
      <c r="D1480" s="1" t="str">
        <f>IFERROR(__xludf.DUMMYFUNCTION("""COMPUTED_VALUE"""),"ALOS, CHARLS")</f>
        <v>ALOS, CHARLS</v>
      </c>
      <c r="E1480" s="1" t="str">
        <f>IFERROR(__xludf.DUMMYFUNCTION("""COMPUTED_VALUE"""),"PLDT / H2H")</f>
        <v>PLDT / H2H</v>
      </c>
      <c r="F1480" s="1">
        <f>IFERROR(__xludf.DUMMYFUNCTION("""COMPUTED_VALUE"""),2309315939)</f>
        <v>2309315939</v>
      </c>
      <c r="G1480" s="1">
        <f>IFERROR(__xludf.DUMMYFUNCTION("""COMPUTED_VALUE"""),453407914004)</f>
        <v>453407914004</v>
      </c>
      <c r="H1480" s="1" t="str">
        <f>IFERROR(__xludf.DUMMYFUNCTION("""COMPUTED_VALUE"""),"CASIANA MARASIGAN CABILES")</f>
        <v>CASIANA MARASIGAN CABILES</v>
      </c>
      <c r="I1480" s="1">
        <f>IFERROR(__xludf.DUMMYFUNCTION("""COMPUTED_VALUE"""),9679541499)</f>
        <v>9679541499</v>
      </c>
      <c r="J1480" s="1"/>
      <c r="K1480" s="1" t="str">
        <f>IFERROR(__xludf.DUMMYFUNCTION("""COMPUTED_VALUE"""),"CABILESJERWIN97@GMAIL.COM")</f>
        <v>CABILESJERWIN97@GMAIL.COM</v>
      </c>
      <c r="L1480" s="1" t="str">
        <f>IFERROR(__xludf.DUMMYFUNCTION("""COMPUTED_VALUE"""),"22B")</f>
        <v>22B</v>
      </c>
      <c r="M1480" s="1" t="str">
        <f>IFERROR(__xludf.DUMMYFUNCTION("""COMPUTED_VALUE"""),"SALABAN")</f>
        <v>SALABAN</v>
      </c>
      <c r="N1480" s="1"/>
      <c r="O1480" s="1" t="str">
        <f>IFERROR(__xludf.DUMMYFUNCTION("""COMPUTED_VALUE"""),"SALABAN")</f>
        <v>SALABAN</v>
      </c>
      <c r="P1480" s="1" t="str">
        <f>IFERROR(__xludf.DUMMYFUNCTION("""COMPUTED_VALUE"""),"AMADEO")</f>
        <v>AMADEO</v>
      </c>
      <c r="Q1480" s="1" t="str">
        <f>IFERROR(__xludf.DUMMYFUNCTION("""COMPUTED_VALUE"""),"CAVITE")</f>
        <v>CAVITE</v>
      </c>
      <c r="R1480" s="1" t="str">
        <f>IFERROR(__xludf.DUMMYFUNCTION("""COMPUTED_VALUE"""),"FIBR PLAN 1299")</f>
        <v>FIBR PLAN 1299</v>
      </c>
      <c r="S1480" s="1" t="str">
        <f>IFERROR(__xludf.DUMMYFUNCTION("""COMPUTED_VALUE"""),"APPROVED")</f>
        <v>APPROVED</v>
      </c>
      <c r="T1480" s="1" t="str">
        <f>IFERROR(__xludf.DUMMYFUNCTION("""COMPUTED_VALUE"""),"CANCELLED")</f>
        <v>CANCELLED</v>
      </c>
      <c r="U1480" s="1"/>
      <c r="V1480" s="1"/>
      <c r="W1480" s="1"/>
    </row>
    <row r="1481" customHeight="1" spans="1:23">
      <c r="A1481" s="3">
        <f>IFERROR(__xludf.DUMMYFUNCTION("""COMPUTED_VALUE"""),46147)</f>
        <v>46147</v>
      </c>
      <c r="B1481" s="1" t="str">
        <f>IFERROR(__xludf.DUMMYFUNCTION("""COMPUTED_VALUE"""),"DE VERA, MARIVIC")</f>
        <v>DE VERA, MARIVIC</v>
      </c>
      <c r="C1481" s="1" t="str">
        <f>IFERROR(__xludf.DUMMYFUNCTION("""COMPUTED_VALUE"""),"ORGANIC")</f>
        <v>ORGANIC</v>
      </c>
      <c r="D1481" s="1" t="str">
        <f>IFERROR(__xludf.DUMMYFUNCTION("""COMPUTED_VALUE"""),"REMOLLO LEA")</f>
        <v>REMOLLO LEA</v>
      </c>
      <c r="E1481" s="1" t="str">
        <f>IFERROR(__xludf.DUMMYFUNCTION("""COMPUTED_VALUE"""),"PLDT / H2H")</f>
        <v>PLDT / H2H</v>
      </c>
      <c r="F1481" s="1">
        <f>IFERROR(__xludf.DUMMYFUNCTION("""COMPUTED_VALUE"""),2309310726)</f>
        <v>2309310726</v>
      </c>
      <c r="G1481" s="1">
        <f>IFERROR(__xludf.DUMMYFUNCTION("""COMPUTED_VALUE"""),453395605004)</f>
        <v>453395605004</v>
      </c>
      <c r="H1481" s="1" t="str">
        <f>IFERROR(__xludf.DUMMYFUNCTION("""COMPUTED_VALUE"""),"FARIDA SALASAIN SABTAL")</f>
        <v>FARIDA SALASAIN SABTAL</v>
      </c>
      <c r="I1481" s="1">
        <f>IFERROR(__xludf.DUMMYFUNCTION("""COMPUTED_VALUE"""),9363681035)</f>
        <v>9363681035</v>
      </c>
      <c r="J1481" s="1">
        <f>IFERROR(__xludf.DUMMYFUNCTION("""COMPUTED_VALUE"""),9082826792)</f>
        <v>9082826792</v>
      </c>
      <c r="K1481" s="1" t="str">
        <f>IFERROR(__xludf.DUMMYFUNCTION("""COMPUTED_VALUE"""),"SALASAINFARIDA@GMAIL.COM")</f>
        <v>SALASAINFARIDA@GMAIL.COM</v>
      </c>
      <c r="L1481" s="1" t="str">
        <f>IFERROR(__xludf.DUMMYFUNCTION("""COMPUTED_VALUE"""),"R18")</f>
        <v>R18</v>
      </c>
      <c r="M1481" s="1" t="str">
        <f>IFERROR(__xludf.DUMMYFUNCTION("""COMPUTED_VALUE"""),"CORTEZ APPARTMENT")</f>
        <v>CORTEZ APPARTMENT</v>
      </c>
      <c r="N1481" s="1"/>
      <c r="O1481" s="1" t="str">
        <f>IFERROR(__xludf.DUMMYFUNCTION("""COMPUTED_VALUE"""),"KALUBKOB")</f>
        <v>KALUBKOB</v>
      </c>
      <c r="P1481" s="1" t="str">
        <f>IFERROR(__xludf.DUMMYFUNCTION("""COMPUTED_VALUE"""),"SILANG")</f>
        <v>SILANG</v>
      </c>
      <c r="Q1481" s="1" t="str">
        <f>IFERROR(__xludf.DUMMYFUNCTION("""COMPUTED_VALUE"""),"CAVITE")</f>
        <v>CAVITE</v>
      </c>
      <c r="R1481" s="1" t="str">
        <f>IFERROR(__xludf.DUMMYFUNCTION("""COMPUTED_VALUE"""),"FIBR UNLI ALL PLAN 999")</f>
        <v>FIBR UNLI ALL PLAN 999</v>
      </c>
      <c r="S1481" s="1" t="str">
        <f>IFERROR(__xludf.DUMMYFUNCTION("""COMPUTED_VALUE"""),"APPROVED")</f>
        <v>APPROVED</v>
      </c>
      <c r="T1481" s="1" t="str">
        <f>IFERROR(__xludf.DUMMYFUNCTION("""COMPUTED_VALUE"""),"RPR")</f>
        <v>RPR</v>
      </c>
      <c r="U1481" s="1"/>
      <c r="V1481" s="1"/>
      <c r="W1481" s="1"/>
    </row>
    <row r="1482" customHeight="1" spans="1:23">
      <c r="A1482" s="3">
        <f>IFERROR(__xludf.DUMMYFUNCTION("""COMPUTED_VALUE"""),46147)</f>
        <v>46147</v>
      </c>
      <c r="B1482" s="1" t="str">
        <f>IFERROR(__xludf.DUMMYFUNCTION("""COMPUTED_VALUE"""),"ADVINCULA, NICOLE")</f>
        <v>ADVINCULA, NICOLE</v>
      </c>
      <c r="C1482" s="1" t="str">
        <f>IFERROR(__xludf.DUMMYFUNCTION("""COMPUTED_VALUE"""),"ORGANIC")</f>
        <v>ORGANIC</v>
      </c>
      <c r="D1482" s="1" t="str">
        <f>IFERROR(__xludf.DUMMYFUNCTION("""COMPUTED_VALUE"""),"ALINGARO, CINDY")</f>
        <v>ALINGARO, CINDY</v>
      </c>
      <c r="E1482" s="1" t="str">
        <f>IFERROR(__xludf.DUMMYFUNCTION("""COMPUTED_VALUE"""),"PLDT / H2H")</f>
        <v>PLDT / H2H</v>
      </c>
      <c r="F1482" s="1">
        <f>IFERROR(__xludf.DUMMYFUNCTION("""COMPUTED_VALUE"""),2309315135)</f>
        <v>2309315135</v>
      </c>
      <c r="G1482" s="1">
        <f>IFERROR(__xludf.DUMMYFUNCTION("""COMPUTED_VALUE"""),453404032004)</f>
        <v>453404032004</v>
      </c>
      <c r="H1482" s="1" t="str">
        <f>IFERROR(__xludf.DUMMYFUNCTION("""COMPUTED_VALUE"""),"FE ILLUSTRISMO RUSIA")</f>
        <v>FE ILLUSTRISMO RUSIA</v>
      </c>
      <c r="I1482" s="1">
        <f>IFERROR(__xludf.DUMMYFUNCTION("""COMPUTED_VALUE"""),9617831315)</f>
        <v>9617831315</v>
      </c>
      <c r="J1482" s="1"/>
      <c r="K1482" s="1" t="str">
        <f>IFERROR(__xludf.DUMMYFUNCTION("""COMPUTED_VALUE"""),"FEILLUSTRISMORUSIA@GMAIL.COM")</f>
        <v>FEILLUSTRISMORUSIA@GMAIL.COM</v>
      </c>
      <c r="L1482" s="1" t="str">
        <f>IFERROR(__xludf.DUMMYFUNCTION("""COMPUTED_VALUE"""),"134")</f>
        <v>134</v>
      </c>
      <c r="M1482" s="1" t="str">
        <f>IFERROR(__xludf.DUMMYFUNCTION("""COMPUTED_VALUE"""),"SAN ANDRESS")</f>
        <v>SAN ANDRESS</v>
      </c>
      <c r="N1482" s="1"/>
      <c r="O1482" s="1" t="str">
        <f>IFERROR(__xludf.DUMMYFUNCTION("""COMPUTED_VALUE"""),"KALUBKOB")</f>
        <v>KALUBKOB</v>
      </c>
      <c r="P1482" s="1" t="str">
        <f>IFERROR(__xludf.DUMMYFUNCTION("""COMPUTED_VALUE"""),"SILANG")</f>
        <v>SILANG</v>
      </c>
      <c r="Q1482" s="1" t="str">
        <f>IFERROR(__xludf.DUMMYFUNCTION("""COMPUTED_VALUE"""),"CAVITE")</f>
        <v>CAVITE</v>
      </c>
      <c r="R1482" s="1" t="str">
        <f>IFERROR(__xludf.DUMMYFUNCTION("""COMPUTED_VALUE"""),"PREPAID FIBER UNLI")</f>
        <v>PREPAID FIBER UNLI</v>
      </c>
      <c r="S1482" s="1" t="str">
        <f>IFERROR(__xludf.DUMMYFUNCTION("""COMPUTED_VALUE"""),"APPROVED")</f>
        <v>APPROVED</v>
      </c>
      <c r="T1482" s="1" t="str">
        <f>IFERROR(__xludf.DUMMYFUNCTION("""COMPUTED_VALUE"""),"CLOSED")</f>
        <v>CLOSED</v>
      </c>
      <c r="U1482" s="1" t="str">
        <f>IFERROR(__xludf.DUMMYFUNCTION("""COMPUTED_VALUE"""),"POSTED")</f>
        <v>POSTED</v>
      </c>
      <c r="V1482" s="1"/>
      <c r="W1482" s="1"/>
    </row>
    <row r="1483" customHeight="1" spans="1:23">
      <c r="A1483" s="3">
        <f>IFERROR(__xludf.DUMMYFUNCTION("""COMPUTED_VALUE"""),46147)</f>
        <v>46147</v>
      </c>
      <c r="B1483" s="1" t="str">
        <f>IFERROR(__xludf.DUMMYFUNCTION("""COMPUTED_VALUE"""),"ESCARCHA, MA ALMA  ESCOTO")</f>
        <v>ESCARCHA, MA ALMA  ESCOTO</v>
      </c>
      <c r="C1483" s="1" t="str">
        <f>IFERROR(__xludf.DUMMYFUNCTION("""COMPUTED_VALUE"""),"ORGANIC")</f>
        <v>ORGANIC</v>
      </c>
      <c r="D1483" s="1" t="str">
        <f>IFERROR(__xludf.DUMMYFUNCTION("""COMPUTED_VALUE"""),"ALINGARO, CINDY")</f>
        <v>ALINGARO, CINDY</v>
      </c>
      <c r="E1483" s="1" t="str">
        <f>IFERROR(__xludf.DUMMYFUNCTION("""COMPUTED_VALUE"""),"PLDT / H2H")</f>
        <v>PLDT / H2H</v>
      </c>
      <c r="F1483" s="1">
        <f>IFERROR(__xludf.DUMMYFUNCTION("""COMPUTED_VALUE"""),2309314006)</f>
        <v>2309314006</v>
      </c>
      <c r="G1483" s="1">
        <f>IFERROR(__xludf.DUMMYFUNCTION("""COMPUTED_VALUE"""),453554907004)</f>
        <v>453554907004</v>
      </c>
      <c r="H1483" s="1" t="str">
        <f>IFERROR(__xludf.DUMMYFUNCTION("""COMPUTED_VALUE"""),"MERLINDA LOYOLA VAILOCES")</f>
        <v>MERLINDA LOYOLA VAILOCES</v>
      </c>
      <c r="I1483" s="1">
        <f>IFERROR(__xludf.DUMMYFUNCTION("""COMPUTED_VALUE"""),9611871205)</f>
        <v>9611871205</v>
      </c>
      <c r="J1483" s="1">
        <f>IFERROR(__xludf.DUMMYFUNCTION("""COMPUTED_VALUE"""),9512246842)</f>
        <v>9512246842</v>
      </c>
      <c r="K1483" s="1" t="str">
        <f>IFERROR(__xludf.DUMMYFUNCTION("""COMPUTED_VALUE"""),"MARCOVAOLOCES@GMAIL.COM")</f>
        <v>MARCOVAOLOCES@GMAIL.COM</v>
      </c>
      <c r="L1483" s="1" t="str">
        <f>IFERROR(__xludf.DUMMYFUNCTION("""COMPUTED_VALUE"""),"206")</f>
        <v>206</v>
      </c>
      <c r="M1483" s="1" t="str">
        <f>IFERROR(__xludf.DUMMYFUNCTION("""COMPUTED_VALUE"""),"KALUBKOB")</f>
        <v>KALUBKOB</v>
      </c>
      <c r="N1483" s="1"/>
      <c r="O1483" s="1" t="str">
        <f>IFERROR(__xludf.DUMMYFUNCTION("""COMPUTED_VALUE"""),"KALUBKOB")</f>
        <v>KALUBKOB</v>
      </c>
      <c r="P1483" s="1" t="str">
        <f>IFERROR(__xludf.DUMMYFUNCTION("""COMPUTED_VALUE"""),"SILANG")</f>
        <v>SILANG</v>
      </c>
      <c r="Q1483" s="1" t="str">
        <f>IFERROR(__xludf.DUMMYFUNCTION("""COMPUTED_VALUE"""),"CAVITE")</f>
        <v>CAVITE</v>
      </c>
      <c r="R1483" s="1" t="str">
        <f>IFERROR(__xludf.DUMMYFUNCTION("""COMPUTED_VALUE"""),"FIBR UNLI ALL PLAN 1399")</f>
        <v>FIBR UNLI ALL PLAN 1399</v>
      </c>
      <c r="S1483" s="1" t="str">
        <f>IFERROR(__xludf.DUMMYFUNCTION("""COMPUTED_VALUE"""),"APPROVED")</f>
        <v>APPROVED</v>
      </c>
      <c r="T1483" s="1" t="str">
        <f>IFERROR(__xludf.DUMMYFUNCTION("""COMPUTED_VALUE"""),"CLOSED")</f>
        <v>CLOSED</v>
      </c>
      <c r="U1483" s="1" t="str">
        <f>IFERROR(__xludf.DUMMYFUNCTION("""COMPUTED_VALUE"""),"POSTED")</f>
        <v>POSTED</v>
      </c>
      <c r="V1483" s="1"/>
      <c r="W1483" s="1"/>
    </row>
    <row r="1484" customHeight="1" spans="1:23">
      <c r="A1484" s="3">
        <f>IFERROR(__xludf.DUMMYFUNCTION("""COMPUTED_VALUE"""),46147)</f>
        <v>46147</v>
      </c>
      <c r="B1484" s="1" t="str">
        <f>IFERROR(__xludf.DUMMYFUNCTION("""COMPUTED_VALUE"""),"AGUNOS, JHON AIRVIN")</f>
        <v>AGUNOS, JHON AIRVIN</v>
      </c>
      <c r="C1484" s="1" t="str">
        <f>IFERROR(__xludf.DUMMYFUNCTION("""COMPUTED_VALUE"""),"ORGANIC")</f>
        <v>ORGANIC</v>
      </c>
      <c r="D1484" s="1" t="str">
        <f>IFERROR(__xludf.DUMMYFUNCTION("""COMPUTED_VALUE"""),"ALINGARO, CINDY")</f>
        <v>ALINGARO, CINDY</v>
      </c>
      <c r="E1484" s="1" t="str">
        <f>IFERROR(__xludf.DUMMYFUNCTION("""COMPUTED_VALUE"""),"PLDT / H2H")</f>
        <v>PLDT / H2H</v>
      </c>
      <c r="F1484" s="1">
        <f>IFERROR(__xludf.DUMMYFUNCTION("""COMPUTED_VALUE"""),2309319237)</f>
        <v>2309319237</v>
      </c>
      <c r="G1484" s="1">
        <f>IFERROR(__xludf.DUMMYFUNCTION("""COMPUTED_VALUE"""),453443597004)</f>
        <v>453443597004</v>
      </c>
      <c r="H1484" s="1" t="str">
        <f>IFERROR(__xludf.DUMMYFUNCTION("""COMPUTED_VALUE"""),"CHRISTIAN VALDEZ BATO")</f>
        <v>CHRISTIAN VALDEZ BATO</v>
      </c>
      <c r="I1484" s="1">
        <f>IFERROR(__xludf.DUMMYFUNCTION("""COMPUTED_VALUE"""),9457218090)</f>
        <v>9457218090</v>
      </c>
      <c r="J1484" s="1"/>
      <c r="K1484" s="1" t="str">
        <f>IFERROR(__xludf.DUMMYFUNCTION("""COMPUTED_VALUE"""),"BATOIAN8@GMAIL.COM")</f>
        <v>BATOIAN8@GMAIL.COM</v>
      </c>
      <c r="L1484" s="1" t="str">
        <f>IFERROR(__xludf.DUMMYFUNCTION("""COMPUTED_VALUE"""),"BLK 12 LOT 7")</f>
        <v>BLK 12 LOT 7</v>
      </c>
      <c r="M1484" s="1" t="str">
        <f>IFERROR(__xludf.DUMMYFUNCTION("""COMPUTED_VALUE"""),"VILLA ELIJAH 2")</f>
        <v>VILLA ELIJAH 2</v>
      </c>
      <c r="N1484" s="1"/>
      <c r="O1484" s="1" t="str">
        <f>IFERROR(__xludf.DUMMYFUNCTION("""COMPUTED_VALUE"""),"KALUBKOB")</f>
        <v>KALUBKOB</v>
      </c>
      <c r="P1484" s="1" t="str">
        <f>IFERROR(__xludf.DUMMYFUNCTION("""COMPUTED_VALUE"""),"SILANG")</f>
        <v>SILANG</v>
      </c>
      <c r="Q1484" s="1" t="str">
        <f>IFERROR(__xludf.DUMMYFUNCTION("""COMPUTED_VALUE"""),"CAVITE")</f>
        <v>CAVITE</v>
      </c>
      <c r="R1484" s="1" t="str">
        <f>IFERROR(__xludf.DUMMYFUNCTION("""COMPUTED_VALUE"""),"FIBR NETFLIX PLAN 1599")</f>
        <v>FIBR NETFLIX PLAN 1599</v>
      </c>
      <c r="S1484" s="1" t="str">
        <f>IFERROR(__xludf.DUMMYFUNCTION("""COMPUTED_VALUE"""),"APPROVED")</f>
        <v>APPROVED</v>
      </c>
      <c r="T1484" s="1" t="str">
        <f>IFERROR(__xludf.DUMMYFUNCTION("""COMPUTED_VALUE"""),"RPR")</f>
        <v>RPR</v>
      </c>
      <c r="U1484" s="1"/>
      <c r="V1484" s="1"/>
      <c r="W1484" s="1"/>
    </row>
    <row r="1485" customHeight="1" spans="1:23">
      <c r="A1485" s="3">
        <f>IFERROR(__xludf.DUMMYFUNCTION("""COMPUTED_VALUE"""),46147)</f>
        <v>46147</v>
      </c>
      <c r="B1485" s="1" t="str">
        <f>IFERROR(__xludf.DUMMYFUNCTION("""COMPUTED_VALUE"""),"MALIWAT MARK ELVIN")</f>
        <v>MALIWAT MARK ELVIN</v>
      </c>
      <c r="C1485" s="1" t="str">
        <f>IFERROR(__xludf.DUMMYFUNCTION("""COMPUTED_VALUE"""),"FLA")</f>
        <v>FLA</v>
      </c>
      <c r="D1485" s="1" t="str">
        <f>IFERROR(__xludf.DUMMYFUNCTION("""COMPUTED_VALUE"""),"JERIC NAVARRO")</f>
        <v>JERIC NAVARRO</v>
      </c>
      <c r="E1485" s="1" t="str">
        <f>IFERROR(__xludf.DUMMYFUNCTION("""COMPUTED_VALUE"""),"PLDT / ONLINE")</f>
        <v>PLDT / ONLINE</v>
      </c>
      <c r="F1485" s="1">
        <f>IFERROR(__xludf.DUMMYFUNCTION("""COMPUTED_VALUE"""),2309311032)</f>
        <v>2309311032</v>
      </c>
      <c r="G1485" s="1">
        <f>IFERROR(__xludf.DUMMYFUNCTION("""COMPUTED_VALUE"""),453397078004)</f>
        <v>453397078004</v>
      </c>
      <c r="H1485" s="1" t="str">
        <f>IFERROR(__xludf.DUMMYFUNCTION("""COMPUTED_VALUE"""),"NELSON MORABE MALATE")</f>
        <v>NELSON MORABE MALATE</v>
      </c>
      <c r="I1485" s="1">
        <f>IFERROR(__xludf.DUMMYFUNCTION("""COMPUTED_VALUE"""),9915787530)</f>
        <v>9915787530</v>
      </c>
      <c r="J1485" s="1"/>
      <c r="K1485" s="1" t="str">
        <f>IFERROR(__xludf.DUMMYFUNCTION("""COMPUTED_VALUE"""),"NHEBERNADAS@GMAIL.COM")</f>
        <v>NHEBERNADAS@GMAIL.COM</v>
      </c>
      <c r="L1485" s="1" t="str">
        <f>IFERROR(__xludf.DUMMYFUNCTION("""COMPUTED_VALUE"""),"BLK D12 LOT 1")</f>
        <v>BLK D12 LOT 1</v>
      </c>
      <c r="M1485" s="1" t="str">
        <f>IFERROR(__xludf.DUMMYFUNCTION("""COMPUTED_VALUE"""),"SAN NICOLAS 1")</f>
        <v>SAN NICOLAS 1</v>
      </c>
      <c r="N1485" s="1"/>
      <c r="O1485" s="1" t="str">
        <f>IFERROR(__xludf.DUMMYFUNCTION("""COMPUTED_VALUE"""),"SAN NICOLAS I")</f>
        <v>SAN NICOLAS I</v>
      </c>
      <c r="P1485" s="1" t="str">
        <f>IFERROR(__xludf.DUMMYFUNCTION("""COMPUTED_VALUE"""),"DASMARINAS")</f>
        <v>DASMARINAS</v>
      </c>
      <c r="Q1485" s="1" t="str">
        <f>IFERROR(__xludf.DUMMYFUNCTION("""COMPUTED_VALUE"""),"CAVITE")</f>
        <v>CAVITE</v>
      </c>
      <c r="R1485" s="1" t="str">
        <f>IFERROR(__xludf.DUMMYFUNCTION("""COMPUTED_VALUE"""),"FIBR PLAN 1299")</f>
        <v>FIBR PLAN 1299</v>
      </c>
      <c r="S1485" s="1" t="str">
        <f>IFERROR(__xludf.DUMMYFUNCTION("""COMPUTED_VALUE"""),"APPROVED")</f>
        <v>APPROVED</v>
      </c>
      <c r="T1485" s="1" t="str">
        <f>IFERROR(__xludf.DUMMYFUNCTION("""COMPUTED_VALUE"""),"CLOSED")</f>
        <v>CLOSED</v>
      </c>
      <c r="U1485" s="1" t="str">
        <f>IFERROR(__xludf.DUMMYFUNCTION("""COMPUTED_VALUE"""),"POSTED")</f>
        <v>POSTED</v>
      </c>
      <c r="V1485" s="1"/>
      <c r="W1485" s="1"/>
    </row>
    <row r="1486" customHeight="1" spans="1:23">
      <c r="A1486" s="3">
        <f>IFERROR(__xludf.DUMMYFUNCTION("""COMPUTED_VALUE"""),46147)</f>
        <v>46147</v>
      </c>
      <c r="B1486" s="1" t="str">
        <f>IFERROR(__xludf.DUMMYFUNCTION("""COMPUTED_VALUE"""),"FRONDEZ, JEDREFF")</f>
        <v>FRONDEZ, JEDREFF</v>
      </c>
      <c r="C1486" s="1" t="str">
        <f>IFERROR(__xludf.DUMMYFUNCTION("""COMPUTED_VALUE"""),"ORGANIC")</f>
        <v>ORGANIC</v>
      </c>
      <c r="D1486" s="1" t="str">
        <f>IFERROR(__xludf.DUMMYFUNCTION("""COMPUTED_VALUE"""),"REMOLLO LEA")</f>
        <v>REMOLLO LEA</v>
      </c>
      <c r="E1486" s="1" t="str">
        <f>IFERROR(__xludf.DUMMYFUNCTION("""COMPUTED_VALUE"""),"PLDT / H2H")</f>
        <v>PLDT / H2H</v>
      </c>
      <c r="F1486" s="1">
        <f>IFERROR(__xludf.DUMMYFUNCTION("""COMPUTED_VALUE"""),2309318548)</f>
        <v>2309318548</v>
      </c>
      <c r="G1486" s="1"/>
      <c r="H1486" s="1" t="str">
        <f>IFERROR(__xludf.DUMMYFUNCTION("""COMPUTED_VALUE"""),"EDNA ANCIRO LACERNA")</f>
        <v>EDNA ANCIRO LACERNA</v>
      </c>
      <c r="I1486" s="1">
        <f>IFERROR(__xludf.DUMMYFUNCTION("""COMPUTED_VALUE"""),9452653028)</f>
        <v>9452653028</v>
      </c>
      <c r="J1486" s="1">
        <f>IFERROR(__xludf.DUMMYFUNCTION("""COMPUTED_VALUE"""),9559358218)</f>
        <v>9559358218</v>
      </c>
      <c r="K1486" s="1" t="str">
        <f>IFERROR(__xludf.DUMMYFUNCTION("""COMPUTED_VALUE"""),"LACERNAEDNA25@GMAIL.COM")</f>
        <v>LACERNAEDNA25@GMAIL.COM</v>
      </c>
      <c r="L1486" s="1" t="str">
        <f>IFERROR(__xludf.DUMMYFUNCTION("""COMPUTED_VALUE"""),"97-C")</f>
        <v>97-C</v>
      </c>
      <c r="M1486" s="1" t="str">
        <f>IFERROR(__xludf.DUMMYFUNCTION("""COMPUTED_VALUE"""),"LUCSUHIN")</f>
        <v>LUCSUHIN</v>
      </c>
      <c r="N1486" s="1"/>
      <c r="O1486" s="1" t="str">
        <f>IFERROR(__xludf.DUMMYFUNCTION("""COMPUTED_VALUE"""),"LUCSUHIN")</f>
        <v>LUCSUHIN</v>
      </c>
      <c r="P1486" s="1" t="str">
        <f>IFERROR(__xludf.DUMMYFUNCTION("""COMPUTED_VALUE"""),"SILANG")</f>
        <v>SILANG</v>
      </c>
      <c r="Q1486" s="1" t="str">
        <f>IFERROR(__xludf.DUMMYFUNCTION("""COMPUTED_VALUE"""),"CAVITE")</f>
        <v>CAVITE</v>
      </c>
      <c r="R1486" s="1" t="str">
        <f>IFERROR(__xludf.DUMMYFUNCTION("""COMPUTED_VALUE"""),"FIBR UNLI ALL PLAN 999")</f>
        <v>FIBR UNLI ALL PLAN 999</v>
      </c>
      <c r="S1486" s="1" t="str">
        <f>IFERROR(__xludf.DUMMYFUNCTION("""COMPUTED_VALUE"""),"APPROVED")</f>
        <v>APPROVED</v>
      </c>
      <c r="T1486" s="1" t="str">
        <f>IFERROR(__xludf.DUMMYFUNCTION("""COMPUTED_VALUE"""),"CANCELLED")</f>
        <v>CANCELLED</v>
      </c>
      <c r="U1486" s="1"/>
      <c r="V1486" s="1"/>
      <c r="W1486" s="1"/>
    </row>
    <row r="1487" customHeight="1" spans="1:23">
      <c r="A1487" s="3">
        <f>IFERROR(__xludf.DUMMYFUNCTION("""COMPUTED_VALUE"""),46147)</f>
        <v>46147</v>
      </c>
      <c r="B1487" s="1" t="str">
        <f>IFERROR(__xludf.DUMMYFUNCTION("""COMPUTED_VALUE"""),"ALINGARO, CINDY")</f>
        <v>ALINGARO, CINDY</v>
      </c>
      <c r="C1487" s="1" t="str">
        <f>IFERROR(__xludf.DUMMYFUNCTION("""COMPUTED_VALUE"""),"FLA")</f>
        <v>FLA</v>
      </c>
      <c r="D1487" s="1" t="str">
        <f>IFERROR(__xludf.DUMMYFUNCTION("""COMPUTED_VALUE"""),"JERIC NAVARRO")</f>
        <v>JERIC NAVARRO</v>
      </c>
      <c r="E1487" s="1" t="str">
        <f>IFERROR(__xludf.DUMMYFUNCTION("""COMPUTED_VALUE"""),"PLDT / H2H")</f>
        <v>PLDT / H2H</v>
      </c>
      <c r="F1487" s="1">
        <f>IFERROR(__xludf.DUMMYFUNCTION("""COMPUTED_VALUE"""),2309313462)</f>
        <v>2309313462</v>
      </c>
      <c r="G1487" s="1">
        <f>IFERROR(__xludf.DUMMYFUNCTION("""COMPUTED_VALUE"""),453399452004)</f>
        <v>453399452004</v>
      </c>
      <c r="H1487" s="1" t="str">
        <f>IFERROR(__xludf.DUMMYFUNCTION("""COMPUTED_VALUE"""),"MELANIE CUBIO PERENA")</f>
        <v>MELANIE CUBIO PERENA</v>
      </c>
      <c r="I1487" s="1">
        <f>IFERROR(__xludf.DUMMYFUNCTION("""COMPUTED_VALUE"""),9161918514)</f>
        <v>9161918514</v>
      </c>
      <c r="J1487" s="1"/>
      <c r="K1487" s="1" t="str">
        <f>IFERROR(__xludf.DUMMYFUNCTION("""COMPUTED_VALUE"""),"APIANGTV@GMAIL.COM")</f>
        <v>APIANGTV@GMAIL.COM</v>
      </c>
      <c r="L1487" s="1" t="str">
        <f>IFERROR(__xludf.DUMMYFUNCTION("""COMPUTED_VALUE"""),"9886")</f>
        <v>9886</v>
      </c>
      <c r="M1487" s="1" t="str">
        <f>IFERROR(__xludf.DUMMYFUNCTION("""COMPUTED_VALUE"""),"SILANGAN")</f>
        <v>SILANGAN</v>
      </c>
      <c r="N1487" s="1"/>
      <c r="O1487" s="1" t="str">
        <f>IFERROR(__xludf.DUMMYFUNCTION("""COMPUTED_VALUE"""),"PANUNGYAN II")</f>
        <v>PANUNGYAN II</v>
      </c>
      <c r="P1487" s="1" t="str">
        <f>IFERROR(__xludf.DUMMYFUNCTION("""COMPUTED_VALUE"""),"MENDEZ")</f>
        <v>MENDEZ</v>
      </c>
      <c r="Q1487" s="1" t="str">
        <f>IFERROR(__xludf.DUMMYFUNCTION("""COMPUTED_VALUE"""),"CAVITE")</f>
        <v>CAVITE</v>
      </c>
      <c r="R1487" s="1" t="str">
        <f>IFERROR(__xludf.DUMMYFUNCTION("""COMPUTED_VALUE"""),"FIBR UNLI ALL PLAN 1399")</f>
        <v>FIBR UNLI ALL PLAN 1399</v>
      </c>
      <c r="S1487" s="1" t="str">
        <f>IFERROR(__xludf.DUMMYFUNCTION("""COMPUTED_VALUE"""),"APPROVED")</f>
        <v>APPROVED</v>
      </c>
      <c r="T1487" s="1" t="str">
        <f>IFERROR(__xludf.DUMMYFUNCTION("""COMPUTED_VALUE"""),"CLOSED")</f>
        <v>CLOSED</v>
      </c>
      <c r="U1487" s="1" t="str">
        <f>IFERROR(__xludf.DUMMYFUNCTION("""COMPUTED_VALUE"""),"POSTED")</f>
        <v>POSTED</v>
      </c>
      <c r="V1487" s="1"/>
      <c r="W1487" s="1"/>
    </row>
    <row r="1488" customHeight="1" spans="1:23">
      <c r="A1488" s="3">
        <f>IFERROR(__xludf.DUMMYFUNCTION("""COMPUTED_VALUE"""),46147)</f>
        <v>46147</v>
      </c>
      <c r="B1488" s="1" t="str">
        <f>IFERROR(__xludf.DUMMYFUNCTION("""COMPUTED_VALUE"""),"FRANCISCO , ROSELYN")</f>
        <v>FRANCISCO , ROSELYN</v>
      </c>
      <c r="C1488" s="1" t="str">
        <f>IFERROR(__xludf.DUMMYFUNCTION("""COMPUTED_VALUE"""),"ORGANIC")</f>
        <v>ORGANIC</v>
      </c>
      <c r="D1488" s="1" t="str">
        <f>IFERROR(__xludf.DUMMYFUNCTION("""COMPUTED_VALUE"""),"ALOS, CHARLS")</f>
        <v>ALOS, CHARLS</v>
      </c>
      <c r="E1488" s="1" t="str">
        <f>IFERROR(__xludf.DUMMYFUNCTION("""COMPUTED_VALUE"""),"RED FIBER")</f>
        <v>RED FIBER</v>
      </c>
      <c r="F1488" s="1"/>
      <c r="G1488" s="1"/>
      <c r="H1488" s="1" t="str">
        <f>IFERROR(__xludf.DUMMYFUNCTION("""COMPUTED_VALUE"""),"BEA BIANCA AQUINO INDUCIL")</f>
        <v>BEA BIANCA AQUINO INDUCIL</v>
      </c>
      <c r="I1488" s="1">
        <f>IFERROR(__xludf.DUMMYFUNCTION("""COMPUTED_VALUE"""),9936649424)</f>
        <v>9936649424</v>
      </c>
      <c r="J1488" s="1"/>
      <c r="K1488" s="1" t="str">
        <f>IFERROR(__xludf.DUMMYFUNCTION("""COMPUTED_VALUE"""),"VIALICIOUS029@GMAIL.COM")</f>
        <v>VIALICIOUS029@GMAIL.COM</v>
      </c>
      <c r="L1488" s="1" t="str">
        <f>IFERROR(__xludf.DUMMYFUNCTION("""COMPUTED_VALUE"""),"BLK 36 LOT 21")</f>
        <v>BLK 36 LOT 21</v>
      </c>
      <c r="M1488" s="1" t="str">
        <f>IFERROR(__xludf.DUMMYFUNCTION("""COMPUTED_VALUE"""),"SAN MIGUEL")</f>
        <v>SAN MIGUEL</v>
      </c>
      <c r="N1488" s="1"/>
      <c r="O1488" s="1" t="str">
        <f>IFERROR(__xludf.DUMMYFUNCTION("""COMPUTED_VALUE"""),"SAN MIGUEL I")</f>
        <v>SAN MIGUEL I</v>
      </c>
      <c r="P1488" s="1" t="str">
        <f>IFERROR(__xludf.DUMMYFUNCTION("""COMPUTED_VALUE"""),"DASMARINAS")</f>
        <v>DASMARINAS</v>
      </c>
      <c r="Q1488" s="1" t="str">
        <f>IFERROR(__xludf.DUMMYFUNCTION("""COMPUTED_VALUE"""),"CAVITE")</f>
        <v>CAVITE</v>
      </c>
      <c r="R1488" s="1" t="str">
        <f>IFERROR(__xludf.DUMMYFUNCTION("""COMPUTED_VALUE"""),"RED PLAN 1000")</f>
        <v>RED PLAN 1000</v>
      </c>
      <c r="S1488" s="1" t="str">
        <f>IFERROR(__xludf.DUMMYFUNCTION("""COMPUTED_VALUE"""),"CANCELLED ")</f>
        <v>CANCELLED </v>
      </c>
      <c r="T1488" s="1" t="str">
        <f>IFERROR(__xludf.DUMMYFUNCTION("""COMPUTED_VALUE"""),"#N/A")</f>
        <v>#N/A</v>
      </c>
      <c r="U1488" s="1"/>
      <c r="V1488" s="1"/>
      <c r="W1488" s="1"/>
    </row>
    <row r="1489" customHeight="1" spans="1:23">
      <c r="A1489" s="3">
        <f>IFERROR(__xludf.DUMMYFUNCTION("""COMPUTED_VALUE"""),46147)</f>
        <v>46147</v>
      </c>
      <c r="B1489" s="1" t="str">
        <f>IFERROR(__xludf.DUMMYFUNCTION("""COMPUTED_VALUE"""),"FERNANDEZ JERIC")</f>
        <v>FERNANDEZ JERIC</v>
      </c>
      <c r="C1489" s="1" t="str">
        <f>IFERROR(__xludf.DUMMYFUNCTION("""COMPUTED_VALUE"""),"ORGANIC")</f>
        <v>ORGANIC</v>
      </c>
      <c r="D1489" s="1" t="str">
        <f>IFERROR(__xludf.DUMMYFUNCTION("""COMPUTED_VALUE"""),"ALOS, CHARLS")</f>
        <v>ALOS, CHARLS</v>
      </c>
      <c r="E1489" s="1" t="str">
        <f>IFERROR(__xludf.DUMMYFUNCTION("""COMPUTED_VALUE"""),"PLDT / H2H")</f>
        <v>PLDT / H2H</v>
      </c>
      <c r="F1489" s="1">
        <f>IFERROR(__xludf.DUMMYFUNCTION("""COMPUTED_VALUE"""),2309316513)</f>
        <v>2309316513</v>
      </c>
      <c r="G1489" s="1"/>
      <c r="H1489" s="1" t="str">
        <f>IFERROR(__xludf.DUMMYFUNCTION("""COMPUTED_VALUE"""),"JEROLMELYN GONZALES VERTUCIO")</f>
        <v>JEROLMELYN GONZALES VERTUCIO</v>
      </c>
      <c r="I1489" s="1">
        <f>IFERROR(__xludf.DUMMYFUNCTION("""COMPUTED_VALUE"""),9458874929)</f>
        <v>9458874929</v>
      </c>
      <c r="J1489" s="1">
        <f>IFERROR(__xludf.DUMMYFUNCTION("""COMPUTED_VALUE"""),9167814926)</f>
        <v>9167814926</v>
      </c>
      <c r="K1489" s="1" t="str">
        <f>IFERROR(__xludf.DUMMYFUNCTION("""COMPUTED_VALUE"""),"ANGELDOTA0066@GMAIL.COM")</f>
        <v>ANGELDOTA0066@GMAIL.COM</v>
      </c>
      <c r="L1489" s="1" t="str">
        <f>IFERROR(__xludf.DUMMYFUNCTION("""COMPUTED_VALUE"""),"22")</f>
        <v>22</v>
      </c>
      <c r="M1489" s="1" t="str">
        <f>IFERROR(__xludf.DUMMYFUNCTION("""COMPUTED_VALUE"""),"PUROK 22")</f>
        <v>PUROK 22</v>
      </c>
      <c r="N1489" s="1"/>
      <c r="O1489" s="1" t="str">
        <f>IFERROR(__xludf.DUMMYFUNCTION("""COMPUTED_VALUE"""),"SAN FRANCISCO")</f>
        <v>SAN FRANCISCO</v>
      </c>
      <c r="P1489" s="1" t="str">
        <f>IFERROR(__xludf.DUMMYFUNCTION("""COMPUTED_VALUE"""),"TAGAYTAY")</f>
        <v>TAGAYTAY</v>
      </c>
      <c r="Q1489" s="1" t="str">
        <f>IFERROR(__xludf.DUMMYFUNCTION("""COMPUTED_VALUE"""),"CAVITE")</f>
        <v>CAVITE</v>
      </c>
      <c r="R1489" s="1" t="str">
        <f>IFERROR(__xludf.DUMMYFUNCTION("""COMPUTED_VALUE"""),"FIBR UNLI ALL PLAN 1399")</f>
        <v>FIBR UNLI ALL PLAN 1399</v>
      </c>
      <c r="S1489" s="1" t="str">
        <f>IFERROR(__xludf.DUMMYFUNCTION("""COMPUTED_VALUE"""),"APPROVED")</f>
        <v>APPROVED</v>
      </c>
      <c r="T1489" s="1" t="str">
        <f>IFERROR(__xludf.DUMMYFUNCTION("""COMPUTED_VALUE"""),"CANCELLED")</f>
        <v>CANCELLED</v>
      </c>
      <c r="U1489" s="1"/>
      <c r="V1489" s="1"/>
      <c r="W1489" s="1"/>
    </row>
    <row r="1490" customHeight="1" spans="1:23">
      <c r="A1490" s="3">
        <f>IFERROR(__xludf.DUMMYFUNCTION("""COMPUTED_VALUE"""),46147)</f>
        <v>46147</v>
      </c>
      <c r="B1490" s="1" t="str">
        <f>IFERROR(__xludf.DUMMYFUNCTION("""COMPUTED_VALUE"""),"ADVINCULA, NICOLE")</f>
        <v>ADVINCULA, NICOLE</v>
      </c>
      <c r="C1490" s="1" t="str">
        <f>IFERROR(__xludf.DUMMYFUNCTION("""COMPUTED_VALUE"""),"ORGANIC")</f>
        <v>ORGANIC</v>
      </c>
      <c r="D1490" s="1" t="str">
        <f>IFERROR(__xludf.DUMMYFUNCTION("""COMPUTED_VALUE"""),"ALINGARO, CINDY")</f>
        <v>ALINGARO, CINDY</v>
      </c>
      <c r="E1490" s="1" t="str">
        <f>IFERROR(__xludf.DUMMYFUNCTION("""COMPUTED_VALUE"""),"PLDT / H2H")</f>
        <v>PLDT / H2H</v>
      </c>
      <c r="F1490" s="1">
        <f>IFERROR(__xludf.DUMMYFUNCTION("""COMPUTED_VALUE"""),2309319585)</f>
        <v>2309319585</v>
      </c>
      <c r="G1490" s="1">
        <f>IFERROR(__xludf.DUMMYFUNCTION("""COMPUTED_VALUE"""),453413092004)</f>
        <v>453413092004</v>
      </c>
      <c r="H1490" s="1" t="str">
        <f>IFERROR(__xludf.DUMMYFUNCTION("""COMPUTED_VALUE"""),"CHRISTIAN MERCADO REVILLA")</f>
        <v>CHRISTIAN MERCADO REVILLA</v>
      </c>
      <c r="I1490" s="1">
        <f>IFERROR(__xludf.DUMMYFUNCTION("""COMPUTED_VALUE"""),9525635624)</f>
        <v>9525635624</v>
      </c>
      <c r="J1490" s="1"/>
      <c r="K1490" s="1" t="str">
        <f>IFERROR(__xludf.DUMMYFUNCTION("""COMPUTED_VALUE"""),"BOKREVILLA9@GMAIL.COM")</f>
        <v>BOKREVILLA9@GMAIL.COM</v>
      </c>
      <c r="L1490" s="1" t="str">
        <f>IFERROR(__xludf.DUMMYFUNCTION("""COMPUTED_VALUE"""),"BLK 19 LOT 1")</f>
        <v>BLK 19 LOT 1</v>
      </c>
      <c r="M1490" s="1" t="str">
        <f>IFERROR(__xludf.DUMMYFUNCTION("""COMPUTED_VALUE"""),"BUKLURAN 2")</f>
        <v>BUKLURAN 2</v>
      </c>
      <c r="N1490" s="1"/>
      <c r="O1490" s="1" t="str">
        <f>IFERROR(__xludf.DUMMYFUNCTION("""COMPUTED_VALUE"""),"BULIHAN")</f>
        <v>BULIHAN</v>
      </c>
      <c r="P1490" s="1" t="str">
        <f>IFERROR(__xludf.DUMMYFUNCTION("""COMPUTED_VALUE"""),"SILANG")</f>
        <v>SILANG</v>
      </c>
      <c r="Q1490" s="1" t="str">
        <f>IFERROR(__xludf.DUMMYFUNCTION("""COMPUTED_VALUE"""),"CAVITE")</f>
        <v>CAVITE</v>
      </c>
      <c r="R1490" s="1" t="str">
        <f>IFERROR(__xludf.DUMMYFUNCTION("""COMPUTED_VALUE"""),"PREPAID FIBER UNLI")</f>
        <v>PREPAID FIBER UNLI</v>
      </c>
      <c r="S1490" s="1" t="str">
        <f>IFERROR(__xludf.DUMMYFUNCTION("""COMPUTED_VALUE"""),"APPROVED")</f>
        <v>APPROVED</v>
      </c>
      <c r="T1490" s="1" t="str">
        <f>IFERROR(__xludf.DUMMYFUNCTION("""COMPUTED_VALUE"""),"CLOSED")</f>
        <v>CLOSED</v>
      </c>
      <c r="U1490" s="1" t="str">
        <f>IFERROR(__xludf.DUMMYFUNCTION("""COMPUTED_VALUE"""),"POSTED")</f>
        <v>POSTED</v>
      </c>
      <c r="V1490" s="1"/>
      <c r="W1490" s="1"/>
    </row>
    <row r="1491" customHeight="1" spans="1:23">
      <c r="A1491" s="3">
        <f>IFERROR(__xludf.DUMMYFUNCTION("""COMPUTED_VALUE"""),46147)</f>
        <v>46147</v>
      </c>
      <c r="B1491" s="1" t="str">
        <f>IFERROR(__xludf.DUMMYFUNCTION("""COMPUTED_VALUE"""),"ODY , CLARENCE")</f>
        <v>ODY , CLARENCE</v>
      </c>
      <c r="C1491" s="1" t="str">
        <f>IFERROR(__xludf.DUMMYFUNCTION("""COMPUTED_VALUE"""),"ORGANIC")</f>
        <v>ORGANIC</v>
      </c>
      <c r="D1491" s="1" t="str">
        <f>IFERROR(__xludf.DUMMYFUNCTION("""COMPUTED_VALUE"""),"ALOS, CHARLS")</f>
        <v>ALOS, CHARLS</v>
      </c>
      <c r="E1491" s="1" t="str">
        <f>IFERROR(__xludf.DUMMYFUNCTION("""COMPUTED_VALUE"""),"PLDT / ONLINE")</f>
        <v>PLDT / ONLINE</v>
      </c>
      <c r="F1491" s="1">
        <f>IFERROR(__xludf.DUMMYFUNCTION("""COMPUTED_VALUE"""),2309317169)</f>
        <v>2309317169</v>
      </c>
      <c r="G1491" s="1">
        <f>IFERROR(__xludf.DUMMYFUNCTION("""COMPUTED_VALUE"""),453406352004)</f>
        <v>453406352004</v>
      </c>
      <c r="H1491" s="1" t="str">
        <f>IFERROR(__xludf.DUMMYFUNCTION("""COMPUTED_VALUE"""),"ROWENA MARAPIA LOBRIO")</f>
        <v>ROWENA MARAPIA LOBRIO</v>
      </c>
      <c r="I1491" s="1">
        <f>IFERROR(__xludf.DUMMYFUNCTION("""COMPUTED_VALUE"""),9564615783)</f>
        <v>9564615783</v>
      </c>
      <c r="J1491" s="1"/>
      <c r="K1491" s="1" t="str">
        <f>IFERROR(__xludf.DUMMYFUNCTION("""COMPUTED_VALUE"""),"ROWENALOBRIO@GMAIL.COM")</f>
        <v>ROWENALOBRIO@GMAIL.COM</v>
      </c>
      <c r="L1491" s="1" t="str">
        <f>IFERROR(__xludf.DUMMYFUNCTION("""COMPUTED_VALUE"""),"BLK 49 LOT 67")</f>
        <v>BLK 49 LOT 67</v>
      </c>
      <c r="M1491" s="1" t="str">
        <f>IFERROR(__xludf.DUMMYFUNCTION("""COMPUTED_VALUE"""),"SAN MIGUEL")</f>
        <v>SAN MIGUEL</v>
      </c>
      <c r="N1491" s="1"/>
      <c r="O1491" s="1" t="str">
        <f>IFERROR(__xludf.DUMMYFUNCTION("""COMPUTED_VALUE"""),"SAN MIGUEL II")</f>
        <v>SAN MIGUEL II</v>
      </c>
      <c r="P1491" s="1" t="str">
        <f>IFERROR(__xludf.DUMMYFUNCTION("""COMPUTED_VALUE"""),"DASMARINAS")</f>
        <v>DASMARINAS</v>
      </c>
      <c r="Q1491" s="1" t="str">
        <f>IFERROR(__xludf.DUMMYFUNCTION("""COMPUTED_VALUE"""),"CAVITE")</f>
        <v>CAVITE</v>
      </c>
      <c r="R1491" s="1" t="str">
        <f>IFERROR(__xludf.DUMMYFUNCTION("""COMPUTED_VALUE"""),"FIBR UNLI ALL PLAN 999")</f>
        <v>FIBR UNLI ALL PLAN 999</v>
      </c>
      <c r="S1491" s="1" t="str">
        <f>IFERROR(__xludf.DUMMYFUNCTION("""COMPUTED_VALUE"""),"APPROVED")</f>
        <v>APPROVED</v>
      </c>
      <c r="T1491" s="1" t="str">
        <f>IFERROR(__xludf.DUMMYFUNCTION("""COMPUTED_VALUE"""),"CANCELLED")</f>
        <v>CANCELLED</v>
      </c>
      <c r="U1491" s="1"/>
      <c r="V1491" s="1"/>
      <c r="W1491" s="1"/>
    </row>
    <row r="1492" customHeight="1" spans="1:23">
      <c r="A1492" s="3">
        <f>IFERROR(__xludf.DUMMYFUNCTION("""COMPUTED_VALUE"""),46147)</f>
        <v>46147</v>
      </c>
      <c r="B1492" s="1" t="str">
        <f>IFERROR(__xludf.DUMMYFUNCTION("""COMPUTED_VALUE"""),"MALIWAT MARK ELVIN")</f>
        <v>MALIWAT MARK ELVIN</v>
      </c>
      <c r="C1492" s="1" t="str">
        <f>IFERROR(__xludf.DUMMYFUNCTION("""COMPUTED_VALUE"""),"FLA")</f>
        <v>FLA</v>
      </c>
      <c r="D1492" s="1" t="str">
        <f>IFERROR(__xludf.DUMMYFUNCTION("""COMPUTED_VALUE"""),"JERIC NAVARRO")</f>
        <v>JERIC NAVARRO</v>
      </c>
      <c r="E1492" s="1" t="str">
        <f>IFERROR(__xludf.DUMMYFUNCTION("""COMPUTED_VALUE"""),"PLDT / ONLINE")</f>
        <v>PLDT / ONLINE</v>
      </c>
      <c r="F1492" s="1">
        <f>IFERROR(__xludf.DUMMYFUNCTION("""COMPUTED_VALUE"""),2309317784)</f>
        <v>2309317784</v>
      </c>
      <c r="G1492" s="1">
        <f>IFERROR(__xludf.DUMMYFUNCTION("""COMPUTED_VALUE"""),453405863004)</f>
        <v>453405863004</v>
      </c>
      <c r="H1492" s="1" t="str">
        <f>IFERROR(__xludf.DUMMYFUNCTION("""COMPUTED_VALUE"""),"BEBIELYN LIM CATANGHAL")</f>
        <v>BEBIELYN LIM CATANGHAL</v>
      </c>
      <c r="I1492" s="1">
        <f>IFERROR(__xludf.DUMMYFUNCTION("""COMPUTED_VALUE"""),9693991933)</f>
        <v>9693991933</v>
      </c>
      <c r="J1492" s="1"/>
      <c r="K1492" s="1" t="str">
        <f>IFERROR(__xludf.DUMMYFUNCTION("""COMPUTED_VALUE"""),"RUBIEJANE09508193598@GMAIL.COM")</f>
        <v>RUBIEJANE09508193598@GMAIL.COM</v>
      </c>
      <c r="L1492" s="1" t="str">
        <f>IFERROR(__xludf.DUMMYFUNCTION("""COMPUTED_VALUE"""),"BLK E3 LOT 15")</f>
        <v>BLK E3 LOT 15</v>
      </c>
      <c r="M1492" s="1" t="str">
        <f>IFERROR(__xludf.DUMMYFUNCTION("""COMPUTED_VALUE"""),"SAN ANDRESS")</f>
        <v>SAN ANDRESS</v>
      </c>
      <c r="N1492" s="1"/>
      <c r="O1492" s="1" t="str">
        <f>IFERROR(__xludf.DUMMYFUNCTION("""COMPUTED_VALUE"""),"SAN ANDRES I")</f>
        <v>SAN ANDRES I</v>
      </c>
      <c r="P1492" s="1" t="str">
        <f>IFERROR(__xludf.DUMMYFUNCTION("""COMPUTED_VALUE"""),"DASMARINAS")</f>
        <v>DASMARINAS</v>
      </c>
      <c r="Q1492" s="1" t="str">
        <f>IFERROR(__xludf.DUMMYFUNCTION("""COMPUTED_VALUE"""),"CAVITE")</f>
        <v>CAVITE</v>
      </c>
      <c r="R1492" s="1" t="str">
        <f>IFERROR(__xludf.DUMMYFUNCTION("""COMPUTED_VALUE"""),"PREPAID FIBER UNLI")</f>
        <v>PREPAID FIBER UNLI</v>
      </c>
      <c r="S1492" s="1" t="str">
        <f>IFERROR(__xludf.DUMMYFUNCTION("""COMPUTED_VALUE"""),"APPROVED")</f>
        <v>APPROVED</v>
      </c>
      <c r="T1492" s="1" t="str">
        <f>IFERROR(__xludf.DUMMYFUNCTION("""COMPUTED_VALUE"""),"CLOSED")</f>
        <v>CLOSED</v>
      </c>
      <c r="U1492" s="1" t="str">
        <f>IFERROR(__xludf.DUMMYFUNCTION("""COMPUTED_VALUE"""),"POSTED")</f>
        <v>POSTED</v>
      </c>
      <c r="V1492" s="1"/>
      <c r="W1492" s="1"/>
    </row>
    <row r="1493" customHeight="1" spans="1:23">
      <c r="A1493" s="3">
        <f>IFERROR(__xludf.DUMMYFUNCTION("""COMPUTED_VALUE"""),46147)</f>
        <v>46147</v>
      </c>
      <c r="B1493" s="1" t="str">
        <f>IFERROR(__xludf.DUMMYFUNCTION("""COMPUTED_VALUE"""),"RIVERA, AIRIZH JOY")</f>
        <v>RIVERA, AIRIZH JOY</v>
      </c>
      <c r="C1493" s="1" t="str">
        <f>IFERROR(__xludf.DUMMYFUNCTION("""COMPUTED_VALUE"""),"ORGANIC")</f>
        <v>ORGANIC</v>
      </c>
      <c r="D1493" s="1" t="str">
        <f>IFERROR(__xludf.DUMMYFUNCTION("""COMPUTED_VALUE"""),"ALOS, CHARLS")</f>
        <v>ALOS, CHARLS</v>
      </c>
      <c r="E1493" s="1" t="str">
        <f>IFERROR(__xludf.DUMMYFUNCTION("""COMPUTED_VALUE"""),"PLDT / H2H")</f>
        <v>PLDT / H2H</v>
      </c>
      <c r="F1493" s="1">
        <f>IFERROR(__xludf.DUMMYFUNCTION("""COMPUTED_VALUE"""),2309318921)</f>
        <v>2309318921</v>
      </c>
      <c r="G1493" s="1">
        <f>IFERROR(__xludf.DUMMYFUNCTION("""COMPUTED_VALUE"""),453439614004)</f>
        <v>453439614004</v>
      </c>
      <c r="H1493" s="1" t="str">
        <f>IFERROR(__xludf.DUMMYFUNCTION("""COMPUTED_VALUE"""),"MHART ANDRHEYM HIDALGO DANAS")</f>
        <v>MHART ANDRHEYM HIDALGO DANAS</v>
      </c>
      <c r="I1493" s="1">
        <f>IFERROR(__xludf.DUMMYFUNCTION("""COMPUTED_VALUE"""),9701989455)</f>
        <v>9701989455</v>
      </c>
      <c r="J1493" s="1">
        <f>IFERROR(__xludf.DUMMYFUNCTION("""COMPUTED_VALUE"""),9310344135)</f>
        <v>9310344135</v>
      </c>
      <c r="K1493" s="1" t="str">
        <f>IFERROR(__xludf.DUMMYFUNCTION("""COMPUTED_VALUE"""),"JAMMOTO04@GMAIL.COM")</f>
        <v>JAMMOTO04@GMAIL.COM</v>
      </c>
      <c r="L1493" s="1" t="str">
        <f>IFERROR(__xludf.DUMMYFUNCTION("""COMPUTED_VALUE"""),"BLK 36 LOT 2")</f>
        <v>BLK 36 LOT 2</v>
      </c>
      <c r="M1493" s="1" t="str">
        <f>IFERROR(__xludf.DUMMYFUNCTION("""COMPUTED_VALUE"""),"PHASE 6")</f>
        <v>PHASE 6</v>
      </c>
      <c r="N1493" s="1"/>
      <c r="O1493" s="1" t="str">
        <f>IFERROR(__xludf.DUMMYFUNCTION("""COMPUTED_VALUE"""),"BANABA")</f>
        <v>BANABA</v>
      </c>
      <c r="P1493" s="1" t="str">
        <f>IFERROR(__xludf.DUMMYFUNCTION("""COMPUTED_VALUE"""),"SILANG")</f>
        <v>SILANG</v>
      </c>
      <c r="Q1493" s="1" t="str">
        <f>IFERROR(__xludf.DUMMYFUNCTION("""COMPUTED_VALUE"""),"CAVITE")</f>
        <v>CAVITE</v>
      </c>
      <c r="R1493" s="1" t="str">
        <f>IFERROR(__xludf.DUMMYFUNCTION("""COMPUTED_VALUE"""),"FIBR UNLI ALL PLAN 1399")</f>
        <v>FIBR UNLI ALL PLAN 1399</v>
      </c>
      <c r="S1493" s="1" t="str">
        <f>IFERROR(__xludf.DUMMYFUNCTION("""COMPUTED_VALUE"""),"APPROVED")</f>
        <v>APPROVED</v>
      </c>
      <c r="T1493" s="1" t="str">
        <f>IFERROR(__xludf.DUMMYFUNCTION("""COMPUTED_VALUE"""),"CLOSED")</f>
        <v>CLOSED</v>
      </c>
      <c r="U1493" s="1" t="str">
        <f>IFERROR(__xludf.DUMMYFUNCTION("""COMPUTED_VALUE"""),"POSTED")</f>
        <v>POSTED</v>
      </c>
      <c r="V1493" s="1"/>
      <c r="W1493" s="1"/>
    </row>
    <row r="1494" customHeight="1" spans="1:23">
      <c r="A1494" s="3">
        <f>IFERROR(__xludf.DUMMYFUNCTION("""COMPUTED_VALUE"""),46148)</f>
        <v>46148</v>
      </c>
      <c r="B1494" s="1" t="str">
        <f>IFERROR(__xludf.DUMMYFUNCTION("""COMPUTED_VALUE"""),"VERESO , MERL FRANCINE")</f>
        <v>VERESO , MERL FRANCINE</v>
      </c>
      <c r="C1494" s="1" t="str">
        <f>IFERROR(__xludf.DUMMYFUNCTION("""COMPUTED_VALUE"""),"ORGANIC")</f>
        <v>ORGANIC</v>
      </c>
      <c r="D1494" s="1" t="str">
        <f>IFERROR(__xludf.DUMMYFUNCTION("""COMPUTED_VALUE"""),"ALOS, CHARLS")</f>
        <v>ALOS, CHARLS</v>
      </c>
      <c r="E1494" s="1" t="str">
        <f>IFERROR(__xludf.DUMMYFUNCTION("""COMPUTED_VALUE"""),"PLDT / H2H")</f>
        <v>PLDT / H2H</v>
      </c>
      <c r="F1494" s="1">
        <f>IFERROR(__xludf.DUMMYFUNCTION("""COMPUTED_VALUE"""),2309329580)</f>
        <v>2309329580</v>
      </c>
      <c r="G1494" s="1">
        <f>IFERROR(__xludf.DUMMYFUNCTION("""COMPUTED_VALUE"""),453554899004)</f>
        <v>453554899004</v>
      </c>
      <c r="H1494" s="1" t="str">
        <f>IFERROR(__xludf.DUMMYFUNCTION("""COMPUTED_VALUE"""),"AMELIE NOLASCO ECALDE")</f>
        <v>AMELIE NOLASCO ECALDE</v>
      </c>
      <c r="I1494" s="1">
        <f>IFERROR(__xludf.DUMMYFUNCTION("""COMPUTED_VALUE"""),9566446960)</f>
        <v>9566446960</v>
      </c>
      <c r="J1494" s="1">
        <f>IFERROR(__xludf.DUMMYFUNCTION("""COMPUTED_VALUE"""),9616372187)</f>
        <v>9616372187</v>
      </c>
      <c r="K1494" s="1" t="str">
        <f>IFERROR(__xludf.DUMMYFUNCTION("""COMPUTED_VALUE"""),"AMELINEECALDE@YAHOO.COM")</f>
        <v>AMELINEECALDE@YAHOO.COM</v>
      </c>
      <c r="L1494" s="1" t="str">
        <f>IFERROR(__xludf.DUMMYFUNCTION("""COMPUTED_VALUE"""),"9164")</f>
        <v>9164</v>
      </c>
      <c r="M1494" s="1" t="str">
        <f>IFERROR(__xludf.DUMMYFUNCTION("""COMPUTED_VALUE"""),"PUROK 22")</f>
        <v>PUROK 22</v>
      </c>
      <c r="N1494" s="1" t="str">
        <f>IFERROR(__xludf.DUMMYFUNCTION("""COMPUTED_VALUE"""),"CASA AMIRA")</f>
        <v>CASA AMIRA</v>
      </c>
      <c r="O1494" s="1" t="str">
        <f>IFERROR(__xludf.DUMMYFUNCTION("""COMPUTED_VALUE"""),"PALUMLUM")</f>
        <v>PALUMLUM</v>
      </c>
      <c r="P1494" s="1" t="str">
        <f>IFERROR(__xludf.DUMMYFUNCTION("""COMPUTED_VALUE"""),"ALFONSO")</f>
        <v>ALFONSO</v>
      </c>
      <c r="Q1494" s="1" t="str">
        <f>IFERROR(__xludf.DUMMYFUNCTION("""COMPUTED_VALUE"""),"CAVITE")</f>
        <v>CAVITE</v>
      </c>
      <c r="R1494" s="1" t="str">
        <f>IFERROR(__xludf.DUMMYFUNCTION("""COMPUTED_VALUE"""),"FIBR UNLI ALL PLAN 2499")</f>
        <v>FIBR UNLI ALL PLAN 2499</v>
      </c>
      <c r="S1494" s="1" t="str">
        <f>IFERROR(__xludf.DUMMYFUNCTION("""COMPUTED_VALUE"""),"APPROVED")</f>
        <v>APPROVED</v>
      </c>
      <c r="T1494" s="1" t="str">
        <f>IFERROR(__xludf.DUMMYFUNCTION("""COMPUTED_VALUE"""),"RPR")</f>
        <v>RPR</v>
      </c>
      <c r="U1494" s="1"/>
      <c r="V1494" s="1"/>
      <c r="W1494" s="1"/>
    </row>
    <row r="1495" customHeight="1" spans="1:23">
      <c r="A1495" s="3">
        <f>IFERROR(__xludf.DUMMYFUNCTION("""COMPUTED_VALUE"""),46148)</f>
        <v>46148</v>
      </c>
      <c r="B1495" s="1" t="str">
        <f>IFERROR(__xludf.DUMMYFUNCTION("""COMPUTED_VALUE"""),"ALINGARO, CINDY")</f>
        <v>ALINGARO, CINDY</v>
      </c>
      <c r="C1495" s="1" t="str">
        <f>IFERROR(__xludf.DUMMYFUNCTION("""COMPUTED_VALUE"""),"FLA")</f>
        <v>FLA</v>
      </c>
      <c r="D1495" s="1" t="str">
        <f>IFERROR(__xludf.DUMMYFUNCTION("""COMPUTED_VALUE"""),"JERIC NAVARRO")</f>
        <v>JERIC NAVARRO</v>
      </c>
      <c r="E1495" s="1" t="str">
        <f>IFERROR(__xludf.DUMMYFUNCTION("""COMPUTED_VALUE"""),"PLDT / H2H")</f>
        <v>PLDT / H2H</v>
      </c>
      <c r="F1495" s="1">
        <f>IFERROR(__xludf.DUMMYFUNCTION("""COMPUTED_VALUE"""),2309330024)</f>
        <v>2309330024</v>
      </c>
      <c r="G1495" s="1">
        <f>IFERROR(__xludf.DUMMYFUNCTION("""COMPUTED_VALUE"""),453548646004)</f>
        <v>453548646004</v>
      </c>
      <c r="H1495" s="1" t="str">
        <f>IFERROR(__xludf.DUMMYFUNCTION("""COMPUTED_VALUE"""),"MARK ANTHONY SARNO TOLEDO")</f>
        <v>MARK ANTHONY SARNO TOLEDO</v>
      </c>
      <c r="I1495" s="1">
        <f>IFERROR(__xludf.DUMMYFUNCTION("""COMPUTED_VALUE"""),9368541136)</f>
        <v>9368541136</v>
      </c>
      <c r="J1495" s="1">
        <f>IFERROR(__xludf.DUMMYFUNCTION("""COMPUTED_VALUE"""),9276868904)</f>
        <v>9276868904</v>
      </c>
      <c r="K1495" s="1" t="str">
        <f>IFERROR(__xludf.DUMMYFUNCTION("""COMPUTED_VALUE"""),"MARKTOLEDO022@GMAIL.COM")</f>
        <v>MARKTOLEDO022@GMAIL.COM</v>
      </c>
      <c r="L1495" s="1" t="str">
        <f>IFERROR(__xludf.DUMMYFUNCTION("""COMPUTED_VALUE"""),"22")</f>
        <v>22</v>
      </c>
      <c r="M1495" s="1" t="str">
        <f>IFERROR(__xludf.DUMMYFUNCTION("""COMPUTED_VALUE"""),"PUROK 2  ")</f>
        <v>PUROK 2  </v>
      </c>
      <c r="N1495" s="1" t="str">
        <f>IFERROR(__xludf.DUMMYFUNCTION("""COMPUTED_VALUE"""),"ILAYA")</f>
        <v>ILAYA</v>
      </c>
      <c r="O1495" s="1" t="str">
        <f>IFERROR(__xludf.DUMMYFUNCTION("""COMPUTED_VALUE"""),"ADLAS")</f>
        <v>ADLAS</v>
      </c>
      <c r="P1495" s="1" t="str">
        <f>IFERROR(__xludf.DUMMYFUNCTION("""COMPUTED_VALUE"""),"SILANG")</f>
        <v>SILANG</v>
      </c>
      <c r="Q1495" s="1" t="str">
        <f>IFERROR(__xludf.DUMMYFUNCTION("""COMPUTED_VALUE"""),"CAVITE")</f>
        <v>CAVITE</v>
      </c>
      <c r="R1495" s="1" t="str">
        <f>IFERROR(__xludf.DUMMYFUNCTION("""COMPUTED_VALUE"""),"FIBR UNLI ALL PLAN 1399")</f>
        <v>FIBR UNLI ALL PLAN 1399</v>
      </c>
      <c r="S1495" s="1" t="str">
        <f>IFERROR(__xludf.DUMMYFUNCTION("""COMPUTED_VALUE"""),"APPROVED")</f>
        <v>APPROVED</v>
      </c>
      <c r="T1495" s="1" t="str">
        <f>IFERROR(__xludf.DUMMYFUNCTION("""COMPUTED_VALUE"""),"RPR")</f>
        <v>RPR</v>
      </c>
      <c r="U1495" s="1"/>
      <c r="V1495" s="1"/>
      <c r="W1495" s="1"/>
    </row>
    <row r="1496" customHeight="1" spans="1:23">
      <c r="A1496" s="3">
        <f>IFERROR(__xludf.DUMMYFUNCTION("""COMPUTED_VALUE"""),46148)</f>
        <v>46148</v>
      </c>
      <c r="B1496" s="1" t="str">
        <f>IFERROR(__xludf.DUMMYFUNCTION("""COMPUTED_VALUE"""),"CARPIO, STEPHANIE NICOLE")</f>
        <v>CARPIO, STEPHANIE NICOLE</v>
      </c>
      <c r="C1496" s="1" t="str">
        <f>IFERROR(__xludf.DUMMYFUNCTION("""COMPUTED_VALUE"""),"FLA")</f>
        <v>FLA</v>
      </c>
      <c r="D1496" s="1" t="str">
        <f>IFERROR(__xludf.DUMMYFUNCTION("""COMPUTED_VALUE"""),"JERIC NAVARRO")</f>
        <v>JERIC NAVARRO</v>
      </c>
      <c r="E1496" s="1" t="str">
        <f>IFERROR(__xludf.DUMMYFUNCTION("""COMPUTED_VALUE"""),"PLDT / H2H")</f>
        <v>PLDT / H2H</v>
      </c>
      <c r="F1496" s="1">
        <f>IFERROR(__xludf.DUMMYFUNCTION("""COMPUTED_VALUE"""),2309333772)</f>
        <v>2309333772</v>
      </c>
      <c r="G1496" s="1"/>
      <c r="H1496" s="1" t="str">
        <f>IFERROR(__xludf.DUMMYFUNCTION("""COMPUTED_VALUE"""),"FLORENDA BARRERA IBANEZ")</f>
        <v>FLORENDA BARRERA IBANEZ</v>
      </c>
      <c r="I1496" s="1"/>
      <c r="J1496" s="1"/>
      <c r="K1496" s="1" t="str">
        <f>IFERROR(__xludf.DUMMYFUNCTION("""COMPUTED_VALUE"""),"SOCORROCILEENBUQRAMBULO@GMAIL.COM")</f>
        <v>SOCORROCILEENBUQRAMBULO@GMAIL.COM</v>
      </c>
      <c r="L1496" s="1" t="str">
        <f>IFERROR(__xludf.DUMMYFUNCTION("""COMPUTED_VALUE"""),"BLK 4 LOT 12")</f>
        <v>BLK 4 LOT 12</v>
      </c>
      <c r="M1496" s="1" t="str">
        <f>IFERROR(__xludf.DUMMYFUNCTION("""COMPUTED_VALUE"""),"PHASE 1B")</f>
        <v>PHASE 1B</v>
      </c>
      <c r="N1496" s="1"/>
      <c r="O1496" s="1" t="str">
        <f>IFERROR(__xludf.DUMMYFUNCTION("""COMPUTED_VALUE"""),"MAMBOG II")</f>
        <v>MAMBOG II</v>
      </c>
      <c r="P1496" s="1" t="str">
        <f>IFERROR(__xludf.DUMMYFUNCTION("""COMPUTED_VALUE"""),"BACOOR")</f>
        <v>BACOOR</v>
      </c>
      <c r="Q1496" s="1" t="str">
        <f>IFERROR(__xludf.DUMMYFUNCTION("""COMPUTED_VALUE"""),"CAVITE")</f>
        <v>CAVITE</v>
      </c>
      <c r="R1496" s="1" t="str">
        <f>IFERROR(__xludf.DUMMYFUNCTION("""COMPUTED_VALUE"""),"FIBR PLAN 1699")</f>
        <v>FIBR PLAN 1699</v>
      </c>
      <c r="S1496" s="1" t="str">
        <f>IFERROR(__xludf.DUMMYFUNCTION("""COMPUTED_VALUE"""),"APPROVED")</f>
        <v>APPROVED</v>
      </c>
      <c r="T1496" s="1" t="str">
        <f>IFERROR(__xludf.DUMMYFUNCTION("""COMPUTED_VALUE"""),"CANCELLED")</f>
        <v>CANCELLED</v>
      </c>
      <c r="U1496" s="1"/>
      <c r="V1496" s="1"/>
      <c r="W1496" s="1"/>
    </row>
    <row r="1497" customHeight="1" spans="1:23">
      <c r="A1497" s="3">
        <f>IFERROR(__xludf.DUMMYFUNCTION("""COMPUTED_VALUE"""),46148)</f>
        <v>46148</v>
      </c>
      <c r="B1497" s="1" t="str">
        <f>IFERROR(__xludf.DUMMYFUNCTION("""COMPUTED_VALUE"""),"DELA ROSA, JENNELYN")</f>
        <v>DELA ROSA, JENNELYN</v>
      </c>
      <c r="C1497" s="1" t="str">
        <f>IFERROR(__xludf.DUMMYFUNCTION("""COMPUTED_VALUE"""),"ORGANIC")</f>
        <v>ORGANIC</v>
      </c>
      <c r="D1497" s="1" t="str">
        <f>IFERROR(__xludf.DUMMYFUNCTION("""COMPUTED_VALUE"""),"ALOS, CHARLS")</f>
        <v>ALOS, CHARLS</v>
      </c>
      <c r="E1497" s="1" t="str">
        <f>IFERROR(__xludf.DUMMYFUNCTION("""COMPUTED_VALUE"""),"PLDT / ONLINE")</f>
        <v>PLDT / ONLINE</v>
      </c>
      <c r="F1497" s="1">
        <f>IFERROR(__xludf.DUMMYFUNCTION("""COMPUTED_VALUE"""),2309331420)</f>
        <v>2309331420</v>
      </c>
      <c r="G1497" s="1">
        <f>IFERROR(__xludf.DUMMYFUNCTION("""COMPUTED_VALUE"""),453548526004)</f>
        <v>453548526004</v>
      </c>
      <c r="H1497" s="1" t="str">
        <f>IFERROR(__xludf.DUMMYFUNCTION("""COMPUTED_VALUE"""),"CLIFFORD JOHN APELADO DELA CRUZ")</f>
        <v>CLIFFORD JOHN APELADO DELA CRUZ</v>
      </c>
      <c r="I1497" s="1">
        <f>IFERROR(__xludf.DUMMYFUNCTION("""COMPUTED_VALUE"""),9054539113)</f>
        <v>9054539113</v>
      </c>
      <c r="J1497" s="1">
        <f>IFERROR(__xludf.DUMMYFUNCTION("""COMPUTED_VALUE"""),9531192916)</f>
        <v>9531192916</v>
      </c>
      <c r="K1497" s="1" t="str">
        <f>IFERROR(__xludf.DUMMYFUNCTION("""COMPUTED_VALUE"""),"FORDDELACRUZ.1995@GMAIL.COM")</f>
        <v>FORDDELACRUZ.1995@GMAIL.COM</v>
      </c>
      <c r="L1497" s="1" t="str">
        <f>IFERROR(__xludf.DUMMYFUNCTION("""COMPUTED_VALUE"""),"BLK 6 LOT 4")</f>
        <v>BLK 6 LOT 4</v>
      </c>
      <c r="M1497" s="1" t="str">
        <f>IFERROR(__xludf.DUMMYFUNCTION("""COMPUTED_VALUE"""),"WARSAW")</f>
        <v>WARSAW</v>
      </c>
      <c r="N1497" s="1" t="str">
        <f>IFERROR(__xludf.DUMMYFUNCTION("""COMPUTED_VALUE"""),"SAN MARINO ")</f>
        <v>SAN MARINO </v>
      </c>
      <c r="O1497" s="1" t="str">
        <f>IFERROR(__xludf.DUMMYFUNCTION("""COMPUTED_VALUE"""),"SALAWAG")</f>
        <v>SALAWAG</v>
      </c>
      <c r="P1497" s="1" t="str">
        <f>IFERROR(__xludf.DUMMYFUNCTION("""COMPUTED_VALUE"""),"DASMARINAS")</f>
        <v>DASMARINAS</v>
      </c>
      <c r="Q1497" s="1" t="str">
        <f>IFERROR(__xludf.DUMMYFUNCTION("""COMPUTED_VALUE"""),"CAVITE")</f>
        <v>CAVITE</v>
      </c>
      <c r="R1497" s="1" t="str">
        <f>IFERROR(__xludf.DUMMYFUNCTION("""COMPUTED_VALUE"""),"FIBR PLAN 1299")</f>
        <v>FIBR PLAN 1299</v>
      </c>
      <c r="S1497" s="1" t="str">
        <f>IFERROR(__xludf.DUMMYFUNCTION("""COMPUTED_VALUE"""),"APPROVED")</f>
        <v>APPROVED</v>
      </c>
      <c r="T1497" s="1" t="str">
        <f>IFERROR(__xludf.DUMMYFUNCTION("""COMPUTED_VALUE"""),"CLOSED")</f>
        <v>CLOSED</v>
      </c>
      <c r="U1497" s="1" t="str">
        <f>IFERROR(__xludf.DUMMYFUNCTION("""COMPUTED_VALUE"""),"POSTED")</f>
        <v>POSTED</v>
      </c>
      <c r="V1497" s="1"/>
      <c r="W1497" s="1"/>
    </row>
    <row r="1498" customHeight="1" spans="1:23">
      <c r="A1498" s="3">
        <f>IFERROR(__xludf.DUMMYFUNCTION("""COMPUTED_VALUE"""),46148)</f>
        <v>46148</v>
      </c>
      <c r="B1498" s="1" t="str">
        <f>IFERROR(__xludf.DUMMYFUNCTION("""COMPUTED_VALUE"""),"FERNANDEZ JERIC")</f>
        <v>FERNANDEZ JERIC</v>
      </c>
      <c r="C1498" s="1" t="str">
        <f>IFERROR(__xludf.DUMMYFUNCTION("""COMPUTED_VALUE"""),"ORGANIC")</f>
        <v>ORGANIC</v>
      </c>
      <c r="D1498" s="1" t="str">
        <f>IFERROR(__xludf.DUMMYFUNCTION("""COMPUTED_VALUE"""),"ALOS, CHARLS")</f>
        <v>ALOS, CHARLS</v>
      </c>
      <c r="E1498" s="1" t="str">
        <f>IFERROR(__xludf.DUMMYFUNCTION("""COMPUTED_VALUE"""),"PLDT / ONLINE")</f>
        <v>PLDT / ONLINE</v>
      </c>
      <c r="F1498" s="1">
        <f>IFERROR(__xludf.DUMMYFUNCTION("""COMPUTED_VALUE"""),2309333288)</f>
        <v>2309333288</v>
      </c>
      <c r="G1498" s="1">
        <f>IFERROR(__xludf.DUMMYFUNCTION("""COMPUTED_VALUE"""),453552386004)</f>
        <v>453552386004</v>
      </c>
      <c r="H1498" s="1" t="str">
        <f>IFERROR(__xludf.DUMMYFUNCTION("""COMPUTED_VALUE"""),"FRITZEL PIMENTEL REYES")</f>
        <v>FRITZEL PIMENTEL REYES</v>
      </c>
      <c r="I1498" s="1">
        <f>IFERROR(__xludf.DUMMYFUNCTION("""COMPUTED_VALUE"""),9850746857)</f>
        <v>9850746857</v>
      </c>
      <c r="J1498" s="1">
        <f>IFERROR(__xludf.DUMMYFUNCTION("""COMPUTED_VALUE"""),9694596441)</f>
        <v>9694596441</v>
      </c>
      <c r="K1498" s="1" t="str">
        <f>IFERROR(__xludf.DUMMYFUNCTION("""COMPUTED_VALUE"""),"FRITZELPIMENTEL@GMAIL.COM")</f>
        <v>FRITZELPIMENTEL@GMAIL.COM</v>
      </c>
      <c r="L1498" s="1" t="str">
        <f>IFERROR(__xludf.DUMMYFUNCTION("""COMPUTED_VALUE"""),"BLK 20 LOT 10")</f>
        <v>BLK 20 LOT 10</v>
      </c>
      <c r="M1498" s="1" t="str">
        <f>IFERROR(__xludf.DUMMYFUNCTION("""COMPUTED_VALUE"""),"JERUSALEM")</f>
        <v>JERUSALEM</v>
      </c>
      <c r="N1498" s="1" t="str">
        <f>IFERROR(__xludf.DUMMYFUNCTION("""COMPUTED_VALUE"""),"SUMMERWIND")</f>
        <v>SUMMERWIND</v>
      </c>
      <c r="O1498" s="1" t="str">
        <f>IFERROR(__xludf.DUMMYFUNCTION("""COMPUTED_VALUE"""),"BUROL")</f>
        <v>BUROL</v>
      </c>
      <c r="P1498" s="1" t="str">
        <f>IFERROR(__xludf.DUMMYFUNCTION("""COMPUTED_VALUE"""),"DASMARINAS")</f>
        <v>DASMARINAS</v>
      </c>
      <c r="Q1498" s="1" t="str">
        <f>IFERROR(__xludf.DUMMYFUNCTION("""COMPUTED_VALUE"""),"CAVITE")</f>
        <v>CAVITE</v>
      </c>
      <c r="R1498" s="1" t="str">
        <f>IFERROR(__xludf.DUMMYFUNCTION("""COMPUTED_VALUE"""),"FIBR UNLI ALL PLAN 1399")</f>
        <v>FIBR UNLI ALL PLAN 1399</v>
      </c>
      <c r="S1498" s="1" t="str">
        <f>IFERROR(__xludf.DUMMYFUNCTION("""COMPUTED_VALUE"""),"APPROVED")</f>
        <v>APPROVED</v>
      </c>
      <c r="T1498" s="1" t="str">
        <f>IFERROR(__xludf.DUMMYFUNCTION("""COMPUTED_VALUE"""),"CLOSED")</f>
        <v>CLOSED</v>
      </c>
      <c r="U1498" s="1" t="str">
        <f>IFERROR(__xludf.DUMMYFUNCTION("""COMPUTED_VALUE"""),"POSTED")</f>
        <v>POSTED</v>
      </c>
      <c r="V1498" s="1"/>
      <c r="W1498" s="1"/>
    </row>
    <row r="1499" customHeight="1" spans="1:23">
      <c r="A1499" s="3">
        <f>IFERROR(__xludf.DUMMYFUNCTION("""COMPUTED_VALUE"""),46148)</f>
        <v>46148</v>
      </c>
      <c r="B1499" s="1" t="str">
        <f>IFERROR(__xludf.DUMMYFUNCTION("""COMPUTED_VALUE"""),"MALIWAT MARK ELVIN")</f>
        <v>MALIWAT MARK ELVIN</v>
      </c>
      <c r="C1499" s="1" t="str">
        <f>IFERROR(__xludf.DUMMYFUNCTION("""COMPUTED_VALUE"""),"FLA")</f>
        <v>FLA</v>
      </c>
      <c r="D1499" s="1" t="str">
        <f>IFERROR(__xludf.DUMMYFUNCTION("""COMPUTED_VALUE"""),"JERIC NAVARRO")</f>
        <v>JERIC NAVARRO</v>
      </c>
      <c r="E1499" s="1" t="str">
        <f>IFERROR(__xludf.DUMMYFUNCTION("""COMPUTED_VALUE"""),"PLDT / H2H")</f>
        <v>PLDT / H2H</v>
      </c>
      <c r="F1499" s="1">
        <f>IFERROR(__xludf.DUMMYFUNCTION("""COMPUTED_VALUE"""),2309334578)</f>
        <v>2309334578</v>
      </c>
      <c r="G1499" s="1">
        <f>IFERROR(__xludf.DUMMYFUNCTION("""COMPUTED_VALUE"""),453558488004)</f>
        <v>453558488004</v>
      </c>
      <c r="H1499" s="1" t="str">
        <f>IFERROR(__xludf.DUMMYFUNCTION("""COMPUTED_VALUE"""),"MARITES AVILA SINAG")</f>
        <v>MARITES AVILA SINAG</v>
      </c>
      <c r="I1499" s="1">
        <f>IFERROR(__xludf.DUMMYFUNCTION("""COMPUTED_VALUE"""),9752210342)</f>
        <v>9752210342</v>
      </c>
      <c r="J1499" s="1">
        <f>IFERROR(__xludf.DUMMYFUNCTION("""COMPUTED_VALUE"""),9099302783)</f>
        <v>9099302783</v>
      </c>
      <c r="K1499" s="1" t="str">
        <f>IFERROR(__xludf.DUMMYFUNCTION("""COMPUTED_VALUE"""),"MARVINRAE19@GMAIL.COM")</f>
        <v>MARVINRAE19@GMAIL.COM</v>
      </c>
      <c r="L1499" s="1" t="str">
        <f>IFERROR(__xludf.DUMMYFUNCTION("""COMPUTED_VALUE"""),"165")</f>
        <v>165</v>
      </c>
      <c r="M1499" s="1" t="str">
        <f>IFERROR(__xludf.DUMMYFUNCTION("""COMPUTED_VALUE"""),"PUROK 43")</f>
        <v>PUROK 43</v>
      </c>
      <c r="N1499" s="1"/>
      <c r="O1499" s="1" t="str">
        <f>IFERROR(__xludf.DUMMYFUNCTION("""COMPUTED_VALUE"""),"IRUHIN SOUTH")</f>
        <v>IRUHIN SOUTH</v>
      </c>
      <c r="P1499" s="1" t="str">
        <f>IFERROR(__xludf.DUMMYFUNCTION("""COMPUTED_VALUE"""),"TAGAYTAY")</f>
        <v>TAGAYTAY</v>
      </c>
      <c r="Q1499" s="1" t="str">
        <f>IFERROR(__xludf.DUMMYFUNCTION("""COMPUTED_VALUE"""),"CAVITE")</f>
        <v>CAVITE</v>
      </c>
      <c r="R1499" s="1" t="str">
        <f>IFERROR(__xludf.DUMMYFUNCTION("""COMPUTED_VALUE"""),"FIBR PLAN 1299")</f>
        <v>FIBR PLAN 1299</v>
      </c>
      <c r="S1499" s="1" t="str">
        <f>IFERROR(__xludf.DUMMYFUNCTION("""COMPUTED_VALUE"""),"APPROVED")</f>
        <v>APPROVED</v>
      </c>
      <c r="T1499" s="1" t="str">
        <f>IFERROR(__xludf.DUMMYFUNCTION("""COMPUTED_VALUE"""),"CLOSED")</f>
        <v>CLOSED</v>
      </c>
      <c r="U1499" s="1" t="str">
        <f>IFERROR(__xludf.DUMMYFUNCTION("""COMPUTED_VALUE"""),"POSTED")</f>
        <v>POSTED</v>
      </c>
      <c r="V1499" s="1"/>
      <c r="W1499" s="1"/>
    </row>
    <row r="1500" customHeight="1" spans="1:23">
      <c r="A1500" s="3">
        <f>IFERROR(__xludf.DUMMYFUNCTION("""COMPUTED_VALUE"""),46148)</f>
        <v>46148</v>
      </c>
      <c r="B1500" s="1" t="str">
        <f>IFERROR(__xludf.DUMMYFUNCTION("""COMPUTED_VALUE"""),"RIVERA, AIRIZH JOY")</f>
        <v>RIVERA, AIRIZH JOY</v>
      </c>
      <c r="C1500" s="1" t="str">
        <f>IFERROR(__xludf.DUMMYFUNCTION("""COMPUTED_VALUE"""),"ORGANIC")</f>
        <v>ORGANIC</v>
      </c>
      <c r="D1500" s="1" t="str">
        <f>IFERROR(__xludf.DUMMYFUNCTION("""COMPUTED_VALUE"""),"ALOS, CHARLS")</f>
        <v>ALOS, CHARLS</v>
      </c>
      <c r="E1500" s="1" t="str">
        <f>IFERROR(__xludf.DUMMYFUNCTION("""COMPUTED_VALUE"""),"PLDT / H2H")</f>
        <v>PLDT / H2H</v>
      </c>
      <c r="F1500" s="1">
        <f>IFERROR(__xludf.DUMMYFUNCTION("""COMPUTED_VALUE"""),2309335115)</f>
        <v>2309335115</v>
      </c>
      <c r="G1500" s="1">
        <f>IFERROR(__xludf.DUMMYFUNCTION("""COMPUTED_VALUE"""),453552390004)</f>
        <v>453552390004</v>
      </c>
      <c r="H1500" s="1" t="str">
        <f>IFERROR(__xludf.DUMMYFUNCTION("""COMPUTED_VALUE"""),"ARNEL BUTAYA AMANCIO")</f>
        <v>ARNEL BUTAYA AMANCIO</v>
      </c>
      <c r="I1500" s="1">
        <f>IFERROR(__xludf.DUMMYFUNCTION("""COMPUTED_VALUE"""),9166889120)</f>
        <v>9166889120</v>
      </c>
      <c r="J1500" s="1"/>
      <c r="K1500" s="1" t="str">
        <f>IFERROR(__xludf.DUMMYFUNCTION("""COMPUTED_VALUE"""),"ARNEL4093@GMAIL.COM")</f>
        <v>ARNEL4093@GMAIL.COM</v>
      </c>
      <c r="L1500" s="1" t="str">
        <f>IFERROR(__xludf.DUMMYFUNCTION("""COMPUTED_VALUE"""),"29")</f>
        <v>29</v>
      </c>
      <c r="M1500" s="1" t="str">
        <f>IFERROR(__xludf.DUMMYFUNCTION("""COMPUTED_VALUE"""),"DEL PILAR")</f>
        <v>DEL PILAR</v>
      </c>
      <c r="N1500" s="1"/>
      <c r="O1500" s="1" t="str">
        <f>IFERROR(__xludf.DUMMYFUNCTION("""COMPUTED_VALUE"""),"SAN VICENTE I")</f>
        <v>SAN VICENTE I</v>
      </c>
      <c r="P1500" s="1" t="str">
        <f>IFERROR(__xludf.DUMMYFUNCTION("""COMPUTED_VALUE"""),"SILANG")</f>
        <v>SILANG</v>
      </c>
      <c r="Q1500" s="1" t="str">
        <f>IFERROR(__xludf.DUMMYFUNCTION("""COMPUTED_VALUE"""),"CAVITE")</f>
        <v>CAVITE</v>
      </c>
      <c r="R1500" s="1" t="str">
        <f>IFERROR(__xludf.DUMMYFUNCTION("""COMPUTED_VALUE"""),"FIBR UNLI ALL PLAN 1399")</f>
        <v>FIBR UNLI ALL PLAN 1399</v>
      </c>
      <c r="S1500" s="1" t="str">
        <f>IFERROR(__xludf.DUMMYFUNCTION("""COMPUTED_VALUE"""),"APPROVED")</f>
        <v>APPROVED</v>
      </c>
      <c r="T1500" s="1" t="str">
        <f>IFERROR(__xludf.DUMMYFUNCTION("""COMPUTED_VALUE"""),"CLOSED")</f>
        <v>CLOSED</v>
      </c>
      <c r="U1500" s="1" t="str">
        <f>IFERROR(__xludf.DUMMYFUNCTION("""COMPUTED_VALUE"""),"POSTED")</f>
        <v>POSTED</v>
      </c>
      <c r="V1500" s="1"/>
      <c r="W1500" s="1"/>
    </row>
    <row r="1501" customHeight="1" spans="1:23">
      <c r="A1501" s="3">
        <f>IFERROR(__xludf.DUMMYFUNCTION("""COMPUTED_VALUE"""),46148)</f>
        <v>46148</v>
      </c>
      <c r="B1501" s="1" t="str">
        <f>IFERROR(__xludf.DUMMYFUNCTION("""COMPUTED_VALUE"""),"ESCARCHA, MA ALMA  ESCOTO")</f>
        <v>ESCARCHA, MA ALMA  ESCOTO</v>
      </c>
      <c r="C1501" s="1" t="str">
        <f>IFERROR(__xludf.DUMMYFUNCTION("""COMPUTED_VALUE"""),"ORGANIC")</f>
        <v>ORGANIC</v>
      </c>
      <c r="D1501" s="1" t="str">
        <f>IFERROR(__xludf.DUMMYFUNCTION("""COMPUTED_VALUE"""),"ALINGARO, CINDY")</f>
        <v>ALINGARO, CINDY</v>
      </c>
      <c r="E1501" s="1" t="str">
        <f>IFERROR(__xludf.DUMMYFUNCTION("""COMPUTED_VALUE"""),"PLDT / H2H")</f>
        <v>PLDT / H2H</v>
      </c>
      <c r="F1501" s="1">
        <f>IFERROR(__xludf.DUMMYFUNCTION("""COMPUTED_VALUE"""),2309335300)</f>
        <v>2309335300</v>
      </c>
      <c r="G1501" s="1">
        <f>IFERROR(__xludf.DUMMYFUNCTION("""COMPUTED_VALUE"""),453558352004)</f>
        <v>453558352004</v>
      </c>
      <c r="H1501" s="1" t="str">
        <f>IFERROR(__xludf.DUMMYFUNCTION("""COMPUTED_VALUE"""),"RYAN PRESILDA HUGO")</f>
        <v>RYAN PRESILDA HUGO</v>
      </c>
      <c r="I1501" s="1">
        <f>IFERROR(__xludf.DUMMYFUNCTION("""COMPUTED_VALUE"""),9496138305)</f>
        <v>9496138305</v>
      </c>
      <c r="J1501" s="1"/>
      <c r="K1501" s="1" t="str">
        <f>IFERROR(__xludf.DUMMYFUNCTION("""COMPUTED_VALUE"""),"RHUGO405@GMAIL.COM")</f>
        <v>RHUGO405@GMAIL.COM</v>
      </c>
      <c r="L1501" s="1" t="str">
        <f>IFERROR(__xludf.DUMMYFUNCTION("""COMPUTED_VALUE"""),"284")</f>
        <v>284</v>
      </c>
      <c r="M1501" s="1" t="str">
        <f>IFERROR(__xludf.DUMMYFUNCTION("""COMPUTED_VALUE"""),"PUROK 11")</f>
        <v>PUROK 11</v>
      </c>
      <c r="N1501" s="1"/>
      <c r="O1501" s="1" t="str">
        <f>IFERROR(__xludf.DUMMYFUNCTION("""COMPUTED_VALUE"""),"BIGA II")</f>
        <v>BIGA II</v>
      </c>
      <c r="P1501" s="1" t="str">
        <f>IFERROR(__xludf.DUMMYFUNCTION("""COMPUTED_VALUE"""),"SILANG")</f>
        <v>SILANG</v>
      </c>
      <c r="Q1501" s="1" t="str">
        <f>IFERROR(__xludf.DUMMYFUNCTION("""COMPUTED_VALUE"""),"CAVITE")</f>
        <v>CAVITE</v>
      </c>
      <c r="R1501" s="1" t="str">
        <f>IFERROR(__xludf.DUMMYFUNCTION("""COMPUTED_VALUE"""),"FIBR UNLI ALL PLAN 1399")</f>
        <v>FIBR UNLI ALL PLAN 1399</v>
      </c>
      <c r="S1501" s="1" t="str">
        <f>IFERROR(__xludf.DUMMYFUNCTION("""COMPUTED_VALUE"""),"APPROVED")</f>
        <v>APPROVED</v>
      </c>
      <c r="T1501" s="1" t="str">
        <f>IFERROR(__xludf.DUMMYFUNCTION("""COMPUTED_VALUE"""),"CLOSED")</f>
        <v>CLOSED</v>
      </c>
      <c r="U1501" s="1" t="str">
        <f>IFERROR(__xludf.DUMMYFUNCTION("""COMPUTED_VALUE"""),"POSTED")</f>
        <v>POSTED</v>
      </c>
      <c r="V1501" s="1"/>
      <c r="W1501" s="1"/>
    </row>
    <row r="1502" customHeight="1" spans="1:23">
      <c r="A1502" s="3">
        <f>IFERROR(__xludf.DUMMYFUNCTION("""COMPUTED_VALUE"""),46148)</f>
        <v>46148</v>
      </c>
      <c r="B1502" s="1" t="str">
        <f>IFERROR(__xludf.DUMMYFUNCTION("""COMPUTED_VALUE"""),"NAVARRO, JERIC")</f>
        <v>NAVARRO, JERIC</v>
      </c>
      <c r="C1502" s="1" t="str">
        <f>IFERROR(__xludf.DUMMYFUNCTION("""COMPUTED_VALUE"""),"FLA")</f>
        <v>FLA</v>
      </c>
      <c r="D1502" s="1" t="str">
        <f>IFERROR(__xludf.DUMMYFUNCTION("""COMPUTED_VALUE"""),"JERIC NAVARRO")</f>
        <v>JERIC NAVARRO</v>
      </c>
      <c r="E1502" s="1" t="str">
        <f>IFERROR(__xludf.DUMMYFUNCTION("""COMPUTED_VALUE"""),"PLDT / H2H")</f>
        <v>PLDT / H2H</v>
      </c>
      <c r="F1502" s="1">
        <f>IFERROR(__xludf.DUMMYFUNCTION("""COMPUTED_VALUE"""),2309353519)</f>
        <v>2309353519</v>
      </c>
      <c r="G1502" s="1">
        <f>IFERROR(__xludf.DUMMYFUNCTION("""COMPUTED_VALUE"""),453655787004)</f>
        <v>453655787004</v>
      </c>
      <c r="H1502" s="1" t="str">
        <f>IFERROR(__xludf.DUMMYFUNCTION("""COMPUTED_VALUE"""),"ANILYN SALVATIERA FRITZ")</f>
        <v>ANILYN SALVATIERA FRITZ</v>
      </c>
      <c r="I1502" s="1">
        <f>IFERROR(__xludf.DUMMYFUNCTION("""COMPUTED_VALUE"""),9175758155)</f>
        <v>9175758155</v>
      </c>
      <c r="J1502" s="1"/>
      <c r="K1502" s="1" t="str">
        <f>IFERROR(__xludf.DUMMYFUNCTION("""COMPUTED_VALUE"""),"ANILYNFRITZ@ICLOUD.COM")</f>
        <v>ANILYNFRITZ@ICLOUD.COM</v>
      </c>
      <c r="L1502" s="1" t="str">
        <f>IFERROR(__xludf.DUMMYFUNCTION("""COMPUTED_VALUE"""),"80")</f>
        <v>80</v>
      </c>
      <c r="M1502" s="1" t="str">
        <f>IFERROR(__xludf.DUMMYFUNCTION("""COMPUTED_VALUE"""),"PASONG MATANDA")</f>
        <v>PASONG MATANDA</v>
      </c>
      <c r="N1502" s="1"/>
      <c r="O1502" s="1" t="str">
        <f>IFERROR(__xludf.DUMMYFUNCTION("""COMPUTED_VALUE"""),"BARANGAY 5 (POB.)")</f>
        <v>BARANGAY 5 (POB.)</v>
      </c>
      <c r="P1502" s="1" t="str">
        <f>IFERROR(__xludf.DUMMYFUNCTION("""COMPUTED_VALUE"""),"AMADEO")</f>
        <v>AMADEO</v>
      </c>
      <c r="Q1502" s="1" t="str">
        <f>IFERROR(__xludf.DUMMYFUNCTION("""COMPUTED_VALUE"""),"CAVITE")</f>
        <v>CAVITE</v>
      </c>
      <c r="R1502" s="1" t="str">
        <f>IFERROR(__xludf.DUMMYFUNCTION("""COMPUTED_VALUE"""),"FIBR UNLI ALL PLAN 1399")</f>
        <v>FIBR UNLI ALL PLAN 1399</v>
      </c>
      <c r="S1502" s="1" t="str">
        <f>IFERROR(__xludf.DUMMYFUNCTION("""COMPUTED_VALUE"""),"APPROVED")</f>
        <v>APPROVED</v>
      </c>
      <c r="T1502" s="1" t="str">
        <f>IFERROR(__xludf.DUMMYFUNCTION("""COMPUTED_VALUE"""),"CLOSED")</f>
        <v>CLOSED</v>
      </c>
      <c r="U1502" s="1" t="str">
        <f>IFERROR(__xludf.DUMMYFUNCTION("""COMPUTED_VALUE"""),"POSTED")</f>
        <v>POSTED</v>
      </c>
      <c r="V1502" s="1"/>
      <c r="W1502" s="1"/>
    </row>
    <row r="1503" customHeight="1" spans="1:23">
      <c r="A1503" s="3">
        <f>IFERROR(__xludf.DUMMYFUNCTION("""COMPUTED_VALUE"""),46148)</f>
        <v>46148</v>
      </c>
      <c r="B1503" s="1" t="str">
        <f>IFERROR(__xludf.DUMMYFUNCTION("""COMPUTED_VALUE"""),"AYON MANUEL")</f>
        <v>AYON MANUEL</v>
      </c>
      <c r="C1503" s="1" t="str">
        <f>IFERROR(__xludf.DUMMYFUNCTION("""COMPUTED_VALUE"""),"FLA")</f>
        <v>FLA</v>
      </c>
      <c r="D1503" s="1" t="str">
        <f>IFERROR(__xludf.DUMMYFUNCTION("""COMPUTED_VALUE"""),"JERIC NAVARRO")</f>
        <v>JERIC NAVARRO</v>
      </c>
      <c r="E1503" s="1" t="str">
        <f>IFERROR(__xludf.DUMMYFUNCTION("""COMPUTED_VALUE"""),"PLDT / H2H")</f>
        <v>PLDT / H2H</v>
      </c>
      <c r="F1503" s="1">
        <f>IFERROR(__xludf.DUMMYFUNCTION("""COMPUTED_VALUE"""),2309633796)</f>
        <v>2309633796</v>
      </c>
      <c r="G1503" s="1">
        <f>IFERROR(__xludf.DUMMYFUNCTION("""COMPUTED_VALUE"""),455567489004)</f>
        <v>455567489004</v>
      </c>
      <c r="H1503" s="1" t="str">
        <f>IFERROR(__xludf.DUMMYFUNCTION("""COMPUTED_VALUE"""),"DANIEL LUIS ESPANOL CABUENOS")</f>
        <v>DANIEL LUIS ESPANOL CABUENOS</v>
      </c>
      <c r="I1503" s="1">
        <f>IFERROR(__xludf.DUMMYFUNCTION("""COMPUTED_VALUE"""),9162208214)</f>
        <v>9162208214</v>
      </c>
      <c r="J1503" s="1">
        <f>IFERROR(__xludf.DUMMYFUNCTION("""COMPUTED_VALUE"""),9162208213)</f>
        <v>9162208213</v>
      </c>
      <c r="K1503" s="1" t="str">
        <f>IFERROR(__xludf.DUMMYFUNCTION("""COMPUTED_VALUE"""),"DANIELCABUENOS@GMAIL.COM")</f>
        <v>DANIELCABUENOS@GMAIL.COM</v>
      </c>
      <c r="L1503" s="1" t="str">
        <f>IFERROR(__xludf.DUMMYFUNCTION("""COMPUTED_VALUE"""),"BLK 1 LOT 14")</f>
        <v>BLK 1 LOT 14</v>
      </c>
      <c r="M1503" s="1" t="str">
        <f>IFERROR(__xludf.DUMMYFUNCTION("""COMPUTED_VALUE"""),"PHASE 1B")</f>
        <v>PHASE 1B</v>
      </c>
      <c r="N1503" s="1" t="str">
        <f>IFERROR(__xludf.DUMMYFUNCTION("""COMPUTED_VALUE"""),"SOLEA FARM")</f>
        <v>SOLEA FARM</v>
      </c>
      <c r="O1503" s="1" t="str">
        <f>IFERROR(__xludf.DUMMYFUNCTION("""COMPUTED_VALUE"""),"PALOCPOC I")</f>
        <v>PALOCPOC I</v>
      </c>
      <c r="P1503" s="1" t="str">
        <f>IFERROR(__xludf.DUMMYFUNCTION("""COMPUTED_VALUE"""),"MENDEZ")</f>
        <v>MENDEZ</v>
      </c>
      <c r="Q1503" s="1" t="str">
        <f>IFERROR(__xludf.DUMMYFUNCTION("""COMPUTED_VALUE"""),"CAVITE")</f>
        <v>CAVITE</v>
      </c>
      <c r="R1503" s="1" t="str">
        <f>IFERROR(__xludf.DUMMYFUNCTION("""COMPUTED_VALUE"""),"FIBR PLAN 1299")</f>
        <v>FIBR PLAN 1299</v>
      </c>
      <c r="S1503" s="1" t="str">
        <f>IFERROR(__xludf.DUMMYFUNCTION("""COMPUTED_VALUE"""),"APPROVED")</f>
        <v>APPROVED</v>
      </c>
      <c r="T1503" s="1" t="str">
        <f>IFERROR(__xludf.DUMMYFUNCTION("""COMPUTED_VALUE"""),"CLOSED")</f>
        <v>CLOSED</v>
      </c>
      <c r="U1503" s="1" t="str">
        <f>IFERROR(__xludf.DUMMYFUNCTION("""COMPUTED_VALUE"""),"POSTED")</f>
        <v>POSTED</v>
      </c>
      <c r="V1503" s="1"/>
      <c r="W1503" s="1"/>
    </row>
    <row r="1504" customHeight="1" spans="1:23">
      <c r="A1504" s="3">
        <f>IFERROR(__xludf.DUMMYFUNCTION("""COMPUTED_VALUE"""),46148)</f>
        <v>46148</v>
      </c>
      <c r="B1504" s="1" t="str">
        <f>IFERROR(__xludf.DUMMYFUNCTION("""COMPUTED_VALUE"""),"ADVINCULA, NICOLE")</f>
        <v>ADVINCULA, NICOLE</v>
      </c>
      <c r="C1504" s="1" t="str">
        <f>IFERROR(__xludf.DUMMYFUNCTION("""COMPUTED_VALUE"""),"ORGANIC")</f>
        <v>ORGANIC</v>
      </c>
      <c r="D1504" s="1" t="str">
        <f>IFERROR(__xludf.DUMMYFUNCTION("""COMPUTED_VALUE"""),"ALINGARO, CINDY")</f>
        <v>ALINGARO, CINDY</v>
      </c>
      <c r="E1504" s="1" t="str">
        <f>IFERROR(__xludf.DUMMYFUNCTION("""COMPUTED_VALUE"""),"PLDT / H2H")</f>
        <v>PLDT / H2H</v>
      </c>
      <c r="F1504" s="1"/>
      <c r="G1504" s="1"/>
      <c r="H1504" s="1" t="str">
        <f>IFERROR(__xludf.DUMMYFUNCTION("""COMPUTED_VALUE"""),"MARKO JOHANNE MATTOE")</f>
        <v>MARKO JOHANNE MATTOE</v>
      </c>
      <c r="I1504" s="1">
        <f>IFERROR(__xludf.DUMMYFUNCTION("""COMPUTED_VALUE"""),9662432260)</f>
        <v>9662432260</v>
      </c>
      <c r="J1504" s="1"/>
      <c r="K1504" s="1" t="str">
        <f>IFERROR(__xludf.DUMMYFUNCTION("""COMPUTED_VALUE"""),"PARIVALJAKONTIE@GMAIL.COM")</f>
        <v>PARIVALJAKONTIE@GMAIL.COM</v>
      </c>
      <c r="L1504" s="1" t="str">
        <f>IFERROR(__xludf.DUMMYFUNCTION("""COMPUTED_VALUE"""),"9788")</f>
        <v>9788</v>
      </c>
      <c r="M1504" s="1" t="str">
        <f>IFERROR(__xludf.DUMMYFUNCTION("""COMPUTED_VALUE"""),"PUROK 6")</f>
        <v>PUROK 6</v>
      </c>
      <c r="N1504" s="1"/>
      <c r="O1504" s="1" t="str">
        <f>IFERROR(__xludf.DUMMYFUNCTION("""COMPUTED_VALUE"""),"LUCSUHIN")</f>
        <v>LUCSUHIN</v>
      </c>
      <c r="P1504" s="1" t="str">
        <f>IFERROR(__xludf.DUMMYFUNCTION("""COMPUTED_VALUE"""),"SILANG")</f>
        <v>SILANG</v>
      </c>
      <c r="Q1504" s="1" t="str">
        <f>IFERROR(__xludf.DUMMYFUNCTION("""COMPUTED_VALUE"""),"CAVITE")</f>
        <v>CAVITE</v>
      </c>
      <c r="R1504" s="1" t="str">
        <f>IFERROR(__xludf.DUMMYFUNCTION("""COMPUTED_VALUE"""),"FIBR PLAN 1299")</f>
        <v>FIBR PLAN 1299</v>
      </c>
      <c r="S1504" s="1" t="str">
        <f>IFERROR(__xludf.DUMMYFUNCTION("""COMPUTED_VALUE"""),"CANCELLED ")</f>
        <v>CANCELLED </v>
      </c>
      <c r="T1504" s="1" t="str">
        <f>IFERROR(__xludf.DUMMYFUNCTION("""COMPUTED_VALUE"""),"#N/A")</f>
        <v>#N/A</v>
      </c>
      <c r="U1504" s="1"/>
      <c r="V1504" s="1"/>
      <c r="W1504" s="1"/>
    </row>
    <row r="1505" customHeight="1" spans="1:23">
      <c r="A1505" s="3">
        <f>IFERROR(__xludf.DUMMYFUNCTION("""COMPUTED_VALUE"""),46148)</f>
        <v>46148</v>
      </c>
      <c r="B1505" s="1" t="str">
        <f>IFERROR(__xludf.DUMMYFUNCTION("""COMPUTED_VALUE"""),"ALANO, RAIN")</f>
        <v>ALANO, RAIN</v>
      </c>
      <c r="C1505" s="1" t="str">
        <f>IFERROR(__xludf.DUMMYFUNCTION("""COMPUTED_VALUE"""),"ORGANIC")</f>
        <v>ORGANIC</v>
      </c>
      <c r="D1505" s="1" t="str">
        <f>IFERROR(__xludf.DUMMYFUNCTION("""COMPUTED_VALUE"""),"REMOLLO LEA")</f>
        <v>REMOLLO LEA</v>
      </c>
      <c r="E1505" s="1" t="str">
        <f>IFERROR(__xludf.DUMMYFUNCTION("""COMPUTED_VALUE"""),"PLDT / H2H")</f>
        <v>PLDT / H2H</v>
      </c>
      <c r="F1505" s="1">
        <f>IFERROR(__xludf.DUMMYFUNCTION("""COMPUTED_VALUE"""),2309338819)</f>
        <v>2309338819</v>
      </c>
      <c r="G1505" s="1">
        <f>IFERROR(__xludf.DUMMYFUNCTION("""COMPUTED_VALUE"""),453558418004)</f>
        <v>453558418004</v>
      </c>
      <c r="H1505" s="1" t="str">
        <f>IFERROR(__xludf.DUMMYFUNCTION("""COMPUTED_VALUE"""),"JEFFREY FHIL HERNAN MARJES")</f>
        <v>JEFFREY FHIL HERNAN MARJES</v>
      </c>
      <c r="I1505" s="1">
        <f>IFERROR(__xludf.DUMMYFUNCTION("""COMPUTED_VALUE"""),9632729035)</f>
        <v>9632729035</v>
      </c>
      <c r="J1505" s="1"/>
      <c r="K1505" s="1" t="str">
        <f>IFERROR(__xludf.DUMMYFUNCTION("""COMPUTED_VALUE"""),"EVOLLMASHER21@GMAIL.COM")</f>
        <v>EVOLLMASHER21@GMAIL.COM</v>
      </c>
      <c r="L1505" s="1" t="str">
        <f>IFERROR(__xludf.DUMMYFUNCTION("""COMPUTED_VALUE"""),"793")</f>
        <v>793</v>
      </c>
      <c r="M1505" s="1" t="str">
        <f>IFERROR(__xludf.DUMMYFUNCTION("""COMPUTED_VALUE"""),"PUROK 138")</f>
        <v>PUROK 138</v>
      </c>
      <c r="N1505" s="1"/>
      <c r="O1505" s="1" t="str">
        <f>IFERROR(__xludf.DUMMYFUNCTION("""COMPUTED_VALUE"""),"NEOGAN")</f>
        <v>NEOGAN</v>
      </c>
      <c r="P1505" s="1" t="str">
        <f>IFERROR(__xludf.DUMMYFUNCTION("""COMPUTED_VALUE"""),"TAGAYTAY")</f>
        <v>TAGAYTAY</v>
      </c>
      <c r="Q1505" s="1" t="str">
        <f>IFERROR(__xludf.DUMMYFUNCTION("""COMPUTED_VALUE"""),"CAVITE")</f>
        <v>CAVITE</v>
      </c>
      <c r="R1505" s="1" t="str">
        <f>IFERROR(__xludf.DUMMYFUNCTION("""COMPUTED_VALUE"""),"PREPAID FIBER UNLI")</f>
        <v>PREPAID FIBER UNLI</v>
      </c>
      <c r="S1505" s="1" t="str">
        <f>IFERROR(__xludf.DUMMYFUNCTION("""COMPUTED_VALUE"""),"APPROVED")</f>
        <v>APPROVED</v>
      </c>
      <c r="T1505" s="1" t="str">
        <f>IFERROR(__xludf.DUMMYFUNCTION("""COMPUTED_VALUE"""),"CLOSED")</f>
        <v>CLOSED</v>
      </c>
      <c r="U1505" s="1" t="str">
        <f>IFERROR(__xludf.DUMMYFUNCTION("""COMPUTED_VALUE"""),"POSTED")</f>
        <v>POSTED</v>
      </c>
      <c r="V1505" s="1"/>
      <c r="W1505" s="1"/>
    </row>
    <row r="1506" customHeight="1" spans="1:23">
      <c r="A1506" s="3">
        <f>IFERROR(__xludf.DUMMYFUNCTION("""COMPUTED_VALUE"""),46148)</f>
        <v>46148</v>
      </c>
      <c r="B1506" s="1" t="str">
        <f>IFERROR(__xludf.DUMMYFUNCTION("""COMPUTED_VALUE"""),"FRANCISCO , ROSELYN")</f>
        <v>FRANCISCO , ROSELYN</v>
      </c>
      <c r="C1506" s="1" t="str">
        <f>IFERROR(__xludf.DUMMYFUNCTION("""COMPUTED_VALUE"""),"ORGANIC")</f>
        <v>ORGANIC</v>
      </c>
      <c r="D1506" s="1" t="str">
        <f>IFERROR(__xludf.DUMMYFUNCTION("""COMPUTED_VALUE"""),"ALOS, CHARLS")</f>
        <v>ALOS, CHARLS</v>
      </c>
      <c r="E1506" s="1" t="str">
        <f>IFERROR(__xludf.DUMMYFUNCTION("""COMPUTED_VALUE"""),"PLDT / H2H")</f>
        <v>PLDT / H2H</v>
      </c>
      <c r="F1506" s="1">
        <f>IFERROR(__xludf.DUMMYFUNCTION("""COMPUTED_VALUE"""),2309339495)</f>
        <v>2309339495</v>
      </c>
      <c r="G1506" s="1">
        <f>IFERROR(__xludf.DUMMYFUNCTION("""COMPUTED_VALUE"""),453560186004)</f>
        <v>453560186004</v>
      </c>
      <c r="H1506" s="1" t="str">
        <f>IFERROR(__xludf.DUMMYFUNCTION("""COMPUTED_VALUE"""),"ROMEO GONZALES VILLANUEVA")</f>
        <v>ROMEO GONZALES VILLANUEVA</v>
      </c>
      <c r="I1506" s="1">
        <f>IFERROR(__xludf.DUMMYFUNCTION("""COMPUTED_VALUE"""),9311415750)</f>
        <v>9311415750</v>
      </c>
      <c r="J1506" s="1">
        <f>IFERROR(__xludf.DUMMYFUNCTION("""COMPUTED_VALUE"""),9623883173)</f>
        <v>9623883173</v>
      </c>
      <c r="K1506" s="1" t="str">
        <f>IFERROR(__xludf.DUMMYFUNCTION("""COMPUTED_VALUE"""),"GRAYSON981102@GMAIL.COM")</f>
        <v>GRAYSON981102@GMAIL.COM</v>
      </c>
      <c r="L1506" s="1" t="str">
        <f>IFERROR(__xludf.DUMMYFUNCTION("""COMPUTED_VALUE"""),"994")</f>
        <v>994</v>
      </c>
      <c r="M1506" s="1" t="str">
        <f>IFERROR(__xludf.DUMMYFUNCTION("""COMPUTED_VALUE"""),"PUROK 138")</f>
        <v>PUROK 138</v>
      </c>
      <c r="N1506" s="1"/>
      <c r="O1506" s="1" t="str">
        <f>IFERROR(__xludf.DUMMYFUNCTION("""COMPUTED_VALUE"""),"NEOGAN")</f>
        <v>NEOGAN</v>
      </c>
      <c r="P1506" s="1" t="str">
        <f>IFERROR(__xludf.DUMMYFUNCTION("""COMPUTED_VALUE"""),"TAGAYTAY")</f>
        <v>TAGAYTAY</v>
      </c>
      <c r="Q1506" s="1" t="str">
        <f>IFERROR(__xludf.DUMMYFUNCTION("""COMPUTED_VALUE"""),"CAVITE")</f>
        <v>CAVITE</v>
      </c>
      <c r="R1506" s="1" t="str">
        <f>IFERROR(__xludf.DUMMYFUNCTION("""COMPUTED_VALUE"""),"FIBR UNLI ALL PLAN 999")</f>
        <v>FIBR UNLI ALL PLAN 999</v>
      </c>
      <c r="S1506" s="1" t="str">
        <f>IFERROR(__xludf.DUMMYFUNCTION("""COMPUTED_VALUE"""),"APPROVED")</f>
        <v>APPROVED</v>
      </c>
      <c r="T1506" s="1" t="str">
        <f>IFERROR(__xludf.DUMMYFUNCTION("""COMPUTED_VALUE"""),"CLOSED")</f>
        <v>CLOSED</v>
      </c>
      <c r="U1506" s="1" t="str">
        <f>IFERROR(__xludf.DUMMYFUNCTION("""COMPUTED_VALUE"""),"POSTED")</f>
        <v>POSTED</v>
      </c>
      <c r="V1506" s="1"/>
      <c r="W1506" s="1"/>
    </row>
    <row r="1507" customHeight="1" spans="1:23">
      <c r="A1507" s="3">
        <f>IFERROR(__xludf.DUMMYFUNCTION("""COMPUTED_VALUE"""),46148)</f>
        <v>46148</v>
      </c>
      <c r="B1507" s="1" t="str">
        <f>IFERROR(__xludf.DUMMYFUNCTION("""COMPUTED_VALUE"""),"DE VERA, MARIVIC")</f>
        <v>DE VERA, MARIVIC</v>
      </c>
      <c r="C1507" s="1" t="str">
        <f>IFERROR(__xludf.DUMMYFUNCTION("""COMPUTED_VALUE"""),"ORGANIC")</f>
        <v>ORGANIC</v>
      </c>
      <c r="D1507" s="1" t="str">
        <f>IFERROR(__xludf.DUMMYFUNCTION("""COMPUTED_VALUE"""),"REMOLLO LEA")</f>
        <v>REMOLLO LEA</v>
      </c>
      <c r="E1507" s="1" t="str">
        <f>IFERROR(__xludf.DUMMYFUNCTION("""COMPUTED_VALUE"""),"PLDT / ONLINE")</f>
        <v>PLDT / ONLINE</v>
      </c>
      <c r="F1507" s="1">
        <f>IFERROR(__xludf.DUMMYFUNCTION("""COMPUTED_VALUE"""),2309340104)</f>
        <v>2309340104</v>
      </c>
      <c r="G1507" s="1">
        <f>IFERROR(__xludf.DUMMYFUNCTION("""COMPUTED_VALUE"""),453563331004)</f>
        <v>453563331004</v>
      </c>
      <c r="H1507" s="1" t="str">
        <f>IFERROR(__xludf.DUMMYFUNCTION("""COMPUTED_VALUE"""),"RICARDO CUSTODIO MORTEL")</f>
        <v>RICARDO CUSTODIO MORTEL</v>
      </c>
      <c r="I1507" s="1">
        <f>IFERROR(__xludf.DUMMYFUNCTION("""COMPUTED_VALUE"""),9354362085)</f>
        <v>9354362085</v>
      </c>
      <c r="J1507" s="1"/>
      <c r="K1507" s="1" t="str">
        <f>IFERROR(__xludf.DUMMYFUNCTION("""COMPUTED_VALUE"""),"RICARDOMORTEL44@GMAIL.COM")</f>
        <v>RICARDOMORTEL44@GMAIL.COM</v>
      </c>
      <c r="L1507" s="1" t="str">
        <f>IFERROR(__xludf.DUMMYFUNCTION("""COMPUTED_VALUE"""),"75")</f>
        <v>75</v>
      </c>
      <c r="M1507" s="1" t="str">
        <f>IFERROR(__xludf.DUMMYFUNCTION("""COMPUTED_VALUE"""),"GUEVARRA")</f>
        <v>GUEVARRA</v>
      </c>
      <c r="N1507" s="1"/>
      <c r="O1507" s="1" t="str">
        <f>IFERROR(__xludf.DUMMYFUNCTION("""COMPUTED_VALUE"""),"ZONE I (POB.)")</f>
        <v>ZONE I (POB.)</v>
      </c>
      <c r="P1507" s="1" t="str">
        <f>IFERROR(__xludf.DUMMYFUNCTION("""COMPUTED_VALUE"""),"DASMARINAS")</f>
        <v>DASMARINAS</v>
      </c>
      <c r="Q1507" s="1" t="str">
        <f>IFERROR(__xludf.DUMMYFUNCTION("""COMPUTED_VALUE"""),"CAVITE")</f>
        <v>CAVITE</v>
      </c>
      <c r="R1507" s="1" t="str">
        <f>IFERROR(__xludf.DUMMYFUNCTION("""COMPUTED_VALUE"""),"PREPAID FIBER UNLI")</f>
        <v>PREPAID FIBER UNLI</v>
      </c>
      <c r="S1507" s="1" t="str">
        <f>IFERROR(__xludf.DUMMYFUNCTION("""COMPUTED_VALUE"""),"APPROVED")</f>
        <v>APPROVED</v>
      </c>
      <c r="T1507" s="1" t="str">
        <f>IFERROR(__xludf.DUMMYFUNCTION("""COMPUTED_VALUE"""),"CLOSED")</f>
        <v>CLOSED</v>
      </c>
      <c r="U1507" s="1" t="str">
        <f>IFERROR(__xludf.DUMMYFUNCTION("""COMPUTED_VALUE"""),"POSTED")</f>
        <v>POSTED</v>
      </c>
      <c r="V1507" s="1"/>
      <c r="W1507" s="1"/>
    </row>
    <row r="1508" customHeight="1" spans="1:23">
      <c r="A1508" s="3">
        <f>IFERROR(__xludf.DUMMYFUNCTION("""COMPUTED_VALUE"""),46148)</f>
        <v>46148</v>
      </c>
      <c r="B1508" s="1" t="str">
        <f>IFERROR(__xludf.DUMMYFUNCTION("""COMPUTED_VALUE"""),"FRANCISCO , ROSELYN")</f>
        <v>FRANCISCO , ROSELYN</v>
      </c>
      <c r="C1508" s="1" t="str">
        <f>IFERROR(__xludf.DUMMYFUNCTION("""COMPUTED_VALUE"""),"ORGANIC")</f>
        <v>ORGANIC</v>
      </c>
      <c r="D1508" s="1" t="str">
        <f>IFERROR(__xludf.DUMMYFUNCTION("""COMPUTED_VALUE"""),"ALOS, CHARLS")</f>
        <v>ALOS, CHARLS</v>
      </c>
      <c r="E1508" s="1" t="str">
        <f>IFERROR(__xludf.DUMMYFUNCTION("""COMPUTED_VALUE"""),"PLDT / H2H")</f>
        <v>PLDT / H2H</v>
      </c>
      <c r="F1508" s="1">
        <f>IFERROR(__xludf.DUMMYFUNCTION("""COMPUTED_VALUE"""),2309340499)</f>
        <v>2309340499</v>
      </c>
      <c r="G1508" s="1">
        <f>IFERROR(__xludf.DUMMYFUNCTION("""COMPUTED_VALUE"""),453563214004)</f>
        <v>453563214004</v>
      </c>
      <c r="H1508" s="1" t="str">
        <f>IFERROR(__xludf.DUMMYFUNCTION("""COMPUTED_VALUE"""),"MARY JEAN VIDUYA ROMERA")</f>
        <v>MARY JEAN VIDUYA ROMERA</v>
      </c>
      <c r="I1508" s="1">
        <f>IFERROR(__xludf.DUMMYFUNCTION("""COMPUTED_VALUE"""),9480479326)</f>
        <v>9480479326</v>
      </c>
      <c r="J1508" s="1">
        <f>IFERROR(__xludf.DUMMYFUNCTION("""COMPUTED_VALUE"""),9637851805)</f>
        <v>9637851805</v>
      </c>
      <c r="K1508" s="1" t="str">
        <f>IFERROR(__xludf.DUMMYFUNCTION("""COMPUTED_VALUE"""),"MARYJEANROMERA1@GMAIL.COM")</f>
        <v>MARYJEANROMERA1@GMAIL.COM</v>
      </c>
      <c r="L1508" s="1" t="str">
        <f>IFERROR(__xludf.DUMMYFUNCTION("""COMPUTED_VALUE"""),"264")</f>
        <v>264</v>
      </c>
      <c r="M1508" s="1" t="str">
        <f>IFERROR(__xludf.DUMMYFUNCTION("""COMPUTED_VALUE"""),"SALABAN")</f>
        <v>SALABAN</v>
      </c>
      <c r="N1508" s="1"/>
      <c r="O1508" s="1" t="str">
        <f>IFERROR(__xludf.DUMMYFUNCTION("""COMPUTED_VALUE"""),"SALABAN")</f>
        <v>SALABAN</v>
      </c>
      <c r="P1508" s="1" t="str">
        <f>IFERROR(__xludf.DUMMYFUNCTION("""COMPUTED_VALUE"""),"AMADEO")</f>
        <v>AMADEO</v>
      </c>
      <c r="Q1508" s="1" t="str">
        <f>IFERROR(__xludf.DUMMYFUNCTION("""COMPUTED_VALUE"""),"CAVITE")</f>
        <v>CAVITE</v>
      </c>
      <c r="R1508" s="1" t="str">
        <f>IFERROR(__xludf.DUMMYFUNCTION("""COMPUTED_VALUE"""),"PREPAID FIBER UNLI")</f>
        <v>PREPAID FIBER UNLI</v>
      </c>
      <c r="S1508" s="1" t="str">
        <f>IFERROR(__xludf.DUMMYFUNCTION("""COMPUTED_VALUE"""),"APPROVED")</f>
        <v>APPROVED</v>
      </c>
      <c r="T1508" s="1" t="str">
        <f>IFERROR(__xludf.DUMMYFUNCTION("""COMPUTED_VALUE"""),"CLOSED")</f>
        <v>CLOSED</v>
      </c>
      <c r="U1508" s="1" t="str">
        <f>IFERROR(__xludf.DUMMYFUNCTION("""COMPUTED_VALUE"""),"POSTED")</f>
        <v>POSTED</v>
      </c>
      <c r="V1508" s="1"/>
      <c r="W1508" s="1"/>
    </row>
    <row r="1509" customHeight="1" spans="1:23">
      <c r="A1509" s="3">
        <f>IFERROR(__xludf.DUMMYFUNCTION("""COMPUTED_VALUE"""),46148)</f>
        <v>46148</v>
      </c>
      <c r="B1509" s="1" t="str">
        <f>IFERROR(__xludf.DUMMYFUNCTION("""COMPUTED_VALUE"""),"TIONGSON, ASHLEY")</f>
        <v>TIONGSON, ASHLEY</v>
      </c>
      <c r="C1509" s="1" t="str">
        <f>IFERROR(__xludf.DUMMYFUNCTION("""COMPUTED_VALUE"""),"ORGANIC")</f>
        <v>ORGANIC</v>
      </c>
      <c r="D1509" s="1" t="str">
        <f>IFERROR(__xludf.DUMMYFUNCTION("""COMPUTED_VALUE"""),"REMOLLO LEA")</f>
        <v>REMOLLO LEA</v>
      </c>
      <c r="E1509" s="1" t="str">
        <f>IFERROR(__xludf.DUMMYFUNCTION("""COMPUTED_VALUE"""),"PLDT / H2H")</f>
        <v>PLDT / H2H</v>
      </c>
      <c r="F1509" s="1">
        <f>IFERROR(__xludf.DUMMYFUNCTION("""COMPUTED_VALUE"""),2309341591)</f>
        <v>2309341591</v>
      </c>
      <c r="G1509" s="1">
        <f>IFERROR(__xludf.DUMMYFUNCTION("""COMPUTED_VALUE"""),453562578004)</f>
        <v>453562578004</v>
      </c>
      <c r="H1509" s="1" t="str">
        <f>IFERROR(__xludf.DUMMYFUNCTION("""COMPUTED_VALUE"""),"MAYLYN SAYASA HADAP")</f>
        <v>MAYLYN SAYASA HADAP</v>
      </c>
      <c r="I1509" s="1">
        <f>IFERROR(__xludf.DUMMYFUNCTION("""COMPUTED_VALUE"""),9317934238)</f>
        <v>9317934238</v>
      </c>
      <c r="J1509" s="1">
        <f>IFERROR(__xludf.DUMMYFUNCTION("""COMPUTED_VALUE"""),9128450205)</f>
        <v>9128450205</v>
      </c>
      <c r="K1509" s="1" t="str">
        <f>IFERROR(__xludf.DUMMYFUNCTION("""COMPUTED_VALUE"""),"HADAPMAYLYN09@GMAIL.COM")</f>
        <v>HADAPMAYLYN09@GMAIL.COM</v>
      </c>
      <c r="L1509" s="1" t="str">
        <f>IFERROR(__xludf.DUMMYFUNCTION("""COMPUTED_VALUE"""),"429")</f>
        <v>429</v>
      </c>
      <c r="M1509" s="1" t="str">
        <f>IFERROR(__xludf.DUMMYFUNCTION("""COMPUTED_VALUE"""),"KALAYAAN HOMES")</f>
        <v>KALAYAAN HOMES</v>
      </c>
      <c r="N1509" s="1"/>
      <c r="O1509" s="1" t="str">
        <f>IFERROR(__xludf.DUMMYFUNCTION("""COMPUTED_VALUE"""),"NEOGAN")</f>
        <v>NEOGAN</v>
      </c>
      <c r="P1509" s="1" t="str">
        <f>IFERROR(__xludf.DUMMYFUNCTION("""COMPUTED_VALUE"""),"TAGAYTAY")</f>
        <v>TAGAYTAY</v>
      </c>
      <c r="Q1509" s="1" t="str">
        <f>IFERROR(__xludf.DUMMYFUNCTION("""COMPUTED_VALUE"""),"CAVITE")</f>
        <v>CAVITE</v>
      </c>
      <c r="R1509" s="1" t="str">
        <f>IFERROR(__xludf.DUMMYFUNCTION("""COMPUTED_VALUE"""),"PREPAID FIBER UNLI")</f>
        <v>PREPAID FIBER UNLI</v>
      </c>
      <c r="S1509" s="1" t="str">
        <f>IFERROR(__xludf.DUMMYFUNCTION("""COMPUTED_VALUE"""),"APPROVED")</f>
        <v>APPROVED</v>
      </c>
      <c r="T1509" s="1" t="str">
        <f>IFERROR(__xludf.DUMMYFUNCTION("""COMPUTED_VALUE"""),"CANCELLED")</f>
        <v>CANCELLED</v>
      </c>
      <c r="U1509" s="1"/>
      <c r="V1509" s="1"/>
      <c r="W1509" s="1"/>
    </row>
    <row r="1510" customHeight="1" spans="1:23">
      <c r="A1510" s="3">
        <f>IFERROR(__xludf.DUMMYFUNCTION("""COMPUTED_VALUE"""),46148)</f>
        <v>46148</v>
      </c>
      <c r="B1510" s="1" t="str">
        <f>IFERROR(__xludf.DUMMYFUNCTION("""COMPUTED_VALUE"""),"ESPINO , BRIGETTE")</f>
        <v>ESPINO , BRIGETTE</v>
      </c>
      <c r="C1510" s="1" t="str">
        <f>IFERROR(__xludf.DUMMYFUNCTION("""COMPUTED_VALUE"""),"ORGANIC")</f>
        <v>ORGANIC</v>
      </c>
      <c r="D1510" s="1" t="str">
        <f>IFERROR(__xludf.DUMMYFUNCTION("""COMPUTED_VALUE"""),"REMOLLO LEA")</f>
        <v>REMOLLO LEA</v>
      </c>
      <c r="E1510" s="1" t="str">
        <f>IFERROR(__xludf.DUMMYFUNCTION("""COMPUTED_VALUE"""),"PLDT / H2H")</f>
        <v>PLDT / H2H</v>
      </c>
      <c r="F1510" s="1">
        <f>IFERROR(__xludf.DUMMYFUNCTION("""COMPUTED_VALUE"""),2309353321)</f>
        <v>2309353321</v>
      </c>
      <c r="G1510" s="1">
        <f>IFERROR(__xludf.DUMMYFUNCTION("""COMPUTED_VALUE"""),453655525004)</f>
        <v>453655525004</v>
      </c>
      <c r="H1510" s="1" t="str">
        <f>IFERROR(__xludf.DUMMYFUNCTION("""COMPUTED_VALUE"""),"CHRYSTILL ANN ROSAS CAMARTIN")</f>
        <v>CHRYSTILL ANN ROSAS CAMARTIN</v>
      </c>
      <c r="I1510" s="1">
        <f>IFERROR(__xludf.DUMMYFUNCTION("""COMPUTED_VALUE"""),9063916039)</f>
        <v>9063916039</v>
      </c>
      <c r="J1510" s="1"/>
      <c r="K1510" s="1" t="str">
        <f>IFERROR(__xludf.DUMMYFUNCTION("""COMPUTED_VALUE"""),"CHRYSTILLROSAS355@GMAIL.COM")</f>
        <v>CHRYSTILLROSAS355@GMAIL.COM</v>
      </c>
      <c r="L1510" s="1" t="str">
        <f>IFERROR(__xludf.DUMMYFUNCTION("""COMPUTED_VALUE"""),"435")</f>
        <v>435</v>
      </c>
      <c r="M1510" s="1" t="str">
        <f>IFERROR(__xludf.DUMMYFUNCTION("""COMPUTED_VALUE"""),"KALAYAAN HOMES")</f>
        <v>KALAYAAN HOMES</v>
      </c>
      <c r="N1510" s="1"/>
      <c r="O1510" s="1" t="str">
        <f>IFERROR(__xludf.DUMMYFUNCTION("""COMPUTED_VALUE"""),"NEOGAN")</f>
        <v>NEOGAN</v>
      </c>
      <c r="P1510" s="1" t="str">
        <f>IFERROR(__xludf.DUMMYFUNCTION("""COMPUTED_VALUE"""),"TAGAYTAY")</f>
        <v>TAGAYTAY</v>
      </c>
      <c r="Q1510" s="1" t="str">
        <f>IFERROR(__xludf.DUMMYFUNCTION("""COMPUTED_VALUE"""),"CAVITE")</f>
        <v>CAVITE</v>
      </c>
      <c r="R1510" s="1" t="str">
        <f>IFERROR(__xludf.DUMMYFUNCTION("""COMPUTED_VALUE"""),"FIBR NETFLIX PLAN 1599")</f>
        <v>FIBR NETFLIX PLAN 1599</v>
      </c>
      <c r="S1510" s="1" t="str">
        <f>IFERROR(__xludf.DUMMYFUNCTION("""COMPUTED_VALUE"""),"APPROVED")</f>
        <v>APPROVED</v>
      </c>
      <c r="T1510" s="1" t="str">
        <f>IFERROR(__xludf.DUMMYFUNCTION("""COMPUTED_VALUE"""),"CLOSED")</f>
        <v>CLOSED</v>
      </c>
      <c r="U1510" s="1" t="str">
        <f>IFERROR(__xludf.DUMMYFUNCTION("""COMPUTED_VALUE"""),"POSTED")</f>
        <v>POSTED</v>
      </c>
      <c r="V1510" s="1"/>
      <c r="W1510" s="1"/>
    </row>
    <row r="1511" customHeight="1" spans="1:23">
      <c r="A1511" s="3">
        <f>IFERROR(__xludf.DUMMYFUNCTION("""COMPUTED_VALUE"""),46148)</f>
        <v>46148</v>
      </c>
      <c r="B1511" s="1" t="str">
        <f>IFERROR(__xludf.DUMMYFUNCTION("""COMPUTED_VALUE"""),"ADVINCULA, NICOLE")</f>
        <v>ADVINCULA, NICOLE</v>
      </c>
      <c r="C1511" s="1" t="str">
        <f>IFERROR(__xludf.DUMMYFUNCTION("""COMPUTED_VALUE"""),"ORGANIC")</f>
        <v>ORGANIC</v>
      </c>
      <c r="D1511" s="1" t="str">
        <f>IFERROR(__xludf.DUMMYFUNCTION("""COMPUTED_VALUE"""),"ALINGARO, CINDY")</f>
        <v>ALINGARO, CINDY</v>
      </c>
      <c r="E1511" s="1" t="str">
        <f>IFERROR(__xludf.DUMMYFUNCTION("""COMPUTED_VALUE"""),"PLDT / H2H")</f>
        <v>PLDT / H2H</v>
      </c>
      <c r="F1511" s="1">
        <f>IFERROR(__xludf.DUMMYFUNCTION("""COMPUTED_VALUE"""),2309341992)</f>
        <v>2309341992</v>
      </c>
      <c r="G1511" s="1">
        <f>IFERROR(__xludf.DUMMYFUNCTION("""COMPUTED_VALUE"""),453564257004)</f>
        <v>453564257004</v>
      </c>
      <c r="H1511" s="1" t="str">
        <f>IFERROR(__xludf.DUMMYFUNCTION("""COMPUTED_VALUE"""),"LETICIA PAGIRIGAN BUSANTE")</f>
        <v>LETICIA PAGIRIGAN BUSANTE</v>
      </c>
      <c r="I1511" s="1">
        <f>IFERROR(__xludf.DUMMYFUNCTION("""COMPUTED_VALUE"""),9562782925)</f>
        <v>9562782925</v>
      </c>
      <c r="J1511" s="1"/>
      <c r="K1511" s="1" t="str">
        <f>IFERROR(__xludf.DUMMYFUNCTION("""COMPUTED_VALUE"""),"BUSANTEFLORENCE6@GMAIL.COM")</f>
        <v>BUSANTEFLORENCE6@GMAIL.COM</v>
      </c>
      <c r="L1511" s="1" t="str">
        <f>IFERROR(__xludf.DUMMYFUNCTION("""COMPUTED_VALUE"""),"BLK 44 LOT 5")</f>
        <v>BLK 44 LOT 5</v>
      </c>
      <c r="M1511" s="1" t="str">
        <f>IFERROR(__xludf.DUMMYFUNCTION("""COMPUTED_VALUE"""),"PHASE 6")</f>
        <v>PHASE 6</v>
      </c>
      <c r="N1511" s="1"/>
      <c r="O1511" s="1" t="str">
        <f>IFERROR(__xludf.DUMMYFUNCTION("""COMPUTED_VALUE"""),"BANABA")</f>
        <v>BANABA</v>
      </c>
      <c r="P1511" s="1" t="str">
        <f>IFERROR(__xludf.DUMMYFUNCTION("""COMPUTED_VALUE"""),"SILANG")</f>
        <v>SILANG</v>
      </c>
      <c r="Q1511" s="1" t="str">
        <f>IFERROR(__xludf.DUMMYFUNCTION("""COMPUTED_VALUE"""),"CAVITE")</f>
        <v>CAVITE</v>
      </c>
      <c r="R1511" s="1" t="str">
        <f>IFERROR(__xludf.DUMMYFUNCTION("""COMPUTED_VALUE"""),"PREPAID FIBER UNLI")</f>
        <v>PREPAID FIBER UNLI</v>
      </c>
      <c r="S1511" s="1" t="str">
        <f>IFERROR(__xludf.DUMMYFUNCTION("""COMPUTED_VALUE"""),"APPROVED")</f>
        <v>APPROVED</v>
      </c>
      <c r="T1511" s="1" t="str">
        <f>IFERROR(__xludf.DUMMYFUNCTION("""COMPUTED_VALUE"""),"CANCELLED")</f>
        <v>CANCELLED</v>
      </c>
      <c r="U1511" s="1"/>
      <c r="V1511" s="1"/>
      <c r="W1511" s="1"/>
    </row>
    <row r="1512" customHeight="1" spans="1:23">
      <c r="A1512" s="3">
        <f>IFERROR(__xludf.DUMMYFUNCTION("""COMPUTED_VALUE"""),46148)</f>
        <v>46148</v>
      </c>
      <c r="B1512" s="1" t="str">
        <f>IFERROR(__xludf.DUMMYFUNCTION("""COMPUTED_VALUE"""),"TAMAYO,MARY ROSE")</f>
        <v>TAMAYO,MARY ROSE</v>
      </c>
      <c r="C1512" s="1" t="str">
        <f>IFERROR(__xludf.DUMMYFUNCTION("""COMPUTED_VALUE"""),"ORGANIC")</f>
        <v>ORGANIC</v>
      </c>
      <c r="D1512" s="1" t="str">
        <f>IFERROR(__xludf.DUMMYFUNCTION("""COMPUTED_VALUE"""),"REMOLLO LEA")</f>
        <v>REMOLLO LEA</v>
      </c>
      <c r="E1512" s="1" t="str">
        <f>IFERROR(__xludf.DUMMYFUNCTION("""COMPUTED_VALUE"""),"PLDT / H2H")</f>
        <v>PLDT / H2H</v>
      </c>
      <c r="F1512" s="1">
        <f>IFERROR(__xludf.DUMMYFUNCTION("""COMPUTED_VALUE"""),2309342727)</f>
        <v>2309342727</v>
      </c>
      <c r="G1512" s="1">
        <f>IFERROR(__xludf.DUMMYFUNCTION("""COMPUTED_VALUE"""),453564598004)</f>
        <v>453564598004</v>
      </c>
      <c r="H1512" s="1" t="str">
        <f>IFERROR(__xludf.DUMMYFUNCTION("""COMPUTED_VALUE"""),"LORDELIZA SUMALI DE CHAVEZ")</f>
        <v>LORDELIZA SUMALI DE CHAVEZ</v>
      </c>
      <c r="I1512" s="1">
        <f>IFERROR(__xludf.DUMMYFUNCTION("""COMPUTED_VALUE"""),9918849539)</f>
        <v>9918849539</v>
      </c>
      <c r="J1512" s="1"/>
      <c r="K1512" s="1" t="str">
        <f>IFERROR(__xludf.DUMMYFUNCTION("""COMPUTED_VALUE"""),"LORDELIZASUMALI18@GMAIL.COM")</f>
        <v>LORDELIZASUMALI18@GMAIL.COM</v>
      </c>
      <c r="L1512" s="1" t="str">
        <f>IFERROR(__xludf.DUMMYFUNCTION("""COMPUTED_VALUE"""),"BLK 29 LOT 13")</f>
        <v>BLK 29 LOT 13</v>
      </c>
      <c r="M1512" s="1" t="str">
        <f>IFERROR(__xludf.DUMMYFUNCTION("""COMPUTED_VALUE"""),"PHASE 5")</f>
        <v>PHASE 5</v>
      </c>
      <c r="N1512" s="1"/>
      <c r="O1512" s="1" t="str">
        <f>IFERROR(__xludf.DUMMYFUNCTION("""COMPUTED_VALUE"""),"NARRA I")</f>
        <v>NARRA I</v>
      </c>
      <c r="P1512" s="1" t="str">
        <f>IFERROR(__xludf.DUMMYFUNCTION("""COMPUTED_VALUE"""),"SILANG")</f>
        <v>SILANG</v>
      </c>
      <c r="Q1512" s="1" t="str">
        <f>IFERROR(__xludf.DUMMYFUNCTION("""COMPUTED_VALUE"""),"CAVITE")</f>
        <v>CAVITE</v>
      </c>
      <c r="R1512" s="1" t="str">
        <f>IFERROR(__xludf.DUMMYFUNCTION("""COMPUTED_VALUE"""),"FIBR UNLI ALL PLAN 1399")</f>
        <v>FIBR UNLI ALL PLAN 1399</v>
      </c>
      <c r="S1512" s="1" t="str">
        <f>IFERROR(__xludf.DUMMYFUNCTION("""COMPUTED_VALUE"""),"APPROVED")</f>
        <v>APPROVED</v>
      </c>
      <c r="T1512" s="1" t="str">
        <f>IFERROR(__xludf.DUMMYFUNCTION("""COMPUTED_VALUE"""),"CANCELLED")</f>
        <v>CANCELLED</v>
      </c>
      <c r="U1512" s="1"/>
      <c r="V1512" s="1"/>
      <c r="W1512" s="1"/>
    </row>
    <row r="1513" customHeight="1" spans="1:23">
      <c r="A1513" s="3">
        <f>IFERROR(__xludf.DUMMYFUNCTION("""COMPUTED_VALUE"""),46148)</f>
        <v>46148</v>
      </c>
      <c r="B1513" s="1" t="str">
        <f>IFERROR(__xludf.DUMMYFUNCTION("""COMPUTED_VALUE"""),"ADVINCULA, NICOLE")</f>
        <v>ADVINCULA, NICOLE</v>
      </c>
      <c r="C1513" s="1" t="str">
        <f>IFERROR(__xludf.DUMMYFUNCTION("""COMPUTED_VALUE"""),"ORGANIC")</f>
        <v>ORGANIC</v>
      </c>
      <c r="D1513" s="1" t="str">
        <f>IFERROR(__xludf.DUMMYFUNCTION("""COMPUTED_VALUE"""),"ALINGARO, CINDY")</f>
        <v>ALINGARO, CINDY</v>
      </c>
      <c r="E1513" s="1" t="str">
        <f>IFERROR(__xludf.DUMMYFUNCTION("""COMPUTED_VALUE"""),"PLDT / H2H")</f>
        <v>PLDT / H2H</v>
      </c>
      <c r="F1513" s="1"/>
      <c r="G1513" s="1"/>
      <c r="H1513" s="1" t="str">
        <f>IFERROR(__xludf.DUMMYFUNCTION("""COMPUTED_VALUE"""),"JAKE TRISTAN BUSANTE TALAG")</f>
        <v>JAKE TRISTAN BUSANTE TALAG</v>
      </c>
      <c r="I1513" s="1">
        <f>IFERROR(__xludf.DUMMYFUNCTION("""COMPUTED_VALUE"""),9166886330)</f>
        <v>9166886330</v>
      </c>
      <c r="J1513" s="1"/>
      <c r="K1513" s="1" t="str">
        <f>IFERROR(__xludf.DUMMYFUNCTION("""COMPUTED_VALUE"""),"JAKELATAG54@GMAIL.COM")</f>
        <v>JAKELATAG54@GMAIL.COM</v>
      </c>
      <c r="L1513" s="1" t="str">
        <f>IFERROR(__xludf.DUMMYFUNCTION("""COMPUTED_VALUE"""),"BLK 44 LOT 5")</f>
        <v>BLK 44 LOT 5</v>
      </c>
      <c r="M1513" s="1" t="str">
        <f>IFERROR(__xludf.DUMMYFUNCTION("""COMPUTED_VALUE"""),"PHASE 6")</f>
        <v>PHASE 6</v>
      </c>
      <c r="N1513" s="1"/>
      <c r="O1513" s="1" t="str">
        <f>IFERROR(__xludf.DUMMYFUNCTION("""COMPUTED_VALUE"""),"BANABA")</f>
        <v>BANABA</v>
      </c>
      <c r="P1513" s="1" t="str">
        <f>IFERROR(__xludf.DUMMYFUNCTION("""COMPUTED_VALUE"""),"SILANG")</f>
        <v>SILANG</v>
      </c>
      <c r="Q1513" s="1" t="str">
        <f>IFERROR(__xludf.DUMMYFUNCTION("""COMPUTED_VALUE"""),"CAVITE")</f>
        <v>CAVITE</v>
      </c>
      <c r="R1513" s="1" t="str">
        <f>IFERROR(__xludf.DUMMYFUNCTION("""COMPUTED_VALUE"""),"PREPAID FIBER UNLI")</f>
        <v>PREPAID FIBER UNLI</v>
      </c>
      <c r="S1513" s="1" t="str">
        <f>IFERROR(__xludf.DUMMYFUNCTION("""COMPUTED_VALUE"""),"RETURN FOR COMPLIANCE - AGENT")</f>
        <v>RETURN FOR COMPLIANCE - AGENT</v>
      </c>
      <c r="T1513" s="1" t="str">
        <f>IFERROR(__xludf.DUMMYFUNCTION("""COMPUTED_VALUE"""),"#N/A")</f>
        <v>#N/A</v>
      </c>
      <c r="U1513" s="1"/>
      <c r="V1513" s="1"/>
      <c r="W1513" s="1"/>
    </row>
    <row r="1514" customHeight="1" spans="1:23">
      <c r="A1514" s="3">
        <f>IFERROR(__xludf.DUMMYFUNCTION("""COMPUTED_VALUE"""),46148)</f>
        <v>46148</v>
      </c>
      <c r="B1514" s="1" t="str">
        <f>IFERROR(__xludf.DUMMYFUNCTION("""COMPUTED_VALUE"""),"FARO, REFRANTA")</f>
        <v>FARO, REFRANTA</v>
      </c>
      <c r="C1514" s="1" t="str">
        <f>IFERROR(__xludf.DUMMYFUNCTION("""COMPUTED_VALUE"""),"ORGANIC")</f>
        <v>ORGANIC</v>
      </c>
      <c r="D1514" s="1" t="str">
        <f>IFERROR(__xludf.DUMMYFUNCTION("""COMPUTED_VALUE"""),"ALINGARO, CINDY")</f>
        <v>ALINGARO, CINDY</v>
      </c>
      <c r="E1514" s="1" t="str">
        <f>IFERROR(__xludf.DUMMYFUNCTION("""COMPUTED_VALUE"""),"PLDT / ONLINE")</f>
        <v>PLDT / ONLINE</v>
      </c>
      <c r="F1514" s="1">
        <f>IFERROR(__xludf.DUMMYFUNCTION("""COMPUTED_VALUE"""),2309342304)</f>
        <v>2309342304</v>
      </c>
      <c r="G1514" s="1">
        <f>IFERROR(__xludf.DUMMYFUNCTION("""COMPUTED_VALUE"""),453564332004)</f>
        <v>453564332004</v>
      </c>
      <c r="H1514" s="1" t="str">
        <f>IFERROR(__xludf.DUMMYFUNCTION("""COMPUTED_VALUE"""),"FREVELYN DAGMANTE FARO")</f>
        <v>FREVELYN DAGMANTE FARO</v>
      </c>
      <c r="I1514" s="1">
        <f>IFERROR(__xludf.DUMMYFUNCTION("""COMPUTED_VALUE"""),9105546809)</f>
        <v>9105546809</v>
      </c>
      <c r="J1514" s="1"/>
      <c r="K1514" s="1" t="str">
        <f>IFERROR(__xludf.DUMMYFUNCTION("""COMPUTED_VALUE"""),"FAROFREVELYN@GMAIL.COM")</f>
        <v>FAROFREVELYN@GMAIL.COM</v>
      </c>
      <c r="L1514" s="1" t="str">
        <f>IFERROR(__xludf.DUMMYFUNCTION("""COMPUTED_VALUE"""),"BLK 42 LOT 3")</f>
        <v>BLK 42 LOT 3</v>
      </c>
      <c r="M1514" s="1" t="str">
        <f>IFERROR(__xludf.DUMMYFUNCTION("""COMPUTED_VALUE"""),"#299")</f>
        <v>#299</v>
      </c>
      <c r="N1514" s="1"/>
      <c r="O1514" s="1" t="str">
        <f>IFERROR(__xludf.DUMMYFUNCTION("""COMPUTED_VALUE"""),"BARANGAY 3 (POB.)")</f>
        <v>BARANGAY 3 (POB.)</v>
      </c>
      <c r="P1514" s="1" t="str">
        <f>IFERROR(__xludf.DUMMYFUNCTION("""COMPUTED_VALUE"""),"GENERAL EMILIO AGUINALDO")</f>
        <v>GENERAL EMILIO AGUINALDO</v>
      </c>
      <c r="Q1514" s="1" t="str">
        <f>IFERROR(__xludf.DUMMYFUNCTION("""COMPUTED_VALUE"""),"CAVITE")</f>
        <v>CAVITE</v>
      </c>
      <c r="R1514" s="1" t="str">
        <f>IFERROR(__xludf.DUMMYFUNCTION("""COMPUTED_VALUE"""),"PREPAID FIBER UNLI")</f>
        <v>PREPAID FIBER UNLI</v>
      </c>
      <c r="S1514" s="1" t="str">
        <f>IFERROR(__xludf.DUMMYFUNCTION("""COMPUTED_VALUE"""),"APPROVED")</f>
        <v>APPROVED</v>
      </c>
      <c r="T1514" s="1" t="str">
        <f>IFERROR(__xludf.DUMMYFUNCTION("""COMPUTED_VALUE"""),"CANCELLED")</f>
        <v>CANCELLED</v>
      </c>
      <c r="U1514" s="1"/>
      <c r="V1514" s="1"/>
      <c r="W1514" s="1"/>
    </row>
    <row r="1515" customHeight="1" spans="1:23">
      <c r="A1515" s="3">
        <f>IFERROR(__xludf.DUMMYFUNCTION("""COMPUTED_VALUE"""),46148)</f>
        <v>46148</v>
      </c>
      <c r="B1515" s="1" t="str">
        <f>IFERROR(__xludf.DUMMYFUNCTION("""COMPUTED_VALUE"""),"ABAYON , CAMILLE ANNE")</f>
        <v>ABAYON , CAMILLE ANNE</v>
      </c>
      <c r="C1515" s="1" t="str">
        <f>IFERROR(__xludf.DUMMYFUNCTION("""COMPUTED_VALUE"""),"ORGANIC")</f>
        <v>ORGANIC</v>
      </c>
      <c r="D1515" s="1" t="str">
        <f>IFERROR(__xludf.DUMMYFUNCTION("""COMPUTED_VALUE"""),"REMOLLO LEA")</f>
        <v>REMOLLO LEA</v>
      </c>
      <c r="E1515" s="1" t="str">
        <f>IFERROR(__xludf.DUMMYFUNCTION("""COMPUTED_VALUE"""),"PLDT / H2H")</f>
        <v>PLDT / H2H</v>
      </c>
      <c r="F1515" s="1"/>
      <c r="G1515" s="1"/>
      <c r="H1515" s="1" t="str">
        <f>IFERROR(__xludf.DUMMYFUNCTION("""COMPUTED_VALUE"""),"JUDYLYN DIAZ PERENA ")</f>
        <v>JUDYLYN DIAZ PERENA </v>
      </c>
      <c r="I1515" s="1">
        <f>IFERROR(__xludf.DUMMYFUNCTION("""COMPUTED_VALUE"""),9555518713)</f>
        <v>9555518713</v>
      </c>
      <c r="J1515" s="1">
        <f>IFERROR(__xludf.DUMMYFUNCTION("""COMPUTED_VALUE"""),9242083211)</f>
        <v>9242083211</v>
      </c>
      <c r="K1515" s="1" t="str">
        <f>IFERROR(__xludf.DUMMYFUNCTION("""COMPUTED_VALUE"""),"JDLYNPRNA016@GMAIL.COM")</f>
        <v>JDLYNPRNA016@GMAIL.COM</v>
      </c>
      <c r="L1515" s="1" t="str">
        <f>IFERROR(__xludf.DUMMYFUNCTION("""COMPUTED_VALUE"""),"349")</f>
        <v>349</v>
      </c>
      <c r="M1515" s="1" t="str">
        <f>IFERROR(__xludf.DUMMYFUNCTION("""COMPUTED_VALUE"""),"NEOGAN")</f>
        <v>NEOGAN</v>
      </c>
      <c r="N1515" s="1"/>
      <c r="O1515" s="1" t="str">
        <f>IFERROR(__xludf.DUMMYFUNCTION("""COMPUTED_VALUE"""),"NEOGAN")</f>
        <v>NEOGAN</v>
      </c>
      <c r="P1515" s="1" t="str">
        <f>IFERROR(__xludf.DUMMYFUNCTION("""COMPUTED_VALUE"""),"TAGAYTAY")</f>
        <v>TAGAYTAY</v>
      </c>
      <c r="Q1515" s="1" t="str">
        <f>IFERROR(__xludf.DUMMYFUNCTION("""COMPUTED_VALUE"""),"CAVITE")</f>
        <v>CAVITE</v>
      </c>
      <c r="R1515" s="1" t="str">
        <f>IFERROR(__xludf.DUMMYFUNCTION("""COMPUTED_VALUE"""),"FIBR UNLI ALL PLAN 1399")</f>
        <v>FIBR UNLI ALL PLAN 1399</v>
      </c>
      <c r="S1515" s="1" t="str">
        <f>IFERROR(__xludf.DUMMYFUNCTION("""COMPUTED_VALUE"""),"RETURN FOR COMPLIANCE - AGENT")</f>
        <v>RETURN FOR COMPLIANCE - AGENT</v>
      </c>
      <c r="T1515" s="1" t="str">
        <f>IFERROR(__xludf.DUMMYFUNCTION("""COMPUTED_VALUE"""),"#N/A")</f>
        <v>#N/A</v>
      </c>
      <c r="U1515" s="1"/>
      <c r="V1515" s="1"/>
      <c r="W1515" s="1"/>
    </row>
    <row r="1516" customHeight="1" spans="1:23">
      <c r="A1516" s="3">
        <f>IFERROR(__xludf.DUMMYFUNCTION("""COMPUTED_VALUE"""),46148)</f>
        <v>46148</v>
      </c>
      <c r="B1516" s="1" t="str">
        <f>IFERROR(__xludf.DUMMYFUNCTION("""COMPUTED_VALUE"""),"MALIWAT MARK ELVIN")</f>
        <v>MALIWAT MARK ELVIN</v>
      </c>
      <c r="C1516" s="1" t="str">
        <f>IFERROR(__xludf.DUMMYFUNCTION("""COMPUTED_VALUE"""),"FLA")</f>
        <v>FLA</v>
      </c>
      <c r="D1516" s="1" t="str">
        <f>IFERROR(__xludf.DUMMYFUNCTION("""COMPUTED_VALUE"""),"JERIC NAVARRO")</f>
        <v>JERIC NAVARRO</v>
      </c>
      <c r="E1516" s="1" t="str">
        <f>IFERROR(__xludf.DUMMYFUNCTION("""COMPUTED_VALUE"""),"PLDT / H2H")</f>
        <v>PLDT / H2H</v>
      </c>
      <c r="F1516" s="1">
        <f>IFERROR(__xludf.DUMMYFUNCTION("""COMPUTED_VALUE"""),2309343281)</f>
        <v>2309343281</v>
      </c>
      <c r="G1516" s="1">
        <f>IFERROR(__xludf.DUMMYFUNCTION("""COMPUTED_VALUE"""),453564973004)</f>
        <v>453564973004</v>
      </c>
      <c r="H1516" s="1" t="str">
        <f>IFERROR(__xludf.DUMMYFUNCTION("""COMPUTED_VALUE"""),"JAMIE VILLANUEVA CORDOVA")</f>
        <v>JAMIE VILLANUEVA CORDOVA</v>
      </c>
      <c r="I1516" s="1">
        <f>IFERROR(__xludf.DUMMYFUNCTION("""COMPUTED_VALUE"""),9652377507)</f>
        <v>9652377507</v>
      </c>
      <c r="J1516" s="1">
        <f>IFERROR(__xludf.DUMMYFUNCTION("""COMPUTED_VALUE"""),9683229115)</f>
        <v>9683229115</v>
      </c>
      <c r="K1516" s="1" t="str">
        <f>IFERROR(__xludf.DUMMYFUNCTION("""COMPUTED_VALUE"""),"JAMIECORDOVA1223@GMAIL.COM")</f>
        <v>JAMIECORDOVA1223@GMAIL.COM</v>
      </c>
      <c r="L1516" s="1" t="str">
        <f>IFERROR(__xludf.DUMMYFUNCTION("""COMPUTED_VALUE"""),"150")</f>
        <v>150</v>
      </c>
      <c r="M1516" s="1" t="str">
        <f>IFERROR(__xludf.DUMMYFUNCTION("""COMPUTED_VALUE"""),"MOLINO RD")</f>
        <v>MOLINO RD</v>
      </c>
      <c r="N1516" s="1"/>
      <c r="O1516" s="1" t="str">
        <f>IFERROR(__xludf.DUMMYFUNCTION("""COMPUTED_VALUE"""),"MOLINO III")</f>
        <v>MOLINO III</v>
      </c>
      <c r="P1516" s="1" t="str">
        <f>IFERROR(__xludf.DUMMYFUNCTION("""COMPUTED_VALUE"""),"BACOOR")</f>
        <v>BACOOR</v>
      </c>
      <c r="Q1516" s="1" t="str">
        <f>IFERROR(__xludf.DUMMYFUNCTION("""COMPUTED_VALUE"""),"CAVITE")</f>
        <v>CAVITE</v>
      </c>
      <c r="R1516" s="1" t="str">
        <f>IFERROR(__xludf.DUMMYFUNCTION("""COMPUTED_VALUE"""),"FIBR PLAN 1299")</f>
        <v>FIBR PLAN 1299</v>
      </c>
      <c r="S1516" s="1" t="str">
        <f>IFERROR(__xludf.DUMMYFUNCTION("""COMPUTED_VALUE"""),"APPROVED")</f>
        <v>APPROVED</v>
      </c>
      <c r="T1516" s="1" t="str">
        <f>IFERROR(__xludf.DUMMYFUNCTION("""COMPUTED_VALUE"""),"CLOSED")</f>
        <v>CLOSED</v>
      </c>
      <c r="U1516" s="1" t="str">
        <f>IFERROR(__xludf.DUMMYFUNCTION("""COMPUTED_VALUE"""),"POSTED")</f>
        <v>POSTED</v>
      </c>
      <c r="V1516" s="1"/>
      <c r="W1516" s="1"/>
    </row>
    <row r="1517" customHeight="1" spans="1:23">
      <c r="A1517" s="3">
        <f>IFERROR(__xludf.DUMMYFUNCTION("""COMPUTED_VALUE"""),46148)</f>
        <v>46148</v>
      </c>
      <c r="B1517" s="1" t="str">
        <f>IFERROR(__xludf.DUMMYFUNCTION("""COMPUTED_VALUE"""),"ODY , CLARENCE")</f>
        <v>ODY , CLARENCE</v>
      </c>
      <c r="C1517" s="1" t="str">
        <f>IFERROR(__xludf.DUMMYFUNCTION("""COMPUTED_VALUE"""),"ORGANIC")</f>
        <v>ORGANIC</v>
      </c>
      <c r="D1517" s="1" t="str">
        <f>IFERROR(__xludf.DUMMYFUNCTION("""COMPUTED_VALUE"""),"ALOS, CHARLS")</f>
        <v>ALOS, CHARLS</v>
      </c>
      <c r="E1517" s="1" t="str">
        <f>IFERROR(__xludf.DUMMYFUNCTION("""COMPUTED_VALUE"""),"RED FIBER")</f>
        <v>RED FIBER</v>
      </c>
      <c r="F1517" s="1"/>
      <c r="G1517" s="1"/>
      <c r="H1517" s="1" t="str">
        <f>IFERROR(__xludf.DUMMYFUNCTION("""COMPUTED_VALUE"""),"HERBERT MENDOZA IKAN")</f>
        <v>HERBERT MENDOZA IKAN</v>
      </c>
      <c r="I1517" s="1">
        <f>IFERROR(__xludf.DUMMYFUNCTION("""COMPUTED_VALUE"""),9056237861)</f>
        <v>9056237861</v>
      </c>
      <c r="J1517" s="1"/>
      <c r="K1517" s="1" t="str">
        <f>IFERROR(__xludf.DUMMYFUNCTION("""COMPUTED_VALUE"""),"BUILDWITHHERB@GMAIL.COM")</f>
        <v>BUILDWITHHERB@GMAIL.COM</v>
      </c>
      <c r="L1517" s="1" t="str">
        <f>IFERROR(__xludf.DUMMYFUNCTION("""COMPUTED_VALUE"""),"161")</f>
        <v>161</v>
      </c>
      <c r="M1517" s="1" t="str">
        <f>IFERROR(__xludf.DUMMYFUNCTION("""COMPUTED_VALUE"""),"STA ROSA - TAGAYTAY")</f>
        <v>STA ROSA - TAGAYTAY</v>
      </c>
      <c r="N1517" s="1"/>
      <c r="O1517" s="1" t="str">
        <f>IFERROR(__xludf.DUMMYFUNCTION("""COMPUTED_VALUE"""),"PASONG LANGKA")</f>
        <v>PASONG LANGKA</v>
      </c>
      <c r="P1517" s="1" t="str">
        <f>IFERROR(__xludf.DUMMYFUNCTION("""COMPUTED_VALUE"""),"SILANG")</f>
        <v>SILANG</v>
      </c>
      <c r="Q1517" s="1" t="str">
        <f>IFERROR(__xludf.DUMMYFUNCTION("""COMPUTED_VALUE"""),"CAVITE")</f>
        <v>CAVITE</v>
      </c>
      <c r="R1517" s="1" t="str">
        <f>IFERROR(__xludf.DUMMYFUNCTION("""COMPUTED_VALUE"""),"RED PLPAN 1900")</f>
        <v>RED PLPAN 1900</v>
      </c>
      <c r="S1517" s="1" t="str">
        <f>IFERROR(__xludf.DUMMYFUNCTION("""COMPUTED_VALUE"""),"APPROVED")</f>
        <v>APPROVED</v>
      </c>
      <c r="T1517" s="1" t="str">
        <f>IFERROR(__xludf.DUMMYFUNCTION("""COMPUTED_VALUE"""),"#N/A")</f>
        <v>#N/A</v>
      </c>
      <c r="U1517" s="1"/>
      <c r="V1517" s="1"/>
      <c r="W1517" s="1"/>
    </row>
    <row r="1518" customHeight="1" spans="1:23">
      <c r="A1518" s="3">
        <f>IFERROR(__xludf.DUMMYFUNCTION("""COMPUTED_VALUE"""),46148)</f>
        <v>46148</v>
      </c>
      <c r="B1518" s="1" t="str">
        <f>IFERROR(__xludf.DUMMYFUNCTION("""COMPUTED_VALUE"""),"MAGDARAOG, KENNETH")</f>
        <v>MAGDARAOG, KENNETH</v>
      </c>
      <c r="C1518" s="1" t="str">
        <f>IFERROR(__xludf.DUMMYFUNCTION("""COMPUTED_VALUE"""),"ORGANIC")</f>
        <v>ORGANIC</v>
      </c>
      <c r="D1518" s="1" t="str">
        <f>IFERROR(__xludf.DUMMYFUNCTION("""COMPUTED_VALUE"""),"ALINGARO, CINDY")</f>
        <v>ALINGARO, CINDY</v>
      </c>
      <c r="E1518" s="1" t="str">
        <f>IFERROR(__xludf.DUMMYFUNCTION("""COMPUTED_VALUE"""),"PLDT / H2H")</f>
        <v>PLDT / H2H</v>
      </c>
      <c r="F1518" s="1">
        <f>IFERROR(__xludf.DUMMYFUNCTION("""COMPUTED_VALUE"""),2309363372)</f>
        <v>2309363372</v>
      </c>
      <c r="G1518" s="1">
        <f>IFERROR(__xludf.DUMMYFUNCTION("""COMPUTED_VALUE"""),453666755004)</f>
        <v>453666755004</v>
      </c>
      <c r="H1518" s="1" t="str">
        <f>IFERROR(__xludf.DUMMYFUNCTION("""COMPUTED_VALUE"""),"CHRISTOPHER BARQUES")</f>
        <v>CHRISTOPHER BARQUES</v>
      </c>
      <c r="I1518" s="1">
        <f>IFERROR(__xludf.DUMMYFUNCTION("""COMPUTED_VALUE"""),9606841160)</f>
        <v>9606841160</v>
      </c>
      <c r="J1518" s="1"/>
      <c r="K1518" s="1" t="str">
        <f>IFERROR(__xludf.DUMMYFUNCTION("""COMPUTED_VALUE"""),"LIVELITAPIANAR15@GMAIL.COM")</f>
        <v>LIVELITAPIANAR15@GMAIL.COM</v>
      </c>
      <c r="L1518" s="1" t="str">
        <f>IFERROR(__xludf.DUMMYFUNCTION("""COMPUTED_VALUE"""),"BLK 9 LOT 39")</f>
        <v>BLK 9 LOT 39</v>
      </c>
      <c r="M1518" s="1" t="str">
        <f>IFERROR(__xludf.DUMMYFUNCTION("""COMPUTED_VALUE"""),"TALAMPUNAY ")</f>
        <v>TALAMPUNAY </v>
      </c>
      <c r="N1518" s="1"/>
      <c r="O1518" s="1" t="str">
        <f>IFERROR(__xludf.DUMMYFUNCTION("""COMPUTED_VALUE"""),"RAMON CRUZ (AREA J)")</f>
        <v>RAMON CRUZ (AREA J)</v>
      </c>
      <c r="P1518" s="1" t="str">
        <f>IFERROR(__xludf.DUMMYFUNCTION("""COMPUTED_VALUE"""),"GEN MARIANO ALVAREZ")</f>
        <v>GEN MARIANO ALVAREZ</v>
      </c>
      <c r="Q1518" s="1" t="str">
        <f>IFERROR(__xludf.DUMMYFUNCTION("""COMPUTED_VALUE"""),"CAVITE")</f>
        <v>CAVITE</v>
      </c>
      <c r="R1518" s="1" t="str">
        <f>IFERROR(__xludf.DUMMYFUNCTION("""COMPUTED_VALUE"""),"FIBR PLAN 1299")</f>
        <v>FIBR PLAN 1299</v>
      </c>
      <c r="S1518" s="1" t="str">
        <f>IFERROR(__xludf.DUMMYFUNCTION("""COMPUTED_VALUE"""),"APPROVED")</f>
        <v>APPROVED</v>
      </c>
      <c r="T1518" s="1" t="str">
        <f>IFERROR(__xludf.DUMMYFUNCTION("""COMPUTED_VALUE"""),"RPR")</f>
        <v>RPR</v>
      </c>
      <c r="U1518" s="1"/>
      <c r="V1518" s="1"/>
      <c r="W1518" s="1"/>
    </row>
    <row r="1519" customHeight="1" spans="1:23">
      <c r="A1519" s="3">
        <f>IFERROR(__xludf.DUMMYFUNCTION("""COMPUTED_VALUE"""),46149)</f>
        <v>46149</v>
      </c>
      <c r="B1519" s="1" t="str">
        <f>IFERROR(__xludf.DUMMYFUNCTION("""COMPUTED_VALUE"""),"MALIWAT MARK ELVIN")</f>
        <v>MALIWAT MARK ELVIN</v>
      </c>
      <c r="C1519" s="1" t="str">
        <f>IFERROR(__xludf.DUMMYFUNCTION("""COMPUTED_VALUE"""),"FLA")</f>
        <v>FLA</v>
      </c>
      <c r="D1519" s="1" t="str">
        <f>IFERROR(__xludf.DUMMYFUNCTION("""COMPUTED_VALUE"""),"JERIC NAVARRO")</f>
        <v>JERIC NAVARRO</v>
      </c>
      <c r="E1519" s="1" t="str">
        <f>IFERROR(__xludf.DUMMYFUNCTION("""COMPUTED_VALUE"""),"PLDT / ONLINE")</f>
        <v>PLDT / ONLINE</v>
      </c>
      <c r="F1519" s="1">
        <f>IFERROR(__xludf.DUMMYFUNCTION("""COMPUTED_VALUE"""),2309352594)</f>
        <v>2309352594</v>
      </c>
      <c r="G1519" s="1">
        <f>IFERROR(__xludf.DUMMYFUNCTION("""COMPUTED_VALUE"""),453659425004)</f>
        <v>453659425004</v>
      </c>
      <c r="H1519" s="1" t="str">
        <f>IFERROR(__xludf.DUMMYFUNCTION("""COMPUTED_VALUE"""),"JONIEL BARREDO")</f>
        <v>JONIEL BARREDO</v>
      </c>
      <c r="I1519" s="1">
        <f>IFERROR(__xludf.DUMMYFUNCTION("""COMPUTED_VALUE"""),9776402076)</f>
        <v>9776402076</v>
      </c>
      <c r="J1519" s="1">
        <f>IFERROR(__xludf.DUMMYFUNCTION("""COMPUTED_VALUE"""),9772080312)</f>
        <v>9772080312</v>
      </c>
      <c r="K1519" s="1" t="str">
        <f>IFERROR(__xludf.DUMMYFUNCTION("""COMPUTED_VALUE"""),"JONIELBARREDO@GMAIL.COM")</f>
        <v>JONIELBARREDO@GMAIL.COM</v>
      </c>
      <c r="L1519" s="1" t="str">
        <f>IFERROR(__xludf.DUMMYFUNCTION("""COMPUTED_VALUE"""),"BLK 41 LOT 17")</f>
        <v>BLK 41 LOT 17</v>
      </c>
      <c r="M1519" s="1" t="str">
        <f>IFERROR(__xludf.DUMMYFUNCTION("""COMPUTED_VALUE"""),"YELLOW BELLE")</f>
        <v>YELLOW BELLE</v>
      </c>
      <c r="N1519" s="1" t="str">
        <f>IFERROR(__xludf.DUMMYFUNCTION("""COMPUTED_VALUE"""),"GREENBREEZE")</f>
        <v>GREENBREEZE</v>
      </c>
      <c r="O1519" s="1" t="str">
        <f>IFERROR(__xludf.DUMMYFUNCTION("""COMPUTED_VALUE"""),"LANGKAAN II")</f>
        <v>LANGKAAN II</v>
      </c>
      <c r="P1519" s="1" t="str">
        <f>IFERROR(__xludf.DUMMYFUNCTION("""COMPUTED_VALUE"""),"DASMARINAS")</f>
        <v>DASMARINAS</v>
      </c>
      <c r="Q1519" s="1" t="str">
        <f>IFERROR(__xludf.DUMMYFUNCTION("""COMPUTED_VALUE"""),"CAVITE")</f>
        <v>CAVITE</v>
      </c>
      <c r="R1519" s="1" t="str">
        <f>IFERROR(__xludf.DUMMYFUNCTION("""COMPUTED_VALUE"""),"FIBR UNLI ALL PLAN 1399")</f>
        <v>FIBR UNLI ALL PLAN 1399</v>
      </c>
      <c r="S1519" s="1" t="str">
        <f>IFERROR(__xludf.DUMMYFUNCTION("""COMPUTED_VALUE"""),"APPROVED")</f>
        <v>APPROVED</v>
      </c>
      <c r="T1519" s="1" t="str">
        <f>IFERROR(__xludf.DUMMYFUNCTION("""COMPUTED_VALUE"""),"CLOSED")</f>
        <v>CLOSED</v>
      </c>
      <c r="U1519" s="1" t="str">
        <f>IFERROR(__xludf.DUMMYFUNCTION("""COMPUTED_VALUE"""),"POSTED")</f>
        <v>POSTED</v>
      </c>
      <c r="V1519" s="1"/>
      <c r="W1519" s="1"/>
    </row>
    <row r="1520" customHeight="1" spans="1:23">
      <c r="A1520" s="3">
        <f>IFERROR(__xludf.DUMMYFUNCTION("""COMPUTED_VALUE"""),46149)</f>
        <v>46149</v>
      </c>
      <c r="B1520" s="1" t="str">
        <f>IFERROR(__xludf.DUMMYFUNCTION("""COMPUTED_VALUE"""),"RIVERA, AIRIZH JOY")</f>
        <v>RIVERA, AIRIZH JOY</v>
      </c>
      <c r="C1520" s="1" t="str">
        <f>IFERROR(__xludf.DUMMYFUNCTION("""COMPUTED_VALUE"""),"ORGANIC")</f>
        <v>ORGANIC</v>
      </c>
      <c r="D1520" s="1" t="str">
        <f>IFERROR(__xludf.DUMMYFUNCTION("""COMPUTED_VALUE"""),"ALOS, CHARLS")</f>
        <v>ALOS, CHARLS</v>
      </c>
      <c r="E1520" s="1" t="str">
        <f>IFERROR(__xludf.DUMMYFUNCTION("""COMPUTED_VALUE"""),"PLDT / ONLINE")</f>
        <v>PLDT / ONLINE</v>
      </c>
      <c r="F1520" s="1">
        <f>IFERROR(__xludf.DUMMYFUNCTION("""COMPUTED_VALUE"""),2309356826)</f>
        <v>2309356826</v>
      </c>
      <c r="G1520" s="1"/>
      <c r="H1520" s="1" t="str">
        <f>IFERROR(__xludf.DUMMYFUNCTION("""COMPUTED_VALUE"""),"MARK AJ DAVID FERNANDEZ")</f>
        <v>MARK AJ DAVID FERNANDEZ</v>
      </c>
      <c r="I1520" s="1">
        <f>IFERROR(__xludf.DUMMYFUNCTION("""COMPUTED_VALUE"""),9554519331)</f>
        <v>9554519331</v>
      </c>
      <c r="J1520" s="1">
        <f>IFERROR(__xludf.DUMMYFUNCTION("""COMPUTED_VALUE"""),9267831048)</f>
        <v>9267831048</v>
      </c>
      <c r="K1520" s="1" t="str">
        <f>IFERROR(__xludf.DUMMYFUNCTION("""COMPUTED_VALUE"""),"MARKAJFERNANDEZ0404@GMAIL.COM")</f>
        <v>MARKAJFERNANDEZ0404@GMAIL.COM</v>
      </c>
      <c r="L1520" s="1" t="str">
        <f>IFERROR(__xludf.DUMMYFUNCTION("""COMPUTED_VALUE"""),"6")</f>
        <v>6</v>
      </c>
      <c r="M1520" s="1" t="str">
        <f>IFERROR(__xludf.DUMMYFUNCTION("""COMPUTED_VALUE"""),"PALIPARAN RD")</f>
        <v>PALIPARAN RD</v>
      </c>
      <c r="N1520" s="1"/>
      <c r="O1520" s="1" t="str">
        <f>IFERROR(__xludf.DUMMYFUNCTION("""COMPUTED_VALUE"""),"PALIPARAN II")</f>
        <v>PALIPARAN II</v>
      </c>
      <c r="P1520" s="1" t="str">
        <f>IFERROR(__xludf.DUMMYFUNCTION("""COMPUTED_VALUE"""),"DASMARINAS")</f>
        <v>DASMARINAS</v>
      </c>
      <c r="Q1520" s="1" t="str">
        <f>IFERROR(__xludf.DUMMYFUNCTION("""COMPUTED_VALUE"""),"CAVITE")</f>
        <v>CAVITE</v>
      </c>
      <c r="R1520" s="1" t="str">
        <f>IFERROR(__xludf.DUMMYFUNCTION("""COMPUTED_VALUE"""),"FIBR PLAN 1299")</f>
        <v>FIBR PLAN 1299</v>
      </c>
      <c r="S1520" s="1" t="str">
        <f>IFERROR(__xludf.DUMMYFUNCTION("""COMPUTED_VALUE"""),"APPROVED")</f>
        <v>APPROVED</v>
      </c>
      <c r="T1520" s="1" t="str">
        <f>IFERROR(__xludf.DUMMYFUNCTION("""COMPUTED_VALUE"""),"CANCELLED")</f>
        <v>CANCELLED</v>
      </c>
      <c r="U1520" s="1"/>
      <c r="V1520" s="1"/>
      <c r="W1520" s="1"/>
    </row>
    <row r="1521" customHeight="1" spans="1:23">
      <c r="A1521" s="3">
        <f>IFERROR(__xludf.DUMMYFUNCTION("""COMPUTED_VALUE"""),46149)</f>
        <v>46149</v>
      </c>
      <c r="B1521" s="1" t="str">
        <f>IFERROR(__xludf.DUMMYFUNCTION("""COMPUTED_VALUE"""),"DELA ROSA, JENNELYN")</f>
        <v>DELA ROSA, JENNELYN</v>
      </c>
      <c r="C1521" s="1" t="str">
        <f>IFERROR(__xludf.DUMMYFUNCTION("""COMPUTED_VALUE"""),"ORGANIC")</f>
        <v>ORGANIC</v>
      </c>
      <c r="D1521" s="1" t="str">
        <f>IFERROR(__xludf.DUMMYFUNCTION("""COMPUTED_VALUE"""),"ALOS, CHARLS")</f>
        <v>ALOS, CHARLS</v>
      </c>
      <c r="E1521" s="1" t="str">
        <f>IFERROR(__xludf.DUMMYFUNCTION("""COMPUTED_VALUE"""),"PLDT / H2H")</f>
        <v>PLDT / H2H</v>
      </c>
      <c r="F1521" s="1">
        <f>IFERROR(__xludf.DUMMYFUNCTION("""COMPUTED_VALUE"""),2309357130)</f>
        <v>2309357130</v>
      </c>
      <c r="G1521" s="1">
        <f>IFERROR(__xludf.DUMMYFUNCTION("""COMPUTED_VALUE"""),453658633004)</f>
        <v>453658633004</v>
      </c>
      <c r="H1521" s="1" t="str">
        <f>IFERROR(__xludf.DUMMYFUNCTION("""COMPUTED_VALUE"""),"JERELIAN SUSUSCO DAGUMBAL")</f>
        <v>JERELIAN SUSUSCO DAGUMBAL</v>
      </c>
      <c r="I1521" s="1">
        <f>IFERROR(__xludf.DUMMYFUNCTION("""COMPUTED_VALUE"""),9750674343)</f>
        <v>9750674343</v>
      </c>
      <c r="J1521" s="1">
        <f>IFERROR(__xludf.DUMMYFUNCTION("""COMPUTED_VALUE"""),9554133614)</f>
        <v>9554133614</v>
      </c>
      <c r="K1521" s="1" t="str">
        <f>IFERROR(__xludf.DUMMYFUNCTION("""COMPUTED_VALUE"""),"GREENGRANY726@GMAIL.COM")</f>
        <v>GREENGRANY726@GMAIL.COM</v>
      </c>
      <c r="L1521" s="1" t="str">
        <f>IFERROR(__xludf.DUMMYFUNCTION("""COMPUTED_VALUE"""),"BLK 42 LOT 1")</f>
        <v>BLK 42 LOT 1</v>
      </c>
      <c r="M1521" s="1" t="str">
        <f>IFERROR(__xludf.DUMMYFUNCTION("""COMPUTED_VALUE"""),"ANAHAW")</f>
        <v>ANAHAW</v>
      </c>
      <c r="N1521" s="1"/>
      <c r="O1521" s="1" t="str">
        <f>IFERROR(__xludf.DUMMYFUNCTION("""COMPUTED_VALUE"""),"ANAHAW II")</f>
        <v>ANAHAW II</v>
      </c>
      <c r="P1521" s="1" t="str">
        <f>IFERROR(__xludf.DUMMYFUNCTION("""COMPUTED_VALUE"""),"SILANG")</f>
        <v>SILANG</v>
      </c>
      <c r="Q1521" s="1" t="str">
        <f>IFERROR(__xludf.DUMMYFUNCTION("""COMPUTED_VALUE"""),"CAVITE")</f>
        <v>CAVITE</v>
      </c>
      <c r="R1521" s="1" t="str">
        <f>IFERROR(__xludf.DUMMYFUNCTION("""COMPUTED_VALUE"""),"FIBR PLAN 1299")</f>
        <v>FIBR PLAN 1299</v>
      </c>
      <c r="S1521" s="1" t="str">
        <f>IFERROR(__xludf.DUMMYFUNCTION("""COMPUTED_VALUE"""),"APPROVED")</f>
        <v>APPROVED</v>
      </c>
      <c r="T1521" s="1" t="str">
        <f>IFERROR(__xludf.DUMMYFUNCTION("""COMPUTED_VALUE"""),"CANCELLED")</f>
        <v>CANCELLED</v>
      </c>
      <c r="U1521" s="1"/>
      <c r="V1521" s="1"/>
      <c r="W1521" s="1"/>
    </row>
    <row r="1522" customHeight="1" spans="1:23">
      <c r="A1522" s="3">
        <f>IFERROR(__xludf.DUMMYFUNCTION("""COMPUTED_VALUE"""),46149)</f>
        <v>46149</v>
      </c>
      <c r="B1522" s="1" t="str">
        <f>IFERROR(__xludf.DUMMYFUNCTION("""COMPUTED_VALUE"""),"FRANCISCO , ROSELYN")</f>
        <v>FRANCISCO , ROSELYN</v>
      </c>
      <c r="C1522" s="1" t="str">
        <f>IFERROR(__xludf.DUMMYFUNCTION("""COMPUTED_VALUE"""),"ORGANIC")</f>
        <v>ORGANIC</v>
      </c>
      <c r="D1522" s="1" t="str">
        <f>IFERROR(__xludf.DUMMYFUNCTION("""COMPUTED_VALUE"""),"ALOS, CHARLS")</f>
        <v>ALOS, CHARLS</v>
      </c>
      <c r="E1522" s="1" t="str">
        <f>IFERROR(__xludf.DUMMYFUNCTION("""COMPUTED_VALUE"""),"PLDT / ONLINE")</f>
        <v>PLDT / ONLINE</v>
      </c>
      <c r="F1522" s="1">
        <f>IFERROR(__xludf.DUMMYFUNCTION("""COMPUTED_VALUE"""),2309379578)</f>
        <v>2309379578</v>
      </c>
      <c r="G1522" s="1">
        <f>IFERROR(__xludf.DUMMYFUNCTION("""COMPUTED_VALUE"""),453795244004)</f>
        <v>453795244004</v>
      </c>
      <c r="H1522" s="1" t="str">
        <f>IFERROR(__xludf.DUMMYFUNCTION("""COMPUTED_VALUE"""),"IMELDA BAHAY DELA CRUZ")</f>
        <v>IMELDA BAHAY DELA CRUZ</v>
      </c>
      <c r="I1522" s="1">
        <f>IFERROR(__xludf.DUMMYFUNCTION("""COMPUTED_VALUE"""),9271861595)</f>
        <v>9271861595</v>
      </c>
      <c r="J1522" s="1"/>
      <c r="K1522" s="1" t="str">
        <f>IFERROR(__xludf.DUMMYFUNCTION("""COMPUTED_VALUE"""),"RB3238837@GMAIL.COM")</f>
        <v>RB3238837@GMAIL.COM</v>
      </c>
      <c r="L1522" s="1" t="str">
        <f>IFERROR(__xludf.DUMMYFUNCTION("""COMPUTED_VALUE"""),"BLK 2 LOT 43")</f>
        <v>BLK 2 LOT 43</v>
      </c>
      <c r="M1522" s="1" t="str">
        <f>IFERROR(__xludf.DUMMYFUNCTION("""COMPUTED_VALUE"""),"GUEVARRA COMPOUND")</f>
        <v>GUEVARRA COMPOUND</v>
      </c>
      <c r="N1522" s="1"/>
      <c r="O1522" s="1" t="str">
        <f>IFERROR(__xludf.DUMMYFUNCTION("""COMPUTED_VALUE"""),"BUCANDALA V")</f>
        <v>BUCANDALA V</v>
      </c>
      <c r="P1522" s="1" t="str">
        <f>IFERROR(__xludf.DUMMYFUNCTION("""COMPUTED_VALUE"""),"IMUS")</f>
        <v>IMUS</v>
      </c>
      <c r="Q1522" s="1" t="str">
        <f>IFERROR(__xludf.DUMMYFUNCTION("""COMPUTED_VALUE"""),"CAVITE")</f>
        <v>CAVITE</v>
      </c>
      <c r="R1522" s="1" t="str">
        <f>IFERROR(__xludf.DUMMYFUNCTION("""COMPUTED_VALUE"""),"FIBR UNLI ALL PLAN 1399")</f>
        <v>FIBR UNLI ALL PLAN 1399</v>
      </c>
      <c r="S1522" s="1" t="str">
        <f>IFERROR(__xludf.DUMMYFUNCTION("""COMPUTED_VALUE"""),"APPROVED")</f>
        <v>APPROVED</v>
      </c>
      <c r="T1522" s="1" t="str">
        <f>IFERROR(__xludf.DUMMYFUNCTION("""COMPUTED_VALUE"""),"CLOSED")</f>
        <v>CLOSED</v>
      </c>
      <c r="U1522" s="1" t="str">
        <f>IFERROR(__xludf.DUMMYFUNCTION("""COMPUTED_VALUE"""),"POSTED")</f>
        <v>POSTED</v>
      </c>
      <c r="V1522" s="1"/>
      <c r="W1522" s="1"/>
    </row>
    <row r="1523" customHeight="1" spans="1:23">
      <c r="A1523" s="3">
        <f>IFERROR(__xludf.DUMMYFUNCTION("""COMPUTED_VALUE"""),46149)</f>
        <v>46149</v>
      </c>
      <c r="B1523" s="1" t="str">
        <f>IFERROR(__xludf.DUMMYFUNCTION("""COMPUTED_VALUE"""),"DE VERA, MARIVIC")</f>
        <v>DE VERA, MARIVIC</v>
      </c>
      <c r="C1523" s="1" t="str">
        <f>IFERROR(__xludf.DUMMYFUNCTION("""COMPUTED_VALUE"""),"ORGANIC")</f>
        <v>ORGANIC</v>
      </c>
      <c r="D1523" s="1" t="str">
        <f>IFERROR(__xludf.DUMMYFUNCTION("""COMPUTED_VALUE"""),"REMOLLO LEA")</f>
        <v>REMOLLO LEA</v>
      </c>
      <c r="E1523" s="1" t="str">
        <f>IFERROR(__xludf.DUMMYFUNCTION("""COMPUTED_VALUE"""),"PLDT / H2H")</f>
        <v>PLDT / H2H</v>
      </c>
      <c r="F1523" s="1">
        <f>IFERROR(__xludf.DUMMYFUNCTION("""COMPUTED_VALUE"""),2309358124)</f>
        <v>2309358124</v>
      </c>
      <c r="G1523" s="1">
        <f>IFERROR(__xludf.DUMMYFUNCTION("""COMPUTED_VALUE"""),453659616004)</f>
        <v>453659616004</v>
      </c>
      <c r="H1523" s="1" t="str">
        <f>IFERROR(__xludf.DUMMYFUNCTION("""COMPUTED_VALUE"""),"ERLIN MANCERA GOMEZ")</f>
        <v>ERLIN MANCERA GOMEZ</v>
      </c>
      <c r="I1523" s="1">
        <f>IFERROR(__xludf.DUMMYFUNCTION("""COMPUTED_VALUE"""),9485197418)</f>
        <v>9485197418</v>
      </c>
      <c r="J1523" s="1">
        <f>IFERROR(__xludf.DUMMYFUNCTION("""COMPUTED_VALUE"""),9707971740)</f>
        <v>9707971740</v>
      </c>
      <c r="K1523" s="1" t="str">
        <f>IFERROR(__xludf.DUMMYFUNCTION("""COMPUTED_VALUE"""),"HGOMEZERLIN809@GMAIL.COM")</f>
        <v>HGOMEZERLIN809@GMAIL.COM</v>
      </c>
      <c r="L1523" s="1" t="str">
        <f>IFERROR(__xludf.DUMMYFUNCTION("""COMPUTED_VALUE"""),"33")</f>
        <v>33</v>
      </c>
      <c r="M1523" s="1" t="str">
        <f>IFERROR(__xludf.DUMMYFUNCTION("""COMPUTED_VALUE"""),"PUROK 3")</f>
        <v>PUROK 3</v>
      </c>
      <c r="N1523" s="1"/>
      <c r="O1523" s="1" t="str">
        <f>IFERROR(__xludf.DUMMYFUNCTION("""COMPUTED_VALUE"""),"LUCSUHIN")</f>
        <v>LUCSUHIN</v>
      </c>
      <c r="P1523" s="1" t="str">
        <f>IFERROR(__xludf.DUMMYFUNCTION("""COMPUTED_VALUE"""),"SILANG")</f>
        <v>SILANG</v>
      </c>
      <c r="Q1523" s="1" t="str">
        <f>IFERROR(__xludf.DUMMYFUNCTION("""COMPUTED_VALUE"""),"CAVITE")</f>
        <v>CAVITE</v>
      </c>
      <c r="R1523" s="1" t="str">
        <f>IFERROR(__xludf.DUMMYFUNCTION("""COMPUTED_VALUE"""),"FIBR PLAN 1299")</f>
        <v>FIBR PLAN 1299</v>
      </c>
      <c r="S1523" s="1" t="str">
        <f>IFERROR(__xludf.DUMMYFUNCTION("""COMPUTED_VALUE"""),"APPROVED")</f>
        <v>APPROVED</v>
      </c>
      <c r="T1523" s="1" t="str">
        <f>IFERROR(__xludf.DUMMYFUNCTION("""COMPUTED_VALUE"""),"CLOSED")</f>
        <v>CLOSED</v>
      </c>
      <c r="U1523" s="1" t="str">
        <f>IFERROR(__xludf.DUMMYFUNCTION("""COMPUTED_VALUE"""),"POSTED")</f>
        <v>POSTED</v>
      </c>
      <c r="V1523" s="1"/>
      <c r="W1523" s="1"/>
    </row>
    <row r="1524" customHeight="1" spans="1:23">
      <c r="A1524" s="3">
        <f>IFERROR(__xludf.DUMMYFUNCTION("""COMPUTED_VALUE"""),46149)</f>
        <v>46149</v>
      </c>
      <c r="B1524" s="1" t="str">
        <f>IFERROR(__xludf.DUMMYFUNCTION("""COMPUTED_VALUE"""),"AMADO, LYKA")</f>
        <v>AMADO, LYKA</v>
      </c>
      <c r="C1524" s="1" t="str">
        <f>IFERROR(__xludf.DUMMYFUNCTION("""COMPUTED_VALUE"""),"ORGANIC")</f>
        <v>ORGANIC</v>
      </c>
      <c r="D1524" s="1" t="str">
        <f>IFERROR(__xludf.DUMMYFUNCTION("""COMPUTED_VALUE"""),"ALINGARO, CINDY")</f>
        <v>ALINGARO, CINDY</v>
      </c>
      <c r="E1524" s="1" t="str">
        <f>IFERROR(__xludf.DUMMYFUNCTION("""COMPUTED_VALUE"""),"PLDT / ONLINE")</f>
        <v>PLDT / ONLINE</v>
      </c>
      <c r="F1524" s="1">
        <f>IFERROR(__xludf.DUMMYFUNCTION("""COMPUTED_VALUE"""),2309358475)</f>
        <v>2309358475</v>
      </c>
      <c r="G1524" s="1"/>
      <c r="H1524" s="1" t="str">
        <f>IFERROR(__xludf.DUMMYFUNCTION("""COMPUTED_VALUE"""),"CAREN SANCHA DE ORO")</f>
        <v>CAREN SANCHA DE ORO</v>
      </c>
      <c r="I1524" s="1">
        <f>IFERROR(__xludf.DUMMYFUNCTION("""COMPUTED_VALUE"""),9511070727)</f>
        <v>9511070727</v>
      </c>
      <c r="J1524" s="1"/>
      <c r="K1524" s="1" t="str">
        <f>IFERROR(__xludf.DUMMYFUNCTION("""COMPUTED_VALUE"""),"JAYCELYNDEORO80@GMAIL.COM")</f>
        <v>JAYCELYNDEORO80@GMAIL.COM</v>
      </c>
      <c r="L1524" s="1" t="str">
        <f>IFERROR(__xludf.DUMMYFUNCTION("""COMPUTED_VALUE"""),"BLK 20 LOT 5")</f>
        <v>BLK 20 LOT 5</v>
      </c>
      <c r="M1524" s="1" t="str">
        <f>IFERROR(__xludf.DUMMYFUNCTION("""COMPUTED_VALUE"""),"BERLIN")</f>
        <v>BERLIN</v>
      </c>
      <c r="N1524" s="1" t="str">
        <f>IFERROR(__xludf.DUMMYFUNCTION("""COMPUTED_VALUE"""),"SUMMERWIND")</f>
        <v>SUMMERWIND</v>
      </c>
      <c r="O1524" s="1" t="str">
        <f>IFERROR(__xludf.DUMMYFUNCTION("""COMPUTED_VALUE"""),"BUROL")</f>
        <v>BUROL</v>
      </c>
      <c r="P1524" s="1" t="str">
        <f>IFERROR(__xludf.DUMMYFUNCTION("""COMPUTED_VALUE"""),"DASMARINAS")</f>
        <v>DASMARINAS</v>
      </c>
      <c r="Q1524" s="1" t="str">
        <f>IFERROR(__xludf.DUMMYFUNCTION("""COMPUTED_VALUE"""),"CAVITE")</f>
        <v>CAVITE</v>
      </c>
      <c r="R1524" s="1" t="str">
        <f>IFERROR(__xludf.DUMMYFUNCTION("""COMPUTED_VALUE"""),"FIBR PLAN 1299")</f>
        <v>FIBR PLAN 1299</v>
      </c>
      <c r="S1524" s="1" t="str">
        <f>IFERROR(__xludf.DUMMYFUNCTION("""COMPUTED_VALUE"""),"APPROVED")</f>
        <v>APPROVED</v>
      </c>
      <c r="T1524" s="1" t="str">
        <f>IFERROR(__xludf.DUMMYFUNCTION("""COMPUTED_VALUE"""),"CANCELLED")</f>
        <v>CANCELLED</v>
      </c>
      <c r="U1524" s="1"/>
      <c r="V1524" s="1"/>
      <c r="W1524" s="1"/>
    </row>
    <row r="1525" customHeight="1" spans="1:23">
      <c r="A1525" s="3">
        <f>IFERROR(__xludf.DUMMYFUNCTION("""COMPUTED_VALUE"""),46149)</f>
        <v>46149</v>
      </c>
      <c r="B1525" s="1" t="str">
        <f>IFERROR(__xludf.DUMMYFUNCTION("""COMPUTED_VALUE"""),"FRANCISCO , ROSELYN")</f>
        <v>FRANCISCO , ROSELYN</v>
      </c>
      <c r="C1525" s="1" t="str">
        <f>IFERROR(__xludf.DUMMYFUNCTION("""COMPUTED_VALUE"""),"ORGANIC")</f>
        <v>ORGANIC</v>
      </c>
      <c r="D1525" s="1" t="str">
        <f>IFERROR(__xludf.DUMMYFUNCTION("""COMPUTED_VALUE"""),"ALOS, CHARLS")</f>
        <v>ALOS, CHARLS</v>
      </c>
      <c r="E1525" s="1" t="str">
        <f>IFERROR(__xludf.DUMMYFUNCTION("""COMPUTED_VALUE"""),"PLDT / H2H")</f>
        <v>PLDT / H2H</v>
      </c>
      <c r="F1525" s="1">
        <f>IFERROR(__xludf.DUMMYFUNCTION("""COMPUTED_VALUE"""),2309359435)</f>
        <v>2309359435</v>
      </c>
      <c r="G1525" s="1">
        <f>IFERROR(__xludf.DUMMYFUNCTION("""COMPUTED_VALUE"""),453662755004)</f>
        <v>453662755004</v>
      </c>
      <c r="H1525" s="1" t="str">
        <f>IFERROR(__xludf.DUMMYFUNCTION("""COMPUTED_VALUE"""),"RAYMUND MANANITA VARGAS")</f>
        <v>RAYMUND MANANITA VARGAS</v>
      </c>
      <c r="I1525" s="1">
        <f>IFERROR(__xludf.DUMMYFUNCTION("""COMPUTED_VALUE"""),9309074169)</f>
        <v>9309074169</v>
      </c>
      <c r="J1525" s="1">
        <f>IFERROR(__xludf.DUMMYFUNCTION("""COMPUTED_VALUE"""),9550793178)</f>
        <v>9550793178</v>
      </c>
      <c r="K1525" s="1" t="str">
        <f>IFERROR(__xludf.DUMMYFUNCTION("""COMPUTED_VALUE"""),"HAISR.MMM@GMAIL.COM")</f>
        <v>HAISR.MMM@GMAIL.COM</v>
      </c>
      <c r="L1525" s="1" t="str">
        <f>IFERROR(__xludf.DUMMYFUNCTION("""COMPUTED_VALUE"""),"BLK 50 LOT 21")</f>
        <v>BLK 50 LOT 21</v>
      </c>
      <c r="M1525" s="1" t="str">
        <f>IFERROR(__xludf.DUMMYFUNCTION("""COMPUTED_VALUE"""),"NARRA")</f>
        <v>NARRA</v>
      </c>
      <c r="N1525" s="1"/>
      <c r="O1525" s="1" t="str">
        <f>IFERROR(__xludf.DUMMYFUNCTION("""COMPUTED_VALUE"""),"NARRA III")</f>
        <v>NARRA III</v>
      </c>
      <c r="P1525" s="1" t="str">
        <f>IFERROR(__xludf.DUMMYFUNCTION("""COMPUTED_VALUE"""),"SILANG")</f>
        <v>SILANG</v>
      </c>
      <c r="Q1525" s="1" t="str">
        <f>IFERROR(__xludf.DUMMYFUNCTION("""COMPUTED_VALUE"""),"CAVITE")</f>
        <v>CAVITE</v>
      </c>
      <c r="R1525" s="1" t="str">
        <f>IFERROR(__xludf.DUMMYFUNCTION("""COMPUTED_VALUE"""),"FIBR UNLI ALL PLAN 999")</f>
        <v>FIBR UNLI ALL PLAN 999</v>
      </c>
      <c r="S1525" s="1" t="str">
        <f>IFERROR(__xludf.DUMMYFUNCTION("""COMPUTED_VALUE"""),"APPROVED")</f>
        <v>APPROVED</v>
      </c>
      <c r="T1525" s="1" t="str">
        <f>IFERROR(__xludf.DUMMYFUNCTION("""COMPUTED_VALUE"""),"CANCELLED")</f>
        <v>CANCELLED</v>
      </c>
      <c r="U1525" s="1"/>
      <c r="V1525" s="1"/>
      <c r="W1525" s="1"/>
    </row>
    <row r="1526" customHeight="1" spans="1:23">
      <c r="A1526" s="3">
        <f>IFERROR(__xludf.DUMMYFUNCTION("""COMPUTED_VALUE"""),46149)</f>
        <v>46149</v>
      </c>
      <c r="B1526" s="1" t="str">
        <f>IFERROR(__xludf.DUMMYFUNCTION("""COMPUTED_VALUE"""),"FERNANDEZ JERIC")</f>
        <v>FERNANDEZ JERIC</v>
      </c>
      <c r="C1526" s="1" t="str">
        <f>IFERROR(__xludf.DUMMYFUNCTION("""COMPUTED_VALUE"""),"ORGANIC")</f>
        <v>ORGANIC</v>
      </c>
      <c r="D1526" s="1" t="str">
        <f>IFERROR(__xludf.DUMMYFUNCTION("""COMPUTED_VALUE"""),"ALOS, CHARLS")</f>
        <v>ALOS, CHARLS</v>
      </c>
      <c r="E1526" s="1" t="str">
        <f>IFERROR(__xludf.DUMMYFUNCTION("""COMPUTED_VALUE"""),"PLDT / H2H")</f>
        <v>PLDT / H2H</v>
      </c>
      <c r="F1526" s="1">
        <f>IFERROR(__xludf.DUMMYFUNCTION("""COMPUTED_VALUE"""),2309360190)</f>
        <v>2309360190</v>
      </c>
      <c r="G1526" s="1">
        <f>IFERROR(__xludf.DUMMYFUNCTION("""COMPUTED_VALUE"""),453661700004)</f>
        <v>453661700004</v>
      </c>
      <c r="H1526" s="1" t="str">
        <f>IFERROR(__xludf.DUMMYFUNCTION("""COMPUTED_VALUE"""),"LOLITA TUMBLOD MARMOL")</f>
        <v>LOLITA TUMBLOD MARMOL</v>
      </c>
      <c r="I1526" s="1">
        <f>IFERROR(__xludf.DUMMYFUNCTION("""COMPUTED_VALUE"""),9636285291)</f>
        <v>9636285291</v>
      </c>
      <c r="J1526" s="1">
        <f>IFERROR(__xludf.DUMMYFUNCTION("""COMPUTED_VALUE"""),9636285291)</f>
        <v>9636285291</v>
      </c>
      <c r="K1526" s="1" t="str">
        <f>IFERROR(__xludf.DUMMYFUNCTION("""COMPUTED_VALUE"""),"TUMBLODLOLITA26@GMAIL.COM")</f>
        <v>TUMBLODLOLITA26@GMAIL.COM</v>
      </c>
      <c r="L1526" s="1" t="str">
        <f>IFERROR(__xludf.DUMMYFUNCTION("""COMPUTED_VALUE"""),"BLK 50 LOT 22")</f>
        <v>BLK 50 LOT 22</v>
      </c>
      <c r="M1526" s="1" t="str">
        <f>IFERROR(__xludf.DUMMYFUNCTION("""COMPUTED_VALUE"""),"NARRA")</f>
        <v>NARRA</v>
      </c>
      <c r="N1526" s="1"/>
      <c r="O1526" s="1" t="str">
        <f>IFERROR(__xludf.DUMMYFUNCTION("""COMPUTED_VALUE"""),"NARRA II")</f>
        <v>NARRA II</v>
      </c>
      <c r="P1526" s="1" t="str">
        <f>IFERROR(__xludf.DUMMYFUNCTION("""COMPUTED_VALUE"""),"SILANG")</f>
        <v>SILANG</v>
      </c>
      <c r="Q1526" s="1" t="str">
        <f>IFERROR(__xludf.DUMMYFUNCTION("""COMPUTED_VALUE"""),"CAVITE")</f>
        <v>CAVITE</v>
      </c>
      <c r="R1526" s="1" t="str">
        <f>IFERROR(__xludf.DUMMYFUNCTION("""COMPUTED_VALUE"""),"FIBR UNLI ALL PLAN 999")</f>
        <v>FIBR UNLI ALL PLAN 999</v>
      </c>
      <c r="S1526" s="1" t="str">
        <f>IFERROR(__xludf.DUMMYFUNCTION("""COMPUTED_VALUE"""),"APPROVED")</f>
        <v>APPROVED</v>
      </c>
      <c r="T1526" s="1" t="str">
        <f>IFERROR(__xludf.DUMMYFUNCTION("""COMPUTED_VALUE"""),"CLOSED")</f>
        <v>CLOSED</v>
      </c>
      <c r="U1526" s="1" t="str">
        <f>IFERROR(__xludf.DUMMYFUNCTION("""COMPUTED_VALUE"""),"POSTED")</f>
        <v>POSTED</v>
      </c>
      <c r="V1526" s="1"/>
      <c r="W1526" s="1"/>
    </row>
    <row r="1527" customHeight="1" spans="1:23">
      <c r="A1527" s="3">
        <f>IFERROR(__xludf.DUMMYFUNCTION("""COMPUTED_VALUE"""),46149)</f>
        <v>46149</v>
      </c>
      <c r="B1527" s="1" t="str">
        <f>IFERROR(__xludf.DUMMYFUNCTION("""COMPUTED_VALUE"""),"VERESO , MERL FRANCINE")</f>
        <v>VERESO , MERL FRANCINE</v>
      </c>
      <c r="C1527" s="1" t="str">
        <f>IFERROR(__xludf.DUMMYFUNCTION("""COMPUTED_VALUE"""),"ORGANIC")</f>
        <v>ORGANIC</v>
      </c>
      <c r="D1527" s="1" t="str">
        <f>IFERROR(__xludf.DUMMYFUNCTION("""COMPUTED_VALUE"""),"ALOS, CHARLS")</f>
        <v>ALOS, CHARLS</v>
      </c>
      <c r="E1527" s="1" t="str">
        <f>IFERROR(__xludf.DUMMYFUNCTION("""COMPUTED_VALUE"""),"PLDT / ONLINE")</f>
        <v>PLDT / ONLINE</v>
      </c>
      <c r="F1527" s="1">
        <f>IFERROR(__xludf.DUMMYFUNCTION("""COMPUTED_VALUE"""),2309361648)</f>
        <v>2309361648</v>
      </c>
      <c r="G1527" s="1">
        <f>IFERROR(__xludf.DUMMYFUNCTION("""COMPUTED_VALUE"""),453669183004)</f>
        <v>453669183004</v>
      </c>
      <c r="H1527" s="1" t="str">
        <f>IFERROR(__xludf.DUMMYFUNCTION("""COMPUTED_VALUE"""),"EXEQUIL DAVID FAX ESPORLAS")</f>
        <v>EXEQUIL DAVID FAX ESPORLAS</v>
      </c>
      <c r="I1527" s="1">
        <f>IFERROR(__xludf.DUMMYFUNCTION("""COMPUTED_VALUE"""),9482709245)</f>
        <v>9482709245</v>
      </c>
      <c r="J1527" s="1">
        <f>IFERROR(__xludf.DUMMYFUNCTION("""COMPUTED_VALUE"""),9936083589)</f>
        <v>9936083589</v>
      </c>
      <c r="K1527" s="1" t="str">
        <f>IFERROR(__xludf.DUMMYFUNCTION("""COMPUTED_VALUE"""),"EQEQUIL27DAVID@GMAIL.COM")</f>
        <v>EQEQUIL27DAVID@GMAIL.COM</v>
      </c>
      <c r="L1527" s="1" t="str">
        <f>IFERROR(__xludf.DUMMYFUNCTION("""COMPUTED_VALUE"""),"BLK 6 LOT 6")</f>
        <v>BLK 6 LOT 6</v>
      </c>
      <c r="M1527" s="1" t="str">
        <f>IFERROR(__xludf.DUMMYFUNCTION("""COMPUTED_VALUE"""),"ROSE")</f>
        <v>ROSE</v>
      </c>
      <c r="N1527" s="1" t="str">
        <f>IFERROR(__xludf.DUMMYFUNCTION("""COMPUTED_VALUE"""),"PHASE 2 VILLA LUISA ")</f>
        <v>PHASE 2 VILLA LUISA </v>
      </c>
      <c r="O1527" s="1" t="str">
        <f>IFERROR(__xludf.DUMMYFUNCTION("""COMPUTED_VALUE"""),"SAN AGUSTIN III")</f>
        <v>SAN AGUSTIN III</v>
      </c>
      <c r="P1527" s="1" t="str">
        <f>IFERROR(__xludf.DUMMYFUNCTION("""COMPUTED_VALUE"""),"DASMARINAS")</f>
        <v>DASMARINAS</v>
      </c>
      <c r="Q1527" s="1" t="str">
        <f>IFERROR(__xludf.DUMMYFUNCTION("""COMPUTED_VALUE"""),"CAVITE")</f>
        <v>CAVITE</v>
      </c>
      <c r="R1527" s="1" t="str">
        <f>IFERROR(__xludf.DUMMYFUNCTION("""COMPUTED_VALUE"""),"FIBR PLAN 1299")</f>
        <v>FIBR PLAN 1299</v>
      </c>
      <c r="S1527" s="1" t="str">
        <f>IFERROR(__xludf.DUMMYFUNCTION("""COMPUTED_VALUE"""),"APPROVED")</f>
        <v>APPROVED</v>
      </c>
      <c r="T1527" s="1" t="str">
        <f>IFERROR(__xludf.DUMMYFUNCTION("""COMPUTED_VALUE"""),"CANCELLED")</f>
        <v>CANCELLED</v>
      </c>
      <c r="U1527" s="1"/>
      <c r="V1527" s="1"/>
      <c r="W1527" s="1"/>
    </row>
    <row r="1528" customHeight="1" spans="1:23">
      <c r="A1528" s="3">
        <f>IFERROR(__xludf.DUMMYFUNCTION("""COMPUTED_VALUE"""),46149)</f>
        <v>46149</v>
      </c>
      <c r="B1528" s="1" t="str">
        <f>IFERROR(__xludf.DUMMYFUNCTION("""COMPUTED_VALUE"""),"ADVINCULA, NICOLE")</f>
        <v>ADVINCULA, NICOLE</v>
      </c>
      <c r="C1528" s="1" t="str">
        <f>IFERROR(__xludf.DUMMYFUNCTION("""COMPUTED_VALUE"""),"ORGANIC")</f>
        <v>ORGANIC</v>
      </c>
      <c r="D1528" s="1" t="str">
        <f>IFERROR(__xludf.DUMMYFUNCTION("""COMPUTED_VALUE"""),"ALINGARO, CINDY")</f>
        <v>ALINGARO, CINDY</v>
      </c>
      <c r="E1528" s="1" t="str">
        <f>IFERROR(__xludf.DUMMYFUNCTION("""COMPUTED_VALUE"""),"PLDT / H2H")</f>
        <v>PLDT / H2H</v>
      </c>
      <c r="F1528" s="1">
        <f>IFERROR(__xludf.DUMMYFUNCTION("""COMPUTED_VALUE"""),2309361937)</f>
        <v>2309361937</v>
      </c>
      <c r="G1528" s="1">
        <f>IFERROR(__xludf.DUMMYFUNCTION("""COMPUTED_VALUE"""),453664361004)</f>
        <v>453664361004</v>
      </c>
      <c r="H1528" s="1" t="str">
        <f>IFERROR(__xludf.DUMMYFUNCTION("""COMPUTED_VALUE"""),"DANLYN FUTTO YAMIO")</f>
        <v>DANLYN FUTTO YAMIO</v>
      </c>
      <c r="I1528" s="1">
        <f>IFERROR(__xludf.DUMMYFUNCTION("""COMPUTED_VALUE"""),9530971107)</f>
        <v>9530971107</v>
      </c>
      <c r="J1528" s="1"/>
      <c r="K1528" s="1" t="str">
        <f>IFERROR(__xludf.DUMMYFUNCTION("""COMPUTED_VALUE"""),"YAMIODANLYN@GMAIL.COM")</f>
        <v>YAMIODANLYN@GMAIL.COM</v>
      </c>
      <c r="L1528" s="1" t="str">
        <f>IFERROR(__xludf.DUMMYFUNCTION("""COMPUTED_VALUE"""),"134")</f>
        <v>134</v>
      </c>
      <c r="M1528" s="1" t="str">
        <f>IFERROR(__xludf.DUMMYFUNCTION("""COMPUTED_VALUE"""),"PUROK 3")</f>
        <v>PUROK 3</v>
      </c>
      <c r="N1528" s="1"/>
      <c r="O1528" s="1" t="str">
        <f>IFERROR(__xludf.DUMMYFUNCTION("""COMPUTED_VALUE"""),"LUCSUHIN")</f>
        <v>LUCSUHIN</v>
      </c>
      <c r="P1528" s="1" t="str">
        <f>IFERROR(__xludf.DUMMYFUNCTION("""COMPUTED_VALUE"""),"SILANG")</f>
        <v>SILANG</v>
      </c>
      <c r="Q1528" s="1" t="str">
        <f>IFERROR(__xludf.DUMMYFUNCTION("""COMPUTED_VALUE"""),"CAVITE")</f>
        <v>CAVITE</v>
      </c>
      <c r="R1528" s="1" t="str">
        <f>IFERROR(__xludf.DUMMYFUNCTION("""COMPUTED_VALUE"""),"FIBR UNLI ALL PLAN 1399")</f>
        <v>FIBR UNLI ALL PLAN 1399</v>
      </c>
      <c r="S1528" s="1" t="str">
        <f>IFERROR(__xludf.DUMMYFUNCTION("""COMPUTED_VALUE"""),"APPROVED")</f>
        <v>APPROVED</v>
      </c>
      <c r="T1528" s="1" t="str">
        <f>IFERROR(__xludf.DUMMYFUNCTION("""COMPUTED_VALUE"""),"RPR")</f>
        <v>RPR</v>
      </c>
      <c r="U1528" s="1"/>
      <c r="V1528" s="1"/>
      <c r="W1528" s="1"/>
    </row>
    <row r="1529" customHeight="1" spans="1:23">
      <c r="A1529" s="3">
        <f>IFERROR(__xludf.DUMMYFUNCTION("""COMPUTED_VALUE"""),46149)</f>
        <v>46149</v>
      </c>
      <c r="B1529" s="1" t="str">
        <f>IFERROR(__xludf.DUMMYFUNCTION("""COMPUTED_VALUE"""),"ADVINCULA, NICOLE")</f>
        <v>ADVINCULA, NICOLE</v>
      </c>
      <c r="C1529" s="1" t="str">
        <f>IFERROR(__xludf.DUMMYFUNCTION("""COMPUTED_VALUE"""),"ORGANIC")</f>
        <v>ORGANIC</v>
      </c>
      <c r="D1529" s="1" t="str">
        <f>IFERROR(__xludf.DUMMYFUNCTION("""COMPUTED_VALUE"""),"ALINGARO, CINDY")</f>
        <v>ALINGARO, CINDY</v>
      </c>
      <c r="E1529" s="1" t="str">
        <f>IFERROR(__xludf.DUMMYFUNCTION("""COMPUTED_VALUE"""),"PLDT / H2H")</f>
        <v>PLDT / H2H</v>
      </c>
      <c r="F1529" s="1">
        <f>IFERROR(__xludf.DUMMYFUNCTION("""COMPUTED_VALUE"""),2309362238)</f>
        <v>2309362238</v>
      </c>
      <c r="G1529" s="1">
        <f>IFERROR(__xludf.DUMMYFUNCTION("""COMPUTED_VALUE"""),453664966004)</f>
        <v>453664966004</v>
      </c>
      <c r="H1529" s="1" t="str">
        <f>IFERROR(__xludf.DUMMYFUNCTION("""COMPUTED_VALUE"""),"KATHERINE NICOLE ALIGACION MANDOZA")</f>
        <v>KATHERINE NICOLE ALIGACION MANDOZA</v>
      </c>
      <c r="I1529" s="1">
        <f>IFERROR(__xludf.DUMMYFUNCTION("""COMPUTED_VALUE"""),9954258437)</f>
        <v>9954258437</v>
      </c>
      <c r="J1529" s="1">
        <f>IFERROR(__xludf.DUMMYFUNCTION("""COMPUTED_VALUE"""),9277135096)</f>
        <v>9277135096</v>
      </c>
      <c r="K1529" s="1" t="str">
        <f>IFERROR(__xludf.DUMMYFUNCTION("""COMPUTED_VALUE"""),"KNMENDOZA.3096@GMAIL.COM")</f>
        <v>KNMENDOZA.3096@GMAIL.COM</v>
      </c>
      <c r="L1529" s="1" t="str">
        <f>IFERROR(__xludf.DUMMYFUNCTION("""COMPUTED_VALUE"""),"101")</f>
        <v>101</v>
      </c>
      <c r="M1529" s="1" t="str">
        <f>IFERROR(__xludf.DUMMYFUNCTION("""COMPUTED_VALUE"""),"PUROK 3")</f>
        <v>PUROK 3</v>
      </c>
      <c r="N1529" s="1"/>
      <c r="O1529" s="1" t="str">
        <f>IFERROR(__xludf.DUMMYFUNCTION("""COMPUTED_VALUE"""),"LUCSUHIN")</f>
        <v>LUCSUHIN</v>
      </c>
      <c r="P1529" s="1" t="str">
        <f>IFERROR(__xludf.DUMMYFUNCTION("""COMPUTED_VALUE"""),"SILANG")</f>
        <v>SILANG</v>
      </c>
      <c r="Q1529" s="1" t="str">
        <f>IFERROR(__xludf.DUMMYFUNCTION("""COMPUTED_VALUE"""),"CAVITE")</f>
        <v>CAVITE</v>
      </c>
      <c r="R1529" s="1" t="str">
        <f>IFERROR(__xludf.DUMMYFUNCTION("""COMPUTED_VALUE"""),"FIBR UNLI ALL PLAN 1399")</f>
        <v>FIBR UNLI ALL PLAN 1399</v>
      </c>
      <c r="S1529" s="1" t="str">
        <f>IFERROR(__xludf.DUMMYFUNCTION("""COMPUTED_VALUE"""),"APPROVED")</f>
        <v>APPROVED</v>
      </c>
      <c r="T1529" s="1" t="str">
        <f>IFERROR(__xludf.DUMMYFUNCTION("""COMPUTED_VALUE"""),"RPR")</f>
        <v>RPR</v>
      </c>
      <c r="U1529" s="1"/>
      <c r="V1529" s="1"/>
      <c r="W1529" s="1"/>
    </row>
    <row r="1530" customHeight="1" spans="1:23">
      <c r="A1530" s="3">
        <f>IFERROR(__xludf.DUMMYFUNCTION("""COMPUTED_VALUE"""),46149)</f>
        <v>46149</v>
      </c>
      <c r="B1530" s="1" t="str">
        <f>IFERROR(__xludf.DUMMYFUNCTION("""COMPUTED_VALUE"""),"AGUNOS, JHON AIRVIN")</f>
        <v>AGUNOS, JHON AIRVIN</v>
      </c>
      <c r="C1530" s="1" t="str">
        <f>IFERROR(__xludf.DUMMYFUNCTION("""COMPUTED_VALUE"""),"ORGANIC")</f>
        <v>ORGANIC</v>
      </c>
      <c r="D1530" s="1" t="str">
        <f>IFERROR(__xludf.DUMMYFUNCTION("""COMPUTED_VALUE"""),"ALINGARO, CINDY")</f>
        <v>ALINGARO, CINDY</v>
      </c>
      <c r="E1530" s="1" t="str">
        <f>IFERROR(__xludf.DUMMYFUNCTION("""COMPUTED_VALUE"""),"PLDT / H2H")</f>
        <v>PLDT / H2H</v>
      </c>
      <c r="F1530" s="1">
        <f>IFERROR(__xludf.DUMMYFUNCTION("""COMPUTED_VALUE"""),2309362690)</f>
        <v>2309362690</v>
      </c>
      <c r="G1530" s="1">
        <f>IFERROR(__xludf.DUMMYFUNCTION("""COMPUTED_VALUE"""),453669656004)</f>
        <v>453669656004</v>
      </c>
      <c r="H1530" s="1" t="str">
        <f>IFERROR(__xludf.DUMMYFUNCTION("""COMPUTED_VALUE"""),"SHELLA FUTTO AFRICA")</f>
        <v>SHELLA FUTTO AFRICA</v>
      </c>
      <c r="I1530" s="1">
        <f>IFERROR(__xludf.DUMMYFUNCTION("""COMPUTED_VALUE"""),9953010739)</f>
        <v>9953010739</v>
      </c>
      <c r="J1530" s="1"/>
      <c r="K1530" s="1" t="str">
        <f>IFERROR(__xludf.DUMMYFUNCTION("""COMPUTED_VALUE"""),"AFRICASHELLA276@GMAIL.COM")</f>
        <v>AFRICASHELLA276@GMAIL.COM</v>
      </c>
      <c r="L1530" s="1" t="str">
        <f>IFERROR(__xludf.DUMMYFUNCTION("""COMPUTED_VALUE"""),"135")</f>
        <v>135</v>
      </c>
      <c r="M1530" s="1" t="str">
        <f>IFERROR(__xludf.DUMMYFUNCTION("""COMPUTED_VALUE"""),"PUROK 3")</f>
        <v>PUROK 3</v>
      </c>
      <c r="N1530" s="1"/>
      <c r="O1530" s="1" t="str">
        <f>IFERROR(__xludf.DUMMYFUNCTION("""COMPUTED_VALUE"""),"LUCSUHIN")</f>
        <v>LUCSUHIN</v>
      </c>
      <c r="P1530" s="1" t="str">
        <f>IFERROR(__xludf.DUMMYFUNCTION("""COMPUTED_VALUE"""),"SILANG")</f>
        <v>SILANG</v>
      </c>
      <c r="Q1530" s="1" t="str">
        <f>IFERROR(__xludf.DUMMYFUNCTION("""COMPUTED_VALUE"""),"CAVITE")</f>
        <v>CAVITE</v>
      </c>
      <c r="R1530" s="1" t="str">
        <f>IFERROR(__xludf.DUMMYFUNCTION("""COMPUTED_VALUE"""),"FIBR UNLI ALL PLAN 1399")</f>
        <v>FIBR UNLI ALL PLAN 1399</v>
      </c>
      <c r="S1530" s="1" t="str">
        <f>IFERROR(__xludf.DUMMYFUNCTION("""COMPUTED_VALUE"""),"APPROVED")</f>
        <v>APPROVED</v>
      </c>
      <c r="T1530" s="1" t="str">
        <f>IFERROR(__xludf.DUMMYFUNCTION("""COMPUTED_VALUE"""),"CANCELLED")</f>
        <v>CANCELLED</v>
      </c>
      <c r="U1530" s="1"/>
      <c r="V1530" s="1"/>
      <c r="W1530" s="1"/>
    </row>
    <row r="1531" customHeight="1" spans="1:23">
      <c r="A1531" s="3">
        <f>IFERROR(__xludf.DUMMYFUNCTION("""COMPUTED_VALUE"""),46149)</f>
        <v>46149</v>
      </c>
      <c r="B1531" s="1" t="str">
        <f>IFERROR(__xludf.DUMMYFUNCTION("""COMPUTED_VALUE"""),"MAÑANITA, ERIKA")</f>
        <v>MAÑANITA, ERIKA</v>
      </c>
      <c r="C1531" s="1" t="str">
        <f>IFERROR(__xludf.DUMMYFUNCTION("""COMPUTED_VALUE"""),"ORGANIC")</f>
        <v>ORGANIC</v>
      </c>
      <c r="D1531" s="1" t="str">
        <f>IFERROR(__xludf.DUMMYFUNCTION("""COMPUTED_VALUE"""),"ALOS, CHARLS")</f>
        <v>ALOS, CHARLS</v>
      </c>
      <c r="E1531" s="1" t="str">
        <f>IFERROR(__xludf.DUMMYFUNCTION("""COMPUTED_VALUE"""),"PLDT / H2H")</f>
        <v>PLDT / H2H</v>
      </c>
      <c r="F1531" s="1">
        <f>IFERROR(__xludf.DUMMYFUNCTION("""COMPUTED_VALUE"""),2309362996)</f>
        <v>2309362996</v>
      </c>
      <c r="G1531" s="1">
        <f>IFERROR(__xludf.DUMMYFUNCTION("""COMPUTED_VALUE"""),453669545004)</f>
        <v>453669545004</v>
      </c>
      <c r="H1531" s="1" t="str">
        <f>IFERROR(__xludf.DUMMYFUNCTION("""COMPUTED_VALUE"""),"SIR EDWARD AGUILAR SANTOS")</f>
        <v>SIR EDWARD AGUILAR SANTOS</v>
      </c>
      <c r="I1531" s="1">
        <f>IFERROR(__xludf.DUMMYFUNCTION("""COMPUTED_VALUE"""),9941642646)</f>
        <v>9941642646</v>
      </c>
      <c r="J1531" s="1"/>
      <c r="K1531" s="1" t="str">
        <f>IFERROR(__xludf.DUMMYFUNCTION("""COMPUTED_VALUE"""),"VHALSANTOS@GMAIL.COM")</f>
        <v>VHALSANTOS@GMAIL.COM</v>
      </c>
      <c r="L1531" s="1" t="str">
        <f>IFERROR(__xludf.DUMMYFUNCTION("""COMPUTED_VALUE"""),"BLK LOT 1")</f>
        <v>BLK LOT 1</v>
      </c>
      <c r="M1531" s="1" t="str">
        <f>IFERROR(__xludf.DUMMYFUNCTION("""COMPUTED_VALUE"""),"BUKLURAN 2")</f>
        <v>BUKLURAN 2</v>
      </c>
      <c r="N1531" s="1"/>
      <c r="O1531" s="1" t="str">
        <f>IFERROR(__xludf.DUMMYFUNCTION("""COMPUTED_VALUE"""),"BULIHAN")</f>
        <v>BULIHAN</v>
      </c>
      <c r="P1531" s="1" t="str">
        <f>IFERROR(__xludf.DUMMYFUNCTION("""COMPUTED_VALUE"""),"SILANG")</f>
        <v>SILANG</v>
      </c>
      <c r="Q1531" s="1" t="str">
        <f>IFERROR(__xludf.DUMMYFUNCTION("""COMPUTED_VALUE"""),"CAVITE")</f>
        <v>CAVITE</v>
      </c>
      <c r="R1531" s="1" t="str">
        <f>IFERROR(__xludf.DUMMYFUNCTION("""COMPUTED_VALUE"""),"FIBR PLAN 1299")</f>
        <v>FIBR PLAN 1299</v>
      </c>
      <c r="S1531" s="1" t="str">
        <f>IFERROR(__xludf.DUMMYFUNCTION("""COMPUTED_VALUE"""),"APPROVED")</f>
        <v>APPROVED</v>
      </c>
      <c r="T1531" s="1" t="str">
        <f>IFERROR(__xludf.DUMMYFUNCTION("""COMPUTED_VALUE"""),"CANCELLED")</f>
        <v>CANCELLED</v>
      </c>
      <c r="U1531" s="1"/>
      <c r="V1531" s="1"/>
      <c r="W1531" s="1"/>
    </row>
    <row r="1532" customHeight="1" spans="1:23">
      <c r="A1532" s="3">
        <f>IFERROR(__xludf.DUMMYFUNCTION("""COMPUTED_VALUE"""),46149)</f>
        <v>46149</v>
      </c>
      <c r="B1532" s="1" t="str">
        <f>IFERROR(__xludf.DUMMYFUNCTION("""COMPUTED_VALUE"""),"AGUNOS, JHON AIRVIN")</f>
        <v>AGUNOS, JHON AIRVIN</v>
      </c>
      <c r="C1532" s="1" t="str">
        <f>IFERROR(__xludf.DUMMYFUNCTION("""COMPUTED_VALUE"""),"ORGANIC")</f>
        <v>ORGANIC</v>
      </c>
      <c r="D1532" s="1" t="str">
        <f>IFERROR(__xludf.DUMMYFUNCTION("""COMPUTED_VALUE"""),"ALINGARO, CINDY")</f>
        <v>ALINGARO, CINDY</v>
      </c>
      <c r="E1532" s="1" t="str">
        <f>IFERROR(__xludf.DUMMYFUNCTION("""COMPUTED_VALUE"""),"PLDT / ONLINE")</f>
        <v>PLDT / ONLINE</v>
      </c>
      <c r="F1532" s="1">
        <f>IFERROR(__xludf.DUMMYFUNCTION("""COMPUTED_VALUE"""),2309364732)</f>
        <v>2309364732</v>
      </c>
      <c r="G1532" s="1">
        <f>IFERROR(__xludf.DUMMYFUNCTION("""COMPUTED_VALUE"""),453667630004)</f>
        <v>453667630004</v>
      </c>
      <c r="H1532" s="1" t="str">
        <f>IFERROR(__xludf.DUMMYFUNCTION("""COMPUTED_VALUE"""),"RESTITUTO AGUINO NUGUID JR")</f>
        <v>RESTITUTO AGUINO NUGUID JR</v>
      </c>
      <c r="I1532" s="1">
        <f>IFERROR(__xludf.DUMMYFUNCTION("""COMPUTED_VALUE"""),9958274184)</f>
        <v>9958274184</v>
      </c>
      <c r="J1532" s="1">
        <f>IFERROR(__xludf.DUMMYFUNCTION("""COMPUTED_VALUE"""),9617484959)</f>
        <v>9617484959</v>
      </c>
      <c r="K1532" s="1" t="str">
        <f>IFERROR(__xludf.DUMMYFUNCTION("""COMPUTED_VALUE"""),"JAYRNUGUID58@GMAIL.COM")</f>
        <v>JAYRNUGUID58@GMAIL.COM</v>
      </c>
      <c r="L1532" s="1" t="str">
        <f>IFERROR(__xludf.DUMMYFUNCTION("""COMPUTED_VALUE"""),"BLK 13 LOT 13")</f>
        <v>BLK 13 LOT 13</v>
      </c>
      <c r="M1532" s="1" t="str">
        <f>IFERROR(__xludf.DUMMYFUNCTION("""COMPUTED_VALUE"""),"KINGSLAND")</f>
        <v>KINGSLAND</v>
      </c>
      <c r="N1532" s="1"/>
      <c r="O1532" s="1" t="str">
        <f>IFERROR(__xludf.DUMMYFUNCTION("""COMPUTED_VALUE"""),"SAMPALOC I")</f>
        <v>SAMPALOC I</v>
      </c>
      <c r="P1532" s="1" t="str">
        <f>IFERROR(__xludf.DUMMYFUNCTION("""COMPUTED_VALUE"""),"DASMARINAS")</f>
        <v>DASMARINAS</v>
      </c>
      <c r="Q1532" s="1" t="str">
        <f>IFERROR(__xludf.DUMMYFUNCTION("""COMPUTED_VALUE"""),"CAVITE")</f>
        <v>CAVITE</v>
      </c>
      <c r="R1532" s="1" t="str">
        <f>IFERROR(__xludf.DUMMYFUNCTION("""COMPUTED_VALUE"""),"FIBR NETFLIX PLAN 1599")</f>
        <v>FIBR NETFLIX PLAN 1599</v>
      </c>
      <c r="S1532" s="1" t="str">
        <f>IFERROR(__xludf.DUMMYFUNCTION("""COMPUTED_VALUE"""),"APPROVED")</f>
        <v>APPROVED</v>
      </c>
      <c r="T1532" s="1" t="str">
        <f>IFERROR(__xludf.DUMMYFUNCTION("""COMPUTED_VALUE"""),"CLOSED")</f>
        <v>CLOSED</v>
      </c>
      <c r="U1532" s="1" t="str">
        <f>IFERROR(__xludf.DUMMYFUNCTION("""COMPUTED_VALUE"""),"POSTED")</f>
        <v>POSTED</v>
      </c>
      <c r="V1532" s="1"/>
      <c r="W1532" s="1"/>
    </row>
    <row r="1533" customHeight="1" spans="1:23">
      <c r="A1533" s="3">
        <f>IFERROR(__xludf.DUMMYFUNCTION("""COMPUTED_VALUE"""),46149)</f>
        <v>46149</v>
      </c>
      <c r="B1533" s="1" t="str">
        <f>IFERROR(__xludf.DUMMYFUNCTION("""COMPUTED_VALUE"""),"RIVERA, AIRIZH JOY")</f>
        <v>RIVERA, AIRIZH JOY</v>
      </c>
      <c r="C1533" s="1" t="str">
        <f>IFERROR(__xludf.DUMMYFUNCTION("""COMPUTED_VALUE"""),"ORGANIC")</f>
        <v>ORGANIC</v>
      </c>
      <c r="D1533" s="1" t="str">
        <f>IFERROR(__xludf.DUMMYFUNCTION("""COMPUTED_VALUE"""),"ALOS, CHARLS")</f>
        <v>ALOS, CHARLS</v>
      </c>
      <c r="E1533" s="1" t="str">
        <f>IFERROR(__xludf.DUMMYFUNCTION("""COMPUTED_VALUE"""),"PLDT / ONLINE")</f>
        <v>PLDT / ONLINE</v>
      </c>
      <c r="F1533" s="1">
        <f>IFERROR(__xludf.DUMMYFUNCTION("""COMPUTED_VALUE"""),2309365883)</f>
        <v>2309365883</v>
      </c>
      <c r="G1533" s="1">
        <f>IFERROR(__xludf.DUMMYFUNCTION("""COMPUTED_VALUE"""),453671684004)</f>
        <v>453671684004</v>
      </c>
      <c r="H1533" s="1" t="str">
        <f>IFERROR(__xludf.DUMMYFUNCTION("""COMPUTED_VALUE"""),"LOUIE BELOSTRINO MABALLO")</f>
        <v>LOUIE BELOSTRINO MABALLO</v>
      </c>
      <c r="I1533" s="1">
        <f>IFERROR(__xludf.DUMMYFUNCTION("""COMPUTED_VALUE"""),9637762344)</f>
        <v>9637762344</v>
      </c>
      <c r="J1533" s="1">
        <f>IFERROR(__xludf.DUMMYFUNCTION("""COMPUTED_VALUE"""),9260872477)</f>
        <v>9260872477</v>
      </c>
      <c r="K1533" s="1" t="str">
        <f>IFERROR(__xludf.DUMMYFUNCTION("""COMPUTED_VALUE"""),"LOUIE.MABALLO.09@GMAIL.COM")</f>
        <v>LOUIE.MABALLO.09@GMAIL.COM</v>
      </c>
      <c r="L1533" s="1" t="str">
        <f>IFERROR(__xludf.DUMMYFUNCTION("""COMPUTED_VALUE"""),"9052B")</f>
        <v>9052B</v>
      </c>
      <c r="M1533" s="1" t="str">
        <f>IFERROR(__xludf.DUMMYFUNCTION("""COMPUTED_VALUE"""),"PUROK 3")</f>
        <v>PUROK 3</v>
      </c>
      <c r="N1533" s="1"/>
      <c r="O1533" s="1" t="str">
        <f>IFERROR(__xludf.DUMMYFUNCTION("""COMPUTED_VALUE"""),"CASTANOS LEJOS")</f>
        <v>CASTANOS LEJOS</v>
      </c>
      <c r="P1533" s="1" t="str">
        <f>IFERROR(__xludf.DUMMYFUNCTION("""COMPUTED_VALUE"""),"GENERAL EMILIO AGUINALDO")</f>
        <v>GENERAL EMILIO AGUINALDO</v>
      </c>
      <c r="Q1533" s="1" t="str">
        <f>IFERROR(__xludf.DUMMYFUNCTION("""COMPUTED_VALUE"""),"CAVITE")</f>
        <v>CAVITE</v>
      </c>
      <c r="R1533" s="1" t="str">
        <f>IFERROR(__xludf.DUMMYFUNCTION("""COMPUTED_VALUE"""),"FIBR PLAN 1299")</f>
        <v>FIBR PLAN 1299</v>
      </c>
      <c r="S1533" s="1" t="str">
        <f>IFERROR(__xludf.DUMMYFUNCTION("""COMPUTED_VALUE"""),"APPROVED")</f>
        <v>APPROVED</v>
      </c>
      <c r="T1533" s="1" t="str">
        <f>IFERROR(__xludf.DUMMYFUNCTION("""COMPUTED_VALUE"""),"RPR")</f>
        <v>RPR</v>
      </c>
      <c r="U1533" s="1"/>
      <c r="V1533" s="1"/>
      <c r="W1533" s="1"/>
    </row>
    <row r="1534" customHeight="1" spans="1:23">
      <c r="A1534" s="3">
        <f>IFERROR(__xludf.DUMMYFUNCTION("""COMPUTED_VALUE"""),46149)</f>
        <v>46149</v>
      </c>
      <c r="B1534" s="1" t="str">
        <f>IFERROR(__xludf.DUMMYFUNCTION("""COMPUTED_VALUE"""),"MAGDARAOG, KENNETH")</f>
        <v>MAGDARAOG, KENNETH</v>
      </c>
      <c r="C1534" s="1" t="str">
        <f>IFERROR(__xludf.DUMMYFUNCTION("""COMPUTED_VALUE"""),"ORGANIC")</f>
        <v>ORGANIC</v>
      </c>
      <c r="D1534" s="1" t="str">
        <f>IFERROR(__xludf.DUMMYFUNCTION("""COMPUTED_VALUE"""),"ALINGARO, CINDY")</f>
        <v>ALINGARO, CINDY</v>
      </c>
      <c r="E1534" s="1" t="str">
        <f>IFERROR(__xludf.DUMMYFUNCTION("""COMPUTED_VALUE"""),"PLDT / H2H")</f>
        <v>PLDT / H2H</v>
      </c>
      <c r="F1534" s="1">
        <f>IFERROR(__xludf.DUMMYFUNCTION("""COMPUTED_VALUE"""),2309364445)</f>
        <v>2309364445</v>
      </c>
      <c r="G1534" s="1">
        <f>IFERROR(__xludf.DUMMYFUNCTION("""COMPUTED_VALUE"""),453667081004)</f>
        <v>453667081004</v>
      </c>
      <c r="H1534" s="1" t="str">
        <f>IFERROR(__xludf.DUMMYFUNCTION("""COMPUTED_VALUE"""),"CHRISTOPHER ELEJER ARCEO")</f>
        <v>CHRISTOPHER ELEJER ARCEO</v>
      </c>
      <c r="I1534" s="1">
        <f>IFERROR(__xludf.DUMMYFUNCTION("""COMPUTED_VALUE"""),911242118)</f>
        <v>911242118</v>
      </c>
      <c r="J1534" s="1"/>
      <c r="K1534" s="1" t="str">
        <f>IFERROR(__xludf.DUMMYFUNCTION("""COMPUTED_VALUE"""),"TOPHERELEJER@GMAIL.COM")</f>
        <v>TOPHERELEJER@GMAIL.COM</v>
      </c>
      <c r="L1534" s="1" t="str">
        <f>IFERROR(__xludf.DUMMYFUNCTION("""COMPUTED_VALUE"""),"BLK 11")</f>
        <v>BLK 11</v>
      </c>
      <c r="M1534" s="1" t="str">
        <f>IFERROR(__xludf.DUMMYFUNCTION("""COMPUTED_VALUE"""),"EXCESS LOT ")</f>
        <v>EXCESS LOT </v>
      </c>
      <c r="N1534" s="1" t="str">
        <f>IFERROR(__xludf.DUMMYFUNCTION("""COMPUTED_VALUE"""),"CASA MONTERVERDE")</f>
        <v>CASA MONTERVERDE</v>
      </c>
      <c r="O1534" s="1" t="str">
        <f>IFERROR(__xludf.DUMMYFUNCTION("""COMPUTED_VALUE"""),"FRANCISCO DE CASTRO (SUNSHINE VILL.)")</f>
        <v>FRANCISCO DE CASTRO (SUNSHINE VILL.)</v>
      </c>
      <c r="P1534" s="1" t="str">
        <f>IFERROR(__xludf.DUMMYFUNCTION("""COMPUTED_VALUE"""),"GEN MARIANO ALVAREZ")</f>
        <v>GEN MARIANO ALVAREZ</v>
      </c>
      <c r="Q1534" s="1" t="str">
        <f>IFERROR(__xludf.DUMMYFUNCTION("""COMPUTED_VALUE"""),"CAVITE")</f>
        <v>CAVITE</v>
      </c>
      <c r="R1534" s="1" t="str">
        <f>IFERROR(__xludf.DUMMYFUNCTION("""COMPUTED_VALUE"""),"PREPAID FIBER UNLI")</f>
        <v>PREPAID FIBER UNLI</v>
      </c>
      <c r="S1534" s="1" t="str">
        <f>IFERROR(__xludf.DUMMYFUNCTION("""COMPUTED_VALUE"""),"APPROVED")</f>
        <v>APPROVED</v>
      </c>
      <c r="T1534" s="1" t="str">
        <f>IFERROR(__xludf.DUMMYFUNCTION("""COMPUTED_VALUE"""),"CLOSED")</f>
        <v>CLOSED</v>
      </c>
      <c r="U1534" s="1" t="str">
        <f>IFERROR(__xludf.DUMMYFUNCTION("""COMPUTED_VALUE"""),"POSTED")</f>
        <v>POSTED</v>
      </c>
      <c r="V1534" s="1"/>
      <c r="W1534" s="1"/>
    </row>
    <row r="1535" customHeight="1" spans="1:23">
      <c r="A1535" s="3">
        <f>IFERROR(__xludf.DUMMYFUNCTION("""COMPUTED_VALUE"""),46149)</f>
        <v>46149</v>
      </c>
      <c r="B1535" s="1" t="str">
        <f>IFERROR(__xludf.DUMMYFUNCTION("""COMPUTED_VALUE"""),"MAÑANITA, ERIKA")</f>
        <v>MAÑANITA, ERIKA</v>
      </c>
      <c r="C1535" s="1" t="str">
        <f>IFERROR(__xludf.DUMMYFUNCTION("""COMPUTED_VALUE"""),"ORGANIC")</f>
        <v>ORGANIC</v>
      </c>
      <c r="D1535" s="1" t="str">
        <f>IFERROR(__xludf.DUMMYFUNCTION("""COMPUTED_VALUE"""),"ALOS, CHARLS")</f>
        <v>ALOS, CHARLS</v>
      </c>
      <c r="E1535" s="1" t="str">
        <f>IFERROR(__xludf.DUMMYFUNCTION("""COMPUTED_VALUE"""),"PLDT / ONLINE")</f>
        <v>PLDT / ONLINE</v>
      </c>
      <c r="F1535" s="1">
        <f>IFERROR(__xludf.DUMMYFUNCTION("""COMPUTED_VALUE"""),2309365705)</f>
        <v>2309365705</v>
      </c>
      <c r="G1535" s="1">
        <f>IFERROR(__xludf.DUMMYFUNCTION("""COMPUTED_VALUE"""),453669400004)</f>
        <v>453669400004</v>
      </c>
      <c r="H1535" s="1" t="str">
        <f>IFERROR(__xludf.DUMMYFUNCTION("""COMPUTED_VALUE"""),"CAROLYN MERCADO")</f>
        <v>CAROLYN MERCADO</v>
      </c>
      <c r="I1535" s="1">
        <f>IFERROR(__xludf.DUMMYFUNCTION("""COMPUTED_VALUE"""),9692167626)</f>
        <v>9692167626</v>
      </c>
      <c r="J1535" s="1"/>
      <c r="K1535" s="1" t="str">
        <f>IFERROR(__xludf.DUMMYFUNCTION("""COMPUTED_VALUE"""),"ARTATESCAROLYN@GMAIL.COM")</f>
        <v>ARTATESCAROLYN@GMAIL.COM</v>
      </c>
      <c r="L1535" s="1" t="str">
        <f>IFERROR(__xludf.DUMMYFUNCTION("""COMPUTED_VALUE"""),"BLK 7 LOT 11")</f>
        <v>BLK 7 LOT 11</v>
      </c>
      <c r="M1535" s="1" t="str">
        <f>IFERROR(__xludf.DUMMYFUNCTION("""COMPUTED_VALUE"""),"STA FE")</f>
        <v>STA FE</v>
      </c>
      <c r="N1535" s="1"/>
      <c r="O1535" s="1" t="str">
        <f>IFERROR(__xludf.DUMMYFUNCTION("""COMPUTED_VALUE"""),"SANTA FE")</f>
        <v>SANTA FE</v>
      </c>
      <c r="P1535" s="1" t="str">
        <f>IFERROR(__xludf.DUMMYFUNCTION("""COMPUTED_VALUE"""),"DASMARINAS")</f>
        <v>DASMARINAS</v>
      </c>
      <c r="Q1535" s="1" t="str">
        <f>IFERROR(__xludf.DUMMYFUNCTION("""COMPUTED_VALUE"""),"CAVITE")</f>
        <v>CAVITE</v>
      </c>
      <c r="R1535" s="1" t="str">
        <f>IFERROR(__xludf.DUMMYFUNCTION("""COMPUTED_VALUE"""),"PREPAID FIBER UNLI")</f>
        <v>PREPAID FIBER UNLI</v>
      </c>
      <c r="S1535" s="1" t="str">
        <f>IFERROR(__xludf.DUMMYFUNCTION("""COMPUTED_VALUE"""),"APPROVED")</f>
        <v>APPROVED</v>
      </c>
      <c r="T1535" s="1" t="str">
        <f>IFERROR(__xludf.DUMMYFUNCTION("""COMPUTED_VALUE"""),"CANCELLED")</f>
        <v>CANCELLED</v>
      </c>
      <c r="U1535" s="1"/>
      <c r="V1535" s="1"/>
      <c r="W1535" s="1"/>
    </row>
    <row r="1536" customHeight="1" spans="1:23">
      <c r="A1536" s="3">
        <f>IFERROR(__xludf.DUMMYFUNCTION("""COMPUTED_VALUE"""),46149)</f>
        <v>46149</v>
      </c>
      <c r="B1536" s="1" t="str">
        <f>IFERROR(__xludf.DUMMYFUNCTION("""COMPUTED_VALUE"""),"ALANO, RAIN")</f>
        <v>ALANO, RAIN</v>
      </c>
      <c r="C1536" s="1" t="str">
        <f>IFERROR(__xludf.DUMMYFUNCTION("""COMPUTED_VALUE"""),"ORGANIC")</f>
        <v>ORGANIC</v>
      </c>
      <c r="D1536" s="1" t="str">
        <f>IFERROR(__xludf.DUMMYFUNCTION("""COMPUTED_VALUE"""),"REMOLLO LEA")</f>
        <v>REMOLLO LEA</v>
      </c>
      <c r="E1536" s="1" t="str">
        <f>IFERROR(__xludf.DUMMYFUNCTION("""COMPUTED_VALUE"""),"PLDT / H2H")</f>
        <v>PLDT / H2H</v>
      </c>
      <c r="F1536" s="1">
        <f>IFERROR(__xludf.DUMMYFUNCTION("""COMPUTED_VALUE"""),2309365434)</f>
        <v>2309365434</v>
      </c>
      <c r="G1536" s="1">
        <f>IFERROR(__xludf.DUMMYFUNCTION("""COMPUTED_VALUE"""),453669775004)</f>
        <v>453669775004</v>
      </c>
      <c r="H1536" s="1" t="str">
        <f>IFERROR(__xludf.DUMMYFUNCTION("""COMPUTED_VALUE"""),"ELDRIN PAJERA ABUMAR")</f>
        <v>ELDRIN PAJERA ABUMAR</v>
      </c>
      <c r="I1536" s="1">
        <f>IFERROR(__xludf.DUMMYFUNCTION("""COMPUTED_VALUE"""),9982021284)</f>
        <v>9982021284</v>
      </c>
      <c r="J1536" s="1">
        <f>IFERROR(__xludf.DUMMYFUNCTION("""COMPUTED_VALUE"""),9306252131)</f>
        <v>9306252131</v>
      </c>
      <c r="K1536" s="1" t="str">
        <f>IFERROR(__xludf.DUMMYFUNCTION("""COMPUTED_VALUE"""),"ELDINARBUMAR12@GMAIL.COM")</f>
        <v>ELDINARBUMAR12@GMAIL.COM</v>
      </c>
      <c r="L1536" s="1" t="str">
        <f>IFERROR(__xludf.DUMMYFUNCTION("""COMPUTED_VALUE"""),"BLK 30 LOT 15")</f>
        <v>BLK 30 LOT 15</v>
      </c>
      <c r="M1536" s="1" t="str">
        <f>IFERROR(__xludf.DUMMYFUNCTION("""COMPUTED_VALUE"""),"AFP HOUSING")</f>
        <v>AFP HOUSING</v>
      </c>
      <c r="N1536" s="1"/>
      <c r="O1536" s="1" t="str">
        <f>IFERROR(__xludf.DUMMYFUNCTION("""COMPUTED_VALUE"""),"BULIHAN")</f>
        <v>BULIHAN</v>
      </c>
      <c r="P1536" s="1" t="str">
        <f>IFERROR(__xludf.DUMMYFUNCTION("""COMPUTED_VALUE"""),"SILANG")</f>
        <v>SILANG</v>
      </c>
      <c r="Q1536" s="1" t="str">
        <f>IFERROR(__xludf.DUMMYFUNCTION("""COMPUTED_VALUE"""),"CAVITE")</f>
        <v>CAVITE</v>
      </c>
      <c r="R1536" s="1" t="str">
        <f>IFERROR(__xludf.DUMMYFUNCTION("""COMPUTED_VALUE"""),"FIBR UNLI ALL PLAN 1399")</f>
        <v>FIBR UNLI ALL PLAN 1399</v>
      </c>
      <c r="S1536" s="1" t="str">
        <f>IFERROR(__xludf.DUMMYFUNCTION("""COMPUTED_VALUE"""),"APPROVED")</f>
        <v>APPROVED</v>
      </c>
      <c r="T1536" s="1" t="str">
        <f>IFERROR(__xludf.DUMMYFUNCTION("""COMPUTED_VALUE"""),"CLOSED")</f>
        <v>CLOSED</v>
      </c>
      <c r="U1536" s="1" t="str">
        <f>IFERROR(__xludf.DUMMYFUNCTION("""COMPUTED_VALUE"""),"POSTED")</f>
        <v>POSTED</v>
      </c>
      <c r="V1536" s="1"/>
      <c r="W1536" s="1"/>
    </row>
    <row r="1537" customHeight="1" spans="1:23">
      <c r="A1537" s="3">
        <f>IFERROR(__xludf.DUMMYFUNCTION("""COMPUTED_VALUE"""),46149)</f>
        <v>46149</v>
      </c>
      <c r="B1537" s="1" t="str">
        <f>IFERROR(__xludf.DUMMYFUNCTION("""COMPUTED_VALUE"""),"FERNANDEZ JERIC")</f>
        <v>FERNANDEZ JERIC</v>
      </c>
      <c r="C1537" s="1" t="str">
        <f>IFERROR(__xludf.DUMMYFUNCTION("""COMPUTED_VALUE"""),"ORGANIC")</f>
        <v>ORGANIC</v>
      </c>
      <c r="D1537" s="1" t="str">
        <f>IFERROR(__xludf.DUMMYFUNCTION("""COMPUTED_VALUE"""),"ALOS, CHARLS")</f>
        <v>ALOS, CHARLS</v>
      </c>
      <c r="E1537" s="1" t="str">
        <f>IFERROR(__xludf.DUMMYFUNCTION("""COMPUTED_VALUE"""),"PLDT / H2H")</f>
        <v>PLDT / H2H</v>
      </c>
      <c r="F1537" s="1">
        <f>IFERROR(__xludf.DUMMYFUNCTION("""COMPUTED_VALUE"""),2309366123)</f>
        <v>2309366123</v>
      </c>
      <c r="G1537" s="1">
        <f>IFERROR(__xludf.DUMMYFUNCTION("""COMPUTED_VALUE"""),453669498004)</f>
        <v>453669498004</v>
      </c>
      <c r="H1537" s="1" t="str">
        <f>IFERROR(__xludf.DUMMYFUNCTION("""COMPUTED_VALUE"""),"MARICAR CRUZ CABRITO")</f>
        <v>MARICAR CRUZ CABRITO</v>
      </c>
      <c r="I1537" s="1">
        <f>IFERROR(__xludf.DUMMYFUNCTION("""COMPUTED_VALUE"""),9293497303)</f>
        <v>9293497303</v>
      </c>
      <c r="J1537" s="1">
        <f>IFERROR(__xludf.DUMMYFUNCTION("""COMPUTED_VALUE"""),9216100272)</f>
        <v>9216100272</v>
      </c>
      <c r="K1537" s="1" t="str">
        <f>IFERROR(__xludf.DUMMYFUNCTION("""COMPUTED_VALUE"""),"MARICAR_CABRITO@YAHOO.COM")</f>
        <v>MARICAR_CABRITO@YAHOO.COM</v>
      </c>
      <c r="L1537" s="1" t="str">
        <f>IFERROR(__xludf.DUMMYFUNCTION("""COMPUTED_VALUE"""),"82")</f>
        <v>82</v>
      </c>
      <c r="M1537" s="1" t="str">
        <f>IFERROR(__xludf.DUMMYFUNCTION("""COMPUTED_VALUE"""),"REAL")</f>
        <v>REAL</v>
      </c>
      <c r="N1537" s="1"/>
      <c r="O1537" s="1" t="str">
        <f>IFERROR(__xludf.DUMMYFUNCTION("""COMPUTED_VALUE"""),"MALABAG")</f>
        <v>MALABAG</v>
      </c>
      <c r="P1537" s="1" t="str">
        <f>IFERROR(__xludf.DUMMYFUNCTION("""COMPUTED_VALUE"""),"SILANG")</f>
        <v>SILANG</v>
      </c>
      <c r="Q1537" s="1" t="str">
        <f>IFERROR(__xludf.DUMMYFUNCTION("""COMPUTED_VALUE"""),"CAVITE")</f>
        <v>CAVITE</v>
      </c>
      <c r="R1537" s="1" t="str">
        <f>IFERROR(__xludf.DUMMYFUNCTION("""COMPUTED_VALUE"""),"FIBR UNLI ALL PLAN 1399")</f>
        <v>FIBR UNLI ALL PLAN 1399</v>
      </c>
      <c r="S1537" s="1" t="str">
        <f>IFERROR(__xludf.DUMMYFUNCTION("""COMPUTED_VALUE"""),"APPROVED")</f>
        <v>APPROVED</v>
      </c>
      <c r="T1537" s="1" t="str">
        <f>IFERROR(__xludf.DUMMYFUNCTION("""COMPUTED_VALUE"""),"CLOSED")</f>
        <v>CLOSED</v>
      </c>
      <c r="U1537" s="1" t="str">
        <f>IFERROR(__xludf.DUMMYFUNCTION("""COMPUTED_VALUE"""),"POSTED")</f>
        <v>POSTED</v>
      </c>
      <c r="V1537" s="1"/>
      <c r="W1537" s="1"/>
    </row>
    <row r="1538" customHeight="1" spans="1:23">
      <c r="A1538" s="3">
        <f>IFERROR(__xludf.DUMMYFUNCTION("""COMPUTED_VALUE"""),46150)</f>
        <v>46150</v>
      </c>
      <c r="B1538" s="1" t="str">
        <f>IFERROR(__xludf.DUMMYFUNCTION("""COMPUTED_VALUE"""),"MALIWAT MARK ELVIN")</f>
        <v>MALIWAT MARK ELVIN</v>
      </c>
      <c r="C1538" s="1" t="str">
        <f>IFERROR(__xludf.DUMMYFUNCTION("""COMPUTED_VALUE"""),"FLA")</f>
        <v>FLA</v>
      </c>
      <c r="D1538" s="1" t="str">
        <f>IFERROR(__xludf.DUMMYFUNCTION("""COMPUTED_VALUE"""),"JERIC NAVARRO")</f>
        <v>JERIC NAVARRO</v>
      </c>
      <c r="E1538" s="1" t="str">
        <f>IFERROR(__xludf.DUMMYFUNCTION("""COMPUTED_VALUE"""),"PLDT / ONLINE")</f>
        <v>PLDT / ONLINE</v>
      </c>
      <c r="F1538" s="1">
        <f>IFERROR(__xludf.DUMMYFUNCTION("""COMPUTED_VALUE"""),2309378124)</f>
        <v>2309378124</v>
      </c>
      <c r="G1538" s="1">
        <f>IFERROR(__xludf.DUMMYFUNCTION("""COMPUTED_VALUE"""),453785516004)</f>
        <v>453785516004</v>
      </c>
      <c r="H1538" s="1" t="str">
        <f>IFERROR(__xludf.DUMMYFUNCTION("""COMPUTED_VALUE"""),"MELISSA ANAS ESTEBAT")</f>
        <v>MELISSA ANAS ESTEBAT</v>
      </c>
      <c r="I1538" s="1">
        <f>IFERROR(__xludf.DUMMYFUNCTION("""COMPUTED_VALUE"""),9209564060)</f>
        <v>9209564060</v>
      </c>
      <c r="J1538" s="1"/>
      <c r="K1538" s="1" t="str">
        <f>IFERROR(__xludf.DUMMYFUNCTION("""COMPUTED_VALUE"""),"LEESAESTEBAT@GMAIL.COM")</f>
        <v>LEESAESTEBAT@GMAIL.COM</v>
      </c>
      <c r="L1538" s="1" t="str">
        <f>IFERROR(__xludf.DUMMYFUNCTION("""COMPUTED_VALUE"""),"BLK 37 LOT 25")</f>
        <v>BLK 37 LOT 25</v>
      </c>
      <c r="M1538" s="1" t="str">
        <f>IFERROR(__xludf.DUMMYFUNCTION("""COMPUTED_VALUE"""),"SAMPAGUITA")</f>
        <v>SAMPAGUITA</v>
      </c>
      <c r="N1538" s="1" t="str">
        <f>IFERROR(__xludf.DUMMYFUNCTION("""COMPUTED_VALUE"""),"CITYHOMES RESORTS VILLE PHASE 2")</f>
        <v>CITYHOMES RESORTS VILLE PHASE 2</v>
      </c>
      <c r="O1538" s="1" t="str">
        <f>IFERROR(__xludf.DUMMYFUNCTION("""COMPUTED_VALUE"""),"LANGKAAN II")</f>
        <v>LANGKAAN II</v>
      </c>
      <c r="P1538" s="1" t="str">
        <f>IFERROR(__xludf.DUMMYFUNCTION("""COMPUTED_VALUE"""),"DASMARINAS")</f>
        <v>DASMARINAS</v>
      </c>
      <c r="Q1538" s="1" t="str">
        <f>IFERROR(__xludf.DUMMYFUNCTION("""COMPUTED_VALUE"""),"CAVITE")</f>
        <v>CAVITE</v>
      </c>
      <c r="R1538" s="1" t="str">
        <f>IFERROR(__xludf.DUMMYFUNCTION("""COMPUTED_VALUE"""),"PREPAID FIBER UNLI")</f>
        <v>PREPAID FIBER UNLI</v>
      </c>
      <c r="S1538" s="1" t="str">
        <f>IFERROR(__xludf.DUMMYFUNCTION("""COMPUTED_VALUE"""),"APPROVED")</f>
        <v>APPROVED</v>
      </c>
      <c r="T1538" s="1" t="str">
        <f>IFERROR(__xludf.DUMMYFUNCTION("""COMPUTED_VALUE"""),"CLOSED")</f>
        <v>CLOSED</v>
      </c>
      <c r="U1538" s="1" t="str">
        <f>IFERROR(__xludf.DUMMYFUNCTION("""COMPUTED_VALUE"""),"POSTED")</f>
        <v>POSTED</v>
      </c>
      <c r="V1538" s="1"/>
      <c r="W1538" s="1"/>
    </row>
    <row r="1539" customHeight="1" spans="1:23">
      <c r="A1539" s="3">
        <f>IFERROR(__xludf.DUMMYFUNCTION("""COMPUTED_VALUE"""),46150)</f>
        <v>46150</v>
      </c>
      <c r="B1539" s="1" t="str">
        <f>IFERROR(__xludf.DUMMYFUNCTION("""COMPUTED_VALUE"""),"CARPIO, STEPHANIE NICOLE")</f>
        <v>CARPIO, STEPHANIE NICOLE</v>
      </c>
      <c r="C1539" s="1" t="str">
        <f>IFERROR(__xludf.DUMMYFUNCTION("""COMPUTED_VALUE"""),"FLA")</f>
        <v>FLA</v>
      </c>
      <c r="D1539" s="1" t="str">
        <f>IFERROR(__xludf.DUMMYFUNCTION("""COMPUTED_VALUE"""),"JERIC NAVARRO")</f>
        <v>JERIC NAVARRO</v>
      </c>
      <c r="E1539" s="1" t="str">
        <f>IFERROR(__xludf.DUMMYFUNCTION("""COMPUTED_VALUE"""),"PLDT / H2H")</f>
        <v>PLDT / H2H</v>
      </c>
      <c r="F1539" s="1"/>
      <c r="G1539" s="1"/>
      <c r="H1539" s="1" t="str">
        <f>IFERROR(__xludf.DUMMYFUNCTION("""COMPUTED_VALUE"""),"STEPHANIE KEIRSTEN IBANEZ ARAMBULO")</f>
        <v>STEPHANIE KEIRSTEN IBANEZ ARAMBULO</v>
      </c>
      <c r="I1539" s="1">
        <f>IFERROR(__xludf.DUMMYFUNCTION("""COMPUTED_VALUE"""),9054527483)</f>
        <v>9054527483</v>
      </c>
      <c r="J1539" s="1"/>
      <c r="K1539" s="1" t="str">
        <f>IFERROR(__xludf.DUMMYFUNCTION("""COMPUTED_VALUE"""),"SOCORROEILEENARAMBULO@GMAIL.COM")</f>
        <v>SOCORROEILEENARAMBULO@GMAIL.COM</v>
      </c>
      <c r="L1539" s="1" t="str">
        <f>IFERROR(__xludf.DUMMYFUNCTION("""COMPUTED_VALUE"""),"BLK 4 LOT 12")</f>
        <v>BLK 4 LOT 12</v>
      </c>
      <c r="M1539" s="1" t="str">
        <f>IFERROR(__xludf.DUMMYFUNCTION("""COMPUTED_VALUE"""),"MAHOGANY IPIL")</f>
        <v>MAHOGANY IPIL</v>
      </c>
      <c r="N1539" s="1" t="str">
        <f>IFERROR(__xludf.DUMMYFUNCTION("""COMPUTED_VALUE"""),"VISTA VERDE PH1B")</f>
        <v>VISTA VERDE PH1B</v>
      </c>
      <c r="O1539" s="1" t="str">
        <f>IFERROR(__xludf.DUMMYFUNCTION("""COMPUTED_VALUE"""),"MAMBOG II")</f>
        <v>MAMBOG II</v>
      </c>
      <c r="P1539" s="1" t="str">
        <f>IFERROR(__xludf.DUMMYFUNCTION("""COMPUTED_VALUE"""),"BACOOR")</f>
        <v>BACOOR</v>
      </c>
      <c r="Q1539" s="1" t="str">
        <f>IFERROR(__xludf.DUMMYFUNCTION("""COMPUTED_VALUE"""),"CAVITE")</f>
        <v>CAVITE</v>
      </c>
      <c r="R1539" s="1" t="str">
        <f>IFERROR(__xludf.DUMMYFUNCTION("""COMPUTED_VALUE"""),"FIBR PLAN 1699")</f>
        <v>FIBR PLAN 1699</v>
      </c>
      <c r="S1539" s="1" t="str">
        <f>IFERROR(__xludf.DUMMYFUNCTION("""COMPUTED_VALUE"""),"CANCELLED ")</f>
        <v>CANCELLED </v>
      </c>
      <c r="T1539" s="1" t="str">
        <f>IFERROR(__xludf.DUMMYFUNCTION("""COMPUTED_VALUE"""),"#N/A")</f>
        <v>#N/A</v>
      </c>
      <c r="U1539" s="1"/>
      <c r="V1539" s="1"/>
      <c r="W1539" s="1"/>
    </row>
    <row r="1540" customHeight="1" spans="1:23">
      <c r="A1540" s="3">
        <f>IFERROR(__xludf.DUMMYFUNCTION("""COMPUTED_VALUE"""),46150)</f>
        <v>46150</v>
      </c>
      <c r="B1540" s="1" t="str">
        <f>IFERROR(__xludf.DUMMYFUNCTION("""COMPUTED_VALUE"""),"CARPIO, STEPHANIE NICOLE")</f>
        <v>CARPIO, STEPHANIE NICOLE</v>
      </c>
      <c r="C1540" s="1" t="str">
        <f>IFERROR(__xludf.DUMMYFUNCTION("""COMPUTED_VALUE"""),"FLA")</f>
        <v>FLA</v>
      </c>
      <c r="D1540" s="1" t="str">
        <f>IFERROR(__xludf.DUMMYFUNCTION("""COMPUTED_VALUE"""),"JERIC NAVARRO")</f>
        <v>JERIC NAVARRO</v>
      </c>
      <c r="E1540" s="1" t="str">
        <f>IFERROR(__xludf.DUMMYFUNCTION("""COMPUTED_VALUE"""),"PLDT / ONLINE")</f>
        <v>PLDT / ONLINE</v>
      </c>
      <c r="F1540" s="1">
        <f>IFERROR(__xludf.DUMMYFUNCTION("""COMPUTED_VALUE"""),2309744715)</f>
        <v>2309744715</v>
      </c>
      <c r="G1540" s="1">
        <f>IFERROR(__xludf.DUMMYFUNCTION("""COMPUTED_VALUE"""),456249660004)</f>
        <v>456249660004</v>
      </c>
      <c r="H1540" s="1" t="str">
        <f>IFERROR(__xludf.DUMMYFUNCTION("""COMPUTED_VALUE"""),"MIKHO JAY ESTRELLA OCAMPO")</f>
        <v>MIKHO JAY ESTRELLA OCAMPO</v>
      </c>
      <c r="I1540" s="1">
        <f>IFERROR(__xludf.DUMMYFUNCTION("""COMPUTED_VALUE"""),9206209222)</f>
        <v>9206209222</v>
      </c>
      <c r="J1540" s="1"/>
      <c r="K1540" s="1" t="str">
        <f>IFERROR(__xludf.DUMMYFUNCTION("""COMPUTED_VALUE"""),"MIKHOOCAMPO7@GMAIL.COM")</f>
        <v>MIKHOOCAMPO7@GMAIL.COM</v>
      </c>
      <c r="L1540" s="1" t="str">
        <f>IFERROR(__xludf.DUMMYFUNCTION("""COMPUTED_VALUE"""),"1")</f>
        <v>1</v>
      </c>
      <c r="M1540" s="1" t="str">
        <f>IFERROR(__xludf.DUMMYFUNCTION("""COMPUTED_VALUE"""),"ARNALDO")</f>
        <v>ARNALDO</v>
      </c>
      <c r="N1540" s="1"/>
      <c r="O1540" s="1" t="str">
        <f>IFERROR(__xludf.DUMMYFUNCTION("""COMPUTED_VALUE"""),"MANGGAHAN")</f>
        <v>MANGGAHAN</v>
      </c>
      <c r="P1540" s="1" t="str">
        <f>IFERROR(__xludf.DUMMYFUNCTION("""COMPUTED_VALUE"""),"GENERAL TRIAS")</f>
        <v>GENERAL TRIAS</v>
      </c>
      <c r="Q1540" s="1" t="str">
        <f>IFERROR(__xludf.DUMMYFUNCTION("""COMPUTED_VALUE"""),"CAVITE")</f>
        <v>CAVITE</v>
      </c>
      <c r="R1540" s="1" t="str">
        <f>IFERROR(__xludf.DUMMYFUNCTION("""COMPUTED_VALUE"""),"FIBR UNLI ALL PLAN 1399")</f>
        <v>FIBR UNLI ALL PLAN 1399</v>
      </c>
      <c r="S1540" s="1" t="str">
        <f>IFERROR(__xludf.DUMMYFUNCTION("""COMPUTED_VALUE"""),"APPROVED")</f>
        <v>APPROVED</v>
      </c>
      <c r="T1540" s="1" t="str">
        <f>IFERROR(__xludf.DUMMYFUNCTION("""COMPUTED_VALUE"""),"CLOSED")</f>
        <v>CLOSED</v>
      </c>
      <c r="U1540" s="1"/>
      <c r="V1540" s="1"/>
      <c r="W1540" s="1"/>
    </row>
    <row r="1541" customHeight="1" spans="1:23">
      <c r="A1541" s="3">
        <f>IFERROR(__xludf.DUMMYFUNCTION("""COMPUTED_VALUE"""),46150)</f>
        <v>46150</v>
      </c>
      <c r="B1541" s="1" t="str">
        <f>IFERROR(__xludf.DUMMYFUNCTION("""COMPUTED_VALUE"""),"CARPIO, STEPHANIE NICOLE")</f>
        <v>CARPIO, STEPHANIE NICOLE</v>
      </c>
      <c r="C1541" s="1" t="str">
        <f>IFERROR(__xludf.DUMMYFUNCTION("""COMPUTED_VALUE"""),"FLA")</f>
        <v>FLA</v>
      </c>
      <c r="D1541" s="1" t="str">
        <f>IFERROR(__xludf.DUMMYFUNCTION("""COMPUTED_VALUE"""),"JERIC NAVARRO")</f>
        <v>JERIC NAVARRO</v>
      </c>
      <c r="E1541" s="1" t="str">
        <f>IFERROR(__xludf.DUMMYFUNCTION("""COMPUTED_VALUE"""),"PLDT / H2H")</f>
        <v>PLDT / H2H</v>
      </c>
      <c r="F1541" s="1">
        <f>IFERROR(__xludf.DUMMYFUNCTION("""COMPUTED_VALUE"""),2309402615)</f>
        <v>2309402615</v>
      </c>
      <c r="G1541" s="1">
        <f>IFERROR(__xludf.DUMMYFUNCTION("""COMPUTED_VALUE"""),453967399004)</f>
        <v>453967399004</v>
      </c>
      <c r="H1541" s="1" t="str">
        <f>IFERROR(__xludf.DUMMYFUNCTION("""COMPUTED_VALUE"""),"SOCORRO EILEEN IBANEZ ARAMBULO")</f>
        <v>SOCORRO EILEEN IBANEZ ARAMBULO</v>
      </c>
      <c r="I1541" s="1">
        <f>IFERROR(__xludf.DUMMYFUNCTION("""COMPUTED_VALUE"""),9054527483)</f>
        <v>9054527483</v>
      </c>
      <c r="J1541" s="1"/>
      <c r="K1541" s="1" t="str">
        <f>IFERROR(__xludf.DUMMYFUNCTION("""COMPUTED_VALUE"""),"SOCORROEILEENARAMBULO@GMAIL.COM")</f>
        <v>SOCORROEILEENARAMBULO@GMAIL.COM</v>
      </c>
      <c r="L1541" s="1" t="str">
        <f>IFERROR(__xludf.DUMMYFUNCTION("""COMPUTED_VALUE"""),"BLK 4 LOT 12")</f>
        <v>BLK 4 LOT 12</v>
      </c>
      <c r="M1541" s="1" t="str">
        <f>IFERROR(__xludf.DUMMYFUNCTION("""COMPUTED_VALUE"""),"MAHOGANY IPIL")</f>
        <v>MAHOGANY IPIL</v>
      </c>
      <c r="N1541" s="1" t="str">
        <f>IFERROR(__xludf.DUMMYFUNCTION("""COMPUTED_VALUE"""),"VISTA VERDE PH1B")</f>
        <v>VISTA VERDE PH1B</v>
      </c>
      <c r="O1541" s="1" t="str">
        <f>IFERROR(__xludf.DUMMYFUNCTION("""COMPUTED_VALUE"""),"MAMBOG II")</f>
        <v>MAMBOG II</v>
      </c>
      <c r="P1541" s="1" t="str">
        <f>IFERROR(__xludf.DUMMYFUNCTION("""COMPUTED_VALUE"""),"BACOOR")</f>
        <v>BACOOR</v>
      </c>
      <c r="Q1541" s="1" t="str">
        <f>IFERROR(__xludf.DUMMYFUNCTION("""COMPUTED_VALUE"""),"CAVITE")</f>
        <v>CAVITE</v>
      </c>
      <c r="R1541" s="1" t="str">
        <f>IFERROR(__xludf.DUMMYFUNCTION("""COMPUTED_VALUE"""),"FIBR PLAN 1699")</f>
        <v>FIBR PLAN 1699</v>
      </c>
      <c r="S1541" s="1" t="str">
        <f>IFERROR(__xludf.DUMMYFUNCTION("""COMPUTED_VALUE"""),"APPROVED")</f>
        <v>APPROVED</v>
      </c>
      <c r="T1541" s="1" t="str">
        <f>IFERROR(__xludf.DUMMYFUNCTION("""COMPUTED_VALUE"""),"CLOSED")</f>
        <v>CLOSED</v>
      </c>
      <c r="U1541" s="1" t="str">
        <f>IFERROR(__xludf.DUMMYFUNCTION("""COMPUTED_VALUE"""),"POSTED")</f>
        <v>POSTED</v>
      </c>
      <c r="V1541" s="1"/>
      <c r="W1541" s="1"/>
    </row>
    <row r="1542" customHeight="1" spans="1:23">
      <c r="A1542" s="3">
        <f>IFERROR(__xludf.DUMMYFUNCTION("""COMPUTED_VALUE"""),46150)</f>
        <v>46150</v>
      </c>
      <c r="B1542" s="1" t="str">
        <f>IFERROR(__xludf.DUMMYFUNCTION("""COMPUTED_VALUE"""),"RIVERA, AIRIZH JOY")</f>
        <v>RIVERA, AIRIZH JOY</v>
      </c>
      <c r="C1542" s="1" t="str">
        <f>IFERROR(__xludf.DUMMYFUNCTION("""COMPUTED_VALUE"""),"ORGANIC")</f>
        <v>ORGANIC</v>
      </c>
      <c r="D1542" s="1" t="str">
        <f>IFERROR(__xludf.DUMMYFUNCTION("""COMPUTED_VALUE"""),"ALOS, CHARLS")</f>
        <v>ALOS, CHARLS</v>
      </c>
      <c r="E1542" s="1" t="str">
        <f>IFERROR(__xludf.DUMMYFUNCTION("""COMPUTED_VALUE"""),"PLDT / H2H")</f>
        <v>PLDT / H2H</v>
      </c>
      <c r="F1542" s="1">
        <f>IFERROR(__xludf.DUMMYFUNCTION("""COMPUTED_VALUE"""),2309378819)</f>
        <v>2309378819</v>
      </c>
      <c r="G1542" s="1">
        <f>IFERROR(__xludf.DUMMYFUNCTION("""COMPUTED_VALUE"""),453790951004)</f>
        <v>453790951004</v>
      </c>
      <c r="H1542" s="1" t="str">
        <f>IFERROR(__xludf.DUMMYFUNCTION("""COMPUTED_VALUE"""),"EVELYN BINIGAY VILLACAMPO")</f>
        <v>EVELYN BINIGAY VILLACAMPO</v>
      </c>
      <c r="I1542" s="1">
        <f>IFERROR(__xludf.DUMMYFUNCTION("""COMPUTED_VALUE"""),9296350046)</f>
        <v>9296350046</v>
      </c>
      <c r="J1542" s="1"/>
      <c r="K1542" s="1" t="str">
        <f>IFERROR(__xludf.DUMMYFUNCTION("""COMPUTED_VALUE"""),"VILLACAMPOEVELYN@GMAIL.COM")</f>
        <v>VILLACAMPOEVELYN@GMAIL.COM</v>
      </c>
      <c r="L1542" s="1" t="str">
        <f>IFERROR(__xludf.DUMMYFUNCTION("""COMPUTED_VALUE"""),"BLK 19 LOT 11")</f>
        <v>BLK 19 LOT 11</v>
      </c>
      <c r="M1542" s="1" t="str">
        <f>IFERROR(__xludf.DUMMYFUNCTION("""COMPUTED_VALUE"""),"NARRA 2")</f>
        <v>NARRA 2</v>
      </c>
      <c r="N1542" s="1"/>
      <c r="O1542" s="1" t="str">
        <f>IFERROR(__xludf.DUMMYFUNCTION("""COMPUTED_VALUE"""),"NARRA II")</f>
        <v>NARRA II</v>
      </c>
      <c r="P1542" s="1" t="str">
        <f>IFERROR(__xludf.DUMMYFUNCTION("""COMPUTED_VALUE"""),"SILANG")</f>
        <v>SILANG</v>
      </c>
      <c r="Q1542" s="1" t="str">
        <f>IFERROR(__xludf.DUMMYFUNCTION("""COMPUTED_VALUE"""),"CAVITE")</f>
        <v>CAVITE</v>
      </c>
      <c r="R1542" s="1" t="str">
        <f>IFERROR(__xludf.DUMMYFUNCTION("""COMPUTED_VALUE"""),"FIBR UNLI ALL PLAN 999")</f>
        <v>FIBR UNLI ALL PLAN 999</v>
      </c>
      <c r="S1542" s="1" t="str">
        <f>IFERROR(__xludf.DUMMYFUNCTION("""COMPUTED_VALUE"""),"APPROVED")</f>
        <v>APPROVED</v>
      </c>
      <c r="T1542" s="1" t="str">
        <f>IFERROR(__xludf.DUMMYFUNCTION("""COMPUTED_VALUE"""),"CLOSED")</f>
        <v>CLOSED</v>
      </c>
      <c r="U1542" s="1" t="str">
        <f>IFERROR(__xludf.DUMMYFUNCTION("""COMPUTED_VALUE"""),"POSTED")</f>
        <v>POSTED</v>
      </c>
      <c r="V1542" s="1"/>
      <c r="W1542" s="1"/>
    </row>
    <row r="1543" customHeight="1" spans="1:23">
      <c r="A1543" s="3">
        <f>IFERROR(__xludf.DUMMYFUNCTION("""COMPUTED_VALUE"""),46150)</f>
        <v>46150</v>
      </c>
      <c r="B1543" s="1" t="str">
        <f>IFERROR(__xludf.DUMMYFUNCTION("""COMPUTED_VALUE"""),"DELA ROSA, JENNELYN")</f>
        <v>DELA ROSA, JENNELYN</v>
      </c>
      <c r="C1543" s="1" t="str">
        <f>IFERROR(__xludf.DUMMYFUNCTION("""COMPUTED_VALUE"""),"ORGANIC")</f>
        <v>ORGANIC</v>
      </c>
      <c r="D1543" s="1" t="str">
        <f>IFERROR(__xludf.DUMMYFUNCTION("""COMPUTED_VALUE"""),"ALOS, CHARLS")</f>
        <v>ALOS, CHARLS</v>
      </c>
      <c r="E1543" s="1" t="str">
        <f>IFERROR(__xludf.DUMMYFUNCTION("""COMPUTED_VALUE"""),"PLDT / H2H")</f>
        <v>PLDT / H2H</v>
      </c>
      <c r="F1543" s="1">
        <f>IFERROR(__xludf.DUMMYFUNCTION("""COMPUTED_VALUE"""),2309379433)</f>
        <v>2309379433</v>
      </c>
      <c r="G1543" s="1">
        <f>IFERROR(__xludf.DUMMYFUNCTION("""COMPUTED_VALUE"""),453791637004)</f>
        <v>453791637004</v>
      </c>
      <c r="H1543" s="1" t="str">
        <f>IFERROR(__xludf.DUMMYFUNCTION("""COMPUTED_VALUE"""),"ANNALISA PERNA SANCHEZ")</f>
        <v>ANNALISA PERNA SANCHEZ</v>
      </c>
      <c r="I1543" s="1">
        <f>IFERROR(__xludf.DUMMYFUNCTION("""COMPUTED_VALUE"""),9604566693)</f>
        <v>9604566693</v>
      </c>
      <c r="J1543" s="1"/>
      <c r="K1543" s="1" t="str">
        <f>IFERROR(__xludf.DUMMYFUNCTION("""COMPUTED_VALUE"""),"ROMELSANCHEZ078@GMAIL.COM")</f>
        <v>ROMELSANCHEZ078@GMAIL.COM</v>
      </c>
      <c r="L1543" s="1" t="str">
        <f>IFERROR(__xludf.DUMMYFUNCTION("""COMPUTED_VALUE"""),"76")</f>
        <v>76</v>
      </c>
      <c r="M1543" s="1" t="str">
        <f>IFERROR(__xludf.DUMMYFUNCTION("""COMPUTED_VALUE"""),"PUROK 139")</f>
        <v>PUROK 139</v>
      </c>
      <c r="N1543" s="1"/>
      <c r="O1543" s="1" t="str">
        <f>IFERROR(__xludf.DUMMYFUNCTION("""COMPUTED_VALUE"""),"NEOGAN")</f>
        <v>NEOGAN</v>
      </c>
      <c r="P1543" s="1" t="str">
        <f>IFERROR(__xludf.DUMMYFUNCTION("""COMPUTED_VALUE"""),"TAGAYTAY")</f>
        <v>TAGAYTAY</v>
      </c>
      <c r="Q1543" s="1" t="str">
        <f>IFERROR(__xludf.DUMMYFUNCTION("""COMPUTED_VALUE"""),"CAVITE")</f>
        <v>CAVITE</v>
      </c>
      <c r="R1543" s="1" t="str">
        <f>IFERROR(__xludf.DUMMYFUNCTION("""COMPUTED_VALUE"""),"PREPAID FIBER UNLI")</f>
        <v>PREPAID FIBER UNLI</v>
      </c>
      <c r="S1543" s="1" t="str">
        <f>IFERROR(__xludf.DUMMYFUNCTION("""COMPUTED_VALUE"""),"APPROVED")</f>
        <v>APPROVED</v>
      </c>
      <c r="T1543" s="1" t="str">
        <f>IFERROR(__xludf.DUMMYFUNCTION("""COMPUTED_VALUE"""),"CLOSED")</f>
        <v>CLOSED</v>
      </c>
      <c r="U1543" s="1" t="str">
        <f>IFERROR(__xludf.DUMMYFUNCTION("""COMPUTED_VALUE"""),"POSTED")</f>
        <v>POSTED</v>
      </c>
      <c r="V1543" s="1"/>
      <c r="W1543" s="1"/>
    </row>
    <row r="1544" customHeight="1" spans="1:23">
      <c r="A1544" s="3">
        <f>IFERROR(__xludf.DUMMYFUNCTION("""COMPUTED_VALUE"""),46150)</f>
        <v>46150</v>
      </c>
      <c r="B1544" s="1" t="str">
        <f>IFERROR(__xludf.DUMMYFUNCTION("""COMPUTED_VALUE"""),"ESCARCHA, MA ALMA  ESCOTO")</f>
        <v>ESCARCHA, MA ALMA  ESCOTO</v>
      </c>
      <c r="C1544" s="1" t="str">
        <f>IFERROR(__xludf.DUMMYFUNCTION("""COMPUTED_VALUE"""),"ORGANIC")</f>
        <v>ORGANIC</v>
      </c>
      <c r="D1544" s="1" t="str">
        <f>IFERROR(__xludf.DUMMYFUNCTION("""COMPUTED_VALUE"""),"ALINGARO, CINDY")</f>
        <v>ALINGARO, CINDY</v>
      </c>
      <c r="E1544" s="1" t="str">
        <f>IFERROR(__xludf.DUMMYFUNCTION("""COMPUTED_VALUE"""),"PLDT / H2H")</f>
        <v>PLDT / H2H</v>
      </c>
      <c r="F1544" s="1">
        <f>IFERROR(__xludf.DUMMYFUNCTION("""COMPUTED_VALUE"""),2309380375)</f>
        <v>2309380375</v>
      </c>
      <c r="G1544" s="1">
        <f>IFERROR(__xludf.DUMMYFUNCTION("""COMPUTED_VALUE"""),453793307004)</f>
        <v>453793307004</v>
      </c>
      <c r="H1544" s="1" t="str">
        <f>IFERROR(__xludf.DUMMYFUNCTION("""COMPUTED_VALUE"""),"ARLDRICK JOSH PALLERA CANTORIA")</f>
        <v>ARLDRICK JOSH PALLERA CANTORIA</v>
      </c>
      <c r="I1544" s="1">
        <f>IFERROR(__xludf.DUMMYFUNCTION("""COMPUTED_VALUE"""),9275380734)</f>
        <v>9275380734</v>
      </c>
      <c r="J1544" s="1">
        <f>IFERROR(__xludf.DUMMYFUNCTION("""COMPUTED_VALUE"""),9618122560)</f>
        <v>9618122560</v>
      </c>
      <c r="K1544" s="1" t="str">
        <f>IFERROR(__xludf.DUMMYFUNCTION("""COMPUTED_VALUE"""),"ARLDRICKJODJ@GMAIL.COM")</f>
        <v>ARLDRICKJODJ@GMAIL.COM</v>
      </c>
      <c r="L1544" s="1" t="str">
        <f>IFERROR(__xludf.DUMMYFUNCTION("""COMPUTED_VALUE"""),"73A")</f>
        <v>73A</v>
      </c>
      <c r="M1544" s="1" t="str">
        <f>IFERROR(__xludf.DUMMYFUNCTION("""COMPUTED_VALUE"""),"LUCSUHIN")</f>
        <v>LUCSUHIN</v>
      </c>
      <c r="N1544" s="1"/>
      <c r="O1544" s="1" t="str">
        <f>IFERROR(__xludf.DUMMYFUNCTION("""COMPUTED_VALUE"""),"LUCSUHIN")</f>
        <v>LUCSUHIN</v>
      </c>
      <c r="P1544" s="1" t="str">
        <f>IFERROR(__xludf.DUMMYFUNCTION("""COMPUTED_VALUE"""),"SILANG")</f>
        <v>SILANG</v>
      </c>
      <c r="Q1544" s="1" t="str">
        <f>IFERROR(__xludf.DUMMYFUNCTION("""COMPUTED_VALUE"""),"CAVITE")</f>
        <v>CAVITE</v>
      </c>
      <c r="R1544" s="1" t="str">
        <f>IFERROR(__xludf.DUMMYFUNCTION("""COMPUTED_VALUE"""),"FIBR UNLI ALL PLAN 999")</f>
        <v>FIBR UNLI ALL PLAN 999</v>
      </c>
      <c r="S1544" s="1" t="str">
        <f>IFERROR(__xludf.DUMMYFUNCTION("""COMPUTED_VALUE"""),"APPROVED")</f>
        <v>APPROVED</v>
      </c>
      <c r="T1544" s="1" t="str">
        <f>IFERROR(__xludf.DUMMYFUNCTION("""COMPUTED_VALUE"""),"CLOSED")</f>
        <v>CLOSED</v>
      </c>
      <c r="U1544" s="1" t="str">
        <f>IFERROR(__xludf.DUMMYFUNCTION("""COMPUTED_VALUE"""),"POSTED")</f>
        <v>POSTED</v>
      </c>
      <c r="V1544" s="1"/>
      <c r="W1544" s="1"/>
    </row>
    <row r="1545" customHeight="1" spans="1:23">
      <c r="A1545" s="3">
        <f>IFERROR(__xludf.DUMMYFUNCTION("""COMPUTED_VALUE"""),46150)</f>
        <v>46150</v>
      </c>
      <c r="B1545" s="1" t="str">
        <f>IFERROR(__xludf.DUMMYFUNCTION("""COMPUTED_VALUE"""),"FARO, REFRANTA")</f>
        <v>FARO, REFRANTA</v>
      </c>
      <c r="C1545" s="1" t="str">
        <f>IFERROR(__xludf.DUMMYFUNCTION("""COMPUTED_VALUE"""),"ORGANIC")</f>
        <v>ORGANIC</v>
      </c>
      <c r="D1545" s="1" t="str">
        <f>IFERROR(__xludf.DUMMYFUNCTION("""COMPUTED_VALUE"""),"ALINGARO, CINDY")</f>
        <v>ALINGARO, CINDY</v>
      </c>
      <c r="E1545" s="1" t="str">
        <f>IFERROR(__xludf.DUMMYFUNCTION("""COMPUTED_VALUE"""),"PLDT / H2H")</f>
        <v>PLDT / H2H</v>
      </c>
      <c r="F1545" s="1"/>
      <c r="G1545" s="1"/>
      <c r="H1545" s="1" t="str">
        <f>IFERROR(__xludf.DUMMYFUNCTION("""COMPUTED_VALUE"""),"JEMINA TORRES BATUTAY")</f>
        <v>JEMINA TORRES BATUTAY</v>
      </c>
      <c r="I1545" s="1">
        <f>IFERROR(__xludf.DUMMYFUNCTION("""COMPUTED_VALUE"""),9162108270)</f>
        <v>9162108270</v>
      </c>
      <c r="J1545" s="1"/>
      <c r="K1545" s="1" t="str">
        <f>IFERROR(__xludf.DUMMYFUNCTION("""COMPUTED_VALUE"""),"JEMINABATUTAY@GMAIL.COM")</f>
        <v>JEMINABATUTAY@GMAIL.COM</v>
      </c>
      <c r="L1545" s="1" t="str">
        <f>IFERROR(__xludf.DUMMYFUNCTION("""COMPUTED_VALUE"""),"157")</f>
        <v>157</v>
      </c>
      <c r="M1545" s="1" t="str">
        <f>IFERROR(__xludf.DUMMYFUNCTION("""COMPUTED_VALUE"""),"LUCSUHIN")</f>
        <v>LUCSUHIN</v>
      </c>
      <c r="N1545" s="1"/>
      <c r="O1545" s="1" t="str">
        <f>IFERROR(__xludf.DUMMYFUNCTION("""COMPUTED_VALUE"""),"LUKSUHIN")</f>
        <v>LUKSUHIN</v>
      </c>
      <c r="P1545" s="1" t="str">
        <f>IFERROR(__xludf.DUMMYFUNCTION("""COMPUTED_VALUE"""),"SILANG")</f>
        <v>SILANG</v>
      </c>
      <c r="Q1545" s="1" t="str">
        <f>IFERROR(__xludf.DUMMYFUNCTION("""COMPUTED_VALUE"""),"CAVITE")</f>
        <v>CAVITE</v>
      </c>
      <c r="R1545" s="1" t="str">
        <f>IFERROR(__xludf.DUMMYFUNCTION("""COMPUTED_VALUE"""),"FIBR NETFLIX PLAN 1599")</f>
        <v>FIBR NETFLIX PLAN 1599</v>
      </c>
      <c r="S1545" s="1" t="str">
        <f>IFERROR(__xludf.DUMMYFUNCTION("""COMPUTED_VALUE"""),"HOLD")</f>
        <v>HOLD</v>
      </c>
      <c r="T1545" s="1" t="str">
        <f>IFERROR(__xludf.DUMMYFUNCTION("""COMPUTED_VALUE"""),"#N/A")</f>
        <v>#N/A</v>
      </c>
      <c r="U1545" s="1"/>
      <c r="V1545" s="1"/>
      <c r="W1545" s="1"/>
    </row>
    <row r="1546" customHeight="1" spans="1:23">
      <c r="A1546" s="3">
        <f>IFERROR(__xludf.DUMMYFUNCTION("""COMPUTED_VALUE"""),46150)</f>
        <v>46150</v>
      </c>
      <c r="B1546" s="1" t="str">
        <f>IFERROR(__xludf.DUMMYFUNCTION("""COMPUTED_VALUE"""),"IVNO, RAZZEL")</f>
        <v>IVNO, RAZZEL</v>
      </c>
      <c r="C1546" s="1" t="str">
        <f>IFERROR(__xludf.DUMMYFUNCTION("""COMPUTED_VALUE"""),"ORGANIC")</f>
        <v>ORGANIC</v>
      </c>
      <c r="D1546" s="1" t="str">
        <f>IFERROR(__xludf.DUMMYFUNCTION("""COMPUTED_VALUE"""),"REMOLLO LEA")</f>
        <v>REMOLLO LEA</v>
      </c>
      <c r="E1546" s="1" t="str">
        <f>IFERROR(__xludf.DUMMYFUNCTION("""COMPUTED_VALUE"""),"PLDT / H2H")</f>
        <v>PLDT / H2H</v>
      </c>
      <c r="F1546" s="1">
        <f>IFERROR(__xludf.DUMMYFUNCTION("""COMPUTED_VALUE"""),2309381342)</f>
        <v>2309381342</v>
      </c>
      <c r="G1546" s="1">
        <f>IFERROR(__xludf.DUMMYFUNCTION("""COMPUTED_VALUE"""),453795335004)</f>
        <v>453795335004</v>
      </c>
      <c r="H1546" s="1" t="str">
        <f>IFERROR(__xludf.DUMMYFUNCTION("""COMPUTED_VALUE"""),"JERICKO PAKINGAN PALCONE")</f>
        <v>JERICKO PAKINGAN PALCONE</v>
      </c>
      <c r="I1546" s="1">
        <f>IFERROR(__xludf.DUMMYFUNCTION("""COMPUTED_VALUE"""),9770954907)</f>
        <v>9770954907</v>
      </c>
      <c r="J1546" s="1">
        <f>IFERROR(__xludf.DUMMYFUNCTION("""COMPUTED_VALUE"""),9693746542)</f>
        <v>9693746542</v>
      </c>
      <c r="K1546" s="1" t="str">
        <f>IFERROR(__xludf.DUMMYFUNCTION("""COMPUTED_VALUE"""),"JERICKOPALCONE3@GMAIL.COM")</f>
        <v>JERICKOPALCONE3@GMAIL.COM</v>
      </c>
      <c r="L1546" s="1" t="str">
        <f>IFERROR(__xludf.DUMMYFUNCTION("""COMPUTED_VALUE"""),"26")</f>
        <v>26</v>
      </c>
      <c r="M1546" s="1" t="str">
        <f>IFERROR(__xludf.DUMMYFUNCTION("""COMPUTED_VALUE"""),"PUROK 43")</f>
        <v>PUROK 43</v>
      </c>
      <c r="N1546" s="1"/>
      <c r="O1546" s="1" t="str">
        <f>IFERROR(__xludf.DUMMYFUNCTION("""COMPUTED_VALUE"""),"LUCSUHIN")</f>
        <v>LUCSUHIN</v>
      </c>
      <c r="P1546" s="1" t="str">
        <f>IFERROR(__xludf.DUMMYFUNCTION("""COMPUTED_VALUE"""),"SILANG")</f>
        <v>SILANG</v>
      </c>
      <c r="Q1546" s="1" t="str">
        <f>IFERROR(__xludf.DUMMYFUNCTION("""COMPUTED_VALUE"""),"CAVITE")</f>
        <v>CAVITE</v>
      </c>
      <c r="R1546" s="1" t="str">
        <f>IFERROR(__xludf.DUMMYFUNCTION("""COMPUTED_VALUE"""),"FIBR UNLI ALL PLAN 1399")</f>
        <v>FIBR UNLI ALL PLAN 1399</v>
      </c>
      <c r="S1546" s="1" t="str">
        <f>IFERROR(__xludf.DUMMYFUNCTION("""COMPUTED_VALUE"""),"APPROVED")</f>
        <v>APPROVED</v>
      </c>
      <c r="T1546" s="1" t="str">
        <f>IFERROR(__xludf.DUMMYFUNCTION("""COMPUTED_VALUE"""),"CLOSED")</f>
        <v>CLOSED</v>
      </c>
      <c r="U1546" s="1" t="str">
        <f>IFERROR(__xludf.DUMMYFUNCTION("""COMPUTED_VALUE"""),"POSTED")</f>
        <v>POSTED</v>
      </c>
      <c r="V1546" s="1"/>
      <c r="W1546" s="1"/>
    </row>
    <row r="1547" customHeight="1" spans="1:23">
      <c r="A1547" s="3">
        <f>IFERROR(__xludf.DUMMYFUNCTION("""COMPUTED_VALUE"""),46150)</f>
        <v>46150</v>
      </c>
      <c r="B1547" s="1" t="str">
        <f>IFERROR(__xludf.DUMMYFUNCTION("""COMPUTED_VALUE"""),"MAÑANITA, ERIKA")</f>
        <v>MAÑANITA, ERIKA</v>
      </c>
      <c r="C1547" s="1" t="str">
        <f>IFERROR(__xludf.DUMMYFUNCTION("""COMPUTED_VALUE"""),"ORGANIC")</f>
        <v>ORGANIC</v>
      </c>
      <c r="D1547" s="1" t="str">
        <f>IFERROR(__xludf.DUMMYFUNCTION("""COMPUTED_VALUE"""),"ALOS, CHARLS")</f>
        <v>ALOS, CHARLS</v>
      </c>
      <c r="E1547" s="1" t="str">
        <f>IFERROR(__xludf.DUMMYFUNCTION("""COMPUTED_VALUE"""),"PLDT / H2H")</f>
        <v>PLDT / H2H</v>
      </c>
      <c r="F1547" s="1"/>
      <c r="G1547" s="1"/>
      <c r="H1547" s="1" t="str">
        <f>IFERROR(__xludf.DUMMYFUNCTION("""COMPUTED_VALUE"""),"MYRJILL GATDULA PENAFIEL")</f>
        <v>MYRJILL GATDULA PENAFIEL</v>
      </c>
      <c r="I1547" s="1">
        <f>IFERROR(__xludf.DUMMYFUNCTION("""COMPUTED_VALUE"""),9540767978)</f>
        <v>9540767978</v>
      </c>
      <c r="J1547" s="1"/>
      <c r="K1547" s="1" t="str">
        <f>IFERROR(__xludf.DUMMYFUNCTION("""COMPUTED_VALUE"""),"PENAFIELMYRJILL@GMAIL.COM")</f>
        <v>PENAFIELMYRJILL@GMAIL.COM</v>
      </c>
      <c r="L1547" s="1" t="str">
        <f>IFERROR(__xludf.DUMMYFUNCTION("""COMPUTED_VALUE"""),"210")</f>
        <v>210</v>
      </c>
      <c r="M1547" s="1" t="str">
        <f>IFERROR(__xludf.DUMMYFUNCTION("""COMPUTED_VALUE"""),"ZAMBAL")</f>
        <v>ZAMBAL</v>
      </c>
      <c r="N1547" s="1"/>
      <c r="O1547" s="1" t="str">
        <f>IFERROR(__xludf.DUMMYFUNCTION("""COMPUTED_VALUE"""),"ZAMBAL")</f>
        <v>ZAMBAL</v>
      </c>
      <c r="P1547" s="1" t="str">
        <f>IFERROR(__xludf.DUMMYFUNCTION("""COMPUTED_VALUE"""),"TAGAYTAY")</f>
        <v>TAGAYTAY</v>
      </c>
      <c r="Q1547" s="1" t="str">
        <f>IFERROR(__xludf.DUMMYFUNCTION("""COMPUTED_VALUE"""),"CAVITE")</f>
        <v>CAVITE</v>
      </c>
      <c r="R1547" s="1" t="str">
        <f>IFERROR(__xludf.DUMMYFUNCTION("""COMPUTED_VALUE"""),"PREPAID FIBER UNLI")</f>
        <v>PREPAID FIBER UNLI</v>
      </c>
      <c r="S1547" s="1" t="str">
        <f>IFERROR(__xludf.DUMMYFUNCTION("""COMPUTED_VALUE"""),"HOLD")</f>
        <v>HOLD</v>
      </c>
      <c r="T1547" s="1" t="str">
        <f>IFERROR(__xludf.DUMMYFUNCTION("""COMPUTED_VALUE"""),"#N/A")</f>
        <v>#N/A</v>
      </c>
      <c r="U1547" s="1"/>
      <c r="V1547" s="1"/>
      <c r="W1547" s="1"/>
    </row>
    <row r="1548" customHeight="1" spans="1:23">
      <c r="A1548" s="3">
        <f>IFERROR(__xludf.DUMMYFUNCTION("""COMPUTED_VALUE"""),46150)</f>
        <v>46150</v>
      </c>
      <c r="B1548" s="1" t="str">
        <f>IFERROR(__xludf.DUMMYFUNCTION("""COMPUTED_VALUE"""),"FRANCISCO , ROSELYN")</f>
        <v>FRANCISCO , ROSELYN</v>
      </c>
      <c r="C1548" s="1" t="str">
        <f>IFERROR(__xludf.DUMMYFUNCTION("""COMPUTED_VALUE"""),"ORGANIC")</f>
        <v>ORGANIC</v>
      </c>
      <c r="D1548" s="1" t="str">
        <f>IFERROR(__xludf.DUMMYFUNCTION("""COMPUTED_VALUE"""),"ALOS, CHARLS")</f>
        <v>ALOS, CHARLS</v>
      </c>
      <c r="E1548" s="1" t="str">
        <f>IFERROR(__xludf.DUMMYFUNCTION("""COMPUTED_VALUE"""),"RED FIBER")</f>
        <v>RED FIBER</v>
      </c>
      <c r="F1548" s="1"/>
      <c r="G1548" s="1"/>
      <c r="H1548" s="1" t="str">
        <f>IFERROR(__xludf.DUMMYFUNCTION("""COMPUTED_VALUE"""),"ALICIA LOPEZ CORTEZ")</f>
        <v>ALICIA LOPEZ CORTEZ</v>
      </c>
      <c r="I1548" s="1">
        <f>IFERROR(__xludf.DUMMYFUNCTION("""COMPUTED_VALUE"""),9165882692)</f>
        <v>9165882692</v>
      </c>
      <c r="J1548" s="1"/>
      <c r="K1548" s="1" t="str">
        <f>IFERROR(__xludf.DUMMYFUNCTION("""COMPUTED_VALUE"""),"TURING023@GMAIL.COM")</f>
        <v>TURING023@GMAIL.COM</v>
      </c>
      <c r="L1548" s="1" t="str">
        <f>IFERROR(__xludf.DUMMYFUNCTION("""COMPUTED_VALUE"""),"44")</f>
        <v>44</v>
      </c>
      <c r="M1548" s="1" t="str">
        <f>IFERROR(__xludf.DUMMYFUNCTION("""COMPUTED_VALUE"""),"ZAMORA")</f>
        <v>ZAMORA</v>
      </c>
      <c r="N1548" s="1"/>
      <c r="O1548" s="1" t="str">
        <f>IFERROR(__xludf.DUMMYFUNCTION("""COMPUTED_VALUE"""),"ASIS I")</f>
        <v>ASIS I</v>
      </c>
      <c r="P1548" s="1" t="str">
        <f>IFERROR(__xludf.DUMMYFUNCTION("""COMPUTED_VALUE"""),"MENDEZ")</f>
        <v>MENDEZ</v>
      </c>
      <c r="Q1548" s="1" t="str">
        <f>IFERROR(__xludf.DUMMYFUNCTION("""COMPUTED_VALUE"""),"CAVITE")</f>
        <v>CAVITE</v>
      </c>
      <c r="R1548" s="1" t="str">
        <f>IFERROR(__xludf.DUMMYFUNCTION("""COMPUTED_VALUE"""),"RED PLAN 1000")</f>
        <v>RED PLAN 1000</v>
      </c>
      <c r="S1548" s="1" t="str">
        <f>IFERROR(__xludf.DUMMYFUNCTION("""COMPUTED_VALUE"""),"APPROVED")</f>
        <v>APPROVED</v>
      </c>
      <c r="T1548" s="1" t="str">
        <f>IFERROR(__xludf.DUMMYFUNCTION("""COMPUTED_VALUE"""),"CLOSED")</f>
        <v>CLOSED</v>
      </c>
      <c r="U1548" s="1" t="str">
        <f>IFERROR(__xludf.DUMMYFUNCTION("""COMPUTED_VALUE"""),"POSTED")</f>
        <v>POSTED</v>
      </c>
      <c r="V1548" s="1"/>
      <c r="W1548" s="1"/>
    </row>
    <row r="1549" customHeight="1" spans="1:23">
      <c r="A1549" s="3">
        <f>IFERROR(__xludf.DUMMYFUNCTION("""COMPUTED_VALUE"""),46150)</f>
        <v>46150</v>
      </c>
      <c r="B1549" s="1" t="str">
        <f>IFERROR(__xludf.DUMMYFUNCTION("""COMPUTED_VALUE"""),"ADVINCULA, NICOLE")</f>
        <v>ADVINCULA, NICOLE</v>
      </c>
      <c r="C1549" s="1" t="str">
        <f>IFERROR(__xludf.DUMMYFUNCTION("""COMPUTED_VALUE"""),"ORGANIC")</f>
        <v>ORGANIC</v>
      </c>
      <c r="D1549" s="1" t="str">
        <f>IFERROR(__xludf.DUMMYFUNCTION("""COMPUTED_VALUE"""),"ALINGARO, CINDY")</f>
        <v>ALINGARO, CINDY</v>
      </c>
      <c r="E1549" s="1" t="str">
        <f>IFERROR(__xludf.DUMMYFUNCTION("""COMPUTED_VALUE"""),"PLDT / H2H")</f>
        <v>PLDT / H2H</v>
      </c>
      <c r="F1549" s="1">
        <f>IFERROR(__xludf.DUMMYFUNCTION("""COMPUTED_VALUE"""),2309384301)</f>
        <v>2309384301</v>
      </c>
      <c r="G1549" s="1">
        <f>IFERROR(__xludf.DUMMYFUNCTION("""COMPUTED_VALUE"""),453798055004)</f>
        <v>453798055004</v>
      </c>
      <c r="H1549" s="1" t="str">
        <f>IFERROR(__xludf.DUMMYFUNCTION("""COMPUTED_VALUE"""),"ROSEMARIE ARSENUE BUCAO")</f>
        <v>ROSEMARIE ARSENUE BUCAO</v>
      </c>
      <c r="I1549" s="1">
        <f>IFERROR(__xludf.DUMMYFUNCTION("""COMPUTED_VALUE"""),9674390628)</f>
        <v>9674390628</v>
      </c>
      <c r="J1549" s="1"/>
      <c r="K1549" s="1" t="str">
        <f>IFERROR(__xludf.DUMMYFUNCTION("""COMPUTED_VALUE"""),"BUCAOANNYA@GMAIL.COM")</f>
        <v>BUCAOANNYA@GMAIL.COM</v>
      </c>
      <c r="L1549" s="1" t="str">
        <f>IFERROR(__xludf.DUMMYFUNCTION("""COMPUTED_VALUE"""),"59")</f>
        <v>59</v>
      </c>
      <c r="M1549" s="1" t="str">
        <f>IFERROR(__xludf.DUMMYFUNCTION("""COMPUTED_VALUE"""),"PUROK 6")</f>
        <v>PUROK 6</v>
      </c>
      <c r="N1549" s="1"/>
      <c r="O1549" s="1" t="str">
        <f>IFERROR(__xludf.DUMMYFUNCTION("""COMPUTED_VALUE"""),"LUCSUHIN")</f>
        <v>LUCSUHIN</v>
      </c>
      <c r="P1549" s="1" t="str">
        <f>IFERROR(__xludf.DUMMYFUNCTION("""COMPUTED_VALUE"""),"SILANG")</f>
        <v>SILANG</v>
      </c>
      <c r="Q1549" s="1" t="str">
        <f>IFERROR(__xludf.DUMMYFUNCTION("""COMPUTED_VALUE"""),"CAVITE")</f>
        <v>CAVITE</v>
      </c>
      <c r="R1549" s="1" t="str">
        <f>IFERROR(__xludf.DUMMYFUNCTION("""COMPUTED_VALUE"""),"FIBR UNLI ALL PLAN 1399")</f>
        <v>FIBR UNLI ALL PLAN 1399</v>
      </c>
      <c r="S1549" s="1" t="str">
        <f>IFERROR(__xludf.DUMMYFUNCTION("""COMPUTED_VALUE"""),"APPROVED")</f>
        <v>APPROVED</v>
      </c>
      <c r="T1549" s="1" t="str">
        <f>IFERROR(__xludf.DUMMYFUNCTION("""COMPUTED_VALUE"""),"RPR")</f>
        <v>RPR</v>
      </c>
      <c r="U1549" s="1"/>
      <c r="V1549" s="1"/>
      <c r="W1549" s="1"/>
    </row>
    <row r="1550" customHeight="1" spans="1:23">
      <c r="A1550" s="3">
        <f>IFERROR(__xludf.DUMMYFUNCTION("""COMPUTED_VALUE"""),46150)</f>
        <v>46150</v>
      </c>
      <c r="B1550" s="1" t="str">
        <f>IFERROR(__xludf.DUMMYFUNCTION("""COMPUTED_VALUE"""),"ALANO, RAIN")</f>
        <v>ALANO, RAIN</v>
      </c>
      <c r="C1550" s="1" t="str">
        <f>IFERROR(__xludf.DUMMYFUNCTION("""COMPUTED_VALUE"""),"ORGANIC")</f>
        <v>ORGANIC</v>
      </c>
      <c r="D1550" s="1" t="str">
        <f>IFERROR(__xludf.DUMMYFUNCTION("""COMPUTED_VALUE"""),"REMOLLO LEA")</f>
        <v>REMOLLO LEA</v>
      </c>
      <c r="E1550" s="1" t="str">
        <f>IFERROR(__xludf.DUMMYFUNCTION("""COMPUTED_VALUE"""),"PLDT / H2H")</f>
        <v>PLDT / H2H</v>
      </c>
      <c r="F1550" s="1">
        <f>IFERROR(__xludf.DUMMYFUNCTION("""COMPUTED_VALUE"""),2309418731)</f>
        <v>2309418731</v>
      </c>
      <c r="G1550" s="1">
        <f>IFERROR(__xludf.DUMMYFUNCTION("""COMPUTED_VALUE"""),454077543004)</f>
        <v>454077543004</v>
      </c>
      <c r="H1550" s="1" t="str">
        <f>IFERROR(__xludf.DUMMYFUNCTION("""COMPUTED_VALUE"""),"CHARITO SOLIS MAGNO")</f>
        <v>CHARITO SOLIS MAGNO</v>
      </c>
      <c r="I1550" s="1">
        <f>IFERROR(__xludf.DUMMYFUNCTION("""COMPUTED_VALUE"""),9053280350)</f>
        <v>9053280350</v>
      </c>
      <c r="J1550" s="1">
        <f>IFERROR(__xludf.DUMMYFUNCTION("""COMPUTED_VALUE"""),9514490620)</f>
        <v>9514490620</v>
      </c>
      <c r="K1550" s="1" t="str">
        <f>IFERROR(__xludf.DUMMYFUNCTION("""COMPUTED_VALUE"""),"CHARITOSOLIS...@GMAIL.COM")</f>
        <v>CHARITOSOLIS...@GMAIL.COM</v>
      </c>
      <c r="L1550" s="1" t="str">
        <f>IFERROR(__xludf.DUMMYFUNCTION("""COMPUTED_VALUE"""),"BLK 3 LOT 41")</f>
        <v>BLK 3 LOT 41</v>
      </c>
      <c r="M1550" s="1" t="str">
        <f>IFERROR(__xludf.DUMMYFUNCTION("""COMPUTED_VALUE"""),"POB 4")</f>
        <v>POB 4</v>
      </c>
      <c r="N1550" s="1"/>
      <c r="O1550" s="1" t="str">
        <f>IFERROR(__xludf.DUMMYFUNCTION("""COMPUTED_VALUE"""),"BARANGAY 4 POBLACION")</f>
        <v>BARANGAY 4 POBLACION</v>
      </c>
      <c r="P1550" s="1" t="str">
        <f>IFERROR(__xludf.DUMMYFUNCTION("""COMPUTED_VALUE"""),"GEN MARIANO ALVAREZ")</f>
        <v>GEN MARIANO ALVAREZ</v>
      </c>
      <c r="Q1550" s="1" t="str">
        <f>IFERROR(__xludf.DUMMYFUNCTION("""COMPUTED_VALUE"""),"CAVITE")</f>
        <v>CAVITE</v>
      </c>
      <c r="R1550" s="1" t="str">
        <f>IFERROR(__xludf.DUMMYFUNCTION("""COMPUTED_VALUE"""),"PREPAID FIBER UNLI")</f>
        <v>PREPAID FIBER UNLI</v>
      </c>
      <c r="S1550" s="1" t="str">
        <f>IFERROR(__xludf.DUMMYFUNCTION("""COMPUTED_VALUE"""),"APPROVED")</f>
        <v>APPROVED</v>
      </c>
      <c r="T1550" s="1" t="str">
        <f>IFERROR(__xludf.DUMMYFUNCTION("""COMPUTED_VALUE"""),"CANCELLED")</f>
        <v>CANCELLED</v>
      </c>
      <c r="U1550" s="1"/>
      <c r="V1550" s="1"/>
      <c r="W1550" s="1"/>
    </row>
    <row r="1551" customHeight="1" spans="1:23">
      <c r="A1551" s="3">
        <f>IFERROR(__xludf.DUMMYFUNCTION("""COMPUTED_VALUE"""),46150)</f>
        <v>46150</v>
      </c>
      <c r="B1551" s="1" t="str">
        <f>IFERROR(__xludf.DUMMYFUNCTION("""COMPUTED_VALUE"""),"MALIWAT MARK ELVIN")</f>
        <v>MALIWAT MARK ELVIN</v>
      </c>
      <c r="C1551" s="1" t="str">
        <f>IFERROR(__xludf.DUMMYFUNCTION("""COMPUTED_VALUE"""),"FLA")</f>
        <v>FLA</v>
      </c>
      <c r="D1551" s="1" t="str">
        <f>IFERROR(__xludf.DUMMYFUNCTION("""COMPUTED_VALUE"""),"JERIC NAVARRO")</f>
        <v>JERIC NAVARRO</v>
      </c>
      <c r="E1551" s="1" t="str">
        <f>IFERROR(__xludf.DUMMYFUNCTION("""COMPUTED_VALUE"""),"PLDT / H2H")</f>
        <v>PLDT / H2H</v>
      </c>
      <c r="F1551" s="1">
        <f>IFERROR(__xludf.DUMMYFUNCTION("""COMPUTED_VALUE"""),2309384251)</f>
        <v>2309384251</v>
      </c>
      <c r="G1551" s="1">
        <f>IFERROR(__xludf.DUMMYFUNCTION("""COMPUTED_VALUE"""),453798375004)</f>
        <v>453798375004</v>
      </c>
      <c r="H1551" s="1" t="str">
        <f>IFERROR(__xludf.DUMMYFUNCTION("""COMPUTED_VALUE"""),"WILLIAM ROMAN SIM")</f>
        <v>WILLIAM ROMAN SIM</v>
      </c>
      <c r="I1551" s="1">
        <f>IFERROR(__xludf.DUMMYFUNCTION("""COMPUTED_VALUE"""),9564584949)</f>
        <v>9564584949</v>
      </c>
      <c r="J1551" s="1"/>
      <c r="K1551" s="1" t="str">
        <f>IFERROR(__xludf.DUMMYFUNCTION("""COMPUTED_VALUE"""),"MERCHANDISING.WILLIAM@YAHOO.COM")</f>
        <v>MERCHANDISING.WILLIAM@YAHOO.COM</v>
      </c>
      <c r="L1551" s="1" t="str">
        <f>IFERROR(__xludf.DUMMYFUNCTION("""COMPUTED_VALUE"""),"4118")</f>
        <v>4118</v>
      </c>
      <c r="M1551" s="1" t="str">
        <f>IFERROR(__xludf.DUMMYFUNCTION("""COMPUTED_VALUE"""),"E AGUINALDO")</f>
        <v>E AGUINALDO</v>
      </c>
      <c r="N1551" s="1"/>
      <c r="O1551" s="1" t="str">
        <f>IFERROR(__xludf.DUMMYFUNCTION("""COMPUTED_VALUE"""),"BUHO")</f>
        <v>BUHO</v>
      </c>
      <c r="P1551" s="1" t="str">
        <f>IFERROR(__xludf.DUMMYFUNCTION("""COMPUTED_VALUE"""),"SILANG")</f>
        <v>SILANG</v>
      </c>
      <c r="Q1551" s="1" t="str">
        <f>IFERROR(__xludf.DUMMYFUNCTION("""COMPUTED_VALUE"""),"CAVITE")</f>
        <v>CAVITE</v>
      </c>
      <c r="R1551" s="1" t="str">
        <f>IFERROR(__xludf.DUMMYFUNCTION("""COMPUTED_VALUE"""),"FIBR PLAN 2699")</f>
        <v>FIBR PLAN 2699</v>
      </c>
      <c r="S1551" s="1" t="str">
        <f>IFERROR(__xludf.DUMMYFUNCTION("""COMPUTED_VALUE"""),"APPROVED")</f>
        <v>APPROVED</v>
      </c>
      <c r="T1551" s="1" t="str">
        <f>IFERROR(__xludf.DUMMYFUNCTION("""COMPUTED_VALUE"""),"CLOSED")</f>
        <v>CLOSED</v>
      </c>
      <c r="U1551" s="1" t="str">
        <f>IFERROR(__xludf.DUMMYFUNCTION("""COMPUTED_VALUE"""),"POSTED")</f>
        <v>POSTED</v>
      </c>
      <c r="V1551" s="1"/>
      <c r="W1551" s="1"/>
    </row>
    <row r="1552" customHeight="1" spans="1:23">
      <c r="A1552" s="3">
        <f>IFERROR(__xludf.DUMMYFUNCTION("""COMPUTED_VALUE"""),46150)</f>
        <v>46150</v>
      </c>
      <c r="B1552" s="1" t="str">
        <f>IFERROR(__xludf.DUMMYFUNCTION("""COMPUTED_VALUE"""),"FRANCISCO , ROSELYN")</f>
        <v>FRANCISCO , ROSELYN</v>
      </c>
      <c r="C1552" s="1" t="str">
        <f>IFERROR(__xludf.DUMMYFUNCTION("""COMPUTED_VALUE"""),"ORGANIC")</f>
        <v>ORGANIC</v>
      </c>
      <c r="D1552" s="1" t="str">
        <f>IFERROR(__xludf.DUMMYFUNCTION("""COMPUTED_VALUE"""),"ALOS, CHARLS")</f>
        <v>ALOS, CHARLS</v>
      </c>
      <c r="E1552" s="1" t="str">
        <f>IFERROR(__xludf.DUMMYFUNCTION("""COMPUTED_VALUE"""),"PLDT / H2H")</f>
        <v>PLDT / H2H</v>
      </c>
      <c r="F1552" s="1">
        <f>IFERROR(__xludf.DUMMYFUNCTION("""COMPUTED_VALUE"""),2309385342)</f>
        <v>2309385342</v>
      </c>
      <c r="G1552" s="1">
        <f>IFERROR(__xludf.DUMMYFUNCTION("""COMPUTED_VALUE"""),453798960004)</f>
        <v>453798960004</v>
      </c>
      <c r="H1552" s="1" t="str">
        <f>IFERROR(__xludf.DUMMYFUNCTION("""COMPUTED_VALUE"""),"GIAN CARLO CABANAYAN CELI")</f>
        <v>GIAN CARLO CABANAYAN CELI</v>
      </c>
      <c r="I1552" s="1">
        <f>IFERROR(__xludf.DUMMYFUNCTION("""COMPUTED_VALUE"""),9770189796)</f>
        <v>9770189796</v>
      </c>
      <c r="J1552" s="1">
        <f>IFERROR(__xludf.DUMMYFUNCTION("""COMPUTED_VALUE"""),9164610909)</f>
        <v>9164610909</v>
      </c>
      <c r="K1552" s="1" t="str">
        <f>IFERROR(__xludf.DUMMYFUNCTION("""COMPUTED_VALUE"""),"GIANCARLOCELI11@GMAIL.COM")</f>
        <v>GIANCARLOCELI11@GMAIL.COM</v>
      </c>
      <c r="L1552" s="1" t="str">
        <f>IFERROR(__xludf.DUMMYFUNCTION("""COMPUTED_VALUE"""),"32")</f>
        <v>32</v>
      </c>
      <c r="M1552" s="1" t="str">
        <f>IFERROR(__xludf.DUMMYFUNCTION("""COMPUTED_VALUE"""),"IPIL")</f>
        <v>IPIL</v>
      </c>
      <c r="N1552" s="1"/>
      <c r="O1552" s="1" t="str">
        <f>IFERROR(__xludf.DUMMYFUNCTION("""COMPUTED_VALUE"""),"ANAHAW II")</f>
        <v>ANAHAW II</v>
      </c>
      <c r="P1552" s="1" t="str">
        <f>IFERROR(__xludf.DUMMYFUNCTION("""COMPUTED_VALUE"""),"SILANG")</f>
        <v>SILANG</v>
      </c>
      <c r="Q1552" s="1" t="str">
        <f>IFERROR(__xludf.DUMMYFUNCTION("""COMPUTED_VALUE"""),"CAVITE")</f>
        <v>CAVITE</v>
      </c>
      <c r="R1552" s="1" t="str">
        <f>IFERROR(__xludf.DUMMYFUNCTION("""COMPUTED_VALUE"""),"FIBR UNLI ALL PLAN 1399")</f>
        <v>FIBR UNLI ALL PLAN 1399</v>
      </c>
      <c r="S1552" s="1" t="str">
        <f>IFERROR(__xludf.DUMMYFUNCTION("""COMPUTED_VALUE"""),"APPROVED")</f>
        <v>APPROVED</v>
      </c>
      <c r="T1552" s="1" t="str">
        <f>IFERROR(__xludf.DUMMYFUNCTION("""COMPUTED_VALUE"""),"CLOSED")</f>
        <v>CLOSED</v>
      </c>
      <c r="U1552" s="1" t="str">
        <f>IFERROR(__xludf.DUMMYFUNCTION("""COMPUTED_VALUE"""),"POSTED")</f>
        <v>POSTED</v>
      </c>
      <c r="V1552" s="1"/>
      <c r="W1552" s="1"/>
    </row>
    <row r="1553" customHeight="1" spans="1:23">
      <c r="A1553" s="3">
        <f>IFERROR(__xludf.DUMMYFUNCTION("""COMPUTED_VALUE"""),46150)</f>
        <v>46150</v>
      </c>
      <c r="B1553" s="1" t="str">
        <f>IFERROR(__xludf.DUMMYFUNCTION("""COMPUTED_VALUE"""),"DE VERA, MARIVIC")</f>
        <v>DE VERA, MARIVIC</v>
      </c>
      <c r="C1553" s="1" t="str">
        <f>IFERROR(__xludf.DUMMYFUNCTION("""COMPUTED_VALUE"""),"ORGANIC")</f>
        <v>ORGANIC</v>
      </c>
      <c r="D1553" s="1" t="str">
        <f>IFERROR(__xludf.DUMMYFUNCTION("""COMPUTED_VALUE"""),"REMOLLO LEA")</f>
        <v>REMOLLO LEA</v>
      </c>
      <c r="E1553" s="1" t="str">
        <f>IFERROR(__xludf.DUMMYFUNCTION("""COMPUTED_VALUE"""),"PLDT / H2H")</f>
        <v>PLDT / H2H</v>
      </c>
      <c r="F1553" s="1">
        <f>IFERROR(__xludf.DUMMYFUNCTION("""COMPUTED_VALUE"""),2309386018)</f>
        <v>2309386018</v>
      </c>
      <c r="G1553" s="1">
        <f>IFERROR(__xludf.DUMMYFUNCTION("""COMPUTED_VALUE"""),453800967004)</f>
        <v>453800967004</v>
      </c>
      <c r="H1553" s="1" t="str">
        <f>IFERROR(__xludf.DUMMYFUNCTION("""COMPUTED_VALUE"""),"JOHN CHRYS RECOSOSA BUSTALINO")</f>
        <v>JOHN CHRYS RECOSOSA BUSTALINO</v>
      </c>
      <c r="I1553" s="1">
        <f>IFERROR(__xludf.DUMMYFUNCTION("""COMPUTED_VALUE"""),9567118524)</f>
        <v>9567118524</v>
      </c>
      <c r="J1553" s="1"/>
      <c r="K1553" s="1" t="str">
        <f>IFERROR(__xludf.DUMMYFUNCTION("""COMPUTED_VALUE"""),"JOHNCHRYSBUSTALINO@GMAIL.COM")</f>
        <v>JOHNCHRYSBUSTALINO@GMAIL.COM</v>
      </c>
      <c r="L1553" s="1" t="str">
        <f>IFERROR(__xludf.DUMMYFUNCTION("""COMPUTED_VALUE"""),"430")</f>
        <v>430</v>
      </c>
      <c r="M1553" s="1" t="str">
        <f>IFERROR(__xludf.DUMMYFUNCTION("""COMPUTED_VALUE"""),"SITIO ILANG ILANG")</f>
        <v>SITIO ILANG ILANG</v>
      </c>
      <c r="N1553" s="1"/>
      <c r="O1553" s="1" t="str">
        <f>IFERROR(__xludf.DUMMYFUNCTION("""COMPUTED_VALUE"""),"BATAS")</f>
        <v>BATAS</v>
      </c>
      <c r="P1553" s="1" t="str">
        <f>IFERROR(__xludf.DUMMYFUNCTION("""COMPUTED_VALUE"""),"SILANG")</f>
        <v>SILANG</v>
      </c>
      <c r="Q1553" s="1" t="str">
        <f>IFERROR(__xludf.DUMMYFUNCTION("""COMPUTED_VALUE"""),"CAVITE")</f>
        <v>CAVITE</v>
      </c>
      <c r="R1553" s="1" t="str">
        <f>IFERROR(__xludf.DUMMYFUNCTION("""COMPUTED_VALUE"""),"FIBR UNLI ALL PLAN 1399")</f>
        <v>FIBR UNLI ALL PLAN 1399</v>
      </c>
      <c r="S1553" s="1" t="str">
        <f>IFERROR(__xludf.DUMMYFUNCTION("""COMPUTED_VALUE"""),"APPROVED")</f>
        <v>APPROVED</v>
      </c>
      <c r="T1553" s="1" t="str">
        <f>IFERROR(__xludf.DUMMYFUNCTION("""COMPUTED_VALUE"""),"CLOSED")</f>
        <v>CLOSED</v>
      </c>
      <c r="U1553" s="1" t="str">
        <f>IFERROR(__xludf.DUMMYFUNCTION("""COMPUTED_VALUE"""),"POSTED")</f>
        <v>POSTED</v>
      </c>
      <c r="V1553" s="1"/>
      <c r="W1553" s="1"/>
    </row>
    <row r="1554" customHeight="1" spans="1:23">
      <c r="A1554" s="3">
        <f>IFERROR(__xludf.DUMMYFUNCTION("""COMPUTED_VALUE"""),46150)</f>
        <v>46150</v>
      </c>
      <c r="B1554" s="1" t="str">
        <f>IFERROR(__xludf.DUMMYFUNCTION("""COMPUTED_VALUE"""),"ODY , CLARENCE")</f>
        <v>ODY , CLARENCE</v>
      </c>
      <c r="C1554" s="1" t="str">
        <f>IFERROR(__xludf.DUMMYFUNCTION("""COMPUTED_VALUE"""),"ORGANIC")</f>
        <v>ORGANIC</v>
      </c>
      <c r="D1554" s="1" t="str">
        <f>IFERROR(__xludf.DUMMYFUNCTION("""COMPUTED_VALUE"""),"ALOS, CHARLS")</f>
        <v>ALOS, CHARLS</v>
      </c>
      <c r="E1554" s="1" t="str">
        <f>IFERROR(__xludf.DUMMYFUNCTION("""COMPUTED_VALUE"""),"PLDT / ONLINE")</f>
        <v>PLDT / ONLINE</v>
      </c>
      <c r="F1554" s="1">
        <f>IFERROR(__xludf.DUMMYFUNCTION("""COMPUTED_VALUE"""),2309497023)</f>
        <v>2309497023</v>
      </c>
      <c r="G1554" s="1">
        <f>IFERROR(__xludf.DUMMYFUNCTION("""COMPUTED_VALUE"""),454600546004)</f>
        <v>454600546004</v>
      </c>
      <c r="H1554" s="1" t="str">
        <f>IFERROR(__xludf.DUMMYFUNCTION("""COMPUTED_VALUE"""),"EVANGELINE SANTOS RAMIREZ")</f>
        <v>EVANGELINE SANTOS RAMIREZ</v>
      </c>
      <c r="I1554" s="1">
        <f>IFERROR(__xludf.DUMMYFUNCTION("""COMPUTED_VALUE"""),9270666328)</f>
        <v>9270666328</v>
      </c>
      <c r="J1554" s="1">
        <f>IFERROR(__xludf.DUMMYFUNCTION("""COMPUTED_VALUE"""),465383491)</f>
        <v>465383491</v>
      </c>
      <c r="K1554" s="1" t="str">
        <f>IFERROR(__xludf.DUMMYFUNCTION("""COMPUTED_VALUE"""),"SUNSHINEBUTTERFLY087@GMAIL.COM")</f>
        <v>SUNSHINEBUTTERFLY087@GMAIL.COM</v>
      </c>
      <c r="L1554" s="1" t="str">
        <f>IFERROR(__xludf.DUMMYFUNCTION("""COMPUTED_VALUE"""),"8")</f>
        <v>8</v>
      </c>
      <c r="M1554" s="1" t="str">
        <f>IFERROR(__xludf.DUMMYFUNCTION("""COMPUTED_VALUE"""),"1ST")</f>
        <v>1ST</v>
      </c>
      <c r="N1554" s="1"/>
      <c r="O1554" s="1" t="str">
        <f>IFERROR(__xludf.DUMMYFUNCTION("""COMPUTED_VALUE"""),"SAN JUAN II")</f>
        <v>SAN JUAN II</v>
      </c>
      <c r="P1554" s="1" t="str">
        <f>IFERROR(__xludf.DUMMYFUNCTION("""COMPUTED_VALUE"""),"TERNATE")</f>
        <v>TERNATE</v>
      </c>
      <c r="Q1554" s="1" t="str">
        <f>IFERROR(__xludf.DUMMYFUNCTION("""COMPUTED_VALUE"""),"CAVITE")</f>
        <v>CAVITE</v>
      </c>
      <c r="R1554" s="1" t="str">
        <f>IFERROR(__xludf.DUMMYFUNCTION("""COMPUTED_VALUE"""),"FIBR UNLI ALL PLAN 1399")</f>
        <v>FIBR UNLI ALL PLAN 1399</v>
      </c>
      <c r="S1554" s="1" t="str">
        <f>IFERROR(__xludf.DUMMYFUNCTION("""COMPUTED_VALUE"""),"APPROVED")</f>
        <v>APPROVED</v>
      </c>
      <c r="T1554" s="1" t="str">
        <f>IFERROR(__xludf.DUMMYFUNCTION("""COMPUTED_VALUE"""),"CANCELLED")</f>
        <v>CANCELLED</v>
      </c>
      <c r="U1554" s="1"/>
      <c r="V1554" s="1"/>
      <c r="W1554" s="1"/>
    </row>
    <row r="1555" customHeight="1" spans="1:23">
      <c r="A1555" s="3">
        <f>IFERROR(__xludf.DUMMYFUNCTION("""COMPUTED_VALUE"""),46150)</f>
        <v>46150</v>
      </c>
      <c r="B1555" s="1" t="str">
        <f>IFERROR(__xludf.DUMMYFUNCTION("""COMPUTED_VALUE"""),"MAÑANITA, ERIKA")</f>
        <v>MAÑANITA, ERIKA</v>
      </c>
      <c r="C1555" s="1" t="str">
        <f>IFERROR(__xludf.DUMMYFUNCTION("""COMPUTED_VALUE"""),"ORGANIC")</f>
        <v>ORGANIC</v>
      </c>
      <c r="D1555" s="1" t="str">
        <f>IFERROR(__xludf.DUMMYFUNCTION("""COMPUTED_VALUE"""),"ALOS, CHARLS")</f>
        <v>ALOS, CHARLS</v>
      </c>
      <c r="E1555" s="1" t="str">
        <f>IFERROR(__xludf.DUMMYFUNCTION("""COMPUTED_VALUE"""),"PLDT / H2H")</f>
        <v>PLDT / H2H</v>
      </c>
      <c r="F1555" s="1">
        <f>IFERROR(__xludf.DUMMYFUNCTION("""COMPUTED_VALUE"""),2309387244)</f>
        <v>2309387244</v>
      </c>
      <c r="G1555" s="1">
        <f>IFERROR(__xludf.DUMMYFUNCTION("""COMPUTED_VALUE"""),453808228004)</f>
        <v>453808228004</v>
      </c>
      <c r="H1555" s="1" t="str">
        <f>IFERROR(__xludf.DUMMYFUNCTION("""COMPUTED_VALUE"""),"EVANGELINE LOS AURA AQUINO")</f>
        <v>EVANGELINE LOS AURA AQUINO</v>
      </c>
      <c r="I1555" s="1">
        <f>IFERROR(__xludf.DUMMYFUNCTION("""COMPUTED_VALUE"""),9385317169)</f>
        <v>9385317169</v>
      </c>
      <c r="J1555" s="1">
        <f>IFERROR(__xludf.DUMMYFUNCTION("""COMPUTED_VALUE"""),9398588908)</f>
        <v>9398588908</v>
      </c>
      <c r="K1555" s="1" t="str">
        <f>IFERROR(__xludf.DUMMYFUNCTION("""COMPUTED_VALUE"""),"VANGIEAQUINO81@GMAIL.COM")</f>
        <v>VANGIEAQUINO81@GMAIL.COM</v>
      </c>
      <c r="L1555" s="1" t="str">
        <f>IFERROR(__xludf.DUMMYFUNCTION("""COMPUTED_VALUE"""),"56")</f>
        <v>56</v>
      </c>
      <c r="M1555" s="1" t="str">
        <f>IFERROR(__xludf.DUMMYFUNCTION("""COMPUTED_VALUE"""),"DEBERA ST")</f>
        <v>DEBERA ST</v>
      </c>
      <c r="N1555" s="1"/>
      <c r="O1555" s="1" t="str">
        <f>IFERROR(__xludf.DUMMYFUNCTION("""COMPUTED_VALUE"""),"SAN JOSE")</f>
        <v>SAN JOSE</v>
      </c>
      <c r="P1555" s="1" t="str">
        <f>IFERROR(__xludf.DUMMYFUNCTION("""COMPUTED_VALUE"""),"TAGAYTAY")</f>
        <v>TAGAYTAY</v>
      </c>
      <c r="Q1555" s="1" t="str">
        <f>IFERROR(__xludf.DUMMYFUNCTION("""COMPUTED_VALUE"""),"CAVITE")</f>
        <v>CAVITE</v>
      </c>
      <c r="R1555" s="1" t="str">
        <f>IFERROR(__xludf.DUMMYFUNCTION("""COMPUTED_VALUE"""),"FIBR PLAN 1299")</f>
        <v>FIBR PLAN 1299</v>
      </c>
      <c r="S1555" s="1" t="str">
        <f>IFERROR(__xludf.DUMMYFUNCTION("""COMPUTED_VALUE"""),"APPROVED")</f>
        <v>APPROVED</v>
      </c>
      <c r="T1555" s="1" t="str">
        <f>IFERROR(__xludf.DUMMYFUNCTION("""COMPUTED_VALUE"""),"CLOSED")</f>
        <v>CLOSED</v>
      </c>
      <c r="U1555" s="1" t="str">
        <f>IFERROR(__xludf.DUMMYFUNCTION("""COMPUTED_VALUE"""),"POSTED")</f>
        <v>POSTED</v>
      </c>
      <c r="V1555" s="1"/>
      <c r="W1555" s="1"/>
    </row>
    <row r="1556" customHeight="1" spans="1:23">
      <c r="A1556" s="3">
        <f>IFERROR(__xludf.DUMMYFUNCTION("""COMPUTED_VALUE"""),46150)</f>
        <v>46150</v>
      </c>
      <c r="B1556" s="1" t="str">
        <f>IFERROR(__xludf.DUMMYFUNCTION("""COMPUTED_VALUE"""),"AGUNOS, JHON AIRVIN")</f>
        <v>AGUNOS, JHON AIRVIN</v>
      </c>
      <c r="C1556" s="1" t="str">
        <f>IFERROR(__xludf.DUMMYFUNCTION("""COMPUTED_VALUE"""),"ORGANIC")</f>
        <v>ORGANIC</v>
      </c>
      <c r="D1556" s="1" t="str">
        <f>IFERROR(__xludf.DUMMYFUNCTION("""COMPUTED_VALUE"""),"ALINGARO, CINDY")</f>
        <v>ALINGARO, CINDY</v>
      </c>
      <c r="E1556" s="1" t="str">
        <f>IFERROR(__xludf.DUMMYFUNCTION("""COMPUTED_VALUE"""),"PLDT / H2H")</f>
        <v>PLDT / H2H</v>
      </c>
      <c r="F1556" s="1"/>
      <c r="G1556" s="1"/>
      <c r="H1556" s="1" t="str">
        <f>IFERROR(__xludf.DUMMYFUNCTION("""COMPUTED_VALUE"""),"JANIELA EDER INFANTE")</f>
        <v>JANIELA EDER INFANTE</v>
      </c>
      <c r="I1556" s="1">
        <f>IFERROR(__xludf.DUMMYFUNCTION("""COMPUTED_VALUE"""),9351752395)</f>
        <v>9351752395</v>
      </c>
      <c r="J1556" s="1"/>
      <c r="K1556" s="1" t="str">
        <f>IFERROR(__xludf.DUMMYFUNCTION("""COMPUTED_VALUE"""),"EDERJANIELA@GMAIL.COM")</f>
        <v>EDERJANIELA@GMAIL.COM</v>
      </c>
      <c r="L1556" s="1" t="str">
        <f>IFERROR(__xludf.DUMMYFUNCTION("""COMPUTED_VALUE"""),"185")</f>
        <v>185</v>
      </c>
      <c r="M1556" s="1" t="str">
        <f>IFERROR(__xludf.DUMMYFUNCTION("""COMPUTED_VALUE"""),"DAANG BATAS")</f>
        <v>DAANG BATAS</v>
      </c>
      <c r="N1556" s="1"/>
      <c r="O1556" s="1" t="str">
        <f>IFERROR(__xludf.DUMMYFUNCTION("""COMPUTED_VALUE"""),"KALUBKOB")</f>
        <v>KALUBKOB</v>
      </c>
      <c r="P1556" s="1" t="str">
        <f>IFERROR(__xludf.DUMMYFUNCTION("""COMPUTED_VALUE"""),"SILANG")</f>
        <v>SILANG</v>
      </c>
      <c r="Q1556" s="1" t="str">
        <f>IFERROR(__xludf.DUMMYFUNCTION("""COMPUTED_VALUE"""),"CAVITE")</f>
        <v>CAVITE</v>
      </c>
      <c r="R1556" s="1" t="str">
        <f>IFERROR(__xludf.DUMMYFUNCTION("""COMPUTED_VALUE"""),"FIBR PLAN 1299")</f>
        <v>FIBR PLAN 1299</v>
      </c>
      <c r="S1556" s="1" t="str">
        <f>IFERROR(__xludf.DUMMYFUNCTION("""COMPUTED_VALUE"""),"CANCELLED ")</f>
        <v>CANCELLED </v>
      </c>
      <c r="T1556" s="1" t="str">
        <f>IFERROR(__xludf.DUMMYFUNCTION("""COMPUTED_VALUE"""),"#N/A")</f>
        <v>#N/A</v>
      </c>
      <c r="U1556" s="1"/>
      <c r="V1556" s="1"/>
      <c r="W1556" s="1"/>
    </row>
    <row r="1557" customHeight="1" spans="1:23">
      <c r="A1557" s="3">
        <f>IFERROR(__xludf.DUMMYFUNCTION("""COMPUTED_VALUE"""),46150)</f>
        <v>46150</v>
      </c>
      <c r="B1557" s="1" t="str">
        <f>IFERROR(__xludf.DUMMYFUNCTION("""COMPUTED_VALUE"""),"FERNANDEZ JERIC")</f>
        <v>FERNANDEZ JERIC</v>
      </c>
      <c r="C1557" s="1" t="str">
        <f>IFERROR(__xludf.DUMMYFUNCTION("""COMPUTED_VALUE"""),"ORGANIC")</f>
        <v>ORGANIC</v>
      </c>
      <c r="D1557" s="1" t="str">
        <f>IFERROR(__xludf.DUMMYFUNCTION("""COMPUTED_VALUE"""),"ALOS, CHARLS")</f>
        <v>ALOS, CHARLS</v>
      </c>
      <c r="E1557" s="1" t="str">
        <f>IFERROR(__xludf.DUMMYFUNCTION("""COMPUTED_VALUE"""),"PLDT / ONLINE")</f>
        <v>PLDT / ONLINE</v>
      </c>
      <c r="F1557" s="1">
        <f>IFERROR(__xludf.DUMMYFUNCTION("""COMPUTED_VALUE"""),2309401877)</f>
        <v>2309401877</v>
      </c>
      <c r="G1557" s="1">
        <f>IFERROR(__xludf.DUMMYFUNCTION("""COMPUTED_VALUE"""),453957858004)</f>
        <v>453957858004</v>
      </c>
      <c r="H1557" s="1" t="str">
        <f>IFERROR(__xludf.DUMMYFUNCTION("""COMPUTED_VALUE"""),"ANGELICA SANICA FLORES")</f>
        <v>ANGELICA SANICA FLORES</v>
      </c>
      <c r="I1557" s="1">
        <f>IFERROR(__xludf.DUMMYFUNCTION("""COMPUTED_VALUE"""),9674939045)</f>
        <v>9674939045</v>
      </c>
      <c r="J1557" s="1">
        <f>IFERROR(__xludf.DUMMYFUNCTION("""COMPUTED_VALUE"""),9950227991)</f>
        <v>9950227991</v>
      </c>
      <c r="K1557" s="1" t="str">
        <f>IFERROR(__xludf.DUMMYFUNCTION("""COMPUTED_VALUE"""),"ANGELICAFLORES081217@GMAIL.COM")</f>
        <v>ANGELICAFLORES081217@GMAIL.COM</v>
      </c>
      <c r="L1557" s="1" t="str">
        <f>IFERROR(__xludf.DUMMYFUNCTION("""COMPUTED_VALUE"""),"18")</f>
        <v>18</v>
      </c>
      <c r="M1557" s="1" t="str">
        <f>IFERROR(__xludf.DUMMYFUNCTION("""COMPUTED_VALUE"""),"PUROK 3")</f>
        <v>PUROK 3</v>
      </c>
      <c r="N1557" s="1"/>
      <c r="O1557" s="1" t="str">
        <f>IFERROR(__xludf.DUMMYFUNCTION("""COMPUTED_VALUE"""),"GUYAM MUNTI")</f>
        <v>GUYAM MUNTI</v>
      </c>
      <c r="P1557" s="1" t="str">
        <f>IFERROR(__xludf.DUMMYFUNCTION("""COMPUTED_VALUE"""),"INDANG")</f>
        <v>INDANG</v>
      </c>
      <c r="Q1557" s="1" t="str">
        <f>IFERROR(__xludf.DUMMYFUNCTION("""COMPUTED_VALUE"""),"CAVITE")</f>
        <v>CAVITE</v>
      </c>
      <c r="R1557" s="1" t="str">
        <f>IFERROR(__xludf.DUMMYFUNCTION("""COMPUTED_VALUE"""),"FIBR UNLI ALL PLAN 999")</f>
        <v>FIBR UNLI ALL PLAN 999</v>
      </c>
      <c r="S1557" s="1" t="str">
        <f>IFERROR(__xludf.DUMMYFUNCTION("""COMPUTED_VALUE"""),"APPROVED")</f>
        <v>APPROVED</v>
      </c>
      <c r="T1557" s="1" t="str">
        <f>IFERROR(__xludf.DUMMYFUNCTION("""COMPUTED_VALUE"""),"CLOSED")</f>
        <v>CLOSED</v>
      </c>
      <c r="U1557" s="1" t="str">
        <f>IFERROR(__xludf.DUMMYFUNCTION("""COMPUTED_VALUE"""),"POSTED")</f>
        <v>POSTED</v>
      </c>
      <c r="V1557" s="1"/>
      <c r="W1557" s="1"/>
    </row>
    <row r="1558" customHeight="1" spans="1:23">
      <c r="A1558" s="3">
        <f>IFERROR(__xludf.DUMMYFUNCTION("""COMPUTED_VALUE"""),46150)</f>
        <v>46150</v>
      </c>
      <c r="B1558" s="1" t="str">
        <f>IFERROR(__xludf.DUMMYFUNCTION("""COMPUTED_VALUE"""),"ODY , CLARENCE")</f>
        <v>ODY , CLARENCE</v>
      </c>
      <c r="C1558" s="1" t="str">
        <f>IFERROR(__xludf.DUMMYFUNCTION("""COMPUTED_VALUE"""),"ORGANIC")</f>
        <v>ORGANIC</v>
      </c>
      <c r="D1558" s="1" t="str">
        <f>IFERROR(__xludf.DUMMYFUNCTION("""COMPUTED_VALUE"""),"ALOS, CHARLS")</f>
        <v>ALOS, CHARLS</v>
      </c>
      <c r="E1558" s="1" t="str">
        <f>IFERROR(__xludf.DUMMYFUNCTION("""COMPUTED_VALUE"""),"PLDT / ONLINE")</f>
        <v>PLDT / ONLINE</v>
      </c>
      <c r="F1558" s="1">
        <f>IFERROR(__xludf.DUMMYFUNCTION("""COMPUTED_VALUE"""),2309388324)</f>
        <v>2309388324</v>
      </c>
      <c r="G1558" s="1"/>
      <c r="H1558" s="1" t="str">
        <f>IFERROR(__xludf.DUMMYFUNCTION("""COMPUTED_VALUE"""),"MANJIE BALANCA CINCO")</f>
        <v>MANJIE BALANCA CINCO</v>
      </c>
      <c r="I1558" s="1">
        <f>IFERROR(__xludf.DUMMYFUNCTION("""COMPUTED_VALUE"""),9398292420)</f>
        <v>9398292420</v>
      </c>
      <c r="J1558" s="1">
        <f>IFERROR(__xludf.DUMMYFUNCTION("""COMPUTED_VALUE"""),9456954004)</f>
        <v>9456954004</v>
      </c>
      <c r="K1558" s="1" t="str">
        <f>IFERROR(__xludf.DUMMYFUNCTION("""COMPUTED_VALUE"""),"MANJIECINCO031@GMAIL.COM")</f>
        <v>MANJIECINCO031@GMAIL.COM</v>
      </c>
      <c r="L1558" s="1" t="str">
        <f>IFERROR(__xludf.DUMMYFUNCTION("""COMPUTED_VALUE"""),"BLK 116 LOT 13")</f>
        <v>BLK 116 LOT 13</v>
      </c>
      <c r="M1558" s="1" t="str">
        <f>IFERROR(__xludf.DUMMYFUNCTION("""COMPUTED_VALUE"""),"PHASE 3")</f>
        <v>PHASE 3</v>
      </c>
      <c r="N1558" s="1" t="str">
        <f>IFERROR(__xludf.DUMMYFUNCTION("""COMPUTED_VALUE"""),"SITE")</f>
        <v>SITE</v>
      </c>
      <c r="O1558" s="1" t="str">
        <f>IFERROR(__xludf.DUMMYFUNCTION("""COMPUTED_VALUE"""),"PALIPARAN III")</f>
        <v>PALIPARAN III</v>
      </c>
      <c r="P1558" s="1" t="str">
        <f>IFERROR(__xludf.DUMMYFUNCTION("""COMPUTED_VALUE"""),"DASMARINAS")</f>
        <v>DASMARINAS</v>
      </c>
      <c r="Q1558" s="1" t="str">
        <f>IFERROR(__xludf.DUMMYFUNCTION("""COMPUTED_VALUE"""),"CAVITE")</f>
        <v>CAVITE</v>
      </c>
      <c r="R1558" s="1" t="str">
        <f>IFERROR(__xludf.DUMMYFUNCTION("""COMPUTED_VALUE"""),"FIBR UNLI ALL PLAN 999")</f>
        <v>FIBR UNLI ALL PLAN 999</v>
      </c>
      <c r="S1558" s="1" t="str">
        <f>IFERROR(__xludf.DUMMYFUNCTION("""COMPUTED_VALUE"""),"APPROVED")</f>
        <v>APPROVED</v>
      </c>
      <c r="T1558" s="1" t="str">
        <f>IFERROR(__xludf.DUMMYFUNCTION("""COMPUTED_VALUE"""),"CANCELLED")</f>
        <v>CANCELLED</v>
      </c>
      <c r="U1558" s="1"/>
      <c r="V1558" s="1"/>
      <c r="W1558" s="1"/>
    </row>
    <row r="1559" customHeight="1" spans="1:23">
      <c r="A1559" s="3">
        <f>IFERROR(__xludf.DUMMYFUNCTION("""COMPUTED_VALUE"""),46150)</f>
        <v>46150</v>
      </c>
      <c r="B1559" s="1" t="str">
        <f>IFERROR(__xludf.DUMMYFUNCTION("""COMPUTED_VALUE"""),"FRANCISCO , ROSELYN")</f>
        <v>FRANCISCO , ROSELYN</v>
      </c>
      <c r="C1559" s="1" t="str">
        <f>IFERROR(__xludf.DUMMYFUNCTION("""COMPUTED_VALUE"""),"ORGANIC")</f>
        <v>ORGANIC</v>
      </c>
      <c r="D1559" s="1" t="str">
        <f>IFERROR(__xludf.DUMMYFUNCTION("""COMPUTED_VALUE"""),"ALOS, CHARLS")</f>
        <v>ALOS, CHARLS</v>
      </c>
      <c r="E1559" s="1" t="str">
        <f>IFERROR(__xludf.DUMMYFUNCTION("""COMPUTED_VALUE"""),"PLDT / H2H")</f>
        <v>PLDT / H2H</v>
      </c>
      <c r="F1559" s="1">
        <f>IFERROR(__xludf.DUMMYFUNCTION("""COMPUTED_VALUE"""),2309388692)</f>
        <v>2309388692</v>
      </c>
      <c r="G1559" s="1">
        <f>IFERROR(__xludf.DUMMYFUNCTION("""COMPUTED_VALUE"""),453808133004)</f>
        <v>453808133004</v>
      </c>
      <c r="H1559" s="1" t="str">
        <f>IFERROR(__xludf.DUMMYFUNCTION("""COMPUTED_VALUE"""),"MARVIN ROSALES LANGAMIN")</f>
        <v>MARVIN ROSALES LANGAMIN</v>
      </c>
      <c r="I1559" s="1">
        <f>IFERROR(__xludf.DUMMYFUNCTION("""COMPUTED_VALUE"""),9567419240)</f>
        <v>9567419240</v>
      </c>
      <c r="J1559" s="1">
        <f>IFERROR(__xludf.DUMMYFUNCTION("""COMPUTED_VALUE"""),9095720408)</f>
        <v>9095720408</v>
      </c>
      <c r="K1559" s="1" t="str">
        <f>IFERROR(__xludf.DUMMYFUNCTION("""COMPUTED_VALUE"""),"LILIBETHSALANGAMIN@GMAIL.COM")</f>
        <v>LILIBETHSALANGAMIN@GMAIL.COM</v>
      </c>
      <c r="L1559" s="1" t="str">
        <f>IFERROR(__xludf.DUMMYFUNCTION("""COMPUTED_VALUE"""),"BLK 43 LOT 16")</f>
        <v>BLK 43 LOT 16</v>
      </c>
      <c r="M1559" s="1" t="str">
        <f>IFERROR(__xludf.DUMMYFUNCTION("""COMPUTED_VALUE"""),"PHASE 1B")</f>
        <v>PHASE 1B</v>
      </c>
      <c r="N1559" s="1"/>
      <c r="O1559" s="1" t="str">
        <f>IFERROR(__xludf.DUMMYFUNCTION("""COMPUTED_VALUE"""),"ACACIA")</f>
        <v>ACACIA</v>
      </c>
      <c r="P1559" s="1" t="str">
        <f>IFERROR(__xludf.DUMMYFUNCTION("""COMPUTED_VALUE"""),"SILANG")</f>
        <v>SILANG</v>
      </c>
      <c r="Q1559" s="1" t="str">
        <f>IFERROR(__xludf.DUMMYFUNCTION("""COMPUTED_VALUE"""),"CAVITE")</f>
        <v>CAVITE</v>
      </c>
      <c r="R1559" s="1" t="str">
        <f>IFERROR(__xludf.DUMMYFUNCTION("""COMPUTED_VALUE"""),"FIBR UNLI ALL PLAN 999")</f>
        <v>FIBR UNLI ALL PLAN 999</v>
      </c>
      <c r="S1559" s="1" t="str">
        <f>IFERROR(__xludf.DUMMYFUNCTION("""COMPUTED_VALUE"""),"APPROVED")</f>
        <v>APPROVED</v>
      </c>
      <c r="T1559" s="1" t="str">
        <f>IFERROR(__xludf.DUMMYFUNCTION("""COMPUTED_VALUE"""),"CANCELLED")</f>
        <v>CANCELLED</v>
      </c>
      <c r="U1559" s="1"/>
      <c r="V1559" s="1"/>
      <c r="W1559" s="1"/>
    </row>
    <row r="1560" customHeight="1" spans="1:23">
      <c r="A1560" s="3">
        <f>IFERROR(__xludf.DUMMYFUNCTION("""COMPUTED_VALUE"""),46151)</f>
        <v>46151</v>
      </c>
      <c r="B1560" s="1" t="str">
        <f>IFERROR(__xludf.DUMMYFUNCTION("""COMPUTED_VALUE"""),"DACALCAP RUBEN")</f>
        <v>DACALCAP RUBEN</v>
      </c>
      <c r="C1560" s="1" t="str">
        <f>IFERROR(__xludf.DUMMYFUNCTION("""COMPUTED_VALUE"""),"FLA")</f>
        <v>FLA</v>
      </c>
      <c r="D1560" s="1" t="str">
        <f>IFERROR(__xludf.DUMMYFUNCTION("""COMPUTED_VALUE"""),"JERIC NAVARRO")</f>
        <v>JERIC NAVARRO</v>
      </c>
      <c r="E1560" s="1" t="str">
        <f>IFERROR(__xludf.DUMMYFUNCTION("""COMPUTED_VALUE"""),"PLDT / H2H")</f>
        <v>PLDT / H2H</v>
      </c>
      <c r="F1560" s="1">
        <f>IFERROR(__xludf.DUMMYFUNCTION("""COMPUTED_VALUE"""),2309400908)</f>
        <v>2309400908</v>
      </c>
      <c r="G1560" s="1"/>
      <c r="H1560" s="1" t="str">
        <f>IFERROR(__xludf.DUMMYFUNCTION("""COMPUTED_VALUE"""),"DANILO OYAN YAMOT")</f>
        <v>DANILO OYAN YAMOT</v>
      </c>
      <c r="I1560" s="1">
        <f>IFERROR(__xludf.DUMMYFUNCTION("""COMPUTED_VALUE"""),9159413296)</f>
        <v>9159413296</v>
      </c>
      <c r="J1560" s="1">
        <f>IFERROR(__xludf.DUMMYFUNCTION("""COMPUTED_VALUE"""),9319651271)</f>
        <v>9319651271</v>
      </c>
      <c r="K1560" s="1" t="str">
        <f>IFERROR(__xludf.DUMMYFUNCTION("""COMPUTED_VALUE"""),"ANJENETHPERANTECAGNAAN@GMAIL.COM")</f>
        <v>ANJENETHPERANTECAGNAAN@GMAIL.COM</v>
      </c>
      <c r="L1560" s="1" t="str">
        <f>IFERROR(__xludf.DUMMYFUNCTION("""COMPUTED_VALUE"""),"9149")</f>
        <v>9149</v>
      </c>
      <c r="M1560" s="1" t="str">
        <f>IFERROR(__xludf.DUMMYFUNCTION("""COMPUTED_VALUE"""),"SITIO LUNGON")</f>
        <v>SITIO LUNGON</v>
      </c>
      <c r="N1560" s="1"/>
      <c r="O1560" s="1" t="str">
        <f>IFERROR(__xludf.DUMMYFUNCTION("""COMPUTED_VALUE"""),"SAN MIGUEL II")</f>
        <v>SAN MIGUEL II</v>
      </c>
      <c r="P1560" s="1" t="str">
        <f>IFERROR(__xludf.DUMMYFUNCTION("""COMPUTED_VALUE"""),"SILANG")</f>
        <v>SILANG</v>
      </c>
      <c r="Q1560" s="1" t="str">
        <f>IFERROR(__xludf.DUMMYFUNCTION("""COMPUTED_VALUE"""),"CAVITE")</f>
        <v>CAVITE</v>
      </c>
      <c r="R1560" s="1" t="str">
        <f>IFERROR(__xludf.DUMMYFUNCTION("""COMPUTED_VALUE"""),"FIBR UNLI ALL PLAN 1399")</f>
        <v>FIBR UNLI ALL PLAN 1399</v>
      </c>
      <c r="S1560" s="1" t="str">
        <f>IFERROR(__xludf.DUMMYFUNCTION("""COMPUTED_VALUE"""),"APPROVED")</f>
        <v>APPROVED</v>
      </c>
      <c r="T1560" s="1" t="str">
        <f>IFERROR(__xludf.DUMMYFUNCTION("""COMPUTED_VALUE"""),"CANCELLED")</f>
        <v>CANCELLED</v>
      </c>
      <c r="U1560" s="1"/>
      <c r="V1560" s="1"/>
      <c r="W1560" s="1"/>
    </row>
    <row r="1561" customHeight="1" spans="1:23">
      <c r="A1561" s="3">
        <f>IFERROR(__xludf.DUMMYFUNCTION("""COMPUTED_VALUE"""),46151)</f>
        <v>46151</v>
      </c>
      <c r="B1561" s="1" t="str">
        <f>IFERROR(__xludf.DUMMYFUNCTION("""COMPUTED_VALUE"""),"MALIWAT MARK ELVIN")</f>
        <v>MALIWAT MARK ELVIN</v>
      </c>
      <c r="C1561" s="1" t="str">
        <f>IFERROR(__xludf.DUMMYFUNCTION("""COMPUTED_VALUE"""),"FLA")</f>
        <v>FLA</v>
      </c>
      <c r="D1561" s="1" t="str">
        <f>IFERROR(__xludf.DUMMYFUNCTION("""COMPUTED_VALUE"""),"JERIC NAVARRO")</f>
        <v>JERIC NAVARRO</v>
      </c>
      <c r="E1561" s="1" t="str">
        <f>IFERROR(__xludf.DUMMYFUNCTION("""COMPUTED_VALUE"""),"PLDT / ONLINE")</f>
        <v>PLDT / ONLINE</v>
      </c>
      <c r="F1561" s="1">
        <f>IFERROR(__xludf.DUMMYFUNCTION("""COMPUTED_VALUE"""),2309402405)</f>
        <v>2309402405</v>
      </c>
      <c r="G1561" s="1">
        <f>IFERROR(__xludf.DUMMYFUNCTION("""COMPUTED_VALUE"""),453946447004)</f>
        <v>453946447004</v>
      </c>
      <c r="H1561" s="1" t="str">
        <f>IFERROR(__xludf.DUMMYFUNCTION("""COMPUTED_VALUE"""),"MONSOUR EDWARD TAYAWA MANINANG")</f>
        <v>MONSOUR EDWARD TAYAWA MANINANG</v>
      </c>
      <c r="I1561" s="1">
        <f>IFERROR(__xludf.DUMMYFUNCTION("""COMPUTED_VALUE"""),9369452650)</f>
        <v>9369452650</v>
      </c>
      <c r="J1561" s="1"/>
      <c r="K1561" s="1" t="str">
        <f>IFERROR(__xludf.DUMMYFUNCTION("""COMPUTED_VALUE"""),"EDWARD.MANINANG@YAHOO.COM")</f>
        <v>EDWARD.MANINANG@YAHOO.COM</v>
      </c>
      <c r="L1561" s="1" t="str">
        <f>IFERROR(__xludf.DUMMYFUNCTION("""COMPUTED_VALUE"""),"BLK 12 LOT 14")</f>
        <v>BLK 12 LOT 14</v>
      </c>
      <c r="M1561" s="1" t="str">
        <f>IFERROR(__xludf.DUMMYFUNCTION("""COMPUTED_VALUE"""),"CHRV")</f>
        <v>CHRV</v>
      </c>
      <c r="N1561" s="1"/>
      <c r="O1561" s="1" t="str">
        <f>IFERROR(__xludf.DUMMYFUNCTION("""COMPUTED_VALUE"""),"LANGKAAN II")</f>
        <v>LANGKAAN II</v>
      </c>
      <c r="P1561" s="1" t="str">
        <f>IFERROR(__xludf.DUMMYFUNCTION("""COMPUTED_VALUE"""),"DASMARINAS")</f>
        <v>DASMARINAS</v>
      </c>
      <c r="Q1561" s="1" t="str">
        <f>IFERROR(__xludf.DUMMYFUNCTION("""COMPUTED_VALUE"""),"CAVITE")</f>
        <v>CAVITE</v>
      </c>
      <c r="R1561" s="1" t="str">
        <f>IFERROR(__xludf.DUMMYFUNCTION("""COMPUTED_VALUE"""),"PREPAID FIBER UNLI")</f>
        <v>PREPAID FIBER UNLI</v>
      </c>
      <c r="S1561" s="1" t="str">
        <f>IFERROR(__xludf.DUMMYFUNCTION("""COMPUTED_VALUE"""),"APPROVED")</f>
        <v>APPROVED</v>
      </c>
      <c r="T1561" s="1" t="str">
        <f>IFERROR(__xludf.DUMMYFUNCTION("""COMPUTED_VALUE"""),"CLOSED")</f>
        <v>CLOSED</v>
      </c>
      <c r="U1561" s="1" t="str">
        <f>IFERROR(__xludf.DUMMYFUNCTION("""COMPUTED_VALUE"""),"POSTED")</f>
        <v>POSTED</v>
      </c>
      <c r="V1561" s="1"/>
      <c r="W1561" s="1"/>
    </row>
    <row r="1562" customHeight="1" spans="1:23">
      <c r="A1562" s="3">
        <f>IFERROR(__xludf.DUMMYFUNCTION("""COMPUTED_VALUE"""),46151)</f>
        <v>46151</v>
      </c>
      <c r="B1562" s="1" t="str">
        <f>IFERROR(__xludf.DUMMYFUNCTION("""COMPUTED_VALUE"""),"MALIWAT MARK ELVIN")</f>
        <v>MALIWAT MARK ELVIN</v>
      </c>
      <c r="C1562" s="1" t="str">
        <f>IFERROR(__xludf.DUMMYFUNCTION("""COMPUTED_VALUE"""),"FLA")</f>
        <v>FLA</v>
      </c>
      <c r="D1562" s="1" t="str">
        <f>IFERROR(__xludf.DUMMYFUNCTION("""COMPUTED_VALUE"""),"JERIC NAVARRO")</f>
        <v>JERIC NAVARRO</v>
      </c>
      <c r="E1562" s="1" t="str">
        <f>IFERROR(__xludf.DUMMYFUNCTION("""COMPUTED_VALUE"""),"PLDT / ONLINE")</f>
        <v>PLDT / ONLINE</v>
      </c>
      <c r="F1562" s="1">
        <f>IFERROR(__xludf.DUMMYFUNCTION("""COMPUTED_VALUE"""),2309408675)</f>
        <v>2309408675</v>
      </c>
      <c r="G1562" s="1">
        <f>IFERROR(__xludf.DUMMYFUNCTION("""COMPUTED_VALUE"""),453981362004)</f>
        <v>453981362004</v>
      </c>
      <c r="H1562" s="1" t="str">
        <f>IFERROR(__xludf.DUMMYFUNCTION("""COMPUTED_VALUE"""),"SUSAN LADDARAN SULAYAO")</f>
        <v>SUSAN LADDARAN SULAYAO</v>
      </c>
      <c r="I1562" s="1">
        <f>IFERROR(__xludf.DUMMYFUNCTION("""COMPUTED_VALUE"""),9943426642)</f>
        <v>9943426642</v>
      </c>
      <c r="J1562" s="1">
        <f>IFERROR(__xludf.DUMMYFUNCTION("""COMPUTED_VALUE"""),9127953099)</f>
        <v>9127953099</v>
      </c>
      <c r="K1562" s="1" t="str">
        <f>IFERROR(__xludf.DUMMYFUNCTION("""COMPUTED_VALUE"""),"SUSANSULAYAO26@GMAIL.COM")</f>
        <v>SUSANSULAYAO26@GMAIL.COM</v>
      </c>
      <c r="L1562" s="1" t="str">
        <f>IFERROR(__xludf.DUMMYFUNCTION("""COMPUTED_VALUE"""),"BLK 67 LOT 3")</f>
        <v>BLK 67 LOT 3</v>
      </c>
      <c r="M1562" s="1" t="str">
        <f>IFERROR(__xludf.DUMMYFUNCTION("""COMPUTED_VALUE"""),"KISLAP")</f>
        <v>KISLAP</v>
      </c>
      <c r="N1562" s="1"/>
      <c r="O1562" s="1" t="str">
        <f>IFERROR(__xludf.DUMMYFUNCTION("""COMPUTED_VALUE"""),"SABANG")</f>
        <v>SABANG</v>
      </c>
      <c r="P1562" s="1" t="str">
        <f>IFERROR(__xludf.DUMMYFUNCTION("""COMPUTED_VALUE"""),"NAIC")</f>
        <v>NAIC</v>
      </c>
      <c r="Q1562" s="1" t="str">
        <f>IFERROR(__xludf.DUMMYFUNCTION("""COMPUTED_VALUE"""),"CAVITE")</f>
        <v>CAVITE</v>
      </c>
      <c r="R1562" s="1" t="str">
        <f>IFERROR(__xludf.DUMMYFUNCTION("""COMPUTED_VALUE"""),"FIBR UNLI ALL PLAN 1399")</f>
        <v>FIBR UNLI ALL PLAN 1399</v>
      </c>
      <c r="S1562" s="1" t="str">
        <f>IFERROR(__xludf.DUMMYFUNCTION("""COMPUTED_VALUE"""),"APPROVED")</f>
        <v>APPROVED</v>
      </c>
      <c r="T1562" s="1" t="str">
        <f>IFERROR(__xludf.DUMMYFUNCTION("""COMPUTED_VALUE"""),"RESERVED FACILITY")</f>
        <v>RESERVED FACILITY</v>
      </c>
      <c r="U1562" s="1"/>
      <c r="V1562" s="1"/>
      <c r="W1562" s="1"/>
    </row>
    <row r="1563" customHeight="1" spans="1:23">
      <c r="A1563" s="3">
        <f>IFERROR(__xludf.DUMMYFUNCTION("""COMPUTED_VALUE"""),46151)</f>
        <v>46151</v>
      </c>
      <c r="B1563" s="1" t="str">
        <f>IFERROR(__xludf.DUMMYFUNCTION("""COMPUTED_VALUE"""),"AGUNOS, JHON AIRVIN")</f>
        <v>AGUNOS, JHON AIRVIN</v>
      </c>
      <c r="C1563" s="1" t="str">
        <f>IFERROR(__xludf.DUMMYFUNCTION("""COMPUTED_VALUE"""),"ORGANIC")</f>
        <v>ORGANIC</v>
      </c>
      <c r="D1563" s="1" t="str">
        <f>IFERROR(__xludf.DUMMYFUNCTION("""COMPUTED_VALUE"""),"ALINGARO, CINDY")</f>
        <v>ALINGARO, CINDY</v>
      </c>
      <c r="E1563" s="1" t="str">
        <f>IFERROR(__xludf.DUMMYFUNCTION("""COMPUTED_VALUE"""),"PLDT / H2H")</f>
        <v>PLDT / H2H</v>
      </c>
      <c r="F1563" s="1">
        <f>IFERROR(__xludf.DUMMYFUNCTION("""COMPUTED_VALUE"""),2309402811)</f>
        <v>2309402811</v>
      </c>
      <c r="G1563" s="1">
        <f>IFERROR(__xludf.DUMMYFUNCTION("""COMPUTED_VALUE"""),453953060004)</f>
        <v>453953060004</v>
      </c>
      <c r="H1563" s="1" t="str">
        <f>IFERROR(__xludf.DUMMYFUNCTION("""COMPUTED_VALUE"""),"ELDRIDGE FABITO ECONAR")</f>
        <v>ELDRIDGE FABITO ECONAR</v>
      </c>
      <c r="I1563" s="1">
        <f>IFERROR(__xludf.DUMMYFUNCTION("""COMPUTED_VALUE"""),9493786109)</f>
        <v>9493786109</v>
      </c>
      <c r="J1563" s="1">
        <f>IFERROR(__xludf.DUMMYFUNCTION("""COMPUTED_VALUE"""),9568047554)</f>
        <v>9568047554</v>
      </c>
      <c r="K1563" s="1" t="str">
        <f>IFERROR(__xludf.DUMMYFUNCTION("""COMPUTED_VALUE"""),"ELDRIDGE_ECONAR@YAHOO.COM")</f>
        <v>ELDRIDGE_ECONAR@YAHOO.COM</v>
      </c>
      <c r="L1563" s="1" t="str">
        <f>IFERROR(__xludf.DUMMYFUNCTION("""COMPUTED_VALUE"""),"128")</f>
        <v>128</v>
      </c>
      <c r="M1563" s="1" t="str">
        <f>IFERROR(__xludf.DUMMYFUNCTION("""COMPUTED_VALUE"""),"PUROK 5")</f>
        <v>PUROK 5</v>
      </c>
      <c r="N1563" s="1"/>
      <c r="O1563" s="1" t="str">
        <f>IFERROR(__xludf.DUMMYFUNCTION("""COMPUTED_VALUE"""),"MINANTOK KANLURAN")</f>
        <v>MINANTOK KANLURAN</v>
      </c>
      <c r="P1563" s="1" t="str">
        <f>IFERROR(__xludf.DUMMYFUNCTION("""COMPUTED_VALUE"""),"AMADEO")</f>
        <v>AMADEO</v>
      </c>
      <c r="Q1563" s="1" t="str">
        <f>IFERROR(__xludf.DUMMYFUNCTION("""COMPUTED_VALUE"""),"CAVITE")</f>
        <v>CAVITE</v>
      </c>
      <c r="R1563" s="1" t="str">
        <f>IFERROR(__xludf.DUMMYFUNCTION("""COMPUTED_VALUE"""),"FIBR PLAN 1299")</f>
        <v>FIBR PLAN 1299</v>
      </c>
      <c r="S1563" s="1" t="str">
        <f>IFERROR(__xludf.DUMMYFUNCTION("""COMPUTED_VALUE"""),"APPROVED")</f>
        <v>APPROVED</v>
      </c>
      <c r="T1563" s="1" t="str">
        <f>IFERROR(__xludf.DUMMYFUNCTION("""COMPUTED_VALUE"""),"CLOSED")</f>
        <v>CLOSED</v>
      </c>
      <c r="U1563" s="1" t="str">
        <f>IFERROR(__xludf.DUMMYFUNCTION("""COMPUTED_VALUE"""),"POSTED")</f>
        <v>POSTED</v>
      </c>
      <c r="V1563" s="1"/>
      <c r="W1563" s="1"/>
    </row>
    <row r="1564" customHeight="1" spans="1:23">
      <c r="A1564" s="3">
        <f>IFERROR(__xludf.DUMMYFUNCTION("""COMPUTED_VALUE"""),46151)</f>
        <v>46151</v>
      </c>
      <c r="B1564" s="1" t="str">
        <f>IFERROR(__xludf.DUMMYFUNCTION("""COMPUTED_VALUE"""),"ESCARCHA, MA ALMA  ESCOTO")</f>
        <v>ESCARCHA, MA ALMA  ESCOTO</v>
      </c>
      <c r="C1564" s="1" t="str">
        <f>IFERROR(__xludf.DUMMYFUNCTION("""COMPUTED_VALUE"""),"ORGANIC")</f>
        <v>ORGANIC</v>
      </c>
      <c r="D1564" s="1" t="str">
        <f>IFERROR(__xludf.DUMMYFUNCTION("""COMPUTED_VALUE"""),"ALINGARO, CINDY")</f>
        <v>ALINGARO, CINDY</v>
      </c>
      <c r="E1564" s="1" t="str">
        <f>IFERROR(__xludf.DUMMYFUNCTION("""COMPUTED_VALUE"""),"PLDT / H2H")</f>
        <v>PLDT / H2H</v>
      </c>
      <c r="F1564" s="1">
        <f>IFERROR(__xludf.DUMMYFUNCTION("""COMPUTED_VALUE"""),2309402797)</f>
        <v>2309402797</v>
      </c>
      <c r="G1564" s="1">
        <f>IFERROR(__xludf.DUMMYFUNCTION("""COMPUTED_VALUE"""),453965729004)</f>
        <v>453965729004</v>
      </c>
      <c r="H1564" s="1" t="str">
        <f>IFERROR(__xludf.DUMMYFUNCTION("""COMPUTED_VALUE"""),"FEBE GURION CORTEZ")</f>
        <v>FEBE GURION CORTEZ</v>
      </c>
      <c r="I1564" s="1">
        <f>IFERROR(__xludf.DUMMYFUNCTION("""COMPUTED_VALUE"""),9451472055)</f>
        <v>9451472055</v>
      </c>
      <c r="J1564" s="1">
        <f>IFERROR(__xludf.DUMMYFUNCTION("""COMPUTED_VALUE"""),9471071649)</f>
        <v>9471071649</v>
      </c>
      <c r="K1564" s="1" t="str">
        <f>IFERROR(__xludf.DUMMYFUNCTION("""COMPUTED_VALUE"""),"YVOCORTEZ10@GMAIL.COM")</f>
        <v>YVOCORTEZ10@GMAIL.COM</v>
      </c>
      <c r="L1564" s="1" t="str">
        <f>IFERROR(__xludf.DUMMYFUNCTION("""COMPUTED_VALUE"""),"BLK 6 LOT 27")</f>
        <v>BLK 6 LOT 27</v>
      </c>
      <c r="M1564" s="1" t="str">
        <f>IFERROR(__xludf.DUMMYFUNCTION("""COMPUTED_VALUE"""),"TORONTO")</f>
        <v>TORONTO</v>
      </c>
      <c r="N1564" s="1"/>
      <c r="O1564" s="1" t="str">
        <f>IFERROR(__xludf.DUMMYFUNCTION("""COMPUTED_VALUE"""),"JACINTO LUMBRERAS")</f>
        <v>JACINTO LUMBRERAS</v>
      </c>
      <c r="P1564" s="1" t="str">
        <f>IFERROR(__xludf.DUMMYFUNCTION("""COMPUTED_VALUE"""),"GEN MARIANO ALVAREZ")</f>
        <v>GEN MARIANO ALVAREZ</v>
      </c>
      <c r="Q1564" s="1" t="str">
        <f>IFERROR(__xludf.DUMMYFUNCTION("""COMPUTED_VALUE"""),"CAVITE")</f>
        <v>CAVITE</v>
      </c>
      <c r="R1564" s="1" t="str">
        <f>IFERROR(__xludf.DUMMYFUNCTION("""COMPUTED_VALUE"""),"FIBR UNLI ALL PLAN 999")</f>
        <v>FIBR UNLI ALL PLAN 999</v>
      </c>
      <c r="S1564" s="1" t="str">
        <f>IFERROR(__xludf.DUMMYFUNCTION("""COMPUTED_VALUE"""),"APPROVED")</f>
        <v>APPROVED</v>
      </c>
      <c r="T1564" s="1" t="str">
        <f>IFERROR(__xludf.DUMMYFUNCTION("""COMPUTED_VALUE"""),"CANCELLED")</f>
        <v>CANCELLED</v>
      </c>
      <c r="U1564" s="1"/>
      <c r="V1564" s="1"/>
      <c r="W1564" s="1"/>
    </row>
    <row r="1565" customHeight="1" spans="1:23">
      <c r="A1565" s="3">
        <f>IFERROR(__xludf.DUMMYFUNCTION("""COMPUTED_VALUE"""),46151)</f>
        <v>46151</v>
      </c>
      <c r="B1565" s="1" t="str">
        <f>IFERROR(__xludf.DUMMYFUNCTION("""COMPUTED_VALUE"""),"FRANCISCO , ROSELYN")</f>
        <v>FRANCISCO , ROSELYN</v>
      </c>
      <c r="C1565" s="1" t="str">
        <f>IFERROR(__xludf.DUMMYFUNCTION("""COMPUTED_VALUE"""),"ORGANIC")</f>
        <v>ORGANIC</v>
      </c>
      <c r="D1565" s="1" t="str">
        <f>IFERROR(__xludf.DUMMYFUNCTION("""COMPUTED_VALUE"""),"ALOS, CHARLS")</f>
        <v>ALOS, CHARLS</v>
      </c>
      <c r="E1565" s="1" t="str">
        <f>IFERROR(__xludf.DUMMYFUNCTION("""COMPUTED_VALUE"""),"PLDT / H2H")</f>
        <v>PLDT / H2H</v>
      </c>
      <c r="F1565" s="1">
        <f>IFERROR(__xludf.DUMMYFUNCTION("""COMPUTED_VALUE"""),2309403073)</f>
        <v>2309403073</v>
      </c>
      <c r="G1565" s="1">
        <f>IFERROR(__xludf.DUMMYFUNCTION("""COMPUTED_VALUE"""),453959916004)</f>
        <v>453959916004</v>
      </c>
      <c r="H1565" s="1" t="str">
        <f>IFERROR(__xludf.DUMMYFUNCTION("""COMPUTED_VALUE"""),"JAMIL SABADO ARINGO")</f>
        <v>JAMIL SABADO ARINGO</v>
      </c>
      <c r="I1565" s="1">
        <f>IFERROR(__xludf.DUMMYFUNCTION("""COMPUTED_VALUE"""),9702878464)</f>
        <v>9702878464</v>
      </c>
      <c r="J1565" s="1">
        <f>IFERROR(__xludf.DUMMYFUNCTION("""COMPUTED_VALUE"""),9267533090)</f>
        <v>9267533090</v>
      </c>
      <c r="K1565" s="1" t="str">
        <f>IFERROR(__xludf.DUMMYFUNCTION("""COMPUTED_VALUE"""),"ARINGOJAMIL@GMAIL.COM")</f>
        <v>ARINGOJAMIL@GMAIL.COM</v>
      </c>
      <c r="L1565" s="1" t="str">
        <f>IFERROR(__xludf.DUMMYFUNCTION("""COMPUTED_VALUE"""),"BLK 39")</f>
        <v>BLK 39</v>
      </c>
      <c r="M1565" s="1" t="str">
        <f>IFERROR(__xludf.DUMMYFUNCTION("""COMPUTED_VALUE"""),"EXCESS LOT ")</f>
        <v>EXCESS LOT </v>
      </c>
      <c r="N1565" s="1"/>
      <c r="O1565" s="1" t="str">
        <f>IFERROR(__xludf.DUMMYFUNCTION("""COMPUTED_VALUE"""),"BANABA")</f>
        <v>BANABA</v>
      </c>
      <c r="P1565" s="1" t="str">
        <f>IFERROR(__xludf.DUMMYFUNCTION("""COMPUTED_VALUE"""),"SILANG")</f>
        <v>SILANG</v>
      </c>
      <c r="Q1565" s="1" t="str">
        <f>IFERROR(__xludf.DUMMYFUNCTION("""COMPUTED_VALUE"""),"CAVITE")</f>
        <v>CAVITE</v>
      </c>
      <c r="R1565" s="1" t="str">
        <f>IFERROR(__xludf.DUMMYFUNCTION("""COMPUTED_VALUE"""),"FIBR UNLI ALL PLAN 1399")</f>
        <v>FIBR UNLI ALL PLAN 1399</v>
      </c>
      <c r="S1565" s="1" t="str">
        <f>IFERROR(__xludf.DUMMYFUNCTION("""COMPUTED_VALUE"""),"APPROVED")</f>
        <v>APPROVED</v>
      </c>
      <c r="T1565" s="1" t="str">
        <f>IFERROR(__xludf.DUMMYFUNCTION("""COMPUTED_VALUE"""),"CLOSED")</f>
        <v>CLOSED</v>
      </c>
      <c r="U1565" s="1" t="str">
        <f>IFERROR(__xludf.DUMMYFUNCTION("""COMPUTED_VALUE"""),"POSTED")</f>
        <v>POSTED</v>
      </c>
      <c r="V1565" s="1"/>
      <c r="W1565" s="1"/>
    </row>
    <row r="1566" customHeight="1" spans="1:23">
      <c r="A1566" s="3">
        <f>IFERROR(__xludf.DUMMYFUNCTION("""COMPUTED_VALUE"""),46151)</f>
        <v>46151</v>
      </c>
      <c r="B1566" s="1" t="str">
        <f>IFERROR(__xludf.DUMMYFUNCTION("""COMPUTED_VALUE"""),"DE VERA, MARIVIC")</f>
        <v>DE VERA, MARIVIC</v>
      </c>
      <c r="C1566" s="1" t="str">
        <f>IFERROR(__xludf.DUMMYFUNCTION("""COMPUTED_VALUE"""),"ORGANIC")</f>
        <v>ORGANIC</v>
      </c>
      <c r="D1566" s="1" t="str">
        <f>IFERROR(__xludf.DUMMYFUNCTION("""COMPUTED_VALUE"""),"REMOLLO LEA")</f>
        <v>REMOLLO LEA</v>
      </c>
      <c r="E1566" s="1" t="str">
        <f>IFERROR(__xludf.DUMMYFUNCTION("""COMPUTED_VALUE"""),"PLDT / H2H")</f>
        <v>PLDT / H2H</v>
      </c>
      <c r="F1566" s="1">
        <f>IFERROR(__xludf.DUMMYFUNCTION("""COMPUTED_VALUE"""),2309403156)</f>
        <v>2309403156</v>
      </c>
      <c r="G1566" s="1">
        <f>IFERROR(__xludf.DUMMYFUNCTION("""COMPUTED_VALUE"""),453968572004)</f>
        <v>453968572004</v>
      </c>
      <c r="H1566" s="1" t="str">
        <f>IFERROR(__xludf.DUMMYFUNCTION("""COMPUTED_VALUE"""),"JIRAH FAITH CUBIO MALIMUTIN")</f>
        <v>JIRAH FAITH CUBIO MALIMUTIN</v>
      </c>
      <c r="I1566" s="1">
        <f>IFERROR(__xludf.DUMMYFUNCTION("""COMPUTED_VALUE"""),9623596815)</f>
        <v>9623596815</v>
      </c>
      <c r="J1566" s="1">
        <f>IFERROR(__xludf.DUMMYFUNCTION("""COMPUTED_VALUE"""),9060877750)</f>
        <v>9060877750</v>
      </c>
      <c r="K1566" s="1" t="str">
        <f>IFERROR(__xludf.DUMMYFUNCTION("""COMPUTED_VALUE"""),"JIRAHFAITH13@GMIAL.COM")</f>
        <v>JIRAHFAITH13@GMIAL.COM</v>
      </c>
      <c r="L1566" s="1" t="str">
        <f>IFERROR(__xludf.DUMMYFUNCTION("""COMPUTED_VALUE"""),"489")</f>
        <v>489</v>
      </c>
      <c r="M1566" s="1" t="str">
        <f>IFERROR(__xludf.DUMMYFUNCTION("""COMPUTED_VALUE"""),"PUROK 138")</f>
        <v>PUROK 138</v>
      </c>
      <c r="N1566" s="1"/>
      <c r="O1566" s="1" t="str">
        <f>IFERROR(__xludf.DUMMYFUNCTION("""COMPUTED_VALUE"""),"NEOGAN")</f>
        <v>NEOGAN</v>
      </c>
      <c r="P1566" s="1" t="str">
        <f>IFERROR(__xludf.DUMMYFUNCTION("""COMPUTED_VALUE"""),"TAGAYTAY")</f>
        <v>TAGAYTAY</v>
      </c>
      <c r="Q1566" s="1" t="str">
        <f>IFERROR(__xludf.DUMMYFUNCTION("""COMPUTED_VALUE"""),"CAVITE")</f>
        <v>CAVITE</v>
      </c>
      <c r="R1566" s="1" t="str">
        <f>IFERROR(__xludf.DUMMYFUNCTION("""COMPUTED_VALUE"""),"FIBR UNLI ALL PLAN 1399")</f>
        <v>FIBR UNLI ALL PLAN 1399</v>
      </c>
      <c r="S1566" s="1" t="str">
        <f>IFERROR(__xludf.DUMMYFUNCTION("""COMPUTED_VALUE"""),"APPROVED")</f>
        <v>APPROVED</v>
      </c>
      <c r="T1566" s="1" t="str">
        <f>IFERROR(__xludf.DUMMYFUNCTION("""COMPUTED_VALUE"""),"CLOSED")</f>
        <v>CLOSED</v>
      </c>
      <c r="U1566" s="1" t="str">
        <f>IFERROR(__xludf.DUMMYFUNCTION("""COMPUTED_VALUE"""),"POSTED")</f>
        <v>POSTED</v>
      </c>
      <c r="V1566" s="1"/>
      <c r="W1566" s="1"/>
    </row>
    <row r="1567" customHeight="1" spans="1:23">
      <c r="A1567" s="3">
        <f>IFERROR(__xludf.DUMMYFUNCTION("""COMPUTED_VALUE"""),46151)</f>
        <v>46151</v>
      </c>
      <c r="B1567" s="1" t="str">
        <f>IFERROR(__xludf.DUMMYFUNCTION("""COMPUTED_VALUE"""),"CASTILLEJOS, ARREL")</f>
        <v>CASTILLEJOS, ARREL</v>
      </c>
      <c r="C1567" s="1" t="str">
        <f>IFERROR(__xludf.DUMMYFUNCTION("""COMPUTED_VALUE"""),"ORGANIC")</f>
        <v>ORGANIC</v>
      </c>
      <c r="D1567" s="1" t="str">
        <f>IFERROR(__xludf.DUMMYFUNCTION("""COMPUTED_VALUE"""),"REMOLLO LEA")</f>
        <v>REMOLLO LEA</v>
      </c>
      <c r="E1567" s="1" t="str">
        <f>IFERROR(__xludf.DUMMYFUNCTION("""COMPUTED_VALUE"""),"PLDT / H2H")</f>
        <v>PLDT / H2H</v>
      </c>
      <c r="F1567" s="1">
        <f>IFERROR(__xludf.DUMMYFUNCTION("""COMPUTED_VALUE"""),2309403546)</f>
        <v>2309403546</v>
      </c>
      <c r="G1567" s="1">
        <f>IFERROR(__xludf.DUMMYFUNCTION("""COMPUTED_VALUE"""),453973892004)</f>
        <v>453973892004</v>
      </c>
      <c r="H1567" s="1" t="str">
        <f>IFERROR(__xludf.DUMMYFUNCTION("""COMPUTED_VALUE"""),"DENNIS ROXAS FIGUEROA")</f>
        <v>DENNIS ROXAS FIGUEROA</v>
      </c>
      <c r="I1567" s="1">
        <f>IFERROR(__xludf.DUMMYFUNCTION("""COMPUTED_VALUE"""),9215756256)</f>
        <v>9215756256</v>
      </c>
      <c r="J1567" s="1">
        <f>IFERROR(__xludf.DUMMYFUNCTION("""COMPUTED_VALUE"""),9638872744)</f>
        <v>9638872744</v>
      </c>
      <c r="K1567" s="1" t="str">
        <f>IFERROR(__xludf.DUMMYFUNCTION("""COMPUTED_VALUE"""),"FIGUEROAMONIQUE@GMAIL.COM")</f>
        <v>FIGUEROAMONIQUE@GMAIL.COM</v>
      </c>
      <c r="L1567" s="1" t="str">
        <f>IFERROR(__xludf.DUMMYFUNCTION("""COMPUTED_VALUE"""),"21692-E")</f>
        <v>21692-E</v>
      </c>
      <c r="M1567" s="1" t="str">
        <f>IFERROR(__xludf.DUMMYFUNCTION("""COMPUTED_VALUE"""),"DAANG MAYNILAAN")</f>
        <v>DAANG MAYNILAAN</v>
      </c>
      <c r="N1567" s="1" t="str">
        <f>IFERROR(__xludf.DUMMYFUNCTION("""COMPUTED_VALUE"""),"VERONICA VILLE")</f>
        <v>VERONICA VILLE</v>
      </c>
      <c r="O1567" s="1" t="str">
        <f>IFERROR(__xludf.DUMMYFUNCTION("""COMPUTED_VALUE"""),"LITLIT")</f>
        <v>LITLIT</v>
      </c>
      <c r="P1567" s="1" t="str">
        <f>IFERROR(__xludf.DUMMYFUNCTION("""COMPUTED_VALUE"""),"SILANG")</f>
        <v>SILANG</v>
      </c>
      <c r="Q1567" s="1" t="str">
        <f>IFERROR(__xludf.DUMMYFUNCTION("""COMPUTED_VALUE"""),"CAVITE")</f>
        <v>CAVITE</v>
      </c>
      <c r="R1567" s="1" t="str">
        <f>IFERROR(__xludf.DUMMYFUNCTION("""COMPUTED_VALUE"""),"FIBR UNLI ALL PLAN 1399")</f>
        <v>FIBR UNLI ALL PLAN 1399</v>
      </c>
      <c r="S1567" s="1" t="str">
        <f>IFERROR(__xludf.DUMMYFUNCTION("""COMPUTED_VALUE"""),"APPROVED")</f>
        <v>APPROVED</v>
      </c>
      <c r="T1567" s="1" t="str">
        <f>IFERROR(__xludf.DUMMYFUNCTION("""COMPUTED_VALUE"""),"CLOSED")</f>
        <v>CLOSED</v>
      </c>
      <c r="U1567" s="1" t="str">
        <f>IFERROR(__xludf.DUMMYFUNCTION("""COMPUTED_VALUE"""),"POSTED")</f>
        <v>POSTED</v>
      </c>
      <c r="V1567" s="1"/>
      <c r="W1567" s="1"/>
    </row>
    <row r="1568" customHeight="1" spans="1:23">
      <c r="A1568" s="3">
        <f>IFERROR(__xludf.DUMMYFUNCTION("""COMPUTED_VALUE"""),46151)</f>
        <v>46151</v>
      </c>
      <c r="B1568" s="1" t="str">
        <f>IFERROR(__xludf.DUMMYFUNCTION("""COMPUTED_VALUE"""),"GABAY, MANUEL")</f>
        <v>GABAY, MANUEL</v>
      </c>
      <c r="C1568" s="1" t="str">
        <f>IFERROR(__xludf.DUMMYFUNCTION("""COMPUTED_VALUE"""),"FLA")</f>
        <v>FLA</v>
      </c>
      <c r="D1568" s="1" t="str">
        <f>IFERROR(__xludf.DUMMYFUNCTION("""COMPUTED_VALUE"""),"JERIC NAVARRO")</f>
        <v>JERIC NAVARRO</v>
      </c>
      <c r="E1568" s="1" t="str">
        <f>IFERROR(__xludf.DUMMYFUNCTION("""COMPUTED_VALUE"""),"PLDT / H2H")</f>
        <v>PLDT / H2H</v>
      </c>
      <c r="F1568" s="1">
        <f>IFERROR(__xludf.DUMMYFUNCTION("""COMPUTED_VALUE"""),2309403719)</f>
        <v>2309403719</v>
      </c>
      <c r="G1568" s="1">
        <f>IFERROR(__xludf.DUMMYFUNCTION("""COMPUTED_VALUE"""),453964520004)</f>
        <v>453964520004</v>
      </c>
      <c r="H1568" s="1" t="str">
        <f>IFERROR(__xludf.DUMMYFUNCTION("""COMPUTED_VALUE"""),"APOLINARIO RIVERO TANYAG")</f>
        <v>APOLINARIO RIVERO TANYAG</v>
      </c>
      <c r="I1568" s="1">
        <f>IFERROR(__xludf.DUMMYFUNCTION("""COMPUTED_VALUE"""),9472754329)</f>
        <v>9472754329</v>
      </c>
      <c r="J1568" s="1">
        <f>IFERROR(__xludf.DUMMYFUNCTION("""COMPUTED_VALUE"""),9123289962)</f>
        <v>9123289962</v>
      </c>
      <c r="K1568" s="1" t="str">
        <f>IFERROR(__xludf.DUMMYFUNCTION("""COMPUTED_VALUE"""),"TANYAGAPOLINARIO@GMAIL.COM")</f>
        <v>TANYAGAPOLINARIO@GMAIL.COM</v>
      </c>
      <c r="L1568" s="1" t="str">
        <f>IFERROR(__xludf.DUMMYFUNCTION("""COMPUTED_VALUE"""),"147")</f>
        <v>147</v>
      </c>
      <c r="M1568" s="1" t="str">
        <f>IFERROR(__xludf.DUMMYFUNCTION("""COMPUTED_VALUE"""),"KALUNKOB")</f>
        <v>KALUNKOB</v>
      </c>
      <c r="N1568" s="1"/>
      <c r="O1568" s="1" t="str">
        <f>IFERROR(__xludf.DUMMYFUNCTION("""COMPUTED_VALUE"""),"ASIS I")</f>
        <v>ASIS I</v>
      </c>
      <c r="P1568" s="1" t="str">
        <f>IFERROR(__xludf.DUMMYFUNCTION("""COMPUTED_VALUE"""),"MENDEZ")</f>
        <v>MENDEZ</v>
      </c>
      <c r="Q1568" s="1" t="str">
        <f>IFERROR(__xludf.DUMMYFUNCTION("""COMPUTED_VALUE"""),"CAVITE")</f>
        <v>CAVITE</v>
      </c>
      <c r="R1568" s="1" t="str">
        <f>IFERROR(__xludf.DUMMYFUNCTION("""COMPUTED_VALUE"""),"FIBR UNLI ALL PLAN 1399")</f>
        <v>FIBR UNLI ALL PLAN 1399</v>
      </c>
      <c r="S1568" s="1" t="str">
        <f>IFERROR(__xludf.DUMMYFUNCTION("""COMPUTED_VALUE"""),"APPROVED")</f>
        <v>APPROVED</v>
      </c>
      <c r="T1568" s="1" t="str">
        <f>IFERROR(__xludf.DUMMYFUNCTION("""COMPUTED_VALUE"""),"CLOSED")</f>
        <v>CLOSED</v>
      </c>
      <c r="U1568" s="1" t="str">
        <f>IFERROR(__xludf.DUMMYFUNCTION("""COMPUTED_VALUE"""),"POSTED")</f>
        <v>POSTED</v>
      </c>
      <c r="V1568" s="1"/>
      <c r="W1568" s="1"/>
    </row>
    <row r="1569" customHeight="1" spans="1:23">
      <c r="A1569" s="3">
        <f>IFERROR(__xludf.DUMMYFUNCTION("""COMPUTED_VALUE"""),46151)</f>
        <v>46151</v>
      </c>
      <c r="B1569" s="1" t="str">
        <f>IFERROR(__xludf.DUMMYFUNCTION("""COMPUTED_VALUE"""),"FERNANDEZ JERIC")</f>
        <v>FERNANDEZ JERIC</v>
      </c>
      <c r="C1569" s="1" t="str">
        <f>IFERROR(__xludf.DUMMYFUNCTION("""COMPUTED_VALUE"""),"ORGANIC")</f>
        <v>ORGANIC</v>
      </c>
      <c r="D1569" s="1" t="str">
        <f>IFERROR(__xludf.DUMMYFUNCTION("""COMPUTED_VALUE"""),"ALOS, CHARLS")</f>
        <v>ALOS, CHARLS</v>
      </c>
      <c r="E1569" s="1" t="str">
        <f>IFERROR(__xludf.DUMMYFUNCTION("""COMPUTED_VALUE"""),"PLDT / H2H")</f>
        <v>PLDT / H2H</v>
      </c>
      <c r="F1569" s="1">
        <f>IFERROR(__xludf.DUMMYFUNCTION("""COMPUTED_VALUE"""),2309404402)</f>
        <v>2309404402</v>
      </c>
      <c r="G1569" s="1">
        <f>IFERROR(__xludf.DUMMYFUNCTION("""COMPUTED_VALUE"""),453965124004)</f>
        <v>453965124004</v>
      </c>
      <c r="H1569" s="1" t="str">
        <f>IFERROR(__xludf.DUMMYFUNCTION("""COMPUTED_VALUE"""),"EMMY LOU DESTURA BARTOLO")</f>
        <v>EMMY LOU DESTURA BARTOLO</v>
      </c>
      <c r="I1569" s="1">
        <f>IFERROR(__xludf.DUMMYFUNCTION("""COMPUTED_VALUE"""),9632753586)</f>
        <v>9632753586</v>
      </c>
      <c r="J1569" s="1"/>
      <c r="K1569" s="1" t="str">
        <f>IFERROR(__xludf.DUMMYFUNCTION("""COMPUTED_VALUE"""),"EMMS_27@GMAIL.COM")</f>
        <v>EMMS_27@GMAIL.COM</v>
      </c>
      <c r="L1569" s="1" t="str">
        <f>IFERROR(__xludf.DUMMYFUNCTION("""COMPUTED_VALUE"""),"9075")</f>
        <v>9075</v>
      </c>
      <c r="M1569" s="1" t="str">
        <f>IFERROR(__xludf.DUMMYFUNCTION("""COMPUTED_VALUE"""),"ZAMORA")</f>
        <v>ZAMORA</v>
      </c>
      <c r="N1569" s="1"/>
      <c r="O1569" s="1" t="str">
        <f>IFERROR(__xludf.DUMMYFUNCTION("""COMPUTED_VALUE"""),"ASIS I")</f>
        <v>ASIS I</v>
      </c>
      <c r="P1569" s="1" t="str">
        <f>IFERROR(__xludf.DUMMYFUNCTION("""COMPUTED_VALUE"""),"MENDEZ")</f>
        <v>MENDEZ</v>
      </c>
      <c r="Q1569" s="1" t="str">
        <f>IFERROR(__xludf.DUMMYFUNCTION("""COMPUTED_VALUE"""),"CAVITE")</f>
        <v>CAVITE</v>
      </c>
      <c r="R1569" s="1" t="str">
        <f>IFERROR(__xludf.DUMMYFUNCTION("""COMPUTED_VALUE"""),"FIBR UNLI ALL PLAN 1799")</f>
        <v>FIBR UNLI ALL PLAN 1799</v>
      </c>
      <c r="S1569" s="1" t="str">
        <f>IFERROR(__xludf.DUMMYFUNCTION("""COMPUTED_VALUE"""),"APPROVED")</f>
        <v>APPROVED</v>
      </c>
      <c r="T1569" s="1" t="str">
        <f>IFERROR(__xludf.DUMMYFUNCTION("""COMPUTED_VALUE"""),"CLOSED")</f>
        <v>CLOSED</v>
      </c>
      <c r="U1569" s="1" t="str">
        <f>IFERROR(__xludf.DUMMYFUNCTION("""COMPUTED_VALUE"""),"POSTED")</f>
        <v>POSTED</v>
      </c>
      <c r="V1569" s="1"/>
      <c r="W1569" s="1"/>
    </row>
    <row r="1570" customHeight="1" spans="1:23">
      <c r="A1570" s="3">
        <f>IFERROR(__xludf.DUMMYFUNCTION("""COMPUTED_VALUE"""),46151)</f>
        <v>46151</v>
      </c>
      <c r="B1570" s="1" t="str">
        <f>IFERROR(__xludf.DUMMYFUNCTION("""COMPUTED_VALUE"""),"AGUNOS, JHON AIRVIN")</f>
        <v>AGUNOS, JHON AIRVIN</v>
      </c>
      <c r="C1570" s="1" t="str">
        <f>IFERROR(__xludf.DUMMYFUNCTION("""COMPUTED_VALUE"""),"ORGANIC")</f>
        <v>ORGANIC</v>
      </c>
      <c r="D1570" s="1" t="str">
        <f>IFERROR(__xludf.DUMMYFUNCTION("""COMPUTED_VALUE"""),"ALINGARO, CINDY")</f>
        <v>ALINGARO, CINDY</v>
      </c>
      <c r="E1570" s="1" t="str">
        <f>IFERROR(__xludf.DUMMYFUNCTION("""COMPUTED_VALUE"""),"PLDT / H2H")</f>
        <v>PLDT / H2H</v>
      </c>
      <c r="F1570" s="1">
        <f>IFERROR(__xludf.DUMMYFUNCTION("""COMPUTED_VALUE"""),2309404403)</f>
        <v>2309404403</v>
      </c>
      <c r="G1570" s="1">
        <f>IFERROR(__xludf.DUMMYFUNCTION("""COMPUTED_VALUE"""),453974747004)</f>
        <v>453974747004</v>
      </c>
      <c r="H1570" s="1" t="str">
        <f>IFERROR(__xludf.DUMMYFUNCTION("""COMPUTED_VALUE"""),"JACOB CARATAY DE LOS REYES")</f>
        <v>JACOB CARATAY DE LOS REYES</v>
      </c>
      <c r="I1570" s="1">
        <f>IFERROR(__xludf.DUMMYFUNCTION("""COMPUTED_VALUE"""),9753612324)</f>
        <v>9753612324</v>
      </c>
      <c r="J1570" s="1"/>
      <c r="K1570" s="1" t="str">
        <f>IFERROR(__xludf.DUMMYFUNCTION("""COMPUTED_VALUE"""),"FERLYNLARA1994@GMAIL.COM")</f>
        <v>FERLYNLARA1994@GMAIL.COM</v>
      </c>
      <c r="L1570" s="1" t="str">
        <f>IFERROR(__xludf.DUMMYFUNCTION("""COMPUTED_VALUE"""),"47")</f>
        <v>47</v>
      </c>
      <c r="M1570" s="1" t="str">
        <f>IFERROR(__xludf.DUMMYFUNCTION("""COMPUTED_VALUE"""),"ANULING")</f>
        <v>ANULING</v>
      </c>
      <c r="N1570" s="1"/>
      <c r="O1570" s="1" t="str">
        <f>IFERROR(__xludf.DUMMYFUNCTION("""COMPUTED_VALUE"""),"ANULING LEJOS I (ANULING)")</f>
        <v>ANULING LEJOS I (ANULING)</v>
      </c>
      <c r="P1570" s="1" t="str">
        <f>IFERROR(__xludf.DUMMYFUNCTION("""COMPUTED_VALUE"""),"MENDEZ")</f>
        <v>MENDEZ</v>
      </c>
      <c r="Q1570" s="1" t="str">
        <f>IFERROR(__xludf.DUMMYFUNCTION("""COMPUTED_VALUE"""),"CAVITE")</f>
        <v>CAVITE</v>
      </c>
      <c r="R1570" s="1" t="str">
        <f>IFERROR(__xludf.DUMMYFUNCTION("""COMPUTED_VALUE"""),"FIBR NETFLIX PLAN 1599")</f>
        <v>FIBR NETFLIX PLAN 1599</v>
      </c>
      <c r="S1570" s="1" t="str">
        <f>IFERROR(__xludf.DUMMYFUNCTION("""COMPUTED_VALUE"""),"APPROVED")</f>
        <v>APPROVED</v>
      </c>
      <c r="T1570" s="1" t="str">
        <f>IFERROR(__xludf.DUMMYFUNCTION("""COMPUTED_VALUE"""),"CLOSED")</f>
        <v>CLOSED</v>
      </c>
      <c r="U1570" s="1" t="str">
        <f>IFERROR(__xludf.DUMMYFUNCTION("""COMPUTED_VALUE"""),"POSTED")</f>
        <v>POSTED</v>
      </c>
      <c r="V1570" s="1"/>
      <c r="W1570" s="1"/>
    </row>
    <row r="1571" customHeight="1" spans="1:23">
      <c r="A1571" s="3">
        <f>IFERROR(__xludf.DUMMYFUNCTION("""COMPUTED_VALUE"""),46151)</f>
        <v>46151</v>
      </c>
      <c r="B1571" s="1" t="str">
        <f>IFERROR(__xludf.DUMMYFUNCTION("""COMPUTED_VALUE"""),"FRANCISCO , ROSELYN")</f>
        <v>FRANCISCO , ROSELYN</v>
      </c>
      <c r="C1571" s="1" t="str">
        <f>IFERROR(__xludf.DUMMYFUNCTION("""COMPUTED_VALUE"""),"ORGANIC")</f>
        <v>ORGANIC</v>
      </c>
      <c r="D1571" s="1" t="str">
        <f>IFERROR(__xludf.DUMMYFUNCTION("""COMPUTED_VALUE"""),"ALOS, CHARLS")</f>
        <v>ALOS, CHARLS</v>
      </c>
      <c r="E1571" s="1" t="str">
        <f>IFERROR(__xludf.DUMMYFUNCTION("""COMPUTED_VALUE"""),"PLDT / H2H")</f>
        <v>PLDT / H2H</v>
      </c>
      <c r="F1571" s="1">
        <f>IFERROR(__xludf.DUMMYFUNCTION("""COMPUTED_VALUE"""),2309405709)</f>
        <v>2309405709</v>
      </c>
      <c r="G1571" s="1">
        <f>IFERROR(__xludf.DUMMYFUNCTION("""COMPUTED_VALUE"""),453974700004)</f>
        <v>453974700004</v>
      </c>
      <c r="H1571" s="1" t="str">
        <f>IFERROR(__xludf.DUMMYFUNCTION("""COMPUTED_VALUE"""),"NALYN ALFEREZ PELAYO")</f>
        <v>NALYN ALFEREZ PELAYO</v>
      </c>
      <c r="I1571" s="1">
        <f>IFERROR(__xludf.DUMMYFUNCTION("""COMPUTED_VALUE"""),9683577958)</f>
        <v>9683577958</v>
      </c>
      <c r="J1571" s="1">
        <f>IFERROR(__xludf.DUMMYFUNCTION("""COMPUTED_VALUE"""),9095802996)</f>
        <v>9095802996</v>
      </c>
      <c r="K1571" s="1" t="str">
        <f>IFERROR(__xludf.DUMMYFUNCTION("""COMPUTED_VALUE"""),"PELAYOANALYN@GMAIL.COM")</f>
        <v>PELAYOANALYN@GMAIL.COM</v>
      </c>
      <c r="L1571" s="1" t="str">
        <f>IFERROR(__xludf.DUMMYFUNCTION("""COMPUTED_VALUE"""),"BLK 18 LOT 11")</f>
        <v>BLK 18 LOT 11</v>
      </c>
      <c r="M1571" s="1" t="str">
        <f>IFERROR(__xludf.DUMMYFUNCTION("""COMPUTED_VALUE"""),"NARRA")</f>
        <v>NARRA</v>
      </c>
      <c r="N1571" s="1"/>
      <c r="O1571" s="1" t="str">
        <f>IFERROR(__xludf.DUMMYFUNCTION("""COMPUTED_VALUE"""),"NARRA II")</f>
        <v>NARRA II</v>
      </c>
      <c r="P1571" s="1" t="str">
        <f>IFERROR(__xludf.DUMMYFUNCTION("""COMPUTED_VALUE"""),"SILANG")</f>
        <v>SILANG</v>
      </c>
      <c r="Q1571" s="1" t="str">
        <f>IFERROR(__xludf.DUMMYFUNCTION("""COMPUTED_VALUE"""),"CAVITE")</f>
        <v>CAVITE</v>
      </c>
      <c r="R1571" s="1" t="str">
        <f>IFERROR(__xludf.DUMMYFUNCTION("""COMPUTED_VALUE"""),"FIBR NETFLIX PLAN 1599")</f>
        <v>FIBR NETFLIX PLAN 1599</v>
      </c>
      <c r="S1571" s="1" t="str">
        <f>IFERROR(__xludf.DUMMYFUNCTION("""COMPUTED_VALUE"""),"APPROVED")</f>
        <v>APPROVED</v>
      </c>
      <c r="T1571" s="1" t="str">
        <f>IFERROR(__xludf.DUMMYFUNCTION("""COMPUTED_VALUE"""),"CLOSED")</f>
        <v>CLOSED</v>
      </c>
      <c r="U1571" s="1" t="str">
        <f>IFERROR(__xludf.DUMMYFUNCTION("""COMPUTED_VALUE"""),"POSTED")</f>
        <v>POSTED</v>
      </c>
      <c r="V1571" s="1"/>
      <c r="W1571" s="1"/>
    </row>
    <row r="1572" customHeight="1" spans="1:23">
      <c r="A1572" s="3">
        <f>IFERROR(__xludf.DUMMYFUNCTION("""COMPUTED_VALUE"""),46151)</f>
        <v>46151</v>
      </c>
      <c r="B1572" s="1" t="str">
        <f>IFERROR(__xludf.DUMMYFUNCTION("""COMPUTED_VALUE"""),"DELA ROSA, JENNELYN")</f>
        <v>DELA ROSA, JENNELYN</v>
      </c>
      <c r="C1572" s="1" t="str">
        <f>IFERROR(__xludf.DUMMYFUNCTION("""COMPUTED_VALUE"""),"ORGANIC")</f>
        <v>ORGANIC</v>
      </c>
      <c r="D1572" s="1" t="str">
        <f>IFERROR(__xludf.DUMMYFUNCTION("""COMPUTED_VALUE"""),"ALOS, CHARLS")</f>
        <v>ALOS, CHARLS</v>
      </c>
      <c r="E1572" s="1" t="str">
        <f>IFERROR(__xludf.DUMMYFUNCTION("""COMPUTED_VALUE"""),"PLDT / H2H")</f>
        <v>PLDT / H2H</v>
      </c>
      <c r="F1572" s="1">
        <f>IFERROR(__xludf.DUMMYFUNCTION("""COMPUTED_VALUE"""),2309405741)</f>
        <v>2309405741</v>
      </c>
      <c r="G1572" s="1">
        <f>IFERROR(__xludf.DUMMYFUNCTION("""COMPUTED_VALUE"""),453971433004)</f>
        <v>453971433004</v>
      </c>
      <c r="H1572" s="1" t="str">
        <f>IFERROR(__xludf.DUMMYFUNCTION("""COMPUTED_VALUE"""),"MARCY CATHERINE MACARAEG CASIPIT")</f>
        <v>MARCY CATHERINE MACARAEG CASIPIT</v>
      </c>
      <c r="I1572" s="1">
        <f>IFERROR(__xludf.DUMMYFUNCTION("""COMPUTED_VALUE"""),9515637494)</f>
        <v>9515637494</v>
      </c>
      <c r="J1572" s="1"/>
      <c r="K1572" s="1" t="str">
        <f>IFERROR(__xludf.DUMMYFUNCTION("""COMPUTED_VALUE"""),"MARYCATHERINEMACARAEG@GMAIL.COM")</f>
        <v>MARYCATHERINEMACARAEG@GMAIL.COM</v>
      </c>
      <c r="L1572" s="1" t="str">
        <f>IFERROR(__xludf.DUMMYFUNCTION("""COMPUTED_VALUE"""),"22A")</f>
        <v>22A</v>
      </c>
      <c r="M1572" s="1" t="str">
        <f>IFERROR(__xludf.DUMMYFUNCTION("""COMPUTED_VALUE"""),"STRAWBERRY HILLS")</f>
        <v>STRAWBERRY HILLS</v>
      </c>
      <c r="N1572" s="1"/>
      <c r="O1572" s="1" t="str">
        <f>IFERROR(__xludf.DUMMYFUNCTION("""COMPUTED_VALUE"""),"FRANCISCO REYES")</f>
        <v>FRANCISCO REYES</v>
      </c>
      <c r="P1572" s="1" t="str">
        <f>IFERROR(__xludf.DUMMYFUNCTION("""COMPUTED_VALUE"""),"GEN MARIANO ALVAREZ")</f>
        <v>GEN MARIANO ALVAREZ</v>
      </c>
      <c r="Q1572" s="1" t="str">
        <f>IFERROR(__xludf.DUMMYFUNCTION("""COMPUTED_VALUE"""),"CAVITE")</f>
        <v>CAVITE</v>
      </c>
      <c r="R1572" s="1" t="str">
        <f>IFERROR(__xludf.DUMMYFUNCTION("""COMPUTED_VALUE"""),"PREPAID FIBER UNLI")</f>
        <v>PREPAID FIBER UNLI</v>
      </c>
      <c r="S1572" s="1" t="str">
        <f>IFERROR(__xludf.DUMMYFUNCTION("""COMPUTED_VALUE"""),"APPROVED")</f>
        <v>APPROVED</v>
      </c>
      <c r="T1572" s="1" t="str">
        <f>IFERROR(__xludf.DUMMYFUNCTION("""COMPUTED_VALUE"""),"CANCELLED")</f>
        <v>CANCELLED</v>
      </c>
      <c r="U1572" s="1"/>
      <c r="V1572" s="1"/>
      <c r="W1572" s="1"/>
    </row>
    <row r="1573" customHeight="1" spans="1:23">
      <c r="A1573" s="3">
        <f>IFERROR(__xludf.DUMMYFUNCTION("""COMPUTED_VALUE"""),46151)</f>
        <v>46151</v>
      </c>
      <c r="B1573" s="1" t="str">
        <f>IFERROR(__xludf.DUMMYFUNCTION("""COMPUTED_VALUE"""),"FRANCISCO , ROSELYN")</f>
        <v>FRANCISCO , ROSELYN</v>
      </c>
      <c r="C1573" s="1" t="str">
        <f>IFERROR(__xludf.DUMMYFUNCTION("""COMPUTED_VALUE"""),"ORGANIC")</f>
        <v>ORGANIC</v>
      </c>
      <c r="D1573" s="1" t="str">
        <f>IFERROR(__xludf.DUMMYFUNCTION("""COMPUTED_VALUE"""),"ALOS, CHARLS")</f>
        <v>ALOS, CHARLS</v>
      </c>
      <c r="E1573" s="1" t="str">
        <f>IFERROR(__xludf.DUMMYFUNCTION("""COMPUTED_VALUE"""),"PLDT / H2H")</f>
        <v>PLDT / H2H</v>
      </c>
      <c r="F1573" s="1">
        <f>IFERROR(__xludf.DUMMYFUNCTION("""COMPUTED_VALUE"""),2309406146)</f>
        <v>2309406146</v>
      </c>
      <c r="G1573" s="1">
        <f>IFERROR(__xludf.DUMMYFUNCTION("""COMPUTED_VALUE"""),453973089004)</f>
        <v>453973089004</v>
      </c>
      <c r="H1573" s="1" t="str">
        <f>IFERROR(__xludf.DUMMYFUNCTION("""COMPUTED_VALUE"""),"FERDINAND FLORES PETANIO")</f>
        <v>FERDINAND FLORES PETANIO</v>
      </c>
      <c r="I1573" s="1">
        <f>IFERROR(__xludf.DUMMYFUNCTION("""COMPUTED_VALUE"""),9543388638)</f>
        <v>9543388638</v>
      </c>
      <c r="J1573" s="1">
        <f>IFERROR(__xludf.DUMMYFUNCTION("""COMPUTED_VALUE"""),9562752227)</f>
        <v>9562752227</v>
      </c>
      <c r="K1573" s="1" t="str">
        <f>IFERROR(__xludf.DUMMYFUNCTION("""COMPUTED_VALUE"""),"PETANIOGRAZILDA@GMAIL.COM")</f>
        <v>PETANIOGRAZILDA@GMAIL.COM</v>
      </c>
      <c r="L1573" s="1" t="str">
        <f>IFERROR(__xludf.DUMMYFUNCTION("""COMPUTED_VALUE"""),"BLK 24 LOT 7C")</f>
        <v>BLK 24 LOT 7C</v>
      </c>
      <c r="M1573" s="1" t="str">
        <f>IFERROR(__xludf.DUMMYFUNCTION("""COMPUTED_VALUE"""),"NARRA")</f>
        <v>NARRA</v>
      </c>
      <c r="N1573" s="1"/>
      <c r="O1573" s="1" t="str">
        <f>IFERROR(__xludf.DUMMYFUNCTION("""COMPUTED_VALUE"""),"NARRA I")</f>
        <v>NARRA I</v>
      </c>
      <c r="P1573" s="1" t="str">
        <f>IFERROR(__xludf.DUMMYFUNCTION("""COMPUTED_VALUE"""),"SILANG")</f>
        <v>SILANG</v>
      </c>
      <c r="Q1573" s="1" t="str">
        <f>IFERROR(__xludf.DUMMYFUNCTION("""COMPUTED_VALUE"""),"CAVITE")</f>
        <v>CAVITE</v>
      </c>
      <c r="R1573" s="1" t="str">
        <f>IFERROR(__xludf.DUMMYFUNCTION("""COMPUTED_VALUE"""),"FIBR UNLI ALL PLAN 1399")</f>
        <v>FIBR UNLI ALL PLAN 1399</v>
      </c>
      <c r="S1573" s="1" t="str">
        <f>IFERROR(__xludf.DUMMYFUNCTION("""COMPUTED_VALUE"""),"APPROVED")</f>
        <v>APPROVED</v>
      </c>
      <c r="T1573" s="1" t="str">
        <f>IFERROR(__xludf.DUMMYFUNCTION("""COMPUTED_VALUE"""),"CLOSED")</f>
        <v>CLOSED</v>
      </c>
      <c r="U1573" s="1" t="str">
        <f>IFERROR(__xludf.DUMMYFUNCTION("""COMPUTED_VALUE"""),"POSTED")</f>
        <v>POSTED</v>
      </c>
      <c r="V1573" s="1"/>
      <c r="W1573" s="1"/>
    </row>
    <row r="1574" customHeight="1" spans="1:23">
      <c r="A1574" s="3">
        <f>IFERROR(__xludf.DUMMYFUNCTION("""COMPUTED_VALUE"""),46151)</f>
        <v>46151</v>
      </c>
      <c r="B1574" s="1" t="str">
        <f>IFERROR(__xludf.DUMMYFUNCTION("""COMPUTED_VALUE"""),"MAGDARAOG, KENNETH")</f>
        <v>MAGDARAOG, KENNETH</v>
      </c>
      <c r="C1574" s="1" t="str">
        <f>IFERROR(__xludf.DUMMYFUNCTION("""COMPUTED_VALUE"""),"ORGANIC")</f>
        <v>ORGANIC</v>
      </c>
      <c r="D1574" s="1" t="str">
        <f>IFERROR(__xludf.DUMMYFUNCTION("""COMPUTED_VALUE"""),"ALINGARO, CINDY")</f>
        <v>ALINGARO, CINDY</v>
      </c>
      <c r="E1574" s="1" t="str">
        <f>IFERROR(__xludf.DUMMYFUNCTION("""COMPUTED_VALUE"""),"PLDT / H2H")</f>
        <v>PLDT / H2H</v>
      </c>
      <c r="F1574" s="1">
        <f>IFERROR(__xludf.DUMMYFUNCTION("""COMPUTED_VALUE"""),2309406583)</f>
        <v>2309406583</v>
      </c>
      <c r="G1574" s="1">
        <f>IFERROR(__xludf.DUMMYFUNCTION("""COMPUTED_VALUE"""),453977746004)</f>
        <v>453977746004</v>
      </c>
      <c r="H1574" s="1" t="str">
        <f>IFERROR(__xludf.DUMMYFUNCTION("""COMPUTED_VALUE"""),"EDWIN LANDICHO ESPINOSA")</f>
        <v>EDWIN LANDICHO ESPINOSA</v>
      </c>
      <c r="I1574" s="1">
        <f>IFERROR(__xludf.DUMMYFUNCTION("""COMPUTED_VALUE"""),9915557625)</f>
        <v>9915557625</v>
      </c>
      <c r="J1574" s="1"/>
      <c r="K1574" s="1" t="str">
        <f>IFERROR(__xludf.DUMMYFUNCTION("""COMPUTED_VALUE"""),"ESPINOSAEDWIN005@GMAIL.COM")</f>
        <v>ESPINOSAEDWIN005@GMAIL.COM</v>
      </c>
      <c r="L1574" s="1" t="str">
        <f>IFERROR(__xludf.DUMMYFUNCTION("""COMPUTED_VALUE"""),"71")</f>
        <v>71</v>
      </c>
      <c r="M1574" s="1" t="str">
        <f>IFERROR(__xludf.DUMMYFUNCTION("""COMPUTED_VALUE"""),"PUROK 1")</f>
        <v>PUROK 1</v>
      </c>
      <c r="N1574" s="1"/>
      <c r="O1574" s="1" t="str">
        <f>IFERROR(__xludf.DUMMYFUNCTION("""COMPUTED_VALUE"""),"KALUBKOB")</f>
        <v>KALUBKOB</v>
      </c>
      <c r="P1574" s="1" t="str">
        <f>IFERROR(__xludf.DUMMYFUNCTION("""COMPUTED_VALUE"""),"SILANG")</f>
        <v>SILANG</v>
      </c>
      <c r="Q1574" s="1" t="str">
        <f>IFERROR(__xludf.DUMMYFUNCTION("""COMPUTED_VALUE"""),"CAVITE")</f>
        <v>CAVITE</v>
      </c>
      <c r="R1574" s="1" t="str">
        <f>IFERROR(__xludf.DUMMYFUNCTION("""COMPUTED_VALUE"""),"FIBR NETFLIX PLAN 1599")</f>
        <v>FIBR NETFLIX PLAN 1599</v>
      </c>
      <c r="S1574" s="1" t="str">
        <f>IFERROR(__xludf.DUMMYFUNCTION("""COMPUTED_VALUE"""),"APPROVED")</f>
        <v>APPROVED</v>
      </c>
      <c r="T1574" s="1" t="str">
        <f>IFERROR(__xludf.DUMMYFUNCTION("""COMPUTED_VALUE"""),"CLOSED")</f>
        <v>CLOSED</v>
      </c>
      <c r="U1574" s="1" t="str">
        <f>IFERROR(__xludf.DUMMYFUNCTION("""COMPUTED_VALUE"""),"POSTED")</f>
        <v>POSTED</v>
      </c>
      <c r="V1574" s="1"/>
      <c r="W1574" s="1"/>
    </row>
    <row r="1575" customHeight="1" spans="1:23">
      <c r="A1575" s="3">
        <f>IFERROR(__xludf.DUMMYFUNCTION("""COMPUTED_VALUE"""),46151)</f>
        <v>46151</v>
      </c>
      <c r="B1575" s="1" t="str">
        <f>IFERROR(__xludf.DUMMYFUNCTION("""COMPUTED_VALUE"""),"DE VERA, MARIVIC")</f>
        <v>DE VERA, MARIVIC</v>
      </c>
      <c r="C1575" s="1" t="str">
        <f>IFERROR(__xludf.DUMMYFUNCTION("""COMPUTED_VALUE"""),"ORGANIC")</f>
        <v>ORGANIC</v>
      </c>
      <c r="D1575" s="1" t="str">
        <f>IFERROR(__xludf.DUMMYFUNCTION("""COMPUTED_VALUE"""),"REMOLLO LEA")</f>
        <v>REMOLLO LEA</v>
      </c>
      <c r="E1575" s="1" t="str">
        <f>IFERROR(__xludf.DUMMYFUNCTION("""COMPUTED_VALUE"""),"RED FIBER")</f>
        <v>RED FIBER</v>
      </c>
      <c r="F1575" s="1"/>
      <c r="G1575" s="1"/>
      <c r="H1575" s="1" t="str">
        <f>IFERROR(__xludf.DUMMYFUNCTION("""COMPUTED_VALUE"""),"IAN PEREY DOMINGUEZ")</f>
        <v>IAN PEREY DOMINGUEZ</v>
      </c>
      <c r="I1575" s="1">
        <f>IFERROR(__xludf.DUMMYFUNCTION("""COMPUTED_VALUE"""),9641903685)</f>
        <v>9641903685</v>
      </c>
      <c r="J1575" s="1"/>
      <c r="K1575" s="1" t="str">
        <f>IFERROR(__xludf.DUMMYFUNCTION("""COMPUTED_VALUE"""),"IANDOMINGUEZ249@GMAIL.COM")</f>
        <v>IANDOMINGUEZ249@GMAIL.COM</v>
      </c>
      <c r="L1575" s="1" t="str">
        <f>IFERROR(__xludf.DUMMYFUNCTION("""COMPUTED_VALUE"""),"49")</f>
        <v>49</v>
      </c>
      <c r="M1575" s="1" t="str">
        <f>IFERROR(__xludf.DUMMYFUNCTION("""COMPUTED_VALUE"""),"PEREY")</f>
        <v>PEREY</v>
      </c>
      <c r="N1575" s="1"/>
      <c r="O1575" s="1" t="str">
        <f>IFERROR(__xludf.DUMMYFUNCTION("""COMPUTED_VALUE"""),"UPLI")</f>
        <v>UPLI</v>
      </c>
      <c r="P1575" s="1" t="str">
        <f>IFERROR(__xludf.DUMMYFUNCTION("""COMPUTED_VALUE"""),"MENDEZ")</f>
        <v>MENDEZ</v>
      </c>
      <c r="Q1575" s="1" t="str">
        <f>IFERROR(__xludf.DUMMYFUNCTION("""COMPUTED_VALUE"""),"CAVITE")</f>
        <v>CAVITE</v>
      </c>
      <c r="R1575" s="1" t="str">
        <f>IFERROR(__xludf.DUMMYFUNCTION("""COMPUTED_VALUE"""),"RED PLAN 1400")</f>
        <v>RED PLAN 1400</v>
      </c>
      <c r="S1575" s="1" t="str">
        <f>IFERROR(__xludf.DUMMYFUNCTION("""COMPUTED_VALUE"""),"APPROVED")</f>
        <v>APPROVED</v>
      </c>
      <c r="T1575" s="1" t="str">
        <f>IFERROR(__xludf.DUMMYFUNCTION("""COMPUTED_VALUE"""),"CLOSED")</f>
        <v>CLOSED</v>
      </c>
      <c r="U1575" s="1" t="str">
        <f>IFERROR(__xludf.DUMMYFUNCTION("""COMPUTED_VALUE"""),"POSTED")</f>
        <v>POSTED</v>
      </c>
      <c r="V1575" s="1"/>
      <c r="W1575" s="1"/>
    </row>
    <row r="1576" customHeight="1" spans="1:23">
      <c r="A1576" s="3">
        <f>IFERROR(__xludf.DUMMYFUNCTION("""COMPUTED_VALUE"""),46151)</f>
        <v>46151</v>
      </c>
      <c r="B1576" s="1" t="str">
        <f>IFERROR(__xludf.DUMMYFUNCTION("""COMPUTED_VALUE"""),"ODY , CLARENCE")</f>
        <v>ODY , CLARENCE</v>
      </c>
      <c r="C1576" s="1" t="str">
        <f>IFERROR(__xludf.DUMMYFUNCTION("""COMPUTED_VALUE"""),"ORGANIC")</f>
        <v>ORGANIC</v>
      </c>
      <c r="D1576" s="1" t="str">
        <f>IFERROR(__xludf.DUMMYFUNCTION("""COMPUTED_VALUE"""),"ALOS, CHARLS")</f>
        <v>ALOS, CHARLS</v>
      </c>
      <c r="E1576" s="1" t="str">
        <f>IFERROR(__xludf.DUMMYFUNCTION("""COMPUTED_VALUE"""),"PLDT / ONLINE")</f>
        <v>PLDT / ONLINE</v>
      </c>
      <c r="F1576" s="1">
        <f>IFERROR(__xludf.DUMMYFUNCTION("""COMPUTED_VALUE"""),2309407065)</f>
        <v>2309407065</v>
      </c>
      <c r="G1576" s="1"/>
      <c r="H1576" s="1" t="str">
        <f>IFERROR(__xludf.DUMMYFUNCTION("""COMPUTED_VALUE"""),"NOEL VILLANUEVA CINCO")</f>
        <v>NOEL VILLANUEVA CINCO</v>
      </c>
      <c r="I1576" s="1">
        <f>IFERROR(__xludf.DUMMYFUNCTION("""COMPUTED_VALUE"""),9265364753)</f>
        <v>9265364753</v>
      </c>
      <c r="J1576" s="1"/>
      <c r="K1576" s="1" t="str">
        <f>IFERROR(__xludf.DUMMYFUNCTION("""COMPUTED_VALUE"""),"CNOOL4565@GMAIL.COM")</f>
        <v>CNOOL4565@GMAIL.COM</v>
      </c>
      <c r="L1576" s="1" t="str">
        <f>IFERROR(__xludf.DUMMYFUNCTION("""COMPUTED_VALUE"""),"BLK 116 LOT 13")</f>
        <v>BLK 116 LOT 13</v>
      </c>
      <c r="M1576" s="1" t="str">
        <f>IFERROR(__xludf.DUMMYFUNCTION("""COMPUTED_VALUE"""),"PHASE 3")</f>
        <v>PHASE 3</v>
      </c>
      <c r="N1576" s="1"/>
      <c r="O1576" s="1" t="str">
        <f>IFERROR(__xludf.DUMMYFUNCTION("""COMPUTED_VALUE"""),"PALIPARAN III")</f>
        <v>PALIPARAN III</v>
      </c>
      <c r="P1576" s="1" t="str">
        <f>IFERROR(__xludf.DUMMYFUNCTION("""COMPUTED_VALUE"""),"DASMARINAS")</f>
        <v>DASMARINAS</v>
      </c>
      <c r="Q1576" s="1" t="str">
        <f>IFERROR(__xludf.DUMMYFUNCTION("""COMPUTED_VALUE"""),"CAVITE")</f>
        <v>CAVITE</v>
      </c>
      <c r="R1576" s="1" t="str">
        <f>IFERROR(__xludf.DUMMYFUNCTION("""COMPUTED_VALUE"""),"FIBR UNLI ALL PLAN 999")</f>
        <v>FIBR UNLI ALL PLAN 999</v>
      </c>
      <c r="S1576" s="1" t="str">
        <f>IFERROR(__xludf.DUMMYFUNCTION("""COMPUTED_VALUE"""),"APPROVED")</f>
        <v>APPROVED</v>
      </c>
      <c r="T1576" s="1" t="str">
        <f>IFERROR(__xludf.DUMMYFUNCTION("""COMPUTED_VALUE"""),"CANCELLED")</f>
        <v>CANCELLED</v>
      </c>
      <c r="U1576" s="1"/>
      <c r="V1576" s="1"/>
      <c r="W1576" s="1"/>
    </row>
    <row r="1577" customHeight="1" spans="1:23">
      <c r="A1577" s="3">
        <f>IFERROR(__xludf.DUMMYFUNCTION("""COMPUTED_VALUE"""),46151)</f>
        <v>46151</v>
      </c>
      <c r="B1577" s="1" t="str">
        <f>IFERROR(__xludf.DUMMYFUNCTION("""COMPUTED_VALUE"""),"GABAY, MANUEL")</f>
        <v>GABAY, MANUEL</v>
      </c>
      <c r="C1577" s="1" t="str">
        <f>IFERROR(__xludf.DUMMYFUNCTION("""COMPUTED_VALUE"""),"FLA")</f>
        <v>FLA</v>
      </c>
      <c r="D1577" s="1" t="str">
        <f>IFERROR(__xludf.DUMMYFUNCTION("""COMPUTED_VALUE"""),"JERIC NAVARRO")</f>
        <v>JERIC NAVARRO</v>
      </c>
      <c r="E1577" s="1" t="str">
        <f>IFERROR(__xludf.DUMMYFUNCTION("""COMPUTED_VALUE"""),"PLDT / H2H")</f>
        <v>PLDT / H2H</v>
      </c>
      <c r="F1577" s="1">
        <f>IFERROR(__xludf.DUMMYFUNCTION("""COMPUTED_VALUE"""),2309407641)</f>
        <v>2309407641</v>
      </c>
      <c r="G1577" s="1">
        <f>IFERROR(__xludf.DUMMYFUNCTION("""COMPUTED_VALUE"""),453975988004)</f>
        <v>453975988004</v>
      </c>
      <c r="H1577" s="1" t="str">
        <f>IFERROR(__xludf.DUMMYFUNCTION("""COMPUTED_VALUE"""),"JOHN TIMOTHY BALANI DIANA")</f>
        <v>JOHN TIMOTHY BALANI DIANA</v>
      </c>
      <c r="I1577" s="1">
        <f>IFERROR(__xludf.DUMMYFUNCTION("""COMPUTED_VALUE"""),9357478983)</f>
        <v>9357478983</v>
      </c>
      <c r="J1577" s="1"/>
      <c r="K1577" s="1" t="str">
        <f>IFERROR(__xludf.DUMMYFUNCTION("""COMPUTED_VALUE"""),"JOHNDIANA070493@GMAIL.COM")</f>
        <v>JOHNDIANA070493@GMAIL.COM</v>
      </c>
      <c r="L1577" s="1" t="str">
        <f>IFERROR(__xludf.DUMMYFUNCTION("""COMPUTED_VALUE"""),"32")</f>
        <v>32</v>
      </c>
      <c r="M1577" s="1" t="str">
        <f>IFERROR(__xludf.DUMMYFUNCTION("""COMPUTED_VALUE"""),"ZAMORA")</f>
        <v>ZAMORA</v>
      </c>
      <c r="N1577" s="1"/>
      <c r="O1577" s="1" t="str">
        <f>IFERROR(__xludf.DUMMYFUNCTION("""COMPUTED_VALUE"""),"ASIS I")</f>
        <v>ASIS I</v>
      </c>
      <c r="P1577" s="1" t="str">
        <f>IFERROR(__xludf.DUMMYFUNCTION("""COMPUTED_VALUE"""),"MENDEZ")</f>
        <v>MENDEZ</v>
      </c>
      <c r="Q1577" s="1" t="str">
        <f>IFERROR(__xludf.DUMMYFUNCTION("""COMPUTED_VALUE"""),"CAVITE")</f>
        <v>CAVITE</v>
      </c>
      <c r="R1577" s="1" t="str">
        <f>IFERROR(__xludf.DUMMYFUNCTION("""COMPUTED_VALUE"""),"FIBR UNLI ALL PLAN 1399")</f>
        <v>FIBR UNLI ALL PLAN 1399</v>
      </c>
      <c r="S1577" s="1" t="str">
        <f>IFERROR(__xludf.DUMMYFUNCTION("""COMPUTED_VALUE"""),"APPROVED")</f>
        <v>APPROVED</v>
      </c>
      <c r="T1577" s="1" t="str">
        <f>IFERROR(__xludf.DUMMYFUNCTION("""COMPUTED_VALUE"""),"CLOSED")</f>
        <v>CLOSED</v>
      </c>
      <c r="U1577" s="1" t="str">
        <f>IFERROR(__xludf.DUMMYFUNCTION("""COMPUTED_VALUE"""),"POSTED")</f>
        <v>POSTED</v>
      </c>
      <c r="V1577" s="1"/>
      <c r="W1577" s="1"/>
    </row>
    <row r="1578" customHeight="1" spans="1:23">
      <c r="A1578" s="3">
        <f>IFERROR(__xludf.DUMMYFUNCTION("""COMPUTED_VALUE"""),46151)</f>
        <v>46151</v>
      </c>
      <c r="B1578" s="1" t="str">
        <f>IFERROR(__xludf.DUMMYFUNCTION("""COMPUTED_VALUE"""),"DACALCAP RUBEN")</f>
        <v>DACALCAP RUBEN</v>
      </c>
      <c r="C1578" s="1" t="str">
        <f>IFERROR(__xludf.DUMMYFUNCTION("""COMPUTED_VALUE"""),"FLA")</f>
        <v>FLA</v>
      </c>
      <c r="D1578" s="1" t="str">
        <f>IFERROR(__xludf.DUMMYFUNCTION("""COMPUTED_VALUE"""),"JERIC NAVARRO")</f>
        <v>JERIC NAVARRO</v>
      </c>
      <c r="E1578" s="1" t="str">
        <f>IFERROR(__xludf.DUMMYFUNCTION("""COMPUTED_VALUE"""),"PLDT / ONLINE")</f>
        <v>PLDT / ONLINE</v>
      </c>
      <c r="F1578" s="1">
        <f>IFERROR(__xludf.DUMMYFUNCTION("""COMPUTED_VALUE"""),2309408096)</f>
        <v>2309408096</v>
      </c>
      <c r="G1578" s="1">
        <f>IFERROR(__xludf.DUMMYFUNCTION("""COMPUTED_VALUE"""),453980904004)</f>
        <v>453980904004</v>
      </c>
      <c r="H1578" s="1" t="str">
        <f>IFERROR(__xludf.DUMMYFUNCTION("""COMPUTED_VALUE"""),"JEWEL SHENNETH ALGOSO")</f>
        <v>JEWEL SHENNETH ALGOSO</v>
      </c>
      <c r="I1578" s="1">
        <f>IFERROR(__xludf.DUMMYFUNCTION("""COMPUTED_VALUE"""),9752457661)</f>
        <v>9752457661</v>
      </c>
      <c r="J1578" s="1">
        <f>IFERROR(__xludf.DUMMYFUNCTION("""COMPUTED_VALUE"""),9279481455)</f>
        <v>9279481455</v>
      </c>
      <c r="K1578" s="1" t="str">
        <f>IFERROR(__xludf.DUMMYFUNCTION("""COMPUTED_VALUE"""),"SHENNETHALGOSO@GMAIL.COM")</f>
        <v>SHENNETHALGOSO@GMAIL.COM</v>
      </c>
      <c r="L1578" s="1" t="str">
        <f>IFERROR(__xludf.DUMMYFUNCTION("""COMPUTED_VALUE"""),"BLK 193 LOT 50")</f>
        <v>BLK 193 LOT 50</v>
      </c>
      <c r="M1578" s="1" t="str">
        <f>IFERROR(__xludf.DUMMYFUNCTION("""COMPUTED_VALUE"""),"DYNAMISM")</f>
        <v>DYNAMISM</v>
      </c>
      <c r="N1578" s="1" t="str">
        <f>IFERROR(__xludf.DUMMYFUNCTION("""COMPUTED_VALUE"""),"PASINAYAWEST")</f>
        <v>PASINAYAWEST</v>
      </c>
      <c r="O1578" s="1" t="str">
        <f>IFERROR(__xludf.DUMMYFUNCTION("""COMPUTED_VALUE"""),"SABANG")</f>
        <v>SABANG</v>
      </c>
      <c r="P1578" s="1" t="str">
        <f>IFERROR(__xludf.DUMMYFUNCTION("""COMPUTED_VALUE"""),"NAIC")</f>
        <v>NAIC</v>
      </c>
      <c r="Q1578" s="1" t="str">
        <f>IFERROR(__xludf.DUMMYFUNCTION("""COMPUTED_VALUE"""),"CAVITE")</f>
        <v>CAVITE</v>
      </c>
      <c r="R1578" s="1" t="str">
        <f>IFERROR(__xludf.DUMMYFUNCTION("""COMPUTED_VALUE"""),"FIBR UNLI ALL PLAN 1399")</f>
        <v>FIBR UNLI ALL PLAN 1399</v>
      </c>
      <c r="S1578" s="1" t="str">
        <f>IFERROR(__xludf.DUMMYFUNCTION("""COMPUTED_VALUE"""),"APPROVED")</f>
        <v>APPROVED</v>
      </c>
      <c r="T1578" s="1" t="str">
        <f>IFERROR(__xludf.DUMMYFUNCTION("""COMPUTED_VALUE"""),"RPR")</f>
        <v>RPR</v>
      </c>
      <c r="U1578" s="1"/>
      <c r="V1578" s="1"/>
      <c r="W1578" s="1"/>
    </row>
    <row r="1579" customHeight="1" spans="1:23">
      <c r="A1579" s="3">
        <f>IFERROR(__xludf.DUMMYFUNCTION("""COMPUTED_VALUE"""),46151)</f>
        <v>46151</v>
      </c>
      <c r="B1579" s="1" t="str">
        <f>IFERROR(__xludf.DUMMYFUNCTION("""COMPUTED_VALUE"""),"DACALCAP RUBEN")</f>
        <v>DACALCAP RUBEN</v>
      </c>
      <c r="C1579" s="1" t="str">
        <f>IFERROR(__xludf.DUMMYFUNCTION("""COMPUTED_VALUE"""),"FLA")</f>
        <v>FLA</v>
      </c>
      <c r="D1579" s="1" t="str">
        <f>IFERROR(__xludf.DUMMYFUNCTION("""COMPUTED_VALUE"""),"JERIC NAVARRO")</f>
        <v>JERIC NAVARRO</v>
      </c>
      <c r="E1579" s="1" t="str">
        <f>IFERROR(__xludf.DUMMYFUNCTION("""COMPUTED_VALUE"""),"PLDT / H2H")</f>
        <v>PLDT / H2H</v>
      </c>
      <c r="F1579" s="1">
        <f>IFERROR(__xludf.DUMMYFUNCTION("""COMPUTED_VALUE"""),2309408143)</f>
        <v>2309408143</v>
      </c>
      <c r="G1579" s="1">
        <f>IFERROR(__xludf.DUMMYFUNCTION("""COMPUTED_VALUE"""),453980607004)</f>
        <v>453980607004</v>
      </c>
      <c r="H1579" s="1" t="str">
        <f>IFERROR(__xludf.DUMMYFUNCTION("""COMPUTED_VALUE"""),"DARWIN HACOTINA YAMOT")</f>
        <v>DARWIN HACOTINA YAMOT</v>
      </c>
      <c r="I1579" s="1">
        <f>IFERROR(__xludf.DUMMYFUNCTION("""COMPUTED_VALUE"""),9159413296)</f>
        <v>9159413296</v>
      </c>
      <c r="J1579" s="1">
        <f>IFERROR(__xludf.DUMMYFUNCTION("""COMPUTED_VALUE"""),9319651271)</f>
        <v>9319651271</v>
      </c>
      <c r="K1579" s="1" t="str">
        <f>IFERROR(__xludf.DUMMYFUNCTION("""COMPUTED_VALUE"""),"ANJENETHPERANTECAGNAAN@GMAIL.COM")</f>
        <v>ANJENETHPERANTECAGNAAN@GMAIL.COM</v>
      </c>
      <c r="L1579" s="1" t="str">
        <f>IFERROR(__xludf.DUMMYFUNCTION("""COMPUTED_VALUE"""),"9149")</f>
        <v>9149</v>
      </c>
      <c r="M1579" s="1" t="str">
        <f>IFERROR(__xludf.DUMMYFUNCTION("""COMPUTED_VALUE"""),"SITIO LUNGON")</f>
        <v>SITIO LUNGON</v>
      </c>
      <c r="N1579" s="1"/>
      <c r="O1579" s="1" t="str">
        <f>IFERROR(__xludf.DUMMYFUNCTION("""COMPUTED_VALUE"""),"SAN MIGUEL II")</f>
        <v>SAN MIGUEL II</v>
      </c>
      <c r="P1579" s="1" t="str">
        <f>IFERROR(__xludf.DUMMYFUNCTION("""COMPUTED_VALUE"""),"SILANG")</f>
        <v>SILANG</v>
      </c>
      <c r="Q1579" s="1" t="str">
        <f>IFERROR(__xludf.DUMMYFUNCTION("""COMPUTED_VALUE"""),"CAVITE")</f>
        <v>CAVITE</v>
      </c>
      <c r="R1579" s="1" t="str">
        <f>IFERROR(__xludf.DUMMYFUNCTION("""COMPUTED_VALUE"""),"FIBR UNLI ALL PLAN 1399")</f>
        <v>FIBR UNLI ALL PLAN 1399</v>
      </c>
      <c r="S1579" s="1" t="str">
        <f>IFERROR(__xludf.DUMMYFUNCTION("""COMPUTED_VALUE"""),"APPROVED")</f>
        <v>APPROVED</v>
      </c>
      <c r="T1579" s="1" t="str">
        <f>IFERROR(__xludf.DUMMYFUNCTION("""COMPUTED_VALUE"""),"CLOSED")</f>
        <v>CLOSED</v>
      </c>
      <c r="U1579" s="1" t="str">
        <f>IFERROR(__xludf.DUMMYFUNCTION("""COMPUTED_VALUE"""),"POSTED")</f>
        <v>POSTED</v>
      </c>
      <c r="V1579" s="1"/>
      <c r="W1579" s="1"/>
    </row>
    <row r="1580" customHeight="1" spans="1:23">
      <c r="A1580" s="3">
        <f>IFERROR(__xludf.DUMMYFUNCTION("""COMPUTED_VALUE"""),46151)</f>
        <v>46151</v>
      </c>
      <c r="B1580" s="1" t="str">
        <f>IFERROR(__xludf.DUMMYFUNCTION("""COMPUTED_VALUE"""),"ADVINCULA, NICOLE")</f>
        <v>ADVINCULA, NICOLE</v>
      </c>
      <c r="C1580" s="1" t="str">
        <f>IFERROR(__xludf.DUMMYFUNCTION("""COMPUTED_VALUE"""),"ORGANIC")</f>
        <v>ORGANIC</v>
      </c>
      <c r="D1580" s="1" t="str">
        <f>IFERROR(__xludf.DUMMYFUNCTION("""COMPUTED_VALUE"""),"ALINGARO, CINDY")</f>
        <v>ALINGARO, CINDY</v>
      </c>
      <c r="E1580" s="1" t="str">
        <f>IFERROR(__xludf.DUMMYFUNCTION("""COMPUTED_VALUE"""),"PLDT / H2H")</f>
        <v>PLDT / H2H</v>
      </c>
      <c r="F1580" s="1">
        <f>IFERROR(__xludf.DUMMYFUNCTION("""COMPUTED_VALUE"""),2309408438)</f>
        <v>2309408438</v>
      </c>
      <c r="G1580" s="1">
        <f>IFERROR(__xludf.DUMMYFUNCTION("""COMPUTED_VALUE"""),453977116004)</f>
        <v>453977116004</v>
      </c>
      <c r="H1580" s="1" t="str">
        <f>IFERROR(__xludf.DUMMYFUNCTION("""COMPUTED_VALUE"""),"RHIAN KEM LEONCIO REABDULLA0")</f>
        <v>RHIAN KEM LEONCIO REABDULLA0</v>
      </c>
      <c r="I1580" s="1">
        <f>IFERROR(__xludf.DUMMYFUNCTION("""COMPUTED_VALUE"""),9064028053)</f>
        <v>9064028053</v>
      </c>
      <c r="J1580" s="1">
        <f>IFERROR(__xludf.DUMMYFUNCTION("""COMPUTED_VALUE"""),9064028053)</f>
        <v>9064028053</v>
      </c>
      <c r="K1580" s="1" t="str">
        <f>IFERROR(__xludf.DUMMYFUNCTION("""COMPUTED_VALUE"""),"REBULLARHIANKIM@GMAIL.COM")</f>
        <v>REBULLARHIANKIM@GMAIL.COM</v>
      </c>
      <c r="L1580" s="1" t="str">
        <f>IFERROR(__xludf.DUMMYFUNCTION("""COMPUTED_VALUE"""),"BLK 65 LOT 6")</f>
        <v>BLK 65 LOT 6</v>
      </c>
      <c r="M1580" s="1" t="str">
        <f>IFERROR(__xludf.DUMMYFUNCTION("""COMPUTED_VALUE"""),"IPIL")</f>
        <v>IPIL</v>
      </c>
      <c r="N1580" s="1"/>
      <c r="O1580" s="1" t="str">
        <f>IFERROR(__xludf.DUMMYFUNCTION("""COMPUTED_VALUE"""),"IPIL I")</f>
        <v>IPIL I</v>
      </c>
      <c r="P1580" s="1" t="str">
        <f>IFERROR(__xludf.DUMMYFUNCTION("""COMPUTED_VALUE"""),"SILANG")</f>
        <v>SILANG</v>
      </c>
      <c r="Q1580" s="1" t="str">
        <f>IFERROR(__xludf.DUMMYFUNCTION("""COMPUTED_VALUE"""),"CAVITE")</f>
        <v>CAVITE</v>
      </c>
      <c r="R1580" s="1" t="str">
        <f>IFERROR(__xludf.DUMMYFUNCTION("""COMPUTED_VALUE"""),"FIBR UNLI ALL PLAN 1399")</f>
        <v>FIBR UNLI ALL PLAN 1399</v>
      </c>
      <c r="S1580" s="1" t="str">
        <f>IFERROR(__xludf.DUMMYFUNCTION("""COMPUTED_VALUE"""),"APPROVED")</f>
        <v>APPROVED</v>
      </c>
      <c r="T1580" s="1" t="str">
        <f>IFERROR(__xludf.DUMMYFUNCTION("""COMPUTED_VALUE"""),"CLOSED")</f>
        <v>CLOSED</v>
      </c>
      <c r="U1580" s="1" t="str">
        <f>IFERROR(__xludf.DUMMYFUNCTION("""COMPUTED_VALUE"""),"POSTED")</f>
        <v>POSTED</v>
      </c>
      <c r="V1580" s="1"/>
      <c r="W1580" s="1"/>
    </row>
    <row r="1581" customHeight="1" spans="1:23">
      <c r="A1581" s="3">
        <f>IFERROR(__xludf.DUMMYFUNCTION("""COMPUTED_VALUE"""),46151)</f>
        <v>46151</v>
      </c>
      <c r="B1581" s="1" t="str">
        <f>IFERROR(__xludf.DUMMYFUNCTION("""COMPUTED_VALUE"""),"MAGDARAOG, KENNETH")</f>
        <v>MAGDARAOG, KENNETH</v>
      </c>
      <c r="C1581" s="1" t="str">
        <f>IFERROR(__xludf.DUMMYFUNCTION("""COMPUTED_VALUE"""),"ORGANIC")</f>
        <v>ORGANIC</v>
      </c>
      <c r="D1581" s="1" t="str">
        <f>IFERROR(__xludf.DUMMYFUNCTION("""COMPUTED_VALUE"""),"ALINGARO, CINDY")</f>
        <v>ALINGARO, CINDY</v>
      </c>
      <c r="E1581" s="1" t="str">
        <f>IFERROR(__xludf.DUMMYFUNCTION("""COMPUTED_VALUE"""),"PLDT / H2H")</f>
        <v>PLDT / H2H</v>
      </c>
      <c r="F1581" s="1">
        <f>IFERROR(__xludf.DUMMYFUNCTION("""COMPUTED_VALUE"""),2309408851)</f>
        <v>2309408851</v>
      </c>
      <c r="G1581" s="1">
        <f>IFERROR(__xludf.DUMMYFUNCTION("""COMPUTED_VALUE"""),453978510004)</f>
        <v>453978510004</v>
      </c>
      <c r="H1581" s="1" t="str">
        <f>IFERROR(__xludf.DUMMYFUNCTION("""COMPUTED_VALUE"""),"PAULA SHANE ARMINGTON NAMOCALE")</f>
        <v>PAULA SHANE ARMINGTON NAMOCALE</v>
      </c>
      <c r="I1581" s="1">
        <f>IFERROR(__xludf.DUMMYFUNCTION("""COMPUTED_VALUE"""),9661965838)</f>
        <v>9661965838</v>
      </c>
      <c r="J1581" s="1">
        <f>IFERROR(__xludf.DUMMYFUNCTION("""COMPUTED_VALUE"""),9562393528)</f>
        <v>9562393528</v>
      </c>
      <c r="K1581" s="1" t="str">
        <f>IFERROR(__xludf.DUMMYFUNCTION("""COMPUTED_VALUE"""),"PAULANAMOCALE0722@GMAIL.COM")</f>
        <v>PAULANAMOCALE0722@GMAIL.COM</v>
      </c>
      <c r="L1581" s="1" t="str">
        <f>IFERROR(__xludf.DUMMYFUNCTION("""COMPUTED_VALUE"""),"BLK 63 LOT 20")</f>
        <v>BLK 63 LOT 20</v>
      </c>
      <c r="M1581" s="1" t="str">
        <f>IFERROR(__xludf.DUMMYFUNCTION("""COMPUTED_VALUE"""),"IPIL")</f>
        <v>IPIL</v>
      </c>
      <c r="N1581" s="1"/>
      <c r="O1581" s="1" t="str">
        <f>IFERROR(__xludf.DUMMYFUNCTION("""COMPUTED_VALUE"""),"IPIL I")</f>
        <v>IPIL I</v>
      </c>
      <c r="P1581" s="1" t="str">
        <f>IFERROR(__xludf.DUMMYFUNCTION("""COMPUTED_VALUE"""),"SILANG")</f>
        <v>SILANG</v>
      </c>
      <c r="Q1581" s="1" t="str">
        <f>IFERROR(__xludf.DUMMYFUNCTION("""COMPUTED_VALUE"""),"CAVITE")</f>
        <v>CAVITE</v>
      </c>
      <c r="R1581" s="1" t="str">
        <f>IFERROR(__xludf.DUMMYFUNCTION("""COMPUTED_VALUE"""),"FIBR UNLI ALL PLAN 999")</f>
        <v>FIBR UNLI ALL PLAN 999</v>
      </c>
      <c r="S1581" s="1" t="str">
        <f>IFERROR(__xludf.DUMMYFUNCTION("""COMPUTED_VALUE"""),"APPROVED")</f>
        <v>APPROVED</v>
      </c>
      <c r="T1581" s="1" t="str">
        <f>IFERROR(__xludf.DUMMYFUNCTION("""COMPUTED_VALUE"""),"CLOSED")</f>
        <v>CLOSED</v>
      </c>
      <c r="U1581" s="1" t="str">
        <f>IFERROR(__xludf.DUMMYFUNCTION("""COMPUTED_VALUE"""),"POSTED")</f>
        <v>POSTED</v>
      </c>
      <c r="V1581" s="1"/>
      <c r="W1581" s="1"/>
    </row>
    <row r="1582" customHeight="1" spans="1:23">
      <c r="A1582" s="3">
        <f>IFERROR(__xludf.DUMMYFUNCTION("""COMPUTED_VALUE"""),46152)</f>
        <v>46152</v>
      </c>
      <c r="B1582" s="1" t="str">
        <f>IFERROR(__xludf.DUMMYFUNCTION("""COMPUTED_VALUE"""),"DELA ROSA, JENNELYN")</f>
        <v>DELA ROSA, JENNELYN</v>
      </c>
      <c r="C1582" s="1" t="str">
        <f>IFERROR(__xludf.DUMMYFUNCTION("""COMPUTED_VALUE"""),"ORGANIC")</f>
        <v>ORGANIC</v>
      </c>
      <c r="D1582" s="1" t="str">
        <f>IFERROR(__xludf.DUMMYFUNCTION("""COMPUTED_VALUE"""),"ALOS, CHARLS")</f>
        <v>ALOS, CHARLS</v>
      </c>
      <c r="E1582" s="1" t="str">
        <f>IFERROR(__xludf.DUMMYFUNCTION("""COMPUTED_VALUE"""),"PLDT / ONLINE")</f>
        <v>PLDT / ONLINE</v>
      </c>
      <c r="F1582" s="1"/>
      <c r="G1582" s="1"/>
      <c r="H1582" s="1" t="str">
        <f>IFERROR(__xludf.DUMMYFUNCTION("""COMPUTED_VALUE"""),"ALVIN ALFONSO")</f>
        <v>ALVIN ALFONSO</v>
      </c>
      <c r="I1582" s="1">
        <f>IFERROR(__xludf.DUMMYFUNCTION("""COMPUTED_VALUE"""),9512830760)</f>
        <v>9512830760</v>
      </c>
      <c r="J1582" s="1">
        <f>IFERROR(__xludf.DUMMYFUNCTION("""COMPUTED_VALUE"""),9565773801)</f>
        <v>9565773801</v>
      </c>
      <c r="K1582" s="1" t="str">
        <f>IFERROR(__xludf.DUMMYFUNCTION("""COMPUTED_VALUE"""),"JHONMARPARTIBLE@GMAIL.COM")</f>
        <v>JHONMARPARTIBLE@GMAIL.COM</v>
      </c>
      <c r="L1582" s="1" t="str">
        <f>IFERROR(__xludf.DUMMYFUNCTION("""COMPUTED_VALUE"""),"BLK 143 LOT 22")</f>
        <v>BLK 143 LOT 22</v>
      </c>
      <c r="M1582" s="1" t="str">
        <f>IFERROR(__xludf.DUMMYFUNCTION("""COMPUTED_VALUE"""),"PHASE 3")</f>
        <v>PHASE 3</v>
      </c>
      <c r="N1582" s="1"/>
      <c r="O1582" s="1" t="str">
        <f>IFERROR(__xludf.DUMMYFUNCTION("""COMPUTED_VALUE"""),"PALIPARAN III")</f>
        <v>PALIPARAN III</v>
      </c>
      <c r="P1582" s="1" t="str">
        <f>IFERROR(__xludf.DUMMYFUNCTION("""COMPUTED_VALUE"""),"DASMARINAS")</f>
        <v>DASMARINAS</v>
      </c>
      <c r="Q1582" s="1" t="str">
        <f>IFERROR(__xludf.DUMMYFUNCTION("""COMPUTED_VALUE"""),"CAVITE")</f>
        <v>CAVITE</v>
      </c>
      <c r="R1582" s="1" t="str">
        <f>IFERROR(__xludf.DUMMYFUNCTION("""COMPUTED_VALUE"""),"FIBR PLAN 1299")</f>
        <v>FIBR PLAN 1299</v>
      </c>
      <c r="S1582" s="1" t="str">
        <f>IFERROR(__xludf.DUMMYFUNCTION("""COMPUTED_VALUE"""),"CANCELLED ")</f>
        <v>CANCELLED </v>
      </c>
      <c r="T1582" s="1" t="str">
        <f>IFERROR(__xludf.DUMMYFUNCTION("""COMPUTED_VALUE"""),"#N/A")</f>
        <v>#N/A</v>
      </c>
      <c r="U1582" s="1"/>
      <c r="V1582" s="1"/>
      <c r="W1582" s="1"/>
    </row>
    <row r="1583" customHeight="1" spans="1:23">
      <c r="A1583" s="3">
        <f>IFERROR(__xludf.DUMMYFUNCTION("""COMPUTED_VALUE"""),46152)</f>
        <v>46152</v>
      </c>
      <c r="B1583" s="1" t="str">
        <f>IFERROR(__xludf.DUMMYFUNCTION("""COMPUTED_VALUE"""),"FRANCISCO , ROSELYN")</f>
        <v>FRANCISCO , ROSELYN</v>
      </c>
      <c r="C1583" s="1" t="str">
        <f>IFERROR(__xludf.DUMMYFUNCTION("""COMPUTED_VALUE"""),"ORGANIC")</f>
        <v>ORGANIC</v>
      </c>
      <c r="D1583" s="1" t="str">
        <f>IFERROR(__xludf.DUMMYFUNCTION("""COMPUTED_VALUE"""),"ALOS, CHARLS")</f>
        <v>ALOS, CHARLS</v>
      </c>
      <c r="E1583" s="1" t="str">
        <f>IFERROR(__xludf.DUMMYFUNCTION("""COMPUTED_VALUE"""),"PLDT / H2H")</f>
        <v>PLDT / H2H</v>
      </c>
      <c r="F1583" s="1">
        <f>IFERROR(__xludf.DUMMYFUNCTION("""COMPUTED_VALUE"""),2309419103)</f>
        <v>2309419103</v>
      </c>
      <c r="G1583" s="1">
        <f>IFERROR(__xludf.DUMMYFUNCTION("""COMPUTED_VALUE"""),454078186004)</f>
        <v>454078186004</v>
      </c>
      <c r="H1583" s="1" t="str">
        <f>IFERROR(__xludf.DUMMYFUNCTION("""COMPUTED_VALUE"""),"CHRISTOPHER JOHN BACULANLAN MACLY")</f>
        <v>CHRISTOPHER JOHN BACULANLAN MACLY</v>
      </c>
      <c r="I1583" s="1">
        <f>IFERROR(__xludf.DUMMYFUNCTION("""COMPUTED_VALUE"""),9060210404)</f>
        <v>9060210404</v>
      </c>
      <c r="J1583" s="1"/>
      <c r="K1583" s="1" t="str">
        <f>IFERROR(__xludf.DUMMYFUNCTION("""COMPUTED_VALUE"""),"CHRISTOPHERMAVCLY@GMAIL.COM")</f>
        <v>CHRISTOPHERMAVCLY@GMAIL.COM</v>
      </c>
      <c r="L1583" s="1" t="str">
        <f>IFERROR(__xludf.DUMMYFUNCTION("""COMPUTED_VALUE"""),"BLK 45 LOT 2")</f>
        <v>BLK 45 LOT 2</v>
      </c>
      <c r="M1583" s="1" t="str">
        <f>IFERROR(__xludf.DUMMYFUNCTION("""COMPUTED_VALUE"""),"NARRA")</f>
        <v>NARRA</v>
      </c>
      <c r="N1583" s="1"/>
      <c r="O1583" s="1" t="str">
        <f>IFERROR(__xludf.DUMMYFUNCTION("""COMPUTED_VALUE"""),"NARRA III")</f>
        <v>NARRA III</v>
      </c>
      <c r="P1583" s="1" t="str">
        <f>IFERROR(__xludf.DUMMYFUNCTION("""COMPUTED_VALUE"""),"SILANG")</f>
        <v>SILANG</v>
      </c>
      <c r="Q1583" s="1" t="str">
        <f>IFERROR(__xludf.DUMMYFUNCTION("""COMPUTED_VALUE"""),"CAVITE")</f>
        <v>CAVITE</v>
      </c>
      <c r="R1583" s="1" t="str">
        <f>IFERROR(__xludf.DUMMYFUNCTION("""COMPUTED_VALUE"""),"FIBR UNLI ALL PLAN 999")</f>
        <v>FIBR UNLI ALL PLAN 999</v>
      </c>
      <c r="S1583" s="1" t="str">
        <f>IFERROR(__xludf.DUMMYFUNCTION("""COMPUTED_VALUE"""),"APPROVED")</f>
        <v>APPROVED</v>
      </c>
      <c r="T1583" s="1" t="str">
        <f>IFERROR(__xludf.DUMMYFUNCTION("""COMPUTED_VALUE"""),"CANCELLED")</f>
        <v>CANCELLED</v>
      </c>
      <c r="U1583" s="1"/>
      <c r="V1583" s="1"/>
      <c r="W1583" s="1"/>
    </row>
    <row r="1584" customHeight="1" spans="1:23">
      <c r="A1584" s="3">
        <f>IFERROR(__xludf.DUMMYFUNCTION("""COMPUTED_VALUE"""),46152)</f>
        <v>46152</v>
      </c>
      <c r="B1584" s="1" t="str">
        <f>IFERROR(__xludf.DUMMYFUNCTION("""COMPUTED_VALUE"""),"MAÑANITA, ERIKA")</f>
        <v>MAÑANITA, ERIKA</v>
      </c>
      <c r="C1584" s="1" t="str">
        <f>IFERROR(__xludf.DUMMYFUNCTION("""COMPUTED_VALUE"""),"ORGANIC")</f>
        <v>ORGANIC</v>
      </c>
      <c r="D1584" s="1" t="str">
        <f>IFERROR(__xludf.DUMMYFUNCTION("""COMPUTED_VALUE"""),"ALOS, CHARLS")</f>
        <v>ALOS, CHARLS</v>
      </c>
      <c r="E1584" s="1" t="str">
        <f>IFERROR(__xludf.DUMMYFUNCTION("""COMPUTED_VALUE"""),"PLDT / H2H")</f>
        <v>PLDT / H2H</v>
      </c>
      <c r="F1584" s="1">
        <f>IFERROR(__xludf.DUMMYFUNCTION("""COMPUTED_VALUE"""),2309419252)</f>
        <v>2309419252</v>
      </c>
      <c r="G1584" s="1">
        <f>IFERROR(__xludf.DUMMYFUNCTION("""COMPUTED_VALUE"""),454082091004)</f>
        <v>454082091004</v>
      </c>
      <c r="H1584" s="1" t="str">
        <f>IFERROR(__xludf.DUMMYFUNCTION("""COMPUTED_VALUE"""),"REYGIE LUMIBAO PARAS")</f>
        <v>REYGIE LUMIBAO PARAS</v>
      </c>
      <c r="I1584" s="1">
        <f>IFERROR(__xludf.DUMMYFUNCTION("""COMPUTED_VALUE"""),9508448204)</f>
        <v>9508448204</v>
      </c>
      <c r="J1584" s="1">
        <f>IFERROR(__xludf.DUMMYFUNCTION("""COMPUTED_VALUE"""),9508499008)</f>
        <v>9508499008</v>
      </c>
      <c r="K1584" s="1" t="str">
        <f>IFERROR(__xludf.DUMMYFUNCTION("""COMPUTED_VALUE"""),"GOROBAOCASANDRA9@GMAIL.COM")</f>
        <v>GOROBAOCASANDRA9@GMAIL.COM</v>
      </c>
      <c r="L1584" s="1" t="str">
        <f>IFERROR(__xludf.DUMMYFUNCTION("""COMPUTED_VALUE"""),"BLK 31 LOT 1")</f>
        <v>BLK 31 LOT 1</v>
      </c>
      <c r="M1584" s="1" t="str">
        <f>IFERROR(__xludf.DUMMYFUNCTION("""COMPUTED_VALUE"""),"PHASE 6")</f>
        <v>PHASE 6</v>
      </c>
      <c r="N1584" s="1"/>
      <c r="O1584" s="1" t="str">
        <f>IFERROR(__xludf.DUMMYFUNCTION("""COMPUTED_VALUE"""),"BANABA")</f>
        <v>BANABA</v>
      </c>
      <c r="P1584" s="1" t="str">
        <f>IFERROR(__xludf.DUMMYFUNCTION("""COMPUTED_VALUE"""),"SILANG")</f>
        <v>SILANG</v>
      </c>
      <c r="Q1584" s="1" t="str">
        <f>IFERROR(__xludf.DUMMYFUNCTION("""COMPUTED_VALUE"""),"CAVITE")</f>
        <v>CAVITE</v>
      </c>
      <c r="R1584" s="1" t="str">
        <f>IFERROR(__xludf.DUMMYFUNCTION("""COMPUTED_VALUE"""),"FIBR UNLI ALL PLAN 1399")</f>
        <v>FIBR UNLI ALL PLAN 1399</v>
      </c>
      <c r="S1584" s="1" t="str">
        <f>IFERROR(__xludf.DUMMYFUNCTION("""COMPUTED_VALUE"""),"APPROVED")</f>
        <v>APPROVED</v>
      </c>
      <c r="T1584" s="1" t="str">
        <f>IFERROR(__xludf.DUMMYFUNCTION("""COMPUTED_VALUE"""),"CLOSED")</f>
        <v>CLOSED</v>
      </c>
      <c r="U1584" s="1" t="str">
        <f>IFERROR(__xludf.DUMMYFUNCTION("""COMPUTED_VALUE"""),"POSTED")</f>
        <v>POSTED</v>
      </c>
      <c r="V1584" s="1"/>
      <c r="W1584" s="1"/>
    </row>
    <row r="1585" customHeight="1" spans="1:23">
      <c r="A1585" s="3">
        <f>IFERROR(__xludf.DUMMYFUNCTION("""COMPUTED_VALUE"""),46152)</f>
        <v>46152</v>
      </c>
      <c r="B1585" s="1" t="str">
        <f>IFERROR(__xludf.DUMMYFUNCTION("""COMPUTED_VALUE"""),"FARO, REFRANTA")</f>
        <v>FARO, REFRANTA</v>
      </c>
      <c r="C1585" s="1" t="str">
        <f>IFERROR(__xludf.DUMMYFUNCTION("""COMPUTED_VALUE"""),"ORGANIC")</f>
        <v>ORGANIC</v>
      </c>
      <c r="D1585" s="1" t="str">
        <f>IFERROR(__xludf.DUMMYFUNCTION("""COMPUTED_VALUE"""),"ALINGARO, CINDY")</f>
        <v>ALINGARO, CINDY</v>
      </c>
      <c r="E1585" s="1" t="str">
        <f>IFERROR(__xludf.DUMMYFUNCTION("""COMPUTED_VALUE"""),"PLDT / H2H")</f>
        <v>PLDT / H2H</v>
      </c>
      <c r="F1585" s="1">
        <f>IFERROR(__xludf.DUMMYFUNCTION("""COMPUTED_VALUE"""),2309419359)</f>
        <v>2309419359</v>
      </c>
      <c r="G1585" s="1">
        <f>IFERROR(__xludf.DUMMYFUNCTION("""COMPUTED_VALUE"""),454080712004)</f>
        <v>454080712004</v>
      </c>
      <c r="H1585" s="1" t="str">
        <f>IFERROR(__xludf.DUMMYFUNCTION("""COMPUTED_VALUE"""),"HENRY MARAMARA CORTEZ")</f>
        <v>HENRY MARAMARA CORTEZ</v>
      </c>
      <c r="I1585" s="1">
        <f>IFERROR(__xludf.DUMMYFUNCTION("""COMPUTED_VALUE"""),9095771816)</f>
        <v>9095771816</v>
      </c>
      <c r="J1585" s="1"/>
      <c r="K1585" s="1" t="str">
        <f>IFERROR(__xludf.DUMMYFUNCTION("""COMPUTED_VALUE"""),"CORTEZFARM@GMAIL.COM")</f>
        <v>CORTEZFARM@GMAIL.COM</v>
      </c>
      <c r="L1585" s="1" t="str">
        <f>IFERROR(__xludf.DUMMYFUNCTION("""COMPUTED_VALUE"""),"229")</f>
        <v>229</v>
      </c>
      <c r="M1585" s="1" t="str">
        <f>IFERROR(__xludf.DUMMYFUNCTION("""COMPUTED_VALUE"""),"PUROK 5")</f>
        <v>PUROK 5</v>
      </c>
      <c r="N1585" s="1"/>
      <c r="O1585" s="1" t="str">
        <f>IFERROR(__xludf.DUMMYFUNCTION("""COMPUTED_VALUE"""),"BATAS")</f>
        <v>BATAS</v>
      </c>
      <c r="P1585" s="1" t="str">
        <f>IFERROR(__xludf.DUMMYFUNCTION("""COMPUTED_VALUE"""),"SILANG")</f>
        <v>SILANG</v>
      </c>
      <c r="Q1585" s="1" t="str">
        <f>IFERROR(__xludf.DUMMYFUNCTION("""COMPUTED_VALUE"""),"CAVITE")</f>
        <v>CAVITE</v>
      </c>
      <c r="R1585" s="1" t="str">
        <f>IFERROR(__xludf.DUMMYFUNCTION("""COMPUTED_VALUE"""),"FIBR PLAN 1299")</f>
        <v>FIBR PLAN 1299</v>
      </c>
      <c r="S1585" s="1" t="str">
        <f>IFERROR(__xludf.DUMMYFUNCTION("""COMPUTED_VALUE"""),"APPROVED")</f>
        <v>APPROVED</v>
      </c>
      <c r="T1585" s="1" t="str">
        <f>IFERROR(__xludf.DUMMYFUNCTION("""COMPUTED_VALUE"""),"CLOSED")</f>
        <v>CLOSED</v>
      </c>
      <c r="U1585" s="1" t="str">
        <f>IFERROR(__xludf.DUMMYFUNCTION("""COMPUTED_VALUE"""),"POSTED")</f>
        <v>POSTED</v>
      </c>
      <c r="V1585" s="1"/>
      <c r="W1585" s="1"/>
    </row>
    <row r="1586" customHeight="1" spans="1:23">
      <c r="A1586" s="3">
        <f>IFERROR(__xludf.DUMMYFUNCTION("""COMPUTED_VALUE"""),46152)</f>
        <v>46152</v>
      </c>
      <c r="B1586" s="1" t="str">
        <f>IFERROR(__xludf.DUMMYFUNCTION("""COMPUTED_VALUE"""),"CASTILLEJOS, ARREL")</f>
        <v>CASTILLEJOS, ARREL</v>
      </c>
      <c r="C1586" s="1" t="str">
        <f>IFERROR(__xludf.DUMMYFUNCTION("""COMPUTED_VALUE"""),"ORGANIC")</f>
        <v>ORGANIC</v>
      </c>
      <c r="D1586" s="1" t="str">
        <f>IFERROR(__xludf.DUMMYFUNCTION("""COMPUTED_VALUE"""),"REMOLLO LEA")</f>
        <v>REMOLLO LEA</v>
      </c>
      <c r="E1586" s="1" t="str">
        <f>IFERROR(__xludf.DUMMYFUNCTION("""COMPUTED_VALUE"""),"PLDT / H2H")</f>
        <v>PLDT / H2H</v>
      </c>
      <c r="F1586" s="1">
        <f>IFERROR(__xludf.DUMMYFUNCTION("""COMPUTED_VALUE"""),2309419517)</f>
        <v>2309419517</v>
      </c>
      <c r="G1586" s="1">
        <f>IFERROR(__xludf.DUMMYFUNCTION("""COMPUTED_VALUE"""),454078573004)</f>
        <v>454078573004</v>
      </c>
      <c r="H1586" s="1" t="str">
        <f>IFERROR(__xludf.DUMMYFUNCTION("""COMPUTED_VALUE"""),"SHARIF ORAW ADRIANO")</f>
        <v>SHARIF ORAW ADRIANO</v>
      </c>
      <c r="I1586" s="1">
        <f>IFERROR(__xludf.DUMMYFUNCTION("""COMPUTED_VALUE"""),9461514334)</f>
        <v>9461514334</v>
      </c>
      <c r="J1586" s="1">
        <f>IFERROR(__xludf.DUMMYFUNCTION("""COMPUTED_VALUE"""),9755582586)</f>
        <v>9755582586</v>
      </c>
      <c r="K1586" s="1" t="str">
        <f>IFERROR(__xludf.DUMMYFUNCTION("""COMPUTED_VALUE"""),"ADRIANOPAMELANMARIZ016@GMAIL.COM")</f>
        <v>ADRIANOPAMELANMARIZ016@GMAIL.COM</v>
      </c>
      <c r="L1586" s="1" t="str">
        <f>IFERROR(__xludf.DUMMYFUNCTION("""COMPUTED_VALUE"""),"108")</f>
        <v>108</v>
      </c>
      <c r="M1586" s="1" t="str">
        <f>IFERROR(__xludf.DUMMYFUNCTION("""COMPUTED_VALUE"""),"ZAMORA")</f>
        <v>ZAMORA</v>
      </c>
      <c r="N1586" s="1"/>
      <c r="O1586" s="1" t="str">
        <f>IFERROR(__xludf.DUMMYFUNCTION("""COMPUTED_VALUE"""),"ASIS I")</f>
        <v>ASIS I</v>
      </c>
      <c r="P1586" s="1" t="str">
        <f>IFERROR(__xludf.DUMMYFUNCTION("""COMPUTED_VALUE"""),"MENDEZ")</f>
        <v>MENDEZ</v>
      </c>
      <c r="Q1586" s="1" t="str">
        <f>IFERROR(__xludf.DUMMYFUNCTION("""COMPUTED_VALUE"""),"CAVITE")</f>
        <v>CAVITE</v>
      </c>
      <c r="R1586" s="1" t="str">
        <f>IFERROR(__xludf.DUMMYFUNCTION("""COMPUTED_VALUE"""),"FIBR PLAN 1299")</f>
        <v>FIBR PLAN 1299</v>
      </c>
      <c r="S1586" s="1" t="str">
        <f>IFERROR(__xludf.DUMMYFUNCTION("""COMPUTED_VALUE"""),"APPROVED")</f>
        <v>APPROVED</v>
      </c>
      <c r="T1586" s="1" t="str">
        <f>IFERROR(__xludf.DUMMYFUNCTION("""COMPUTED_VALUE"""),"CLOSED")</f>
        <v>CLOSED</v>
      </c>
      <c r="U1586" s="1" t="str">
        <f>IFERROR(__xludf.DUMMYFUNCTION("""COMPUTED_VALUE"""),"POSTED")</f>
        <v>POSTED</v>
      </c>
      <c r="V1586" s="1"/>
      <c r="W1586" s="1"/>
    </row>
    <row r="1587" customHeight="1" spans="1:23">
      <c r="A1587" s="3">
        <f>IFERROR(__xludf.DUMMYFUNCTION("""COMPUTED_VALUE"""),46152)</f>
        <v>46152</v>
      </c>
      <c r="B1587" s="1" t="str">
        <f>IFERROR(__xludf.DUMMYFUNCTION("""COMPUTED_VALUE"""),"FERNANDEZ JERIC")</f>
        <v>FERNANDEZ JERIC</v>
      </c>
      <c r="C1587" s="1" t="str">
        <f>IFERROR(__xludf.DUMMYFUNCTION("""COMPUTED_VALUE"""),"ORGANIC")</f>
        <v>ORGANIC</v>
      </c>
      <c r="D1587" s="1" t="str">
        <f>IFERROR(__xludf.DUMMYFUNCTION("""COMPUTED_VALUE"""),"ALOS, CHARLS")</f>
        <v>ALOS, CHARLS</v>
      </c>
      <c r="E1587" s="1" t="str">
        <f>IFERROR(__xludf.DUMMYFUNCTION("""COMPUTED_VALUE"""),"RED FIBER")</f>
        <v>RED FIBER</v>
      </c>
      <c r="F1587" s="1"/>
      <c r="G1587" s="1"/>
      <c r="H1587" s="1" t="str">
        <f>IFERROR(__xludf.DUMMYFUNCTION("""COMPUTED_VALUE"""),"NACY GABIOLA URI")</f>
        <v>NACY GABIOLA URI</v>
      </c>
      <c r="I1587" s="1">
        <f>IFERROR(__xludf.DUMMYFUNCTION("""COMPUTED_VALUE"""),9098699242)</f>
        <v>9098699242</v>
      </c>
      <c r="J1587" s="1"/>
      <c r="K1587" s="1" t="str">
        <f>IFERROR(__xludf.DUMMYFUNCTION("""COMPUTED_VALUE"""),"NANCYVIDON@GMAIL.COM")</f>
        <v>NANCYVIDON@GMAIL.COM</v>
      </c>
      <c r="L1587" s="1" t="str">
        <f>IFERROR(__xludf.DUMMYFUNCTION("""COMPUTED_VALUE"""),"1976")</f>
        <v>1976</v>
      </c>
      <c r="M1587" s="1" t="str">
        <f>IFERROR(__xludf.DUMMYFUNCTION("""COMPUTED_VALUE"""),"ASIS")</f>
        <v>ASIS</v>
      </c>
      <c r="N1587" s="1"/>
      <c r="O1587" s="1" t="str">
        <f>IFERROR(__xludf.DUMMYFUNCTION("""COMPUTED_VALUE"""),"ASIS I")</f>
        <v>ASIS I</v>
      </c>
      <c r="P1587" s="1" t="str">
        <f>IFERROR(__xludf.DUMMYFUNCTION("""COMPUTED_VALUE"""),"MENDEZ")</f>
        <v>MENDEZ</v>
      </c>
      <c r="Q1587" s="1" t="str">
        <f>IFERROR(__xludf.DUMMYFUNCTION("""COMPUTED_VALUE"""),"CAVITE")</f>
        <v>CAVITE</v>
      </c>
      <c r="R1587" s="1" t="str">
        <f>IFERROR(__xludf.DUMMYFUNCTION("""COMPUTED_VALUE"""),"RED PLAN 1000")</f>
        <v>RED PLAN 1000</v>
      </c>
      <c r="S1587" s="1" t="str">
        <f>IFERROR(__xludf.DUMMYFUNCTION("""COMPUTED_VALUE"""),"APPROVED")</f>
        <v>APPROVED</v>
      </c>
      <c r="T1587" s="1" t="str">
        <f>IFERROR(__xludf.DUMMYFUNCTION("""COMPUTED_VALUE"""),"CLOSED")</f>
        <v>CLOSED</v>
      </c>
      <c r="U1587" s="1" t="str">
        <f>IFERROR(__xludf.DUMMYFUNCTION("""COMPUTED_VALUE"""),"POSTED")</f>
        <v>POSTED</v>
      </c>
      <c r="V1587" s="1"/>
      <c r="W1587" s="1"/>
    </row>
    <row r="1588" customHeight="1" spans="1:23">
      <c r="A1588" s="3">
        <f>IFERROR(__xludf.DUMMYFUNCTION("""COMPUTED_VALUE"""),46152)</f>
        <v>46152</v>
      </c>
      <c r="B1588" s="1" t="str">
        <f>IFERROR(__xludf.DUMMYFUNCTION("""COMPUTED_VALUE"""),"ESCARCHA, MA ALMA  ESCOTO")</f>
        <v>ESCARCHA, MA ALMA  ESCOTO</v>
      </c>
      <c r="C1588" s="1" t="str">
        <f>IFERROR(__xludf.DUMMYFUNCTION("""COMPUTED_VALUE"""),"ORGANIC")</f>
        <v>ORGANIC</v>
      </c>
      <c r="D1588" s="1" t="str">
        <f>IFERROR(__xludf.DUMMYFUNCTION("""COMPUTED_VALUE"""),"ALINGARO, CINDY")</f>
        <v>ALINGARO, CINDY</v>
      </c>
      <c r="E1588" s="1" t="str">
        <f>IFERROR(__xludf.DUMMYFUNCTION("""COMPUTED_VALUE"""),"PLDT / H2H")</f>
        <v>PLDT / H2H</v>
      </c>
      <c r="F1588" s="1">
        <f>IFERROR(__xludf.DUMMYFUNCTION("""COMPUTED_VALUE"""),2309421068)</f>
        <v>2309421068</v>
      </c>
      <c r="G1588" s="1">
        <f>IFERROR(__xludf.DUMMYFUNCTION("""COMPUTED_VALUE"""),454081963004)</f>
        <v>454081963004</v>
      </c>
      <c r="H1588" s="1" t="str">
        <f>IFERROR(__xludf.DUMMYFUNCTION("""COMPUTED_VALUE"""),"JAN JAN BELEN BUKLATIN")</f>
        <v>JAN JAN BELEN BUKLATIN</v>
      </c>
      <c r="I1588" s="1">
        <f>IFERROR(__xludf.DUMMYFUNCTION("""COMPUTED_VALUE"""),9458877441)</f>
        <v>9458877441</v>
      </c>
      <c r="J1588" s="1">
        <f>IFERROR(__xludf.DUMMYFUNCTION("""COMPUTED_VALUE"""),9566650809)</f>
        <v>9566650809</v>
      </c>
      <c r="K1588" s="1" t="str">
        <f>IFERROR(__xludf.DUMMYFUNCTION("""COMPUTED_VALUE"""),"BUKLATINJANJAN3@GMAIL.COM")</f>
        <v>BUKLATINJANJAN3@GMAIL.COM</v>
      </c>
      <c r="L1588" s="1" t="str">
        <f>IFERROR(__xludf.DUMMYFUNCTION("""COMPUTED_VALUE"""),"241")</f>
        <v>241</v>
      </c>
      <c r="M1588" s="1" t="str">
        <f>IFERROR(__xludf.DUMMYFUNCTION("""COMPUTED_VALUE"""),"BATAS")</f>
        <v>BATAS</v>
      </c>
      <c r="N1588" s="1"/>
      <c r="O1588" s="1" t="str">
        <f>IFERROR(__xludf.DUMMYFUNCTION("""COMPUTED_VALUE"""),"BATAS")</f>
        <v>BATAS</v>
      </c>
      <c r="P1588" s="1" t="str">
        <f>IFERROR(__xludf.DUMMYFUNCTION("""COMPUTED_VALUE"""),"SILANG")</f>
        <v>SILANG</v>
      </c>
      <c r="Q1588" s="1" t="str">
        <f>IFERROR(__xludf.DUMMYFUNCTION("""COMPUTED_VALUE"""),"CAVITE")</f>
        <v>CAVITE</v>
      </c>
      <c r="R1588" s="1" t="str">
        <f>IFERROR(__xludf.DUMMYFUNCTION("""COMPUTED_VALUE"""),"FIBR PLAN 1299")</f>
        <v>FIBR PLAN 1299</v>
      </c>
      <c r="S1588" s="1" t="str">
        <f>IFERROR(__xludf.DUMMYFUNCTION("""COMPUTED_VALUE"""),"APPROVED")</f>
        <v>APPROVED</v>
      </c>
      <c r="T1588" s="1" t="str">
        <f>IFERROR(__xludf.DUMMYFUNCTION("""COMPUTED_VALUE"""),"CLOSED")</f>
        <v>CLOSED</v>
      </c>
      <c r="U1588" s="1" t="str">
        <f>IFERROR(__xludf.DUMMYFUNCTION("""COMPUTED_VALUE"""),"POSTED")</f>
        <v>POSTED</v>
      </c>
      <c r="V1588" s="1"/>
      <c r="W1588" s="1"/>
    </row>
    <row r="1589" customHeight="1" spans="1:23">
      <c r="A1589" s="3">
        <f>IFERROR(__xludf.DUMMYFUNCTION("""COMPUTED_VALUE"""),46152)</f>
        <v>46152</v>
      </c>
      <c r="B1589" s="1" t="str">
        <f>IFERROR(__xludf.DUMMYFUNCTION("""COMPUTED_VALUE"""),"AGUNOS, JHON AIRVIN")</f>
        <v>AGUNOS, JHON AIRVIN</v>
      </c>
      <c r="C1589" s="1" t="str">
        <f>IFERROR(__xludf.DUMMYFUNCTION("""COMPUTED_VALUE"""),"ORGANIC")</f>
        <v>ORGANIC</v>
      </c>
      <c r="D1589" s="1" t="str">
        <f>IFERROR(__xludf.DUMMYFUNCTION("""COMPUTED_VALUE"""),"ALINGARO, CINDY")</f>
        <v>ALINGARO, CINDY</v>
      </c>
      <c r="E1589" s="1" t="str">
        <f>IFERROR(__xludf.DUMMYFUNCTION("""COMPUTED_VALUE"""),"PLDT / H2H")</f>
        <v>PLDT / H2H</v>
      </c>
      <c r="F1589" s="1">
        <f>IFERROR(__xludf.DUMMYFUNCTION("""COMPUTED_VALUE"""),2309421383)</f>
        <v>2309421383</v>
      </c>
      <c r="G1589" s="1">
        <f>IFERROR(__xludf.DUMMYFUNCTION("""COMPUTED_VALUE"""),454081838004)</f>
        <v>454081838004</v>
      </c>
      <c r="H1589" s="1" t="str">
        <f>IFERROR(__xludf.DUMMYFUNCTION("""COMPUTED_VALUE"""),"JHOYS NADHIN MAGSINO SOLIS")</f>
        <v>JHOYS NADHIN MAGSINO SOLIS</v>
      </c>
      <c r="I1589" s="1">
        <f>IFERROR(__xludf.DUMMYFUNCTION("""COMPUTED_VALUE"""),9678995990)</f>
        <v>9678995990</v>
      </c>
      <c r="J1589" s="1">
        <f>IFERROR(__xludf.DUMMYFUNCTION("""COMPUTED_VALUE"""),9676627757)</f>
        <v>9676627757</v>
      </c>
      <c r="K1589" s="1" t="str">
        <f>IFERROR(__xludf.DUMMYFUNCTION("""COMPUTED_VALUE"""),"JHOYSNADHIN@GMAIL.COM")</f>
        <v>JHOYSNADHIN@GMAIL.COM</v>
      </c>
      <c r="L1589" s="1" t="str">
        <f>IFERROR(__xludf.DUMMYFUNCTION("""COMPUTED_VALUE"""),"48")</f>
        <v>48</v>
      </c>
      <c r="M1589" s="1" t="str">
        <f>IFERROR(__xludf.DUMMYFUNCTION("""COMPUTED_VALUE"""),"PUROK 6")</f>
        <v>PUROK 6</v>
      </c>
      <c r="N1589" s="1"/>
      <c r="O1589" s="1" t="str">
        <f>IFERROR(__xludf.DUMMYFUNCTION("""COMPUTED_VALUE"""),"BATAS")</f>
        <v>BATAS</v>
      </c>
      <c r="P1589" s="1" t="str">
        <f>IFERROR(__xludf.DUMMYFUNCTION("""COMPUTED_VALUE"""),"SILANG")</f>
        <v>SILANG</v>
      </c>
      <c r="Q1589" s="1" t="str">
        <f>IFERROR(__xludf.DUMMYFUNCTION("""COMPUTED_VALUE"""),"CAVITE")</f>
        <v>CAVITE</v>
      </c>
      <c r="R1589" s="1" t="str">
        <f>IFERROR(__xludf.DUMMYFUNCTION("""COMPUTED_VALUE"""),"FIBR UNLI ALL PLAN 999")</f>
        <v>FIBR UNLI ALL PLAN 999</v>
      </c>
      <c r="S1589" s="1" t="str">
        <f>IFERROR(__xludf.DUMMYFUNCTION("""COMPUTED_VALUE"""),"APPROVED")</f>
        <v>APPROVED</v>
      </c>
      <c r="T1589" s="1" t="str">
        <f>IFERROR(__xludf.DUMMYFUNCTION("""COMPUTED_VALUE"""),"CLOSED")</f>
        <v>CLOSED</v>
      </c>
      <c r="U1589" s="1" t="str">
        <f>IFERROR(__xludf.DUMMYFUNCTION("""COMPUTED_VALUE"""),"POSTED")</f>
        <v>POSTED</v>
      </c>
      <c r="V1589" s="1"/>
      <c r="W1589" s="1"/>
    </row>
    <row r="1590" customHeight="1" spans="1:23">
      <c r="A1590" s="3">
        <f>IFERROR(__xludf.DUMMYFUNCTION("""COMPUTED_VALUE"""),46152)</f>
        <v>46152</v>
      </c>
      <c r="B1590" s="1" t="str">
        <f>IFERROR(__xludf.DUMMYFUNCTION("""COMPUTED_VALUE"""),"RIVERA, AIRIZH JOY")</f>
        <v>RIVERA, AIRIZH JOY</v>
      </c>
      <c r="C1590" s="1" t="str">
        <f>IFERROR(__xludf.DUMMYFUNCTION("""COMPUTED_VALUE"""),"ORGANIC")</f>
        <v>ORGANIC</v>
      </c>
      <c r="D1590" s="1" t="str">
        <f>IFERROR(__xludf.DUMMYFUNCTION("""COMPUTED_VALUE"""),"ALOS, CHARLS")</f>
        <v>ALOS, CHARLS</v>
      </c>
      <c r="E1590" s="1" t="str">
        <f>IFERROR(__xludf.DUMMYFUNCTION("""COMPUTED_VALUE"""),"PLDT / H2H")</f>
        <v>PLDT / H2H</v>
      </c>
      <c r="F1590" s="1">
        <f>IFERROR(__xludf.DUMMYFUNCTION("""COMPUTED_VALUE"""),2309421818)</f>
        <v>2309421818</v>
      </c>
      <c r="G1590" s="1">
        <f>IFERROR(__xludf.DUMMYFUNCTION("""COMPUTED_VALUE"""),454083381004)</f>
        <v>454083381004</v>
      </c>
      <c r="H1590" s="1" t="str">
        <f>IFERROR(__xludf.DUMMYFUNCTION("""COMPUTED_VALUE"""),"JESSICA BAGUNA SANTIAGO")</f>
        <v>JESSICA BAGUNA SANTIAGO</v>
      </c>
      <c r="I1590" s="1">
        <f>IFERROR(__xludf.DUMMYFUNCTION("""COMPUTED_VALUE"""),9504715768)</f>
        <v>9504715768</v>
      </c>
      <c r="J1590" s="1">
        <f>IFERROR(__xludf.DUMMYFUNCTION("""COMPUTED_VALUE"""),9504715768)</f>
        <v>9504715768</v>
      </c>
      <c r="K1590" s="1" t="str">
        <f>IFERROR(__xludf.DUMMYFUNCTION("""COMPUTED_VALUE"""),"BAGUNAJESS04@GMAIL.COM")</f>
        <v>BAGUNAJESS04@GMAIL.COM</v>
      </c>
      <c r="L1590" s="1" t="str">
        <f>IFERROR(__xludf.DUMMYFUNCTION("""COMPUTED_VALUE"""),"BLK 13 LOT 14")</f>
        <v>BLK 13 LOT 14</v>
      </c>
      <c r="M1590" s="1" t="str">
        <f>IFERROR(__xludf.DUMMYFUNCTION("""COMPUTED_VALUE"""),"BUKLURAN 4")</f>
        <v>BUKLURAN 4</v>
      </c>
      <c r="N1590" s="1"/>
      <c r="O1590" s="1" t="str">
        <f>IFERROR(__xludf.DUMMYFUNCTION("""COMPUTED_VALUE"""),"BULIHAN")</f>
        <v>BULIHAN</v>
      </c>
      <c r="P1590" s="1" t="str">
        <f>IFERROR(__xludf.DUMMYFUNCTION("""COMPUTED_VALUE"""),"SILANG")</f>
        <v>SILANG</v>
      </c>
      <c r="Q1590" s="1" t="str">
        <f>IFERROR(__xludf.DUMMYFUNCTION("""COMPUTED_VALUE"""),"CAVITE")</f>
        <v>CAVITE</v>
      </c>
      <c r="R1590" s="1" t="str">
        <f>IFERROR(__xludf.DUMMYFUNCTION("""COMPUTED_VALUE"""),"FIBR UNLI ALL PLAN 1399")</f>
        <v>FIBR UNLI ALL PLAN 1399</v>
      </c>
      <c r="S1590" s="1" t="str">
        <f>IFERROR(__xludf.DUMMYFUNCTION("""COMPUTED_VALUE"""),"APPROVED")</f>
        <v>APPROVED</v>
      </c>
      <c r="T1590" s="1" t="str">
        <f>IFERROR(__xludf.DUMMYFUNCTION("""COMPUTED_VALUE"""),"RPR")</f>
        <v>RPR</v>
      </c>
      <c r="U1590" s="1"/>
      <c r="V1590" s="1"/>
      <c r="W1590" s="1"/>
    </row>
    <row r="1591" customHeight="1" spans="1:23">
      <c r="A1591" s="3">
        <f>IFERROR(__xludf.DUMMYFUNCTION("""COMPUTED_VALUE"""),46152)</f>
        <v>46152</v>
      </c>
      <c r="B1591" s="1" t="str">
        <f>IFERROR(__xludf.DUMMYFUNCTION("""COMPUTED_VALUE"""),"DELA ROSA, JENNELYN")</f>
        <v>DELA ROSA, JENNELYN</v>
      </c>
      <c r="C1591" s="1" t="str">
        <f>IFERROR(__xludf.DUMMYFUNCTION("""COMPUTED_VALUE"""),"ORGANIC")</f>
        <v>ORGANIC</v>
      </c>
      <c r="D1591" s="1" t="str">
        <f>IFERROR(__xludf.DUMMYFUNCTION("""COMPUTED_VALUE"""),"ALOS, CHARLS")</f>
        <v>ALOS, CHARLS</v>
      </c>
      <c r="E1591" s="1" t="str">
        <f>IFERROR(__xludf.DUMMYFUNCTION("""COMPUTED_VALUE"""),"PLDT / H2H")</f>
        <v>PLDT / H2H</v>
      </c>
      <c r="F1591" s="1">
        <f>IFERROR(__xludf.DUMMYFUNCTION("""COMPUTED_VALUE"""),2309432120)</f>
        <v>2309432120</v>
      </c>
      <c r="G1591" s="1">
        <f>IFERROR(__xludf.DUMMYFUNCTION("""COMPUTED_VALUE"""),454199669004)</f>
        <v>454199669004</v>
      </c>
      <c r="H1591" s="1" t="str">
        <f>IFERROR(__xludf.DUMMYFUNCTION("""COMPUTED_VALUE"""),"JOYCE ANNE COMORA BARRERA")</f>
        <v>JOYCE ANNE COMORA BARRERA</v>
      </c>
      <c r="I1591" s="1">
        <f>IFERROR(__xludf.DUMMYFUNCTION("""COMPUTED_VALUE"""),9972991447)</f>
        <v>9972991447</v>
      </c>
      <c r="J1591" s="1">
        <f>IFERROR(__xludf.DUMMYFUNCTION("""COMPUTED_VALUE"""),9424852698)</f>
        <v>9424852698</v>
      </c>
      <c r="K1591" s="1" t="str">
        <f>IFERROR(__xludf.DUMMYFUNCTION("""COMPUTED_VALUE"""),"JOYCEAANNE.03@ICLOUD.COM")</f>
        <v>JOYCEAANNE.03@ICLOUD.COM</v>
      </c>
      <c r="L1591" s="1" t="str">
        <f>IFERROR(__xludf.DUMMYFUNCTION("""COMPUTED_VALUE"""),"57")</f>
        <v>57</v>
      </c>
      <c r="M1591" s="1" t="str">
        <f>IFERROR(__xludf.DUMMYFUNCTION("""COMPUTED_VALUE"""),"PLARIDEL")</f>
        <v>PLARIDEL</v>
      </c>
      <c r="N1591" s="1"/>
      <c r="O1591" s="1" t="str">
        <f>IFERROR(__xludf.DUMMYFUNCTION("""COMPUTED_VALUE"""),"BARANGAY 57 (REPOLYO)")</f>
        <v>BARANGAY 57 (REPOLYO)</v>
      </c>
      <c r="P1591" s="1" t="str">
        <f>IFERROR(__xludf.DUMMYFUNCTION("""COMPUTED_VALUE"""),"CAVITE CITY")</f>
        <v>CAVITE CITY</v>
      </c>
      <c r="Q1591" s="1" t="str">
        <f>IFERROR(__xludf.DUMMYFUNCTION("""COMPUTED_VALUE"""),"CAVITE")</f>
        <v>CAVITE</v>
      </c>
      <c r="R1591" s="1" t="str">
        <f>IFERROR(__xludf.DUMMYFUNCTION("""COMPUTED_VALUE"""),"FIBR PLAN 1299")</f>
        <v>FIBR PLAN 1299</v>
      </c>
      <c r="S1591" s="1" t="str">
        <f>IFERROR(__xludf.DUMMYFUNCTION("""COMPUTED_VALUE"""),"APPROVED")</f>
        <v>APPROVED</v>
      </c>
      <c r="T1591" s="1" t="str">
        <f>IFERROR(__xludf.DUMMYFUNCTION("""COMPUTED_VALUE"""),"CLOSED")</f>
        <v>CLOSED</v>
      </c>
      <c r="U1591" s="1" t="str">
        <f>IFERROR(__xludf.DUMMYFUNCTION("""COMPUTED_VALUE"""),"POSTED")</f>
        <v>POSTED</v>
      </c>
      <c r="V1591" s="1"/>
      <c r="W1591" s="1"/>
    </row>
    <row r="1592" customHeight="1" spans="1:23">
      <c r="A1592" s="3">
        <f>IFERROR(__xludf.DUMMYFUNCTION("""COMPUTED_VALUE"""),46152)</f>
        <v>46152</v>
      </c>
      <c r="B1592" s="1" t="str">
        <f>IFERROR(__xludf.DUMMYFUNCTION("""COMPUTED_VALUE"""),"MAÑANITA, ERIKA")</f>
        <v>MAÑANITA, ERIKA</v>
      </c>
      <c r="C1592" s="1" t="str">
        <f>IFERROR(__xludf.DUMMYFUNCTION("""COMPUTED_VALUE"""),"ORGANIC")</f>
        <v>ORGANIC</v>
      </c>
      <c r="D1592" s="1" t="str">
        <f>IFERROR(__xludf.DUMMYFUNCTION("""COMPUTED_VALUE"""),"ALOS, CHARLS")</f>
        <v>ALOS, CHARLS</v>
      </c>
      <c r="E1592" s="1" t="str">
        <f>IFERROR(__xludf.DUMMYFUNCTION("""COMPUTED_VALUE"""),"PLDT / ONLINE")</f>
        <v>PLDT / ONLINE</v>
      </c>
      <c r="F1592" s="1">
        <f>IFERROR(__xludf.DUMMYFUNCTION("""COMPUTED_VALUE"""),2309422162)</f>
        <v>2309422162</v>
      </c>
      <c r="G1592" s="1">
        <f>IFERROR(__xludf.DUMMYFUNCTION("""COMPUTED_VALUE"""),454083089004)</f>
        <v>454083089004</v>
      </c>
      <c r="H1592" s="1" t="str">
        <f>IFERROR(__xludf.DUMMYFUNCTION("""COMPUTED_VALUE"""),"MARK ANTHONY ARDANIEL ARTATES")</f>
        <v>MARK ANTHONY ARDANIEL ARTATES</v>
      </c>
      <c r="I1592" s="1">
        <f>IFERROR(__xludf.DUMMYFUNCTION("""COMPUTED_VALUE"""),9692167629)</f>
        <v>9692167629</v>
      </c>
      <c r="J1592" s="1">
        <f>IFERROR(__xludf.DUMMYFUNCTION("""COMPUTED_VALUE"""),9567500483)</f>
        <v>9567500483</v>
      </c>
      <c r="K1592" s="1" t="str">
        <f>IFERROR(__xludf.DUMMYFUNCTION("""COMPUTED_VALUE"""),"TANCAE22@GMAIL.COM")</f>
        <v>TANCAE22@GMAIL.COM</v>
      </c>
      <c r="L1592" s="1" t="str">
        <f>IFERROR(__xludf.DUMMYFUNCTION("""COMPUTED_VALUE"""),"BLK 7 LOT 11")</f>
        <v>BLK 7 LOT 11</v>
      </c>
      <c r="M1592" s="1" t="str">
        <f>IFERROR(__xludf.DUMMYFUNCTION("""COMPUTED_VALUE"""),"STA FE")</f>
        <v>STA FE</v>
      </c>
      <c r="N1592" s="1"/>
      <c r="O1592" s="1" t="str">
        <f>IFERROR(__xludf.DUMMYFUNCTION("""COMPUTED_VALUE"""),"SANTA FE")</f>
        <v>SANTA FE</v>
      </c>
      <c r="P1592" s="1" t="str">
        <f>IFERROR(__xludf.DUMMYFUNCTION("""COMPUTED_VALUE"""),"DASMARINAS")</f>
        <v>DASMARINAS</v>
      </c>
      <c r="Q1592" s="1" t="str">
        <f>IFERROR(__xludf.DUMMYFUNCTION("""COMPUTED_VALUE"""),"CAVITE")</f>
        <v>CAVITE</v>
      </c>
      <c r="R1592" s="1" t="str">
        <f>IFERROR(__xludf.DUMMYFUNCTION("""COMPUTED_VALUE"""),"FIBR UNLI ALL PLAN 999")</f>
        <v>FIBR UNLI ALL PLAN 999</v>
      </c>
      <c r="S1592" s="1" t="str">
        <f>IFERROR(__xludf.DUMMYFUNCTION("""COMPUTED_VALUE"""),"APPROVED")</f>
        <v>APPROVED</v>
      </c>
      <c r="T1592" s="1" t="str">
        <f>IFERROR(__xludf.DUMMYFUNCTION("""COMPUTED_VALUE"""),"CLOSED")</f>
        <v>CLOSED</v>
      </c>
      <c r="U1592" s="1" t="str">
        <f>IFERROR(__xludf.DUMMYFUNCTION("""COMPUTED_VALUE"""),"POSTED")</f>
        <v>POSTED</v>
      </c>
      <c r="V1592" s="1"/>
      <c r="W1592" s="1"/>
    </row>
    <row r="1593" customHeight="1" spans="1:23">
      <c r="A1593" s="3">
        <f>IFERROR(__xludf.DUMMYFUNCTION("""COMPUTED_VALUE"""),46152)</f>
        <v>46152</v>
      </c>
      <c r="B1593" s="1" t="str">
        <f>IFERROR(__xludf.DUMMYFUNCTION("""COMPUTED_VALUE"""),"OPS SIR BETZ")</f>
        <v>OPS SIR BETZ</v>
      </c>
      <c r="C1593" s="1" t="str">
        <f>IFERROR(__xludf.DUMMYFUNCTION("""COMPUTED_VALUE"""),"FLA")</f>
        <v>FLA</v>
      </c>
      <c r="D1593" s="1" t="str">
        <f>IFERROR(__xludf.DUMMYFUNCTION("""COMPUTED_VALUE"""),"JERIC NAVARRO")</f>
        <v>JERIC NAVARRO</v>
      </c>
      <c r="E1593" s="1" t="str">
        <f>IFERROR(__xludf.DUMMYFUNCTION("""COMPUTED_VALUE"""),"PLDT / ONLINE")</f>
        <v>PLDT / ONLINE</v>
      </c>
      <c r="F1593" s="1">
        <f>IFERROR(__xludf.DUMMYFUNCTION("""COMPUTED_VALUE"""),2309422842)</f>
        <v>2309422842</v>
      </c>
      <c r="G1593" s="1">
        <f>IFERROR(__xludf.DUMMYFUNCTION("""COMPUTED_VALUE"""),454086527004)</f>
        <v>454086527004</v>
      </c>
      <c r="H1593" s="1" t="str">
        <f>IFERROR(__xludf.DUMMYFUNCTION("""COMPUTED_VALUE"""),"RODALYN GRAGASIN PARAGAS")</f>
        <v>RODALYN GRAGASIN PARAGAS</v>
      </c>
      <c r="I1593" s="1">
        <f>IFERROR(__xludf.DUMMYFUNCTION("""COMPUTED_VALUE"""),9061604323)</f>
        <v>9061604323</v>
      </c>
      <c r="J1593" s="1"/>
      <c r="K1593" s="1" t="str">
        <f>IFERROR(__xludf.DUMMYFUNCTION("""COMPUTED_VALUE"""),"PARAGASLHYN20@GMAIL.COM")</f>
        <v>PARAGASLHYN20@GMAIL.COM</v>
      </c>
      <c r="L1593" s="1" t="str">
        <f>IFERROR(__xludf.DUMMYFUNCTION("""COMPUTED_VALUE"""),"BLK 32 LOT 25")</f>
        <v>BLK 32 LOT 25</v>
      </c>
      <c r="M1593" s="1" t="str">
        <f>IFERROR(__xludf.DUMMYFUNCTION("""COMPUTED_VALUE"""),"DREAMHOMES")</f>
        <v>DREAMHOMES</v>
      </c>
      <c r="N1593" s="1"/>
      <c r="O1593" s="1" t="str">
        <f>IFERROR(__xludf.DUMMYFUNCTION("""COMPUTED_VALUE"""),"SAN JUAN II")</f>
        <v>SAN JUAN II</v>
      </c>
      <c r="P1593" s="1" t="str">
        <f>IFERROR(__xludf.DUMMYFUNCTION("""COMPUTED_VALUE"""),"GENERAL TRIAS")</f>
        <v>GENERAL TRIAS</v>
      </c>
      <c r="Q1593" s="1" t="str">
        <f>IFERROR(__xludf.DUMMYFUNCTION("""COMPUTED_VALUE"""),"CAVITE")</f>
        <v>CAVITE</v>
      </c>
      <c r="R1593" s="1" t="str">
        <f>IFERROR(__xludf.DUMMYFUNCTION("""COMPUTED_VALUE"""),"FIBR PLAN 1299")</f>
        <v>FIBR PLAN 1299</v>
      </c>
      <c r="S1593" s="1" t="str">
        <f>IFERROR(__xludf.DUMMYFUNCTION("""COMPUTED_VALUE"""),"APPROVED")</f>
        <v>APPROVED</v>
      </c>
      <c r="T1593" s="1" t="str">
        <f>IFERROR(__xludf.DUMMYFUNCTION("""COMPUTED_VALUE"""),"CLOSED")</f>
        <v>CLOSED</v>
      </c>
      <c r="U1593" s="1" t="str">
        <f>IFERROR(__xludf.DUMMYFUNCTION("""COMPUTED_VALUE"""),"POSTED")</f>
        <v>POSTED</v>
      </c>
      <c r="V1593" s="1"/>
      <c r="W1593" s="1"/>
    </row>
    <row r="1594" customHeight="1" spans="1:23">
      <c r="A1594" s="3">
        <f>IFERROR(__xludf.DUMMYFUNCTION("""COMPUTED_VALUE"""),46152)</f>
        <v>46152</v>
      </c>
      <c r="B1594" s="1" t="str">
        <f>IFERROR(__xludf.DUMMYFUNCTION("""COMPUTED_VALUE"""),"MAGDARAOG, KENNETH")</f>
        <v>MAGDARAOG, KENNETH</v>
      </c>
      <c r="C1594" s="1" t="str">
        <f>IFERROR(__xludf.DUMMYFUNCTION("""COMPUTED_VALUE"""),"ORGANIC")</f>
        <v>ORGANIC</v>
      </c>
      <c r="D1594" s="1" t="str">
        <f>IFERROR(__xludf.DUMMYFUNCTION("""COMPUTED_VALUE"""),"ALINGARO, CINDY")</f>
        <v>ALINGARO, CINDY</v>
      </c>
      <c r="E1594" s="1" t="str">
        <f>IFERROR(__xludf.DUMMYFUNCTION("""COMPUTED_VALUE"""),"PLDT / ONLINE")</f>
        <v>PLDT / ONLINE</v>
      </c>
      <c r="F1594" s="1"/>
      <c r="G1594" s="1"/>
      <c r="H1594" s="1" t="str">
        <f>IFERROR(__xludf.DUMMYFUNCTION("""COMPUTED_VALUE"""),"CILLVYN BONN HANSOL BERNALES")</f>
        <v>CILLVYN BONN HANSOL BERNALES</v>
      </c>
      <c r="I1594" s="1">
        <f>IFERROR(__xludf.DUMMYFUNCTION("""COMPUTED_VALUE"""),9309150121)</f>
        <v>9309150121</v>
      </c>
      <c r="J1594" s="1">
        <f>IFERROR(__xludf.DUMMYFUNCTION("""COMPUTED_VALUE"""),9634063114)</f>
        <v>9634063114</v>
      </c>
      <c r="K1594" s="1" t="str">
        <f>IFERROR(__xludf.DUMMYFUNCTION("""COMPUTED_VALUE"""),"CELINEBERNALES4@GMAIL.COM")</f>
        <v>CELINEBERNALES4@GMAIL.COM</v>
      </c>
      <c r="L1594" s="1" t="str">
        <f>IFERROR(__xludf.DUMMYFUNCTION("""COMPUTED_VALUE"""),"84")</f>
        <v>84</v>
      </c>
      <c r="M1594" s="1" t="str">
        <f>IFERROR(__xludf.DUMMYFUNCTION("""COMPUTED_VALUE"""),"PULO")</f>
        <v>PULO</v>
      </c>
      <c r="N1594" s="1"/>
      <c r="O1594" s="1" t="str">
        <f>IFERROR(__xludf.DUMMYFUNCTION("""COMPUTED_VALUE"""),"SAN RAFAEL IV")</f>
        <v>SAN RAFAEL IV</v>
      </c>
      <c r="P1594" s="1" t="str">
        <f>IFERROR(__xludf.DUMMYFUNCTION("""COMPUTED_VALUE"""),"NOVELETA")</f>
        <v>NOVELETA</v>
      </c>
      <c r="Q1594" s="1" t="str">
        <f>IFERROR(__xludf.DUMMYFUNCTION("""COMPUTED_VALUE"""),"CAVITE")</f>
        <v>CAVITE</v>
      </c>
      <c r="R1594" s="1" t="str">
        <f>IFERROR(__xludf.DUMMYFUNCTION("""COMPUTED_VALUE"""),"FIBR UNLI ALL PLAN 1399")</f>
        <v>FIBR UNLI ALL PLAN 1399</v>
      </c>
      <c r="S1594" s="1" t="str">
        <f>IFERROR(__xludf.DUMMYFUNCTION("""COMPUTED_VALUE"""),"RETURN FOR COMPLIANCE - AGENT")</f>
        <v>RETURN FOR COMPLIANCE - AGENT</v>
      </c>
      <c r="T1594" s="1" t="str">
        <f>IFERROR(__xludf.DUMMYFUNCTION("""COMPUTED_VALUE"""),"#N/A")</f>
        <v>#N/A</v>
      </c>
      <c r="U1594" s="1"/>
      <c r="V1594" s="1"/>
      <c r="W1594" s="1"/>
    </row>
    <row r="1595" customHeight="1" spans="1:23">
      <c r="A1595" s="3">
        <f>IFERROR(__xludf.DUMMYFUNCTION("""COMPUTED_VALUE"""),46152)</f>
        <v>46152</v>
      </c>
      <c r="B1595" s="1" t="str">
        <f>IFERROR(__xludf.DUMMYFUNCTION("""COMPUTED_VALUE"""),"ESCARCHA, MA ALMA  ESCOTO")</f>
        <v>ESCARCHA, MA ALMA  ESCOTO</v>
      </c>
      <c r="C1595" s="1" t="str">
        <f>IFERROR(__xludf.DUMMYFUNCTION("""COMPUTED_VALUE"""),"ORGANIC")</f>
        <v>ORGANIC</v>
      </c>
      <c r="D1595" s="1" t="str">
        <f>IFERROR(__xludf.DUMMYFUNCTION("""COMPUTED_VALUE"""),"ALINGARO, CINDY")</f>
        <v>ALINGARO, CINDY</v>
      </c>
      <c r="E1595" s="1" t="str">
        <f>IFERROR(__xludf.DUMMYFUNCTION("""COMPUTED_VALUE"""),"PLDT / H2H")</f>
        <v>PLDT / H2H</v>
      </c>
      <c r="F1595" s="1">
        <f>IFERROR(__xludf.DUMMYFUNCTION("""COMPUTED_VALUE"""),2309424181)</f>
        <v>2309424181</v>
      </c>
      <c r="G1595" s="1">
        <f>IFERROR(__xludf.DUMMYFUNCTION("""COMPUTED_VALUE"""),454086736004)</f>
        <v>454086736004</v>
      </c>
      <c r="H1595" s="1" t="str">
        <f>IFERROR(__xludf.DUMMYFUNCTION("""COMPUTED_VALUE"""),"JOHN PETER CONSULTA PEREZ")</f>
        <v>JOHN PETER CONSULTA PEREZ</v>
      </c>
      <c r="I1595" s="1">
        <f>IFERROR(__xludf.DUMMYFUNCTION("""COMPUTED_VALUE"""),9931574608)</f>
        <v>9931574608</v>
      </c>
      <c r="J1595" s="1">
        <f>IFERROR(__xludf.DUMMYFUNCTION("""COMPUTED_VALUE"""),9541547122)</f>
        <v>9541547122</v>
      </c>
      <c r="K1595" s="1" t="str">
        <f>IFERROR(__xludf.DUMMYFUNCTION("""COMPUTED_VALUE"""),"JOHNPETERPEREZ25@GMAIL.COM")</f>
        <v>JOHNPETERPEREZ25@GMAIL.COM</v>
      </c>
      <c r="L1595" s="1" t="str">
        <f>IFERROR(__xludf.DUMMYFUNCTION("""COMPUTED_VALUE"""),"54")</f>
        <v>54</v>
      </c>
      <c r="M1595" s="1" t="str">
        <f>IFERROR(__xludf.DUMMYFUNCTION("""COMPUTED_VALUE"""),"EXCESS LOT ")</f>
        <v>EXCESS LOT </v>
      </c>
      <c r="N1595" s="1" t="str">
        <f>IFERROR(__xludf.DUMMYFUNCTION("""COMPUTED_VALUE"""),"MONTEVERDE")</f>
        <v>MONTEVERDE</v>
      </c>
      <c r="O1595" s="1" t="str">
        <f>IFERROR(__xludf.DUMMYFUNCTION("""COMPUTED_VALUE"""),"FRANCISCO DE CASTRO (SUNSHINE VILL.)")</f>
        <v>FRANCISCO DE CASTRO (SUNSHINE VILL.)</v>
      </c>
      <c r="P1595" s="1" t="str">
        <f>IFERROR(__xludf.DUMMYFUNCTION("""COMPUTED_VALUE"""),"GEN MARIANO ALVAREZ")</f>
        <v>GEN MARIANO ALVAREZ</v>
      </c>
      <c r="Q1595" s="1" t="str">
        <f>IFERROR(__xludf.DUMMYFUNCTION("""COMPUTED_VALUE"""),"CAVITE")</f>
        <v>CAVITE</v>
      </c>
      <c r="R1595" s="1" t="str">
        <f>IFERROR(__xludf.DUMMYFUNCTION("""COMPUTED_VALUE"""),"FIBR PLAN 1299")</f>
        <v>FIBR PLAN 1299</v>
      </c>
      <c r="S1595" s="1" t="str">
        <f>IFERROR(__xludf.DUMMYFUNCTION("""COMPUTED_VALUE"""),"APPROVED")</f>
        <v>APPROVED</v>
      </c>
      <c r="T1595" s="1" t="str">
        <f>IFERROR(__xludf.DUMMYFUNCTION("""COMPUTED_VALUE"""),"CANCELLED")</f>
        <v>CANCELLED</v>
      </c>
      <c r="U1595" s="1"/>
      <c r="V1595" s="1"/>
      <c r="W1595" s="1"/>
    </row>
    <row r="1596" customHeight="1" spans="1:23">
      <c r="A1596" s="3">
        <f>IFERROR(__xludf.DUMMYFUNCTION("""COMPUTED_VALUE"""),46152)</f>
        <v>46152</v>
      </c>
      <c r="B1596" s="1" t="str">
        <f>IFERROR(__xludf.DUMMYFUNCTION("""COMPUTED_VALUE"""),"ODY , CLARENCE")</f>
        <v>ODY , CLARENCE</v>
      </c>
      <c r="C1596" s="1" t="str">
        <f>IFERROR(__xludf.DUMMYFUNCTION("""COMPUTED_VALUE"""),"ORGANIC")</f>
        <v>ORGANIC</v>
      </c>
      <c r="D1596" s="1" t="str">
        <f>IFERROR(__xludf.DUMMYFUNCTION("""COMPUTED_VALUE"""),"ALOS, CHARLS")</f>
        <v>ALOS, CHARLS</v>
      </c>
      <c r="E1596" s="1" t="str">
        <f>IFERROR(__xludf.DUMMYFUNCTION("""COMPUTED_VALUE"""),"PLDT / H2H")</f>
        <v>PLDT / H2H</v>
      </c>
      <c r="F1596" s="1">
        <f>IFERROR(__xludf.DUMMYFUNCTION("""COMPUTED_VALUE"""),2309424419)</f>
        <v>2309424419</v>
      </c>
      <c r="G1596" s="1">
        <f>IFERROR(__xludf.DUMMYFUNCTION("""COMPUTED_VALUE"""),454085738004)</f>
        <v>454085738004</v>
      </c>
      <c r="H1596" s="1" t="str">
        <f>IFERROR(__xludf.DUMMYFUNCTION("""COMPUTED_VALUE"""),"LOREMHEL FRANCISCO BARUGGA")</f>
        <v>LOREMHEL FRANCISCO BARUGGA</v>
      </c>
      <c r="I1596" s="1">
        <f>IFERROR(__xludf.DUMMYFUNCTION("""COMPUTED_VALUE"""),9690221845)</f>
        <v>9690221845</v>
      </c>
      <c r="J1596" s="1">
        <f>IFERROR(__xludf.DUMMYFUNCTION("""COMPUTED_VALUE"""),9244471214)</f>
        <v>9244471214</v>
      </c>
      <c r="K1596" s="1" t="str">
        <f>IFERROR(__xludf.DUMMYFUNCTION("""COMPUTED_VALUE"""),"LOREMHELB@GMAIL.COM")</f>
        <v>LOREMHELB@GMAIL.COM</v>
      </c>
      <c r="L1596" s="1" t="str">
        <f>IFERROR(__xludf.DUMMYFUNCTION("""COMPUTED_VALUE"""),"BLK 28 LOT 14")</f>
        <v>BLK 28 LOT 14</v>
      </c>
      <c r="M1596" s="1" t="str">
        <f>IFERROR(__xludf.DUMMYFUNCTION("""COMPUTED_VALUE"""),"ACACIA")</f>
        <v>ACACIA</v>
      </c>
      <c r="N1596" s="1"/>
      <c r="O1596" s="1" t="str">
        <f>IFERROR(__xludf.DUMMYFUNCTION("""COMPUTED_VALUE"""),"ACACIA")</f>
        <v>ACACIA</v>
      </c>
      <c r="P1596" s="1" t="str">
        <f>IFERROR(__xludf.DUMMYFUNCTION("""COMPUTED_VALUE"""),"SILANG")</f>
        <v>SILANG</v>
      </c>
      <c r="Q1596" s="1" t="str">
        <f>IFERROR(__xludf.DUMMYFUNCTION("""COMPUTED_VALUE"""),"CAVITE")</f>
        <v>CAVITE</v>
      </c>
      <c r="R1596" s="1" t="str">
        <f>IFERROR(__xludf.DUMMYFUNCTION("""COMPUTED_VALUE"""),"FIBR UNLI ALL PLAN 1399")</f>
        <v>FIBR UNLI ALL PLAN 1399</v>
      </c>
      <c r="S1596" s="1" t="str">
        <f>IFERROR(__xludf.DUMMYFUNCTION("""COMPUTED_VALUE"""),"APPROVED")</f>
        <v>APPROVED</v>
      </c>
      <c r="T1596" s="1" t="str">
        <f>IFERROR(__xludf.DUMMYFUNCTION("""COMPUTED_VALUE"""),"RPR")</f>
        <v>RPR</v>
      </c>
      <c r="U1596" s="1"/>
      <c r="V1596" s="1"/>
      <c r="W1596" s="1"/>
    </row>
    <row r="1597" customHeight="1" spans="1:23">
      <c r="A1597" s="3">
        <f>IFERROR(__xludf.DUMMYFUNCTION("""COMPUTED_VALUE"""),46152)</f>
        <v>46152</v>
      </c>
      <c r="B1597" s="1" t="str">
        <f>IFERROR(__xludf.DUMMYFUNCTION("""COMPUTED_VALUE"""),"ADVINCULA, NICOLE")</f>
        <v>ADVINCULA, NICOLE</v>
      </c>
      <c r="C1597" s="1" t="str">
        <f>IFERROR(__xludf.DUMMYFUNCTION("""COMPUTED_VALUE"""),"ORGANIC")</f>
        <v>ORGANIC</v>
      </c>
      <c r="D1597" s="1" t="str">
        <f>IFERROR(__xludf.DUMMYFUNCTION("""COMPUTED_VALUE"""),"ALINGARO, CINDY")</f>
        <v>ALINGARO, CINDY</v>
      </c>
      <c r="E1597" s="1" t="str">
        <f>IFERROR(__xludf.DUMMYFUNCTION("""COMPUTED_VALUE"""),"PLDT / H2H")</f>
        <v>PLDT / H2H</v>
      </c>
      <c r="F1597" s="1"/>
      <c r="G1597" s="1"/>
      <c r="H1597" s="1" t="str">
        <f>IFERROR(__xludf.DUMMYFUNCTION("""COMPUTED_VALUE"""),"MARY ANN ULPINDO ADVINCULA")</f>
        <v>MARY ANN ULPINDO ADVINCULA</v>
      </c>
      <c r="I1597" s="1">
        <f>IFERROR(__xludf.DUMMYFUNCTION("""COMPUTED_VALUE"""),9099022421)</f>
        <v>9099022421</v>
      </c>
      <c r="J1597" s="1"/>
      <c r="K1597" s="1" t="str">
        <f>IFERROR(__xludf.DUMMYFUNCTION("""COMPUTED_VALUE"""),"MEANNEADVINCULA29@GMAIL.COM")</f>
        <v>MEANNEADVINCULA29@GMAIL.COM</v>
      </c>
      <c r="L1597" s="1" t="str">
        <f>IFERROR(__xludf.DUMMYFUNCTION("""COMPUTED_VALUE"""),"1713")</f>
        <v>1713</v>
      </c>
      <c r="M1597" s="1" t="str">
        <f>IFERROR(__xludf.DUMMYFUNCTION("""COMPUTED_VALUE"""),"EXCESS LOT ")</f>
        <v>EXCESS LOT </v>
      </c>
      <c r="N1597" s="1"/>
      <c r="O1597" s="1" t="str">
        <f>IFERROR(__xludf.DUMMYFUNCTION("""COMPUTED_VALUE"""),"BERNARDO PULIDO (AREA H)")</f>
        <v>BERNARDO PULIDO (AREA H)</v>
      </c>
      <c r="P1597" s="1" t="str">
        <f>IFERROR(__xludf.DUMMYFUNCTION("""COMPUTED_VALUE"""),"GEN MARIANO ALVAREZ")</f>
        <v>GEN MARIANO ALVAREZ</v>
      </c>
      <c r="Q1597" s="1" t="str">
        <f>IFERROR(__xludf.DUMMYFUNCTION("""COMPUTED_VALUE"""),"CAVITE")</f>
        <v>CAVITE</v>
      </c>
      <c r="R1597" s="1" t="str">
        <f>IFERROR(__xludf.DUMMYFUNCTION("""COMPUTED_VALUE"""),"FIBR NETFLIX PLAN 1599")</f>
        <v>FIBR NETFLIX PLAN 1599</v>
      </c>
      <c r="S1597" s="1" t="str">
        <f>IFERROR(__xludf.DUMMYFUNCTION("""COMPUTED_VALUE"""),"FOR CALLBACK / CANNOT BE REACHED")</f>
        <v>FOR CALLBACK / CANNOT BE REACHED</v>
      </c>
      <c r="T1597" s="1" t="str">
        <f>IFERROR(__xludf.DUMMYFUNCTION("""COMPUTED_VALUE"""),"#N/A")</f>
        <v>#N/A</v>
      </c>
      <c r="U1597" s="1"/>
      <c r="V1597" s="1"/>
      <c r="W1597" s="1"/>
    </row>
    <row r="1598" customHeight="1" spans="1:23">
      <c r="A1598" s="3">
        <f>IFERROR(__xludf.DUMMYFUNCTION("""COMPUTED_VALUE"""),46153)</f>
        <v>46153</v>
      </c>
      <c r="B1598" s="1" t="str">
        <f>IFERROR(__xludf.DUMMYFUNCTION("""COMPUTED_VALUE"""),"CARPIO, STEPHANIE NICOLE")</f>
        <v>CARPIO, STEPHANIE NICOLE</v>
      </c>
      <c r="C1598" s="1" t="str">
        <f>IFERROR(__xludf.DUMMYFUNCTION("""COMPUTED_VALUE"""),"FLA")</f>
        <v>FLA</v>
      </c>
      <c r="D1598" s="1" t="str">
        <f>IFERROR(__xludf.DUMMYFUNCTION("""COMPUTED_VALUE"""),"JERIC NAVARRO")</f>
        <v>JERIC NAVARRO</v>
      </c>
      <c r="E1598" s="1" t="str">
        <f>IFERROR(__xludf.DUMMYFUNCTION("""COMPUTED_VALUE"""),"PLDT / H2H")</f>
        <v>PLDT / H2H</v>
      </c>
      <c r="F1598" s="1">
        <f>IFERROR(__xludf.DUMMYFUNCTION("""COMPUTED_VALUE"""),2309431437)</f>
        <v>2309431437</v>
      </c>
      <c r="G1598" s="1">
        <f>IFERROR(__xludf.DUMMYFUNCTION("""COMPUTED_VALUE"""),454185495004)</f>
        <v>454185495004</v>
      </c>
      <c r="H1598" s="1" t="str">
        <f>IFERROR(__xludf.DUMMYFUNCTION("""COMPUTED_VALUE"""),"AILYN ABAYON ESCALADA")</f>
        <v>AILYN ABAYON ESCALADA</v>
      </c>
      <c r="I1598" s="1">
        <f>IFERROR(__xludf.DUMMYFUNCTION("""COMPUTED_VALUE"""),9553826074)</f>
        <v>9553826074</v>
      </c>
      <c r="J1598" s="1"/>
      <c r="K1598" s="1" t="str">
        <f>IFERROR(__xludf.DUMMYFUNCTION("""COMPUTED_VALUE"""),"RUSLYNESCALADSILVA@GMAIL.COM")</f>
        <v>RUSLYNESCALADSILVA@GMAIL.COM</v>
      </c>
      <c r="L1598" s="1" t="str">
        <f>IFERROR(__xludf.DUMMYFUNCTION("""COMPUTED_VALUE"""),"35")</f>
        <v>35</v>
      </c>
      <c r="M1598" s="1" t="str">
        <f>IFERROR(__xludf.DUMMYFUNCTION("""COMPUTED_VALUE"""),"ESPIRITO")</f>
        <v>ESPIRITO</v>
      </c>
      <c r="N1598" s="1"/>
      <c r="O1598" s="1" t="str">
        <f>IFERROR(__xludf.DUMMYFUNCTION("""COMPUTED_VALUE"""),"BARANGAY 17 (KALAPATI)")</f>
        <v>BARANGAY 17 (KALAPATI)</v>
      </c>
      <c r="P1598" s="1" t="str">
        <f>IFERROR(__xludf.DUMMYFUNCTION("""COMPUTED_VALUE"""),"CAVITE CITY")</f>
        <v>CAVITE CITY</v>
      </c>
      <c r="Q1598" s="1" t="str">
        <f>IFERROR(__xludf.DUMMYFUNCTION("""COMPUTED_VALUE"""),"CAVITE")</f>
        <v>CAVITE</v>
      </c>
      <c r="R1598" s="1" t="str">
        <f>IFERROR(__xludf.DUMMYFUNCTION("""COMPUTED_VALUE"""),"FIBR PLAN 1299")</f>
        <v>FIBR PLAN 1299</v>
      </c>
      <c r="S1598" s="1" t="str">
        <f>IFERROR(__xludf.DUMMYFUNCTION("""COMPUTED_VALUE"""),"APPROVED")</f>
        <v>APPROVED</v>
      </c>
      <c r="T1598" s="1" t="str">
        <f>IFERROR(__xludf.DUMMYFUNCTION("""COMPUTED_VALUE"""),"CLOSED")</f>
        <v>CLOSED</v>
      </c>
      <c r="U1598" s="1" t="str">
        <f>IFERROR(__xludf.DUMMYFUNCTION("""COMPUTED_VALUE"""),"POSTED")</f>
        <v>POSTED</v>
      </c>
      <c r="V1598" s="1"/>
      <c r="W1598" s="1"/>
    </row>
    <row r="1599" customHeight="1" spans="1:23">
      <c r="A1599" s="3">
        <f>IFERROR(__xludf.DUMMYFUNCTION("""COMPUTED_VALUE"""),46153)</f>
        <v>46153</v>
      </c>
      <c r="B1599" s="1" t="str">
        <f>IFERROR(__xludf.DUMMYFUNCTION("""COMPUTED_VALUE"""),"GABAY, MANUEL")</f>
        <v>GABAY, MANUEL</v>
      </c>
      <c r="C1599" s="1" t="str">
        <f>IFERROR(__xludf.DUMMYFUNCTION("""COMPUTED_VALUE"""),"FLA")</f>
        <v>FLA</v>
      </c>
      <c r="D1599" s="1" t="str">
        <f>IFERROR(__xludf.DUMMYFUNCTION("""COMPUTED_VALUE"""),"JERIC NAVARRO")</f>
        <v>JERIC NAVARRO</v>
      </c>
      <c r="E1599" s="1" t="str">
        <f>IFERROR(__xludf.DUMMYFUNCTION("""COMPUTED_VALUE"""),"PLDT / H2H")</f>
        <v>PLDT / H2H</v>
      </c>
      <c r="F1599" s="1">
        <f>IFERROR(__xludf.DUMMYFUNCTION("""COMPUTED_VALUE"""),2309431892)</f>
        <v>2309431892</v>
      </c>
      <c r="G1599" s="1">
        <f>IFERROR(__xludf.DUMMYFUNCTION("""COMPUTED_VALUE"""),454190249004)</f>
        <v>454190249004</v>
      </c>
      <c r="H1599" s="1" t="str">
        <f>IFERROR(__xludf.DUMMYFUNCTION("""COMPUTED_VALUE"""),"ROBERT JABINAR GABEJAN")</f>
        <v>ROBERT JABINAR GABEJAN</v>
      </c>
      <c r="I1599" s="1">
        <f>IFERROR(__xludf.DUMMYFUNCTION("""COMPUTED_VALUE"""),9095880533)</f>
        <v>9095880533</v>
      </c>
      <c r="J1599" s="1">
        <f>IFERROR(__xludf.DUMMYFUNCTION("""COMPUTED_VALUE"""),9634822608)</f>
        <v>9634822608</v>
      </c>
      <c r="K1599" s="1" t="str">
        <f>IFERROR(__xludf.DUMMYFUNCTION("""COMPUTED_VALUE"""),"MANALOTOJESSICA187@GMAIL.COM")</f>
        <v>MANALOTOJESSICA187@GMAIL.COM</v>
      </c>
      <c r="L1599" s="1" t="str">
        <f>IFERROR(__xludf.DUMMYFUNCTION("""COMPUTED_VALUE"""),"2024")</f>
        <v>2024</v>
      </c>
      <c r="M1599" s="1" t="str">
        <f>IFERROR(__xludf.DUMMYFUNCTION("""COMPUTED_VALUE"""),"PUROK 2")</f>
        <v>PUROK 2</v>
      </c>
      <c r="N1599" s="1"/>
      <c r="O1599" s="1" t="str">
        <f>IFERROR(__xludf.DUMMYFUNCTION("""COMPUTED_VALUE"""),"PANGIL")</f>
        <v>PANGIL</v>
      </c>
      <c r="P1599" s="1" t="str">
        <f>IFERROR(__xludf.DUMMYFUNCTION("""COMPUTED_VALUE"""),"AMADEO")</f>
        <v>AMADEO</v>
      </c>
      <c r="Q1599" s="1" t="str">
        <f>IFERROR(__xludf.DUMMYFUNCTION("""COMPUTED_VALUE"""),"CAVITE")</f>
        <v>CAVITE</v>
      </c>
      <c r="R1599" s="1" t="str">
        <f>IFERROR(__xludf.DUMMYFUNCTION("""COMPUTED_VALUE"""),"FIBR UNLI ALL PLAN 1399")</f>
        <v>FIBR UNLI ALL PLAN 1399</v>
      </c>
      <c r="S1599" s="1" t="str">
        <f>IFERROR(__xludf.DUMMYFUNCTION("""COMPUTED_VALUE"""),"APPROVED")</f>
        <v>APPROVED</v>
      </c>
      <c r="T1599" s="1" t="str">
        <f>IFERROR(__xludf.DUMMYFUNCTION("""COMPUTED_VALUE"""),"CLOSED")</f>
        <v>CLOSED</v>
      </c>
      <c r="U1599" s="1" t="str">
        <f>IFERROR(__xludf.DUMMYFUNCTION("""COMPUTED_VALUE"""),"POSTED")</f>
        <v>POSTED</v>
      </c>
      <c r="V1599" s="1"/>
      <c r="W1599" s="1"/>
    </row>
    <row r="1600" customHeight="1" spans="1:23">
      <c r="A1600" s="3">
        <f>IFERROR(__xludf.DUMMYFUNCTION("""COMPUTED_VALUE"""),46153)</f>
        <v>46153</v>
      </c>
      <c r="B1600" s="1" t="str">
        <f>IFERROR(__xludf.DUMMYFUNCTION("""COMPUTED_VALUE"""),"FRANCISCO , ROSELYN")</f>
        <v>FRANCISCO , ROSELYN</v>
      </c>
      <c r="C1600" s="1" t="str">
        <f>IFERROR(__xludf.DUMMYFUNCTION("""COMPUTED_VALUE"""),"ORGANIC")</f>
        <v>ORGANIC</v>
      </c>
      <c r="D1600" s="1" t="str">
        <f>IFERROR(__xludf.DUMMYFUNCTION("""COMPUTED_VALUE"""),"ALOS, CHARLS")</f>
        <v>ALOS, CHARLS</v>
      </c>
      <c r="E1600" s="1" t="str">
        <f>IFERROR(__xludf.DUMMYFUNCTION("""COMPUTED_VALUE"""),"PLDT / ONLINE")</f>
        <v>PLDT / ONLINE</v>
      </c>
      <c r="F1600" s="1">
        <f>IFERROR(__xludf.DUMMYFUNCTION("""COMPUTED_VALUE"""),2309432544)</f>
        <v>2309432544</v>
      </c>
      <c r="G1600" s="1">
        <f>IFERROR(__xludf.DUMMYFUNCTION("""COMPUTED_VALUE"""),454196687004)</f>
        <v>454196687004</v>
      </c>
      <c r="H1600" s="1" t="str">
        <f>IFERROR(__xludf.DUMMYFUNCTION("""COMPUTED_VALUE"""),"JESSA LAPUZ ALARCON")</f>
        <v>JESSA LAPUZ ALARCON</v>
      </c>
      <c r="I1600" s="1">
        <f>IFERROR(__xludf.DUMMYFUNCTION("""COMPUTED_VALUE"""),9764660851)</f>
        <v>9764660851</v>
      </c>
      <c r="J1600" s="1">
        <f>IFERROR(__xludf.DUMMYFUNCTION("""COMPUTED_VALUE"""),9694066310)</f>
        <v>9694066310</v>
      </c>
      <c r="K1600" s="1" t="str">
        <f>IFERROR(__xludf.DUMMYFUNCTION("""COMPUTED_VALUE"""),"JXSSALUV18@GMAIL.COM")</f>
        <v>JXSSALUV18@GMAIL.COM</v>
      </c>
      <c r="L1600" s="1" t="str">
        <f>IFERROR(__xludf.DUMMYFUNCTION("""COMPUTED_VALUE"""),"43")</f>
        <v>43</v>
      </c>
      <c r="M1600" s="1" t="str">
        <f>IFERROR(__xludf.DUMMYFUNCTION("""COMPUTED_VALUE"""),"JASMINE ")</f>
        <v>JASMINE </v>
      </c>
      <c r="N1600" s="1"/>
      <c r="O1600" s="1" t="str">
        <f>IFERROR(__xludf.DUMMYFUNCTION("""COMPUTED_VALUE"""),"AMAYA I")</f>
        <v>AMAYA I</v>
      </c>
      <c r="P1600" s="1" t="str">
        <f>IFERROR(__xludf.DUMMYFUNCTION("""COMPUTED_VALUE"""),"TANZA")</f>
        <v>TANZA</v>
      </c>
      <c r="Q1600" s="1" t="str">
        <f>IFERROR(__xludf.DUMMYFUNCTION("""COMPUTED_VALUE"""),"CAVITE")</f>
        <v>CAVITE</v>
      </c>
      <c r="R1600" s="1" t="str">
        <f>IFERROR(__xludf.DUMMYFUNCTION("""COMPUTED_VALUE"""),"FIBR PLAN 1299")</f>
        <v>FIBR PLAN 1299</v>
      </c>
      <c r="S1600" s="1" t="str">
        <f>IFERROR(__xludf.DUMMYFUNCTION("""COMPUTED_VALUE"""),"APPROVED")</f>
        <v>APPROVED</v>
      </c>
      <c r="T1600" s="1" t="str">
        <f>IFERROR(__xludf.DUMMYFUNCTION("""COMPUTED_VALUE"""),"REENCODED")</f>
        <v>REENCODED</v>
      </c>
      <c r="U1600" s="1"/>
      <c r="V1600" s="1"/>
      <c r="W1600" s="1"/>
    </row>
    <row r="1601" customHeight="1" spans="1:23">
      <c r="A1601" s="3">
        <f>IFERROR(__xludf.DUMMYFUNCTION("""COMPUTED_VALUE"""),46153)</f>
        <v>46153</v>
      </c>
      <c r="B1601" s="1" t="str">
        <f>IFERROR(__xludf.DUMMYFUNCTION("""COMPUTED_VALUE"""),"IVNO, RAZZEL")</f>
        <v>IVNO, RAZZEL</v>
      </c>
      <c r="C1601" s="1" t="str">
        <f>IFERROR(__xludf.DUMMYFUNCTION("""COMPUTED_VALUE"""),"ORGANIC")</f>
        <v>ORGANIC</v>
      </c>
      <c r="D1601" s="1" t="str">
        <f>IFERROR(__xludf.DUMMYFUNCTION("""COMPUTED_VALUE"""),"REMOLLO LEA")</f>
        <v>REMOLLO LEA</v>
      </c>
      <c r="E1601" s="1" t="str">
        <f>IFERROR(__xludf.DUMMYFUNCTION("""COMPUTED_VALUE"""),"PLDT / H2H")</f>
        <v>PLDT / H2H</v>
      </c>
      <c r="F1601" s="1">
        <f>IFERROR(__xludf.DUMMYFUNCTION("""COMPUTED_VALUE"""),2309434388)</f>
        <v>2309434388</v>
      </c>
      <c r="G1601" s="1">
        <f>IFERROR(__xludf.DUMMYFUNCTION("""COMPUTED_VALUE"""),454203214004)</f>
        <v>454203214004</v>
      </c>
      <c r="H1601" s="1" t="str">
        <f>IFERROR(__xludf.DUMMYFUNCTION("""COMPUTED_VALUE"""),"KRYSTEL ANN SESMA ESPIRITU")</f>
        <v>KRYSTEL ANN SESMA ESPIRITU</v>
      </c>
      <c r="I1601" s="1">
        <f>IFERROR(__xludf.DUMMYFUNCTION("""COMPUTED_VALUE"""),9942421434)</f>
        <v>9942421434</v>
      </c>
      <c r="J1601" s="1">
        <f>IFERROR(__xludf.DUMMYFUNCTION("""COMPUTED_VALUE"""),9930043892)</f>
        <v>9930043892</v>
      </c>
      <c r="K1601" s="1" t="str">
        <f>IFERROR(__xludf.DUMMYFUNCTION("""COMPUTED_VALUE"""),"KRYSTELESPIRITU@GMAIL.COM")</f>
        <v>KRYSTELESPIRITU@GMAIL.COM</v>
      </c>
      <c r="L1601" s="1" t="str">
        <f>IFERROR(__xludf.DUMMYFUNCTION("""COMPUTED_VALUE"""),"249")</f>
        <v>249</v>
      </c>
      <c r="M1601" s="1" t="str">
        <f>IFERROR(__xludf.DUMMYFUNCTION("""COMPUTED_VALUE"""),"PUROK 134")</f>
        <v>PUROK 134</v>
      </c>
      <c r="N1601" s="1"/>
      <c r="O1601" s="1" t="str">
        <f>IFERROR(__xludf.DUMMYFUNCTION("""COMPUTED_VALUE"""),"NEOGAN")</f>
        <v>NEOGAN</v>
      </c>
      <c r="P1601" s="1" t="str">
        <f>IFERROR(__xludf.DUMMYFUNCTION("""COMPUTED_VALUE"""),"TAGAYTAY")</f>
        <v>TAGAYTAY</v>
      </c>
      <c r="Q1601" s="1" t="str">
        <f>IFERROR(__xludf.DUMMYFUNCTION("""COMPUTED_VALUE"""),"CAVITE")</f>
        <v>CAVITE</v>
      </c>
      <c r="R1601" s="1" t="str">
        <f>IFERROR(__xludf.DUMMYFUNCTION("""COMPUTED_VALUE"""),"FIBR UNLI ALL PLAN 999")</f>
        <v>FIBR UNLI ALL PLAN 999</v>
      </c>
      <c r="S1601" s="1" t="str">
        <f>IFERROR(__xludf.DUMMYFUNCTION("""COMPUTED_VALUE"""),"APPROVED")</f>
        <v>APPROVED</v>
      </c>
      <c r="T1601" s="1" t="str">
        <f>IFERROR(__xludf.DUMMYFUNCTION("""COMPUTED_VALUE"""),"CLOSED")</f>
        <v>CLOSED</v>
      </c>
      <c r="U1601" s="1" t="str">
        <f>IFERROR(__xludf.DUMMYFUNCTION("""COMPUTED_VALUE"""),"POSTED")</f>
        <v>POSTED</v>
      </c>
      <c r="V1601" s="1"/>
      <c r="W1601" s="1"/>
    </row>
    <row r="1602" customHeight="1" spans="1:23">
      <c r="A1602" s="3">
        <f>IFERROR(__xludf.DUMMYFUNCTION("""COMPUTED_VALUE"""),46153)</f>
        <v>46153</v>
      </c>
      <c r="B1602" s="1" t="str">
        <f>IFERROR(__xludf.DUMMYFUNCTION("""COMPUTED_VALUE"""),"TAMAYO,MARY ROSE")</f>
        <v>TAMAYO,MARY ROSE</v>
      </c>
      <c r="C1602" s="1" t="str">
        <f>IFERROR(__xludf.DUMMYFUNCTION("""COMPUTED_VALUE"""),"ORGANIC")</f>
        <v>ORGANIC</v>
      </c>
      <c r="D1602" s="1" t="str">
        <f>IFERROR(__xludf.DUMMYFUNCTION("""COMPUTED_VALUE"""),"ALINGARO, CINDY")</f>
        <v>ALINGARO, CINDY</v>
      </c>
      <c r="E1602" s="1" t="str">
        <f>IFERROR(__xludf.DUMMYFUNCTION("""COMPUTED_VALUE"""),"PLDT / H2H")</f>
        <v>PLDT / H2H</v>
      </c>
      <c r="F1602" s="1">
        <f>IFERROR(__xludf.DUMMYFUNCTION("""COMPUTED_VALUE"""),2309435088)</f>
        <v>2309435088</v>
      </c>
      <c r="G1602" s="1">
        <f>IFERROR(__xludf.DUMMYFUNCTION("""COMPUTED_VALUE"""),454208210004)</f>
        <v>454208210004</v>
      </c>
      <c r="H1602" s="1" t="str">
        <f>IFERROR(__xludf.DUMMYFUNCTION("""COMPUTED_VALUE"""),"HENRY VILLAFRANCA MENDEZ")</f>
        <v>HENRY VILLAFRANCA MENDEZ</v>
      </c>
      <c r="I1602" s="1">
        <f>IFERROR(__xludf.DUMMYFUNCTION("""COMPUTED_VALUE"""),9452804807)</f>
        <v>9452804807</v>
      </c>
      <c r="J1602" s="1"/>
      <c r="K1602" s="1" t="str">
        <f>IFERROR(__xludf.DUMMYFUNCTION("""COMPUTED_VALUE"""),"HENRYMENDEZ1995NOV@GMAIL.COM")</f>
        <v>HENRYMENDEZ1995NOV@GMAIL.COM</v>
      </c>
      <c r="L1602" s="1" t="str">
        <f>IFERROR(__xludf.DUMMYFUNCTION("""COMPUTED_VALUE"""),"BLK 32 LOT 10")</f>
        <v>BLK 32 LOT 10</v>
      </c>
      <c r="M1602" s="1" t="str">
        <f>IFERROR(__xludf.DUMMYFUNCTION("""COMPUTED_VALUE"""),"ANAHAW")</f>
        <v>ANAHAW</v>
      </c>
      <c r="N1602" s="1"/>
      <c r="O1602" s="1" t="str">
        <f>IFERROR(__xludf.DUMMYFUNCTION("""COMPUTED_VALUE"""),"ANAHAW II")</f>
        <v>ANAHAW II</v>
      </c>
      <c r="P1602" s="1" t="str">
        <f>IFERROR(__xludf.DUMMYFUNCTION("""COMPUTED_VALUE"""),"SILANG")</f>
        <v>SILANG</v>
      </c>
      <c r="Q1602" s="1" t="str">
        <f>IFERROR(__xludf.DUMMYFUNCTION("""COMPUTED_VALUE"""),"CAVITE")</f>
        <v>CAVITE</v>
      </c>
      <c r="R1602" s="1" t="str">
        <f>IFERROR(__xludf.DUMMYFUNCTION("""COMPUTED_VALUE"""),"FIBR UNLI ALL PLAN 1399")</f>
        <v>FIBR UNLI ALL PLAN 1399</v>
      </c>
      <c r="S1602" s="1" t="str">
        <f>IFERROR(__xludf.DUMMYFUNCTION("""COMPUTED_VALUE"""),"APPROVED")</f>
        <v>APPROVED</v>
      </c>
      <c r="T1602" s="1" t="str">
        <f>IFERROR(__xludf.DUMMYFUNCTION("""COMPUTED_VALUE"""),"CLOSED")</f>
        <v>CLOSED</v>
      </c>
      <c r="U1602" s="1" t="str">
        <f>IFERROR(__xludf.DUMMYFUNCTION("""COMPUTED_VALUE"""),"POSTED")</f>
        <v>POSTED</v>
      </c>
      <c r="V1602" s="1"/>
      <c r="W1602" s="1"/>
    </row>
    <row r="1603" customHeight="1" spans="1:23">
      <c r="A1603" s="3">
        <f>IFERROR(__xludf.DUMMYFUNCTION("""COMPUTED_VALUE"""),46153)</f>
        <v>46153</v>
      </c>
      <c r="B1603" s="1" t="str">
        <f>IFERROR(__xludf.DUMMYFUNCTION("""COMPUTED_VALUE"""),"MAÑANITA, ERIKA")</f>
        <v>MAÑANITA, ERIKA</v>
      </c>
      <c r="C1603" s="1" t="str">
        <f>IFERROR(__xludf.DUMMYFUNCTION("""COMPUTED_VALUE"""),"ORGANIC")</f>
        <v>ORGANIC</v>
      </c>
      <c r="D1603" s="1" t="str">
        <f>IFERROR(__xludf.DUMMYFUNCTION("""COMPUTED_VALUE"""),"ALOS, CHARLS")</f>
        <v>ALOS, CHARLS</v>
      </c>
      <c r="E1603" s="1" t="str">
        <f>IFERROR(__xludf.DUMMYFUNCTION("""COMPUTED_VALUE"""),"PLDT / H2H")</f>
        <v>PLDT / H2H</v>
      </c>
      <c r="F1603" s="1">
        <f>IFERROR(__xludf.DUMMYFUNCTION("""COMPUTED_VALUE"""),2309437189)</f>
        <v>2309437189</v>
      </c>
      <c r="G1603" s="1"/>
      <c r="H1603" s="1" t="str">
        <f>IFERROR(__xludf.DUMMYFUNCTION("""COMPUTED_VALUE"""),"CHRISTOPHER ALFONSO ADONA")</f>
        <v>CHRISTOPHER ALFONSO ADONA</v>
      </c>
      <c r="I1603" s="1">
        <f>IFERROR(__xludf.DUMMYFUNCTION("""COMPUTED_VALUE"""),9563014930)</f>
        <v>9563014930</v>
      </c>
      <c r="J1603" s="1"/>
      <c r="K1603" s="1" t="str">
        <f>IFERROR(__xludf.DUMMYFUNCTION("""COMPUTED_VALUE"""),"ADONACHRISTOPHER915@GMAIL.COM")</f>
        <v>ADONACHRISTOPHER915@GMAIL.COM</v>
      </c>
      <c r="L1603" s="1" t="str">
        <f>IFERROR(__xludf.DUMMYFUNCTION("""COMPUTED_VALUE"""),"BLK 13 LOT 8")</f>
        <v>BLK 13 LOT 8</v>
      </c>
      <c r="M1603" s="1" t="str">
        <f>IFERROR(__xludf.DUMMYFUNCTION("""COMPUTED_VALUE"""),"ESPIRITO")</f>
        <v>ESPIRITO</v>
      </c>
      <c r="N1603" s="1"/>
      <c r="O1603" s="1" t="str">
        <f>IFERROR(__xludf.DUMMYFUNCTION("""COMPUTED_VALUE"""),"P.F. ESPIRITU VIII")</f>
        <v>P.F. ESPIRITU VIII</v>
      </c>
      <c r="P1603" s="1" t="str">
        <f>IFERROR(__xludf.DUMMYFUNCTION("""COMPUTED_VALUE"""),"BACOOR")</f>
        <v>BACOOR</v>
      </c>
      <c r="Q1603" s="1" t="str">
        <f>IFERROR(__xludf.DUMMYFUNCTION("""COMPUTED_VALUE"""),"CAVITE")</f>
        <v>CAVITE</v>
      </c>
      <c r="R1603" s="1" t="str">
        <f>IFERROR(__xludf.DUMMYFUNCTION("""COMPUTED_VALUE"""),"FIBR PLAN 1299")</f>
        <v>FIBR PLAN 1299</v>
      </c>
      <c r="S1603" s="1" t="str">
        <f>IFERROR(__xludf.DUMMYFUNCTION("""COMPUTED_VALUE"""),"APPROVED")</f>
        <v>APPROVED</v>
      </c>
      <c r="T1603" s="1" t="str">
        <f>IFERROR(__xludf.DUMMYFUNCTION("""COMPUTED_VALUE"""),"CANCELLED")</f>
        <v>CANCELLED</v>
      </c>
      <c r="U1603" s="1"/>
      <c r="V1603" s="1"/>
      <c r="W1603" s="1"/>
    </row>
    <row r="1604" customHeight="1" spans="1:23">
      <c r="A1604" s="3">
        <f>IFERROR(__xludf.DUMMYFUNCTION("""COMPUTED_VALUE"""),46153)</f>
        <v>46153</v>
      </c>
      <c r="B1604" s="1" t="str">
        <f>IFERROR(__xludf.DUMMYFUNCTION("""COMPUTED_VALUE"""),"REMOLLO, LEA")</f>
        <v>REMOLLO, LEA</v>
      </c>
      <c r="C1604" s="1" t="str">
        <f>IFERROR(__xludf.DUMMYFUNCTION("""COMPUTED_VALUE"""),"FLA")</f>
        <v>FLA</v>
      </c>
      <c r="D1604" s="1" t="str">
        <f>IFERROR(__xludf.DUMMYFUNCTION("""COMPUTED_VALUE"""),"JERIC NAVARRO")</f>
        <v>JERIC NAVARRO</v>
      </c>
      <c r="E1604" s="1" t="str">
        <f>IFERROR(__xludf.DUMMYFUNCTION("""COMPUTED_VALUE"""),"PLDT / ONLINE")</f>
        <v>PLDT / ONLINE</v>
      </c>
      <c r="F1604" s="1">
        <f>IFERROR(__xludf.DUMMYFUNCTION("""COMPUTED_VALUE"""),2309437751)</f>
        <v>2309437751</v>
      </c>
      <c r="G1604" s="1">
        <f>IFERROR(__xludf.DUMMYFUNCTION("""COMPUTED_VALUE"""),454206671004)</f>
        <v>454206671004</v>
      </c>
      <c r="H1604" s="1" t="str">
        <f>IFERROR(__xludf.DUMMYFUNCTION("""COMPUTED_VALUE"""),"LEIZEL CANON SELLAVE")</f>
        <v>LEIZEL CANON SELLAVE</v>
      </c>
      <c r="I1604" s="1">
        <f>IFERROR(__xludf.DUMMYFUNCTION("""COMPUTED_VALUE"""),9948593409)</f>
        <v>9948593409</v>
      </c>
      <c r="J1604" s="1">
        <f>IFERROR(__xludf.DUMMYFUNCTION("""COMPUTED_VALUE"""),9940269875)</f>
        <v>9940269875</v>
      </c>
      <c r="K1604" s="1" t="str">
        <f>IFERROR(__xludf.DUMMYFUNCTION("""COMPUTED_VALUE"""),"NASSANDRASELLAVE5@GMAIL.COM")</f>
        <v>NASSANDRASELLAVE5@GMAIL.COM</v>
      </c>
      <c r="L1604" s="1" t="str">
        <f>IFERROR(__xludf.DUMMYFUNCTION("""COMPUTED_VALUE"""),"282")</f>
        <v>282</v>
      </c>
      <c r="M1604" s="1" t="str">
        <f>IFERROR(__xludf.DUMMYFUNCTION("""COMPUTED_VALUE"""),"TIRONA RD")</f>
        <v>TIRONA RD</v>
      </c>
      <c r="N1604" s="1"/>
      <c r="O1604" s="1" t="str">
        <f>IFERROR(__xludf.DUMMYFUNCTION("""COMPUTED_VALUE"""),"SAN AGUSTIN II")</f>
        <v>SAN AGUSTIN II</v>
      </c>
      <c r="P1604" s="1" t="str">
        <f>IFERROR(__xludf.DUMMYFUNCTION("""COMPUTED_VALUE"""),"DASMARINAS")</f>
        <v>DASMARINAS</v>
      </c>
      <c r="Q1604" s="1" t="str">
        <f>IFERROR(__xludf.DUMMYFUNCTION("""COMPUTED_VALUE"""),"CAVITE")</f>
        <v>CAVITE</v>
      </c>
      <c r="R1604" s="1" t="str">
        <f>IFERROR(__xludf.DUMMYFUNCTION("""COMPUTED_VALUE"""),"FIBR UNLI ALL PLAN 1399")</f>
        <v>FIBR UNLI ALL PLAN 1399</v>
      </c>
      <c r="S1604" s="1" t="str">
        <f>IFERROR(__xludf.DUMMYFUNCTION("""COMPUTED_VALUE"""),"APPROVED")</f>
        <v>APPROVED</v>
      </c>
      <c r="T1604" s="1" t="str">
        <f>IFERROR(__xludf.DUMMYFUNCTION("""COMPUTED_VALUE"""),"CLOSED")</f>
        <v>CLOSED</v>
      </c>
      <c r="U1604" s="1" t="str">
        <f>IFERROR(__xludf.DUMMYFUNCTION("""COMPUTED_VALUE"""),"POSTED")</f>
        <v>POSTED</v>
      </c>
      <c r="V1604" s="1"/>
      <c r="W1604" s="1"/>
    </row>
    <row r="1605" customHeight="1" spans="1:23">
      <c r="A1605" s="3">
        <f>IFERROR(__xludf.DUMMYFUNCTION("""COMPUTED_VALUE"""),46153)</f>
        <v>46153</v>
      </c>
      <c r="B1605" s="1" t="str">
        <f>IFERROR(__xludf.DUMMYFUNCTION("""COMPUTED_VALUE"""),"CABRERA JILLIENE")</f>
        <v>CABRERA JILLIENE</v>
      </c>
      <c r="C1605" s="1" t="str">
        <f>IFERROR(__xludf.DUMMYFUNCTION("""COMPUTED_VALUE"""),"ORGANIC")</f>
        <v>ORGANIC</v>
      </c>
      <c r="D1605" s="1" t="str">
        <f>IFERROR(__xludf.DUMMYFUNCTION("""COMPUTED_VALUE"""),"ALOS, CHARLS")</f>
        <v>ALOS, CHARLS</v>
      </c>
      <c r="E1605" s="1" t="str">
        <f>IFERROR(__xludf.DUMMYFUNCTION("""COMPUTED_VALUE"""),"PLDT / ONLINE")</f>
        <v>PLDT / ONLINE</v>
      </c>
      <c r="F1605" s="1">
        <f>IFERROR(__xludf.DUMMYFUNCTION("""COMPUTED_VALUE"""),2309438396)</f>
        <v>2309438396</v>
      </c>
      <c r="G1605" s="1">
        <f>IFERROR(__xludf.DUMMYFUNCTION("""COMPUTED_VALUE"""),454343311004)</f>
        <v>454343311004</v>
      </c>
      <c r="H1605" s="1" t="str">
        <f>IFERROR(__xludf.DUMMYFUNCTION("""COMPUTED_VALUE"""),"CARLO JAKE ROSAS PARILLA")</f>
        <v>CARLO JAKE ROSAS PARILLA</v>
      </c>
      <c r="I1605" s="1">
        <f>IFERROR(__xludf.DUMMYFUNCTION("""COMPUTED_VALUE"""),9129101603)</f>
        <v>9129101603</v>
      </c>
      <c r="J1605" s="1"/>
      <c r="K1605" s="1" t="str">
        <f>IFERROR(__xludf.DUMMYFUNCTION("""COMPUTED_VALUE"""),"CARLOJAKEPARILLA855@GMAIL.COM")</f>
        <v>CARLOJAKEPARILLA855@GMAIL.COM</v>
      </c>
      <c r="L1605" s="1" t="str">
        <f>IFERROR(__xludf.DUMMYFUNCTION("""COMPUTED_VALUE"""),"BLK 11 LOT 29")</f>
        <v>BLK 11 LOT 29</v>
      </c>
      <c r="M1605" s="1" t="str">
        <f>IFERROR(__xludf.DUMMYFUNCTION("""COMPUTED_VALUE"""),"SAN MARINO")</f>
        <v>SAN MARINO</v>
      </c>
      <c r="N1605" s="1"/>
      <c r="O1605" s="1" t="str">
        <f>IFERROR(__xludf.DUMMYFUNCTION("""COMPUTED_VALUE"""),"SALAWAG")</f>
        <v>SALAWAG</v>
      </c>
      <c r="P1605" s="1" t="str">
        <f>IFERROR(__xludf.DUMMYFUNCTION("""COMPUTED_VALUE"""),"DASMARINAS")</f>
        <v>DASMARINAS</v>
      </c>
      <c r="Q1605" s="1" t="str">
        <f>IFERROR(__xludf.DUMMYFUNCTION("""COMPUTED_VALUE"""),"CAVITE")</f>
        <v>CAVITE</v>
      </c>
      <c r="R1605" s="1" t="str">
        <f>IFERROR(__xludf.DUMMYFUNCTION("""COMPUTED_VALUE"""),"FIBR UNLI ALL PLAN 1399")</f>
        <v>FIBR UNLI ALL PLAN 1399</v>
      </c>
      <c r="S1605" s="1" t="str">
        <f>IFERROR(__xludf.DUMMYFUNCTION("""COMPUTED_VALUE"""),"APPROVED")</f>
        <v>APPROVED</v>
      </c>
      <c r="T1605" s="1" t="str">
        <f>IFERROR(__xludf.DUMMYFUNCTION("""COMPUTED_VALUE"""),"CLOSED")</f>
        <v>CLOSED</v>
      </c>
      <c r="U1605" s="1" t="str">
        <f>IFERROR(__xludf.DUMMYFUNCTION("""COMPUTED_VALUE"""),"POSTED")</f>
        <v>POSTED</v>
      </c>
      <c r="V1605" s="1"/>
      <c r="W1605" s="1"/>
    </row>
    <row r="1606" customHeight="1" spans="1:23">
      <c r="A1606" s="3">
        <f>IFERROR(__xludf.DUMMYFUNCTION("""COMPUTED_VALUE"""),46153)</f>
        <v>46153</v>
      </c>
      <c r="B1606" s="1" t="str">
        <f>IFERROR(__xludf.DUMMYFUNCTION("""COMPUTED_VALUE"""),"MALIWAT MARK ELVIN")</f>
        <v>MALIWAT MARK ELVIN</v>
      </c>
      <c r="C1606" s="1" t="str">
        <f>IFERROR(__xludf.DUMMYFUNCTION("""COMPUTED_VALUE"""),"FLA")</f>
        <v>FLA</v>
      </c>
      <c r="D1606" s="1" t="str">
        <f>IFERROR(__xludf.DUMMYFUNCTION("""COMPUTED_VALUE"""),"JERIC NAVARRO")</f>
        <v>JERIC NAVARRO</v>
      </c>
      <c r="E1606" s="1" t="str">
        <f>IFERROR(__xludf.DUMMYFUNCTION("""COMPUTED_VALUE"""),"PLDT / H2H")</f>
        <v>PLDT / H2H</v>
      </c>
      <c r="F1606" s="1">
        <f>IFERROR(__xludf.DUMMYFUNCTION("""COMPUTED_VALUE"""),2309437919)</f>
        <v>2309437919</v>
      </c>
      <c r="G1606" s="1">
        <f>IFERROR(__xludf.DUMMYFUNCTION("""COMPUTED_VALUE"""),454206591004)</f>
        <v>454206591004</v>
      </c>
      <c r="H1606" s="1" t="str">
        <f>IFERROR(__xludf.DUMMYFUNCTION("""COMPUTED_VALUE"""),"RACHELLE ARTILLO BEDUYA")</f>
        <v>RACHELLE ARTILLO BEDUYA</v>
      </c>
      <c r="I1606" s="1">
        <f>IFERROR(__xludf.DUMMYFUNCTION("""COMPUTED_VALUE"""),9125853012)</f>
        <v>9125853012</v>
      </c>
      <c r="J1606" s="1">
        <f>IFERROR(__xludf.DUMMYFUNCTION("""COMPUTED_VALUE"""),9072125990)</f>
        <v>9072125990</v>
      </c>
      <c r="K1606" s="1" t="str">
        <f>IFERROR(__xludf.DUMMYFUNCTION("""COMPUTED_VALUE"""),"RACHELLEBEDUYA91@GMAIL.COM")</f>
        <v>RACHELLEBEDUYA91@GMAIL.COM</v>
      </c>
      <c r="L1606" s="1" t="str">
        <f>IFERROR(__xludf.DUMMYFUNCTION("""COMPUTED_VALUE"""),"139")</f>
        <v>139</v>
      </c>
      <c r="M1606" s="1" t="str">
        <f>IFERROR(__xludf.DUMMYFUNCTION("""COMPUTED_VALUE"""),"PUROK 4")</f>
        <v>PUROK 4</v>
      </c>
      <c r="N1606" s="1"/>
      <c r="O1606" s="1" t="str">
        <f>IFERROR(__xludf.DUMMYFUNCTION("""COMPUTED_VALUE"""),"PASONG LANGKA")</f>
        <v>PASONG LANGKA</v>
      </c>
      <c r="P1606" s="1" t="str">
        <f>IFERROR(__xludf.DUMMYFUNCTION("""COMPUTED_VALUE"""),"SILANG")</f>
        <v>SILANG</v>
      </c>
      <c r="Q1606" s="1" t="str">
        <f>IFERROR(__xludf.DUMMYFUNCTION("""COMPUTED_VALUE"""),"CAVITE")</f>
        <v>CAVITE</v>
      </c>
      <c r="R1606" s="1" t="str">
        <f>IFERROR(__xludf.DUMMYFUNCTION("""COMPUTED_VALUE"""),"FIBR PLAN 1299")</f>
        <v>FIBR PLAN 1299</v>
      </c>
      <c r="S1606" s="1" t="str">
        <f>IFERROR(__xludf.DUMMYFUNCTION("""COMPUTED_VALUE"""),"APPROVED")</f>
        <v>APPROVED</v>
      </c>
      <c r="T1606" s="1" t="str">
        <f>IFERROR(__xludf.DUMMYFUNCTION("""COMPUTED_VALUE"""),"RPR")</f>
        <v>RPR</v>
      </c>
      <c r="U1606" s="1"/>
      <c r="V1606" s="1"/>
      <c r="W1606" s="1"/>
    </row>
    <row r="1607" customHeight="1" spans="1:23">
      <c r="A1607" s="3">
        <f>IFERROR(__xludf.DUMMYFUNCTION("""COMPUTED_VALUE"""),46153)</f>
        <v>46153</v>
      </c>
      <c r="B1607" s="1" t="str">
        <f>IFERROR(__xludf.DUMMYFUNCTION("""COMPUTED_VALUE"""),"FRONDEZ, JEDREFF")</f>
        <v>FRONDEZ, JEDREFF</v>
      </c>
      <c r="C1607" s="1" t="str">
        <f>IFERROR(__xludf.DUMMYFUNCTION("""COMPUTED_VALUE"""),"ORGANIC")</f>
        <v>ORGANIC</v>
      </c>
      <c r="D1607" s="1" t="str">
        <f>IFERROR(__xludf.DUMMYFUNCTION("""COMPUTED_VALUE"""),"REMOLLO LEA")</f>
        <v>REMOLLO LEA</v>
      </c>
      <c r="E1607" s="1" t="str">
        <f>IFERROR(__xludf.DUMMYFUNCTION("""COMPUTED_VALUE"""),"PLDT / H2H")</f>
        <v>PLDT / H2H</v>
      </c>
      <c r="F1607" s="1">
        <f>IFERROR(__xludf.DUMMYFUNCTION("""COMPUTED_VALUE"""),2309438392)</f>
        <v>2309438392</v>
      </c>
      <c r="G1607" s="1">
        <f>IFERROR(__xludf.DUMMYFUNCTION("""COMPUTED_VALUE"""),454208308004)</f>
        <v>454208308004</v>
      </c>
      <c r="H1607" s="1" t="str">
        <f>IFERROR(__xludf.DUMMYFUNCTION("""COMPUTED_VALUE"""),"FRANKY DELOS REYES VALENCIA")</f>
        <v>FRANKY DELOS REYES VALENCIA</v>
      </c>
      <c r="I1607" s="1">
        <f>IFERROR(__xludf.DUMMYFUNCTION("""COMPUTED_VALUE"""),9692165479)</f>
        <v>9692165479</v>
      </c>
      <c r="J1607" s="1">
        <f>IFERROR(__xludf.DUMMYFUNCTION("""COMPUTED_VALUE"""),9451456449)</f>
        <v>9451456449</v>
      </c>
      <c r="K1607" s="1" t="str">
        <f>IFERROR(__xludf.DUMMYFUNCTION("""COMPUTED_VALUE"""),"VALENCIAFRANKY0@GMAIL.COM")</f>
        <v>VALENCIAFRANKY0@GMAIL.COM</v>
      </c>
      <c r="L1607" s="1" t="str">
        <f>IFERROR(__xludf.DUMMYFUNCTION("""COMPUTED_VALUE"""),"256")</f>
        <v>256</v>
      </c>
      <c r="M1607" s="1" t="str">
        <f>IFERROR(__xludf.DUMMYFUNCTION("""COMPUTED_VALUE"""),"PUROK 45")</f>
        <v>PUROK 45</v>
      </c>
      <c r="N1607" s="1"/>
      <c r="O1607" s="1" t="str">
        <f>IFERROR(__xludf.DUMMYFUNCTION("""COMPUTED_VALUE"""),"IRUHIN SOUTH")</f>
        <v>IRUHIN SOUTH</v>
      </c>
      <c r="P1607" s="1" t="str">
        <f>IFERROR(__xludf.DUMMYFUNCTION("""COMPUTED_VALUE"""),"TAGAYTAY")</f>
        <v>TAGAYTAY</v>
      </c>
      <c r="Q1607" s="1" t="str">
        <f>IFERROR(__xludf.DUMMYFUNCTION("""COMPUTED_VALUE"""),"CAVITE")</f>
        <v>CAVITE</v>
      </c>
      <c r="R1607" s="1" t="str">
        <f>IFERROR(__xludf.DUMMYFUNCTION("""COMPUTED_VALUE"""),"FIBR UNLI ALL PLAN 1399")</f>
        <v>FIBR UNLI ALL PLAN 1399</v>
      </c>
      <c r="S1607" s="1" t="str">
        <f>IFERROR(__xludf.DUMMYFUNCTION("""COMPUTED_VALUE"""),"APPROVED")</f>
        <v>APPROVED</v>
      </c>
      <c r="T1607" s="1" t="str">
        <f>IFERROR(__xludf.DUMMYFUNCTION("""COMPUTED_VALUE"""),"CLOSED")</f>
        <v>CLOSED</v>
      </c>
      <c r="U1607" s="1" t="str">
        <f>IFERROR(__xludf.DUMMYFUNCTION("""COMPUTED_VALUE"""),"POSTED")</f>
        <v>POSTED</v>
      </c>
      <c r="V1607" s="1"/>
      <c r="W1607" s="1"/>
    </row>
    <row r="1608" customHeight="1" spans="1:23">
      <c r="A1608" s="3">
        <f>IFERROR(__xludf.DUMMYFUNCTION("""COMPUTED_VALUE"""),46153)</f>
        <v>46153</v>
      </c>
      <c r="B1608" s="1" t="str">
        <f>IFERROR(__xludf.DUMMYFUNCTION("""COMPUTED_VALUE"""),"FRANCISCO , ROSELYN")</f>
        <v>FRANCISCO , ROSELYN</v>
      </c>
      <c r="C1608" s="1" t="str">
        <f>IFERROR(__xludf.DUMMYFUNCTION("""COMPUTED_VALUE"""),"ORGANIC")</f>
        <v>ORGANIC</v>
      </c>
      <c r="D1608" s="1" t="str">
        <f>IFERROR(__xludf.DUMMYFUNCTION("""COMPUTED_VALUE"""),"ALOS, CHARLS")</f>
        <v>ALOS, CHARLS</v>
      </c>
      <c r="E1608" s="1" t="str">
        <f>IFERROR(__xludf.DUMMYFUNCTION("""COMPUTED_VALUE"""),"PLDT / H2H")</f>
        <v>PLDT / H2H</v>
      </c>
      <c r="F1608" s="1">
        <f>IFERROR(__xludf.DUMMYFUNCTION("""COMPUTED_VALUE"""),2309439932)</f>
        <v>2309439932</v>
      </c>
      <c r="G1608" s="1">
        <f>IFERROR(__xludf.DUMMYFUNCTION("""COMPUTED_VALUE"""),454210205004)</f>
        <v>454210205004</v>
      </c>
      <c r="H1608" s="1" t="str">
        <f>IFERROR(__xludf.DUMMYFUNCTION("""COMPUTED_VALUE"""),"CHARLIE URGELLES RODRIGUEZ")</f>
        <v>CHARLIE URGELLES RODRIGUEZ</v>
      </c>
      <c r="I1608" s="1">
        <f>IFERROR(__xludf.DUMMYFUNCTION("""COMPUTED_VALUE"""),9051989636)</f>
        <v>9051989636</v>
      </c>
      <c r="J1608" s="1"/>
      <c r="K1608" s="1" t="str">
        <f>IFERROR(__xludf.DUMMYFUNCTION("""COMPUTED_VALUE"""),"CINEMAXXPROMAC@GMAIL.COM")</f>
        <v>CINEMAXXPROMAC@GMAIL.COM</v>
      </c>
      <c r="L1608" s="1" t="str">
        <f>IFERROR(__xludf.DUMMYFUNCTION("""COMPUTED_VALUE"""),"195")</f>
        <v>195</v>
      </c>
      <c r="M1608" s="1" t="str">
        <f>IFERROR(__xludf.DUMMYFUNCTION("""COMPUTED_VALUE"""),"PUROK 150")</f>
        <v>PUROK 150</v>
      </c>
      <c r="N1608" s="1"/>
      <c r="O1608" s="1" t="str">
        <f>IFERROR(__xludf.DUMMYFUNCTION("""COMPUTED_VALUE"""),"PATUTONG MALAKI NORTH")</f>
        <v>PATUTONG MALAKI NORTH</v>
      </c>
      <c r="P1608" s="1" t="str">
        <f>IFERROR(__xludf.DUMMYFUNCTION("""COMPUTED_VALUE"""),"TAGAYTAY")</f>
        <v>TAGAYTAY</v>
      </c>
      <c r="Q1608" s="1" t="str">
        <f>IFERROR(__xludf.DUMMYFUNCTION("""COMPUTED_VALUE"""),"CAVITE")</f>
        <v>CAVITE</v>
      </c>
      <c r="R1608" s="1" t="str">
        <f>IFERROR(__xludf.DUMMYFUNCTION("""COMPUTED_VALUE"""),"FIBR UNLI ALL PLAN 999")</f>
        <v>FIBR UNLI ALL PLAN 999</v>
      </c>
      <c r="S1608" s="1" t="str">
        <f>IFERROR(__xludf.DUMMYFUNCTION("""COMPUTED_VALUE"""),"APPROVED")</f>
        <v>APPROVED</v>
      </c>
      <c r="T1608" s="1" t="str">
        <f>IFERROR(__xludf.DUMMYFUNCTION("""COMPUTED_VALUE"""),"CANCELLED")</f>
        <v>CANCELLED</v>
      </c>
      <c r="U1608" s="1" t="str">
        <f>IFERROR(__xludf.DUMMYFUNCTION("""COMPUTED_VALUE"""),"WITH PAYMENT VIA GCASH ")</f>
        <v>WITH PAYMENT VIA GCASH </v>
      </c>
      <c r="V1608" s="1"/>
      <c r="W1608" s="1"/>
    </row>
    <row r="1609" customHeight="1" spans="1:23">
      <c r="A1609" s="3">
        <f>IFERROR(__xludf.DUMMYFUNCTION("""COMPUTED_VALUE"""),46153)</f>
        <v>46153</v>
      </c>
      <c r="B1609" s="1" t="str">
        <f>IFERROR(__xludf.DUMMYFUNCTION("""COMPUTED_VALUE"""),"REMOLLO, LEA")</f>
        <v>REMOLLO, LEA</v>
      </c>
      <c r="C1609" s="1" t="str">
        <f>IFERROR(__xludf.DUMMYFUNCTION("""COMPUTED_VALUE"""),"FLA")</f>
        <v>FLA</v>
      </c>
      <c r="D1609" s="1" t="str">
        <f>IFERROR(__xludf.DUMMYFUNCTION("""COMPUTED_VALUE"""),"JERIC NAVARRO")</f>
        <v>JERIC NAVARRO</v>
      </c>
      <c r="E1609" s="1" t="str">
        <f>IFERROR(__xludf.DUMMYFUNCTION("""COMPUTED_VALUE"""),"PLDT / H2H")</f>
        <v>PLDT / H2H</v>
      </c>
      <c r="F1609" s="1">
        <f>IFERROR(__xludf.DUMMYFUNCTION("""COMPUTED_VALUE"""),2309440489)</f>
        <v>2309440489</v>
      </c>
      <c r="G1609" s="1">
        <f>IFERROR(__xludf.DUMMYFUNCTION("""COMPUTED_VALUE"""),454220521004)</f>
        <v>454220521004</v>
      </c>
      <c r="H1609" s="1" t="str">
        <f>IFERROR(__xludf.DUMMYFUNCTION("""COMPUTED_VALUE"""),"RAQUEL PAUYA RUIZ")</f>
        <v>RAQUEL PAUYA RUIZ</v>
      </c>
      <c r="I1609" s="1">
        <f>IFERROR(__xludf.DUMMYFUNCTION("""COMPUTED_VALUE"""),9508320388)</f>
        <v>9508320388</v>
      </c>
      <c r="J1609" s="1"/>
      <c r="K1609" s="1" t="str">
        <f>IFERROR(__xludf.DUMMYFUNCTION("""COMPUTED_VALUE"""),"RUIZRAGUEL066@GMAIL.COM")</f>
        <v>RUIZRAGUEL066@GMAIL.COM</v>
      </c>
      <c r="L1609" s="1" t="str">
        <f>IFERROR(__xludf.DUMMYFUNCTION("""COMPUTED_VALUE"""),"107")</f>
        <v>107</v>
      </c>
      <c r="M1609" s="1" t="str">
        <f>IFERROR(__xludf.DUMMYFUNCTION("""COMPUTED_VALUE"""),"SIUNGAY LANE")</f>
        <v>SIUNGAY LANE</v>
      </c>
      <c r="N1609" s="1"/>
      <c r="O1609" s="1" t="str">
        <f>IFERROR(__xludf.DUMMYFUNCTION("""COMPUTED_VALUE"""),"SUNGAY NORTH")</f>
        <v>SUNGAY NORTH</v>
      </c>
      <c r="P1609" s="1" t="str">
        <f>IFERROR(__xludf.DUMMYFUNCTION("""COMPUTED_VALUE"""),"TAGAYTAY")</f>
        <v>TAGAYTAY</v>
      </c>
      <c r="Q1609" s="1" t="str">
        <f>IFERROR(__xludf.DUMMYFUNCTION("""COMPUTED_VALUE"""),"CAVITE")</f>
        <v>CAVITE</v>
      </c>
      <c r="R1609" s="1" t="str">
        <f>IFERROR(__xludf.DUMMYFUNCTION("""COMPUTED_VALUE"""),"FIBR PLAN 1299")</f>
        <v>FIBR PLAN 1299</v>
      </c>
      <c r="S1609" s="1" t="str">
        <f>IFERROR(__xludf.DUMMYFUNCTION("""COMPUTED_VALUE"""),"APPROVED")</f>
        <v>APPROVED</v>
      </c>
      <c r="T1609" s="1" t="str">
        <f>IFERROR(__xludf.DUMMYFUNCTION("""COMPUTED_VALUE"""),"RPR")</f>
        <v>RPR</v>
      </c>
      <c r="U1609" s="1"/>
      <c r="V1609" s="1"/>
      <c r="W1609" s="1"/>
    </row>
    <row r="1610" customHeight="1" spans="1:23">
      <c r="A1610" s="3">
        <f>IFERROR(__xludf.DUMMYFUNCTION("""COMPUTED_VALUE"""),46153)</f>
        <v>46153</v>
      </c>
      <c r="B1610" s="1" t="str">
        <f>IFERROR(__xludf.DUMMYFUNCTION("""COMPUTED_VALUE"""),"GABAY, MANUEL")</f>
        <v>GABAY, MANUEL</v>
      </c>
      <c r="C1610" s="1" t="str">
        <f>IFERROR(__xludf.DUMMYFUNCTION("""COMPUTED_VALUE"""),"FLA")</f>
        <v>FLA</v>
      </c>
      <c r="D1610" s="1" t="str">
        <f>IFERROR(__xludf.DUMMYFUNCTION("""COMPUTED_VALUE"""),"JERIC NAVARRO")</f>
        <v>JERIC NAVARRO</v>
      </c>
      <c r="E1610" s="1" t="str">
        <f>IFERROR(__xludf.DUMMYFUNCTION("""COMPUTED_VALUE"""),"PLDT / H2H")</f>
        <v>PLDT / H2H</v>
      </c>
      <c r="F1610" s="1">
        <f>IFERROR(__xludf.DUMMYFUNCTION("""COMPUTED_VALUE"""),2309441185)</f>
        <v>2309441185</v>
      </c>
      <c r="G1610" s="1">
        <f>IFERROR(__xludf.DUMMYFUNCTION("""COMPUTED_VALUE"""),454211789004)</f>
        <v>454211789004</v>
      </c>
      <c r="H1610" s="1" t="str">
        <f>IFERROR(__xludf.DUMMYFUNCTION("""COMPUTED_VALUE"""),"HANCE EDRIANE MANAIG MIRANDA")</f>
        <v>HANCE EDRIANE MANAIG MIRANDA</v>
      </c>
      <c r="I1610" s="1">
        <f>IFERROR(__xludf.DUMMYFUNCTION("""COMPUTED_VALUE"""),9386461535)</f>
        <v>9386461535</v>
      </c>
      <c r="J1610" s="1">
        <f>IFERROR(__xludf.DUMMYFUNCTION("""COMPUTED_VALUE"""),9753830971)</f>
        <v>9753830971</v>
      </c>
      <c r="K1610" s="1" t="str">
        <f>IFERROR(__xludf.DUMMYFUNCTION("""COMPUTED_VALUE"""),"HANCEMIRANDA508@GMAIL.COM")</f>
        <v>HANCEMIRANDA508@GMAIL.COM</v>
      </c>
      <c r="L1610" s="1" t="str">
        <f>IFERROR(__xludf.DUMMYFUNCTION("""COMPUTED_VALUE"""),"137-A")</f>
        <v>137-A</v>
      </c>
      <c r="M1610" s="1" t="str">
        <f>IFERROR(__xludf.DUMMYFUNCTION("""COMPUTED_VALUE"""),"PUROK 42")</f>
        <v>PUROK 42</v>
      </c>
      <c r="N1610" s="1" t="str">
        <f>IFERROR(__xludf.DUMMYFUNCTION("""COMPUTED_VALUE"""),"RIGDEVIEW")</f>
        <v>RIGDEVIEW</v>
      </c>
      <c r="O1610" s="1" t="str">
        <f>IFERROR(__xludf.DUMMYFUNCTION("""COMPUTED_VALUE"""),"IRUHIN SOUTH")</f>
        <v>IRUHIN SOUTH</v>
      </c>
      <c r="P1610" s="1" t="str">
        <f>IFERROR(__xludf.DUMMYFUNCTION("""COMPUTED_VALUE"""),"TAGAYTAY")</f>
        <v>TAGAYTAY</v>
      </c>
      <c r="Q1610" s="1" t="str">
        <f>IFERROR(__xludf.DUMMYFUNCTION("""COMPUTED_VALUE"""),"CAVITE")</f>
        <v>CAVITE</v>
      </c>
      <c r="R1610" s="1" t="str">
        <f>IFERROR(__xludf.DUMMYFUNCTION("""COMPUTED_VALUE"""),"FIBR NETFLIX PLAN 1599")</f>
        <v>FIBR NETFLIX PLAN 1599</v>
      </c>
      <c r="S1610" s="1" t="str">
        <f>IFERROR(__xludf.DUMMYFUNCTION("""COMPUTED_VALUE"""),"APPROVED")</f>
        <v>APPROVED</v>
      </c>
      <c r="T1610" s="1" t="str">
        <f>IFERROR(__xludf.DUMMYFUNCTION("""COMPUTED_VALUE"""),"CLOSED")</f>
        <v>CLOSED</v>
      </c>
      <c r="U1610" s="1" t="str">
        <f>IFERROR(__xludf.DUMMYFUNCTION("""COMPUTED_VALUE"""),"POSTED")</f>
        <v>POSTED</v>
      </c>
      <c r="V1610" s="1"/>
      <c r="W1610" s="1"/>
    </row>
    <row r="1611" customHeight="1" spans="1:23">
      <c r="A1611" s="3">
        <f>IFERROR(__xludf.DUMMYFUNCTION("""COMPUTED_VALUE"""),46153)</f>
        <v>46153</v>
      </c>
      <c r="B1611" s="1" t="str">
        <f>IFERROR(__xludf.DUMMYFUNCTION("""COMPUTED_VALUE"""),"GABAY, MANUEL")</f>
        <v>GABAY, MANUEL</v>
      </c>
      <c r="C1611" s="1" t="str">
        <f>IFERROR(__xludf.DUMMYFUNCTION("""COMPUTED_VALUE"""),"FLA")</f>
        <v>FLA</v>
      </c>
      <c r="D1611" s="1" t="str">
        <f>IFERROR(__xludf.DUMMYFUNCTION("""COMPUTED_VALUE"""),"JERIC NAVARRO")</f>
        <v>JERIC NAVARRO</v>
      </c>
      <c r="E1611" s="1" t="str">
        <f>IFERROR(__xludf.DUMMYFUNCTION("""COMPUTED_VALUE"""),"PLDT / H2H")</f>
        <v>PLDT / H2H</v>
      </c>
      <c r="F1611" s="1">
        <f>IFERROR(__xludf.DUMMYFUNCTION("""COMPUTED_VALUE"""),2309450331)</f>
        <v>2309450331</v>
      </c>
      <c r="G1611" s="1">
        <f>IFERROR(__xludf.DUMMYFUNCTION("""COMPUTED_VALUE"""),454344298004)</f>
        <v>454344298004</v>
      </c>
      <c r="H1611" s="1" t="str">
        <f>IFERROR(__xludf.DUMMYFUNCTION("""COMPUTED_VALUE"""),"ARLENE MANAIG SEDUCON")</f>
        <v>ARLENE MANAIG SEDUCON</v>
      </c>
      <c r="I1611" s="1">
        <f>IFERROR(__xludf.DUMMYFUNCTION("""COMPUTED_VALUE"""),9122507848)</f>
        <v>9122507848</v>
      </c>
      <c r="J1611" s="1">
        <f>IFERROR(__xludf.DUMMYFUNCTION("""COMPUTED_VALUE"""),9317950309)</f>
        <v>9317950309</v>
      </c>
      <c r="K1611" s="1" t="str">
        <f>IFERROR(__xludf.DUMMYFUNCTION("""COMPUTED_VALUE"""),"MARLONSEDUCON56@GMAIL.COM")</f>
        <v>MARLONSEDUCON56@GMAIL.COM</v>
      </c>
      <c r="L1611" s="1" t="str">
        <f>IFERROR(__xludf.DUMMYFUNCTION("""COMPUTED_VALUE"""),"141")</f>
        <v>141</v>
      </c>
      <c r="M1611" s="1" t="str">
        <f>IFERROR(__xludf.DUMMYFUNCTION("""COMPUTED_VALUE"""),"PUROK 42")</f>
        <v>PUROK 42</v>
      </c>
      <c r="N1611" s="1" t="str">
        <f>IFERROR(__xludf.DUMMYFUNCTION("""COMPUTED_VALUE"""),"RIGDEVIEW")</f>
        <v>RIGDEVIEW</v>
      </c>
      <c r="O1611" s="1" t="str">
        <f>IFERROR(__xludf.DUMMYFUNCTION("""COMPUTED_VALUE"""),"IRUHIN SOUTH")</f>
        <v>IRUHIN SOUTH</v>
      </c>
      <c r="P1611" s="1" t="str">
        <f>IFERROR(__xludf.DUMMYFUNCTION("""COMPUTED_VALUE"""),"TAGAYTAY")</f>
        <v>TAGAYTAY</v>
      </c>
      <c r="Q1611" s="1" t="str">
        <f>IFERROR(__xludf.DUMMYFUNCTION("""COMPUTED_VALUE"""),"CAVITE")</f>
        <v>CAVITE</v>
      </c>
      <c r="R1611" s="1" t="str">
        <f>IFERROR(__xludf.DUMMYFUNCTION("""COMPUTED_VALUE"""),"FIBR NETFLIX PLAN 1599")</f>
        <v>FIBR NETFLIX PLAN 1599</v>
      </c>
      <c r="S1611" s="1" t="str">
        <f>IFERROR(__xludf.DUMMYFUNCTION("""COMPUTED_VALUE"""),"APPROVED")</f>
        <v>APPROVED</v>
      </c>
      <c r="T1611" s="1" t="str">
        <f>IFERROR(__xludf.DUMMYFUNCTION("""COMPUTED_VALUE"""),"CLOSED")</f>
        <v>CLOSED</v>
      </c>
      <c r="U1611" s="1" t="str">
        <f>IFERROR(__xludf.DUMMYFUNCTION("""COMPUTED_VALUE"""),"POSTED")</f>
        <v>POSTED</v>
      </c>
      <c r="V1611" s="1"/>
      <c r="W1611" s="1"/>
    </row>
    <row r="1612" customHeight="1" spans="1:23">
      <c r="A1612" s="3">
        <f>IFERROR(__xludf.DUMMYFUNCTION("""COMPUTED_VALUE"""),46153)</f>
        <v>46153</v>
      </c>
      <c r="B1612" s="1" t="str">
        <f>IFERROR(__xludf.DUMMYFUNCTION("""COMPUTED_VALUE"""),"BANDIBAS, LAWRENCE JAY")</f>
        <v>BANDIBAS, LAWRENCE JAY</v>
      </c>
      <c r="C1612" s="1" t="str">
        <f>IFERROR(__xludf.DUMMYFUNCTION("""COMPUTED_VALUE"""),"ORGANIC")</f>
        <v>ORGANIC</v>
      </c>
      <c r="D1612" s="1" t="str">
        <f>IFERROR(__xludf.DUMMYFUNCTION("""COMPUTED_VALUE"""),"REMOLLO LEA")</f>
        <v>REMOLLO LEA</v>
      </c>
      <c r="E1612" s="1" t="str">
        <f>IFERROR(__xludf.DUMMYFUNCTION("""COMPUTED_VALUE"""),"PLDT / H2H")</f>
        <v>PLDT / H2H</v>
      </c>
      <c r="F1612" s="1">
        <f>IFERROR(__xludf.DUMMYFUNCTION("""COMPUTED_VALUE"""),2309441707)</f>
        <v>2309441707</v>
      </c>
      <c r="G1612" s="1">
        <f>IFERROR(__xludf.DUMMYFUNCTION("""COMPUTED_VALUE"""),454212878004)</f>
        <v>454212878004</v>
      </c>
      <c r="H1612" s="1" t="str">
        <f>IFERROR(__xludf.DUMMYFUNCTION("""COMPUTED_VALUE"""),"ANICETO AALA ANGELES")</f>
        <v>ANICETO AALA ANGELES</v>
      </c>
      <c r="I1612" s="1">
        <f>IFERROR(__xludf.DUMMYFUNCTION("""COMPUTED_VALUE"""),9391060967)</f>
        <v>9391060967</v>
      </c>
      <c r="J1612" s="1">
        <f>IFERROR(__xludf.DUMMYFUNCTION("""COMPUTED_VALUE"""),9924787361)</f>
        <v>9924787361</v>
      </c>
      <c r="K1612" s="1" t="str">
        <f>IFERROR(__xludf.DUMMYFUNCTION("""COMPUTED_VALUE"""),"ANGELESEUFRACIALIZA@GMAIL.COM")</f>
        <v>ANGELESEUFRACIALIZA@GMAIL.COM</v>
      </c>
      <c r="L1612" s="1" t="str">
        <f>IFERROR(__xludf.DUMMYFUNCTION("""COMPUTED_VALUE"""),"398")</f>
        <v>398</v>
      </c>
      <c r="M1612" s="1" t="str">
        <f>IFERROR(__xludf.DUMMYFUNCTION("""COMPUTED_VALUE"""),"PUROK 4")</f>
        <v>PUROK 4</v>
      </c>
      <c r="N1612" s="1"/>
      <c r="O1612" s="1" t="str">
        <f>IFERROR(__xludf.DUMMYFUNCTION("""COMPUTED_VALUE"""),"PASONG LANGKA")</f>
        <v>PASONG LANGKA</v>
      </c>
      <c r="P1612" s="1" t="str">
        <f>IFERROR(__xludf.DUMMYFUNCTION("""COMPUTED_VALUE"""),"SILANG")</f>
        <v>SILANG</v>
      </c>
      <c r="Q1612" s="1" t="str">
        <f>IFERROR(__xludf.DUMMYFUNCTION("""COMPUTED_VALUE"""),"CAVITE")</f>
        <v>CAVITE</v>
      </c>
      <c r="R1612" s="1" t="str">
        <f>IFERROR(__xludf.DUMMYFUNCTION("""COMPUTED_VALUE"""),"FIBR UNLI ALL PLAN 999")</f>
        <v>FIBR UNLI ALL PLAN 999</v>
      </c>
      <c r="S1612" s="1" t="str">
        <f>IFERROR(__xludf.DUMMYFUNCTION("""COMPUTED_VALUE"""),"APPROVED")</f>
        <v>APPROVED</v>
      </c>
      <c r="T1612" s="1" t="str">
        <f>IFERROR(__xludf.DUMMYFUNCTION("""COMPUTED_VALUE"""),"CANCELLED")</f>
        <v>CANCELLED</v>
      </c>
      <c r="U1612" s="1"/>
      <c r="V1612" s="1"/>
      <c r="W1612" s="1"/>
    </row>
    <row r="1613" customHeight="1" spans="1:23">
      <c r="A1613" s="3">
        <f>IFERROR(__xludf.DUMMYFUNCTION("""COMPUTED_VALUE"""),46153)</f>
        <v>46153</v>
      </c>
      <c r="B1613" s="1" t="str">
        <f>IFERROR(__xludf.DUMMYFUNCTION("""COMPUTED_VALUE"""),"TIONGSON, ASHLEY")</f>
        <v>TIONGSON, ASHLEY</v>
      </c>
      <c r="C1613" s="1" t="str">
        <f>IFERROR(__xludf.DUMMYFUNCTION("""COMPUTED_VALUE"""),"ORGANIC")</f>
        <v>ORGANIC</v>
      </c>
      <c r="D1613" s="1" t="str">
        <f>IFERROR(__xludf.DUMMYFUNCTION("""COMPUTED_VALUE"""),"REMOLLO LEA")</f>
        <v>REMOLLO LEA</v>
      </c>
      <c r="E1613" s="1" t="str">
        <f>IFERROR(__xludf.DUMMYFUNCTION("""COMPUTED_VALUE"""),"RED FIBER")</f>
        <v>RED FIBER</v>
      </c>
      <c r="F1613" s="1"/>
      <c r="G1613" s="1"/>
      <c r="H1613" s="1" t="str">
        <f>IFERROR(__xludf.DUMMYFUNCTION("""COMPUTED_VALUE"""),"SHARON LEPARDO DIMAANO")</f>
        <v>SHARON LEPARDO DIMAANO</v>
      </c>
      <c r="I1613" s="1">
        <f>IFERROR(__xludf.DUMMYFUNCTION("""COMPUTED_VALUE"""),9366919897)</f>
        <v>9366919897</v>
      </c>
      <c r="J1613" s="1">
        <f>IFERROR(__xludf.DUMMYFUNCTION("""COMPUTED_VALUE"""),9974914972)</f>
        <v>9974914972</v>
      </c>
      <c r="K1613" s="1" t="str">
        <f>IFERROR(__xludf.DUMMYFUNCTION("""COMPUTED_VALUE"""),"MDIMAANO433@GMAIL.OM")</f>
        <v>MDIMAANO433@GMAIL.OM</v>
      </c>
      <c r="L1613" s="1" t="str">
        <f>IFERROR(__xludf.DUMMYFUNCTION("""COMPUTED_VALUE"""),"402")</f>
        <v>402</v>
      </c>
      <c r="M1613" s="1" t="str">
        <f>IFERROR(__xludf.DUMMYFUNCTION("""COMPUTED_VALUE"""),"STA ROSA - TAGAYTAY")</f>
        <v>STA ROSA - TAGAYTAY</v>
      </c>
      <c r="N1613" s="1"/>
      <c r="O1613" s="1" t="str">
        <f>IFERROR(__xludf.DUMMYFUNCTION("""COMPUTED_VALUE"""),"PASONG LANGKA")</f>
        <v>PASONG LANGKA</v>
      </c>
      <c r="P1613" s="1" t="str">
        <f>IFERROR(__xludf.DUMMYFUNCTION("""COMPUTED_VALUE"""),"SILANG")</f>
        <v>SILANG</v>
      </c>
      <c r="Q1613" s="1" t="str">
        <f>IFERROR(__xludf.DUMMYFUNCTION("""COMPUTED_VALUE"""),"CAVITE")</f>
        <v>CAVITE</v>
      </c>
      <c r="R1613" s="1" t="str">
        <f>IFERROR(__xludf.DUMMYFUNCTION("""COMPUTED_VALUE"""),"RED PLAN 1000")</f>
        <v>RED PLAN 1000</v>
      </c>
      <c r="S1613" s="1" t="str">
        <f>IFERROR(__xludf.DUMMYFUNCTION("""COMPUTED_VALUE"""),"APPROVED")</f>
        <v>APPROVED</v>
      </c>
      <c r="T1613" s="1" t="str">
        <f>IFERROR(__xludf.DUMMYFUNCTION("""COMPUTED_VALUE"""),"#N/A")</f>
        <v>#N/A</v>
      </c>
      <c r="U1613" s="1"/>
      <c r="V1613" s="1"/>
      <c r="W1613" s="1"/>
    </row>
    <row r="1614" customHeight="1" spans="1:23">
      <c r="A1614" s="3">
        <f>IFERROR(__xludf.DUMMYFUNCTION("""COMPUTED_VALUE"""),46153)</f>
        <v>46153</v>
      </c>
      <c r="B1614" s="1" t="str">
        <f>IFERROR(__xludf.DUMMYFUNCTION("""COMPUTED_VALUE"""),"CASTILLEJOS, ARREL")</f>
        <v>CASTILLEJOS, ARREL</v>
      </c>
      <c r="C1614" s="1" t="str">
        <f>IFERROR(__xludf.DUMMYFUNCTION("""COMPUTED_VALUE"""),"ORGANIC")</f>
        <v>ORGANIC</v>
      </c>
      <c r="D1614" s="1" t="str">
        <f>IFERROR(__xludf.DUMMYFUNCTION("""COMPUTED_VALUE"""),"REMOLLO LEA")</f>
        <v>REMOLLO LEA</v>
      </c>
      <c r="E1614" s="1" t="str">
        <f>IFERROR(__xludf.DUMMYFUNCTION("""COMPUTED_VALUE"""),"PLDT / H2H")</f>
        <v>PLDT / H2H</v>
      </c>
      <c r="F1614" s="1">
        <f>IFERROR(__xludf.DUMMYFUNCTION("""COMPUTED_VALUE"""),2309443005)</f>
        <v>2309443005</v>
      </c>
      <c r="G1614" s="1">
        <f>IFERROR(__xludf.DUMMYFUNCTION("""COMPUTED_VALUE"""),454220656004)</f>
        <v>454220656004</v>
      </c>
      <c r="H1614" s="1" t="str">
        <f>IFERROR(__xludf.DUMMYFUNCTION("""COMPUTED_VALUE"""),"JIMMY PRADO ESTAYO")</f>
        <v>JIMMY PRADO ESTAYO</v>
      </c>
      <c r="I1614" s="1">
        <f>IFERROR(__xludf.DUMMYFUNCTION("""COMPUTED_VALUE"""),9386536609)</f>
        <v>9386536609</v>
      </c>
      <c r="J1614" s="1">
        <f>IFERROR(__xludf.DUMMYFUNCTION("""COMPUTED_VALUE"""),9100927982)</f>
        <v>9100927982</v>
      </c>
      <c r="K1614" s="1" t="str">
        <f>IFERROR(__xludf.DUMMYFUNCTION("""COMPUTED_VALUE"""),"JIMMYESTAYO1211@GMAIL.COM")</f>
        <v>JIMMYESTAYO1211@GMAIL.COM</v>
      </c>
      <c r="L1614" s="1" t="str">
        <f>IFERROR(__xludf.DUMMYFUNCTION("""COMPUTED_VALUE"""),"BLK 6 LOT 6")</f>
        <v>BLK 6 LOT 6</v>
      </c>
      <c r="M1614" s="1" t="str">
        <f>IFERROR(__xludf.DUMMYFUNCTION("""COMPUTED_VALUE"""),"SEMORES")</f>
        <v>SEMORES</v>
      </c>
      <c r="N1614" s="1"/>
      <c r="O1614" s="1" t="str">
        <f>IFERROR(__xludf.DUMMYFUNCTION("""COMPUTED_VALUE"""),"SABUTAN")</f>
        <v>SABUTAN</v>
      </c>
      <c r="P1614" s="1" t="str">
        <f>IFERROR(__xludf.DUMMYFUNCTION("""COMPUTED_VALUE"""),"SILANG")</f>
        <v>SILANG</v>
      </c>
      <c r="Q1614" s="1" t="str">
        <f>IFERROR(__xludf.DUMMYFUNCTION("""COMPUTED_VALUE"""),"CAVITE")</f>
        <v>CAVITE</v>
      </c>
      <c r="R1614" s="1" t="str">
        <f>IFERROR(__xludf.DUMMYFUNCTION("""COMPUTED_VALUE"""),"FIBR UNLI ALL PLAN 999")</f>
        <v>FIBR UNLI ALL PLAN 999</v>
      </c>
      <c r="S1614" s="1" t="str">
        <f>IFERROR(__xludf.DUMMYFUNCTION("""COMPUTED_VALUE"""),"APPROVED")</f>
        <v>APPROVED</v>
      </c>
      <c r="T1614" s="1" t="str">
        <f>IFERROR(__xludf.DUMMYFUNCTION("""COMPUTED_VALUE"""),"CANCELLED")</f>
        <v>CANCELLED</v>
      </c>
      <c r="U1614" s="1"/>
      <c r="V1614" s="1"/>
      <c r="W1614" s="1"/>
    </row>
    <row r="1615" customHeight="1" spans="1:23">
      <c r="A1615" s="3">
        <f>IFERROR(__xludf.DUMMYFUNCTION("""COMPUTED_VALUE"""),46153)</f>
        <v>46153</v>
      </c>
      <c r="B1615" s="1" t="str">
        <f>IFERROR(__xludf.DUMMYFUNCTION("""COMPUTED_VALUE"""),"AGUNOS, JHON AIRVIN")</f>
        <v>AGUNOS, JHON AIRVIN</v>
      </c>
      <c r="C1615" s="1" t="str">
        <f>IFERROR(__xludf.DUMMYFUNCTION("""COMPUTED_VALUE"""),"ORGANIC")</f>
        <v>ORGANIC</v>
      </c>
      <c r="D1615" s="1" t="str">
        <f>IFERROR(__xludf.DUMMYFUNCTION("""COMPUTED_VALUE"""),"ALINGARO, CINDY")</f>
        <v>ALINGARO, CINDY</v>
      </c>
      <c r="E1615" s="1" t="str">
        <f>IFERROR(__xludf.DUMMYFUNCTION("""COMPUTED_VALUE"""),"PLDT / H2H")</f>
        <v>PLDT / H2H</v>
      </c>
      <c r="F1615" s="1"/>
      <c r="G1615" s="1"/>
      <c r="H1615" s="1" t="str">
        <f>IFERROR(__xludf.DUMMYFUNCTION("""COMPUTED_VALUE"""),"JERICO VICENTE SERRANO")</f>
        <v>JERICO VICENTE SERRANO</v>
      </c>
      <c r="I1615" s="1">
        <f>IFERROR(__xludf.DUMMYFUNCTION("""COMPUTED_VALUE"""),9092373144)</f>
        <v>9092373144</v>
      </c>
      <c r="J1615" s="1"/>
      <c r="K1615" s="1" t="str">
        <f>IFERROR(__xludf.DUMMYFUNCTION("""COMPUTED_VALUE"""),"JERICOSERRANO000@GMAIL.COM")</f>
        <v>JERICOSERRANO000@GMAIL.COM</v>
      </c>
      <c r="L1615" s="1" t="str">
        <f>IFERROR(__xludf.DUMMYFUNCTION("""COMPUTED_VALUE"""),"BLK 3 LOT 3")</f>
        <v>BLK 3 LOT 3</v>
      </c>
      <c r="M1615" s="1" t="str">
        <f>IFERROR(__xludf.DUMMYFUNCTION("""COMPUTED_VALUE"""),"GRANADOS")</f>
        <v>GRANADOS</v>
      </c>
      <c r="N1615" s="1"/>
      <c r="O1615" s="1" t="str">
        <f>IFERROR(__xludf.DUMMYFUNCTION("""COMPUTED_VALUE"""),"PANTALEON GRANADOS (AREA G)")</f>
        <v>PANTALEON GRANADOS (AREA G)</v>
      </c>
      <c r="P1615" s="1" t="str">
        <f>IFERROR(__xludf.DUMMYFUNCTION("""COMPUTED_VALUE"""),"GEN MARIANO ALVAREZ")</f>
        <v>GEN MARIANO ALVAREZ</v>
      </c>
      <c r="Q1615" s="1" t="str">
        <f>IFERROR(__xludf.DUMMYFUNCTION("""COMPUTED_VALUE"""),"CAVITE")</f>
        <v>CAVITE</v>
      </c>
      <c r="R1615" s="1" t="str">
        <f>IFERROR(__xludf.DUMMYFUNCTION("""COMPUTED_VALUE"""),"FIBR UNLI ALL PLAN 999")</f>
        <v>FIBR UNLI ALL PLAN 999</v>
      </c>
      <c r="S1615" s="1" t="str">
        <f>IFERROR(__xludf.DUMMYFUNCTION("""COMPUTED_VALUE"""),"RETURN FOR COMPLIANCE - AGENT")</f>
        <v>RETURN FOR COMPLIANCE - AGENT</v>
      </c>
      <c r="T1615" s="1" t="str">
        <f>IFERROR(__xludf.DUMMYFUNCTION("""COMPUTED_VALUE"""),"#N/A")</f>
        <v>#N/A</v>
      </c>
      <c r="U1615" s="1"/>
      <c r="V1615" s="1"/>
      <c r="W1615" s="1"/>
    </row>
    <row r="1616" customHeight="1" spans="1:23">
      <c r="A1616" s="3">
        <f>IFERROR(__xludf.DUMMYFUNCTION("""COMPUTED_VALUE"""),46153)</f>
        <v>46153</v>
      </c>
      <c r="B1616" s="1" t="str">
        <f>IFERROR(__xludf.DUMMYFUNCTION("""COMPUTED_VALUE"""),"FARO, REFRANTA")</f>
        <v>FARO, REFRANTA</v>
      </c>
      <c r="C1616" s="1" t="str">
        <f>IFERROR(__xludf.DUMMYFUNCTION("""COMPUTED_VALUE"""),"ORGANIC")</f>
        <v>ORGANIC</v>
      </c>
      <c r="D1616" s="1" t="str">
        <f>IFERROR(__xludf.DUMMYFUNCTION("""COMPUTED_VALUE"""),"ALINGARO, CINDY")</f>
        <v>ALINGARO, CINDY</v>
      </c>
      <c r="E1616" s="1" t="str">
        <f>IFERROR(__xludf.DUMMYFUNCTION("""COMPUTED_VALUE"""),"PLDT / H2H")</f>
        <v>PLDT / H2H</v>
      </c>
      <c r="F1616" s="1">
        <f>IFERROR(__xludf.DUMMYFUNCTION("""COMPUTED_VALUE"""),2309449867)</f>
        <v>2309449867</v>
      </c>
      <c r="G1616" s="1">
        <f>IFERROR(__xludf.DUMMYFUNCTION("""COMPUTED_VALUE"""),454324965004)</f>
        <v>454324965004</v>
      </c>
      <c r="H1616" s="1" t="str">
        <f>IFERROR(__xludf.DUMMYFUNCTION("""COMPUTED_VALUE"""),"JOEL AMERICA MENGOL")</f>
        <v>JOEL AMERICA MENGOL</v>
      </c>
      <c r="I1616" s="1">
        <f>IFERROR(__xludf.DUMMYFUNCTION("""COMPUTED_VALUE"""),9929297830)</f>
        <v>9929297830</v>
      </c>
      <c r="J1616" s="1"/>
      <c r="K1616" s="1" t="str">
        <f>IFERROR(__xludf.DUMMYFUNCTION("""COMPUTED_VALUE"""),"MENGOLJOEL1979@GMAIL.COM")</f>
        <v>MENGOLJOEL1979@GMAIL.COM</v>
      </c>
      <c r="L1616" s="1" t="str">
        <f>IFERROR(__xludf.DUMMYFUNCTION("""COMPUTED_VALUE"""),"10")</f>
        <v>10</v>
      </c>
      <c r="M1616" s="1" t="str">
        <f>IFERROR(__xludf.DUMMYFUNCTION("""COMPUTED_VALUE"""),"AREA")</f>
        <v>AREA</v>
      </c>
      <c r="N1616" s="1"/>
      <c r="O1616" s="1" t="str">
        <f>IFERROR(__xludf.DUMMYFUNCTION("""COMPUTED_VALUE"""),"POBLACION III")</f>
        <v>POBLACION III</v>
      </c>
      <c r="P1616" s="1" t="str">
        <f>IFERROR(__xludf.DUMMYFUNCTION("""COMPUTED_VALUE"""),"GEN MARIANO ALVAREZ")</f>
        <v>GEN MARIANO ALVAREZ</v>
      </c>
      <c r="Q1616" s="1" t="str">
        <f>IFERROR(__xludf.DUMMYFUNCTION("""COMPUTED_VALUE"""),"CAVITE")</f>
        <v>CAVITE</v>
      </c>
      <c r="R1616" s="1" t="str">
        <f>IFERROR(__xludf.DUMMYFUNCTION("""COMPUTED_VALUE"""),"FIBR UNLI ALL PLAN 999")</f>
        <v>FIBR UNLI ALL PLAN 999</v>
      </c>
      <c r="S1616" s="1" t="str">
        <f>IFERROR(__xludf.DUMMYFUNCTION("""COMPUTED_VALUE"""),"APPROVED")</f>
        <v>APPROVED</v>
      </c>
      <c r="T1616" s="1" t="str">
        <f>IFERROR(__xludf.DUMMYFUNCTION("""COMPUTED_VALUE"""),"RPR")</f>
        <v>RPR</v>
      </c>
      <c r="U1616" s="1"/>
      <c r="V1616" s="1"/>
      <c r="W1616" s="1"/>
    </row>
    <row r="1617" customHeight="1" spans="1:23">
      <c r="A1617" s="3">
        <f>IFERROR(__xludf.DUMMYFUNCTION("""COMPUTED_VALUE"""),46154)</f>
        <v>46154</v>
      </c>
      <c r="B1617" s="1" t="str">
        <f>IFERROR(__xludf.DUMMYFUNCTION("""COMPUTED_VALUE"""),"FARO, REFRANTA")</f>
        <v>FARO, REFRANTA</v>
      </c>
      <c r="C1617" s="1" t="str">
        <f>IFERROR(__xludf.DUMMYFUNCTION("""COMPUTED_VALUE"""),"ORGANIC")</f>
        <v>ORGANIC</v>
      </c>
      <c r="D1617" s="1" t="str">
        <f>IFERROR(__xludf.DUMMYFUNCTION("""COMPUTED_VALUE"""),"ALINGARO, CINDY")</f>
        <v>ALINGARO, CINDY</v>
      </c>
      <c r="E1617" s="1" t="str">
        <f>IFERROR(__xludf.DUMMYFUNCTION("""COMPUTED_VALUE"""),"PLDT / H2H")</f>
        <v>PLDT / H2H</v>
      </c>
      <c r="F1617" s="1">
        <f>IFERROR(__xludf.DUMMYFUNCTION("""COMPUTED_VALUE"""),2309449924)</f>
        <v>2309449924</v>
      </c>
      <c r="G1617" s="1">
        <f>IFERROR(__xludf.DUMMYFUNCTION("""COMPUTED_VALUE"""),454328942004)</f>
        <v>454328942004</v>
      </c>
      <c r="H1617" s="1" t="str">
        <f>IFERROR(__xludf.DUMMYFUNCTION("""COMPUTED_VALUE"""),"RUTH SUBRIDO GALANG")</f>
        <v>RUTH SUBRIDO GALANG</v>
      </c>
      <c r="I1617" s="1">
        <f>IFERROR(__xludf.DUMMYFUNCTION("""COMPUTED_VALUE"""),9918888739)</f>
        <v>9918888739</v>
      </c>
      <c r="J1617" s="1"/>
      <c r="K1617" s="1" t="str">
        <f>IFERROR(__xludf.DUMMYFUNCTION("""COMPUTED_VALUE"""),"RUTHGALANG372@GMAIL.COM")</f>
        <v>RUTHGALANG372@GMAIL.COM</v>
      </c>
      <c r="L1617" s="1" t="str">
        <f>IFERROR(__xludf.DUMMYFUNCTION("""COMPUTED_VALUE"""),"BLK 3 LOT 6")</f>
        <v>BLK 3 LOT 6</v>
      </c>
      <c r="M1617" s="1" t="str">
        <f>IFERROR(__xludf.DUMMYFUNCTION("""COMPUTED_VALUE"""),"LAGUNA")</f>
        <v>LAGUNA</v>
      </c>
      <c r="N1617" s="1"/>
      <c r="O1617" s="1" t="str">
        <f>IFERROR(__xludf.DUMMYFUNCTION("""COMPUTED_VALUE"""),"GAVINO MADERAN")</f>
        <v>GAVINO MADERAN</v>
      </c>
      <c r="P1617" s="1" t="str">
        <f>IFERROR(__xludf.DUMMYFUNCTION("""COMPUTED_VALUE"""),"GEN MARIANO ALVAREZ")</f>
        <v>GEN MARIANO ALVAREZ</v>
      </c>
      <c r="Q1617" s="1" t="str">
        <f>IFERROR(__xludf.DUMMYFUNCTION("""COMPUTED_VALUE"""),"CAVITE")</f>
        <v>CAVITE</v>
      </c>
      <c r="R1617" s="1" t="str">
        <f>IFERROR(__xludf.DUMMYFUNCTION("""COMPUTED_VALUE"""),"FIBR UNLI ALL PLAN 1399")</f>
        <v>FIBR UNLI ALL PLAN 1399</v>
      </c>
      <c r="S1617" s="1" t="str">
        <f>IFERROR(__xludf.DUMMYFUNCTION("""COMPUTED_VALUE"""),"APPROVED")</f>
        <v>APPROVED</v>
      </c>
      <c r="T1617" s="1" t="str">
        <f>IFERROR(__xludf.DUMMYFUNCTION("""COMPUTED_VALUE"""),"CLOSED")</f>
        <v>CLOSED</v>
      </c>
      <c r="U1617" s="1" t="str">
        <f>IFERROR(__xludf.DUMMYFUNCTION("""COMPUTED_VALUE"""),"POSTED")</f>
        <v>POSTED</v>
      </c>
      <c r="V1617" s="1"/>
      <c r="W1617" s="1"/>
    </row>
    <row r="1618" customHeight="1" spans="1:23">
      <c r="A1618" s="3">
        <f>IFERROR(__xludf.DUMMYFUNCTION("""COMPUTED_VALUE"""),46154)</f>
        <v>46154</v>
      </c>
      <c r="B1618" s="1" t="str">
        <f>IFERROR(__xludf.DUMMYFUNCTION("""COMPUTED_VALUE"""),"LEADSTORE - ILANO, LIANDRO TEJAS")</f>
        <v>LEADSTORE - ILANO, LIANDRO TEJAS</v>
      </c>
      <c r="C1618" s="1" t="str">
        <f>IFERROR(__xludf.DUMMYFUNCTION("""COMPUTED_VALUE"""),"FLA")</f>
        <v>FLA</v>
      </c>
      <c r="D1618" s="1" t="str">
        <f>IFERROR(__xludf.DUMMYFUNCTION("""COMPUTED_VALUE"""),"JERIC NAVARRO")</f>
        <v>JERIC NAVARRO</v>
      </c>
      <c r="E1618" s="1" t="str">
        <f>IFERROR(__xludf.DUMMYFUNCTION("""COMPUTED_VALUE"""),"PLDT / ONLINE")</f>
        <v>PLDT / ONLINE</v>
      </c>
      <c r="F1618" s="1">
        <f>IFERROR(__xludf.DUMMYFUNCTION("""COMPUTED_VALUE"""),2309478653)</f>
        <v>2309478653</v>
      </c>
      <c r="G1618" s="1">
        <f>IFERROR(__xludf.DUMMYFUNCTION("""COMPUTED_VALUE"""),454601476004)</f>
        <v>454601476004</v>
      </c>
      <c r="H1618" s="1" t="str">
        <f>IFERROR(__xludf.DUMMYFUNCTION("""COMPUTED_VALUE"""),"ELISE ABRIA ELLA")</f>
        <v>ELISE ABRIA ELLA</v>
      </c>
      <c r="I1618" s="1">
        <f>IFERROR(__xludf.DUMMYFUNCTION("""COMPUTED_VALUE"""),9166949383)</f>
        <v>9166949383</v>
      </c>
      <c r="J1618" s="1">
        <f>IFERROR(__xludf.DUMMYFUNCTION("""COMPUTED_VALUE"""),9614651036)</f>
        <v>9614651036</v>
      </c>
      <c r="K1618" s="1" t="str">
        <f>IFERROR(__xludf.DUMMYFUNCTION("""COMPUTED_VALUE"""),"ILOVELLA512511@GMAIL.COM")</f>
        <v>ILOVELLA512511@GMAIL.COM</v>
      </c>
      <c r="L1618" s="1" t="str">
        <f>IFERROR(__xludf.DUMMYFUNCTION("""COMPUTED_VALUE"""),"BLK 3 LOT 17")</f>
        <v>BLK 3 LOT 17</v>
      </c>
      <c r="M1618" s="1" t="str">
        <f>IFERROR(__xludf.DUMMYFUNCTION("""COMPUTED_VALUE"""),"BERNABE COMPOUND")</f>
        <v>BERNABE COMPOUND</v>
      </c>
      <c r="N1618" s="1"/>
      <c r="O1618" s="1"/>
      <c r="P1618" s="1"/>
      <c r="Q1618" s="1" t="str">
        <f>IFERROR(__xludf.DUMMYFUNCTION("""COMPUTED_VALUE"""),"LAS PINAS")</f>
        <v>LAS PINAS</v>
      </c>
      <c r="R1618" s="1" t="str">
        <f>IFERROR(__xludf.DUMMYFUNCTION("""COMPUTED_VALUE"""),"FIBR UNLI ALL PLAN 1799")</f>
        <v>FIBR UNLI ALL PLAN 1799</v>
      </c>
      <c r="S1618" s="1" t="str">
        <f>IFERROR(__xludf.DUMMYFUNCTION("""COMPUTED_VALUE"""),"APPROVED")</f>
        <v>APPROVED</v>
      </c>
      <c r="T1618" s="1" t="str">
        <f>IFERROR(__xludf.DUMMYFUNCTION("""COMPUTED_VALUE"""),"CLOSED")</f>
        <v>CLOSED</v>
      </c>
      <c r="U1618" s="1" t="str">
        <f>IFERROR(__xludf.DUMMYFUNCTION("""COMPUTED_VALUE"""),"POSTED")</f>
        <v>POSTED</v>
      </c>
      <c r="V1618" s="1"/>
      <c r="W1618" s="1"/>
    </row>
    <row r="1619" customHeight="1" spans="1:23">
      <c r="A1619" s="3">
        <f>IFERROR(__xludf.DUMMYFUNCTION("""COMPUTED_VALUE"""),46154)</f>
        <v>46154</v>
      </c>
      <c r="B1619" s="1" t="str">
        <f>IFERROR(__xludf.DUMMYFUNCTION("""COMPUTED_VALUE"""),"MALIWAT MARK ELVIN")</f>
        <v>MALIWAT MARK ELVIN</v>
      </c>
      <c r="C1619" s="1" t="str">
        <f>IFERROR(__xludf.DUMMYFUNCTION("""COMPUTED_VALUE"""),"FLA")</f>
        <v>FLA</v>
      </c>
      <c r="D1619" s="1" t="str">
        <f>IFERROR(__xludf.DUMMYFUNCTION("""COMPUTED_VALUE"""),"JERIC NAVARRO")</f>
        <v>JERIC NAVARRO</v>
      </c>
      <c r="E1619" s="1" t="str">
        <f>IFERROR(__xludf.DUMMYFUNCTION("""COMPUTED_VALUE"""),"PLDT / ONLINE")</f>
        <v>PLDT / ONLINE</v>
      </c>
      <c r="F1619" s="1">
        <f>IFERROR(__xludf.DUMMYFUNCTION("""COMPUTED_VALUE"""),2309450098)</f>
        <v>2309450098</v>
      </c>
      <c r="G1619" s="1">
        <f>IFERROR(__xludf.DUMMYFUNCTION("""COMPUTED_VALUE"""),454333349004)</f>
        <v>454333349004</v>
      </c>
      <c r="H1619" s="1" t="str">
        <f>IFERROR(__xludf.DUMMYFUNCTION("""COMPUTED_VALUE"""),"MELENCIO HERNANDEZ OCSIT")</f>
        <v>MELENCIO HERNANDEZ OCSIT</v>
      </c>
      <c r="I1619" s="1">
        <f>IFERROR(__xludf.DUMMYFUNCTION("""COMPUTED_VALUE"""),9917662290)</f>
        <v>9917662290</v>
      </c>
      <c r="J1619" s="1"/>
      <c r="K1619" s="1" t="str">
        <f>IFERROR(__xludf.DUMMYFUNCTION("""COMPUTED_VALUE"""),"OCSITMH@GMAIL.COM")</f>
        <v>OCSITMH@GMAIL.COM</v>
      </c>
      <c r="L1619" s="1" t="str">
        <f>IFERROR(__xludf.DUMMYFUNCTION("""COMPUTED_VALUE"""),"495")</f>
        <v>495</v>
      </c>
      <c r="M1619" s="1" t="str">
        <f>IFERROR(__xludf.DUMMYFUNCTION("""COMPUTED_VALUE"""),"PUROK 9")</f>
        <v>PUROK 9</v>
      </c>
      <c r="N1619" s="1"/>
      <c r="O1619" s="1" t="str">
        <f>IFERROR(__xludf.DUMMYFUNCTION("""COMPUTED_VALUE"""),"BACAO II")</f>
        <v>BACAO II</v>
      </c>
      <c r="P1619" s="1" t="str">
        <f>IFERROR(__xludf.DUMMYFUNCTION("""COMPUTED_VALUE"""),"GENERAL TRIAS")</f>
        <v>GENERAL TRIAS</v>
      </c>
      <c r="Q1619" s="1" t="str">
        <f>IFERROR(__xludf.DUMMYFUNCTION("""COMPUTED_VALUE"""),"CAVITE")</f>
        <v>CAVITE</v>
      </c>
      <c r="R1619" s="1" t="str">
        <f>IFERROR(__xludf.DUMMYFUNCTION("""COMPUTED_VALUE"""),"FIBR UNLI ALL PLAN 1399")</f>
        <v>FIBR UNLI ALL PLAN 1399</v>
      </c>
      <c r="S1619" s="1" t="str">
        <f>IFERROR(__xludf.DUMMYFUNCTION("""COMPUTED_VALUE"""),"APPROVED")</f>
        <v>APPROVED</v>
      </c>
      <c r="T1619" s="1" t="str">
        <f>IFERROR(__xludf.DUMMYFUNCTION("""COMPUTED_VALUE"""),"RPR")</f>
        <v>RPR</v>
      </c>
      <c r="U1619" s="1"/>
      <c r="V1619" s="1"/>
      <c r="W1619" s="1"/>
    </row>
    <row r="1620" customHeight="1" spans="1:23">
      <c r="A1620" s="3">
        <f>IFERROR(__xludf.DUMMYFUNCTION("""COMPUTED_VALUE"""),46154)</f>
        <v>46154</v>
      </c>
      <c r="B1620" s="1" t="str">
        <f>IFERROR(__xludf.DUMMYFUNCTION("""COMPUTED_VALUE"""),"DELA ROSA, JENNELYN")</f>
        <v>DELA ROSA, JENNELYN</v>
      </c>
      <c r="C1620" s="1" t="str">
        <f>IFERROR(__xludf.DUMMYFUNCTION("""COMPUTED_VALUE"""),"ORGANIC")</f>
        <v>ORGANIC</v>
      </c>
      <c r="D1620" s="1" t="str">
        <f>IFERROR(__xludf.DUMMYFUNCTION("""COMPUTED_VALUE"""),"ALOS, CHARLS")</f>
        <v>ALOS, CHARLS</v>
      </c>
      <c r="E1620" s="1" t="str">
        <f>IFERROR(__xludf.DUMMYFUNCTION("""COMPUTED_VALUE"""),"PLDT / H2H")</f>
        <v>PLDT / H2H</v>
      </c>
      <c r="F1620" s="1">
        <f>IFERROR(__xludf.DUMMYFUNCTION("""COMPUTED_VALUE"""),2309452268)</f>
        <v>2309452268</v>
      </c>
      <c r="G1620" s="1">
        <f>IFERROR(__xludf.DUMMYFUNCTION("""COMPUTED_VALUE"""),454346691004)</f>
        <v>454346691004</v>
      </c>
      <c r="H1620" s="1" t="str">
        <f>IFERROR(__xludf.DUMMYFUNCTION("""COMPUTED_VALUE"""),"ALJON AGAO COO")</f>
        <v>ALJON AGAO COO</v>
      </c>
      <c r="I1620" s="1">
        <f>IFERROR(__xludf.DUMMYFUNCTION("""COMPUTED_VALUE"""),9671666455)</f>
        <v>9671666455</v>
      </c>
      <c r="J1620" s="1"/>
      <c r="K1620" s="1" t="str">
        <f>IFERROR(__xludf.DUMMYFUNCTION("""COMPUTED_VALUE"""),"COOALDRIN44@GMAIL.CM")</f>
        <v>COOALDRIN44@GMAIL.CM</v>
      </c>
      <c r="L1620" s="1" t="str">
        <f>IFERROR(__xludf.DUMMYFUNCTION("""COMPUTED_VALUE"""),"BLK 2  LOT 1")</f>
        <v>BLK 2  LOT 1</v>
      </c>
      <c r="M1620" s="1" t="str">
        <f>IFERROR(__xludf.DUMMYFUNCTION("""COMPUTED_VALUE"""),"BUKLURAN 4")</f>
        <v>BUKLURAN 4</v>
      </c>
      <c r="N1620" s="1"/>
      <c r="O1620" s="1" t="str">
        <f>IFERROR(__xludf.DUMMYFUNCTION("""COMPUTED_VALUE"""),"BULIHAN")</f>
        <v>BULIHAN</v>
      </c>
      <c r="P1620" s="1" t="str">
        <f>IFERROR(__xludf.DUMMYFUNCTION("""COMPUTED_VALUE"""),"SILANG")</f>
        <v>SILANG</v>
      </c>
      <c r="Q1620" s="1" t="str">
        <f>IFERROR(__xludf.DUMMYFUNCTION("""COMPUTED_VALUE"""),"CAVITE")</f>
        <v>CAVITE</v>
      </c>
      <c r="R1620" s="1" t="str">
        <f>IFERROR(__xludf.DUMMYFUNCTION("""COMPUTED_VALUE"""),"FIBR UNLI ALL PLAN 999")</f>
        <v>FIBR UNLI ALL PLAN 999</v>
      </c>
      <c r="S1620" s="1" t="str">
        <f>IFERROR(__xludf.DUMMYFUNCTION("""COMPUTED_VALUE"""),"APPROVED")</f>
        <v>APPROVED</v>
      </c>
      <c r="T1620" s="1" t="str">
        <f>IFERROR(__xludf.DUMMYFUNCTION("""COMPUTED_VALUE"""),"CANCELLED")</f>
        <v>CANCELLED</v>
      </c>
      <c r="U1620" s="1"/>
      <c r="V1620" s="1"/>
      <c r="W1620" s="1"/>
    </row>
    <row r="1621" customHeight="1" spans="1:23">
      <c r="A1621" s="3">
        <f>IFERROR(__xludf.DUMMYFUNCTION("""COMPUTED_VALUE"""),46154)</f>
        <v>46154</v>
      </c>
      <c r="B1621" s="1" t="str">
        <f>IFERROR(__xludf.DUMMYFUNCTION("""COMPUTED_VALUE"""),"FARO, REFRANTA")</f>
        <v>FARO, REFRANTA</v>
      </c>
      <c r="C1621" s="1" t="str">
        <f>IFERROR(__xludf.DUMMYFUNCTION("""COMPUTED_VALUE"""),"ORGANIC")</f>
        <v>ORGANIC</v>
      </c>
      <c r="D1621" s="1" t="str">
        <f>IFERROR(__xludf.DUMMYFUNCTION("""COMPUTED_VALUE"""),"ALINGARO, CINDY")</f>
        <v>ALINGARO, CINDY</v>
      </c>
      <c r="E1621" s="1" t="str">
        <f>IFERROR(__xludf.DUMMYFUNCTION("""COMPUTED_VALUE"""),"PLDT / H2H")</f>
        <v>PLDT / H2H</v>
      </c>
      <c r="F1621" s="1">
        <f>IFERROR(__xludf.DUMMYFUNCTION("""COMPUTED_VALUE"""),2309452033)</f>
        <v>2309452033</v>
      </c>
      <c r="G1621" s="1">
        <f>IFERROR(__xludf.DUMMYFUNCTION("""COMPUTED_VALUE"""),454340703004)</f>
        <v>454340703004</v>
      </c>
      <c r="H1621" s="1" t="str">
        <f>IFERROR(__xludf.DUMMYFUNCTION("""COMPUTED_VALUE"""),"AMALYN BARTOLAY CORDOVA")</f>
        <v>AMALYN BARTOLAY CORDOVA</v>
      </c>
      <c r="I1621" s="1">
        <f>IFERROR(__xludf.DUMMYFUNCTION("""COMPUTED_VALUE"""),9622971803)</f>
        <v>9622971803</v>
      </c>
      <c r="J1621" s="1"/>
      <c r="K1621" s="1" t="str">
        <f>IFERROR(__xludf.DUMMYFUNCTION("""COMPUTED_VALUE"""),"AMALYNCORDOVA98765@GMAIL.COM")</f>
        <v>AMALYNCORDOVA98765@GMAIL.COM</v>
      </c>
      <c r="L1621" s="1" t="str">
        <f>IFERROR(__xludf.DUMMYFUNCTION("""COMPUTED_VALUE"""),"BLK 8 LOT 2")</f>
        <v>BLK 8 LOT 2</v>
      </c>
      <c r="M1621" s="1" t="str">
        <f>IFERROR(__xludf.DUMMYFUNCTION("""COMPUTED_VALUE"""),"BAYACAL")</f>
        <v>BAYACAL</v>
      </c>
      <c r="N1621" s="1"/>
      <c r="O1621" s="1" t="str">
        <f>IFERROR(__xludf.DUMMYFUNCTION("""COMPUTED_VALUE"""),"SABUTAN")</f>
        <v>SABUTAN</v>
      </c>
      <c r="P1621" s="1" t="str">
        <f>IFERROR(__xludf.DUMMYFUNCTION("""COMPUTED_VALUE"""),"SILANG")</f>
        <v>SILANG</v>
      </c>
      <c r="Q1621" s="1" t="str">
        <f>IFERROR(__xludf.DUMMYFUNCTION("""COMPUTED_VALUE"""),"CAVITE")</f>
        <v>CAVITE</v>
      </c>
      <c r="R1621" s="1" t="str">
        <f>IFERROR(__xludf.DUMMYFUNCTION("""COMPUTED_VALUE"""),"FIBR UNLI ALL PLAN 999")</f>
        <v>FIBR UNLI ALL PLAN 999</v>
      </c>
      <c r="S1621" s="1" t="str">
        <f>IFERROR(__xludf.DUMMYFUNCTION("""COMPUTED_VALUE"""),"APPROVED")</f>
        <v>APPROVED</v>
      </c>
      <c r="T1621" s="1" t="str">
        <f>IFERROR(__xludf.DUMMYFUNCTION("""COMPUTED_VALUE"""),"CANCELLED")</f>
        <v>CANCELLED</v>
      </c>
      <c r="U1621" s="1"/>
      <c r="V1621" s="1"/>
      <c r="W1621" s="1"/>
    </row>
    <row r="1622" customHeight="1" spans="1:23">
      <c r="A1622" s="3">
        <f>IFERROR(__xludf.DUMMYFUNCTION("""COMPUTED_VALUE"""),46154)</f>
        <v>46154</v>
      </c>
      <c r="B1622" s="1" t="str">
        <f>IFERROR(__xludf.DUMMYFUNCTION("""COMPUTED_VALUE"""),"VERESO , MERL FRANCINE")</f>
        <v>VERESO , MERL FRANCINE</v>
      </c>
      <c r="C1622" s="1" t="str">
        <f>IFERROR(__xludf.DUMMYFUNCTION("""COMPUTED_VALUE"""),"ORGANIC")</f>
        <v>ORGANIC</v>
      </c>
      <c r="D1622" s="1" t="str">
        <f>IFERROR(__xludf.DUMMYFUNCTION("""COMPUTED_VALUE"""),"ALOS, CHARLS")</f>
        <v>ALOS, CHARLS</v>
      </c>
      <c r="E1622" s="1" t="str">
        <f>IFERROR(__xludf.DUMMYFUNCTION("""COMPUTED_VALUE"""),"PLDT / ONLINE")</f>
        <v>PLDT / ONLINE</v>
      </c>
      <c r="F1622" s="1">
        <f>IFERROR(__xludf.DUMMYFUNCTION("""COMPUTED_VALUE"""),2309452862)</f>
        <v>2309452862</v>
      </c>
      <c r="G1622" s="1"/>
      <c r="H1622" s="1" t="str">
        <f>IFERROR(__xludf.DUMMYFUNCTION("""COMPUTED_VALUE"""),"JOSEPINA ULLEGUE LOPEZ")</f>
        <v>JOSEPINA ULLEGUE LOPEZ</v>
      </c>
      <c r="I1622" s="1">
        <f>IFERROR(__xludf.DUMMYFUNCTION("""COMPUTED_VALUE"""),9603186020)</f>
        <v>9603186020</v>
      </c>
      <c r="J1622" s="1">
        <f>IFERROR(__xludf.DUMMYFUNCTION("""COMPUTED_VALUE"""),9703167763)</f>
        <v>9703167763</v>
      </c>
      <c r="K1622" s="1" t="str">
        <f>IFERROR(__xludf.DUMMYFUNCTION("""COMPUTED_VALUE"""),"JOJIELOPES@YAHOO.COM")</f>
        <v>JOJIELOPES@YAHOO.COM</v>
      </c>
      <c r="L1622" s="1" t="str">
        <f>IFERROR(__xludf.DUMMYFUNCTION("""COMPUTED_VALUE"""),"BLK 43 LOT 1")</f>
        <v>BLK 43 LOT 1</v>
      </c>
      <c r="M1622" s="1" t="str">
        <f>IFERROR(__xludf.DUMMYFUNCTION("""COMPUTED_VALUE"""),"PHASE 1 ")</f>
        <v>PHASE 1 </v>
      </c>
      <c r="N1622" s="1" t="str">
        <f>IFERROR(__xludf.DUMMYFUNCTION("""COMPUTED_VALUE"""),"MABUHAY")</f>
        <v>MABUHAY</v>
      </c>
      <c r="O1622" s="1" t="str">
        <f>IFERROR(__xludf.DUMMYFUNCTION("""COMPUTED_VALUE"""),"SALAWAG")</f>
        <v>SALAWAG</v>
      </c>
      <c r="P1622" s="1" t="str">
        <f>IFERROR(__xludf.DUMMYFUNCTION("""COMPUTED_VALUE"""),"DASMARINAS")</f>
        <v>DASMARINAS</v>
      </c>
      <c r="Q1622" s="1" t="str">
        <f>IFERROR(__xludf.DUMMYFUNCTION("""COMPUTED_VALUE"""),"CAVITE")</f>
        <v>CAVITE</v>
      </c>
      <c r="R1622" s="1" t="str">
        <f>IFERROR(__xludf.DUMMYFUNCTION("""COMPUTED_VALUE"""),"FIBR UNLI ALL PLAN 999")</f>
        <v>FIBR UNLI ALL PLAN 999</v>
      </c>
      <c r="S1622" s="1" t="str">
        <f>IFERROR(__xludf.DUMMYFUNCTION("""COMPUTED_VALUE"""),"APPROVED")</f>
        <v>APPROVED</v>
      </c>
      <c r="T1622" s="1" t="str">
        <f>IFERROR(__xludf.DUMMYFUNCTION("""COMPUTED_VALUE"""),"CANCELLED")</f>
        <v>CANCELLED</v>
      </c>
      <c r="U1622" s="1"/>
      <c r="V1622" s="1"/>
      <c r="W1622" s="1"/>
    </row>
    <row r="1623" customHeight="1" spans="1:23">
      <c r="A1623" s="3">
        <f>IFERROR(__xludf.DUMMYFUNCTION("""COMPUTED_VALUE"""),46154)</f>
        <v>46154</v>
      </c>
      <c r="B1623" s="1" t="str">
        <f>IFERROR(__xludf.DUMMYFUNCTION("""COMPUTED_VALUE"""),"PHILIP, DRIVER")</f>
        <v>PHILIP, DRIVER</v>
      </c>
      <c r="C1623" s="1" t="str">
        <f>IFERROR(__xludf.DUMMYFUNCTION("""COMPUTED_VALUE"""),"FLA")</f>
        <v>FLA</v>
      </c>
      <c r="D1623" s="1" t="str">
        <f>IFERROR(__xludf.DUMMYFUNCTION("""COMPUTED_VALUE"""),"JERIC NAVARRO")</f>
        <v>JERIC NAVARRO</v>
      </c>
      <c r="E1623" s="1" t="str">
        <f>IFERROR(__xludf.DUMMYFUNCTION("""COMPUTED_VALUE"""),"RED FIBER")</f>
        <v>RED FIBER</v>
      </c>
      <c r="F1623" s="1"/>
      <c r="G1623" s="1"/>
      <c r="H1623" s="1" t="str">
        <f>IFERROR(__xludf.DUMMYFUNCTION("""COMPUTED_VALUE"""),"JOSEPHINE SOLIS CALINISAN")</f>
        <v>JOSEPHINE SOLIS CALINISAN</v>
      </c>
      <c r="I1623" s="1">
        <f>IFERROR(__xludf.DUMMYFUNCTION("""COMPUTED_VALUE"""),9685556819)</f>
        <v>9685556819</v>
      </c>
      <c r="J1623" s="1"/>
      <c r="K1623" s="1" t="str">
        <f>IFERROR(__xludf.DUMMYFUNCTION("""COMPUTED_VALUE"""),"JANICECALINISAN9@GMAIL.COM")</f>
        <v>JANICECALINISAN9@GMAIL.COM</v>
      </c>
      <c r="L1623" s="1" t="str">
        <f>IFERROR(__xludf.DUMMYFUNCTION("""COMPUTED_VALUE"""),"97")</f>
        <v>97</v>
      </c>
      <c r="M1623" s="1" t="str">
        <f>IFERROR(__xludf.DUMMYFUNCTION("""COMPUTED_VALUE"""),"TRAMOM")</f>
        <v>TRAMOM</v>
      </c>
      <c r="N1623" s="1"/>
      <c r="O1623" s="1" t="str">
        <f>IFERROR(__xludf.DUMMYFUNCTION("""COMPUTED_VALUE"""),"TALABA I")</f>
        <v>TALABA I</v>
      </c>
      <c r="P1623" s="1" t="str">
        <f>IFERROR(__xludf.DUMMYFUNCTION("""COMPUTED_VALUE"""),"BACOOR")</f>
        <v>BACOOR</v>
      </c>
      <c r="Q1623" s="1" t="str">
        <f>IFERROR(__xludf.DUMMYFUNCTION("""COMPUTED_VALUE"""),"CAVITE")</f>
        <v>CAVITE</v>
      </c>
      <c r="R1623" s="1" t="str">
        <f>IFERROR(__xludf.DUMMYFUNCTION("""COMPUTED_VALUE"""),"RED PLAN 1000")</f>
        <v>RED PLAN 1000</v>
      </c>
      <c r="S1623" s="1" t="str">
        <f>IFERROR(__xludf.DUMMYFUNCTION("""COMPUTED_VALUE"""),"APPROVED")</f>
        <v>APPROVED</v>
      </c>
      <c r="T1623" s="1" t="str">
        <f>IFERROR(__xludf.DUMMYFUNCTION("""COMPUTED_VALUE"""),"#N/A")</f>
        <v>#N/A</v>
      </c>
      <c r="U1623" s="1"/>
      <c r="V1623" s="1"/>
      <c r="W1623" s="1"/>
    </row>
    <row r="1624" customHeight="1" spans="1:23">
      <c r="A1624" s="3">
        <f>IFERROR(__xludf.DUMMYFUNCTION("""COMPUTED_VALUE"""),46154)</f>
        <v>46154</v>
      </c>
      <c r="B1624" s="1" t="str">
        <f>IFERROR(__xludf.DUMMYFUNCTION("""COMPUTED_VALUE"""),"FRONDEZ, JEDREFF")</f>
        <v>FRONDEZ, JEDREFF</v>
      </c>
      <c r="C1624" s="1" t="str">
        <f>IFERROR(__xludf.DUMMYFUNCTION("""COMPUTED_VALUE"""),"ORGANIC")</f>
        <v>ORGANIC</v>
      </c>
      <c r="D1624" s="1" t="str">
        <f>IFERROR(__xludf.DUMMYFUNCTION("""COMPUTED_VALUE"""),"REMOLLO LEA")</f>
        <v>REMOLLO LEA</v>
      </c>
      <c r="E1624" s="1" t="str">
        <f>IFERROR(__xludf.DUMMYFUNCTION("""COMPUTED_VALUE"""),"PLDT / H2H")</f>
        <v>PLDT / H2H</v>
      </c>
      <c r="F1624" s="1">
        <f>IFERROR(__xludf.DUMMYFUNCTION("""COMPUTED_VALUE"""),2309453704)</f>
        <v>2309453704</v>
      </c>
      <c r="G1624" s="1">
        <f>IFERROR(__xludf.DUMMYFUNCTION("""COMPUTED_VALUE"""),454347001004)</f>
        <v>454347001004</v>
      </c>
      <c r="H1624" s="1" t="str">
        <f>IFERROR(__xludf.DUMMYFUNCTION("""COMPUTED_VALUE"""),"EMMANUEL DE GUZMAN ROCES")</f>
        <v>EMMANUEL DE GUZMAN ROCES</v>
      </c>
      <c r="I1624" s="1">
        <f>IFERROR(__xludf.DUMMYFUNCTION("""COMPUTED_VALUE"""),9683141883)</f>
        <v>9683141883</v>
      </c>
      <c r="J1624" s="1">
        <f>IFERROR(__xludf.DUMMYFUNCTION("""COMPUTED_VALUE"""),9184920673)</f>
        <v>9184920673</v>
      </c>
      <c r="K1624" s="1" t="str">
        <f>IFERROR(__xludf.DUMMYFUNCTION("""COMPUTED_VALUE"""),"MANUELROCES.ER@GMAIL.COM")</f>
        <v>MANUELROCES.ER@GMAIL.COM</v>
      </c>
      <c r="L1624" s="1" t="str">
        <f>IFERROR(__xludf.DUMMYFUNCTION("""COMPUTED_VALUE"""),"191")</f>
        <v>191</v>
      </c>
      <c r="M1624" s="1" t="str">
        <f>IFERROR(__xludf.DUMMYFUNCTION("""COMPUTED_VALUE"""),"MUNTING ILOG")</f>
        <v>MUNTING ILOG</v>
      </c>
      <c r="N1624" s="1"/>
      <c r="O1624" s="1" t="str">
        <f>IFERROR(__xludf.DUMMYFUNCTION("""COMPUTED_VALUE"""),"MUNTING ILOG")</f>
        <v>MUNTING ILOG</v>
      </c>
      <c r="P1624" s="1" t="str">
        <f>IFERROR(__xludf.DUMMYFUNCTION("""COMPUTED_VALUE"""),"SILANG")</f>
        <v>SILANG</v>
      </c>
      <c r="Q1624" s="1" t="str">
        <f>IFERROR(__xludf.DUMMYFUNCTION("""COMPUTED_VALUE"""),"CAVITE")</f>
        <v>CAVITE</v>
      </c>
      <c r="R1624" s="1" t="str">
        <f>IFERROR(__xludf.DUMMYFUNCTION("""COMPUTED_VALUE"""),"FIBR PLAN 1299")</f>
        <v>FIBR PLAN 1299</v>
      </c>
      <c r="S1624" s="1" t="str">
        <f>IFERROR(__xludf.DUMMYFUNCTION("""COMPUTED_VALUE"""),"APPROVED")</f>
        <v>APPROVED</v>
      </c>
      <c r="T1624" s="1" t="str">
        <f>IFERROR(__xludf.DUMMYFUNCTION("""COMPUTED_VALUE"""),"RPR")</f>
        <v>RPR</v>
      </c>
      <c r="U1624" s="1"/>
      <c r="V1624" s="1"/>
      <c r="W1624" s="1"/>
    </row>
    <row r="1625" customHeight="1" spans="1:23">
      <c r="A1625" s="3">
        <f>IFERROR(__xludf.DUMMYFUNCTION("""COMPUTED_VALUE"""),46154)</f>
        <v>46154</v>
      </c>
      <c r="B1625" s="1" t="str">
        <f>IFERROR(__xludf.DUMMYFUNCTION("""COMPUTED_VALUE"""),"AGUNOS, JHON AIRVIN")</f>
        <v>AGUNOS, JHON AIRVIN</v>
      </c>
      <c r="C1625" s="1" t="str">
        <f>IFERROR(__xludf.DUMMYFUNCTION("""COMPUTED_VALUE"""),"ORGANIC")</f>
        <v>ORGANIC</v>
      </c>
      <c r="D1625" s="1" t="str">
        <f>IFERROR(__xludf.DUMMYFUNCTION("""COMPUTED_VALUE"""),"ALINGARO, CINDY")</f>
        <v>ALINGARO, CINDY</v>
      </c>
      <c r="E1625" s="1" t="str">
        <f>IFERROR(__xludf.DUMMYFUNCTION("""COMPUTED_VALUE"""),"PLDT / H2H")</f>
        <v>PLDT / H2H</v>
      </c>
      <c r="F1625" s="1"/>
      <c r="G1625" s="1"/>
      <c r="H1625" s="1" t="str">
        <f>IFERROR(__xludf.DUMMYFUNCTION("""COMPUTED_VALUE"""),"RONELIE GRIPO ESPINOSA")</f>
        <v>RONELIE GRIPO ESPINOSA</v>
      </c>
      <c r="I1625" s="1">
        <f>IFERROR(__xludf.DUMMYFUNCTION("""COMPUTED_VALUE"""),9668222517)</f>
        <v>9668222517</v>
      </c>
      <c r="J1625" s="1">
        <f>IFERROR(__xludf.DUMMYFUNCTION("""COMPUTED_VALUE"""),9061531005)</f>
        <v>9061531005</v>
      </c>
      <c r="K1625" s="1" t="str">
        <f>IFERROR(__xludf.DUMMYFUNCTION("""COMPUTED_VALUE"""),"ESPINOSAMILES59@GMAIL.COM")</f>
        <v>ESPINOSAMILES59@GMAIL.COM</v>
      </c>
      <c r="L1625" s="1" t="str">
        <f>IFERROR(__xludf.DUMMYFUNCTION("""COMPUTED_VALUE"""),"BLK 7")</f>
        <v>BLK 7</v>
      </c>
      <c r="M1625" s="1" t="str">
        <f>IFERROR(__xludf.DUMMYFUNCTION("""COMPUTED_VALUE"""),"ERMITANIO")</f>
        <v>ERMITANIO</v>
      </c>
      <c r="N1625" s="1"/>
      <c r="O1625" s="1" t="str">
        <f>IFERROR(__xludf.DUMMYFUNCTION("""COMPUTED_VALUE"""),"SABUTAN")</f>
        <v>SABUTAN</v>
      </c>
      <c r="P1625" s="1" t="str">
        <f>IFERROR(__xludf.DUMMYFUNCTION("""COMPUTED_VALUE"""),"SILANG")</f>
        <v>SILANG</v>
      </c>
      <c r="Q1625" s="1" t="str">
        <f>IFERROR(__xludf.DUMMYFUNCTION("""COMPUTED_VALUE"""),"CAVITE")</f>
        <v>CAVITE</v>
      </c>
      <c r="R1625" s="1" t="str">
        <f>IFERROR(__xludf.DUMMYFUNCTION("""COMPUTED_VALUE"""),"FIBR PLAN 1299")</f>
        <v>FIBR PLAN 1299</v>
      </c>
      <c r="S1625" s="1" t="str">
        <f>IFERROR(__xludf.DUMMYFUNCTION("""COMPUTED_VALUE"""),"HOLD")</f>
        <v>HOLD</v>
      </c>
      <c r="T1625" s="1" t="str">
        <f>IFERROR(__xludf.DUMMYFUNCTION("""COMPUTED_VALUE"""),"#N/A")</f>
        <v>#N/A</v>
      </c>
      <c r="U1625" s="1" t="str">
        <f>IFERROR(__xludf.DUMMYFUNCTION("""COMPUTED_VALUE"""),"RINGING AS OF MAY 16,8:38AM")</f>
        <v>RINGING AS OF MAY 16,8:38AM</v>
      </c>
      <c r="V1625" s="1"/>
      <c r="W1625" s="1"/>
    </row>
    <row r="1626" customHeight="1" spans="1:23">
      <c r="A1626" s="3">
        <f>IFERROR(__xludf.DUMMYFUNCTION("""COMPUTED_VALUE"""),46154)</f>
        <v>46154</v>
      </c>
      <c r="B1626" s="1" t="str">
        <f>IFERROR(__xludf.DUMMYFUNCTION("""COMPUTED_VALUE"""),"DE VERA, MARIVIC")</f>
        <v>DE VERA, MARIVIC</v>
      </c>
      <c r="C1626" s="1" t="str">
        <f>IFERROR(__xludf.DUMMYFUNCTION("""COMPUTED_VALUE"""),"ORGANIC")</f>
        <v>ORGANIC</v>
      </c>
      <c r="D1626" s="1" t="str">
        <f>IFERROR(__xludf.DUMMYFUNCTION("""COMPUTED_VALUE"""),"REMOLLO LEA")</f>
        <v>REMOLLO LEA</v>
      </c>
      <c r="E1626" s="1" t="str">
        <f>IFERROR(__xludf.DUMMYFUNCTION("""COMPUTED_VALUE"""),"PLDT / H2H")</f>
        <v>PLDT / H2H</v>
      </c>
      <c r="F1626" s="1">
        <f>IFERROR(__xludf.DUMMYFUNCTION("""COMPUTED_VALUE"""),2309454117)</f>
        <v>2309454117</v>
      </c>
      <c r="G1626" s="1">
        <f>IFERROR(__xludf.DUMMYFUNCTION("""COMPUTED_VALUE"""),454346741004)</f>
        <v>454346741004</v>
      </c>
      <c r="H1626" s="1" t="str">
        <f>IFERROR(__xludf.DUMMYFUNCTION("""COMPUTED_VALUE"""),"JAYRUS PATAMBANG BELEN")</f>
        <v>JAYRUS PATAMBANG BELEN</v>
      </c>
      <c r="I1626" s="1">
        <f>IFERROR(__xludf.DUMMYFUNCTION("""COMPUTED_VALUE"""),9076484502)</f>
        <v>9076484502</v>
      </c>
      <c r="J1626" s="1"/>
      <c r="K1626" s="1" t="str">
        <f>IFERROR(__xludf.DUMMYFUNCTION("""COMPUTED_VALUE"""),"BELENJAYRUS31@GMAIL.COM")</f>
        <v>BELENJAYRUS31@GMAIL.COM</v>
      </c>
      <c r="L1626" s="1" t="str">
        <f>IFERROR(__xludf.DUMMYFUNCTION("""COMPUTED_VALUE"""),"496")</f>
        <v>496</v>
      </c>
      <c r="M1626" s="1" t="str">
        <f>IFERROR(__xludf.DUMMYFUNCTION("""COMPUTED_VALUE"""),"PUROK 6")</f>
        <v>PUROK 6</v>
      </c>
      <c r="N1626" s="1"/>
      <c r="O1626" s="1" t="str">
        <f>IFERROR(__xludf.DUMMYFUNCTION("""COMPUTED_VALUE"""),"MUNTING ILOG")</f>
        <v>MUNTING ILOG</v>
      </c>
      <c r="P1626" s="1" t="str">
        <f>IFERROR(__xludf.DUMMYFUNCTION("""COMPUTED_VALUE"""),"SILANG")</f>
        <v>SILANG</v>
      </c>
      <c r="Q1626" s="1" t="str">
        <f>IFERROR(__xludf.DUMMYFUNCTION("""COMPUTED_VALUE"""),"CAVITE")</f>
        <v>CAVITE</v>
      </c>
      <c r="R1626" s="1" t="str">
        <f>IFERROR(__xludf.DUMMYFUNCTION("""COMPUTED_VALUE"""),"FIBR UNLI ALL PLAN 999")</f>
        <v>FIBR UNLI ALL PLAN 999</v>
      </c>
      <c r="S1626" s="1" t="str">
        <f>IFERROR(__xludf.DUMMYFUNCTION("""COMPUTED_VALUE"""),"APPROVED")</f>
        <v>APPROVED</v>
      </c>
      <c r="T1626" s="1" t="str">
        <f>IFERROR(__xludf.DUMMYFUNCTION("""COMPUTED_VALUE"""),"CANCELLED")</f>
        <v>CANCELLED</v>
      </c>
      <c r="U1626" s="1"/>
      <c r="V1626" s="1"/>
      <c r="W1626" s="1"/>
    </row>
    <row r="1627" customHeight="1" spans="1:23">
      <c r="A1627" s="3">
        <f>IFERROR(__xludf.DUMMYFUNCTION("""COMPUTED_VALUE"""),46154)</f>
        <v>46154</v>
      </c>
      <c r="B1627" s="1" t="str">
        <f>IFERROR(__xludf.DUMMYFUNCTION("""COMPUTED_VALUE"""),"GABAY, MANUEL")</f>
        <v>GABAY, MANUEL</v>
      </c>
      <c r="C1627" s="1" t="str">
        <f>IFERROR(__xludf.DUMMYFUNCTION("""COMPUTED_VALUE"""),"FLA")</f>
        <v>FLA</v>
      </c>
      <c r="D1627" s="1" t="str">
        <f>IFERROR(__xludf.DUMMYFUNCTION("""COMPUTED_VALUE"""),"JERIC NAVARRO")</f>
        <v>JERIC NAVARRO</v>
      </c>
      <c r="E1627" s="1" t="str">
        <f>IFERROR(__xludf.DUMMYFUNCTION("""COMPUTED_VALUE"""),"PLDT / H2H")</f>
        <v>PLDT / H2H</v>
      </c>
      <c r="F1627" s="1">
        <f>IFERROR(__xludf.DUMMYFUNCTION("""COMPUTED_VALUE"""),2309454271)</f>
        <v>2309454271</v>
      </c>
      <c r="G1627" s="1">
        <f>IFERROR(__xludf.DUMMYFUNCTION("""COMPUTED_VALUE"""),454346619004)</f>
        <v>454346619004</v>
      </c>
      <c r="H1627" s="1" t="str">
        <f>IFERROR(__xludf.DUMMYFUNCTION("""COMPUTED_VALUE"""),"JHON PAUL ROSALES SANTIAGO")</f>
        <v>JHON PAUL ROSALES SANTIAGO</v>
      </c>
      <c r="I1627" s="1">
        <f>IFERROR(__xludf.DUMMYFUNCTION("""COMPUTED_VALUE"""),9300651111)</f>
        <v>9300651111</v>
      </c>
      <c r="J1627" s="1">
        <f>IFERROR(__xludf.DUMMYFUNCTION("""COMPUTED_VALUE"""),9285752310)</f>
        <v>9285752310</v>
      </c>
      <c r="K1627" s="1" t="str">
        <f>IFERROR(__xludf.DUMMYFUNCTION("""COMPUTED_VALUE"""),"SJHONPAUL47@GMAIL.COM")</f>
        <v>SJHONPAUL47@GMAIL.COM</v>
      </c>
      <c r="L1627" s="1" t="str">
        <f>IFERROR(__xludf.DUMMYFUNCTION("""COMPUTED_VALUE"""),"430")</f>
        <v>430</v>
      </c>
      <c r="M1627" s="1" t="str">
        <f>IFERROR(__xludf.DUMMYFUNCTION("""COMPUTED_VALUE"""),"PUROK 5")</f>
        <v>PUROK 5</v>
      </c>
      <c r="N1627" s="1"/>
      <c r="O1627" s="1" t="str">
        <f>IFERROR(__xludf.DUMMYFUNCTION("""COMPUTED_VALUE"""),"MUNTING ILOG")</f>
        <v>MUNTING ILOG</v>
      </c>
      <c r="P1627" s="1" t="str">
        <f>IFERROR(__xludf.DUMMYFUNCTION("""COMPUTED_VALUE"""),"SILANG")</f>
        <v>SILANG</v>
      </c>
      <c r="Q1627" s="1" t="str">
        <f>IFERROR(__xludf.DUMMYFUNCTION("""COMPUTED_VALUE"""),"CAVITE")</f>
        <v>CAVITE</v>
      </c>
      <c r="R1627" s="1" t="str">
        <f>IFERROR(__xludf.DUMMYFUNCTION("""COMPUTED_VALUE"""),"FIBR UNLI ALL PLAN 1399")</f>
        <v>FIBR UNLI ALL PLAN 1399</v>
      </c>
      <c r="S1627" s="1" t="str">
        <f>IFERROR(__xludf.DUMMYFUNCTION("""COMPUTED_VALUE"""),"APPROVED")</f>
        <v>APPROVED</v>
      </c>
      <c r="T1627" s="1" t="str">
        <f>IFERROR(__xludf.DUMMYFUNCTION("""COMPUTED_VALUE"""),"RPR")</f>
        <v>RPR</v>
      </c>
      <c r="U1627" s="1"/>
      <c r="V1627" s="1"/>
      <c r="W1627" s="1"/>
    </row>
    <row r="1628" customHeight="1" spans="1:23">
      <c r="A1628" s="3">
        <f>IFERROR(__xludf.DUMMYFUNCTION("""COMPUTED_VALUE"""),46154)</f>
        <v>46154</v>
      </c>
      <c r="B1628" s="1" t="str">
        <f>IFERROR(__xludf.DUMMYFUNCTION("""COMPUTED_VALUE"""),"FRONDEZ, JEDREFF")</f>
        <v>FRONDEZ, JEDREFF</v>
      </c>
      <c r="C1628" s="1" t="str">
        <f>IFERROR(__xludf.DUMMYFUNCTION("""COMPUTED_VALUE"""),"ORGANIC")</f>
        <v>ORGANIC</v>
      </c>
      <c r="D1628" s="1" t="str">
        <f>IFERROR(__xludf.DUMMYFUNCTION("""COMPUTED_VALUE"""),"REMOLLO LEA")</f>
        <v>REMOLLO LEA</v>
      </c>
      <c r="E1628" s="1" t="str">
        <f>IFERROR(__xludf.DUMMYFUNCTION("""COMPUTED_VALUE"""),"PLDT / H2H")</f>
        <v>PLDT / H2H</v>
      </c>
      <c r="F1628" s="1">
        <f>IFERROR(__xludf.DUMMYFUNCTION("""COMPUTED_VALUE"""),2309454478)</f>
        <v>2309454478</v>
      </c>
      <c r="G1628" s="1">
        <f>IFERROR(__xludf.DUMMYFUNCTION("""COMPUTED_VALUE"""),454347082004)</f>
        <v>454347082004</v>
      </c>
      <c r="H1628" s="1" t="str">
        <f>IFERROR(__xludf.DUMMYFUNCTION("""COMPUTED_VALUE"""),"NILLY ABAN GARCIA")</f>
        <v>NILLY ABAN GARCIA</v>
      </c>
      <c r="I1628" s="1">
        <f>IFERROR(__xludf.DUMMYFUNCTION("""COMPUTED_VALUE"""),9193323733)</f>
        <v>9193323733</v>
      </c>
      <c r="J1628" s="1">
        <f>IFERROR(__xludf.DUMMYFUNCTION("""COMPUTED_VALUE"""),9651159816)</f>
        <v>9651159816</v>
      </c>
      <c r="K1628" s="1" t="str">
        <f>IFERROR(__xludf.DUMMYFUNCTION("""COMPUTED_VALUE"""),"AICAVIAJE30@GMAIL.COM")</f>
        <v>AICAVIAJE30@GMAIL.COM</v>
      </c>
      <c r="L1628" s="1" t="str">
        <f>IFERROR(__xludf.DUMMYFUNCTION("""COMPUTED_VALUE"""),"9293")</f>
        <v>9293</v>
      </c>
      <c r="M1628" s="1" t="str">
        <f>IFERROR(__xludf.DUMMYFUNCTION("""COMPUTED_VALUE"""),"MUNTING ILOG")</f>
        <v>MUNTING ILOG</v>
      </c>
      <c r="N1628" s="1"/>
      <c r="O1628" s="1" t="str">
        <f>IFERROR(__xludf.DUMMYFUNCTION("""COMPUTED_VALUE"""),"MUNTING ILOG")</f>
        <v>MUNTING ILOG</v>
      </c>
      <c r="P1628" s="1" t="str">
        <f>IFERROR(__xludf.DUMMYFUNCTION("""COMPUTED_VALUE"""),"SILANG")</f>
        <v>SILANG</v>
      </c>
      <c r="Q1628" s="1" t="str">
        <f>IFERROR(__xludf.DUMMYFUNCTION("""COMPUTED_VALUE"""),"CAVITE")</f>
        <v>CAVITE</v>
      </c>
      <c r="R1628" s="1" t="str">
        <f>IFERROR(__xludf.DUMMYFUNCTION("""COMPUTED_VALUE"""),"FIBR UNLI ALL PLAN 999")</f>
        <v>FIBR UNLI ALL PLAN 999</v>
      </c>
      <c r="S1628" s="1" t="str">
        <f>IFERROR(__xludf.DUMMYFUNCTION("""COMPUTED_VALUE"""),"APPROVED")</f>
        <v>APPROVED</v>
      </c>
      <c r="T1628" s="1" t="str">
        <f>IFERROR(__xludf.DUMMYFUNCTION("""COMPUTED_VALUE"""),"CANCELLED")</f>
        <v>CANCELLED</v>
      </c>
      <c r="U1628" s="1"/>
      <c r="V1628" s="1"/>
      <c r="W1628" s="1"/>
    </row>
    <row r="1629" customHeight="1" spans="1:23">
      <c r="A1629" s="3">
        <f>IFERROR(__xludf.DUMMYFUNCTION("""COMPUTED_VALUE"""),46154)</f>
        <v>46154</v>
      </c>
      <c r="B1629" s="1" t="str">
        <f>IFERROR(__xludf.DUMMYFUNCTION("""COMPUTED_VALUE"""),"MAÑANITA, ERIKA")</f>
        <v>MAÑANITA, ERIKA</v>
      </c>
      <c r="C1629" s="1" t="str">
        <f>IFERROR(__xludf.DUMMYFUNCTION("""COMPUTED_VALUE"""),"ORGANIC")</f>
        <v>ORGANIC</v>
      </c>
      <c r="D1629" s="1" t="str">
        <f>IFERROR(__xludf.DUMMYFUNCTION("""COMPUTED_VALUE"""),"ALOS, CHARLS")</f>
        <v>ALOS, CHARLS</v>
      </c>
      <c r="E1629" s="1" t="str">
        <f>IFERROR(__xludf.DUMMYFUNCTION("""COMPUTED_VALUE"""),"PLDT / H2H")</f>
        <v>PLDT / H2H</v>
      </c>
      <c r="F1629" s="1">
        <f>IFERROR(__xludf.DUMMYFUNCTION("""COMPUTED_VALUE"""),2309454612)</f>
        <v>2309454612</v>
      </c>
      <c r="G1629" s="1">
        <f>IFERROR(__xludf.DUMMYFUNCTION("""COMPUTED_VALUE"""),454347884004)</f>
        <v>454347884004</v>
      </c>
      <c r="H1629" s="1" t="str">
        <f>IFERROR(__xludf.DUMMYFUNCTION("""COMPUTED_VALUE"""),"ANDREA JANE NACIS VEGAS")</f>
        <v>ANDREA JANE NACIS VEGAS</v>
      </c>
      <c r="I1629" s="1">
        <f>IFERROR(__xludf.DUMMYFUNCTION("""COMPUTED_VALUE"""),9690160472)</f>
        <v>9690160472</v>
      </c>
      <c r="J1629" s="1">
        <f>IFERROR(__xludf.DUMMYFUNCTION("""COMPUTED_VALUE"""),9455533102)</f>
        <v>9455533102</v>
      </c>
      <c r="K1629" s="1" t="str">
        <f>IFERROR(__xludf.DUMMYFUNCTION("""COMPUTED_VALUE"""),"VEGASSANDREAJANE9@GMAIL.COM")</f>
        <v>VEGASSANDREAJANE9@GMAIL.COM</v>
      </c>
      <c r="L1629" s="1" t="str">
        <f>IFERROR(__xludf.DUMMYFUNCTION("""COMPUTED_VALUE"""),"68")</f>
        <v>68</v>
      </c>
      <c r="M1629" s="1" t="str">
        <f>IFERROR(__xludf.DUMMYFUNCTION("""COMPUTED_VALUE"""),"MAGDIWANG")</f>
        <v>MAGDIWANG</v>
      </c>
      <c r="N1629" s="1"/>
      <c r="O1629" s="1" t="str">
        <f>IFERROR(__xludf.DUMMYFUNCTION("""COMPUTED_VALUE"""),"MOLINO II")</f>
        <v>MOLINO II</v>
      </c>
      <c r="P1629" s="1" t="str">
        <f>IFERROR(__xludf.DUMMYFUNCTION("""COMPUTED_VALUE"""),"BACOOR")</f>
        <v>BACOOR</v>
      </c>
      <c r="Q1629" s="1" t="str">
        <f>IFERROR(__xludf.DUMMYFUNCTION("""COMPUTED_VALUE"""),"CAVITE")</f>
        <v>CAVITE</v>
      </c>
      <c r="R1629" s="1" t="str">
        <f>IFERROR(__xludf.DUMMYFUNCTION("""COMPUTED_VALUE"""),"FIBR PLAN 1299")</f>
        <v>FIBR PLAN 1299</v>
      </c>
      <c r="S1629" s="1" t="str">
        <f>IFERROR(__xludf.DUMMYFUNCTION("""COMPUTED_VALUE"""),"APPROVED")</f>
        <v>APPROVED</v>
      </c>
      <c r="T1629" s="1" t="str">
        <f>IFERROR(__xludf.DUMMYFUNCTION("""COMPUTED_VALUE"""),"RPR")</f>
        <v>RPR</v>
      </c>
      <c r="U1629" s="1"/>
      <c r="V1629" s="1"/>
      <c r="W1629" s="1"/>
    </row>
    <row r="1630" customHeight="1" spans="1:23">
      <c r="A1630" s="3">
        <f>IFERROR(__xludf.DUMMYFUNCTION("""COMPUTED_VALUE"""),46154)</f>
        <v>46154</v>
      </c>
      <c r="B1630" s="1" t="str">
        <f>IFERROR(__xludf.DUMMYFUNCTION("""COMPUTED_VALUE"""),"ODY , CLARENCE")</f>
        <v>ODY , CLARENCE</v>
      </c>
      <c r="C1630" s="1" t="str">
        <f>IFERROR(__xludf.DUMMYFUNCTION("""COMPUTED_VALUE"""),"ORGANIC")</f>
        <v>ORGANIC</v>
      </c>
      <c r="D1630" s="1" t="str">
        <f>IFERROR(__xludf.DUMMYFUNCTION("""COMPUTED_VALUE"""),"ALOS, CHARLS")</f>
        <v>ALOS, CHARLS</v>
      </c>
      <c r="E1630" s="1" t="str">
        <f>IFERROR(__xludf.DUMMYFUNCTION("""COMPUTED_VALUE"""),"PLDT / ONLINE")</f>
        <v>PLDT / ONLINE</v>
      </c>
      <c r="F1630" s="1">
        <f>IFERROR(__xludf.DUMMYFUNCTION("""COMPUTED_VALUE"""),2309454759)</f>
        <v>2309454759</v>
      </c>
      <c r="G1630" s="1">
        <f>IFERROR(__xludf.DUMMYFUNCTION("""COMPUTED_VALUE"""),454347877004)</f>
        <v>454347877004</v>
      </c>
      <c r="H1630" s="1" t="str">
        <f>IFERROR(__xludf.DUMMYFUNCTION("""COMPUTED_VALUE"""),"KIMBERLY ALMERO PEDRAYA")</f>
        <v>KIMBERLY ALMERO PEDRAYA</v>
      </c>
      <c r="I1630" s="1">
        <f>IFERROR(__xludf.DUMMYFUNCTION("""COMPUTED_VALUE"""),9949866925)</f>
        <v>9949866925</v>
      </c>
      <c r="J1630" s="1"/>
      <c r="K1630" s="1" t="str">
        <f>IFERROR(__xludf.DUMMYFUNCTION("""COMPUTED_VALUE"""),"KHIMPEDRAYA@GMAIL.COM")</f>
        <v>KHIMPEDRAYA@GMAIL.COM</v>
      </c>
      <c r="L1630" s="1" t="str">
        <f>IFERROR(__xludf.DUMMYFUNCTION("""COMPUTED_VALUE"""),"BLK 23 LOT 25")</f>
        <v>BLK 23 LOT 25</v>
      </c>
      <c r="M1630" s="1" t="str">
        <f>IFERROR(__xludf.DUMMYFUNCTION("""COMPUTED_VALUE"""),"INDIA")</f>
        <v>INDIA</v>
      </c>
      <c r="N1630" s="1" t="str">
        <f>IFERROR(__xludf.DUMMYFUNCTION("""COMPUTED_VALUE"""),"SAN MARINO")</f>
        <v>SAN MARINO</v>
      </c>
      <c r="O1630" s="1" t="str">
        <f>IFERROR(__xludf.DUMMYFUNCTION("""COMPUTED_VALUE"""),"SALAWAG")</f>
        <v>SALAWAG</v>
      </c>
      <c r="P1630" s="1" t="str">
        <f>IFERROR(__xludf.DUMMYFUNCTION("""COMPUTED_VALUE"""),"DASMARINAS")</f>
        <v>DASMARINAS</v>
      </c>
      <c r="Q1630" s="1" t="str">
        <f>IFERROR(__xludf.DUMMYFUNCTION("""COMPUTED_VALUE"""),"CAVITE")</f>
        <v>CAVITE</v>
      </c>
      <c r="R1630" s="1" t="str">
        <f>IFERROR(__xludf.DUMMYFUNCTION("""COMPUTED_VALUE"""),"FIBR UNLI ALL PLAN 1399")</f>
        <v>FIBR UNLI ALL PLAN 1399</v>
      </c>
      <c r="S1630" s="1" t="str">
        <f>IFERROR(__xludf.DUMMYFUNCTION("""COMPUTED_VALUE"""),"APPROVED")</f>
        <v>APPROVED</v>
      </c>
      <c r="T1630" s="1" t="str">
        <f>IFERROR(__xludf.DUMMYFUNCTION("""COMPUTED_VALUE"""),"CLOSED")</f>
        <v>CLOSED</v>
      </c>
      <c r="U1630" s="1" t="str">
        <f>IFERROR(__xludf.DUMMYFUNCTION("""COMPUTED_VALUE"""),"POSTED")</f>
        <v>POSTED</v>
      </c>
      <c r="V1630" s="1"/>
      <c r="W1630" s="1"/>
    </row>
    <row r="1631" customHeight="1" spans="1:23">
      <c r="A1631" s="3">
        <f>IFERROR(__xludf.DUMMYFUNCTION("""COMPUTED_VALUE"""),46154)</f>
        <v>46154</v>
      </c>
      <c r="B1631" s="1" t="str">
        <f>IFERROR(__xludf.DUMMYFUNCTION("""COMPUTED_VALUE"""),"ESCARCHA, MA ALMA  ESCOTO")</f>
        <v>ESCARCHA, MA ALMA  ESCOTO</v>
      </c>
      <c r="C1631" s="1" t="str">
        <f>IFERROR(__xludf.DUMMYFUNCTION("""COMPUTED_VALUE"""),"ORGANIC")</f>
        <v>ORGANIC</v>
      </c>
      <c r="D1631" s="1" t="str">
        <f>IFERROR(__xludf.DUMMYFUNCTION("""COMPUTED_VALUE"""),"ALINGARO, CINDY")</f>
        <v>ALINGARO, CINDY</v>
      </c>
      <c r="E1631" s="1" t="str">
        <f>IFERROR(__xludf.DUMMYFUNCTION("""COMPUTED_VALUE"""),"PLDT / H2H")</f>
        <v>PLDT / H2H</v>
      </c>
      <c r="F1631" s="1">
        <f>IFERROR(__xludf.DUMMYFUNCTION("""COMPUTED_VALUE"""),2309471066)</f>
        <v>2309471066</v>
      </c>
      <c r="G1631" s="1">
        <f>IFERROR(__xludf.DUMMYFUNCTION("""COMPUTED_VALUE"""),454460766004)</f>
        <v>454460766004</v>
      </c>
      <c r="H1631" s="1" t="str">
        <f>IFERROR(__xludf.DUMMYFUNCTION("""COMPUTED_VALUE"""),"PATRICIA OTIONG CORTEZ")</f>
        <v>PATRICIA OTIONG CORTEZ</v>
      </c>
      <c r="I1631" s="1">
        <f>IFERROR(__xludf.DUMMYFUNCTION("""COMPUTED_VALUE"""),9939282487)</f>
        <v>9939282487</v>
      </c>
      <c r="J1631" s="1"/>
      <c r="K1631" s="1" t="str">
        <f>IFERROR(__xludf.DUMMYFUNCTION("""COMPUTED_VALUE"""),"PC8349020@GMAIL.COM")</f>
        <v>PC8349020@GMAIL.COM</v>
      </c>
      <c r="L1631" s="1" t="str">
        <f>IFERROR(__xludf.DUMMYFUNCTION("""COMPUTED_VALUE"""),"BLK 5 LOT 450")</f>
        <v>BLK 5 LOT 450</v>
      </c>
      <c r="M1631" s="1" t="str">
        <f>IFERROR(__xludf.DUMMYFUNCTION("""COMPUTED_VALUE"""),"POBLCAION 2")</f>
        <v>POBLCAION 2</v>
      </c>
      <c r="N1631" s="1"/>
      <c r="O1631" s="1" t="str">
        <f>IFERROR(__xludf.DUMMYFUNCTION("""COMPUTED_VALUE"""),"POBLACION II")</f>
        <v>POBLACION II</v>
      </c>
      <c r="P1631" s="1" t="str">
        <f>IFERROR(__xludf.DUMMYFUNCTION("""COMPUTED_VALUE"""),"GEN MARIANO ALVAREZ")</f>
        <v>GEN MARIANO ALVAREZ</v>
      </c>
      <c r="Q1631" s="1" t="str">
        <f>IFERROR(__xludf.DUMMYFUNCTION("""COMPUTED_VALUE"""),"CAVITE")</f>
        <v>CAVITE</v>
      </c>
      <c r="R1631" s="1" t="str">
        <f>IFERROR(__xludf.DUMMYFUNCTION("""COMPUTED_VALUE"""),"FIBR UNLI ALL PLAN 999")</f>
        <v>FIBR UNLI ALL PLAN 999</v>
      </c>
      <c r="S1631" s="1" t="str">
        <f>IFERROR(__xludf.DUMMYFUNCTION("""COMPUTED_VALUE"""),"APPROVED")</f>
        <v>APPROVED</v>
      </c>
      <c r="T1631" s="1" t="str">
        <f>IFERROR(__xludf.DUMMYFUNCTION("""COMPUTED_VALUE"""),"CANCELLED")</f>
        <v>CANCELLED</v>
      </c>
      <c r="U1631" s="1"/>
      <c r="V1631" s="1"/>
      <c r="W1631" s="1"/>
    </row>
    <row r="1632" customHeight="1" spans="1:23">
      <c r="A1632" s="3">
        <f>IFERROR(__xludf.DUMMYFUNCTION("""COMPUTED_VALUE"""),46154)</f>
        <v>46154</v>
      </c>
      <c r="B1632" s="1" t="str">
        <f>IFERROR(__xludf.DUMMYFUNCTION("""COMPUTED_VALUE"""),"DE VERA, MARIVIC")</f>
        <v>DE VERA, MARIVIC</v>
      </c>
      <c r="C1632" s="1" t="str">
        <f>IFERROR(__xludf.DUMMYFUNCTION("""COMPUTED_VALUE"""),"ORGANIC")</f>
        <v>ORGANIC</v>
      </c>
      <c r="D1632" s="1" t="str">
        <f>IFERROR(__xludf.DUMMYFUNCTION("""COMPUTED_VALUE"""),"REMOLLO LEA")</f>
        <v>REMOLLO LEA</v>
      </c>
      <c r="E1632" s="1" t="str">
        <f>IFERROR(__xludf.DUMMYFUNCTION("""COMPUTED_VALUE"""),"PLDT / H2H")</f>
        <v>PLDT / H2H</v>
      </c>
      <c r="F1632" s="1">
        <f>IFERROR(__xludf.DUMMYFUNCTION("""COMPUTED_VALUE"""),2309457105)</f>
        <v>2309457105</v>
      </c>
      <c r="G1632" s="1">
        <f>IFERROR(__xludf.DUMMYFUNCTION("""COMPUTED_VALUE"""),454352815004)</f>
        <v>454352815004</v>
      </c>
      <c r="H1632" s="1" t="str">
        <f>IFERROR(__xludf.DUMMYFUNCTION("""COMPUTED_VALUE"""),"VANGIE CAADLAWON DELARAMA")</f>
        <v>VANGIE CAADLAWON DELARAMA</v>
      </c>
      <c r="I1632" s="1">
        <f>IFERROR(__xludf.DUMMYFUNCTION("""COMPUTED_VALUE"""),9453046094)</f>
        <v>9453046094</v>
      </c>
      <c r="J1632" s="1"/>
      <c r="K1632" s="1" t="str">
        <f>IFERROR(__xludf.DUMMYFUNCTION("""COMPUTED_VALUE"""),"BERNADETHEPENA29@GMAIL.COM")</f>
        <v>BERNADETHEPENA29@GMAIL.COM</v>
      </c>
      <c r="L1632" s="1" t="str">
        <f>IFERROR(__xludf.DUMMYFUNCTION("""COMPUTED_VALUE"""),"786")</f>
        <v>786</v>
      </c>
      <c r="M1632" s="1" t="str">
        <f>IFERROR(__xludf.DUMMYFUNCTION("""COMPUTED_VALUE"""),"MUNTING ILOG")</f>
        <v>MUNTING ILOG</v>
      </c>
      <c r="N1632" s="1"/>
      <c r="O1632" s="1" t="str">
        <f>IFERROR(__xludf.DUMMYFUNCTION("""COMPUTED_VALUE"""),"MUNTING ILOG")</f>
        <v>MUNTING ILOG</v>
      </c>
      <c r="P1632" s="1" t="str">
        <f>IFERROR(__xludf.DUMMYFUNCTION("""COMPUTED_VALUE"""),"SILANG")</f>
        <v>SILANG</v>
      </c>
      <c r="Q1632" s="1" t="str">
        <f>IFERROR(__xludf.DUMMYFUNCTION("""COMPUTED_VALUE"""),"CAVITE")</f>
        <v>CAVITE</v>
      </c>
      <c r="R1632" s="1" t="str">
        <f>IFERROR(__xludf.DUMMYFUNCTION("""COMPUTED_VALUE"""),"FIBR UNLI ALL PLAN 1399")</f>
        <v>FIBR UNLI ALL PLAN 1399</v>
      </c>
      <c r="S1632" s="1" t="str">
        <f>IFERROR(__xludf.DUMMYFUNCTION("""COMPUTED_VALUE"""),"APPROVED")</f>
        <v>APPROVED</v>
      </c>
      <c r="T1632" s="1" t="str">
        <f>IFERROR(__xludf.DUMMYFUNCTION("""COMPUTED_VALUE"""),"CLOSED")</f>
        <v>CLOSED</v>
      </c>
      <c r="U1632" s="1" t="str">
        <f>IFERROR(__xludf.DUMMYFUNCTION("""COMPUTED_VALUE"""),"POSTED")</f>
        <v>POSTED</v>
      </c>
      <c r="V1632" s="1"/>
      <c r="W1632" s="1"/>
    </row>
    <row r="1633" customHeight="1" spans="1:23">
      <c r="A1633" s="3">
        <f>IFERROR(__xludf.DUMMYFUNCTION("""COMPUTED_VALUE"""),46154)</f>
        <v>46154</v>
      </c>
      <c r="B1633" s="1" t="str">
        <f>IFERROR(__xludf.DUMMYFUNCTION("""COMPUTED_VALUE"""),"AYON MANUEL")</f>
        <v>AYON MANUEL</v>
      </c>
      <c r="C1633" s="1" t="str">
        <f>IFERROR(__xludf.DUMMYFUNCTION("""COMPUTED_VALUE"""),"FLA")</f>
        <v>FLA</v>
      </c>
      <c r="D1633" s="1" t="str">
        <f>IFERROR(__xludf.DUMMYFUNCTION("""COMPUTED_VALUE"""),"JERIC NAVARRO")</f>
        <v>JERIC NAVARRO</v>
      </c>
      <c r="E1633" s="1" t="str">
        <f>IFERROR(__xludf.DUMMYFUNCTION("""COMPUTED_VALUE"""),"PLDT / ONLINE")</f>
        <v>PLDT / ONLINE</v>
      </c>
      <c r="F1633" s="1">
        <f>IFERROR(__xludf.DUMMYFUNCTION("""COMPUTED_VALUE"""),2309456531)</f>
        <v>2309456531</v>
      </c>
      <c r="G1633" s="1">
        <f>IFERROR(__xludf.DUMMYFUNCTION("""COMPUTED_VALUE"""),454361676004)</f>
        <v>454361676004</v>
      </c>
      <c r="H1633" s="1" t="str">
        <f>IFERROR(__xludf.DUMMYFUNCTION("""COMPUTED_VALUE"""),"LYDA RAQUEL ZOSA")</f>
        <v>LYDA RAQUEL ZOSA</v>
      </c>
      <c r="I1633" s="1">
        <f>IFERROR(__xludf.DUMMYFUNCTION("""COMPUTED_VALUE"""),9462605013)</f>
        <v>9462605013</v>
      </c>
      <c r="J1633" s="1">
        <f>IFERROR(__xludf.DUMMYFUNCTION("""COMPUTED_VALUE"""),9213047981)</f>
        <v>9213047981</v>
      </c>
      <c r="K1633" s="1" t="str">
        <f>IFERROR(__xludf.DUMMYFUNCTION("""COMPUTED_VALUE"""),"CRISTY01@GMIAL.COM")</f>
        <v>CRISTY01@GMIAL.COM</v>
      </c>
      <c r="L1633" s="1" t="str">
        <f>IFERROR(__xludf.DUMMYFUNCTION("""COMPUTED_VALUE"""),"BLK 10 LOT 3")</f>
        <v>BLK 10 LOT 3</v>
      </c>
      <c r="M1633" s="1" t="str">
        <f>IFERROR(__xludf.DUMMYFUNCTION("""COMPUTED_VALUE"""),"MAIN RD")</f>
        <v>MAIN RD</v>
      </c>
      <c r="N1633" s="1" t="str">
        <f>IFERROR(__xludf.DUMMYFUNCTION("""COMPUTED_VALUE"""),"WINDWARD")</f>
        <v>WINDWARD</v>
      </c>
      <c r="O1633" s="1" t="str">
        <f>IFERROR(__xludf.DUMMYFUNCTION("""COMPUTED_VALUE"""),"BUROL I")</f>
        <v>BUROL I</v>
      </c>
      <c r="P1633" s="1" t="str">
        <f>IFERROR(__xludf.DUMMYFUNCTION("""COMPUTED_VALUE"""),"DASMARINAS")</f>
        <v>DASMARINAS</v>
      </c>
      <c r="Q1633" s="1" t="str">
        <f>IFERROR(__xludf.DUMMYFUNCTION("""COMPUTED_VALUE"""),"CAVITE")</f>
        <v>CAVITE</v>
      </c>
      <c r="R1633" s="1" t="str">
        <f>IFERROR(__xludf.DUMMYFUNCTION("""COMPUTED_VALUE"""),"FIBR PLAN 1299")</f>
        <v>FIBR PLAN 1299</v>
      </c>
      <c r="S1633" s="1" t="str">
        <f>IFERROR(__xludf.DUMMYFUNCTION("""COMPUTED_VALUE"""),"APPROVED")</f>
        <v>APPROVED</v>
      </c>
      <c r="T1633" s="1" t="str">
        <f>IFERROR(__xludf.DUMMYFUNCTION("""COMPUTED_VALUE"""),"CLOSED")</f>
        <v>CLOSED</v>
      </c>
      <c r="U1633" s="1" t="str">
        <f>IFERROR(__xludf.DUMMYFUNCTION("""COMPUTED_VALUE"""),"POSTED")</f>
        <v>POSTED</v>
      </c>
      <c r="V1633" s="1"/>
      <c r="W1633" s="1"/>
    </row>
    <row r="1634" customHeight="1" spans="1:23">
      <c r="A1634" s="3">
        <f>IFERROR(__xludf.DUMMYFUNCTION("""COMPUTED_VALUE"""),46154)</f>
        <v>46154</v>
      </c>
      <c r="B1634" s="1" t="str">
        <f>IFERROR(__xludf.DUMMYFUNCTION("""COMPUTED_VALUE"""),"RIVERA, AIRIZH JOY")</f>
        <v>RIVERA, AIRIZH JOY</v>
      </c>
      <c r="C1634" s="1" t="str">
        <f>IFERROR(__xludf.DUMMYFUNCTION("""COMPUTED_VALUE"""),"ORGANIC")</f>
        <v>ORGANIC</v>
      </c>
      <c r="D1634" s="1" t="str">
        <f>IFERROR(__xludf.DUMMYFUNCTION("""COMPUTED_VALUE"""),"ALOS, CHARLS")</f>
        <v>ALOS, CHARLS</v>
      </c>
      <c r="E1634" s="1" t="str">
        <f>IFERROR(__xludf.DUMMYFUNCTION("""COMPUTED_VALUE"""),"RED FIBER")</f>
        <v>RED FIBER</v>
      </c>
      <c r="F1634" s="1"/>
      <c r="G1634" s="1"/>
      <c r="H1634" s="1" t="str">
        <f>IFERROR(__xludf.DUMMYFUNCTION("""COMPUTED_VALUE"""),"CRYSTAL REYES MAMING ")</f>
        <v>CRYSTAL REYES MAMING </v>
      </c>
      <c r="I1634" s="1">
        <f>IFERROR(__xludf.DUMMYFUNCTION("""COMPUTED_VALUE"""),9153035329)</f>
        <v>9153035329</v>
      </c>
      <c r="J1634" s="1"/>
      <c r="K1634" s="1" t="str">
        <f>IFERROR(__xludf.DUMMYFUNCTION("""COMPUTED_VALUE"""),"ANGELOMAMING.MASSIVE@GMAIL.COM")</f>
        <v>ANGELOMAMING.MASSIVE@GMAIL.COM</v>
      </c>
      <c r="L1634" s="1" t="str">
        <f>IFERROR(__xludf.DUMMYFUNCTION("""COMPUTED_VALUE"""),"9966")</f>
        <v>9966</v>
      </c>
      <c r="M1634" s="1" t="str">
        <f>IFERROR(__xludf.DUMMYFUNCTION("""COMPUTED_VALUE"""),"GEN EMILIO")</f>
        <v>GEN EMILIO</v>
      </c>
      <c r="N1634" s="1"/>
      <c r="O1634" s="1" t="str">
        <f>IFERROR(__xludf.DUMMYFUNCTION("""COMPUTED_VALUE"""),"MAITIM 2ND EAST")</f>
        <v>MAITIM 2ND EAST</v>
      </c>
      <c r="P1634" s="1" t="str">
        <f>IFERROR(__xludf.DUMMYFUNCTION("""COMPUTED_VALUE"""),"TAGAYTAY")</f>
        <v>TAGAYTAY</v>
      </c>
      <c r="Q1634" s="1" t="str">
        <f>IFERROR(__xludf.DUMMYFUNCTION("""COMPUTED_VALUE"""),"CAVITE")</f>
        <v>CAVITE</v>
      </c>
      <c r="R1634" s="1" t="str">
        <f>IFERROR(__xludf.DUMMYFUNCTION("""COMPUTED_VALUE"""),"RED PLAN 1400")</f>
        <v>RED PLAN 1400</v>
      </c>
      <c r="S1634" s="1" t="str">
        <f>IFERROR(__xludf.DUMMYFUNCTION("""COMPUTED_VALUE"""),"APPROVED")</f>
        <v>APPROVED</v>
      </c>
      <c r="T1634" s="1" t="str">
        <f>IFERROR(__xludf.DUMMYFUNCTION("""COMPUTED_VALUE"""),"CLOSED")</f>
        <v>CLOSED</v>
      </c>
      <c r="U1634" s="1" t="str">
        <f>IFERROR(__xludf.DUMMYFUNCTION("""COMPUTED_VALUE"""),"POSTED")</f>
        <v>POSTED</v>
      </c>
      <c r="V1634" s="1"/>
      <c r="W1634" s="1"/>
    </row>
    <row r="1635" customHeight="1" spans="1:23">
      <c r="A1635" s="3">
        <f>IFERROR(__xludf.DUMMYFUNCTION("""COMPUTED_VALUE"""),46154)</f>
        <v>46154</v>
      </c>
      <c r="B1635" s="1" t="str">
        <f>IFERROR(__xludf.DUMMYFUNCTION("""COMPUTED_VALUE"""),"BUNSO, DRIVER")</f>
        <v>BUNSO, DRIVER</v>
      </c>
      <c r="C1635" s="1" t="str">
        <f>IFERROR(__xludf.DUMMYFUNCTION("""COMPUTED_VALUE"""),"FLA")</f>
        <v>FLA</v>
      </c>
      <c r="D1635" s="1" t="str">
        <f>IFERROR(__xludf.DUMMYFUNCTION("""COMPUTED_VALUE"""),"JERIC NAVARRO")</f>
        <v>JERIC NAVARRO</v>
      </c>
      <c r="E1635" s="1" t="str">
        <f>IFERROR(__xludf.DUMMYFUNCTION("""COMPUTED_VALUE"""),"PLDT / H2H")</f>
        <v>PLDT / H2H</v>
      </c>
      <c r="F1635" s="1">
        <f>IFERROR(__xludf.DUMMYFUNCTION("""COMPUTED_VALUE"""),2309458385)</f>
        <v>2309458385</v>
      </c>
      <c r="G1635" s="1">
        <f>IFERROR(__xludf.DUMMYFUNCTION("""COMPUTED_VALUE"""),454356143004)</f>
        <v>454356143004</v>
      </c>
      <c r="H1635" s="1" t="str">
        <f>IFERROR(__xludf.DUMMYFUNCTION("""COMPUTED_VALUE"""),"JHON CARLO ASILO HITOSIS")</f>
        <v>JHON CARLO ASILO HITOSIS</v>
      </c>
      <c r="I1635" s="1">
        <f>IFERROR(__xludf.DUMMYFUNCTION("""COMPUTED_VALUE"""),9853681153)</f>
        <v>9853681153</v>
      </c>
      <c r="J1635" s="1">
        <f>IFERROR(__xludf.DUMMYFUNCTION("""COMPUTED_VALUE"""),9386225828)</f>
        <v>9386225828</v>
      </c>
      <c r="K1635" s="1" t="str">
        <f>IFERROR(__xludf.DUMMYFUNCTION("""COMPUTED_VALUE"""),"KALOYHITOSIS@GMAIL.COM")</f>
        <v>KALOYHITOSIS@GMAIL.COM</v>
      </c>
      <c r="L1635" s="1" t="str">
        <f>IFERROR(__xludf.DUMMYFUNCTION("""COMPUTED_VALUE"""),"442")</f>
        <v>442</v>
      </c>
      <c r="M1635" s="1" t="str">
        <f>IFERROR(__xludf.DUMMYFUNCTION("""COMPUTED_VALUE"""),"PULONG MATNDA")</f>
        <v>PULONG MATNDA</v>
      </c>
      <c r="N1635" s="1"/>
      <c r="O1635" s="1" t="str">
        <f>IFERROR(__xludf.DUMMYFUNCTION("""COMPUTED_VALUE"""),"SALABAN")</f>
        <v>SALABAN</v>
      </c>
      <c r="P1635" s="1" t="str">
        <f>IFERROR(__xludf.DUMMYFUNCTION("""COMPUTED_VALUE"""),"AMADEO")</f>
        <v>AMADEO</v>
      </c>
      <c r="Q1635" s="1" t="str">
        <f>IFERROR(__xludf.DUMMYFUNCTION("""COMPUTED_VALUE"""),"CAVITE")</f>
        <v>CAVITE</v>
      </c>
      <c r="R1635" s="1" t="str">
        <f>IFERROR(__xludf.DUMMYFUNCTION("""COMPUTED_VALUE"""),"FIBR UNLI ALL PLAN 999")</f>
        <v>FIBR UNLI ALL PLAN 999</v>
      </c>
      <c r="S1635" s="1" t="str">
        <f>IFERROR(__xludf.DUMMYFUNCTION("""COMPUTED_VALUE"""),"APPROVED")</f>
        <v>APPROVED</v>
      </c>
      <c r="T1635" s="1" t="str">
        <f>IFERROR(__xludf.DUMMYFUNCTION("""COMPUTED_VALUE"""),"CANCELLED")</f>
        <v>CANCELLED</v>
      </c>
      <c r="U1635" s="1"/>
      <c r="V1635" s="1"/>
      <c r="W1635" s="1"/>
    </row>
    <row r="1636" customHeight="1" spans="1:23">
      <c r="A1636" s="3">
        <f>IFERROR(__xludf.DUMMYFUNCTION("""COMPUTED_VALUE"""),46154)</f>
        <v>46154</v>
      </c>
      <c r="B1636" s="1" t="str">
        <f>IFERROR(__xludf.DUMMYFUNCTION("""COMPUTED_VALUE"""),"FERNANDEZ JERIC")</f>
        <v>FERNANDEZ JERIC</v>
      </c>
      <c r="C1636" s="1" t="str">
        <f>IFERROR(__xludf.DUMMYFUNCTION("""COMPUTED_VALUE"""),"ORGANIC")</f>
        <v>ORGANIC</v>
      </c>
      <c r="D1636" s="1" t="str">
        <f>IFERROR(__xludf.DUMMYFUNCTION("""COMPUTED_VALUE"""),"ALOS, CHARLS")</f>
        <v>ALOS, CHARLS</v>
      </c>
      <c r="E1636" s="1" t="str">
        <f>IFERROR(__xludf.DUMMYFUNCTION("""COMPUTED_VALUE"""),"PLDT / H2H")</f>
        <v>PLDT / H2H</v>
      </c>
      <c r="F1636" s="1">
        <f>IFERROR(__xludf.DUMMYFUNCTION("""COMPUTED_VALUE"""),2309469453)</f>
        <v>2309469453</v>
      </c>
      <c r="G1636" s="1">
        <f>IFERROR(__xludf.DUMMYFUNCTION("""COMPUTED_VALUE"""),454452603004)</f>
        <v>454452603004</v>
      </c>
      <c r="H1636" s="1" t="str">
        <f>IFERROR(__xludf.DUMMYFUNCTION("""COMPUTED_VALUE"""),"MARICAR MANALO")</f>
        <v>MARICAR MANALO</v>
      </c>
      <c r="I1636" s="1">
        <f>IFERROR(__xludf.DUMMYFUNCTION("""COMPUTED_VALUE"""),9485370145)</f>
        <v>9485370145</v>
      </c>
      <c r="J1636" s="1"/>
      <c r="K1636" s="1" t="str">
        <f>IFERROR(__xludf.DUMMYFUNCTION("""COMPUTED_VALUE"""),"MANALOMARICAR121@GMAIL.COM")</f>
        <v>MANALOMARICAR121@GMAIL.COM</v>
      </c>
      <c r="L1636" s="1" t="str">
        <f>IFERROR(__xludf.DUMMYFUNCTION("""COMPUTED_VALUE"""),"435")</f>
        <v>435</v>
      </c>
      <c r="M1636" s="1" t="str">
        <f>IFERROR(__xludf.DUMMYFUNCTION("""COMPUTED_VALUE"""),"PULONG MATNDA")</f>
        <v>PULONG MATNDA</v>
      </c>
      <c r="N1636" s="1"/>
      <c r="O1636" s="1" t="str">
        <f>IFERROR(__xludf.DUMMYFUNCTION("""COMPUTED_VALUE"""),"SALABAN")</f>
        <v>SALABAN</v>
      </c>
      <c r="P1636" s="1" t="str">
        <f>IFERROR(__xludf.DUMMYFUNCTION("""COMPUTED_VALUE"""),"AMADEO")</f>
        <v>AMADEO</v>
      </c>
      <c r="Q1636" s="1" t="str">
        <f>IFERROR(__xludf.DUMMYFUNCTION("""COMPUTED_VALUE"""),"CAVITE")</f>
        <v>CAVITE</v>
      </c>
      <c r="R1636" s="1" t="str">
        <f>IFERROR(__xludf.DUMMYFUNCTION("""COMPUTED_VALUE"""),"FIBR UNLI ALL PLAN 1399")</f>
        <v>FIBR UNLI ALL PLAN 1399</v>
      </c>
      <c r="S1636" s="1" t="str">
        <f>IFERROR(__xludf.DUMMYFUNCTION("""COMPUTED_VALUE"""),"APPROVED")</f>
        <v>APPROVED</v>
      </c>
      <c r="T1636" s="1" t="str">
        <f>IFERROR(__xludf.DUMMYFUNCTION("""COMPUTED_VALUE"""),"RPR")</f>
        <v>RPR</v>
      </c>
      <c r="U1636" s="1" t="str">
        <f>IFERROR(__xludf.DUMMYFUNCTION("""COMPUTED_VALUE"""),"WITH PAYMENT VIA GCASH ")</f>
        <v>WITH PAYMENT VIA GCASH </v>
      </c>
      <c r="V1636" s="1"/>
      <c r="W1636" s="1"/>
    </row>
    <row r="1637" customHeight="1" spans="1:23">
      <c r="A1637" s="3">
        <f>IFERROR(__xludf.DUMMYFUNCTION("""COMPUTED_VALUE"""),46154)</f>
        <v>46154</v>
      </c>
      <c r="B1637" s="1" t="str">
        <f>IFERROR(__xludf.DUMMYFUNCTION("""COMPUTED_VALUE"""),"AGUNOS, JHON AIRVIN")</f>
        <v>AGUNOS, JHON AIRVIN</v>
      </c>
      <c r="C1637" s="1" t="str">
        <f>IFERROR(__xludf.DUMMYFUNCTION("""COMPUTED_VALUE"""),"ORGANIC")</f>
        <v>ORGANIC</v>
      </c>
      <c r="D1637" s="1" t="str">
        <f>IFERROR(__xludf.DUMMYFUNCTION("""COMPUTED_VALUE"""),"ALINGARO, CINDY")</f>
        <v>ALINGARO, CINDY</v>
      </c>
      <c r="E1637" s="1" t="str">
        <f>IFERROR(__xludf.DUMMYFUNCTION("""COMPUTED_VALUE"""),"PLDT / H2H")</f>
        <v>PLDT / H2H</v>
      </c>
      <c r="F1637" s="1">
        <f>IFERROR(__xludf.DUMMYFUNCTION("""COMPUTED_VALUE"""),2309459243)</f>
        <v>2309459243</v>
      </c>
      <c r="G1637" s="1">
        <f>IFERROR(__xludf.DUMMYFUNCTION("""COMPUTED_VALUE"""),454357969004)</f>
        <v>454357969004</v>
      </c>
      <c r="H1637" s="1" t="str">
        <f>IFERROR(__xludf.DUMMYFUNCTION("""COMPUTED_VALUE"""),"JOSEPHINE ASMA ROSANTO")</f>
        <v>JOSEPHINE ASMA ROSANTO</v>
      </c>
      <c r="I1637" s="1">
        <f>IFERROR(__xludf.DUMMYFUNCTION("""COMPUTED_VALUE"""),9508807065)</f>
        <v>9508807065</v>
      </c>
      <c r="J1637" s="1"/>
      <c r="K1637" s="1" t="str">
        <f>IFERROR(__xludf.DUMMYFUNCTION("""COMPUTED_VALUE"""),"DARIUSASMA2006@GMAIL.COM")</f>
        <v>DARIUSASMA2006@GMAIL.COM</v>
      </c>
      <c r="L1637" s="1" t="str">
        <f>IFERROR(__xludf.DUMMYFUNCTION("""COMPUTED_VALUE"""),"BLK 34 LOT 20")</f>
        <v>BLK 34 LOT 20</v>
      </c>
      <c r="M1637" s="1" t="str">
        <f>IFERROR(__xludf.DUMMYFUNCTION("""COMPUTED_VALUE"""),"PULIDO")</f>
        <v>PULIDO</v>
      </c>
      <c r="N1637" s="1"/>
      <c r="O1637" s="1" t="str">
        <f>IFERROR(__xludf.DUMMYFUNCTION("""COMPUTED_VALUE"""),"BERNARDO PULIDO (AREA H)")</f>
        <v>BERNARDO PULIDO (AREA H)</v>
      </c>
      <c r="P1637" s="1" t="str">
        <f>IFERROR(__xludf.DUMMYFUNCTION("""COMPUTED_VALUE"""),"GEN MARIANO ALVAREZ")</f>
        <v>GEN MARIANO ALVAREZ</v>
      </c>
      <c r="Q1637" s="1" t="str">
        <f>IFERROR(__xludf.DUMMYFUNCTION("""COMPUTED_VALUE"""),"CAVITE")</f>
        <v>CAVITE</v>
      </c>
      <c r="R1637" s="1" t="str">
        <f>IFERROR(__xludf.DUMMYFUNCTION("""COMPUTED_VALUE"""),"FIBR UNLI ALL PLAN 999")</f>
        <v>FIBR UNLI ALL PLAN 999</v>
      </c>
      <c r="S1637" s="1" t="str">
        <f>IFERROR(__xludf.DUMMYFUNCTION("""COMPUTED_VALUE"""),"APPROVED")</f>
        <v>APPROVED</v>
      </c>
      <c r="T1637" s="1" t="str">
        <f>IFERROR(__xludf.DUMMYFUNCTION("""COMPUTED_VALUE"""),"CANCELLED")</f>
        <v>CANCELLED</v>
      </c>
      <c r="U1637" s="1"/>
      <c r="V1637" s="1"/>
      <c r="W1637" s="1"/>
    </row>
    <row r="1638" customHeight="1" spans="1:23">
      <c r="A1638" s="3">
        <f>IFERROR(__xludf.DUMMYFUNCTION("""COMPUTED_VALUE"""),46154)</f>
        <v>46154</v>
      </c>
      <c r="B1638" s="1" t="str">
        <f>IFERROR(__xludf.DUMMYFUNCTION("""COMPUTED_VALUE"""),"ODY , CLARENCE")</f>
        <v>ODY , CLARENCE</v>
      </c>
      <c r="C1638" s="1" t="str">
        <f>IFERROR(__xludf.DUMMYFUNCTION("""COMPUTED_VALUE"""),"ORGANIC")</f>
        <v>ORGANIC</v>
      </c>
      <c r="D1638" s="1" t="str">
        <f>IFERROR(__xludf.DUMMYFUNCTION("""COMPUTED_VALUE"""),"ALOS, CHARLS")</f>
        <v>ALOS, CHARLS</v>
      </c>
      <c r="E1638" s="1" t="str">
        <f>IFERROR(__xludf.DUMMYFUNCTION("""COMPUTED_VALUE"""),"PLDT / H2H")</f>
        <v>PLDT / H2H</v>
      </c>
      <c r="F1638" s="1">
        <f>IFERROR(__xludf.DUMMYFUNCTION("""COMPUTED_VALUE"""),2309458743)</f>
        <v>2309458743</v>
      </c>
      <c r="G1638" s="1">
        <f>IFERROR(__xludf.DUMMYFUNCTION("""COMPUTED_VALUE"""),454377840004)</f>
        <v>454377840004</v>
      </c>
      <c r="H1638" s="1" t="str">
        <f>IFERROR(__xludf.DUMMYFUNCTION("""COMPUTED_VALUE"""),"CRISTIAN ARIOLA DELA TORRE")</f>
        <v>CRISTIAN ARIOLA DELA TORRE</v>
      </c>
      <c r="I1638" s="1">
        <f>IFERROR(__xludf.DUMMYFUNCTION("""COMPUTED_VALUE"""),9317160761)</f>
        <v>9317160761</v>
      </c>
      <c r="J1638" s="1">
        <f>IFERROR(__xludf.DUMMYFUNCTION("""COMPUTED_VALUE"""),9484023096)</f>
        <v>9484023096</v>
      </c>
      <c r="K1638" s="1" t="str">
        <f>IFERROR(__xludf.DUMMYFUNCTION("""COMPUTED_VALUE"""),"JHIEDELATORRE18@GMAIL.COM")</f>
        <v>JHIEDELATORRE18@GMAIL.COM</v>
      </c>
      <c r="L1638" s="1" t="str">
        <f>IFERROR(__xludf.DUMMYFUNCTION("""COMPUTED_VALUE"""),"5707")</f>
        <v>5707</v>
      </c>
      <c r="M1638" s="1" t="str">
        <f>IFERROR(__xludf.DUMMYFUNCTION("""COMPUTED_VALUE"""),"D GONZALES ")</f>
        <v>D GONZALES </v>
      </c>
      <c r="N1638" s="1"/>
      <c r="O1638" s="1" t="str">
        <f>IFERROR(__xludf.DUMMYFUNCTION("""COMPUTED_VALUE"""),"ANULING LEJOS I (ANULING)")</f>
        <v>ANULING LEJOS I (ANULING)</v>
      </c>
      <c r="P1638" s="1" t="str">
        <f>IFERROR(__xludf.DUMMYFUNCTION("""COMPUTED_VALUE"""),"MENDEZ")</f>
        <v>MENDEZ</v>
      </c>
      <c r="Q1638" s="1" t="str">
        <f>IFERROR(__xludf.DUMMYFUNCTION("""COMPUTED_VALUE"""),"CAVITE")</f>
        <v>CAVITE</v>
      </c>
      <c r="R1638" s="1" t="str">
        <f>IFERROR(__xludf.DUMMYFUNCTION("""COMPUTED_VALUE"""),"FIBR UNLI ALL PLAN 999")</f>
        <v>FIBR UNLI ALL PLAN 999</v>
      </c>
      <c r="S1638" s="1" t="str">
        <f>IFERROR(__xludf.DUMMYFUNCTION("""COMPUTED_VALUE"""),"APPROVED")</f>
        <v>APPROVED</v>
      </c>
      <c r="T1638" s="1" t="str">
        <f>IFERROR(__xludf.DUMMYFUNCTION("""COMPUTED_VALUE"""),"CLOSED")</f>
        <v>CLOSED</v>
      </c>
      <c r="U1638" s="1" t="str">
        <f>IFERROR(__xludf.DUMMYFUNCTION("""COMPUTED_VALUE"""),"POSTED")</f>
        <v>POSTED</v>
      </c>
      <c r="V1638" s="1"/>
      <c r="W1638" s="1"/>
    </row>
    <row r="1639" customHeight="1" spans="1:23">
      <c r="A1639" s="3">
        <f>IFERROR(__xludf.DUMMYFUNCTION("""COMPUTED_VALUE"""),46154)</f>
        <v>46154</v>
      </c>
      <c r="B1639" s="1" t="str">
        <f>IFERROR(__xludf.DUMMYFUNCTION("""COMPUTED_VALUE"""),"VERESO , MERL FRANCINE")</f>
        <v>VERESO , MERL FRANCINE</v>
      </c>
      <c r="C1639" s="1" t="str">
        <f>IFERROR(__xludf.DUMMYFUNCTION("""COMPUTED_VALUE"""),"ORGANIC")</f>
        <v>ORGANIC</v>
      </c>
      <c r="D1639" s="1" t="str">
        <f>IFERROR(__xludf.DUMMYFUNCTION("""COMPUTED_VALUE"""),"ALOS, CHARLS")</f>
        <v>ALOS, CHARLS</v>
      </c>
      <c r="E1639" s="1" t="str">
        <f>IFERROR(__xludf.DUMMYFUNCTION("""COMPUTED_VALUE"""),"PLDT / ONLINE")</f>
        <v>PLDT / ONLINE</v>
      </c>
      <c r="F1639" s="1">
        <f>IFERROR(__xludf.DUMMYFUNCTION("""COMPUTED_VALUE"""),2309459841)</f>
        <v>2309459841</v>
      </c>
      <c r="G1639" s="1">
        <f>IFERROR(__xludf.DUMMYFUNCTION("""COMPUTED_VALUE"""),454377800004)</f>
        <v>454377800004</v>
      </c>
      <c r="H1639" s="1" t="str">
        <f>IFERROR(__xludf.DUMMYFUNCTION("""COMPUTED_VALUE"""),"CYRENE GRACE BAYBAY GENEROSO")</f>
        <v>CYRENE GRACE BAYBAY GENEROSO</v>
      </c>
      <c r="I1639" s="1">
        <f>IFERROR(__xludf.DUMMYFUNCTION("""COMPUTED_VALUE"""),9657912665)</f>
        <v>9657912665</v>
      </c>
      <c r="J1639" s="1">
        <f>IFERROR(__xludf.DUMMYFUNCTION("""COMPUTED_VALUE"""),9554470654)</f>
        <v>9554470654</v>
      </c>
      <c r="K1639" s="1" t="str">
        <f>IFERROR(__xludf.DUMMYFUNCTION("""COMPUTED_VALUE"""),"ZHYRENEGENEROSO26@GMAIL.COM")</f>
        <v>ZHYRENEGENEROSO26@GMAIL.COM</v>
      </c>
      <c r="L1639" s="1" t="str">
        <f>IFERROR(__xludf.DUMMYFUNCTION("""COMPUTED_VALUE"""),"254")</f>
        <v>254</v>
      </c>
      <c r="M1639" s="1" t="str">
        <f>IFERROR(__xludf.DUMMYFUNCTION("""COMPUTED_VALUE"""),"LANGKAAN")</f>
        <v>LANGKAAN</v>
      </c>
      <c r="N1639" s="1"/>
      <c r="O1639" s="1" t="str">
        <f>IFERROR(__xludf.DUMMYFUNCTION("""COMPUTED_VALUE"""),"LANGKAAN I")</f>
        <v>LANGKAAN I</v>
      </c>
      <c r="P1639" s="1" t="str">
        <f>IFERROR(__xludf.DUMMYFUNCTION("""COMPUTED_VALUE"""),"DASMARINAS")</f>
        <v>DASMARINAS</v>
      </c>
      <c r="Q1639" s="1" t="str">
        <f>IFERROR(__xludf.DUMMYFUNCTION("""COMPUTED_VALUE"""),"CAVITE")</f>
        <v>CAVITE</v>
      </c>
      <c r="R1639" s="1" t="str">
        <f>IFERROR(__xludf.DUMMYFUNCTION("""COMPUTED_VALUE"""),"FIBR PLAN 1299")</f>
        <v>FIBR PLAN 1299</v>
      </c>
      <c r="S1639" s="1" t="str">
        <f>IFERROR(__xludf.DUMMYFUNCTION("""COMPUTED_VALUE"""),"APPROVED")</f>
        <v>APPROVED</v>
      </c>
      <c r="T1639" s="1" t="str">
        <f>IFERROR(__xludf.DUMMYFUNCTION("""COMPUTED_VALUE"""),"CANCELLED")</f>
        <v>CANCELLED</v>
      </c>
      <c r="U1639" s="1"/>
      <c r="V1639" s="1"/>
      <c r="W1639" s="1"/>
    </row>
    <row r="1640" customHeight="1" spans="1:23">
      <c r="A1640" s="3">
        <f>IFERROR(__xludf.DUMMYFUNCTION("""COMPUTED_VALUE"""),46155)</f>
        <v>46155</v>
      </c>
      <c r="B1640" s="1" t="str">
        <f>IFERROR(__xludf.DUMMYFUNCTION("""COMPUTED_VALUE"""),"FRANCISCO , ROSELYN")</f>
        <v>FRANCISCO , ROSELYN</v>
      </c>
      <c r="C1640" s="1" t="str">
        <f>IFERROR(__xludf.DUMMYFUNCTION("""COMPUTED_VALUE"""),"ORGANIC")</f>
        <v>ORGANIC</v>
      </c>
      <c r="D1640" s="1" t="str">
        <f>IFERROR(__xludf.DUMMYFUNCTION("""COMPUTED_VALUE"""),"ALOS, CHARLS")</f>
        <v>ALOS, CHARLS</v>
      </c>
      <c r="E1640" s="1" t="str">
        <f>IFERROR(__xludf.DUMMYFUNCTION("""COMPUTED_VALUE"""),"PLDT / ONLINE")</f>
        <v>PLDT / ONLINE</v>
      </c>
      <c r="F1640" s="1">
        <f>IFERROR(__xludf.DUMMYFUNCTION("""COMPUTED_VALUE"""),2309470773)</f>
        <v>2309470773</v>
      </c>
      <c r="G1640" s="1">
        <f>IFERROR(__xludf.DUMMYFUNCTION("""COMPUTED_VALUE"""),454462082004)</f>
        <v>454462082004</v>
      </c>
      <c r="H1640" s="1" t="str">
        <f>IFERROR(__xludf.DUMMYFUNCTION("""COMPUTED_VALUE"""),"FRANCES PAULINE NAVARRO CASTRO")</f>
        <v>FRANCES PAULINE NAVARRO CASTRO</v>
      </c>
      <c r="I1640" s="1">
        <f>IFERROR(__xludf.DUMMYFUNCTION("""COMPUTED_VALUE"""),9284450249)</f>
        <v>9284450249</v>
      </c>
      <c r="J1640" s="1">
        <f>IFERROR(__xludf.DUMMYFUNCTION("""COMPUTED_VALUE"""),9622193750)</f>
        <v>9622193750</v>
      </c>
      <c r="K1640" s="1" t="str">
        <f>IFERROR(__xludf.DUMMYFUNCTION("""COMPUTED_VALUE"""),"SACHICASTRO@GMAIL.COM")</f>
        <v>SACHICASTRO@GMAIL.COM</v>
      </c>
      <c r="L1640" s="1" t="str">
        <f>IFERROR(__xludf.DUMMYFUNCTION("""COMPUTED_VALUE"""),"9057")</f>
        <v>9057</v>
      </c>
      <c r="M1640" s="1" t="str">
        <f>IFERROR(__xludf.DUMMYFUNCTION("""COMPUTED_VALUE"""),"ANTERO HIGHWAY")</f>
        <v>ANTERO HIGHWAY</v>
      </c>
      <c r="N1640" s="1"/>
      <c r="O1640" s="1" t="str">
        <f>IFERROR(__xludf.DUMMYFUNCTION("""COMPUTED_VALUE"""),"AMAYA III")</f>
        <v>AMAYA III</v>
      </c>
      <c r="P1640" s="1" t="str">
        <f>IFERROR(__xludf.DUMMYFUNCTION("""COMPUTED_VALUE"""),"TANZA")</f>
        <v>TANZA</v>
      </c>
      <c r="Q1640" s="1" t="str">
        <f>IFERROR(__xludf.DUMMYFUNCTION("""COMPUTED_VALUE"""),"CAVITE")</f>
        <v>CAVITE</v>
      </c>
      <c r="R1640" s="1" t="str">
        <f>IFERROR(__xludf.DUMMYFUNCTION("""COMPUTED_VALUE"""),"FIBR PLAN 1299")</f>
        <v>FIBR PLAN 1299</v>
      </c>
      <c r="S1640" s="1" t="str">
        <f>IFERROR(__xludf.DUMMYFUNCTION("""COMPUTED_VALUE"""),"APPROVED")</f>
        <v>APPROVED</v>
      </c>
      <c r="T1640" s="1" t="str">
        <f>IFERROR(__xludf.DUMMYFUNCTION("""COMPUTED_VALUE"""),"CANCELLED")</f>
        <v>CANCELLED</v>
      </c>
      <c r="U1640" s="1" t="str">
        <f>IFERROR(__xludf.DUMMYFUNCTION("""COMPUTED_VALUE"""),"WITH PAYMENT VIA GCASH ")</f>
        <v>WITH PAYMENT VIA GCASH </v>
      </c>
      <c r="V1640" s="1"/>
      <c r="W1640" s="1"/>
    </row>
    <row r="1641" customHeight="1" spans="1:23">
      <c r="A1641" s="3">
        <f>IFERROR(__xludf.DUMMYFUNCTION("""COMPUTED_VALUE"""),46155)</f>
        <v>46155</v>
      </c>
      <c r="B1641" s="1" t="str">
        <f>IFERROR(__xludf.DUMMYFUNCTION("""COMPUTED_VALUE"""),"FRANCISCO , ROSELYN")</f>
        <v>FRANCISCO , ROSELYN</v>
      </c>
      <c r="C1641" s="1" t="str">
        <f>IFERROR(__xludf.DUMMYFUNCTION("""COMPUTED_VALUE"""),"ORGANIC")</f>
        <v>ORGANIC</v>
      </c>
      <c r="D1641" s="1" t="str">
        <f>IFERROR(__xludf.DUMMYFUNCTION("""COMPUTED_VALUE"""),"ALOS, CHARLS")</f>
        <v>ALOS, CHARLS</v>
      </c>
      <c r="E1641" s="1" t="str">
        <f>IFERROR(__xludf.DUMMYFUNCTION("""COMPUTED_VALUE"""),"PLDT / ONLINE")</f>
        <v>PLDT / ONLINE</v>
      </c>
      <c r="F1641" s="1">
        <f>IFERROR(__xludf.DUMMYFUNCTION("""COMPUTED_VALUE"""),2309471149)</f>
        <v>2309471149</v>
      </c>
      <c r="G1641" s="1">
        <f>IFERROR(__xludf.DUMMYFUNCTION("""COMPUTED_VALUE"""),454460724004)</f>
        <v>454460724004</v>
      </c>
      <c r="H1641" s="1" t="str">
        <f>IFERROR(__xludf.DUMMYFUNCTION("""COMPUTED_VALUE"""),"VANESSA JOY NABONG RIEGO")</f>
        <v>VANESSA JOY NABONG RIEGO</v>
      </c>
      <c r="I1641" s="1">
        <f>IFERROR(__xludf.DUMMYFUNCTION("""COMPUTED_VALUE"""),9050618258)</f>
        <v>9050618258</v>
      </c>
      <c r="J1641" s="1">
        <f>IFERROR(__xludf.DUMMYFUNCTION("""COMPUTED_VALUE"""),9183855490)</f>
        <v>9183855490</v>
      </c>
      <c r="K1641" s="1" t="str">
        <f>IFERROR(__xludf.DUMMYFUNCTION("""COMPUTED_VALUE"""),"VANESSAJOYRIEGO23@GMAIL.COM")</f>
        <v>VANESSAJOYRIEGO23@GMAIL.COM</v>
      </c>
      <c r="L1641" s="1" t="str">
        <f>IFERROR(__xludf.DUMMYFUNCTION("""COMPUTED_VALUE"""),"BLK 19 LOT 16")</f>
        <v>BLK 19 LOT 16</v>
      </c>
      <c r="M1641" s="1" t="str">
        <f>IFERROR(__xludf.DUMMYFUNCTION("""COMPUTED_VALUE"""),"VILLA ARCADIA")</f>
        <v>VILLA ARCADIA</v>
      </c>
      <c r="N1641" s="1"/>
      <c r="O1641" s="1" t="str">
        <f>IFERROR(__xludf.DUMMYFUNCTION("""COMPUTED_VALUE"""),"CARSADANG BAGO I")</f>
        <v>CARSADANG BAGO I</v>
      </c>
      <c r="P1641" s="1" t="str">
        <f>IFERROR(__xludf.DUMMYFUNCTION("""COMPUTED_VALUE"""),"IMUS")</f>
        <v>IMUS</v>
      </c>
      <c r="Q1641" s="1" t="str">
        <f>IFERROR(__xludf.DUMMYFUNCTION("""COMPUTED_VALUE"""),"CAVITE")</f>
        <v>CAVITE</v>
      </c>
      <c r="R1641" s="1" t="str">
        <f>IFERROR(__xludf.DUMMYFUNCTION("""COMPUTED_VALUE"""),"FIBR UNLI ALL PLAN 1399")</f>
        <v>FIBR UNLI ALL PLAN 1399</v>
      </c>
      <c r="S1641" s="1" t="str">
        <f>IFERROR(__xludf.DUMMYFUNCTION("""COMPUTED_VALUE"""),"APPROVED")</f>
        <v>APPROVED</v>
      </c>
      <c r="T1641" s="1" t="str">
        <f>IFERROR(__xludf.DUMMYFUNCTION("""COMPUTED_VALUE"""),"RPR")</f>
        <v>RPR</v>
      </c>
      <c r="U1641" s="1"/>
      <c r="V1641" s="1"/>
      <c r="W1641" s="1"/>
    </row>
    <row r="1642" customHeight="1" spans="1:23">
      <c r="A1642" s="3">
        <f>IFERROR(__xludf.DUMMYFUNCTION("""COMPUTED_VALUE"""),46155)</f>
        <v>46155</v>
      </c>
      <c r="B1642" s="1" t="str">
        <f>IFERROR(__xludf.DUMMYFUNCTION("""COMPUTED_VALUE"""),"FERNANDEZ JERIC")</f>
        <v>FERNANDEZ JERIC</v>
      </c>
      <c r="C1642" s="1" t="str">
        <f>IFERROR(__xludf.DUMMYFUNCTION("""COMPUTED_VALUE"""),"ORGANIC")</f>
        <v>ORGANIC</v>
      </c>
      <c r="D1642" s="1" t="str">
        <f>IFERROR(__xludf.DUMMYFUNCTION("""COMPUTED_VALUE"""),"ALOS, CHARLS")</f>
        <v>ALOS, CHARLS</v>
      </c>
      <c r="E1642" s="1" t="str">
        <f>IFERROR(__xludf.DUMMYFUNCTION("""COMPUTED_VALUE"""),"PLDT / H2H")</f>
        <v>PLDT / H2H</v>
      </c>
      <c r="F1642" s="1">
        <f>IFERROR(__xludf.DUMMYFUNCTION("""COMPUTED_VALUE"""),2309472156)</f>
        <v>2309472156</v>
      </c>
      <c r="G1642" s="1"/>
      <c r="H1642" s="1" t="str">
        <f>IFERROR(__xludf.DUMMYFUNCTION("""COMPUTED_VALUE"""),"PETER JAMES MALIT BARTOLO")</f>
        <v>PETER JAMES MALIT BARTOLO</v>
      </c>
      <c r="I1642" s="1">
        <f>IFERROR(__xludf.DUMMYFUNCTION("""COMPUTED_VALUE"""),9632755366)</f>
        <v>9632755366</v>
      </c>
      <c r="J1642" s="1"/>
      <c r="K1642" s="1" t="str">
        <f>IFERROR(__xludf.DUMMYFUNCTION("""COMPUTED_VALUE"""),"EMME.22@GMAIL.COM")</f>
        <v>EMME.22@GMAIL.COM</v>
      </c>
      <c r="L1642" s="1" t="str">
        <f>IFERROR(__xludf.DUMMYFUNCTION("""COMPUTED_VALUE"""),"9075")</f>
        <v>9075</v>
      </c>
      <c r="M1642" s="1" t="str">
        <f>IFERROR(__xludf.DUMMYFUNCTION("""COMPUTED_VALUE"""),"ZAMORA")</f>
        <v>ZAMORA</v>
      </c>
      <c r="N1642" s="1"/>
      <c r="O1642" s="1" t="str">
        <f>IFERROR(__xludf.DUMMYFUNCTION("""COMPUTED_VALUE"""),"ASIS I")</f>
        <v>ASIS I</v>
      </c>
      <c r="P1642" s="1" t="str">
        <f>IFERROR(__xludf.DUMMYFUNCTION("""COMPUTED_VALUE"""),"MENDEZ")</f>
        <v>MENDEZ</v>
      </c>
      <c r="Q1642" s="1" t="str">
        <f>IFERROR(__xludf.DUMMYFUNCTION("""COMPUTED_VALUE"""),"CAVITE")</f>
        <v>CAVITE</v>
      </c>
      <c r="R1642" s="1" t="str">
        <f>IFERROR(__xludf.DUMMYFUNCTION("""COMPUTED_VALUE"""),"SWITCH FIBER UNLI ALL 1799")</f>
        <v>SWITCH FIBER UNLI ALL 1799</v>
      </c>
      <c r="S1642" s="1" t="str">
        <f>IFERROR(__xludf.DUMMYFUNCTION("""COMPUTED_VALUE"""),"APPROVED")</f>
        <v>APPROVED</v>
      </c>
      <c r="T1642" s="1" t="str">
        <f>IFERROR(__xludf.DUMMYFUNCTION("""COMPUTED_VALUE"""),"CANCELLED")</f>
        <v>CANCELLED</v>
      </c>
      <c r="U1642" s="1"/>
      <c r="V1642" s="1"/>
      <c r="W1642" s="1"/>
    </row>
    <row r="1643" customHeight="1" spans="1:23">
      <c r="A1643" s="3">
        <f>IFERROR(__xludf.DUMMYFUNCTION("""COMPUTED_VALUE"""),46155)</f>
        <v>46155</v>
      </c>
      <c r="B1643" s="1" t="str">
        <f>IFERROR(__xludf.DUMMYFUNCTION("""COMPUTED_VALUE"""),"ESCARCHA, MA ALMA  ESCOTO")</f>
        <v>ESCARCHA, MA ALMA  ESCOTO</v>
      </c>
      <c r="C1643" s="1" t="str">
        <f>IFERROR(__xludf.DUMMYFUNCTION("""COMPUTED_VALUE"""),"ORGANIC")</f>
        <v>ORGANIC</v>
      </c>
      <c r="D1643" s="1" t="str">
        <f>IFERROR(__xludf.DUMMYFUNCTION("""COMPUTED_VALUE"""),"ALINGARO, CINDY")</f>
        <v>ALINGARO, CINDY</v>
      </c>
      <c r="E1643" s="1" t="str">
        <f>IFERROR(__xludf.DUMMYFUNCTION("""COMPUTED_VALUE"""),"PLDT / ONLINE")</f>
        <v>PLDT / ONLINE</v>
      </c>
      <c r="F1643" s="1">
        <f>IFERROR(__xludf.DUMMYFUNCTION("""COMPUTED_VALUE"""),2309472463)</f>
        <v>2309472463</v>
      </c>
      <c r="G1643" s="1">
        <f>IFERROR(__xludf.DUMMYFUNCTION("""COMPUTED_VALUE"""),454462724004)</f>
        <v>454462724004</v>
      </c>
      <c r="H1643" s="1" t="str">
        <f>IFERROR(__xludf.DUMMYFUNCTION("""COMPUTED_VALUE"""),"DILRAJ SINGH LALLY")</f>
        <v>DILRAJ SINGH LALLY</v>
      </c>
      <c r="I1643" s="1">
        <f>IFERROR(__xludf.DUMMYFUNCTION("""COMPUTED_VALUE"""),9563994999)</f>
        <v>9563994999</v>
      </c>
      <c r="J1643" s="1"/>
      <c r="K1643" s="1" t="str">
        <f>IFERROR(__xludf.DUMMYFUNCTION("""COMPUTED_VALUE"""),"JITATTY6@GMAIL.COM")</f>
        <v>JITATTY6@GMAIL.COM</v>
      </c>
      <c r="L1643" s="1" t="str">
        <f>IFERROR(__xludf.DUMMYFUNCTION("""COMPUTED_VALUE"""),"BLK 7 LOT 32")</f>
        <v>BLK 7 LOT 32</v>
      </c>
      <c r="M1643" s="1" t="str">
        <f>IFERROR(__xludf.DUMMYFUNCTION("""COMPUTED_VALUE"""),"TAHITI ")</f>
        <v>TAHITI </v>
      </c>
      <c r="N1643" s="1" t="str">
        <f>IFERROR(__xludf.DUMMYFUNCTION("""COMPUTED_VALUE"""),"EMARALD CREST")</f>
        <v>EMARALD CREST</v>
      </c>
      <c r="O1643" s="1" t="str">
        <f>IFERROR(__xludf.DUMMYFUNCTION("""COMPUTED_VALUE"""),"SAN JOSE")</f>
        <v>SAN JOSE</v>
      </c>
      <c r="P1643" s="1" t="str">
        <f>IFERROR(__xludf.DUMMYFUNCTION("""COMPUTED_VALUE"""),"DASMARINAS")</f>
        <v>DASMARINAS</v>
      </c>
      <c r="Q1643" s="1" t="str">
        <f>IFERROR(__xludf.DUMMYFUNCTION("""COMPUTED_VALUE"""),"CAVITE")</f>
        <v>CAVITE</v>
      </c>
      <c r="R1643" s="1" t="str">
        <f>IFERROR(__xludf.DUMMYFUNCTION("""COMPUTED_VALUE"""),"FIBR PLAN 1299")</f>
        <v>FIBR PLAN 1299</v>
      </c>
      <c r="S1643" s="1" t="str">
        <f>IFERROR(__xludf.DUMMYFUNCTION("""COMPUTED_VALUE"""),"APPROVED")</f>
        <v>APPROVED</v>
      </c>
      <c r="T1643" s="1" t="str">
        <f>IFERROR(__xludf.DUMMYFUNCTION("""COMPUTED_VALUE"""),"CLOSED")</f>
        <v>CLOSED</v>
      </c>
      <c r="U1643" s="1" t="str">
        <f>IFERROR(__xludf.DUMMYFUNCTION("""COMPUTED_VALUE"""),"POSTED")</f>
        <v>POSTED</v>
      </c>
      <c r="V1643" s="1"/>
      <c r="W1643" s="1"/>
    </row>
    <row r="1644" customHeight="1" spans="1:23">
      <c r="A1644" s="3">
        <f>IFERROR(__xludf.DUMMYFUNCTION("""COMPUTED_VALUE"""),46155)</f>
        <v>46155</v>
      </c>
      <c r="B1644" s="1" t="str">
        <f>IFERROR(__xludf.DUMMYFUNCTION("""COMPUTED_VALUE"""),"VERESO , MERL FRANCINE")</f>
        <v>VERESO , MERL FRANCINE</v>
      </c>
      <c r="C1644" s="1" t="str">
        <f>IFERROR(__xludf.DUMMYFUNCTION("""COMPUTED_VALUE"""),"ORGANIC")</f>
        <v>ORGANIC</v>
      </c>
      <c r="D1644" s="1" t="str">
        <f>IFERROR(__xludf.DUMMYFUNCTION("""COMPUTED_VALUE"""),"ALOS, CHARLS")</f>
        <v>ALOS, CHARLS</v>
      </c>
      <c r="E1644" s="1" t="str">
        <f>IFERROR(__xludf.DUMMYFUNCTION("""COMPUTED_VALUE"""),"PLDT / ONLINE")</f>
        <v>PLDT / ONLINE</v>
      </c>
      <c r="F1644" s="1">
        <f>IFERROR(__xludf.DUMMYFUNCTION("""COMPUTED_VALUE"""),2309473459)</f>
        <v>2309473459</v>
      </c>
      <c r="G1644" s="1">
        <f>IFERROR(__xludf.DUMMYFUNCTION("""COMPUTED_VALUE"""),454470868004)</f>
        <v>454470868004</v>
      </c>
      <c r="H1644" s="1" t="str">
        <f>IFERROR(__xludf.DUMMYFUNCTION("""COMPUTED_VALUE"""),"EDUARDO PEPITO SALIWAN")</f>
        <v>EDUARDO PEPITO SALIWAN</v>
      </c>
      <c r="I1644" s="1">
        <f>IFERROR(__xludf.DUMMYFUNCTION("""COMPUTED_VALUE"""),9692217375)</f>
        <v>9692217375</v>
      </c>
      <c r="J1644" s="1">
        <f>IFERROR(__xludf.DUMMYFUNCTION("""COMPUTED_VALUE"""),9918304196)</f>
        <v>9918304196</v>
      </c>
      <c r="K1644" s="1" t="str">
        <f>IFERROR(__xludf.DUMMYFUNCTION("""COMPUTED_VALUE"""),"SALIWANEDUARDO@GMAIL.COM")</f>
        <v>SALIWANEDUARDO@GMAIL.COM</v>
      </c>
      <c r="L1644" s="1" t="str">
        <f>IFERROR(__xludf.DUMMYFUNCTION("""COMPUTED_VALUE"""),"BLK 40 LOT 8")</f>
        <v>BLK 40 LOT 8</v>
      </c>
      <c r="M1644" s="1" t="str">
        <f>IFERROR(__xludf.DUMMYFUNCTION("""COMPUTED_VALUE"""),"PHASE 2")</f>
        <v>PHASE 2</v>
      </c>
      <c r="N1644" s="1" t="str">
        <f>IFERROR(__xludf.DUMMYFUNCTION("""COMPUTED_VALUE"""),"WINDWARD")</f>
        <v>WINDWARD</v>
      </c>
      <c r="O1644" s="1" t="str">
        <f>IFERROR(__xludf.DUMMYFUNCTION("""COMPUTED_VALUE"""),"BUROL I")</f>
        <v>BUROL I</v>
      </c>
      <c r="P1644" s="1" t="str">
        <f>IFERROR(__xludf.DUMMYFUNCTION("""COMPUTED_VALUE"""),"DASMARINAS")</f>
        <v>DASMARINAS</v>
      </c>
      <c r="Q1644" s="1" t="str">
        <f>IFERROR(__xludf.DUMMYFUNCTION("""COMPUTED_VALUE"""),"CAVITE")</f>
        <v>CAVITE</v>
      </c>
      <c r="R1644" s="1" t="str">
        <f>IFERROR(__xludf.DUMMYFUNCTION("""COMPUTED_VALUE"""),"FIBR PLAN 1299")</f>
        <v>FIBR PLAN 1299</v>
      </c>
      <c r="S1644" s="1" t="str">
        <f>IFERROR(__xludf.DUMMYFUNCTION("""COMPUTED_VALUE"""),"APPROVED")</f>
        <v>APPROVED</v>
      </c>
      <c r="T1644" s="1" t="str">
        <f>IFERROR(__xludf.DUMMYFUNCTION("""COMPUTED_VALUE"""),"AFD")</f>
        <v>AFD</v>
      </c>
      <c r="U1644" s="1"/>
      <c r="V1644" s="1"/>
      <c r="W1644" s="1"/>
    </row>
    <row r="1645" customHeight="1" spans="1:23">
      <c r="A1645" s="3">
        <f>IFERROR(__xludf.DUMMYFUNCTION("""COMPUTED_VALUE"""),46155)</f>
        <v>46155</v>
      </c>
      <c r="B1645" s="1" t="str">
        <f>IFERROR(__xludf.DUMMYFUNCTION("""COMPUTED_VALUE"""),"CASTILLEJOS, ARREL")</f>
        <v>CASTILLEJOS, ARREL</v>
      </c>
      <c r="C1645" s="1" t="str">
        <f>IFERROR(__xludf.DUMMYFUNCTION("""COMPUTED_VALUE"""),"ORGANIC")</f>
        <v>ORGANIC</v>
      </c>
      <c r="D1645" s="1" t="str">
        <f>IFERROR(__xludf.DUMMYFUNCTION("""COMPUTED_VALUE"""),"REMOLLO LEA")</f>
        <v>REMOLLO LEA</v>
      </c>
      <c r="E1645" s="1" t="str">
        <f>IFERROR(__xludf.DUMMYFUNCTION("""COMPUTED_VALUE"""),"PLDT / H2H")</f>
        <v>PLDT / H2H</v>
      </c>
      <c r="F1645" s="1">
        <f>IFERROR(__xludf.DUMMYFUNCTION("""COMPUTED_VALUE"""),2309473772)</f>
        <v>2309473772</v>
      </c>
      <c r="G1645" s="1"/>
      <c r="H1645" s="1" t="str">
        <f>IFERROR(__xludf.DUMMYFUNCTION("""COMPUTED_VALUE"""),"MYRNA SARABIA ARROYO")</f>
        <v>MYRNA SARABIA ARROYO</v>
      </c>
      <c r="I1645" s="1">
        <f>IFERROR(__xludf.DUMMYFUNCTION("""COMPUTED_VALUE"""),9944316231)</f>
        <v>9944316231</v>
      </c>
      <c r="J1645" s="1">
        <f>IFERROR(__xludf.DUMMYFUNCTION("""COMPUTED_VALUE"""),9488971626)</f>
        <v>9488971626</v>
      </c>
      <c r="K1645" s="1" t="str">
        <f>IFERROR(__xludf.DUMMYFUNCTION("""COMPUTED_VALUE"""),"MYRNAARROYO048@GMAIL.COM")</f>
        <v>MYRNAARROYO048@GMAIL.COM</v>
      </c>
      <c r="L1645" s="1" t="str">
        <f>IFERROR(__xludf.DUMMYFUNCTION("""COMPUTED_VALUE"""),"144")</f>
        <v>144</v>
      </c>
      <c r="M1645" s="1" t="str">
        <f>IFERROR(__xludf.DUMMYFUNCTION("""COMPUTED_VALUE"""),"PATUTONG RD")</f>
        <v>PATUTONG RD</v>
      </c>
      <c r="N1645" s="1"/>
      <c r="O1645" s="1" t="str">
        <f>IFERROR(__xludf.DUMMYFUNCTION("""COMPUTED_VALUE"""),"PATUTONG MALAKI NORTH")</f>
        <v>PATUTONG MALAKI NORTH</v>
      </c>
      <c r="P1645" s="1" t="str">
        <f>IFERROR(__xludf.DUMMYFUNCTION("""COMPUTED_VALUE"""),"TAGAYTAY")</f>
        <v>TAGAYTAY</v>
      </c>
      <c r="Q1645" s="1" t="str">
        <f>IFERROR(__xludf.DUMMYFUNCTION("""COMPUTED_VALUE"""),"CAVITE")</f>
        <v>CAVITE</v>
      </c>
      <c r="R1645" s="1" t="str">
        <f>IFERROR(__xludf.DUMMYFUNCTION("""COMPUTED_VALUE"""),"FIBR UNLI ALL PLAN 999")</f>
        <v>FIBR UNLI ALL PLAN 999</v>
      </c>
      <c r="S1645" s="1" t="str">
        <f>IFERROR(__xludf.DUMMYFUNCTION("""COMPUTED_VALUE"""),"APPROVED")</f>
        <v>APPROVED</v>
      </c>
      <c r="T1645" s="1" t="str">
        <f>IFERROR(__xludf.DUMMYFUNCTION("""COMPUTED_VALUE"""),"CANCELLED")</f>
        <v>CANCELLED</v>
      </c>
      <c r="U1645" s="1"/>
      <c r="V1645" s="1"/>
      <c r="W1645" s="1"/>
    </row>
    <row r="1646" customHeight="1" spans="1:23">
      <c r="A1646" s="3">
        <f>IFERROR(__xludf.DUMMYFUNCTION("""COMPUTED_VALUE"""),46155)</f>
        <v>46155</v>
      </c>
      <c r="B1646" s="1" t="str">
        <f>IFERROR(__xludf.DUMMYFUNCTION("""COMPUTED_VALUE"""),"FARO, REFRANTA")</f>
        <v>FARO, REFRANTA</v>
      </c>
      <c r="C1646" s="1" t="str">
        <f>IFERROR(__xludf.DUMMYFUNCTION("""COMPUTED_VALUE"""),"ORGANIC")</f>
        <v>ORGANIC</v>
      </c>
      <c r="D1646" s="1" t="str">
        <f>IFERROR(__xludf.DUMMYFUNCTION("""COMPUTED_VALUE"""),"ALINGARO, CINDY")</f>
        <v>ALINGARO, CINDY</v>
      </c>
      <c r="E1646" s="1" t="str">
        <f>IFERROR(__xludf.DUMMYFUNCTION("""COMPUTED_VALUE"""),"PLDT / H2H")</f>
        <v>PLDT / H2H</v>
      </c>
      <c r="F1646" s="1">
        <f>IFERROR(__xludf.DUMMYFUNCTION("""COMPUTED_VALUE"""),2309474105)</f>
        <v>2309474105</v>
      </c>
      <c r="G1646" s="1">
        <f>IFERROR(__xludf.DUMMYFUNCTION("""COMPUTED_VALUE"""),454463319004)</f>
        <v>454463319004</v>
      </c>
      <c r="H1646" s="1" t="str">
        <f>IFERROR(__xludf.DUMMYFUNCTION("""COMPUTED_VALUE"""),"GERALDENE BUNGAG PRAHINOG")</f>
        <v>GERALDENE BUNGAG PRAHINOG</v>
      </c>
      <c r="I1646" s="1">
        <f>IFERROR(__xludf.DUMMYFUNCTION("""COMPUTED_VALUE"""),9508346321)</f>
        <v>9508346321</v>
      </c>
      <c r="J1646" s="1"/>
      <c r="K1646" s="1" t="str">
        <f>IFERROR(__xludf.DUMMYFUNCTION("""COMPUTED_VALUE"""),"PRAHINOGJANE@GMAIL.COM")</f>
        <v>PRAHINOGJANE@GMAIL.COM</v>
      </c>
      <c r="L1646" s="1" t="str">
        <f>IFERROR(__xludf.DUMMYFUNCTION("""COMPUTED_VALUE"""),"BLK 9 LOT 11")</f>
        <v>BLK 9 LOT 11</v>
      </c>
      <c r="M1646" s="1" t="str">
        <f>IFERROR(__xludf.DUMMYFUNCTION("""COMPUTED_VALUE"""),"PALIGAWAN MATANDA")</f>
        <v>PALIGAWAN MATANDA</v>
      </c>
      <c r="N1646" s="1"/>
      <c r="O1646" s="1" t="str">
        <f>IFERROR(__xludf.DUMMYFUNCTION("""COMPUTED_VALUE"""),"LANTIC")</f>
        <v>LANTIC</v>
      </c>
      <c r="P1646" s="1" t="str">
        <f>IFERROR(__xludf.DUMMYFUNCTION("""COMPUTED_VALUE"""),"CARMONA")</f>
        <v>CARMONA</v>
      </c>
      <c r="Q1646" s="1" t="str">
        <f>IFERROR(__xludf.DUMMYFUNCTION("""COMPUTED_VALUE"""),"CAVITE")</f>
        <v>CAVITE</v>
      </c>
      <c r="R1646" s="1" t="str">
        <f>IFERROR(__xludf.DUMMYFUNCTION("""COMPUTED_VALUE"""),"FIBR PLAN 1299")</f>
        <v>FIBR PLAN 1299</v>
      </c>
      <c r="S1646" s="1" t="str">
        <f>IFERROR(__xludf.DUMMYFUNCTION("""COMPUTED_VALUE"""),"APPROVED")</f>
        <v>APPROVED</v>
      </c>
      <c r="T1646" s="1" t="str">
        <f>IFERROR(__xludf.DUMMYFUNCTION("""COMPUTED_VALUE"""),"CLOSED")</f>
        <v>CLOSED</v>
      </c>
      <c r="U1646" s="1" t="str">
        <f>IFERROR(__xludf.DUMMYFUNCTION("""COMPUTED_VALUE"""),"POSTED")</f>
        <v>POSTED</v>
      </c>
      <c r="V1646" s="1"/>
      <c r="W1646" s="1"/>
    </row>
    <row r="1647" customHeight="1" spans="1:23">
      <c r="A1647" s="3">
        <f>IFERROR(__xludf.DUMMYFUNCTION("""COMPUTED_VALUE"""),46155)</f>
        <v>46155</v>
      </c>
      <c r="B1647" s="1" t="str">
        <f>IFERROR(__xludf.DUMMYFUNCTION("""COMPUTED_VALUE"""),"ESCARCHA, MA ALMA  ESCOTO")</f>
        <v>ESCARCHA, MA ALMA  ESCOTO</v>
      </c>
      <c r="C1647" s="1" t="str">
        <f>IFERROR(__xludf.DUMMYFUNCTION("""COMPUTED_VALUE"""),"ORGANIC")</f>
        <v>ORGANIC</v>
      </c>
      <c r="D1647" s="1" t="str">
        <f>IFERROR(__xludf.DUMMYFUNCTION("""COMPUTED_VALUE"""),"ALINGARO, CINDY")</f>
        <v>ALINGARO, CINDY</v>
      </c>
      <c r="E1647" s="1" t="str">
        <f>IFERROR(__xludf.DUMMYFUNCTION("""COMPUTED_VALUE"""),"PLDT / H2H")</f>
        <v>PLDT / H2H</v>
      </c>
      <c r="F1647" s="1">
        <f>IFERROR(__xludf.DUMMYFUNCTION("""COMPUTED_VALUE"""),2309476242)</f>
        <v>2309476242</v>
      </c>
      <c r="G1647" s="1">
        <f>IFERROR(__xludf.DUMMYFUNCTION("""COMPUTED_VALUE"""),454468594004)</f>
        <v>454468594004</v>
      </c>
      <c r="H1647" s="1" t="str">
        <f>IFERROR(__xludf.DUMMYFUNCTION("""COMPUTED_VALUE"""),"JENNIFER ALMADEN ALBA")</f>
        <v>JENNIFER ALMADEN ALBA</v>
      </c>
      <c r="I1647" s="1">
        <f>IFERROR(__xludf.DUMMYFUNCTION("""COMPUTED_VALUE"""),9302059689)</f>
        <v>9302059689</v>
      </c>
      <c r="J1647" s="1"/>
      <c r="K1647" s="1" t="str">
        <f>IFERROR(__xludf.DUMMYFUNCTION("""COMPUTED_VALUE"""),"ALBAJHELOID@GMAIL.COM")</f>
        <v>ALBAJHELOID@GMAIL.COM</v>
      </c>
      <c r="L1647" s="1" t="str">
        <f>IFERROR(__xludf.DUMMYFUNCTION("""COMPUTED_VALUE"""),"2")</f>
        <v>2</v>
      </c>
      <c r="M1647" s="1" t="str">
        <f>IFERROR(__xludf.DUMMYFUNCTION("""COMPUTED_VALUE"""),"PALIGAWAN MATANDA")</f>
        <v>PALIGAWAN MATANDA</v>
      </c>
      <c r="N1647" s="1"/>
      <c r="O1647" s="1" t="str">
        <f>IFERROR(__xludf.DUMMYFUNCTION("""COMPUTED_VALUE"""),"LANTIC")</f>
        <v>LANTIC</v>
      </c>
      <c r="P1647" s="1" t="str">
        <f>IFERROR(__xludf.DUMMYFUNCTION("""COMPUTED_VALUE"""),"CARMONA")</f>
        <v>CARMONA</v>
      </c>
      <c r="Q1647" s="1" t="str">
        <f>IFERROR(__xludf.DUMMYFUNCTION("""COMPUTED_VALUE"""),"CAVITE")</f>
        <v>CAVITE</v>
      </c>
      <c r="R1647" s="1" t="str">
        <f>IFERROR(__xludf.DUMMYFUNCTION("""COMPUTED_VALUE"""),"FIBR UNLI ALL PLAN 999")</f>
        <v>FIBR UNLI ALL PLAN 999</v>
      </c>
      <c r="S1647" s="1" t="str">
        <f>IFERROR(__xludf.DUMMYFUNCTION("""COMPUTED_VALUE"""),"APPROVED")</f>
        <v>APPROVED</v>
      </c>
      <c r="T1647" s="1" t="str">
        <f>IFERROR(__xludf.DUMMYFUNCTION("""COMPUTED_VALUE"""),"CANCELLED")</f>
        <v>CANCELLED</v>
      </c>
      <c r="U1647" s="1" t="str">
        <f>IFERROR(__xludf.DUMMYFUNCTION("""COMPUTED_VALUE"""),"VOUCH BY TL CINDY")</f>
        <v>VOUCH BY TL CINDY</v>
      </c>
      <c r="V1647" s="1"/>
      <c r="W1647" s="1"/>
    </row>
    <row r="1648" customHeight="1" spans="1:23">
      <c r="A1648" s="3">
        <f>IFERROR(__xludf.DUMMYFUNCTION("""COMPUTED_VALUE"""),46155)</f>
        <v>46155</v>
      </c>
      <c r="B1648" s="1" t="str">
        <f>IFERROR(__xludf.DUMMYFUNCTION("""COMPUTED_VALUE"""),"AMADO, LYKA")</f>
        <v>AMADO, LYKA</v>
      </c>
      <c r="C1648" s="1" t="str">
        <f>IFERROR(__xludf.DUMMYFUNCTION("""COMPUTED_VALUE"""),"ORGANIC")</f>
        <v>ORGANIC</v>
      </c>
      <c r="D1648" s="1" t="str">
        <f>IFERROR(__xludf.DUMMYFUNCTION("""COMPUTED_VALUE"""),"ALINGARO, CINDY")</f>
        <v>ALINGARO, CINDY</v>
      </c>
      <c r="E1648" s="1" t="str">
        <f>IFERROR(__xludf.DUMMYFUNCTION("""COMPUTED_VALUE"""),"PLDT / H2H")</f>
        <v>PLDT / H2H</v>
      </c>
      <c r="F1648" s="1">
        <f>IFERROR(__xludf.DUMMYFUNCTION("""COMPUTED_VALUE"""),2309475651)</f>
        <v>2309475651</v>
      </c>
      <c r="G1648" s="1">
        <f>IFERROR(__xludf.DUMMYFUNCTION("""COMPUTED_VALUE"""),454465772004)</f>
        <v>454465772004</v>
      </c>
      <c r="H1648" s="1" t="str">
        <f>IFERROR(__xludf.DUMMYFUNCTION("""COMPUTED_VALUE"""),"JOHN CARLO INCIONG SALIVIO")</f>
        <v>JOHN CARLO INCIONG SALIVIO</v>
      </c>
      <c r="I1648" s="1">
        <f>IFERROR(__xludf.DUMMYFUNCTION("""COMPUTED_VALUE"""),9661989389)</f>
        <v>9661989389</v>
      </c>
      <c r="J1648" s="1">
        <f>IFERROR(__xludf.DUMMYFUNCTION("""COMPUTED_VALUE"""),9764564977)</f>
        <v>9764564977</v>
      </c>
      <c r="K1648" s="1" t="str">
        <f>IFERROR(__xludf.DUMMYFUNCTION("""COMPUTED_VALUE"""),"JCARLOSALIVIO@GAIL.COM")</f>
        <v>JCARLOSALIVIO@GAIL.COM</v>
      </c>
      <c r="L1648" s="1" t="str">
        <f>IFERROR(__xludf.DUMMYFUNCTION("""COMPUTED_VALUE"""),"BLK 1 LOT 16")</f>
        <v>BLK 1 LOT 16</v>
      </c>
      <c r="M1648" s="1" t="str">
        <f>IFERROR(__xludf.DUMMYFUNCTION("""COMPUTED_VALUE"""),"PALIGAWAN MATANDA")</f>
        <v>PALIGAWAN MATANDA</v>
      </c>
      <c r="N1648" s="1"/>
      <c r="O1648" s="1" t="str">
        <f>IFERROR(__xludf.DUMMYFUNCTION("""COMPUTED_VALUE"""),"LANTIC")</f>
        <v>LANTIC</v>
      </c>
      <c r="P1648" s="1" t="str">
        <f>IFERROR(__xludf.DUMMYFUNCTION("""COMPUTED_VALUE"""),"CARMONA")</f>
        <v>CARMONA</v>
      </c>
      <c r="Q1648" s="1" t="str">
        <f>IFERROR(__xludf.DUMMYFUNCTION("""COMPUTED_VALUE"""),"CAVITE")</f>
        <v>CAVITE</v>
      </c>
      <c r="R1648" s="1" t="str">
        <f>IFERROR(__xludf.DUMMYFUNCTION("""COMPUTED_VALUE"""),"FIBR UNLI ALL PLAN 1399")</f>
        <v>FIBR UNLI ALL PLAN 1399</v>
      </c>
      <c r="S1648" s="1" t="str">
        <f>IFERROR(__xludf.DUMMYFUNCTION("""COMPUTED_VALUE"""),"APPROVED")</f>
        <v>APPROVED</v>
      </c>
      <c r="T1648" s="1" t="str">
        <f>IFERROR(__xludf.DUMMYFUNCTION("""COMPUTED_VALUE"""),"CLOSED")</f>
        <v>CLOSED</v>
      </c>
      <c r="U1648" s="1" t="str">
        <f>IFERROR(__xludf.DUMMYFUNCTION("""COMPUTED_VALUE"""),"POSTED")</f>
        <v>POSTED</v>
      </c>
      <c r="V1648" s="1"/>
      <c r="W1648" s="1"/>
    </row>
    <row r="1649" customHeight="1" spans="1:23">
      <c r="A1649" s="3">
        <f>IFERROR(__xludf.DUMMYFUNCTION("""COMPUTED_VALUE"""),46155)</f>
        <v>46155</v>
      </c>
      <c r="B1649" s="1" t="str">
        <f>IFERROR(__xludf.DUMMYFUNCTION("""COMPUTED_VALUE"""),"TAMAYO,MARY ROSE")</f>
        <v>TAMAYO,MARY ROSE</v>
      </c>
      <c r="C1649" s="1" t="str">
        <f>IFERROR(__xludf.DUMMYFUNCTION("""COMPUTED_VALUE"""),"ORGANIC")</f>
        <v>ORGANIC</v>
      </c>
      <c r="D1649" s="1" t="str">
        <f>IFERROR(__xludf.DUMMYFUNCTION("""COMPUTED_VALUE"""),"ALINGARO, CINDY")</f>
        <v>ALINGARO, CINDY</v>
      </c>
      <c r="E1649" s="1" t="str">
        <f>IFERROR(__xludf.DUMMYFUNCTION("""COMPUTED_VALUE"""),"PLDT / H2H")</f>
        <v>PLDT / H2H</v>
      </c>
      <c r="F1649" s="1">
        <f>IFERROR(__xludf.DUMMYFUNCTION("""COMPUTED_VALUE"""),2309475891)</f>
        <v>2309475891</v>
      </c>
      <c r="G1649" s="1">
        <f>IFERROR(__xludf.DUMMYFUNCTION("""COMPUTED_VALUE"""),454471087004)</f>
        <v>454471087004</v>
      </c>
      <c r="H1649" s="1" t="str">
        <f>IFERROR(__xludf.DUMMYFUNCTION("""COMPUTED_VALUE"""),"ALMA MANGAYAO DOSDOS")</f>
        <v>ALMA MANGAYAO DOSDOS</v>
      </c>
      <c r="I1649" s="1">
        <f>IFERROR(__xludf.DUMMYFUNCTION("""COMPUTED_VALUE"""),9197391077)</f>
        <v>9197391077</v>
      </c>
      <c r="J1649" s="1"/>
      <c r="K1649" s="1" t="str">
        <f>IFERROR(__xludf.DUMMYFUNCTION("""COMPUTED_VALUE"""),"DOSDOSALMA0@GMAIL.COM")</f>
        <v>DOSDOSALMA0@GMAIL.COM</v>
      </c>
      <c r="L1649" s="1" t="str">
        <f>IFERROR(__xludf.DUMMYFUNCTION("""COMPUTED_VALUE"""),"BLK 3 LOT 1")</f>
        <v>BLK 3 LOT 1</v>
      </c>
      <c r="M1649" s="1" t="str">
        <f>IFERROR(__xludf.DUMMYFUNCTION("""COMPUTED_VALUE"""),"PALIGAWAN MATANDA")</f>
        <v>PALIGAWAN MATANDA</v>
      </c>
      <c r="N1649" s="1"/>
      <c r="O1649" s="1" t="str">
        <f>IFERROR(__xludf.DUMMYFUNCTION("""COMPUTED_VALUE"""),"LANTIC")</f>
        <v>LANTIC</v>
      </c>
      <c r="P1649" s="1" t="str">
        <f>IFERROR(__xludf.DUMMYFUNCTION("""COMPUTED_VALUE"""),"CARMONA")</f>
        <v>CARMONA</v>
      </c>
      <c r="Q1649" s="1" t="str">
        <f>IFERROR(__xludf.DUMMYFUNCTION("""COMPUTED_VALUE"""),"CAVITE")</f>
        <v>CAVITE</v>
      </c>
      <c r="R1649" s="1" t="str">
        <f>IFERROR(__xludf.DUMMYFUNCTION("""COMPUTED_VALUE"""),"FIBR UNLI ALL PLAN 1399")</f>
        <v>FIBR UNLI ALL PLAN 1399</v>
      </c>
      <c r="S1649" s="1" t="str">
        <f>IFERROR(__xludf.DUMMYFUNCTION("""COMPUTED_VALUE"""),"APPROVED")</f>
        <v>APPROVED</v>
      </c>
      <c r="T1649" s="1" t="str">
        <f>IFERROR(__xludf.DUMMYFUNCTION("""COMPUTED_VALUE"""),"CLOSED")</f>
        <v>CLOSED</v>
      </c>
      <c r="U1649" s="1" t="str">
        <f>IFERROR(__xludf.DUMMYFUNCTION("""COMPUTED_VALUE"""),"POSTED")</f>
        <v>POSTED</v>
      </c>
      <c r="V1649" s="1"/>
      <c r="W1649" s="1"/>
    </row>
    <row r="1650" customHeight="1" spans="1:23">
      <c r="A1650" s="3">
        <f>IFERROR(__xludf.DUMMYFUNCTION("""COMPUTED_VALUE"""),46155)</f>
        <v>46155</v>
      </c>
      <c r="B1650" s="1" t="str">
        <f>IFERROR(__xludf.DUMMYFUNCTION("""COMPUTED_VALUE"""),"IVNO, RAZZEL")</f>
        <v>IVNO, RAZZEL</v>
      </c>
      <c r="C1650" s="1" t="str">
        <f>IFERROR(__xludf.DUMMYFUNCTION("""COMPUTED_VALUE"""),"ORGANIC")</f>
        <v>ORGANIC</v>
      </c>
      <c r="D1650" s="1" t="str">
        <f>IFERROR(__xludf.DUMMYFUNCTION("""COMPUTED_VALUE"""),"REMOLLO LEA")</f>
        <v>REMOLLO LEA</v>
      </c>
      <c r="E1650" s="1" t="str">
        <f>IFERROR(__xludf.DUMMYFUNCTION("""COMPUTED_VALUE"""),"PLDT / H2H")</f>
        <v>PLDT / H2H</v>
      </c>
      <c r="F1650" s="1">
        <f>IFERROR(__xludf.DUMMYFUNCTION("""COMPUTED_VALUE"""),2309476783)</f>
        <v>2309476783</v>
      </c>
      <c r="G1650" s="1">
        <f>IFERROR(__xludf.DUMMYFUNCTION("""COMPUTED_VALUE"""),454467959004)</f>
        <v>454467959004</v>
      </c>
      <c r="H1650" s="1" t="str">
        <f>IFERROR(__xludf.DUMMYFUNCTION("""COMPUTED_VALUE"""),"JESSELE ANN GRENO ADORABLE")</f>
        <v>JESSELE ANN GRENO ADORABLE</v>
      </c>
      <c r="I1650" s="1">
        <f>IFERROR(__xludf.DUMMYFUNCTION("""COMPUTED_VALUE"""),9094737486)</f>
        <v>9094737486</v>
      </c>
      <c r="J1650" s="1">
        <f>IFERROR(__xludf.DUMMYFUNCTION("""COMPUTED_VALUE"""),9912677938)</f>
        <v>9912677938</v>
      </c>
      <c r="K1650" s="1" t="str">
        <f>IFERROR(__xludf.DUMMYFUNCTION("""COMPUTED_VALUE"""),"JESSELEANNADORABLE14@GMAIL.COM")</f>
        <v>JESSELEANNADORABLE14@GMAIL.COM</v>
      </c>
      <c r="L1650" s="1" t="str">
        <f>IFERROR(__xludf.DUMMYFUNCTION("""COMPUTED_VALUE"""),"57")</f>
        <v>57</v>
      </c>
      <c r="M1650" s="1" t="str">
        <f>IFERROR(__xludf.DUMMYFUNCTION("""COMPUTED_VALUE"""),"PUROK 134")</f>
        <v>PUROK 134</v>
      </c>
      <c r="N1650" s="1"/>
      <c r="O1650" s="1" t="str">
        <f>IFERROR(__xludf.DUMMYFUNCTION("""COMPUTED_VALUE"""),"NEOGAN")</f>
        <v>NEOGAN</v>
      </c>
      <c r="P1650" s="1" t="str">
        <f>IFERROR(__xludf.DUMMYFUNCTION("""COMPUTED_VALUE"""),"TAGAYTAY")</f>
        <v>TAGAYTAY</v>
      </c>
      <c r="Q1650" s="1" t="str">
        <f>IFERROR(__xludf.DUMMYFUNCTION("""COMPUTED_VALUE"""),"CAVITE")</f>
        <v>CAVITE</v>
      </c>
      <c r="R1650" s="1" t="str">
        <f>IFERROR(__xludf.DUMMYFUNCTION("""COMPUTED_VALUE"""),"FIBR UNLI ALL PLAN 999")</f>
        <v>FIBR UNLI ALL PLAN 999</v>
      </c>
      <c r="S1650" s="1" t="str">
        <f>IFERROR(__xludf.DUMMYFUNCTION("""COMPUTED_VALUE"""),"APPROVED")</f>
        <v>APPROVED</v>
      </c>
      <c r="T1650" s="1" t="str">
        <f>IFERROR(__xludf.DUMMYFUNCTION("""COMPUTED_VALUE"""),"CLOSED")</f>
        <v>CLOSED</v>
      </c>
      <c r="U1650" s="1" t="str">
        <f>IFERROR(__xludf.DUMMYFUNCTION("""COMPUTED_VALUE"""),"POSTED")</f>
        <v>POSTED</v>
      </c>
      <c r="V1650" s="1"/>
      <c r="W1650" s="1"/>
    </row>
    <row r="1651" customHeight="1" spans="1:23">
      <c r="A1651" s="3">
        <f>IFERROR(__xludf.DUMMYFUNCTION("""COMPUTED_VALUE"""),46155)</f>
        <v>46155</v>
      </c>
      <c r="B1651" s="1" t="str">
        <f>IFERROR(__xludf.DUMMYFUNCTION("""COMPUTED_VALUE"""),"DE VERA, MARIVIC")</f>
        <v>DE VERA, MARIVIC</v>
      </c>
      <c r="C1651" s="1" t="str">
        <f>IFERROR(__xludf.DUMMYFUNCTION("""COMPUTED_VALUE"""),"ORGANIC")</f>
        <v>ORGANIC</v>
      </c>
      <c r="D1651" s="1" t="str">
        <f>IFERROR(__xludf.DUMMYFUNCTION("""COMPUTED_VALUE"""),"REMOLLO LEA")</f>
        <v>REMOLLO LEA</v>
      </c>
      <c r="E1651" s="1" t="str">
        <f>IFERROR(__xludf.DUMMYFUNCTION("""COMPUTED_VALUE"""),"PLDT / H2H")</f>
        <v>PLDT / H2H</v>
      </c>
      <c r="F1651" s="1">
        <f>IFERROR(__xludf.DUMMYFUNCTION("""COMPUTED_VALUE"""),2309477585)</f>
        <v>2309477585</v>
      </c>
      <c r="G1651" s="1">
        <f>IFERROR(__xludf.DUMMYFUNCTION("""COMPUTED_VALUE"""),454468444004)</f>
        <v>454468444004</v>
      </c>
      <c r="H1651" s="1" t="str">
        <f>IFERROR(__xludf.DUMMYFUNCTION("""COMPUTED_VALUE"""),"ROXEL PAJUELAS ORQUITA")</f>
        <v>ROXEL PAJUELAS ORQUITA</v>
      </c>
      <c r="I1651" s="1">
        <f>IFERROR(__xludf.DUMMYFUNCTION("""COMPUTED_VALUE"""),9464822123)</f>
        <v>9464822123</v>
      </c>
      <c r="J1651" s="1">
        <f>IFERROR(__xludf.DUMMYFUNCTION("""COMPUTED_VALUE"""),9815749640)</f>
        <v>9815749640</v>
      </c>
      <c r="K1651" s="1" t="str">
        <f>IFERROR(__xludf.DUMMYFUNCTION("""COMPUTED_VALUE"""),"ORQUITA425@GMAIL.COM")</f>
        <v>ORQUITA425@GMAIL.COM</v>
      </c>
      <c r="L1651" s="1" t="str">
        <f>IFERROR(__xludf.DUMMYFUNCTION("""COMPUTED_VALUE"""),"38")</f>
        <v>38</v>
      </c>
      <c r="M1651" s="1" t="str">
        <f>IFERROR(__xludf.DUMMYFUNCTION("""COMPUTED_VALUE"""),"PUROK 134")</f>
        <v>PUROK 134</v>
      </c>
      <c r="N1651" s="1"/>
      <c r="O1651" s="1" t="str">
        <f>IFERROR(__xludf.DUMMYFUNCTION("""COMPUTED_VALUE"""),"NEOGAN")</f>
        <v>NEOGAN</v>
      </c>
      <c r="P1651" s="1" t="str">
        <f>IFERROR(__xludf.DUMMYFUNCTION("""COMPUTED_VALUE"""),"TAGAYTAY")</f>
        <v>TAGAYTAY</v>
      </c>
      <c r="Q1651" s="1" t="str">
        <f>IFERROR(__xludf.DUMMYFUNCTION("""COMPUTED_VALUE"""),"CAVITE")</f>
        <v>CAVITE</v>
      </c>
      <c r="R1651" s="1" t="str">
        <f>IFERROR(__xludf.DUMMYFUNCTION("""COMPUTED_VALUE"""),"FIBR UNLI ALL PLAN 999")</f>
        <v>FIBR UNLI ALL PLAN 999</v>
      </c>
      <c r="S1651" s="1" t="str">
        <f>IFERROR(__xludf.DUMMYFUNCTION("""COMPUTED_VALUE"""),"APPROVED")</f>
        <v>APPROVED</v>
      </c>
      <c r="T1651" s="1" t="str">
        <f>IFERROR(__xludf.DUMMYFUNCTION("""COMPUTED_VALUE"""),"CANCELLED")</f>
        <v>CANCELLED</v>
      </c>
      <c r="U1651" s="1"/>
      <c r="V1651" s="1"/>
      <c r="W1651" s="1"/>
    </row>
    <row r="1652" customHeight="1" spans="1:23">
      <c r="A1652" s="3">
        <f>IFERROR(__xludf.DUMMYFUNCTION("""COMPUTED_VALUE"""),46155)</f>
        <v>46155</v>
      </c>
      <c r="B1652" s="1" t="str">
        <f>IFERROR(__xludf.DUMMYFUNCTION("""COMPUTED_VALUE"""),"AYON MANUEL")</f>
        <v>AYON MANUEL</v>
      </c>
      <c r="C1652" s="1" t="str">
        <f>IFERROR(__xludf.DUMMYFUNCTION("""COMPUTED_VALUE"""),"FLA")</f>
        <v>FLA</v>
      </c>
      <c r="D1652" s="1" t="str">
        <f>IFERROR(__xludf.DUMMYFUNCTION("""COMPUTED_VALUE"""),"JERIC NAVARRO")</f>
        <v>JERIC NAVARRO</v>
      </c>
      <c r="E1652" s="1" t="str">
        <f>IFERROR(__xludf.DUMMYFUNCTION("""COMPUTED_VALUE"""),"HOME BIZZ")</f>
        <v>HOME BIZZ</v>
      </c>
      <c r="F1652" s="1">
        <f>IFERROR(__xludf.DUMMYFUNCTION("""COMPUTED_VALUE"""),2309478215)</f>
        <v>2309478215</v>
      </c>
      <c r="G1652" s="1">
        <f>IFERROR(__xludf.DUMMYFUNCTION("""COMPUTED_VALUE"""),454469966004)</f>
        <v>454469966004</v>
      </c>
      <c r="H1652" s="1" t="str">
        <f>IFERROR(__xludf.DUMMYFUNCTION("""COMPUTED_VALUE"""),"KATRINA GEMANIL ESPINA")</f>
        <v>KATRINA GEMANIL ESPINA</v>
      </c>
      <c r="I1652" s="1">
        <f>IFERROR(__xludf.DUMMYFUNCTION("""COMPUTED_VALUE"""),9748364535)</f>
        <v>9748364535</v>
      </c>
      <c r="J1652" s="1"/>
      <c r="K1652" s="1" t="str">
        <f>IFERROR(__xludf.DUMMYFUNCTION("""COMPUTED_VALUE"""),"KATGESPINA.LAW@GMAIL.COM")</f>
        <v>KATGESPINA.LAW@GMAIL.COM</v>
      </c>
      <c r="L1652" s="1" t="str">
        <f>IFERROR(__xludf.DUMMYFUNCTION("""COMPUTED_VALUE"""),"110")</f>
        <v>110</v>
      </c>
      <c r="M1652" s="1" t="str">
        <f>IFERROR(__xludf.DUMMYFUNCTION("""COMPUTED_VALUE"""),"END FLOOR")</f>
        <v>END FLOOR</v>
      </c>
      <c r="N1652" s="1"/>
      <c r="O1652" s="1" t="str">
        <f>IFERROR(__xludf.DUMMYFUNCTION("""COMPUTED_VALUE"""),"BARANGAY 3 (POB.)")</f>
        <v>BARANGAY 3 (POB.)</v>
      </c>
      <c r="P1652" s="1" t="str">
        <f>IFERROR(__xludf.DUMMYFUNCTION("""COMPUTED_VALUE"""),"SILANG")</f>
        <v>SILANG</v>
      </c>
      <c r="Q1652" s="1" t="str">
        <f>IFERROR(__xludf.DUMMYFUNCTION("""COMPUTED_VALUE"""),"CAVITE")</f>
        <v>CAVITE</v>
      </c>
      <c r="R1652" s="1" t="str">
        <f>IFERROR(__xludf.DUMMYFUNCTION("""COMPUTED_VALUE"""),"HOME BIZ PLAN 1299")</f>
        <v>HOME BIZ PLAN 1299</v>
      </c>
      <c r="S1652" s="1" t="str">
        <f>IFERROR(__xludf.DUMMYFUNCTION("""COMPUTED_VALUE"""),"APPROVED")</f>
        <v>APPROVED</v>
      </c>
      <c r="T1652" s="1" t="str">
        <f>IFERROR(__xludf.DUMMYFUNCTION("""COMPUTED_VALUE"""),"CLOSED")</f>
        <v>CLOSED</v>
      </c>
      <c r="U1652" s="1" t="str">
        <f>IFERROR(__xludf.DUMMYFUNCTION("""COMPUTED_VALUE"""),"POSTED")</f>
        <v>POSTED</v>
      </c>
      <c r="V1652" s="1"/>
      <c r="W1652" s="1"/>
    </row>
    <row r="1653" customHeight="1" spans="1:23">
      <c r="A1653" s="3">
        <f>IFERROR(__xludf.DUMMYFUNCTION("""COMPUTED_VALUE"""),46155)</f>
        <v>46155</v>
      </c>
      <c r="B1653" s="1" t="str">
        <f>IFERROR(__xludf.DUMMYFUNCTION("""COMPUTED_VALUE"""),"FRANCISCO , ROSELYN")</f>
        <v>FRANCISCO , ROSELYN</v>
      </c>
      <c r="C1653" s="1" t="str">
        <f>IFERROR(__xludf.DUMMYFUNCTION("""COMPUTED_VALUE"""),"ORGANIC")</f>
        <v>ORGANIC</v>
      </c>
      <c r="D1653" s="1" t="str">
        <f>IFERROR(__xludf.DUMMYFUNCTION("""COMPUTED_VALUE"""),"ALOS, CHARLS")</f>
        <v>ALOS, CHARLS</v>
      </c>
      <c r="E1653" s="1" t="str">
        <f>IFERROR(__xludf.DUMMYFUNCTION("""COMPUTED_VALUE"""),"PLDT / H2H")</f>
        <v>PLDT / H2H</v>
      </c>
      <c r="F1653" s="1">
        <f>IFERROR(__xludf.DUMMYFUNCTION("""COMPUTED_VALUE"""),2309479046)</f>
        <v>2309479046</v>
      </c>
      <c r="G1653" s="1"/>
      <c r="H1653" s="1" t="str">
        <f>IFERROR(__xludf.DUMMYFUNCTION("""COMPUTED_VALUE"""),"MICHAEL ASOR CLEOFE")</f>
        <v>MICHAEL ASOR CLEOFE</v>
      </c>
      <c r="I1653" s="1">
        <f>IFERROR(__xludf.DUMMYFUNCTION("""COMPUTED_VALUE"""),9056549899)</f>
        <v>9056549899</v>
      </c>
      <c r="J1653" s="1">
        <f>IFERROR(__xludf.DUMMYFUNCTION("""COMPUTED_VALUE"""),9754696892)</f>
        <v>9754696892</v>
      </c>
      <c r="K1653" s="1" t="str">
        <f>IFERROR(__xludf.DUMMYFUNCTION("""COMPUTED_VALUE"""),"MICHAELCLEOFE975@GMAIL.COM")</f>
        <v>MICHAELCLEOFE975@GMAIL.COM</v>
      </c>
      <c r="L1653" s="1" t="str">
        <f>IFERROR(__xludf.DUMMYFUNCTION("""COMPUTED_VALUE"""),"BLK 20 LOT 10")</f>
        <v>BLK 20 LOT 10</v>
      </c>
      <c r="M1653" s="1" t="str">
        <f>IFERROR(__xludf.DUMMYFUNCTION("""COMPUTED_VALUE"""),"PUROK 2")</f>
        <v>PUROK 2</v>
      </c>
      <c r="N1653" s="1"/>
      <c r="O1653" s="1" t="str">
        <f>IFERROR(__xludf.DUMMYFUNCTION("""COMPUTED_VALUE"""),"LITLIT")</f>
        <v>LITLIT</v>
      </c>
      <c r="P1653" s="1" t="str">
        <f>IFERROR(__xludf.DUMMYFUNCTION("""COMPUTED_VALUE"""),"SILANG")</f>
        <v>SILANG</v>
      </c>
      <c r="Q1653" s="1" t="str">
        <f>IFERROR(__xludf.DUMMYFUNCTION("""COMPUTED_VALUE"""),"CAVITE")</f>
        <v>CAVITE</v>
      </c>
      <c r="R1653" s="1" t="str">
        <f>IFERROR(__xludf.DUMMYFUNCTION("""COMPUTED_VALUE"""),"FIBR UNLI ALL PLAN 999")</f>
        <v>FIBR UNLI ALL PLAN 999</v>
      </c>
      <c r="S1653" s="1" t="str">
        <f>IFERROR(__xludf.DUMMYFUNCTION("""COMPUTED_VALUE"""),"APPROVED")</f>
        <v>APPROVED</v>
      </c>
      <c r="T1653" s="1" t="str">
        <f>IFERROR(__xludf.DUMMYFUNCTION("""COMPUTED_VALUE"""),"CANCELLED")</f>
        <v>CANCELLED</v>
      </c>
      <c r="U1653" s="1"/>
      <c r="V1653" s="1"/>
      <c r="W1653" s="1"/>
    </row>
    <row r="1654" customHeight="1" spans="1:23">
      <c r="A1654" s="3">
        <f>IFERROR(__xludf.DUMMYFUNCTION("""COMPUTED_VALUE"""),46155)</f>
        <v>46155</v>
      </c>
      <c r="B1654" s="1" t="str">
        <f>IFERROR(__xludf.DUMMYFUNCTION("""COMPUTED_VALUE"""),"ALANO, RAIN")</f>
        <v>ALANO, RAIN</v>
      </c>
      <c r="C1654" s="1" t="str">
        <f>IFERROR(__xludf.DUMMYFUNCTION("""COMPUTED_VALUE"""),"ORGANIC")</f>
        <v>ORGANIC</v>
      </c>
      <c r="D1654" s="1" t="str">
        <f>IFERROR(__xludf.DUMMYFUNCTION("""COMPUTED_VALUE"""),"REMOLLO LEA")</f>
        <v>REMOLLO LEA</v>
      </c>
      <c r="E1654" s="1" t="str">
        <f>IFERROR(__xludf.DUMMYFUNCTION("""COMPUTED_VALUE"""),"PLDT / H2H")</f>
        <v>PLDT / H2H</v>
      </c>
      <c r="F1654" s="1">
        <f>IFERROR(__xludf.DUMMYFUNCTION("""COMPUTED_VALUE"""),2309479870)</f>
        <v>2309479870</v>
      </c>
      <c r="G1654" s="1">
        <f>IFERROR(__xludf.DUMMYFUNCTION("""COMPUTED_VALUE"""),454472089004)</f>
        <v>454472089004</v>
      </c>
      <c r="H1654" s="1" t="str">
        <f>IFERROR(__xludf.DUMMYFUNCTION("""COMPUTED_VALUE"""),"MARY ROSE GESTA PERUELO")</f>
        <v>MARY ROSE GESTA PERUELO</v>
      </c>
      <c r="I1654" s="1">
        <f>IFERROR(__xludf.DUMMYFUNCTION("""COMPUTED_VALUE"""),9911475390)</f>
        <v>9911475390</v>
      </c>
      <c r="J1654" s="1">
        <f>IFERROR(__xludf.DUMMYFUNCTION("""COMPUTED_VALUE"""),9306635242)</f>
        <v>9306635242</v>
      </c>
      <c r="K1654" s="1" t="str">
        <f>IFERROR(__xludf.DUMMYFUNCTION("""COMPUTED_VALUE"""),"MARYROSEPERUELO771@GMAIL.COM")</f>
        <v>MARYROSEPERUELO771@GMAIL.COM</v>
      </c>
      <c r="L1654" s="1" t="str">
        <f>IFERROR(__xludf.DUMMYFUNCTION("""COMPUTED_VALUE"""),"BLK 22A")</f>
        <v>BLK 22A</v>
      </c>
      <c r="M1654" s="1" t="str">
        <f>IFERROR(__xludf.DUMMYFUNCTION("""COMPUTED_VALUE"""),"EXCESS LOT ")</f>
        <v>EXCESS LOT </v>
      </c>
      <c r="N1654" s="1"/>
      <c r="O1654" s="1" t="str">
        <f>IFERROR(__xludf.DUMMYFUNCTION("""COMPUTED_VALUE"""),"FRANCISCO REYES")</f>
        <v>FRANCISCO REYES</v>
      </c>
      <c r="P1654" s="1" t="str">
        <f>IFERROR(__xludf.DUMMYFUNCTION("""COMPUTED_VALUE"""),"GEN MARIANO ALVAREZ")</f>
        <v>GEN MARIANO ALVAREZ</v>
      </c>
      <c r="Q1654" s="1" t="str">
        <f>IFERROR(__xludf.DUMMYFUNCTION("""COMPUTED_VALUE"""),"CAVITE")</f>
        <v>CAVITE</v>
      </c>
      <c r="R1654" s="1" t="str">
        <f>IFERROR(__xludf.DUMMYFUNCTION("""COMPUTED_VALUE"""),"FIBR UNLI ALL PLAN 999")</f>
        <v>FIBR UNLI ALL PLAN 999</v>
      </c>
      <c r="S1654" s="1" t="str">
        <f>IFERROR(__xludf.DUMMYFUNCTION("""COMPUTED_VALUE"""),"APPROVED")</f>
        <v>APPROVED</v>
      </c>
      <c r="T1654" s="1" t="str">
        <f>IFERROR(__xludf.DUMMYFUNCTION("""COMPUTED_VALUE"""),"RPR")</f>
        <v>RPR</v>
      </c>
      <c r="U1654" s="1"/>
      <c r="V1654" s="1"/>
      <c r="W1654" s="1"/>
    </row>
    <row r="1655" customHeight="1" spans="1:23">
      <c r="A1655" s="3">
        <f>IFERROR(__xludf.DUMMYFUNCTION("""COMPUTED_VALUE"""),46155)</f>
        <v>46155</v>
      </c>
      <c r="B1655" s="1" t="str">
        <f>IFERROR(__xludf.DUMMYFUNCTION("""COMPUTED_VALUE"""),"TIONGSON, ASHLEY")</f>
        <v>TIONGSON, ASHLEY</v>
      </c>
      <c r="C1655" s="1" t="str">
        <f>IFERROR(__xludf.DUMMYFUNCTION("""COMPUTED_VALUE"""),"ORGANIC")</f>
        <v>ORGANIC</v>
      </c>
      <c r="D1655" s="1" t="str">
        <f>IFERROR(__xludf.DUMMYFUNCTION("""COMPUTED_VALUE"""),"REMOLLO LEA")</f>
        <v>REMOLLO LEA</v>
      </c>
      <c r="E1655" s="1" t="str">
        <f>IFERROR(__xludf.DUMMYFUNCTION("""COMPUTED_VALUE"""),"PLDT / H2H")</f>
        <v>PLDT / H2H</v>
      </c>
      <c r="F1655" s="1">
        <f>IFERROR(__xludf.DUMMYFUNCTION("""COMPUTED_VALUE"""),2309480185)</f>
        <v>2309480185</v>
      </c>
      <c r="G1655" s="1">
        <f>IFERROR(__xludf.DUMMYFUNCTION("""COMPUTED_VALUE"""),454473696004)</f>
        <v>454473696004</v>
      </c>
      <c r="H1655" s="1" t="str">
        <f>IFERROR(__xludf.DUMMYFUNCTION("""COMPUTED_VALUE"""),"JOSEPHINE BAUTISTA LAURENTE")</f>
        <v>JOSEPHINE BAUTISTA LAURENTE</v>
      </c>
      <c r="I1655" s="1">
        <f>IFERROR(__xludf.DUMMYFUNCTION("""COMPUTED_VALUE"""),9517168246)</f>
        <v>9517168246</v>
      </c>
      <c r="J1655" s="1">
        <f>IFERROR(__xludf.DUMMYFUNCTION("""COMPUTED_VALUE"""),9925335736)</f>
        <v>9925335736</v>
      </c>
      <c r="K1655" s="1" t="str">
        <f>IFERROR(__xludf.DUMMYFUNCTION("""COMPUTED_VALUE"""),"BAUTISTAJOSEPHINE085@GMAIL.COM")</f>
        <v>BAUTISTAJOSEPHINE085@GMAIL.COM</v>
      </c>
      <c r="L1655" s="1" t="str">
        <f>IFERROR(__xludf.DUMMYFUNCTION("""COMPUTED_VALUE"""),"BLK 22B")</f>
        <v>BLK 22B</v>
      </c>
      <c r="M1655" s="1" t="str">
        <f>IFERROR(__xludf.DUMMYFUNCTION("""COMPUTED_VALUE"""),"EXCESS LOT ")</f>
        <v>EXCESS LOT </v>
      </c>
      <c r="N1655" s="1"/>
      <c r="O1655" s="1" t="str">
        <f>IFERROR(__xludf.DUMMYFUNCTION("""COMPUTED_VALUE"""),"FRANCISCO REYES")</f>
        <v>FRANCISCO REYES</v>
      </c>
      <c r="P1655" s="1" t="str">
        <f>IFERROR(__xludf.DUMMYFUNCTION("""COMPUTED_VALUE"""),"GEN MARIANO ALVAREZ")</f>
        <v>GEN MARIANO ALVAREZ</v>
      </c>
      <c r="Q1655" s="1" t="str">
        <f>IFERROR(__xludf.DUMMYFUNCTION("""COMPUTED_VALUE"""),"CAVITE")</f>
        <v>CAVITE</v>
      </c>
      <c r="R1655" s="1" t="str">
        <f>IFERROR(__xludf.DUMMYFUNCTION("""COMPUTED_VALUE"""),"FIBR UNLI ALL PLAN 999")</f>
        <v>FIBR UNLI ALL PLAN 999</v>
      </c>
      <c r="S1655" s="1" t="str">
        <f>IFERROR(__xludf.DUMMYFUNCTION("""COMPUTED_VALUE"""),"APPROVED")</f>
        <v>APPROVED</v>
      </c>
      <c r="T1655" s="1" t="str">
        <f>IFERROR(__xludf.DUMMYFUNCTION("""COMPUTED_VALUE"""),"CANCELLED")</f>
        <v>CANCELLED</v>
      </c>
      <c r="U1655" s="1"/>
      <c r="V1655" s="1"/>
      <c r="W1655" s="1"/>
    </row>
    <row r="1656" customHeight="1" spans="1:23">
      <c r="A1656" s="3">
        <f>IFERROR(__xludf.DUMMYFUNCTION("""COMPUTED_VALUE"""),46155)</f>
        <v>46155</v>
      </c>
      <c r="B1656" s="1" t="str">
        <f>IFERROR(__xludf.DUMMYFUNCTION("""COMPUTED_VALUE"""),"MALIWAT MARK ELVIN")</f>
        <v>MALIWAT MARK ELVIN</v>
      </c>
      <c r="C1656" s="1" t="str">
        <f>IFERROR(__xludf.DUMMYFUNCTION("""COMPUTED_VALUE"""),"FLA")</f>
        <v>FLA</v>
      </c>
      <c r="D1656" s="1" t="str">
        <f>IFERROR(__xludf.DUMMYFUNCTION("""COMPUTED_VALUE"""),"JERIC NAVARRO")</f>
        <v>JERIC NAVARRO</v>
      </c>
      <c r="E1656" s="1" t="str">
        <f>IFERROR(__xludf.DUMMYFUNCTION("""COMPUTED_VALUE"""),"PLDT / ONLINE")</f>
        <v>PLDT / ONLINE</v>
      </c>
      <c r="F1656" s="1">
        <f>IFERROR(__xludf.DUMMYFUNCTION("""COMPUTED_VALUE"""),2309479439)</f>
        <v>2309479439</v>
      </c>
      <c r="G1656" s="1">
        <f>IFERROR(__xludf.DUMMYFUNCTION("""COMPUTED_VALUE"""),454471616004)</f>
        <v>454471616004</v>
      </c>
      <c r="H1656" s="1" t="str">
        <f>IFERROR(__xludf.DUMMYFUNCTION("""COMPUTED_VALUE"""),"THELMA FLORES PEDRINA")</f>
        <v>THELMA FLORES PEDRINA</v>
      </c>
      <c r="I1656" s="1">
        <f>IFERROR(__xludf.DUMMYFUNCTION("""COMPUTED_VALUE"""),9085526532)</f>
        <v>9085526532</v>
      </c>
      <c r="J1656" s="1"/>
      <c r="K1656" s="1" t="str">
        <f>IFERROR(__xludf.DUMMYFUNCTION("""COMPUTED_VALUE"""),"SMPERINA@GMAIL.COM")</f>
        <v>SMPERINA@GMAIL.COM</v>
      </c>
      <c r="L1656" s="1" t="str">
        <f>IFERROR(__xludf.DUMMYFUNCTION("""COMPUTED_VALUE"""),"BLK 45 LOT 6  ")</f>
        <v>BLK 45 LOT 6  </v>
      </c>
      <c r="M1656" s="1" t="str">
        <f>IFERROR(__xludf.DUMMYFUNCTION("""COMPUTED_VALUE"""),"FATIMA")</f>
        <v>FATIMA</v>
      </c>
      <c r="N1656" s="1"/>
      <c r="O1656" s="1" t="str">
        <f>IFERROR(__xludf.DUMMYFUNCTION("""COMPUTED_VALUE"""),"FATIMA III")</f>
        <v>FATIMA III</v>
      </c>
      <c r="P1656" s="1" t="str">
        <f>IFERROR(__xludf.DUMMYFUNCTION("""COMPUTED_VALUE"""),"DASMARINAS")</f>
        <v>DASMARINAS</v>
      </c>
      <c r="Q1656" s="1" t="str">
        <f>IFERROR(__xludf.DUMMYFUNCTION("""COMPUTED_VALUE"""),"CAVITE")</f>
        <v>CAVITE</v>
      </c>
      <c r="R1656" s="1" t="str">
        <f>IFERROR(__xludf.DUMMYFUNCTION("""COMPUTED_VALUE"""),"FIBR UNLI ALL PLAN 1399")</f>
        <v>FIBR UNLI ALL PLAN 1399</v>
      </c>
      <c r="S1656" s="1" t="str">
        <f>IFERROR(__xludf.DUMMYFUNCTION("""COMPUTED_VALUE"""),"APPROVED")</f>
        <v>APPROVED</v>
      </c>
      <c r="T1656" s="1" t="str">
        <f>IFERROR(__xludf.DUMMYFUNCTION("""COMPUTED_VALUE"""),"CLOSED")</f>
        <v>CLOSED</v>
      </c>
      <c r="U1656" s="1" t="str">
        <f>IFERROR(__xludf.DUMMYFUNCTION("""COMPUTED_VALUE"""),"POSTED")</f>
        <v>POSTED</v>
      </c>
      <c r="V1656" s="1"/>
      <c r="W1656" s="1"/>
    </row>
    <row r="1657" customHeight="1" spans="1:23">
      <c r="A1657" s="3">
        <f>IFERROR(__xludf.DUMMYFUNCTION("""COMPUTED_VALUE"""),46155)</f>
        <v>46155</v>
      </c>
      <c r="B1657" s="1" t="str">
        <f>IFERROR(__xludf.DUMMYFUNCTION("""COMPUTED_VALUE"""),"DE VERA, MARIVIC")</f>
        <v>DE VERA, MARIVIC</v>
      </c>
      <c r="C1657" s="1" t="str">
        <f>IFERROR(__xludf.DUMMYFUNCTION("""COMPUTED_VALUE"""),"ORGANIC")</f>
        <v>ORGANIC</v>
      </c>
      <c r="D1657" s="1" t="str">
        <f>IFERROR(__xludf.DUMMYFUNCTION("""COMPUTED_VALUE"""),"REMOLLO LEA")</f>
        <v>REMOLLO LEA</v>
      </c>
      <c r="E1657" s="1" t="str">
        <f>IFERROR(__xludf.DUMMYFUNCTION("""COMPUTED_VALUE"""),"PLDT / H2H")</f>
        <v>PLDT / H2H</v>
      </c>
      <c r="F1657" s="1">
        <f>IFERROR(__xludf.DUMMYFUNCTION("""COMPUTED_VALUE"""),2309480539)</f>
        <v>2309480539</v>
      </c>
      <c r="G1657" s="1">
        <f>IFERROR(__xludf.DUMMYFUNCTION("""COMPUTED_VALUE"""),454473337004)</f>
        <v>454473337004</v>
      </c>
      <c r="H1657" s="1" t="str">
        <f>IFERROR(__xludf.DUMMYFUNCTION("""COMPUTED_VALUE"""),"JAIRUZ RENZ LUZ")</f>
        <v>JAIRUZ RENZ LUZ</v>
      </c>
      <c r="I1657" s="1">
        <f>IFERROR(__xludf.DUMMYFUNCTION("""COMPUTED_VALUE"""),9935074096)</f>
        <v>9935074096</v>
      </c>
      <c r="J1657" s="1"/>
      <c r="K1657" s="1" t="str">
        <f>IFERROR(__xludf.DUMMYFUNCTION("""COMPUTED_VALUE"""),"ROSALINAVERELALUZ12@GMAIL.COM")</f>
        <v>ROSALINAVERELALUZ12@GMAIL.COM</v>
      </c>
      <c r="L1657" s="1" t="str">
        <f>IFERROR(__xludf.DUMMYFUNCTION("""COMPUTED_VALUE"""),"203")</f>
        <v>203</v>
      </c>
      <c r="M1657" s="1" t="str">
        <f>IFERROR(__xludf.DUMMYFUNCTION("""COMPUTED_VALUE"""),"MACOPA")</f>
        <v>MACOPA</v>
      </c>
      <c r="N1657" s="1"/>
      <c r="O1657" s="1" t="str">
        <f>IFERROR(__xludf.DUMMYFUNCTION("""COMPUTED_VALUE"""),"BARANGAY 2 (POB.)")</f>
        <v>BARANGAY 2 (POB.)</v>
      </c>
      <c r="P1657" s="1" t="str">
        <f>IFERROR(__xludf.DUMMYFUNCTION("""COMPUTED_VALUE"""),"GEN MARIANO ALVAREZ")</f>
        <v>GEN MARIANO ALVAREZ</v>
      </c>
      <c r="Q1657" s="1" t="str">
        <f>IFERROR(__xludf.DUMMYFUNCTION("""COMPUTED_VALUE"""),"CAVITE")</f>
        <v>CAVITE</v>
      </c>
      <c r="R1657" s="1" t="str">
        <f>IFERROR(__xludf.DUMMYFUNCTION("""COMPUTED_VALUE"""),"FIBR UNLI ALL PLAN 1399")</f>
        <v>FIBR UNLI ALL PLAN 1399</v>
      </c>
      <c r="S1657" s="1" t="str">
        <f>IFERROR(__xludf.DUMMYFUNCTION("""COMPUTED_VALUE"""),"APPROVED")</f>
        <v>APPROVED</v>
      </c>
      <c r="T1657" s="1" t="str">
        <f>IFERROR(__xludf.DUMMYFUNCTION("""COMPUTED_VALUE"""),"CLOSED")</f>
        <v>CLOSED</v>
      </c>
      <c r="U1657" s="1" t="str">
        <f>IFERROR(__xludf.DUMMYFUNCTION("""COMPUTED_VALUE"""),"POSTED")</f>
        <v>POSTED</v>
      </c>
      <c r="V1657" s="1"/>
      <c r="W1657" s="1"/>
    </row>
    <row r="1658" customHeight="1" spans="1:23">
      <c r="A1658" s="3">
        <f>IFERROR(__xludf.DUMMYFUNCTION("""COMPUTED_VALUE"""),46155)</f>
        <v>46155</v>
      </c>
      <c r="B1658" s="1" t="str">
        <f>IFERROR(__xludf.DUMMYFUNCTION("""COMPUTED_VALUE"""),"ODY , CLARENCE")</f>
        <v>ODY , CLARENCE</v>
      </c>
      <c r="C1658" s="1" t="str">
        <f>IFERROR(__xludf.DUMMYFUNCTION("""COMPUTED_VALUE"""),"ORGANIC")</f>
        <v>ORGANIC</v>
      </c>
      <c r="D1658" s="1" t="str">
        <f>IFERROR(__xludf.DUMMYFUNCTION("""COMPUTED_VALUE"""),"ALOS, CHARLS")</f>
        <v>ALOS, CHARLS</v>
      </c>
      <c r="E1658" s="1" t="str">
        <f>IFERROR(__xludf.DUMMYFUNCTION("""COMPUTED_VALUE"""),"PLDT / H2H")</f>
        <v>PLDT / H2H</v>
      </c>
      <c r="F1658" s="1">
        <f>IFERROR(__xludf.DUMMYFUNCTION("""COMPUTED_VALUE"""),2309480847)</f>
        <v>2309480847</v>
      </c>
      <c r="G1658" s="1">
        <f>IFERROR(__xludf.DUMMYFUNCTION("""COMPUTED_VALUE"""),454473723004)</f>
        <v>454473723004</v>
      </c>
      <c r="H1658" s="1" t="str">
        <f>IFERROR(__xludf.DUMMYFUNCTION("""COMPUTED_VALUE"""),"ALLAN BASAS VERGABINA")</f>
        <v>ALLAN BASAS VERGABINA</v>
      </c>
      <c r="I1658" s="1">
        <f>IFERROR(__xludf.DUMMYFUNCTION("""COMPUTED_VALUE"""),9510669803)</f>
        <v>9510669803</v>
      </c>
      <c r="J1658" s="1"/>
      <c r="K1658" s="1" t="str">
        <f>IFERROR(__xludf.DUMMYFUNCTION("""COMPUTED_VALUE"""),"ALLANVERGABINA66@GMAIL.COM")</f>
        <v>ALLANVERGABINA66@GMAIL.COM</v>
      </c>
      <c r="L1658" s="1" t="str">
        <f>IFERROR(__xludf.DUMMYFUNCTION("""COMPUTED_VALUE"""),"359")</f>
        <v>359</v>
      </c>
      <c r="M1658" s="1" t="str">
        <f>IFERROR(__xludf.DUMMYFUNCTION("""COMPUTED_VALUE"""),"UPPER MOONLIGHT")</f>
        <v>UPPER MOONLIGHT</v>
      </c>
      <c r="N1658" s="1"/>
      <c r="O1658" s="1" t="str">
        <f>IFERROR(__xludf.DUMMYFUNCTION("""COMPUTED_VALUE"""),"GREGORIA DE JESUS")</f>
        <v>GREGORIA DE JESUS</v>
      </c>
      <c r="P1658" s="1" t="str">
        <f>IFERROR(__xludf.DUMMYFUNCTION("""COMPUTED_VALUE"""),"GEN MARIANO ALVAREZ")</f>
        <v>GEN MARIANO ALVAREZ</v>
      </c>
      <c r="Q1658" s="1" t="str">
        <f>IFERROR(__xludf.DUMMYFUNCTION("""COMPUTED_VALUE"""),"CAVITE")</f>
        <v>CAVITE</v>
      </c>
      <c r="R1658" s="1" t="str">
        <f>IFERROR(__xludf.DUMMYFUNCTION("""COMPUTED_VALUE"""),"FIBR UNLI ALL PLAN 999")</f>
        <v>FIBR UNLI ALL PLAN 999</v>
      </c>
      <c r="S1658" s="1" t="str">
        <f>IFERROR(__xludf.DUMMYFUNCTION("""COMPUTED_VALUE"""),"APPROVED")</f>
        <v>APPROVED</v>
      </c>
      <c r="T1658" s="1" t="str">
        <f>IFERROR(__xludf.DUMMYFUNCTION("""COMPUTED_VALUE"""),"CANCELLED")</f>
        <v>CANCELLED</v>
      </c>
      <c r="U1658" s="1"/>
      <c r="V1658" s="1"/>
      <c r="W1658" s="1"/>
    </row>
    <row r="1659" customHeight="1" spans="1:23">
      <c r="A1659" s="3">
        <f>IFERROR(__xludf.DUMMYFUNCTION("""COMPUTED_VALUE"""),46155)</f>
        <v>46155</v>
      </c>
      <c r="B1659" s="1" t="str">
        <f>IFERROR(__xludf.DUMMYFUNCTION("""COMPUTED_VALUE"""),"AGUNOS, JHON AIRVIN")</f>
        <v>AGUNOS, JHON AIRVIN</v>
      </c>
      <c r="C1659" s="1" t="str">
        <f>IFERROR(__xludf.DUMMYFUNCTION("""COMPUTED_VALUE"""),"ORGANIC")</f>
        <v>ORGANIC</v>
      </c>
      <c r="D1659" s="1" t="str">
        <f>IFERROR(__xludf.DUMMYFUNCTION("""COMPUTED_VALUE"""),"ALINGARO, CINDY")</f>
        <v>ALINGARO, CINDY</v>
      </c>
      <c r="E1659" s="1" t="str">
        <f>IFERROR(__xludf.DUMMYFUNCTION("""COMPUTED_VALUE"""),"RED FIBER")</f>
        <v>RED FIBER</v>
      </c>
      <c r="F1659" s="1"/>
      <c r="G1659" s="1"/>
      <c r="H1659" s="1" t="str">
        <f>IFERROR(__xludf.DUMMYFUNCTION("""COMPUTED_VALUE"""),"ROVIC GOMEZ VENTURA")</f>
        <v>ROVIC GOMEZ VENTURA</v>
      </c>
      <c r="I1659" s="1">
        <f>IFERROR(__xludf.DUMMYFUNCTION("""COMPUTED_VALUE"""),9454650763)</f>
        <v>9454650763</v>
      </c>
      <c r="J1659" s="1"/>
      <c r="K1659" s="1" t="str">
        <f>IFERROR(__xludf.DUMMYFUNCTION("""COMPUTED_VALUE"""),"RV.GOMEZSUPER@GMAIL.COM")</f>
        <v>RV.GOMEZSUPER@GMAIL.COM</v>
      </c>
      <c r="L1659" s="1" t="str">
        <f>IFERROR(__xludf.DUMMYFUNCTION("""COMPUTED_VALUE"""),"ROOM D")</f>
        <v>ROOM D</v>
      </c>
      <c r="M1659" s="1" t="str">
        <f>IFERROR(__xludf.DUMMYFUNCTION("""COMPUTED_VALUE"""),"HUMAYAO")</f>
        <v>HUMAYAO</v>
      </c>
      <c r="N1659" s="1" t="str">
        <f>IFERROR(__xludf.DUMMYFUNCTION("""COMPUTED_VALUE"""),"MARICEL APPARTMENT")</f>
        <v>MARICEL APPARTMENT</v>
      </c>
      <c r="O1659" s="1" t="str">
        <f>IFERROR(__xludf.DUMMYFUNCTION("""COMPUTED_VALUE"""),"LANGKAAN II")</f>
        <v>LANGKAAN II</v>
      </c>
      <c r="P1659" s="1" t="str">
        <f>IFERROR(__xludf.DUMMYFUNCTION("""COMPUTED_VALUE"""),"DASMARINAS")</f>
        <v>DASMARINAS</v>
      </c>
      <c r="Q1659" s="1" t="str">
        <f>IFERROR(__xludf.DUMMYFUNCTION("""COMPUTED_VALUE"""),"CAVITE")</f>
        <v>CAVITE</v>
      </c>
      <c r="R1659" s="1" t="str">
        <f>IFERROR(__xludf.DUMMYFUNCTION("""COMPUTED_VALUE"""),"RED PLAN 1000")</f>
        <v>RED PLAN 1000</v>
      </c>
      <c r="S1659" s="1" t="str">
        <f>IFERROR(__xludf.DUMMYFUNCTION("""COMPUTED_VALUE"""),"APPROVED")</f>
        <v>APPROVED</v>
      </c>
      <c r="T1659" s="1" t="str">
        <f>IFERROR(__xludf.DUMMYFUNCTION("""COMPUTED_VALUE"""),"#N/A")</f>
        <v>#N/A</v>
      </c>
      <c r="U1659" s="1"/>
      <c r="V1659" s="1"/>
      <c r="W1659" s="1"/>
    </row>
    <row r="1660" customHeight="1" spans="1:23">
      <c r="A1660" s="3">
        <f>IFERROR(__xludf.DUMMYFUNCTION("""COMPUTED_VALUE"""),46155)</f>
        <v>46155</v>
      </c>
      <c r="B1660" s="1" t="str">
        <f>IFERROR(__xludf.DUMMYFUNCTION("""COMPUTED_VALUE"""),"AGUNOS, JHON AIRVIN")</f>
        <v>AGUNOS, JHON AIRVIN</v>
      </c>
      <c r="C1660" s="1" t="str">
        <f>IFERROR(__xludf.DUMMYFUNCTION("""COMPUTED_VALUE"""),"ORGANIC")</f>
        <v>ORGANIC</v>
      </c>
      <c r="D1660" s="1" t="str">
        <f>IFERROR(__xludf.DUMMYFUNCTION("""COMPUTED_VALUE"""),"ALINGARO, CINDY")</f>
        <v>ALINGARO, CINDY</v>
      </c>
      <c r="E1660" s="1" t="str">
        <f>IFERROR(__xludf.DUMMYFUNCTION("""COMPUTED_VALUE"""),"RED FIBER")</f>
        <v>RED FIBER</v>
      </c>
      <c r="F1660" s="1"/>
      <c r="G1660" s="1"/>
      <c r="H1660" s="1" t="str">
        <f>IFERROR(__xludf.DUMMYFUNCTION("""COMPUTED_VALUE"""),"TED ALBERT BIAZON")</f>
        <v>TED ALBERT BIAZON</v>
      </c>
      <c r="I1660" s="1">
        <f>IFERROR(__xludf.DUMMYFUNCTION("""COMPUTED_VALUE"""),9762978849)</f>
        <v>9762978849</v>
      </c>
      <c r="J1660" s="1"/>
      <c r="K1660" s="1" t="str">
        <f>IFERROR(__xludf.DUMMYFUNCTION("""COMPUTED_VALUE"""),"AKOSITED.POGIBIAZON@GMAIL.COM")</f>
        <v>AKOSITED.POGIBIAZON@GMAIL.COM</v>
      </c>
      <c r="L1660" s="1" t="str">
        <f>IFERROR(__xludf.DUMMYFUNCTION("""COMPUTED_VALUE"""),"ROOM 3")</f>
        <v>ROOM 3</v>
      </c>
      <c r="M1660" s="1" t="str">
        <f>IFERROR(__xludf.DUMMYFUNCTION("""COMPUTED_VALUE"""),"HUMAYAO")</f>
        <v>HUMAYAO</v>
      </c>
      <c r="N1660" s="1" t="str">
        <f>IFERROR(__xludf.DUMMYFUNCTION("""COMPUTED_VALUE"""),"MARICEL APPARTMENT")</f>
        <v>MARICEL APPARTMENT</v>
      </c>
      <c r="O1660" s="1" t="str">
        <f>IFERROR(__xludf.DUMMYFUNCTION("""COMPUTED_VALUE"""),"LANGKAAN II")</f>
        <v>LANGKAAN II</v>
      </c>
      <c r="P1660" s="1" t="str">
        <f>IFERROR(__xludf.DUMMYFUNCTION("""COMPUTED_VALUE"""),"DASMARINAS")</f>
        <v>DASMARINAS</v>
      </c>
      <c r="Q1660" s="1" t="str">
        <f>IFERROR(__xludf.DUMMYFUNCTION("""COMPUTED_VALUE"""),"CAVITE")</f>
        <v>CAVITE</v>
      </c>
      <c r="R1660" s="1" t="str">
        <f>IFERROR(__xludf.DUMMYFUNCTION("""COMPUTED_VALUE"""),"RED PLAN 1000")</f>
        <v>RED PLAN 1000</v>
      </c>
      <c r="S1660" s="1" t="str">
        <f>IFERROR(__xludf.DUMMYFUNCTION("""COMPUTED_VALUE"""),"HOLD")</f>
        <v>HOLD</v>
      </c>
      <c r="T1660" s="1" t="str">
        <f>IFERROR(__xludf.DUMMYFUNCTION("""COMPUTED_VALUE"""),"#N/A")</f>
        <v>#N/A</v>
      </c>
      <c r="U1660" s="1" t="str">
        <f>IFERROR(__xludf.DUMMYFUNCTION("""COMPUTED_VALUE"""),"AS PER SUBS NAG INQUIRE PALANG DAW SYA ")</f>
        <v>AS PER SUBS NAG INQUIRE PALANG DAW SYA </v>
      </c>
      <c r="V1660" s="1"/>
      <c r="W1660" s="1"/>
    </row>
    <row r="1661" customHeight="1" spans="1:23">
      <c r="A1661" s="3">
        <f>IFERROR(__xludf.DUMMYFUNCTION("""COMPUTED_VALUE"""),46156)</f>
        <v>46156</v>
      </c>
      <c r="B1661" s="1" t="str">
        <f>IFERROR(__xludf.DUMMYFUNCTION("""COMPUTED_VALUE"""),"MALIWAT MARK ELVIN")</f>
        <v>MALIWAT MARK ELVIN</v>
      </c>
      <c r="C1661" s="1" t="str">
        <f>IFERROR(__xludf.DUMMYFUNCTION("""COMPUTED_VALUE"""),"FLA")</f>
        <v>FLA</v>
      </c>
      <c r="D1661" s="1" t="str">
        <f>IFERROR(__xludf.DUMMYFUNCTION("""COMPUTED_VALUE"""),"JERIC NAVARRO")</f>
        <v>JERIC NAVARRO</v>
      </c>
      <c r="E1661" s="1" t="str">
        <f>IFERROR(__xludf.DUMMYFUNCTION("""COMPUTED_VALUE"""),"PLDT / H2H")</f>
        <v>PLDT / H2H</v>
      </c>
      <c r="F1661" s="1">
        <f>IFERROR(__xludf.DUMMYFUNCTION("""COMPUTED_VALUE"""),2309490399)</f>
        <v>2309490399</v>
      </c>
      <c r="G1661" s="1"/>
      <c r="H1661" s="1" t="str">
        <f>IFERROR(__xludf.DUMMYFUNCTION("""COMPUTED_VALUE"""),"MARIA ROCHELLE ANN APELO SACAY")</f>
        <v>MARIA ROCHELLE ANN APELO SACAY</v>
      </c>
      <c r="I1661" s="1">
        <f>IFERROR(__xludf.DUMMYFUNCTION("""COMPUTED_VALUE"""),9951439715)</f>
        <v>9951439715</v>
      </c>
      <c r="J1661" s="1">
        <f>IFERROR(__xludf.DUMMYFUNCTION("""COMPUTED_VALUE"""),9151032230)</f>
        <v>9151032230</v>
      </c>
      <c r="K1661" s="1" t="str">
        <f>IFERROR(__xludf.DUMMYFUNCTION("""COMPUTED_VALUE"""),"ROCHELLE.SACAY@GMAIL.COM")</f>
        <v>ROCHELLE.SACAY@GMAIL.COM</v>
      </c>
      <c r="L1661" s="1" t="str">
        <f>IFERROR(__xludf.DUMMYFUNCTION("""COMPUTED_VALUE"""),"2130")</f>
        <v>2130</v>
      </c>
      <c r="M1661" s="1" t="str">
        <f>IFERROR(__xludf.DUMMYFUNCTION("""COMPUTED_VALUE"""),"TOWER 3")</f>
        <v>TOWER 3</v>
      </c>
      <c r="N1661" s="1" t="str">
        <f>IFERROR(__xludf.DUMMYFUNCTION("""COMPUTED_VALUE"""),"SMDC")</f>
        <v>SMDC</v>
      </c>
      <c r="O1661" s="1" t="str">
        <f>IFERROR(__xludf.DUMMYFUNCTION("""COMPUTED_VALUE"""),"MAHARLIKA WEST")</f>
        <v>MAHARLIKA WEST</v>
      </c>
      <c r="P1661" s="1" t="str">
        <f>IFERROR(__xludf.DUMMYFUNCTION("""COMPUTED_VALUE"""),"TAGAYTAY")</f>
        <v>TAGAYTAY</v>
      </c>
      <c r="Q1661" s="1" t="str">
        <f>IFERROR(__xludf.DUMMYFUNCTION("""COMPUTED_VALUE"""),"CAVITE")</f>
        <v>CAVITE</v>
      </c>
      <c r="R1661" s="1" t="str">
        <f>IFERROR(__xludf.DUMMYFUNCTION("""COMPUTED_VALUE"""),"FIBR UNLI ALL PLAN 1399")</f>
        <v>FIBR UNLI ALL PLAN 1399</v>
      </c>
      <c r="S1661" s="1" t="str">
        <f>IFERROR(__xludf.DUMMYFUNCTION("""COMPUTED_VALUE"""),"APPROVED")</f>
        <v>APPROVED</v>
      </c>
      <c r="T1661" s="1" t="str">
        <f>IFERROR(__xludf.DUMMYFUNCTION("""COMPUTED_VALUE"""),"CANCELLED")</f>
        <v>CANCELLED</v>
      </c>
      <c r="U1661" s="1"/>
      <c r="V1661" s="1"/>
      <c r="W1661" s="1"/>
    </row>
    <row r="1662" customHeight="1" spans="1:23">
      <c r="A1662" s="3">
        <f>IFERROR(__xludf.DUMMYFUNCTION("""COMPUTED_VALUE"""),46156)</f>
        <v>46156</v>
      </c>
      <c r="B1662" s="1" t="str">
        <f>IFERROR(__xludf.DUMMYFUNCTION("""COMPUTED_VALUE"""),"RIVERA, AIRIZH JOY")</f>
        <v>RIVERA, AIRIZH JOY</v>
      </c>
      <c r="C1662" s="1" t="str">
        <f>IFERROR(__xludf.DUMMYFUNCTION("""COMPUTED_VALUE"""),"ORGANIC")</f>
        <v>ORGANIC</v>
      </c>
      <c r="D1662" s="1" t="str">
        <f>IFERROR(__xludf.DUMMYFUNCTION("""COMPUTED_VALUE"""),"ALOS, CHARLS")</f>
        <v>ALOS, CHARLS</v>
      </c>
      <c r="E1662" s="1" t="str">
        <f>IFERROR(__xludf.DUMMYFUNCTION("""COMPUTED_VALUE"""),"PLDT / H2H")</f>
        <v>PLDT / H2H</v>
      </c>
      <c r="F1662" s="1">
        <f>IFERROR(__xludf.DUMMYFUNCTION("""COMPUTED_VALUE"""),2309493323)</f>
        <v>2309493323</v>
      </c>
      <c r="G1662" s="1">
        <f>IFERROR(__xludf.DUMMYFUNCTION("""COMPUTED_VALUE"""),454592756004)</f>
        <v>454592756004</v>
      </c>
      <c r="H1662" s="1" t="str">
        <f>IFERROR(__xludf.DUMMYFUNCTION("""COMPUTED_VALUE"""),"SHIRLYN JALDON REBOLLOS")</f>
        <v>SHIRLYN JALDON REBOLLOS</v>
      </c>
      <c r="I1662" s="1">
        <f>IFERROR(__xludf.DUMMYFUNCTION("""COMPUTED_VALUE"""),9678061982)</f>
        <v>9678061982</v>
      </c>
      <c r="J1662" s="1">
        <f>IFERROR(__xludf.DUMMYFUNCTION("""COMPUTED_VALUE"""),9619606262)</f>
        <v>9619606262</v>
      </c>
      <c r="K1662" s="1" t="str">
        <f>IFERROR(__xludf.DUMMYFUNCTION("""COMPUTED_VALUE"""),"REBOLLOSSHIRLYN@GMAIL.COM")</f>
        <v>REBOLLOSSHIRLYN@GMAIL.COM</v>
      </c>
      <c r="L1662" s="1" t="str">
        <f>IFERROR(__xludf.DUMMYFUNCTION("""COMPUTED_VALUE"""),"31")</f>
        <v>31</v>
      </c>
      <c r="M1662" s="1" t="str">
        <f>IFERROR(__xludf.DUMMYFUNCTION("""COMPUTED_VALUE"""),"MOLINO RD")</f>
        <v>MOLINO RD</v>
      </c>
      <c r="N1662" s="1"/>
      <c r="O1662" s="1" t="str">
        <f>IFERROR(__xludf.DUMMYFUNCTION("""COMPUTED_VALUE"""),"MOLINO III")</f>
        <v>MOLINO III</v>
      </c>
      <c r="P1662" s="1" t="str">
        <f>IFERROR(__xludf.DUMMYFUNCTION("""COMPUTED_VALUE"""),"BACOOR")</f>
        <v>BACOOR</v>
      </c>
      <c r="Q1662" s="1" t="str">
        <f>IFERROR(__xludf.DUMMYFUNCTION("""COMPUTED_VALUE"""),"CAVITE")</f>
        <v>CAVITE</v>
      </c>
      <c r="R1662" s="1" t="str">
        <f>IFERROR(__xludf.DUMMYFUNCTION("""COMPUTED_VALUE"""),"FIBR UNLI ALL PLAN 999")</f>
        <v>FIBR UNLI ALL PLAN 999</v>
      </c>
      <c r="S1662" s="1" t="str">
        <f>IFERROR(__xludf.DUMMYFUNCTION("""COMPUTED_VALUE"""),"APPROVED")</f>
        <v>APPROVED</v>
      </c>
      <c r="T1662" s="1" t="str">
        <f>IFERROR(__xludf.DUMMYFUNCTION("""COMPUTED_VALUE"""),"CANCELLED")</f>
        <v>CANCELLED</v>
      </c>
      <c r="U1662" s="1"/>
      <c r="V1662" s="1"/>
      <c r="W1662" s="1"/>
    </row>
    <row r="1663" customHeight="1" spans="1:23">
      <c r="A1663" s="3">
        <f>IFERROR(__xludf.DUMMYFUNCTION("""COMPUTED_VALUE"""),46156)</f>
        <v>46156</v>
      </c>
      <c r="B1663" s="1" t="str">
        <f>IFERROR(__xludf.DUMMYFUNCTION("""COMPUTED_VALUE"""),"CASTILLEJOS, ARREL")</f>
        <v>CASTILLEJOS, ARREL</v>
      </c>
      <c r="C1663" s="1" t="str">
        <f>IFERROR(__xludf.DUMMYFUNCTION("""COMPUTED_VALUE"""),"ORGANIC")</f>
        <v>ORGANIC</v>
      </c>
      <c r="D1663" s="1" t="str">
        <f>IFERROR(__xludf.DUMMYFUNCTION("""COMPUTED_VALUE"""),"REMOLLO LEA")</f>
        <v>REMOLLO LEA</v>
      </c>
      <c r="E1663" s="1" t="str">
        <f>IFERROR(__xludf.DUMMYFUNCTION("""COMPUTED_VALUE"""),"PLDT / H2H")</f>
        <v>PLDT / H2H</v>
      </c>
      <c r="F1663" s="1">
        <f>IFERROR(__xludf.DUMMYFUNCTION("""COMPUTED_VALUE"""),2309491099)</f>
        <v>2309491099</v>
      </c>
      <c r="G1663" s="1">
        <f>IFERROR(__xludf.DUMMYFUNCTION("""COMPUTED_VALUE"""),454580584004)</f>
        <v>454580584004</v>
      </c>
      <c r="H1663" s="1" t="str">
        <f>IFERROR(__xludf.DUMMYFUNCTION("""COMPUTED_VALUE"""),"EMELINA ESO MORELLA")</f>
        <v>EMELINA ESO MORELLA</v>
      </c>
      <c r="I1663" s="1">
        <f>IFERROR(__xludf.DUMMYFUNCTION("""COMPUTED_VALUE"""),9361691944)</f>
        <v>9361691944</v>
      </c>
      <c r="J1663" s="1">
        <f>IFERROR(__xludf.DUMMYFUNCTION("""COMPUTED_VALUE"""),9366109903)</f>
        <v>9366109903</v>
      </c>
      <c r="K1663" s="1" t="str">
        <f>IFERROR(__xludf.DUMMYFUNCTION("""COMPUTED_VALUE"""),"EMELINAANBALOS@GMAIL.COM")</f>
        <v>EMELINAANBALOS@GMAIL.COM</v>
      </c>
      <c r="L1663" s="1" t="str">
        <f>IFERROR(__xludf.DUMMYFUNCTION("""COMPUTED_VALUE"""),"140")</f>
        <v>140</v>
      </c>
      <c r="M1663" s="1" t="str">
        <f>IFERROR(__xludf.DUMMYFUNCTION("""COMPUTED_VALUE"""),"PATUTONG RD")</f>
        <v>PATUTONG RD</v>
      </c>
      <c r="N1663" s="1"/>
      <c r="O1663" s="1" t="str">
        <f>IFERROR(__xludf.DUMMYFUNCTION("""COMPUTED_VALUE"""),"PATUTONG MALAKI NORTH")</f>
        <v>PATUTONG MALAKI NORTH</v>
      </c>
      <c r="P1663" s="1" t="str">
        <f>IFERROR(__xludf.DUMMYFUNCTION("""COMPUTED_VALUE"""),"TAGAYTAY")</f>
        <v>TAGAYTAY</v>
      </c>
      <c r="Q1663" s="1" t="str">
        <f>IFERROR(__xludf.DUMMYFUNCTION("""COMPUTED_VALUE"""),"CAVITE")</f>
        <v>CAVITE</v>
      </c>
      <c r="R1663" s="1" t="str">
        <f>IFERROR(__xludf.DUMMYFUNCTION("""COMPUTED_VALUE"""),"FIBR UNLI ALL PLAN 999")</f>
        <v>FIBR UNLI ALL PLAN 999</v>
      </c>
      <c r="S1663" s="1" t="str">
        <f>IFERROR(__xludf.DUMMYFUNCTION("""COMPUTED_VALUE"""),"APPROVED")</f>
        <v>APPROVED</v>
      </c>
      <c r="T1663" s="1" t="str">
        <f>IFERROR(__xludf.DUMMYFUNCTION("""COMPUTED_VALUE"""),"CLOSED")</f>
        <v>CLOSED</v>
      </c>
      <c r="U1663" s="1" t="str">
        <f>IFERROR(__xludf.DUMMYFUNCTION("""COMPUTED_VALUE"""),"POSTED")</f>
        <v>POSTED</v>
      </c>
      <c r="V1663" s="1"/>
      <c r="W1663" s="1"/>
    </row>
    <row r="1664" customHeight="1" spans="1:23">
      <c r="A1664" s="3">
        <f>IFERROR(__xludf.DUMMYFUNCTION("""COMPUTED_VALUE"""),46156)</f>
        <v>46156</v>
      </c>
      <c r="B1664" s="1" t="str">
        <f>IFERROR(__xludf.DUMMYFUNCTION("""COMPUTED_VALUE"""),"DELA ROSA, JENNELYN")</f>
        <v>DELA ROSA, JENNELYN</v>
      </c>
      <c r="C1664" s="1" t="str">
        <f>IFERROR(__xludf.DUMMYFUNCTION("""COMPUTED_VALUE"""),"ORGANIC")</f>
        <v>ORGANIC</v>
      </c>
      <c r="D1664" s="1" t="str">
        <f>IFERROR(__xludf.DUMMYFUNCTION("""COMPUTED_VALUE"""),"ALOS, CHARLS")</f>
        <v>ALOS, CHARLS</v>
      </c>
      <c r="E1664" s="1" t="str">
        <f>IFERROR(__xludf.DUMMYFUNCTION("""COMPUTED_VALUE"""),"PLDT / ONLINE")</f>
        <v>PLDT / ONLINE</v>
      </c>
      <c r="F1664" s="1">
        <f>IFERROR(__xludf.DUMMYFUNCTION("""COMPUTED_VALUE"""),2309491493)</f>
        <v>2309491493</v>
      </c>
      <c r="G1664" s="1">
        <f>IFERROR(__xludf.DUMMYFUNCTION("""COMPUTED_VALUE"""),454590613004)</f>
        <v>454590613004</v>
      </c>
      <c r="H1664" s="1" t="str">
        <f>IFERROR(__xludf.DUMMYFUNCTION("""COMPUTED_VALUE"""),"ALEXANDRA VENEZUELA")</f>
        <v>ALEXANDRA VENEZUELA</v>
      </c>
      <c r="I1664" s="1">
        <f>IFERROR(__xludf.DUMMYFUNCTION("""COMPUTED_VALUE"""),9262831450)</f>
        <v>9262831450</v>
      </c>
      <c r="J1664" s="1">
        <f>IFERROR(__xludf.DUMMYFUNCTION("""COMPUTED_VALUE"""),9948110486)</f>
        <v>9948110486</v>
      </c>
      <c r="K1664" s="1" t="str">
        <f>IFERROR(__xludf.DUMMYFUNCTION("""COMPUTED_VALUE"""),"ALEX17VENEZUELA@GMAIL.COM")</f>
        <v>ALEX17VENEZUELA@GMAIL.COM</v>
      </c>
      <c r="L1664" s="1" t="str">
        <f>IFERROR(__xludf.DUMMYFUNCTION("""COMPUTED_VALUE"""),"BLK 1  LOT 50")</f>
        <v>BLK 1  LOT 50</v>
      </c>
      <c r="M1664" s="1" t="str">
        <f>IFERROR(__xludf.DUMMYFUNCTION("""COMPUTED_VALUE"""),"JERSUSALEM")</f>
        <v>JERSUSALEM</v>
      </c>
      <c r="N1664" s="1" t="str">
        <f>IFERROR(__xludf.DUMMYFUNCTION("""COMPUTED_VALUE"""),"SAN MARINO")</f>
        <v>SAN MARINO</v>
      </c>
      <c r="O1664" s="1" t="str">
        <f>IFERROR(__xludf.DUMMYFUNCTION("""COMPUTED_VALUE"""),"SALAWAG")</f>
        <v>SALAWAG</v>
      </c>
      <c r="P1664" s="1" t="str">
        <f>IFERROR(__xludf.DUMMYFUNCTION("""COMPUTED_VALUE"""),"DASMARINAS")</f>
        <v>DASMARINAS</v>
      </c>
      <c r="Q1664" s="1" t="str">
        <f>IFERROR(__xludf.DUMMYFUNCTION("""COMPUTED_VALUE"""),"CAVITE")</f>
        <v>CAVITE</v>
      </c>
      <c r="R1664" s="1" t="str">
        <f>IFERROR(__xludf.DUMMYFUNCTION("""COMPUTED_VALUE"""),"FIBR UNLI ALL PLAN 999")</f>
        <v>FIBR UNLI ALL PLAN 999</v>
      </c>
      <c r="S1664" s="1" t="str">
        <f>IFERROR(__xludf.DUMMYFUNCTION("""COMPUTED_VALUE"""),"APPROVED")</f>
        <v>APPROVED</v>
      </c>
      <c r="T1664" s="1" t="str">
        <f>IFERROR(__xludf.DUMMYFUNCTION("""COMPUTED_VALUE"""),"CANCELLED")</f>
        <v>CANCELLED</v>
      </c>
      <c r="U1664" s="1"/>
      <c r="V1664" s="1"/>
      <c r="W1664" s="1"/>
    </row>
    <row r="1665" customHeight="1" spans="1:23">
      <c r="A1665" s="3">
        <f>IFERROR(__xludf.DUMMYFUNCTION("""COMPUTED_VALUE"""),46156)</f>
        <v>46156</v>
      </c>
      <c r="B1665" s="1" t="str">
        <f>IFERROR(__xludf.DUMMYFUNCTION("""COMPUTED_VALUE"""),"ALANO, RAIN")</f>
        <v>ALANO, RAIN</v>
      </c>
      <c r="C1665" s="1" t="str">
        <f>IFERROR(__xludf.DUMMYFUNCTION("""COMPUTED_VALUE"""),"ORGANIC")</f>
        <v>ORGANIC</v>
      </c>
      <c r="D1665" s="1" t="str">
        <f>IFERROR(__xludf.DUMMYFUNCTION("""COMPUTED_VALUE"""),"REMOLLO LEA")</f>
        <v>REMOLLO LEA</v>
      </c>
      <c r="E1665" s="1" t="str">
        <f>IFERROR(__xludf.DUMMYFUNCTION("""COMPUTED_VALUE"""),"PLDT / H2H")</f>
        <v>PLDT / H2H</v>
      </c>
      <c r="F1665" s="1">
        <f>IFERROR(__xludf.DUMMYFUNCTION("""COMPUTED_VALUE"""),2309494019)</f>
        <v>2309494019</v>
      </c>
      <c r="G1665" s="1">
        <f>IFERROR(__xludf.DUMMYFUNCTION("""COMPUTED_VALUE"""),454584179004)</f>
        <v>454584179004</v>
      </c>
      <c r="H1665" s="1" t="str">
        <f>IFERROR(__xludf.DUMMYFUNCTION("""COMPUTED_VALUE"""),"LIBERTO GATMAITAN PEREY")</f>
        <v>LIBERTO GATMAITAN PEREY</v>
      </c>
      <c r="I1665" s="1">
        <f>IFERROR(__xludf.DUMMYFUNCTION("""COMPUTED_VALUE"""),9934012165)</f>
        <v>9934012165</v>
      </c>
      <c r="J1665" s="1">
        <f>IFERROR(__xludf.DUMMYFUNCTION("""COMPUTED_VALUE"""),9217642232)</f>
        <v>9217642232</v>
      </c>
      <c r="K1665" s="1" t="str">
        <f>IFERROR(__xludf.DUMMYFUNCTION("""COMPUTED_VALUE"""),"LIBERTOPEREY2@GMAIL.COM")</f>
        <v>LIBERTOPEREY2@GMAIL.COM</v>
      </c>
      <c r="L1665" s="1" t="str">
        <f>IFERROR(__xludf.DUMMYFUNCTION("""COMPUTED_VALUE"""),"942")</f>
        <v>942</v>
      </c>
      <c r="M1665" s="1" t="str">
        <f>IFERROR(__xludf.DUMMYFUNCTION("""COMPUTED_VALUE"""),"ALFONSO RD")</f>
        <v>ALFONSO RD</v>
      </c>
      <c r="N1665" s="1"/>
      <c r="O1665" s="1" t="str">
        <f>IFERROR(__xludf.DUMMYFUNCTION("""COMPUTED_VALUE"""),"GALICIA II")</f>
        <v>GALICIA II</v>
      </c>
      <c r="P1665" s="1" t="str">
        <f>IFERROR(__xludf.DUMMYFUNCTION("""COMPUTED_VALUE"""),"MENDEZ")</f>
        <v>MENDEZ</v>
      </c>
      <c r="Q1665" s="1" t="str">
        <f>IFERROR(__xludf.DUMMYFUNCTION("""COMPUTED_VALUE"""),"CAVITE")</f>
        <v>CAVITE</v>
      </c>
      <c r="R1665" s="1" t="str">
        <f>IFERROR(__xludf.DUMMYFUNCTION("""COMPUTED_VALUE"""),"FIBR UNLI ALL PLAN 1399")</f>
        <v>FIBR UNLI ALL PLAN 1399</v>
      </c>
      <c r="S1665" s="1" t="str">
        <f>IFERROR(__xludf.DUMMYFUNCTION("""COMPUTED_VALUE"""),"APPROVED")</f>
        <v>APPROVED</v>
      </c>
      <c r="T1665" s="1" t="str">
        <f>IFERROR(__xludf.DUMMYFUNCTION("""COMPUTED_VALUE"""),"CLOSED")</f>
        <v>CLOSED</v>
      </c>
      <c r="U1665" s="1" t="str">
        <f>IFERROR(__xludf.DUMMYFUNCTION("""COMPUTED_VALUE"""),"POSTED")</f>
        <v>POSTED</v>
      </c>
      <c r="V1665" s="1"/>
      <c r="W1665" s="1"/>
    </row>
    <row r="1666" customHeight="1" spans="1:23">
      <c r="A1666" s="3">
        <f>IFERROR(__xludf.DUMMYFUNCTION("""COMPUTED_VALUE"""),46156)</f>
        <v>46156</v>
      </c>
      <c r="B1666" s="1" t="str">
        <f>IFERROR(__xludf.DUMMYFUNCTION("""COMPUTED_VALUE"""),"GABAY, MANUEL")</f>
        <v>GABAY, MANUEL</v>
      </c>
      <c r="C1666" s="1" t="str">
        <f>IFERROR(__xludf.DUMMYFUNCTION("""COMPUTED_VALUE"""),"FLA")</f>
        <v>FLA</v>
      </c>
      <c r="D1666" s="1" t="str">
        <f>IFERROR(__xludf.DUMMYFUNCTION("""COMPUTED_VALUE"""),"JERIC NAVARRO")</f>
        <v>JERIC NAVARRO</v>
      </c>
      <c r="E1666" s="1" t="str">
        <f>IFERROR(__xludf.DUMMYFUNCTION("""COMPUTED_VALUE"""),"PLDT / H2H")</f>
        <v>PLDT / H2H</v>
      </c>
      <c r="F1666" s="1">
        <f>IFERROR(__xludf.DUMMYFUNCTION("""COMPUTED_VALUE"""),2309492637)</f>
        <v>2309492637</v>
      </c>
      <c r="G1666" s="1">
        <f>IFERROR(__xludf.DUMMYFUNCTION("""COMPUTED_VALUE"""),454600022004)</f>
        <v>454600022004</v>
      </c>
      <c r="H1666" s="1" t="str">
        <f>IFERROR(__xludf.DUMMYFUNCTION("""COMPUTED_VALUE"""),"FILIPINA AN BANTA")</f>
        <v>FILIPINA AN BANTA</v>
      </c>
      <c r="I1666" s="1">
        <f>IFERROR(__xludf.DUMMYFUNCTION("""COMPUTED_VALUE"""),9317925087)</f>
        <v>9317925087</v>
      </c>
      <c r="J1666" s="1">
        <f>IFERROR(__xludf.DUMMYFUNCTION("""COMPUTED_VALUE"""),9152488902)</f>
        <v>9152488902</v>
      </c>
      <c r="K1666" s="1" t="str">
        <f>IFERROR(__xludf.DUMMYFUNCTION("""COMPUTED_VALUE"""),"FILIPINABANTA@GMAIL.COM")</f>
        <v>FILIPINABANTA@GMAIL.COM</v>
      </c>
      <c r="L1666" s="1" t="str">
        <f>IFERROR(__xludf.DUMMYFUNCTION("""COMPUTED_VALUE"""),"BLK 2 LOT 7")</f>
        <v>BLK 2 LOT 7</v>
      </c>
      <c r="M1666" s="1" t="str">
        <f>IFERROR(__xludf.DUMMYFUNCTION("""COMPUTED_VALUE"""),"PUROK 3")</f>
        <v>PUROK 3</v>
      </c>
      <c r="N1666" s="1" t="str">
        <f>IFERROR(__xludf.DUMMYFUNCTION("""COMPUTED_VALUE"""),"SAMANTHA HEIGHTS")</f>
        <v>SAMANTHA HEIGHTS</v>
      </c>
      <c r="O1666" s="1" t="str">
        <f>IFERROR(__xludf.DUMMYFUNCTION("""COMPUTED_VALUE"""),"PASONG LANGKA")</f>
        <v>PASONG LANGKA</v>
      </c>
      <c r="P1666" s="1" t="str">
        <f>IFERROR(__xludf.DUMMYFUNCTION("""COMPUTED_VALUE"""),"SILANG")</f>
        <v>SILANG</v>
      </c>
      <c r="Q1666" s="1" t="str">
        <f>IFERROR(__xludf.DUMMYFUNCTION("""COMPUTED_VALUE"""),"CAVITE")</f>
        <v>CAVITE</v>
      </c>
      <c r="R1666" s="1" t="str">
        <f>IFERROR(__xludf.DUMMYFUNCTION("""COMPUTED_VALUE"""),"FIBR UNLI ALL PLAN 1399")</f>
        <v>FIBR UNLI ALL PLAN 1399</v>
      </c>
      <c r="S1666" s="1" t="str">
        <f>IFERROR(__xludf.DUMMYFUNCTION("""COMPUTED_VALUE"""),"APPROVED")</f>
        <v>APPROVED</v>
      </c>
      <c r="T1666" s="1" t="str">
        <f>IFERROR(__xludf.DUMMYFUNCTION("""COMPUTED_VALUE"""),"RPR")</f>
        <v>RPR</v>
      </c>
      <c r="U1666" s="1"/>
      <c r="V1666" s="1"/>
      <c r="W1666" s="1"/>
    </row>
    <row r="1667" customHeight="1" spans="1:23">
      <c r="A1667" s="3">
        <f>IFERROR(__xludf.DUMMYFUNCTION("""COMPUTED_VALUE"""),46156)</f>
        <v>46156</v>
      </c>
      <c r="B1667" s="1" t="str">
        <f>IFERROR(__xludf.DUMMYFUNCTION("""COMPUTED_VALUE"""),"FRANCISCO , ROSELYN")</f>
        <v>FRANCISCO , ROSELYN</v>
      </c>
      <c r="C1667" s="1" t="str">
        <f>IFERROR(__xludf.DUMMYFUNCTION("""COMPUTED_VALUE"""),"ORGANIC")</f>
        <v>ORGANIC</v>
      </c>
      <c r="D1667" s="1" t="str">
        <f>IFERROR(__xludf.DUMMYFUNCTION("""COMPUTED_VALUE"""),"ALOS, CHARLS")</f>
        <v>ALOS, CHARLS</v>
      </c>
      <c r="E1667" s="1" t="str">
        <f>IFERROR(__xludf.DUMMYFUNCTION("""COMPUTED_VALUE"""),"RED FIBER")</f>
        <v>RED FIBER</v>
      </c>
      <c r="F1667" s="1"/>
      <c r="G1667" s="1"/>
      <c r="H1667" s="1" t="str">
        <f>IFERROR(__xludf.DUMMYFUNCTION("""COMPUTED_VALUE"""),"PRINCESS LORAINE RONIO RAMOS")</f>
        <v>PRINCESS LORAINE RONIO RAMOS</v>
      </c>
      <c r="I1667" s="1">
        <f>IFERROR(__xludf.DUMMYFUNCTION("""COMPUTED_VALUE"""),9650739230)</f>
        <v>9650739230</v>
      </c>
      <c r="J1667" s="1"/>
      <c r="K1667" s="1" t="str">
        <f>IFERROR(__xludf.DUMMYFUNCTION("""COMPUTED_VALUE"""),"VINCENTVILLANUEVA409@GMAIL.COM")</f>
        <v>VINCENTVILLANUEVA409@GMAIL.COM</v>
      </c>
      <c r="L1667" s="1" t="str">
        <f>IFERROR(__xludf.DUMMYFUNCTION("""COMPUTED_VALUE"""),"42")</f>
        <v>42</v>
      </c>
      <c r="M1667" s="1" t="str">
        <f>IFERROR(__xludf.DUMMYFUNCTION("""COMPUTED_VALUE"""),"JP RIZAL")</f>
        <v>JP RIZAL</v>
      </c>
      <c r="N1667" s="1"/>
      <c r="O1667" s="1" t="str">
        <f>IFERROR(__xludf.DUMMYFUNCTION("""COMPUTED_VALUE"""),"ASIS III")</f>
        <v>ASIS III</v>
      </c>
      <c r="P1667" s="1" t="str">
        <f>IFERROR(__xludf.DUMMYFUNCTION("""COMPUTED_VALUE"""),"MENDEZ")</f>
        <v>MENDEZ</v>
      </c>
      <c r="Q1667" s="1" t="str">
        <f>IFERROR(__xludf.DUMMYFUNCTION("""COMPUTED_VALUE"""),"CAVITE")</f>
        <v>CAVITE</v>
      </c>
      <c r="R1667" s="1" t="str">
        <f>IFERROR(__xludf.DUMMYFUNCTION("""COMPUTED_VALUE"""),"RED PLAN 1000")</f>
        <v>RED PLAN 1000</v>
      </c>
      <c r="S1667" s="1" t="str">
        <f>IFERROR(__xludf.DUMMYFUNCTION("""COMPUTED_VALUE"""),"APPROVED")</f>
        <v>APPROVED</v>
      </c>
      <c r="T1667" s="1" t="str">
        <f>IFERROR(__xludf.DUMMYFUNCTION("""COMPUTED_VALUE"""),"CLOSED")</f>
        <v>CLOSED</v>
      </c>
      <c r="U1667" s="1" t="str">
        <f>IFERROR(__xludf.DUMMYFUNCTION("""COMPUTED_VALUE"""),"POSTED")</f>
        <v>POSTED</v>
      </c>
      <c r="V1667" s="1"/>
      <c r="W1667" s="1"/>
    </row>
    <row r="1668" customHeight="1" spans="1:23">
      <c r="A1668" s="3">
        <f>IFERROR(__xludf.DUMMYFUNCTION("""COMPUTED_VALUE"""),46156)</f>
        <v>46156</v>
      </c>
      <c r="B1668" s="1" t="str">
        <f>IFERROR(__xludf.DUMMYFUNCTION("""COMPUTED_VALUE"""),"FRANCISCO , ROSELYN")</f>
        <v>FRANCISCO , ROSELYN</v>
      </c>
      <c r="C1668" s="1" t="str">
        <f>IFERROR(__xludf.DUMMYFUNCTION("""COMPUTED_VALUE"""),"ORGANIC")</f>
        <v>ORGANIC</v>
      </c>
      <c r="D1668" s="1" t="str">
        <f>IFERROR(__xludf.DUMMYFUNCTION("""COMPUTED_VALUE"""),"ALOS, CHARLS")</f>
        <v>ALOS, CHARLS</v>
      </c>
      <c r="E1668" s="1" t="str">
        <f>IFERROR(__xludf.DUMMYFUNCTION("""COMPUTED_VALUE"""),"PLDT / ONLINE")</f>
        <v>PLDT / ONLINE</v>
      </c>
      <c r="F1668" s="1">
        <f>IFERROR(__xludf.DUMMYFUNCTION("""COMPUTED_VALUE"""),2309495150)</f>
        <v>2309495150</v>
      </c>
      <c r="G1668" s="1">
        <f>IFERROR(__xludf.DUMMYFUNCTION("""COMPUTED_VALUE"""),454590288004)</f>
        <v>454590288004</v>
      </c>
      <c r="H1668" s="1" t="str">
        <f>IFERROR(__xludf.DUMMYFUNCTION("""COMPUTED_VALUE"""),"RIZAL BERTULFO ARAGON")</f>
        <v>RIZAL BERTULFO ARAGON</v>
      </c>
      <c r="I1668" s="1">
        <f>IFERROR(__xludf.DUMMYFUNCTION("""COMPUTED_VALUE"""),9458833220)</f>
        <v>9458833220</v>
      </c>
      <c r="J1668" s="1">
        <f>IFERROR(__xludf.DUMMYFUNCTION("""COMPUTED_VALUE"""),9988818728)</f>
        <v>9988818728</v>
      </c>
      <c r="K1668" s="1" t="str">
        <f>IFERROR(__xludf.DUMMYFUNCTION("""COMPUTED_VALUE"""),"BERNAS.RONALYN@GMAIL.COM")</f>
        <v>BERNAS.RONALYN@GMAIL.COM</v>
      </c>
      <c r="L1668" s="1" t="str">
        <f>IFERROR(__xludf.DUMMYFUNCTION("""COMPUTED_VALUE"""),"BLK 15 LOT 22")</f>
        <v>BLK 15 LOT 22</v>
      </c>
      <c r="M1668" s="1" t="str">
        <f>IFERROR(__xludf.DUMMYFUNCTION("""COMPUTED_VALUE"""),"CANAAN ST")</f>
        <v>CANAAN ST</v>
      </c>
      <c r="N1668" s="1" t="str">
        <f>IFERROR(__xludf.DUMMYFUNCTION("""COMPUTED_VALUE"""),"TOWN AND COUNTRY")</f>
        <v>TOWN AND COUNTRY</v>
      </c>
      <c r="O1668" s="1" t="str">
        <f>IFERROR(__xludf.DUMMYFUNCTION("""COMPUTED_VALUE"""),"BUROL I")</f>
        <v>BUROL I</v>
      </c>
      <c r="P1668" s="1" t="str">
        <f>IFERROR(__xludf.DUMMYFUNCTION("""COMPUTED_VALUE"""),"DASMARINAS")</f>
        <v>DASMARINAS</v>
      </c>
      <c r="Q1668" s="1" t="str">
        <f>IFERROR(__xludf.DUMMYFUNCTION("""COMPUTED_VALUE"""),"CAVITE")</f>
        <v>CAVITE</v>
      </c>
      <c r="R1668" s="1" t="str">
        <f>IFERROR(__xludf.DUMMYFUNCTION("""COMPUTED_VALUE"""),"FIBR UNLI ALL PLAN 999")</f>
        <v>FIBR UNLI ALL PLAN 999</v>
      </c>
      <c r="S1668" s="1" t="str">
        <f>IFERROR(__xludf.DUMMYFUNCTION("""COMPUTED_VALUE"""),"APPROVED")</f>
        <v>APPROVED</v>
      </c>
      <c r="T1668" s="1" t="str">
        <f>IFERROR(__xludf.DUMMYFUNCTION("""COMPUTED_VALUE"""),"CLOSED")</f>
        <v>CLOSED</v>
      </c>
      <c r="U1668" s="1" t="str">
        <f>IFERROR(__xludf.DUMMYFUNCTION("""COMPUTED_VALUE"""),"POSTED")</f>
        <v>POSTED</v>
      </c>
      <c r="V1668" s="1"/>
      <c r="W1668" s="1"/>
    </row>
    <row r="1669" customHeight="1" spans="1:23">
      <c r="A1669" s="3">
        <f>IFERROR(__xludf.DUMMYFUNCTION("""COMPUTED_VALUE"""),46156)</f>
        <v>46156</v>
      </c>
      <c r="B1669" s="1" t="str">
        <f>IFERROR(__xludf.DUMMYFUNCTION("""COMPUTED_VALUE"""),"ODY , CLARENCE")</f>
        <v>ODY , CLARENCE</v>
      </c>
      <c r="C1669" s="1" t="str">
        <f>IFERROR(__xludf.DUMMYFUNCTION("""COMPUTED_VALUE"""),"ORGANIC")</f>
        <v>ORGANIC</v>
      </c>
      <c r="D1669" s="1" t="str">
        <f>IFERROR(__xludf.DUMMYFUNCTION("""COMPUTED_VALUE"""),"ALOS, CHARLS")</f>
        <v>ALOS, CHARLS</v>
      </c>
      <c r="E1669" s="1" t="str">
        <f>IFERROR(__xludf.DUMMYFUNCTION("""COMPUTED_VALUE"""),"PLDT / H2H")</f>
        <v>PLDT / H2H</v>
      </c>
      <c r="F1669" s="1">
        <f>IFERROR(__xludf.DUMMYFUNCTION("""COMPUTED_VALUE"""),2309496127)</f>
        <v>2309496127</v>
      </c>
      <c r="G1669" s="1">
        <f>IFERROR(__xludf.DUMMYFUNCTION("""COMPUTED_VALUE"""),454588419004)</f>
        <v>454588419004</v>
      </c>
      <c r="H1669" s="1" t="str">
        <f>IFERROR(__xludf.DUMMYFUNCTION("""COMPUTED_VALUE"""),"MARVIN CURT MEDORANDA FELIX")</f>
        <v>MARVIN CURT MEDORANDA FELIX</v>
      </c>
      <c r="I1669" s="1">
        <f>IFERROR(__xludf.DUMMYFUNCTION("""COMPUTED_VALUE"""),9852598985)</f>
        <v>9852598985</v>
      </c>
      <c r="J1669" s="1"/>
      <c r="K1669" s="1" t="str">
        <f>IFERROR(__xludf.DUMMYFUNCTION("""COMPUTED_VALUE"""),"FELIXTM135@GMAIL.COM")</f>
        <v>FELIXTM135@GMAIL.COM</v>
      </c>
      <c r="L1669" s="1" t="str">
        <f>IFERROR(__xludf.DUMMYFUNCTION("""COMPUTED_VALUE"""),"391")</f>
        <v>391</v>
      </c>
      <c r="M1669" s="1" t="str">
        <f>IFERROR(__xludf.DUMMYFUNCTION("""COMPUTED_VALUE"""),"MUNTING ILOG")</f>
        <v>MUNTING ILOG</v>
      </c>
      <c r="N1669" s="1"/>
      <c r="O1669" s="1" t="str">
        <f>IFERROR(__xludf.DUMMYFUNCTION("""COMPUTED_VALUE"""),"MUNTING ILOG")</f>
        <v>MUNTING ILOG</v>
      </c>
      <c r="P1669" s="1" t="str">
        <f>IFERROR(__xludf.DUMMYFUNCTION("""COMPUTED_VALUE"""),"SILANG")</f>
        <v>SILANG</v>
      </c>
      <c r="Q1669" s="1" t="str">
        <f>IFERROR(__xludf.DUMMYFUNCTION("""COMPUTED_VALUE"""),"CAVITE")</f>
        <v>CAVITE</v>
      </c>
      <c r="R1669" s="1" t="str">
        <f>IFERROR(__xludf.DUMMYFUNCTION("""COMPUTED_VALUE"""),"FIBR UNLI ALL PLAN 999")</f>
        <v>FIBR UNLI ALL PLAN 999</v>
      </c>
      <c r="S1669" s="1" t="str">
        <f>IFERROR(__xludf.DUMMYFUNCTION("""COMPUTED_VALUE"""),"APPROVED")</f>
        <v>APPROVED</v>
      </c>
      <c r="T1669" s="1" t="str">
        <f>IFERROR(__xludf.DUMMYFUNCTION("""COMPUTED_VALUE"""),"CLOSED")</f>
        <v>CLOSED</v>
      </c>
      <c r="U1669" s="1" t="str">
        <f>IFERROR(__xludf.DUMMYFUNCTION("""COMPUTED_VALUE"""),"POSTED")</f>
        <v>POSTED</v>
      </c>
      <c r="V1669" s="1"/>
      <c r="W1669" s="1"/>
    </row>
    <row r="1670" customHeight="1" spans="1:23">
      <c r="A1670" s="3">
        <f>IFERROR(__xludf.DUMMYFUNCTION("""COMPUTED_VALUE"""),46156)</f>
        <v>46156</v>
      </c>
      <c r="B1670" s="1" t="str">
        <f>IFERROR(__xludf.DUMMYFUNCTION("""COMPUTED_VALUE"""),"BANDIBAS, LAWRENCE JAY")</f>
        <v>BANDIBAS, LAWRENCE JAY</v>
      </c>
      <c r="C1670" s="1" t="str">
        <f>IFERROR(__xludf.DUMMYFUNCTION("""COMPUTED_VALUE"""),"ORGANIC")</f>
        <v>ORGANIC</v>
      </c>
      <c r="D1670" s="1" t="str">
        <f>IFERROR(__xludf.DUMMYFUNCTION("""COMPUTED_VALUE"""),"REMOLLO LEA")</f>
        <v>REMOLLO LEA</v>
      </c>
      <c r="E1670" s="1" t="str">
        <f>IFERROR(__xludf.DUMMYFUNCTION("""COMPUTED_VALUE"""),"PLDT / H2H")</f>
        <v>PLDT / H2H</v>
      </c>
      <c r="F1670" s="1">
        <f>IFERROR(__xludf.DUMMYFUNCTION("""COMPUTED_VALUE"""),2309508868)</f>
        <v>2309508868</v>
      </c>
      <c r="G1670" s="1">
        <f>IFERROR(__xludf.DUMMYFUNCTION("""COMPUTED_VALUE"""),454732507004)</f>
        <v>454732507004</v>
      </c>
      <c r="H1670" s="1" t="str">
        <f>IFERROR(__xludf.DUMMYFUNCTION("""COMPUTED_VALUE"""),"JEMARIE ASADON ALCANZARE")</f>
        <v>JEMARIE ASADON ALCANZARE</v>
      </c>
      <c r="I1670" s="1">
        <f>IFERROR(__xludf.DUMMYFUNCTION("""COMPUTED_VALUE"""),9215787974)</f>
        <v>9215787974</v>
      </c>
      <c r="J1670" s="1"/>
      <c r="K1670" s="1" t="str">
        <f>IFERROR(__xludf.DUMMYFUNCTION("""COMPUTED_VALUE"""),"ALCANZAREJEMARIE@GMAIL.COM")</f>
        <v>ALCANZAREJEMARIE@GMAIL.COM</v>
      </c>
      <c r="L1670" s="1" t="str">
        <f>IFERROR(__xludf.DUMMYFUNCTION("""COMPUTED_VALUE"""),"39")</f>
        <v>39</v>
      </c>
      <c r="M1670" s="1" t="str">
        <f>IFERROR(__xludf.DUMMYFUNCTION("""COMPUTED_VALUE"""),"F REYES")</f>
        <v>F REYES</v>
      </c>
      <c r="N1670" s="1"/>
      <c r="O1670" s="1" t="str">
        <f>IFERROR(__xludf.DUMMYFUNCTION("""COMPUTED_VALUE"""),"FRANCISCO REYES")</f>
        <v>FRANCISCO REYES</v>
      </c>
      <c r="P1670" s="1" t="str">
        <f>IFERROR(__xludf.DUMMYFUNCTION("""COMPUTED_VALUE"""),"GEN MARIANO ALVAREZ")</f>
        <v>GEN MARIANO ALVAREZ</v>
      </c>
      <c r="Q1670" s="1" t="str">
        <f>IFERROR(__xludf.DUMMYFUNCTION("""COMPUTED_VALUE"""),"CAVITE")</f>
        <v>CAVITE</v>
      </c>
      <c r="R1670" s="1" t="str">
        <f>IFERROR(__xludf.DUMMYFUNCTION("""COMPUTED_VALUE"""),"FIBR PLAN 1299")</f>
        <v>FIBR PLAN 1299</v>
      </c>
      <c r="S1670" s="1" t="str">
        <f>IFERROR(__xludf.DUMMYFUNCTION("""COMPUTED_VALUE"""),"APPROVED")</f>
        <v>APPROVED</v>
      </c>
      <c r="T1670" s="1" t="str">
        <f>IFERROR(__xludf.DUMMYFUNCTION("""COMPUTED_VALUE"""),"RPR")</f>
        <v>RPR</v>
      </c>
      <c r="U1670" s="1"/>
      <c r="V1670" s="1"/>
      <c r="W1670" s="1"/>
    </row>
    <row r="1671" customHeight="1" spans="1:23">
      <c r="A1671" s="3">
        <f>IFERROR(__xludf.DUMMYFUNCTION("""COMPUTED_VALUE"""),46157)</f>
        <v>46157</v>
      </c>
      <c r="B1671" s="1" t="str">
        <f>IFERROR(__xludf.DUMMYFUNCTION("""COMPUTED_VALUE"""),"LEADSTORE - ILANO, LIANDRO TEJAS")</f>
        <v>LEADSTORE - ILANO, LIANDRO TEJAS</v>
      </c>
      <c r="C1671" s="1" t="str">
        <f>IFERROR(__xludf.DUMMYFUNCTION("""COMPUTED_VALUE"""),"FLA")</f>
        <v>FLA</v>
      </c>
      <c r="D1671" s="1" t="str">
        <f>IFERROR(__xludf.DUMMYFUNCTION("""COMPUTED_VALUE"""),"JERIC NAVARRO")</f>
        <v>JERIC NAVARRO</v>
      </c>
      <c r="E1671" s="1" t="str">
        <f>IFERROR(__xludf.DUMMYFUNCTION("""COMPUTED_VALUE"""),"PLDT / H2H")</f>
        <v>PLDT / H2H</v>
      </c>
      <c r="F1671" s="1">
        <f>IFERROR(__xludf.DUMMYFUNCTION("""COMPUTED_VALUE"""),2309509309)</f>
        <v>2309509309</v>
      </c>
      <c r="G1671" s="1">
        <f>IFERROR(__xludf.DUMMYFUNCTION("""COMPUTED_VALUE"""),454735539004)</f>
        <v>454735539004</v>
      </c>
      <c r="H1671" s="1" t="str">
        <f>IFERROR(__xludf.DUMMYFUNCTION("""COMPUTED_VALUE"""),"DEO PATULOT PINEDA")</f>
        <v>DEO PATULOT PINEDA</v>
      </c>
      <c r="I1671" s="1">
        <f>IFERROR(__xludf.DUMMYFUNCTION("""COMPUTED_VALUE"""),9811990422)</f>
        <v>9811990422</v>
      </c>
      <c r="J1671" s="1"/>
      <c r="K1671" s="1" t="str">
        <f>IFERROR(__xludf.DUMMYFUNCTION("""COMPUTED_VALUE"""),"CAMZRONCASSIE@GMAIL.COM")</f>
        <v>CAMZRONCASSIE@GMAIL.COM</v>
      </c>
      <c r="L1671" s="1" t="str">
        <f>IFERROR(__xludf.DUMMYFUNCTION("""COMPUTED_VALUE"""),"1")</f>
        <v>1</v>
      </c>
      <c r="M1671" s="1" t="str">
        <f>IFERROR(__xludf.DUMMYFUNCTION("""COMPUTED_VALUE"""),"MOLINO 6")</f>
        <v>MOLINO 6</v>
      </c>
      <c r="N1671" s="1" t="str">
        <f>IFERROR(__xludf.DUMMYFUNCTION("""COMPUTED_VALUE"""),"ARC COMPOUND SOLDIER 4")</f>
        <v>ARC COMPOUND SOLDIER 4</v>
      </c>
      <c r="O1671" s="1" t="str">
        <f>IFERROR(__xludf.DUMMYFUNCTION("""COMPUTED_VALUE"""),"MOLINO VI")</f>
        <v>MOLINO VI</v>
      </c>
      <c r="P1671" s="1" t="str">
        <f>IFERROR(__xludf.DUMMYFUNCTION("""COMPUTED_VALUE"""),"BACOOR")</f>
        <v>BACOOR</v>
      </c>
      <c r="Q1671" s="1" t="str">
        <f>IFERROR(__xludf.DUMMYFUNCTION("""COMPUTED_VALUE"""),"CAVITE")</f>
        <v>CAVITE</v>
      </c>
      <c r="R1671" s="1" t="str">
        <f>IFERROR(__xludf.DUMMYFUNCTION("""COMPUTED_VALUE"""),"FIBR PLAN 1299")</f>
        <v>FIBR PLAN 1299</v>
      </c>
      <c r="S1671" s="1" t="str">
        <f>IFERROR(__xludf.DUMMYFUNCTION("""COMPUTED_VALUE"""),"APPROVED")</f>
        <v>APPROVED</v>
      </c>
      <c r="T1671" s="1" t="str">
        <f>IFERROR(__xludf.DUMMYFUNCTION("""COMPUTED_VALUE"""),"CLOSED")</f>
        <v>CLOSED</v>
      </c>
      <c r="U1671" s="1" t="str">
        <f>IFERROR(__xludf.DUMMYFUNCTION("""COMPUTED_VALUE"""),"POSTED")</f>
        <v>POSTED</v>
      </c>
      <c r="V1671" s="1"/>
      <c r="W1671" s="1"/>
    </row>
    <row r="1672" customHeight="1" spans="1:23">
      <c r="A1672" s="3">
        <f>IFERROR(__xludf.DUMMYFUNCTION("""COMPUTED_VALUE"""),46157)</f>
        <v>46157</v>
      </c>
      <c r="B1672" s="1" t="str">
        <f>IFERROR(__xludf.DUMMYFUNCTION("""COMPUTED_VALUE"""),"DACALCAP RUBEN")</f>
        <v>DACALCAP RUBEN</v>
      </c>
      <c r="C1672" s="1" t="str">
        <f>IFERROR(__xludf.DUMMYFUNCTION("""COMPUTED_VALUE"""),"FLA")</f>
        <v>FLA</v>
      </c>
      <c r="D1672" s="1" t="str">
        <f>IFERROR(__xludf.DUMMYFUNCTION("""COMPUTED_VALUE"""),"JERIC NAVARRO")</f>
        <v>JERIC NAVARRO</v>
      </c>
      <c r="E1672" s="1" t="str">
        <f>IFERROR(__xludf.DUMMYFUNCTION("""COMPUTED_VALUE"""),"PLDT / ONLINE")</f>
        <v>PLDT / ONLINE</v>
      </c>
      <c r="F1672" s="1">
        <f>IFERROR(__xludf.DUMMYFUNCTION("""COMPUTED_VALUE"""),2309509593)</f>
        <v>2309509593</v>
      </c>
      <c r="G1672" s="1">
        <f>IFERROR(__xludf.DUMMYFUNCTION("""COMPUTED_VALUE"""),454742337004)</f>
        <v>454742337004</v>
      </c>
      <c r="H1672" s="1" t="str">
        <f>IFERROR(__xludf.DUMMYFUNCTION("""COMPUTED_VALUE"""),"PHETTY ANN PALMA MABASA")</f>
        <v>PHETTY ANN PALMA MABASA</v>
      </c>
      <c r="I1672" s="1">
        <f>IFERROR(__xludf.DUMMYFUNCTION("""COMPUTED_VALUE"""),639563896718)</f>
        <v>639563896718</v>
      </c>
      <c r="J1672" s="1"/>
      <c r="K1672" s="1" t="str">
        <f>IFERROR(__xludf.DUMMYFUNCTION("""COMPUTED_VALUE"""),"PHETTYANNMABASA@GMAIL.COM")</f>
        <v>PHETTYANNMABASA@GMAIL.COM</v>
      </c>
      <c r="L1672" s="1" t="str">
        <f>IFERROR(__xludf.DUMMYFUNCTION("""COMPUTED_VALUE"""),"BLK 5 LOT 11")</f>
        <v>BLK 5 LOT 11</v>
      </c>
      <c r="M1672" s="1" t="str">
        <f>IFERROR(__xludf.DUMMYFUNCTION("""COMPUTED_VALUE"""),"SAMPALOC 2")</f>
        <v>SAMPALOC 2</v>
      </c>
      <c r="N1672" s="1" t="str">
        <f>IFERROR(__xludf.DUMMYFUNCTION("""COMPUTED_VALUE"""),"BLESSED VILLE SUBS")</f>
        <v>BLESSED VILLE SUBS</v>
      </c>
      <c r="O1672" s="1" t="str">
        <f>IFERROR(__xludf.DUMMYFUNCTION("""COMPUTED_VALUE"""),"SAMPALOC II")</f>
        <v>SAMPALOC II</v>
      </c>
      <c r="P1672" s="1" t="str">
        <f>IFERROR(__xludf.DUMMYFUNCTION("""COMPUTED_VALUE"""),"DASMARINAS")</f>
        <v>DASMARINAS</v>
      </c>
      <c r="Q1672" s="1" t="str">
        <f>IFERROR(__xludf.DUMMYFUNCTION("""COMPUTED_VALUE"""),"CAVITE")</f>
        <v>CAVITE</v>
      </c>
      <c r="R1672" s="1" t="str">
        <f>IFERROR(__xludf.DUMMYFUNCTION("""COMPUTED_VALUE"""),"FIBR PLAN 1299")</f>
        <v>FIBR PLAN 1299</v>
      </c>
      <c r="S1672" s="1" t="str">
        <f>IFERROR(__xludf.DUMMYFUNCTION("""COMPUTED_VALUE"""),"APPROVED")</f>
        <v>APPROVED</v>
      </c>
      <c r="T1672" s="1" t="str">
        <f>IFERROR(__xludf.DUMMYFUNCTION("""COMPUTED_VALUE"""),"CLOSED")</f>
        <v>CLOSED</v>
      </c>
      <c r="U1672" s="1" t="str">
        <f>IFERROR(__xludf.DUMMYFUNCTION("""COMPUTED_VALUE"""),"POSTED")</f>
        <v>POSTED</v>
      </c>
      <c r="V1672" s="1"/>
      <c r="W1672" s="1"/>
    </row>
    <row r="1673" customHeight="1" spans="1:23">
      <c r="A1673" s="3">
        <f>IFERROR(__xludf.DUMMYFUNCTION("""COMPUTED_VALUE"""),46157)</f>
        <v>46157</v>
      </c>
      <c r="B1673" s="1" t="str">
        <f>IFERROR(__xludf.DUMMYFUNCTION("""COMPUTED_VALUE"""),"MALIWAT MARK ELVIN")</f>
        <v>MALIWAT MARK ELVIN</v>
      </c>
      <c r="C1673" s="1" t="str">
        <f>IFERROR(__xludf.DUMMYFUNCTION("""COMPUTED_VALUE"""),"FLA")</f>
        <v>FLA</v>
      </c>
      <c r="D1673" s="1" t="str">
        <f>IFERROR(__xludf.DUMMYFUNCTION("""COMPUTED_VALUE"""),"JERIC NAVARRO")</f>
        <v>JERIC NAVARRO</v>
      </c>
      <c r="E1673" s="1" t="str">
        <f>IFERROR(__xludf.DUMMYFUNCTION("""COMPUTED_VALUE"""),"PLDT / H2H")</f>
        <v>PLDT / H2H</v>
      </c>
      <c r="F1673" s="1">
        <f>IFERROR(__xludf.DUMMYFUNCTION("""COMPUTED_VALUE"""),2309510076)</f>
        <v>2309510076</v>
      </c>
      <c r="G1673" s="1">
        <f>IFERROR(__xludf.DUMMYFUNCTION("""COMPUTED_VALUE"""),454741574004)</f>
        <v>454741574004</v>
      </c>
      <c r="H1673" s="1" t="str">
        <f>IFERROR(__xludf.DUMMYFUNCTION("""COMPUTED_VALUE"""),"ANGELICO MERCADO SACAY")</f>
        <v>ANGELICO MERCADO SACAY</v>
      </c>
      <c r="I1673" s="1">
        <f>IFERROR(__xludf.DUMMYFUNCTION("""COMPUTED_VALUE"""),9151032230)</f>
        <v>9151032230</v>
      </c>
      <c r="J1673" s="1">
        <f>IFERROR(__xludf.DUMMYFUNCTION("""COMPUTED_VALUE"""),9951439715)</f>
        <v>9951439715</v>
      </c>
      <c r="K1673" s="1" t="str">
        <f>IFERROR(__xludf.DUMMYFUNCTION("""COMPUTED_VALUE"""),"ROCHELLE.SACAY@GMAIL.COM")</f>
        <v>ROCHELLE.SACAY@GMAIL.COM</v>
      </c>
      <c r="L1673" s="1" t="str">
        <f>IFERROR(__xludf.DUMMYFUNCTION("""COMPUTED_VALUE"""),"2130")</f>
        <v>2130</v>
      </c>
      <c r="M1673" s="1" t="str">
        <f>IFERROR(__xludf.DUMMYFUNCTION("""COMPUTED_VALUE"""),"MAHARLIKA EAST")</f>
        <v>MAHARLIKA EAST</v>
      </c>
      <c r="N1673" s="1" t="str">
        <f>IFERROR(__xludf.DUMMYFUNCTION("""COMPUTED_VALUE"""),"TOWER 3 SMDC WIND ")</f>
        <v>TOWER 3 SMDC WIND </v>
      </c>
      <c r="O1673" s="1" t="str">
        <f>IFERROR(__xludf.DUMMYFUNCTION("""COMPUTED_VALUE"""),"MAHARLIKA EAST")</f>
        <v>MAHARLIKA EAST</v>
      </c>
      <c r="P1673" s="1" t="str">
        <f>IFERROR(__xludf.DUMMYFUNCTION("""COMPUTED_VALUE"""),"TAGAYTAY")</f>
        <v>TAGAYTAY</v>
      </c>
      <c r="Q1673" s="1" t="str">
        <f>IFERROR(__xludf.DUMMYFUNCTION("""COMPUTED_VALUE"""),"CAVITE")</f>
        <v>CAVITE</v>
      </c>
      <c r="R1673" s="1" t="str">
        <f>IFERROR(__xludf.DUMMYFUNCTION("""COMPUTED_VALUE"""),"FIBR UNLI ALL PLAN 1399")</f>
        <v>FIBR UNLI ALL PLAN 1399</v>
      </c>
      <c r="S1673" s="1" t="str">
        <f>IFERROR(__xludf.DUMMYFUNCTION("""COMPUTED_VALUE"""),"APPROVED")</f>
        <v>APPROVED</v>
      </c>
      <c r="T1673" s="1" t="str">
        <f>IFERROR(__xludf.DUMMYFUNCTION("""COMPUTED_VALUE"""),"CLOSED")</f>
        <v>CLOSED</v>
      </c>
      <c r="U1673" s="1" t="str">
        <f>IFERROR(__xludf.DUMMYFUNCTION("""COMPUTED_VALUE"""),"POSTED")</f>
        <v>POSTED</v>
      </c>
      <c r="V1673" s="1"/>
      <c r="W1673" s="1"/>
    </row>
    <row r="1674" customHeight="1" spans="1:23">
      <c r="A1674" s="3">
        <f>IFERROR(__xludf.DUMMYFUNCTION("""COMPUTED_VALUE"""),46157)</f>
        <v>46157</v>
      </c>
      <c r="B1674" s="1" t="str">
        <f>IFERROR(__xludf.DUMMYFUNCTION("""COMPUTED_VALUE"""),"FRANCISCO , ROSELYN")</f>
        <v>FRANCISCO , ROSELYN</v>
      </c>
      <c r="C1674" s="1" t="str">
        <f>IFERROR(__xludf.DUMMYFUNCTION("""COMPUTED_VALUE"""),"ORGANIC")</f>
        <v>ORGANIC</v>
      </c>
      <c r="D1674" s="1" t="str">
        <f>IFERROR(__xludf.DUMMYFUNCTION("""COMPUTED_VALUE"""),"ALOS, CHARLS")</f>
        <v>ALOS, CHARLS</v>
      </c>
      <c r="E1674" s="1" t="str">
        <f>IFERROR(__xludf.DUMMYFUNCTION("""COMPUTED_VALUE"""),"PLDT / H2H")</f>
        <v>PLDT / H2H</v>
      </c>
      <c r="F1674" s="1">
        <f>IFERROR(__xludf.DUMMYFUNCTION("""COMPUTED_VALUE"""),2309517792)</f>
        <v>2309517792</v>
      </c>
      <c r="G1674" s="1">
        <f>IFERROR(__xludf.DUMMYFUNCTION("""COMPUTED_VALUE"""),454750543004)</f>
        <v>454750543004</v>
      </c>
      <c r="H1674" s="1" t="str">
        <f>IFERROR(__xludf.DUMMYFUNCTION("""COMPUTED_VALUE"""),"RUSSEL MATHEW DAGALEA")</f>
        <v>RUSSEL MATHEW DAGALEA</v>
      </c>
      <c r="I1674" s="1">
        <f>IFERROR(__xludf.DUMMYFUNCTION("""COMPUTED_VALUE"""),9356105932)</f>
        <v>9356105932</v>
      </c>
      <c r="J1674" s="1">
        <f>IFERROR(__xludf.DUMMYFUNCTION("""COMPUTED_VALUE"""),9976678636)</f>
        <v>9976678636</v>
      </c>
      <c r="K1674" s="1" t="str">
        <f>IFERROR(__xludf.DUMMYFUNCTION("""COMPUTED_VALUE"""),"JENNIFERJUMAWAN97@GMAIL.COM")</f>
        <v>JENNIFERJUMAWAN97@GMAIL.COM</v>
      </c>
      <c r="L1674" s="1" t="str">
        <f>IFERROR(__xludf.DUMMYFUNCTION("""COMPUTED_VALUE"""),"59")</f>
        <v>59</v>
      </c>
      <c r="M1674" s="1" t="str">
        <f>IFERROR(__xludf.DUMMYFUNCTION("""COMPUTED_VALUE"""),"SITIO MUZON")</f>
        <v>SITIO MUZON</v>
      </c>
      <c r="N1674" s="1"/>
      <c r="O1674" s="1" t="str">
        <f>IFERROR(__xludf.DUMMYFUNCTION("""COMPUTED_VALUE"""),"PUTING KAHOY")</f>
        <v>PUTING KAHOY</v>
      </c>
      <c r="P1674" s="1" t="str">
        <f>IFERROR(__xludf.DUMMYFUNCTION("""COMPUTED_VALUE"""),"SILANG")</f>
        <v>SILANG</v>
      </c>
      <c r="Q1674" s="1" t="str">
        <f>IFERROR(__xludf.DUMMYFUNCTION("""COMPUTED_VALUE"""),"CAVITE")</f>
        <v>CAVITE</v>
      </c>
      <c r="R1674" s="1" t="str">
        <f>IFERROR(__xludf.DUMMYFUNCTION("""COMPUTED_VALUE"""),"FIBR UNLI ALL PLAN 1399")</f>
        <v>FIBR UNLI ALL PLAN 1399</v>
      </c>
      <c r="S1674" s="1" t="str">
        <f>IFERROR(__xludf.DUMMYFUNCTION("""COMPUTED_VALUE"""),"APPROVED")</f>
        <v>APPROVED</v>
      </c>
      <c r="T1674" s="1" t="str">
        <f>IFERROR(__xludf.DUMMYFUNCTION("""COMPUTED_VALUE"""),"CLOSED")</f>
        <v>CLOSED</v>
      </c>
      <c r="U1674" s="1" t="str">
        <f>IFERROR(__xludf.DUMMYFUNCTION("""COMPUTED_VALUE"""),"POSTED")</f>
        <v>POSTED</v>
      </c>
      <c r="V1674" s="1"/>
      <c r="W1674" s="1"/>
    </row>
    <row r="1675" customHeight="1" spans="1:23">
      <c r="A1675" s="3">
        <f>IFERROR(__xludf.DUMMYFUNCTION("""COMPUTED_VALUE"""),46157)</f>
        <v>46157</v>
      </c>
      <c r="B1675" s="1" t="str">
        <f>IFERROR(__xludf.DUMMYFUNCTION("""COMPUTED_VALUE"""),"FRANCISCO , ROSELYN")</f>
        <v>FRANCISCO , ROSELYN</v>
      </c>
      <c r="C1675" s="1" t="str">
        <f>IFERROR(__xludf.DUMMYFUNCTION("""COMPUTED_VALUE"""),"ORGANIC")</f>
        <v>ORGANIC</v>
      </c>
      <c r="D1675" s="1" t="str">
        <f>IFERROR(__xludf.DUMMYFUNCTION("""COMPUTED_VALUE"""),"ALOS, CHARLS")</f>
        <v>ALOS, CHARLS</v>
      </c>
      <c r="E1675" s="1" t="str">
        <f>IFERROR(__xludf.DUMMYFUNCTION("""COMPUTED_VALUE"""),"PLDT / H2H")</f>
        <v>PLDT / H2H</v>
      </c>
      <c r="F1675" s="1">
        <f>IFERROR(__xludf.DUMMYFUNCTION("""COMPUTED_VALUE"""),2309511543)</f>
        <v>2309511543</v>
      </c>
      <c r="G1675" s="1">
        <f>IFERROR(__xludf.DUMMYFUNCTION("""COMPUTED_VALUE"""),454735473004)</f>
        <v>454735473004</v>
      </c>
      <c r="H1675" s="1" t="str">
        <f>IFERROR(__xludf.DUMMYFUNCTION("""COMPUTED_VALUE"""),"JERRO TAÑEDO MONTAÑEZ")</f>
        <v>JERRO TAÑEDO MONTAÑEZ</v>
      </c>
      <c r="I1675" s="1">
        <f>IFERROR(__xludf.DUMMYFUNCTION("""COMPUTED_VALUE"""),906488972)</f>
        <v>906488972</v>
      </c>
      <c r="J1675" s="1">
        <f>IFERROR(__xludf.DUMMYFUNCTION("""COMPUTED_VALUE"""),9204053827)</f>
        <v>9204053827</v>
      </c>
      <c r="K1675" s="1" t="str">
        <f>IFERROR(__xludf.DUMMYFUNCTION("""COMPUTED_VALUE"""),"JERROMTANEZ12345@GMAIL.COM")</f>
        <v>JERROMTANEZ12345@GMAIL.COM</v>
      </c>
      <c r="L1675" s="1" t="str">
        <f>IFERROR(__xludf.DUMMYFUNCTION("""COMPUTED_VALUE"""),"16")</f>
        <v>16</v>
      </c>
      <c r="M1675" s="1" t="str">
        <f>IFERROR(__xludf.DUMMYFUNCTION("""COMPUTED_VALUE"""),"M RODRIGUEZ")</f>
        <v>M RODRIGUEZ</v>
      </c>
      <c r="N1675" s="1"/>
      <c r="O1675" s="1" t="str">
        <f>IFERROR(__xludf.DUMMYFUNCTION("""COMPUTED_VALUE"""),"BARANGAY 47-A (PAGKAKAISA A)")</f>
        <v>BARANGAY 47-A (PAGKAKAISA A)</v>
      </c>
      <c r="P1675" s="1" t="str">
        <f>IFERROR(__xludf.DUMMYFUNCTION("""COMPUTED_VALUE"""),"CAVITE CITY")</f>
        <v>CAVITE CITY</v>
      </c>
      <c r="Q1675" s="1" t="str">
        <f>IFERROR(__xludf.DUMMYFUNCTION("""COMPUTED_VALUE"""),"CAVITE")</f>
        <v>CAVITE</v>
      </c>
      <c r="R1675" s="1" t="str">
        <f>IFERROR(__xludf.DUMMYFUNCTION("""COMPUTED_VALUE"""),"FIBR NETFLIX PLAN 1599")</f>
        <v>FIBR NETFLIX PLAN 1599</v>
      </c>
      <c r="S1675" s="1" t="str">
        <f>IFERROR(__xludf.DUMMYFUNCTION("""COMPUTED_VALUE"""),"APPROVED")</f>
        <v>APPROVED</v>
      </c>
      <c r="T1675" s="1" t="str">
        <f>IFERROR(__xludf.DUMMYFUNCTION("""COMPUTED_VALUE"""),"CLOSED")</f>
        <v>CLOSED</v>
      </c>
      <c r="U1675" s="1" t="str">
        <f>IFERROR(__xludf.DUMMYFUNCTION("""COMPUTED_VALUE"""),"POSTED")</f>
        <v>POSTED</v>
      </c>
      <c r="V1675" s="1"/>
      <c r="W1675" s="1"/>
    </row>
    <row r="1676" customHeight="1" spans="1:23">
      <c r="A1676" s="3">
        <f>IFERROR(__xludf.DUMMYFUNCTION("""COMPUTED_VALUE"""),46157)</f>
        <v>46157</v>
      </c>
      <c r="B1676" s="1" t="str">
        <f>IFERROR(__xludf.DUMMYFUNCTION("""COMPUTED_VALUE"""),"AMADO, LYKA")</f>
        <v>AMADO, LYKA</v>
      </c>
      <c r="C1676" s="1" t="str">
        <f>IFERROR(__xludf.DUMMYFUNCTION("""COMPUTED_VALUE"""),"ORGANIC")</f>
        <v>ORGANIC</v>
      </c>
      <c r="D1676" s="1" t="str">
        <f>IFERROR(__xludf.DUMMYFUNCTION("""COMPUTED_VALUE"""),"ALINGARO, CINDY")</f>
        <v>ALINGARO, CINDY</v>
      </c>
      <c r="E1676" s="1" t="str">
        <f>IFERROR(__xludf.DUMMYFUNCTION("""COMPUTED_VALUE"""),"PLDT / H2H")</f>
        <v>PLDT / H2H</v>
      </c>
      <c r="F1676" s="1">
        <f>IFERROR(__xludf.DUMMYFUNCTION("""COMPUTED_VALUE"""),2309511820)</f>
        <v>2309511820</v>
      </c>
      <c r="G1676" s="1">
        <f>IFERROR(__xludf.DUMMYFUNCTION("""COMPUTED_VALUE"""),454736655004)</f>
        <v>454736655004</v>
      </c>
      <c r="H1676" s="1" t="str">
        <f>IFERROR(__xludf.DUMMYFUNCTION("""COMPUTED_VALUE"""),"ANNICA GRACE BAUTISTA JANOL")</f>
        <v>ANNICA GRACE BAUTISTA JANOL</v>
      </c>
      <c r="I1676" s="1">
        <f>IFERROR(__xludf.DUMMYFUNCTION("""COMPUTED_VALUE"""),9451020915)</f>
        <v>9451020915</v>
      </c>
      <c r="J1676" s="1"/>
      <c r="K1676" s="1" t="str">
        <f>IFERROR(__xludf.DUMMYFUNCTION("""COMPUTED_VALUE"""),"ANICAJANOL@YAHOO.COM")</f>
        <v>ANICAJANOL@YAHOO.COM</v>
      </c>
      <c r="L1676" s="1" t="str">
        <f>IFERROR(__xludf.DUMMYFUNCTION("""COMPUTED_VALUE"""),"BLK 25 LOT 6")</f>
        <v>BLK 25 LOT 6</v>
      </c>
      <c r="M1676" s="1" t="str">
        <f>IFERROR(__xludf.DUMMYFUNCTION("""COMPUTED_VALUE"""),"BUKLURAN 4")</f>
        <v>BUKLURAN 4</v>
      </c>
      <c r="N1676" s="1"/>
      <c r="O1676" s="1" t="str">
        <f>IFERROR(__xludf.DUMMYFUNCTION("""COMPUTED_VALUE"""),"BULIHAN")</f>
        <v>BULIHAN</v>
      </c>
      <c r="P1676" s="1" t="str">
        <f>IFERROR(__xludf.DUMMYFUNCTION("""COMPUTED_VALUE"""),"SILANG")</f>
        <v>SILANG</v>
      </c>
      <c r="Q1676" s="1" t="str">
        <f>IFERROR(__xludf.DUMMYFUNCTION("""COMPUTED_VALUE"""),"CAVITE")</f>
        <v>CAVITE</v>
      </c>
      <c r="R1676" s="1" t="str">
        <f>IFERROR(__xludf.DUMMYFUNCTION("""COMPUTED_VALUE"""),"FIBR UNLI ALL PLAN 999")</f>
        <v>FIBR UNLI ALL PLAN 999</v>
      </c>
      <c r="S1676" s="1" t="str">
        <f>IFERROR(__xludf.DUMMYFUNCTION("""COMPUTED_VALUE"""),"APPROVED")</f>
        <v>APPROVED</v>
      </c>
      <c r="T1676" s="1" t="str">
        <f>IFERROR(__xludf.DUMMYFUNCTION("""COMPUTED_VALUE"""),"CLOSED")</f>
        <v>CLOSED</v>
      </c>
      <c r="U1676" s="1" t="str">
        <f>IFERROR(__xludf.DUMMYFUNCTION("""COMPUTED_VALUE"""),"POSTED")</f>
        <v>POSTED</v>
      </c>
      <c r="V1676" s="1"/>
      <c r="W1676" s="1"/>
    </row>
    <row r="1677" customHeight="1" spans="1:23">
      <c r="A1677" s="3">
        <f>IFERROR(__xludf.DUMMYFUNCTION("""COMPUTED_VALUE"""),46157)</f>
        <v>46157</v>
      </c>
      <c r="B1677" s="1" t="str">
        <f>IFERROR(__xludf.DUMMYFUNCTION("""COMPUTED_VALUE"""),"FARO, REFRANTA")</f>
        <v>FARO, REFRANTA</v>
      </c>
      <c r="C1677" s="1" t="str">
        <f>IFERROR(__xludf.DUMMYFUNCTION("""COMPUTED_VALUE"""),"ORGANIC")</f>
        <v>ORGANIC</v>
      </c>
      <c r="D1677" s="1" t="str">
        <f>IFERROR(__xludf.DUMMYFUNCTION("""COMPUTED_VALUE"""),"ALINGARO, CINDY")</f>
        <v>ALINGARO, CINDY</v>
      </c>
      <c r="E1677" s="1" t="str">
        <f>IFERROR(__xludf.DUMMYFUNCTION("""COMPUTED_VALUE"""),"PLDT / H2H")</f>
        <v>PLDT / H2H</v>
      </c>
      <c r="F1677" s="1">
        <f>IFERROR(__xludf.DUMMYFUNCTION("""COMPUTED_VALUE"""),2309512293)</f>
        <v>2309512293</v>
      </c>
      <c r="G1677" s="1">
        <f>IFERROR(__xludf.DUMMYFUNCTION("""COMPUTED_VALUE"""),454738503004)</f>
        <v>454738503004</v>
      </c>
      <c r="H1677" s="1" t="str">
        <f>IFERROR(__xludf.DUMMYFUNCTION("""COMPUTED_VALUE"""),"NILO PUGOSO ARRIESGADO")</f>
        <v>NILO PUGOSO ARRIESGADO</v>
      </c>
      <c r="I1677" s="1">
        <f>IFERROR(__xludf.DUMMYFUNCTION("""COMPUTED_VALUE"""),9922935769)</f>
        <v>9922935769</v>
      </c>
      <c r="J1677" s="1"/>
      <c r="K1677" s="1" t="str">
        <f>IFERROR(__xludf.DUMMYFUNCTION("""COMPUTED_VALUE"""),"AMIESAGADMHAE@GMAIL.COM")</f>
        <v>AMIESAGADMHAE@GMAIL.COM</v>
      </c>
      <c r="L1677" s="1" t="str">
        <f>IFERROR(__xludf.DUMMYFUNCTION("""COMPUTED_VALUE"""),"BLK 25 LOT 19")</f>
        <v>BLK 25 LOT 19</v>
      </c>
      <c r="M1677" s="1" t="str">
        <f>IFERROR(__xludf.DUMMYFUNCTION("""COMPUTED_VALUE"""),"NARRA 1")</f>
        <v>NARRA 1</v>
      </c>
      <c r="N1677" s="1"/>
      <c r="O1677" s="1" t="str">
        <f>IFERROR(__xludf.DUMMYFUNCTION("""COMPUTED_VALUE"""),"NARRA I")</f>
        <v>NARRA I</v>
      </c>
      <c r="P1677" s="1" t="str">
        <f>IFERROR(__xludf.DUMMYFUNCTION("""COMPUTED_VALUE"""),"SILANG")</f>
        <v>SILANG</v>
      </c>
      <c r="Q1677" s="1" t="str">
        <f>IFERROR(__xludf.DUMMYFUNCTION("""COMPUTED_VALUE"""),"CAVITE")</f>
        <v>CAVITE</v>
      </c>
      <c r="R1677" s="1" t="str">
        <f>IFERROR(__xludf.DUMMYFUNCTION("""COMPUTED_VALUE"""),"FIBR UNLI ALL PLAN 1399")</f>
        <v>FIBR UNLI ALL PLAN 1399</v>
      </c>
      <c r="S1677" s="1" t="str">
        <f>IFERROR(__xludf.DUMMYFUNCTION("""COMPUTED_VALUE"""),"APPROVED")</f>
        <v>APPROVED</v>
      </c>
      <c r="T1677" s="1" t="str">
        <f>IFERROR(__xludf.DUMMYFUNCTION("""COMPUTED_VALUE"""),"RPR")</f>
        <v>RPR</v>
      </c>
      <c r="U1677" s="1"/>
      <c r="V1677" s="1"/>
      <c r="W1677" s="1"/>
    </row>
    <row r="1678" customHeight="1" spans="1:23">
      <c r="A1678" s="3">
        <f>IFERROR(__xludf.DUMMYFUNCTION("""COMPUTED_VALUE"""),46157)</f>
        <v>46157</v>
      </c>
      <c r="B1678" s="1" t="str">
        <f>IFERROR(__xludf.DUMMYFUNCTION("""COMPUTED_VALUE"""),"FRANCISCO , ROSELYN")</f>
        <v>FRANCISCO , ROSELYN</v>
      </c>
      <c r="C1678" s="1" t="str">
        <f>IFERROR(__xludf.DUMMYFUNCTION("""COMPUTED_VALUE"""),"ORGANIC")</f>
        <v>ORGANIC</v>
      </c>
      <c r="D1678" s="1" t="str">
        <f>IFERROR(__xludf.DUMMYFUNCTION("""COMPUTED_VALUE"""),"ALOS, CHARLS")</f>
        <v>ALOS, CHARLS</v>
      </c>
      <c r="E1678" s="1" t="str">
        <f>IFERROR(__xludf.DUMMYFUNCTION("""COMPUTED_VALUE"""),"PLDT / H2H")</f>
        <v>PLDT / H2H</v>
      </c>
      <c r="F1678" s="1">
        <f>IFERROR(__xludf.DUMMYFUNCTION("""COMPUTED_VALUE"""),2309512708)</f>
        <v>2309512708</v>
      </c>
      <c r="G1678" s="1">
        <f>IFERROR(__xludf.DUMMYFUNCTION("""COMPUTED_VALUE"""),454738676004)</f>
        <v>454738676004</v>
      </c>
      <c r="H1678" s="1" t="str">
        <f>IFERROR(__xludf.DUMMYFUNCTION("""COMPUTED_VALUE"""),"JOHN FELIX DELA CRUZ SUELAN")</f>
        <v>JOHN FELIX DELA CRUZ SUELAN</v>
      </c>
      <c r="I1678" s="1">
        <f>IFERROR(__xludf.DUMMYFUNCTION("""COMPUTED_VALUE"""),9636983208)</f>
        <v>9636983208</v>
      </c>
      <c r="J1678" s="1"/>
      <c r="K1678" s="1" t="str">
        <f>IFERROR(__xludf.DUMMYFUNCTION("""COMPUTED_VALUE"""),"JOHNFELIXDELACRUZSUELAN@GMAIL.COM")</f>
        <v>JOHNFELIXDELACRUZSUELAN@GMAIL.COM</v>
      </c>
      <c r="L1678" s="1"/>
      <c r="M1678" s="1"/>
      <c r="N1678" s="1"/>
      <c r="O1678" s="1"/>
      <c r="P1678" s="1"/>
      <c r="Q1678" s="1" t="str">
        <f>IFERROR(__xludf.DUMMYFUNCTION("""COMPUTED_VALUE"""),"CAVITE")</f>
        <v>CAVITE</v>
      </c>
      <c r="R1678" s="1"/>
      <c r="S1678" s="1"/>
      <c r="T1678" s="1" t="str">
        <f>IFERROR(__xludf.DUMMYFUNCTION("""COMPUTED_VALUE"""),"CANCELLED")</f>
        <v>CANCELLED</v>
      </c>
      <c r="U1678" s="1"/>
      <c r="V1678" s="1"/>
      <c r="W1678" s="1"/>
    </row>
    <row r="1679" customHeight="1" spans="1:23">
      <c r="A1679" s="3">
        <f>IFERROR(__xludf.DUMMYFUNCTION("""COMPUTED_VALUE"""),46157)</f>
        <v>46157</v>
      </c>
      <c r="B1679" s="1" t="str">
        <f>IFERROR(__xludf.DUMMYFUNCTION("""COMPUTED_VALUE"""),"FRANCISCO , ROSELYN")</f>
        <v>FRANCISCO , ROSELYN</v>
      </c>
      <c r="C1679" s="1" t="str">
        <f>IFERROR(__xludf.DUMMYFUNCTION("""COMPUTED_VALUE"""),"ORGANIC")</f>
        <v>ORGANIC</v>
      </c>
      <c r="D1679" s="1" t="str">
        <f>IFERROR(__xludf.DUMMYFUNCTION("""COMPUTED_VALUE"""),"ALOS, CHARLS")</f>
        <v>ALOS, CHARLS</v>
      </c>
      <c r="E1679" s="1" t="str">
        <f>IFERROR(__xludf.DUMMYFUNCTION("""COMPUTED_VALUE"""),"PLDT / H2H")</f>
        <v>PLDT / H2H</v>
      </c>
      <c r="F1679" s="1">
        <f>IFERROR(__xludf.DUMMYFUNCTION("""COMPUTED_VALUE"""),2309515143)</f>
        <v>2309515143</v>
      </c>
      <c r="G1679" s="1">
        <f>IFERROR(__xludf.DUMMYFUNCTION("""COMPUTED_VALUE"""),454746669004)</f>
        <v>454746669004</v>
      </c>
      <c r="H1679" s="1" t="str">
        <f>IFERROR(__xludf.DUMMYFUNCTION("""COMPUTED_VALUE"""),"JENNIFER DELA CRUZ SUELAN")</f>
        <v>JENNIFER DELA CRUZ SUELAN</v>
      </c>
      <c r="I1679" s="1">
        <f>IFERROR(__xludf.DUMMYFUNCTION("""COMPUTED_VALUE"""),9776759418)</f>
        <v>9776759418</v>
      </c>
      <c r="J1679" s="1"/>
      <c r="K1679" s="1" t="str">
        <f>IFERROR(__xludf.DUMMYFUNCTION("""COMPUTED_VALUE"""),"SUELANJENNIFER@GMAIL.COM")</f>
        <v>SUELANJENNIFER@GMAIL.COM</v>
      </c>
      <c r="L1679" s="1" t="str">
        <f>IFERROR(__xludf.DUMMYFUNCTION("""COMPUTED_VALUE"""),"88")</f>
        <v>88</v>
      </c>
      <c r="M1679" s="1" t="str">
        <f>IFERROR(__xludf.DUMMYFUNCTION("""COMPUTED_VALUE"""),"PUROK 2")</f>
        <v>PUROK 2</v>
      </c>
      <c r="N1679" s="1"/>
      <c r="O1679" s="1" t="str">
        <f>IFERROR(__xludf.DUMMYFUNCTION("""COMPUTED_VALUE"""),"SIKAT")</f>
        <v>SIKAT</v>
      </c>
      <c r="P1679" s="1" t="str">
        <f>IFERROR(__xludf.DUMMYFUNCTION("""COMPUTED_VALUE"""),"ALFONSO")</f>
        <v>ALFONSO</v>
      </c>
      <c r="Q1679" s="1" t="str">
        <f>IFERROR(__xludf.DUMMYFUNCTION("""COMPUTED_VALUE"""),"CAVITE")</f>
        <v>CAVITE</v>
      </c>
      <c r="R1679" s="1" t="str">
        <f>IFERROR(__xludf.DUMMYFUNCTION("""COMPUTED_VALUE"""),"FIBR UNLI ALL PLAN 999")</f>
        <v>FIBR UNLI ALL PLAN 999</v>
      </c>
      <c r="S1679" s="1" t="str">
        <f>IFERROR(__xludf.DUMMYFUNCTION("""COMPUTED_VALUE"""),"APPROVED")</f>
        <v>APPROVED</v>
      </c>
      <c r="T1679" s="1" t="str">
        <f>IFERROR(__xludf.DUMMYFUNCTION("""COMPUTED_VALUE"""),"CLOSED")</f>
        <v>CLOSED</v>
      </c>
      <c r="U1679" s="1" t="str">
        <f>IFERROR(__xludf.DUMMYFUNCTION("""COMPUTED_VALUE"""),"POSTED")</f>
        <v>POSTED</v>
      </c>
      <c r="V1679" s="1"/>
      <c r="W1679" s="1"/>
    </row>
    <row r="1680" customHeight="1" spans="1:23">
      <c r="A1680" s="3">
        <f>IFERROR(__xludf.DUMMYFUNCTION("""COMPUTED_VALUE"""),46157)</f>
        <v>46157</v>
      </c>
      <c r="B1680" s="1" t="str">
        <f>IFERROR(__xludf.DUMMYFUNCTION("""COMPUTED_VALUE"""),"GABAY, MANUEL")</f>
        <v>GABAY, MANUEL</v>
      </c>
      <c r="C1680" s="1" t="str">
        <f>IFERROR(__xludf.DUMMYFUNCTION("""COMPUTED_VALUE"""),"FLA")</f>
        <v>FLA</v>
      </c>
      <c r="D1680" s="1" t="str">
        <f>IFERROR(__xludf.DUMMYFUNCTION("""COMPUTED_VALUE"""),"JERIC NAVARRO")</f>
        <v>JERIC NAVARRO</v>
      </c>
      <c r="E1680" s="1" t="str">
        <f>IFERROR(__xludf.DUMMYFUNCTION("""COMPUTED_VALUE"""),"PLDT / H2H")</f>
        <v>PLDT / H2H</v>
      </c>
      <c r="F1680" s="1">
        <f>IFERROR(__xludf.DUMMYFUNCTION("""COMPUTED_VALUE"""),2309515303)</f>
        <v>2309515303</v>
      </c>
      <c r="G1680" s="1">
        <f>IFERROR(__xludf.DUMMYFUNCTION("""COMPUTED_VALUE"""),454747214004)</f>
        <v>454747214004</v>
      </c>
      <c r="H1680" s="1" t="str">
        <f>IFERROR(__xludf.DUMMYFUNCTION("""COMPUTED_VALUE"""),"REI NATALIA CHRISTINE LEPARDO MOJICA")</f>
        <v>REI NATALIA CHRISTINE LEPARDO MOJICA</v>
      </c>
      <c r="I1680" s="1">
        <f>IFERROR(__xludf.DUMMYFUNCTION("""COMPUTED_VALUE"""),9610246562)</f>
        <v>9610246562</v>
      </c>
      <c r="J1680" s="1"/>
      <c r="K1680" s="1" t="str">
        <f>IFERROR(__xludf.DUMMYFUNCTION("""COMPUTED_VALUE"""),"MOJICAREI1909@GMAIL.COM")</f>
        <v>MOJICAREI1909@GMAIL.COM</v>
      </c>
      <c r="L1680" s="1" t="str">
        <f>IFERROR(__xludf.DUMMYFUNCTION("""COMPUTED_VALUE"""),"75A")</f>
        <v>75A</v>
      </c>
      <c r="M1680" s="1" t="str">
        <f>IFERROR(__xludf.DUMMYFUNCTION("""COMPUTED_VALUE"""),"ANULING LEJOS 1")</f>
        <v>ANULING LEJOS 1</v>
      </c>
      <c r="N1680" s="1"/>
      <c r="O1680" s="1" t="str">
        <f>IFERROR(__xludf.DUMMYFUNCTION("""COMPUTED_VALUE"""),"ANULING LEJOS I (ANULING)")</f>
        <v>ANULING LEJOS I (ANULING)</v>
      </c>
      <c r="P1680" s="1" t="str">
        <f>IFERROR(__xludf.DUMMYFUNCTION("""COMPUTED_VALUE"""),"MENDEZ")</f>
        <v>MENDEZ</v>
      </c>
      <c r="Q1680" s="1" t="str">
        <f>IFERROR(__xludf.DUMMYFUNCTION("""COMPUTED_VALUE"""),"CAVITE")</f>
        <v>CAVITE</v>
      </c>
      <c r="R1680" s="1" t="str">
        <f>IFERROR(__xludf.DUMMYFUNCTION("""COMPUTED_VALUE"""),"FIBR NETFLIX PLAN 1599")</f>
        <v>FIBR NETFLIX PLAN 1599</v>
      </c>
      <c r="S1680" s="1" t="str">
        <f>IFERROR(__xludf.DUMMYFUNCTION("""COMPUTED_VALUE"""),"APPROVED")</f>
        <v>APPROVED</v>
      </c>
      <c r="T1680" s="1" t="str">
        <f>IFERROR(__xludf.DUMMYFUNCTION("""COMPUTED_VALUE"""),"CLOSED")</f>
        <v>CLOSED</v>
      </c>
      <c r="U1680" s="1" t="str">
        <f>IFERROR(__xludf.DUMMYFUNCTION("""COMPUTED_VALUE"""),"POSTED")</f>
        <v>POSTED</v>
      </c>
      <c r="V1680" s="1"/>
      <c r="W1680" s="1"/>
    </row>
    <row r="1681" customHeight="1" spans="1:23">
      <c r="A1681" s="3">
        <f>IFERROR(__xludf.DUMMYFUNCTION("""COMPUTED_VALUE"""),46157)</f>
        <v>46157</v>
      </c>
      <c r="B1681" s="1" t="str">
        <f>IFERROR(__xludf.DUMMYFUNCTION("""COMPUTED_VALUE"""),"GABAY, MANUEL")</f>
        <v>GABAY, MANUEL</v>
      </c>
      <c r="C1681" s="1" t="str">
        <f>IFERROR(__xludf.DUMMYFUNCTION("""COMPUTED_VALUE"""),"FLA")</f>
        <v>FLA</v>
      </c>
      <c r="D1681" s="1" t="str">
        <f>IFERROR(__xludf.DUMMYFUNCTION("""COMPUTED_VALUE"""),"JERIC NAVARRO")</f>
        <v>JERIC NAVARRO</v>
      </c>
      <c r="E1681" s="1" t="str">
        <f>IFERROR(__xludf.DUMMYFUNCTION("""COMPUTED_VALUE"""),"PLDT / H2H")</f>
        <v>PLDT / H2H</v>
      </c>
      <c r="F1681" s="1">
        <f>IFERROR(__xludf.DUMMYFUNCTION("""COMPUTED_VALUE"""),2309515609)</f>
        <v>2309515609</v>
      </c>
      <c r="G1681" s="1">
        <f>IFERROR(__xludf.DUMMYFUNCTION("""COMPUTED_VALUE"""),454746896004)</f>
        <v>454746896004</v>
      </c>
      <c r="H1681" s="1" t="str">
        <f>IFERROR(__xludf.DUMMYFUNCTION("""COMPUTED_VALUE"""),"EMIL CARLO TIMPLE PANGANIBAN")</f>
        <v>EMIL CARLO TIMPLE PANGANIBAN</v>
      </c>
      <c r="I1681" s="1">
        <f>IFERROR(__xludf.DUMMYFUNCTION("""COMPUTED_VALUE"""),9206226589)</f>
        <v>9206226589</v>
      </c>
      <c r="J1681" s="1">
        <f>IFERROR(__xludf.DUMMYFUNCTION("""COMPUTED_VALUE"""),9152612481)</f>
        <v>9152612481</v>
      </c>
      <c r="K1681" s="1" t="str">
        <f>IFERROR(__xludf.DUMMYFUNCTION("""COMPUTED_VALUE"""),"EMILCARLO66@GMAIL.COM")</f>
        <v>EMILCARLO66@GMAIL.COM</v>
      </c>
      <c r="L1681" s="1" t="str">
        <f>IFERROR(__xludf.DUMMYFUNCTION("""COMPUTED_VALUE"""),"75B")</f>
        <v>75B</v>
      </c>
      <c r="M1681" s="1" t="str">
        <f>IFERROR(__xludf.DUMMYFUNCTION("""COMPUTED_VALUE"""),"DIMAPILIS")</f>
        <v>DIMAPILIS</v>
      </c>
      <c r="N1681" s="1"/>
      <c r="O1681" s="1" t="str">
        <f>IFERROR(__xludf.DUMMYFUNCTION("""COMPUTED_VALUE"""),"ANULING LEJOS I (ANULING)")</f>
        <v>ANULING LEJOS I (ANULING)</v>
      </c>
      <c r="P1681" s="1" t="str">
        <f>IFERROR(__xludf.DUMMYFUNCTION("""COMPUTED_VALUE"""),"MENDEZ")</f>
        <v>MENDEZ</v>
      </c>
      <c r="Q1681" s="1" t="str">
        <f>IFERROR(__xludf.DUMMYFUNCTION("""COMPUTED_VALUE"""),"CAVITE")</f>
        <v>CAVITE</v>
      </c>
      <c r="R1681" s="1" t="str">
        <f>IFERROR(__xludf.DUMMYFUNCTION("""COMPUTED_VALUE"""),"FIBR NETFLIX PLAN 1599")</f>
        <v>FIBR NETFLIX PLAN 1599</v>
      </c>
      <c r="S1681" s="1" t="str">
        <f>IFERROR(__xludf.DUMMYFUNCTION("""COMPUTED_VALUE"""),"APPROVED")</f>
        <v>APPROVED</v>
      </c>
      <c r="T1681" s="1" t="str">
        <f>IFERROR(__xludf.DUMMYFUNCTION("""COMPUTED_VALUE"""),"CLOSED")</f>
        <v>CLOSED</v>
      </c>
      <c r="U1681" s="1" t="str">
        <f>IFERROR(__xludf.DUMMYFUNCTION("""COMPUTED_VALUE"""),"POSTED")</f>
        <v>POSTED</v>
      </c>
      <c r="V1681" s="1"/>
      <c r="W1681" s="1"/>
    </row>
    <row r="1682" customHeight="1" spans="1:23">
      <c r="A1682" s="3">
        <f>IFERROR(__xludf.DUMMYFUNCTION("""COMPUTED_VALUE"""),46157)</f>
        <v>46157</v>
      </c>
      <c r="B1682" s="1" t="str">
        <f>IFERROR(__xludf.DUMMYFUNCTION("""COMPUTED_VALUE"""),"TIONGSON, ASHLEY")</f>
        <v>TIONGSON, ASHLEY</v>
      </c>
      <c r="C1682" s="1" t="str">
        <f>IFERROR(__xludf.DUMMYFUNCTION("""COMPUTED_VALUE"""),"ORGANIC")</f>
        <v>ORGANIC</v>
      </c>
      <c r="D1682" s="1" t="str">
        <f>IFERROR(__xludf.DUMMYFUNCTION("""COMPUTED_VALUE"""),"REMOLLO LEA")</f>
        <v>REMOLLO LEA</v>
      </c>
      <c r="E1682" s="1" t="str">
        <f>IFERROR(__xludf.DUMMYFUNCTION("""COMPUTED_VALUE"""),"PLDT / H2H")</f>
        <v>PLDT / H2H</v>
      </c>
      <c r="F1682" s="1">
        <f>IFERROR(__xludf.DUMMYFUNCTION("""COMPUTED_VALUE"""),2309515791)</f>
        <v>2309515791</v>
      </c>
      <c r="G1682" s="1">
        <f>IFERROR(__xludf.DUMMYFUNCTION("""COMPUTED_VALUE"""),454747964004)</f>
        <v>454747964004</v>
      </c>
      <c r="H1682" s="1" t="str">
        <f>IFERROR(__xludf.DUMMYFUNCTION("""COMPUTED_VALUE"""),"JOHN RICK ORPILIA ROSILES")</f>
        <v>JOHN RICK ORPILIA ROSILES</v>
      </c>
      <c r="I1682" s="1">
        <f>IFERROR(__xludf.DUMMYFUNCTION("""COMPUTED_VALUE"""),9853672467)</f>
        <v>9853672467</v>
      </c>
      <c r="J1682" s="1"/>
      <c r="K1682" s="1" t="str">
        <f>IFERROR(__xludf.DUMMYFUNCTION("""COMPUTED_VALUE"""),"JONRICKROSILES514@GMAIL.COM")</f>
        <v>JONRICKROSILES514@GMAIL.COM</v>
      </c>
      <c r="L1682" s="1" t="str">
        <f>IFERROR(__xludf.DUMMYFUNCTION("""COMPUTED_VALUE"""),"565")</f>
        <v>565</v>
      </c>
      <c r="M1682" s="1" t="str">
        <f>IFERROR(__xludf.DUMMYFUNCTION("""COMPUTED_VALUE"""),"BERNARDO")</f>
        <v>BERNARDO</v>
      </c>
      <c r="N1682" s="1"/>
      <c r="O1682" s="1" t="str">
        <f>IFERROR(__xludf.DUMMYFUNCTION("""COMPUTED_VALUE"""),"BERNARDO PULIDO (AREA H)")</f>
        <v>BERNARDO PULIDO (AREA H)</v>
      </c>
      <c r="P1682" s="1" t="str">
        <f>IFERROR(__xludf.DUMMYFUNCTION("""COMPUTED_VALUE"""),"GEN MARIANO ALVAREZ")</f>
        <v>GEN MARIANO ALVAREZ</v>
      </c>
      <c r="Q1682" s="1" t="str">
        <f>IFERROR(__xludf.DUMMYFUNCTION("""COMPUTED_VALUE"""),"CAVITE")</f>
        <v>CAVITE</v>
      </c>
      <c r="R1682" s="1" t="str">
        <f>IFERROR(__xludf.DUMMYFUNCTION("""COMPUTED_VALUE"""),"FIBR UNLI ALL PLAN 1399")</f>
        <v>FIBR UNLI ALL PLAN 1399</v>
      </c>
      <c r="S1682" s="1" t="str">
        <f>IFERROR(__xludf.DUMMYFUNCTION("""COMPUTED_VALUE"""),"APPROVED")</f>
        <v>APPROVED</v>
      </c>
      <c r="T1682" s="1" t="str">
        <f>IFERROR(__xludf.DUMMYFUNCTION("""COMPUTED_VALUE"""),"CLOSED")</f>
        <v>CLOSED</v>
      </c>
      <c r="U1682" s="1" t="str">
        <f>IFERROR(__xludf.DUMMYFUNCTION("""COMPUTED_VALUE"""),"POSTED")</f>
        <v>POSTED</v>
      </c>
      <c r="V1682" s="1"/>
      <c r="W1682" s="1"/>
    </row>
    <row r="1683" customHeight="1" spans="1:23">
      <c r="A1683" s="3">
        <f>IFERROR(__xludf.DUMMYFUNCTION("""COMPUTED_VALUE"""),46157)</f>
        <v>46157</v>
      </c>
      <c r="B1683" s="1" t="str">
        <f>IFERROR(__xludf.DUMMYFUNCTION("""COMPUTED_VALUE"""),"GABAY, MANUEL")</f>
        <v>GABAY, MANUEL</v>
      </c>
      <c r="C1683" s="1" t="str">
        <f>IFERROR(__xludf.DUMMYFUNCTION("""COMPUTED_VALUE"""),"FLA")</f>
        <v>FLA</v>
      </c>
      <c r="D1683" s="1" t="str">
        <f>IFERROR(__xludf.DUMMYFUNCTION("""COMPUTED_VALUE"""),"JERIC NAVARRO")</f>
        <v>JERIC NAVARRO</v>
      </c>
      <c r="E1683" s="1" t="str">
        <f>IFERROR(__xludf.DUMMYFUNCTION("""COMPUTED_VALUE"""),"PLDT / H2H")</f>
        <v>PLDT / H2H</v>
      </c>
      <c r="F1683" s="1">
        <f>IFERROR(__xludf.DUMMYFUNCTION("""COMPUTED_VALUE"""),2309516121)</f>
        <v>2309516121</v>
      </c>
      <c r="G1683" s="1">
        <f>IFERROR(__xludf.DUMMYFUNCTION("""COMPUTED_VALUE"""),454780264004)</f>
        <v>454780264004</v>
      </c>
      <c r="H1683" s="1" t="str">
        <f>IFERROR(__xludf.DUMMYFUNCTION("""COMPUTED_VALUE"""),"JENNIFER MARIN FLORES")</f>
        <v>JENNIFER MARIN FLORES</v>
      </c>
      <c r="I1683" s="1">
        <f>IFERROR(__xludf.DUMMYFUNCTION("""COMPUTED_VALUE"""),948674686)</f>
        <v>948674686</v>
      </c>
      <c r="J1683" s="1">
        <f>IFERROR(__xludf.DUMMYFUNCTION("""COMPUTED_VALUE"""),9526405442)</f>
        <v>9526405442</v>
      </c>
      <c r="K1683" s="1" t="str">
        <f>IFERROR(__xludf.DUMMYFUNCTION("""COMPUTED_VALUE"""),"FLORESJASMINE275@GMAIL.COM")</f>
        <v>FLORESJASMINE275@GMAIL.COM</v>
      </c>
      <c r="L1683" s="1" t="str">
        <f>IFERROR(__xludf.DUMMYFUNCTION("""COMPUTED_VALUE"""),"242")</f>
        <v>242</v>
      </c>
      <c r="M1683" s="1" t="str">
        <f>IFERROR(__xludf.DUMMYFUNCTION("""COMPUTED_VALUE"""),"ANULING CERCA 1")</f>
        <v>ANULING CERCA 1</v>
      </c>
      <c r="N1683" s="1"/>
      <c r="O1683" s="1" t="str">
        <f>IFERROR(__xludf.DUMMYFUNCTION("""COMPUTED_VALUE"""),"ANULING CERCA I")</f>
        <v>ANULING CERCA I</v>
      </c>
      <c r="P1683" s="1" t="str">
        <f>IFERROR(__xludf.DUMMYFUNCTION("""COMPUTED_VALUE"""),"MENDEZ")</f>
        <v>MENDEZ</v>
      </c>
      <c r="Q1683" s="1" t="str">
        <f>IFERROR(__xludf.DUMMYFUNCTION("""COMPUTED_VALUE"""),"CAVITE")</f>
        <v>CAVITE</v>
      </c>
      <c r="R1683" s="1" t="str">
        <f>IFERROR(__xludf.DUMMYFUNCTION("""COMPUTED_VALUE"""),"FIBR UNLI ALL PLAN 1399")</f>
        <v>FIBR UNLI ALL PLAN 1399</v>
      </c>
      <c r="S1683" s="1" t="str">
        <f>IFERROR(__xludf.DUMMYFUNCTION("""COMPUTED_VALUE"""),"APPROVED")</f>
        <v>APPROVED</v>
      </c>
      <c r="T1683" s="1" t="str">
        <f>IFERROR(__xludf.DUMMYFUNCTION("""COMPUTED_VALUE"""),"CANCELLED")</f>
        <v>CANCELLED</v>
      </c>
      <c r="U1683" s="1"/>
      <c r="V1683" s="1"/>
      <c r="W1683" s="1"/>
    </row>
    <row r="1684" customHeight="1" spans="1:23">
      <c r="A1684" s="3">
        <f>IFERROR(__xludf.DUMMYFUNCTION("""COMPUTED_VALUE"""),46157)</f>
        <v>46157</v>
      </c>
      <c r="B1684" s="1" t="str">
        <f>IFERROR(__xludf.DUMMYFUNCTION("""COMPUTED_VALUE"""),"ODY , CLARENCE")</f>
        <v>ODY , CLARENCE</v>
      </c>
      <c r="C1684" s="1" t="str">
        <f>IFERROR(__xludf.DUMMYFUNCTION("""COMPUTED_VALUE"""),"ORGANIC")</f>
        <v>ORGANIC</v>
      </c>
      <c r="D1684" s="1" t="str">
        <f>IFERROR(__xludf.DUMMYFUNCTION("""COMPUTED_VALUE"""),"ALOS, CHARLS")</f>
        <v>ALOS, CHARLS</v>
      </c>
      <c r="E1684" s="1" t="str">
        <f>IFERROR(__xludf.DUMMYFUNCTION("""COMPUTED_VALUE"""),"PLDT / H2H")</f>
        <v>PLDT / H2H</v>
      </c>
      <c r="F1684" s="1">
        <f>IFERROR(__xludf.DUMMYFUNCTION("""COMPUTED_VALUE"""),2309516413)</f>
        <v>2309516413</v>
      </c>
      <c r="G1684" s="1">
        <f>IFERROR(__xludf.DUMMYFUNCTION("""COMPUTED_VALUE"""),454748416004)</f>
        <v>454748416004</v>
      </c>
      <c r="H1684" s="1" t="str">
        <f>IFERROR(__xludf.DUMMYFUNCTION("""COMPUTED_VALUE"""),"JETHRO FEDELIZA DAGUMAN")</f>
        <v>JETHRO FEDELIZA DAGUMAN</v>
      </c>
      <c r="I1684" s="1">
        <f>IFERROR(__xludf.DUMMYFUNCTION("""COMPUTED_VALUE"""),9166887283)</f>
        <v>9166887283</v>
      </c>
      <c r="J1684" s="1"/>
      <c r="K1684" s="1" t="str">
        <f>IFERROR(__xludf.DUMMYFUNCTION("""COMPUTED_VALUE"""),"JETHRODAGUMAN01@GMAIL.COM")</f>
        <v>JETHRODAGUMAN01@GMAIL.COM</v>
      </c>
      <c r="L1684" s="1" t="str">
        <f>IFERROR(__xludf.DUMMYFUNCTION("""COMPUTED_VALUE"""),"253")</f>
        <v>253</v>
      </c>
      <c r="M1684" s="1" t="str">
        <f>IFERROR(__xludf.DUMMYFUNCTION("""COMPUTED_VALUE"""),"ALVAREZ")</f>
        <v>ALVAREZ</v>
      </c>
      <c r="N1684" s="1" t="str">
        <f>IFERROR(__xludf.DUMMYFUNCTION("""COMPUTED_VALUE"""),"SAWATAPA")</f>
        <v>SAWATAPA</v>
      </c>
      <c r="O1684" s="1" t="str">
        <f>IFERROR(__xludf.DUMMYFUNCTION("""COMPUTED_VALUE"""),"PALIPARAN III")</f>
        <v>PALIPARAN III</v>
      </c>
      <c r="P1684" s="1" t="str">
        <f>IFERROR(__xludf.DUMMYFUNCTION("""COMPUTED_VALUE"""),"DASMARINAS")</f>
        <v>DASMARINAS</v>
      </c>
      <c r="Q1684" s="1" t="str">
        <f>IFERROR(__xludf.DUMMYFUNCTION("""COMPUTED_VALUE"""),"CAVITE")</f>
        <v>CAVITE</v>
      </c>
      <c r="R1684" s="1" t="str">
        <f>IFERROR(__xludf.DUMMYFUNCTION("""COMPUTED_VALUE"""),"FIBR PLAN 1299")</f>
        <v>FIBR PLAN 1299</v>
      </c>
      <c r="S1684" s="1" t="str">
        <f>IFERROR(__xludf.DUMMYFUNCTION("""COMPUTED_VALUE"""),"APPROVED")</f>
        <v>APPROVED</v>
      </c>
      <c r="T1684" s="1" t="str">
        <f>IFERROR(__xludf.DUMMYFUNCTION("""COMPUTED_VALUE"""),"RPR")</f>
        <v>RPR</v>
      </c>
      <c r="U1684" s="1"/>
      <c r="V1684" s="1"/>
      <c r="W1684" s="1"/>
    </row>
    <row r="1685" customHeight="1" spans="1:23">
      <c r="A1685" s="3">
        <f>IFERROR(__xludf.DUMMYFUNCTION("""COMPUTED_VALUE"""),46157)</f>
        <v>46157</v>
      </c>
      <c r="B1685" s="1" t="str">
        <f>IFERROR(__xludf.DUMMYFUNCTION("""COMPUTED_VALUE"""),"AYON MANUEL")</f>
        <v>AYON MANUEL</v>
      </c>
      <c r="C1685" s="1" t="str">
        <f>IFERROR(__xludf.DUMMYFUNCTION("""COMPUTED_VALUE"""),"FLA")</f>
        <v>FLA</v>
      </c>
      <c r="D1685" s="1" t="str">
        <f>IFERROR(__xludf.DUMMYFUNCTION("""COMPUTED_VALUE"""),"JERIC NAVARRO")</f>
        <v>JERIC NAVARRO</v>
      </c>
      <c r="E1685" s="1" t="str">
        <f>IFERROR(__xludf.DUMMYFUNCTION("""COMPUTED_VALUE"""),"PLDT / H2H")</f>
        <v>PLDT / H2H</v>
      </c>
      <c r="F1685" s="1">
        <f>IFERROR(__xludf.DUMMYFUNCTION("""COMPUTED_VALUE"""),2309516579)</f>
        <v>2309516579</v>
      </c>
      <c r="G1685" s="1">
        <f>IFERROR(__xludf.DUMMYFUNCTION("""COMPUTED_VALUE"""),454757179004)</f>
        <v>454757179004</v>
      </c>
      <c r="H1685" s="1" t="str">
        <f>IFERROR(__xludf.DUMMYFUNCTION("""COMPUTED_VALUE"""),"CHRISTIAN PAOLO MOJICA FLORES")</f>
        <v>CHRISTIAN PAOLO MOJICA FLORES</v>
      </c>
      <c r="I1685" s="1">
        <f>IFERROR(__xludf.DUMMYFUNCTION("""COMPUTED_VALUE"""),9956303111)</f>
        <v>9956303111</v>
      </c>
      <c r="J1685" s="1">
        <f>IFERROR(__xludf.DUMMYFUNCTION("""COMPUTED_VALUE"""),9934052454)</f>
        <v>9934052454</v>
      </c>
      <c r="K1685" s="1" t="str">
        <f>IFERROR(__xludf.DUMMYFUNCTION("""COMPUTED_VALUE"""),"CPMFLORES03@GMAIL.COM")</f>
        <v>CPMFLORES03@GMAIL.COM</v>
      </c>
      <c r="L1685" s="1" t="str">
        <f>IFERROR(__xludf.DUMMYFUNCTION("""COMPUTED_VALUE"""),"358")</f>
        <v>358</v>
      </c>
      <c r="M1685" s="1" t="str">
        <f>IFERROR(__xludf.DUMMYFUNCTION("""COMPUTED_VALUE"""),"MENDOZA")</f>
        <v>MENDOZA</v>
      </c>
      <c r="N1685" s="1"/>
      <c r="O1685" s="1" t="str">
        <f>IFERROR(__xludf.DUMMYFUNCTION("""COMPUTED_VALUE"""),"GALICIA III")</f>
        <v>GALICIA III</v>
      </c>
      <c r="P1685" s="1" t="str">
        <f>IFERROR(__xludf.DUMMYFUNCTION("""COMPUTED_VALUE"""),"MENDEZ")</f>
        <v>MENDEZ</v>
      </c>
      <c r="Q1685" s="1" t="str">
        <f>IFERROR(__xludf.DUMMYFUNCTION("""COMPUTED_VALUE"""),"CAVITE")</f>
        <v>CAVITE</v>
      </c>
      <c r="R1685" s="1" t="str">
        <f>IFERROR(__xludf.DUMMYFUNCTION("""COMPUTED_VALUE"""),"FIBR PLAN 1299")</f>
        <v>FIBR PLAN 1299</v>
      </c>
      <c r="S1685" s="1" t="str">
        <f>IFERROR(__xludf.DUMMYFUNCTION("""COMPUTED_VALUE"""),"APPROVED")</f>
        <v>APPROVED</v>
      </c>
      <c r="T1685" s="1" t="str">
        <f>IFERROR(__xludf.DUMMYFUNCTION("""COMPUTED_VALUE"""),"CLOSED")</f>
        <v>CLOSED</v>
      </c>
      <c r="U1685" s="1" t="str">
        <f>IFERROR(__xludf.DUMMYFUNCTION("""COMPUTED_VALUE"""),"POSTED")</f>
        <v>POSTED</v>
      </c>
      <c r="V1685" s="1"/>
      <c r="W1685" s="1"/>
    </row>
    <row r="1686" customHeight="1" spans="1:23">
      <c r="A1686" s="3">
        <f>IFERROR(__xludf.DUMMYFUNCTION("""COMPUTED_VALUE"""),46157)</f>
        <v>46157</v>
      </c>
      <c r="B1686" s="1" t="str">
        <f>IFERROR(__xludf.DUMMYFUNCTION("""COMPUTED_VALUE"""),"MAÑANITA, ERIKA")</f>
        <v>MAÑANITA, ERIKA</v>
      </c>
      <c r="C1686" s="1" t="str">
        <f>IFERROR(__xludf.DUMMYFUNCTION("""COMPUTED_VALUE"""),"ORGANIC")</f>
        <v>ORGANIC</v>
      </c>
      <c r="D1686" s="1" t="str">
        <f>IFERROR(__xludf.DUMMYFUNCTION("""COMPUTED_VALUE"""),"ALOS, CHARLS")</f>
        <v>ALOS, CHARLS</v>
      </c>
      <c r="E1686" s="1" t="str">
        <f>IFERROR(__xludf.DUMMYFUNCTION("""COMPUTED_VALUE"""),"PLDT / H2H")</f>
        <v>PLDT / H2H</v>
      </c>
      <c r="F1686" s="1">
        <f>IFERROR(__xludf.DUMMYFUNCTION("""COMPUTED_VALUE"""),2309517414)</f>
        <v>2309517414</v>
      </c>
      <c r="G1686" s="1">
        <f>IFERROR(__xludf.DUMMYFUNCTION("""COMPUTED_VALUE"""),454850772004)</f>
        <v>454850772004</v>
      </c>
      <c r="H1686" s="1" t="str">
        <f>IFERROR(__xludf.DUMMYFUNCTION("""COMPUTED_VALUE"""),"DAISY MAE MADELO CABRERA")</f>
        <v>DAISY MAE MADELO CABRERA</v>
      </c>
      <c r="I1686" s="1">
        <f>IFERROR(__xludf.DUMMYFUNCTION("""COMPUTED_VALUE"""),9463525780)</f>
        <v>9463525780</v>
      </c>
      <c r="J1686" s="1">
        <f>IFERROR(__xludf.DUMMYFUNCTION("""COMPUTED_VALUE"""),9954244768)</f>
        <v>9954244768</v>
      </c>
      <c r="K1686" s="1" t="str">
        <f>IFERROR(__xludf.DUMMYFUNCTION("""COMPUTED_VALUE"""),"DMC081103@GMAIL.COM")</f>
        <v>DMC081103@GMAIL.COM</v>
      </c>
      <c r="L1686" s="1" t="str">
        <f>IFERROR(__xludf.DUMMYFUNCTION("""COMPUTED_VALUE"""),"4020")</f>
        <v>4020</v>
      </c>
      <c r="M1686" s="1" t="str">
        <f>IFERROR(__xludf.DUMMYFUNCTION("""COMPUTED_VALUE"""),"PUROK 4")</f>
        <v>PUROK 4</v>
      </c>
      <c r="N1686" s="1"/>
      <c r="O1686" s="1" t="str">
        <f>IFERROR(__xludf.DUMMYFUNCTION("""COMPUTED_VALUE"""),"PANGIL")</f>
        <v>PANGIL</v>
      </c>
      <c r="P1686" s="1" t="str">
        <f>IFERROR(__xludf.DUMMYFUNCTION("""COMPUTED_VALUE"""),"AMADEO")</f>
        <v>AMADEO</v>
      </c>
      <c r="Q1686" s="1" t="str">
        <f>IFERROR(__xludf.DUMMYFUNCTION("""COMPUTED_VALUE"""),"CAVITE")</f>
        <v>CAVITE</v>
      </c>
      <c r="R1686" s="1" t="str">
        <f>IFERROR(__xludf.DUMMYFUNCTION("""COMPUTED_VALUE"""),"FIBR PLAN 1699")</f>
        <v>FIBR PLAN 1699</v>
      </c>
      <c r="S1686" s="1" t="str">
        <f>IFERROR(__xludf.DUMMYFUNCTION("""COMPUTED_VALUE"""),"APPROVED")</f>
        <v>APPROVED</v>
      </c>
      <c r="T1686" s="1" t="str">
        <f>IFERROR(__xludf.DUMMYFUNCTION("""COMPUTED_VALUE"""),"CLOSED")</f>
        <v>CLOSED</v>
      </c>
      <c r="U1686" s="1" t="str">
        <f>IFERROR(__xludf.DUMMYFUNCTION("""COMPUTED_VALUE"""),"POSTED")</f>
        <v>POSTED</v>
      </c>
      <c r="V1686" s="1"/>
      <c r="W1686" s="1"/>
    </row>
    <row r="1687" customHeight="1" spans="1:23">
      <c r="A1687" s="3">
        <f>IFERROR(__xludf.DUMMYFUNCTION("""COMPUTED_VALUE"""),46157)</f>
        <v>46157</v>
      </c>
      <c r="B1687" s="1" t="str">
        <f>IFERROR(__xludf.DUMMYFUNCTION("""COMPUTED_VALUE"""),"CASTILLEJOS, ARREL")</f>
        <v>CASTILLEJOS, ARREL</v>
      </c>
      <c r="C1687" s="1" t="str">
        <f>IFERROR(__xludf.DUMMYFUNCTION("""COMPUTED_VALUE"""),"ORGANIC")</f>
        <v>ORGANIC</v>
      </c>
      <c r="D1687" s="1" t="str">
        <f>IFERROR(__xludf.DUMMYFUNCTION("""COMPUTED_VALUE"""),"REMOLLO LEA")</f>
        <v>REMOLLO LEA</v>
      </c>
      <c r="E1687" s="1" t="str">
        <f>IFERROR(__xludf.DUMMYFUNCTION("""COMPUTED_VALUE"""),"PLDT / H2H")</f>
        <v>PLDT / H2H</v>
      </c>
      <c r="F1687" s="1">
        <f>IFERROR(__xludf.DUMMYFUNCTION("""COMPUTED_VALUE"""),2309517003)</f>
        <v>2309517003</v>
      </c>
      <c r="G1687" s="1">
        <f>IFERROR(__xludf.DUMMYFUNCTION("""COMPUTED_VALUE"""),454784028004)</f>
        <v>454784028004</v>
      </c>
      <c r="H1687" s="1" t="str">
        <f>IFERROR(__xludf.DUMMYFUNCTION("""COMPUTED_VALUE"""),"ELIEJAH ANN BARBOSA LAGUSTAN")</f>
        <v>ELIEJAH ANN BARBOSA LAGUSTAN</v>
      </c>
      <c r="I1687" s="1">
        <f>IFERROR(__xludf.DUMMYFUNCTION("""COMPUTED_VALUE"""),9936016860)</f>
        <v>9936016860</v>
      </c>
      <c r="J1687" s="1">
        <f>IFERROR(__xludf.DUMMYFUNCTION("""COMPUTED_VALUE"""),9948511668)</f>
        <v>9948511668</v>
      </c>
      <c r="K1687" s="1" t="str">
        <f>IFERROR(__xludf.DUMMYFUNCTION("""COMPUTED_VALUE"""),"BRIANNALAGUSTAN@GMAIL.COM")</f>
        <v>BRIANNALAGUSTAN@GMAIL.COM</v>
      </c>
      <c r="L1687" s="1" t="str">
        <f>IFERROR(__xludf.DUMMYFUNCTION("""COMPUTED_VALUE"""),"93")</f>
        <v>93</v>
      </c>
      <c r="M1687" s="1" t="str">
        <f>IFERROR(__xludf.DUMMYFUNCTION("""COMPUTED_VALUE"""),"CAPTAIN COLONEL")</f>
        <v>CAPTAIN COLONEL</v>
      </c>
      <c r="N1687" s="1"/>
      <c r="O1687" s="1" t="str">
        <f>IFERROR(__xludf.DUMMYFUNCTION("""COMPUTED_VALUE"""),"PANTALEON GRANADOS (AREA G)")</f>
        <v>PANTALEON GRANADOS (AREA G)</v>
      </c>
      <c r="P1687" s="1" t="str">
        <f>IFERROR(__xludf.DUMMYFUNCTION("""COMPUTED_VALUE"""),"GEN MARIANO ALVAREZ")</f>
        <v>GEN MARIANO ALVAREZ</v>
      </c>
      <c r="Q1687" s="1" t="str">
        <f>IFERROR(__xludf.DUMMYFUNCTION("""COMPUTED_VALUE"""),"CAVITE")</f>
        <v>CAVITE</v>
      </c>
      <c r="R1687" s="1" t="str">
        <f>IFERROR(__xludf.DUMMYFUNCTION("""COMPUTED_VALUE"""),"FIBR PLAN 1299")</f>
        <v>FIBR PLAN 1299</v>
      </c>
      <c r="S1687" s="1" t="str">
        <f>IFERROR(__xludf.DUMMYFUNCTION("""COMPUTED_VALUE"""),"APPROVED")</f>
        <v>APPROVED</v>
      </c>
      <c r="T1687" s="1" t="str">
        <f>IFERROR(__xludf.DUMMYFUNCTION("""COMPUTED_VALUE"""),"CLOSED")</f>
        <v>CLOSED</v>
      </c>
      <c r="U1687" s="1" t="str">
        <f>IFERROR(__xludf.DUMMYFUNCTION("""COMPUTED_VALUE"""),"POSTED")</f>
        <v>POSTED</v>
      </c>
      <c r="V1687" s="1"/>
      <c r="W1687" s="1"/>
    </row>
    <row r="1688" customHeight="1" spans="1:23">
      <c r="A1688" s="3">
        <f>IFERROR(__xludf.DUMMYFUNCTION("""COMPUTED_VALUE"""),46157)</f>
        <v>46157</v>
      </c>
      <c r="B1688" s="1" t="str">
        <f>IFERROR(__xludf.DUMMYFUNCTION("""COMPUTED_VALUE"""),"TAMAYO,MARY ROSE")</f>
        <v>TAMAYO,MARY ROSE</v>
      </c>
      <c r="C1688" s="1" t="str">
        <f>IFERROR(__xludf.DUMMYFUNCTION("""COMPUTED_VALUE"""),"ORGANIC")</f>
        <v>ORGANIC</v>
      </c>
      <c r="D1688" s="1" t="str">
        <f>IFERROR(__xludf.DUMMYFUNCTION("""COMPUTED_VALUE"""),"ALINGARO, CINDY")</f>
        <v>ALINGARO, CINDY</v>
      </c>
      <c r="E1688" s="1" t="str">
        <f>IFERROR(__xludf.DUMMYFUNCTION("""COMPUTED_VALUE"""),"PLDT / H2H")</f>
        <v>PLDT / H2H</v>
      </c>
      <c r="F1688" s="1">
        <f>IFERROR(__xludf.DUMMYFUNCTION("""COMPUTED_VALUE"""),2309517878)</f>
        <v>2309517878</v>
      </c>
      <c r="G1688" s="1"/>
      <c r="H1688" s="1" t="str">
        <f>IFERROR(__xludf.DUMMYFUNCTION("""COMPUTED_VALUE"""),"ERWIN DELA TORRE MEDIOLA")</f>
        <v>ERWIN DELA TORRE MEDIOLA</v>
      </c>
      <c r="I1688" s="1">
        <f>IFERROR(__xludf.DUMMYFUNCTION("""COMPUTED_VALUE"""),9051444566)</f>
        <v>9051444566</v>
      </c>
      <c r="J1688" s="1"/>
      <c r="K1688" s="1" t="str">
        <f>IFERROR(__xludf.DUMMYFUNCTION("""COMPUTED_VALUE"""),"ERWINMEDIOLA40@GMAIL.COM")</f>
        <v>ERWINMEDIOLA40@GMAIL.COM</v>
      </c>
      <c r="L1688" s="1" t="str">
        <f>IFERROR(__xludf.DUMMYFUNCTION("""COMPUTED_VALUE"""),"BLK 16 LOT 8")</f>
        <v>BLK 16 LOT 8</v>
      </c>
      <c r="M1688" s="1" t="str">
        <f>IFERROR(__xludf.DUMMYFUNCTION("""COMPUTED_VALUE"""),"ZONE 1")</f>
        <v>ZONE 1</v>
      </c>
      <c r="N1688" s="1"/>
      <c r="O1688" s="1" t="str">
        <f>IFERROR(__xludf.DUMMYFUNCTION("""COMPUTED_VALUE"""),"BULIHAN")</f>
        <v>BULIHAN</v>
      </c>
      <c r="P1688" s="1" t="str">
        <f>IFERROR(__xludf.DUMMYFUNCTION("""COMPUTED_VALUE"""),"SILANG")</f>
        <v>SILANG</v>
      </c>
      <c r="Q1688" s="1" t="str">
        <f>IFERROR(__xludf.DUMMYFUNCTION("""COMPUTED_VALUE"""),"CAVITE")</f>
        <v>CAVITE</v>
      </c>
      <c r="R1688" s="1" t="str">
        <f>IFERROR(__xludf.DUMMYFUNCTION("""COMPUTED_VALUE"""),"FIBR UNLI ALL PLAN 999")</f>
        <v>FIBR UNLI ALL PLAN 999</v>
      </c>
      <c r="S1688" s="1" t="str">
        <f>IFERROR(__xludf.DUMMYFUNCTION("""COMPUTED_VALUE"""),"APPROVED")</f>
        <v>APPROVED</v>
      </c>
      <c r="T1688" s="1" t="str">
        <f>IFERROR(__xludf.DUMMYFUNCTION("""COMPUTED_VALUE"""),"CANCELLED")</f>
        <v>CANCELLED</v>
      </c>
      <c r="U1688" s="1"/>
      <c r="V1688" s="1"/>
      <c r="W1688" s="1"/>
    </row>
    <row r="1689" customHeight="1" spans="1:23">
      <c r="A1689" s="3">
        <f>IFERROR(__xludf.DUMMYFUNCTION("""COMPUTED_VALUE"""),46157)</f>
        <v>46157</v>
      </c>
      <c r="B1689" s="1" t="str">
        <f>IFERROR(__xludf.DUMMYFUNCTION("""COMPUTED_VALUE"""),"FERNANDEZ JERIC")</f>
        <v>FERNANDEZ JERIC</v>
      </c>
      <c r="C1689" s="1" t="str">
        <f>IFERROR(__xludf.DUMMYFUNCTION("""COMPUTED_VALUE"""),"ORGANIC")</f>
        <v>ORGANIC</v>
      </c>
      <c r="D1689" s="1" t="str">
        <f>IFERROR(__xludf.DUMMYFUNCTION("""COMPUTED_VALUE"""),"ALOS, CHARLS")</f>
        <v>ALOS, CHARLS</v>
      </c>
      <c r="E1689" s="1" t="str">
        <f>IFERROR(__xludf.DUMMYFUNCTION("""COMPUTED_VALUE"""),"PLDT / H2H")</f>
        <v>PLDT / H2H</v>
      </c>
      <c r="F1689" s="1">
        <f>IFERROR(__xludf.DUMMYFUNCTION("""COMPUTED_VALUE"""),2309518060)</f>
        <v>2309518060</v>
      </c>
      <c r="G1689" s="1">
        <f>IFERROR(__xludf.DUMMYFUNCTION("""COMPUTED_VALUE"""),454757231004)</f>
        <v>454757231004</v>
      </c>
      <c r="H1689" s="1" t="str">
        <f>IFERROR(__xludf.DUMMYFUNCTION("""COMPUTED_VALUE"""),"RICHARD MEDES LUMASAC")</f>
        <v>RICHARD MEDES LUMASAC</v>
      </c>
      <c r="I1689" s="1">
        <f>IFERROR(__xludf.DUMMYFUNCTION("""COMPUTED_VALUE"""),9052541479)</f>
        <v>9052541479</v>
      </c>
      <c r="J1689" s="1"/>
      <c r="K1689" s="1" t="str">
        <f>IFERROR(__xludf.DUMMYFUNCTION("""COMPUTED_VALUE"""),"RICHARDLUMASAC@GMAIL.COM")</f>
        <v>RICHARDLUMASAC@GMAIL.COM</v>
      </c>
      <c r="L1689" s="1" t="str">
        <f>IFERROR(__xludf.DUMMYFUNCTION("""COMPUTED_VALUE"""),"BLK 28 LOT 19")</f>
        <v>BLK 28 LOT 19</v>
      </c>
      <c r="M1689" s="1" t="str">
        <f>IFERROR(__xludf.DUMMYFUNCTION("""COMPUTED_VALUE"""),"PHASE 5A")</f>
        <v>PHASE 5A</v>
      </c>
      <c r="N1689" s="1"/>
      <c r="O1689" s="1" t="str">
        <f>IFERROR(__xludf.DUMMYFUNCTION("""COMPUTED_VALUE"""),"NARRA I")</f>
        <v>NARRA I</v>
      </c>
      <c r="P1689" s="1" t="str">
        <f>IFERROR(__xludf.DUMMYFUNCTION("""COMPUTED_VALUE"""),"SILANG")</f>
        <v>SILANG</v>
      </c>
      <c r="Q1689" s="1" t="str">
        <f>IFERROR(__xludf.DUMMYFUNCTION("""COMPUTED_VALUE"""),"CAVITE")</f>
        <v>CAVITE</v>
      </c>
      <c r="R1689" s="1" t="str">
        <f>IFERROR(__xludf.DUMMYFUNCTION("""COMPUTED_VALUE"""),"FIBR UNLI ALL PLAN 999")</f>
        <v>FIBR UNLI ALL PLAN 999</v>
      </c>
      <c r="S1689" s="1" t="str">
        <f>IFERROR(__xludf.DUMMYFUNCTION("""COMPUTED_VALUE"""),"APPROVED")</f>
        <v>APPROVED</v>
      </c>
      <c r="T1689" s="1" t="str">
        <f>IFERROR(__xludf.DUMMYFUNCTION("""COMPUTED_VALUE"""),"CANCELLED")</f>
        <v>CANCELLED</v>
      </c>
      <c r="U1689" s="1"/>
      <c r="V1689" s="1"/>
      <c r="W1689" s="1"/>
    </row>
    <row r="1690" customHeight="1" spans="1:23">
      <c r="A1690" s="3">
        <f>IFERROR(__xludf.DUMMYFUNCTION("""COMPUTED_VALUE"""),46157)</f>
        <v>46157</v>
      </c>
      <c r="B1690" s="1" t="str">
        <f>IFERROR(__xludf.DUMMYFUNCTION("""COMPUTED_VALUE"""),"AGUNOS, JHON AIRVIN")</f>
        <v>AGUNOS, JHON AIRVIN</v>
      </c>
      <c r="C1690" s="1" t="str">
        <f>IFERROR(__xludf.DUMMYFUNCTION("""COMPUTED_VALUE"""),"ORGANIC")</f>
        <v>ORGANIC</v>
      </c>
      <c r="D1690" s="1" t="str">
        <f>IFERROR(__xludf.DUMMYFUNCTION("""COMPUTED_VALUE"""),"ALINGARO, CINDY")</f>
        <v>ALINGARO, CINDY</v>
      </c>
      <c r="E1690" s="1" t="str">
        <f>IFERROR(__xludf.DUMMYFUNCTION("""COMPUTED_VALUE"""),"PLDT / H2H")</f>
        <v>PLDT / H2H</v>
      </c>
      <c r="F1690" s="1">
        <f>IFERROR(__xludf.DUMMYFUNCTION("""COMPUTED_VALUE"""),2309518348)</f>
        <v>2309518348</v>
      </c>
      <c r="G1690" s="1">
        <f>IFERROR(__xludf.DUMMYFUNCTION("""COMPUTED_VALUE"""),454752823004)</f>
        <v>454752823004</v>
      </c>
      <c r="H1690" s="1" t="str">
        <f>IFERROR(__xludf.DUMMYFUNCTION("""COMPUTED_VALUE"""),"SALVADOR PURPOD JAPSAY")</f>
        <v>SALVADOR PURPOD JAPSAY</v>
      </c>
      <c r="I1690" s="1">
        <f>IFERROR(__xludf.DUMMYFUNCTION("""COMPUTED_VALUE"""),945543625)</f>
        <v>945543625</v>
      </c>
      <c r="J1690" s="1"/>
      <c r="K1690" s="1" t="str">
        <f>IFERROR(__xludf.DUMMYFUNCTION("""COMPUTED_VALUE"""),"SALVADORJAPSAY0113@GMAIL.COM")</f>
        <v>SALVADORJAPSAY0113@GMAIL.COM</v>
      </c>
      <c r="L1690" s="1" t="str">
        <f>IFERROR(__xludf.DUMMYFUNCTION("""COMPUTED_VALUE"""),"BLK 14 LOT 1")</f>
        <v>BLK 14 LOT 1</v>
      </c>
      <c r="M1690" s="1" t="str">
        <f>IFERROR(__xludf.DUMMYFUNCTION("""COMPUTED_VALUE"""),"BULIHAN")</f>
        <v>BULIHAN</v>
      </c>
      <c r="N1690" s="1"/>
      <c r="O1690" s="1" t="str">
        <f>IFERROR(__xludf.DUMMYFUNCTION("""COMPUTED_VALUE"""),"BULIHAN")</f>
        <v>BULIHAN</v>
      </c>
      <c r="P1690" s="1" t="str">
        <f>IFERROR(__xludf.DUMMYFUNCTION("""COMPUTED_VALUE"""),"SILANG")</f>
        <v>SILANG</v>
      </c>
      <c r="Q1690" s="1" t="str">
        <f>IFERROR(__xludf.DUMMYFUNCTION("""COMPUTED_VALUE"""),"CAVITE")</f>
        <v>CAVITE</v>
      </c>
      <c r="R1690" s="1" t="str">
        <f>IFERROR(__xludf.DUMMYFUNCTION("""COMPUTED_VALUE"""),"FIBR UNLI ALL PLAN 1399")</f>
        <v>FIBR UNLI ALL PLAN 1399</v>
      </c>
      <c r="S1690" s="1" t="str">
        <f>IFERROR(__xludf.DUMMYFUNCTION("""COMPUTED_VALUE"""),"APPROVED")</f>
        <v>APPROVED</v>
      </c>
      <c r="T1690" s="1" t="str">
        <f>IFERROR(__xludf.DUMMYFUNCTION("""COMPUTED_VALUE"""),"CLOSED")</f>
        <v>CLOSED</v>
      </c>
      <c r="U1690" s="1" t="str">
        <f>IFERROR(__xludf.DUMMYFUNCTION("""COMPUTED_VALUE"""),"POSTED")</f>
        <v>POSTED</v>
      </c>
      <c r="V1690" s="1"/>
      <c r="W1690" s="1"/>
    </row>
    <row r="1691" customHeight="1" spans="1:23">
      <c r="A1691" s="3">
        <f>IFERROR(__xludf.DUMMYFUNCTION("""COMPUTED_VALUE"""),46157)</f>
        <v>46157</v>
      </c>
      <c r="B1691" s="1" t="str">
        <f>IFERROR(__xludf.DUMMYFUNCTION("""COMPUTED_VALUE"""),"TIONGSON, ASHLEY")</f>
        <v>TIONGSON, ASHLEY</v>
      </c>
      <c r="C1691" s="1" t="str">
        <f>IFERROR(__xludf.DUMMYFUNCTION("""COMPUTED_VALUE"""),"ORGANIC")</f>
        <v>ORGANIC</v>
      </c>
      <c r="D1691" s="1" t="str">
        <f>IFERROR(__xludf.DUMMYFUNCTION("""COMPUTED_VALUE"""),"REMOLLO LEA")</f>
        <v>REMOLLO LEA</v>
      </c>
      <c r="E1691" s="1" t="str">
        <f>IFERROR(__xludf.DUMMYFUNCTION("""COMPUTED_VALUE"""),"PLDT / H2H")</f>
        <v>PLDT / H2H</v>
      </c>
      <c r="F1691" s="1">
        <f>IFERROR(__xludf.DUMMYFUNCTION("""COMPUTED_VALUE"""),2309518487)</f>
        <v>2309518487</v>
      </c>
      <c r="G1691" s="1">
        <f>IFERROR(__xludf.DUMMYFUNCTION("""COMPUTED_VALUE"""),454752698004)</f>
        <v>454752698004</v>
      </c>
      <c r="H1691" s="1" t="str">
        <f>IFERROR(__xludf.DUMMYFUNCTION("""COMPUTED_VALUE"""),"LEN MARK DELA CRUZ MANUEL")</f>
        <v>LEN MARK DELA CRUZ MANUEL</v>
      </c>
      <c r="I1691" s="1">
        <f>IFERROR(__xludf.DUMMYFUNCTION("""COMPUTED_VALUE"""),9932503452)</f>
        <v>9932503452</v>
      </c>
      <c r="J1691" s="1">
        <f>IFERROR(__xludf.DUMMYFUNCTION("""COMPUTED_VALUE"""),9618285221)</f>
        <v>9618285221</v>
      </c>
      <c r="K1691" s="1" t="str">
        <f>IFERROR(__xludf.DUMMYFUNCTION("""COMPUTED_VALUE"""),"LENMARCMANUEL0@GMAIL.COM,")</f>
        <v>LENMARCMANUEL0@GMAIL.COM,</v>
      </c>
      <c r="L1691" s="1" t="str">
        <f>IFERROR(__xludf.DUMMYFUNCTION("""COMPUTED_VALUE"""),"BBLK 2 LOT 10")</f>
        <v>BBLK 2 LOT 10</v>
      </c>
      <c r="M1691" s="1" t="str">
        <f>IFERROR(__xludf.DUMMYFUNCTION("""COMPUTED_VALUE"""),"PHASE 3")</f>
        <v>PHASE 3</v>
      </c>
      <c r="N1691" s="1"/>
      <c r="O1691" s="1" t="str">
        <f>IFERROR(__xludf.DUMMYFUNCTION("""COMPUTED_VALUE"""),"YAKAL")</f>
        <v>YAKAL</v>
      </c>
      <c r="P1691" s="1" t="str">
        <f>IFERROR(__xludf.DUMMYFUNCTION("""COMPUTED_VALUE"""),"SILANG")</f>
        <v>SILANG</v>
      </c>
      <c r="Q1691" s="1" t="str">
        <f>IFERROR(__xludf.DUMMYFUNCTION("""COMPUTED_VALUE"""),"CAVITE")</f>
        <v>CAVITE</v>
      </c>
      <c r="R1691" s="1" t="str">
        <f>IFERROR(__xludf.DUMMYFUNCTION("""COMPUTED_VALUE"""),"FIBR UNLI ALL PLAN 999")</f>
        <v>FIBR UNLI ALL PLAN 999</v>
      </c>
      <c r="S1691" s="1" t="str">
        <f>IFERROR(__xludf.DUMMYFUNCTION("""COMPUTED_VALUE"""),"APPROVED")</f>
        <v>APPROVED</v>
      </c>
      <c r="T1691" s="1" t="str">
        <f>IFERROR(__xludf.DUMMYFUNCTION("""COMPUTED_VALUE"""),"CANCELLED")</f>
        <v>CANCELLED</v>
      </c>
      <c r="U1691" s="1"/>
      <c r="V1691" s="1"/>
      <c r="W1691" s="1"/>
    </row>
    <row r="1692" customHeight="1" spans="1:23">
      <c r="A1692" s="3">
        <f>IFERROR(__xludf.DUMMYFUNCTION("""COMPUTED_VALUE"""),46157)</f>
        <v>46157</v>
      </c>
      <c r="B1692" s="1" t="str">
        <f>IFERROR(__xludf.DUMMYFUNCTION("""COMPUTED_VALUE"""),"ALANO, RAIN")</f>
        <v>ALANO, RAIN</v>
      </c>
      <c r="C1692" s="1" t="str">
        <f>IFERROR(__xludf.DUMMYFUNCTION("""COMPUTED_VALUE"""),"ORGANIC")</f>
        <v>ORGANIC</v>
      </c>
      <c r="D1692" s="1" t="str">
        <f>IFERROR(__xludf.DUMMYFUNCTION("""COMPUTED_VALUE"""),"REMOLLO LEA")</f>
        <v>REMOLLO LEA</v>
      </c>
      <c r="E1692" s="1" t="str">
        <f>IFERROR(__xludf.DUMMYFUNCTION("""COMPUTED_VALUE"""),"PLDT / H2H")</f>
        <v>PLDT / H2H</v>
      </c>
      <c r="F1692" s="1">
        <f>IFERROR(__xludf.DUMMYFUNCTION("""COMPUTED_VALUE"""),2309519306)</f>
        <v>2309519306</v>
      </c>
      <c r="G1692" s="1">
        <f>IFERROR(__xludf.DUMMYFUNCTION("""COMPUTED_VALUE"""),454850703004)</f>
        <v>454850703004</v>
      </c>
      <c r="H1692" s="1" t="str">
        <f>IFERROR(__xludf.DUMMYFUNCTION("""COMPUTED_VALUE"""),"WILBERT BIEN PASTURAN AGDALES")</f>
        <v>WILBERT BIEN PASTURAN AGDALES</v>
      </c>
      <c r="I1692" s="1">
        <f>IFERROR(__xludf.DUMMYFUNCTION("""COMPUTED_VALUE"""),9071676692)</f>
        <v>9071676692</v>
      </c>
      <c r="J1692" s="1">
        <f>IFERROR(__xludf.DUMMYFUNCTION("""COMPUTED_VALUE"""),9651497452)</f>
        <v>9651497452</v>
      </c>
      <c r="K1692" s="1" t="str">
        <f>IFERROR(__xludf.DUMMYFUNCTION("""COMPUTED_VALUE"""),"BHIENAGDALES23@GMAIL.COM")</f>
        <v>BHIENAGDALES23@GMAIL.COM</v>
      </c>
      <c r="L1692" s="1" t="str">
        <f>IFERROR(__xludf.DUMMYFUNCTION("""COMPUTED_VALUE"""),"BLK 34 LOT 13")</f>
        <v>BLK 34 LOT 13</v>
      </c>
      <c r="M1692" s="1" t="str">
        <f>IFERROR(__xludf.DUMMYFUNCTION("""COMPUTED_VALUE"""),"ZONE 11")</f>
        <v>ZONE 11</v>
      </c>
      <c r="N1692" s="1"/>
      <c r="O1692" s="1" t="str">
        <f>IFERROR(__xludf.DUMMYFUNCTION("""COMPUTED_VALUE"""),"BULIHAN")</f>
        <v>BULIHAN</v>
      </c>
      <c r="P1692" s="1" t="str">
        <f>IFERROR(__xludf.DUMMYFUNCTION("""COMPUTED_VALUE"""),"SILANG")</f>
        <v>SILANG</v>
      </c>
      <c r="Q1692" s="1" t="str">
        <f>IFERROR(__xludf.DUMMYFUNCTION("""COMPUTED_VALUE"""),"CAVITE")</f>
        <v>CAVITE</v>
      </c>
      <c r="R1692" s="1" t="str">
        <f>IFERROR(__xludf.DUMMYFUNCTION("""COMPUTED_VALUE"""),"FIBR UNLI ALL PLAN 1399")</f>
        <v>FIBR UNLI ALL PLAN 1399</v>
      </c>
      <c r="S1692" s="1" t="str">
        <f>IFERROR(__xludf.DUMMYFUNCTION("""COMPUTED_VALUE"""),"APPROVED")</f>
        <v>APPROVED</v>
      </c>
      <c r="T1692" s="1" t="str">
        <f>IFERROR(__xludf.DUMMYFUNCTION("""COMPUTED_VALUE"""),"CLOSED")</f>
        <v>CLOSED</v>
      </c>
      <c r="U1692" s="1" t="str">
        <f>IFERROR(__xludf.DUMMYFUNCTION("""COMPUTED_VALUE"""),"POSTED")</f>
        <v>POSTED</v>
      </c>
      <c r="V1692" s="1"/>
      <c r="W1692" s="1"/>
    </row>
    <row r="1693" customHeight="1" spans="1:23">
      <c r="A1693" s="3">
        <f>IFERROR(__xludf.DUMMYFUNCTION("""COMPUTED_VALUE"""),46157)</f>
        <v>46157</v>
      </c>
      <c r="B1693" s="1" t="str">
        <f>IFERROR(__xludf.DUMMYFUNCTION("""COMPUTED_VALUE"""),"FRONDEZ, JEDREFF")</f>
        <v>FRONDEZ, JEDREFF</v>
      </c>
      <c r="C1693" s="1" t="str">
        <f>IFERROR(__xludf.DUMMYFUNCTION("""COMPUTED_VALUE"""),"ORGANIC")</f>
        <v>ORGANIC</v>
      </c>
      <c r="D1693" s="1" t="str">
        <f>IFERROR(__xludf.DUMMYFUNCTION("""COMPUTED_VALUE"""),"REMOLLO LEA")</f>
        <v>REMOLLO LEA</v>
      </c>
      <c r="E1693" s="1" t="str">
        <f>IFERROR(__xludf.DUMMYFUNCTION("""COMPUTED_VALUE"""),"HOME BIZZ")</f>
        <v>HOME BIZZ</v>
      </c>
      <c r="F1693" s="1">
        <f>IFERROR(__xludf.DUMMYFUNCTION("""COMPUTED_VALUE"""),2309518827)</f>
        <v>2309518827</v>
      </c>
      <c r="G1693" s="1">
        <f>IFERROR(__xludf.DUMMYFUNCTION("""COMPUTED_VALUE"""),454752996004)</f>
        <v>454752996004</v>
      </c>
      <c r="H1693" s="1" t="str">
        <f>IFERROR(__xludf.DUMMYFUNCTION("""COMPUTED_VALUE"""),"TILMA AMAZONA TEBES")</f>
        <v>TILMA AMAZONA TEBES</v>
      </c>
      <c r="I1693" s="1">
        <f>IFERROR(__xludf.DUMMYFUNCTION("""COMPUTED_VALUE"""),9568429403)</f>
        <v>9568429403</v>
      </c>
      <c r="J1693" s="1">
        <f>IFERROR(__xludf.DUMMYFUNCTION("""COMPUTED_VALUE"""),95344051441)</f>
        <v>95344051441</v>
      </c>
      <c r="K1693" s="1" t="str">
        <f>IFERROR(__xludf.DUMMYFUNCTION("""COMPUTED_VALUE"""),"TILMATEBES874@GMAIL.COM")</f>
        <v>TILMATEBES874@GMAIL.COM</v>
      </c>
      <c r="L1693" s="1" t="str">
        <f>IFERROR(__xludf.DUMMYFUNCTION("""COMPUTED_VALUE"""),"BLK 43 LOT 8")</f>
        <v>BLK 43 LOT 8</v>
      </c>
      <c r="M1693" s="1" t="str">
        <f>IFERROR(__xludf.DUMMYFUNCTION("""COMPUTED_VALUE"""),"BANABA")</f>
        <v>BANABA</v>
      </c>
      <c r="N1693" s="1"/>
      <c r="O1693" s="1" t="str">
        <f>IFERROR(__xludf.DUMMYFUNCTION("""COMPUTED_VALUE"""),"BANABA")</f>
        <v>BANABA</v>
      </c>
      <c r="P1693" s="1" t="str">
        <f>IFERROR(__xludf.DUMMYFUNCTION("""COMPUTED_VALUE"""),"SILANG")</f>
        <v>SILANG</v>
      </c>
      <c r="Q1693" s="1" t="str">
        <f>IFERROR(__xludf.DUMMYFUNCTION("""COMPUTED_VALUE"""),"CAVITE")</f>
        <v>CAVITE</v>
      </c>
      <c r="R1693" s="1" t="str">
        <f>IFERROR(__xludf.DUMMYFUNCTION("""COMPUTED_VALUE"""),"FIBR UNLI ALL PLAN 999")</f>
        <v>FIBR UNLI ALL PLAN 999</v>
      </c>
      <c r="S1693" s="1" t="str">
        <f>IFERROR(__xludf.DUMMYFUNCTION("""COMPUTED_VALUE"""),"APPROVED")</f>
        <v>APPROVED</v>
      </c>
      <c r="T1693" s="1" t="str">
        <f>IFERROR(__xludf.DUMMYFUNCTION("""COMPUTED_VALUE"""),"CANCELLED")</f>
        <v>CANCELLED</v>
      </c>
      <c r="U1693" s="1"/>
      <c r="V1693" s="1"/>
      <c r="W1693" s="1"/>
    </row>
    <row r="1694" customHeight="1" spans="1:23">
      <c r="A1694" s="3">
        <f>IFERROR(__xludf.DUMMYFUNCTION("""COMPUTED_VALUE"""),46157)</f>
        <v>46157</v>
      </c>
      <c r="B1694" s="1" t="str">
        <f>IFERROR(__xludf.DUMMYFUNCTION("""COMPUTED_VALUE"""),"AYON MANUEL")</f>
        <v>AYON MANUEL</v>
      </c>
      <c r="C1694" s="1" t="str">
        <f>IFERROR(__xludf.DUMMYFUNCTION("""COMPUTED_VALUE"""),"FLA")</f>
        <v>FLA</v>
      </c>
      <c r="D1694" s="1" t="str">
        <f>IFERROR(__xludf.DUMMYFUNCTION("""COMPUTED_VALUE"""),"JERIC NAVARRO")</f>
        <v>JERIC NAVARRO</v>
      </c>
      <c r="E1694" s="1" t="str">
        <f>IFERROR(__xludf.DUMMYFUNCTION("""COMPUTED_VALUE"""),"PLDT / ONLINE")</f>
        <v>PLDT / ONLINE</v>
      </c>
      <c r="F1694" s="1">
        <f>IFERROR(__xludf.DUMMYFUNCTION("""COMPUTED_VALUE"""),2309519917)</f>
        <v>2309519917</v>
      </c>
      <c r="G1694" s="1">
        <f>IFERROR(__xludf.DUMMYFUNCTION("""COMPUTED_VALUE"""),454756159004)</f>
        <v>454756159004</v>
      </c>
      <c r="H1694" s="1" t="str">
        <f>IFERROR(__xludf.DUMMYFUNCTION("""COMPUTED_VALUE"""),"PATRICIA BERNADETTE HERNANDEZ ONG")</f>
        <v>PATRICIA BERNADETTE HERNANDEZ ONG</v>
      </c>
      <c r="I1694" s="1">
        <f>IFERROR(__xludf.DUMMYFUNCTION("""COMPUTED_VALUE"""),9673121468)</f>
        <v>9673121468</v>
      </c>
      <c r="J1694" s="1"/>
      <c r="K1694" s="1" t="str">
        <f>IFERROR(__xludf.DUMMYFUNCTION("""COMPUTED_VALUE"""),"ONGPATRICIABERNADETTE11@GMAIL.COM")</f>
        <v>ONGPATRICIABERNADETTE11@GMAIL.COM</v>
      </c>
      <c r="L1694" s="1" t="str">
        <f>IFERROR(__xludf.DUMMYFUNCTION("""COMPUTED_VALUE"""),"10069")</f>
        <v>10069</v>
      </c>
      <c r="M1694" s="1" t="str">
        <f>IFERROR(__xludf.DUMMYFUNCTION("""COMPUTED_VALUE"""),"MINANTOK KANLURAN")</f>
        <v>MINANTOK KANLURAN</v>
      </c>
      <c r="N1694" s="1"/>
      <c r="O1694" s="1" t="str">
        <f>IFERROR(__xludf.DUMMYFUNCTION("""COMPUTED_VALUE"""),"MINANTOK KANLURAN")</f>
        <v>MINANTOK KANLURAN</v>
      </c>
      <c r="P1694" s="1" t="str">
        <f>IFERROR(__xludf.DUMMYFUNCTION("""COMPUTED_VALUE"""),"AMADEO")</f>
        <v>AMADEO</v>
      </c>
      <c r="Q1694" s="1" t="str">
        <f>IFERROR(__xludf.DUMMYFUNCTION("""COMPUTED_VALUE"""),"CAVITE")</f>
        <v>CAVITE</v>
      </c>
      <c r="R1694" s="1" t="str">
        <f>IFERROR(__xludf.DUMMYFUNCTION("""COMPUTED_VALUE"""),"FIBR UNLI ALL PLAN 1399")</f>
        <v>FIBR UNLI ALL PLAN 1399</v>
      </c>
      <c r="S1694" s="1" t="str">
        <f>IFERROR(__xludf.DUMMYFUNCTION("""COMPUTED_VALUE"""),"APPROVED")</f>
        <v>APPROVED</v>
      </c>
      <c r="T1694" s="1" t="str">
        <f>IFERROR(__xludf.DUMMYFUNCTION("""COMPUTED_VALUE"""),"CLOSED")</f>
        <v>CLOSED</v>
      </c>
      <c r="U1694" s="1" t="str">
        <f>IFERROR(__xludf.DUMMYFUNCTION("""COMPUTED_VALUE"""),"POSTED")</f>
        <v>POSTED</v>
      </c>
      <c r="V1694" s="1"/>
      <c r="W1694" s="1"/>
    </row>
    <row r="1695" customHeight="1" spans="1:23">
      <c r="A1695" s="3">
        <f>IFERROR(__xludf.DUMMYFUNCTION("""COMPUTED_VALUE"""),46158)</f>
        <v>46158</v>
      </c>
      <c r="B1695" s="1" t="str">
        <f>IFERROR(__xludf.DUMMYFUNCTION("""COMPUTED_VALUE"""),"FARO, REFRANTA")</f>
        <v>FARO, REFRANTA</v>
      </c>
      <c r="C1695" s="1" t="str">
        <f>IFERROR(__xludf.DUMMYFUNCTION("""COMPUTED_VALUE"""),"ORGANIC")</f>
        <v>ORGANIC</v>
      </c>
      <c r="D1695" s="1" t="str">
        <f>IFERROR(__xludf.DUMMYFUNCTION("""COMPUTED_VALUE"""),"ALINGARO, CINDY")</f>
        <v>ALINGARO, CINDY</v>
      </c>
      <c r="E1695" s="1" t="str">
        <f>IFERROR(__xludf.DUMMYFUNCTION("""COMPUTED_VALUE"""),"PLDT / H2H")</f>
        <v>PLDT / H2H</v>
      </c>
      <c r="F1695" s="1"/>
      <c r="G1695" s="1"/>
      <c r="H1695" s="1" t="str">
        <f>IFERROR(__xludf.DUMMYFUNCTION("""COMPUTED_VALUE"""),"HAROLD ANDY DOMINGUIANO DIMAANO")</f>
        <v>HAROLD ANDY DOMINGUIANO DIMAANO</v>
      </c>
      <c r="I1695" s="1">
        <f>IFERROR(__xludf.DUMMYFUNCTION("""COMPUTED_VALUE"""),9300393465)</f>
        <v>9300393465</v>
      </c>
      <c r="J1695" s="1"/>
      <c r="K1695" s="1" t="str">
        <f>IFERROR(__xludf.DUMMYFUNCTION("""COMPUTED_VALUE"""),"BH02162003@GMAIL.COM")</f>
        <v>BH02162003@GMAIL.COM</v>
      </c>
      <c r="L1695" s="1" t="str">
        <f>IFERROR(__xludf.DUMMYFUNCTION("""COMPUTED_VALUE"""),"410")</f>
        <v>410</v>
      </c>
      <c r="M1695" s="1" t="str">
        <f>IFERROR(__xludf.DUMMYFUNCTION("""COMPUTED_VALUE"""),"MUNTING ILOG")</f>
        <v>MUNTING ILOG</v>
      </c>
      <c r="N1695" s="1"/>
      <c r="O1695" s="1" t="str">
        <f>IFERROR(__xludf.DUMMYFUNCTION("""COMPUTED_VALUE"""),"MUNTING ILOG")</f>
        <v>MUNTING ILOG</v>
      </c>
      <c r="P1695" s="1" t="str">
        <f>IFERROR(__xludf.DUMMYFUNCTION("""COMPUTED_VALUE"""),"SILANG")</f>
        <v>SILANG</v>
      </c>
      <c r="Q1695" s="1" t="str">
        <f>IFERROR(__xludf.DUMMYFUNCTION("""COMPUTED_VALUE"""),"CAVITE")</f>
        <v>CAVITE</v>
      </c>
      <c r="R1695" s="1" t="str">
        <f>IFERROR(__xludf.DUMMYFUNCTION("""COMPUTED_VALUE"""),"FIBR UNLI ALL PLAN 1399")</f>
        <v>FIBR UNLI ALL PLAN 1399</v>
      </c>
      <c r="S1695" s="1" t="str">
        <f>IFERROR(__xludf.DUMMYFUNCTION("""COMPUTED_VALUE"""),"HOLD")</f>
        <v>HOLD</v>
      </c>
      <c r="T1695" s="1" t="str">
        <f>IFERROR(__xludf.DUMMYFUNCTION("""COMPUTED_VALUE"""),"#N/A")</f>
        <v>#N/A</v>
      </c>
      <c r="U1695" s="1"/>
      <c r="V1695" s="1"/>
      <c r="W1695" s="1"/>
    </row>
    <row r="1696" customHeight="1" spans="1:23">
      <c r="A1696" s="3">
        <f>IFERROR(__xludf.DUMMYFUNCTION("""COMPUTED_VALUE"""),46158)</f>
        <v>46158</v>
      </c>
      <c r="B1696" s="1" t="str">
        <f>IFERROR(__xludf.DUMMYFUNCTION("""COMPUTED_VALUE"""),"FRANCISCO , ROSELYN")</f>
        <v>FRANCISCO , ROSELYN</v>
      </c>
      <c r="C1696" s="1" t="str">
        <f>IFERROR(__xludf.DUMMYFUNCTION("""COMPUTED_VALUE"""),"ORGANIC")</f>
        <v>ORGANIC</v>
      </c>
      <c r="D1696" s="1" t="str">
        <f>IFERROR(__xludf.DUMMYFUNCTION("""COMPUTED_VALUE"""),"ALOS, CHARLS")</f>
        <v>ALOS, CHARLS</v>
      </c>
      <c r="E1696" s="1" t="str">
        <f>IFERROR(__xludf.DUMMYFUNCTION("""COMPUTED_VALUE"""),"PLDT / H2H")</f>
        <v>PLDT / H2H</v>
      </c>
      <c r="F1696" s="1">
        <f>IFERROR(__xludf.DUMMYFUNCTION("""COMPUTED_VALUE"""),2309532341)</f>
        <v>2309532341</v>
      </c>
      <c r="G1696" s="1">
        <f>IFERROR(__xludf.DUMMYFUNCTION("""COMPUTED_VALUE"""),454853805004)</f>
        <v>454853805004</v>
      </c>
      <c r="H1696" s="1" t="str">
        <f>IFERROR(__xludf.DUMMYFUNCTION("""COMPUTED_VALUE"""),"KYLLE MHIKA MENDOZA FORMAREJO")</f>
        <v>KYLLE MHIKA MENDOZA FORMAREJO</v>
      </c>
      <c r="I1696" s="1">
        <f>IFERROR(__xludf.DUMMYFUNCTION("""COMPUTED_VALUE"""),994079983)</f>
        <v>994079983</v>
      </c>
      <c r="J1696" s="1"/>
      <c r="K1696" s="1" t="str">
        <f>IFERROR(__xludf.DUMMYFUNCTION("""COMPUTED_VALUE"""),"FORMAREJOKYLLEMHIKELL@GMAIL.COM")</f>
        <v>FORMAREJOKYLLEMHIKELL@GMAIL.COM</v>
      </c>
      <c r="L1696" s="1" t="str">
        <f>IFERROR(__xludf.DUMMYFUNCTION("""COMPUTED_VALUE"""),"43")</f>
        <v>43</v>
      </c>
      <c r="M1696" s="1" t="str">
        <f>IFERROR(__xludf.DUMMYFUNCTION("""COMPUTED_VALUE"""),"PATUTONG RD")</f>
        <v>PATUTONG RD</v>
      </c>
      <c r="N1696" s="1"/>
      <c r="O1696" s="1" t="str">
        <f>IFERROR(__xludf.DUMMYFUNCTION("""COMPUTED_VALUE"""),"PATUTONG MALAKI SOUTH")</f>
        <v>PATUTONG MALAKI SOUTH</v>
      </c>
      <c r="P1696" s="1" t="str">
        <f>IFERROR(__xludf.DUMMYFUNCTION("""COMPUTED_VALUE"""),"TAGAYTAY")</f>
        <v>TAGAYTAY</v>
      </c>
      <c r="Q1696" s="1" t="str">
        <f>IFERROR(__xludf.DUMMYFUNCTION("""COMPUTED_VALUE"""),"CAVITE")</f>
        <v>CAVITE</v>
      </c>
      <c r="R1696" s="1" t="str">
        <f>IFERROR(__xludf.DUMMYFUNCTION("""COMPUTED_VALUE"""),"FIBR NETFLIX PLAN 1599")</f>
        <v>FIBR NETFLIX PLAN 1599</v>
      </c>
      <c r="S1696" s="1" t="str">
        <f>IFERROR(__xludf.DUMMYFUNCTION("""COMPUTED_VALUE"""),"APPROVED")</f>
        <v>APPROVED</v>
      </c>
      <c r="T1696" s="1" t="str">
        <f>IFERROR(__xludf.DUMMYFUNCTION("""COMPUTED_VALUE"""),"CLOSED")</f>
        <v>CLOSED</v>
      </c>
      <c r="U1696" s="1" t="str">
        <f>IFERROR(__xludf.DUMMYFUNCTION("""COMPUTED_VALUE"""),"POSTED")</f>
        <v>POSTED</v>
      </c>
      <c r="V1696" s="1"/>
      <c r="W1696" s="1"/>
    </row>
    <row r="1697" customHeight="1" spans="1:23">
      <c r="A1697" s="3">
        <f>IFERROR(__xludf.DUMMYFUNCTION("""COMPUTED_VALUE"""),46158)</f>
        <v>46158</v>
      </c>
      <c r="B1697" s="1" t="str">
        <f>IFERROR(__xludf.DUMMYFUNCTION("""COMPUTED_VALUE"""),"FARO, REFRANTA")</f>
        <v>FARO, REFRANTA</v>
      </c>
      <c r="C1697" s="1" t="str">
        <f>IFERROR(__xludf.DUMMYFUNCTION("""COMPUTED_VALUE"""),"ORGANIC")</f>
        <v>ORGANIC</v>
      </c>
      <c r="D1697" s="1" t="str">
        <f>IFERROR(__xludf.DUMMYFUNCTION("""COMPUTED_VALUE"""),"ALINGARO, CINDY")</f>
        <v>ALINGARO, CINDY</v>
      </c>
      <c r="E1697" s="1" t="str">
        <f>IFERROR(__xludf.DUMMYFUNCTION("""COMPUTED_VALUE"""),"PLDT / H2H")</f>
        <v>PLDT / H2H</v>
      </c>
      <c r="F1697" s="1">
        <f>IFERROR(__xludf.DUMMYFUNCTION("""COMPUTED_VALUE"""),2309532826)</f>
        <v>2309532826</v>
      </c>
      <c r="G1697" s="1">
        <f>IFERROR(__xludf.DUMMYFUNCTION("""COMPUTED_VALUE"""),454857183004)</f>
        <v>454857183004</v>
      </c>
      <c r="H1697" s="1" t="str">
        <f>IFERROR(__xludf.DUMMYFUNCTION("""COMPUTED_VALUE"""),"VIRGILLO DELA ROSA BABILA")</f>
        <v>VIRGILLO DELA ROSA BABILA</v>
      </c>
      <c r="I1697" s="1">
        <f>IFERROR(__xludf.DUMMYFUNCTION("""COMPUTED_VALUE"""),9544809455)</f>
        <v>9544809455</v>
      </c>
      <c r="J1697" s="1"/>
      <c r="K1697" s="1" t="str">
        <f>IFERROR(__xludf.DUMMYFUNCTION("""COMPUTED_VALUE"""),"VIRGILLOBABILA@GMAIL.COM")</f>
        <v>VIRGILLOBABILA@GMAIL.COM</v>
      </c>
      <c r="L1697" s="1" t="str">
        <f>IFERROR(__xludf.DUMMYFUNCTION("""COMPUTED_VALUE"""),"12372")</f>
        <v>12372</v>
      </c>
      <c r="M1697" s="1" t="str">
        <f>IFERROR(__xludf.DUMMYFUNCTION("""COMPUTED_VALUE"""),"PALIGAWAN")</f>
        <v>PALIGAWAN</v>
      </c>
      <c r="N1697" s="1"/>
      <c r="O1697" s="1" t="str">
        <f>IFERROR(__xludf.DUMMYFUNCTION("""COMPUTED_VALUE"""),"LANTIC")</f>
        <v>LANTIC</v>
      </c>
      <c r="P1697" s="1" t="str">
        <f>IFERROR(__xludf.DUMMYFUNCTION("""COMPUTED_VALUE"""),"CARMONA")</f>
        <v>CARMONA</v>
      </c>
      <c r="Q1697" s="1" t="str">
        <f>IFERROR(__xludf.DUMMYFUNCTION("""COMPUTED_VALUE"""),"CAVITE")</f>
        <v>CAVITE</v>
      </c>
      <c r="R1697" s="1" t="str">
        <f>IFERROR(__xludf.DUMMYFUNCTION("""COMPUTED_VALUE"""),"FIBR UNLI ALL PLAN 999")</f>
        <v>FIBR UNLI ALL PLAN 999</v>
      </c>
      <c r="S1697" s="1" t="str">
        <f>IFERROR(__xludf.DUMMYFUNCTION("""COMPUTED_VALUE"""),"APPROVED")</f>
        <v>APPROVED</v>
      </c>
      <c r="T1697" s="1" t="str">
        <f>IFERROR(__xludf.DUMMYFUNCTION("""COMPUTED_VALUE"""),"CANCELLED")</f>
        <v>CANCELLED</v>
      </c>
      <c r="U1697" s="1"/>
      <c r="V1697" s="1"/>
      <c r="W1697" s="1"/>
    </row>
    <row r="1698" customHeight="1" spans="1:23">
      <c r="A1698" s="3">
        <f>IFERROR(__xludf.DUMMYFUNCTION("""COMPUTED_VALUE"""),46158)</f>
        <v>46158</v>
      </c>
      <c r="B1698" s="1" t="str">
        <f>IFERROR(__xludf.DUMMYFUNCTION("""COMPUTED_VALUE"""),"RIVERA, AIRIZH JOY")</f>
        <v>RIVERA, AIRIZH JOY</v>
      </c>
      <c r="C1698" s="1" t="str">
        <f>IFERROR(__xludf.DUMMYFUNCTION("""COMPUTED_VALUE"""),"ORGANIC")</f>
        <v>ORGANIC</v>
      </c>
      <c r="D1698" s="1" t="str">
        <f>IFERROR(__xludf.DUMMYFUNCTION("""COMPUTED_VALUE"""),"ALOS, CHARLS")</f>
        <v>ALOS, CHARLS</v>
      </c>
      <c r="E1698" s="1" t="str">
        <f>IFERROR(__xludf.DUMMYFUNCTION("""COMPUTED_VALUE"""),"PLDT / H2H")</f>
        <v>PLDT / H2H</v>
      </c>
      <c r="F1698" s="1">
        <f>IFERROR(__xludf.DUMMYFUNCTION("""COMPUTED_VALUE"""),2309533162)</f>
        <v>2309533162</v>
      </c>
      <c r="G1698" s="1">
        <f>IFERROR(__xludf.DUMMYFUNCTION("""COMPUTED_VALUE"""),454858752004)</f>
        <v>454858752004</v>
      </c>
      <c r="H1698" s="1" t="str">
        <f>IFERROR(__xludf.DUMMYFUNCTION("""COMPUTED_VALUE"""),"KHELL BRIAN BAJANAS MANALO")</f>
        <v>KHELL BRIAN BAJANAS MANALO</v>
      </c>
      <c r="I1698" s="1">
        <f>IFERROR(__xludf.DUMMYFUNCTION("""COMPUTED_VALUE"""),9054388171)</f>
        <v>9054388171</v>
      </c>
      <c r="J1698" s="1">
        <f>IFERROR(__xludf.DUMMYFUNCTION("""COMPUTED_VALUE"""),9396702745)</f>
        <v>9396702745</v>
      </c>
      <c r="K1698" s="1" t="str">
        <f>IFERROR(__xludf.DUMMYFUNCTION("""COMPUTED_VALUE"""),"KHELLBRIANBAJANASMANALO@GMAIL.COM")</f>
        <v>KHELLBRIANBAJANASMANALO@GMAIL.COM</v>
      </c>
      <c r="L1698" s="1" t="str">
        <f>IFERROR(__xludf.DUMMYFUNCTION("""COMPUTED_VALUE"""),"17C")</f>
        <v>17C</v>
      </c>
      <c r="M1698" s="1" t="str">
        <f>IFERROR(__xludf.DUMMYFUNCTION("""COMPUTED_VALUE"""),"DIMAPILIS")</f>
        <v>DIMAPILIS</v>
      </c>
      <c r="N1698" s="1"/>
      <c r="O1698" s="1" t="str">
        <f>IFERROR(__xludf.DUMMYFUNCTION("""COMPUTED_VALUE"""),"ANULING LEJOS II")</f>
        <v>ANULING LEJOS II</v>
      </c>
      <c r="P1698" s="1" t="str">
        <f>IFERROR(__xludf.DUMMYFUNCTION("""COMPUTED_VALUE"""),"MENDEZ")</f>
        <v>MENDEZ</v>
      </c>
      <c r="Q1698" s="1" t="str">
        <f>IFERROR(__xludf.DUMMYFUNCTION("""COMPUTED_VALUE"""),"CAVITE")</f>
        <v>CAVITE</v>
      </c>
      <c r="R1698" s="1" t="str">
        <f>IFERROR(__xludf.DUMMYFUNCTION("""COMPUTED_VALUE"""),"FIBR NETFLIX PLAN 1599")</f>
        <v>FIBR NETFLIX PLAN 1599</v>
      </c>
      <c r="S1698" s="1" t="str">
        <f>IFERROR(__xludf.DUMMYFUNCTION("""COMPUTED_VALUE"""),"APPROVED")</f>
        <v>APPROVED</v>
      </c>
      <c r="T1698" s="1" t="str">
        <f>IFERROR(__xludf.DUMMYFUNCTION("""COMPUTED_VALUE"""),"RPR")</f>
        <v>RPR</v>
      </c>
      <c r="U1698" s="1"/>
      <c r="V1698" s="1"/>
      <c r="W1698" s="1"/>
    </row>
    <row r="1699" customHeight="1" spans="1:23">
      <c r="A1699" s="3">
        <f>IFERROR(__xludf.DUMMYFUNCTION("""COMPUTED_VALUE"""),46158)</f>
        <v>46158</v>
      </c>
      <c r="B1699" s="1" t="str">
        <f>IFERROR(__xludf.DUMMYFUNCTION("""COMPUTED_VALUE"""),"LEADSTORE - ILANO, LIANDRO TEJAS")</f>
        <v>LEADSTORE - ILANO, LIANDRO TEJAS</v>
      </c>
      <c r="C1699" s="1" t="str">
        <f>IFERROR(__xludf.DUMMYFUNCTION("""COMPUTED_VALUE"""),"FLA")</f>
        <v>FLA</v>
      </c>
      <c r="D1699" s="1" t="str">
        <f>IFERROR(__xludf.DUMMYFUNCTION("""COMPUTED_VALUE"""),"JERIC NAVARRO")</f>
        <v>JERIC NAVARRO</v>
      </c>
      <c r="E1699" s="1" t="str">
        <f>IFERROR(__xludf.DUMMYFUNCTION("""COMPUTED_VALUE"""),"PLDT / H2H")</f>
        <v>PLDT / H2H</v>
      </c>
      <c r="F1699" s="1">
        <f>IFERROR(__xludf.DUMMYFUNCTION("""COMPUTED_VALUE"""),2309534947)</f>
        <v>2309534947</v>
      </c>
      <c r="G1699" s="1">
        <f>IFERROR(__xludf.DUMMYFUNCTION("""COMPUTED_VALUE"""),454860985004)</f>
        <v>454860985004</v>
      </c>
      <c r="H1699" s="1" t="str">
        <f>IFERROR(__xludf.DUMMYFUNCTION("""COMPUTED_VALUE"""),"KAREN MAE FEDELINO CUCIO")</f>
        <v>KAREN MAE FEDELINO CUCIO</v>
      </c>
      <c r="I1699" s="1">
        <f>IFERROR(__xludf.DUMMYFUNCTION("""COMPUTED_VALUE"""),9367040296)</f>
        <v>9367040296</v>
      </c>
      <c r="J1699" s="1">
        <f>IFERROR(__xludf.DUMMYFUNCTION("""COMPUTED_VALUE"""),9531599074)</f>
        <v>9531599074</v>
      </c>
      <c r="K1699" s="1" t="str">
        <f>IFERROR(__xludf.DUMMYFUNCTION("""COMPUTED_VALUE"""),"KARENCUCIO78@GMAIL.COM")</f>
        <v>KARENCUCIO78@GMAIL.COM</v>
      </c>
      <c r="L1699" s="1" t="str">
        <f>IFERROR(__xludf.DUMMYFUNCTION("""COMPUTED_VALUE"""),"BLK 144 LOT 5")</f>
        <v>BLK 144 LOT 5</v>
      </c>
      <c r="M1699" s="1" t="str">
        <f>IFERROR(__xludf.DUMMYFUNCTION("""COMPUTED_VALUE"""),"AFH HOUSING")</f>
        <v>AFH HOUSING</v>
      </c>
      <c r="N1699" s="1"/>
      <c r="O1699" s="1" t="str">
        <f>IFERROR(__xludf.DUMMYFUNCTION("""COMPUTED_VALUE"""),"BULIHAN")</f>
        <v>BULIHAN</v>
      </c>
      <c r="P1699" s="1" t="str">
        <f>IFERROR(__xludf.DUMMYFUNCTION("""COMPUTED_VALUE"""),"SILANG")</f>
        <v>SILANG</v>
      </c>
      <c r="Q1699" s="1" t="str">
        <f>IFERROR(__xludf.DUMMYFUNCTION("""COMPUTED_VALUE"""),"CAVITE")</f>
        <v>CAVITE</v>
      </c>
      <c r="R1699" s="1" t="str">
        <f>IFERROR(__xludf.DUMMYFUNCTION("""COMPUTED_VALUE"""),"FIBR UNLI ALL PLAN 1399")</f>
        <v>FIBR UNLI ALL PLAN 1399</v>
      </c>
      <c r="S1699" s="1" t="str">
        <f>IFERROR(__xludf.DUMMYFUNCTION("""COMPUTED_VALUE"""),"APPROVED")</f>
        <v>APPROVED</v>
      </c>
      <c r="T1699" s="1" t="str">
        <f>IFERROR(__xludf.DUMMYFUNCTION("""COMPUTED_VALUE"""),"RPR")</f>
        <v>RPR</v>
      </c>
      <c r="U1699" s="1"/>
      <c r="V1699" s="1"/>
      <c r="W1699" s="1"/>
    </row>
    <row r="1700" customHeight="1" spans="1:23">
      <c r="A1700" s="3">
        <f>IFERROR(__xludf.DUMMYFUNCTION("""COMPUTED_VALUE"""),46158)</f>
        <v>46158</v>
      </c>
      <c r="B1700" s="1" t="str">
        <f>IFERROR(__xludf.DUMMYFUNCTION("""COMPUTED_VALUE"""),"FRONDEZ, JEDREFF")</f>
        <v>FRONDEZ, JEDREFF</v>
      </c>
      <c r="C1700" s="1" t="str">
        <f>IFERROR(__xludf.DUMMYFUNCTION("""COMPUTED_VALUE"""),"ORGANIC")</f>
        <v>ORGANIC</v>
      </c>
      <c r="D1700" s="1" t="str">
        <f>IFERROR(__xludf.DUMMYFUNCTION("""COMPUTED_VALUE"""),"REMOLLO LEA")</f>
        <v>REMOLLO LEA</v>
      </c>
      <c r="E1700" s="1" t="str">
        <f>IFERROR(__xludf.DUMMYFUNCTION("""COMPUTED_VALUE"""),"PLDT / H2H")</f>
        <v>PLDT / H2H</v>
      </c>
      <c r="F1700" s="1">
        <f>IFERROR(__xludf.DUMMYFUNCTION("""COMPUTED_VALUE"""),2309534223)</f>
        <v>2309534223</v>
      </c>
      <c r="G1700" s="1">
        <f>IFERROR(__xludf.DUMMYFUNCTION("""COMPUTED_VALUE"""),454865134004)</f>
        <v>454865134004</v>
      </c>
      <c r="H1700" s="1" t="str">
        <f>IFERROR(__xludf.DUMMYFUNCTION("""COMPUTED_VALUE"""),"MARY HAYLEY JOY ROSAS FERRER")</f>
        <v>MARY HAYLEY JOY ROSAS FERRER</v>
      </c>
      <c r="I1700" s="1">
        <f>IFERROR(__xludf.DUMMYFUNCTION("""COMPUTED_VALUE"""),9266859517)</f>
        <v>9266859517</v>
      </c>
      <c r="J1700" s="1">
        <f>IFERROR(__xludf.DUMMYFUNCTION("""COMPUTED_VALUE"""),9632950286)</f>
        <v>9632950286</v>
      </c>
      <c r="K1700" s="1" t="str">
        <f>IFERROR(__xludf.DUMMYFUNCTION("""COMPUTED_VALUE"""),"MARYHAYLEYJOY.DAVID@DEPED.GOV.PH")</f>
        <v>MARYHAYLEYJOY.DAVID@DEPED.GOV.PH</v>
      </c>
      <c r="L1700" s="1" t="str">
        <f>IFERROR(__xludf.DUMMYFUNCTION("""COMPUTED_VALUE"""),"9014")</f>
        <v>9014</v>
      </c>
      <c r="M1700" s="1" t="str">
        <f>IFERROR(__xludf.DUMMYFUNCTION("""COMPUTED_VALUE"""),"ANULING")</f>
        <v>ANULING</v>
      </c>
      <c r="N1700" s="1"/>
      <c r="O1700" s="1" t="str">
        <f>IFERROR(__xludf.DUMMYFUNCTION("""COMPUTED_VALUE"""),"ANULING CERCA I")</f>
        <v>ANULING CERCA I</v>
      </c>
      <c r="P1700" s="1" t="str">
        <f>IFERROR(__xludf.DUMMYFUNCTION("""COMPUTED_VALUE"""),"MENDEZ")</f>
        <v>MENDEZ</v>
      </c>
      <c r="Q1700" s="1" t="str">
        <f>IFERROR(__xludf.DUMMYFUNCTION("""COMPUTED_VALUE"""),"CAVITE")</f>
        <v>CAVITE</v>
      </c>
      <c r="R1700" s="1" t="str">
        <f>IFERROR(__xludf.DUMMYFUNCTION("""COMPUTED_VALUE"""),"FIBR UNLI ALL PLAN 1399")</f>
        <v>FIBR UNLI ALL PLAN 1399</v>
      </c>
      <c r="S1700" s="1" t="str">
        <f>IFERROR(__xludf.DUMMYFUNCTION("""COMPUTED_VALUE"""),"APPROVED")</f>
        <v>APPROVED</v>
      </c>
      <c r="T1700" s="1" t="str">
        <f>IFERROR(__xludf.DUMMYFUNCTION("""COMPUTED_VALUE"""),"CLOSED")</f>
        <v>CLOSED</v>
      </c>
      <c r="U1700" s="1" t="str">
        <f>IFERROR(__xludf.DUMMYFUNCTION("""COMPUTED_VALUE"""),"POSTED")</f>
        <v>POSTED</v>
      </c>
      <c r="V1700" s="1"/>
      <c r="W1700" s="1"/>
    </row>
    <row r="1701" customHeight="1" spans="1:23">
      <c r="A1701" s="3">
        <f>IFERROR(__xludf.DUMMYFUNCTION("""COMPUTED_VALUE"""),46158)</f>
        <v>46158</v>
      </c>
      <c r="B1701" s="1" t="str">
        <f>IFERROR(__xludf.DUMMYFUNCTION("""COMPUTED_VALUE"""),"MALIWAT MARK ELVIN")</f>
        <v>MALIWAT MARK ELVIN</v>
      </c>
      <c r="C1701" s="1" t="str">
        <f>IFERROR(__xludf.DUMMYFUNCTION("""COMPUTED_VALUE"""),"FLA")</f>
        <v>FLA</v>
      </c>
      <c r="D1701" s="1" t="str">
        <f>IFERROR(__xludf.DUMMYFUNCTION("""COMPUTED_VALUE"""),"JERIC NAVARRO")</f>
        <v>JERIC NAVARRO</v>
      </c>
      <c r="E1701" s="1" t="str">
        <f>IFERROR(__xludf.DUMMYFUNCTION("""COMPUTED_VALUE"""),"PLDT / ONLINE")</f>
        <v>PLDT / ONLINE</v>
      </c>
      <c r="F1701" s="1">
        <f>IFERROR(__xludf.DUMMYFUNCTION("""COMPUTED_VALUE"""),2309535480)</f>
        <v>2309535480</v>
      </c>
      <c r="G1701" s="1">
        <f>IFERROR(__xludf.DUMMYFUNCTION("""COMPUTED_VALUE"""),454862400004)</f>
        <v>454862400004</v>
      </c>
      <c r="H1701" s="1" t="str">
        <f>IFERROR(__xludf.DUMMYFUNCTION("""COMPUTED_VALUE"""),"SHARMAINE SABALZA CAPILA")</f>
        <v>SHARMAINE SABALZA CAPILA</v>
      </c>
      <c r="I1701" s="1">
        <f>IFERROR(__xludf.DUMMYFUNCTION("""COMPUTED_VALUE"""),9085569932)</f>
        <v>9085569932</v>
      </c>
      <c r="J1701" s="1"/>
      <c r="K1701" s="1" t="str">
        <f>IFERROR(__xludf.DUMMYFUNCTION("""COMPUTED_VALUE"""),"SHARMAINECAPILA2@GMAIL.COM")</f>
        <v>SHARMAINECAPILA2@GMAIL.COM</v>
      </c>
      <c r="L1701" s="1" t="str">
        <f>IFERROR(__xludf.DUMMYFUNCTION("""COMPUTED_VALUE"""),"4E")</f>
        <v>4E</v>
      </c>
      <c r="M1701" s="1" t="str">
        <f>IFERROR(__xludf.DUMMYFUNCTION("""COMPUTED_VALUE"""),"SCANDIA")</f>
        <v>SCANDIA</v>
      </c>
      <c r="N1701" s="1"/>
      <c r="O1701" s="1" t="str">
        <f>IFERROR(__xludf.DUMMYFUNCTION("""COMPUTED_VALUE"""),"INCHICAN")</f>
        <v>INCHICAN</v>
      </c>
      <c r="P1701" s="1" t="str">
        <f>IFERROR(__xludf.DUMMYFUNCTION("""COMPUTED_VALUE"""),"SILANG")</f>
        <v>SILANG</v>
      </c>
      <c r="Q1701" s="1" t="str">
        <f>IFERROR(__xludf.DUMMYFUNCTION("""COMPUTED_VALUE"""),"CAVITE")</f>
        <v>CAVITE</v>
      </c>
      <c r="R1701" s="1" t="str">
        <f>IFERROR(__xludf.DUMMYFUNCTION("""COMPUTED_VALUE"""),"FIBR PLAN 1299")</f>
        <v>FIBR PLAN 1299</v>
      </c>
      <c r="S1701" s="1" t="str">
        <f>IFERROR(__xludf.DUMMYFUNCTION("""COMPUTED_VALUE"""),"APPROVED")</f>
        <v>APPROVED</v>
      </c>
      <c r="T1701" s="1" t="str">
        <f>IFERROR(__xludf.DUMMYFUNCTION("""COMPUTED_VALUE"""),"CANCELLED")</f>
        <v>CANCELLED</v>
      </c>
      <c r="U1701" s="1"/>
      <c r="V1701" s="1"/>
      <c r="W1701" s="1"/>
    </row>
    <row r="1702" customHeight="1" spans="1:23">
      <c r="A1702" s="3">
        <f>IFERROR(__xludf.DUMMYFUNCTION("""COMPUTED_VALUE"""),46158)</f>
        <v>46158</v>
      </c>
      <c r="B1702" s="1" t="str">
        <f>IFERROR(__xludf.DUMMYFUNCTION("""COMPUTED_VALUE"""),"PHILIP, DRIVER")</f>
        <v>PHILIP, DRIVER</v>
      </c>
      <c r="C1702" s="1" t="str">
        <f>IFERROR(__xludf.DUMMYFUNCTION("""COMPUTED_VALUE"""),"FLA")</f>
        <v>FLA</v>
      </c>
      <c r="D1702" s="1" t="str">
        <f>IFERROR(__xludf.DUMMYFUNCTION("""COMPUTED_VALUE"""),"JERIC NAVARRO")</f>
        <v>JERIC NAVARRO</v>
      </c>
      <c r="E1702" s="1" t="str">
        <f>IFERROR(__xludf.DUMMYFUNCTION("""COMPUTED_VALUE"""),"RED FIBER")</f>
        <v>RED FIBER</v>
      </c>
      <c r="F1702" s="1"/>
      <c r="G1702" s="1"/>
      <c r="H1702" s="1" t="str">
        <f>IFERROR(__xludf.DUMMYFUNCTION("""COMPUTED_VALUE"""),"JESSICA ALYANA ALAISA LUPENA")</f>
        <v>JESSICA ALYANA ALAISA LUPENA</v>
      </c>
      <c r="I1702" s="1">
        <f>IFERROR(__xludf.DUMMYFUNCTION("""COMPUTED_VALUE"""),9763437346)</f>
        <v>9763437346</v>
      </c>
      <c r="J1702" s="1"/>
      <c r="K1702" s="1" t="str">
        <f>IFERROR(__xludf.DUMMYFUNCTION("""COMPUTED_VALUE"""),"LABELEDBYCHARLOTTE@GMAIL.COM")</f>
        <v>LABELEDBYCHARLOTTE@GMAIL.COM</v>
      </c>
      <c r="L1702" s="1" t="str">
        <f>IFERROR(__xludf.DUMMYFUNCTION("""COMPUTED_VALUE"""),"BLK 24 LOT 30")</f>
        <v>BLK 24 LOT 30</v>
      </c>
      <c r="M1702" s="1" t="str">
        <f>IFERROR(__xludf.DUMMYFUNCTION("""COMPUTED_VALUE"""),"PHASE 1")</f>
        <v>PHASE 1</v>
      </c>
      <c r="N1702" s="1" t="str">
        <f>IFERROR(__xludf.DUMMYFUNCTION("""COMPUTED_VALUE"""),"TERRA VERDE")</f>
        <v>TERRA VERDE</v>
      </c>
      <c r="O1702" s="1" t="str">
        <f>IFERROR(__xludf.DUMMYFUNCTION("""COMPUTED_VALUE"""),"BANCAL")</f>
        <v>BANCAL</v>
      </c>
      <c r="P1702" s="1" t="str">
        <f>IFERROR(__xludf.DUMMYFUNCTION("""COMPUTED_VALUE"""),"CARMONA")</f>
        <v>CARMONA</v>
      </c>
      <c r="Q1702" s="1" t="str">
        <f>IFERROR(__xludf.DUMMYFUNCTION("""COMPUTED_VALUE"""),"CAVITE")</f>
        <v>CAVITE</v>
      </c>
      <c r="R1702" s="1" t="str">
        <f>IFERROR(__xludf.DUMMYFUNCTION("""COMPUTED_VALUE"""),"RED PLAN 1000")</f>
        <v>RED PLAN 1000</v>
      </c>
      <c r="S1702" s="1" t="str">
        <f>IFERROR(__xludf.DUMMYFUNCTION("""COMPUTED_VALUE"""),"APPROVED")</f>
        <v>APPROVED</v>
      </c>
      <c r="T1702" s="1" t="str">
        <f>IFERROR(__xludf.DUMMYFUNCTION("""COMPUTED_VALUE"""),"CLOSED")</f>
        <v>CLOSED</v>
      </c>
      <c r="U1702" s="1" t="str">
        <f>IFERROR(__xludf.DUMMYFUNCTION("""COMPUTED_VALUE"""),"POSTED")</f>
        <v>POSTED</v>
      </c>
      <c r="V1702" s="1"/>
      <c r="W1702" s="1"/>
    </row>
    <row r="1703" customHeight="1" spans="1:23">
      <c r="A1703" s="3">
        <f>IFERROR(__xludf.DUMMYFUNCTION("""COMPUTED_VALUE"""),46158)</f>
        <v>46158</v>
      </c>
      <c r="B1703" s="1" t="str">
        <f>IFERROR(__xludf.DUMMYFUNCTION("""COMPUTED_VALUE"""),"FRANCISCO , ROSELYN")</f>
        <v>FRANCISCO , ROSELYN</v>
      </c>
      <c r="C1703" s="1" t="str">
        <f>IFERROR(__xludf.DUMMYFUNCTION("""COMPUTED_VALUE"""),"ORGANIC")</f>
        <v>ORGANIC</v>
      </c>
      <c r="D1703" s="1" t="str">
        <f>IFERROR(__xludf.DUMMYFUNCTION("""COMPUTED_VALUE"""),"ALOS, CHARLS")</f>
        <v>ALOS, CHARLS</v>
      </c>
      <c r="E1703" s="1" t="str">
        <f>IFERROR(__xludf.DUMMYFUNCTION("""COMPUTED_VALUE"""),"RED FIBER")</f>
        <v>RED FIBER</v>
      </c>
      <c r="F1703" s="1"/>
      <c r="G1703" s="1"/>
      <c r="H1703" s="1" t="str">
        <f>IFERROR(__xludf.DUMMYFUNCTION("""COMPUTED_VALUE"""),"JAN KEVIN FLORES BINONDO")</f>
        <v>JAN KEVIN FLORES BINONDO</v>
      </c>
      <c r="I1703" s="1">
        <f>IFERROR(__xludf.DUMMYFUNCTION("""COMPUTED_VALUE"""),9158396981)</f>
        <v>9158396981</v>
      </c>
      <c r="J1703" s="1"/>
      <c r="K1703" s="1" t="str">
        <f>IFERROR(__xludf.DUMMYFUNCTION("""COMPUTED_VALUE"""),"MARIACRISTINABACARO12@GMAIL.COM")</f>
        <v>MARIACRISTINABACARO12@GMAIL.COM</v>
      </c>
      <c r="L1703" s="1" t="str">
        <f>IFERROR(__xludf.DUMMYFUNCTION("""COMPUTED_VALUE"""),"14522")</f>
        <v>14522</v>
      </c>
      <c r="M1703" s="1" t="str">
        <f>IFERROR(__xludf.DUMMYFUNCTION("""COMPUTED_VALUE"""),"PATUTONG RD")</f>
        <v>PATUTONG RD</v>
      </c>
      <c r="N1703" s="1"/>
      <c r="O1703" s="1" t="str">
        <f>IFERROR(__xludf.DUMMYFUNCTION("""COMPUTED_VALUE"""),"PATUTONG MALAKI SOUTH")</f>
        <v>PATUTONG MALAKI SOUTH</v>
      </c>
      <c r="P1703" s="1" t="str">
        <f>IFERROR(__xludf.DUMMYFUNCTION("""COMPUTED_VALUE"""),"TAGAYTAY")</f>
        <v>TAGAYTAY</v>
      </c>
      <c r="Q1703" s="1" t="str">
        <f>IFERROR(__xludf.DUMMYFUNCTION("""COMPUTED_VALUE"""),"CAVITE")</f>
        <v>CAVITE</v>
      </c>
      <c r="R1703" s="1" t="str">
        <f>IFERROR(__xludf.DUMMYFUNCTION("""COMPUTED_VALUE"""),"RED PLAN 1000")</f>
        <v>RED PLAN 1000</v>
      </c>
      <c r="S1703" s="1" t="str">
        <f>IFERROR(__xludf.DUMMYFUNCTION("""COMPUTED_VALUE"""),"APPROVED")</f>
        <v>APPROVED</v>
      </c>
      <c r="T1703" s="1" t="str">
        <f>IFERROR(__xludf.DUMMYFUNCTION("""COMPUTED_VALUE"""),"CLOSED")</f>
        <v>CLOSED</v>
      </c>
      <c r="U1703" s="1" t="str">
        <f>IFERROR(__xludf.DUMMYFUNCTION("""COMPUTED_VALUE"""),"POSTED")</f>
        <v>POSTED</v>
      </c>
      <c r="V1703" s="1"/>
      <c r="W1703" s="1"/>
    </row>
    <row r="1704" customHeight="1" spans="1:23">
      <c r="A1704" s="3">
        <f>IFERROR(__xludf.DUMMYFUNCTION("""COMPUTED_VALUE"""),46158)</f>
        <v>46158</v>
      </c>
      <c r="B1704" s="1" t="str">
        <f>IFERROR(__xludf.DUMMYFUNCTION("""COMPUTED_VALUE"""),"AMADO, LYKA")</f>
        <v>AMADO, LYKA</v>
      </c>
      <c r="C1704" s="1" t="str">
        <f>IFERROR(__xludf.DUMMYFUNCTION("""COMPUTED_VALUE"""),"ORGANIC")</f>
        <v>ORGANIC</v>
      </c>
      <c r="D1704" s="1" t="str">
        <f>IFERROR(__xludf.DUMMYFUNCTION("""COMPUTED_VALUE"""),"ALINGARO, CINDY")</f>
        <v>ALINGARO, CINDY</v>
      </c>
      <c r="E1704" s="1" t="str">
        <f>IFERROR(__xludf.DUMMYFUNCTION("""COMPUTED_VALUE"""),"PLDT / H2H")</f>
        <v>PLDT / H2H</v>
      </c>
      <c r="F1704" s="1">
        <f>IFERROR(__xludf.DUMMYFUNCTION("""COMPUTED_VALUE"""),2309535229)</f>
        <v>2309535229</v>
      </c>
      <c r="G1704" s="1">
        <f>IFERROR(__xludf.DUMMYFUNCTION("""COMPUTED_VALUE"""),454868394004)</f>
        <v>454868394004</v>
      </c>
      <c r="H1704" s="1" t="str">
        <f>IFERROR(__xludf.DUMMYFUNCTION("""COMPUTED_VALUE"""),"RANNEL GALICIA EUBRA")</f>
        <v>RANNEL GALICIA EUBRA</v>
      </c>
      <c r="I1704" s="1">
        <f>IFERROR(__xludf.DUMMYFUNCTION("""COMPUTED_VALUE"""),9629747088)</f>
        <v>9629747088</v>
      </c>
      <c r="J1704" s="1"/>
      <c r="K1704" s="1" t="str">
        <f>IFERROR(__xludf.DUMMYFUNCTION("""COMPUTED_VALUE"""),"ANNAMAEGALANG11@GMAIL.COM")</f>
        <v>ANNAMAEGALANG11@GMAIL.COM</v>
      </c>
      <c r="L1704" s="1" t="str">
        <f>IFERROR(__xludf.DUMMYFUNCTION("""COMPUTED_VALUE"""),"BLK 7 LOT 16")</f>
        <v>BLK 7 LOT 16</v>
      </c>
      <c r="M1704" s="1" t="str">
        <f>IFERROR(__xludf.DUMMYFUNCTION("""COMPUTED_VALUE"""),"SIKAP VILLE")</f>
        <v>SIKAP VILLE</v>
      </c>
      <c r="N1704" s="1"/>
      <c r="O1704" s="1" t="str">
        <f>IFERROR(__xludf.DUMMYFUNCTION("""COMPUTED_VALUE"""),"SABUTAN")</f>
        <v>SABUTAN</v>
      </c>
      <c r="P1704" s="1" t="str">
        <f>IFERROR(__xludf.DUMMYFUNCTION("""COMPUTED_VALUE"""),"SILANG")</f>
        <v>SILANG</v>
      </c>
      <c r="Q1704" s="1" t="str">
        <f>IFERROR(__xludf.DUMMYFUNCTION("""COMPUTED_VALUE"""),"CAVITE")</f>
        <v>CAVITE</v>
      </c>
      <c r="R1704" s="1" t="str">
        <f>IFERROR(__xludf.DUMMYFUNCTION("""COMPUTED_VALUE"""),"FIBR UNLI ALL PLAN 999")</f>
        <v>FIBR UNLI ALL PLAN 999</v>
      </c>
      <c r="S1704" s="1" t="str">
        <f>IFERROR(__xludf.DUMMYFUNCTION("""COMPUTED_VALUE"""),"APPROVED")</f>
        <v>APPROVED</v>
      </c>
      <c r="T1704" s="1" t="str">
        <f>IFERROR(__xludf.DUMMYFUNCTION("""COMPUTED_VALUE"""),"CLOSED")</f>
        <v>CLOSED</v>
      </c>
      <c r="U1704" s="1" t="str">
        <f>IFERROR(__xludf.DUMMYFUNCTION("""COMPUTED_VALUE"""),"POSTED")</f>
        <v>POSTED</v>
      </c>
      <c r="V1704" s="1"/>
      <c r="W1704" s="1"/>
    </row>
    <row r="1705" customHeight="1" spans="1:23">
      <c r="A1705" s="3">
        <f>IFERROR(__xludf.DUMMYFUNCTION("""COMPUTED_VALUE"""),46158)</f>
        <v>46158</v>
      </c>
      <c r="B1705" s="1" t="str">
        <f>IFERROR(__xludf.DUMMYFUNCTION("""COMPUTED_VALUE"""),"DELA ROSA, JENNELYN")</f>
        <v>DELA ROSA, JENNELYN</v>
      </c>
      <c r="C1705" s="1" t="str">
        <f>IFERROR(__xludf.DUMMYFUNCTION("""COMPUTED_VALUE"""),"ORGANIC")</f>
        <v>ORGANIC</v>
      </c>
      <c r="D1705" s="1" t="str">
        <f>IFERROR(__xludf.DUMMYFUNCTION("""COMPUTED_VALUE"""),"ALOS, CHARLS")</f>
        <v>ALOS, CHARLS</v>
      </c>
      <c r="E1705" s="1" t="str">
        <f>IFERROR(__xludf.DUMMYFUNCTION("""COMPUTED_VALUE"""),"PLDT / H2H")</f>
        <v>PLDT / H2H</v>
      </c>
      <c r="F1705" s="1">
        <f>IFERROR(__xludf.DUMMYFUNCTION("""COMPUTED_VALUE"""),2309535812)</f>
        <v>2309535812</v>
      </c>
      <c r="G1705" s="1">
        <f>IFERROR(__xludf.DUMMYFUNCTION("""COMPUTED_VALUE"""),454865045004)</f>
        <v>454865045004</v>
      </c>
      <c r="H1705" s="1" t="str">
        <f>IFERROR(__xludf.DUMMYFUNCTION("""COMPUTED_VALUE"""),"ALCENA GARCIA NAVICIO")</f>
        <v>ALCENA GARCIA NAVICIO</v>
      </c>
      <c r="I1705" s="1">
        <f>IFERROR(__xludf.DUMMYFUNCTION("""COMPUTED_VALUE"""),9451455552)</f>
        <v>9451455552</v>
      </c>
      <c r="J1705" s="1">
        <f>IFERROR(__xludf.DUMMYFUNCTION("""COMPUTED_VALUE"""),9453720007)</f>
        <v>9453720007</v>
      </c>
      <c r="K1705" s="1" t="str">
        <f>IFERROR(__xludf.DUMMYFUNCTION("""COMPUTED_VALUE"""),"ALCENAROCILLO@GMAIL.COM")</f>
        <v>ALCENAROCILLO@GMAIL.COM</v>
      </c>
      <c r="L1705" s="1" t="str">
        <f>IFERROR(__xludf.DUMMYFUNCTION("""COMPUTED_VALUE"""),"13")</f>
        <v>13</v>
      </c>
      <c r="M1705" s="1" t="str">
        <f>IFERROR(__xludf.DUMMYFUNCTION("""COMPUTED_VALUE"""),"MENDOZA")</f>
        <v>MENDOZA</v>
      </c>
      <c r="N1705" s="1"/>
      <c r="O1705" s="1" t="str">
        <f>IFERROR(__xludf.DUMMYFUNCTION("""COMPUTED_VALUE"""),"GALICIA III")</f>
        <v>GALICIA III</v>
      </c>
      <c r="P1705" s="1" t="str">
        <f>IFERROR(__xludf.DUMMYFUNCTION("""COMPUTED_VALUE"""),"MENDEZ")</f>
        <v>MENDEZ</v>
      </c>
      <c r="Q1705" s="1" t="str">
        <f>IFERROR(__xludf.DUMMYFUNCTION("""COMPUTED_VALUE"""),"CAVITE")</f>
        <v>CAVITE</v>
      </c>
      <c r="R1705" s="1" t="str">
        <f>IFERROR(__xludf.DUMMYFUNCTION("""COMPUTED_VALUE"""),"FIBR UNLI ALL PLAN 1399")</f>
        <v>FIBR UNLI ALL PLAN 1399</v>
      </c>
      <c r="S1705" s="1" t="str">
        <f>IFERROR(__xludf.DUMMYFUNCTION("""COMPUTED_VALUE"""),"APPROVED")</f>
        <v>APPROVED</v>
      </c>
      <c r="T1705" s="1" t="str">
        <f>IFERROR(__xludf.DUMMYFUNCTION("""COMPUTED_VALUE"""),"CLOSED")</f>
        <v>CLOSED</v>
      </c>
      <c r="U1705" s="1" t="str">
        <f>IFERROR(__xludf.DUMMYFUNCTION("""COMPUTED_VALUE"""),"POSTED")</f>
        <v>POSTED</v>
      </c>
      <c r="V1705" s="1"/>
      <c r="W1705" s="1"/>
    </row>
    <row r="1706" customHeight="1" spans="1:23">
      <c r="A1706" s="3">
        <f>IFERROR(__xludf.DUMMYFUNCTION("""COMPUTED_VALUE"""),46158)</f>
        <v>46158</v>
      </c>
      <c r="B1706" s="1" t="str">
        <f>IFERROR(__xludf.DUMMYFUNCTION("""COMPUTED_VALUE"""),"AGUNOS, JHON AIRVIN")</f>
        <v>AGUNOS, JHON AIRVIN</v>
      </c>
      <c r="C1706" s="1" t="str">
        <f>IFERROR(__xludf.DUMMYFUNCTION("""COMPUTED_VALUE"""),"ORGANIC")</f>
        <v>ORGANIC</v>
      </c>
      <c r="D1706" s="1" t="str">
        <f>IFERROR(__xludf.DUMMYFUNCTION("""COMPUTED_VALUE"""),"ALINGARO, CINDY")</f>
        <v>ALINGARO, CINDY</v>
      </c>
      <c r="E1706" s="1" t="str">
        <f>IFERROR(__xludf.DUMMYFUNCTION("""COMPUTED_VALUE"""),"PLDT / H2H")</f>
        <v>PLDT / H2H</v>
      </c>
      <c r="F1706" s="1">
        <f>IFERROR(__xludf.DUMMYFUNCTION("""COMPUTED_VALUE"""),2309536198)</f>
        <v>2309536198</v>
      </c>
      <c r="G1706" s="1">
        <f>IFERROR(__xludf.DUMMYFUNCTION("""COMPUTED_VALUE"""),454865836004)</f>
        <v>454865836004</v>
      </c>
      <c r="H1706" s="1" t="str">
        <f>IFERROR(__xludf.DUMMYFUNCTION("""COMPUTED_VALUE"""),"CARLITO DOLIM TILBE")</f>
        <v>CARLITO DOLIM TILBE</v>
      </c>
      <c r="I1706" s="1">
        <f>IFERROR(__xludf.DUMMYFUNCTION("""COMPUTED_VALUE"""),9391870184)</f>
        <v>9391870184</v>
      </c>
      <c r="J1706" s="1">
        <f>IFERROR(__xludf.DUMMYFUNCTION("""COMPUTED_VALUE"""),9319021480)</f>
        <v>9319021480</v>
      </c>
      <c r="K1706" s="1" t="str">
        <f>IFERROR(__xludf.DUMMYFUNCTION("""COMPUTED_VALUE"""),"JESSAMAETILBE@GMAIL.COM")</f>
        <v>JESSAMAETILBE@GMAIL.COM</v>
      </c>
      <c r="L1706" s="1" t="str">
        <f>IFERROR(__xludf.DUMMYFUNCTION("""COMPUTED_VALUE"""),"BLK 2 ")</f>
        <v>BLK 2 </v>
      </c>
      <c r="M1706" s="1" t="str">
        <f>IFERROR(__xludf.DUMMYFUNCTION("""COMPUTED_VALUE"""),"EXCESS LOT")</f>
        <v>EXCESS LOT</v>
      </c>
      <c r="N1706" s="1"/>
      <c r="O1706" s="1" t="str">
        <f>IFERROR(__xludf.DUMMYFUNCTION("""COMPUTED_VALUE"""),"ANAHAW I")</f>
        <v>ANAHAW I</v>
      </c>
      <c r="P1706" s="1" t="str">
        <f>IFERROR(__xludf.DUMMYFUNCTION("""COMPUTED_VALUE"""),"SILANG")</f>
        <v>SILANG</v>
      </c>
      <c r="Q1706" s="1" t="str">
        <f>IFERROR(__xludf.DUMMYFUNCTION("""COMPUTED_VALUE"""),"CAVITE")</f>
        <v>CAVITE</v>
      </c>
      <c r="R1706" s="1" t="str">
        <f>IFERROR(__xludf.DUMMYFUNCTION("""COMPUTED_VALUE"""),"FIBR PLAN 1299")</f>
        <v>FIBR PLAN 1299</v>
      </c>
      <c r="S1706" s="1" t="str">
        <f>IFERROR(__xludf.DUMMYFUNCTION("""COMPUTED_VALUE"""),"APPROVED")</f>
        <v>APPROVED</v>
      </c>
      <c r="T1706" s="1" t="str">
        <f>IFERROR(__xludf.DUMMYFUNCTION("""COMPUTED_VALUE"""),"RPR")</f>
        <v>RPR</v>
      </c>
      <c r="U1706" s="1"/>
      <c r="V1706" s="1"/>
      <c r="W1706" s="1"/>
    </row>
    <row r="1707" customHeight="1" spans="1:23">
      <c r="A1707" s="3">
        <f>IFERROR(__xludf.DUMMYFUNCTION("""COMPUTED_VALUE"""),46158)</f>
        <v>46158</v>
      </c>
      <c r="B1707" s="1" t="str">
        <f>IFERROR(__xludf.DUMMYFUNCTION("""COMPUTED_VALUE"""),"MALIWAT MARK ELVIN")</f>
        <v>MALIWAT MARK ELVIN</v>
      </c>
      <c r="C1707" s="1" t="str">
        <f>IFERROR(__xludf.DUMMYFUNCTION("""COMPUTED_VALUE"""),"FLA")</f>
        <v>FLA</v>
      </c>
      <c r="D1707" s="1" t="str">
        <f>IFERROR(__xludf.DUMMYFUNCTION("""COMPUTED_VALUE"""),"JERIC NAVARRO")</f>
        <v>JERIC NAVARRO</v>
      </c>
      <c r="E1707" s="1" t="str">
        <f>IFERROR(__xludf.DUMMYFUNCTION("""COMPUTED_VALUE"""),"PLDT / ONLINE")</f>
        <v>PLDT / ONLINE</v>
      </c>
      <c r="F1707" s="1">
        <f>IFERROR(__xludf.DUMMYFUNCTION("""COMPUTED_VALUE"""),2309535847)</f>
        <v>2309535847</v>
      </c>
      <c r="G1707" s="1">
        <f>IFERROR(__xludf.DUMMYFUNCTION("""COMPUTED_VALUE"""),454866289004)</f>
        <v>454866289004</v>
      </c>
      <c r="H1707" s="1" t="str">
        <f>IFERROR(__xludf.DUMMYFUNCTION("""COMPUTED_VALUE"""),"DECERIN ABELLO VELARDE")</f>
        <v>DECERIN ABELLO VELARDE</v>
      </c>
      <c r="I1707" s="1">
        <f>IFERROR(__xludf.DUMMYFUNCTION("""COMPUTED_VALUE"""),9100275838)</f>
        <v>9100275838</v>
      </c>
      <c r="J1707" s="1">
        <f>IFERROR(__xludf.DUMMYFUNCTION("""COMPUTED_VALUE"""),9638616363)</f>
        <v>9638616363</v>
      </c>
      <c r="K1707" s="1" t="str">
        <f>IFERROR(__xludf.DUMMYFUNCTION("""COMPUTED_VALUE"""),"DECERINVELARDE01@MAIL.COM")</f>
        <v>DECERINVELARDE01@MAIL.COM</v>
      </c>
      <c r="L1707" s="1" t="str">
        <f>IFERROR(__xludf.DUMMYFUNCTION("""COMPUTED_VALUE"""),"BLK 2 ")</f>
        <v>BLK 2 </v>
      </c>
      <c r="M1707" s="1" t="str">
        <f>IFERROR(__xludf.DUMMYFUNCTION("""COMPUTED_VALUE"""),"EXCESS LOT")</f>
        <v>EXCESS LOT</v>
      </c>
      <c r="N1707" s="1"/>
      <c r="O1707" s="1" t="str">
        <f>IFERROR(__xludf.DUMMYFUNCTION("""COMPUTED_VALUE"""),"ANAHAW I")</f>
        <v>ANAHAW I</v>
      </c>
      <c r="P1707" s="1" t="str">
        <f>IFERROR(__xludf.DUMMYFUNCTION("""COMPUTED_VALUE"""),"SILANG")</f>
        <v>SILANG</v>
      </c>
      <c r="Q1707" s="1" t="str">
        <f>IFERROR(__xludf.DUMMYFUNCTION("""COMPUTED_VALUE"""),"CAVITE")</f>
        <v>CAVITE</v>
      </c>
      <c r="R1707" s="1" t="str">
        <f>IFERROR(__xludf.DUMMYFUNCTION("""COMPUTED_VALUE"""),"FIBR PLAN 2099")</f>
        <v>FIBR PLAN 2099</v>
      </c>
      <c r="S1707" s="1" t="str">
        <f>IFERROR(__xludf.DUMMYFUNCTION("""COMPUTED_VALUE"""),"APPROVED")</f>
        <v>APPROVED</v>
      </c>
      <c r="T1707" s="1" t="str">
        <f>IFERROR(__xludf.DUMMYFUNCTION("""COMPUTED_VALUE"""),"CLOSED")</f>
        <v>CLOSED</v>
      </c>
      <c r="U1707" s="1" t="str">
        <f>IFERROR(__xludf.DUMMYFUNCTION("""COMPUTED_VALUE"""),"POSTED")</f>
        <v>POSTED</v>
      </c>
      <c r="V1707" s="1"/>
      <c r="W1707" s="1"/>
    </row>
    <row r="1708" customHeight="1" spans="1:23">
      <c r="A1708" s="3">
        <f>IFERROR(__xludf.DUMMYFUNCTION("""COMPUTED_VALUE"""),46158)</f>
        <v>46158</v>
      </c>
      <c r="B1708" s="1" t="str">
        <f>IFERROR(__xludf.DUMMYFUNCTION("""COMPUTED_VALUE"""),"MAGDARAOG, KENNETH")</f>
        <v>MAGDARAOG, KENNETH</v>
      </c>
      <c r="C1708" s="1" t="str">
        <f>IFERROR(__xludf.DUMMYFUNCTION("""COMPUTED_VALUE"""),"ORGANIC")</f>
        <v>ORGANIC</v>
      </c>
      <c r="D1708" s="1" t="str">
        <f>IFERROR(__xludf.DUMMYFUNCTION("""COMPUTED_VALUE"""),"ALINGARO, CINDY")</f>
        <v>ALINGARO, CINDY</v>
      </c>
      <c r="E1708" s="1" t="str">
        <f>IFERROR(__xludf.DUMMYFUNCTION("""COMPUTED_VALUE"""),"PLDT / H2H")</f>
        <v>PLDT / H2H</v>
      </c>
      <c r="F1708" s="1"/>
      <c r="G1708" s="1"/>
      <c r="H1708" s="1" t="str">
        <f>IFERROR(__xludf.DUMMYFUNCTION("""COMPUTED_VALUE"""),"JONEL DURAN PILANTAGAAN")</f>
        <v>JONEL DURAN PILANTAGAAN</v>
      </c>
      <c r="I1708" s="1">
        <f>IFERROR(__xludf.DUMMYFUNCTION("""COMPUTED_VALUE"""),9939303550)</f>
        <v>9939303550</v>
      </c>
      <c r="J1708" s="1"/>
      <c r="K1708" s="1" t="str">
        <f>IFERROR(__xludf.DUMMYFUNCTION("""COMPUTED_VALUE"""),"JOEYPELANTAGAAN@GMAIL.COM0")</f>
        <v>JOEYPELANTAGAAN@GMAIL.COM0</v>
      </c>
      <c r="L1708" s="1" t="str">
        <f>IFERROR(__xludf.DUMMYFUNCTION("""COMPUTED_VALUE"""),"49")</f>
        <v>49</v>
      </c>
      <c r="M1708" s="1" t="str">
        <f>IFERROR(__xludf.DUMMYFUNCTION("""COMPUTED_VALUE"""),"VICTORIA")</f>
        <v>VICTORIA</v>
      </c>
      <c r="N1708" s="1"/>
      <c r="O1708" s="1" t="str">
        <f>IFERROR(__xludf.DUMMYFUNCTION("""COMPUTED_VALUE"""),"VICTORIA REYES")</f>
        <v>VICTORIA REYES</v>
      </c>
      <c r="P1708" s="1" t="str">
        <f>IFERROR(__xludf.DUMMYFUNCTION("""COMPUTED_VALUE"""),"DASMARINAS")</f>
        <v>DASMARINAS</v>
      </c>
      <c r="Q1708" s="1" t="str">
        <f>IFERROR(__xludf.DUMMYFUNCTION("""COMPUTED_VALUE"""),"CAVITE")</f>
        <v>CAVITE</v>
      </c>
      <c r="R1708" s="1" t="str">
        <f>IFERROR(__xludf.DUMMYFUNCTION("""COMPUTED_VALUE"""),"FIBR UNLI ALL PLAN 999")</f>
        <v>FIBR UNLI ALL PLAN 999</v>
      </c>
      <c r="S1708" s="1" t="str">
        <f>IFERROR(__xludf.DUMMYFUNCTION("""COMPUTED_VALUE"""),"HOLD")</f>
        <v>HOLD</v>
      </c>
      <c r="T1708" s="1" t="str">
        <f>IFERROR(__xludf.DUMMYFUNCTION("""COMPUTED_VALUE"""),"#N/A")</f>
        <v>#N/A</v>
      </c>
      <c r="U1708" s="1"/>
      <c r="V1708" s="1"/>
      <c r="W1708" s="1"/>
    </row>
    <row r="1709" customHeight="1" spans="1:23">
      <c r="A1709" s="3">
        <f>IFERROR(__xludf.DUMMYFUNCTION("""COMPUTED_VALUE"""),46158)</f>
        <v>46158</v>
      </c>
      <c r="B1709" s="1" t="str">
        <f>IFERROR(__xludf.DUMMYFUNCTION("""COMPUTED_VALUE"""),"CASTILLEJOS, ARREL")</f>
        <v>CASTILLEJOS, ARREL</v>
      </c>
      <c r="C1709" s="1" t="str">
        <f>IFERROR(__xludf.DUMMYFUNCTION("""COMPUTED_VALUE"""),"ORGANIC")</f>
        <v>ORGANIC</v>
      </c>
      <c r="D1709" s="1" t="str">
        <f>IFERROR(__xludf.DUMMYFUNCTION("""COMPUTED_VALUE"""),"REMOLLO LEA")</f>
        <v>REMOLLO LEA</v>
      </c>
      <c r="E1709" s="1" t="str">
        <f>IFERROR(__xludf.DUMMYFUNCTION("""COMPUTED_VALUE"""),"PLDT / H2H")</f>
        <v>PLDT / H2H</v>
      </c>
      <c r="F1709" s="1">
        <f>IFERROR(__xludf.DUMMYFUNCTION("""COMPUTED_VALUE"""),2309536261)</f>
        <v>2309536261</v>
      </c>
      <c r="G1709" s="1">
        <f>IFERROR(__xludf.DUMMYFUNCTION("""COMPUTED_VALUE"""),454985384004)</f>
        <v>454985384004</v>
      </c>
      <c r="H1709" s="1" t="str">
        <f>IFERROR(__xludf.DUMMYFUNCTION("""COMPUTED_VALUE"""),"GLADYS FIJER NEPOMUCENO")</f>
        <v>GLADYS FIJER NEPOMUCENO</v>
      </c>
      <c r="I1709" s="1">
        <f>IFERROR(__xludf.DUMMYFUNCTION("""COMPUTED_VALUE"""),9516329057)</f>
        <v>9516329057</v>
      </c>
      <c r="J1709" s="1">
        <f>IFERROR(__xludf.DUMMYFUNCTION("""COMPUTED_VALUE"""),9922530589)</f>
        <v>9922530589</v>
      </c>
      <c r="K1709" s="1" t="str">
        <f>IFERROR(__xludf.DUMMYFUNCTION("""COMPUTED_VALUE"""),"GLADYS04211983@GMAIL.COM")</f>
        <v>GLADYS04211983@GMAIL.COM</v>
      </c>
      <c r="L1709" s="1" t="str">
        <f>IFERROR(__xludf.DUMMYFUNCTION("""COMPUTED_VALUE"""),"6564")</f>
        <v>6564</v>
      </c>
      <c r="M1709" s="1" t="str">
        <f>IFERROR(__xludf.DUMMYFUNCTION("""COMPUTED_VALUE"""),"MAYSILI")</f>
        <v>MAYSILI</v>
      </c>
      <c r="N1709" s="1"/>
      <c r="O1709" s="1" t="str">
        <f>IFERROR(__xludf.DUMMYFUNCTION("""COMPUTED_VALUE"""),"ASIS I")</f>
        <v>ASIS I</v>
      </c>
      <c r="P1709" s="1" t="str">
        <f>IFERROR(__xludf.DUMMYFUNCTION("""COMPUTED_VALUE"""),"MENDEZ")</f>
        <v>MENDEZ</v>
      </c>
      <c r="Q1709" s="1" t="str">
        <f>IFERROR(__xludf.DUMMYFUNCTION("""COMPUTED_VALUE"""),"CAVITE")</f>
        <v>CAVITE</v>
      </c>
      <c r="R1709" s="1" t="str">
        <f>IFERROR(__xludf.DUMMYFUNCTION("""COMPUTED_VALUE"""),"FIBR NETFLIX PLAN 1599")</f>
        <v>FIBR NETFLIX PLAN 1599</v>
      </c>
      <c r="S1709" s="1" t="str">
        <f>IFERROR(__xludf.DUMMYFUNCTION("""COMPUTED_VALUE"""),"APPROVED")</f>
        <v>APPROVED</v>
      </c>
      <c r="T1709" s="1" t="str">
        <f>IFERROR(__xludf.DUMMYFUNCTION("""COMPUTED_VALUE"""),"RPR")</f>
        <v>RPR</v>
      </c>
      <c r="U1709" s="1"/>
      <c r="V1709" s="1"/>
      <c r="W1709" s="1"/>
    </row>
    <row r="1710" customHeight="1" spans="1:23">
      <c r="A1710" s="3">
        <f>IFERROR(__xludf.DUMMYFUNCTION("""COMPUTED_VALUE"""),46158)</f>
        <v>46158</v>
      </c>
      <c r="B1710" s="1" t="str">
        <f>IFERROR(__xludf.DUMMYFUNCTION("""COMPUTED_VALUE"""),"MAÑANITA, ERIKA")</f>
        <v>MAÑANITA, ERIKA</v>
      </c>
      <c r="C1710" s="1" t="str">
        <f>IFERROR(__xludf.DUMMYFUNCTION("""COMPUTED_VALUE"""),"ORGANIC")</f>
        <v>ORGANIC</v>
      </c>
      <c r="D1710" s="1" t="str">
        <f>IFERROR(__xludf.DUMMYFUNCTION("""COMPUTED_VALUE"""),"ALOS, CHARLS")</f>
        <v>ALOS, CHARLS</v>
      </c>
      <c r="E1710" s="1" t="str">
        <f>IFERROR(__xludf.DUMMYFUNCTION("""COMPUTED_VALUE"""),"PLDT / ONLINE")</f>
        <v>PLDT / ONLINE</v>
      </c>
      <c r="F1710" s="1">
        <f>IFERROR(__xludf.DUMMYFUNCTION("""COMPUTED_VALUE"""),2309536680)</f>
        <v>2309536680</v>
      </c>
      <c r="G1710" s="1"/>
      <c r="H1710" s="1" t="str">
        <f>IFERROR(__xludf.DUMMYFUNCTION("""COMPUTED_VALUE"""),"VEE JAY RAMIREZ GONZALVO")</f>
        <v>VEE JAY RAMIREZ GONZALVO</v>
      </c>
      <c r="I1710" s="1">
        <f>IFERROR(__xludf.DUMMYFUNCTION("""COMPUTED_VALUE"""),9382514663)</f>
        <v>9382514663</v>
      </c>
      <c r="J1710" s="1"/>
      <c r="K1710" s="1" t="str">
        <f>IFERROR(__xludf.DUMMYFUNCTION("""COMPUTED_VALUE"""),"MYLARAMIREZ21@GMAIL.COM")</f>
        <v>MYLARAMIREZ21@GMAIL.COM</v>
      </c>
      <c r="L1710" s="1" t="str">
        <f>IFERROR(__xludf.DUMMYFUNCTION("""COMPUTED_VALUE"""),"BLK 42 LOT 3")</f>
        <v>BLK 42 LOT 3</v>
      </c>
      <c r="M1710" s="1" t="str">
        <f>IFERROR(__xludf.DUMMYFUNCTION("""COMPUTED_VALUE"""),"PHASE 1")</f>
        <v>PHASE 1</v>
      </c>
      <c r="N1710" s="1" t="str">
        <f>IFERROR(__xludf.DUMMYFUNCTION("""COMPUTED_VALUE"""),"MABUHAY 2000")</f>
        <v>MABUHAY 2000</v>
      </c>
      <c r="O1710" s="1" t="str">
        <f>IFERROR(__xludf.DUMMYFUNCTION("""COMPUTED_VALUE"""),"PALIPARAN II")</f>
        <v>PALIPARAN II</v>
      </c>
      <c r="P1710" s="1" t="str">
        <f>IFERROR(__xludf.DUMMYFUNCTION("""COMPUTED_VALUE"""),"DASMARINAS")</f>
        <v>DASMARINAS</v>
      </c>
      <c r="Q1710" s="1" t="str">
        <f>IFERROR(__xludf.DUMMYFUNCTION("""COMPUTED_VALUE"""),"CAVITE")</f>
        <v>CAVITE</v>
      </c>
      <c r="R1710" s="1" t="str">
        <f>IFERROR(__xludf.DUMMYFUNCTION("""COMPUTED_VALUE"""),"FIBR UNLI ALL PLAN 999")</f>
        <v>FIBR UNLI ALL PLAN 999</v>
      </c>
      <c r="S1710" s="1" t="str">
        <f>IFERROR(__xludf.DUMMYFUNCTION("""COMPUTED_VALUE"""),"APPROVED")</f>
        <v>APPROVED</v>
      </c>
      <c r="T1710" s="1" t="str">
        <f>IFERROR(__xludf.DUMMYFUNCTION("""COMPUTED_VALUE"""),"CANCELLED")</f>
        <v>CANCELLED</v>
      </c>
      <c r="U1710" s="1"/>
      <c r="V1710" s="1"/>
      <c r="W1710" s="1"/>
    </row>
    <row r="1711" customHeight="1" spans="1:23">
      <c r="A1711" s="3">
        <f>IFERROR(__xludf.DUMMYFUNCTION("""COMPUTED_VALUE"""),46158)</f>
        <v>46158</v>
      </c>
      <c r="B1711" s="1" t="str">
        <f>IFERROR(__xludf.DUMMYFUNCTION("""COMPUTED_VALUE"""),"AGUNOS, JHON AIRVIN")</f>
        <v>AGUNOS, JHON AIRVIN</v>
      </c>
      <c r="C1711" s="1" t="str">
        <f>IFERROR(__xludf.DUMMYFUNCTION("""COMPUTED_VALUE"""),"ORGANIC")</f>
        <v>ORGANIC</v>
      </c>
      <c r="D1711" s="1" t="str">
        <f>IFERROR(__xludf.DUMMYFUNCTION("""COMPUTED_VALUE"""),"ALINGARO, CINDY")</f>
        <v>ALINGARO, CINDY</v>
      </c>
      <c r="E1711" s="1" t="str">
        <f>IFERROR(__xludf.DUMMYFUNCTION("""COMPUTED_VALUE"""),"PLDT / H2H")</f>
        <v>PLDT / H2H</v>
      </c>
      <c r="F1711" s="1">
        <f>IFERROR(__xludf.DUMMYFUNCTION("""COMPUTED_VALUE"""),2309536623)</f>
        <v>2309536623</v>
      </c>
      <c r="G1711" s="1">
        <f>IFERROR(__xludf.DUMMYFUNCTION("""COMPUTED_VALUE"""),454868915004)</f>
        <v>454868915004</v>
      </c>
      <c r="H1711" s="1" t="str">
        <f>IFERROR(__xludf.DUMMYFUNCTION("""COMPUTED_VALUE"""),"MARLON DESCALZOTA")</f>
        <v>MARLON DESCALZOTA</v>
      </c>
      <c r="I1711" s="1">
        <f>IFERROR(__xludf.DUMMYFUNCTION("""COMPUTED_VALUE"""),9168532090)</f>
        <v>9168532090</v>
      </c>
      <c r="J1711" s="1"/>
      <c r="K1711" s="1" t="str">
        <f>IFERROR(__xludf.DUMMYFUNCTION("""COMPUTED_VALUE"""),"MARLONDALIVA17@GMAIL.COM")</f>
        <v>MARLONDALIVA17@GMAIL.COM</v>
      </c>
      <c r="L1711" s="1" t="str">
        <f>IFERROR(__xludf.DUMMYFUNCTION("""COMPUTED_VALUE"""),"BLK 69 LOT 4")</f>
        <v>BLK 69 LOT 4</v>
      </c>
      <c r="M1711" s="1" t="str">
        <f>IFERROR(__xludf.DUMMYFUNCTION("""COMPUTED_VALUE"""),"PHASE 4B")</f>
        <v>PHASE 4B</v>
      </c>
      <c r="N1711" s="1"/>
      <c r="O1711" s="1" t="str">
        <f>IFERROR(__xludf.DUMMYFUNCTION("""COMPUTED_VALUE"""),"IPIL II")</f>
        <v>IPIL II</v>
      </c>
      <c r="P1711" s="1" t="str">
        <f>IFERROR(__xludf.DUMMYFUNCTION("""COMPUTED_VALUE"""),"SILANG")</f>
        <v>SILANG</v>
      </c>
      <c r="Q1711" s="1" t="str">
        <f>IFERROR(__xludf.DUMMYFUNCTION("""COMPUTED_VALUE"""),"CAVITE")</f>
        <v>CAVITE</v>
      </c>
      <c r="R1711" s="1" t="str">
        <f>IFERROR(__xludf.DUMMYFUNCTION("""COMPUTED_VALUE"""),"FIBR UNLI ALL PLAN 1399")</f>
        <v>FIBR UNLI ALL PLAN 1399</v>
      </c>
      <c r="S1711" s="1" t="str">
        <f>IFERROR(__xludf.DUMMYFUNCTION("""COMPUTED_VALUE"""),"APPROVED")</f>
        <v>APPROVED</v>
      </c>
      <c r="T1711" s="1" t="str">
        <f>IFERROR(__xludf.DUMMYFUNCTION("""COMPUTED_VALUE"""),"CANCELLED")</f>
        <v>CANCELLED</v>
      </c>
      <c r="U1711" s="1"/>
      <c r="V1711" s="1"/>
      <c r="W1711" s="1"/>
    </row>
    <row r="1712" customHeight="1" spans="1:23">
      <c r="A1712" s="3">
        <f>IFERROR(__xludf.DUMMYFUNCTION("""COMPUTED_VALUE"""),46159)</f>
        <v>46159</v>
      </c>
      <c r="B1712" s="1" t="str">
        <f>IFERROR(__xludf.DUMMYFUNCTION("""COMPUTED_VALUE"""),"ESCARCHA, MA ALMA  ESCOTO")</f>
        <v>ESCARCHA, MA ALMA  ESCOTO</v>
      </c>
      <c r="C1712" s="1" t="str">
        <f>IFERROR(__xludf.DUMMYFUNCTION("""COMPUTED_VALUE"""),"ORGANIC")</f>
        <v>ORGANIC</v>
      </c>
      <c r="D1712" s="1" t="str">
        <f>IFERROR(__xludf.DUMMYFUNCTION("""COMPUTED_VALUE"""),"ALINGARO, CINDY")</f>
        <v>ALINGARO, CINDY</v>
      </c>
      <c r="E1712" s="1" t="str">
        <f>IFERROR(__xludf.DUMMYFUNCTION("""COMPUTED_VALUE"""),"PLDT / H2H")</f>
        <v>PLDT / H2H</v>
      </c>
      <c r="F1712" s="1">
        <f>IFERROR(__xludf.DUMMYFUNCTION("""COMPUTED_VALUE"""),2309609037)</f>
        <v>2309609037</v>
      </c>
      <c r="G1712" s="1">
        <f>IFERROR(__xludf.DUMMYFUNCTION("""COMPUTED_VALUE"""),455401402004)</f>
        <v>455401402004</v>
      </c>
      <c r="H1712" s="1" t="str">
        <f>IFERROR(__xludf.DUMMYFUNCTION("""COMPUTED_VALUE"""),"NALYN NAYSAYO DELOS SANTOS")</f>
        <v>NALYN NAYSAYO DELOS SANTOS</v>
      </c>
      <c r="I1712" s="1">
        <f>IFERROR(__xludf.DUMMYFUNCTION("""COMPUTED_VALUE"""),9638872092)</f>
        <v>9638872092</v>
      </c>
      <c r="J1712" s="1"/>
      <c r="K1712" s="1" t="str">
        <f>IFERROR(__xludf.DUMMYFUNCTION("""COMPUTED_VALUE"""),"DELOSSANTOSNALYN1970@GMAIL.COM")</f>
        <v>DELOSSANTOSNALYN1970@GMAIL.COM</v>
      </c>
      <c r="L1712" s="1" t="str">
        <f>IFERROR(__xludf.DUMMYFUNCTION("""COMPUTED_VALUE"""),"BLK 6 LOT 14")</f>
        <v>BLK 6 LOT 14</v>
      </c>
      <c r="M1712" s="1" t="str">
        <f>IFERROR(__xludf.DUMMYFUNCTION("""COMPUTED_VALUE"""),"ANAHAW")</f>
        <v>ANAHAW</v>
      </c>
      <c r="N1712" s="1"/>
      <c r="O1712" s="1" t="str">
        <f>IFERROR(__xludf.DUMMYFUNCTION("""COMPUTED_VALUE"""),"ANAHAW I")</f>
        <v>ANAHAW I</v>
      </c>
      <c r="P1712" s="1" t="str">
        <f>IFERROR(__xludf.DUMMYFUNCTION("""COMPUTED_VALUE"""),"SILANG")</f>
        <v>SILANG</v>
      </c>
      <c r="Q1712" s="1" t="str">
        <f>IFERROR(__xludf.DUMMYFUNCTION("""COMPUTED_VALUE"""),"CAVITE")</f>
        <v>CAVITE</v>
      </c>
      <c r="R1712" s="1" t="str">
        <f>IFERROR(__xludf.DUMMYFUNCTION("""COMPUTED_VALUE"""),"FIBR UNLI ALL PLAN 999")</f>
        <v>FIBR UNLI ALL PLAN 999</v>
      </c>
      <c r="S1712" s="1" t="str">
        <f>IFERROR(__xludf.DUMMYFUNCTION("""COMPUTED_VALUE"""),"APPROVED")</f>
        <v>APPROVED</v>
      </c>
      <c r="T1712" s="1" t="str">
        <f>IFERROR(__xludf.DUMMYFUNCTION("""COMPUTED_VALUE"""),"CANCELLED")</f>
        <v>CANCELLED</v>
      </c>
      <c r="U1712" s="1"/>
      <c r="V1712" s="1"/>
      <c r="W1712" s="1"/>
    </row>
    <row r="1713" customHeight="1" spans="1:23">
      <c r="A1713" s="3">
        <f>IFERROR(__xludf.DUMMYFUNCTION("""COMPUTED_VALUE"""),46159)</f>
        <v>46159</v>
      </c>
      <c r="B1713" s="1" t="str">
        <f>IFERROR(__xludf.DUMMYFUNCTION("""COMPUTED_VALUE"""),"IVNO, RAZZEL")</f>
        <v>IVNO, RAZZEL</v>
      </c>
      <c r="C1713" s="1" t="str">
        <f>IFERROR(__xludf.DUMMYFUNCTION("""COMPUTED_VALUE"""),"ORGANIC")</f>
        <v>ORGANIC</v>
      </c>
      <c r="D1713" s="1" t="str">
        <f>IFERROR(__xludf.DUMMYFUNCTION("""COMPUTED_VALUE"""),"REMOLLO LEA")</f>
        <v>REMOLLO LEA</v>
      </c>
      <c r="E1713" s="1" t="str">
        <f>IFERROR(__xludf.DUMMYFUNCTION("""COMPUTED_VALUE"""),"PLDT / ONLINE")</f>
        <v>PLDT / ONLINE</v>
      </c>
      <c r="F1713" s="1">
        <f>IFERROR(__xludf.DUMMYFUNCTION("""COMPUTED_VALUE"""),2309547927)</f>
        <v>2309547927</v>
      </c>
      <c r="G1713" s="1">
        <f>IFERROR(__xludf.DUMMYFUNCTION("""COMPUTED_VALUE"""),454981790004)</f>
        <v>454981790004</v>
      </c>
      <c r="H1713" s="1" t="str">
        <f>IFERROR(__xludf.DUMMYFUNCTION("""COMPUTED_VALUE"""),"LEA PANGANIBAN MABILANGAN")</f>
        <v>LEA PANGANIBAN MABILANGAN</v>
      </c>
      <c r="I1713" s="1">
        <f>IFERROR(__xludf.DUMMYFUNCTION("""COMPUTED_VALUE"""),9639205953)</f>
        <v>9639205953</v>
      </c>
      <c r="J1713" s="1">
        <f>IFERROR(__xludf.DUMMYFUNCTION("""COMPUTED_VALUE"""),9602050797)</f>
        <v>9602050797</v>
      </c>
      <c r="K1713" s="1" t="str">
        <f>IFERROR(__xludf.DUMMYFUNCTION("""COMPUTED_VALUE"""),"LEA.MABILANGAN999@GMAIL.COM")</f>
        <v>LEA.MABILANGAN999@GMAIL.COM</v>
      </c>
      <c r="L1713" s="1" t="str">
        <f>IFERROR(__xludf.DUMMYFUNCTION("""COMPUTED_VALUE"""),"431")</f>
        <v>431</v>
      </c>
      <c r="M1713" s="1" t="str">
        <f>IFERROR(__xludf.DUMMYFUNCTION("""COMPUTED_VALUE"""),"ILANG ILANG")</f>
        <v>ILANG ILANG</v>
      </c>
      <c r="N1713" s="1"/>
      <c r="O1713" s="1" t="str">
        <f>IFERROR(__xludf.DUMMYFUNCTION("""COMPUTED_VALUE"""),"BATAS")</f>
        <v>BATAS</v>
      </c>
      <c r="P1713" s="1" t="str">
        <f>IFERROR(__xludf.DUMMYFUNCTION("""COMPUTED_VALUE"""),"SILANG")</f>
        <v>SILANG</v>
      </c>
      <c r="Q1713" s="1" t="str">
        <f>IFERROR(__xludf.DUMMYFUNCTION("""COMPUTED_VALUE"""),"CAVITE")</f>
        <v>CAVITE</v>
      </c>
      <c r="R1713" s="1" t="str">
        <f>IFERROR(__xludf.DUMMYFUNCTION("""COMPUTED_VALUE"""),"FIBR UNLI ALL PLAN 999")</f>
        <v>FIBR UNLI ALL PLAN 999</v>
      </c>
      <c r="S1713" s="1" t="str">
        <f>IFERROR(__xludf.DUMMYFUNCTION("""COMPUTED_VALUE"""),"APPROVED")</f>
        <v>APPROVED</v>
      </c>
      <c r="T1713" s="1" t="str">
        <f>IFERROR(__xludf.DUMMYFUNCTION("""COMPUTED_VALUE"""),"CLOSED")</f>
        <v>CLOSED</v>
      </c>
      <c r="U1713" s="1" t="str">
        <f>IFERROR(__xludf.DUMMYFUNCTION("""COMPUTED_VALUE"""),"POSTED")</f>
        <v>POSTED</v>
      </c>
      <c r="V1713" s="1"/>
      <c r="W1713" s="1"/>
    </row>
    <row r="1714" customHeight="1" spans="1:23">
      <c r="A1714" s="3">
        <f>IFERROR(__xludf.DUMMYFUNCTION("""COMPUTED_VALUE"""),46159)</f>
        <v>46159</v>
      </c>
      <c r="B1714" s="1" t="str">
        <f>IFERROR(__xludf.DUMMYFUNCTION("""COMPUTED_VALUE"""),"OPS WESLY")</f>
        <v>OPS WESLY</v>
      </c>
      <c r="C1714" s="1" t="str">
        <f>IFERROR(__xludf.DUMMYFUNCTION("""COMPUTED_VALUE"""),"FLA")</f>
        <v>FLA</v>
      </c>
      <c r="D1714" s="1" t="str">
        <f>IFERROR(__xludf.DUMMYFUNCTION("""COMPUTED_VALUE"""),"JERIC NAVARRO")</f>
        <v>JERIC NAVARRO</v>
      </c>
      <c r="E1714" s="1" t="str">
        <f>IFERROR(__xludf.DUMMYFUNCTION("""COMPUTED_VALUE"""),"PLDT / ONLINE")</f>
        <v>PLDT / ONLINE</v>
      </c>
      <c r="F1714" s="1">
        <f>IFERROR(__xludf.DUMMYFUNCTION("""COMPUTED_VALUE"""),2309548132)</f>
        <v>2309548132</v>
      </c>
      <c r="G1714" s="1">
        <f>IFERROR(__xludf.DUMMYFUNCTION("""COMPUTED_VALUE"""),454981328004)</f>
        <v>454981328004</v>
      </c>
      <c r="H1714" s="1" t="str">
        <f>IFERROR(__xludf.DUMMYFUNCTION("""COMPUTED_VALUE"""),"MARILOU GARCES BELANDRES")</f>
        <v>MARILOU GARCES BELANDRES</v>
      </c>
      <c r="I1714" s="1">
        <f>IFERROR(__xludf.DUMMYFUNCTION("""COMPUTED_VALUE"""),9973923035)</f>
        <v>9973923035</v>
      </c>
      <c r="J1714" s="1">
        <f>IFERROR(__xludf.DUMMYFUNCTION("""COMPUTED_VALUE"""),9984693479)</f>
        <v>9984693479</v>
      </c>
      <c r="K1714" s="1" t="str">
        <f>IFERROR(__xludf.DUMMYFUNCTION("""COMPUTED_VALUE"""),"MARILOUGARCESBELANDRES77@GMAIL.COM")</f>
        <v>MARILOUGARCESBELANDRES77@GMAIL.COM</v>
      </c>
      <c r="L1714" s="1" t="str">
        <f>IFERROR(__xludf.DUMMYFUNCTION("""COMPUTED_VALUE"""),"112")</f>
        <v>112</v>
      </c>
      <c r="M1714" s="1" t="str">
        <f>IFERROR(__xludf.DUMMYFUNCTION("""COMPUTED_VALUE"""),"PUROK 1")</f>
        <v>PUROK 1</v>
      </c>
      <c r="N1714" s="1"/>
      <c r="O1714" s="1" t="str">
        <f>IFERROR(__xludf.DUMMYFUNCTION("""COMPUTED_VALUE"""),"IBA")</f>
        <v>IBA</v>
      </c>
      <c r="P1714" s="1" t="str">
        <f>IFERROR(__xludf.DUMMYFUNCTION("""COMPUTED_VALUE"""),"SILANG")</f>
        <v>SILANG</v>
      </c>
      <c r="Q1714" s="1" t="str">
        <f>IFERROR(__xludf.DUMMYFUNCTION("""COMPUTED_VALUE"""),"CAVITE")</f>
        <v>CAVITE</v>
      </c>
      <c r="R1714" s="1" t="str">
        <f>IFERROR(__xludf.DUMMYFUNCTION("""COMPUTED_VALUE"""),"FIBR UNLI ALL PLAN 1399")</f>
        <v>FIBR UNLI ALL PLAN 1399</v>
      </c>
      <c r="S1714" s="1" t="str">
        <f>IFERROR(__xludf.DUMMYFUNCTION("""COMPUTED_VALUE"""),"APPROVED")</f>
        <v>APPROVED</v>
      </c>
      <c r="T1714" s="1" t="str">
        <f>IFERROR(__xludf.DUMMYFUNCTION("""COMPUTED_VALUE"""),"RPR")</f>
        <v>RPR</v>
      </c>
      <c r="U1714" s="1"/>
      <c r="V1714" s="1"/>
      <c r="W1714" s="1"/>
    </row>
    <row r="1715" customHeight="1" spans="1:23">
      <c r="A1715" s="3">
        <f>IFERROR(__xludf.DUMMYFUNCTION("""COMPUTED_VALUE"""),46159)</f>
        <v>46159</v>
      </c>
      <c r="B1715" s="1" t="str">
        <f>IFERROR(__xludf.DUMMYFUNCTION("""COMPUTED_VALUE"""),"ESCARCHA, MA ALMA  ESCOTO")</f>
        <v>ESCARCHA, MA ALMA  ESCOTO</v>
      </c>
      <c r="C1715" s="1" t="str">
        <f>IFERROR(__xludf.DUMMYFUNCTION("""COMPUTED_VALUE"""),"ORGANIC")</f>
        <v>ORGANIC</v>
      </c>
      <c r="D1715" s="1" t="str">
        <f>IFERROR(__xludf.DUMMYFUNCTION("""COMPUTED_VALUE"""),"ALINGARO, CINDY")</f>
        <v>ALINGARO, CINDY</v>
      </c>
      <c r="E1715" s="1" t="str">
        <f>IFERROR(__xludf.DUMMYFUNCTION("""COMPUTED_VALUE"""),"PLDT / H2H")</f>
        <v>PLDT / H2H</v>
      </c>
      <c r="F1715" s="1">
        <f>IFERROR(__xludf.DUMMYFUNCTION("""COMPUTED_VALUE"""),2309549257)</f>
        <v>2309549257</v>
      </c>
      <c r="G1715" s="1">
        <f>IFERROR(__xludf.DUMMYFUNCTION("""COMPUTED_VALUE"""),454983989004)</f>
        <v>454983989004</v>
      </c>
      <c r="H1715" s="1" t="str">
        <f>IFERROR(__xludf.DUMMYFUNCTION("""COMPUTED_VALUE"""),"ADRIANO ROSAL MISOLES")</f>
        <v>ADRIANO ROSAL MISOLES</v>
      </c>
      <c r="I1715" s="1">
        <f>IFERROR(__xludf.DUMMYFUNCTION("""COMPUTED_VALUE"""),9936567971)</f>
        <v>9936567971</v>
      </c>
      <c r="J1715" s="1"/>
      <c r="K1715" s="1" t="str">
        <f>IFERROR(__xludf.DUMMYFUNCTION("""COMPUTED_VALUE"""),"BUGSADRIANO2@GMAIL.COM")</f>
        <v>BUGSADRIANO2@GMAIL.COM</v>
      </c>
      <c r="L1715" s="1" t="str">
        <f>IFERROR(__xludf.DUMMYFUNCTION("""COMPUTED_VALUE"""),"24")</f>
        <v>24</v>
      </c>
      <c r="M1715" s="1" t="str">
        <f>IFERROR(__xludf.DUMMYFUNCTION("""COMPUTED_VALUE"""),"PALIGAWAN")</f>
        <v>PALIGAWAN</v>
      </c>
      <c r="N1715" s="1"/>
      <c r="O1715" s="1" t="str">
        <f>IFERROR(__xludf.DUMMYFUNCTION("""COMPUTED_VALUE"""),"LANTIC")</f>
        <v>LANTIC</v>
      </c>
      <c r="P1715" s="1" t="str">
        <f>IFERROR(__xludf.DUMMYFUNCTION("""COMPUTED_VALUE"""),"CARMONA")</f>
        <v>CARMONA</v>
      </c>
      <c r="Q1715" s="1" t="str">
        <f>IFERROR(__xludf.DUMMYFUNCTION("""COMPUTED_VALUE"""),"CAVITE")</f>
        <v>CAVITE</v>
      </c>
      <c r="R1715" s="1" t="str">
        <f>IFERROR(__xludf.DUMMYFUNCTION("""COMPUTED_VALUE"""),"FIBR UNLI ALL PLAN 999")</f>
        <v>FIBR UNLI ALL PLAN 999</v>
      </c>
      <c r="S1715" s="1" t="str">
        <f>IFERROR(__xludf.DUMMYFUNCTION("""COMPUTED_VALUE"""),"APPROVED")</f>
        <v>APPROVED</v>
      </c>
      <c r="T1715" s="1" t="str">
        <f>IFERROR(__xludf.DUMMYFUNCTION("""COMPUTED_VALUE"""),"CANCELLED")</f>
        <v>CANCELLED</v>
      </c>
      <c r="U1715" s="1"/>
      <c r="V1715" s="1"/>
      <c r="W1715" s="1"/>
    </row>
    <row r="1716" customHeight="1" spans="1:23">
      <c r="A1716" s="3">
        <f>IFERROR(__xludf.DUMMYFUNCTION("""COMPUTED_VALUE"""),46159)</f>
        <v>46159</v>
      </c>
      <c r="B1716" s="1" t="str">
        <f>IFERROR(__xludf.DUMMYFUNCTION("""COMPUTED_VALUE"""),"MAGDARAOG, KENNETH")</f>
        <v>MAGDARAOG, KENNETH</v>
      </c>
      <c r="C1716" s="1" t="str">
        <f>IFERROR(__xludf.DUMMYFUNCTION("""COMPUTED_VALUE"""),"ORGANIC")</f>
        <v>ORGANIC</v>
      </c>
      <c r="D1716" s="1" t="str">
        <f>IFERROR(__xludf.DUMMYFUNCTION("""COMPUTED_VALUE"""),"ALINGARO, CINDY")</f>
        <v>ALINGARO, CINDY</v>
      </c>
      <c r="E1716" s="1" t="str">
        <f>IFERROR(__xludf.DUMMYFUNCTION("""COMPUTED_VALUE"""),"PLDT / H2H")</f>
        <v>PLDT / H2H</v>
      </c>
      <c r="F1716" s="1">
        <f>IFERROR(__xludf.DUMMYFUNCTION("""COMPUTED_VALUE"""),2309549544)</f>
        <v>2309549544</v>
      </c>
      <c r="G1716" s="1">
        <f>IFERROR(__xludf.DUMMYFUNCTION("""COMPUTED_VALUE"""),454984007004)</f>
        <v>454984007004</v>
      </c>
      <c r="H1716" s="1" t="str">
        <f>IFERROR(__xludf.DUMMYFUNCTION("""COMPUTED_VALUE"""),"JIMMY-LYN GABELO MESA")</f>
        <v>JIMMY-LYN GABELO MESA</v>
      </c>
      <c r="I1716" s="1">
        <f>IFERROR(__xludf.DUMMYFUNCTION("""COMPUTED_VALUE"""),9284153444)</f>
        <v>9284153444</v>
      </c>
      <c r="J1716" s="1">
        <f>IFERROR(__xludf.DUMMYFUNCTION("""COMPUTED_VALUE"""),9709442544)</f>
        <v>9709442544</v>
      </c>
      <c r="K1716" s="1" t="str">
        <f>IFERROR(__xludf.DUMMYFUNCTION("""COMPUTED_VALUE"""),"JIMMYLYNMESA17@GMAIL.COM")</f>
        <v>JIMMYLYNMESA17@GMAIL.COM</v>
      </c>
      <c r="L1716" s="1" t="str">
        <f>IFERROR(__xludf.DUMMYFUNCTION("""COMPUTED_VALUE"""),"112")</f>
        <v>112</v>
      </c>
      <c r="M1716" s="1" t="str">
        <f>IFERROR(__xludf.DUMMYFUNCTION("""COMPUTED_VALUE"""),"PUROK 6")</f>
        <v>PUROK 6</v>
      </c>
      <c r="N1716" s="1"/>
      <c r="O1716" s="1" t="str">
        <f>IFERROR(__xludf.DUMMYFUNCTION("""COMPUTED_VALUE"""),"MUNTING ILOG")</f>
        <v>MUNTING ILOG</v>
      </c>
      <c r="P1716" s="1" t="str">
        <f>IFERROR(__xludf.DUMMYFUNCTION("""COMPUTED_VALUE"""),"SILANG")</f>
        <v>SILANG</v>
      </c>
      <c r="Q1716" s="1" t="str">
        <f>IFERROR(__xludf.DUMMYFUNCTION("""COMPUTED_VALUE"""),"CAVITE")</f>
        <v>CAVITE</v>
      </c>
      <c r="R1716" s="1" t="str">
        <f>IFERROR(__xludf.DUMMYFUNCTION("""COMPUTED_VALUE"""),"FIBR UNLI ALL PLAN 999")</f>
        <v>FIBR UNLI ALL PLAN 999</v>
      </c>
      <c r="S1716" s="1" t="str">
        <f>IFERROR(__xludf.DUMMYFUNCTION("""COMPUTED_VALUE"""),"APPROVED")</f>
        <v>APPROVED</v>
      </c>
      <c r="T1716" s="1" t="str">
        <f>IFERROR(__xludf.DUMMYFUNCTION("""COMPUTED_VALUE"""),"CLOSED")</f>
        <v>CLOSED</v>
      </c>
      <c r="U1716" s="1" t="str">
        <f>IFERROR(__xludf.DUMMYFUNCTION("""COMPUTED_VALUE"""),"POSTED")</f>
        <v>POSTED</v>
      </c>
      <c r="V1716" s="1"/>
      <c r="W1716" s="1"/>
    </row>
    <row r="1717" customHeight="1" spans="1:23">
      <c r="A1717" s="3">
        <f>IFERROR(__xludf.DUMMYFUNCTION("""COMPUTED_VALUE"""),46159)</f>
        <v>46159</v>
      </c>
      <c r="B1717" s="1" t="str">
        <f>IFERROR(__xludf.DUMMYFUNCTION("""COMPUTED_VALUE"""),"MAÑANITA, ERIKA")</f>
        <v>MAÑANITA, ERIKA</v>
      </c>
      <c r="C1717" s="1" t="str">
        <f>IFERROR(__xludf.DUMMYFUNCTION("""COMPUTED_VALUE"""),"ORGANIC")</f>
        <v>ORGANIC</v>
      </c>
      <c r="D1717" s="1" t="str">
        <f>IFERROR(__xludf.DUMMYFUNCTION("""COMPUTED_VALUE"""),"ALOS, CHARLS")</f>
        <v>ALOS, CHARLS</v>
      </c>
      <c r="E1717" s="1" t="str">
        <f>IFERROR(__xludf.DUMMYFUNCTION("""COMPUTED_VALUE"""),"PLDT / H2H")</f>
        <v>PLDT / H2H</v>
      </c>
      <c r="F1717" s="1">
        <f>IFERROR(__xludf.DUMMYFUNCTION("""COMPUTED_VALUE"""),2309549869)</f>
        <v>2309549869</v>
      </c>
      <c r="G1717" s="1">
        <f>IFERROR(__xludf.DUMMYFUNCTION("""COMPUTED_VALUE"""),454994912004)</f>
        <v>454994912004</v>
      </c>
      <c r="H1717" s="1" t="str">
        <f>IFERROR(__xludf.DUMMYFUNCTION("""COMPUTED_VALUE"""),"MANUEL CARLO RORALDO ANACAY")</f>
        <v>MANUEL CARLO RORALDO ANACAY</v>
      </c>
      <c r="I1717" s="1">
        <f>IFERROR(__xludf.DUMMYFUNCTION("""COMPUTED_VALUE"""),9168418431)</f>
        <v>9168418431</v>
      </c>
      <c r="J1717" s="1">
        <f>IFERROR(__xludf.DUMMYFUNCTION("""COMPUTED_VALUE"""),9947833779)</f>
        <v>9947833779</v>
      </c>
      <c r="K1717" s="1" t="str">
        <f>IFERROR(__xludf.DUMMYFUNCTION("""COMPUTED_VALUE"""),"CARLOANACAY10@GMAIL.COM")</f>
        <v>CARLOANACAY10@GMAIL.COM</v>
      </c>
      <c r="L1717" s="1" t="str">
        <f>IFERROR(__xludf.DUMMYFUNCTION("""COMPUTED_VALUE"""),"19B")</f>
        <v>19B</v>
      </c>
      <c r="M1717" s="1" t="str">
        <f>IFERROR(__xludf.DUMMYFUNCTION("""COMPUTED_VALUE"""),"ZAMORA")</f>
        <v>ZAMORA</v>
      </c>
      <c r="N1717" s="1"/>
      <c r="O1717" s="1" t="str">
        <f>IFERROR(__xludf.DUMMYFUNCTION("""COMPUTED_VALUE"""),"ASIS I")</f>
        <v>ASIS I</v>
      </c>
      <c r="P1717" s="1" t="str">
        <f>IFERROR(__xludf.DUMMYFUNCTION("""COMPUTED_VALUE"""),"MENDEZ")</f>
        <v>MENDEZ</v>
      </c>
      <c r="Q1717" s="1" t="str">
        <f>IFERROR(__xludf.DUMMYFUNCTION("""COMPUTED_VALUE"""),"CAVITE")</f>
        <v>CAVITE</v>
      </c>
      <c r="R1717" s="1" t="str">
        <f>IFERROR(__xludf.DUMMYFUNCTION("""COMPUTED_VALUE"""),"FIBR NETFLIX PLAN 1599")</f>
        <v>FIBR NETFLIX PLAN 1599</v>
      </c>
      <c r="S1717" s="1" t="str">
        <f>IFERROR(__xludf.DUMMYFUNCTION("""COMPUTED_VALUE"""),"APPROVED")</f>
        <v>APPROVED</v>
      </c>
      <c r="T1717" s="1" t="str">
        <f>IFERROR(__xludf.DUMMYFUNCTION("""COMPUTED_VALUE"""),"CLOSED")</f>
        <v>CLOSED</v>
      </c>
      <c r="U1717" s="1" t="str">
        <f>IFERROR(__xludf.DUMMYFUNCTION("""COMPUTED_VALUE"""),"POSTED")</f>
        <v>POSTED</v>
      </c>
      <c r="V1717" s="1"/>
      <c r="W1717" s="1"/>
    </row>
    <row r="1718" customHeight="1" spans="1:23">
      <c r="A1718" s="3">
        <f>IFERROR(__xludf.DUMMYFUNCTION("""COMPUTED_VALUE"""),46159)</f>
        <v>46159</v>
      </c>
      <c r="B1718" s="1" t="str">
        <f>IFERROR(__xludf.DUMMYFUNCTION("""COMPUTED_VALUE"""),"FRANCISCO , ROSELYN")</f>
        <v>FRANCISCO , ROSELYN</v>
      </c>
      <c r="C1718" s="1" t="str">
        <f>IFERROR(__xludf.DUMMYFUNCTION("""COMPUTED_VALUE"""),"ORGANIC")</f>
        <v>ORGANIC</v>
      </c>
      <c r="D1718" s="1" t="str">
        <f>IFERROR(__xludf.DUMMYFUNCTION("""COMPUTED_VALUE"""),"ALOS, CHARLS")</f>
        <v>ALOS, CHARLS</v>
      </c>
      <c r="E1718" s="1" t="str">
        <f>IFERROR(__xludf.DUMMYFUNCTION("""COMPUTED_VALUE"""),"PLDT / ONLINE")</f>
        <v>PLDT / ONLINE</v>
      </c>
      <c r="F1718" s="1">
        <f>IFERROR(__xludf.DUMMYFUNCTION("""COMPUTED_VALUE"""),2309551042)</f>
        <v>2309551042</v>
      </c>
      <c r="G1718" s="1">
        <f>IFERROR(__xludf.DUMMYFUNCTION("""COMPUTED_VALUE"""),454992073004)</f>
        <v>454992073004</v>
      </c>
      <c r="H1718" s="1" t="str">
        <f>IFERROR(__xludf.DUMMYFUNCTION("""COMPUTED_VALUE"""),"DIANNE RODRIGUEZ FELICIANO")</f>
        <v>DIANNE RODRIGUEZ FELICIANO</v>
      </c>
      <c r="I1718" s="1">
        <f>IFERROR(__xludf.DUMMYFUNCTION("""COMPUTED_VALUE"""),9074031066)</f>
        <v>9074031066</v>
      </c>
      <c r="J1718" s="1">
        <f>IFERROR(__xludf.DUMMYFUNCTION("""COMPUTED_VALUE"""),9942830378)</f>
        <v>9942830378</v>
      </c>
      <c r="K1718" s="1" t="str">
        <f>IFERROR(__xludf.DUMMYFUNCTION("""COMPUTED_VALUE"""),"CARAMEL.MACHIATTO1998@GMAIL.COM")</f>
        <v>CARAMEL.MACHIATTO1998@GMAIL.COM</v>
      </c>
      <c r="L1718" s="1" t="str">
        <f>IFERROR(__xludf.DUMMYFUNCTION("""COMPUTED_VALUE"""),"29")</f>
        <v>29</v>
      </c>
      <c r="M1718" s="1" t="str">
        <f>IFERROR(__xludf.DUMMYFUNCTION("""COMPUTED_VALUE"""),"PUROK 4")</f>
        <v>PUROK 4</v>
      </c>
      <c r="N1718" s="1"/>
      <c r="O1718" s="1" t="str">
        <f>IFERROR(__xludf.DUMMYFUNCTION("""COMPUTED_VALUE"""),"BUNGA")</f>
        <v>BUNGA</v>
      </c>
      <c r="P1718" s="1" t="str">
        <f>IFERROR(__xludf.DUMMYFUNCTION("""COMPUTED_VALUE"""),"TANZA")</f>
        <v>TANZA</v>
      </c>
      <c r="Q1718" s="1" t="str">
        <f>IFERROR(__xludf.DUMMYFUNCTION("""COMPUTED_VALUE"""),"CAVITE")</f>
        <v>CAVITE</v>
      </c>
      <c r="R1718" s="1" t="str">
        <f>IFERROR(__xludf.DUMMYFUNCTION("""COMPUTED_VALUE"""),"FIBR UNLI ALL PLAN 1399")</f>
        <v>FIBR UNLI ALL PLAN 1399</v>
      </c>
      <c r="S1718" s="1" t="str">
        <f>IFERROR(__xludf.DUMMYFUNCTION("""COMPUTED_VALUE"""),"APPROVED")</f>
        <v>APPROVED</v>
      </c>
      <c r="T1718" s="1" t="str">
        <f>IFERROR(__xludf.DUMMYFUNCTION("""COMPUTED_VALUE"""),"CLOSED")</f>
        <v>CLOSED</v>
      </c>
      <c r="U1718" s="1" t="str">
        <f>IFERROR(__xludf.DUMMYFUNCTION("""COMPUTED_VALUE"""),"POSTED")</f>
        <v>POSTED</v>
      </c>
      <c r="V1718" s="1"/>
      <c r="W1718" s="1"/>
    </row>
    <row r="1719" customHeight="1" spans="1:23">
      <c r="A1719" s="3">
        <f>IFERROR(__xludf.DUMMYFUNCTION("""COMPUTED_VALUE"""),46159)</f>
        <v>46159</v>
      </c>
      <c r="B1719" s="1" t="str">
        <f>IFERROR(__xludf.DUMMYFUNCTION("""COMPUTED_VALUE"""),"RIVERA, AIRIZH JOY")</f>
        <v>RIVERA, AIRIZH JOY</v>
      </c>
      <c r="C1719" s="1" t="str">
        <f>IFERROR(__xludf.DUMMYFUNCTION("""COMPUTED_VALUE"""),"ORGANIC")</f>
        <v>ORGANIC</v>
      </c>
      <c r="D1719" s="1" t="str">
        <f>IFERROR(__xludf.DUMMYFUNCTION("""COMPUTED_VALUE"""),"ALOS, CHARLS")</f>
        <v>ALOS, CHARLS</v>
      </c>
      <c r="E1719" s="1" t="str">
        <f>IFERROR(__xludf.DUMMYFUNCTION("""COMPUTED_VALUE"""),"PLDT / ONLINE")</f>
        <v>PLDT / ONLINE</v>
      </c>
      <c r="F1719" s="1">
        <f>IFERROR(__xludf.DUMMYFUNCTION("""COMPUTED_VALUE"""),2309551388)</f>
        <v>2309551388</v>
      </c>
      <c r="G1719" s="1">
        <f>IFERROR(__xludf.DUMMYFUNCTION("""COMPUTED_VALUE"""),454986833004)</f>
        <v>454986833004</v>
      </c>
      <c r="H1719" s="1" t="str">
        <f>IFERROR(__xludf.DUMMYFUNCTION("""COMPUTED_VALUE"""),"ALPH RYAN ROSALES BALISI")</f>
        <v>ALPH RYAN ROSALES BALISI</v>
      </c>
      <c r="I1719" s="1">
        <f>IFERROR(__xludf.DUMMYFUNCTION("""COMPUTED_VALUE"""),9928667912)</f>
        <v>9928667912</v>
      </c>
      <c r="J1719" s="1"/>
      <c r="K1719" s="1" t="str">
        <f>IFERROR(__xludf.DUMMYFUNCTION("""COMPUTED_VALUE"""),"BALISIALPHRYAN040@GMAIL.COM")</f>
        <v>BALISIALPHRYAN040@GMAIL.COM</v>
      </c>
      <c r="L1719" s="1" t="str">
        <f>IFERROR(__xludf.DUMMYFUNCTION("""COMPUTED_VALUE"""),"9061")</f>
        <v>9061</v>
      </c>
      <c r="M1719" s="1" t="str">
        <f>IFERROR(__xludf.DUMMYFUNCTION("""COMPUTED_VALUE"""),"PUROK 1")</f>
        <v>PUROK 1</v>
      </c>
      <c r="N1719" s="1"/>
      <c r="O1719" s="1" t="str">
        <f>IFERROR(__xludf.DUMMYFUNCTION("""COMPUTED_VALUE"""),"PUTING KAHOY")</f>
        <v>PUTING KAHOY</v>
      </c>
      <c r="P1719" s="1" t="str">
        <f>IFERROR(__xludf.DUMMYFUNCTION("""COMPUTED_VALUE"""),"SILANG")</f>
        <v>SILANG</v>
      </c>
      <c r="Q1719" s="1" t="str">
        <f>IFERROR(__xludf.DUMMYFUNCTION("""COMPUTED_VALUE"""),"CAVITE")</f>
        <v>CAVITE</v>
      </c>
      <c r="R1719" s="1" t="str">
        <f>IFERROR(__xludf.DUMMYFUNCTION("""COMPUTED_VALUE"""),"FIBR PLAN 1299")</f>
        <v>FIBR PLAN 1299</v>
      </c>
      <c r="S1719" s="1" t="str">
        <f>IFERROR(__xludf.DUMMYFUNCTION("""COMPUTED_VALUE"""),"APPROVED")</f>
        <v>APPROVED</v>
      </c>
      <c r="T1719" s="1" t="str">
        <f>IFERROR(__xludf.DUMMYFUNCTION("""COMPUTED_VALUE"""),"RPR")</f>
        <v>RPR</v>
      </c>
      <c r="U1719" s="1"/>
      <c r="V1719" s="1"/>
      <c r="W1719" s="1"/>
    </row>
    <row r="1720" customHeight="1" spans="1:23">
      <c r="A1720" s="3">
        <f>IFERROR(__xludf.DUMMYFUNCTION("""COMPUTED_VALUE"""),46159)</f>
        <v>46159</v>
      </c>
      <c r="B1720" s="1" t="str">
        <f>IFERROR(__xludf.DUMMYFUNCTION("""COMPUTED_VALUE"""),"GABAY, MANUEL")</f>
        <v>GABAY, MANUEL</v>
      </c>
      <c r="C1720" s="1" t="str">
        <f>IFERROR(__xludf.DUMMYFUNCTION("""COMPUTED_VALUE"""),"FLA")</f>
        <v>FLA</v>
      </c>
      <c r="D1720" s="1" t="str">
        <f>IFERROR(__xludf.DUMMYFUNCTION("""COMPUTED_VALUE"""),"JERIC NAVARRO")</f>
        <v>JERIC NAVARRO</v>
      </c>
      <c r="E1720" s="1" t="str">
        <f>IFERROR(__xludf.DUMMYFUNCTION("""COMPUTED_VALUE"""),"PLDT / H2H")</f>
        <v>PLDT / H2H</v>
      </c>
      <c r="F1720" s="1">
        <f>IFERROR(__xludf.DUMMYFUNCTION("""COMPUTED_VALUE"""),2309551695)</f>
        <v>2309551695</v>
      </c>
      <c r="G1720" s="1">
        <f>IFERROR(__xludf.DUMMYFUNCTION("""COMPUTED_VALUE"""),454987367004)</f>
        <v>454987367004</v>
      </c>
      <c r="H1720" s="1" t="str">
        <f>IFERROR(__xludf.DUMMYFUNCTION("""COMPUTED_VALUE"""),"JHAZZMIN FABILLA LOPEZ")</f>
        <v>JHAZZMIN FABILLA LOPEZ</v>
      </c>
      <c r="I1720" s="1">
        <f>IFERROR(__xludf.DUMMYFUNCTION("""COMPUTED_VALUE"""),9778650164)</f>
        <v>9778650164</v>
      </c>
      <c r="J1720" s="1"/>
      <c r="K1720" s="1" t="str">
        <f>IFERROR(__xludf.DUMMYFUNCTION("""COMPUTED_VALUE"""),"JHAZZMIN.LOPEZ@CVSU.EDU.PH")</f>
        <v>JHAZZMIN.LOPEZ@CVSU.EDU.PH</v>
      </c>
      <c r="L1720" s="1" t="str">
        <f>IFERROR(__xludf.DUMMYFUNCTION("""COMPUTED_VALUE"""),"233")</f>
        <v>233</v>
      </c>
      <c r="M1720" s="1" t="str">
        <f>IFERROR(__xludf.DUMMYFUNCTION("""COMPUTED_VALUE"""),"ZAMORA")</f>
        <v>ZAMORA</v>
      </c>
      <c r="N1720" s="1"/>
      <c r="O1720" s="1" t="str">
        <f>IFERROR(__xludf.DUMMYFUNCTION("""COMPUTED_VALUE"""),"ASIS I")</f>
        <v>ASIS I</v>
      </c>
      <c r="P1720" s="1" t="str">
        <f>IFERROR(__xludf.DUMMYFUNCTION("""COMPUTED_VALUE"""),"MENDEZ")</f>
        <v>MENDEZ</v>
      </c>
      <c r="Q1720" s="1" t="str">
        <f>IFERROR(__xludf.DUMMYFUNCTION("""COMPUTED_VALUE"""),"CAVITE")</f>
        <v>CAVITE</v>
      </c>
      <c r="R1720" s="1" t="str">
        <f>IFERROR(__xludf.DUMMYFUNCTION("""COMPUTED_VALUE"""),"FIBR UNLI ALL PLAN 1399")</f>
        <v>FIBR UNLI ALL PLAN 1399</v>
      </c>
      <c r="S1720" s="1" t="str">
        <f>IFERROR(__xludf.DUMMYFUNCTION("""COMPUTED_VALUE"""),"APPROVED")</f>
        <v>APPROVED</v>
      </c>
      <c r="T1720" s="1" t="str">
        <f>IFERROR(__xludf.DUMMYFUNCTION("""COMPUTED_VALUE"""),"CLOSED")</f>
        <v>CLOSED</v>
      </c>
      <c r="U1720" s="1" t="str">
        <f>IFERROR(__xludf.DUMMYFUNCTION("""COMPUTED_VALUE"""),"POSTED")</f>
        <v>POSTED</v>
      </c>
      <c r="V1720" s="1"/>
      <c r="W1720" s="1"/>
    </row>
    <row r="1721" customHeight="1" spans="1:23">
      <c r="A1721" s="3">
        <f>IFERROR(__xludf.DUMMYFUNCTION("""COMPUTED_VALUE"""),46159)</f>
        <v>46159</v>
      </c>
      <c r="B1721" s="1" t="str">
        <f>IFERROR(__xludf.DUMMYFUNCTION("""COMPUTED_VALUE"""),"DE VERA, MARIVIC")</f>
        <v>DE VERA, MARIVIC</v>
      </c>
      <c r="C1721" s="1" t="str">
        <f>IFERROR(__xludf.DUMMYFUNCTION("""COMPUTED_VALUE"""),"ORGANIC")</f>
        <v>ORGANIC</v>
      </c>
      <c r="D1721" s="1" t="str">
        <f>IFERROR(__xludf.DUMMYFUNCTION("""COMPUTED_VALUE"""),"REMOLLO LEA")</f>
        <v>REMOLLO LEA</v>
      </c>
      <c r="E1721" s="1" t="str">
        <f>IFERROR(__xludf.DUMMYFUNCTION("""COMPUTED_VALUE"""),"PLDT / ONLINE")</f>
        <v>PLDT / ONLINE</v>
      </c>
      <c r="F1721" s="1">
        <f>IFERROR(__xludf.DUMMYFUNCTION("""COMPUTED_VALUE"""),2309564993)</f>
        <v>2309564993</v>
      </c>
      <c r="G1721" s="1">
        <f>IFERROR(__xludf.DUMMYFUNCTION("""COMPUTED_VALUE"""),455407992004)</f>
        <v>455407992004</v>
      </c>
      <c r="H1721" s="1" t="str">
        <f>IFERROR(__xludf.DUMMYFUNCTION("""COMPUTED_VALUE"""),"JASON LUGTU TORRES")</f>
        <v>JASON LUGTU TORRES</v>
      </c>
      <c r="I1721" s="1">
        <f>IFERROR(__xludf.DUMMYFUNCTION("""COMPUTED_VALUE"""),9153895795)</f>
        <v>9153895795</v>
      </c>
      <c r="J1721" s="1"/>
      <c r="K1721" s="1" t="str">
        <f>IFERROR(__xludf.DUMMYFUNCTION("""COMPUTED_VALUE"""),"RIOMONTERO1989@GMAIL.COM")</f>
        <v>RIOMONTERO1989@GMAIL.COM</v>
      </c>
      <c r="L1721" s="1"/>
      <c r="M1721" s="1" t="str">
        <f>IFERROR(__xludf.DUMMYFUNCTION("""COMPUTED_VALUE"""),"PERLADO")</f>
        <v>PERLADO</v>
      </c>
      <c r="N1721" s="1"/>
      <c r="O1721" s="1" t="str">
        <f>IFERROR(__xludf.DUMMYFUNCTION("""COMPUTED_VALUE"""),"GUINHAWA NORTH")</f>
        <v>GUINHAWA NORTH</v>
      </c>
      <c r="P1721" s="1" t="str">
        <f>IFERROR(__xludf.DUMMYFUNCTION("""COMPUTED_VALUE"""),"TAGAYTAY")</f>
        <v>TAGAYTAY</v>
      </c>
      <c r="Q1721" s="1" t="str">
        <f>IFERROR(__xludf.DUMMYFUNCTION("""COMPUTED_VALUE"""),"CAVITE")</f>
        <v>CAVITE</v>
      </c>
      <c r="R1721" s="1" t="str">
        <f>IFERROR(__xludf.DUMMYFUNCTION("""COMPUTED_VALUE"""),"FIBR UNLI ALL PLAN 1399")</f>
        <v>FIBR UNLI ALL PLAN 1399</v>
      </c>
      <c r="S1721" s="1" t="str">
        <f>IFERROR(__xludf.DUMMYFUNCTION("""COMPUTED_VALUE"""),"APPROVED")</f>
        <v>APPROVED</v>
      </c>
      <c r="T1721" s="1" t="str">
        <f>IFERROR(__xludf.DUMMYFUNCTION("""COMPUTED_VALUE"""),"RPR")</f>
        <v>RPR</v>
      </c>
      <c r="U1721" s="1" t="str">
        <f>IFERROR(__xludf.DUMMYFUNCTION("""COMPUTED_VALUE"""),"paid via gcash for payroll 18-24")</f>
        <v>paid via gcash for payroll 18-24</v>
      </c>
      <c r="V1721" s="1"/>
      <c r="W1721" s="1"/>
    </row>
    <row r="1722" customHeight="1" spans="1:23">
      <c r="A1722" s="3">
        <f>IFERROR(__xludf.DUMMYFUNCTION("""COMPUTED_VALUE"""),46159)</f>
        <v>46159</v>
      </c>
      <c r="B1722" s="1" t="str">
        <f>IFERROR(__xludf.DUMMYFUNCTION("""COMPUTED_VALUE"""),"FARO, REFRANTA")</f>
        <v>FARO, REFRANTA</v>
      </c>
      <c r="C1722" s="1" t="str">
        <f>IFERROR(__xludf.DUMMYFUNCTION("""COMPUTED_VALUE"""),"ORGANIC")</f>
        <v>ORGANIC</v>
      </c>
      <c r="D1722" s="1" t="str">
        <f>IFERROR(__xludf.DUMMYFUNCTION("""COMPUTED_VALUE"""),"ALINGARO, CINDY")</f>
        <v>ALINGARO, CINDY</v>
      </c>
      <c r="E1722" s="1" t="str">
        <f>IFERROR(__xludf.DUMMYFUNCTION("""COMPUTED_VALUE"""),"PLDT / H2H")</f>
        <v>PLDT / H2H</v>
      </c>
      <c r="F1722" s="1">
        <f>IFERROR(__xludf.DUMMYFUNCTION("""COMPUTED_VALUE"""),2309553083)</f>
        <v>2309553083</v>
      </c>
      <c r="G1722" s="1">
        <f>IFERROR(__xludf.DUMMYFUNCTION("""COMPUTED_VALUE"""),454991910004)</f>
        <v>454991910004</v>
      </c>
      <c r="H1722" s="1" t="str">
        <f>IFERROR(__xludf.DUMMYFUNCTION("""COMPUTED_VALUE"""),"ALAIDA ARELLANO TOBORDAN")</f>
        <v>ALAIDA ARELLANO TOBORDAN</v>
      </c>
      <c r="I1722" s="1">
        <f>IFERROR(__xludf.DUMMYFUNCTION("""COMPUTED_VALUE"""),9473855211)</f>
        <v>9473855211</v>
      </c>
      <c r="J1722" s="1"/>
      <c r="K1722" s="1" t="str">
        <f>IFERROR(__xludf.DUMMYFUNCTION("""COMPUTED_VALUE"""),"LAITABORDAN@GMAIL.COM")</f>
        <v>LAITABORDAN@GMAIL.COM</v>
      </c>
      <c r="L1722" s="1" t="str">
        <f>IFERROR(__xludf.DUMMYFUNCTION("""COMPUTED_VALUE"""),"583")</f>
        <v>583</v>
      </c>
      <c r="M1722" s="1" t="str">
        <f>IFERROR(__xludf.DUMMYFUNCTION("""COMPUTED_VALUE"""),"SITIO")</f>
        <v>SITIO</v>
      </c>
      <c r="N1722" s="1"/>
      <c r="O1722" s="1" t="str">
        <f>IFERROR(__xludf.DUMMYFUNCTION("""COMPUTED_VALUE"""),"MUNTING ILOG")</f>
        <v>MUNTING ILOG</v>
      </c>
      <c r="P1722" s="1" t="str">
        <f>IFERROR(__xludf.DUMMYFUNCTION("""COMPUTED_VALUE"""),"SILANG")</f>
        <v>SILANG</v>
      </c>
      <c r="Q1722" s="1" t="str">
        <f>IFERROR(__xludf.DUMMYFUNCTION("""COMPUTED_VALUE"""),"CAVITE")</f>
        <v>CAVITE</v>
      </c>
      <c r="R1722" s="1" t="str">
        <f>IFERROR(__xludf.DUMMYFUNCTION("""COMPUTED_VALUE"""),"FIBR UNLI ALL PLAN 999")</f>
        <v>FIBR UNLI ALL PLAN 999</v>
      </c>
      <c r="S1722" s="1" t="str">
        <f>IFERROR(__xludf.DUMMYFUNCTION("""COMPUTED_VALUE"""),"APPROVED")</f>
        <v>APPROVED</v>
      </c>
      <c r="T1722" s="1" t="str">
        <f>IFERROR(__xludf.DUMMYFUNCTION("""COMPUTED_VALUE"""),"CLOSED")</f>
        <v>CLOSED</v>
      </c>
      <c r="U1722" s="1" t="str">
        <f>IFERROR(__xludf.DUMMYFUNCTION("""COMPUTED_VALUE"""),"POSTED")</f>
        <v>POSTED</v>
      </c>
      <c r="V1722" s="1"/>
      <c r="W1722" s="1"/>
    </row>
    <row r="1723" customHeight="1" spans="1:23">
      <c r="A1723" s="3">
        <f>IFERROR(__xludf.DUMMYFUNCTION("""COMPUTED_VALUE"""),46159)</f>
        <v>46159</v>
      </c>
      <c r="B1723" s="1" t="str">
        <f>IFERROR(__xludf.DUMMYFUNCTION("""COMPUTED_VALUE"""),"NAVARRO, JERIC")</f>
        <v>NAVARRO, JERIC</v>
      </c>
      <c r="C1723" s="1" t="str">
        <f>IFERROR(__xludf.DUMMYFUNCTION("""COMPUTED_VALUE"""),"FLA")</f>
        <v>FLA</v>
      </c>
      <c r="D1723" s="1" t="str">
        <f>IFERROR(__xludf.DUMMYFUNCTION("""COMPUTED_VALUE"""),"JERIC NAVARRO")</f>
        <v>JERIC NAVARRO</v>
      </c>
      <c r="E1723" s="1" t="str">
        <f>IFERROR(__xludf.DUMMYFUNCTION("""COMPUTED_VALUE"""),"PLDT / H2H")</f>
        <v>PLDT / H2H</v>
      </c>
      <c r="F1723" s="1">
        <f>IFERROR(__xludf.DUMMYFUNCTION("""COMPUTED_VALUE"""),2309553394)</f>
        <v>2309553394</v>
      </c>
      <c r="G1723" s="1">
        <f>IFERROR(__xludf.DUMMYFUNCTION("""COMPUTED_VALUE"""),454991885004)</f>
        <v>454991885004</v>
      </c>
      <c r="H1723" s="1" t="str">
        <f>IFERROR(__xludf.DUMMYFUNCTION("""COMPUTED_VALUE"""),"JANICE CABAUATAN GANNAVAN")</f>
        <v>JANICE CABAUATAN GANNAVAN</v>
      </c>
      <c r="I1723" s="1">
        <f>IFERROR(__xludf.DUMMYFUNCTION("""COMPUTED_VALUE"""),9554208023)</f>
        <v>9554208023</v>
      </c>
      <c r="J1723" s="1"/>
      <c r="K1723" s="1" t="str">
        <f>IFERROR(__xludf.DUMMYFUNCTION("""COMPUTED_VALUE"""),"JHLPSC27@GMAIL.COM")</f>
        <v>JHLPSC27@GMAIL.COM</v>
      </c>
      <c r="L1723" s="1" t="str">
        <f>IFERROR(__xludf.DUMMYFUNCTION("""COMPUTED_VALUE"""),"65")</f>
        <v>65</v>
      </c>
      <c r="M1723" s="1" t="str">
        <f>IFERROR(__xludf.DUMMYFUNCTION("""COMPUTED_VALUE"""),"ZAMORA")</f>
        <v>ZAMORA</v>
      </c>
      <c r="N1723" s="1"/>
      <c r="O1723" s="1" t="str">
        <f>IFERROR(__xludf.DUMMYFUNCTION("""COMPUTED_VALUE"""),"ASIS I")</f>
        <v>ASIS I</v>
      </c>
      <c r="P1723" s="1" t="str">
        <f>IFERROR(__xludf.DUMMYFUNCTION("""COMPUTED_VALUE"""),"MENDEZ")</f>
        <v>MENDEZ</v>
      </c>
      <c r="Q1723" s="1" t="str">
        <f>IFERROR(__xludf.DUMMYFUNCTION("""COMPUTED_VALUE"""),"CAVITE")</f>
        <v>CAVITE</v>
      </c>
      <c r="R1723" s="1" t="str">
        <f>IFERROR(__xludf.DUMMYFUNCTION("""COMPUTED_VALUE"""),"FIBR NETFLIX PLAN 1599")</f>
        <v>FIBR NETFLIX PLAN 1599</v>
      </c>
      <c r="S1723" s="1" t="str">
        <f>IFERROR(__xludf.DUMMYFUNCTION("""COMPUTED_VALUE"""),"APPROVED")</f>
        <v>APPROVED</v>
      </c>
      <c r="T1723" s="1" t="str">
        <f>IFERROR(__xludf.DUMMYFUNCTION("""COMPUTED_VALUE"""),"CLOSED")</f>
        <v>CLOSED</v>
      </c>
      <c r="U1723" s="1" t="str">
        <f>IFERROR(__xludf.DUMMYFUNCTION("""COMPUTED_VALUE"""),"POSTED")</f>
        <v>POSTED</v>
      </c>
      <c r="V1723" s="1"/>
      <c r="W1723" s="1"/>
    </row>
    <row r="1724" customHeight="1" spans="1:23">
      <c r="A1724" s="3">
        <f>IFERROR(__xludf.DUMMYFUNCTION("""COMPUTED_VALUE"""),46159)</f>
        <v>46159</v>
      </c>
      <c r="B1724" s="1" t="str">
        <f>IFERROR(__xludf.DUMMYFUNCTION("""COMPUTED_VALUE"""),"OPS SIR ZZEP")</f>
        <v>OPS SIR ZZEP</v>
      </c>
      <c r="C1724" s="1" t="str">
        <f>IFERROR(__xludf.DUMMYFUNCTION("""COMPUTED_VALUE"""),"FLA")</f>
        <v>FLA</v>
      </c>
      <c r="D1724" s="1" t="str">
        <f>IFERROR(__xludf.DUMMYFUNCTION("""COMPUTED_VALUE"""),"JERIC NAVARRO")</f>
        <v>JERIC NAVARRO</v>
      </c>
      <c r="E1724" s="1" t="str">
        <f>IFERROR(__xludf.DUMMYFUNCTION("""COMPUTED_VALUE"""),"PLDT / ONLINE")</f>
        <v>PLDT / ONLINE</v>
      </c>
      <c r="F1724" s="1">
        <f>IFERROR(__xludf.DUMMYFUNCTION("""COMPUTED_VALUE"""),2309554167)</f>
        <v>2309554167</v>
      </c>
      <c r="G1724" s="1"/>
      <c r="H1724" s="1" t="str">
        <f>IFERROR(__xludf.DUMMYFUNCTION("""COMPUTED_VALUE"""),"JEANETTE CLAMOR MONROY")</f>
        <v>JEANETTE CLAMOR MONROY</v>
      </c>
      <c r="I1724" s="1">
        <f>IFERROR(__xludf.DUMMYFUNCTION("""COMPUTED_VALUE"""),9088150531)</f>
        <v>9088150531</v>
      </c>
      <c r="J1724" s="1"/>
      <c r="K1724" s="1" t="str">
        <f>IFERROR(__xludf.DUMMYFUNCTION("""COMPUTED_VALUE"""),"JEANETTEMONROY@YAHOO.COM")</f>
        <v>JEANETTEMONROY@YAHOO.COM</v>
      </c>
      <c r="L1724" s="1" t="str">
        <f>IFERROR(__xludf.DUMMYFUNCTION("""COMPUTED_VALUE"""),"1122")</f>
        <v>1122</v>
      </c>
      <c r="M1724" s="1" t="str">
        <f>IFERROR(__xludf.DUMMYFUNCTION("""COMPUTED_VALUE"""),"PUROK 7")</f>
        <v>PUROK 7</v>
      </c>
      <c r="N1724" s="1"/>
      <c r="O1724" s="1" t="str">
        <f>IFERROR(__xludf.DUMMYFUNCTION("""COMPUTED_VALUE"""),"GUYAM MALAKI")</f>
        <v>GUYAM MALAKI</v>
      </c>
      <c r="P1724" s="1" t="str">
        <f>IFERROR(__xludf.DUMMYFUNCTION("""COMPUTED_VALUE"""),"INDANG")</f>
        <v>INDANG</v>
      </c>
      <c r="Q1724" s="1" t="str">
        <f>IFERROR(__xludf.DUMMYFUNCTION("""COMPUTED_VALUE"""),"CAVITE")</f>
        <v>CAVITE</v>
      </c>
      <c r="R1724" s="1" t="str">
        <f>IFERROR(__xludf.DUMMYFUNCTION("""COMPUTED_VALUE"""),"FIBR UNLI ALL PLAN 1799")</f>
        <v>FIBR UNLI ALL PLAN 1799</v>
      </c>
      <c r="S1724" s="1" t="str">
        <f>IFERROR(__xludf.DUMMYFUNCTION("""COMPUTED_VALUE"""),"APPROVED")</f>
        <v>APPROVED</v>
      </c>
      <c r="T1724" s="1" t="str">
        <f>IFERROR(__xludf.DUMMYFUNCTION("""COMPUTED_VALUE"""),"CANCELLED")</f>
        <v>CANCELLED</v>
      </c>
      <c r="U1724" s="1"/>
      <c r="V1724" s="1"/>
      <c r="W1724" s="1"/>
    </row>
    <row r="1725" customHeight="1" spans="1:23">
      <c r="A1725" s="3">
        <f>IFERROR(__xludf.DUMMYFUNCTION("""COMPUTED_VALUE"""),46160)</f>
        <v>46160</v>
      </c>
      <c r="B1725" s="1" t="str">
        <f>IFERROR(__xludf.DUMMYFUNCTION("""COMPUTED_VALUE"""),"NAVARRO, JERIC")</f>
        <v>NAVARRO, JERIC</v>
      </c>
      <c r="C1725" s="1" t="str">
        <f>IFERROR(__xludf.DUMMYFUNCTION("""COMPUTED_VALUE"""),"FLA")</f>
        <v>FLA</v>
      </c>
      <c r="D1725" s="1" t="str">
        <f>IFERROR(__xludf.DUMMYFUNCTION("""COMPUTED_VALUE"""),"JERIC NAVARRO")</f>
        <v>JERIC NAVARRO</v>
      </c>
      <c r="E1725" s="1" t="str">
        <f>IFERROR(__xludf.DUMMYFUNCTION("""COMPUTED_VALUE"""),"PLDT / ONLINE")</f>
        <v>PLDT / ONLINE</v>
      </c>
      <c r="F1725" s="1">
        <f>IFERROR(__xludf.DUMMYFUNCTION("""COMPUTED_VALUE"""),2309565499)</f>
        <v>2309565499</v>
      </c>
      <c r="G1725" s="1">
        <f>IFERROR(__xludf.DUMMYFUNCTION("""COMPUTED_VALUE"""),455135250004)</f>
        <v>455135250004</v>
      </c>
      <c r="H1725" s="1" t="str">
        <f>IFERROR(__xludf.DUMMYFUNCTION("""COMPUTED_VALUE"""),"CHESTER IAN AQUIPEL MELENCIO")</f>
        <v>CHESTER IAN AQUIPEL MELENCIO</v>
      </c>
      <c r="I1725" s="1">
        <f>IFERROR(__xludf.DUMMYFUNCTION("""COMPUTED_VALUE"""),9055992426)</f>
        <v>9055992426</v>
      </c>
      <c r="J1725" s="1">
        <f>IFERROR(__xludf.DUMMYFUNCTION("""COMPUTED_VALUE"""),9175810006)</f>
        <v>9175810006</v>
      </c>
      <c r="K1725" s="1" t="str">
        <f>IFERROR(__xludf.DUMMYFUNCTION("""COMPUTED_VALUE"""),"MELENCIO@GMAIL.COM")</f>
        <v>MELENCIO@GMAIL.COM</v>
      </c>
      <c r="L1725" s="1" t="str">
        <f>IFERROR(__xludf.DUMMYFUNCTION("""COMPUTED_VALUE"""),"BLK 20 LOT 12")</f>
        <v>BLK 20 LOT 12</v>
      </c>
      <c r="M1725" s="1" t="str">
        <f>IFERROR(__xludf.DUMMYFUNCTION("""COMPUTED_VALUE"""),"SUMMERPHINE")</f>
        <v>SUMMERPHINE</v>
      </c>
      <c r="N1725" s="1"/>
      <c r="O1725" s="1" t="str">
        <f>IFERROR(__xludf.DUMMYFUNCTION("""COMPUTED_VALUE"""),"SAN JOSE I")</f>
        <v>SAN JOSE I</v>
      </c>
      <c r="P1725" s="1" t="str">
        <f>IFERROR(__xludf.DUMMYFUNCTION("""COMPUTED_VALUE"""),"NOVELETA")</f>
        <v>NOVELETA</v>
      </c>
      <c r="Q1725" s="1" t="str">
        <f>IFERROR(__xludf.DUMMYFUNCTION("""COMPUTED_VALUE"""),"CAVITE")</f>
        <v>CAVITE</v>
      </c>
      <c r="R1725" s="1" t="str">
        <f>IFERROR(__xludf.DUMMYFUNCTION("""COMPUTED_VALUE"""),"FIBR UNLI ALL PLAN 1799")</f>
        <v>FIBR UNLI ALL PLAN 1799</v>
      </c>
      <c r="S1725" s="1" t="str">
        <f>IFERROR(__xludf.DUMMYFUNCTION("""COMPUTED_VALUE"""),"APPROVED")</f>
        <v>APPROVED</v>
      </c>
      <c r="T1725" s="1" t="str">
        <f>IFERROR(__xludf.DUMMYFUNCTION("""COMPUTED_VALUE"""),"CLOSED")</f>
        <v>CLOSED</v>
      </c>
      <c r="U1725" s="1" t="str">
        <f>IFERROR(__xludf.DUMMYFUNCTION("""COMPUTED_VALUE"""),"POSTED")</f>
        <v>POSTED</v>
      </c>
      <c r="V1725" s="1"/>
      <c r="W1725" s="1"/>
    </row>
    <row r="1726" customHeight="1" spans="1:23">
      <c r="A1726" s="3">
        <f>IFERROR(__xludf.DUMMYFUNCTION("""COMPUTED_VALUE"""),46160)</f>
        <v>46160</v>
      </c>
      <c r="B1726" s="1" t="str">
        <f>IFERROR(__xludf.DUMMYFUNCTION("""COMPUTED_VALUE"""),"ODY , CLARENCE")</f>
        <v>ODY , CLARENCE</v>
      </c>
      <c r="C1726" s="1" t="str">
        <f>IFERROR(__xludf.DUMMYFUNCTION("""COMPUTED_VALUE"""),"ORGANIC")</f>
        <v>ORGANIC</v>
      </c>
      <c r="D1726" s="1" t="str">
        <f>IFERROR(__xludf.DUMMYFUNCTION("""COMPUTED_VALUE"""),"ALOS, CHARLS")</f>
        <v>ALOS, CHARLS</v>
      </c>
      <c r="E1726" s="1" t="str">
        <f>IFERROR(__xludf.DUMMYFUNCTION("""COMPUTED_VALUE"""),"PLDT / ONLINE")</f>
        <v>PLDT / ONLINE</v>
      </c>
      <c r="F1726" s="1">
        <f>IFERROR(__xludf.DUMMYFUNCTION("""COMPUTED_VALUE"""),2309566485)</f>
        <v>2309566485</v>
      </c>
      <c r="G1726" s="1">
        <f>IFERROR(__xludf.DUMMYFUNCTION("""COMPUTED_VALUE"""),455133274004)</f>
        <v>455133274004</v>
      </c>
      <c r="H1726" s="1" t="str">
        <f>IFERROR(__xludf.DUMMYFUNCTION("""COMPUTED_VALUE"""),"MARJUN DE JESUS AGUSTIN")</f>
        <v>MARJUN DE JESUS AGUSTIN</v>
      </c>
      <c r="I1726" s="1">
        <f>IFERROR(__xludf.DUMMYFUNCTION("""COMPUTED_VALUE"""),9102771665)</f>
        <v>9102771665</v>
      </c>
      <c r="J1726" s="1">
        <f>IFERROR(__xludf.DUMMYFUNCTION("""COMPUTED_VALUE"""),9125757667)</f>
        <v>9125757667</v>
      </c>
      <c r="K1726" s="1" t="str">
        <f>IFERROR(__xludf.DUMMYFUNCTION("""COMPUTED_VALUE"""),"CHRISTIANTEVES70@GMAIL.COM")</f>
        <v>CHRISTIANTEVES70@GMAIL.COM</v>
      </c>
      <c r="L1726" s="1" t="str">
        <f>IFERROR(__xludf.DUMMYFUNCTION("""COMPUTED_VALUE"""),"BLK 11 6")</f>
        <v>BLK 11 6</v>
      </c>
      <c r="M1726" s="1" t="str">
        <f>IFERROR(__xludf.DUMMYFUNCTION("""COMPUTED_VALUE"""),"PHASE 1")</f>
        <v>PHASE 1</v>
      </c>
      <c r="N1726" s="1"/>
      <c r="O1726" s="1" t="str">
        <f>IFERROR(__xludf.DUMMYFUNCTION("""COMPUTED_VALUE"""),"PALIPARAN III")</f>
        <v>PALIPARAN III</v>
      </c>
      <c r="P1726" s="1" t="str">
        <f>IFERROR(__xludf.DUMMYFUNCTION("""COMPUTED_VALUE"""),"DASMARINAS")</f>
        <v>DASMARINAS</v>
      </c>
      <c r="Q1726" s="1" t="str">
        <f>IFERROR(__xludf.DUMMYFUNCTION("""COMPUTED_VALUE"""),"CAVITE")</f>
        <v>CAVITE</v>
      </c>
      <c r="R1726" s="1" t="str">
        <f>IFERROR(__xludf.DUMMYFUNCTION("""COMPUTED_VALUE"""),"FIBR UNLI ALL PLAN 999")</f>
        <v>FIBR UNLI ALL PLAN 999</v>
      </c>
      <c r="S1726" s="1" t="str">
        <f>IFERROR(__xludf.DUMMYFUNCTION("""COMPUTED_VALUE"""),"APPROVED")</f>
        <v>APPROVED</v>
      </c>
      <c r="T1726" s="1" t="str">
        <f>IFERROR(__xludf.DUMMYFUNCTION("""COMPUTED_VALUE"""),"CANCELLED")</f>
        <v>CANCELLED</v>
      </c>
      <c r="U1726" s="1" t="str">
        <f>IFERROR(__xludf.DUMMYFUNCTION("""COMPUTED_VALUE"""),"NO PAYMENT")</f>
        <v>NO PAYMENT</v>
      </c>
      <c r="V1726" s="1"/>
      <c r="W1726" s="1"/>
    </row>
    <row r="1727" customHeight="1" spans="1:23">
      <c r="A1727" s="3">
        <f>IFERROR(__xludf.DUMMYFUNCTION("""COMPUTED_VALUE"""),46160)</f>
        <v>46160</v>
      </c>
      <c r="B1727" s="1" t="str">
        <f>IFERROR(__xludf.DUMMYFUNCTION("""COMPUTED_VALUE"""),"ALANO, RAIN")</f>
        <v>ALANO, RAIN</v>
      </c>
      <c r="C1727" s="1" t="str">
        <f>IFERROR(__xludf.DUMMYFUNCTION("""COMPUTED_VALUE"""),"ORGANIC")</f>
        <v>ORGANIC</v>
      </c>
      <c r="D1727" s="1" t="str">
        <f>IFERROR(__xludf.DUMMYFUNCTION("""COMPUTED_VALUE"""),"REMOLLO LEA")</f>
        <v>REMOLLO LEA</v>
      </c>
      <c r="E1727" s="1" t="str">
        <f>IFERROR(__xludf.DUMMYFUNCTION("""COMPUTED_VALUE"""),"PLDT / ONLINE")</f>
        <v>PLDT / ONLINE</v>
      </c>
      <c r="F1727" s="1">
        <f>IFERROR(__xludf.DUMMYFUNCTION("""COMPUTED_VALUE"""),2309565924)</f>
        <v>2309565924</v>
      </c>
      <c r="G1727" s="1">
        <f>IFERROR(__xludf.DUMMYFUNCTION("""COMPUTED_VALUE"""),455151928004)</f>
        <v>455151928004</v>
      </c>
      <c r="H1727" s="1" t="str">
        <f>IFERROR(__xludf.DUMMYFUNCTION("""COMPUTED_VALUE"""),"IRISH MANAYTAY ABANG")</f>
        <v>IRISH MANAYTAY ABANG</v>
      </c>
      <c r="I1727" s="1">
        <f>IFERROR(__xludf.DUMMYFUNCTION("""COMPUTED_VALUE"""),9285830201)</f>
        <v>9285830201</v>
      </c>
      <c r="J1727" s="1">
        <f>IFERROR(__xludf.DUMMYFUNCTION("""COMPUTED_VALUE"""),9167315704)</f>
        <v>9167315704</v>
      </c>
      <c r="K1727" s="1" t="str">
        <f>IFERROR(__xludf.DUMMYFUNCTION("""COMPUTED_VALUE"""),"IRISHPAGUIA24@GMAIL.COM")</f>
        <v>IRISHPAGUIA24@GMAIL.COM</v>
      </c>
      <c r="L1727" s="1" t="str">
        <f>IFERROR(__xludf.DUMMYFUNCTION("""COMPUTED_VALUE"""),"9126")</f>
        <v>9126</v>
      </c>
      <c r="M1727" s="1" t="str">
        <f>IFERROR(__xludf.DUMMYFUNCTION("""COMPUTED_VALUE"""),"GEROMINO")</f>
        <v>GEROMINO</v>
      </c>
      <c r="N1727" s="1"/>
      <c r="O1727" s="1" t="str">
        <f>IFERROR(__xludf.DUMMYFUNCTION("""COMPUTED_VALUE"""),"EPIFANIO MALIA")</f>
        <v>EPIFANIO MALIA</v>
      </c>
      <c r="P1727" s="1" t="str">
        <f>IFERROR(__xludf.DUMMYFUNCTION("""COMPUTED_VALUE"""),"GEN MARIANO ALVAREZ")</f>
        <v>GEN MARIANO ALVAREZ</v>
      </c>
      <c r="Q1727" s="1" t="str">
        <f>IFERROR(__xludf.DUMMYFUNCTION("""COMPUTED_VALUE"""),"CAVITE")</f>
        <v>CAVITE</v>
      </c>
      <c r="R1727" s="1" t="str">
        <f>IFERROR(__xludf.DUMMYFUNCTION("""COMPUTED_VALUE"""),"FIBR UNLI ALL PLAN 1399")</f>
        <v>FIBR UNLI ALL PLAN 1399</v>
      </c>
      <c r="S1727" s="1" t="str">
        <f>IFERROR(__xludf.DUMMYFUNCTION("""COMPUTED_VALUE"""),"APPROVED")</f>
        <v>APPROVED</v>
      </c>
      <c r="T1727" s="1" t="str">
        <f>IFERROR(__xludf.DUMMYFUNCTION("""COMPUTED_VALUE"""),"CANCELLED")</f>
        <v>CANCELLED</v>
      </c>
      <c r="U1727" s="1" t="str">
        <f>IFERROR(__xludf.DUMMYFUNCTION("""COMPUTED_VALUE"""),"NO PAYMENT")</f>
        <v>NO PAYMENT</v>
      </c>
      <c r="V1727" s="1"/>
      <c r="W1727" s="1"/>
    </row>
    <row r="1728" customHeight="1" spans="1:23">
      <c r="A1728" s="3">
        <f>IFERROR(__xludf.DUMMYFUNCTION("""COMPUTED_VALUE"""),46160)</f>
        <v>46160</v>
      </c>
      <c r="B1728" s="1" t="str">
        <f>IFERROR(__xludf.DUMMYFUNCTION("""COMPUTED_VALUE"""),"TAMAYO,MARY ROSE")</f>
        <v>TAMAYO,MARY ROSE</v>
      </c>
      <c r="C1728" s="1" t="str">
        <f>IFERROR(__xludf.DUMMYFUNCTION("""COMPUTED_VALUE"""),"ORGANIC")</f>
        <v>ORGANIC</v>
      </c>
      <c r="D1728" s="1" t="str">
        <f>IFERROR(__xludf.DUMMYFUNCTION("""COMPUTED_VALUE"""),"ALINGARO, CINDY")</f>
        <v>ALINGARO, CINDY</v>
      </c>
      <c r="E1728" s="1" t="str">
        <f>IFERROR(__xludf.DUMMYFUNCTION("""COMPUTED_VALUE"""),"RED FIBER")</f>
        <v>RED FIBER</v>
      </c>
      <c r="F1728" s="1"/>
      <c r="G1728" s="1"/>
      <c r="H1728" s="1" t="str">
        <f>IFERROR(__xludf.DUMMYFUNCTION("""COMPUTED_VALUE"""),"DANILO VALDEZ MENDOZA")</f>
        <v>DANILO VALDEZ MENDOZA</v>
      </c>
      <c r="I1728" s="1">
        <f>IFERROR(__xludf.DUMMYFUNCTION("""COMPUTED_VALUE"""),9955338376)</f>
        <v>9955338376</v>
      </c>
      <c r="J1728" s="1">
        <f>IFERROR(__xludf.DUMMYFUNCTION("""COMPUTED_VALUE"""),9957195545)</f>
        <v>9957195545</v>
      </c>
      <c r="K1728" s="1" t="str">
        <f>IFERROR(__xludf.DUMMYFUNCTION("""COMPUTED_VALUE"""),"DMENDOZA1467@GMAIL.COM")</f>
        <v>DMENDOZA1467@GMAIL.COM</v>
      </c>
      <c r="L1728" s="1" t="str">
        <f>IFERROR(__xludf.DUMMYFUNCTION("""COMPUTED_VALUE"""),"BLK 42 LOT 38")</f>
        <v>BLK 42 LOT 38</v>
      </c>
      <c r="M1728" s="1" t="str">
        <f>IFERROR(__xludf.DUMMYFUNCTION("""COMPUTED_VALUE"""),"PHASE 2")</f>
        <v>PHASE 2</v>
      </c>
      <c r="N1728" s="1" t="str">
        <f>IFERROR(__xludf.DUMMYFUNCTION("""COMPUTED_VALUE"""),"TERRA VERDE")</f>
        <v>TERRA VERDE</v>
      </c>
      <c r="O1728" s="1" t="str">
        <f>IFERROR(__xludf.DUMMYFUNCTION("""COMPUTED_VALUE"""),"BANCAL")</f>
        <v>BANCAL</v>
      </c>
      <c r="P1728" s="1" t="str">
        <f>IFERROR(__xludf.DUMMYFUNCTION("""COMPUTED_VALUE"""),"CARMONA")</f>
        <v>CARMONA</v>
      </c>
      <c r="Q1728" s="1" t="str">
        <f>IFERROR(__xludf.DUMMYFUNCTION("""COMPUTED_VALUE"""),"CAVITE")</f>
        <v>CAVITE</v>
      </c>
      <c r="R1728" s="1" t="str">
        <f>IFERROR(__xludf.DUMMYFUNCTION("""COMPUTED_VALUE"""),"RED PLAN 1000")</f>
        <v>RED PLAN 1000</v>
      </c>
      <c r="S1728" s="1" t="str">
        <f>IFERROR(__xludf.DUMMYFUNCTION("""COMPUTED_VALUE"""),"APPROVED")</f>
        <v>APPROVED</v>
      </c>
      <c r="T1728" s="1" t="str">
        <f>IFERROR(__xludf.DUMMYFUNCTION("""COMPUTED_VALUE"""),"CLOSED")</f>
        <v>CLOSED</v>
      </c>
      <c r="U1728" s="1" t="str">
        <f>IFERROR(__xludf.DUMMYFUNCTION("""COMPUTED_VALUE"""),"POSTED")</f>
        <v>POSTED</v>
      </c>
      <c r="V1728" s="1"/>
      <c r="W1728" s="1"/>
    </row>
    <row r="1729" customHeight="1" spans="1:23">
      <c r="A1729" s="3">
        <f>IFERROR(__xludf.DUMMYFUNCTION("""COMPUTED_VALUE"""),46160)</f>
        <v>46160</v>
      </c>
      <c r="B1729" s="1" t="str">
        <f>IFERROR(__xludf.DUMMYFUNCTION("""COMPUTED_VALUE"""),"DELA ROSA, JENNELYN")</f>
        <v>DELA ROSA, JENNELYN</v>
      </c>
      <c r="C1729" s="1" t="str">
        <f>IFERROR(__xludf.DUMMYFUNCTION("""COMPUTED_VALUE"""),"ORGANIC")</f>
        <v>ORGANIC</v>
      </c>
      <c r="D1729" s="1" t="str">
        <f>IFERROR(__xludf.DUMMYFUNCTION("""COMPUTED_VALUE"""),"ALOS, CHARLS")</f>
        <v>ALOS, CHARLS</v>
      </c>
      <c r="E1729" s="1" t="str">
        <f>IFERROR(__xludf.DUMMYFUNCTION("""COMPUTED_VALUE"""),"PLDT / ONLINE")</f>
        <v>PLDT / ONLINE</v>
      </c>
      <c r="F1729" s="1">
        <f>IFERROR(__xludf.DUMMYFUNCTION("""COMPUTED_VALUE"""),2309569309)</f>
        <v>2309569309</v>
      </c>
      <c r="G1729" s="1"/>
      <c r="H1729" s="1" t="str">
        <f>IFERROR(__xludf.DUMMYFUNCTION("""COMPUTED_VALUE"""),"ROSE SANTOS GADIL")</f>
        <v>ROSE SANTOS GADIL</v>
      </c>
      <c r="I1729" s="1">
        <f>IFERROR(__xludf.DUMMYFUNCTION("""COMPUTED_VALUE"""),9954321670)</f>
        <v>9954321670</v>
      </c>
      <c r="J1729" s="1"/>
      <c r="K1729" s="1" t="str">
        <f>IFERROR(__xludf.DUMMYFUNCTION("""COMPUTED_VALUE"""),"ROSE.GADIL@ICLOUD.COM")</f>
        <v>ROSE.GADIL@ICLOUD.COM</v>
      </c>
      <c r="L1729" s="1" t="str">
        <f>IFERROR(__xludf.DUMMYFUNCTION("""COMPUTED_VALUE"""),"BLK 7 LOT 9")</f>
        <v>BLK 7 LOT 9</v>
      </c>
      <c r="M1729" s="1" t="str">
        <f>IFERROR(__xludf.DUMMYFUNCTION("""COMPUTED_VALUE"""),"NAPLES")</f>
        <v>NAPLES</v>
      </c>
      <c r="N1729" s="1" t="str">
        <f>IFERROR(__xludf.DUMMYFUNCTION("""COMPUTED_VALUE"""),"SAN MARINO")</f>
        <v>SAN MARINO</v>
      </c>
      <c r="O1729" s="1" t="str">
        <f>IFERROR(__xludf.DUMMYFUNCTION("""COMPUTED_VALUE"""),"SALAWAG")</f>
        <v>SALAWAG</v>
      </c>
      <c r="P1729" s="1" t="str">
        <f>IFERROR(__xludf.DUMMYFUNCTION("""COMPUTED_VALUE"""),"DASMARINAS")</f>
        <v>DASMARINAS</v>
      </c>
      <c r="Q1729" s="1" t="str">
        <f>IFERROR(__xludf.DUMMYFUNCTION("""COMPUTED_VALUE"""),"CAVITE")</f>
        <v>CAVITE</v>
      </c>
      <c r="R1729" s="1" t="str">
        <f>IFERROR(__xludf.DUMMYFUNCTION("""COMPUTED_VALUE"""),"FIBR NETFLIX PLAN 1599")</f>
        <v>FIBR NETFLIX PLAN 1599</v>
      </c>
      <c r="S1729" s="1" t="str">
        <f>IFERROR(__xludf.DUMMYFUNCTION("""COMPUTED_VALUE"""),"APPROVED")</f>
        <v>APPROVED</v>
      </c>
      <c r="T1729" s="1" t="str">
        <f>IFERROR(__xludf.DUMMYFUNCTION("""COMPUTED_VALUE"""),"SUBS CANCELLED APPLICATION")</f>
        <v>SUBS CANCELLED APPLICATION</v>
      </c>
      <c r="U1729" s="1"/>
      <c r="V1729" s="1"/>
      <c r="W1729" s="1"/>
    </row>
    <row r="1730" customHeight="1" spans="1:23">
      <c r="A1730" s="3">
        <f>IFERROR(__xludf.DUMMYFUNCTION("""COMPUTED_VALUE"""),46160)</f>
        <v>46160</v>
      </c>
      <c r="B1730" s="1" t="str">
        <f>IFERROR(__xludf.DUMMYFUNCTION("""COMPUTED_VALUE"""),"CASTILLEJOS, ARREL")</f>
        <v>CASTILLEJOS, ARREL</v>
      </c>
      <c r="C1730" s="1" t="str">
        <f>IFERROR(__xludf.DUMMYFUNCTION("""COMPUTED_VALUE"""),"ORGANIC")</f>
        <v>ORGANIC</v>
      </c>
      <c r="D1730" s="1" t="str">
        <f>IFERROR(__xludf.DUMMYFUNCTION("""COMPUTED_VALUE"""),"REMOLLO LEA")</f>
        <v>REMOLLO LEA</v>
      </c>
      <c r="E1730" s="1" t="str">
        <f>IFERROR(__xludf.DUMMYFUNCTION("""COMPUTED_VALUE"""),"PLDT / ONLINE")</f>
        <v>PLDT / ONLINE</v>
      </c>
      <c r="F1730" s="1">
        <f>IFERROR(__xludf.DUMMYFUNCTION("""COMPUTED_VALUE"""),2309569728)</f>
        <v>2309569728</v>
      </c>
      <c r="G1730" s="1">
        <f>IFERROR(__xludf.DUMMYFUNCTION("""COMPUTED_VALUE"""),455149997004)</f>
        <v>455149997004</v>
      </c>
      <c r="H1730" s="1" t="str">
        <f>IFERROR(__xludf.DUMMYFUNCTION("""COMPUTED_VALUE"""),"MARK JAYLORD LOYOLA PINGAL")</f>
        <v>MARK JAYLORD LOYOLA PINGAL</v>
      </c>
      <c r="I1730" s="1">
        <f>IFERROR(__xludf.DUMMYFUNCTION("""COMPUTED_VALUE"""),9660146883)</f>
        <v>9660146883</v>
      </c>
      <c r="J1730" s="1">
        <f>IFERROR(__xludf.DUMMYFUNCTION("""COMPUTED_VALUE"""),9558961491)</f>
        <v>9558961491</v>
      </c>
      <c r="K1730" s="1" t="str">
        <f>IFERROR(__xludf.DUMMYFUNCTION("""COMPUTED_VALUE"""),"JAJALOYOLA03@GMAIL.COM")</f>
        <v>JAJALOYOLA03@GMAIL.COM</v>
      </c>
      <c r="L1730" s="1" t="str">
        <f>IFERROR(__xludf.DUMMYFUNCTION("""COMPUTED_VALUE"""),"BP2")</f>
        <v>BP2</v>
      </c>
      <c r="M1730" s="1" t="str">
        <f>IFERROR(__xludf.DUMMYFUNCTION("""COMPUTED_VALUE"""),"EXCESS LOT")</f>
        <v>EXCESS LOT</v>
      </c>
      <c r="N1730" s="1"/>
      <c r="O1730" s="1" t="str">
        <f>IFERROR(__xludf.DUMMYFUNCTION("""COMPUTED_VALUE"""),"SANTA CRISTINA I")</f>
        <v>SANTA CRISTINA I</v>
      </c>
      <c r="P1730" s="1" t="str">
        <f>IFERROR(__xludf.DUMMYFUNCTION("""COMPUTED_VALUE"""),"DASMARINAS")</f>
        <v>DASMARINAS</v>
      </c>
      <c r="Q1730" s="1" t="str">
        <f>IFERROR(__xludf.DUMMYFUNCTION("""COMPUTED_VALUE"""),"CAVITE")</f>
        <v>CAVITE</v>
      </c>
      <c r="R1730" s="1" t="str">
        <f>IFERROR(__xludf.DUMMYFUNCTION("""COMPUTED_VALUE"""),"FIBR PLAN 1299")</f>
        <v>FIBR PLAN 1299</v>
      </c>
      <c r="S1730" s="1" t="str">
        <f>IFERROR(__xludf.DUMMYFUNCTION("""COMPUTED_VALUE"""),"APPROVED")</f>
        <v>APPROVED</v>
      </c>
      <c r="T1730" s="1" t="str">
        <f>IFERROR(__xludf.DUMMYFUNCTION("""COMPUTED_VALUE"""),"RPR")</f>
        <v>RPR</v>
      </c>
      <c r="U1730" s="1" t="str">
        <f>IFERROR(__xludf.DUMMYFUNCTION("""COMPUTED_VALUE"""),"NO PAYMENT")</f>
        <v>NO PAYMENT</v>
      </c>
      <c r="V1730" s="1"/>
      <c r="W1730" s="1"/>
    </row>
    <row r="1731" customHeight="1" spans="1:23">
      <c r="A1731" s="3">
        <f>IFERROR(__xludf.DUMMYFUNCTION("""COMPUTED_VALUE"""),46160)</f>
        <v>46160</v>
      </c>
      <c r="B1731" s="1" t="str">
        <f>IFERROR(__xludf.DUMMYFUNCTION("""COMPUTED_VALUE"""),"MALIWAT MARK ELVIN")</f>
        <v>MALIWAT MARK ELVIN</v>
      </c>
      <c r="C1731" s="1" t="str">
        <f>IFERROR(__xludf.DUMMYFUNCTION("""COMPUTED_VALUE"""),"FLA")</f>
        <v>FLA</v>
      </c>
      <c r="D1731" s="1" t="str">
        <f>IFERROR(__xludf.DUMMYFUNCTION("""COMPUTED_VALUE"""),"JERIC NAVARRO")</f>
        <v>JERIC NAVARRO</v>
      </c>
      <c r="E1731" s="1" t="str">
        <f>IFERROR(__xludf.DUMMYFUNCTION("""COMPUTED_VALUE"""),"RED FIBER")</f>
        <v>RED FIBER</v>
      </c>
      <c r="F1731" s="1"/>
      <c r="G1731" s="1"/>
      <c r="H1731" s="1" t="str">
        <f>IFERROR(__xludf.DUMMYFUNCTION("""COMPUTED_VALUE"""),"PHILIP GANDER ESPESOR ARATAN")</f>
        <v>PHILIP GANDER ESPESOR ARATAN</v>
      </c>
      <c r="I1731" s="1">
        <f>IFERROR(__xludf.DUMMYFUNCTION("""COMPUTED_VALUE"""),9608144528)</f>
        <v>9608144528</v>
      </c>
      <c r="J1731" s="1"/>
      <c r="K1731" s="1" t="str">
        <f>IFERROR(__xludf.DUMMYFUNCTION("""COMPUTED_VALUE"""),"PHILIPARATAN9@GMAIL.COM")</f>
        <v>PHILIPARATAN9@GMAIL.COM</v>
      </c>
      <c r="L1731" s="1" t="str">
        <f>IFERROR(__xludf.DUMMYFUNCTION("""COMPUTED_VALUE"""),"BLK 40 LOT 18")</f>
        <v>BLK 40 LOT 18</v>
      </c>
      <c r="M1731" s="1" t="str">
        <f>IFERROR(__xludf.DUMMYFUNCTION("""COMPUTED_VALUE"""),"PHASE 2")</f>
        <v>PHASE 2</v>
      </c>
      <c r="N1731" s="1" t="str">
        <f>IFERROR(__xludf.DUMMYFUNCTION("""COMPUTED_VALUE"""),"TERRA VERDE")</f>
        <v>TERRA VERDE</v>
      </c>
      <c r="O1731" s="1" t="str">
        <f>IFERROR(__xludf.DUMMYFUNCTION("""COMPUTED_VALUE"""),"BANCAL")</f>
        <v>BANCAL</v>
      </c>
      <c r="P1731" s="1" t="str">
        <f>IFERROR(__xludf.DUMMYFUNCTION("""COMPUTED_VALUE"""),"CARMONA")</f>
        <v>CARMONA</v>
      </c>
      <c r="Q1731" s="1" t="str">
        <f>IFERROR(__xludf.DUMMYFUNCTION("""COMPUTED_VALUE"""),"CAVITE")</f>
        <v>CAVITE</v>
      </c>
      <c r="R1731" s="1" t="str">
        <f>IFERROR(__xludf.DUMMYFUNCTION("""COMPUTED_VALUE"""),"RED PLPAN 1900")</f>
        <v>RED PLPAN 1900</v>
      </c>
      <c r="S1731" s="1" t="str">
        <f>IFERROR(__xludf.DUMMYFUNCTION("""COMPUTED_VALUE"""),"APPROVED")</f>
        <v>APPROVED</v>
      </c>
      <c r="T1731" s="1" t="str">
        <f>IFERROR(__xludf.DUMMYFUNCTION("""COMPUTED_VALUE"""),"CLOSED")</f>
        <v>CLOSED</v>
      </c>
      <c r="U1731" s="1" t="str">
        <f>IFERROR(__xludf.DUMMYFUNCTION("""COMPUTED_VALUE"""),"POSTED")</f>
        <v>POSTED</v>
      </c>
      <c r="V1731" s="1"/>
      <c r="W1731" s="1"/>
    </row>
    <row r="1732" customHeight="1" spans="1:23">
      <c r="A1732" s="3">
        <f>IFERROR(__xludf.DUMMYFUNCTION("""COMPUTED_VALUE"""),46160)</f>
        <v>46160</v>
      </c>
      <c r="B1732" s="1" t="str">
        <f>IFERROR(__xludf.DUMMYFUNCTION("""COMPUTED_VALUE"""),"MAÑANITA, ERIKA")</f>
        <v>MAÑANITA, ERIKA</v>
      </c>
      <c r="C1732" s="1" t="str">
        <f>IFERROR(__xludf.DUMMYFUNCTION("""COMPUTED_VALUE"""),"ORGANIC")</f>
        <v>ORGANIC</v>
      </c>
      <c r="D1732" s="1" t="str">
        <f>IFERROR(__xludf.DUMMYFUNCTION("""COMPUTED_VALUE"""),"ALOS, CHARLS")</f>
        <v>ALOS, CHARLS</v>
      </c>
      <c r="E1732" s="1" t="str">
        <f>IFERROR(__xludf.DUMMYFUNCTION("""COMPUTED_VALUE"""),"PLDT / ONLINE")</f>
        <v>PLDT / ONLINE</v>
      </c>
      <c r="F1732" s="1">
        <f>IFERROR(__xludf.DUMMYFUNCTION("""COMPUTED_VALUE"""),2309571767)</f>
        <v>2309571767</v>
      </c>
      <c r="G1732" s="1">
        <f>IFERROR(__xludf.DUMMYFUNCTION("""COMPUTED_VALUE"""),455145892004)</f>
        <v>455145892004</v>
      </c>
      <c r="H1732" s="1" t="str">
        <f>IFERROR(__xludf.DUMMYFUNCTION("""COMPUTED_VALUE"""),"ABNER RAMOS CADAPAN")</f>
        <v>ABNER RAMOS CADAPAN</v>
      </c>
      <c r="I1732" s="1">
        <f>IFERROR(__xludf.DUMMYFUNCTION("""COMPUTED_VALUE"""),9264240641)</f>
        <v>9264240641</v>
      </c>
      <c r="J1732" s="1">
        <f>IFERROR(__xludf.DUMMYFUNCTION("""COMPUTED_VALUE"""),9178304246)</f>
        <v>9178304246</v>
      </c>
      <c r="K1732" s="1" t="str">
        <f>IFERROR(__xludf.DUMMYFUNCTION("""COMPUTED_VALUE"""),"ABZEE67@YAHOO.COM")</f>
        <v>ABZEE67@YAHOO.COM</v>
      </c>
      <c r="L1732" s="1" t="str">
        <f>IFERROR(__xludf.DUMMYFUNCTION("""COMPUTED_VALUE"""),"44")</f>
        <v>44</v>
      </c>
      <c r="M1732" s="1" t="str">
        <f>IFERROR(__xludf.DUMMYFUNCTION("""COMPUTED_VALUE"""),"STA ROSA RD")</f>
        <v>STA ROSA RD</v>
      </c>
      <c r="N1732" s="1"/>
      <c r="O1732" s="1" t="str">
        <f>IFERROR(__xludf.DUMMYFUNCTION("""COMPUTED_VALUE"""),"LUMIL")</f>
        <v>LUMIL</v>
      </c>
      <c r="P1732" s="1" t="str">
        <f>IFERROR(__xludf.DUMMYFUNCTION("""COMPUTED_VALUE"""),"SILANG")</f>
        <v>SILANG</v>
      </c>
      <c r="Q1732" s="1" t="str">
        <f>IFERROR(__xludf.DUMMYFUNCTION("""COMPUTED_VALUE"""),"CAVITE")</f>
        <v>CAVITE</v>
      </c>
      <c r="R1732" s="1" t="str">
        <f>IFERROR(__xludf.DUMMYFUNCTION("""COMPUTED_VALUE"""),"FIBR UNLI ALL PLAN 999")</f>
        <v>FIBR UNLI ALL PLAN 999</v>
      </c>
      <c r="S1732" s="1" t="str">
        <f>IFERROR(__xludf.DUMMYFUNCTION("""COMPUTED_VALUE"""),"APPROVED")</f>
        <v>APPROVED</v>
      </c>
      <c r="T1732" s="1" t="str">
        <f>IFERROR(__xludf.DUMMYFUNCTION("""COMPUTED_VALUE"""),"RPR")</f>
        <v>RPR</v>
      </c>
      <c r="U1732" s="1" t="str">
        <f>IFERROR(__xludf.DUMMYFUNCTION("""COMPUTED_VALUE"""),"PAID VIA GCASH")</f>
        <v>PAID VIA GCASH</v>
      </c>
      <c r="V1732" s="1"/>
      <c r="W1732" s="1"/>
    </row>
    <row r="1733" customHeight="1" spans="1:23">
      <c r="A1733" s="3">
        <f>IFERROR(__xludf.DUMMYFUNCTION("""COMPUTED_VALUE"""),46160)</f>
        <v>46160</v>
      </c>
      <c r="B1733" s="1" t="str">
        <f>IFERROR(__xludf.DUMMYFUNCTION("""COMPUTED_VALUE"""),"GABAY, MANUEL")</f>
        <v>GABAY, MANUEL</v>
      </c>
      <c r="C1733" s="1" t="str">
        <f>IFERROR(__xludf.DUMMYFUNCTION("""COMPUTED_VALUE"""),"FLA")</f>
        <v>FLA</v>
      </c>
      <c r="D1733" s="1" t="str">
        <f>IFERROR(__xludf.DUMMYFUNCTION("""COMPUTED_VALUE"""),"JERIC NAVARRO")</f>
        <v>JERIC NAVARRO</v>
      </c>
      <c r="E1733" s="1" t="str">
        <f>IFERROR(__xludf.DUMMYFUNCTION("""COMPUTED_VALUE"""),"PLDT / ONLINE")</f>
        <v>PLDT / ONLINE</v>
      </c>
      <c r="F1733" s="1">
        <f>IFERROR(__xludf.DUMMYFUNCTION("""COMPUTED_VALUE"""),2309570573)</f>
        <v>2309570573</v>
      </c>
      <c r="G1733" s="1">
        <f>IFERROR(__xludf.DUMMYFUNCTION("""COMPUTED_VALUE"""),455147009004)</f>
        <v>455147009004</v>
      </c>
      <c r="H1733" s="1" t="str">
        <f>IFERROR(__xludf.DUMMYFUNCTION("""COMPUTED_VALUE"""),"AILEEN ENCILLA VILLAMOR")</f>
        <v>AILEEN ENCILLA VILLAMOR</v>
      </c>
      <c r="I1733" s="1">
        <f>IFERROR(__xludf.DUMMYFUNCTION("""COMPUTED_VALUE"""),9506007576)</f>
        <v>9506007576</v>
      </c>
      <c r="J1733" s="1">
        <f>IFERROR(__xludf.DUMMYFUNCTION("""COMPUTED_VALUE"""),9692252188)</f>
        <v>9692252188</v>
      </c>
      <c r="K1733" s="1" t="str">
        <f>IFERROR(__xludf.DUMMYFUNCTION("""COMPUTED_VALUE"""),"AILEENVILLAMOR13@GMAIL.COM")</f>
        <v>AILEENVILLAMOR13@GMAIL.COM</v>
      </c>
      <c r="L1733" s="1" t="str">
        <f>IFERROR(__xludf.DUMMYFUNCTION("""COMPUTED_VALUE"""),"BLK E3")</f>
        <v>BLK E3</v>
      </c>
      <c r="M1733" s="1" t="str">
        <f>IFERROR(__xludf.DUMMYFUNCTION("""COMPUTED_VALUE"""),"EXCESS LOT")</f>
        <v>EXCESS LOT</v>
      </c>
      <c r="N1733" s="1"/>
      <c r="O1733" s="1" t="str">
        <f>IFERROR(__xludf.DUMMYFUNCTION("""COMPUTED_VALUE"""),"SAN LORENZO RUIZ I")</f>
        <v>SAN LORENZO RUIZ I</v>
      </c>
      <c r="P1733" s="1" t="str">
        <f>IFERROR(__xludf.DUMMYFUNCTION("""COMPUTED_VALUE"""),"DASMARINAS")</f>
        <v>DASMARINAS</v>
      </c>
      <c r="Q1733" s="1" t="str">
        <f>IFERROR(__xludf.DUMMYFUNCTION("""COMPUTED_VALUE"""),"CAVITE")</f>
        <v>CAVITE</v>
      </c>
      <c r="R1733" s="1" t="str">
        <f>IFERROR(__xludf.DUMMYFUNCTION("""COMPUTED_VALUE"""),"FIBR UNLI ALL PLAN 1399")</f>
        <v>FIBR UNLI ALL PLAN 1399</v>
      </c>
      <c r="S1733" s="1" t="str">
        <f>IFERROR(__xludf.DUMMYFUNCTION("""COMPUTED_VALUE"""),"APPROVED")</f>
        <v>APPROVED</v>
      </c>
      <c r="T1733" s="1" t="str">
        <f>IFERROR(__xludf.DUMMYFUNCTION("""COMPUTED_VALUE"""),"CLOSED")</f>
        <v>CLOSED</v>
      </c>
      <c r="U1733" s="1" t="str">
        <f>IFERROR(__xludf.DUMMYFUNCTION("""COMPUTED_VALUE"""),"POSTED")</f>
        <v>POSTED</v>
      </c>
      <c r="V1733" s="1"/>
      <c r="W1733" s="1"/>
    </row>
    <row r="1734" customHeight="1" spans="1:23">
      <c r="A1734" s="3">
        <f>IFERROR(__xludf.DUMMYFUNCTION("""COMPUTED_VALUE"""),46160)</f>
        <v>46160</v>
      </c>
      <c r="B1734" s="1" t="str">
        <f>IFERROR(__xludf.DUMMYFUNCTION("""COMPUTED_VALUE"""),"ODY , CLARENCE")</f>
        <v>ODY , CLARENCE</v>
      </c>
      <c r="C1734" s="1" t="str">
        <f>IFERROR(__xludf.DUMMYFUNCTION("""COMPUTED_VALUE"""),"ORGANIC")</f>
        <v>ORGANIC</v>
      </c>
      <c r="D1734" s="1" t="str">
        <f>IFERROR(__xludf.DUMMYFUNCTION("""COMPUTED_VALUE"""),"ALOS, CHARLS")</f>
        <v>ALOS, CHARLS</v>
      </c>
      <c r="E1734" s="1" t="str">
        <f>IFERROR(__xludf.DUMMYFUNCTION("""COMPUTED_VALUE"""),"PLDT / ONLINE")</f>
        <v>PLDT / ONLINE</v>
      </c>
      <c r="F1734" s="1">
        <f>IFERROR(__xludf.DUMMYFUNCTION("""COMPUTED_VALUE"""),2309572304)</f>
        <v>2309572304</v>
      </c>
      <c r="G1734" s="1">
        <f>IFERROR(__xludf.DUMMYFUNCTION("""COMPUTED_VALUE"""),455146895004)</f>
        <v>455146895004</v>
      </c>
      <c r="H1734" s="1" t="str">
        <f>IFERROR(__xludf.DUMMYFUNCTION("""COMPUTED_VALUE"""),"CEDRIC JAIRON TUMANDO SERVANDO")</f>
        <v>CEDRIC JAIRON TUMANDO SERVANDO</v>
      </c>
      <c r="I1734" s="1">
        <f>IFERROR(__xludf.DUMMYFUNCTION("""COMPUTED_VALUE"""),9567011467)</f>
        <v>9567011467</v>
      </c>
      <c r="J1734" s="1"/>
      <c r="K1734" s="1" t="str">
        <f>IFERROR(__xludf.DUMMYFUNCTION("""COMPUTED_VALUE"""),"SERVANDOCEDRICJAIRON@GMAIL.COM")</f>
        <v>SERVANDOCEDRICJAIRON@GMAIL.COM</v>
      </c>
      <c r="L1734" s="1" t="str">
        <f>IFERROR(__xludf.DUMMYFUNCTION("""COMPUTED_VALUE"""),"BLK 4 LOT 100")</f>
        <v>BLK 4 LOT 100</v>
      </c>
      <c r="M1734" s="1" t="str">
        <f>IFERROR(__xludf.DUMMYFUNCTION("""COMPUTED_VALUE"""),"PHASE 2")</f>
        <v>PHASE 2</v>
      </c>
      <c r="N1734" s="1" t="str">
        <f>IFERROR(__xludf.DUMMYFUNCTION("""COMPUTED_VALUE"""),"TIERA VISTA")</f>
        <v>TIERA VISTA</v>
      </c>
      <c r="O1734" s="1" t="str">
        <f>IFERROR(__xludf.DUMMYFUNCTION("""COMPUTED_VALUE"""),"LANGKAAN I")</f>
        <v>LANGKAAN I</v>
      </c>
      <c r="P1734" s="1" t="str">
        <f>IFERROR(__xludf.DUMMYFUNCTION("""COMPUTED_VALUE"""),"DASMARINAS")</f>
        <v>DASMARINAS</v>
      </c>
      <c r="Q1734" s="1" t="str">
        <f>IFERROR(__xludf.DUMMYFUNCTION("""COMPUTED_VALUE"""),"CAVITE")</f>
        <v>CAVITE</v>
      </c>
      <c r="R1734" s="1" t="str">
        <f>IFERROR(__xludf.DUMMYFUNCTION("""COMPUTED_VALUE"""),"FIBR UNLI ALL PLAN 999")</f>
        <v>FIBR UNLI ALL PLAN 999</v>
      </c>
      <c r="S1734" s="1" t="str">
        <f>IFERROR(__xludf.DUMMYFUNCTION("""COMPUTED_VALUE"""),"APPROVED")</f>
        <v>APPROVED</v>
      </c>
      <c r="T1734" s="1" t="str">
        <f>IFERROR(__xludf.DUMMYFUNCTION("""COMPUTED_VALUE"""),"RPR")</f>
        <v>RPR</v>
      </c>
      <c r="U1734" s="1" t="str">
        <f>IFERROR(__xludf.DUMMYFUNCTION("""COMPUTED_VALUE"""),"NO PAYMENT")</f>
        <v>NO PAYMENT</v>
      </c>
      <c r="V1734" s="1"/>
      <c r="W1734" s="1"/>
    </row>
    <row r="1735" customHeight="1" spans="1:23">
      <c r="A1735" s="3">
        <f>IFERROR(__xludf.DUMMYFUNCTION("""COMPUTED_VALUE"""),46160)</f>
        <v>46160</v>
      </c>
      <c r="B1735" s="1" t="str">
        <f>IFERROR(__xludf.DUMMYFUNCTION("""COMPUTED_VALUE"""),"TIONGSON, ASHLEY")</f>
        <v>TIONGSON, ASHLEY</v>
      </c>
      <c r="C1735" s="1" t="str">
        <f>IFERROR(__xludf.DUMMYFUNCTION("""COMPUTED_VALUE"""),"ORGANIC")</f>
        <v>ORGANIC</v>
      </c>
      <c r="D1735" s="1" t="str">
        <f>IFERROR(__xludf.DUMMYFUNCTION("""COMPUTED_VALUE"""),"REMOLLO LEA")</f>
        <v>REMOLLO LEA</v>
      </c>
      <c r="E1735" s="1" t="str">
        <f>IFERROR(__xludf.DUMMYFUNCTION("""COMPUTED_VALUE"""),"PLDT / H2H")</f>
        <v>PLDT / H2H</v>
      </c>
      <c r="F1735" s="1">
        <f>IFERROR(__xludf.DUMMYFUNCTION("""COMPUTED_VALUE"""),2309574550)</f>
        <v>2309574550</v>
      </c>
      <c r="G1735" s="1">
        <f>IFERROR(__xludf.DUMMYFUNCTION("""COMPUTED_VALUE"""),455150952004)</f>
        <v>455150952004</v>
      </c>
      <c r="H1735" s="1" t="str">
        <f>IFERROR(__xludf.DUMMYFUNCTION("""COMPUTED_VALUE"""),"MA NETA SORETCHO CINCO")</f>
        <v>MA NETA SORETCHO CINCO</v>
      </c>
      <c r="I1735" s="1">
        <f>IFERROR(__xludf.DUMMYFUNCTION("""COMPUTED_VALUE"""),9922051580)</f>
        <v>9922051580</v>
      </c>
      <c r="J1735" s="1">
        <f>IFERROR(__xludf.DUMMYFUNCTION("""COMPUTED_VALUE"""),9929158939)</f>
        <v>9929158939</v>
      </c>
      <c r="K1735" s="1" t="str">
        <f>IFERROR(__xludf.DUMMYFUNCTION("""COMPUTED_VALUE"""),"NITAPAJARON1122@GMAIL.COM")</f>
        <v>NITAPAJARON1122@GMAIL.COM</v>
      </c>
      <c r="L1735" s="1" t="str">
        <f>IFERROR(__xludf.DUMMYFUNCTION("""COMPUTED_VALUE"""),"BLK 2")</f>
        <v>BLK 2</v>
      </c>
      <c r="M1735" s="1" t="str">
        <f>IFERROR(__xludf.DUMMYFUNCTION("""COMPUTED_VALUE"""),"EXCESS LOT")</f>
        <v>EXCESS LOT</v>
      </c>
      <c r="N1735" s="1"/>
      <c r="O1735" s="1" t="str">
        <f>IFERROR(__xludf.DUMMYFUNCTION("""COMPUTED_VALUE"""),"ANAHAW I")</f>
        <v>ANAHAW I</v>
      </c>
      <c r="P1735" s="1" t="str">
        <f>IFERROR(__xludf.DUMMYFUNCTION("""COMPUTED_VALUE"""),"SILANG")</f>
        <v>SILANG</v>
      </c>
      <c r="Q1735" s="1" t="str">
        <f>IFERROR(__xludf.DUMMYFUNCTION("""COMPUTED_VALUE"""),"CAVITE")</f>
        <v>CAVITE</v>
      </c>
      <c r="R1735" s="1" t="str">
        <f>IFERROR(__xludf.DUMMYFUNCTION("""COMPUTED_VALUE"""),"FIBR UNLI ALL PLAN 1399")</f>
        <v>FIBR UNLI ALL PLAN 1399</v>
      </c>
      <c r="S1735" s="1" t="str">
        <f>IFERROR(__xludf.DUMMYFUNCTION("""COMPUTED_VALUE"""),"APPROVED")</f>
        <v>APPROVED</v>
      </c>
      <c r="T1735" s="1" t="str">
        <f>IFERROR(__xludf.DUMMYFUNCTION("""COMPUTED_VALUE"""),"RPR")</f>
        <v>RPR</v>
      </c>
      <c r="U1735" s="1" t="str">
        <f>IFERROR(__xludf.DUMMYFUNCTION("""COMPUTED_VALUE"""),"NO PAYMENT")</f>
        <v>NO PAYMENT</v>
      </c>
      <c r="V1735" s="1"/>
      <c r="W1735" s="1"/>
    </row>
    <row r="1736" customHeight="1" spans="1:23">
      <c r="A1736" s="3">
        <f>IFERROR(__xludf.DUMMYFUNCTION("""COMPUTED_VALUE"""),46161)</f>
        <v>46161</v>
      </c>
      <c r="B1736" s="1" t="str">
        <f>IFERROR(__xludf.DUMMYFUNCTION("""COMPUTED_VALUE"""),"NAVARRO, JERIC")</f>
        <v>NAVARRO, JERIC</v>
      </c>
      <c r="C1736" s="1" t="str">
        <f>IFERROR(__xludf.DUMMYFUNCTION("""COMPUTED_VALUE"""),"FLA")</f>
        <v>FLA</v>
      </c>
      <c r="D1736" s="1" t="str">
        <f>IFERROR(__xludf.DUMMYFUNCTION("""COMPUTED_VALUE"""),"JERIC NAVARRO")</f>
        <v>JERIC NAVARRO</v>
      </c>
      <c r="E1736" s="1" t="str">
        <f>IFERROR(__xludf.DUMMYFUNCTION("""COMPUTED_VALUE"""),"PLDT / ONLINE")</f>
        <v>PLDT / ONLINE</v>
      </c>
      <c r="F1736" s="1">
        <f>IFERROR(__xludf.DUMMYFUNCTION("""COMPUTED_VALUE"""),2309585119)</f>
        <v>2309585119</v>
      </c>
      <c r="G1736" s="1"/>
      <c r="H1736" s="1" t="str">
        <f>IFERROR(__xludf.DUMMYFUNCTION("""COMPUTED_VALUE"""),"RYAN NICHOLAS REYES PINEDA")</f>
        <v>RYAN NICHOLAS REYES PINEDA</v>
      </c>
      <c r="I1736" s="1">
        <f>IFERROR(__xludf.DUMMYFUNCTION("""COMPUTED_VALUE"""),9988696924)</f>
        <v>9988696924</v>
      </c>
      <c r="J1736" s="1"/>
      <c r="K1736" s="1" t="str">
        <f>IFERROR(__xludf.DUMMYFUNCTION("""COMPUTED_VALUE"""),"RYANNICHOLASRPINEDA@GMAIL.COM")</f>
        <v>RYANNICHOLASRPINEDA@GMAIL.COM</v>
      </c>
      <c r="L1736" s="1" t="str">
        <f>IFERROR(__xludf.DUMMYFUNCTION("""COMPUTED_VALUE"""),"2003")</f>
        <v>2003</v>
      </c>
      <c r="M1736" s="1" t="str">
        <f>IFERROR(__xludf.DUMMYFUNCTION("""COMPUTED_VALUE"""),"TOWER 5")</f>
        <v>TOWER 5</v>
      </c>
      <c r="N1736" s="1" t="str">
        <f>IFERROR(__xludf.DUMMYFUNCTION("""COMPUTED_VALUE"""),"WIND RESIDENCES")</f>
        <v>WIND RESIDENCES</v>
      </c>
      <c r="O1736" s="1" t="str">
        <f>IFERROR(__xludf.DUMMYFUNCTION("""COMPUTED_VALUE"""),"MAHARLIKA WEST")</f>
        <v>MAHARLIKA WEST</v>
      </c>
      <c r="P1736" s="1" t="str">
        <f>IFERROR(__xludf.DUMMYFUNCTION("""COMPUTED_VALUE"""),"TAGAYTAY")</f>
        <v>TAGAYTAY</v>
      </c>
      <c r="Q1736" s="1" t="str">
        <f>IFERROR(__xludf.DUMMYFUNCTION("""COMPUTED_VALUE"""),"CAVITE")</f>
        <v>CAVITE</v>
      </c>
      <c r="R1736" s="1" t="str">
        <f>IFERROR(__xludf.DUMMYFUNCTION("""COMPUTED_VALUE"""),"FIBR UNLI ALL PLAN 999")</f>
        <v>FIBR UNLI ALL PLAN 999</v>
      </c>
      <c r="S1736" s="1" t="str">
        <f>IFERROR(__xludf.DUMMYFUNCTION("""COMPUTED_VALUE"""),"APPROVED")</f>
        <v>APPROVED</v>
      </c>
      <c r="T1736" s="1" t="str">
        <f>IFERROR(__xludf.DUMMYFUNCTION("""COMPUTED_VALUE"""),"CANCELLED")</f>
        <v>CANCELLED</v>
      </c>
      <c r="U1736" s="1"/>
      <c r="V1736" s="1"/>
      <c r="W1736" s="1"/>
    </row>
    <row r="1737" customHeight="1" spans="1:23">
      <c r="A1737" s="3">
        <f>IFERROR(__xludf.DUMMYFUNCTION("""COMPUTED_VALUE"""),46161)</f>
        <v>46161</v>
      </c>
      <c r="B1737" s="1" t="str">
        <f>IFERROR(__xludf.DUMMYFUNCTION("""COMPUTED_VALUE"""),"FRANCISCO , ROSELYN")</f>
        <v>FRANCISCO , ROSELYN</v>
      </c>
      <c r="C1737" s="1" t="str">
        <f>IFERROR(__xludf.DUMMYFUNCTION("""COMPUTED_VALUE"""),"ORGANIC")</f>
        <v>ORGANIC</v>
      </c>
      <c r="D1737" s="1" t="str">
        <f>IFERROR(__xludf.DUMMYFUNCTION("""COMPUTED_VALUE"""),"ALOS, CHARLS")</f>
        <v>ALOS, CHARLS</v>
      </c>
      <c r="E1737" s="1" t="str">
        <f>IFERROR(__xludf.DUMMYFUNCTION("""COMPUTED_VALUE"""),"PLDT / ONLINE")</f>
        <v>PLDT / ONLINE</v>
      </c>
      <c r="F1737" s="1">
        <f>IFERROR(__xludf.DUMMYFUNCTION("""COMPUTED_VALUE"""),2309585421)</f>
        <v>2309585421</v>
      </c>
      <c r="G1737" s="1">
        <f>IFERROR(__xludf.DUMMYFUNCTION("""COMPUTED_VALUE"""),455263374004)</f>
        <v>455263374004</v>
      </c>
      <c r="H1737" s="1" t="str">
        <f>IFERROR(__xludf.DUMMYFUNCTION("""COMPUTED_VALUE"""),"REGILYN BAUTISTA LACEDA")</f>
        <v>REGILYN BAUTISTA LACEDA</v>
      </c>
      <c r="I1737" s="1">
        <f>IFERROR(__xludf.DUMMYFUNCTION("""COMPUTED_VALUE"""),9610765003)</f>
        <v>9610765003</v>
      </c>
      <c r="J1737" s="1">
        <f>IFERROR(__xludf.DUMMYFUNCTION("""COMPUTED_VALUE"""),9366855403)</f>
        <v>9366855403</v>
      </c>
      <c r="K1737" s="1" t="str">
        <f>IFERROR(__xludf.DUMMYFUNCTION("""COMPUTED_VALUE"""),"REGILYNLACEDA7@GMAIL.COM")</f>
        <v>REGILYNLACEDA7@GMAIL.COM</v>
      </c>
      <c r="L1737" s="1" t="str">
        <f>IFERROR(__xludf.DUMMYFUNCTION("""COMPUTED_VALUE"""),"19")</f>
        <v>19</v>
      </c>
      <c r="M1737" s="1" t="str">
        <f>IFERROR(__xludf.DUMMYFUNCTION("""COMPUTED_VALUE"""),"APLAYA")</f>
        <v>APLAYA</v>
      </c>
      <c r="N1737" s="1"/>
      <c r="O1737" s="1" t="str">
        <f>IFERROR(__xludf.DUMMYFUNCTION("""COMPUTED_VALUE"""),"BARANGAY 10-A (KINGFISHER-A)")</f>
        <v>BARANGAY 10-A (KINGFISHER-A)</v>
      </c>
      <c r="P1737" s="1" t="str">
        <f>IFERROR(__xludf.DUMMYFUNCTION("""COMPUTED_VALUE"""),"CAVITE CITY")</f>
        <v>CAVITE CITY</v>
      </c>
      <c r="Q1737" s="1" t="str">
        <f>IFERROR(__xludf.DUMMYFUNCTION("""COMPUTED_VALUE"""),"CAVITE")</f>
        <v>CAVITE</v>
      </c>
      <c r="R1737" s="1" t="str">
        <f>IFERROR(__xludf.DUMMYFUNCTION("""COMPUTED_VALUE"""),"FIBR PLAN 1299")</f>
        <v>FIBR PLAN 1299</v>
      </c>
      <c r="S1737" s="1" t="str">
        <f>IFERROR(__xludf.DUMMYFUNCTION("""COMPUTED_VALUE"""),"APPROVED")</f>
        <v>APPROVED</v>
      </c>
      <c r="T1737" s="1" t="str">
        <f>IFERROR(__xludf.DUMMYFUNCTION("""COMPUTED_VALUE"""),"RPR")</f>
        <v>RPR</v>
      </c>
      <c r="U1737" s="1" t="str">
        <f>IFERROR(__xludf.DUMMYFUNCTION("""COMPUTED_VALUE"""),"NO PAYMENT")</f>
        <v>NO PAYMENT</v>
      </c>
      <c r="V1737" s="1"/>
      <c r="W1737" s="1"/>
    </row>
    <row r="1738" customHeight="1" spans="1:23">
      <c r="A1738" s="3">
        <f>IFERROR(__xludf.DUMMYFUNCTION("""COMPUTED_VALUE"""),46161)</f>
        <v>46161</v>
      </c>
      <c r="B1738" s="1" t="str">
        <f>IFERROR(__xludf.DUMMYFUNCTION("""COMPUTED_VALUE"""),"FRANCISCO , ROSELYN")</f>
        <v>FRANCISCO , ROSELYN</v>
      </c>
      <c r="C1738" s="1" t="str">
        <f>IFERROR(__xludf.DUMMYFUNCTION("""COMPUTED_VALUE"""),"ORGANIC")</f>
        <v>ORGANIC</v>
      </c>
      <c r="D1738" s="1" t="str">
        <f>IFERROR(__xludf.DUMMYFUNCTION("""COMPUTED_VALUE"""),"ALOS, CHARLS")</f>
        <v>ALOS, CHARLS</v>
      </c>
      <c r="E1738" s="1" t="str">
        <f>IFERROR(__xludf.DUMMYFUNCTION("""COMPUTED_VALUE"""),"PLDT / ONLINE")</f>
        <v>PLDT / ONLINE</v>
      </c>
      <c r="F1738" s="1">
        <f>IFERROR(__xludf.DUMMYFUNCTION("""COMPUTED_VALUE"""),2309586385)</f>
        <v>2309586385</v>
      </c>
      <c r="G1738" s="1">
        <f>IFERROR(__xludf.DUMMYFUNCTION("""COMPUTED_VALUE"""),455266015004)</f>
        <v>455266015004</v>
      </c>
      <c r="H1738" s="1" t="str">
        <f>IFERROR(__xludf.DUMMYFUNCTION("""COMPUTED_VALUE"""),"JOBERT VISERE CABALTERA")</f>
        <v>JOBERT VISERE CABALTERA</v>
      </c>
      <c r="I1738" s="1">
        <f>IFERROR(__xludf.DUMMYFUNCTION("""COMPUTED_VALUE"""),9617711949)</f>
        <v>9617711949</v>
      </c>
      <c r="J1738" s="1">
        <f>IFERROR(__xludf.DUMMYFUNCTION("""COMPUTED_VALUE"""),9163244290)</f>
        <v>9163244290</v>
      </c>
      <c r="K1738" s="1" t="str">
        <f>IFERROR(__xludf.DUMMYFUNCTION("""COMPUTED_VALUE"""),"CABALTEROJOBERT10@GMAIL.COM")</f>
        <v>CABALTEROJOBERT10@GMAIL.COM</v>
      </c>
      <c r="L1738" s="1" t="str">
        <f>IFERROR(__xludf.DUMMYFUNCTION("""COMPUTED_VALUE"""),"397")</f>
        <v>397</v>
      </c>
      <c r="M1738" s="1" t="str">
        <f>IFERROR(__xludf.DUMMYFUNCTION("""COMPUTED_VALUE"""),"PAG ASA")</f>
        <v>PAG ASA</v>
      </c>
      <c r="N1738" s="1"/>
      <c r="O1738" s="1" t="str">
        <f>IFERROR(__xludf.DUMMYFUNCTION("""COMPUTED_VALUE"""),"BUENAVISTA II")</f>
        <v>BUENAVISTA II</v>
      </c>
      <c r="P1738" s="1" t="str">
        <f>IFERROR(__xludf.DUMMYFUNCTION("""COMPUTED_VALUE"""),"GENERAL TRIAS")</f>
        <v>GENERAL TRIAS</v>
      </c>
      <c r="Q1738" s="1" t="str">
        <f>IFERROR(__xludf.DUMMYFUNCTION("""COMPUTED_VALUE"""),"CAVITE")</f>
        <v>CAVITE</v>
      </c>
      <c r="R1738" s="1" t="str">
        <f>IFERROR(__xludf.DUMMYFUNCTION("""COMPUTED_VALUE"""),"FIBR PLAN 1299")</f>
        <v>FIBR PLAN 1299</v>
      </c>
      <c r="S1738" s="1" t="str">
        <f>IFERROR(__xludf.DUMMYFUNCTION("""COMPUTED_VALUE"""),"APPROVED")</f>
        <v>APPROVED</v>
      </c>
      <c r="T1738" s="1" t="str">
        <f>IFERROR(__xludf.DUMMYFUNCTION("""COMPUTED_VALUE"""),"CLOSED")</f>
        <v>CLOSED</v>
      </c>
      <c r="U1738" s="1" t="str">
        <f>IFERROR(__xludf.DUMMYFUNCTION("""COMPUTED_VALUE"""),"POSTED")</f>
        <v>POSTED</v>
      </c>
      <c r="V1738" s="1"/>
      <c r="W1738" s="1"/>
    </row>
    <row r="1739" customHeight="1" spans="1:23">
      <c r="A1739" s="3">
        <f>IFERROR(__xludf.DUMMYFUNCTION("""COMPUTED_VALUE"""),46161)</f>
        <v>46161</v>
      </c>
      <c r="B1739" s="1" t="str">
        <f>IFERROR(__xludf.DUMMYFUNCTION("""COMPUTED_VALUE"""),"LEADSTORE - ILANO, LIANDRO TEJAS")</f>
        <v>LEADSTORE - ILANO, LIANDRO TEJAS</v>
      </c>
      <c r="C1739" s="1" t="str">
        <f>IFERROR(__xludf.DUMMYFUNCTION("""COMPUTED_VALUE"""),"FLA")</f>
        <v>FLA</v>
      </c>
      <c r="D1739" s="1" t="str">
        <f>IFERROR(__xludf.DUMMYFUNCTION("""COMPUTED_VALUE"""),"JERIC NAVARRO")</f>
        <v>JERIC NAVARRO</v>
      </c>
      <c r="E1739" s="1" t="str">
        <f>IFERROR(__xludf.DUMMYFUNCTION("""COMPUTED_VALUE"""),"PLDT / ONLINE")</f>
        <v>PLDT / ONLINE</v>
      </c>
      <c r="F1739" s="1">
        <f>IFERROR(__xludf.DUMMYFUNCTION("""COMPUTED_VALUE"""),2309588347)</f>
        <v>2309588347</v>
      </c>
      <c r="G1739" s="1">
        <f>IFERROR(__xludf.DUMMYFUNCTION("""COMPUTED_VALUE"""),455263363004)</f>
        <v>455263363004</v>
      </c>
      <c r="H1739" s="1" t="str">
        <f>IFERROR(__xludf.DUMMYFUNCTION("""COMPUTED_VALUE"""),"RIZZIELYN SANGRIA MONTERDE")</f>
        <v>RIZZIELYN SANGRIA MONTERDE</v>
      </c>
      <c r="I1739" s="1">
        <f>IFERROR(__xludf.DUMMYFUNCTION("""COMPUTED_VALUE"""),9707668256)</f>
        <v>9707668256</v>
      </c>
      <c r="J1739" s="1">
        <f>IFERROR(__xludf.DUMMYFUNCTION("""COMPUTED_VALUE"""),9707672208)</f>
        <v>9707672208</v>
      </c>
      <c r="K1739" s="1" t="str">
        <f>IFERROR(__xludf.DUMMYFUNCTION("""COMPUTED_VALUE"""),"MONETERDE.KENLYJR@GMAIL.COM")</f>
        <v>MONETERDE.KENLYJR@GMAIL.COM</v>
      </c>
      <c r="L1739" s="1" t="str">
        <f>IFERROR(__xludf.DUMMYFUNCTION("""COMPUTED_VALUE"""),"292")</f>
        <v>292</v>
      </c>
      <c r="M1739" s="1" t="str">
        <f>IFERROR(__xludf.DUMMYFUNCTION("""COMPUTED_VALUE"""),"BLK 7 LOT 37")</f>
        <v>BLK 7 LOT 37</v>
      </c>
      <c r="N1739" s="1"/>
      <c r="O1739" s="1" t="str">
        <f>IFERROR(__xludf.DUMMYFUNCTION("""COMPUTED_VALUE"""),"SAN GABRIEL (AREA K)")</f>
        <v>SAN GABRIEL (AREA K)</v>
      </c>
      <c r="P1739" s="1" t="str">
        <f>IFERROR(__xludf.DUMMYFUNCTION("""COMPUTED_VALUE"""),"GEN MARIANO ALVAREZ")</f>
        <v>GEN MARIANO ALVAREZ</v>
      </c>
      <c r="Q1739" s="1" t="str">
        <f>IFERROR(__xludf.DUMMYFUNCTION("""COMPUTED_VALUE"""),"CAVITE")</f>
        <v>CAVITE</v>
      </c>
      <c r="R1739" s="1" t="str">
        <f>IFERROR(__xludf.DUMMYFUNCTION("""COMPUTED_VALUE"""),"SWITCH FIBER 1699")</f>
        <v>SWITCH FIBER 1699</v>
      </c>
      <c r="S1739" s="1" t="str">
        <f>IFERROR(__xludf.DUMMYFUNCTION("""COMPUTED_VALUE"""),"APPROVED")</f>
        <v>APPROVED</v>
      </c>
      <c r="T1739" s="1" t="str">
        <f>IFERROR(__xludf.DUMMYFUNCTION("""COMPUTED_VALUE"""),"CLOSED")</f>
        <v>CLOSED</v>
      </c>
      <c r="U1739" s="1" t="str">
        <f>IFERROR(__xludf.DUMMYFUNCTION("""COMPUTED_VALUE"""),"POSTED")</f>
        <v>POSTED</v>
      </c>
      <c r="V1739" s="1"/>
      <c r="W1739" s="1"/>
    </row>
    <row r="1740" customHeight="1" spans="1:23">
      <c r="A1740" s="3">
        <f>IFERROR(__xludf.DUMMYFUNCTION("""COMPUTED_VALUE"""),46161)</f>
        <v>46161</v>
      </c>
      <c r="B1740" s="1" t="str">
        <f>IFERROR(__xludf.DUMMYFUNCTION("""COMPUTED_VALUE"""),"DELA ROSA, JENNELYN")</f>
        <v>DELA ROSA, JENNELYN</v>
      </c>
      <c r="C1740" s="1" t="str">
        <f>IFERROR(__xludf.DUMMYFUNCTION("""COMPUTED_VALUE"""),"ORGANIC")</f>
        <v>ORGANIC</v>
      </c>
      <c r="D1740" s="1" t="str">
        <f>IFERROR(__xludf.DUMMYFUNCTION("""COMPUTED_VALUE"""),"ALOS, CHARLS")</f>
        <v>ALOS, CHARLS</v>
      </c>
      <c r="E1740" s="1" t="str">
        <f>IFERROR(__xludf.DUMMYFUNCTION("""COMPUTED_VALUE"""),"PLDT / ONLINE")</f>
        <v>PLDT / ONLINE</v>
      </c>
      <c r="F1740" s="1">
        <f>IFERROR(__xludf.DUMMYFUNCTION("""COMPUTED_VALUE"""),2309594519)</f>
        <v>2309594519</v>
      </c>
      <c r="G1740" s="1">
        <f>IFERROR(__xludf.DUMMYFUNCTION("""COMPUTED_VALUE"""),455267696004)</f>
        <v>455267696004</v>
      </c>
      <c r="H1740" s="1" t="str">
        <f>IFERROR(__xludf.DUMMYFUNCTION("""COMPUTED_VALUE"""),"EUGENE DELAS ALAS ROSANA")</f>
        <v>EUGENE DELAS ALAS ROSANA</v>
      </c>
      <c r="I1740" s="1">
        <f>IFERROR(__xludf.DUMMYFUNCTION("""COMPUTED_VALUE"""),9167016830)</f>
        <v>9167016830</v>
      </c>
      <c r="J1740" s="1">
        <f>IFERROR(__xludf.DUMMYFUNCTION("""COMPUTED_VALUE"""),9620844560)</f>
        <v>9620844560</v>
      </c>
      <c r="K1740" s="1" t="str">
        <f>IFERROR(__xludf.DUMMYFUNCTION("""COMPUTED_VALUE"""),"ROSANAEUGENE162010@GMAIL.COM")</f>
        <v>ROSANAEUGENE162010@GMAIL.COM</v>
      </c>
      <c r="L1740" s="1" t="str">
        <f>IFERROR(__xludf.DUMMYFUNCTION("""COMPUTED_VALUE"""),"274")</f>
        <v>274</v>
      </c>
      <c r="M1740" s="1" t="str">
        <f>IFERROR(__xludf.DUMMYFUNCTION("""COMPUTED_VALUE"""),"EZPERANZA")</f>
        <v>EZPERANZA</v>
      </c>
      <c r="N1740" s="1"/>
      <c r="O1740" s="1" t="str">
        <f>IFERROR(__xludf.DUMMYFUNCTION("""COMPUTED_VALUE"""),"ESPERANZA ILAYA")</f>
        <v>ESPERANZA ILAYA</v>
      </c>
      <c r="P1740" s="1" t="str">
        <f>IFERROR(__xludf.DUMMYFUNCTION("""COMPUTED_VALUE"""),"ALFONSO")</f>
        <v>ALFONSO</v>
      </c>
      <c r="Q1740" s="1" t="str">
        <f>IFERROR(__xludf.DUMMYFUNCTION("""COMPUTED_VALUE"""),"CAVITE")</f>
        <v>CAVITE</v>
      </c>
      <c r="R1740" s="1" t="str">
        <f>IFERROR(__xludf.DUMMYFUNCTION("""COMPUTED_VALUE"""),"FIBR UNLI ALL PLAN 1399")</f>
        <v>FIBR UNLI ALL PLAN 1399</v>
      </c>
      <c r="S1740" s="1" t="str">
        <f>IFERROR(__xludf.DUMMYFUNCTION("""COMPUTED_VALUE"""),"APPROVED")</f>
        <v>APPROVED</v>
      </c>
      <c r="T1740" s="1" t="str">
        <f>IFERROR(__xludf.DUMMYFUNCTION("""COMPUTED_VALUE"""),"RPR")</f>
        <v>RPR</v>
      </c>
      <c r="U1740" s="1" t="str">
        <f>IFERROR(__xludf.DUMMYFUNCTION("""COMPUTED_VALUE"""),"NO PAYMENT")</f>
        <v>NO PAYMENT</v>
      </c>
      <c r="V1740" s="1"/>
      <c r="W1740" s="1"/>
    </row>
    <row r="1741" customHeight="1" spans="1:23">
      <c r="A1741" s="3">
        <f>IFERROR(__xludf.DUMMYFUNCTION("""COMPUTED_VALUE"""),46161)</f>
        <v>46161</v>
      </c>
      <c r="B1741" s="1" t="str">
        <f>IFERROR(__xludf.DUMMYFUNCTION("""COMPUTED_VALUE"""),"GABAY, MANUEL")</f>
        <v>GABAY, MANUEL</v>
      </c>
      <c r="C1741" s="1" t="str">
        <f>IFERROR(__xludf.DUMMYFUNCTION("""COMPUTED_VALUE"""),"FLA")</f>
        <v>FLA</v>
      </c>
      <c r="D1741" s="1" t="str">
        <f>IFERROR(__xludf.DUMMYFUNCTION("""COMPUTED_VALUE"""),"JERIC NAVARRO")</f>
        <v>JERIC NAVARRO</v>
      </c>
      <c r="E1741" s="1" t="str">
        <f>IFERROR(__xludf.DUMMYFUNCTION("""COMPUTED_VALUE"""),"PLDT / H2H")</f>
        <v>PLDT / H2H</v>
      </c>
      <c r="F1741" s="1">
        <f>IFERROR(__xludf.DUMMYFUNCTION("""COMPUTED_VALUE"""),2309592481)</f>
        <v>2309592481</v>
      </c>
      <c r="G1741" s="1">
        <f>IFERROR(__xludf.DUMMYFUNCTION("""COMPUTED_VALUE"""),455264733004)</f>
        <v>455264733004</v>
      </c>
      <c r="H1741" s="1" t="str">
        <f>IFERROR(__xludf.DUMMYFUNCTION("""COMPUTED_VALUE"""),"MAHID PANGCOGA ACOP")</f>
        <v>MAHID PANGCOGA ACOP</v>
      </c>
      <c r="I1741" s="1">
        <f>IFERROR(__xludf.DUMMYFUNCTION("""COMPUTED_VALUE"""),9177727050)</f>
        <v>9177727050</v>
      </c>
      <c r="J1741" s="1">
        <f>IFERROR(__xludf.DUMMYFUNCTION("""COMPUTED_VALUE"""),9173026681)</f>
        <v>9173026681</v>
      </c>
      <c r="K1741" s="1" t="str">
        <f>IFERROR(__xludf.DUMMYFUNCTION("""COMPUTED_VALUE"""),"EIGHWEATHTRADING@GMAIL.COM")</f>
        <v>EIGHWEATHTRADING@GMAIL.COM</v>
      </c>
      <c r="L1741" s="1" t="str">
        <f>IFERROR(__xludf.DUMMYFUNCTION("""COMPUTED_VALUE"""),"9741")</f>
        <v>9741</v>
      </c>
      <c r="M1741" s="1" t="str">
        <f>IFERROR(__xludf.DUMMYFUNCTION("""COMPUTED_VALUE"""),"CASTILLO")</f>
        <v>CASTILLO</v>
      </c>
      <c r="N1741" s="1"/>
      <c r="O1741" s="1" t="str">
        <f>IFERROR(__xludf.DUMMYFUNCTION("""COMPUTED_VALUE"""),"LUMIL")</f>
        <v>LUMIL</v>
      </c>
      <c r="P1741" s="1" t="str">
        <f>IFERROR(__xludf.DUMMYFUNCTION("""COMPUTED_VALUE"""),"SILANG")</f>
        <v>SILANG</v>
      </c>
      <c r="Q1741" s="1" t="str">
        <f>IFERROR(__xludf.DUMMYFUNCTION("""COMPUTED_VALUE"""),"CAVITE")</f>
        <v>CAVITE</v>
      </c>
      <c r="R1741" s="1" t="str">
        <f>IFERROR(__xludf.DUMMYFUNCTION("""COMPUTED_VALUE"""),"FIBR NETFLIX PLAN 1599")</f>
        <v>FIBR NETFLIX PLAN 1599</v>
      </c>
      <c r="S1741" s="1" t="str">
        <f>IFERROR(__xludf.DUMMYFUNCTION("""COMPUTED_VALUE"""),"APPROVED")</f>
        <v>APPROVED</v>
      </c>
      <c r="T1741" s="1" t="str">
        <f>IFERROR(__xludf.DUMMYFUNCTION("""COMPUTED_VALUE"""),"CLOSED")</f>
        <v>CLOSED</v>
      </c>
      <c r="U1741" s="1" t="str">
        <f>IFERROR(__xludf.DUMMYFUNCTION("""COMPUTED_VALUE"""),"POSTED")</f>
        <v>POSTED</v>
      </c>
      <c r="V1741" s="1"/>
      <c r="W1741" s="1"/>
    </row>
    <row r="1742" customHeight="1" spans="1:23">
      <c r="A1742" s="3">
        <f>IFERROR(__xludf.DUMMYFUNCTION("""COMPUTED_VALUE"""),46161)</f>
        <v>46161</v>
      </c>
      <c r="B1742" s="1" t="str">
        <f>IFERROR(__xludf.DUMMYFUNCTION("""COMPUTED_VALUE"""),"ALANO, RAIN")</f>
        <v>ALANO, RAIN</v>
      </c>
      <c r="C1742" s="1" t="str">
        <f>IFERROR(__xludf.DUMMYFUNCTION("""COMPUTED_VALUE"""),"ORGANIC")</f>
        <v>ORGANIC</v>
      </c>
      <c r="D1742" s="1" t="str">
        <f>IFERROR(__xludf.DUMMYFUNCTION("""COMPUTED_VALUE"""),"REMOLLO LEA")</f>
        <v>REMOLLO LEA</v>
      </c>
      <c r="E1742" s="1" t="str">
        <f>IFERROR(__xludf.DUMMYFUNCTION("""COMPUTED_VALUE"""),"PLDT / H2H")</f>
        <v>PLDT / H2H</v>
      </c>
      <c r="F1742" s="1">
        <f>IFERROR(__xludf.DUMMYFUNCTION("""COMPUTED_VALUE"""),2309593114)</f>
        <v>2309593114</v>
      </c>
      <c r="G1742" s="1">
        <f>IFERROR(__xludf.DUMMYFUNCTION("""COMPUTED_VALUE"""),455282881004)</f>
        <v>455282881004</v>
      </c>
      <c r="H1742" s="1" t="str">
        <f>IFERROR(__xludf.DUMMYFUNCTION("""COMPUTED_VALUE"""),"MARK ANTHINY GLORI")</f>
        <v>MARK ANTHINY GLORI</v>
      </c>
      <c r="I1742" s="1">
        <f>IFERROR(__xludf.DUMMYFUNCTION("""COMPUTED_VALUE"""),9094328522)</f>
        <v>9094328522</v>
      </c>
      <c r="J1742" s="1">
        <f>IFERROR(__xludf.DUMMYFUNCTION("""COMPUTED_VALUE"""),9814755143)</f>
        <v>9814755143</v>
      </c>
      <c r="K1742" s="1" t="str">
        <f>IFERROR(__xludf.DUMMYFUNCTION("""COMPUTED_VALUE"""),"GLORIMARKANTHONY90@GMAIL.COM")</f>
        <v>GLORIMARKANTHONY90@GMAIL.COM</v>
      </c>
      <c r="L1742" s="1" t="str">
        <f>IFERROR(__xludf.DUMMYFUNCTION("""COMPUTED_VALUE"""),"BLK 6B LOT 13")</f>
        <v>BLK 6B LOT 13</v>
      </c>
      <c r="M1742" s="1" t="str">
        <f>IFERROR(__xludf.DUMMYFUNCTION("""COMPUTED_VALUE"""),"GREGORIA")</f>
        <v>GREGORIA</v>
      </c>
      <c r="N1742" s="1"/>
      <c r="O1742" s="1" t="str">
        <f>IFERROR(__xludf.DUMMYFUNCTION("""COMPUTED_VALUE"""),"GREGORIA DE JESUS")</f>
        <v>GREGORIA DE JESUS</v>
      </c>
      <c r="P1742" s="1" t="str">
        <f>IFERROR(__xludf.DUMMYFUNCTION("""COMPUTED_VALUE"""),"GEN MARIANO ALVAREZ")</f>
        <v>GEN MARIANO ALVAREZ</v>
      </c>
      <c r="Q1742" s="1" t="str">
        <f>IFERROR(__xludf.DUMMYFUNCTION("""COMPUTED_VALUE"""),"CAVITE")</f>
        <v>CAVITE</v>
      </c>
      <c r="R1742" s="1" t="str">
        <f>IFERROR(__xludf.DUMMYFUNCTION("""COMPUTED_VALUE"""),"FIBR UNLI ALL PLAN 1399")</f>
        <v>FIBR UNLI ALL PLAN 1399</v>
      </c>
      <c r="S1742" s="1" t="str">
        <f>IFERROR(__xludf.DUMMYFUNCTION("""COMPUTED_VALUE"""),"APPROVED")</f>
        <v>APPROVED</v>
      </c>
      <c r="T1742" s="1" t="str">
        <f>IFERROR(__xludf.DUMMYFUNCTION("""COMPUTED_VALUE"""),"RPR")</f>
        <v>RPR</v>
      </c>
      <c r="U1742" s="1" t="str">
        <f>IFERROR(__xludf.DUMMYFUNCTION("""COMPUTED_VALUE"""),"NO PAYMENT")</f>
        <v>NO PAYMENT</v>
      </c>
      <c r="V1742" s="1"/>
      <c r="W1742" s="1"/>
    </row>
    <row r="1743" customHeight="1" spans="1:23">
      <c r="A1743" s="3">
        <f>IFERROR(__xludf.DUMMYFUNCTION("""COMPUTED_VALUE"""),46161)</f>
        <v>46161</v>
      </c>
      <c r="B1743" s="1" t="str">
        <f>IFERROR(__xludf.DUMMYFUNCTION("""COMPUTED_VALUE"""),"FARO, REFRANTA")</f>
        <v>FARO, REFRANTA</v>
      </c>
      <c r="C1743" s="1" t="str">
        <f>IFERROR(__xludf.DUMMYFUNCTION("""COMPUTED_VALUE"""),"ORGANIC")</f>
        <v>ORGANIC</v>
      </c>
      <c r="D1743" s="1" t="str">
        <f>IFERROR(__xludf.DUMMYFUNCTION("""COMPUTED_VALUE"""),"ALINGARO, CINDY")</f>
        <v>ALINGARO, CINDY</v>
      </c>
      <c r="E1743" s="1" t="str">
        <f>IFERROR(__xludf.DUMMYFUNCTION("""COMPUTED_VALUE"""),"PLDT / H2H")</f>
        <v>PLDT / H2H</v>
      </c>
      <c r="F1743" s="1">
        <f>IFERROR(__xludf.DUMMYFUNCTION("""COMPUTED_VALUE"""),2309593410)</f>
        <v>2309593410</v>
      </c>
      <c r="G1743" s="1">
        <f>IFERROR(__xludf.DUMMYFUNCTION("""COMPUTED_VALUE"""),455266564004)</f>
        <v>455266564004</v>
      </c>
      <c r="H1743" s="1" t="str">
        <f>IFERROR(__xludf.DUMMYFUNCTION("""COMPUTED_VALUE"""),"JENALYN SAYOC PERDEZ")</f>
        <v>JENALYN SAYOC PERDEZ</v>
      </c>
      <c r="I1743" s="1">
        <f>IFERROR(__xludf.DUMMYFUNCTION("""COMPUTED_VALUE"""),9567505392)</f>
        <v>9567505392</v>
      </c>
      <c r="J1743" s="1"/>
      <c r="K1743" s="1" t="str">
        <f>IFERROR(__xludf.DUMMYFUNCTION("""COMPUTED_VALUE"""),"ITURJENPERDEZ20@GMAIL.COM")</f>
        <v>ITURJENPERDEZ20@GMAIL.COM</v>
      </c>
      <c r="L1743" s="1" t="str">
        <f>IFERROR(__xludf.DUMMYFUNCTION("""COMPUTED_VALUE"""),"24")</f>
        <v>24</v>
      </c>
      <c r="M1743" s="1" t="str">
        <f>IFERROR(__xludf.DUMMYFUNCTION("""COMPUTED_VALUE"""),"PALIGAWAN")</f>
        <v>PALIGAWAN</v>
      </c>
      <c r="N1743" s="1"/>
      <c r="O1743" s="1" t="str">
        <f>IFERROR(__xludf.DUMMYFUNCTION("""COMPUTED_VALUE"""),"LANTIC")</f>
        <v>LANTIC</v>
      </c>
      <c r="P1743" s="1" t="str">
        <f>IFERROR(__xludf.DUMMYFUNCTION("""COMPUTED_VALUE"""),"CARMONA")</f>
        <v>CARMONA</v>
      </c>
      <c r="Q1743" s="1" t="str">
        <f>IFERROR(__xludf.DUMMYFUNCTION("""COMPUTED_VALUE"""),"CAVITE")</f>
        <v>CAVITE</v>
      </c>
      <c r="R1743" s="1" t="str">
        <f>IFERROR(__xludf.DUMMYFUNCTION("""COMPUTED_VALUE"""),"FIBR UNLI ALL PLAN 999")</f>
        <v>FIBR UNLI ALL PLAN 999</v>
      </c>
      <c r="S1743" s="1" t="str">
        <f>IFERROR(__xludf.DUMMYFUNCTION("""COMPUTED_VALUE"""),"APPROVED")</f>
        <v>APPROVED</v>
      </c>
      <c r="T1743" s="1" t="str">
        <f>IFERROR(__xludf.DUMMYFUNCTION("""COMPUTED_VALUE"""),"CLOSED")</f>
        <v>CLOSED</v>
      </c>
      <c r="U1743" s="1" t="str">
        <f>IFERROR(__xludf.DUMMYFUNCTION("""COMPUTED_VALUE"""),"POSTED")</f>
        <v>POSTED</v>
      </c>
      <c r="V1743" s="1"/>
      <c r="W1743" s="1"/>
    </row>
    <row r="1744" customHeight="1" spans="1:23">
      <c r="A1744" s="3">
        <f>IFERROR(__xludf.DUMMYFUNCTION("""COMPUTED_VALUE"""),46161)</f>
        <v>46161</v>
      </c>
      <c r="B1744" s="1" t="str">
        <f>IFERROR(__xludf.DUMMYFUNCTION("""COMPUTED_VALUE"""),"MAGDARAOG, KENNETH")</f>
        <v>MAGDARAOG, KENNETH</v>
      </c>
      <c r="C1744" s="1" t="str">
        <f>IFERROR(__xludf.DUMMYFUNCTION("""COMPUTED_VALUE"""),"ORGANIC")</f>
        <v>ORGANIC</v>
      </c>
      <c r="D1744" s="1" t="str">
        <f>IFERROR(__xludf.DUMMYFUNCTION("""COMPUTED_VALUE"""),"ALINGARO, CINDY")</f>
        <v>ALINGARO, CINDY</v>
      </c>
      <c r="E1744" s="1" t="str">
        <f>IFERROR(__xludf.DUMMYFUNCTION("""COMPUTED_VALUE"""),"PLDT BK EXPRESS")</f>
        <v>PLDT BK EXPRESS</v>
      </c>
      <c r="F1744" s="1">
        <f>IFERROR(__xludf.DUMMYFUNCTION("""COMPUTED_VALUE"""),2309593801)</f>
        <v>2309593801</v>
      </c>
      <c r="G1744" s="1">
        <f>IFERROR(__xludf.DUMMYFUNCTION("""COMPUTED_VALUE"""),455367551004)</f>
        <v>455367551004</v>
      </c>
      <c r="H1744" s="1" t="str">
        <f>IFERROR(__xludf.DUMMYFUNCTION("""COMPUTED_VALUE"""),"ANGELICA MAGDAONG ACEDERA")</f>
        <v>ANGELICA MAGDAONG ACEDERA</v>
      </c>
      <c r="I1744" s="1">
        <f>IFERROR(__xludf.DUMMYFUNCTION("""COMPUTED_VALUE"""),9934517315)</f>
        <v>9934517315</v>
      </c>
      <c r="J1744" s="1">
        <f>IFERROR(__xludf.DUMMYFUNCTION("""COMPUTED_VALUE"""),9152509568)</f>
        <v>9152509568</v>
      </c>
      <c r="K1744" s="1" t="str">
        <f>IFERROR(__xludf.DUMMYFUNCTION("""COMPUTED_VALUE"""),"ANGELICAMAGDAONG438@GMAIL.COM")</f>
        <v>ANGELICAMAGDAONG438@GMAIL.COM</v>
      </c>
      <c r="L1744" s="1" t="str">
        <f>IFERROR(__xludf.DUMMYFUNCTION("""COMPUTED_VALUE"""),"35")</f>
        <v>35</v>
      </c>
      <c r="M1744" s="1" t="str">
        <f>IFERROR(__xludf.DUMMYFUNCTION("""COMPUTED_VALUE"""),"PALIGAWAN")</f>
        <v>PALIGAWAN</v>
      </c>
      <c r="N1744" s="1"/>
      <c r="O1744" s="1" t="str">
        <f>IFERROR(__xludf.DUMMYFUNCTION("""COMPUTED_VALUE"""),"LANTIC")</f>
        <v>LANTIC</v>
      </c>
      <c r="P1744" s="1" t="str">
        <f>IFERROR(__xludf.DUMMYFUNCTION("""COMPUTED_VALUE"""),"CARMONA")</f>
        <v>CARMONA</v>
      </c>
      <c r="Q1744" s="1" t="str">
        <f>IFERROR(__xludf.DUMMYFUNCTION("""COMPUTED_VALUE"""),"CAVITE")</f>
        <v>CAVITE</v>
      </c>
      <c r="R1744" s="1" t="str">
        <f>IFERROR(__xludf.DUMMYFUNCTION("""COMPUTED_VALUE"""),"FIBR NETFLIX PLAN 1599")</f>
        <v>FIBR NETFLIX PLAN 1599</v>
      </c>
      <c r="S1744" s="1" t="str">
        <f>IFERROR(__xludf.DUMMYFUNCTION("""COMPUTED_VALUE"""),"APPROVED")</f>
        <v>APPROVED</v>
      </c>
      <c r="T1744" s="1" t="str">
        <f>IFERROR(__xludf.DUMMYFUNCTION("""COMPUTED_VALUE"""),"CLOSED")</f>
        <v>CLOSED</v>
      </c>
      <c r="U1744" s="1" t="str">
        <f>IFERROR(__xludf.DUMMYFUNCTION("""COMPUTED_VALUE"""),"POSTED")</f>
        <v>POSTED</v>
      </c>
      <c r="V1744" s="1"/>
      <c r="W1744" s="1"/>
    </row>
    <row r="1745" customHeight="1" spans="1:23">
      <c r="A1745" s="3">
        <f>IFERROR(__xludf.DUMMYFUNCTION("""COMPUTED_VALUE"""),46161)</f>
        <v>46161</v>
      </c>
      <c r="B1745" s="1" t="str">
        <f>IFERROR(__xludf.DUMMYFUNCTION("""COMPUTED_VALUE"""),"FRANCISCO , ROSELYN")</f>
        <v>FRANCISCO , ROSELYN</v>
      </c>
      <c r="C1745" s="1" t="str">
        <f>IFERROR(__xludf.DUMMYFUNCTION("""COMPUTED_VALUE"""),"ORGANIC")</f>
        <v>ORGANIC</v>
      </c>
      <c r="D1745" s="1" t="str">
        <f>IFERROR(__xludf.DUMMYFUNCTION("""COMPUTED_VALUE"""),"ALOS, CHARLS")</f>
        <v>ALOS, CHARLS</v>
      </c>
      <c r="E1745" s="1" t="str">
        <f>IFERROR(__xludf.DUMMYFUNCTION("""COMPUTED_VALUE"""),"RED FIBER")</f>
        <v>RED FIBER</v>
      </c>
      <c r="F1745" s="1"/>
      <c r="G1745" s="1"/>
      <c r="H1745" s="1" t="str">
        <f>IFERROR(__xludf.DUMMYFUNCTION("""COMPUTED_VALUE"""),"RECHELE PERENA MAGSINO")</f>
        <v>RECHELE PERENA MAGSINO</v>
      </c>
      <c r="I1745" s="1">
        <f>IFERROR(__xludf.DUMMYFUNCTION("""COMPUTED_VALUE"""),9663855594)</f>
        <v>9663855594</v>
      </c>
      <c r="J1745" s="1">
        <f>IFERROR(__xludf.DUMMYFUNCTION("""COMPUTED_VALUE"""),9923056680)</f>
        <v>9923056680</v>
      </c>
      <c r="K1745" s="1" t="str">
        <f>IFERROR(__xludf.DUMMYFUNCTION("""COMPUTED_VALUE"""),"CHEMAGSINO56@GMAIL.COM")</f>
        <v>CHEMAGSINO56@GMAIL.COM</v>
      </c>
      <c r="L1745" s="1" t="str">
        <f>IFERROR(__xludf.DUMMYFUNCTION("""COMPUTED_VALUE"""),"278")</f>
        <v>278</v>
      </c>
      <c r="M1745" s="1" t="str">
        <f>IFERROR(__xludf.DUMMYFUNCTION("""COMPUTED_VALUE"""),"GEN TRIAS ST")</f>
        <v>GEN TRIAS ST</v>
      </c>
      <c r="N1745" s="1"/>
      <c r="O1745" s="1" t="str">
        <f>IFERROR(__xludf.DUMMYFUNCTION("""COMPUTED_VALUE"""),"BARANGAY 6 (POB.)")</f>
        <v>BARANGAY 6 (POB.)</v>
      </c>
      <c r="P1745" s="1" t="str">
        <f>IFERROR(__xludf.DUMMYFUNCTION("""COMPUTED_VALUE"""),"MENDEZ")</f>
        <v>MENDEZ</v>
      </c>
      <c r="Q1745" s="1" t="str">
        <f>IFERROR(__xludf.DUMMYFUNCTION("""COMPUTED_VALUE"""),"CAVITE")</f>
        <v>CAVITE</v>
      </c>
      <c r="R1745" s="1" t="str">
        <f>IFERROR(__xludf.DUMMYFUNCTION("""COMPUTED_VALUE"""),"RED PLAN 1000")</f>
        <v>RED PLAN 1000</v>
      </c>
      <c r="S1745" s="1" t="str">
        <f>IFERROR(__xludf.DUMMYFUNCTION("""COMPUTED_VALUE"""),"APPROVED")</f>
        <v>APPROVED</v>
      </c>
      <c r="T1745" s="1" t="str">
        <f>IFERROR(__xludf.DUMMYFUNCTION("""COMPUTED_VALUE"""),"CLOSED")</f>
        <v>CLOSED</v>
      </c>
      <c r="U1745" s="1" t="str">
        <f>IFERROR(__xludf.DUMMYFUNCTION("""COMPUTED_VALUE"""),"POSTED")</f>
        <v>POSTED</v>
      </c>
      <c r="V1745" s="1"/>
      <c r="W1745" s="1"/>
    </row>
    <row r="1746" customHeight="1" spans="1:23">
      <c r="A1746" s="3">
        <f>IFERROR(__xludf.DUMMYFUNCTION("""COMPUTED_VALUE"""),46161)</f>
        <v>46161</v>
      </c>
      <c r="B1746" s="1" t="str">
        <f>IFERROR(__xludf.DUMMYFUNCTION("""COMPUTED_VALUE"""),"MAÑANITA, ERIKA")</f>
        <v>MAÑANITA, ERIKA</v>
      </c>
      <c r="C1746" s="1" t="str">
        <f>IFERROR(__xludf.DUMMYFUNCTION("""COMPUTED_VALUE"""),"ORGANIC")</f>
        <v>ORGANIC</v>
      </c>
      <c r="D1746" s="1" t="str">
        <f>IFERROR(__xludf.DUMMYFUNCTION("""COMPUTED_VALUE"""),"ALOS, CHARLS")</f>
        <v>ALOS, CHARLS</v>
      </c>
      <c r="E1746" s="1" t="str">
        <f>IFERROR(__xludf.DUMMYFUNCTION("""COMPUTED_VALUE"""),"PLDT / ONLINE")</f>
        <v>PLDT / ONLINE</v>
      </c>
      <c r="F1746" s="1">
        <f>IFERROR(__xludf.DUMMYFUNCTION("""COMPUTED_VALUE"""),2309594208)</f>
        <v>2309594208</v>
      </c>
      <c r="G1746" s="1">
        <f>IFERROR(__xludf.DUMMYFUNCTION("""COMPUTED_VALUE"""),455266721004)</f>
        <v>455266721004</v>
      </c>
      <c r="H1746" s="1" t="str">
        <f>IFERROR(__xludf.DUMMYFUNCTION("""COMPUTED_VALUE"""),"RONALD PHILIP ERMINO SARABIA")</f>
        <v>RONALD PHILIP ERMINO SARABIA</v>
      </c>
      <c r="I1746" s="1">
        <f>IFERROR(__xludf.DUMMYFUNCTION("""COMPUTED_VALUE"""),9201938073)</f>
        <v>9201938073</v>
      </c>
      <c r="J1746" s="1"/>
      <c r="K1746" s="1" t="str">
        <f>IFERROR(__xludf.DUMMYFUNCTION("""COMPUTED_VALUE"""),"RPSARABIA1987@GMAIL.COM")</f>
        <v>RPSARABIA1987@GMAIL.COM</v>
      </c>
      <c r="L1746" s="1" t="str">
        <f>IFERROR(__xludf.DUMMYFUNCTION("""COMPUTED_VALUE"""),"LOT 74")</f>
        <v>LOT 74</v>
      </c>
      <c r="M1746" s="1" t="str">
        <f>IFERROR(__xludf.DUMMYFUNCTION("""COMPUTED_VALUE"""),"PHASE 1")</f>
        <v>PHASE 1</v>
      </c>
      <c r="N1746" s="1" t="str">
        <f>IFERROR(__xludf.DUMMYFUNCTION("""COMPUTED_VALUE"""),"PABAHAY EAST")</f>
        <v>PABAHAY EAST</v>
      </c>
      <c r="O1746" s="1" t="str">
        <f>IFERROR(__xludf.DUMMYFUNCTION("""COMPUTED_VALUE"""),"MENDEZ CROSSING EAST")</f>
        <v>MENDEZ CROSSING EAST</v>
      </c>
      <c r="P1746" s="1" t="str">
        <f>IFERROR(__xludf.DUMMYFUNCTION("""COMPUTED_VALUE"""),"TAGAYTAY")</f>
        <v>TAGAYTAY</v>
      </c>
      <c r="Q1746" s="1" t="str">
        <f>IFERROR(__xludf.DUMMYFUNCTION("""COMPUTED_VALUE"""),"CAVITE")</f>
        <v>CAVITE</v>
      </c>
      <c r="R1746" s="1" t="str">
        <f>IFERROR(__xludf.DUMMYFUNCTION("""COMPUTED_VALUE"""),"FIBR PLAN 1299")</f>
        <v>FIBR PLAN 1299</v>
      </c>
      <c r="S1746" s="1" t="str">
        <f>IFERROR(__xludf.DUMMYFUNCTION("""COMPUTED_VALUE"""),"APPROVED")</f>
        <v>APPROVED</v>
      </c>
      <c r="T1746" s="1" t="str">
        <f>IFERROR(__xludf.DUMMYFUNCTION("""COMPUTED_VALUE"""),"CANCELLED")</f>
        <v>CANCELLED</v>
      </c>
      <c r="U1746" s="1" t="str">
        <f>IFERROR(__xludf.DUMMYFUNCTION("""COMPUTED_VALUE"""),"NO PAYMENT")</f>
        <v>NO PAYMENT</v>
      </c>
      <c r="V1746" s="1"/>
      <c r="W1746" s="1"/>
    </row>
    <row r="1747" customHeight="1" spans="1:23">
      <c r="A1747" s="3">
        <f>IFERROR(__xludf.DUMMYFUNCTION("""COMPUTED_VALUE"""),46161)</f>
        <v>46161</v>
      </c>
      <c r="B1747" s="1" t="str">
        <f>IFERROR(__xludf.DUMMYFUNCTION("""COMPUTED_VALUE"""),"FRONDEZ, JEDREFF")</f>
        <v>FRONDEZ, JEDREFF</v>
      </c>
      <c r="C1747" s="1" t="str">
        <f>IFERROR(__xludf.DUMMYFUNCTION("""COMPUTED_VALUE"""),"ORGANIC")</f>
        <v>ORGANIC</v>
      </c>
      <c r="D1747" s="1" t="str">
        <f>IFERROR(__xludf.DUMMYFUNCTION("""COMPUTED_VALUE"""),"REMOLLO LEA")</f>
        <v>REMOLLO LEA</v>
      </c>
      <c r="E1747" s="1" t="str">
        <f>IFERROR(__xludf.DUMMYFUNCTION("""COMPUTED_VALUE"""),"PLDT / H2H")</f>
        <v>PLDT / H2H</v>
      </c>
      <c r="F1747" s="1">
        <f>IFERROR(__xludf.DUMMYFUNCTION("""COMPUTED_VALUE"""),2309595054)</f>
        <v>2309595054</v>
      </c>
      <c r="G1747" s="1">
        <f>IFERROR(__xludf.DUMMYFUNCTION("""COMPUTED_VALUE"""),455268497004)</f>
        <v>455268497004</v>
      </c>
      <c r="H1747" s="1" t="str">
        <f>IFERROR(__xludf.DUMMYFUNCTION("""COMPUTED_VALUE"""),"EDILBERTO JR PENAS BADOLATO")</f>
        <v>EDILBERTO JR PENAS BADOLATO</v>
      </c>
      <c r="I1747" s="1">
        <f>IFERROR(__xludf.DUMMYFUNCTION("""COMPUTED_VALUE"""),9994854000)</f>
        <v>9994854000</v>
      </c>
      <c r="J1747" s="1">
        <f>IFERROR(__xludf.DUMMYFUNCTION("""COMPUTED_VALUE"""),9467335149)</f>
        <v>9467335149</v>
      </c>
      <c r="K1747" s="1" t="str">
        <f>IFERROR(__xludf.DUMMYFUNCTION("""COMPUTED_VALUE"""),"BADOLATOEDILBERTO@GMAIL.COM")</f>
        <v>BADOLATOEDILBERTO@GMAIL.COM</v>
      </c>
      <c r="L1747" s="1" t="str">
        <f>IFERROR(__xludf.DUMMYFUNCTION("""COMPUTED_VALUE"""),"9")</f>
        <v>9</v>
      </c>
      <c r="M1747" s="1" t="str">
        <f>IFERROR(__xludf.DUMMYFUNCTION("""COMPUTED_VALUE"""),"MABINI")</f>
        <v>MABINI</v>
      </c>
      <c r="N1747" s="1"/>
      <c r="O1747" s="1" t="str">
        <f>IFERROR(__xludf.DUMMYFUNCTION("""COMPUTED_VALUE"""),"BARANGAY II (POB.)")</f>
        <v>BARANGAY II (POB.)</v>
      </c>
      <c r="P1747" s="1" t="str">
        <f>IFERROR(__xludf.DUMMYFUNCTION("""COMPUTED_VALUE"""),"MENDEZ")</f>
        <v>MENDEZ</v>
      </c>
      <c r="Q1747" s="1" t="str">
        <f>IFERROR(__xludf.DUMMYFUNCTION("""COMPUTED_VALUE"""),"CAVITE")</f>
        <v>CAVITE</v>
      </c>
      <c r="R1747" s="1" t="str">
        <f>IFERROR(__xludf.DUMMYFUNCTION("""COMPUTED_VALUE"""),"FIBR UNLI ALL PLAN 1799")</f>
        <v>FIBR UNLI ALL PLAN 1799</v>
      </c>
      <c r="S1747" s="1" t="str">
        <f>IFERROR(__xludf.DUMMYFUNCTION("""COMPUTED_VALUE"""),"APPROVED")</f>
        <v>APPROVED</v>
      </c>
      <c r="T1747" s="1" t="str">
        <f>IFERROR(__xludf.DUMMYFUNCTION("""COMPUTED_VALUE"""),"RPR")</f>
        <v>RPR</v>
      </c>
      <c r="U1747" s="1" t="str">
        <f>IFERROR(__xludf.DUMMYFUNCTION("""COMPUTED_VALUE"""),"NO PAYMENT")</f>
        <v>NO PAYMENT</v>
      </c>
      <c r="V1747" s="1"/>
      <c r="W1747" s="1"/>
    </row>
    <row r="1748" customHeight="1" spans="1:23">
      <c r="A1748" s="3">
        <f>IFERROR(__xludf.DUMMYFUNCTION("""COMPUTED_VALUE"""),46161)</f>
        <v>46161</v>
      </c>
      <c r="B1748" s="1" t="str">
        <f>IFERROR(__xludf.DUMMYFUNCTION("""COMPUTED_VALUE"""),"AGUNOS, JHON AIRVIN")</f>
        <v>AGUNOS, JHON AIRVIN</v>
      </c>
      <c r="C1748" s="1" t="str">
        <f>IFERROR(__xludf.DUMMYFUNCTION("""COMPUTED_VALUE"""),"ORGANIC")</f>
        <v>ORGANIC</v>
      </c>
      <c r="D1748" s="1" t="str">
        <f>IFERROR(__xludf.DUMMYFUNCTION("""COMPUTED_VALUE"""),"ALINGARO, CINDY")</f>
        <v>ALINGARO, CINDY</v>
      </c>
      <c r="E1748" s="1" t="str">
        <f>IFERROR(__xludf.DUMMYFUNCTION("""COMPUTED_VALUE"""),"PLDT / ONLINE")</f>
        <v>PLDT / ONLINE</v>
      </c>
      <c r="F1748" s="1">
        <f>IFERROR(__xludf.DUMMYFUNCTION("""COMPUTED_VALUE"""),2309595546)</f>
        <v>2309595546</v>
      </c>
      <c r="G1748" s="1">
        <f>IFERROR(__xludf.DUMMYFUNCTION("""COMPUTED_VALUE"""),455273173004)</f>
        <v>455273173004</v>
      </c>
      <c r="H1748" s="1" t="str">
        <f>IFERROR(__xludf.DUMMYFUNCTION("""COMPUTED_VALUE"""),"JON DAVE GUILLEN DELA CRUZ")</f>
        <v>JON DAVE GUILLEN DELA CRUZ</v>
      </c>
      <c r="I1748" s="1">
        <f>IFERROR(__xludf.DUMMYFUNCTION("""COMPUTED_VALUE"""),9998271521)</f>
        <v>9998271521</v>
      </c>
      <c r="J1748" s="1">
        <f>IFERROR(__xludf.DUMMYFUNCTION("""COMPUTED_VALUE"""),9359287712)</f>
        <v>9359287712</v>
      </c>
      <c r="K1748" s="1" t="str">
        <f>IFERROR(__xludf.DUMMYFUNCTION("""COMPUTED_VALUE"""),"JONDAVEDELACRUZ@GMAIL.COM")</f>
        <v>JONDAVEDELACRUZ@GMAIL.COM</v>
      </c>
      <c r="L1748" s="1" t="str">
        <f>IFERROR(__xludf.DUMMYFUNCTION("""COMPUTED_VALUE"""),"9113")</f>
        <v>9113</v>
      </c>
      <c r="M1748" s="1" t="str">
        <f>IFERROR(__xludf.DUMMYFUNCTION("""COMPUTED_VALUE"""),"PUBLIC MARKET RD")</f>
        <v>PUBLIC MARKET RD</v>
      </c>
      <c r="N1748" s="1"/>
      <c r="O1748" s="1" t="str">
        <f>IFERROR(__xludf.DUMMYFUNCTION("""COMPUTED_VALUE"""),"IBAYO SILANGAN")</f>
        <v>IBAYO SILANGAN</v>
      </c>
      <c r="P1748" s="1" t="str">
        <f>IFERROR(__xludf.DUMMYFUNCTION("""COMPUTED_VALUE"""),"NAIC")</f>
        <v>NAIC</v>
      </c>
      <c r="Q1748" s="1" t="str">
        <f>IFERROR(__xludf.DUMMYFUNCTION("""COMPUTED_VALUE"""),"CAVITE")</f>
        <v>CAVITE</v>
      </c>
      <c r="R1748" s="1" t="str">
        <f>IFERROR(__xludf.DUMMYFUNCTION("""COMPUTED_VALUE"""),"FIBR PLAN 1299")</f>
        <v>FIBR PLAN 1299</v>
      </c>
      <c r="S1748" s="1" t="str">
        <f>IFERROR(__xludf.DUMMYFUNCTION("""COMPUTED_VALUE"""),"APPROVED")</f>
        <v>APPROVED</v>
      </c>
      <c r="T1748" s="1" t="str">
        <f>IFERROR(__xludf.DUMMYFUNCTION("""COMPUTED_VALUE"""),"RPR")</f>
        <v>RPR</v>
      </c>
      <c r="U1748" s="1" t="str">
        <f>IFERROR(__xludf.DUMMYFUNCTION("""COMPUTED_VALUE"""),"PAID VIA GCASH ")</f>
        <v>PAID VIA GCASH </v>
      </c>
      <c r="V1748" s="1"/>
      <c r="W1748" s="1"/>
    </row>
    <row r="1749" customHeight="1" spans="1:23">
      <c r="A1749" s="3">
        <f>IFERROR(__xludf.DUMMYFUNCTION("""COMPUTED_VALUE"""),46161)</f>
        <v>46161</v>
      </c>
      <c r="B1749" s="1" t="str">
        <f>IFERROR(__xludf.DUMMYFUNCTION("""COMPUTED_VALUE"""),"ODY , CLARENCE")</f>
        <v>ODY , CLARENCE</v>
      </c>
      <c r="C1749" s="1" t="str">
        <f>IFERROR(__xludf.DUMMYFUNCTION("""COMPUTED_VALUE"""),"ORGANIC")</f>
        <v>ORGANIC</v>
      </c>
      <c r="D1749" s="1" t="str">
        <f>IFERROR(__xludf.DUMMYFUNCTION("""COMPUTED_VALUE"""),"ALOS, CHARLS")</f>
        <v>ALOS, CHARLS</v>
      </c>
      <c r="E1749" s="1" t="str">
        <f>IFERROR(__xludf.DUMMYFUNCTION("""COMPUTED_VALUE"""),"PLDT / ONLINE")</f>
        <v>PLDT / ONLINE</v>
      </c>
      <c r="F1749" s="1">
        <f>IFERROR(__xludf.DUMMYFUNCTION("""COMPUTED_VALUE"""),2309609540)</f>
        <v>2309609540</v>
      </c>
      <c r="G1749" s="1">
        <f>IFERROR(__xludf.DUMMYFUNCTION("""COMPUTED_VALUE"""),455402336004)</f>
        <v>455402336004</v>
      </c>
      <c r="H1749" s="1" t="str">
        <f>IFERROR(__xludf.DUMMYFUNCTION("""COMPUTED_VALUE"""),"RICHARD PANGILINAN GONZALVO")</f>
        <v>RICHARD PANGILINAN GONZALVO</v>
      </c>
      <c r="I1749" s="1">
        <f>IFERROR(__xludf.DUMMYFUNCTION("""COMPUTED_VALUE"""),9382514663)</f>
        <v>9382514663</v>
      </c>
      <c r="J1749" s="1">
        <f>IFERROR(__xludf.DUMMYFUNCTION("""COMPUTED_VALUE"""),9288063612)</f>
        <v>9288063612</v>
      </c>
      <c r="K1749" s="1" t="str">
        <f>IFERROR(__xludf.DUMMYFUNCTION("""COMPUTED_VALUE"""),"MYLARAMIREZ21@GMAIL.COM")</f>
        <v>MYLARAMIREZ21@GMAIL.COM</v>
      </c>
      <c r="L1749" s="1" t="str">
        <f>IFERROR(__xludf.DUMMYFUNCTION("""COMPUTED_VALUE"""),"BLK 42 LOT 3")</f>
        <v>BLK 42 LOT 3</v>
      </c>
      <c r="M1749" s="1" t="str">
        <f>IFERROR(__xludf.DUMMYFUNCTION("""COMPUTED_VALUE"""),"ZONE 6")</f>
        <v>ZONE 6</v>
      </c>
      <c r="N1749" s="1" t="str">
        <f>IFERROR(__xludf.DUMMYFUNCTION("""COMPUTED_VALUE"""),"MABUHAY HOME 2000")</f>
        <v>MABUHAY HOME 2000</v>
      </c>
      <c r="O1749" s="1" t="str">
        <f>IFERROR(__xludf.DUMMYFUNCTION("""COMPUTED_VALUE"""),"PALIPARAN II")</f>
        <v>PALIPARAN II</v>
      </c>
      <c r="P1749" s="1" t="str">
        <f>IFERROR(__xludf.DUMMYFUNCTION("""COMPUTED_VALUE"""),"DASMARINAS")</f>
        <v>DASMARINAS</v>
      </c>
      <c r="Q1749" s="1" t="str">
        <f>IFERROR(__xludf.DUMMYFUNCTION("""COMPUTED_VALUE"""),"CAVITE")</f>
        <v>CAVITE</v>
      </c>
      <c r="R1749" s="1" t="str">
        <f>IFERROR(__xludf.DUMMYFUNCTION("""COMPUTED_VALUE"""),"FIBR UNLI ALL PLAN 999")</f>
        <v>FIBR UNLI ALL PLAN 999</v>
      </c>
      <c r="S1749" s="1" t="str">
        <f>IFERROR(__xludf.DUMMYFUNCTION("""COMPUTED_VALUE"""),"APPROVED")</f>
        <v>APPROVED</v>
      </c>
      <c r="T1749" s="1" t="str">
        <f>IFERROR(__xludf.DUMMYFUNCTION("""COMPUTED_VALUE"""),"CANCELLED")</f>
        <v>CANCELLED</v>
      </c>
      <c r="U1749" s="1" t="str">
        <f>IFERROR(__xludf.DUMMYFUNCTION("""COMPUTED_VALUE"""),"NO PAYMENT")</f>
        <v>NO PAYMENT</v>
      </c>
      <c r="V1749" s="1"/>
      <c r="W1749" s="1"/>
    </row>
    <row r="1750" customHeight="1" spans="1:23">
      <c r="A1750" s="3">
        <f>IFERROR(__xludf.DUMMYFUNCTION("""COMPUTED_VALUE"""),46161)</f>
        <v>46161</v>
      </c>
      <c r="B1750" s="1" t="str">
        <f>IFERROR(__xludf.DUMMYFUNCTION("""COMPUTED_VALUE"""),"FARO, REFRANTA")</f>
        <v>FARO, REFRANTA</v>
      </c>
      <c r="C1750" s="1" t="str">
        <f>IFERROR(__xludf.DUMMYFUNCTION("""COMPUTED_VALUE"""),"ORGANIC")</f>
        <v>ORGANIC</v>
      </c>
      <c r="D1750" s="1" t="str">
        <f>IFERROR(__xludf.DUMMYFUNCTION("""COMPUTED_VALUE"""),"ALINGARO, CINDY")</f>
        <v>ALINGARO, CINDY</v>
      </c>
      <c r="E1750" s="1" t="str">
        <f>IFERROR(__xludf.DUMMYFUNCTION("""COMPUTED_VALUE"""),"PLDT / H2H")</f>
        <v>PLDT / H2H</v>
      </c>
      <c r="F1750" s="1">
        <f>IFERROR(__xludf.DUMMYFUNCTION("""COMPUTED_VALUE"""),2309597310)</f>
        <v>2309597310</v>
      </c>
      <c r="G1750" s="1">
        <f>IFERROR(__xludf.DUMMYFUNCTION("""COMPUTED_VALUE"""),455274893004)</f>
        <v>455274893004</v>
      </c>
      <c r="H1750" s="1" t="str">
        <f>IFERROR(__xludf.DUMMYFUNCTION("""COMPUTED_VALUE"""),"JHENIE ROSE SUCGANG GATUS")</f>
        <v>JHENIE ROSE SUCGANG GATUS</v>
      </c>
      <c r="I1750" s="1">
        <f>IFERROR(__xludf.DUMMYFUNCTION("""COMPUTED_VALUE"""),9055175250)</f>
        <v>9055175250</v>
      </c>
      <c r="J1750" s="1">
        <f>IFERROR(__xludf.DUMMYFUNCTION("""COMPUTED_VALUE"""),9164468561)</f>
        <v>9164468561</v>
      </c>
      <c r="K1750" s="1" t="str">
        <f>IFERROR(__xludf.DUMMYFUNCTION("""COMPUTED_VALUE"""),"GATUSJHENIEROSE573@GMAIL.COM")</f>
        <v>GATUSJHENIEROSE573@GMAIL.COM</v>
      </c>
      <c r="L1750" s="1" t="str">
        <f>IFERROR(__xludf.DUMMYFUNCTION("""COMPUTED_VALUE"""),"BLK 43 LOT 1")</f>
        <v>BLK 43 LOT 1</v>
      </c>
      <c r="M1750" s="1" t="str">
        <f>IFERROR(__xludf.DUMMYFUNCTION("""COMPUTED_VALUE"""),"ACACIA")</f>
        <v>ACACIA</v>
      </c>
      <c r="N1750" s="1"/>
      <c r="O1750" s="1" t="str">
        <f>IFERROR(__xludf.DUMMYFUNCTION("""COMPUTED_VALUE"""),"ACACIA")</f>
        <v>ACACIA</v>
      </c>
      <c r="P1750" s="1" t="str">
        <f>IFERROR(__xludf.DUMMYFUNCTION("""COMPUTED_VALUE"""),"SILANG")</f>
        <v>SILANG</v>
      </c>
      <c r="Q1750" s="1" t="str">
        <f>IFERROR(__xludf.DUMMYFUNCTION("""COMPUTED_VALUE"""),"CAVITE")</f>
        <v>CAVITE</v>
      </c>
      <c r="R1750" s="1" t="str">
        <f>IFERROR(__xludf.DUMMYFUNCTION("""COMPUTED_VALUE"""),"FIBR UNLI ALL PLAN 999")</f>
        <v>FIBR UNLI ALL PLAN 999</v>
      </c>
      <c r="S1750" s="1" t="str">
        <f>IFERROR(__xludf.DUMMYFUNCTION("""COMPUTED_VALUE"""),"APPROVED")</f>
        <v>APPROVED</v>
      </c>
      <c r="T1750" s="1" t="str">
        <f>IFERROR(__xludf.DUMMYFUNCTION("""COMPUTED_VALUE"""),"CLOSED")</f>
        <v>CLOSED</v>
      </c>
      <c r="U1750" s="1" t="str">
        <f>IFERROR(__xludf.DUMMYFUNCTION("""COMPUTED_VALUE"""),"POSTED")</f>
        <v>POSTED</v>
      </c>
      <c r="V1750" s="1"/>
      <c r="W1750" s="1"/>
    </row>
    <row r="1751" customHeight="1" spans="1:23">
      <c r="A1751" s="3">
        <f>IFERROR(__xludf.DUMMYFUNCTION("""COMPUTED_VALUE"""),46161)</f>
        <v>46161</v>
      </c>
      <c r="B1751" s="1" t="str">
        <f>IFERROR(__xludf.DUMMYFUNCTION("""COMPUTED_VALUE"""),"RIVERA, AIRIZH JOY")</f>
        <v>RIVERA, AIRIZH JOY</v>
      </c>
      <c r="C1751" s="1" t="str">
        <f>IFERROR(__xludf.DUMMYFUNCTION("""COMPUTED_VALUE"""),"ORGANIC")</f>
        <v>ORGANIC</v>
      </c>
      <c r="D1751" s="1" t="str">
        <f>IFERROR(__xludf.DUMMYFUNCTION("""COMPUTED_VALUE"""),"ALOS, CHARLS")</f>
        <v>ALOS, CHARLS</v>
      </c>
      <c r="E1751" s="1" t="str">
        <f>IFERROR(__xludf.DUMMYFUNCTION("""COMPUTED_VALUE"""),"PLDT / ONLINE")</f>
        <v>PLDT / ONLINE</v>
      </c>
      <c r="F1751" s="1"/>
      <c r="G1751" s="1"/>
      <c r="H1751" s="1" t="str">
        <f>IFERROR(__xludf.DUMMYFUNCTION("""COMPUTED_VALUE"""),"SANDRA MAE MANDOMOTAN MAGADAN")</f>
        <v>SANDRA MAE MANDOMOTAN MAGADAN</v>
      </c>
      <c r="I1751" s="1">
        <f>IFERROR(__xludf.DUMMYFUNCTION("""COMPUTED_VALUE"""),9325688667)</f>
        <v>9325688667</v>
      </c>
      <c r="J1751" s="1">
        <f>IFERROR(__xludf.DUMMYFUNCTION("""COMPUTED_VALUE"""),9816360693)</f>
        <v>9816360693</v>
      </c>
      <c r="K1751" s="1" t="str">
        <f>IFERROR(__xludf.DUMMYFUNCTION("""COMPUTED_VALUE"""),"COLEENNAKEESHA.11@GMAIL.COM")</f>
        <v>COLEENNAKEESHA.11@GMAIL.COM</v>
      </c>
      <c r="L1751" s="1" t="str">
        <f>IFERROR(__xludf.DUMMYFUNCTION("""COMPUTED_VALUE"""),"8")</f>
        <v>8</v>
      </c>
      <c r="M1751" s="1" t="str">
        <f>IFERROR(__xludf.DUMMYFUNCTION("""COMPUTED_VALUE"""),"GALICIA ")</f>
        <v>GALICIA </v>
      </c>
      <c r="N1751" s="1"/>
      <c r="O1751" s="1" t="str">
        <f>IFERROR(__xludf.DUMMYFUNCTION("""COMPUTED_VALUE"""),"GALICIA II")</f>
        <v>GALICIA II</v>
      </c>
      <c r="P1751" s="1" t="str">
        <f>IFERROR(__xludf.DUMMYFUNCTION("""COMPUTED_VALUE"""),"MENDEZ")</f>
        <v>MENDEZ</v>
      </c>
      <c r="Q1751" s="1" t="str">
        <f>IFERROR(__xludf.DUMMYFUNCTION("""COMPUTED_VALUE"""),"CAVITE")</f>
        <v>CAVITE</v>
      </c>
      <c r="R1751" s="1" t="str">
        <f>IFERROR(__xludf.DUMMYFUNCTION("""COMPUTED_VALUE"""),"FIBR UNLI ALL PLAN 999")</f>
        <v>FIBR UNLI ALL PLAN 999</v>
      </c>
      <c r="S1751" s="1" t="str">
        <f>IFERROR(__xludf.DUMMYFUNCTION("""COMPUTED_VALUE"""),"FOR CALLBACK / CANNOT BE REACHED")</f>
        <v>FOR CALLBACK / CANNOT BE REACHED</v>
      </c>
      <c r="T1751" s="1" t="str">
        <f>IFERROR(__xludf.DUMMYFUNCTION("""COMPUTED_VALUE"""),"CBR UNATTENDED")</f>
        <v>CBR UNATTENDED</v>
      </c>
      <c r="U1751" s="1" t="str">
        <f>IFERROR(__xludf.DUMMYFUNCTION("""COMPUTED_VALUE"""),"CBR UNATTENDED")</f>
        <v>CBR UNATTENDED</v>
      </c>
      <c r="V1751" s="1"/>
      <c r="W1751" s="1"/>
    </row>
    <row r="1752" customHeight="1" spans="1:23">
      <c r="A1752" s="3">
        <f>IFERROR(__xludf.DUMMYFUNCTION("""COMPUTED_VALUE"""),46162)</f>
        <v>46162</v>
      </c>
      <c r="B1752" s="1" t="str">
        <f>IFERROR(__xludf.DUMMYFUNCTION("""COMPUTED_VALUE"""),"TISTON, CEDRICK")</f>
        <v>TISTON, CEDRICK</v>
      </c>
      <c r="C1752" s="1" t="str">
        <f>IFERROR(__xludf.DUMMYFUNCTION("""COMPUTED_VALUE"""),"FLA")</f>
        <v>FLA</v>
      </c>
      <c r="D1752" s="1" t="str">
        <f>IFERROR(__xludf.DUMMYFUNCTION("""COMPUTED_VALUE"""),"JERIC NAVARRO")</f>
        <v>JERIC NAVARRO</v>
      </c>
      <c r="E1752" s="1" t="str">
        <f>IFERROR(__xludf.DUMMYFUNCTION("""COMPUTED_VALUE"""),"PLDT / ONLINE")</f>
        <v>PLDT / ONLINE</v>
      </c>
      <c r="F1752" s="1">
        <f>IFERROR(__xludf.DUMMYFUNCTION("""COMPUTED_VALUE"""),2309607039)</f>
        <v>2309607039</v>
      </c>
      <c r="G1752" s="1">
        <f>IFERROR(__xludf.DUMMYFUNCTION("""COMPUTED_VALUE"""),455398673004)</f>
        <v>455398673004</v>
      </c>
      <c r="H1752" s="1" t="str">
        <f>IFERROR(__xludf.DUMMYFUNCTION("""COMPUTED_VALUE"""),"JOHN ADRIAN ALIVAREZ BONGON")</f>
        <v>JOHN ADRIAN ALIVAREZ BONGON</v>
      </c>
      <c r="I1752" s="1">
        <f>IFERROR(__xludf.DUMMYFUNCTION("""COMPUTED_VALUE"""),9661666877)</f>
        <v>9661666877</v>
      </c>
      <c r="J1752" s="1">
        <f>IFERROR(__xludf.DUMMYFUNCTION("""COMPUTED_VALUE"""),9944790823)</f>
        <v>9944790823</v>
      </c>
      <c r="K1752" s="1" t="str">
        <f>IFERROR(__xludf.DUMMYFUNCTION("""COMPUTED_VALUE"""),"JOHNADRIANBONGON@GMAIL.COM")</f>
        <v>JOHNADRIANBONGON@GMAIL.COM</v>
      </c>
      <c r="L1752" s="1" t="str">
        <f>IFERROR(__xludf.DUMMYFUNCTION("""COMPUTED_VALUE"""),"9010")</f>
        <v>9010</v>
      </c>
      <c r="M1752" s="1" t="str">
        <f>IFERROR(__xludf.DUMMYFUNCTION("""COMPUTED_VALUE"""),"KANEBO")</f>
        <v>KANEBO</v>
      </c>
      <c r="N1752" s="1"/>
      <c r="O1752" s="1" t="str">
        <f>IFERROR(__xludf.DUMMYFUNCTION("""COMPUTED_VALUE"""),"FRANCISCO DE CASTRO (SUNSHINE VILL.)")</f>
        <v>FRANCISCO DE CASTRO (SUNSHINE VILL.)</v>
      </c>
      <c r="P1752" s="1" t="str">
        <f>IFERROR(__xludf.DUMMYFUNCTION("""COMPUTED_VALUE"""),"GEN MARIANO ALVAREZ")</f>
        <v>GEN MARIANO ALVAREZ</v>
      </c>
      <c r="Q1752" s="1" t="str">
        <f>IFERROR(__xludf.DUMMYFUNCTION("""COMPUTED_VALUE"""),"CAVITE")</f>
        <v>CAVITE</v>
      </c>
      <c r="R1752" s="1" t="str">
        <f>IFERROR(__xludf.DUMMYFUNCTION("""COMPUTED_VALUE"""),"FIBR UNLI ALL PLAN 1799")</f>
        <v>FIBR UNLI ALL PLAN 1799</v>
      </c>
      <c r="S1752" s="1" t="str">
        <f>IFERROR(__xludf.DUMMYFUNCTION("""COMPUTED_VALUE"""),"APPROVED")</f>
        <v>APPROVED</v>
      </c>
      <c r="T1752" s="1" t="str">
        <f>IFERROR(__xludf.DUMMYFUNCTION("""COMPUTED_VALUE"""),"CANCELLED")</f>
        <v>CANCELLED</v>
      </c>
      <c r="U1752" s="1"/>
      <c r="V1752" s="1"/>
      <c r="W1752" s="1"/>
    </row>
    <row r="1753" customHeight="1" spans="1:23">
      <c r="A1753" s="3">
        <f>IFERROR(__xludf.DUMMYFUNCTION("""COMPUTED_VALUE"""),46162)</f>
        <v>46162</v>
      </c>
      <c r="B1753" s="1" t="str">
        <f>IFERROR(__xludf.DUMMYFUNCTION("""COMPUTED_VALUE"""),"AGUNOS, JHON AIRVIN")</f>
        <v>AGUNOS, JHON AIRVIN</v>
      </c>
      <c r="C1753" s="1" t="str">
        <f>IFERROR(__xludf.DUMMYFUNCTION("""COMPUTED_VALUE"""),"ORGANIC")</f>
        <v>ORGANIC</v>
      </c>
      <c r="D1753" s="1" t="str">
        <f>IFERROR(__xludf.DUMMYFUNCTION("""COMPUTED_VALUE"""),"ALINGARO, CINDY")</f>
        <v>ALINGARO, CINDY</v>
      </c>
      <c r="E1753" s="1" t="str">
        <f>IFERROR(__xludf.DUMMYFUNCTION("""COMPUTED_VALUE"""),"PLDT / ONLINE")</f>
        <v>PLDT / ONLINE</v>
      </c>
      <c r="F1753" s="1">
        <f>IFERROR(__xludf.DUMMYFUNCTION("""COMPUTED_VALUE"""),2309608930)</f>
        <v>2309608930</v>
      </c>
      <c r="G1753" s="1">
        <f>IFERROR(__xludf.DUMMYFUNCTION("""COMPUTED_VALUE"""),455407726004)</f>
        <v>455407726004</v>
      </c>
      <c r="H1753" s="1" t="str">
        <f>IFERROR(__xludf.DUMMYFUNCTION("""COMPUTED_VALUE"""),"ROBERTO JR ASPELITA HAYNO")</f>
        <v>ROBERTO JR ASPELITA HAYNO</v>
      </c>
      <c r="I1753" s="1">
        <f>IFERROR(__xludf.DUMMYFUNCTION("""COMPUTED_VALUE"""),9957639228)</f>
        <v>9957639228</v>
      </c>
      <c r="J1753" s="1">
        <f>IFERROR(__xludf.DUMMYFUNCTION("""COMPUTED_VALUE"""),9853800963)</f>
        <v>9853800963</v>
      </c>
      <c r="K1753" s="1" t="str">
        <f>IFERROR(__xludf.DUMMYFUNCTION("""COMPUTED_VALUE"""),"RJ24HAYNO@GMAIL.COM")</f>
        <v>RJ24HAYNO@GMAIL.COM</v>
      </c>
      <c r="L1753" s="1" t="str">
        <f>IFERROR(__xludf.DUMMYFUNCTION("""COMPUTED_VALUE"""),"128")</f>
        <v>128</v>
      </c>
      <c r="M1753" s="1" t="str">
        <f>IFERROR(__xludf.DUMMYFUNCTION("""COMPUTED_VALUE"""),"HOYO")</f>
        <v>HOYO</v>
      </c>
      <c r="N1753" s="1"/>
      <c r="O1753" s="1" t="str">
        <f>IFERROR(__xludf.DUMMYFUNCTION("""COMPUTED_VALUE"""),"TARTARIA")</f>
        <v>TARTARIA</v>
      </c>
      <c r="P1753" s="1" t="str">
        <f>IFERROR(__xludf.DUMMYFUNCTION("""COMPUTED_VALUE"""),"SILANG")</f>
        <v>SILANG</v>
      </c>
      <c r="Q1753" s="1" t="str">
        <f>IFERROR(__xludf.DUMMYFUNCTION("""COMPUTED_VALUE"""),"CAVITE")</f>
        <v>CAVITE</v>
      </c>
      <c r="R1753" s="1" t="str">
        <f>IFERROR(__xludf.DUMMYFUNCTION("""COMPUTED_VALUE"""),"FIBR UNLI ALL PLAN 999")</f>
        <v>FIBR UNLI ALL PLAN 999</v>
      </c>
      <c r="S1753" s="1" t="str">
        <f>IFERROR(__xludf.DUMMYFUNCTION("""COMPUTED_VALUE"""),"APPROVED")</f>
        <v>APPROVED</v>
      </c>
      <c r="T1753" s="1" t="str">
        <f>IFERROR(__xludf.DUMMYFUNCTION("""COMPUTED_VALUE"""),"RPR")</f>
        <v>RPR</v>
      </c>
      <c r="U1753" s="1" t="str">
        <f>IFERROR(__xludf.DUMMYFUNCTION("""COMPUTED_VALUE"""),"NO PAYMENT")</f>
        <v>NO PAYMENT</v>
      </c>
      <c r="V1753" s="1"/>
      <c r="W1753" s="1"/>
    </row>
    <row r="1754" customHeight="1" spans="1:23">
      <c r="A1754" s="3">
        <f>IFERROR(__xludf.DUMMYFUNCTION("""COMPUTED_VALUE"""),46162)</f>
        <v>46162</v>
      </c>
      <c r="B1754" s="1" t="str">
        <f>IFERROR(__xludf.DUMMYFUNCTION("""COMPUTED_VALUE"""),"ESCARCHA, MA ALMA  ESCOTO")</f>
        <v>ESCARCHA, MA ALMA  ESCOTO</v>
      </c>
      <c r="C1754" s="1" t="str">
        <f>IFERROR(__xludf.DUMMYFUNCTION("""COMPUTED_VALUE"""),"ORGANIC")</f>
        <v>ORGANIC</v>
      </c>
      <c r="D1754" s="1" t="str">
        <f>IFERROR(__xludf.DUMMYFUNCTION("""COMPUTED_VALUE"""),"ALINGARO, CINDY")</f>
        <v>ALINGARO, CINDY</v>
      </c>
      <c r="E1754" s="1" t="str">
        <f>IFERROR(__xludf.DUMMYFUNCTION("""COMPUTED_VALUE"""),"PLDT / H2H")</f>
        <v>PLDT / H2H</v>
      </c>
      <c r="F1754" s="1">
        <f>IFERROR(__xludf.DUMMYFUNCTION("""COMPUTED_VALUE"""),2309609674)</f>
        <v>2309609674</v>
      </c>
      <c r="G1754" s="1">
        <f>IFERROR(__xludf.DUMMYFUNCTION("""COMPUTED_VALUE"""),455428858004)</f>
        <v>455428858004</v>
      </c>
      <c r="H1754" s="1" t="str">
        <f>IFERROR(__xludf.DUMMYFUNCTION("""COMPUTED_VALUE"""),"MARY JEAN PALLOC JUMADIO")</f>
        <v>MARY JEAN PALLOC JUMADIO</v>
      </c>
      <c r="I1754" s="1">
        <f>IFERROR(__xludf.DUMMYFUNCTION("""COMPUTED_VALUE"""),9935343981)</f>
        <v>9935343981</v>
      </c>
      <c r="J1754" s="1"/>
      <c r="K1754" s="1" t="str">
        <f>IFERROR(__xludf.DUMMYFUNCTION("""COMPUTED_VALUE"""),"JUMADIOMARYJEAN@GMAIL.COM")</f>
        <v>JUMADIOMARYJEAN@GMAIL.COM</v>
      </c>
      <c r="L1754" s="1" t="str">
        <f>IFERROR(__xludf.DUMMYFUNCTION("""COMPUTED_VALUE"""),"BLK 72 LOT 16")</f>
        <v>BLK 72 LOT 16</v>
      </c>
      <c r="M1754" s="1" t="str">
        <f>IFERROR(__xludf.DUMMYFUNCTION("""COMPUTED_VALUE"""),"ZONE 5")</f>
        <v>ZONE 5</v>
      </c>
      <c r="N1754" s="1" t="str">
        <f>IFERROR(__xludf.DUMMYFUNCTION("""COMPUTED_VALUE"""),"AFP HOUSING")</f>
        <v>AFP HOUSING</v>
      </c>
      <c r="O1754" s="1" t="str">
        <f>IFERROR(__xludf.DUMMYFUNCTION("""COMPUTED_VALUE"""),"BULIHAN")</f>
        <v>BULIHAN</v>
      </c>
      <c r="P1754" s="1" t="str">
        <f>IFERROR(__xludf.DUMMYFUNCTION("""COMPUTED_VALUE"""),"SILANG")</f>
        <v>SILANG</v>
      </c>
      <c r="Q1754" s="1" t="str">
        <f>IFERROR(__xludf.DUMMYFUNCTION("""COMPUTED_VALUE"""),"CAVITE")</f>
        <v>CAVITE</v>
      </c>
      <c r="R1754" s="1" t="str">
        <f>IFERROR(__xludf.DUMMYFUNCTION("""COMPUTED_VALUE"""),"FIBR UNLI ALL PLAN 999")</f>
        <v>FIBR UNLI ALL PLAN 999</v>
      </c>
      <c r="S1754" s="1" t="str">
        <f>IFERROR(__xludf.DUMMYFUNCTION("""COMPUTED_VALUE"""),"APPROVED")</f>
        <v>APPROVED</v>
      </c>
      <c r="T1754" s="1" t="str">
        <f>IFERROR(__xludf.DUMMYFUNCTION("""COMPUTED_VALUE"""),"CLOSED")</f>
        <v>CLOSED</v>
      </c>
      <c r="U1754" s="1" t="str">
        <f>IFERROR(__xludf.DUMMYFUNCTION("""COMPUTED_VALUE"""),"POSTED")</f>
        <v>POSTED</v>
      </c>
      <c r="V1754" s="1"/>
      <c r="W1754" s="1"/>
    </row>
    <row r="1755" customHeight="1" spans="1:23">
      <c r="A1755" s="3">
        <f>IFERROR(__xludf.DUMMYFUNCTION("""COMPUTED_VALUE"""),46162)</f>
        <v>46162</v>
      </c>
      <c r="B1755" s="1" t="str">
        <f>IFERROR(__xludf.DUMMYFUNCTION("""COMPUTED_VALUE"""),"FARO, REFRANTA")</f>
        <v>FARO, REFRANTA</v>
      </c>
      <c r="C1755" s="1" t="str">
        <f>IFERROR(__xludf.DUMMYFUNCTION("""COMPUTED_VALUE"""),"ORGANIC")</f>
        <v>ORGANIC</v>
      </c>
      <c r="D1755" s="1" t="str">
        <f>IFERROR(__xludf.DUMMYFUNCTION("""COMPUTED_VALUE"""),"ALINGARO, CINDY")</f>
        <v>ALINGARO, CINDY</v>
      </c>
      <c r="E1755" s="1" t="str">
        <f>IFERROR(__xludf.DUMMYFUNCTION("""COMPUTED_VALUE"""),"PLDT BK EXPRESS")</f>
        <v>PLDT BK EXPRESS</v>
      </c>
      <c r="F1755" s="1">
        <f>IFERROR(__xludf.DUMMYFUNCTION("""COMPUTED_VALUE"""),2309610476)</f>
        <v>2309610476</v>
      </c>
      <c r="G1755" s="1">
        <f>IFERROR(__xludf.DUMMYFUNCTION("""COMPUTED_VALUE"""),455401538004)</f>
        <v>455401538004</v>
      </c>
      <c r="H1755" s="1" t="str">
        <f>IFERROR(__xludf.DUMMYFUNCTION("""COMPUTED_VALUE"""),"AMELIA CORTEZ HUMARANG")</f>
        <v>AMELIA CORTEZ HUMARANG</v>
      </c>
      <c r="I1755" s="1">
        <f>IFERROR(__xludf.DUMMYFUNCTION("""COMPUTED_VALUE"""),9568754559)</f>
        <v>9568754559</v>
      </c>
      <c r="J1755" s="1"/>
      <c r="K1755" s="1" t="str">
        <f>IFERROR(__xludf.DUMMYFUNCTION("""COMPUTED_VALUE"""),"TEPHANIE240@GMAIL.COM")</f>
        <v>TEPHANIE240@GMAIL.COM</v>
      </c>
      <c r="L1755" s="1" t="str">
        <f>IFERROR(__xludf.DUMMYFUNCTION("""COMPUTED_VALUE"""),"54")</f>
        <v>54</v>
      </c>
      <c r="M1755" s="1" t="str">
        <f>IFERROR(__xludf.DUMMYFUNCTION("""COMPUTED_VALUE"""),"PUROK 2")</f>
        <v>PUROK 2</v>
      </c>
      <c r="N1755" s="1"/>
      <c r="O1755" s="1" t="str">
        <f>IFERROR(__xludf.DUMMYFUNCTION("""COMPUTED_VALUE"""),"LUMIL")</f>
        <v>LUMIL</v>
      </c>
      <c r="P1755" s="1" t="str">
        <f>IFERROR(__xludf.DUMMYFUNCTION("""COMPUTED_VALUE"""),"SILANG")</f>
        <v>SILANG</v>
      </c>
      <c r="Q1755" s="1" t="str">
        <f>IFERROR(__xludf.DUMMYFUNCTION("""COMPUTED_VALUE"""),"CAVITE")</f>
        <v>CAVITE</v>
      </c>
      <c r="R1755" s="1" t="str">
        <f>IFERROR(__xludf.DUMMYFUNCTION("""COMPUTED_VALUE"""),"FIBR UNLI ALL PLAN 1399")</f>
        <v>FIBR UNLI ALL PLAN 1399</v>
      </c>
      <c r="S1755" s="1" t="str">
        <f>IFERROR(__xludf.DUMMYFUNCTION("""COMPUTED_VALUE"""),"APPROVED")</f>
        <v>APPROVED</v>
      </c>
      <c r="T1755" s="1" t="str">
        <f>IFERROR(__xludf.DUMMYFUNCTION("""COMPUTED_VALUE"""),"CLOSED")</f>
        <v>CLOSED</v>
      </c>
      <c r="U1755" s="1" t="str">
        <f>IFERROR(__xludf.DUMMYFUNCTION("""COMPUTED_VALUE"""),"POSTED")</f>
        <v>POSTED</v>
      </c>
      <c r="V1755" s="1"/>
      <c r="W1755" s="1"/>
    </row>
    <row r="1756" customHeight="1" spans="1:23">
      <c r="A1756" s="3">
        <f>IFERROR(__xludf.DUMMYFUNCTION("""COMPUTED_VALUE"""),46162)</f>
        <v>46162</v>
      </c>
      <c r="B1756" s="1" t="str">
        <f>IFERROR(__xludf.DUMMYFUNCTION("""COMPUTED_VALUE"""),"ESCARCHA, MA ALMA  ESCOTO")</f>
        <v>ESCARCHA, MA ALMA  ESCOTO</v>
      </c>
      <c r="C1756" s="1" t="str">
        <f>IFERROR(__xludf.DUMMYFUNCTION("""COMPUTED_VALUE"""),"ORGANIC")</f>
        <v>ORGANIC</v>
      </c>
      <c r="D1756" s="1" t="str">
        <f>IFERROR(__xludf.DUMMYFUNCTION("""COMPUTED_VALUE"""),"ALINGARO, CINDY")</f>
        <v>ALINGARO, CINDY</v>
      </c>
      <c r="E1756" s="1" t="str">
        <f>IFERROR(__xludf.DUMMYFUNCTION("""COMPUTED_VALUE"""),"PLDT / H2H")</f>
        <v>PLDT / H2H</v>
      </c>
      <c r="F1756" s="1">
        <f>IFERROR(__xludf.DUMMYFUNCTION("""COMPUTED_VALUE"""),2309650677)</f>
        <v>2309650677</v>
      </c>
      <c r="G1756" s="1">
        <f>IFERROR(__xludf.DUMMYFUNCTION("""COMPUTED_VALUE"""),455681505004)</f>
        <v>455681505004</v>
      </c>
      <c r="H1756" s="1" t="str">
        <f>IFERROR(__xludf.DUMMYFUNCTION("""COMPUTED_VALUE"""),"CARLITO BROSULA CLAPIS")</f>
        <v>CARLITO BROSULA CLAPIS</v>
      </c>
      <c r="I1756" s="1">
        <f>IFERROR(__xludf.DUMMYFUNCTION("""COMPUTED_VALUE"""),9757028834)</f>
        <v>9757028834</v>
      </c>
      <c r="J1756" s="1"/>
      <c r="K1756" s="1"/>
      <c r="L1756" s="1" t="str">
        <f>IFERROR(__xludf.DUMMYFUNCTION("""COMPUTED_VALUE"""),"87")</f>
        <v>87</v>
      </c>
      <c r="M1756" s="1" t="str">
        <f>IFERROR(__xludf.DUMMYFUNCTION("""COMPUTED_VALUE"""),"HUMARANG")</f>
        <v>HUMARANG</v>
      </c>
      <c r="N1756" s="1"/>
      <c r="O1756" s="1" t="str">
        <f>IFERROR(__xludf.DUMMYFUNCTION("""COMPUTED_VALUE"""),"LUMIL")</f>
        <v>LUMIL</v>
      </c>
      <c r="P1756" s="1" t="str">
        <f>IFERROR(__xludf.DUMMYFUNCTION("""COMPUTED_VALUE"""),"SILANG")</f>
        <v>SILANG</v>
      </c>
      <c r="Q1756" s="1" t="str">
        <f>IFERROR(__xludf.DUMMYFUNCTION("""COMPUTED_VALUE"""),"CAVITE")</f>
        <v>CAVITE</v>
      </c>
      <c r="R1756" s="1" t="str">
        <f>IFERROR(__xludf.DUMMYFUNCTION("""COMPUTED_VALUE"""),"FIBR UNLI ALL PLAN 999")</f>
        <v>FIBR UNLI ALL PLAN 999</v>
      </c>
      <c r="S1756" s="1" t="str">
        <f>IFERROR(__xludf.DUMMYFUNCTION("""COMPUTED_VALUE"""),"APPROVED")</f>
        <v>APPROVED</v>
      </c>
      <c r="T1756" s="1" t="str">
        <f>IFERROR(__xludf.DUMMYFUNCTION("""COMPUTED_VALUE"""),"CLOSED")</f>
        <v>CLOSED</v>
      </c>
      <c r="U1756" s="1" t="str">
        <f>IFERROR(__xludf.DUMMYFUNCTION("""COMPUTED_VALUE"""),"POSTED")</f>
        <v>POSTED</v>
      </c>
      <c r="V1756" s="1"/>
      <c r="W1756" s="1"/>
    </row>
    <row r="1757" customHeight="1" spans="1:23">
      <c r="A1757" s="3">
        <f>IFERROR(__xludf.DUMMYFUNCTION("""COMPUTED_VALUE"""),46162)</f>
        <v>46162</v>
      </c>
      <c r="B1757" s="1" t="str">
        <f>IFERROR(__xludf.DUMMYFUNCTION("""COMPUTED_VALUE"""),"IVNO, RAZZEL")</f>
        <v>IVNO, RAZZEL</v>
      </c>
      <c r="C1757" s="1" t="str">
        <f>IFERROR(__xludf.DUMMYFUNCTION("""COMPUTED_VALUE"""),"ORGANIC")</f>
        <v>ORGANIC</v>
      </c>
      <c r="D1757" s="1" t="str">
        <f>IFERROR(__xludf.DUMMYFUNCTION("""COMPUTED_VALUE"""),"REMOLLO LEA")</f>
        <v>REMOLLO LEA</v>
      </c>
      <c r="E1757" s="1" t="str">
        <f>IFERROR(__xludf.DUMMYFUNCTION("""COMPUTED_VALUE"""),"PLDT / H2H")</f>
        <v>PLDT / H2H</v>
      </c>
      <c r="F1757" s="1">
        <f>IFERROR(__xludf.DUMMYFUNCTION("""COMPUTED_VALUE"""),2309613085)</f>
        <v>2309613085</v>
      </c>
      <c r="G1757" s="1">
        <f>IFERROR(__xludf.DUMMYFUNCTION("""COMPUTED_VALUE"""),455407246004)</f>
        <v>455407246004</v>
      </c>
      <c r="H1757" s="1" t="str">
        <f>IFERROR(__xludf.DUMMYFUNCTION("""COMPUTED_VALUE"""),"CYRIL PAUL TAGUIBOLOS GAGANDAHAN")</f>
        <v>CYRIL PAUL TAGUIBOLOS GAGANDAHAN</v>
      </c>
      <c r="I1757" s="1">
        <f>IFERROR(__xludf.DUMMYFUNCTION("""COMPUTED_VALUE"""),9279080183)</f>
        <v>9279080183</v>
      </c>
      <c r="J1757" s="1">
        <f>IFERROR(__xludf.DUMMYFUNCTION("""COMPUTED_VALUE"""),9394194613)</f>
        <v>9394194613</v>
      </c>
      <c r="K1757" s="1" t="str">
        <f>IFERROR(__xludf.DUMMYFUNCTION("""COMPUTED_VALUE"""),"CYRILTANTA896@GMAIL.COM")</f>
        <v>CYRILTANTA896@GMAIL.COM</v>
      </c>
      <c r="L1757" s="1" t="str">
        <f>IFERROR(__xludf.DUMMYFUNCTION("""COMPUTED_VALUE"""),"142")</f>
        <v>142</v>
      </c>
      <c r="M1757" s="1" t="str">
        <f>IFERROR(__xludf.DUMMYFUNCTION("""COMPUTED_VALUE"""),"PUROK 2")</f>
        <v>PUROK 2</v>
      </c>
      <c r="N1757" s="1"/>
      <c r="O1757" s="1" t="str">
        <f>IFERROR(__xludf.DUMMYFUNCTION("""COMPUTED_VALUE"""),"LUMIL")</f>
        <v>LUMIL</v>
      </c>
      <c r="P1757" s="1" t="str">
        <f>IFERROR(__xludf.DUMMYFUNCTION("""COMPUTED_VALUE"""),"SILANG")</f>
        <v>SILANG</v>
      </c>
      <c r="Q1757" s="1" t="str">
        <f>IFERROR(__xludf.DUMMYFUNCTION("""COMPUTED_VALUE"""),"CAVITE")</f>
        <v>CAVITE</v>
      </c>
      <c r="R1757" s="1" t="str">
        <f>IFERROR(__xludf.DUMMYFUNCTION("""COMPUTED_VALUE"""),"FIBR UNLI ALL PLAN 999")</f>
        <v>FIBR UNLI ALL PLAN 999</v>
      </c>
      <c r="S1757" s="1" t="str">
        <f>IFERROR(__xludf.DUMMYFUNCTION("""COMPUTED_VALUE"""),"APPROVED")</f>
        <v>APPROVED</v>
      </c>
      <c r="T1757" s="1" t="str">
        <f>IFERROR(__xludf.DUMMYFUNCTION("""COMPUTED_VALUE"""),"CLOSED")</f>
        <v>CLOSED</v>
      </c>
      <c r="U1757" s="1" t="str">
        <f>IFERROR(__xludf.DUMMYFUNCTION("""COMPUTED_VALUE"""),"POSTED")</f>
        <v>POSTED</v>
      </c>
      <c r="V1757" s="1"/>
      <c r="W1757" s="1"/>
    </row>
    <row r="1758" customHeight="1" spans="1:23">
      <c r="A1758" s="3">
        <f>IFERROR(__xludf.DUMMYFUNCTION("""COMPUTED_VALUE"""),46162)</f>
        <v>46162</v>
      </c>
      <c r="B1758" s="1" t="str">
        <f>IFERROR(__xludf.DUMMYFUNCTION("""COMPUTED_VALUE"""),"DE VERA, MARIVIC")</f>
        <v>DE VERA, MARIVIC</v>
      </c>
      <c r="C1758" s="1" t="str">
        <f>IFERROR(__xludf.DUMMYFUNCTION("""COMPUTED_VALUE"""),"ORGANIC")</f>
        <v>ORGANIC</v>
      </c>
      <c r="D1758" s="1" t="str">
        <f>IFERROR(__xludf.DUMMYFUNCTION("""COMPUTED_VALUE"""),"REMOLLO LEA")</f>
        <v>REMOLLO LEA</v>
      </c>
      <c r="E1758" s="1" t="str">
        <f>IFERROR(__xludf.DUMMYFUNCTION("""COMPUTED_VALUE"""),"PLDT / H2H")</f>
        <v>PLDT / H2H</v>
      </c>
      <c r="F1758" s="1">
        <f>IFERROR(__xludf.DUMMYFUNCTION("""COMPUTED_VALUE"""),2309611490)</f>
        <v>2309611490</v>
      </c>
      <c r="G1758" s="1">
        <f>IFERROR(__xludf.DUMMYFUNCTION("""COMPUTED_VALUE"""),455402508004)</f>
        <v>455402508004</v>
      </c>
      <c r="H1758" s="1" t="str">
        <f>IFERROR(__xludf.DUMMYFUNCTION("""COMPUTED_VALUE"""),"JAY GADDI REYES ZAPANTA")</f>
        <v>JAY GADDI REYES ZAPANTA</v>
      </c>
      <c r="I1758" s="1">
        <f>IFERROR(__xludf.DUMMYFUNCTION("""COMPUTED_VALUE"""),9358080272)</f>
        <v>9358080272</v>
      </c>
      <c r="J1758" s="1">
        <f>IFERROR(__xludf.DUMMYFUNCTION("""COMPUTED_VALUE"""),9368544702)</f>
        <v>9368544702</v>
      </c>
      <c r="K1758" s="1" t="str">
        <f>IFERROR(__xludf.DUMMYFUNCTION("""COMPUTED_VALUE"""),"JAYZAPANTA@GMAIL.COM")</f>
        <v>JAYZAPANTA@GMAIL.COM</v>
      </c>
      <c r="L1758" s="1" t="str">
        <f>IFERROR(__xludf.DUMMYFUNCTION("""COMPUTED_VALUE"""),"9009")</f>
        <v>9009</v>
      </c>
      <c r="M1758" s="1" t="str">
        <f>IFERROR(__xludf.DUMMYFUNCTION("""COMPUTED_VALUE"""),"PUROK 2")</f>
        <v>PUROK 2</v>
      </c>
      <c r="N1758" s="1"/>
      <c r="O1758" s="1" t="str">
        <f>IFERROR(__xludf.DUMMYFUNCTION("""COMPUTED_VALUE"""),"LUMIL")</f>
        <v>LUMIL</v>
      </c>
      <c r="P1758" s="1" t="str">
        <f>IFERROR(__xludf.DUMMYFUNCTION("""COMPUTED_VALUE"""),"SILANG")</f>
        <v>SILANG</v>
      </c>
      <c r="Q1758" s="1" t="str">
        <f>IFERROR(__xludf.DUMMYFUNCTION("""COMPUTED_VALUE"""),"CAVITE")</f>
        <v>CAVITE</v>
      </c>
      <c r="R1758" s="1" t="str">
        <f>IFERROR(__xludf.DUMMYFUNCTION("""COMPUTED_VALUE"""),"FIBR UNLI ALL PLAN 999")</f>
        <v>FIBR UNLI ALL PLAN 999</v>
      </c>
      <c r="S1758" s="1" t="str">
        <f>IFERROR(__xludf.DUMMYFUNCTION("""COMPUTED_VALUE"""),"APPROVED")</f>
        <v>APPROVED</v>
      </c>
      <c r="T1758" s="1" t="str">
        <f>IFERROR(__xludf.DUMMYFUNCTION("""COMPUTED_VALUE"""),"AFD")</f>
        <v>AFD</v>
      </c>
      <c r="U1758" s="1" t="str">
        <f>IFERROR(__xludf.DUMMYFUNCTION("""COMPUTED_VALUE"""),"NO PAYMENT")</f>
        <v>NO PAYMENT</v>
      </c>
      <c r="V1758" s="1"/>
      <c r="W1758" s="1"/>
    </row>
    <row r="1759" customHeight="1" spans="1:23">
      <c r="A1759" s="3">
        <f>IFERROR(__xludf.DUMMYFUNCTION("""COMPUTED_VALUE"""),46162)</f>
        <v>46162</v>
      </c>
      <c r="B1759" s="1" t="str">
        <f>IFERROR(__xludf.DUMMYFUNCTION("""COMPUTED_VALUE"""),"AYON MANUEL")</f>
        <v>AYON MANUEL</v>
      </c>
      <c r="C1759" s="1" t="str">
        <f>IFERROR(__xludf.DUMMYFUNCTION("""COMPUTED_VALUE"""),"FLA")</f>
        <v>FLA</v>
      </c>
      <c r="D1759" s="1" t="str">
        <f>IFERROR(__xludf.DUMMYFUNCTION("""COMPUTED_VALUE"""),"JERIC NAVARRO")</f>
        <v>JERIC NAVARRO</v>
      </c>
      <c r="E1759" s="1" t="str">
        <f>IFERROR(__xludf.DUMMYFUNCTION("""COMPUTED_VALUE"""),"HOME BIZZ")</f>
        <v>HOME BIZZ</v>
      </c>
      <c r="F1759" s="1">
        <f>IFERROR(__xludf.DUMMYFUNCTION("""COMPUTED_VALUE"""),2309613879)</f>
        <v>2309613879</v>
      </c>
      <c r="G1759" s="1">
        <f>IFERROR(__xludf.DUMMYFUNCTION("""COMPUTED_VALUE"""),455408177004)</f>
        <v>455408177004</v>
      </c>
      <c r="H1759" s="1" t="str">
        <f>IFERROR(__xludf.DUMMYFUNCTION("""COMPUTED_VALUE"""),"ROMME FOOD TRAINING")</f>
        <v>ROMME FOOD TRAINING</v>
      </c>
      <c r="I1759" s="1">
        <f>IFERROR(__xludf.DUMMYFUNCTION("""COMPUTED_VALUE"""),9328803916)</f>
        <v>9328803916</v>
      </c>
      <c r="J1759" s="1">
        <f>IFERROR(__xludf.DUMMYFUNCTION("""COMPUTED_VALUE"""),9258848269)</f>
        <v>9258848269</v>
      </c>
      <c r="K1759" s="1" t="str">
        <f>IFERROR(__xludf.DUMMYFUNCTION("""COMPUTED_VALUE"""),"REBERNARDINO11@GMAIL.COM")</f>
        <v>REBERNARDINO11@GMAIL.COM</v>
      </c>
      <c r="L1759" s="1" t="str">
        <f>IFERROR(__xludf.DUMMYFUNCTION("""COMPUTED_VALUE"""),"BLK 18 LOT 19")</f>
        <v>BLK 18 LOT 19</v>
      </c>
      <c r="M1759" s="1" t="str">
        <f>IFERROR(__xludf.DUMMYFUNCTION("""COMPUTED_VALUE"""),"RANCHO")</f>
        <v>RANCHO</v>
      </c>
      <c r="N1759" s="1"/>
      <c r="O1759" s="1" t="str">
        <f>IFERROR(__xludf.DUMMYFUNCTION("""COMPUTED_VALUE"""),"TARTARIA")</f>
        <v>TARTARIA</v>
      </c>
      <c r="P1759" s="1" t="str">
        <f>IFERROR(__xludf.DUMMYFUNCTION("""COMPUTED_VALUE"""),"SILANG")</f>
        <v>SILANG</v>
      </c>
      <c r="Q1759" s="1" t="str">
        <f>IFERROR(__xludf.DUMMYFUNCTION("""COMPUTED_VALUE"""),"CAVITE")</f>
        <v>CAVITE</v>
      </c>
      <c r="R1759" s="1" t="str">
        <f>IFERROR(__xludf.DUMMYFUNCTION("""COMPUTED_VALUE"""),"HOME BIZ PLAN 1299")</f>
        <v>HOME BIZ PLAN 1299</v>
      </c>
      <c r="S1759" s="1" t="str">
        <f>IFERROR(__xludf.DUMMYFUNCTION("""COMPUTED_VALUE"""),"APPROVED")</f>
        <v>APPROVED</v>
      </c>
      <c r="T1759" s="1" t="str">
        <f>IFERROR(__xludf.DUMMYFUNCTION("""COMPUTED_VALUE"""),"CLOSED")</f>
        <v>CLOSED</v>
      </c>
      <c r="U1759" s="1" t="str">
        <f>IFERROR(__xludf.DUMMYFUNCTION("""COMPUTED_VALUE"""),"POSTED")</f>
        <v>POSTED</v>
      </c>
      <c r="V1759" s="1"/>
      <c r="W1759" s="1"/>
    </row>
    <row r="1760" customHeight="1" spans="1:23">
      <c r="A1760" s="3">
        <f>IFERROR(__xludf.DUMMYFUNCTION("""COMPUTED_VALUE"""),46162)</f>
        <v>46162</v>
      </c>
      <c r="B1760" s="1" t="str">
        <f>IFERROR(__xludf.DUMMYFUNCTION("""COMPUTED_VALUE"""),"AYON MANUEL")</f>
        <v>AYON MANUEL</v>
      </c>
      <c r="C1760" s="1" t="str">
        <f>IFERROR(__xludf.DUMMYFUNCTION("""COMPUTED_VALUE"""),"FLA")</f>
        <v>FLA</v>
      </c>
      <c r="D1760" s="1" t="str">
        <f>IFERROR(__xludf.DUMMYFUNCTION("""COMPUTED_VALUE"""),"JERIC NAVARRO")</f>
        <v>JERIC NAVARRO</v>
      </c>
      <c r="E1760" s="1" t="str">
        <f>IFERROR(__xludf.DUMMYFUNCTION("""COMPUTED_VALUE"""),"PLDT / H2H")</f>
        <v>PLDT / H2H</v>
      </c>
      <c r="F1760" s="1">
        <f>IFERROR(__xludf.DUMMYFUNCTION("""COMPUTED_VALUE"""),2309614281)</f>
        <v>2309614281</v>
      </c>
      <c r="G1760" s="1">
        <f>IFERROR(__xludf.DUMMYFUNCTION("""COMPUTED_VALUE"""),455408668004)</f>
        <v>455408668004</v>
      </c>
      <c r="H1760" s="1" t="str">
        <f>IFERROR(__xludf.DUMMYFUNCTION("""COMPUTED_VALUE"""),"IRMA NOROMBABA DIEGO")</f>
        <v>IRMA NOROMBABA DIEGO</v>
      </c>
      <c r="I1760" s="1">
        <f>IFERROR(__xludf.DUMMYFUNCTION("""COMPUTED_VALUE"""),9392175099)</f>
        <v>9392175099</v>
      </c>
      <c r="J1760" s="1">
        <f>IFERROR(__xludf.DUMMYFUNCTION("""COMPUTED_VALUE"""),9053549798)</f>
        <v>9053549798</v>
      </c>
      <c r="K1760" s="1" t="str">
        <f>IFERROR(__xludf.DUMMYFUNCTION("""COMPUTED_VALUE"""),"HILDAARRIOLA01@GMAIL.COM")</f>
        <v>HILDAARRIOLA01@GMAIL.COM</v>
      </c>
      <c r="L1760" s="1" t="str">
        <f>IFERROR(__xludf.DUMMYFUNCTION("""COMPUTED_VALUE"""),"BLK 2 LOT 1332")</f>
        <v>BLK 2 LOT 1332</v>
      </c>
      <c r="M1760" s="1" t="str">
        <f>IFERROR(__xludf.DUMMYFUNCTION("""COMPUTED_VALUE"""),"PUNGOL RD")</f>
        <v>PUNGOL RD</v>
      </c>
      <c r="N1760" s="1"/>
      <c r="O1760" s="1" t="str">
        <f>IFERROR(__xludf.DUMMYFUNCTION("""COMPUTED_VALUE"""),"PATUTONG MALAKI NORTH")</f>
        <v>PATUTONG MALAKI NORTH</v>
      </c>
      <c r="P1760" s="1" t="str">
        <f>IFERROR(__xludf.DUMMYFUNCTION("""COMPUTED_VALUE"""),"TAGAYTAY")</f>
        <v>TAGAYTAY</v>
      </c>
      <c r="Q1760" s="1" t="str">
        <f>IFERROR(__xludf.DUMMYFUNCTION("""COMPUTED_VALUE"""),"CAVITE")</f>
        <v>CAVITE</v>
      </c>
      <c r="R1760" s="1" t="str">
        <f>IFERROR(__xludf.DUMMYFUNCTION("""COMPUTED_VALUE"""),"FIBR UNLI ALL PLAN 1399")</f>
        <v>FIBR UNLI ALL PLAN 1399</v>
      </c>
      <c r="S1760" s="1" t="str">
        <f>IFERROR(__xludf.DUMMYFUNCTION("""COMPUTED_VALUE"""),"APPROVED")</f>
        <v>APPROVED</v>
      </c>
      <c r="T1760" s="1" t="str">
        <f>IFERROR(__xludf.DUMMYFUNCTION("""COMPUTED_VALUE"""),"RPR")</f>
        <v>RPR</v>
      </c>
      <c r="U1760" s="1"/>
      <c r="V1760" s="1"/>
      <c r="W1760" s="1"/>
    </row>
    <row r="1761" customHeight="1" spans="1:23">
      <c r="A1761" s="3">
        <f>IFERROR(__xludf.DUMMYFUNCTION("""COMPUTED_VALUE"""),46162)</f>
        <v>46162</v>
      </c>
      <c r="B1761" s="1" t="str">
        <f>IFERROR(__xludf.DUMMYFUNCTION("""COMPUTED_VALUE"""),"CASTILLEJOS, ARREL")</f>
        <v>CASTILLEJOS, ARREL</v>
      </c>
      <c r="C1761" s="1" t="str">
        <f>IFERROR(__xludf.DUMMYFUNCTION("""COMPUTED_VALUE"""),"ORGANIC")</f>
        <v>ORGANIC</v>
      </c>
      <c r="D1761" s="1" t="str">
        <f>IFERROR(__xludf.DUMMYFUNCTION("""COMPUTED_VALUE"""),"REMOLLO LEA")</f>
        <v>REMOLLO LEA</v>
      </c>
      <c r="E1761" s="1" t="str">
        <f>IFERROR(__xludf.DUMMYFUNCTION("""COMPUTED_VALUE"""),"PLDT / ONLINE")</f>
        <v>PLDT / ONLINE</v>
      </c>
      <c r="F1761" s="1">
        <f>IFERROR(__xludf.DUMMYFUNCTION("""COMPUTED_VALUE"""),2309616950)</f>
        <v>2309616950</v>
      </c>
      <c r="G1761" s="1"/>
      <c r="H1761" s="1" t="str">
        <f>IFERROR(__xludf.DUMMYFUNCTION("""COMPUTED_VALUE"""),"IVAN JR MENDIOLA BANUA")</f>
        <v>IVAN JR MENDIOLA BANUA</v>
      </c>
      <c r="I1761" s="1">
        <f>IFERROR(__xludf.DUMMYFUNCTION("""COMPUTED_VALUE"""),9675131142)</f>
        <v>9675131142</v>
      </c>
      <c r="J1761" s="1">
        <f>IFERROR(__xludf.DUMMYFUNCTION("""COMPUTED_VALUE"""),9706044517)</f>
        <v>9706044517</v>
      </c>
      <c r="K1761" s="1" t="str">
        <f>IFERROR(__xludf.DUMMYFUNCTION("""COMPUTED_VALUE"""),"YURIBANUA24@GMAIL.COM")</f>
        <v>YURIBANUA24@GMAIL.COM</v>
      </c>
      <c r="L1761" s="1" t="str">
        <f>IFERROR(__xludf.DUMMYFUNCTION("""COMPUTED_VALUE"""),"BLK 6 LOT 23")</f>
        <v>BLK 6 LOT 23</v>
      </c>
      <c r="M1761" s="1" t="str">
        <f>IFERROR(__xludf.DUMMYFUNCTION("""COMPUTED_VALUE"""),"NIA RD")</f>
        <v>NIA RD</v>
      </c>
      <c r="N1761" s="1"/>
      <c r="O1761" s="1" t="str">
        <f>IFERROR(__xludf.DUMMYFUNCTION("""COMPUTED_VALUE"""),"CARSADANG BAGO II")</f>
        <v>CARSADANG BAGO II</v>
      </c>
      <c r="P1761" s="1" t="str">
        <f>IFERROR(__xludf.DUMMYFUNCTION("""COMPUTED_VALUE"""),"IMUS")</f>
        <v>IMUS</v>
      </c>
      <c r="Q1761" s="1" t="str">
        <f>IFERROR(__xludf.DUMMYFUNCTION("""COMPUTED_VALUE"""),"CAVITE")</f>
        <v>CAVITE</v>
      </c>
      <c r="R1761" s="1" t="str">
        <f>IFERROR(__xludf.DUMMYFUNCTION("""COMPUTED_VALUE"""),"FIBR NETFLIX PLAN 1599")</f>
        <v>FIBR NETFLIX PLAN 1599</v>
      </c>
      <c r="S1761" s="1" t="str">
        <f>IFERROR(__xludf.DUMMYFUNCTION("""COMPUTED_VALUE"""),"APPROVED")</f>
        <v>APPROVED</v>
      </c>
      <c r="T1761" s="1" t="str">
        <f>IFERROR(__xludf.DUMMYFUNCTION("""COMPUTED_VALUE"""),"CANCELLED")</f>
        <v>CANCELLED</v>
      </c>
      <c r="U1761" s="1"/>
      <c r="V1761" s="1"/>
      <c r="W1761" s="1"/>
    </row>
    <row r="1762" customHeight="1" spans="1:23">
      <c r="A1762" s="3">
        <f>IFERROR(__xludf.DUMMYFUNCTION("""COMPUTED_VALUE"""),46162)</f>
        <v>46162</v>
      </c>
      <c r="B1762" s="1" t="str">
        <f>IFERROR(__xludf.DUMMYFUNCTION("""COMPUTED_VALUE"""),"MAGDARAOG, KENNETH")</f>
        <v>MAGDARAOG, KENNETH</v>
      </c>
      <c r="C1762" s="1" t="str">
        <f>IFERROR(__xludf.DUMMYFUNCTION("""COMPUTED_VALUE"""),"ORGANIC")</f>
        <v>ORGANIC</v>
      </c>
      <c r="D1762" s="1" t="str">
        <f>IFERROR(__xludf.DUMMYFUNCTION("""COMPUTED_VALUE"""),"ALINGARO, CINDY")</f>
        <v>ALINGARO, CINDY</v>
      </c>
      <c r="E1762" s="1" t="str">
        <f>IFERROR(__xludf.DUMMYFUNCTION("""COMPUTED_VALUE"""),"PLDT / H2H")</f>
        <v>PLDT / H2H</v>
      </c>
      <c r="F1762" s="1"/>
      <c r="G1762" s="1"/>
      <c r="H1762" s="1" t="str">
        <f>IFERROR(__xludf.DUMMYFUNCTION("""COMPUTED_VALUE"""),"AILYN TISON CANOY")</f>
        <v>AILYN TISON CANOY</v>
      </c>
      <c r="I1762" s="1">
        <f>IFERROR(__xludf.DUMMYFUNCTION("""COMPUTED_VALUE"""),9702888338)</f>
        <v>9702888338</v>
      </c>
      <c r="J1762" s="1">
        <f>IFERROR(__xludf.DUMMYFUNCTION("""COMPUTED_VALUE"""),9702884834)</f>
        <v>9702884834</v>
      </c>
      <c r="K1762" s="1" t="str">
        <f>IFERROR(__xludf.DUMMYFUNCTION("""COMPUTED_VALUE"""),"CANOYIALYN78@GMAIL.COM")</f>
        <v>CANOYIALYN78@GMAIL.COM</v>
      </c>
      <c r="L1762" s="1" t="str">
        <f>IFERROR(__xludf.DUMMYFUNCTION("""COMPUTED_VALUE"""),"25")</f>
        <v>25</v>
      </c>
      <c r="M1762" s="1" t="str">
        <f>IFERROR(__xludf.DUMMYFUNCTION("""COMPUTED_VALUE"""),"PALIGAWAN")</f>
        <v>PALIGAWAN</v>
      </c>
      <c r="N1762" s="1"/>
      <c r="O1762" s="1" t="str">
        <f>IFERROR(__xludf.DUMMYFUNCTION("""COMPUTED_VALUE"""),"LANTIC")</f>
        <v>LANTIC</v>
      </c>
      <c r="P1762" s="1" t="str">
        <f>IFERROR(__xludf.DUMMYFUNCTION("""COMPUTED_VALUE"""),"CARMONA")</f>
        <v>CARMONA</v>
      </c>
      <c r="Q1762" s="1" t="str">
        <f>IFERROR(__xludf.DUMMYFUNCTION("""COMPUTED_VALUE"""),"CAVITE")</f>
        <v>CAVITE</v>
      </c>
      <c r="R1762" s="1" t="str">
        <f>IFERROR(__xludf.DUMMYFUNCTION("""COMPUTED_VALUE"""),"FIBR UNLI ALL PLAN 999")</f>
        <v>FIBR UNLI ALL PLAN 999</v>
      </c>
      <c r="S1762" s="1" t="str">
        <f>IFERROR(__xludf.DUMMYFUNCTION("""COMPUTED_VALUE"""),"HOLD")</f>
        <v>HOLD</v>
      </c>
      <c r="T1762" s="1" t="str">
        <f>IFERROR(__xludf.DUMMYFUNCTION("""COMPUTED_VALUE"""),"TALKED TO SOR, WALA PA DAW SYANG PANG ADVANCE PAYMENT. 15/30 DAW SAHOD NYA. SA KATAPUSAN DAW SYA MAKAKAPG BAYAD NASABE NMAN DAW")</f>
        <v>TALKED TO SOR, WALA PA DAW SYANG PANG ADVANCE PAYMENT. 15/30 DAW SAHOD NYA. SA KATAPUSAN DAW SYA MAKAKAPG BAYAD NASABE NMAN DAW</v>
      </c>
      <c r="U1762" s="1"/>
      <c r="V1762" s="1"/>
      <c r="W1762" s="1"/>
    </row>
    <row r="1763" customHeight="1" spans="1:23">
      <c r="A1763" s="3">
        <f>IFERROR(__xludf.DUMMYFUNCTION("""COMPUTED_VALUE"""),46162)</f>
        <v>46162</v>
      </c>
      <c r="B1763" s="1" t="str">
        <f>IFERROR(__xludf.DUMMYFUNCTION("""COMPUTED_VALUE"""),"REMOLLO, LEA")</f>
        <v>REMOLLO, LEA</v>
      </c>
      <c r="C1763" s="1" t="str">
        <f>IFERROR(__xludf.DUMMYFUNCTION("""COMPUTED_VALUE"""),"FLA")</f>
        <v>FLA</v>
      </c>
      <c r="D1763" s="1" t="str">
        <f>IFERROR(__xludf.DUMMYFUNCTION("""COMPUTED_VALUE"""),"JERIC NAVARRO")</f>
        <v>JERIC NAVARRO</v>
      </c>
      <c r="E1763" s="1" t="str">
        <f>IFERROR(__xludf.DUMMYFUNCTION("""COMPUTED_VALUE"""),"PLDT / ONLINE")</f>
        <v>PLDT / ONLINE</v>
      </c>
      <c r="F1763" s="1">
        <f>IFERROR(__xludf.DUMMYFUNCTION("""COMPUTED_VALUE"""),2309618075)</f>
        <v>2309618075</v>
      </c>
      <c r="G1763" s="1">
        <f>IFERROR(__xludf.DUMMYFUNCTION("""COMPUTED_VALUE"""),455424583004)</f>
        <v>455424583004</v>
      </c>
      <c r="H1763" s="1" t="str">
        <f>IFERROR(__xludf.DUMMYFUNCTION("""COMPUTED_VALUE"""),"APRIL ARABIA ENCINARES")</f>
        <v>APRIL ARABIA ENCINARES</v>
      </c>
      <c r="I1763" s="1">
        <f>IFERROR(__xludf.DUMMYFUNCTION("""COMPUTED_VALUE"""),9762149981)</f>
        <v>9762149981</v>
      </c>
      <c r="J1763" s="1"/>
      <c r="K1763" s="1" t="str">
        <f>IFERROR(__xludf.DUMMYFUNCTION("""COMPUTED_VALUE"""),"APRIL.AENCINARES@GMAIL.COM")</f>
        <v>APRIL.AENCINARES@GMAIL.COM</v>
      </c>
      <c r="L1763" s="1" t="str">
        <f>IFERROR(__xludf.DUMMYFUNCTION("""COMPUTED_VALUE"""),"1422B")</f>
        <v>1422B</v>
      </c>
      <c r="M1763" s="1" t="str">
        <f>IFERROR(__xludf.DUMMYFUNCTION("""COMPUTED_VALUE"""),"TOWER3")</f>
        <v>TOWER3</v>
      </c>
      <c r="N1763" s="1" t="str">
        <f>IFERROR(__xludf.DUMMYFUNCTION("""COMPUTED_VALUE"""),"SMDC")</f>
        <v>SMDC</v>
      </c>
      <c r="O1763" s="1" t="str">
        <f>IFERROR(__xludf.DUMMYFUNCTION("""COMPUTED_VALUE"""),"MAHARLIKA WEST")</f>
        <v>MAHARLIKA WEST</v>
      </c>
      <c r="P1763" s="1" t="str">
        <f>IFERROR(__xludf.DUMMYFUNCTION("""COMPUTED_VALUE"""),"TAGAYTAY")</f>
        <v>TAGAYTAY</v>
      </c>
      <c r="Q1763" s="1" t="str">
        <f>IFERROR(__xludf.DUMMYFUNCTION("""COMPUTED_VALUE"""),"CAVITE")</f>
        <v>CAVITE</v>
      </c>
      <c r="R1763" s="1" t="str">
        <f>IFERROR(__xludf.DUMMYFUNCTION("""COMPUTED_VALUE"""),"FIBR UNLI ALL PLAN 999")</f>
        <v>FIBR UNLI ALL PLAN 999</v>
      </c>
      <c r="S1763" s="1" t="str">
        <f>IFERROR(__xludf.DUMMYFUNCTION("""COMPUTED_VALUE"""),"APPROVED")</f>
        <v>APPROVED</v>
      </c>
      <c r="T1763" s="1" t="str">
        <f>IFERROR(__xludf.DUMMYFUNCTION("""COMPUTED_VALUE"""),"CLOSED")</f>
        <v>CLOSED</v>
      </c>
      <c r="U1763" s="1" t="str">
        <f>IFERROR(__xludf.DUMMYFUNCTION("""COMPUTED_VALUE"""),"POSTED")</f>
        <v>POSTED</v>
      </c>
      <c r="V1763" s="1"/>
      <c r="W1763" s="1"/>
    </row>
    <row r="1764" customHeight="1" spans="1:23">
      <c r="A1764" s="3">
        <f>IFERROR(__xludf.DUMMYFUNCTION("""COMPUTED_VALUE"""),46163)</f>
        <v>46163</v>
      </c>
      <c r="B1764" s="1" t="str">
        <f>IFERROR(__xludf.DUMMYFUNCTION("""COMPUTED_VALUE"""),"MAGDARAOG, KENNETH")</f>
        <v>MAGDARAOG, KENNETH</v>
      </c>
      <c r="C1764" s="1" t="str">
        <f>IFERROR(__xludf.DUMMYFUNCTION("""COMPUTED_VALUE"""),"ORGANIC")</f>
        <v>ORGANIC</v>
      </c>
      <c r="D1764" s="1" t="str">
        <f>IFERROR(__xludf.DUMMYFUNCTION("""COMPUTED_VALUE"""),"ALINGARO, CINDY")</f>
        <v>ALINGARO, CINDY</v>
      </c>
      <c r="E1764" s="1" t="str">
        <f>IFERROR(__xludf.DUMMYFUNCTION("""COMPUTED_VALUE"""),"PLDT BK EXPRESS")</f>
        <v>PLDT BK EXPRESS</v>
      </c>
      <c r="F1764" s="1">
        <f>IFERROR(__xludf.DUMMYFUNCTION("""COMPUTED_VALUE"""),2309631059)</f>
        <v>2309631059</v>
      </c>
      <c r="G1764" s="1">
        <f>IFERROR(__xludf.DUMMYFUNCTION("""COMPUTED_VALUE"""),455557598004)</f>
        <v>455557598004</v>
      </c>
      <c r="H1764" s="1" t="str">
        <f>IFERROR(__xludf.DUMMYFUNCTION("""COMPUTED_VALUE"""),"MA. CRESTHINE OFFEMARIA REALO")</f>
        <v>MA. CRESTHINE OFFEMARIA REALO</v>
      </c>
      <c r="I1764" s="1">
        <f>IFERROR(__xludf.DUMMYFUNCTION("""COMPUTED_VALUE"""),9277363880)</f>
        <v>9277363880</v>
      </c>
      <c r="J1764" s="1">
        <f>IFERROR(__xludf.DUMMYFUNCTION("""COMPUTED_VALUE"""),9770440965)</f>
        <v>9770440965</v>
      </c>
      <c r="K1764" s="1" t="str">
        <f>IFERROR(__xludf.DUMMYFUNCTION("""COMPUTED_VALUE"""),"CRESTHINETIBAYAN@GMAIL.COM")</f>
        <v>CRESTHINETIBAYAN@GMAIL.COM</v>
      </c>
      <c r="L1764" s="1" t="str">
        <f>IFERROR(__xludf.DUMMYFUNCTION("""COMPUTED_VALUE"""),"42")</f>
        <v>42</v>
      </c>
      <c r="M1764" s="1" t="str">
        <f>IFERROR(__xludf.DUMMYFUNCTION("""COMPUTED_VALUE"""),"STA ROSA RD")</f>
        <v>STA ROSA RD</v>
      </c>
      <c r="N1764" s="1"/>
      <c r="O1764" s="1" t="str">
        <f>IFERROR(__xludf.DUMMYFUNCTION("""COMPUTED_VALUE"""),"LUMIL")</f>
        <v>LUMIL</v>
      </c>
      <c r="P1764" s="1" t="str">
        <f>IFERROR(__xludf.DUMMYFUNCTION("""COMPUTED_VALUE"""),"SILANG")</f>
        <v>SILANG</v>
      </c>
      <c r="Q1764" s="1" t="str">
        <f>IFERROR(__xludf.DUMMYFUNCTION("""COMPUTED_VALUE"""),"CAVITE")</f>
        <v>CAVITE</v>
      </c>
      <c r="R1764" s="1" t="str">
        <f>IFERROR(__xludf.DUMMYFUNCTION("""COMPUTED_VALUE"""),"FIBR NETFLIX PLAN 1599")</f>
        <v>FIBR NETFLIX PLAN 1599</v>
      </c>
      <c r="S1764" s="1" t="str">
        <f>IFERROR(__xludf.DUMMYFUNCTION("""COMPUTED_VALUE"""),"APPROVED")</f>
        <v>APPROVED</v>
      </c>
      <c r="T1764" s="1" t="str">
        <f>IFERROR(__xludf.DUMMYFUNCTION("""COMPUTED_VALUE"""),"CLOSED")</f>
        <v>CLOSED</v>
      </c>
      <c r="U1764" s="1" t="str">
        <f>IFERROR(__xludf.DUMMYFUNCTION("""COMPUTED_VALUE"""),"POSTED")</f>
        <v>POSTED</v>
      </c>
      <c r="V1764" s="1"/>
      <c r="W1764" s="1"/>
    </row>
    <row r="1765" customHeight="1" spans="1:23">
      <c r="A1765" s="3">
        <f>IFERROR(__xludf.DUMMYFUNCTION("""COMPUTED_VALUE"""),46163)</f>
        <v>46163</v>
      </c>
      <c r="B1765" s="1" t="str">
        <f>IFERROR(__xludf.DUMMYFUNCTION("""COMPUTED_VALUE"""),"DACALCAP RUBEN")</f>
        <v>DACALCAP RUBEN</v>
      </c>
      <c r="C1765" s="1" t="str">
        <f>IFERROR(__xludf.DUMMYFUNCTION("""COMPUTED_VALUE"""),"FLA")</f>
        <v>FLA</v>
      </c>
      <c r="D1765" s="1" t="str">
        <f>IFERROR(__xludf.DUMMYFUNCTION("""COMPUTED_VALUE"""),"JERIC NAVARRO")</f>
        <v>JERIC NAVARRO</v>
      </c>
      <c r="E1765" s="1" t="str">
        <f>IFERROR(__xludf.DUMMYFUNCTION("""COMPUTED_VALUE"""),"PLDT / H2H")</f>
        <v>PLDT / H2H</v>
      </c>
      <c r="F1765" s="1">
        <f>IFERROR(__xludf.DUMMYFUNCTION("""COMPUTED_VALUE"""),2309630461)</f>
        <v>2309630461</v>
      </c>
      <c r="G1765" s="1">
        <f>IFERROR(__xludf.DUMMYFUNCTION("""COMPUTED_VALUE"""),455554149004)</f>
        <v>455554149004</v>
      </c>
      <c r="H1765" s="1" t="str">
        <f>IFERROR(__xludf.DUMMYFUNCTION("""COMPUTED_VALUE"""),"AEDRALYN NICOLE BAYAN")</f>
        <v>AEDRALYN NICOLE BAYAN</v>
      </c>
      <c r="I1765" s="1">
        <f>IFERROR(__xludf.DUMMYFUNCTION("""COMPUTED_VALUE"""),9392374200)</f>
        <v>9392374200</v>
      </c>
      <c r="J1765" s="1">
        <f>IFERROR(__xludf.DUMMYFUNCTION("""COMPUTED_VALUE"""),9679242678)</f>
        <v>9679242678</v>
      </c>
      <c r="K1765" s="1" t="str">
        <f>IFERROR(__xludf.DUMMYFUNCTION("""COMPUTED_VALUE"""),"BELENAEDRALYN96@GMAIL.COM")</f>
        <v>BELENAEDRALYN96@GMAIL.COM</v>
      </c>
      <c r="L1765" s="1" t="str">
        <f>IFERROR(__xludf.DUMMYFUNCTION("""COMPUTED_VALUE"""),"6")</f>
        <v>6</v>
      </c>
      <c r="M1765" s="1" t="str">
        <f>IFERROR(__xludf.DUMMYFUNCTION("""COMPUTED_VALUE"""),"ANTONIO ")</f>
        <v>ANTONIO </v>
      </c>
      <c r="N1765" s="1"/>
      <c r="O1765" s="1" t="str">
        <f>IFERROR(__xludf.DUMMYFUNCTION("""COMPUTED_VALUE"""),"BATAS")</f>
        <v>BATAS</v>
      </c>
      <c r="P1765" s="1" t="str">
        <f>IFERROR(__xludf.DUMMYFUNCTION("""COMPUTED_VALUE"""),"SILANG")</f>
        <v>SILANG</v>
      </c>
      <c r="Q1765" s="1" t="str">
        <f>IFERROR(__xludf.DUMMYFUNCTION("""COMPUTED_VALUE"""),"CAVITE")</f>
        <v>CAVITE</v>
      </c>
      <c r="R1765" s="1" t="str">
        <f>IFERROR(__xludf.DUMMYFUNCTION("""COMPUTED_VALUE"""),"FIBR UNLI ALL PLAN 1399")</f>
        <v>FIBR UNLI ALL PLAN 1399</v>
      </c>
      <c r="S1765" s="1" t="str">
        <f>IFERROR(__xludf.DUMMYFUNCTION("""COMPUTED_VALUE"""),"APPROVED")</f>
        <v>APPROVED</v>
      </c>
      <c r="T1765" s="1" t="str">
        <f>IFERROR(__xludf.DUMMYFUNCTION("""COMPUTED_VALUE"""),"CLOSED")</f>
        <v>CLOSED</v>
      </c>
      <c r="U1765" s="1" t="str">
        <f>IFERROR(__xludf.DUMMYFUNCTION("""COMPUTED_VALUE"""),"POSTED")</f>
        <v>POSTED</v>
      </c>
      <c r="V1765" s="1"/>
      <c r="W1765" s="1"/>
    </row>
    <row r="1766" customHeight="1" spans="1:23">
      <c r="A1766" s="3">
        <f>IFERROR(__xludf.DUMMYFUNCTION("""COMPUTED_VALUE"""),46163)</f>
        <v>46163</v>
      </c>
      <c r="B1766" s="1" t="str">
        <f>IFERROR(__xludf.DUMMYFUNCTION("""COMPUTED_VALUE"""),"ADVINCULA, NICOLE")</f>
        <v>ADVINCULA, NICOLE</v>
      </c>
      <c r="C1766" s="1" t="str">
        <f>IFERROR(__xludf.DUMMYFUNCTION("""COMPUTED_VALUE"""),"ORGANIC")</f>
        <v>ORGANIC</v>
      </c>
      <c r="D1766" s="1" t="str">
        <f>IFERROR(__xludf.DUMMYFUNCTION("""COMPUTED_VALUE"""),"ALINGARO, CINDY")</f>
        <v>ALINGARO, CINDY</v>
      </c>
      <c r="E1766" s="1" t="str">
        <f>IFERROR(__xludf.DUMMYFUNCTION("""COMPUTED_VALUE"""),"PLDT / H2H")</f>
        <v>PLDT / H2H</v>
      </c>
      <c r="F1766" s="1">
        <f>IFERROR(__xludf.DUMMYFUNCTION("""COMPUTED_VALUE"""),2309633288)</f>
        <v>2309633288</v>
      </c>
      <c r="G1766" s="1">
        <f>IFERROR(__xludf.DUMMYFUNCTION("""COMPUTED_VALUE"""),455561197004)</f>
        <v>455561197004</v>
      </c>
      <c r="H1766" s="1" t="str">
        <f>IFERROR(__xludf.DUMMYFUNCTION("""COMPUTED_VALUE"""),"JOEL MENDEZ MORALLOS")</f>
        <v>JOEL MENDEZ MORALLOS</v>
      </c>
      <c r="I1766" s="1">
        <f>IFERROR(__xludf.DUMMYFUNCTION("""COMPUTED_VALUE"""),9857838753)</f>
        <v>9857838753</v>
      </c>
      <c r="J1766" s="1">
        <f>IFERROR(__xludf.DUMMYFUNCTION("""COMPUTED_VALUE"""),9483464939)</f>
        <v>9483464939</v>
      </c>
      <c r="K1766" s="1" t="str">
        <f>IFERROR(__xludf.DUMMYFUNCTION("""COMPUTED_VALUE"""),"MAALOSJRJ@GMAIL.COM")</f>
        <v>MAALOSJRJ@GMAIL.COM</v>
      </c>
      <c r="L1766" s="1" t="str">
        <f>IFERROR(__xludf.DUMMYFUNCTION("""COMPUTED_VALUE"""),"36")</f>
        <v>36</v>
      </c>
      <c r="M1766" s="1" t="str">
        <f>IFERROR(__xludf.DUMMYFUNCTION("""COMPUTED_VALUE"""),"PUROK 5")</f>
        <v>PUROK 5</v>
      </c>
      <c r="N1766" s="1"/>
      <c r="O1766" s="1" t="str">
        <f>IFERROR(__xludf.DUMMYFUNCTION("""COMPUTED_VALUE"""),"LUMIL")</f>
        <v>LUMIL</v>
      </c>
      <c r="P1766" s="1" t="str">
        <f>IFERROR(__xludf.DUMMYFUNCTION("""COMPUTED_VALUE"""),"SILANG")</f>
        <v>SILANG</v>
      </c>
      <c r="Q1766" s="1" t="str">
        <f>IFERROR(__xludf.DUMMYFUNCTION("""COMPUTED_VALUE"""),"CAVITE")</f>
        <v>CAVITE</v>
      </c>
      <c r="R1766" s="1" t="str">
        <f>IFERROR(__xludf.DUMMYFUNCTION("""COMPUTED_VALUE"""),"FIBR PLAN 1299")</f>
        <v>FIBR PLAN 1299</v>
      </c>
      <c r="S1766" s="1" t="str">
        <f>IFERROR(__xludf.DUMMYFUNCTION("""COMPUTED_VALUE"""),"APPROVED")</f>
        <v>APPROVED</v>
      </c>
      <c r="T1766" s="1" t="str">
        <f>IFERROR(__xludf.DUMMYFUNCTION("""COMPUTED_VALUE"""),"CLOSED")</f>
        <v>CLOSED</v>
      </c>
      <c r="U1766" s="1" t="str">
        <f>IFERROR(__xludf.DUMMYFUNCTION("""COMPUTED_VALUE"""),"POSTED")</f>
        <v>POSTED</v>
      </c>
      <c r="V1766" s="1"/>
      <c r="W1766" s="1"/>
    </row>
    <row r="1767" customHeight="1" spans="1:23">
      <c r="A1767" s="3">
        <f>IFERROR(__xludf.DUMMYFUNCTION("""COMPUTED_VALUE"""),46163)</f>
        <v>46163</v>
      </c>
      <c r="B1767" s="1" t="str">
        <f>IFERROR(__xludf.DUMMYFUNCTION("""COMPUTED_VALUE"""),"AYON MANUEL")</f>
        <v>AYON MANUEL</v>
      </c>
      <c r="C1767" s="1" t="str">
        <f>IFERROR(__xludf.DUMMYFUNCTION("""COMPUTED_VALUE"""),"FLA")</f>
        <v>FLA</v>
      </c>
      <c r="D1767" s="1" t="str">
        <f>IFERROR(__xludf.DUMMYFUNCTION("""COMPUTED_VALUE"""),"JERIC NAVARRO")</f>
        <v>JERIC NAVARRO</v>
      </c>
      <c r="E1767" s="1" t="str">
        <f>IFERROR(__xludf.DUMMYFUNCTION("""COMPUTED_VALUE"""),"PLDT / H2H")</f>
        <v>PLDT / H2H</v>
      </c>
      <c r="F1767" s="1">
        <f>IFERROR(__xludf.DUMMYFUNCTION("""COMPUTED_VALUE"""),2309633989)</f>
        <v>2309633989</v>
      </c>
      <c r="G1767" s="1">
        <f>IFERROR(__xludf.DUMMYFUNCTION("""COMPUTED_VALUE"""),455571965004)</f>
        <v>455571965004</v>
      </c>
      <c r="H1767" s="1" t="str">
        <f>IFERROR(__xludf.DUMMYFUNCTION("""COMPUTED_VALUE"""),"JENNILYN BICARME PASION")</f>
        <v>JENNILYN BICARME PASION</v>
      </c>
      <c r="I1767" s="1">
        <f>IFERROR(__xludf.DUMMYFUNCTION("""COMPUTED_VALUE"""),9925051432)</f>
        <v>9925051432</v>
      </c>
      <c r="J1767" s="1">
        <f>IFERROR(__xludf.DUMMYFUNCTION("""COMPUTED_VALUE"""),9976452370)</f>
        <v>9976452370</v>
      </c>
      <c r="K1767" s="1" t="str">
        <f>IFERROR(__xludf.DUMMYFUNCTION("""COMPUTED_VALUE"""),"JEN26.BICARME@GMAIL.COM")</f>
        <v>JEN26.BICARME@GMAIL.COM</v>
      </c>
      <c r="L1767" s="1" t="str">
        <f>IFERROR(__xludf.DUMMYFUNCTION("""COMPUTED_VALUE"""),"BLK 1 LOT 10")</f>
        <v>BLK 1 LOT 10</v>
      </c>
      <c r="M1767" s="1" t="str">
        <f>IFERROR(__xludf.DUMMYFUNCTION("""COMPUTED_VALUE"""),"SOLEA")</f>
        <v>SOLEA</v>
      </c>
      <c r="N1767" s="1"/>
      <c r="O1767" s="1" t="str">
        <f>IFERROR(__xludf.DUMMYFUNCTION("""COMPUTED_VALUE"""),"PALOCPOC I")</f>
        <v>PALOCPOC I</v>
      </c>
      <c r="P1767" s="1" t="str">
        <f>IFERROR(__xludf.DUMMYFUNCTION("""COMPUTED_VALUE"""),"MENDEZ")</f>
        <v>MENDEZ</v>
      </c>
      <c r="Q1767" s="1" t="str">
        <f>IFERROR(__xludf.DUMMYFUNCTION("""COMPUTED_VALUE"""),"CAVITE")</f>
        <v>CAVITE</v>
      </c>
      <c r="R1767" s="1" t="str">
        <f>IFERROR(__xludf.DUMMYFUNCTION("""COMPUTED_VALUE"""),"FIBR UNLI ALL PLAN 1399")</f>
        <v>FIBR UNLI ALL PLAN 1399</v>
      </c>
      <c r="S1767" s="1" t="str">
        <f>IFERROR(__xludf.DUMMYFUNCTION("""COMPUTED_VALUE"""),"APPROVED")</f>
        <v>APPROVED</v>
      </c>
      <c r="T1767" s="1" t="str">
        <f>IFERROR(__xludf.DUMMYFUNCTION("""COMPUTED_VALUE"""),"CLOSED")</f>
        <v>CLOSED</v>
      </c>
      <c r="U1767" s="1" t="str">
        <f>IFERROR(__xludf.DUMMYFUNCTION("""COMPUTED_VALUE"""),"POSTED")</f>
        <v>POSTED</v>
      </c>
      <c r="V1767" s="1"/>
      <c r="W1767" s="1"/>
    </row>
    <row r="1768" customHeight="1" spans="1:23">
      <c r="A1768" s="3">
        <f>IFERROR(__xludf.DUMMYFUNCTION("""COMPUTED_VALUE"""),46163)</f>
        <v>46163</v>
      </c>
      <c r="B1768" s="1" t="str">
        <f>IFERROR(__xludf.DUMMYFUNCTION("""COMPUTED_VALUE"""),"MAÑANITA, ERIKA")</f>
        <v>MAÑANITA, ERIKA</v>
      </c>
      <c r="C1768" s="1" t="str">
        <f>IFERROR(__xludf.DUMMYFUNCTION("""COMPUTED_VALUE"""),"ORGANIC")</f>
        <v>ORGANIC</v>
      </c>
      <c r="D1768" s="1" t="str">
        <f>IFERROR(__xludf.DUMMYFUNCTION("""COMPUTED_VALUE"""),"ALOS, CHARLS")</f>
        <v>ALOS, CHARLS</v>
      </c>
      <c r="E1768" s="1" t="str">
        <f>IFERROR(__xludf.DUMMYFUNCTION("""COMPUTED_VALUE"""),"PLDT / ONLINE")</f>
        <v>PLDT / ONLINE</v>
      </c>
      <c r="F1768" s="1">
        <f>IFERROR(__xludf.DUMMYFUNCTION("""COMPUTED_VALUE"""),2309634412)</f>
        <v>2309634412</v>
      </c>
      <c r="G1768" s="1"/>
      <c r="H1768" s="1" t="str">
        <f>IFERROR(__xludf.DUMMYFUNCTION("""COMPUTED_VALUE"""),"ARNEL PANGUSAN BAJE")</f>
        <v>ARNEL PANGUSAN BAJE</v>
      </c>
      <c r="I1768" s="1">
        <f>IFERROR(__xludf.DUMMYFUNCTION("""COMPUTED_VALUE"""),9387098757)</f>
        <v>9387098757</v>
      </c>
      <c r="J1768" s="1"/>
      <c r="K1768" s="1" t="str">
        <f>IFERROR(__xludf.DUMMYFUNCTION("""COMPUTED_VALUE"""),"BAJEARNEL123@GMAIL.COM")</f>
        <v>BAJEARNEL123@GMAIL.COM</v>
      </c>
      <c r="L1768" s="1" t="str">
        <f>IFERROR(__xludf.DUMMYFUNCTION("""COMPUTED_VALUE"""),"BLK 18 LOT 1B")</f>
        <v>BLK 18 LOT 1B</v>
      </c>
      <c r="M1768" s="1" t="str">
        <f>IFERROR(__xludf.DUMMYFUNCTION("""COMPUTED_VALUE"""),"CONGRESIONAL RD")</f>
        <v>CONGRESIONAL RD</v>
      </c>
      <c r="N1768" s="1"/>
      <c r="O1768" s="1" t="str">
        <f>IFERROR(__xludf.DUMMYFUNCTION("""COMPUTED_VALUE"""),"BERNARDO PULIDO (AREA H)")</f>
        <v>BERNARDO PULIDO (AREA H)</v>
      </c>
      <c r="P1768" s="1" t="str">
        <f>IFERROR(__xludf.DUMMYFUNCTION("""COMPUTED_VALUE"""),"GEN MARIANO ALVAREZ")</f>
        <v>GEN MARIANO ALVAREZ</v>
      </c>
      <c r="Q1768" s="1" t="str">
        <f>IFERROR(__xludf.DUMMYFUNCTION("""COMPUTED_VALUE"""),"CAVITE")</f>
        <v>CAVITE</v>
      </c>
      <c r="R1768" s="1" t="str">
        <f>IFERROR(__xludf.DUMMYFUNCTION("""COMPUTED_VALUE"""),"FIBR PLAN 2699")</f>
        <v>FIBR PLAN 2699</v>
      </c>
      <c r="S1768" s="1" t="str">
        <f>IFERROR(__xludf.DUMMYFUNCTION("""COMPUTED_VALUE"""),"APPROVED")</f>
        <v>APPROVED</v>
      </c>
      <c r="T1768" s="1" t="str">
        <f>IFERROR(__xludf.DUMMYFUNCTION("""COMPUTED_VALUE"""),"DISAPPROVED")</f>
        <v>DISAPPROVED</v>
      </c>
      <c r="U1768" s="1" t="str">
        <f>IFERROR(__xludf.DUMMYFUNCTION("""COMPUTED_VALUE"""),"NO PAYMENT")</f>
        <v>NO PAYMENT</v>
      </c>
      <c r="V1768" s="1"/>
      <c r="W1768" s="1"/>
    </row>
    <row r="1769" customHeight="1" spans="1:23">
      <c r="A1769" s="3">
        <f>IFERROR(__xludf.DUMMYFUNCTION("""COMPUTED_VALUE"""),46163)</f>
        <v>46163</v>
      </c>
      <c r="B1769" s="1" t="str">
        <f>IFERROR(__xludf.DUMMYFUNCTION("""COMPUTED_VALUE"""),"FRANCISCO , ROSELYN")</f>
        <v>FRANCISCO , ROSELYN</v>
      </c>
      <c r="C1769" s="1" t="str">
        <f>IFERROR(__xludf.DUMMYFUNCTION("""COMPUTED_VALUE"""),"ORGANIC")</f>
        <v>ORGANIC</v>
      </c>
      <c r="D1769" s="1" t="str">
        <f>IFERROR(__xludf.DUMMYFUNCTION("""COMPUTED_VALUE"""),"ALOS, CHARLS")</f>
        <v>ALOS, CHARLS</v>
      </c>
      <c r="E1769" s="1" t="str">
        <f>IFERROR(__xludf.DUMMYFUNCTION("""COMPUTED_VALUE"""),"PLDT / ONLINE")</f>
        <v>PLDT / ONLINE</v>
      </c>
      <c r="F1769" s="1">
        <f>IFERROR(__xludf.DUMMYFUNCTION("""COMPUTED_VALUE"""),2309634563)</f>
        <v>2309634563</v>
      </c>
      <c r="G1769" s="1">
        <f>IFERROR(__xludf.DUMMYFUNCTION("""COMPUTED_VALUE"""),455565961004)</f>
        <v>455565961004</v>
      </c>
      <c r="H1769" s="1" t="str">
        <f>IFERROR(__xludf.DUMMYFUNCTION("""COMPUTED_VALUE"""),"MA. ANNE TRILLES GALURA")</f>
        <v>MA. ANNE TRILLES GALURA</v>
      </c>
      <c r="I1769" s="1">
        <f>IFERROR(__xludf.DUMMYFUNCTION("""COMPUTED_VALUE"""),9278520961)</f>
        <v>9278520961</v>
      </c>
      <c r="J1769" s="1">
        <f>IFERROR(__xludf.DUMMYFUNCTION("""COMPUTED_VALUE"""),9224999364)</f>
        <v>9224999364</v>
      </c>
      <c r="K1769" s="1" t="str">
        <f>IFERROR(__xludf.DUMMYFUNCTION("""COMPUTED_VALUE"""),"MA.ANNEGALURA@GMAIL.COM")</f>
        <v>MA.ANNEGALURA@GMAIL.COM</v>
      </c>
      <c r="L1769" s="1" t="str">
        <f>IFERROR(__xludf.DUMMYFUNCTION("""COMPUTED_VALUE"""),"BLK 99 LOT 32")</f>
        <v>BLK 99 LOT 32</v>
      </c>
      <c r="M1769" s="1" t="str">
        <f>IFERROR(__xludf.DUMMYFUNCTION("""COMPUTED_VALUE"""),"PHASE 4")</f>
        <v>PHASE 4</v>
      </c>
      <c r="N1769" s="1" t="str">
        <f>IFERROR(__xludf.DUMMYFUNCTION("""COMPUTED_VALUE"""),"MABUHAY CITY")</f>
        <v>MABUHAY CITY</v>
      </c>
      <c r="O1769" s="1" t="str">
        <f>IFERROR(__xludf.DUMMYFUNCTION("""COMPUTED_VALUE"""),"PALIPARAN III")</f>
        <v>PALIPARAN III</v>
      </c>
      <c r="P1769" s="1" t="str">
        <f>IFERROR(__xludf.DUMMYFUNCTION("""COMPUTED_VALUE"""),"DASMARINAS")</f>
        <v>DASMARINAS</v>
      </c>
      <c r="Q1769" s="1" t="str">
        <f>IFERROR(__xludf.DUMMYFUNCTION("""COMPUTED_VALUE"""),"CAVITE")</f>
        <v>CAVITE</v>
      </c>
      <c r="R1769" s="1" t="str">
        <f>IFERROR(__xludf.DUMMYFUNCTION("""COMPUTED_VALUE"""),"FIBR PLAN 1299")</f>
        <v>FIBR PLAN 1299</v>
      </c>
      <c r="S1769" s="1" t="str">
        <f>IFERROR(__xludf.DUMMYFUNCTION("""COMPUTED_VALUE"""),"APPROVED")</f>
        <v>APPROVED</v>
      </c>
      <c r="T1769" s="1" t="str">
        <f>IFERROR(__xludf.DUMMYFUNCTION("""COMPUTED_VALUE"""),"CLOSED")</f>
        <v>CLOSED</v>
      </c>
      <c r="U1769" s="1" t="str">
        <f>IFERROR(__xludf.DUMMYFUNCTION("""COMPUTED_VALUE"""),"POSTED")</f>
        <v>POSTED</v>
      </c>
      <c r="V1769" s="1"/>
      <c r="W1769" s="1"/>
    </row>
    <row r="1770" customHeight="1" spans="1:23">
      <c r="A1770" s="3">
        <f>IFERROR(__xludf.DUMMYFUNCTION("""COMPUTED_VALUE"""),46163)</f>
        <v>46163</v>
      </c>
      <c r="B1770" s="1" t="str">
        <f>IFERROR(__xludf.DUMMYFUNCTION("""COMPUTED_VALUE"""),"ADVINCULA, NICOLE")</f>
        <v>ADVINCULA, NICOLE</v>
      </c>
      <c r="C1770" s="1" t="str">
        <f>IFERROR(__xludf.DUMMYFUNCTION("""COMPUTED_VALUE"""),"ORGANIC")</f>
        <v>ORGANIC</v>
      </c>
      <c r="D1770" s="1" t="str">
        <f>IFERROR(__xludf.DUMMYFUNCTION("""COMPUTED_VALUE"""),"ALINGARO, CINDY")</f>
        <v>ALINGARO, CINDY</v>
      </c>
      <c r="E1770" s="1" t="str">
        <f>IFERROR(__xludf.DUMMYFUNCTION("""COMPUTED_VALUE"""),"PLDT / H2H")</f>
        <v>PLDT / H2H</v>
      </c>
      <c r="F1770" s="1">
        <f>IFERROR(__xludf.DUMMYFUNCTION("""COMPUTED_VALUE"""),2309651129)</f>
        <v>2309651129</v>
      </c>
      <c r="G1770" s="1">
        <f>IFERROR(__xludf.DUMMYFUNCTION("""COMPUTED_VALUE"""),455682840004)</f>
        <v>455682840004</v>
      </c>
      <c r="H1770" s="1" t="str">
        <f>IFERROR(__xludf.DUMMYFUNCTION("""COMPUTED_VALUE"""),"JENNY MARCELO DE VERA")</f>
        <v>JENNY MARCELO DE VERA</v>
      </c>
      <c r="I1770" s="1">
        <f>IFERROR(__xludf.DUMMYFUNCTION("""COMPUTED_VALUE"""),9128774605)</f>
        <v>9128774605</v>
      </c>
      <c r="J1770" s="1"/>
      <c r="K1770" s="1" t="str">
        <f>IFERROR(__xludf.DUMMYFUNCTION("""COMPUTED_VALUE"""),"JENNYJHENG032881@GMAIL.COM")</f>
        <v>JENNYJHENG032881@GMAIL.COM</v>
      </c>
      <c r="L1770" s="1" t="str">
        <f>IFERROR(__xludf.DUMMYFUNCTION("""COMPUTED_VALUE"""),"BLK 2 LOT 50")</f>
        <v>BLK 2 LOT 50</v>
      </c>
      <c r="M1770" s="1" t="str">
        <f>IFERROR(__xludf.DUMMYFUNCTION("""COMPUTED_VALUE"""),"PABAHAY")</f>
        <v>PABAHAY</v>
      </c>
      <c r="N1770" s="1"/>
      <c r="O1770" s="1" t="str">
        <f>IFERROR(__xludf.DUMMYFUNCTION("""COMPUTED_VALUE"""),"ZAMBAL")</f>
        <v>ZAMBAL</v>
      </c>
      <c r="P1770" s="1" t="str">
        <f>IFERROR(__xludf.DUMMYFUNCTION("""COMPUTED_VALUE"""),"TAGAYTAY")</f>
        <v>TAGAYTAY</v>
      </c>
      <c r="Q1770" s="1" t="str">
        <f>IFERROR(__xludf.DUMMYFUNCTION("""COMPUTED_VALUE"""),"CAVITE")</f>
        <v>CAVITE</v>
      </c>
      <c r="R1770" s="1" t="str">
        <f>IFERROR(__xludf.DUMMYFUNCTION("""COMPUTED_VALUE"""),"FIBR UNLI ALL PLAN 999")</f>
        <v>FIBR UNLI ALL PLAN 999</v>
      </c>
      <c r="S1770" s="1" t="str">
        <f>IFERROR(__xludf.DUMMYFUNCTION("""COMPUTED_VALUE"""),"APPROVED")</f>
        <v>APPROVED</v>
      </c>
      <c r="T1770" s="1" t="str">
        <f>IFERROR(__xludf.DUMMYFUNCTION("""COMPUTED_VALUE"""),"CLOSED")</f>
        <v>CLOSED</v>
      </c>
      <c r="U1770" s="1" t="str">
        <f>IFERROR(__xludf.DUMMYFUNCTION("""COMPUTED_VALUE"""),"POSTED")</f>
        <v>POSTED</v>
      </c>
      <c r="V1770" s="1"/>
      <c r="W1770" s="1"/>
    </row>
    <row r="1771" customHeight="1" spans="1:23">
      <c r="A1771" s="3">
        <f>IFERROR(__xludf.DUMMYFUNCTION("""COMPUTED_VALUE"""),46163)</f>
        <v>46163</v>
      </c>
      <c r="B1771" s="1" t="str">
        <f>IFERROR(__xludf.DUMMYFUNCTION("""COMPUTED_VALUE"""),"FRANCISCO , ROSELYN")</f>
        <v>FRANCISCO , ROSELYN</v>
      </c>
      <c r="C1771" s="1" t="str">
        <f>IFERROR(__xludf.DUMMYFUNCTION("""COMPUTED_VALUE"""),"ORGANIC")</f>
        <v>ORGANIC</v>
      </c>
      <c r="D1771" s="1" t="str">
        <f>IFERROR(__xludf.DUMMYFUNCTION("""COMPUTED_VALUE"""),"ALOS, CHARLS")</f>
        <v>ALOS, CHARLS</v>
      </c>
      <c r="E1771" s="1" t="str">
        <f>IFERROR(__xludf.DUMMYFUNCTION("""COMPUTED_VALUE"""),"PLDT / ONLINE")</f>
        <v>PLDT / ONLINE</v>
      </c>
      <c r="F1771" s="1">
        <f>IFERROR(__xludf.DUMMYFUNCTION("""COMPUTED_VALUE"""),2309634856)</f>
        <v>2309634856</v>
      </c>
      <c r="G1771" s="1">
        <f>IFERROR(__xludf.DUMMYFUNCTION("""COMPUTED_VALUE"""),455570417004)</f>
        <v>455570417004</v>
      </c>
      <c r="H1771" s="1" t="str">
        <f>IFERROR(__xludf.DUMMYFUNCTION("""COMPUTED_VALUE"""),"VILMA PACLIAN PUNO")</f>
        <v>VILMA PACLIAN PUNO</v>
      </c>
      <c r="I1771" s="1">
        <f>IFERROR(__xludf.DUMMYFUNCTION("""COMPUTED_VALUE"""),9694014707)</f>
        <v>9694014707</v>
      </c>
      <c r="J1771" s="1">
        <f>IFERROR(__xludf.DUMMYFUNCTION("""COMPUTED_VALUE"""),9059410266)</f>
        <v>9059410266</v>
      </c>
      <c r="K1771" s="1" t="str">
        <f>IFERROR(__xludf.DUMMYFUNCTION("""COMPUTED_VALUE"""),"PACLIANRACHEL7@GMAIL.COM")</f>
        <v>PACLIANRACHEL7@GMAIL.COM</v>
      </c>
      <c r="L1771" s="1" t="str">
        <f>IFERROR(__xludf.DUMMYFUNCTION("""COMPUTED_VALUE"""),"59")</f>
        <v>59</v>
      </c>
      <c r="M1771" s="1" t="str">
        <f>IFERROR(__xludf.DUMMYFUNCTION("""COMPUTED_VALUE"""),"JP RIZAL")</f>
        <v>JP RIZAL</v>
      </c>
      <c r="N1771" s="1"/>
      <c r="O1771" s="1" t="str">
        <f>IFERROR(__xludf.DUMMYFUNCTION("""COMPUTED_VALUE"""),"GALICIA I")</f>
        <v>GALICIA I</v>
      </c>
      <c r="P1771" s="1" t="str">
        <f>IFERROR(__xludf.DUMMYFUNCTION("""COMPUTED_VALUE"""),"MENDEZ")</f>
        <v>MENDEZ</v>
      </c>
      <c r="Q1771" s="1" t="str">
        <f>IFERROR(__xludf.DUMMYFUNCTION("""COMPUTED_VALUE"""),"CAVITE")</f>
        <v>CAVITE</v>
      </c>
      <c r="R1771" s="1" t="str">
        <f>IFERROR(__xludf.DUMMYFUNCTION("""COMPUTED_VALUE"""),"FIBR UNLI ALL PLAN 999")</f>
        <v>FIBR UNLI ALL PLAN 999</v>
      </c>
      <c r="S1771" s="1" t="str">
        <f>IFERROR(__xludf.DUMMYFUNCTION("""COMPUTED_VALUE"""),"APPROVED")</f>
        <v>APPROVED</v>
      </c>
      <c r="T1771" s="1" t="str">
        <f>IFERROR(__xludf.DUMMYFUNCTION("""COMPUTED_VALUE"""),"RPR")</f>
        <v>RPR</v>
      </c>
      <c r="U1771" s="1" t="str">
        <f>IFERROR(__xludf.DUMMYFUNCTION("""COMPUTED_VALUE"""),"PAID VIA GACSH ")</f>
        <v>PAID VIA GACSH </v>
      </c>
      <c r="V1771" s="1"/>
      <c r="W1771" s="1"/>
    </row>
    <row r="1772" customHeight="1" spans="1:23">
      <c r="A1772" s="3">
        <f>IFERROR(__xludf.DUMMYFUNCTION("""COMPUTED_VALUE"""),46163)</f>
        <v>46163</v>
      </c>
      <c r="B1772" s="1" t="str">
        <f>IFERROR(__xludf.DUMMYFUNCTION("""COMPUTED_VALUE"""),"FARO, REFRANTA")</f>
        <v>FARO, REFRANTA</v>
      </c>
      <c r="C1772" s="1" t="str">
        <f>IFERROR(__xludf.DUMMYFUNCTION("""COMPUTED_VALUE"""),"ORGANIC")</f>
        <v>ORGANIC</v>
      </c>
      <c r="D1772" s="1" t="str">
        <f>IFERROR(__xludf.DUMMYFUNCTION("""COMPUTED_VALUE"""),"ALINGARO, CINDY")</f>
        <v>ALINGARO, CINDY</v>
      </c>
      <c r="E1772" s="1" t="str">
        <f>IFERROR(__xludf.DUMMYFUNCTION("""COMPUTED_VALUE"""),"PLDT / ONLINE")</f>
        <v>PLDT / ONLINE</v>
      </c>
      <c r="F1772" s="1">
        <f>IFERROR(__xludf.DUMMYFUNCTION("""COMPUTED_VALUE"""),2309635088)</f>
        <v>2309635088</v>
      </c>
      <c r="G1772" s="1"/>
      <c r="H1772" s="1" t="str">
        <f>IFERROR(__xludf.DUMMYFUNCTION("""COMPUTED_VALUE"""),"JOSE RONIE TABUD TABALINA ")</f>
        <v>JOSE RONIE TABUD TABALINA </v>
      </c>
      <c r="I1772" s="1">
        <f>IFERROR(__xludf.DUMMYFUNCTION("""COMPUTED_VALUE"""),9512740184)</f>
        <v>9512740184</v>
      </c>
      <c r="J1772" s="1">
        <f>IFERROR(__xludf.DUMMYFUNCTION("""COMPUTED_VALUE"""),9753912011)</f>
        <v>9753912011</v>
      </c>
      <c r="K1772" s="1" t="str">
        <f>IFERROR(__xludf.DUMMYFUNCTION("""COMPUTED_VALUE"""),"TABALINAJOSERONIE28@GMAIL.COM")</f>
        <v>TABALINAJOSERONIE28@GMAIL.COM</v>
      </c>
      <c r="L1772" s="1" t="str">
        <f>IFERROR(__xludf.DUMMYFUNCTION("""COMPUTED_VALUE"""),"155")</f>
        <v>155</v>
      </c>
      <c r="M1772" s="1" t="str">
        <f>IFERROR(__xludf.DUMMYFUNCTION("""COMPUTED_VALUE"""),"TAMACAN RD")</f>
        <v>TAMACAN RD</v>
      </c>
      <c r="N1772" s="1"/>
      <c r="O1772" s="1" t="str">
        <f>IFERROR(__xludf.DUMMYFUNCTION("""COMPUTED_VALUE"""),"TAMACAN")</f>
        <v>TAMACAN</v>
      </c>
      <c r="P1772" s="1" t="str">
        <f>IFERROR(__xludf.DUMMYFUNCTION("""COMPUTED_VALUE"""),"AMADEO")</f>
        <v>AMADEO</v>
      </c>
      <c r="Q1772" s="1" t="str">
        <f>IFERROR(__xludf.DUMMYFUNCTION("""COMPUTED_VALUE"""),"CAVITE")</f>
        <v>CAVITE</v>
      </c>
      <c r="R1772" s="1" t="str">
        <f>IFERROR(__xludf.DUMMYFUNCTION("""COMPUTED_VALUE"""),"FIBR PLAN 1299")</f>
        <v>FIBR PLAN 1299</v>
      </c>
      <c r="S1772" s="1" t="str">
        <f>IFERROR(__xludf.DUMMYFUNCTION("""COMPUTED_VALUE"""),"APPROVED")</f>
        <v>APPROVED</v>
      </c>
      <c r="T1772" s="1" t="str">
        <f>IFERROR(__xludf.DUMMYFUNCTION("""COMPUTED_VALUE"""),"DISAPPROVED")</f>
        <v>DISAPPROVED</v>
      </c>
      <c r="U1772" s="1"/>
      <c r="V1772" s="1"/>
      <c r="W1772" s="1"/>
    </row>
    <row r="1773" customHeight="1" spans="1:23">
      <c r="A1773" s="3">
        <f>IFERROR(__xludf.DUMMYFUNCTION("""COMPUTED_VALUE"""),46163)</f>
        <v>46163</v>
      </c>
      <c r="B1773" s="1" t="str">
        <f>IFERROR(__xludf.DUMMYFUNCTION("""COMPUTED_VALUE"""),"IVNO, RAZZEL")</f>
        <v>IVNO, RAZZEL</v>
      </c>
      <c r="C1773" s="1" t="str">
        <f>IFERROR(__xludf.DUMMYFUNCTION("""COMPUTED_VALUE"""),"ORGANIC")</f>
        <v>ORGANIC</v>
      </c>
      <c r="D1773" s="1" t="str">
        <f>IFERROR(__xludf.DUMMYFUNCTION("""COMPUTED_VALUE"""),"REMOLLO LEA")</f>
        <v>REMOLLO LEA</v>
      </c>
      <c r="E1773" s="1" t="str">
        <f>IFERROR(__xludf.DUMMYFUNCTION("""COMPUTED_VALUE"""),"PLDT / H2H")</f>
        <v>PLDT / H2H</v>
      </c>
      <c r="F1773" s="1">
        <f>IFERROR(__xludf.DUMMYFUNCTION("""COMPUTED_VALUE"""),2309655062)</f>
        <v>2309655062</v>
      </c>
      <c r="G1773" s="1">
        <f>IFERROR(__xludf.DUMMYFUNCTION("""COMPUTED_VALUE"""),455687944004)</f>
        <v>455687944004</v>
      </c>
      <c r="H1773" s="1" t="str">
        <f>IFERROR(__xludf.DUMMYFUNCTION("""COMPUTED_VALUE"""),"RIO ROMERO GALANGUE")</f>
        <v>RIO ROMERO GALANGUE</v>
      </c>
      <c r="I1773" s="1">
        <f>IFERROR(__xludf.DUMMYFUNCTION("""COMPUTED_VALUE"""),9984816090)</f>
        <v>9984816090</v>
      </c>
      <c r="J1773" s="1">
        <f>IFERROR(__xludf.DUMMYFUNCTION("""COMPUTED_VALUE"""),9270127439)</f>
        <v>9270127439</v>
      </c>
      <c r="K1773" s="1" t="str">
        <f>IFERROR(__xludf.DUMMYFUNCTION("""COMPUTED_VALUE"""),"RIOGALANGUE03@GMAIL.COM")</f>
        <v>RIOGALANGUE03@GMAIL.COM</v>
      </c>
      <c r="L1773" s="1" t="str">
        <f>IFERROR(__xludf.DUMMYFUNCTION("""COMPUTED_VALUE"""),"BLK 5 LOT 4")</f>
        <v>BLK 5 LOT 4</v>
      </c>
      <c r="M1773" s="1" t="str">
        <f>IFERROR(__xludf.DUMMYFUNCTION("""COMPUTED_VALUE"""),"PABAHAY")</f>
        <v>PABAHAY</v>
      </c>
      <c r="N1773" s="1"/>
      <c r="O1773" s="1" t="str">
        <f>IFERROR(__xludf.DUMMYFUNCTION("""COMPUTED_VALUE"""),"ZAMBAL")</f>
        <v>ZAMBAL</v>
      </c>
      <c r="P1773" s="1" t="str">
        <f>IFERROR(__xludf.DUMMYFUNCTION("""COMPUTED_VALUE"""),"TAGAYTAY")</f>
        <v>TAGAYTAY</v>
      </c>
      <c r="Q1773" s="1" t="str">
        <f>IFERROR(__xludf.DUMMYFUNCTION("""COMPUTED_VALUE"""),"CAVITE")</f>
        <v>CAVITE</v>
      </c>
      <c r="R1773" s="1" t="str">
        <f>IFERROR(__xludf.DUMMYFUNCTION("""COMPUTED_VALUE"""),"FIBR UNLI ALL PLAN 999")</f>
        <v>FIBR UNLI ALL PLAN 999</v>
      </c>
      <c r="S1773" s="1" t="str">
        <f>IFERROR(__xludf.DUMMYFUNCTION("""COMPUTED_VALUE"""),"APPROVED")</f>
        <v>APPROVED</v>
      </c>
      <c r="T1773" s="1" t="str">
        <f>IFERROR(__xludf.DUMMYFUNCTION("""COMPUTED_VALUE"""),"CLOSED")</f>
        <v>CLOSED</v>
      </c>
      <c r="U1773" s="1" t="str">
        <f>IFERROR(__xludf.DUMMYFUNCTION("""COMPUTED_VALUE"""),"POSTED")</f>
        <v>POSTED</v>
      </c>
      <c r="V1773" s="1"/>
      <c r="W1773" s="1"/>
    </row>
    <row r="1774" customHeight="1" spans="1:23">
      <c r="A1774" s="3">
        <f>IFERROR(__xludf.DUMMYFUNCTION("""COMPUTED_VALUE"""),46163)</f>
        <v>46163</v>
      </c>
      <c r="B1774" s="1" t="str">
        <f>IFERROR(__xludf.DUMMYFUNCTION("""COMPUTED_VALUE"""),"ADVINCULA, NICOLE")</f>
        <v>ADVINCULA, NICOLE</v>
      </c>
      <c r="C1774" s="1" t="str">
        <f>IFERROR(__xludf.DUMMYFUNCTION("""COMPUTED_VALUE"""),"ORGANIC")</f>
        <v>ORGANIC</v>
      </c>
      <c r="D1774" s="1" t="str">
        <f>IFERROR(__xludf.DUMMYFUNCTION("""COMPUTED_VALUE"""),"ALINGARO, CINDY")</f>
        <v>ALINGARO, CINDY</v>
      </c>
      <c r="E1774" s="1" t="str">
        <f>IFERROR(__xludf.DUMMYFUNCTION("""COMPUTED_VALUE"""),"PLDT / H2H")</f>
        <v>PLDT / H2H</v>
      </c>
      <c r="F1774" s="1">
        <f>IFERROR(__xludf.DUMMYFUNCTION("""COMPUTED_VALUE"""),2309655964)</f>
        <v>2309655964</v>
      </c>
      <c r="G1774" s="1">
        <f>IFERROR(__xludf.DUMMYFUNCTION("""COMPUTED_VALUE"""),455688873004)</f>
        <v>455688873004</v>
      </c>
      <c r="H1774" s="1" t="str">
        <f>IFERROR(__xludf.DUMMYFUNCTION("""COMPUTED_VALUE"""),"BABY JEAN BALLARAN SAN MARCOS")</f>
        <v>BABY JEAN BALLARAN SAN MARCOS</v>
      </c>
      <c r="I1774" s="1">
        <f>IFERROR(__xludf.DUMMYFUNCTION("""COMPUTED_VALUE"""),9512756171)</f>
        <v>9512756171</v>
      </c>
      <c r="J1774" s="1"/>
      <c r="K1774" s="1" t="str">
        <f>IFERROR(__xludf.DUMMYFUNCTION("""COMPUTED_VALUE"""),"JEANMENDEJA22@GMAIL.COM")</f>
        <v>JEANMENDEJA22@GMAIL.COM</v>
      </c>
      <c r="L1774" s="1" t="str">
        <f>IFERROR(__xludf.DUMMYFUNCTION("""COMPUTED_VALUE"""),"BLK 1 LOT 4")</f>
        <v>BLK 1 LOT 4</v>
      </c>
      <c r="M1774" s="1" t="str">
        <f>IFERROR(__xludf.DUMMYFUNCTION("""COMPUTED_VALUE"""),"PABAHAY")</f>
        <v>PABAHAY</v>
      </c>
      <c r="N1774" s="1"/>
      <c r="O1774" s="1" t="str">
        <f>IFERROR(__xludf.DUMMYFUNCTION("""COMPUTED_VALUE"""),"ZAMBAL")</f>
        <v>ZAMBAL</v>
      </c>
      <c r="P1774" s="1" t="str">
        <f>IFERROR(__xludf.DUMMYFUNCTION("""COMPUTED_VALUE"""),"TAGAYTAY")</f>
        <v>TAGAYTAY</v>
      </c>
      <c r="Q1774" s="1" t="str">
        <f>IFERROR(__xludf.DUMMYFUNCTION("""COMPUTED_VALUE"""),"CAVITE")</f>
        <v>CAVITE</v>
      </c>
      <c r="R1774" s="1" t="str">
        <f>IFERROR(__xludf.DUMMYFUNCTION("""COMPUTED_VALUE"""),"FIBR UNLI ALL PLAN 999")</f>
        <v>FIBR UNLI ALL PLAN 999</v>
      </c>
      <c r="S1774" s="1" t="str">
        <f>IFERROR(__xludf.DUMMYFUNCTION("""COMPUTED_VALUE"""),"APPROVED")</f>
        <v>APPROVED</v>
      </c>
      <c r="T1774" s="1" t="str">
        <f>IFERROR(__xludf.DUMMYFUNCTION("""COMPUTED_VALUE"""),"CLOSED")</f>
        <v>CLOSED</v>
      </c>
      <c r="U1774" s="1" t="str">
        <f>IFERROR(__xludf.DUMMYFUNCTION("""COMPUTED_VALUE"""),"POSTED")</f>
        <v>POSTED</v>
      </c>
      <c r="V1774" s="1"/>
      <c r="W1774" s="1"/>
    </row>
    <row r="1775" customHeight="1" spans="1:23">
      <c r="A1775" s="3">
        <f>IFERROR(__xludf.DUMMYFUNCTION("""COMPUTED_VALUE"""),46163)</f>
        <v>46163</v>
      </c>
      <c r="B1775" s="1" t="str">
        <f>IFERROR(__xludf.DUMMYFUNCTION("""COMPUTED_VALUE"""),"MAGDARAOG, KENNETH")</f>
        <v>MAGDARAOG, KENNETH</v>
      </c>
      <c r="C1775" s="1" t="str">
        <f>IFERROR(__xludf.DUMMYFUNCTION("""COMPUTED_VALUE"""),"ORGANIC")</f>
        <v>ORGANIC</v>
      </c>
      <c r="D1775" s="1" t="str">
        <f>IFERROR(__xludf.DUMMYFUNCTION("""COMPUTED_VALUE"""),"ALINGARO, CINDY")</f>
        <v>ALINGARO, CINDY</v>
      </c>
      <c r="E1775" s="1" t="str">
        <f>IFERROR(__xludf.DUMMYFUNCTION("""COMPUTED_VALUE"""),"PLDT / H2H")</f>
        <v>PLDT / H2H</v>
      </c>
      <c r="F1775" s="1">
        <f>IFERROR(__xludf.DUMMYFUNCTION("""COMPUTED_VALUE"""),2309764612)</f>
        <v>2309764612</v>
      </c>
      <c r="G1775" s="1">
        <f>IFERROR(__xludf.DUMMYFUNCTION("""COMPUTED_VALUE"""),456340971004)</f>
        <v>456340971004</v>
      </c>
      <c r="H1775" s="1" t="str">
        <f>IFERROR(__xludf.DUMMYFUNCTION("""COMPUTED_VALUE"""),"EDRIAN LORELLA LOCERIAGA")</f>
        <v>EDRIAN LORELLA LOCERIAGA</v>
      </c>
      <c r="I1775" s="1">
        <f>IFERROR(__xludf.DUMMYFUNCTION("""COMPUTED_VALUE"""),9632308725)</f>
        <v>9632308725</v>
      </c>
      <c r="J1775" s="1"/>
      <c r="K1775" s="1"/>
      <c r="L1775" s="1" t="str">
        <f>IFERROR(__xludf.DUMMYFUNCTION("""COMPUTED_VALUE"""),"BLK 4 LOT 1")</f>
        <v>BLK 4 LOT 1</v>
      </c>
      <c r="M1775" s="1" t="str">
        <f>IFERROR(__xludf.DUMMYFUNCTION("""COMPUTED_VALUE"""),"PABAHAY")</f>
        <v>PABAHAY</v>
      </c>
      <c r="N1775" s="1"/>
      <c r="O1775" s="1" t="str">
        <f>IFERROR(__xludf.DUMMYFUNCTION("""COMPUTED_VALUE"""),"ZAMBAL")</f>
        <v>ZAMBAL</v>
      </c>
      <c r="P1775" s="1" t="str">
        <f>IFERROR(__xludf.DUMMYFUNCTION("""COMPUTED_VALUE"""),"TAGAYTAY")</f>
        <v>TAGAYTAY</v>
      </c>
      <c r="Q1775" s="1" t="str">
        <f>IFERROR(__xludf.DUMMYFUNCTION("""COMPUTED_VALUE"""),"CAVITE")</f>
        <v>CAVITE</v>
      </c>
      <c r="R1775" s="1" t="str">
        <f>IFERROR(__xludf.DUMMYFUNCTION("""COMPUTED_VALUE"""),"FIBR UNLI ALL PLAN 1399")</f>
        <v>FIBR UNLI ALL PLAN 1399</v>
      </c>
      <c r="S1775" s="1" t="str">
        <f>IFERROR(__xludf.DUMMYFUNCTION("""COMPUTED_VALUE"""),"APPROVED")</f>
        <v>APPROVED</v>
      </c>
      <c r="T1775" s="1" t="str">
        <f>IFERROR(__xludf.DUMMYFUNCTION("""COMPUTED_VALUE"""),"CANCELLED")</f>
        <v>CANCELLED</v>
      </c>
      <c r="U1775" s="1"/>
      <c r="V1775" s="1"/>
      <c r="W1775" s="1"/>
    </row>
    <row r="1776" customHeight="1" spans="1:23">
      <c r="A1776" s="3">
        <f>IFERROR(__xludf.DUMMYFUNCTION("""COMPUTED_VALUE"""),46163)</f>
        <v>46163</v>
      </c>
      <c r="B1776" s="1" t="str">
        <f>IFERROR(__xludf.DUMMYFUNCTION("""COMPUTED_VALUE"""),"MAGDARAOG, KENNETH")</f>
        <v>MAGDARAOG, KENNETH</v>
      </c>
      <c r="C1776" s="1" t="str">
        <f>IFERROR(__xludf.DUMMYFUNCTION("""COMPUTED_VALUE"""),"ORGANIC")</f>
        <v>ORGANIC</v>
      </c>
      <c r="D1776" s="1" t="str">
        <f>IFERROR(__xludf.DUMMYFUNCTION("""COMPUTED_VALUE"""),"ALINGARO, CINDY")</f>
        <v>ALINGARO, CINDY</v>
      </c>
      <c r="E1776" s="1" t="str">
        <f>IFERROR(__xludf.DUMMYFUNCTION("""COMPUTED_VALUE"""),"PLDT / H2H")</f>
        <v>PLDT / H2H</v>
      </c>
      <c r="F1776" s="1">
        <f>IFERROR(__xludf.DUMMYFUNCTION("""COMPUTED_VALUE"""),2309651942)</f>
        <v>2309651942</v>
      </c>
      <c r="G1776" s="1">
        <f>IFERROR(__xludf.DUMMYFUNCTION("""COMPUTED_VALUE"""),455683349004)</f>
        <v>455683349004</v>
      </c>
      <c r="H1776" s="1" t="str">
        <f>IFERROR(__xludf.DUMMYFUNCTION("""COMPUTED_VALUE"""),"MELINDA TARIGA SAMSON")</f>
        <v>MELINDA TARIGA SAMSON</v>
      </c>
      <c r="I1776" s="1">
        <f>IFERROR(__xludf.DUMMYFUNCTION("""COMPUTED_VALUE"""),9560529509)</f>
        <v>9560529509</v>
      </c>
      <c r="J1776" s="1">
        <f>IFERROR(__xludf.DUMMYFUNCTION("""COMPUTED_VALUE"""),9289700806)</f>
        <v>9289700806</v>
      </c>
      <c r="K1776" s="1" t="str">
        <f>IFERROR(__xludf.DUMMYFUNCTION("""COMPUTED_VALUE"""),"MELINDASAMSON19@GMAIL.COM")</f>
        <v>MELINDASAMSON19@GMAIL.COM</v>
      </c>
      <c r="L1776" s="1" t="str">
        <f>IFERROR(__xludf.DUMMYFUNCTION("""COMPUTED_VALUE"""),"BLK 4 LOT 11")</f>
        <v>BLK 4 LOT 11</v>
      </c>
      <c r="M1776" s="1" t="str">
        <f>IFERROR(__xludf.DUMMYFUNCTION("""COMPUTED_VALUE"""),"PABAHAY")</f>
        <v>PABAHAY</v>
      </c>
      <c r="N1776" s="1"/>
      <c r="O1776" s="1" t="str">
        <f>IFERROR(__xludf.DUMMYFUNCTION("""COMPUTED_VALUE"""),"ZAMBAL")</f>
        <v>ZAMBAL</v>
      </c>
      <c r="P1776" s="1" t="str">
        <f>IFERROR(__xludf.DUMMYFUNCTION("""COMPUTED_VALUE"""),"TAGAYTAY")</f>
        <v>TAGAYTAY</v>
      </c>
      <c r="Q1776" s="1" t="str">
        <f>IFERROR(__xludf.DUMMYFUNCTION("""COMPUTED_VALUE"""),"CAVITE")</f>
        <v>CAVITE</v>
      </c>
      <c r="R1776" s="1" t="str">
        <f>IFERROR(__xludf.DUMMYFUNCTION("""COMPUTED_VALUE"""),"FIBR UNLI ALL PLAN 999")</f>
        <v>FIBR UNLI ALL PLAN 999</v>
      </c>
      <c r="S1776" s="1" t="str">
        <f>IFERROR(__xludf.DUMMYFUNCTION("""COMPUTED_VALUE"""),"APPROVED")</f>
        <v>APPROVED</v>
      </c>
      <c r="T1776" s="1" t="str">
        <f>IFERROR(__xludf.DUMMYFUNCTION("""COMPUTED_VALUE"""),"CLOSED")</f>
        <v>CLOSED</v>
      </c>
      <c r="U1776" s="1" t="str">
        <f>IFERROR(__xludf.DUMMYFUNCTION("""COMPUTED_VALUE"""),"POSTED")</f>
        <v>POSTED</v>
      </c>
      <c r="V1776" s="1"/>
      <c r="W1776" s="1"/>
    </row>
    <row r="1777" customHeight="1" spans="1:23">
      <c r="A1777" s="3">
        <f>IFERROR(__xludf.DUMMYFUNCTION("""COMPUTED_VALUE"""),46163)</f>
        <v>46163</v>
      </c>
      <c r="B1777" s="1" t="str">
        <f>IFERROR(__xludf.DUMMYFUNCTION("""COMPUTED_VALUE"""),"AGUNOS, JHON AIRVIN")</f>
        <v>AGUNOS, JHON AIRVIN</v>
      </c>
      <c r="C1777" s="1" t="str">
        <f>IFERROR(__xludf.DUMMYFUNCTION("""COMPUTED_VALUE"""),"ORGANIC")</f>
        <v>ORGANIC</v>
      </c>
      <c r="D1777" s="1" t="str">
        <f>IFERROR(__xludf.DUMMYFUNCTION("""COMPUTED_VALUE"""),"ALINGARO, CINDY")</f>
        <v>ALINGARO, CINDY</v>
      </c>
      <c r="E1777" s="1" t="str">
        <f>IFERROR(__xludf.DUMMYFUNCTION("""COMPUTED_VALUE"""),"PLDT / H2H")</f>
        <v>PLDT / H2H</v>
      </c>
      <c r="F1777" s="1">
        <f>IFERROR(__xludf.DUMMYFUNCTION("""COMPUTED_VALUE"""),2309668526)</f>
        <v>2309668526</v>
      </c>
      <c r="G1777" s="1">
        <f>IFERROR(__xludf.DUMMYFUNCTION("""COMPUTED_VALUE"""),455783149004)</f>
        <v>455783149004</v>
      </c>
      <c r="H1777" s="1" t="str">
        <f>IFERROR(__xludf.DUMMYFUNCTION("""COMPUTED_VALUE"""),"GEORGE RIBAY MADRONA")</f>
        <v>GEORGE RIBAY MADRONA</v>
      </c>
      <c r="I1777" s="1">
        <f>IFERROR(__xludf.DUMMYFUNCTION("""COMPUTED_VALUE"""),9516477517)</f>
        <v>9516477517</v>
      </c>
      <c r="J1777" s="1"/>
      <c r="K1777" s="1" t="str">
        <f>IFERROR(__xludf.DUMMYFUNCTION("""COMPUTED_VALUE"""),"CLOUDINEJOYMADRONA@GMAIL.COM")</f>
        <v>CLOUDINEJOYMADRONA@GMAIL.COM</v>
      </c>
      <c r="L1777" s="1" t="str">
        <f>IFERROR(__xludf.DUMMYFUNCTION("""COMPUTED_VALUE"""),"BLK 7 LOT 7")</f>
        <v>BLK 7 LOT 7</v>
      </c>
      <c r="M1777" s="1" t="str">
        <f>IFERROR(__xludf.DUMMYFUNCTION("""COMPUTED_VALUE"""),"PABAHAY")</f>
        <v>PABAHAY</v>
      </c>
      <c r="N1777" s="1"/>
      <c r="O1777" s="1" t="str">
        <f>IFERROR(__xludf.DUMMYFUNCTION("""COMPUTED_VALUE"""),"ZAMBAL")</f>
        <v>ZAMBAL</v>
      </c>
      <c r="P1777" s="1" t="str">
        <f>IFERROR(__xludf.DUMMYFUNCTION("""COMPUTED_VALUE"""),"TAGAYTAY")</f>
        <v>TAGAYTAY</v>
      </c>
      <c r="Q1777" s="1" t="str">
        <f>IFERROR(__xludf.DUMMYFUNCTION("""COMPUTED_VALUE"""),"CAVITE")</f>
        <v>CAVITE</v>
      </c>
      <c r="R1777" s="1" t="str">
        <f>IFERROR(__xludf.DUMMYFUNCTION("""COMPUTED_VALUE"""),"FIBR UNLI ALL PLAN 999")</f>
        <v>FIBR UNLI ALL PLAN 999</v>
      </c>
      <c r="S1777" s="1" t="str">
        <f>IFERROR(__xludf.DUMMYFUNCTION("""COMPUTED_VALUE"""),"APPROVED")</f>
        <v>APPROVED</v>
      </c>
      <c r="T1777" s="1" t="str">
        <f>IFERROR(__xludf.DUMMYFUNCTION("""COMPUTED_VALUE"""),"CLOSED")</f>
        <v>CLOSED</v>
      </c>
      <c r="U1777" s="1" t="str">
        <f>IFERROR(__xludf.DUMMYFUNCTION("""COMPUTED_VALUE"""),"POSTED")</f>
        <v>POSTED</v>
      </c>
      <c r="V1777" s="1"/>
      <c r="W1777" s="1"/>
    </row>
    <row r="1778" customHeight="1" spans="1:23">
      <c r="A1778" s="3">
        <f>IFERROR(__xludf.DUMMYFUNCTION("""COMPUTED_VALUE"""),46163)</f>
        <v>46163</v>
      </c>
      <c r="B1778" s="1" t="str">
        <f>IFERROR(__xludf.DUMMYFUNCTION("""COMPUTED_VALUE"""),"DE VERA, MARIVIC")</f>
        <v>DE VERA, MARIVIC</v>
      </c>
      <c r="C1778" s="1" t="str">
        <f>IFERROR(__xludf.DUMMYFUNCTION("""COMPUTED_VALUE"""),"ORGANIC")</f>
        <v>ORGANIC</v>
      </c>
      <c r="D1778" s="1" t="str">
        <f>IFERROR(__xludf.DUMMYFUNCTION("""COMPUTED_VALUE"""),"REMOLLO LEA")</f>
        <v>REMOLLO LEA</v>
      </c>
      <c r="E1778" s="1" t="str">
        <f>IFERROR(__xludf.DUMMYFUNCTION("""COMPUTED_VALUE"""),"PLDT / H2H")</f>
        <v>PLDT / H2H</v>
      </c>
      <c r="F1778" s="1">
        <f>IFERROR(__xludf.DUMMYFUNCTION("""COMPUTED_VALUE"""),2309668163)</f>
        <v>2309668163</v>
      </c>
      <c r="G1778" s="1">
        <f>IFERROR(__xludf.DUMMYFUNCTION("""COMPUTED_VALUE"""),455777339004)</f>
        <v>455777339004</v>
      </c>
      <c r="H1778" s="1" t="str">
        <f>IFERROR(__xludf.DUMMYFUNCTION("""COMPUTED_VALUE"""),"GEMMA TAN MERCADO")</f>
        <v>GEMMA TAN MERCADO</v>
      </c>
      <c r="I1778" s="1">
        <f>IFERROR(__xludf.DUMMYFUNCTION("""COMPUTED_VALUE"""),9636734399)</f>
        <v>9636734399</v>
      </c>
      <c r="J1778" s="1"/>
      <c r="K1778" s="1" t="str">
        <f>IFERROR(__xludf.DUMMYFUNCTION("""COMPUTED_VALUE"""),"MERCADOREYNALDO622@GMAIL.COM")</f>
        <v>MERCADOREYNALDO622@GMAIL.COM</v>
      </c>
      <c r="L1778" s="1" t="str">
        <f>IFERROR(__xludf.DUMMYFUNCTION("""COMPUTED_VALUE"""),"BLK 1 LOT 5")</f>
        <v>BLK 1 LOT 5</v>
      </c>
      <c r="M1778" s="1" t="str">
        <f>IFERROR(__xludf.DUMMYFUNCTION("""COMPUTED_VALUE"""),"PABAHAY")</f>
        <v>PABAHAY</v>
      </c>
      <c r="N1778" s="1"/>
      <c r="O1778" s="1" t="str">
        <f>IFERROR(__xludf.DUMMYFUNCTION("""COMPUTED_VALUE"""),"ZAMBAL")</f>
        <v>ZAMBAL</v>
      </c>
      <c r="P1778" s="1" t="str">
        <f>IFERROR(__xludf.DUMMYFUNCTION("""COMPUTED_VALUE"""),"TAGAYTAY")</f>
        <v>TAGAYTAY</v>
      </c>
      <c r="Q1778" s="1" t="str">
        <f>IFERROR(__xludf.DUMMYFUNCTION("""COMPUTED_VALUE"""),"CAVITE")</f>
        <v>CAVITE</v>
      </c>
      <c r="R1778" s="1" t="str">
        <f>IFERROR(__xludf.DUMMYFUNCTION("""COMPUTED_VALUE"""),"FIBR UNLI ALL PLAN 999")</f>
        <v>FIBR UNLI ALL PLAN 999</v>
      </c>
      <c r="S1778" s="1" t="str">
        <f>IFERROR(__xludf.DUMMYFUNCTION("""COMPUTED_VALUE"""),"APPROVED")</f>
        <v>APPROVED</v>
      </c>
      <c r="T1778" s="1" t="str">
        <f>IFERROR(__xludf.DUMMYFUNCTION("""COMPUTED_VALUE"""),"CLOSED")</f>
        <v>CLOSED</v>
      </c>
      <c r="U1778" s="1" t="str">
        <f>IFERROR(__xludf.DUMMYFUNCTION("""COMPUTED_VALUE"""),"PAID VIA GCASH")</f>
        <v>PAID VIA GCASH</v>
      </c>
      <c r="V1778" s="1"/>
      <c r="W1778" s="1"/>
    </row>
    <row r="1779" customHeight="1" spans="1:23">
      <c r="A1779" s="3">
        <f>IFERROR(__xludf.DUMMYFUNCTION("""COMPUTED_VALUE"""),46163)</f>
        <v>46163</v>
      </c>
      <c r="B1779" s="1" t="str">
        <f>IFERROR(__xludf.DUMMYFUNCTION("""COMPUTED_VALUE"""),"AYON MANUEL")</f>
        <v>AYON MANUEL</v>
      </c>
      <c r="C1779" s="1" t="str">
        <f>IFERROR(__xludf.DUMMYFUNCTION("""COMPUTED_VALUE"""),"FLA")</f>
        <v>FLA</v>
      </c>
      <c r="D1779" s="1" t="str">
        <f>IFERROR(__xludf.DUMMYFUNCTION("""COMPUTED_VALUE"""),"JERIC NAVARRO")</f>
        <v>JERIC NAVARRO</v>
      </c>
      <c r="E1779" s="1" t="str">
        <f>IFERROR(__xludf.DUMMYFUNCTION("""COMPUTED_VALUE"""),"PLDT / H2H")</f>
        <v>PLDT / H2H</v>
      </c>
      <c r="F1779" s="1">
        <f>IFERROR(__xludf.DUMMYFUNCTION("""COMPUTED_VALUE"""),2309654425)</f>
        <v>2309654425</v>
      </c>
      <c r="G1779" s="1">
        <f>IFERROR(__xludf.DUMMYFUNCTION("""COMPUTED_VALUE"""),455690611004)</f>
        <v>455690611004</v>
      </c>
      <c r="H1779" s="1" t="str">
        <f>IFERROR(__xludf.DUMMYFUNCTION("""COMPUTED_VALUE"""),"AILEEN OLDEN ARIEGO")</f>
        <v>AILEEN OLDEN ARIEGO</v>
      </c>
      <c r="I1779" s="1">
        <f>IFERROR(__xludf.DUMMYFUNCTION("""COMPUTED_VALUE"""),9154567528)</f>
        <v>9154567528</v>
      </c>
      <c r="J1779" s="1">
        <f>IFERROR(__xludf.DUMMYFUNCTION("""COMPUTED_VALUE"""),9228923620)</f>
        <v>9228923620</v>
      </c>
      <c r="K1779" s="1" t="str">
        <f>IFERROR(__xludf.DUMMYFUNCTION("""COMPUTED_VALUE"""),"AOAARIEGO@GMAIL.COM")</f>
        <v>AOAARIEGO@GMAIL.COM</v>
      </c>
      <c r="L1779" s="1" t="str">
        <f>IFERROR(__xludf.DUMMYFUNCTION("""COMPUTED_VALUE"""),"8497")</f>
        <v>8497</v>
      </c>
      <c r="M1779" s="1" t="str">
        <f>IFERROR(__xludf.DUMMYFUNCTION("""COMPUTED_VALUE"""),"GUINHAWA")</f>
        <v>GUINHAWA</v>
      </c>
      <c r="N1779" s="1"/>
      <c r="O1779" s="1" t="str">
        <f>IFERROR(__xludf.DUMMYFUNCTION("""COMPUTED_VALUE"""),"ZAMBAL")</f>
        <v>ZAMBAL</v>
      </c>
      <c r="P1779" s="1" t="str">
        <f>IFERROR(__xludf.DUMMYFUNCTION("""COMPUTED_VALUE"""),"TAGAYTAY")</f>
        <v>TAGAYTAY</v>
      </c>
      <c r="Q1779" s="1" t="str">
        <f>IFERROR(__xludf.DUMMYFUNCTION("""COMPUTED_VALUE"""),"CAVITE")</f>
        <v>CAVITE</v>
      </c>
      <c r="R1779" s="1" t="str">
        <f>IFERROR(__xludf.DUMMYFUNCTION("""COMPUTED_VALUE"""),"SWITCH FIBR UNLI ALL PLAN 1399")</f>
        <v>SWITCH FIBR UNLI ALL PLAN 1399</v>
      </c>
      <c r="S1779" s="1" t="str">
        <f>IFERROR(__xludf.DUMMYFUNCTION("""COMPUTED_VALUE"""),"APPROVED")</f>
        <v>APPROVED</v>
      </c>
      <c r="T1779" s="1" t="str">
        <f>IFERROR(__xludf.DUMMYFUNCTION("""COMPUTED_VALUE"""),"CLOSED")</f>
        <v>CLOSED</v>
      </c>
      <c r="U1779" s="1" t="str">
        <f>IFERROR(__xludf.DUMMYFUNCTION("""COMPUTED_VALUE"""),"POSTED")</f>
        <v>POSTED</v>
      </c>
      <c r="V1779" s="1"/>
      <c r="W1779" s="1"/>
    </row>
    <row r="1780" customHeight="1" spans="1:23">
      <c r="A1780" s="3">
        <f>IFERROR(__xludf.DUMMYFUNCTION("""COMPUTED_VALUE"""),46163)</f>
        <v>46163</v>
      </c>
      <c r="B1780" s="1" t="str">
        <f>IFERROR(__xludf.DUMMYFUNCTION("""COMPUTED_VALUE"""),"AYON MANUEL")</f>
        <v>AYON MANUEL</v>
      </c>
      <c r="C1780" s="1" t="str">
        <f>IFERROR(__xludf.DUMMYFUNCTION("""COMPUTED_VALUE"""),"FLA")</f>
        <v>FLA</v>
      </c>
      <c r="D1780" s="1" t="str">
        <f>IFERROR(__xludf.DUMMYFUNCTION("""COMPUTED_VALUE"""),"JERIC NAVARRO")</f>
        <v>JERIC NAVARRO</v>
      </c>
      <c r="E1780" s="1" t="str">
        <f>IFERROR(__xludf.DUMMYFUNCTION("""COMPUTED_VALUE"""),"PLDT / H2H")</f>
        <v>PLDT / H2H</v>
      </c>
      <c r="F1780" s="1">
        <f>IFERROR(__xludf.DUMMYFUNCTION("""COMPUTED_VALUE"""),2309657022)</f>
        <v>2309657022</v>
      </c>
      <c r="G1780" s="1">
        <f>IFERROR(__xludf.DUMMYFUNCTION("""COMPUTED_VALUE"""),455690640004)</f>
        <v>455690640004</v>
      </c>
      <c r="H1780" s="1" t="str">
        <f>IFERROR(__xludf.DUMMYFUNCTION("""COMPUTED_VALUE"""),"JOVITO TABANGCURA CELIS")</f>
        <v>JOVITO TABANGCURA CELIS</v>
      </c>
      <c r="I1780" s="1">
        <f>IFERROR(__xludf.DUMMYFUNCTION("""COMPUTED_VALUE"""),9266392917)</f>
        <v>9266392917</v>
      </c>
      <c r="J1780" s="1">
        <f>IFERROR(__xludf.DUMMYFUNCTION("""COMPUTED_VALUE"""),9451134415)</f>
        <v>9451134415</v>
      </c>
      <c r="K1780" s="1" t="str">
        <f>IFERROR(__xludf.DUMMYFUNCTION("""COMPUTED_VALUE"""),"1MICHELEGALGARA@GMAIL.COM")</f>
        <v>1MICHELEGALGARA@GMAIL.COM</v>
      </c>
      <c r="L1780" s="1" t="str">
        <f>IFERROR(__xludf.DUMMYFUNCTION("""COMPUTED_VALUE"""),"BLK 1 LOT 3")</f>
        <v>BLK 1 LOT 3</v>
      </c>
      <c r="M1780" s="1" t="str">
        <f>IFERROR(__xludf.DUMMYFUNCTION("""COMPUTED_VALUE"""),"SOLEA")</f>
        <v>SOLEA</v>
      </c>
      <c r="N1780" s="1"/>
      <c r="O1780" s="1" t="str">
        <f>IFERROR(__xludf.DUMMYFUNCTION("""COMPUTED_VALUE"""),"PALOCPOC I")</f>
        <v>PALOCPOC I</v>
      </c>
      <c r="P1780" s="1" t="str">
        <f>IFERROR(__xludf.DUMMYFUNCTION("""COMPUTED_VALUE"""),"MENDEZ")</f>
        <v>MENDEZ</v>
      </c>
      <c r="Q1780" s="1" t="str">
        <f>IFERROR(__xludf.DUMMYFUNCTION("""COMPUTED_VALUE"""),"CAVITE")</f>
        <v>CAVITE</v>
      </c>
      <c r="R1780" s="1" t="str">
        <f>IFERROR(__xludf.DUMMYFUNCTION("""COMPUTED_VALUE"""),"FIBR PLAN 1299")</f>
        <v>FIBR PLAN 1299</v>
      </c>
      <c r="S1780" s="1" t="str">
        <f>IFERROR(__xludf.DUMMYFUNCTION("""COMPUTED_VALUE"""),"APPROVED")</f>
        <v>APPROVED</v>
      </c>
      <c r="T1780" s="1" t="str">
        <f>IFERROR(__xludf.DUMMYFUNCTION("""COMPUTED_VALUE"""),"CLOSED")</f>
        <v>CLOSED</v>
      </c>
      <c r="U1780" s="1" t="str">
        <f>IFERROR(__xludf.DUMMYFUNCTION("""COMPUTED_VALUE"""),"POSTED")</f>
        <v>POSTED</v>
      </c>
      <c r="V1780" s="1"/>
      <c r="W1780" s="1"/>
    </row>
    <row r="1781" customHeight="1" spans="1:23">
      <c r="A1781" s="3">
        <f>IFERROR(__xludf.DUMMYFUNCTION("""COMPUTED_VALUE"""),46163)</f>
        <v>46163</v>
      </c>
      <c r="B1781" s="1" t="str">
        <f>IFERROR(__xludf.DUMMYFUNCTION("""COMPUTED_VALUE"""),"ESCARCHA, MA ALMA  ESCOTO")</f>
        <v>ESCARCHA, MA ALMA  ESCOTO</v>
      </c>
      <c r="C1781" s="1" t="str">
        <f>IFERROR(__xludf.DUMMYFUNCTION("""COMPUTED_VALUE"""),"ORGANIC")</f>
        <v>ORGANIC</v>
      </c>
      <c r="D1781" s="1" t="str">
        <f>IFERROR(__xludf.DUMMYFUNCTION("""COMPUTED_VALUE"""),"ALINGARO, CINDY")</f>
        <v>ALINGARO, CINDY</v>
      </c>
      <c r="E1781" s="1" t="str">
        <f>IFERROR(__xludf.DUMMYFUNCTION("""COMPUTED_VALUE"""),"PLDT / H2H")</f>
        <v>PLDT / H2H</v>
      </c>
      <c r="F1781" s="1">
        <f>IFERROR(__xludf.DUMMYFUNCTION("""COMPUTED_VALUE"""),2309649961)</f>
        <v>2309649961</v>
      </c>
      <c r="G1781" s="1">
        <f>IFERROR(__xludf.DUMMYFUNCTION("""COMPUTED_VALUE"""),455680553004)</f>
        <v>455680553004</v>
      </c>
      <c r="H1781" s="1" t="str">
        <f>IFERROR(__xludf.DUMMYFUNCTION("""COMPUTED_VALUE"""),"JENNALYN PUERTA BASE")</f>
        <v>JENNALYN PUERTA BASE</v>
      </c>
      <c r="I1781" s="1">
        <f>IFERROR(__xludf.DUMMYFUNCTION("""COMPUTED_VALUE"""),9361861135)</f>
        <v>9361861135</v>
      </c>
      <c r="J1781" s="1"/>
      <c r="K1781" s="1" t="str">
        <f>IFERROR(__xludf.DUMMYFUNCTION("""COMPUTED_VALUE"""),"JANIEAYBAR03@GMAIL.COM")</f>
        <v>JANIEAYBAR03@GMAIL.COM</v>
      </c>
      <c r="L1781" s="1" t="str">
        <f>IFERROR(__xludf.DUMMYFUNCTION("""COMPUTED_VALUE"""),"108")</f>
        <v>108</v>
      </c>
      <c r="M1781" s="1" t="str">
        <f>IFERROR(__xludf.DUMMYFUNCTION("""COMPUTED_VALUE"""),"PUROK 5")</f>
        <v>PUROK 5</v>
      </c>
      <c r="N1781" s="1"/>
      <c r="O1781" s="1" t="str">
        <f>IFERROR(__xludf.DUMMYFUNCTION("""COMPUTED_VALUE"""),"LUMIL")</f>
        <v>LUMIL</v>
      </c>
      <c r="P1781" s="1" t="str">
        <f>IFERROR(__xludf.DUMMYFUNCTION("""COMPUTED_VALUE"""),"SILANG")</f>
        <v>SILANG</v>
      </c>
      <c r="Q1781" s="1" t="str">
        <f>IFERROR(__xludf.DUMMYFUNCTION("""COMPUTED_VALUE"""),"CAVITE")</f>
        <v>CAVITE</v>
      </c>
      <c r="R1781" s="1" t="str">
        <f>IFERROR(__xludf.DUMMYFUNCTION("""COMPUTED_VALUE"""),"FIBR UNLI ALL PLAN 999")</f>
        <v>FIBR UNLI ALL PLAN 999</v>
      </c>
      <c r="S1781" s="1" t="str">
        <f>IFERROR(__xludf.DUMMYFUNCTION("""COMPUTED_VALUE"""),"APPROVED")</f>
        <v>APPROVED</v>
      </c>
      <c r="T1781" s="1" t="str">
        <f>IFERROR(__xludf.DUMMYFUNCTION("""COMPUTED_VALUE"""),"RPR")</f>
        <v>RPR</v>
      </c>
      <c r="U1781" s="1" t="str">
        <f>IFERROR(__xludf.DUMMYFUNCTION("""COMPUTED_VALUE"""),"PAID VIA GCASH ")</f>
        <v>PAID VIA GCASH </v>
      </c>
      <c r="V1781" s="1"/>
      <c r="W1781" s="1"/>
    </row>
    <row r="1782" customHeight="1" spans="1:23">
      <c r="A1782" s="3">
        <f>IFERROR(__xludf.DUMMYFUNCTION("""COMPUTED_VALUE"""),46164)</f>
        <v>46164</v>
      </c>
      <c r="B1782" s="1" t="str">
        <f>IFERROR(__xludf.DUMMYFUNCTION("""COMPUTED_VALUE"""),"AGUNOS, JHON AIRVIN")</f>
        <v>AGUNOS, JHON AIRVIN</v>
      </c>
      <c r="C1782" s="1" t="str">
        <f>IFERROR(__xludf.DUMMYFUNCTION("""COMPUTED_VALUE"""),"ORGANIC")</f>
        <v>ORGANIC</v>
      </c>
      <c r="D1782" s="1" t="str">
        <f>IFERROR(__xludf.DUMMYFUNCTION("""COMPUTED_VALUE"""),"ALINGARO, CINDY")</f>
        <v>ALINGARO, CINDY</v>
      </c>
      <c r="E1782" s="1" t="str">
        <f>IFERROR(__xludf.DUMMYFUNCTION("""COMPUTED_VALUE"""),"PLDT / H2H")</f>
        <v>PLDT / H2H</v>
      </c>
      <c r="F1782" s="1">
        <f>IFERROR(__xludf.DUMMYFUNCTION("""COMPUTED_VALUE"""),2309649244)</f>
        <v>2309649244</v>
      </c>
      <c r="G1782" s="1">
        <f>IFERROR(__xludf.DUMMYFUNCTION("""COMPUTED_VALUE"""),455677917004)</f>
        <v>455677917004</v>
      </c>
      <c r="H1782" s="1" t="str">
        <f>IFERROR(__xludf.DUMMYFUNCTION("""COMPUTED_VALUE"""),"ROLLY VICENTE NOGARA")</f>
        <v>ROLLY VICENTE NOGARA</v>
      </c>
      <c r="I1782" s="1">
        <f>IFERROR(__xludf.DUMMYFUNCTION("""COMPUTED_VALUE"""),9602866526)</f>
        <v>9602866526</v>
      </c>
      <c r="J1782" s="1">
        <f>IFERROR(__xludf.DUMMYFUNCTION("""COMPUTED_VALUE"""),9648919277)</f>
        <v>9648919277</v>
      </c>
      <c r="K1782" s="1" t="str">
        <f>IFERROR(__xludf.DUMMYFUNCTION("""COMPUTED_VALUE"""),"NOGARAROLLY4@GMAIL.COM")</f>
        <v>NOGARAROLLY4@GMAIL.COM</v>
      </c>
      <c r="L1782" s="1" t="str">
        <f>IFERROR(__xludf.DUMMYFUNCTION("""COMPUTED_VALUE"""),"108")</f>
        <v>108</v>
      </c>
      <c r="M1782" s="1" t="str">
        <f>IFERROR(__xludf.DUMMYFUNCTION("""COMPUTED_VALUE"""),"PUROK 5")</f>
        <v>PUROK 5</v>
      </c>
      <c r="N1782" s="1"/>
      <c r="O1782" s="1" t="str">
        <f>IFERROR(__xludf.DUMMYFUNCTION("""COMPUTED_VALUE"""),"LUMIL")</f>
        <v>LUMIL</v>
      </c>
      <c r="P1782" s="1" t="str">
        <f>IFERROR(__xludf.DUMMYFUNCTION("""COMPUTED_VALUE"""),"SILANG")</f>
        <v>SILANG</v>
      </c>
      <c r="Q1782" s="1" t="str">
        <f>IFERROR(__xludf.DUMMYFUNCTION("""COMPUTED_VALUE"""),"CAVITE")</f>
        <v>CAVITE</v>
      </c>
      <c r="R1782" s="1" t="str">
        <f>IFERROR(__xludf.DUMMYFUNCTION("""COMPUTED_VALUE"""),"FIBR UNLI ALL PLAN 999")</f>
        <v>FIBR UNLI ALL PLAN 999</v>
      </c>
      <c r="S1782" s="1" t="str">
        <f>IFERROR(__xludf.DUMMYFUNCTION("""COMPUTED_VALUE"""),"APPROVED")</f>
        <v>APPROVED</v>
      </c>
      <c r="T1782" s="1" t="str">
        <f>IFERROR(__xludf.DUMMYFUNCTION("""COMPUTED_VALUE"""),"CLOSED")</f>
        <v>CLOSED</v>
      </c>
      <c r="U1782" s="1" t="str">
        <f>IFERROR(__xludf.DUMMYFUNCTION("""COMPUTED_VALUE"""),"POSTED")</f>
        <v>POSTED</v>
      </c>
      <c r="V1782" s="1"/>
      <c r="W1782" s="1"/>
    </row>
    <row r="1783" customHeight="1" spans="1:23">
      <c r="A1783" s="3">
        <f>IFERROR(__xludf.DUMMYFUNCTION("""COMPUTED_VALUE"""),46164)</f>
        <v>46164</v>
      </c>
      <c r="B1783" s="1" t="str">
        <f>IFERROR(__xludf.DUMMYFUNCTION("""COMPUTED_VALUE"""),"LEADSTORE - ILANO, LIANDRO TEJAS")</f>
        <v>LEADSTORE - ILANO, LIANDRO TEJAS</v>
      </c>
      <c r="C1783" s="1" t="str">
        <f>IFERROR(__xludf.DUMMYFUNCTION("""COMPUTED_VALUE"""),"LEADSTORE")</f>
        <v>LEADSTORE</v>
      </c>
      <c r="D1783" s="1" t="str">
        <f>IFERROR(__xludf.DUMMYFUNCTION("""COMPUTED_VALUE"""),"JERIC NAVARRO")</f>
        <v>JERIC NAVARRO</v>
      </c>
      <c r="E1783" s="1" t="str">
        <f>IFERROR(__xludf.DUMMYFUNCTION("""COMPUTED_VALUE"""),"PLDT / H2H")</f>
        <v>PLDT / H2H</v>
      </c>
      <c r="F1783" s="1">
        <f>IFERROR(__xludf.DUMMYFUNCTION("""COMPUTED_VALUE"""),2309650413)</f>
        <v>2309650413</v>
      </c>
      <c r="G1783" s="1">
        <f>IFERROR(__xludf.DUMMYFUNCTION("""COMPUTED_VALUE"""),455681556004)</f>
        <v>455681556004</v>
      </c>
      <c r="H1783" s="1" t="str">
        <f>IFERROR(__xludf.DUMMYFUNCTION("""COMPUTED_VALUE"""),"ACMAD RENABOR REGARO")</f>
        <v>ACMAD RENABOR REGARO</v>
      </c>
      <c r="I1783" s="1">
        <f>IFERROR(__xludf.DUMMYFUNCTION("""COMPUTED_VALUE"""),9061782820)</f>
        <v>9061782820</v>
      </c>
      <c r="J1783" s="1"/>
      <c r="K1783" s="1" t="str">
        <f>IFERROR(__xludf.DUMMYFUNCTION("""COMPUTED_VALUE"""),"ACMADREGARO64@GMAIL.COM")</f>
        <v>ACMADREGARO64@GMAIL.COM</v>
      </c>
      <c r="L1783" s="1" t="str">
        <f>IFERROR(__xludf.DUMMYFUNCTION("""COMPUTED_VALUE"""),"101")</f>
        <v>101</v>
      </c>
      <c r="M1783" s="1" t="str">
        <f>IFERROR(__xludf.DUMMYFUNCTION("""COMPUTED_VALUE"""),"BARATILLO COMPOUND")</f>
        <v>BARATILLO COMPOUND</v>
      </c>
      <c r="N1783" s="1"/>
      <c r="O1783" s="1" t="str">
        <f>IFERROR(__xludf.DUMMYFUNCTION("""COMPUTED_VALUE"""),"ZONE IV (POB.)")</f>
        <v>ZONE IV (POB.)</v>
      </c>
      <c r="P1783" s="1" t="str">
        <f>IFERROR(__xludf.DUMMYFUNCTION("""COMPUTED_VALUE"""),"DASMARINAS")</f>
        <v>DASMARINAS</v>
      </c>
      <c r="Q1783" s="1" t="str">
        <f>IFERROR(__xludf.DUMMYFUNCTION("""COMPUTED_VALUE"""),"CAVITE")</f>
        <v>CAVITE</v>
      </c>
      <c r="R1783" s="1" t="str">
        <f>IFERROR(__xludf.DUMMYFUNCTION("""COMPUTED_VALUE"""),"FIBR PLAN 1699")</f>
        <v>FIBR PLAN 1699</v>
      </c>
      <c r="S1783" s="1" t="str">
        <f>IFERROR(__xludf.DUMMYFUNCTION("""COMPUTED_VALUE"""),"APPROVED")</f>
        <v>APPROVED</v>
      </c>
      <c r="T1783" s="1" t="str">
        <f>IFERROR(__xludf.DUMMYFUNCTION("""COMPUTED_VALUE"""),"AFD")</f>
        <v>AFD</v>
      </c>
      <c r="U1783" s="1"/>
      <c r="V1783" s="1"/>
      <c r="W1783" s="1"/>
    </row>
    <row r="1784" customHeight="1" spans="1:23">
      <c r="A1784" s="3">
        <f>IFERROR(__xludf.DUMMYFUNCTION("""COMPUTED_VALUE"""),46164)</f>
        <v>46164</v>
      </c>
      <c r="B1784" s="1" t="str">
        <f>IFERROR(__xludf.DUMMYFUNCTION("""COMPUTED_VALUE"""),"MALIWAT MARK ELVIN")</f>
        <v>MALIWAT MARK ELVIN</v>
      </c>
      <c r="C1784" s="1" t="str">
        <f>IFERROR(__xludf.DUMMYFUNCTION("""COMPUTED_VALUE"""),"FLA")</f>
        <v>FLA</v>
      </c>
      <c r="D1784" s="1" t="str">
        <f>IFERROR(__xludf.DUMMYFUNCTION("""COMPUTED_VALUE"""),"JERIC NAVARRO")</f>
        <v>JERIC NAVARRO</v>
      </c>
      <c r="E1784" s="1" t="str">
        <f>IFERROR(__xludf.DUMMYFUNCTION("""COMPUTED_VALUE"""),"PLDT / H2H")</f>
        <v>PLDT / H2H</v>
      </c>
      <c r="F1784" s="1">
        <f>IFERROR(__xludf.DUMMYFUNCTION("""COMPUTED_VALUE"""),2309652935)</f>
        <v>2309652935</v>
      </c>
      <c r="G1784" s="1">
        <f>IFERROR(__xludf.DUMMYFUNCTION("""COMPUTED_VALUE"""),455690599004)</f>
        <v>455690599004</v>
      </c>
      <c r="H1784" s="1" t="str">
        <f>IFERROR(__xludf.DUMMYFUNCTION("""COMPUTED_VALUE"""),"SANGJOO LEE")</f>
        <v>SANGJOO LEE</v>
      </c>
      <c r="I1784" s="1">
        <f>IFERROR(__xludf.DUMMYFUNCTION("""COMPUTED_VALUE"""),9478891175)</f>
        <v>9478891175</v>
      </c>
      <c r="J1784" s="1"/>
      <c r="K1784" s="1" t="str">
        <f>IFERROR(__xludf.DUMMYFUNCTION("""COMPUTED_VALUE"""),"LSJH20@GMAIL.COM")</f>
        <v>LSJH20@GMAIL.COM</v>
      </c>
      <c r="L1784" s="1" t="str">
        <f>IFERROR(__xludf.DUMMYFUNCTION("""COMPUTED_VALUE"""),"2911 B")</f>
        <v>2911 B</v>
      </c>
      <c r="M1784" s="1" t="str">
        <f>IFERROR(__xludf.DUMMYFUNCTION("""COMPUTED_VALUE"""),"PUROK 3")</f>
        <v>PUROK 3</v>
      </c>
      <c r="N1784" s="1" t="str">
        <f>IFERROR(__xludf.DUMMYFUNCTION("""COMPUTED_VALUE"""),"SJSM MISSION CHURCH")</f>
        <v>SJSM MISSION CHURCH</v>
      </c>
      <c r="O1784" s="1" t="str">
        <f>IFERROR(__xludf.DUMMYFUNCTION("""COMPUTED_VALUE"""),"GREGORIO (ALIANG)")</f>
        <v>GREGORIO (ALIANG)</v>
      </c>
      <c r="P1784" s="1" t="str">
        <f>IFERROR(__xludf.DUMMYFUNCTION("""COMPUTED_VALUE"""),"TRECE MARTIRES")</f>
        <v>TRECE MARTIRES</v>
      </c>
      <c r="Q1784" s="1" t="str">
        <f>IFERROR(__xludf.DUMMYFUNCTION("""COMPUTED_VALUE"""),"CAVITE")</f>
        <v>CAVITE</v>
      </c>
      <c r="R1784" s="1" t="str">
        <f>IFERROR(__xludf.DUMMYFUNCTION("""COMPUTED_VALUE"""),"FIBR NETFLIX PLAN 1599")</f>
        <v>FIBR NETFLIX PLAN 1599</v>
      </c>
      <c r="S1784" s="1" t="str">
        <f>IFERROR(__xludf.DUMMYFUNCTION("""COMPUTED_VALUE"""),"APPROVED")</f>
        <v>APPROVED</v>
      </c>
      <c r="T1784" s="1" t="str">
        <f>IFERROR(__xludf.DUMMYFUNCTION("""COMPUTED_VALUE"""),"RPR")</f>
        <v>RPR</v>
      </c>
      <c r="U1784" s="1"/>
      <c r="V1784" s="1"/>
      <c r="W1784" s="1"/>
    </row>
    <row r="1785" customHeight="1" spans="1:23">
      <c r="A1785" s="3">
        <f>IFERROR(__xludf.DUMMYFUNCTION("""COMPUTED_VALUE"""),46164)</f>
        <v>46164</v>
      </c>
      <c r="B1785" s="1" t="str">
        <f>IFERROR(__xludf.DUMMYFUNCTION("""COMPUTED_VALUE"""),"FRANCISCO , ROSELYN")</f>
        <v>FRANCISCO , ROSELYN</v>
      </c>
      <c r="C1785" s="1" t="str">
        <f>IFERROR(__xludf.DUMMYFUNCTION("""COMPUTED_VALUE"""),"ORGANIC")</f>
        <v>ORGANIC</v>
      </c>
      <c r="D1785" s="1" t="str">
        <f>IFERROR(__xludf.DUMMYFUNCTION("""COMPUTED_VALUE"""),"ALOS, CHARLS")</f>
        <v>ALOS, CHARLS</v>
      </c>
      <c r="E1785" s="1" t="str">
        <f>IFERROR(__xludf.DUMMYFUNCTION("""COMPUTED_VALUE"""),"PLDT / H2H")</f>
        <v>PLDT / H2H</v>
      </c>
      <c r="F1785" s="1">
        <f>IFERROR(__xludf.DUMMYFUNCTION("""COMPUTED_VALUE"""),2309685781)</f>
        <v>2309685781</v>
      </c>
      <c r="G1785" s="1">
        <f>IFERROR(__xludf.DUMMYFUNCTION("""COMPUTED_VALUE"""),455966097004)</f>
        <v>455966097004</v>
      </c>
      <c r="H1785" s="1" t="str">
        <f>IFERROR(__xludf.DUMMYFUNCTION("""COMPUTED_VALUE"""),"MARJURIE CORTEZ CANUEL")</f>
        <v>MARJURIE CORTEZ CANUEL</v>
      </c>
      <c r="I1785" s="1">
        <f>IFERROR(__xludf.DUMMYFUNCTION("""COMPUTED_VALUE"""),9916444720)</f>
        <v>9916444720</v>
      </c>
      <c r="J1785" s="1">
        <f>IFERROR(__xludf.DUMMYFUNCTION("""COMPUTED_VALUE"""),9915370839)</f>
        <v>9915370839</v>
      </c>
      <c r="K1785" s="1" t="str">
        <f>IFERROR(__xludf.DUMMYFUNCTION("""COMPUTED_VALUE"""),"CANUELFAITH9@GMAIL.COM")</f>
        <v>CANUELFAITH9@GMAIL.COM</v>
      </c>
      <c r="L1785" s="1" t="str">
        <f>IFERROR(__xludf.DUMMYFUNCTION("""COMPUTED_VALUE"""),"454")</f>
        <v>454</v>
      </c>
      <c r="M1785" s="1" t="str">
        <f>IFERROR(__xludf.DUMMYFUNCTION("""COMPUTED_VALUE"""),"BALUBAD")</f>
        <v>BALUBAD</v>
      </c>
      <c r="N1785" s="1"/>
      <c r="O1785" s="1" t="str">
        <f>IFERROR(__xludf.DUMMYFUNCTION("""COMPUTED_VALUE"""),"MARAHAN II")</f>
        <v>MARAHAN II</v>
      </c>
      <c r="P1785" s="1" t="str">
        <f>IFERROR(__xludf.DUMMYFUNCTION("""COMPUTED_VALUE"""),"ALFONSO")</f>
        <v>ALFONSO</v>
      </c>
      <c r="Q1785" s="1" t="str">
        <f>IFERROR(__xludf.DUMMYFUNCTION("""COMPUTED_VALUE"""),"CAVITE")</f>
        <v>CAVITE</v>
      </c>
      <c r="R1785" s="1" t="str">
        <f>IFERROR(__xludf.DUMMYFUNCTION("""COMPUTED_VALUE"""),"FIBR UNLI ALL PLAN 1399")</f>
        <v>FIBR UNLI ALL PLAN 1399</v>
      </c>
      <c r="S1785" s="1" t="str">
        <f>IFERROR(__xludf.DUMMYFUNCTION("""COMPUTED_VALUE"""),"APPROVED")</f>
        <v>APPROVED</v>
      </c>
      <c r="T1785" s="1" t="str">
        <f>IFERROR(__xludf.DUMMYFUNCTION("""COMPUTED_VALUE"""),"CLOSED")</f>
        <v>CLOSED</v>
      </c>
      <c r="U1785" s="1" t="str">
        <f>IFERROR(__xludf.DUMMYFUNCTION("""COMPUTED_VALUE"""),"POSTED")</f>
        <v>POSTED</v>
      </c>
      <c r="V1785" s="1"/>
      <c r="W1785" s="1"/>
    </row>
    <row r="1786" customHeight="1" spans="1:23">
      <c r="A1786" s="3">
        <f>IFERROR(__xludf.DUMMYFUNCTION("""COMPUTED_VALUE"""),46164)</f>
        <v>46164</v>
      </c>
      <c r="B1786" s="1" t="str">
        <f>IFERROR(__xludf.DUMMYFUNCTION("""COMPUTED_VALUE"""),"FARO, REFRANTA")</f>
        <v>FARO, REFRANTA</v>
      </c>
      <c r="C1786" s="1" t="str">
        <f>IFERROR(__xludf.DUMMYFUNCTION("""COMPUTED_VALUE"""),"ORGANIC")</f>
        <v>ORGANIC</v>
      </c>
      <c r="D1786" s="1" t="str">
        <f>IFERROR(__xludf.DUMMYFUNCTION("""COMPUTED_VALUE"""),"ALINGARO, CINDY")</f>
        <v>ALINGARO, CINDY</v>
      </c>
      <c r="E1786" s="1" t="str">
        <f>IFERROR(__xludf.DUMMYFUNCTION("""COMPUTED_VALUE"""),"PLDT / H2H")</f>
        <v>PLDT / H2H</v>
      </c>
      <c r="F1786" s="1">
        <f>IFERROR(__xludf.DUMMYFUNCTION("""COMPUTED_VALUE"""),2309653967)</f>
        <v>2309653967</v>
      </c>
      <c r="G1786" s="1">
        <f>IFERROR(__xludf.DUMMYFUNCTION("""COMPUTED_VALUE"""),455687482004)</f>
        <v>455687482004</v>
      </c>
      <c r="H1786" s="1" t="str">
        <f>IFERROR(__xludf.DUMMYFUNCTION("""COMPUTED_VALUE"""),"JOHN LESTER CABBIGAY LUYAM")</f>
        <v>JOHN LESTER CABBIGAY LUYAM</v>
      </c>
      <c r="I1786" s="1">
        <f>IFERROR(__xludf.DUMMYFUNCTION("""COMPUTED_VALUE"""),9278147432)</f>
        <v>9278147432</v>
      </c>
      <c r="J1786" s="1"/>
      <c r="K1786" s="1" t="str">
        <f>IFERROR(__xludf.DUMMYFUNCTION("""COMPUTED_VALUE"""),"LLJOHNLESS11@GMAIL.COM")</f>
        <v>LLJOHNLESS11@GMAIL.COM</v>
      </c>
      <c r="L1786" s="1" t="str">
        <f>IFERROR(__xludf.DUMMYFUNCTION("""COMPUTED_VALUE"""),"11")</f>
        <v>11</v>
      </c>
      <c r="M1786" s="1" t="str">
        <f>IFERROR(__xludf.DUMMYFUNCTION("""COMPUTED_VALUE"""),"TARTARIA")</f>
        <v>TARTARIA</v>
      </c>
      <c r="N1786" s="1"/>
      <c r="O1786" s="1" t="str">
        <f>IFERROR(__xludf.DUMMYFUNCTION("""COMPUTED_VALUE"""),"TARTARIA")</f>
        <v>TARTARIA</v>
      </c>
      <c r="P1786" s="1" t="str">
        <f>IFERROR(__xludf.DUMMYFUNCTION("""COMPUTED_VALUE"""),"SILANG")</f>
        <v>SILANG</v>
      </c>
      <c r="Q1786" s="1" t="str">
        <f>IFERROR(__xludf.DUMMYFUNCTION("""COMPUTED_VALUE"""),"CAVITE")</f>
        <v>CAVITE</v>
      </c>
      <c r="R1786" s="1" t="str">
        <f>IFERROR(__xludf.DUMMYFUNCTION("""COMPUTED_VALUE"""),"FIBR NETFLIX PLAN 1599")</f>
        <v>FIBR NETFLIX PLAN 1599</v>
      </c>
      <c r="S1786" s="1" t="str">
        <f>IFERROR(__xludf.DUMMYFUNCTION("""COMPUTED_VALUE"""),"APPROVED")</f>
        <v>APPROVED</v>
      </c>
      <c r="T1786" s="1" t="str">
        <f>IFERROR(__xludf.DUMMYFUNCTION("""COMPUTED_VALUE"""),"AFD")</f>
        <v>AFD</v>
      </c>
      <c r="U1786" s="1" t="str">
        <f>IFERROR(__xludf.DUMMYFUNCTION("""COMPUTED_VALUE"""),"NO PAYMENT")</f>
        <v>NO PAYMENT</v>
      </c>
      <c r="V1786" s="1"/>
      <c r="W1786" s="1"/>
    </row>
    <row r="1787" customHeight="1" spans="1:23">
      <c r="A1787" s="3">
        <f>IFERROR(__xludf.DUMMYFUNCTION("""COMPUTED_VALUE"""),46164)</f>
        <v>46164</v>
      </c>
      <c r="B1787" s="1" t="str">
        <f>IFERROR(__xludf.DUMMYFUNCTION("""COMPUTED_VALUE"""),"FRONDEZ, JEDREFF")</f>
        <v>FRONDEZ, JEDREFF</v>
      </c>
      <c r="C1787" s="1" t="str">
        <f>IFERROR(__xludf.DUMMYFUNCTION("""COMPUTED_VALUE"""),"ORGANIC")</f>
        <v>ORGANIC</v>
      </c>
      <c r="D1787" s="1" t="str">
        <f>IFERROR(__xludf.DUMMYFUNCTION("""COMPUTED_VALUE"""),"REMOLLO LEA")</f>
        <v>REMOLLO LEA</v>
      </c>
      <c r="E1787" s="1" t="str">
        <f>IFERROR(__xludf.DUMMYFUNCTION("""COMPUTED_VALUE"""),"PLDT / H2H")</f>
        <v>PLDT / H2H</v>
      </c>
      <c r="F1787" s="1">
        <f>IFERROR(__xludf.DUMMYFUNCTION("""COMPUTED_VALUE"""),2309651617)</f>
        <v>2309651617</v>
      </c>
      <c r="G1787" s="1">
        <f>IFERROR(__xludf.DUMMYFUNCTION("""COMPUTED_VALUE"""),455683255004)</f>
        <v>455683255004</v>
      </c>
      <c r="H1787" s="1" t="str">
        <f>IFERROR(__xludf.DUMMYFUNCTION("""COMPUTED_VALUE"""),"MANILYN JAVIER ENGRESO")</f>
        <v>MANILYN JAVIER ENGRESO</v>
      </c>
      <c r="I1787" s="1">
        <f>IFERROR(__xludf.DUMMYFUNCTION("""COMPUTED_VALUE"""),9757718742)</f>
        <v>9757718742</v>
      </c>
      <c r="J1787" s="1">
        <f>IFERROR(__xludf.DUMMYFUNCTION("""COMPUTED_VALUE"""),9973352964)</f>
        <v>9973352964</v>
      </c>
      <c r="K1787" s="1" t="str">
        <f>IFERROR(__xludf.DUMMYFUNCTION("""COMPUTED_VALUE"""),"ENGRESAKAYE@GMAIL.COM")</f>
        <v>ENGRESAKAYE@GMAIL.COM</v>
      </c>
      <c r="L1787" s="1" t="str">
        <f>IFERROR(__xludf.DUMMYFUNCTION("""COMPUTED_VALUE"""),"BLK 10 LOT 14")</f>
        <v>BLK 10 LOT 14</v>
      </c>
      <c r="M1787" s="1" t="str">
        <f>IFERROR(__xludf.DUMMYFUNCTION("""COMPUTED_VALUE"""),"ZAMBAL")</f>
        <v>ZAMBAL</v>
      </c>
      <c r="N1787" s="1" t="str">
        <f>IFERROR(__xludf.DUMMYFUNCTION("""COMPUTED_VALUE"""),"PABAHAY")</f>
        <v>PABAHAY</v>
      </c>
      <c r="O1787" s="1" t="str">
        <f>IFERROR(__xludf.DUMMYFUNCTION("""COMPUTED_VALUE"""),"ZAMBAL")</f>
        <v>ZAMBAL</v>
      </c>
      <c r="P1787" s="1" t="str">
        <f>IFERROR(__xludf.DUMMYFUNCTION("""COMPUTED_VALUE"""),"TAGAYTAY")</f>
        <v>TAGAYTAY</v>
      </c>
      <c r="Q1787" s="1" t="str">
        <f>IFERROR(__xludf.DUMMYFUNCTION("""COMPUTED_VALUE"""),"CAVITE")</f>
        <v>CAVITE</v>
      </c>
      <c r="R1787" s="1" t="str">
        <f>IFERROR(__xludf.DUMMYFUNCTION("""COMPUTED_VALUE"""),"FIBR UNLI ALL PLAN 1399")</f>
        <v>FIBR UNLI ALL PLAN 1399</v>
      </c>
      <c r="S1787" s="1" t="str">
        <f>IFERROR(__xludf.DUMMYFUNCTION("""COMPUTED_VALUE"""),"APPROVED")</f>
        <v>APPROVED</v>
      </c>
      <c r="T1787" s="1" t="str">
        <f>IFERROR(__xludf.DUMMYFUNCTION("""COMPUTED_VALUE"""),"CANCELLED")</f>
        <v>CANCELLED</v>
      </c>
      <c r="U1787" s="1" t="str">
        <f>IFERROR(__xludf.DUMMYFUNCTION("""COMPUTED_VALUE"""),"NO PAYMENT")</f>
        <v>NO PAYMENT</v>
      </c>
      <c r="V1787" s="1"/>
      <c r="W1787" s="1"/>
    </row>
    <row r="1788" customHeight="1" spans="1:23">
      <c r="A1788" s="3">
        <f>IFERROR(__xludf.DUMMYFUNCTION("""COMPUTED_VALUE"""),46164)</f>
        <v>46164</v>
      </c>
      <c r="B1788" s="1" t="str">
        <f>IFERROR(__xludf.DUMMYFUNCTION("""COMPUTED_VALUE"""),"FRANCISCO , ROSELYN")</f>
        <v>FRANCISCO , ROSELYN</v>
      </c>
      <c r="C1788" s="1" t="str">
        <f>IFERROR(__xludf.DUMMYFUNCTION("""COMPUTED_VALUE"""),"ORGANIC")</f>
        <v>ORGANIC</v>
      </c>
      <c r="D1788" s="1" t="str">
        <f>IFERROR(__xludf.DUMMYFUNCTION("""COMPUTED_VALUE"""),"ALOS, CHARLS")</f>
        <v>ALOS, CHARLS</v>
      </c>
      <c r="E1788" s="1" t="str">
        <f>IFERROR(__xludf.DUMMYFUNCTION("""COMPUTED_VALUE"""),"PLDT / H2H")</f>
        <v>PLDT / H2H</v>
      </c>
      <c r="F1788" s="1">
        <f>IFERROR(__xludf.DUMMYFUNCTION("""COMPUTED_VALUE"""),2309792687)</f>
        <v>2309792687</v>
      </c>
      <c r="G1788" s="1">
        <f>IFERROR(__xludf.DUMMYFUNCTION("""COMPUTED_VALUE"""),456514908004)</f>
        <v>456514908004</v>
      </c>
      <c r="H1788" s="1" t="str">
        <f>IFERROR(__xludf.DUMMYFUNCTION("""COMPUTED_VALUE"""),"ANALIZA ROSE BALIBOL")</f>
        <v>ANALIZA ROSE BALIBOL</v>
      </c>
      <c r="I1788" s="1">
        <f>IFERROR(__xludf.DUMMYFUNCTION("""COMPUTED_VALUE"""),9120064086)</f>
        <v>9120064086</v>
      </c>
      <c r="J1788" s="1">
        <f>IFERROR(__xludf.DUMMYFUNCTION("""COMPUTED_VALUE"""),9648843580)</f>
        <v>9648843580</v>
      </c>
      <c r="K1788" s="1" t="str">
        <f>IFERROR(__xludf.DUMMYFUNCTION("""COMPUTED_VALUE"""),"JOHNLESTER258@GMAIL.COM")</f>
        <v>JOHNLESTER258@GMAIL.COM</v>
      </c>
      <c r="L1788" s="1" t="str">
        <f>IFERROR(__xludf.DUMMYFUNCTION("""COMPUTED_VALUE"""),"BLK 3 LOT 1")</f>
        <v>BLK 3 LOT 1</v>
      </c>
      <c r="M1788" s="1" t="str">
        <f>IFERROR(__xludf.DUMMYFUNCTION("""COMPUTED_VALUE"""),"ZAMBAL")</f>
        <v>ZAMBAL</v>
      </c>
      <c r="N1788" s="1" t="str">
        <f>IFERROR(__xludf.DUMMYFUNCTION("""COMPUTED_VALUE"""),"PABAHAY")</f>
        <v>PABAHAY</v>
      </c>
      <c r="O1788" s="1" t="str">
        <f>IFERROR(__xludf.DUMMYFUNCTION("""COMPUTED_VALUE"""),"ZAMBAL")</f>
        <v>ZAMBAL</v>
      </c>
      <c r="P1788" s="1" t="str">
        <f>IFERROR(__xludf.DUMMYFUNCTION("""COMPUTED_VALUE"""),"TAGAYTAY")</f>
        <v>TAGAYTAY</v>
      </c>
      <c r="Q1788" s="1" t="str">
        <f>IFERROR(__xludf.DUMMYFUNCTION("""COMPUTED_VALUE"""),"CAVITE")</f>
        <v>CAVITE</v>
      </c>
      <c r="R1788" s="1" t="str">
        <f>IFERROR(__xludf.DUMMYFUNCTION("""COMPUTED_VALUE"""),"FIBR UNLI ALL PLAN 999")</f>
        <v>FIBR UNLI ALL PLAN 999</v>
      </c>
      <c r="S1788" s="1" t="str">
        <f>IFERROR(__xludf.DUMMYFUNCTION("""COMPUTED_VALUE"""),"APPROVED")</f>
        <v>APPROVED</v>
      </c>
      <c r="T1788" s="1" t="str">
        <f>IFERROR(__xludf.DUMMYFUNCTION("""COMPUTED_VALUE"""),"AFD")</f>
        <v>AFD</v>
      </c>
      <c r="U1788" s="1" t="str">
        <f>IFERROR(__xludf.DUMMYFUNCTION("""COMPUTED_VALUE"""),"AS PER SUBS SA KATAPUSAN PA DAW PERA NYA")</f>
        <v>AS PER SUBS SA KATAPUSAN PA DAW PERA NYA</v>
      </c>
      <c r="V1788" s="1"/>
      <c r="W1788" s="1"/>
    </row>
    <row r="1789" customHeight="1" spans="1:23">
      <c r="A1789" s="3">
        <f>IFERROR(__xludf.DUMMYFUNCTION("""COMPUTED_VALUE"""),46164)</f>
        <v>46164</v>
      </c>
      <c r="B1789" s="1" t="str">
        <f>IFERROR(__xludf.DUMMYFUNCTION("""COMPUTED_VALUE"""),"CASTILLEJOS, ARREL")</f>
        <v>CASTILLEJOS, ARREL</v>
      </c>
      <c r="C1789" s="1" t="str">
        <f>IFERROR(__xludf.DUMMYFUNCTION("""COMPUTED_VALUE"""),"ORGANIC")</f>
        <v>ORGANIC</v>
      </c>
      <c r="D1789" s="1" t="str">
        <f>IFERROR(__xludf.DUMMYFUNCTION("""COMPUTED_VALUE"""),"REMOLLO LEA")</f>
        <v>REMOLLO LEA</v>
      </c>
      <c r="E1789" s="1" t="str">
        <f>IFERROR(__xludf.DUMMYFUNCTION("""COMPUTED_VALUE"""),"PLDT / H2H")</f>
        <v>PLDT / H2H</v>
      </c>
      <c r="F1789" s="1">
        <f>IFERROR(__xludf.DUMMYFUNCTION("""COMPUTED_VALUE"""),2309652391)</f>
        <v>2309652391</v>
      </c>
      <c r="G1789" s="1">
        <f>IFERROR(__xludf.DUMMYFUNCTION("""COMPUTED_VALUE"""),455684211004)</f>
        <v>455684211004</v>
      </c>
      <c r="H1789" s="1" t="str">
        <f>IFERROR(__xludf.DUMMYFUNCTION("""COMPUTED_VALUE"""),"MARY GRACE MANALO TOMLOD ")</f>
        <v>MARY GRACE MANALO TOMLOD </v>
      </c>
      <c r="I1789" s="1">
        <f>IFERROR(__xludf.DUMMYFUNCTION("""COMPUTED_VALUE"""),9519867359)</f>
        <v>9519867359</v>
      </c>
      <c r="J1789" s="1">
        <f>IFERROR(__xludf.DUMMYFUNCTION("""COMPUTED_VALUE"""),9568918441)</f>
        <v>9568918441</v>
      </c>
      <c r="K1789" s="1" t="str">
        <f>IFERROR(__xludf.DUMMYFUNCTION("""COMPUTED_VALUE"""),"ARIANGRACEMANALO@GMAIL.COM")</f>
        <v>ARIANGRACEMANALO@GMAIL.COM</v>
      </c>
      <c r="L1789" s="1" t="str">
        <f>IFERROR(__xludf.DUMMYFUNCTION("""COMPUTED_VALUE"""),"BLK 6 LOT 2")</f>
        <v>BLK 6 LOT 2</v>
      </c>
      <c r="M1789" s="1" t="str">
        <f>IFERROR(__xludf.DUMMYFUNCTION("""COMPUTED_VALUE"""),"ZAMBAL")</f>
        <v>ZAMBAL</v>
      </c>
      <c r="N1789" s="1" t="str">
        <f>IFERROR(__xludf.DUMMYFUNCTION("""COMPUTED_VALUE"""),"PABAHAY")</f>
        <v>PABAHAY</v>
      </c>
      <c r="O1789" s="1" t="str">
        <f>IFERROR(__xludf.DUMMYFUNCTION("""COMPUTED_VALUE"""),"ZAMBAL")</f>
        <v>ZAMBAL</v>
      </c>
      <c r="P1789" s="1" t="str">
        <f>IFERROR(__xludf.DUMMYFUNCTION("""COMPUTED_VALUE"""),"TAGAYTAY")</f>
        <v>TAGAYTAY</v>
      </c>
      <c r="Q1789" s="1" t="str">
        <f>IFERROR(__xludf.DUMMYFUNCTION("""COMPUTED_VALUE"""),"CAVITE")</f>
        <v>CAVITE</v>
      </c>
      <c r="R1789" s="1" t="str">
        <f>IFERROR(__xludf.DUMMYFUNCTION("""COMPUTED_VALUE"""),"FIBR PLAN 1299")</f>
        <v>FIBR PLAN 1299</v>
      </c>
      <c r="S1789" s="1" t="str">
        <f>IFERROR(__xludf.DUMMYFUNCTION("""COMPUTED_VALUE"""),"APPROVED")</f>
        <v>APPROVED</v>
      </c>
      <c r="T1789" s="1" t="str">
        <f>IFERROR(__xludf.DUMMYFUNCTION("""COMPUTED_VALUE"""),"CANCELLED")</f>
        <v>CANCELLED</v>
      </c>
      <c r="U1789" s="1" t="str">
        <f>IFERROR(__xludf.DUMMYFUNCTION("""COMPUTED_VALUE"""),"NO PAYMENT")</f>
        <v>NO PAYMENT</v>
      </c>
      <c r="V1789" s="1"/>
      <c r="W1789" s="1"/>
    </row>
    <row r="1790" customHeight="1" spans="1:23">
      <c r="A1790" s="3">
        <f>IFERROR(__xludf.DUMMYFUNCTION("""COMPUTED_VALUE"""),46164)</f>
        <v>46164</v>
      </c>
      <c r="B1790" s="1" t="str">
        <f>IFERROR(__xludf.DUMMYFUNCTION("""COMPUTED_VALUE"""),"CASTILLEJOS, ARREL")</f>
        <v>CASTILLEJOS, ARREL</v>
      </c>
      <c r="C1790" s="1" t="str">
        <f>IFERROR(__xludf.DUMMYFUNCTION("""COMPUTED_VALUE"""),"ORGANIC")</f>
        <v>ORGANIC</v>
      </c>
      <c r="D1790" s="1" t="str">
        <f>IFERROR(__xludf.DUMMYFUNCTION("""COMPUTED_VALUE"""),"REMOLLO LEA")</f>
        <v>REMOLLO LEA</v>
      </c>
      <c r="E1790" s="1" t="str">
        <f>IFERROR(__xludf.DUMMYFUNCTION("""COMPUTED_VALUE"""),"PLDT / H2H")</f>
        <v>PLDT / H2H</v>
      </c>
      <c r="F1790" s="1">
        <f>IFERROR(__xludf.DUMMYFUNCTION("""COMPUTED_VALUE"""),2309652174)</f>
        <v>2309652174</v>
      </c>
      <c r="G1790" s="1">
        <f>IFERROR(__xludf.DUMMYFUNCTION("""COMPUTED_VALUE"""),455690480004)</f>
        <v>455690480004</v>
      </c>
      <c r="H1790" s="1" t="str">
        <f>IFERROR(__xludf.DUMMYFUNCTION("""COMPUTED_VALUE"""),"CORAZON TUGADI CUISON")</f>
        <v>CORAZON TUGADI CUISON</v>
      </c>
      <c r="I1790" s="1">
        <f>IFERROR(__xludf.DUMMYFUNCTION("""COMPUTED_VALUE"""),9514834516)</f>
        <v>9514834516</v>
      </c>
      <c r="J1790" s="1">
        <f>IFERROR(__xludf.DUMMYFUNCTION("""COMPUTED_VALUE"""),9051413352)</f>
        <v>9051413352</v>
      </c>
      <c r="K1790" s="1" t="str">
        <f>IFERROR(__xludf.DUMMYFUNCTION("""COMPUTED_VALUE"""),"CORA20NTESIORA@GMAIL.COM")</f>
        <v>CORA20NTESIORA@GMAIL.COM</v>
      </c>
      <c r="L1790" s="1" t="str">
        <f>IFERROR(__xludf.DUMMYFUNCTION("""COMPUTED_VALUE"""),"BLK 1 LOT 15")</f>
        <v>BLK 1 LOT 15</v>
      </c>
      <c r="M1790" s="1" t="str">
        <f>IFERROR(__xludf.DUMMYFUNCTION("""COMPUTED_VALUE"""),"ZAMBAL")</f>
        <v>ZAMBAL</v>
      </c>
      <c r="N1790" s="1" t="str">
        <f>IFERROR(__xludf.DUMMYFUNCTION("""COMPUTED_VALUE"""),"PABAHAY")</f>
        <v>PABAHAY</v>
      </c>
      <c r="O1790" s="1" t="str">
        <f>IFERROR(__xludf.DUMMYFUNCTION("""COMPUTED_VALUE"""),"ZAMBAL")</f>
        <v>ZAMBAL</v>
      </c>
      <c r="P1790" s="1" t="str">
        <f>IFERROR(__xludf.DUMMYFUNCTION("""COMPUTED_VALUE"""),"TAGAYTAY")</f>
        <v>TAGAYTAY</v>
      </c>
      <c r="Q1790" s="1" t="str">
        <f>IFERROR(__xludf.DUMMYFUNCTION("""COMPUTED_VALUE"""),"CAVITE")</f>
        <v>CAVITE</v>
      </c>
      <c r="R1790" s="1" t="str">
        <f>IFERROR(__xludf.DUMMYFUNCTION("""COMPUTED_VALUE"""),"FIBR UNLI ALL PLAN 1399")</f>
        <v>FIBR UNLI ALL PLAN 1399</v>
      </c>
      <c r="S1790" s="1" t="str">
        <f>IFERROR(__xludf.DUMMYFUNCTION("""COMPUTED_VALUE"""),"APPROVED")</f>
        <v>APPROVED</v>
      </c>
      <c r="T1790" s="1" t="str">
        <f>IFERROR(__xludf.DUMMYFUNCTION("""COMPUTED_VALUE"""),"CLOSED")</f>
        <v>CLOSED</v>
      </c>
      <c r="U1790" s="1" t="str">
        <f>IFERROR(__xludf.DUMMYFUNCTION("""COMPUTED_VALUE"""),"POSTED")</f>
        <v>POSTED</v>
      </c>
      <c r="V1790" s="1"/>
      <c r="W1790" s="1"/>
    </row>
    <row r="1791" customHeight="1" spans="1:23">
      <c r="A1791" s="3">
        <f>IFERROR(__xludf.DUMMYFUNCTION("""COMPUTED_VALUE"""),46164)</f>
        <v>46164</v>
      </c>
      <c r="B1791" s="1" t="str">
        <f>IFERROR(__xludf.DUMMYFUNCTION("""COMPUTED_VALUE"""),"GABAY, MANUEL")</f>
        <v>GABAY, MANUEL</v>
      </c>
      <c r="C1791" s="1" t="str">
        <f>IFERROR(__xludf.DUMMYFUNCTION("""COMPUTED_VALUE"""),"FLA")</f>
        <v>FLA</v>
      </c>
      <c r="D1791" s="1" t="str">
        <f>IFERROR(__xludf.DUMMYFUNCTION("""COMPUTED_VALUE"""),"JERIC NAVARRO")</f>
        <v>JERIC NAVARRO</v>
      </c>
      <c r="E1791" s="1" t="str">
        <f>IFERROR(__xludf.DUMMYFUNCTION("""COMPUTED_VALUE"""),"PLDT / H2H")</f>
        <v>PLDT / H2H</v>
      </c>
      <c r="F1791" s="1">
        <f>IFERROR(__xludf.DUMMYFUNCTION("""COMPUTED_VALUE"""),2309655690)</f>
        <v>2309655690</v>
      </c>
      <c r="G1791" s="1">
        <f>IFERROR(__xludf.DUMMYFUNCTION("""COMPUTED_VALUE"""),455688525004)</f>
        <v>455688525004</v>
      </c>
      <c r="H1791" s="1" t="str">
        <f>IFERROR(__xludf.DUMMYFUNCTION("""COMPUTED_VALUE"""),"MARK CHAN TANO MANSO")</f>
        <v>MARK CHAN TANO MANSO</v>
      </c>
      <c r="I1791" s="1">
        <f>IFERROR(__xludf.DUMMYFUNCTION("""COMPUTED_VALUE"""),9489590890)</f>
        <v>9489590890</v>
      </c>
      <c r="J1791" s="1">
        <f>IFERROR(__xludf.DUMMYFUNCTION("""COMPUTED_VALUE"""),9266068754)</f>
        <v>9266068754</v>
      </c>
      <c r="K1791" s="1" t="str">
        <f>IFERROR(__xludf.DUMMYFUNCTION("""COMPUTED_VALUE"""),"MARKCHANMANSO1@GMAIL.COM")</f>
        <v>MARKCHANMANSO1@GMAIL.COM</v>
      </c>
      <c r="L1791" s="1" t="str">
        <f>IFERROR(__xludf.DUMMYFUNCTION("""COMPUTED_VALUE"""),"BLK 2 LOT 11")</f>
        <v>BLK 2 LOT 11</v>
      </c>
      <c r="M1791" s="1" t="str">
        <f>IFERROR(__xludf.DUMMYFUNCTION("""COMPUTED_VALUE"""),"ZAMBAL")</f>
        <v>ZAMBAL</v>
      </c>
      <c r="N1791" s="1" t="str">
        <f>IFERROR(__xludf.DUMMYFUNCTION("""COMPUTED_VALUE"""),"PABAHAY")</f>
        <v>PABAHAY</v>
      </c>
      <c r="O1791" s="1" t="str">
        <f>IFERROR(__xludf.DUMMYFUNCTION("""COMPUTED_VALUE"""),"ZAMBAL")</f>
        <v>ZAMBAL</v>
      </c>
      <c r="P1791" s="1" t="str">
        <f>IFERROR(__xludf.DUMMYFUNCTION("""COMPUTED_VALUE"""),"TAGAYTAY")</f>
        <v>TAGAYTAY</v>
      </c>
      <c r="Q1791" s="1" t="str">
        <f>IFERROR(__xludf.DUMMYFUNCTION("""COMPUTED_VALUE"""),"CAVITE")</f>
        <v>CAVITE</v>
      </c>
      <c r="R1791" s="1" t="str">
        <f>IFERROR(__xludf.DUMMYFUNCTION("""COMPUTED_VALUE"""),"FIBR NETFLIX PLAN 1599")</f>
        <v>FIBR NETFLIX PLAN 1599</v>
      </c>
      <c r="S1791" s="1" t="str">
        <f>IFERROR(__xludf.DUMMYFUNCTION("""COMPUTED_VALUE"""),"APPROVED")</f>
        <v>APPROVED</v>
      </c>
      <c r="T1791" s="1" t="str">
        <f>IFERROR(__xludf.DUMMYFUNCTION("""COMPUTED_VALUE"""),"CLOSED")</f>
        <v>CLOSED</v>
      </c>
      <c r="U1791" s="1" t="str">
        <f>IFERROR(__xludf.DUMMYFUNCTION("""COMPUTED_VALUE"""),"POSTED")</f>
        <v>POSTED</v>
      </c>
      <c r="V1791" s="1"/>
      <c r="W1791" s="1"/>
    </row>
    <row r="1792" customHeight="1" spans="1:23">
      <c r="A1792" s="3">
        <f>IFERROR(__xludf.DUMMYFUNCTION("""COMPUTED_VALUE"""),46164)</f>
        <v>46164</v>
      </c>
      <c r="B1792" s="1" t="str">
        <f>IFERROR(__xludf.DUMMYFUNCTION("""COMPUTED_VALUE"""),"GABAY, MANUEL")</f>
        <v>GABAY, MANUEL</v>
      </c>
      <c r="C1792" s="1" t="str">
        <f>IFERROR(__xludf.DUMMYFUNCTION("""COMPUTED_VALUE"""),"FLA")</f>
        <v>FLA</v>
      </c>
      <c r="D1792" s="1" t="str">
        <f>IFERROR(__xludf.DUMMYFUNCTION("""COMPUTED_VALUE"""),"JERIC NAVARRO")</f>
        <v>JERIC NAVARRO</v>
      </c>
      <c r="E1792" s="1" t="str">
        <f>IFERROR(__xludf.DUMMYFUNCTION("""COMPUTED_VALUE"""),"PLDT / H2H")</f>
        <v>PLDT / H2H</v>
      </c>
      <c r="F1792" s="1">
        <f>IFERROR(__xludf.DUMMYFUNCTION("""COMPUTED_VALUE"""),2309656332)</f>
        <v>2309656332</v>
      </c>
      <c r="G1792" s="1">
        <f>IFERROR(__xludf.DUMMYFUNCTION("""COMPUTED_VALUE"""),455689539004)</f>
        <v>455689539004</v>
      </c>
      <c r="H1792" s="1" t="str">
        <f>IFERROR(__xludf.DUMMYFUNCTION("""COMPUTED_VALUE"""),"SARAH MAE SALVEDIA GABRIEL")</f>
        <v>SARAH MAE SALVEDIA GABRIEL</v>
      </c>
      <c r="I1792" s="1">
        <f>IFERROR(__xludf.DUMMYFUNCTION("""COMPUTED_VALUE"""),9058559309)</f>
        <v>9058559309</v>
      </c>
      <c r="J1792" s="1">
        <f>IFERROR(__xludf.DUMMYFUNCTION("""COMPUTED_VALUE"""),9058559326)</f>
        <v>9058559326</v>
      </c>
      <c r="K1792" s="1" t="str">
        <f>IFERROR(__xludf.DUMMYFUNCTION("""COMPUTED_VALUE"""),"GABRIELSARAHMAE892@GMAIL.COM")</f>
        <v>GABRIELSARAHMAE892@GMAIL.COM</v>
      </c>
      <c r="L1792" s="1" t="str">
        <f>IFERROR(__xludf.DUMMYFUNCTION("""COMPUTED_VALUE"""),"BLK 7 LOT 1")</f>
        <v>BLK 7 LOT 1</v>
      </c>
      <c r="M1792" s="1" t="str">
        <f>IFERROR(__xludf.DUMMYFUNCTION("""COMPUTED_VALUE"""),"ZAMBAL")</f>
        <v>ZAMBAL</v>
      </c>
      <c r="N1792" s="1" t="str">
        <f>IFERROR(__xludf.DUMMYFUNCTION("""COMPUTED_VALUE"""),"PABAHAY")</f>
        <v>PABAHAY</v>
      </c>
      <c r="O1792" s="1" t="str">
        <f>IFERROR(__xludf.DUMMYFUNCTION("""COMPUTED_VALUE"""),"ZAMBAL")</f>
        <v>ZAMBAL</v>
      </c>
      <c r="P1792" s="1" t="str">
        <f>IFERROR(__xludf.DUMMYFUNCTION("""COMPUTED_VALUE"""),"TAGAYTAY")</f>
        <v>TAGAYTAY</v>
      </c>
      <c r="Q1792" s="1" t="str">
        <f>IFERROR(__xludf.DUMMYFUNCTION("""COMPUTED_VALUE"""),"CAVITE")</f>
        <v>CAVITE</v>
      </c>
      <c r="R1792" s="1" t="str">
        <f>IFERROR(__xludf.DUMMYFUNCTION("""COMPUTED_VALUE"""),"FIBR UNLI ALL PLAN 999")</f>
        <v>FIBR UNLI ALL PLAN 999</v>
      </c>
      <c r="S1792" s="1" t="str">
        <f>IFERROR(__xludf.DUMMYFUNCTION("""COMPUTED_VALUE"""),"APPROVED")</f>
        <v>APPROVED</v>
      </c>
      <c r="T1792" s="1" t="str">
        <f>IFERROR(__xludf.DUMMYFUNCTION("""COMPUTED_VALUE"""),"CANCELLED")</f>
        <v>CANCELLED</v>
      </c>
      <c r="U1792" s="1"/>
      <c r="V1792" s="1"/>
      <c r="W1792" s="1"/>
    </row>
    <row r="1793" customHeight="1" spans="1:23">
      <c r="A1793" s="3">
        <f>IFERROR(__xludf.DUMMYFUNCTION("""COMPUTED_VALUE"""),46164)</f>
        <v>46164</v>
      </c>
      <c r="B1793" s="1" t="str">
        <f>IFERROR(__xludf.DUMMYFUNCTION("""COMPUTED_VALUE"""),"AGUNOS, JHON AIRVIN")</f>
        <v>AGUNOS, JHON AIRVIN</v>
      </c>
      <c r="C1793" s="1" t="str">
        <f>IFERROR(__xludf.DUMMYFUNCTION("""COMPUTED_VALUE"""),"ORGANIC")</f>
        <v>ORGANIC</v>
      </c>
      <c r="D1793" s="1" t="str">
        <f>IFERROR(__xludf.DUMMYFUNCTION("""COMPUTED_VALUE"""),"ALINGARO, CINDY")</f>
        <v>ALINGARO, CINDY</v>
      </c>
      <c r="E1793" s="1" t="str">
        <f>IFERROR(__xludf.DUMMYFUNCTION("""COMPUTED_VALUE"""),"PLDT / H2H")</f>
        <v>PLDT / H2H</v>
      </c>
      <c r="F1793" s="1">
        <f>IFERROR(__xludf.DUMMYFUNCTION("""COMPUTED_VALUE"""),2309655372)</f>
        <v>2309655372</v>
      </c>
      <c r="G1793" s="1">
        <f>IFERROR(__xludf.DUMMYFUNCTION("""COMPUTED_VALUE"""),455700168004)</f>
        <v>455700168004</v>
      </c>
      <c r="H1793" s="1" t="str">
        <f>IFERROR(__xludf.DUMMYFUNCTION("""COMPUTED_VALUE"""),"ROLANDO MUNOZ VILLARBA")</f>
        <v>ROLANDO MUNOZ VILLARBA</v>
      </c>
      <c r="I1793" s="1">
        <f>IFERROR(__xludf.DUMMYFUNCTION("""COMPUTED_VALUE"""),9300652370)</f>
        <v>9300652370</v>
      </c>
      <c r="J1793" s="1">
        <f>IFERROR(__xludf.DUMMYFUNCTION("""COMPUTED_VALUE"""),9952912005)</f>
        <v>9952912005</v>
      </c>
      <c r="K1793" s="1" t="str">
        <f>IFERROR(__xludf.DUMMYFUNCTION("""COMPUTED_VALUE"""),"LANSXIANE@GMAIL.COM")</f>
        <v>LANSXIANE@GMAIL.COM</v>
      </c>
      <c r="L1793" s="1" t="str">
        <f>IFERROR(__xludf.DUMMYFUNCTION("""COMPUTED_VALUE"""),"BLK 32 LOT 13")</f>
        <v>BLK 32 LOT 13</v>
      </c>
      <c r="M1793" s="1" t="str">
        <f>IFERROR(__xludf.DUMMYFUNCTION("""COMPUTED_VALUE"""),"PHASE 1A")</f>
        <v>PHASE 1A</v>
      </c>
      <c r="N1793" s="1"/>
      <c r="O1793" s="1" t="str">
        <f>IFERROR(__xludf.DUMMYFUNCTION("""COMPUTED_VALUE"""),"ACACIA")</f>
        <v>ACACIA</v>
      </c>
      <c r="P1793" s="1" t="str">
        <f>IFERROR(__xludf.DUMMYFUNCTION("""COMPUTED_VALUE"""),"SILANG")</f>
        <v>SILANG</v>
      </c>
      <c r="Q1793" s="1" t="str">
        <f>IFERROR(__xludf.DUMMYFUNCTION("""COMPUTED_VALUE"""),"CAVITE")</f>
        <v>CAVITE</v>
      </c>
      <c r="R1793" s="1" t="str">
        <f>IFERROR(__xludf.DUMMYFUNCTION("""COMPUTED_VALUE"""),"FIBR PLAN 1299")</f>
        <v>FIBR PLAN 1299</v>
      </c>
      <c r="S1793" s="1" t="str">
        <f>IFERROR(__xludf.DUMMYFUNCTION("""COMPUTED_VALUE"""),"APPROVED")</f>
        <v>APPROVED</v>
      </c>
      <c r="T1793" s="1" t="str">
        <f>IFERROR(__xludf.DUMMYFUNCTION("""COMPUTED_VALUE"""),"CLOSED")</f>
        <v>CLOSED</v>
      </c>
      <c r="U1793" s="1" t="str">
        <f>IFERROR(__xludf.DUMMYFUNCTION("""COMPUTED_VALUE"""),"POSTED")</f>
        <v>POSTED</v>
      </c>
      <c r="V1793" s="1"/>
      <c r="W1793" s="1"/>
    </row>
    <row r="1794" customHeight="1" spans="1:23">
      <c r="A1794" s="3">
        <f>IFERROR(__xludf.DUMMYFUNCTION("""COMPUTED_VALUE"""),46164)</f>
        <v>46164</v>
      </c>
      <c r="B1794" s="1" t="str">
        <f>IFERROR(__xludf.DUMMYFUNCTION("""COMPUTED_VALUE"""),"ESCARCHA, MA ALMA  ESCOTO")</f>
        <v>ESCARCHA, MA ALMA  ESCOTO</v>
      </c>
      <c r="C1794" s="1" t="str">
        <f>IFERROR(__xludf.DUMMYFUNCTION("""COMPUTED_VALUE"""),"ORGANIC")</f>
        <v>ORGANIC</v>
      </c>
      <c r="D1794" s="1" t="str">
        <f>IFERROR(__xludf.DUMMYFUNCTION("""COMPUTED_VALUE"""),"ALINGARO, CINDY")</f>
        <v>ALINGARO, CINDY</v>
      </c>
      <c r="E1794" s="1" t="str">
        <f>IFERROR(__xludf.DUMMYFUNCTION("""COMPUTED_VALUE"""),"PLDT / H2H")</f>
        <v>PLDT / H2H</v>
      </c>
      <c r="F1794" s="1">
        <f>IFERROR(__xludf.DUMMYFUNCTION("""COMPUTED_VALUE"""),2309654593)</f>
        <v>2309654593</v>
      </c>
      <c r="G1794" s="1">
        <f>IFERROR(__xludf.DUMMYFUNCTION("""COMPUTED_VALUE"""),455790770004)</f>
        <v>455790770004</v>
      </c>
      <c r="H1794" s="1" t="str">
        <f>IFERROR(__xludf.DUMMYFUNCTION("""COMPUTED_VALUE"""),"ANDREW VILLOCILLO GUBALLA")</f>
        <v>ANDREW VILLOCILLO GUBALLA</v>
      </c>
      <c r="I1794" s="1">
        <f>IFERROR(__xludf.DUMMYFUNCTION("""COMPUTED_VALUE"""),9464412983)</f>
        <v>9464412983</v>
      </c>
      <c r="J1794" s="1">
        <f>IFERROR(__xludf.DUMMYFUNCTION("""COMPUTED_VALUE"""),9482164846)</f>
        <v>9482164846</v>
      </c>
      <c r="K1794" s="1" t="str">
        <f>IFERROR(__xludf.DUMMYFUNCTION("""COMPUTED_VALUE"""),"VILLOCILLOLENY@GMAIL.COM")</f>
        <v>VILLOCILLOLENY@GMAIL.COM</v>
      </c>
      <c r="L1794" s="1" t="str">
        <f>IFERROR(__xludf.DUMMYFUNCTION("""COMPUTED_VALUE"""),"BLK L18 LOT 14")</f>
        <v>BLK L18 LOT 14</v>
      </c>
      <c r="M1794" s="1" t="str">
        <f>IFERROR(__xludf.DUMMYFUNCTION("""COMPUTED_VALUE"""),"EMMANUEL")</f>
        <v>EMMANUEL</v>
      </c>
      <c r="N1794" s="1"/>
      <c r="O1794" s="1" t="str">
        <f>IFERROR(__xludf.DUMMYFUNCTION("""COMPUTED_VALUE"""),"EMMANUEL BERGADO I")</f>
        <v>EMMANUEL BERGADO I</v>
      </c>
      <c r="P1794" s="1" t="str">
        <f>IFERROR(__xludf.DUMMYFUNCTION("""COMPUTED_VALUE"""),"DASMARINAS")</f>
        <v>DASMARINAS</v>
      </c>
      <c r="Q1794" s="1" t="str">
        <f>IFERROR(__xludf.DUMMYFUNCTION("""COMPUTED_VALUE"""),"CAVITE")</f>
        <v>CAVITE</v>
      </c>
      <c r="R1794" s="1" t="str">
        <f>IFERROR(__xludf.DUMMYFUNCTION("""COMPUTED_VALUE"""),"FIBR PLAN 1299")</f>
        <v>FIBR PLAN 1299</v>
      </c>
      <c r="S1794" s="1" t="str">
        <f>IFERROR(__xludf.DUMMYFUNCTION("""COMPUTED_VALUE"""),"APPROVED")</f>
        <v>APPROVED</v>
      </c>
      <c r="T1794" s="1" t="str">
        <f>IFERROR(__xludf.DUMMYFUNCTION("""COMPUTED_VALUE"""),"RPR")</f>
        <v>RPR</v>
      </c>
      <c r="U1794" s="1" t="str">
        <f>IFERROR(__xludf.DUMMYFUNCTION("""COMPUTED_VALUE"""),"NO PAYMENT")</f>
        <v>NO PAYMENT</v>
      </c>
      <c r="V1794" s="1"/>
      <c r="W1794" s="1"/>
    </row>
    <row r="1795" customHeight="1" spans="1:23">
      <c r="A1795" s="3">
        <f>IFERROR(__xludf.DUMMYFUNCTION("""COMPUTED_VALUE"""),46164)</f>
        <v>46164</v>
      </c>
      <c r="B1795" s="1" t="str">
        <f>IFERROR(__xludf.DUMMYFUNCTION("""COMPUTED_VALUE"""),"CASTILLEJOS, ARREL")</f>
        <v>CASTILLEJOS, ARREL</v>
      </c>
      <c r="C1795" s="1" t="str">
        <f>IFERROR(__xludf.DUMMYFUNCTION("""COMPUTED_VALUE"""),"ORGANIC")</f>
        <v>ORGANIC</v>
      </c>
      <c r="D1795" s="1" t="str">
        <f>IFERROR(__xludf.DUMMYFUNCTION("""COMPUTED_VALUE"""),"REMOLLO LEA")</f>
        <v>REMOLLO LEA</v>
      </c>
      <c r="E1795" s="1" t="str">
        <f>IFERROR(__xludf.DUMMYFUNCTION("""COMPUTED_VALUE"""),"PLDT / H2H")</f>
        <v>PLDT / H2H</v>
      </c>
      <c r="F1795" s="1">
        <f>IFERROR(__xludf.DUMMYFUNCTION("""COMPUTED_VALUE"""),2309654177)</f>
        <v>2309654177</v>
      </c>
      <c r="G1795" s="1">
        <f>IFERROR(__xludf.DUMMYFUNCTION("""COMPUTED_VALUE"""),455687625004)</f>
        <v>455687625004</v>
      </c>
      <c r="H1795" s="1" t="str">
        <f>IFERROR(__xludf.DUMMYFUNCTION("""COMPUTED_VALUE"""),"CARL GEVAN MENDIOLA BANUA")</f>
        <v>CARL GEVAN MENDIOLA BANUA</v>
      </c>
      <c r="I1795" s="1">
        <f>IFERROR(__xludf.DUMMYFUNCTION("""COMPUTED_VALUE"""),9675131142)</f>
        <v>9675131142</v>
      </c>
      <c r="J1795" s="1">
        <f>IFERROR(__xludf.DUMMYFUNCTION("""COMPUTED_VALUE"""),9706044517)</f>
        <v>9706044517</v>
      </c>
      <c r="K1795" s="1" t="str">
        <f>IFERROR(__xludf.DUMMYFUNCTION("""COMPUTED_VALUE"""),"IVANBANUA1430@GMAIL.COM")</f>
        <v>IVANBANUA1430@GMAIL.COM</v>
      </c>
      <c r="L1795" s="1" t="str">
        <f>IFERROR(__xludf.DUMMYFUNCTION("""COMPUTED_VALUE"""),"BLK 6 LOT 3")</f>
        <v>BLK 6 LOT 3</v>
      </c>
      <c r="M1795" s="1" t="str">
        <f>IFERROR(__xludf.DUMMYFUNCTION("""COMPUTED_VALUE"""),"NIA RD")</f>
        <v>NIA RD</v>
      </c>
      <c r="N1795" s="1" t="str">
        <f>IFERROR(__xludf.DUMMYFUNCTION("""COMPUTED_VALUE"""),"CHATEU ERMITAGE")</f>
        <v>CHATEU ERMITAGE</v>
      </c>
      <c r="O1795" s="1" t="str">
        <f>IFERROR(__xludf.DUMMYFUNCTION("""COMPUTED_VALUE"""),"CARSADANG BAGO I")</f>
        <v>CARSADANG BAGO I</v>
      </c>
      <c r="P1795" s="1" t="str">
        <f>IFERROR(__xludf.DUMMYFUNCTION("""COMPUTED_VALUE"""),"IMUS")</f>
        <v>IMUS</v>
      </c>
      <c r="Q1795" s="1" t="str">
        <f>IFERROR(__xludf.DUMMYFUNCTION("""COMPUTED_VALUE"""),"CAVITE")</f>
        <v>CAVITE</v>
      </c>
      <c r="R1795" s="1" t="str">
        <f>IFERROR(__xludf.DUMMYFUNCTION("""COMPUTED_VALUE"""),"FIBR NETFLIX PLAN 1599")</f>
        <v>FIBR NETFLIX PLAN 1599</v>
      </c>
      <c r="S1795" s="1" t="str">
        <f>IFERROR(__xludf.DUMMYFUNCTION("""COMPUTED_VALUE"""),"APPROVED")</f>
        <v>APPROVED</v>
      </c>
      <c r="T1795" s="1" t="str">
        <f>IFERROR(__xludf.DUMMYFUNCTION("""COMPUTED_VALUE"""),"RPR")</f>
        <v>RPR</v>
      </c>
      <c r="U1795" s="1" t="str">
        <f>IFERROR(__xludf.DUMMYFUNCTION("""COMPUTED_VALUE"""),"NO PAYMENT")</f>
        <v>NO PAYMENT</v>
      </c>
      <c r="V1795" s="1"/>
      <c r="W1795" s="1"/>
    </row>
    <row r="1796" customHeight="1" spans="1:23">
      <c r="A1796" s="3">
        <f>IFERROR(__xludf.DUMMYFUNCTION("""COMPUTED_VALUE"""),46164)</f>
        <v>46164</v>
      </c>
      <c r="B1796" s="1" t="str">
        <f>IFERROR(__xludf.DUMMYFUNCTION("""COMPUTED_VALUE"""),"AYON MANUEL")</f>
        <v>AYON MANUEL</v>
      </c>
      <c r="C1796" s="1" t="str">
        <f>IFERROR(__xludf.DUMMYFUNCTION("""COMPUTED_VALUE"""),"FLA")</f>
        <v>FLA</v>
      </c>
      <c r="D1796" s="1" t="str">
        <f>IFERROR(__xludf.DUMMYFUNCTION("""COMPUTED_VALUE"""),"JERIC NAVARRO")</f>
        <v>JERIC NAVARRO</v>
      </c>
      <c r="E1796" s="1" t="str">
        <f>IFERROR(__xludf.DUMMYFUNCTION("""COMPUTED_VALUE"""),"PLDT / H2H")</f>
        <v>PLDT / H2H</v>
      </c>
      <c r="F1796" s="1">
        <f>IFERROR(__xludf.DUMMYFUNCTION("""COMPUTED_VALUE"""),2309656635)</f>
        <v>2309656635</v>
      </c>
      <c r="G1796" s="1">
        <f>IFERROR(__xludf.DUMMYFUNCTION("""COMPUTED_VALUE"""),455697530004)</f>
        <v>455697530004</v>
      </c>
      <c r="H1796" s="1" t="str">
        <f>IFERROR(__xludf.DUMMYFUNCTION("""COMPUTED_VALUE"""),"ELROBE BACANI RORALDO")</f>
        <v>ELROBE BACANI RORALDO</v>
      </c>
      <c r="I1796" s="1">
        <f>IFERROR(__xludf.DUMMYFUNCTION("""COMPUTED_VALUE"""),9266231952)</f>
        <v>9266231952</v>
      </c>
      <c r="J1796" s="1">
        <f>IFERROR(__xludf.DUMMYFUNCTION("""COMPUTED_VALUE"""),9672404369)</f>
        <v>9672404369</v>
      </c>
      <c r="K1796" s="1" t="str">
        <f>IFERROR(__xludf.DUMMYFUNCTION("""COMPUTED_VALUE"""),"REGELSRORALDO@GMAIL.COM")</f>
        <v>REGELSRORALDO@GMAIL.COM</v>
      </c>
      <c r="L1796" s="1" t="str">
        <f>IFERROR(__xludf.DUMMYFUNCTION("""COMPUTED_VALUE"""),"3")</f>
        <v>3</v>
      </c>
      <c r="M1796" s="1" t="str">
        <f>IFERROR(__xludf.DUMMYFUNCTION("""COMPUTED_VALUE"""),"TAGAYTAY ALFONSO")</f>
        <v>TAGAYTAY ALFONSO</v>
      </c>
      <c r="N1796" s="1"/>
      <c r="O1796" s="1" t="str">
        <f>IFERROR(__xludf.DUMMYFUNCTION("""COMPUTED_VALUE"""),"GUINHAWA NORTH")</f>
        <v>GUINHAWA NORTH</v>
      </c>
      <c r="P1796" s="1" t="str">
        <f>IFERROR(__xludf.DUMMYFUNCTION("""COMPUTED_VALUE"""),"TAGAYTAY")</f>
        <v>TAGAYTAY</v>
      </c>
      <c r="Q1796" s="1" t="str">
        <f>IFERROR(__xludf.DUMMYFUNCTION("""COMPUTED_VALUE"""),"CAVITE")</f>
        <v>CAVITE</v>
      </c>
      <c r="R1796" s="1" t="str">
        <f>IFERROR(__xludf.DUMMYFUNCTION("""COMPUTED_VALUE"""),"FIBR UNLI ALL PLAN 1399")</f>
        <v>FIBR UNLI ALL PLAN 1399</v>
      </c>
      <c r="S1796" s="1" t="str">
        <f>IFERROR(__xludf.DUMMYFUNCTION("""COMPUTED_VALUE"""),"APPROVED")</f>
        <v>APPROVED</v>
      </c>
      <c r="T1796" s="1" t="str">
        <f>IFERROR(__xludf.DUMMYFUNCTION("""COMPUTED_VALUE"""),"CLOSED")</f>
        <v>CLOSED</v>
      </c>
      <c r="U1796" s="1" t="str">
        <f>IFERROR(__xludf.DUMMYFUNCTION("""COMPUTED_VALUE"""),"POSTED")</f>
        <v>POSTED</v>
      </c>
      <c r="V1796" s="1"/>
      <c r="W1796" s="1"/>
    </row>
    <row r="1797" customHeight="1" spans="1:23">
      <c r="A1797" s="3">
        <f>IFERROR(__xludf.DUMMYFUNCTION("""COMPUTED_VALUE"""),46164)</f>
        <v>46164</v>
      </c>
      <c r="B1797" s="1" t="str">
        <f>IFERROR(__xludf.DUMMYFUNCTION("""COMPUTED_VALUE"""),"FRONDEZ, JEDREFF")</f>
        <v>FRONDEZ, JEDREFF</v>
      </c>
      <c r="C1797" s="1" t="str">
        <f>IFERROR(__xludf.DUMMYFUNCTION("""COMPUTED_VALUE"""),"ORGANIC")</f>
        <v>ORGANIC</v>
      </c>
      <c r="D1797" s="1" t="str">
        <f>IFERROR(__xludf.DUMMYFUNCTION("""COMPUTED_VALUE"""),"REMOLLO LEA")</f>
        <v>REMOLLO LEA</v>
      </c>
      <c r="E1797" s="1" t="str">
        <f>IFERROR(__xludf.DUMMYFUNCTION("""COMPUTED_VALUE"""),"PLDT / H2H")</f>
        <v>PLDT / H2H</v>
      </c>
      <c r="F1797" s="1">
        <f>IFERROR(__xludf.DUMMYFUNCTION("""COMPUTED_VALUE"""),2309657027)</f>
        <v>2309657027</v>
      </c>
      <c r="G1797" s="1">
        <f>IFERROR(__xludf.DUMMYFUNCTION("""COMPUTED_VALUE"""),455689801004)</f>
        <v>455689801004</v>
      </c>
      <c r="H1797" s="1" t="str">
        <f>IFERROR(__xludf.DUMMYFUNCTION("""COMPUTED_VALUE"""),"JOJIT DE LA ROSA MANAHAN")</f>
        <v>JOJIT DE LA ROSA MANAHAN</v>
      </c>
      <c r="I1797" s="1">
        <f>IFERROR(__xludf.DUMMYFUNCTION("""COMPUTED_VALUE"""),9562591548)</f>
        <v>9562591548</v>
      </c>
      <c r="J1797" s="1">
        <f>IFERROR(__xludf.DUMMYFUNCTION("""COMPUTED_VALUE"""),9708362112)</f>
        <v>9708362112</v>
      </c>
      <c r="K1797" s="1" t="str">
        <f>IFERROR(__xludf.DUMMYFUNCTION("""COMPUTED_VALUE"""),"RAVERMANAHAN@GMAIL.COM")</f>
        <v>RAVERMANAHAN@GMAIL.COM</v>
      </c>
      <c r="L1797" s="1" t="str">
        <f>IFERROR(__xludf.DUMMYFUNCTION("""COMPUTED_VALUE"""),"BLK 11 LOT 6")</f>
        <v>BLK 11 LOT 6</v>
      </c>
      <c r="M1797" s="1" t="str">
        <f>IFERROR(__xludf.DUMMYFUNCTION("""COMPUTED_VALUE"""),"ZAMBAL")</f>
        <v>ZAMBAL</v>
      </c>
      <c r="N1797" s="1" t="str">
        <f>IFERROR(__xludf.DUMMYFUNCTION("""COMPUTED_VALUE"""),"PABAHAY")</f>
        <v>PABAHAY</v>
      </c>
      <c r="O1797" s="1" t="str">
        <f>IFERROR(__xludf.DUMMYFUNCTION("""COMPUTED_VALUE"""),"ZAMBAL")</f>
        <v>ZAMBAL</v>
      </c>
      <c r="P1797" s="1" t="str">
        <f>IFERROR(__xludf.DUMMYFUNCTION("""COMPUTED_VALUE"""),"TAGAYTAY")</f>
        <v>TAGAYTAY</v>
      </c>
      <c r="Q1797" s="1" t="str">
        <f>IFERROR(__xludf.DUMMYFUNCTION("""COMPUTED_VALUE"""),"CAVITE")</f>
        <v>CAVITE</v>
      </c>
      <c r="R1797" s="1" t="str">
        <f>IFERROR(__xludf.DUMMYFUNCTION("""COMPUTED_VALUE"""),"FIBR NETFLIX PLAN 1599")</f>
        <v>FIBR NETFLIX PLAN 1599</v>
      </c>
      <c r="S1797" s="1" t="str">
        <f>IFERROR(__xludf.DUMMYFUNCTION("""COMPUTED_VALUE"""),"APPROVED")</f>
        <v>APPROVED</v>
      </c>
      <c r="T1797" s="1" t="str">
        <f>IFERROR(__xludf.DUMMYFUNCTION("""COMPUTED_VALUE"""),"CLOSED")</f>
        <v>CLOSED</v>
      </c>
      <c r="U1797" s="1" t="str">
        <f>IFERROR(__xludf.DUMMYFUNCTION("""COMPUTED_VALUE"""),"POSTED")</f>
        <v>POSTED</v>
      </c>
      <c r="V1797" s="1"/>
      <c r="W1797" s="1"/>
    </row>
    <row r="1798" customHeight="1" spans="1:23">
      <c r="A1798" s="3">
        <f>IFERROR(__xludf.DUMMYFUNCTION("""COMPUTED_VALUE"""),46164)</f>
        <v>46164</v>
      </c>
      <c r="B1798" s="1" t="str">
        <f>IFERROR(__xludf.DUMMYFUNCTION("""COMPUTED_VALUE"""),"GABAY, MANUEL")</f>
        <v>GABAY, MANUEL</v>
      </c>
      <c r="C1798" s="1" t="str">
        <f>IFERROR(__xludf.DUMMYFUNCTION("""COMPUTED_VALUE"""),"FLA")</f>
        <v>FLA</v>
      </c>
      <c r="D1798" s="1" t="str">
        <f>IFERROR(__xludf.DUMMYFUNCTION("""COMPUTED_VALUE"""),"JERIC NAVARRO")</f>
        <v>JERIC NAVARRO</v>
      </c>
      <c r="E1798" s="1" t="str">
        <f>IFERROR(__xludf.DUMMYFUNCTION("""COMPUTED_VALUE"""),"HOME BIZZ")</f>
        <v>HOME BIZZ</v>
      </c>
      <c r="F1798" s="1">
        <f>IFERROR(__xludf.DUMMYFUNCTION("""COMPUTED_VALUE"""),2309709135)</f>
        <v>2309709135</v>
      </c>
      <c r="G1798" s="1">
        <f>IFERROR(__xludf.DUMMYFUNCTION("""COMPUTED_VALUE"""),456140750004)</f>
        <v>456140750004</v>
      </c>
      <c r="H1798" s="1" t="str">
        <f>IFERROR(__xludf.DUMMYFUNCTION("""COMPUTED_VALUE"""),"BEETCOTEA COFFEE")</f>
        <v>BEETCOTEA COFFEE</v>
      </c>
      <c r="I1798" s="1">
        <f>IFERROR(__xludf.DUMMYFUNCTION("""COMPUTED_VALUE"""),9175128274)</f>
        <v>9175128274</v>
      </c>
      <c r="J1798" s="1"/>
      <c r="K1798" s="1" t="str">
        <f>IFERROR(__xludf.DUMMYFUNCTION("""COMPUTED_VALUE"""),"NATIVIDADROYFARANCIA@GMAIL.COM")</f>
        <v>NATIVIDADROYFARANCIA@GMAIL.COM</v>
      </c>
      <c r="L1798" s="1"/>
      <c r="M1798" s="1" t="str">
        <f>IFERROR(__xludf.DUMMYFUNCTION("""COMPUTED_VALUE"""),"PALIPARAN RD")</f>
        <v>PALIPARAN RD</v>
      </c>
      <c r="N1798" s="1"/>
      <c r="O1798" s="1" t="str">
        <f>IFERROR(__xludf.DUMMYFUNCTION("""COMPUTED_VALUE"""),"PALIPARAN III")</f>
        <v>PALIPARAN III</v>
      </c>
      <c r="P1798" s="1" t="str">
        <f>IFERROR(__xludf.DUMMYFUNCTION("""COMPUTED_VALUE"""),"DASMARINAS")</f>
        <v>DASMARINAS</v>
      </c>
      <c r="Q1798" s="1" t="str">
        <f>IFERROR(__xludf.DUMMYFUNCTION("""COMPUTED_VALUE"""),"CAVITE")</f>
        <v>CAVITE</v>
      </c>
      <c r="R1798" s="1" t="str">
        <f>IFERROR(__xludf.DUMMYFUNCTION("""COMPUTED_VALUE"""),"HOME BIZ PLAN 1299")</f>
        <v>HOME BIZ PLAN 1299</v>
      </c>
      <c r="S1798" s="1" t="str">
        <f>IFERROR(__xludf.DUMMYFUNCTION("""COMPUTED_VALUE"""),"APPROVED")</f>
        <v>APPROVED</v>
      </c>
      <c r="T1798" s="1" t="str">
        <f>IFERROR(__xludf.DUMMYFUNCTION("""COMPUTED_VALUE"""),"CLOSED")</f>
        <v>CLOSED</v>
      </c>
      <c r="U1798" s="1"/>
      <c r="V1798" s="1"/>
      <c r="W1798" s="1"/>
    </row>
    <row r="1799" customHeight="1" spans="1:23">
      <c r="A1799" s="3">
        <f>IFERROR(__xludf.DUMMYFUNCTION("""COMPUTED_VALUE"""),46164)</f>
        <v>46164</v>
      </c>
      <c r="B1799" s="1" t="str">
        <f>IFERROR(__xludf.DUMMYFUNCTION("""COMPUTED_VALUE"""),"DELA ROSA, JENNELYN")</f>
        <v>DELA ROSA, JENNELYN</v>
      </c>
      <c r="C1799" s="1" t="str">
        <f>IFERROR(__xludf.DUMMYFUNCTION("""COMPUTED_VALUE"""),"ORGANIC")</f>
        <v>ORGANIC</v>
      </c>
      <c r="D1799" s="1" t="str">
        <f>IFERROR(__xludf.DUMMYFUNCTION("""COMPUTED_VALUE"""),"ALOS, CHARLS")</f>
        <v>ALOS, CHARLS</v>
      </c>
      <c r="E1799" s="1" t="str">
        <f>IFERROR(__xludf.DUMMYFUNCTION("""COMPUTED_VALUE"""),"PLDT / H2H")</f>
        <v>PLDT / H2H</v>
      </c>
      <c r="F1799" s="1">
        <f>IFERROR(__xludf.DUMMYFUNCTION("""COMPUTED_VALUE"""),2309673361)</f>
        <v>2309673361</v>
      </c>
      <c r="G1799" s="1">
        <f>IFERROR(__xludf.DUMMYFUNCTION("""COMPUTED_VALUE"""),455790514004)</f>
        <v>455790514004</v>
      </c>
      <c r="H1799" s="1" t="str">
        <f>IFERROR(__xludf.DUMMYFUNCTION("""COMPUTED_VALUE"""),"JHUNEL CABRAL HERNANDO")</f>
        <v>JHUNEL CABRAL HERNANDO</v>
      </c>
      <c r="I1799" s="1">
        <f>IFERROR(__xludf.DUMMYFUNCTION("""COMPUTED_VALUE"""),9279923858)</f>
        <v>9279923858</v>
      </c>
      <c r="J1799" s="1">
        <f>IFERROR(__xludf.DUMMYFUNCTION("""COMPUTED_VALUE"""),9272222208)</f>
        <v>9272222208</v>
      </c>
      <c r="K1799" s="1" t="str">
        <f>IFERROR(__xludf.DUMMYFUNCTION("""COMPUTED_VALUE"""),"JHUNELHERNANDO@GMAIL.COM")</f>
        <v>JHUNELHERNANDO@GMAIL.COM</v>
      </c>
      <c r="L1799" s="1" t="str">
        <f>IFERROR(__xludf.DUMMYFUNCTION("""COMPUTED_VALUE"""),"BLK 11 LOT 8")</f>
        <v>BLK 11 LOT 8</v>
      </c>
      <c r="M1799" s="1" t="str">
        <f>IFERROR(__xludf.DUMMYFUNCTION("""COMPUTED_VALUE"""),"ZAMBAL")</f>
        <v>ZAMBAL</v>
      </c>
      <c r="N1799" s="1" t="str">
        <f>IFERROR(__xludf.DUMMYFUNCTION("""COMPUTED_VALUE"""),"PABAHAY")</f>
        <v>PABAHAY</v>
      </c>
      <c r="O1799" s="1" t="str">
        <f>IFERROR(__xludf.DUMMYFUNCTION("""COMPUTED_VALUE"""),"ZAMBAL")</f>
        <v>ZAMBAL</v>
      </c>
      <c r="P1799" s="1" t="str">
        <f>IFERROR(__xludf.DUMMYFUNCTION("""COMPUTED_VALUE"""),"TAGAYTAY")</f>
        <v>TAGAYTAY</v>
      </c>
      <c r="Q1799" s="1" t="str">
        <f>IFERROR(__xludf.DUMMYFUNCTION("""COMPUTED_VALUE"""),"CAVITE")</f>
        <v>CAVITE</v>
      </c>
      <c r="R1799" s="1" t="str">
        <f>IFERROR(__xludf.DUMMYFUNCTION("""COMPUTED_VALUE"""),"FIBR NETFLIX PLAN 1599")</f>
        <v>FIBR NETFLIX PLAN 1599</v>
      </c>
      <c r="S1799" s="1" t="str">
        <f>IFERROR(__xludf.DUMMYFUNCTION("""COMPUTED_VALUE"""),"APPROVED")</f>
        <v>APPROVED</v>
      </c>
      <c r="T1799" s="1" t="str">
        <f>IFERROR(__xludf.DUMMYFUNCTION("""COMPUTED_VALUE"""),"CLOSED")</f>
        <v>CLOSED</v>
      </c>
      <c r="U1799" s="1" t="str">
        <f>IFERROR(__xludf.DUMMYFUNCTION("""COMPUTED_VALUE"""),"POSTED")</f>
        <v>POSTED</v>
      </c>
      <c r="V1799" s="1"/>
      <c r="W1799" s="1"/>
    </row>
    <row r="1800" customHeight="1" spans="1:23">
      <c r="A1800" s="3">
        <f>IFERROR(__xludf.DUMMYFUNCTION("""COMPUTED_VALUE"""),46164)</f>
        <v>46164</v>
      </c>
      <c r="B1800" s="1" t="str">
        <f>IFERROR(__xludf.DUMMYFUNCTION("""COMPUTED_VALUE"""),"FERNANDEZ JERIC")</f>
        <v>FERNANDEZ JERIC</v>
      </c>
      <c r="C1800" s="1" t="str">
        <f>IFERROR(__xludf.DUMMYFUNCTION("""COMPUTED_VALUE"""),"ORGANIC")</f>
        <v>ORGANIC</v>
      </c>
      <c r="D1800" s="1" t="str">
        <f>IFERROR(__xludf.DUMMYFUNCTION("""COMPUTED_VALUE"""),"ALOS, CHARLS")</f>
        <v>ALOS, CHARLS</v>
      </c>
      <c r="E1800" s="1" t="str">
        <f>IFERROR(__xludf.DUMMYFUNCTION("""COMPUTED_VALUE"""),"PLDT / H2H")</f>
        <v>PLDT / H2H</v>
      </c>
      <c r="F1800" s="1">
        <f>IFERROR(__xludf.DUMMYFUNCTION("""COMPUTED_VALUE"""),2309657413)</f>
        <v>2309657413</v>
      </c>
      <c r="G1800" s="1">
        <f>IFERROR(__xludf.DUMMYFUNCTION("""COMPUTED_VALUE"""),455690603004)</f>
        <v>455690603004</v>
      </c>
      <c r="H1800" s="1" t="str">
        <f>IFERROR(__xludf.DUMMYFUNCTION("""COMPUTED_VALUE"""),"ROYDAN BINTIGAO AMARILLE")</f>
        <v>ROYDAN BINTIGAO AMARILLE</v>
      </c>
      <c r="I1800" s="1">
        <f>IFERROR(__xludf.DUMMYFUNCTION("""COMPUTED_VALUE"""),9167760051)</f>
        <v>9167760051</v>
      </c>
      <c r="J1800" s="1">
        <f>IFERROR(__xludf.DUMMYFUNCTION("""COMPUTED_VALUE"""),9452735558)</f>
        <v>9452735558</v>
      </c>
      <c r="K1800" s="1" t="str">
        <f>IFERROR(__xludf.DUMMYFUNCTION("""COMPUTED_VALUE"""),"ROYDANAMARILLE8@GMAIL.COM")</f>
        <v>ROYDANAMARILLE8@GMAIL.COM</v>
      </c>
      <c r="L1800" s="1" t="str">
        <f>IFERROR(__xludf.DUMMYFUNCTION("""COMPUTED_VALUE"""),"BLK 9 LOT 4")</f>
        <v>BLK 9 LOT 4</v>
      </c>
      <c r="M1800" s="1" t="str">
        <f>IFERROR(__xludf.DUMMYFUNCTION("""COMPUTED_VALUE"""),"BUKLURAN 4")</f>
        <v>BUKLURAN 4</v>
      </c>
      <c r="N1800" s="1"/>
      <c r="O1800" s="1" t="str">
        <f>IFERROR(__xludf.DUMMYFUNCTION("""COMPUTED_VALUE"""),"BULIHAN")</f>
        <v>BULIHAN</v>
      </c>
      <c r="P1800" s="1" t="str">
        <f>IFERROR(__xludf.DUMMYFUNCTION("""COMPUTED_VALUE"""),"SILANG")</f>
        <v>SILANG</v>
      </c>
      <c r="Q1800" s="1" t="str">
        <f>IFERROR(__xludf.DUMMYFUNCTION("""COMPUTED_VALUE"""),"CAVITE")</f>
        <v>CAVITE</v>
      </c>
      <c r="R1800" s="1" t="str">
        <f>IFERROR(__xludf.DUMMYFUNCTION("""COMPUTED_VALUE"""),"FIBR UNLI ALL PLAN 1399")</f>
        <v>FIBR UNLI ALL PLAN 1399</v>
      </c>
      <c r="S1800" s="1" t="str">
        <f>IFERROR(__xludf.DUMMYFUNCTION("""COMPUTED_VALUE"""),"APPROVED")</f>
        <v>APPROVED</v>
      </c>
      <c r="T1800" s="1" t="str">
        <f>IFERROR(__xludf.DUMMYFUNCTION("""COMPUTED_VALUE"""),"CLOSED")</f>
        <v>CLOSED</v>
      </c>
      <c r="U1800" s="1" t="str">
        <f>IFERROR(__xludf.DUMMYFUNCTION("""COMPUTED_VALUE"""),"POSTED")</f>
        <v>POSTED</v>
      </c>
      <c r="V1800" s="1"/>
      <c r="W1800" s="1"/>
    </row>
    <row r="1801" customHeight="1" spans="1:23">
      <c r="A1801" s="3">
        <f>IFERROR(__xludf.DUMMYFUNCTION("""COMPUTED_VALUE"""),46164)</f>
        <v>46164</v>
      </c>
      <c r="B1801" s="1" t="str">
        <f>IFERROR(__xludf.DUMMYFUNCTION("""COMPUTED_VALUE"""),"AGUNOS, JHON AIRVIN")</f>
        <v>AGUNOS, JHON AIRVIN</v>
      </c>
      <c r="C1801" s="1" t="str">
        <f>IFERROR(__xludf.DUMMYFUNCTION("""COMPUTED_VALUE"""),"ORGANIC")</f>
        <v>ORGANIC</v>
      </c>
      <c r="D1801" s="1" t="str">
        <f>IFERROR(__xludf.DUMMYFUNCTION("""COMPUTED_VALUE"""),"ALINGARO, CINDY")</f>
        <v>ALINGARO, CINDY</v>
      </c>
      <c r="E1801" s="1" t="str">
        <f>IFERROR(__xludf.DUMMYFUNCTION("""COMPUTED_VALUE"""),"PLDT / H2H")</f>
        <v>PLDT / H2H</v>
      </c>
      <c r="F1801" s="1">
        <f>IFERROR(__xludf.DUMMYFUNCTION("""COMPUTED_VALUE"""),2309658149)</f>
        <v>2309658149</v>
      </c>
      <c r="G1801" s="1">
        <f>IFERROR(__xludf.DUMMYFUNCTION("""COMPUTED_VALUE"""),455691702004)</f>
        <v>455691702004</v>
      </c>
      <c r="H1801" s="1" t="str">
        <f>IFERROR(__xludf.DUMMYFUNCTION("""COMPUTED_VALUE"""),"BRIAN MACABEA")</f>
        <v>BRIAN MACABEA</v>
      </c>
      <c r="I1801" s="1">
        <f>IFERROR(__xludf.DUMMYFUNCTION("""COMPUTED_VALUE"""),9757014633)</f>
        <v>9757014633</v>
      </c>
      <c r="J1801" s="1"/>
      <c r="K1801" s="1" t="str">
        <f>IFERROR(__xludf.DUMMYFUNCTION("""COMPUTED_VALUE"""),"JUSTINEAGABON36@GMAIL.COM")</f>
        <v>JUSTINEAGABON36@GMAIL.COM</v>
      </c>
      <c r="L1801" s="1" t="str">
        <f>IFERROR(__xludf.DUMMYFUNCTION("""COMPUTED_VALUE"""),"38")</f>
        <v>38</v>
      </c>
      <c r="M1801" s="1" t="str">
        <f>IFERROR(__xludf.DUMMYFUNCTION("""COMPUTED_VALUE"""),"POOC 1")</f>
        <v>POOC 1</v>
      </c>
      <c r="N1801" s="1"/>
      <c r="O1801" s="1" t="str">
        <f>IFERROR(__xludf.DUMMYFUNCTION("""COMPUTED_VALUE"""),"POOC I")</f>
        <v>POOC I</v>
      </c>
      <c r="P1801" s="1" t="str">
        <f>IFERROR(__xludf.DUMMYFUNCTION("""COMPUTED_VALUE"""),"SILANG")</f>
        <v>SILANG</v>
      </c>
      <c r="Q1801" s="1" t="str">
        <f>IFERROR(__xludf.DUMMYFUNCTION("""COMPUTED_VALUE"""),"CAVITE")</f>
        <v>CAVITE</v>
      </c>
      <c r="R1801" s="1" t="str">
        <f>IFERROR(__xludf.DUMMYFUNCTION("""COMPUTED_VALUE"""),"FIBR PLAN 1299")</f>
        <v>FIBR PLAN 1299</v>
      </c>
      <c r="S1801" s="1" t="str">
        <f>IFERROR(__xludf.DUMMYFUNCTION("""COMPUTED_VALUE"""),"APPROVED")</f>
        <v>APPROVED</v>
      </c>
      <c r="T1801" s="1" t="str">
        <f>IFERROR(__xludf.DUMMYFUNCTION("""COMPUTED_VALUE"""),"CLOSED")</f>
        <v>CLOSED</v>
      </c>
      <c r="U1801" s="1" t="str">
        <f>IFERROR(__xludf.DUMMYFUNCTION("""COMPUTED_VALUE"""),"POSTED")</f>
        <v>POSTED</v>
      </c>
      <c r="V1801" s="1"/>
      <c r="W1801" s="1"/>
    </row>
    <row r="1802" customHeight="1" spans="1:23">
      <c r="A1802" s="3">
        <f>IFERROR(__xludf.DUMMYFUNCTION("""COMPUTED_VALUE"""),46164)</f>
        <v>46164</v>
      </c>
      <c r="B1802" s="1" t="str">
        <f>IFERROR(__xludf.DUMMYFUNCTION("""COMPUTED_VALUE"""),"FRANCISCO , ROSELYN")</f>
        <v>FRANCISCO , ROSELYN</v>
      </c>
      <c r="C1802" s="1" t="str">
        <f>IFERROR(__xludf.DUMMYFUNCTION("""COMPUTED_VALUE"""),"ORGANIC")</f>
        <v>ORGANIC</v>
      </c>
      <c r="D1802" s="1" t="str">
        <f>IFERROR(__xludf.DUMMYFUNCTION("""COMPUTED_VALUE"""),"ALOS, CHARLS")</f>
        <v>ALOS, CHARLS</v>
      </c>
      <c r="E1802" s="1" t="str">
        <f>IFERROR(__xludf.DUMMYFUNCTION("""COMPUTED_VALUE"""),"PLDT / H2H")</f>
        <v>PLDT / H2H</v>
      </c>
      <c r="F1802" s="1">
        <f>IFERROR(__xludf.DUMMYFUNCTION("""COMPUTED_VALUE"""),2309658255)</f>
        <v>2309658255</v>
      </c>
      <c r="G1802" s="1">
        <f>IFERROR(__xludf.DUMMYFUNCTION("""COMPUTED_VALUE"""),455703537004)</f>
        <v>455703537004</v>
      </c>
      <c r="H1802" s="1" t="str">
        <f>IFERROR(__xludf.DUMMYFUNCTION("""COMPUTED_VALUE"""),"NORIEL ORAGA REYES")</f>
        <v>NORIEL ORAGA REYES</v>
      </c>
      <c r="I1802" s="1">
        <f>IFERROR(__xludf.DUMMYFUNCTION("""COMPUTED_VALUE"""),9452964891)</f>
        <v>9452964891</v>
      </c>
      <c r="J1802" s="1">
        <f>IFERROR(__xludf.DUMMYFUNCTION("""COMPUTED_VALUE"""),9631506173)</f>
        <v>9631506173</v>
      </c>
      <c r="K1802" s="1" t="str">
        <f>IFERROR(__xludf.DUMMYFUNCTION("""COMPUTED_VALUE"""),"YHUANCED6@GMAIL.COM")</f>
        <v>YHUANCED6@GMAIL.COM</v>
      </c>
      <c r="L1802" s="1" t="str">
        <f>IFERROR(__xludf.DUMMYFUNCTION("""COMPUTED_VALUE"""),"9110")</f>
        <v>9110</v>
      </c>
      <c r="M1802" s="1" t="str">
        <f>IFERROR(__xludf.DUMMYFUNCTION("""COMPUTED_VALUE"""),"PUROK 22")</f>
        <v>PUROK 22</v>
      </c>
      <c r="N1802" s="1"/>
      <c r="O1802" s="1" t="str">
        <f>IFERROR(__xludf.DUMMYFUNCTION("""COMPUTED_VALUE"""),"FRANCISCO (SAN FRANCISCO)")</f>
        <v>FRANCISCO (SAN FRANCISCO)</v>
      </c>
      <c r="P1802" s="1" t="str">
        <f>IFERROR(__xludf.DUMMYFUNCTION("""COMPUTED_VALUE"""),"TAGAYTAY")</f>
        <v>TAGAYTAY</v>
      </c>
      <c r="Q1802" s="1" t="str">
        <f>IFERROR(__xludf.DUMMYFUNCTION("""COMPUTED_VALUE"""),"CAVITE")</f>
        <v>CAVITE</v>
      </c>
      <c r="R1802" s="1" t="str">
        <f>IFERROR(__xludf.DUMMYFUNCTION("""COMPUTED_VALUE"""),"FIBR UNLI ALL PLAN 1799")</f>
        <v>FIBR UNLI ALL PLAN 1799</v>
      </c>
      <c r="S1802" s="1" t="str">
        <f>IFERROR(__xludf.DUMMYFUNCTION("""COMPUTED_VALUE"""),"APPROVED")</f>
        <v>APPROVED</v>
      </c>
      <c r="T1802" s="1" t="str">
        <f>IFERROR(__xludf.DUMMYFUNCTION("""COMPUTED_VALUE"""),"RPR")</f>
        <v>RPR</v>
      </c>
      <c r="U1802" s="1" t="str">
        <f>IFERROR(__xludf.DUMMYFUNCTION("""COMPUTED_VALUE"""),"NO PAYMENT")</f>
        <v>NO PAYMENT</v>
      </c>
      <c r="V1802" s="1"/>
      <c r="W1802" s="1"/>
    </row>
    <row r="1803" customHeight="1" spans="1:23">
      <c r="A1803" s="3">
        <f>IFERROR(__xludf.DUMMYFUNCTION("""COMPUTED_VALUE"""),46164)</f>
        <v>46164</v>
      </c>
      <c r="B1803" s="1" t="str">
        <f>IFERROR(__xludf.DUMMYFUNCTION("""COMPUTED_VALUE"""),"ADVINCULA, NICOLE")</f>
        <v>ADVINCULA, NICOLE</v>
      </c>
      <c r="C1803" s="1" t="str">
        <f>IFERROR(__xludf.DUMMYFUNCTION("""COMPUTED_VALUE"""),"ORGANIC")</f>
        <v>ORGANIC</v>
      </c>
      <c r="D1803" s="1" t="str">
        <f>IFERROR(__xludf.DUMMYFUNCTION("""COMPUTED_VALUE"""),"ALINGARO, CINDY")</f>
        <v>ALINGARO, CINDY</v>
      </c>
      <c r="E1803" s="1" t="str">
        <f>IFERROR(__xludf.DUMMYFUNCTION("""COMPUTED_VALUE"""),"PLDT / H2H")</f>
        <v>PLDT / H2H</v>
      </c>
      <c r="F1803" s="1"/>
      <c r="G1803" s="1"/>
      <c r="H1803" s="1" t="str">
        <f>IFERROR(__xludf.DUMMYFUNCTION("""COMPUTED_VALUE"""),"CECILE BALITIAN CAPULE")</f>
        <v>CECILE BALITIAN CAPULE</v>
      </c>
      <c r="I1803" s="1">
        <f>IFERROR(__xludf.DUMMYFUNCTION("""COMPUTED_VALUE"""),9637835841)</f>
        <v>9637835841</v>
      </c>
      <c r="J1803" s="1"/>
      <c r="K1803" s="1" t="str">
        <f>IFERROR(__xludf.DUMMYFUNCTION("""COMPUTED_VALUE"""),"CECILECAPULE47@GMAIL.COM")</f>
        <v>CECILECAPULE47@GMAIL.COM</v>
      </c>
      <c r="L1803" s="1" t="str">
        <f>IFERROR(__xludf.DUMMYFUNCTION("""COMPUTED_VALUE"""),"BLK 8 LOT 2")</f>
        <v>BLK 8 LOT 2</v>
      </c>
      <c r="M1803" s="1" t="str">
        <f>IFERROR(__xludf.DUMMYFUNCTION("""COMPUTED_VALUE"""),"NARRA 2")</f>
        <v>NARRA 2</v>
      </c>
      <c r="N1803" s="1"/>
      <c r="O1803" s="1" t="str">
        <f>IFERROR(__xludf.DUMMYFUNCTION("""COMPUTED_VALUE"""),"NARRA II")</f>
        <v>NARRA II</v>
      </c>
      <c r="P1803" s="1" t="str">
        <f>IFERROR(__xludf.DUMMYFUNCTION("""COMPUTED_VALUE"""),"SILANG")</f>
        <v>SILANG</v>
      </c>
      <c r="Q1803" s="1" t="str">
        <f>IFERROR(__xludf.DUMMYFUNCTION("""COMPUTED_VALUE"""),"CAVITE")</f>
        <v>CAVITE</v>
      </c>
      <c r="R1803" s="1" t="str">
        <f>IFERROR(__xludf.DUMMYFUNCTION("""COMPUTED_VALUE"""),"FIBR UNLI ALL PLAN 999")</f>
        <v>FIBR UNLI ALL PLAN 999</v>
      </c>
      <c r="S1803" s="1" t="str">
        <f>IFERROR(__xludf.DUMMYFUNCTION("""COMPUTED_VALUE"""),"FOR CALLBACK / CANNOT BE REACHED")</f>
        <v>FOR CALLBACK / CANNOT BE REACHED</v>
      </c>
      <c r="T1803" s="1" t="str">
        <f>IFERROR(__xludf.DUMMYFUNCTION("""COMPUTED_VALUE"""),"UNCONTACBLE CBR")</f>
        <v>UNCONTACBLE CBR</v>
      </c>
      <c r="U1803" s="1"/>
      <c r="V1803" s="1"/>
      <c r="W1803" s="1"/>
    </row>
    <row r="1804" customHeight="1" spans="1:23">
      <c r="A1804" s="3">
        <f>IFERROR(__xludf.DUMMYFUNCTION("""COMPUTED_VALUE"""),46164)</f>
        <v>46164</v>
      </c>
      <c r="B1804" s="1" t="str">
        <f>IFERROR(__xludf.DUMMYFUNCTION("""COMPUTED_VALUE"""),"IVNO, RAZZEL")</f>
        <v>IVNO, RAZZEL</v>
      </c>
      <c r="C1804" s="1" t="str">
        <f>IFERROR(__xludf.DUMMYFUNCTION("""COMPUTED_VALUE"""),"ORGANIC")</f>
        <v>ORGANIC</v>
      </c>
      <c r="D1804" s="1" t="str">
        <f>IFERROR(__xludf.DUMMYFUNCTION("""COMPUTED_VALUE"""),"REMOLLO LEA")</f>
        <v>REMOLLO LEA</v>
      </c>
      <c r="E1804" s="1" t="str">
        <f>IFERROR(__xludf.DUMMYFUNCTION("""COMPUTED_VALUE"""),"PLDT / H2H")</f>
        <v>PLDT / H2H</v>
      </c>
      <c r="F1804" s="1">
        <f>IFERROR(__xludf.DUMMYFUNCTION("""COMPUTED_VALUE"""),2309670098)</f>
        <v>2309670098</v>
      </c>
      <c r="G1804" s="1">
        <f>IFERROR(__xludf.DUMMYFUNCTION("""COMPUTED_VALUE"""),455784508004)</f>
        <v>455784508004</v>
      </c>
      <c r="H1804" s="1" t="str">
        <f>IFERROR(__xludf.DUMMYFUNCTION("""COMPUTED_VALUE"""),"EUNILYN VILLARINA BAMBA")</f>
        <v>EUNILYN VILLARINA BAMBA</v>
      </c>
      <c r="I1804" s="1">
        <f>IFERROR(__xludf.DUMMYFUNCTION("""COMPUTED_VALUE"""),9156621301)</f>
        <v>9156621301</v>
      </c>
      <c r="J1804" s="1">
        <f>IFERROR(__xludf.DUMMYFUNCTION("""COMPUTED_VALUE"""),9156620967)</f>
        <v>9156620967</v>
      </c>
      <c r="K1804" s="1" t="str">
        <f>IFERROR(__xludf.DUMMYFUNCTION("""COMPUTED_VALUE"""),"EUNILYNBAMBBA")</f>
        <v>EUNILYNBAMBBA</v>
      </c>
      <c r="L1804" s="1" t="str">
        <f>IFERROR(__xludf.DUMMYFUNCTION("""COMPUTED_VALUE"""),"BLK 40 LOT 9")</f>
        <v>BLK 40 LOT 9</v>
      </c>
      <c r="M1804" s="1" t="str">
        <f>IFERROR(__xludf.DUMMYFUNCTION("""COMPUTED_VALUE"""),"BANABA")</f>
        <v>BANABA</v>
      </c>
      <c r="N1804" s="1"/>
      <c r="O1804" s="1" t="str">
        <f>IFERROR(__xludf.DUMMYFUNCTION("""COMPUTED_VALUE"""),"BULIHAN")</f>
        <v>BULIHAN</v>
      </c>
      <c r="P1804" s="1" t="str">
        <f>IFERROR(__xludf.DUMMYFUNCTION("""COMPUTED_VALUE"""),"SILANG")</f>
        <v>SILANG</v>
      </c>
      <c r="Q1804" s="1" t="str">
        <f>IFERROR(__xludf.DUMMYFUNCTION("""COMPUTED_VALUE"""),"CAVITE")</f>
        <v>CAVITE</v>
      </c>
      <c r="R1804" s="1" t="str">
        <f>IFERROR(__xludf.DUMMYFUNCTION("""COMPUTED_VALUE"""),"FIBR UNLI ALL PLAN 999")</f>
        <v>FIBR UNLI ALL PLAN 999</v>
      </c>
      <c r="S1804" s="1" t="str">
        <f>IFERROR(__xludf.DUMMYFUNCTION("""COMPUTED_VALUE"""),"APPROVED")</f>
        <v>APPROVED</v>
      </c>
      <c r="T1804" s="1" t="str">
        <f>IFERROR(__xludf.DUMMYFUNCTION("""COMPUTED_VALUE"""),"CANCELLED")</f>
        <v>CANCELLED</v>
      </c>
      <c r="U1804" s="1" t="str">
        <f>IFERROR(__xludf.DUMMYFUNCTION("""COMPUTED_VALUE"""),"NO PAYMENT")</f>
        <v>NO PAYMENT</v>
      </c>
      <c r="V1804" s="1"/>
      <c r="W1804" s="1"/>
    </row>
    <row r="1805" customHeight="1" spans="1:23">
      <c r="A1805" s="3">
        <f>IFERROR(__xludf.DUMMYFUNCTION("""COMPUTED_VALUE"""),46165)</f>
        <v>46165</v>
      </c>
      <c r="B1805" s="1" t="str">
        <f>IFERROR(__xludf.DUMMYFUNCTION("""COMPUTED_VALUE"""),"AYON MANUEL")</f>
        <v>AYON MANUEL</v>
      </c>
      <c r="C1805" s="1" t="str">
        <f>IFERROR(__xludf.DUMMYFUNCTION("""COMPUTED_VALUE"""),"FLA")</f>
        <v>FLA</v>
      </c>
      <c r="D1805" s="1" t="str">
        <f>IFERROR(__xludf.DUMMYFUNCTION("""COMPUTED_VALUE"""),"JERIC NAVARRO")</f>
        <v>JERIC NAVARRO</v>
      </c>
      <c r="E1805" s="1" t="str">
        <f>IFERROR(__xludf.DUMMYFUNCTION("""COMPUTED_VALUE"""),"PLDT / ONLINE")</f>
        <v>PLDT / ONLINE</v>
      </c>
      <c r="F1805" s="1">
        <f>IFERROR(__xludf.DUMMYFUNCTION("""COMPUTED_VALUE"""),2309667836)</f>
        <v>2309667836</v>
      </c>
      <c r="G1805" s="1">
        <f>IFERROR(__xludf.DUMMYFUNCTION("""COMPUTED_VALUE"""),455777204004)</f>
        <v>455777204004</v>
      </c>
      <c r="H1805" s="1" t="str">
        <f>IFERROR(__xludf.DUMMYFUNCTION("""COMPUTED_VALUE"""),"EVELYN LAURON ORUGA")</f>
        <v>EVELYN LAURON ORUGA</v>
      </c>
      <c r="I1805" s="1">
        <f>IFERROR(__xludf.DUMMYFUNCTION("""COMPUTED_VALUE"""),9753400573)</f>
        <v>9753400573</v>
      </c>
      <c r="J1805" s="1">
        <f>IFERROR(__xludf.DUMMYFUNCTION("""COMPUTED_VALUE"""),9771691959)</f>
        <v>9771691959</v>
      </c>
      <c r="K1805" s="1" t="str">
        <f>IFERROR(__xludf.DUMMYFUNCTION("""COMPUTED_VALUE"""),"EVELYNORUGA05@GMAIL.COM")</f>
        <v>EVELYNORUGA05@GMAIL.COM</v>
      </c>
      <c r="L1805" s="1" t="str">
        <f>IFERROR(__xludf.DUMMYFUNCTION("""COMPUTED_VALUE"""),"BLK 1 LOT 3")</f>
        <v>BLK 1 LOT 3</v>
      </c>
      <c r="M1805" s="1" t="str">
        <f>IFERROR(__xludf.DUMMYFUNCTION("""COMPUTED_VALUE"""),"PHASE 2")</f>
        <v>PHASE 2</v>
      </c>
      <c r="N1805" s="1" t="str">
        <f>IFERROR(__xludf.DUMMYFUNCTION("""COMPUTED_VALUE"""),"PABAHAY")</f>
        <v>PABAHAY</v>
      </c>
      <c r="O1805" s="1" t="str">
        <f>IFERROR(__xludf.DUMMYFUNCTION("""COMPUTED_VALUE"""),"ZAMBAL")</f>
        <v>ZAMBAL</v>
      </c>
      <c r="P1805" s="1" t="str">
        <f>IFERROR(__xludf.DUMMYFUNCTION("""COMPUTED_VALUE"""),"TAGAYTAY")</f>
        <v>TAGAYTAY</v>
      </c>
      <c r="Q1805" s="1" t="str">
        <f>IFERROR(__xludf.DUMMYFUNCTION("""COMPUTED_VALUE"""),"CAVITE")</f>
        <v>CAVITE</v>
      </c>
      <c r="R1805" s="1" t="str">
        <f>IFERROR(__xludf.DUMMYFUNCTION("""COMPUTED_VALUE"""),"FIBR PLAN 1299")</f>
        <v>FIBR PLAN 1299</v>
      </c>
      <c r="S1805" s="1" t="str">
        <f>IFERROR(__xludf.DUMMYFUNCTION("""COMPUTED_VALUE"""),"APPROVED")</f>
        <v>APPROVED</v>
      </c>
      <c r="T1805" s="1" t="str">
        <f>IFERROR(__xludf.DUMMYFUNCTION("""COMPUTED_VALUE"""),"CLOSED")</f>
        <v>CLOSED</v>
      </c>
      <c r="U1805" s="1"/>
      <c r="V1805" s="1"/>
      <c r="W1805" s="1"/>
    </row>
    <row r="1806" customHeight="1" spans="1:23">
      <c r="A1806" s="3">
        <f>IFERROR(__xludf.DUMMYFUNCTION("""COMPUTED_VALUE"""),46165)</f>
        <v>46165</v>
      </c>
      <c r="B1806" s="1" t="str">
        <f>IFERROR(__xludf.DUMMYFUNCTION("""COMPUTED_VALUE"""),"AYON MANUEL")</f>
        <v>AYON MANUEL</v>
      </c>
      <c r="C1806" s="1" t="str">
        <f>IFERROR(__xludf.DUMMYFUNCTION("""COMPUTED_VALUE"""),"FLA")</f>
        <v>FLA</v>
      </c>
      <c r="D1806" s="1" t="str">
        <f>IFERROR(__xludf.DUMMYFUNCTION("""COMPUTED_VALUE"""),"JERIC NAVARRO")</f>
        <v>JERIC NAVARRO</v>
      </c>
      <c r="E1806" s="1" t="str">
        <f>IFERROR(__xludf.DUMMYFUNCTION("""COMPUTED_VALUE"""),"PLDT / ONLINE")</f>
        <v>PLDT / ONLINE</v>
      </c>
      <c r="F1806" s="1">
        <f>IFERROR(__xludf.DUMMYFUNCTION("""COMPUTED_VALUE"""),2309668056)</f>
        <v>2309668056</v>
      </c>
      <c r="G1806" s="1">
        <f>IFERROR(__xludf.DUMMYFUNCTION("""COMPUTED_VALUE"""),455777622004)</f>
        <v>455777622004</v>
      </c>
      <c r="H1806" s="1" t="str">
        <f>IFERROR(__xludf.DUMMYFUNCTION("""COMPUTED_VALUE"""),"GLORINA OSIS CABAGUE")</f>
        <v>GLORINA OSIS CABAGUE</v>
      </c>
      <c r="I1806" s="1">
        <f>IFERROR(__xludf.DUMMYFUNCTION("""COMPUTED_VALUE"""),9703023571)</f>
        <v>9703023571</v>
      </c>
      <c r="J1806" s="1">
        <f>IFERROR(__xludf.DUMMYFUNCTION("""COMPUTED_VALUE"""),9457325094)</f>
        <v>9457325094</v>
      </c>
      <c r="K1806" s="1" t="str">
        <f>IFERROR(__xludf.DUMMYFUNCTION("""COMPUTED_VALUE"""),"GLORYLOPEZOSIS71@GMAIL.COM")</f>
        <v>GLORYLOPEZOSIS71@GMAIL.COM</v>
      </c>
      <c r="L1806" s="1" t="str">
        <f>IFERROR(__xludf.DUMMYFUNCTION("""COMPUTED_VALUE"""),"BLK 8 LOT 6")</f>
        <v>BLK 8 LOT 6</v>
      </c>
      <c r="M1806" s="1" t="str">
        <f>IFERROR(__xludf.DUMMYFUNCTION("""COMPUTED_VALUE"""),"PHASE 1")</f>
        <v>PHASE 1</v>
      </c>
      <c r="N1806" s="1" t="str">
        <f>IFERROR(__xludf.DUMMYFUNCTION("""COMPUTED_VALUE"""),"PABAHAY")</f>
        <v>PABAHAY</v>
      </c>
      <c r="O1806" s="1" t="str">
        <f>IFERROR(__xludf.DUMMYFUNCTION("""COMPUTED_VALUE"""),"ZAMBAL")</f>
        <v>ZAMBAL</v>
      </c>
      <c r="P1806" s="1" t="str">
        <f>IFERROR(__xludf.DUMMYFUNCTION("""COMPUTED_VALUE"""),"TAGAYTAY")</f>
        <v>TAGAYTAY</v>
      </c>
      <c r="Q1806" s="1" t="str">
        <f>IFERROR(__xludf.DUMMYFUNCTION("""COMPUTED_VALUE"""),"CAVITE")</f>
        <v>CAVITE</v>
      </c>
      <c r="R1806" s="1" t="str">
        <f>IFERROR(__xludf.DUMMYFUNCTION("""COMPUTED_VALUE"""),"FIBR UNLI ALL PLAN 1399")</f>
        <v>FIBR UNLI ALL PLAN 1399</v>
      </c>
      <c r="S1806" s="1" t="str">
        <f>IFERROR(__xludf.DUMMYFUNCTION("""COMPUTED_VALUE"""),"APPROVED")</f>
        <v>APPROVED</v>
      </c>
      <c r="T1806" s="1" t="str">
        <f>IFERROR(__xludf.DUMMYFUNCTION("""COMPUTED_VALUE"""),"CLOSED")</f>
        <v>CLOSED</v>
      </c>
      <c r="U1806" s="1" t="str">
        <f>IFERROR(__xludf.DUMMYFUNCTION("""COMPUTED_VALUE"""),"POSTED")</f>
        <v>POSTED</v>
      </c>
      <c r="V1806" s="1"/>
      <c r="W1806" s="1"/>
    </row>
    <row r="1807" customHeight="1" spans="1:23">
      <c r="A1807" s="3">
        <f>IFERROR(__xludf.DUMMYFUNCTION("""COMPUTED_VALUE"""),46165)</f>
        <v>46165</v>
      </c>
      <c r="B1807" s="1" t="str">
        <f>IFERROR(__xludf.DUMMYFUNCTION("""COMPUTED_VALUE"""),"FRANCISCO , ROSELYN")</f>
        <v>FRANCISCO , ROSELYN</v>
      </c>
      <c r="C1807" s="1" t="str">
        <f>IFERROR(__xludf.DUMMYFUNCTION("""COMPUTED_VALUE"""),"ORGANIC")</f>
        <v>ORGANIC</v>
      </c>
      <c r="D1807" s="1" t="str">
        <f>IFERROR(__xludf.DUMMYFUNCTION("""COMPUTED_VALUE"""),"ALOS, CHARLS")</f>
        <v>ALOS, CHARLS</v>
      </c>
      <c r="E1807" s="1" t="str">
        <f>IFERROR(__xludf.DUMMYFUNCTION("""COMPUTED_VALUE"""),"PLDT / ONLINE")</f>
        <v>PLDT / ONLINE</v>
      </c>
      <c r="F1807" s="1">
        <f>IFERROR(__xludf.DUMMYFUNCTION("""COMPUTED_VALUE"""),2309668785)</f>
        <v>2309668785</v>
      </c>
      <c r="G1807" s="1">
        <f>IFERROR(__xludf.DUMMYFUNCTION("""COMPUTED_VALUE"""),455783176004)</f>
        <v>455783176004</v>
      </c>
      <c r="H1807" s="1" t="str">
        <f>IFERROR(__xludf.DUMMYFUNCTION("""COMPUTED_VALUE"""),"RAMIL MALINGBAYAN VILLAR")</f>
        <v>RAMIL MALINGBAYAN VILLAR</v>
      </c>
      <c r="I1807" s="1">
        <f>IFERROR(__xludf.DUMMYFUNCTION("""COMPUTED_VALUE"""),9666779982)</f>
        <v>9666779982</v>
      </c>
      <c r="J1807" s="1">
        <f>IFERROR(__xludf.DUMMYFUNCTION("""COMPUTED_VALUE"""),9664973702)</f>
        <v>9664973702</v>
      </c>
      <c r="K1807" s="1" t="str">
        <f>IFERROR(__xludf.DUMMYFUNCTION("""COMPUTED_VALUE"""),"BAMBIVILLAR75@GMAIL.COM")</f>
        <v>BAMBIVILLAR75@GMAIL.COM</v>
      </c>
      <c r="L1807" s="1" t="str">
        <f>IFERROR(__xludf.DUMMYFUNCTION("""COMPUTED_VALUE"""),"BLK 48 LOT 19")</f>
        <v>BLK 48 LOT 19</v>
      </c>
      <c r="M1807" s="1" t="str">
        <f>IFERROR(__xludf.DUMMYFUNCTION("""COMPUTED_VALUE"""),"RAISIN ST")</f>
        <v>RAISIN ST</v>
      </c>
      <c r="N1807" s="1" t="str">
        <f>IFERROR(__xludf.DUMMYFUNCTION("""COMPUTED_VALUE"""),"PACIFIC PLACE")</f>
        <v>PACIFIC PLACE</v>
      </c>
      <c r="O1807" s="1" t="str">
        <f>IFERROR(__xludf.DUMMYFUNCTION("""COMPUTED_VALUE"""),"PALIPARAN I")</f>
        <v>PALIPARAN I</v>
      </c>
      <c r="P1807" s="1" t="str">
        <f>IFERROR(__xludf.DUMMYFUNCTION("""COMPUTED_VALUE"""),"DASMARINAS")</f>
        <v>DASMARINAS</v>
      </c>
      <c r="Q1807" s="1" t="str">
        <f>IFERROR(__xludf.DUMMYFUNCTION("""COMPUTED_VALUE"""),"CAVITE")</f>
        <v>CAVITE</v>
      </c>
      <c r="R1807" s="1" t="str">
        <f>IFERROR(__xludf.DUMMYFUNCTION("""COMPUTED_VALUE"""),"FIBR NETFLIX PLAN 1599")</f>
        <v>FIBR NETFLIX PLAN 1599</v>
      </c>
      <c r="S1807" s="1" t="str">
        <f>IFERROR(__xludf.DUMMYFUNCTION("""COMPUTED_VALUE"""),"APPROVED")</f>
        <v>APPROVED</v>
      </c>
      <c r="T1807" s="1" t="str">
        <f>IFERROR(__xludf.DUMMYFUNCTION("""COMPUTED_VALUE"""),"RPR")</f>
        <v>RPR</v>
      </c>
      <c r="U1807" s="1" t="str">
        <f>IFERROR(__xludf.DUMMYFUNCTION("""COMPUTED_VALUE"""),"NO PAYMENT")</f>
        <v>NO PAYMENT</v>
      </c>
      <c r="V1807" s="1"/>
      <c r="W1807" s="1"/>
    </row>
    <row r="1808" customHeight="1" spans="1:23">
      <c r="A1808" s="3">
        <f>IFERROR(__xludf.DUMMYFUNCTION("""COMPUTED_VALUE"""),46165)</f>
        <v>46165</v>
      </c>
      <c r="B1808" s="1" t="str">
        <f>IFERROR(__xludf.DUMMYFUNCTION("""COMPUTED_VALUE"""),"FRANCISCO , ROSELYN")</f>
        <v>FRANCISCO , ROSELYN</v>
      </c>
      <c r="C1808" s="1" t="str">
        <f>IFERROR(__xludf.DUMMYFUNCTION("""COMPUTED_VALUE"""),"ORGANIC")</f>
        <v>ORGANIC</v>
      </c>
      <c r="D1808" s="1" t="str">
        <f>IFERROR(__xludf.DUMMYFUNCTION("""COMPUTED_VALUE"""),"ALOS, CHARLS")</f>
        <v>ALOS, CHARLS</v>
      </c>
      <c r="E1808" s="1" t="str">
        <f>IFERROR(__xludf.DUMMYFUNCTION("""COMPUTED_VALUE"""),"PLDT / ONLINE")</f>
        <v>PLDT / ONLINE</v>
      </c>
      <c r="F1808" s="1">
        <f>IFERROR(__xludf.DUMMYFUNCTION("""COMPUTED_VALUE"""),2309669030)</f>
        <v>2309669030</v>
      </c>
      <c r="G1808" s="1">
        <f>IFERROR(__xludf.DUMMYFUNCTION("""COMPUTED_VALUE"""),455790494004)</f>
        <v>455790494004</v>
      </c>
      <c r="H1808" s="1" t="str">
        <f>IFERROR(__xludf.DUMMYFUNCTION("""COMPUTED_VALUE"""),"FELINO MANAOIS ABLAY JR")</f>
        <v>FELINO MANAOIS ABLAY JR</v>
      </c>
      <c r="I1808" s="1">
        <f>IFERROR(__xludf.DUMMYFUNCTION("""COMPUTED_VALUE"""),9853944725)</f>
        <v>9853944725</v>
      </c>
      <c r="J1808" s="1">
        <f>IFERROR(__xludf.DUMMYFUNCTION("""COMPUTED_VALUE"""),9972253999)</f>
        <v>9972253999</v>
      </c>
      <c r="K1808" s="1" t="str">
        <f>IFERROR(__xludf.DUMMYFUNCTION("""COMPUTED_VALUE"""),"ABLAYFELINO966@GMAIL.COM")</f>
        <v>ABLAYFELINO966@GMAIL.COM</v>
      </c>
      <c r="L1808" s="1" t="str">
        <f>IFERROR(__xludf.DUMMYFUNCTION("""COMPUTED_VALUE"""),"BLK 54 LOT 5")</f>
        <v>BLK 54 LOT 5</v>
      </c>
      <c r="M1808" s="1" t="str">
        <f>IFERROR(__xludf.DUMMYFUNCTION("""COMPUTED_VALUE"""),"PHASE 4")</f>
        <v>PHASE 4</v>
      </c>
      <c r="N1808" s="1" t="str">
        <f>IFERROR(__xludf.DUMMYFUNCTION("""COMPUTED_VALUE"""),"MABUHAY HOME 2000")</f>
        <v>MABUHAY HOME 2000</v>
      </c>
      <c r="O1808" s="1" t="str">
        <f>IFERROR(__xludf.DUMMYFUNCTION("""COMPUTED_VALUE"""),"PALIPARAN II")</f>
        <v>PALIPARAN II</v>
      </c>
      <c r="P1808" s="1" t="str">
        <f>IFERROR(__xludf.DUMMYFUNCTION("""COMPUTED_VALUE"""),"DASMARINAS")</f>
        <v>DASMARINAS</v>
      </c>
      <c r="Q1808" s="1" t="str">
        <f>IFERROR(__xludf.DUMMYFUNCTION("""COMPUTED_VALUE"""),"CAVITE")</f>
        <v>CAVITE</v>
      </c>
      <c r="R1808" s="1" t="str">
        <f>IFERROR(__xludf.DUMMYFUNCTION("""COMPUTED_VALUE"""),"FIBR UNLI ALL PLAN 999")</f>
        <v>FIBR UNLI ALL PLAN 999</v>
      </c>
      <c r="S1808" s="1" t="str">
        <f>IFERROR(__xludf.DUMMYFUNCTION("""COMPUTED_VALUE"""),"APPROVED")</f>
        <v>APPROVED</v>
      </c>
      <c r="T1808" s="1" t="str">
        <f>IFERROR(__xludf.DUMMYFUNCTION("""COMPUTED_VALUE"""),"RPR")</f>
        <v>RPR</v>
      </c>
      <c r="U1808" s="1" t="str">
        <f>IFERROR(__xludf.DUMMYFUNCTION("""COMPUTED_VALUE"""),"NO PAYMENT")</f>
        <v>NO PAYMENT</v>
      </c>
      <c r="V1808" s="1"/>
      <c r="W1808" s="1"/>
    </row>
    <row r="1809" customHeight="1" spans="1:23">
      <c r="A1809" s="3">
        <f>IFERROR(__xludf.DUMMYFUNCTION("""COMPUTED_VALUE"""),46165)</f>
        <v>46165</v>
      </c>
      <c r="B1809" s="1" t="str">
        <f>IFERROR(__xludf.DUMMYFUNCTION("""COMPUTED_VALUE"""),"CARPIO, STEPHANIE NICOLE")</f>
        <v>CARPIO, STEPHANIE NICOLE</v>
      </c>
      <c r="C1809" s="1" t="str">
        <f>IFERROR(__xludf.DUMMYFUNCTION("""COMPUTED_VALUE"""),"FLA")</f>
        <v>FLA</v>
      </c>
      <c r="D1809" s="1" t="str">
        <f>IFERROR(__xludf.DUMMYFUNCTION("""COMPUTED_VALUE"""),"JERIC NAVARRO")</f>
        <v>JERIC NAVARRO</v>
      </c>
      <c r="E1809" s="1" t="str">
        <f>IFERROR(__xludf.DUMMYFUNCTION("""COMPUTED_VALUE"""),"PLDT / H2H")</f>
        <v>PLDT / H2H</v>
      </c>
      <c r="F1809" s="1">
        <f>IFERROR(__xludf.DUMMYFUNCTION("""COMPUTED_VALUE"""),2309670468)</f>
        <v>2309670468</v>
      </c>
      <c r="G1809" s="1">
        <f>IFERROR(__xludf.DUMMYFUNCTION("""COMPUTED_VALUE"""),455784755004)</f>
        <v>455784755004</v>
      </c>
      <c r="H1809" s="1" t="str">
        <f>IFERROR(__xludf.DUMMYFUNCTION("""COMPUTED_VALUE"""),"CZANINA TIMBREZA UTAW")</f>
        <v>CZANINA TIMBREZA UTAW</v>
      </c>
      <c r="I1809" s="1">
        <f>IFERROR(__xludf.DUMMYFUNCTION("""COMPUTED_VALUE"""),9272250945)</f>
        <v>9272250945</v>
      </c>
      <c r="J1809" s="1"/>
      <c r="K1809" s="1" t="str">
        <f>IFERROR(__xludf.DUMMYFUNCTION("""COMPUTED_VALUE"""),"CZANINAU@GMAIL.COM")</f>
        <v>CZANINAU@GMAIL.COM</v>
      </c>
      <c r="L1809" s="1" t="str">
        <f>IFERROR(__xludf.DUMMYFUNCTION("""COMPUTED_VALUE"""),"BLK 53 LOT 9")</f>
        <v>BLK 53 LOT 9</v>
      </c>
      <c r="M1809" s="1" t="str">
        <f>IFERROR(__xludf.DUMMYFUNCTION("""COMPUTED_VALUE"""),"AZALEA")</f>
        <v>AZALEA</v>
      </c>
      <c r="N1809" s="1" t="str">
        <f>IFERROR(__xludf.DUMMYFUNCTION("""COMPUTED_VALUE"""),"GRAND CENTENIAL")</f>
        <v>GRAND CENTENIAL</v>
      </c>
      <c r="O1809" s="1" t="str">
        <f>IFERROR(__xludf.DUMMYFUNCTION("""COMPUTED_VALUE"""),"SAN SEBASTIAN")</f>
        <v>SAN SEBASTIAN</v>
      </c>
      <c r="P1809" s="1" t="str">
        <f>IFERROR(__xludf.DUMMYFUNCTION("""COMPUTED_VALUE"""),"KAWIT")</f>
        <v>KAWIT</v>
      </c>
      <c r="Q1809" s="1" t="str">
        <f>IFERROR(__xludf.DUMMYFUNCTION("""COMPUTED_VALUE"""),"CAVITE")</f>
        <v>CAVITE</v>
      </c>
      <c r="R1809" s="1" t="str">
        <f>IFERROR(__xludf.DUMMYFUNCTION("""COMPUTED_VALUE"""),"FIBR PLAN 2699")</f>
        <v>FIBR PLAN 2699</v>
      </c>
      <c r="S1809" s="1" t="str">
        <f>IFERROR(__xludf.DUMMYFUNCTION("""COMPUTED_VALUE"""),"APPROVED")</f>
        <v>APPROVED</v>
      </c>
      <c r="T1809" s="1" t="str">
        <f>IFERROR(__xludf.DUMMYFUNCTION("""COMPUTED_VALUE"""),"CLOSED")</f>
        <v>CLOSED</v>
      </c>
      <c r="U1809" s="1" t="str">
        <f>IFERROR(__xludf.DUMMYFUNCTION("""COMPUTED_VALUE"""),"POSTED")</f>
        <v>POSTED</v>
      </c>
      <c r="V1809" s="1"/>
      <c r="W1809" s="1"/>
    </row>
    <row r="1810" customHeight="1" spans="1:23">
      <c r="A1810" s="3">
        <f>IFERROR(__xludf.DUMMYFUNCTION("""COMPUTED_VALUE"""),46165)</f>
        <v>46165</v>
      </c>
      <c r="B1810" s="1" t="str">
        <f>IFERROR(__xludf.DUMMYFUNCTION("""COMPUTED_VALUE"""),"FERNANDEZ JERIC")</f>
        <v>FERNANDEZ JERIC</v>
      </c>
      <c r="C1810" s="1" t="str">
        <f>IFERROR(__xludf.DUMMYFUNCTION("""COMPUTED_VALUE"""),"ORGANIC")</f>
        <v>ORGANIC</v>
      </c>
      <c r="D1810" s="1" t="str">
        <f>IFERROR(__xludf.DUMMYFUNCTION("""COMPUTED_VALUE"""),"ALOS, CHARLS")</f>
        <v>ALOS, CHARLS</v>
      </c>
      <c r="E1810" s="1" t="str">
        <f>IFERROR(__xludf.DUMMYFUNCTION("""COMPUTED_VALUE"""),"PLDT / H2H")</f>
        <v>PLDT / H2H</v>
      </c>
      <c r="F1810" s="1">
        <f>IFERROR(__xludf.DUMMYFUNCTION("""COMPUTED_VALUE"""),2309686040)</f>
        <v>2309686040</v>
      </c>
      <c r="G1810" s="1">
        <f>IFERROR(__xludf.DUMMYFUNCTION("""COMPUTED_VALUE"""),455920994004)</f>
        <v>455920994004</v>
      </c>
      <c r="H1810" s="1" t="str">
        <f>IFERROR(__xludf.DUMMYFUNCTION("""COMPUTED_VALUE"""),"JENNY ANNE DELAFUENTE DIANO")</f>
        <v>JENNY ANNE DELAFUENTE DIANO</v>
      </c>
      <c r="I1810" s="1">
        <f>IFERROR(__xludf.DUMMYFUNCTION("""COMPUTED_VALUE"""),9269072837)</f>
        <v>9269072837</v>
      </c>
      <c r="J1810" s="1"/>
      <c r="K1810" s="1" t="str">
        <f>IFERROR(__xludf.DUMMYFUNCTION("""COMPUTED_VALUE"""),"JEANNEDELAFUENTE26@GMAIL.COM")</f>
        <v>JEANNEDELAFUENTE26@GMAIL.COM</v>
      </c>
      <c r="L1810" s="1" t="str">
        <f>IFERROR(__xludf.DUMMYFUNCTION("""COMPUTED_VALUE"""),"BLK 17 LOT 1")</f>
        <v>BLK 17 LOT 1</v>
      </c>
      <c r="M1810" s="1" t="str">
        <f>IFERROR(__xludf.DUMMYFUNCTION("""COMPUTED_VALUE"""),"PHAE 2")</f>
        <v>PHAE 2</v>
      </c>
      <c r="N1810" s="1" t="str">
        <f>IFERROR(__xludf.DUMMYFUNCTION("""COMPUTED_VALUE"""),"PABAHAY")</f>
        <v>PABAHAY</v>
      </c>
      <c r="O1810" s="1" t="str">
        <f>IFERROR(__xludf.DUMMYFUNCTION("""COMPUTED_VALUE"""),"ZAMBAL")</f>
        <v>ZAMBAL</v>
      </c>
      <c r="P1810" s="1" t="str">
        <f>IFERROR(__xludf.DUMMYFUNCTION("""COMPUTED_VALUE"""),"TAGAYTAY")</f>
        <v>TAGAYTAY</v>
      </c>
      <c r="Q1810" s="1" t="str">
        <f>IFERROR(__xludf.DUMMYFUNCTION("""COMPUTED_VALUE"""),"CAVITE")</f>
        <v>CAVITE</v>
      </c>
      <c r="R1810" s="1" t="str">
        <f>IFERROR(__xludf.DUMMYFUNCTION("""COMPUTED_VALUE"""),"FIBR PLAN 1299")</f>
        <v>FIBR PLAN 1299</v>
      </c>
      <c r="S1810" s="1" t="str">
        <f>IFERROR(__xludf.DUMMYFUNCTION("""COMPUTED_VALUE"""),"APPROVED")</f>
        <v>APPROVED</v>
      </c>
      <c r="T1810" s="1" t="str">
        <f>IFERROR(__xludf.DUMMYFUNCTION("""COMPUTED_VALUE"""),"CLOSED")</f>
        <v>CLOSED</v>
      </c>
      <c r="U1810" s="1" t="str">
        <f>IFERROR(__xludf.DUMMYFUNCTION("""COMPUTED_VALUE"""),"POSTED")</f>
        <v>POSTED</v>
      </c>
      <c r="V1810" s="1"/>
      <c r="W1810" s="1"/>
    </row>
    <row r="1811" customHeight="1" spans="1:23">
      <c r="A1811" s="3">
        <f>IFERROR(__xludf.DUMMYFUNCTION("""COMPUTED_VALUE"""),46165)</f>
        <v>46165</v>
      </c>
      <c r="B1811" s="1" t="str">
        <f>IFERROR(__xludf.DUMMYFUNCTION("""COMPUTED_VALUE"""),"GABAY, MANUEL")</f>
        <v>GABAY, MANUEL</v>
      </c>
      <c r="C1811" s="1" t="str">
        <f>IFERROR(__xludf.DUMMYFUNCTION("""COMPUTED_VALUE"""),"FLA")</f>
        <v>FLA</v>
      </c>
      <c r="D1811" s="1" t="str">
        <f>IFERROR(__xludf.DUMMYFUNCTION("""COMPUTED_VALUE"""),"JERIC NAVARRO")</f>
        <v>JERIC NAVARRO</v>
      </c>
      <c r="E1811" s="1" t="str">
        <f>IFERROR(__xludf.DUMMYFUNCTION("""COMPUTED_VALUE"""),"PLDT / H2H")</f>
        <v>PLDT / H2H</v>
      </c>
      <c r="F1811" s="1">
        <f>IFERROR(__xludf.DUMMYFUNCTION("""COMPUTED_VALUE"""),2309670719)</f>
        <v>2309670719</v>
      </c>
      <c r="G1811" s="1">
        <f>IFERROR(__xludf.DUMMYFUNCTION("""COMPUTED_VALUE"""),455785166004)</f>
        <v>455785166004</v>
      </c>
      <c r="H1811" s="1" t="str">
        <f>IFERROR(__xludf.DUMMYFUNCTION("""COMPUTED_VALUE"""),"VERONICA TABARES CALMA")</f>
        <v>VERONICA TABARES CALMA</v>
      </c>
      <c r="I1811" s="1">
        <f>IFERROR(__xludf.DUMMYFUNCTION("""COMPUTED_VALUE"""),9696192992)</f>
        <v>9696192992</v>
      </c>
      <c r="J1811" s="1"/>
      <c r="K1811" s="1" t="str">
        <f>IFERROR(__xludf.DUMMYFUNCTION("""COMPUTED_VALUE"""),"VERONICACALMA0530@GMAIL.COM")</f>
        <v>VERONICACALMA0530@GMAIL.COM</v>
      </c>
      <c r="L1811" s="1" t="str">
        <f>IFERROR(__xludf.DUMMYFUNCTION("""COMPUTED_VALUE"""),"67")</f>
        <v>67</v>
      </c>
      <c r="M1811" s="1" t="str">
        <f>IFERROR(__xludf.DUMMYFUNCTION("""COMPUTED_VALUE"""),"PUROK 210")</f>
        <v>PUROK 210</v>
      </c>
      <c r="N1811" s="1"/>
      <c r="O1811" s="1" t="str">
        <f>IFERROR(__xludf.DUMMYFUNCTION("""COMPUTED_VALUE"""),"ZAMBAL")</f>
        <v>ZAMBAL</v>
      </c>
      <c r="P1811" s="1" t="str">
        <f>IFERROR(__xludf.DUMMYFUNCTION("""COMPUTED_VALUE"""),"TAGAYTAY")</f>
        <v>TAGAYTAY</v>
      </c>
      <c r="Q1811" s="1" t="str">
        <f>IFERROR(__xludf.DUMMYFUNCTION("""COMPUTED_VALUE"""),"CAVITE")</f>
        <v>CAVITE</v>
      </c>
      <c r="R1811" s="1" t="str">
        <f>IFERROR(__xludf.DUMMYFUNCTION("""COMPUTED_VALUE"""),"FIBR NETFLIX PLAN 1599")</f>
        <v>FIBR NETFLIX PLAN 1599</v>
      </c>
      <c r="S1811" s="1" t="str">
        <f>IFERROR(__xludf.DUMMYFUNCTION("""COMPUTED_VALUE"""),"APPROVED")</f>
        <v>APPROVED</v>
      </c>
      <c r="T1811" s="1" t="str">
        <f>IFERROR(__xludf.DUMMYFUNCTION("""COMPUTED_VALUE"""),"CANCELLED")</f>
        <v>CANCELLED</v>
      </c>
      <c r="U1811" s="1"/>
      <c r="V1811" s="1"/>
      <c r="W1811" s="1"/>
    </row>
    <row r="1812" customHeight="1" spans="1:23">
      <c r="A1812" s="3">
        <f>IFERROR(__xludf.DUMMYFUNCTION("""COMPUTED_VALUE"""),46165)</f>
        <v>46165</v>
      </c>
      <c r="B1812" s="1" t="str">
        <f>IFERROR(__xludf.DUMMYFUNCTION("""COMPUTED_VALUE"""),"RIVERA, AIRIZH JOY")</f>
        <v>RIVERA, AIRIZH JOY</v>
      </c>
      <c r="C1812" s="1" t="str">
        <f>IFERROR(__xludf.DUMMYFUNCTION("""COMPUTED_VALUE"""),"ORGANIC")</f>
        <v>ORGANIC</v>
      </c>
      <c r="D1812" s="1" t="str">
        <f>IFERROR(__xludf.DUMMYFUNCTION("""COMPUTED_VALUE"""),"ALOS, CHARLS")</f>
        <v>ALOS, CHARLS</v>
      </c>
      <c r="E1812" s="1" t="str">
        <f>IFERROR(__xludf.DUMMYFUNCTION("""COMPUTED_VALUE"""),"PLDT / H2H")</f>
        <v>PLDT / H2H</v>
      </c>
      <c r="F1812" s="1">
        <f>IFERROR(__xludf.DUMMYFUNCTION("""COMPUTED_VALUE"""),2309671079)</f>
        <v>2309671079</v>
      </c>
      <c r="G1812" s="1">
        <f>IFERROR(__xludf.DUMMYFUNCTION("""COMPUTED_VALUE"""),455795422004)</f>
        <v>455795422004</v>
      </c>
      <c r="H1812" s="1" t="str">
        <f>IFERROR(__xludf.DUMMYFUNCTION("""COMPUTED_VALUE"""),"MELVIN DAGOOC MAKINANO")</f>
        <v>MELVIN DAGOOC MAKINANO</v>
      </c>
      <c r="I1812" s="1">
        <f>IFERROR(__xludf.DUMMYFUNCTION("""COMPUTED_VALUE"""),9305748432)</f>
        <v>9305748432</v>
      </c>
      <c r="J1812" s="1">
        <f>IFERROR(__xludf.DUMMYFUNCTION("""COMPUTED_VALUE"""),9957544944)</f>
        <v>9957544944</v>
      </c>
      <c r="K1812" s="1" t="str">
        <f>IFERROR(__xludf.DUMMYFUNCTION("""COMPUTED_VALUE"""),"MELVINCAIMOY210@GMAIL.COM")</f>
        <v>MELVINCAIMOY210@GMAIL.COM</v>
      </c>
      <c r="L1812" s="1" t="str">
        <f>IFERROR(__xludf.DUMMYFUNCTION("""COMPUTED_VALUE"""),"BLK 12 LOT 11")</f>
        <v>BLK 12 LOT 11</v>
      </c>
      <c r="M1812" s="1" t="str">
        <f>IFERROR(__xludf.DUMMYFUNCTION("""COMPUTED_VALUE"""),"BUKLURAN 4")</f>
        <v>BUKLURAN 4</v>
      </c>
      <c r="N1812" s="1"/>
      <c r="O1812" s="1" t="str">
        <f>IFERROR(__xludf.DUMMYFUNCTION("""COMPUTED_VALUE"""),"BULIHAN")</f>
        <v>BULIHAN</v>
      </c>
      <c r="P1812" s="1" t="str">
        <f>IFERROR(__xludf.DUMMYFUNCTION("""COMPUTED_VALUE"""),"SILANG")</f>
        <v>SILANG</v>
      </c>
      <c r="Q1812" s="1" t="str">
        <f>IFERROR(__xludf.DUMMYFUNCTION("""COMPUTED_VALUE"""),"CAVITE")</f>
        <v>CAVITE</v>
      </c>
      <c r="R1812" s="1" t="str">
        <f>IFERROR(__xludf.DUMMYFUNCTION("""COMPUTED_VALUE"""),"FIBR PLAN 1699")</f>
        <v>FIBR PLAN 1699</v>
      </c>
      <c r="S1812" s="1" t="str">
        <f>IFERROR(__xludf.DUMMYFUNCTION("""COMPUTED_VALUE"""),"APPROVED")</f>
        <v>APPROVED</v>
      </c>
      <c r="T1812" s="1" t="str">
        <f>IFERROR(__xludf.DUMMYFUNCTION("""COMPUTED_VALUE"""),"RPR")</f>
        <v>RPR</v>
      </c>
      <c r="U1812" s="1" t="str">
        <f>IFERROR(__xludf.DUMMYFUNCTION("""COMPUTED_VALUE"""),"NO PAYMENT")</f>
        <v>NO PAYMENT</v>
      </c>
      <c r="V1812" s="1"/>
      <c r="W1812" s="1"/>
    </row>
    <row r="1813" customHeight="1" spans="1:23">
      <c r="A1813" s="3">
        <f>IFERROR(__xludf.DUMMYFUNCTION("""COMPUTED_VALUE"""),46165)</f>
        <v>46165</v>
      </c>
      <c r="B1813" s="1" t="str">
        <f>IFERROR(__xludf.DUMMYFUNCTION("""COMPUTED_VALUE"""),"GABAY, MANUEL")</f>
        <v>GABAY, MANUEL</v>
      </c>
      <c r="C1813" s="1" t="str">
        <f>IFERROR(__xludf.DUMMYFUNCTION("""COMPUTED_VALUE"""),"FLA")</f>
        <v>FLA</v>
      </c>
      <c r="D1813" s="1" t="str">
        <f>IFERROR(__xludf.DUMMYFUNCTION("""COMPUTED_VALUE"""),"JERIC NAVARRO")</f>
        <v>JERIC NAVARRO</v>
      </c>
      <c r="E1813" s="1" t="str">
        <f>IFERROR(__xludf.DUMMYFUNCTION("""COMPUTED_VALUE"""),"PLDT / H2H")</f>
        <v>PLDT / H2H</v>
      </c>
      <c r="F1813" s="1">
        <f>IFERROR(__xludf.DUMMYFUNCTION("""COMPUTED_VALUE"""),2309673020)</f>
        <v>2309673020</v>
      </c>
      <c r="G1813" s="1">
        <f>IFERROR(__xludf.DUMMYFUNCTION("""COMPUTED_VALUE"""),455790865004)</f>
        <v>455790865004</v>
      </c>
      <c r="H1813" s="1" t="str">
        <f>IFERROR(__xludf.DUMMYFUNCTION("""COMPUTED_VALUE"""),"GILBERT LOPEZ ATIENZA")</f>
        <v>GILBERT LOPEZ ATIENZA</v>
      </c>
      <c r="I1813" s="1">
        <f>IFERROR(__xludf.DUMMYFUNCTION("""COMPUTED_VALUE"""),9359958937)</f>
        <v>9359958937</v>
      </c>
      <c r="J1813" s="1">
        <f>IFERROR(__xludf.DUMMYFUNCTION("""COMPUTED_VALUE"""),9555528441)</f>
        <v>9555528441</v>
      </c>
      <c r="K1813" s="1" t="str">
        <f>IFERROR(__xludf.DUMMYFUNCTION("""COMPUTED_VALUE"""),"GLIBERTATIENZA1983@GMAIL.COM")</f>
        <v>GLIBERTATIENZA1983@GMAIL.COM</v>
      </c>
      <c r="L1813" s="1" t="str">
        <f>IFERROR(__xludf.DUMMYFUNCTION("""COMPUTED_VALUE"""),"794")</f>
        <v>794</v>
      </c>
      <c r="M1813" s="1" t="str">
        <f>IFERROR(__xludf.DUMMYFUNCTION("""COMPUTED_VALUE"""),"PUROK 210")</f>
        <v>PUROK 210</v>
      </c>
      <c r="N1813" s="1"/>
      <c r="O1813" s="1" t="str">
        <f>IFERROR(__xludf.DUMMYFUNCTION("""COMPUTED_VALUE"""),"ZAMBAL")</f>
        <v>ZAMBAL</v>
      </c>
      <c r="P1813" s="1" t="str">
        <f>IFERROR(__xludf.DUMMYFUNCTION("""COMPUTED_VALUE"""),"TAGAYTAY")</f>
        <v>TAGAYTAY</v>
      </c>
      <c r="Q1813" s="1" t="str">
        <f>IFERROR(__xludf.DUMMYFUNCTION("""COMPUTED_VALUE"""),"CAVITE")</f>
        <v>CAVITE</v>
      </c>
      <c r="R1813" s="1" t="str">
        <f>IFERROR(__xludf.DUMMYFUNCTION("""COMPUTED_VALUE"""),"FIBR UNLI ALL PLAN 1399")</f>
        <v>FIBR UNLI ALL PLAN 1399</v>
      </c>
      <c r="S1813" s="1" t="str">
        <f>IFERROR(__xludf.DUMMYFUNCTION("""COMPUTED_VALUE"""),"APPROVED")</f>
        <v>APPROVED</v>
      </c>
      <c r="T1813" s="1" t="str">
        <f>IFERROR(__xludf.DUMMYFUNCTION("""COMPUTED_VALUE"""),"CLOSED")</f>
        <v>CLOSED</v>
      </c>
      <c r="U1813" s="1" t="str">
        <f>IFERROR(__xludf.DUMMYFUNCTION("""COMPUTED_VALUE"""),"POSTED")</f>
        <v>POSTED</v>
      </c>
      <c r="V1813" s="1"/>
      <c r="W1813" s="1"/>
    </row>
    <row r="1814" customHeight="1" spans="1:23">
      <c r="A1814" s="3">
        <f>IFERROR(__xludf.DUMMYFUNCTION("""COMPUTED_VALUE"""),46165)</f>
        <v>46165</v>
      </c>
      <c r="B1814" s="1" t="str">
        <f>IFERROR(__xludf.DUMMYFUNCTION("""COMPUTED_VALUE"""),"GABAY, MANUEL")</f>
        <v>GABAY, MANUEL</v>
      </c>
      <c r="C1814" s="1" t="str">
        <f>IFERROR(__xludf.DUMMYFUNCTION("""COMPUTED_VALUE"""),"FLA")</f>
        <v>FLA</v>
      </c>
      <c r="D1814" s="1" t="str">
        <f>IFERROR(__xludf.DUMMYFUNCTION("""COMPUTED_VALUE"""),"JERIC NAVARRO")</f>
        <v>JERIC NAVARRO</v>
      </c>
      <c r="E1814" s="1" t="str">
        <f>IFERROR(__xludf.DUMMYFUNCTION("""COMPUTED_VALUE"""),"PLDT / H2H")</f>
        <v>PLDT / H2H</v>
      </c>
      <c r="F1814" s="1">
        <f>IFERROR(__xludf.DUMMYFUNCTION("""COMPUTED_VALUE"""),2309672993)</f>
        <v>2309672993</v>
      </c>
      <c r="G1814" s="1">
        <f>IFERROR(__xludf.DUMMYFUNCTION("""COMPUTED_VALUE"""),455791566004)</f>
        <v>455791566004</v>
      </c>
      <c r="H1814" s="1" t="str">
        <f>IFERROR(__xludf.DUMMYFUNCTION("""COMPUTED_VALUE"""),"MARY ROSE CAPUNO ROJO")</f>
        <v>MARY ROSE CAPUNO ROJO</v>
      </c>
      <c r="I1814" s="1">
        <f>IFERROR(__xludf.DUMMYFUNCTION("""COMPUTED_VALUE"""),9164934411)</f>
        <v>9164934411</v>
      </c>
      <c r="J1814" s="1">
        <f>IFERROR(__xludf.DUMMYFUNCTION("""COMPUTED_VALUE"""),9564306256)</f>
        <v>9564306256</v>
      </c>
      <c r="K1814" s="1" t="str">
        <f>IFERROR(__xludf.DUMMYFUNCTION("""COMPUTED_VALUE"""),"MARIEROJO089@GMAIL.COM")</f>
        <v>MARIEROJO089@GMAIL.COM</v>
      </c>
      <c r="L1814" s="1" t="str">
        <f>IFERROR(__xludf.DUMMYFUNCTION("""COMPUTED_VALUE"""),"40")</f>
        <v>40</v>
      </c>
      <c r="M1814" s="1" t="str">
        <f>IFERROR(__xludf.DUMMYFUNCTION("""COMPUTED_VALUE"""),"PUROK 221")</f>
        <v>PUROK 221</v>
      </c>
      <c r="N1814" s="1"/>
      <c r="O1814" s="1" t="str">
        <f>IFERROR(__xludf.DUMMYFUNCTION("""COMPUTED_VALUE"""),"ZAMBAL")</f>
        <v>ZAMBAL</v>
      </c>
      <c r="P1814" s="1" t="str">
        <f>IFERROR(__xludf.DUMMYFUNCTION("""COMPUTED_VALUE"""),"TAGAYTAY")</f>
        <v>TAGAYTAY</v>
      </c>
      <c r="Q1814" s="1" t="str">
        <f>IFERROR(__xludf.DUMMYFUNCTION("""COMPUTED_VALUE"""),"CAVITE")</f>
        <v>CAVITE</v>
      </c>
      <c r="R1814" s="1" t="str">
        <f>IFERROR(__xludf.DUMMYFUNCTION("""COMPUTED_VALUE"""),"FIBR NETFLIX PLAN 1599")</f>
        <v>FIBR NETFLIX PLAN 1599</v>
      </c>
      <c r="S1814" s="1" t="str">
        <f>IFERROR(__xludf.DUMMYFUNCTION("""COMPUTED_VALUE"""),"APPROVED")</f>
        <v>APPROVED</v>
      </c>
      <c r="T1814" s="1" t="str">
        <f>IFERROR(__xludf.DUMMYFUNCTION("""COMPUTED_VALUE"""),"CLOSED")</f>
        <v>CLOSED</v>
      </c>
      <c r="U1814" s="1" t="str">
        <f>IFERROR(__xludf.DUMMYFUNCTION("""COMPUTED_VALUE"""),"POSTED")</f>
        <v>POSTED</v>
      </c>
      <c r="V1814" s="1"/>
      <c r="W1814" s="1"/>
    </row>
    <row r="1815" customHeight="1" spans="1:23">
      <c r="A1815" s="3">
        <f>IFERROR(__xludf.DUMMYFUNCTION("""COMPUTED_VALUE"""),46165)</f>
        <v>46165</v>
      </c>
      <c r="B1815" s="1" t="str">
        <f>IFERROR(__xludf.DUMMYFUNCTION("""COMPUTED_VALUE"""),"DE VERA, MARIVIC")</f>
        <v>DE VERA, MARIVIC</v>
      </c>
      <c r="C1815" s="1" t="str">
        <f>IFERROR(__xludf.DUMMYFUNCTION("""COMPUTED_VALUE"""),"ORGANIC")</f>
        <v>ORGANIC</v>
      </c>
      <c r="D1815" s="1" t="str">
        <f>IFERROR(__xludf.DUMMYFUNCTION("""COMPUTED_VALUE"""),"REMOLLO LEA")</f>
        <v>REMOLLO LEA</v>
      </c>
      <c r="E1815" s="1" t="str">
        <f>IFERROR(__xludf.DUMMYFUNCTION("""COMPUTED_VALUE"""),"PLDT / H2H")</f>
        <v>PLDT / H2H</v>
      </c>
      <c r="F1815" s="1">
        <f>IFERROR(__xludf.DUMMYFUNCTION("""COMPUTED_VALUE"""),2309726421)</f>
        <v>2309726421</v>
      </c>
      <c r="G1815" s="1"/>
      <c r="H1815" s="1" t="str">
        <f>IFERROR(__xludf.DUMMYFUNCTION("""COMPUTED_VALUE"""),"ARNULFO PECAYO ASCANO")</f>
        <v>ARNULFO PECAYO ASCANO</v>
      </c>
      <c r="I1815" s="1">
        <f>IFERROR(__xludf.DUMMYFUNCTION("""COMPUTED_VALUE"""),9274363150)</f>
        <v>9274363150</v>
      </c>
      <c r="J1815" s="1">
        <f>IFERROR(__xludf.DUMMYFUNCTION("""COMPUTED_VALUE"""),9197612559)</f>
        <v>9197612559</v>
      </c>
      <c r="K1815" s="1" t="str">
        <f>IFERROR(__xludf.DUMMYFUNCTION("""COMPUTED_VALUE"""),"ANZKEMACARAIG@GMAIL.COM")</f>
        <v>ANZKEMACARAIG@GMAIL.COM</v>
      </c>
      <c r="L1815" s="1" t="str">
        <f>IFERROR(__xludf.DUMMYFUNCTION("""COMPUTED_VALUE"""),"112")</f>
        <v>112</v>
      </c>
      <c r="M1815" s="1" t="str">
        <f>IFERROR(__xludf.DUMMYFUNCTION("""COMPUTED_VALUE"""),"PUROK 5")</f>
        <v>PUROK 5</v>
      </c>
      <c r="N1815" s="1" t="str">
        <f>IFERROR(__xludf.DUMMYFUNCTION("""COMPUTED_VALUE"""),"PALIGAWAN")</f>
        <v>PALIGAWAN</v>
      </c>
      <c r="O1815" s="1" t="str">
        <f>IFERROR(__xludf.DUMMYFUNCTION("""COMPUTED_VALUE"""),"LUMIL")</f>
        <v>LUMIL</v>
      </c>
      <c r="P1815" s="1" t="str">
        <f>IFERROR(__xludf.DUMMYFUNCTION("""COMPUTED_VALUE"""),"SILANG")</f>
        <v>SILANG</v>
      </c>
      <c r="Q1815" s="1" t="str">
        <f>IFERROR(__xludf.DUMMYFUNCTION("""COMPUTED_VALUE"""),"CAVITE")</f>
        <v>CAVITE</v>
      </c>
      <c r="R1815" s="1" t="str">
        <f>IFERROR(__xludf.DUMMYFUNCTION("""COMPUTED_VALUE"""),"FIBR UNLI ALL PLAN 1399")</f>
        <v>FIBR UNLI ALL PLAN 1399</v>
      </c>
      <c r="S1815" s="1" t="str">
        <f>IFERROR(__xludf.DUMMYFUNCTION("""COMPUTED_VALUE"""),"APPROVED")</f>
        <v>APPROVED</v>
      </c>
      <c r="T1815" s="1" t="str">
        <f>IFERROR(__xludf.DUMMYFUNCTION("""COMPUTED_VALUE"""),"AS PER SUBS SA MAY 27 PA DAW SILA MAKAKPAG ADVANCE PAYMENT")</f>
        <v>AS PER SUBS SA MAY 27 PA DAW SILA MAKAKPAG ADVANCE PAYMENT</v>
      </c>
      <c r="U1815" s="1"/>
      <c r="V1815" s="1"/>
      <c r="W1815" s="1"/>
    </row>
    <row r="1816" customHeight="1" spans="1:23">
      <c r="A1816" s="3">
        <f>IFERROR(__xludf.DUMMYFUNCTION("""COMPUTED_VALUE"""),46165)</f>
        <v>46165</v>
      </c>
      <c r="B1816" s="1" t="str">
        <f>IFERROR(__xludf.DUMMYFUNCTION("""COMPUTED_VALUE"""),"ODY , CLARENCE")</f>
        <v>ODY , CLARENCE</v>
      </c>
      <c r="C1816" s="1" t="str">
        <f>IFERROR(__xludf.DUMMYFUNCTION("""COMPUTED_VALUE"""),"ORGANIC")</f>
        <v>ORGANIC</v>
      </c>
      <c r="D1816" s="1" t="str">
        <f>IFERROR(__xludf.DUMMYFUNCTION("""COMPUTED_VALUE"""),"ALOS, CHARLS")</f>
        <v>ALOS, CHARLS</v>
      </c>
      <c r="E1816" s="1" t="str">
        <f>IFERROR(__xludf.DUMMYFUNCTION("""COMPUTED_VALUE"""),"PLDT / H2H")</f>
        <v>PLDT / H2H</v>
      </c>
      <c r="F1816" s="1">
        <f>IFERROR(__xludf.DUMMYFUNCTION("""COMPUTED_VALUE"""),2309673723)</f>
        <v>2309673723</v>
      </c>
      <c r="G1816" s="1">
        <f>IFERROR(__xludf.DUMMYFUNCTION("""COMPUTED_VALUE"""),455791053004)</f>
        <v>455791053004</v>
      </c>
      <c r="H1816" s="1" t="str">
        <f>IFERROR(__xludf.DUMMYFUNCTION("""COMPUTED_VALUE"""),"ZUSETTE CORONADO DE GUZMAN")</f>
        <v>ZUSETTE CORONADO DE GUZMAN</v>
      </c>
      <c r="I1816" s="1">
        <f>IFERROR(__xludf.DUMMYFUNCTION("""COMPUTED_VALUE"""),9553942553)</f>
        <v>9553942553</v>
      </c>
      <c r="J1816" s="1"/>
      <c r="K1816" s="1" t="str">
        <f>IFERROR(__xludf.DUMMYFUNCTION("""COMPUTED_VALUE"""),"ZUSETTEDEGUZMAN88@GMAIL.COM")</f>
        <v>ZUSETTEDEGUZMAN88@GMAIL.COM</v>
      </c>
      <c r="L1816" s="1" t="str">
        <f>IFERROR(__xludf.DUMMYFUNCTION("""COMPUTED_VALUE"""),"58")</f>
        <v>58</v>
      </c>
      <c r="M1816" s="1" t="str">
        <f>IFERROR(__xludf.DUMMYFUNCTION("""COMPUTED_VALUE"""),"ANULING RD")</f>
        <v>ANULING RD</v>
      </c>
      <c r="N1816" s="1"/>
      <c r="O1816" s="1" t="str">
        <f>IFERROR(__xludf.DUMMYFUNCTION("""COMPUTED_VALUE"""),"ANULING CERCA II")</f>
        <v>ANULING CERCA II</v>
      </c>
      <c r="P1816" s="1" t="str">
        <f>IFERROR(__xludf.DUMMYFUNCTION("""COMPUTED_VALUE"""),"MENDEZ")</f>
        <v>MENDEZ</v>
      </c>
      <c r="Q1816" s="1" t="str">
        <f>IFERROR(__xludf.DUMMYFUNCTION("""COMPUTED_VALUE"""),"CAVITE")</f>
        <v>CAVITE</v>
      </c>
      <c r="R1816" s="1" t="str">
        <f>IFERROR(__xludf.DUMMYFUNCTION("""COMPUTED_VALUE"""),"FIBR NETFLIX PLAN 1599")</f>
        <v>FIBR NETFLIX PLAN 1599</v>
      </c>
      <c r="S1816" s="1" t="str">
        <f>IFERROR(__xludf.DUMMYFUNCTION("""COMPUTED_VALUE"""),"APPROVED")</f>
        <v>APPROVED</v>
      </c>
      <c r="T1816" s="1" t="str">
        <f>IFERROR(__xludf.DUMMYFUNCTION("""COMPUTED_VALUE"""),"CLOSED")</f>
        <v>CLOSED</v>
      </c>
      <c r="U1816" s="1" t="str">
        <f>IFERROR(__xludf.DUMMYFUNCTION("""COMPUTED_VALUE"""),"POSTED")</f>
        <v>POSTED</v>
      </c>
      <c r="V1816" s="1"/>
      <c r="W1816" s="1"/>
    </row>
    <row r="1817" customHeight="1" spans="1:23">
      <c r="A1817" s="3">
        <f>IFERROR(__xludf.DUMMYFUNCTION("""COMPUTED_VALUE"""),46165)</f>
        <v>46165</v>
      </c>
      <c r="B1817" s="1" t="str">
        <f>IFERROR(__xludf.DUMMYFUNCTION("""COMPUTED_VALUE"""),"DELA ROSA, JENNELYN")</f>
        <v>DELA ROSA, JENNELYN</v>
      </c>
      <c r="C1817" s="1" t="str">
        <f>IFERROR(__xludf.DUMMYFUNCTION("""COMPUTED_VALUE"""),"ORGANIC")</f>
        <v>ORGANIC</v>
      </c>
      <c r="D1817" s="1" t="str">
        <f>IFERROR(__xludf.DUMMYFUNCTION("""COMPUTED_VALUE"""),"ALOS, CHARLS")</f>
        <v>ALOS, CHARLS</v>
      </c>
      <c r="E1817" s="1" t="str">
        <f>IFERROR(__xludf.DUMMYFUNCTION("""COMPUTED_VALUE"""),"RED FIBER")</f>
        <v>RED FIBER</v>
      </c>
      <c r="F1817" s="1"/>
      <c r="G1817" s="1"/>
      <c r="H1817" s="1" t="str">
        <f>IFERROR(__xludf.DUMMYFUNCTION("""COMPUTED_VALUE"""),"EFREN JAVIER HERNANDEZ")</f>
        <v>EFREN JAVIER HERNANDEZ</v>
      </c>
      <c r="I1817" s="1">
        <f>IFERROR(__xludf.DUMMYFUNCTION("""COMPUTED_VALUE"""),9178607027)</f>
        <v>9178607027</v>
      </c>
      <c r="J1817" s="1">
        <f>IFERROR(__xludf.DUMMYFUNCTION("""COMPUTED_VALUE"""),9171475791)</f>
        <v>9171475791</v>
      </c>
      <c r="K1817" s="1" t="str">
        <f>IFERROR(__xludf.DUMMYFUNCTION("""COMPUTED_VALUE"""),"ANAMAXIE010@GMAIL.COM")</f>
        <v>ANAMAXIE010@GMAIL.COM</v>
      </c>
      <c r="L1817" s="1" t="str">
        <f>IFERROR(__xludf.DUMMYFUNCTION("""COMPUTED_VALUE"""),"9050")</f>
        <v>9050</v>
      </c>
      <c r="M1817" s="1" t="str">
        <f>IFERROR(__xludf.DUMMYFUNCTION("""COMPUTED_VALUE"""),"MARKETSITE")</f>
        <v>MARKETSITE</v>
      </c>
      <c r="N1817" s="1"/>
      <c r="O1817" s="1" t="str">
        <f>IFERROR(__xludf.DUMMYFUNCTION("""COMPUTED_VALUE"""),"GALICIA II")</f>
        <v>GALICIA II</v>
      </c>
      <c r="P1817" s="1" t="str">
        <f>IFERROR(__xludf.DUMMYFUNCTION("""COMPUTED_VALUE"""),"MENDEZ")</f>
        <v>MENDEZ</v>
      </c>
      <c r="Q1817" s="1" t="str">
        <f>IFERROR(__xludf.DUMMYFUNCTION("""COMPUTED_VALUE"""),"CAVITE")</f>
        <v>CAVITE</v>
      </c>
      <c r="R1817" s="1" t="str">
        <f>IFERROR(__xludf.DUMMYFUNCTION("""COMPUTED_VALUE"""),"RED PLAN 1400")</f>
        <v>RED PLAN 1400</v>
      </c>
      <c r="S1817" s="1" t="str">
        <f>IFERROR(__xludf.DUMMYFUNCTION("""COMPUTED_VALUE"""),"APPROVED")</f>
        <v>APPROVED</v>
      </c>
      <c r="T1817" s="1" t="str">
        <f>IFERROR(__xludf.DUMMYFUNCTION("""COMPUTED_VALUE"""),"PAID")</f>
        <v>PAID</v>
      </c>
      <c r="U1817" s="1" t="str">
        <f>IFERROR(__xludf.DUMMYFUNCTION("""COMPUTED_VALUE"""),"PAID VIA GCASH")</f>
        <v>PAID VIA GCASH</v>
      </c>
      <c r="V1817" s="1"/>
      <c r="W1817" s="1"/>
    </row>
    <row r="1818" customHeight="1" spans="1:23">
      <c r="A1818" s="3">
        <f>IFERROR(__xludf.DUMMYFUNCTION("""COMPUTED_VALUE"""),46165)</f>
        <v>46165</v>
      </c>
      <c r="B1818" s="1" t="str">
        <f>IFERROR(__xludf.DUMMYFUNCTION("""COMPUTED_VALUE"""),"RIVERA, AIRIZH JOY")</f>
        <v>RIVERA, AIRIZH JOY</v>
      </c>
      <c r="C1818" s="1" t="str">
        <f>IFERROR(__xludf.DUMMYFUNCTION("""COMPUTED_VALUE"""),"ORGANIC")</f>
        <v>ORGANIC</v>
      </c>
      <c r="D1818" s="1" t="str">
        <f>IFERROR(__xludf.DUMMYFUNCTION("""COMPUTED_VALUE"""),"ALOS, CHARLS")</f>
        <v>ALOS, CHARLS</v>
      </c>
      <c r="E1818" s="1" t="str">
        <f>IFERROR(__xludf.DUMMYFUNCTION("""COMPUTED_VALUE"""),"RED FIBER")</f>
        <v>RED FIBER</v>
      </c>
      <c r="F1818" s="1"/>
      <c r="G1818" s="1"/>
      <c r="H1818" s="1" t="str">
        <f>IFERROR(__xludf.DUMMYFUNCTION("""COMPUTED_VALUE"""),"JOHN AERHOL TAHIL SANTOS")</f>
        <v>JOHN AERHOL TAHIL SANTOS</v>
      </c>
      <c r="I1818" s="1">
        <f>IFERROR(__xludf.DUMMYFUNCTION("""COMPUTED_VALUE"""),9931510718)</f>
        <v>9931510718</v>
      </c>
      <c r="J1818" s="1"/>
      <c r="K1818" s="1" t="str">
        <f>IFERROR(__xludf.DUMMYFUNCTION("""COMPUTED_VALUE"""),"JHAYS737@GMAIL.COM")</f>
        <v>JHAYS737@GMAIL.COM</v>
      </c>
      <c r="L1818" s="1" t="str">
        <f>IFERROR(__xludf.DUMMYFUNCTION("""COMPUTED_VALUE"""),"64")</f>
        <v>64</v>
      </c>
      <c r="M1818" s="1" t="str">
        <f>IFERROR(__xludf.DUMMYFUNCTION("""COMPUTED_VALUE"""),"MARKETSITE")</f>
        <v>MARKETSITE</v>
      </c>
      <c r="N1818" s="1"/>
      <c r="O1818" s="1" t="str">
        <f>IFERROR(__xludf.DUMMYFUNCTION("""COMPUTED_VALUE"""),"GALICIA II")</f>
        <v>GALICIA II</v>
      </c>
      <c r="P1818" s="1" t="str">
        <f>IFERROR(__xludf.DUMMYFUNCTION("""COMPUTED_VALUE"""),"MENDEZ")</f>
        <v>MENDEZ</v>
      </c>
      <c r="Q1818" s="1" t="str">
        <f>IFERROR(__xludf.DUMMYFUNCTION("""COMPUTED_VALUE"""),"CAVITE")</f>
        <v>CAVITE</v>
      </c>
      <c r="R1818" s="1" t="str">
        <f>IFERROR(__xludf.DUMMYFUNCTION("""COMPUTED_VALUE"""),"RED PLAN 1400")</f>
        <v>RED PLAN 1400</v>
      </c>
      <c r="S1818" s="1" t="str">
        <f>IFERROR(__xludf.DUMMYFUNCTION("""COMPUTED_VALUE"""),"APPROVED")</f>
        <v>APPROVED</v>
      </c>
      <c r="T1818" s="1" t="str">
        <f>IFERROR(__xludf.DUMMYFUNCTION("""COMPUTED_VALUE"""),"PAID")</f>
        <v>PAID</v>
      </c>
      <c r="U1818" s="1" t="str">
        <f>IFERROR(__xludf.DUMMYFUNCTION("""COMPUTED_VALUE"""),"PAID VIA GCASH")</f>
        <v>PAID VIA GCASH</v>
      </c>
      <c r="V1818" s="1"/>
      <c r="W1818" s="1"/>
    </row>
    <row r="1819" customHeight="1" spans="1:23">
      <c r="A1819" s="3">
        <f>IFERROR(__xludf.DUMMYFUNCTION("""COMPUTED_VALUE"""),46165)</f>
        <v>46165</v>
      </c>
      <c r="B1819" s="1" t="str">
        <f>IFERROR(__xludf.DUMMYFUNCTION("""COMPUTED_VALUE"""),"IVNO, RAZZEL")</f>
        <v>IVNO, RAZZEL</v>
      </c>
      <c r="C1819" s="1" t="str">
        <f>IFERROR(__xludf.DUMMYFUNCTION("""COMPUTED_VALUE"""),"ORGANIC")</f>
        <v>ORGANIC</v>
      </c>
      <c r="D1819" s="1" t="str">
        <f>IFERROR(__xludf.DUMMYFUNCTION("""COMPUTED_VALUE"""),"REMOLLO LEA")</f>
        <v>REMOLLO LEA</v>
      </c>
      <c r="E1819" s="1" t="str">
        <f>IFERROR(__xludf.DUMMYFUNCTION("""COMPUTED_VALUE"""),"PLDT / H2H")</f>
        <v>PLDT / H2H</v>
      </c>
      <c r="F1819" s="1">
        <f>IFERROR(__xludf.DUMMYFUNCTION("""COMPUTED_VALUE"""),2309675458)</f>
        <v>2309675458</v>
      </c>
      <c r="G1819" s="1">
        <f>IFERROR(__xludf.DUMMYFUNCTION("""COMPUTED_VALUE"""),455793951004)</f>
        <v>455793951004</v>
      </c>
      <c r="H1819" s="1" t="str">
        <f>IFERROR(__xludf.DUMMYFUNCTION("""COMPUTED_VALUE"""),"ROSALIE BIACO SILUNGAN")</f>
        <v>ROSALIE BIACO SILUNGAN</v>
      </c>
      <c r="I1819" s="1">
        <f>IFERROR(__xludf.DUMMYFUNCTION("""COMPUTED_VALUE"""),9514227437)</f>
        <v>9514227437</v>
      </c>
      <c r="J1819" s="1"/>
      <c r="K1819" s="1" t="str">
        <f>IFERROR(__xludf.DUMMYFUNCTION("""COMPUTED_VALUE"""),"SLUNGANROSALIE14@GMAIL.COM")</f>
        <v>SLUNGANROSALIE14@GMAIL.COM</v>
      </c>
      <c r="L1819" s="1" t="str">
        <f>IFERROR(__xludf.DUMMYFUNCTION("""COMPUTED_VALUE"""),"BLK 5 LOT 2")</f>
        <v>BLK 5 LOT 2</v>
      </c>
      <c r="M1819" s="1" t="str">
        <f>IFERROR(__xludf.DUMMYFUNCTION("""COMPUTED_VALUE"""),"PABAHAY")</f>
        <v>PABAHAY</v>
      </c>
      <c r="N1819" s="1"/>
      <c r="O1819" s="1" t="str">
        <f>IFERROR(__xludf.DUMMYFUNCTION("""COMPUTED_VALUE"""),"ZAMBAL")</f>
        <v>ZAMBAL</v>
      </c>
      <c r="P1819" s="1" t="str">
        <f>IFERROR(__xludf.DUMMYFUNCTION("""COMPUTED_VALUE"""),"TAGAYTAY")</f>
        <v>TAGAYTAY</v>
      </c>
      <c r="Q1819" s="1" t="str">
        <f>IFERROR(__xludf.DUMMYFUNCTION("""COMPUTED_VALUE"""),"CAVITE")</f>
        <v>CAVITE</v>
      </c>
      <c r="R1819" s="1" t="str">
        <f>IFERROR(__xludf.DUMMYFUNCTION("""COMPUTED_VALUE"""),"FIBR UNLI ALL PLAN 999")</f>
        <v>FIBR UNLI ALL PLAN 999</v>
      </c>
      <c r="S1819" s="1" t="str">
        <f>IFERROR(__xludf.DUMMYFUNCTION("""COMPUTED_VALUE"""),"APPROVED")</f>
        <v>APPROVED</v>
      </c>
      <c r="T1819" s="1" t="str">
        <f>IFERROR(__xludf.DUMMYFUNCTION("""COMPUTED_VALUE"""),"CLOSED")</f>
        <v>CLOSED</v>
      </c>
      <c r="U1819" s="1" t="str">
        <f>IFERROR(__xludf.DUMMYFUNCTION("""COMPUTED_VALUE"""),"POSTED")</f>
        <v>POSTED</v>
      </c>
      <c r="V1819" s="1"/>
      <c r="W1819" s="1"/>
    </row>
    <row r="1820" customHeight="1" spans="1:23">
      <c r="A1820" s="3">
        <f>IFERROR(__xludf.DUMMYFUNCTION("""COMPUTED_VALUE"""),46165)</f>
        <v>46165</v>
      </c>
      <c r="B1820" s="1" t="str">
        <f>IFERROR(__xludf.DUMMYFUNCTION("""COMPUTED_VALUE"""),"OPS SIR ZZEP")</f>
        <v>OPS SIR ZZEP</v>
      </c>
      <c r="C1820" s="1" t="str">
        <f>IFERROR(__xludf.DUMMYFUNCTION("""COMPUTED_VALUE"""),"LEADSTORE")</f>
        <v>LEADSTORE</v>
      </c>
      <c r="D1820" s="1" t="str">
        <f>IFERROR(__xludf.DUMMYFUNCTION("""COMPUTED_VALUE"""),"JERIC NAVARRO")</f>
        <v>JERIC NAVARRO</v>
      </c>
      <c r="E1820" s="1" t="str">
        <f>IFERROR(__xludf.DUMMYFUNCTION("""COMPUTED_VALUE"""),"PLDT / ONLINE")</f>
        <v>PLDT / ONLINE</v>
      </c>
      <c r="F1820" s="1">
        <f>IFERROR(__xludf.DUMMYFUNCTION("""COMPUTED_VALUE"""),2309704046)</f>
        <v>2309704046</v>
      </c>
      <c r="G1820" s="1">
        <f>IFERROR(__xludf.DUMMYFUNCTION("""COMPUTED_VALUE"""),456045463004)</f>
        <v>456045463004</v>
      </c>
      <c r="H1820" s="1" t="str">
        <f>IFERROR(__xludf.DUMMYFUNCTION("""COMPUTED_VALUE"""),"ROZANO GUSTILLO DAVID")</f>
        <v>ROZANO GUSTILLO DAVID</v>
      </c>
      <c r="I1820" s="1">
        <f>IFERROR(__xludf.DUMMYFUNCTION("""COMPUTED_VALUE"""),9175810275)</f>
        <v>9175810275</v>
      </c>
      <c r="J1820" s="1"/>
      <c r="K1820" s="1" t="str">
        <f>IFERROR(__xludf.DUMMYFUNCTION("""COMPUTED_VALUE"""),"ROSS.TEAMWORKS@GMAIL.COM")</f>
        <v>ROSS.TEAMWORKS@GMAIL.COM</v>
      </c>
      <c r="L1820" s="1" t="str">
        <f>IFERROR(__xludf.DUMMYFUNCTION("""COMPUTED_VALUE"""),"1006")</f>
        <v>1006</v>
      </c>
      <c r="M1820" s="1" t="str">
        <f>IFERROR(__xludf.DUMMYFUNCTION("""COMPUTED_VALUE"""),"ELEVE HOMES")</f>
        <v>ELEVE HOMES</v>
      </c>
      <c r="N1820" s="1"/>
      <c r="O1820" s="1" t="str">
        <f>IFERROR(__xludf.DUMMYFUNCTION("""COMPUTED_VALUE"""),"MAHARLIKA WEST")</f>
        <v>MAHARLIKA WEST</v>
      </c>
      <c r="P1820" s="1" t="str">
        <f>IFERROR(__xludf.DUMMYFUNCTION("""COMPUTED_VALUE"""),"TAGAYTAY")</f>
        <v>TAGAYTAY</v>
      </c>
      <c r="Q1820" s="1" t="str">
        <f>IFERROR(__xludf.DUMMYFUNCTION("""COMPUTED_VALUE"""),"CAVITE")</f>
        <v>CAVITE</v>
      </c>
      <c r="R1820" s="1" t="str">
        <f>IFERROR(__xludf.DUMMYFUNCTION("""COMPUTED_VALUE"""),"FIBR UNLI ALL PLAN 999")</f>
        <v>FIBR UNLI ALL PLAN 999</v>
      </c>
      <c r="S1820" s="1" t="str">
        <f>IFERROR(__xludf.DUMMYFUNCTION("""COMPUTED_VALUE"""),"APPROVED")</f>
        <v>APPROVED</v>
      </c>
      <c r="T1820" s="1" t="str">
        <f>IFERROR(__xludf.DUMMYFUNCTION("""COMPUTED_VALUE"""),"CLOSED")</f>
        <v>CLOSED</v>
      </c>
      <c r="U1820" s="1" t="str">
        <f>IFERROR(__xludf.DUMMYFUNCTION("""COMPUTED_VALUE"""),"POSTED")</f>
        <v>POSTED</v>
      </c>
      <c r="V1820" s="1"/>
      <c r="W1820" s="1"/>
    </row>
    <row r="1821" customHeight="1" spans="1:23">
      <c r="A1821" s="3">
        <f>IFERROR(__xludf.DUMMYFUNCTION("""COMPUTED_VALUE"""),46166)</f>
        <v>46166</v>
      </c>
      <c r="B1821" s="1" t="str">
        <f>IFERROR(__xludf.DUMMYFUNCTION("""COMPUTED_VALUE"""),"AYON MANUEL")</f>
        <v>AYON MANUEL</v>
      </c>
      <c r="C1821" s="1" t="str">
        <f>IFERROR(__xludf.DUMMYFUNCTION("""COMPUTED_VALUE"""),"FLA")</f>
        <v>FLA</v>
      </c>
      <c r="D1821" s="1" t="str">
        <f>IFERROR(__xludf.DUMMYFUNCTION("""COMPUTED_VALUE"""),"JERIC NAVARRO")</f>
        <v>JERIC NAVARRO</v>
      </c>
      <c r="E1821" s="1" t="str">
        <f>IFERROR(__xludf.DUMMYFUNCTION("""COMPUTED_VALUE"""),"PLDT / H2H")</f>
        <v>PLDT / H2H</v>
      </c>
      <c r="F1821" s="1">
        <f>IFERROR(__xludf.DUMMYFUNCTION("""COMPUTED_VALUE"""),2309685344)</f>
        <v>2309685344</v>
      </c>
      <c r="G1821" s="1">
        <f>IFERROR(__xludf.DUMMYFUNCTION("""COMPUTED_VALUE"""),456031715004)</f>
        <v>456031715004</v>
      </c>
      <c r="H1821" s="1" t="str">
        <f>IFERROR(__xludf.DUMMYFUNCTION("""COMPUTED_VALUE"""),"TITA REYES LEPARDO")</f>
        <v>TITA REYES LEPARDO</v>
      </c>
      <c r="I1821" s="1">
        <f>IFERROR(__xludf.DUMMYFUNCTION("""COMPUTED_VALUE"""),9167007643)</f>
        <v>9167007643</v>
      </c>
      <c r="J1821" s="1">
        <f>IFERROR(__xludf.DUMMYFUNCTION("""COMPUTED_VALUE"""),9759820589)</f>
        <v>9759820589</v>
      </c>
      <c r="K1821" s="1" t="str">
        <f>IFERROR(__xludf.DUMMYFUNCTION("""COMPUTED_VALUE"""),"LEPARDOSAMUELIANG@GMAIL.COM")</f>
        <v>LEPARDOSAMUELIANG@GMAIL.COM</v>
      </c>
      <c r="L1821" s="1" t="str">
        <f>IFERROR(__xludf.DUMMYFUNCTION("""COMPUTED_VALUE"""),"116")</f>
        <v>116</v>
      </c>
      <c r="M1821" s="1" t="str">
        <f>IFERROR(__xludf.DUMMYFUNCTION("""COMPUTED_VALUE"""),"PUROK 213")</f>
        <v>PUROK 213</v>
      </c>
      <c r="N1821" s="1"/>
      <c r="O1821" s="1" t="str">
        <f>IFERROR(__xludf.DUMMYFUNCTION("""COMPUTED_VALUE"""),"ZAMBAL")</f>
        <v>ZAMBAL</v>
      </c>
      <c r="P1821" s="1" t="str">
        <f>IFERROR(__xludf.DUMMYFUNCTION("""COMPUTED_VALUE"""),"TAGAYTAY")</f>
        <v>TAGAYTAY</v>
      </c>
      <c r="Q1821" s="1" t="str">
        <f>IFERROR(__xludf.DUMMYFUNCTION("""COMPUTED_VALUE"""),"CAVITE")</f>
        <v>CAVITE</v>
      </c>
      <c r="R1821" s="1" t="str">
        <f>IFERROR(__xludf.DUMMYFUNCTION("""COMPUTED_VALUE"""),"FIBR UNLI ALL PLAN 1399")</f>
        <v>FIBR UNLI ALL PLAN 1399</v>
      </c>
      <c r="S1821" s="1" t="str">
        <f>IFERROR(__xludf.DUMMYFUNCTION("""COMPUTED_VALUE"""),"APPROVED")</f>
        <v>APPROVED</v>
      </c>
      <c r="T1821" s="1" t="str">
        <f>IFERROR(__xludf.DUMMYFUNCTION("""COMPUTED_VALUE"""),"CLOSED")</f>
        <v>CLOSED</v>
      </c>
      <c r="U1821" s="1" t="str">
        <f>IFERROR(__xludf.DUMMYFUNCTION("""COMPUTED_VALUE"""),"POSTED")</f>
        <v>POSTED</v>
      </c>
      <c r="V1821" s="1"/>
      <c r="W1821" s="1"/>
    </row>
    <row r="1822" customHeight="1" spans="1:23">
      <c r="A1822" s="3">
        <f>IFERROR(__xludf.DUMMYFUNCTION("""COMPUTED_VALUE"""),46166)</f>
        <v>46166</v>
      </c>
      <c r="B1822" s="1" t="str">
        <f>IFERROR(__xludf.DUMMYFUNCTION("""COMPUTED_VALUE"""),"AYON MANUEL")</f>
        <v>AYON MANUEL</v>
      </c>
      <c r="C1822" s="1" t="str">
        <f>IFERROR(__xludf.DUMMYFUNCTION("""COMPUTED_VALUE"""),"FLA")</f>
        <v>FLA</v>
      </c>
      <c r="D1822" s="1" t="str">
        <f>IFERROR(__xludf.DUMMYFUNCTION("""COMPUTED_VALUE"""),"JERIC NAVARRO")</f>
        <v>JERIC NAVARRO</v>
      </c>
      <c r="E1822" s="1" t="str">
        <f>IFERROR(__xludf.DUMMYFUNCTION("""COMPUTED_VALUE"""),"PLDT / H2H")</f>
        <v>PLDT / H2H</v>
      </c>
      <c r="F1822" s="1">
        <f>IFERROR(__xludf.DUMMYFUNCTION("""COMPUTED_VALUE"""),2309685249)</f>
        <v>2309685249</v>
      </c>
      <c r="G1822" s="1">
        <f>IFERROR(__xludf.DUMMYFUNCTION("""COMPUTED_VALUE"""),455914252004)</f>
        <v>455914252004</v>
      </c>
      <c r="H1822" s="1" t="str">
        <f>IFERROR(__xludf.DUMMYFUNCTION("""COMPUTED_VALUE"""),"AMADO JR CONCILLO MONTABOTE")</f>
        <v>AMADO JR CONCILLO MONTABOTE</v>
      </c>
      <c r="I1822" s="1">
        <f>IFERROR(__xludf.DUMMYFUNCTION("""COMPUTED_VALUE"""),9709689535)</f>
        <v>9709689535</v>
      </c>
      <c r="J1822" s="1">
        <f>IFERROR(__xludf.DUMMYFUNCTION("""COMPUTED_VALUE"""),9567146765)</f>
        <v>9567146765</v>
      </c>
      <c r="K1822" s="1" t="str">
        <f>IFERROR(__xludf.DUMMYFUNCTION("""COMPUTED_VALUE"""),"AMADOMONTABOTE294@GMAI.COM")</f>
        <v>AMADOMONTABOTE294@GMAI.COM</v>
      </c>
      <c r="L1822" s="1" t="str">
        <f>IFERROR(__xludf.DUMMYFUNCTION("""COMPUTED_VALUE"""),"9001")</f>
        <v>9001</v>
      </c>
      <c r="M1822" s="1" t="str">
        <f>IFERROR(__xludf.DUMMYFUNCTION("""COMPUTED_VALUE"""),"BY PASS")</f>
        <v>BY PASS</v>
      </c>
      <c r="N1822" s="1"/>
      <c r="O1822" s="1" t="str">
        <f>IFERROR(__xludf.DUMMYFUNCTION("""COMPUTED_VALUE"""),"ZAMBAL")</f>
        <v>ZAMBAL</v>
      </c>
      <c r="P1822" s="1" t="str">
        <f>IFERROR(__xludf.DUMMYFUNCTION("""COMPUTED_VALUE"""),"TAGAYTAY")</f>
        <v>TAGAYTAY</v>
      </c>
      <c r="Q1822" s="1" t="str">
        <f>IFERROR(__xludf.DUMMYFUNCTION("""COMPUTED_VALUE"""),"CAVITE")</f>
        <v>CAVITE</v>
      </c>
      <c r="R1822" s="1" t="str">
        <f>IFERROR(__xludf.DUMMYFUNCTION("""COMPUTED_VALUE"""),"FIBR PLAN 1699")</f>
        <v>FIBR PLAN 1699</v>
      </c>
      <c r="S1822" s="1" t="str">
        <f>IFERROR(__xludf.DUMMYFUNCTION("""COMPUTED_VALUE"""),"APPROVED")</f>
        <v>APPROVED</v>
      </c>
      <c r="T1822" s="1" t="str">
        <f>IFERROR(__xludf.DUMMYFUNCTION("""COMPUTED_VALUE"""),"CLOSED")</f>
        <v>CLOSED</v>
      </c>
      <c r="U1822" s="1"/>
      <c r="V1822" s="1"/>
      <c r="W1822" s="1"/>
    </row>
    <row r="1823" customHeight="1" spans="1:23">
      <c r="A1823" s="3">
        <f>IFERROR(__xludf.DUMMYFUNCTION("""COMPUTED_VALUE"""),46166)</f>
        <v>46166</v>
      </c>
      <c r="B1823" s="1" t="str">
        <f>IFERROR(__xludf.DUMMYFUNCTION("""COMPUTED_VALUE"""),"AYON MANUEL")</f>
        <v>AYON MANUEL</v>
      </c>
      <c r="C1823" s="1" t="str">
        <f>IFERROR(__xludf.DUMMYFUNCTION("""COMPUTED_VALUE"""),"FLA")</f>
        <v>FLA</v>
      </c>
      <c r="D1823" s="1" t="str">
        <f>IFERROR(__xludf.DUMMYFUNCTION("""COMPUTED_VALUE"""),"JERIC NAVARRO")</f>
        <v>JERIC NAVARRO</v>
      </c>
      <c r="E1823" s="1" t="str">
        <f>IFERROR(__xludf.DUMMYFUNCTION("""COMPUTED_VALUE"""),"PLDT / ONLINE")</f>
        <v>PLDT / ONLINE</v>
      </c>
      <c r="F1823" s="1">
        <f>IFERROR(__xludf.DUMMYFUNCTION("""COMPUTED_VALUE"""),2309700891)</f>
        <v>2309700891</v>
      </c>
      <c r="G1823" s="1">
        <f>IFERROR(__xludf.DUMMYFUNCTION("""COMPUTED_VALUE"""),456051891004)</f>
        <v>456051891004</v>
      </c>
      <c r="H1823" s="1" t="str">
        <f>IFERROR(__xludf.DUMMYFUNCTION("""COMPUTED_VALUE"""),"DIANA ROSE MADRILEJOS SETAZATE")</f>
        <v>DIANA ROSE MADRILEJOS SETAZATE</v>
      </c>
      <c r="I1823" s="1">
        <f>IFERROR(__xludf.DUMMYFUNCTION("""COMPUTED_VALUE"""),9213047981)</f>
        <v>9213047981</v>
      </c>
      <c r="J1823" s="1">
        <f>IFERROR(__xludf.DUMMYFUNCTION("""COMPUTED_VALUE"""),9957202756)</f>
        <v>9957202756</v>
      </c>
      <c r="K1823" s="1" t="str">
        <f>IFERROR(__xludf.DUMMYFUNCTION("""COMPUTED_VALUE"""),"DIANAROSE24@GMAIL.COM")</f>
        <v>DIANAROSE24@GMAIL.COM</v>
      </c>
      <c r="L1823" s="1" t="str">
        <f>IFERROR(__xludf.DUMMYFUNCTION("""COMPUTED_VALUE"""),"BLK 6 LOT 6")</f>
        <v>BLK 6 LOT 6</v>
      </c>
      <c r="M1823" s="1" t="str">
        <f>IFERROR(__xludf.DUMMYFUNCTION("""COMPUTED_VALUE"""),"MATIAS")</f>
        <v>MATIAS</v>
      </c>
      <c r="N1823" s="1" t="str">
        <f>IFERROR(__xludf.DUMMYFUNCTION("""COMPUTED_VALUE"""),"WINDWARD")</f>
        <v>WINDWARD</v>
      </c>
      <c r="O1823" s="1" t="str">
        <f>IFERROR(__xludf.DUMMYFUNCTION("""COMPUTED_VALUE"""),"BUROL I")</f>
        <v>BUROL I</v>
      </c>
      <c r="P1823" s="1" t="str">
        <f>IFERROR(__xludf.DUMMYFUNCTION("""COMPUTED_VALUE"""),"DASMARINAS")</f>
        <v>DASMARINAS</v>
      </c>
      <c r="Q1823" s="1" t="str">
        <f>IFERROR(__xludf.DUMMYFUNCTION("""COMPUTED_VALUE"""),"CAVITE")</f>
        <v>CAVITE</v>
      </c>
      <c r="R1823" s="1" t="str">
        <f>IFERROR(__xludf.DUMMYFUNCTION("""COMPUTED_VALUE"""),"FIBR PLAN 1299")</f>
        <v>FIBR PLAN 1299</v>
      </c>
      <c r="S1823" s="1" t="str">
        <f>IFERROR(__xludf.DUMMYFUNCTION("""COMPUTED_VALUE"""),"APPROVED")</f>
        <v>APPROVED</v>
      </c>
      <c r="T1823" s="1" t="str">
        <f>IFERROR(__xludf.DUMMYFUNCTION("""COMPUTED_VALUE"""),"RPR")</f>
        <v>RPR</v>
      </c>
      <c r="U1823" s="1"/>
      <c r="V1823" s="1"/>
      <c r="W1823" s="1"/>
    </row>
    <row r="1824" customHeight="1" spans="1:23">
      <c r="A1824" s="3">
        <f>IFERROR(__xludf.DUMMYFUNCTION("""COMPUTED_VALUE"""),46166)</f>
        <v>46166</v>
      </c>
      <c r="B1824" s="1" t="str">
        <f>IFERROR(__xludf.DUMMYFUNCTION("""COMPUTED_VALUE"""),"FRANCISCO , ROSELYN")</f>
        <v>FRANCISCO , ROSELYN</v>
      </c>
      <c r="C1824" s="1" t="str">
        <f>IFERROR(__xludf.DUMMYFUNCTION("""COMPUTED_VALUE"""),"ORGANIC")</f>
        <v>ORGANIC</v>
      </c>
      <c r="D1824" s="1" t="str">
        <f>IFERROR(__xludf.DUMMYFUNCTION("""COMPUTED_VALUE"""),"ALOS, CHARLS")</f>
        <v>ALOS, CHARLS</v>
      </c>
      <c r="E1824" s="1" t="str">
        <f>IFERROR(__xludf.DUMMYFUNCTION("""COMPUTED_VALUE"""),"PLDT / ONLINE")</f>
        <v>PLDT / ONLINE</v>
      </c>
      <c r="F1824" s="1">
        <f>IFERROR(__xludf.DUMMYFUNCTION("""COMPUTED_VALUE"""),2309690110)</f>
        <v>2309690110</v>
      </c>
      <c r="G1824" s="1">
        <f>IFERROR(__xludf.DUMMYFUNCTION("""COMPUTED_VALUE"""),455930822004)</f>
        <v>455930822004</v>
      </c>
      <c r="H1824" s="1" t="str">
        <f>IFERROR(__xludf.DUMMYFUNCTION("""COMPUTED_VALUE"""),"EDLYZA MARCO MIRANDA")</f>
        <v>EDLYZA MARCO MIRANDA</v>
      </c>
      <c r="I1824" s="1">
        <f>IFERROR(__xludf.DUMMYFUNCTION("""COMPUTED_VALUE"""),9454106220)</f>
        <v>9454106220</v>
      </c>
      <c r="J1824" s="1">
        <f>IFERROR(__xludf.DUMMYFUNCTION("""COMPUTED_VALUE"""),9925488328)</f>
        <v>9925488328</v>
      </c>
      <c r="K1824" s="1" t="str">
        <f>IFERROR(__xludf.DUMMYFUNCTION("""COMPUTED_VALUE"""),"LYZAMARCO69@GMAIL.COM")</f>
        <v>LYZAMARCO69@GMAIL.COM</v>
      </c>
      <c r="L1824" s="1" t="str">
        <f>IFERROR(__xludf.DUMMYFUNCTION("""COMPUTED_VALUE"""),"BLK 197LOT 6")</f>
        <v>BLK 197LOT 6</v>
      </c>
      <c r="M1824" s="1" t="str">
        <f>IFERROR(__xludf.DUMMYFUNCTION("""COMPUTED_VALUE"""),"AFP HOUSING")</f>
        <v>AFP HOUSING</v>
      </c>
      <c r="N1824" s="1"/>
      <c r="O1824" s="1" t="str">
        <f>IFERROR(__xludf.DUMMYFUNCTION("""COMPUTED_VALUE"""),"BULIHAN")</f>
        <v>BULIHAN</v>
      </c>
      <c r="P1824" s="1" t="str">
        <f>IFERROR(__xludf.DUMMYFUNCTION("""COMPUTED_VALUE"""),"SILANG")</f>
        <v>SILANG</v>
      </c>
      <c r="Q1824" s="1" t="str">
        <f>IFERROR(__xludf.DUMMYFUNCTION("""COMPUTED_VALUE"""),"CAVITE")</f>
        <v>CAVITE</v>
      </c>
      <c r="R1824" s="1" t="str">
        <f>IFERROR(__xludf.DUMMYFUNCTION("""COMPUTED_VALUE"""),"FIBR UNLI ALL PLAN 999")</f>
        <v>FIBR UNLI ALL PLAN 999</v>
      </c>
      <c r="S1824" s="1" t="str">
        <f>IFERROR(__xludf.DUMMYFUNCTION("""COMPUTED_VALUE"""),"APPROVED")</f>
        <v>APPROVED</v>
      </c>
      <c r="T1824" s="1" t="str">
        <f>IFERROR(__xludf.DUMMYFUNCTION("""COMPUTED_VALUE"""),"CANCELLED")</f>
        <v>CANCELLED</v>
      </c>
      <c r="U1824" s="1" t="str">
        <f>IFERROR(__xludf.DUMMYFUNCTION("""COMPUTED_VALUE"""),"NO PAYMENT")</f>
        <v>NO PAYMENT</v>
      </c>
      <c r="V1824" s="1"/>
      <c r="W1824" s="1"/>
    </row>
    <row r="1825" customHeight="1" spans="1:23">
      <c r="A1825" s="3">
        <f>IFERROR(__xludf.DUMMYFUNCTION("""COMPUTED_VALUE"""),46166)</f>
        <v>46166</v>
      </c>
      <c r="B1825" s="1" t="str">
        <f>IFERROR(__xludf.DUMMYFUNCTION("""COMPUTED_VALUE"""),"FARO, REFRANTA")</f>
        <v>FARO, REFRANTA</v>
      </c>
      <c r="C1825" s="1" t="str">
        <f>IFERROR(__xludf.DUMMYFUNCTION("""COMPUTED_VALUE"""),"ORGANIC")</f>
        <v>ORGANIC</v>
      </c>
      <c r="D1825" s="1" t="str">
        <f>IFERROR(__xludf.DUMMYFUNCTION("""COMPUTED_VALUE"""),"ALINGARO, CINDY")</f>
        <v>ALINGARO, CINDY</v>
      </c>
      <c r="E1825" s="1" t="str">
        <f>IFERROR(__xludf.DUMMYFUNCTION("""COMPUTED_VALUE"""),"RED FIBER")</f>
        <v>RED FIBER</v>
      </c>
      <c r="F1825" s="1"/>
      <c r="G1825" s="1"/>
      <c r="H1825" s="1" t="str">
        <f>IFERROR(__xludf.DUMMYFUNCTION("""COMPUTED_VALUE"""),"LEO PELLAZA COLINA")</f>
        <v>LEO PELLAZA COLINA</v>
      </c>
      <c r="I1825" s="1">
        <f>IFERROR(__xludf.DUMMYFUNCTION("""COMPUTED_VALUE"""),9293517810)</f>
        <v>9293517810</v>
      </c>
      <c r="J1825" s="1"/>
      <c r="K1825" s="1" t="str">
        <f>IFERROR(__xludf.DUMMYFUNCTION("""COMPUTED_VALUE"""),"COLINALEO1975@GMAIL.COM")</f>
        <v>COLINALEO1975@GMAIL.COM</v>
      </c>
      <c r="L1825" s="1" t="str">
        <f>IFERROR(__xludf.DUMMYFUNCTION("""COMPUTED_VALUE"""),"9227")</f>
        <v>9227</v>
      </c>
      <c r="M1825" s="1" t="str">
        <f>IFERROR(__xludf.DUMMYFUNCTION("""COMPUTED_VALUE"""),"HUMAYAO")</f>
        <v>HUMAYAO</v>
      </c>
      <c r="N1825" s="1"/>
      <c r="O1825" s="1" t="str">
        <f>IFERROR(__xludf.DUMMYFUNCTION("""COMPUTED_VALUE"""),"LANGKAAN II")</f>
        <v>LANGKAAN II</v>
      </c>
      <c r="P1825" s="1" t="str">
        <f>IFERROR(__xludf.DUMMYFUNCTION("""COMPUTED_VALUE"""),"DASMARINAS")</f>
        <v>DASMARINAS</v>
      </c>
      <c r="Q1825" s="1" t="str">
        <f>IFERROR(__xludf.DUMMYFUNCTION("""COMPUTED_VALUE"""),"CAVITE")</f>
        <v>CAVITE</v>
      </c>
      <c r="R1825" s="1" t="str">
        <f>IFERROR(__xludf.DUMMYFUNCTION("""COMPUTED_VALUE"""),"RED PLAN 1000")</f>
        <v>RED PLAN 1000</v>
      </c>
      <c r="S1825" s="1" t="str">
        <f>IFERROR(__xludf.DUMMYFUNCTION("""COMPUTED_VALUE"""),"APPROVED")</f>
        <v>APPROVED</v>
      </c>
      <c r="T1825" s="1" t="str">
        <f>IFERROR(__xludf.DUMMYFUNCTION("""COMPUTED_VALUE"""),"PAID")</f>
        <v>PAID</v>
      </c>
      <c r="U1825" s="1" t="str">
        <f>IFERROR(__xludf.DUMMYFUNCTION("""COMPUTED_VALUE"""),"PAID VIA GCASH")</f>
        <v>PAID VIA GCASH</v>
      </c>
      <c r="V1825" s="1"/>
      <c r="W1825" s="1"/>
    </row>
    <row r="1826" customHeight="1" spans="1:23">
      <c r="A1826" s="3">
        <f>IFERROR(__xludf.DUMMYFUNCTION("""COMPUTED_VALUE"""),46166)</f>
        <v>46166</v>
      </c>
      <c r="B1826" s="1" t="str">
        <f>IFERROR(__xludf.DUMMYFUNCTION("""COMPUTED_VALUE"""),"CASTILLEJOS, ARREL")</f>
        <v>CASTILLEJOS, ARREL</v>
      </c>
      <c r="C1826" s="1" t="str">
        <f>IFERROR(__xludf.DUMMYFUNCTION("""COMPUTED_VALUE"""),"ORGANIC")</f>
        <v>ORGANIC</v>
      </c>
      <c r="D1826" s="1" t="str">
        <f>IFERROR(__xludf.DUMMYFUNCTION("""COMPUTED_VALUE"""),"REMOLLO LEA")</f>
        <v>REMOLLO LEA</v>
      </c>
      <c r="E1826" s="1" t="str">
        <f>IFERROR(__xludf.DUMMYFUNCTION("""COMPUTED_VALUE"""),"PLDT / H2H")</f>
        <v>PLDT / H2H</v>
      </c>
      <c r="F1826" s="1">
        <f>IFERROR(__xludf.DUMMYFUNCTION("""COMPUTED_VALUE"""),2309685971)</f>
        <v>2309685971</v>
      </c>
      <c r="G1826" s="1">
        <f>IFERROR(__xludf.DUMMYFUNCTION("""COMPUTED_VALUE"""),455921007004)</f>
        <v>455921007004</v>
      </c>
      <c r="H1826" s="1" t="str">
        <f>IFERROR(__xludf.DUMMYFUNCTION("""COMPUTED_VALUE"""),"LEA HERNANDEZ DOGINOG")</f>
        <v>LEA HERNANDEZ DOGINOG</v>
      </c>
      <c r="I1826" s="1">
        <f>IFERROR(__xludf.DUMMYFUNCTION("""COMPUTED_VALUE"""),9542939936)</f>
        <v>9542939936</v>
      </c>
      <c r="J1826" s="1">
        <f>IFERROR(__xludf.DUMMYFUNCTION("""COMPUTED_VALUE"""),9270116004)</f>
        <v>9270116004</v>
      </c>
      <c r="K1826" s="1" t="str">
        <f>IFERROR(__xludf.DUMMYFUNCTION("""COMPUTED_VALUE"""),"HERNANDEZLEA270@GMAIL.COM")</f>
        <v>HERNANDEZLEA270@GMAIL.COM</v>
      </c>
      <c r="L1826" s="1" t="str">
        <f>IFERROR(__xludf.DUMMYFUNCTION("""COMPUTED_VALUE"""),"BLK 1 LOT 8")</f>
        <v>BLK 1 LOT 8</v>
      </c>
      <c r="M1826" s="1" t="str">
        <f>IFERROR(__xludf.DUMMYFUNCTION("""COMPUTED_VALUE"""),"PABAHAY")</f>
        <v>PABAHAY</v>
      </c>
      <c r="N1826" s="1"/>
      <c r="O1826" s="1" t="str">
        <f>IFERROR(__xludf.DUMMYFUNCTION("""COMPUTED_VALUE"""),"ZAMBAL")</f>
        <v>ZAMBAL</v>
      </c>
      <c r="P1826" s="1" t="str">
        <f>IFERROR(__xludf.DUMMYFUNCTION("""COMPUTED_VALUE"""),"TAGAYTAY")</f>
        <v>TAGAYTAY</v>
      </c>
      <c r="Q1826" s="1" t="str">
        <f>IFERROR(__xludf.DUMMYFUNCTION("""COMPUTED_VALUE"""),"CAVITE")</f>
        <v>CAVITE</v>
      </c>
      <c r="R1826" s="1" t="str">
        <f>IFERROR(__xludf.DUMMYFUNCTION("""COMPUTED_VALUE"""),"FIBR UNLI ALL PLAN 999")</f>
        <v>FIBR UNLI ALL PLAN 999</v>
      </c>
      <c r="S1826" s="1" t="str">
        <f>IFERROR(__xludf.DUMMYFUNCTION("""COMPUTED_VALUE"""),"APPROVED")</f>
        <v>APPROVED</v>
      </c>
      <c r="T1826" s="1" t="str">
        <f>IFERROR(__xludf.DUMMYFUNCTION("""COMPUTED_VALUE"""),"CANCELLED")</f>
        <v>CANCELLED</v>
      </c>
      <c r="U1826" s="1" t="str">
        <f>IFERROR(__xludf.DUMMYFUNCTION("""COMPUTED_VALUE"""),"NO PAYMENT")</f>
        <v>NO PAYMENT</v>
      </c>
      <c r="V1826" s="1"/>
      <c r="W1826" s="1"/>
    </row>
    <row r="1827" customHeight="1" spans="1:23">
      <c r="A1827" s="3">
        <f>IFERROR(__xludf.DUMMYFUNCTION("""COMPUTED_VALUE"""),46166)</f>
        <v>46166</v>
      </c>
      <c r="B1827" s="1" t="str">
        <f>IFERROR(__xludf.DUMMYFUNCTION("""COMPUTED_VALUE"""),"FERNANDEZ JERIC")</f>
        <v>FERNANDEZ JERIC</v>
      </c>
      <c r="C1827" s="1" t="str">
        <f>IFERROR(__xludf.DUMMYFUNCTION("""COMPUTED_VALUE"""),"ORGANIC")</f>
        <v>ORGANIC</v>
      </c>
      <c r="D1827" s="1" t="str">
        <f>IFERROR(__xludf.DUMMYFUNCTION("""COMPUTED_VALUE"""),"ALOS, CHARLS")</f>
        <v>ALOS, CHARLS</v>
      </c>
      <c r="E1827" s="1" t="str">
        <f>IFERROR(__xludf.DUMMYFUNCTION("""COMPUTED_VALUE"""),"PLDT / H2H")</f>
        <v>PLDT / H2H</v>
      </c>
      <c r="F1827" s="1">
        <f>IFERROR(__xludf.DUMMYFUNCTION("""COMPUTED_VALUE"""),2309686693)</f>
        <v>2309686693</v>
      </c>
      <c r="G1827" s="1">
        <f>IFERROR(__xludf.DUMMYFUNCTION("""COMPUTED_VALUE"""),456031328004)</f>
        <v>456031328004</v>
      </c>
      <c r="H1827" s="1" t="str">
        <f>IFERROR(__xludf.DUMMYFUNCTION("""COMPUTED_VALUE"""),"MARILYN LUMANOG HULAR")</f>
        <v>MARILYN LUMANOG HULAR</v>
      </c>
      <c r="I1827" s="1">
        <f>IFERROR(__xludf.DUMMYFUNCTION("""COMPUTED_VALUE"""),9158145769)</f>
        <v>9158145769</v>
      </c>
      <c r="J1827" s="1">
        <f>IFERROR(__xludf.DUMMYFUNCTION("""COMPUTED_VALUE"""),9452962344)</f>
        <v>9452962344</v>
      </c>
      <c r="K1827" s="1" t="str">
        <f>IFERROR(__xludf.DUMMYFUNCTION("""COMPUTED_VALUE"""),"MAILYNHULAR001@GMAIL.COM")</f>
        <v>MAILYNHULAR001@GMAIL.COM</v>
      </c>
      <c r="L1827" s="1" t="str">
        <f>IFERROR(__xludf.DUMMYFUNCTION("""COMPUTED_VALUE"""),"BLK 1 LOT6")</f>
        <v>BLK 1 LOT6</v>
      </c>
      <c r="M1827" s="1" t="str">
        <f>IFERROR(__xludf.DUMMYFUNCTION("""COMPUTED_VALUE"""),"PABAHAY")</f>
        <v>PABAHAY</v>
      </c>
      <c r="N1827" s="1"/>
      <c r="O1827" s="1" t="str">
        <f>IFERROR(__xludf.DUMMYFUNCTION("""COMPUTED_VALUE"""),"ZAMBAL")</f>
        <v>ZAMBAL</v>
      </c>
      <c r="P1827" s="1" t="str">
        <f>IFERROR(__xludf.DUMMYFUNCTION("""COMPUTED_VALUE"""),"TAGAYTAY")</f>
        <v>TAGAYTAY</v>
      </c>
      <c r="Q1827" s="1" t="str">
        <f>IFERROR(__xludf.DUMMYFUNCTION("""COMPUTED_VALUE"""),"CAVITE")</f>
        <v>CAVITE</v>
      </c>
      <c r="R1827" s="1" t="str">
        <f>IFERROR(__xludf.DUMMYFUNCTION("""COMPUTED_VALUE"""),"FIBR UNLI ALL PLAN 999")</f>
        <v>FIBR UNLI ALL PLAN 999</v>
      </c>
      <c r="S1827" s="1" t="str">
        <f>IFERROR(__xludf.DUMMYFUNCTION("""COMPUTED_VALUE"""),"APPROVED")</f>
        <v>APPROVED</v>
      </c>
      <c r="T1827" s="1" t="str">
        <f>IFERROR(__xludf.DUMMYFUNCTION("""COMPUTED_VALUE"""),"CANCELLED")</f>
        <v>CANCELLED</v>
      </c>
      <c r="U1827" s="1" t="str">
        <f>IFERROR(__xludf.DUMMYFUNCTION("""COMPUTED_VALUE"""),"NO PAYMENT")</f>
        <v>NO PAYMENT</v>
      </c>
      <c r="V1827" s="1"/>
      <c r="W1827" s="1"/>
    </row>
    <row r="1828" customHeight="1" spans="1:23">
      <c r="A1828" s="3">
        <f>IFERROR(__xludf.DUMMYFUNCTION("""COMPUTED_VALUE"""),46166)</f>
        <v>46166</v>
      </c>
      <c r="B1828" s="1" t="str">
        <f>IFERROR(__xludf.DUMMYFUNCTION("""COMPUTED_VALUE"""),"ESCARCHA, MA ALMA  ESCOTO")</f>
        <v>ESCARCHA, MA ALMA  ESCOTO</v>
      </c>
      <c r="C1828" s="1" t="str">
        <f>IFERROR(__xludf.DUMMYFUNCTION("""COMPUTED_VALUE"""),"ORGANIC")</f>
        <v>ORGANIC</v>
      </c>
      <c r="D1828" s="1" t="str">
        <f>IFERROR(__xludf.DUMMYFUNCTION("""COMPUTED_VALUE"""),"ALINGARO, CINDY")</f>
        <v>ALINGARO, CINDY</v>
      </c>
      <c r="E1828" s="1" t="str">
        <f>IFERROR(__xludf.DUMMYFUNCTION("""COMPUTED_VALUE"""),"PLDT / ONLINE")</f>
        <v>PLDT / ONLINE</v>
      </c>
      <c r="F1828" s="1">
        <f>IFERROR(__xludf.DUMMYFUNCTION("""COMPUTED_VALUE"""),2309724960)</f>
        <v>2309724960</v>
      </c>
      <c r="G1828" s="1">
        <f>IFERROR(__xludf.DUMMYFUNCTION("""COMPUTED_VALUE"""),456155210004)</f>
        <v>456155210004</v>
      </c>
      <c r="H1828" s="1" t="str">
        <f>IFERROR(__xludf.DUMMYFUNCTION("""COMPUTED_VALUE"""),"EVERSON GIAN ABAD INHAYNES")</f>
        <v>EVERSON GIAN ABAD INHAYNES</v>
      </c>
      <c r="I1828" s="1">
        <f>IFERROR(__xludf.DUMMYFUNCTION("""COMPUTED_VALUE"""),9053003645)</f>
        <v>9053003645</v>
      </c>
      <c r="J1828" s="1"/>
      <c r="K1828" s="1" t="str">
        <f>IFERROR(__xludf.DUMMYFUNCTION("""COMPUTED_VALUE"""),"INHAYNESEVERSON@GMAIL.COM")</f>
        <v>INHAYNESEVERSON@GMAIL.COM</v>
      </c>
      <c r="L1828" s="1" t="str">
        <f>IFERROR(__xludf.DUMMYFUNCTION("""COMPUTED_VALUE"""),"BLK 1 LOT 81")</f>
        <v>BLK 1 LOT 81</v>
      </c>
      <c r="M1828" s="1" t="str">
        <f>IFERROR(__xludf.DUMMYFUNCTION("""COMPUTED_VALUE"""),"POBLACION RD")</f>
        <v>POBLACION RD</v>
      </c>
      <c r="N1828" s="1"/>
      <c r="O1828" s="1" t="str">
        <f>IFERROR(__xludf.DUMMYFUNCTION("""COMPUTED_VALUE"""),"POBLACION IV")</f>
        <v>POBLACION IV</v>
      </c>
      <c r="P1828" s="1" t="str">
        <f>IFERROR(__xludf.DUMMYFUNCTION("""COMPUTED_VALUE"""),"GEN MARIANO ALVAREZ")</f>
        <v>GEN MARIANO ALVAREZ</v>
      </c>
      <c r="Q1828" s="1" t="str">
        <f>IFERROR(__xludf.DUMMYFUNCTION("""COMPUTED_VALUE"""),"CAVITE")</f>
        <v>CAVITE</v>
      </c>
      <c r="R1828" s="1" t="str">
        <f>IFERROR(__xludf.DUMMYFUNCTION("""COMPUTED_VALUE"""),"FIBR UNLI ALL PLAN 999")</f>
        <v>FIBR UNLI ALL PLAN 999</v>
      </c>
      <c r="S1828" s="1" t="str">
        <f>IFERROR(__xludf.DUMMYFUNCTION("""COMPUTED_VALUE"""),"APPROVED")</f>
        <v>APPROVED</v>
      </c>
      <c r="T1828" s="1" t="str">
        <f>IFERROR(__xludf.DUMMYFUNCTION("""COMPUTED_VALUE"""),"AS PER SUBS PAG UUSAPAN PA DAW NILA YUNG REAGRDING SA ADVANCE PAYMENT")</f>
        <v>AS PER SUBS PAG UUSAPAN PA DAW NILA YUNG REAGRDING SA ADVANCE PAYMENT</v>
      </c>
      <c r="U1828" s="1"/>
      <c r="V1828" s="1"/>
      <c r="W1828" s="1"/>
    </row>
    <row r="1829" customHeight="1" spans="1:23">
      <c r="A1829" s="3">
        <f>IFERROR(__xludf.DUMMYFUNCTION("""COMPUTED_VALUE"""),46166)</f>
        <v>46166</v>
      </c>
      <c r="B1829" s="1" t="str">
        <f>IFERROR(__xludf.DUMMYFUNCTION("""COMPUTED_VALUE"""),"TIONGSON, ASHLEY")</f>
        <v>TIONGSON, ASHLEY</v>
      </c>
      <c r="C1829" s="1" t="str">
        <f>IFERROR(__xludf.DUMMYFUNCTION("""COMPUTED_VALUE"""),"ORGANIC")</f>
        <v>ORGANIC</v>
      </c>
      <c r="D1829" s="1" t="str">
        <f>IFERROR(__xludf.DUMMYFUNCTION("""COMPUTED_VALUE"""),"REMOLLO LEA")</f>
        <v>REMOLLO LEA</v>
      </c>
      <c r="E1829" s="1" t="str">
        <f>IFERROR(__xludf.DUMMYFUNCTION("""COMPUTED_VALUE"""),"PLDT / ONLINE")</f>
        <v>PLDT / ONLINE</v>
      </c>
      <c r="F1829" s="1">
        <f>IFERROR(__xludf.DUMMYFUNCTION("""COMPUTED_VALUE"""),2309688293)</f>
        <v>2309688293</v>
      </c>
      <c r="G1829" s="1">
        <f>IFERROR(__xludf.DUMMYFUNCTION("""COMPUTED_VALUE"""),455927545004)</f>
        <v>455927545004</v>
      </c>
      <c r="H1829" s="1" t="str">
        <f>IFERROR(__xludf.DUMMYFUNCTION("""COMPUTED_VALUE"""),"MARIVIC ORBIGO DULAY")</f>
        <v>MARIVIC ORBIGO DULAY</v>
      </c>
      <c r="I1829" s="1">
        <f>IFERROR(__xludf.DUMMYFUNCTION("""COMPUTED_VALUE"""),9943163425)</f>
        <v>9943163425</v>
      </c>
      <c r="J1829" s="1">
        <f>IFERROR(__xludf.DUMMYFUNCTION("""COMPUTED_VALUE"""),9127242310)</f>
        <v>9127242310</v>
      </c>
      <c r="K1829" s="1" t="str">
        <f>IFERROR(__xludf.DUMMYFUNCTION("""COMPUTED_VALUE"""),"DULAYMARIVIC1978@GMAIL.COM")</f>
        <v>DULAYMARIVIC1978@GMAIL.COM</v>
      </c>
      <c r="L1829" s="1" t="str">
        <f>IFERROR(__xludf.DUMMYFUNCTION("""COMPUTED_VALUE"""),"486")</f>
        <v>486</v>
      </c>
      <c r="M1829" s="1" t="str">
        <f>IFERROR(__xludf.DUMMYFUNCTION("""COMPUTED_VALUE"""),"PUROK 138")</f>
        <v>PUROK 138</v>
      </c>
      <c r="N1829" s="1"/>
      <c r="O1829" s="1" t="str">
        <f>IFERROR(__xludf.DUMMYFUNCTION("""COMPUTED_VALUE"""),"NEOGAN")</f>
        <v>NEOGAN</v>
      </c>
      <c r="P1829" s="1" t="str">
        <f>IFERROR(__xludf.DUMMYFUNCTION("""COMPUTED_VALUE"""),"TAGAYTAY")</f>
        <v>TAGAYTAY</v>
      </c>
      <c r="Q1829" s="1" t="str">
        <f>IFERROR(__xludf.DUMMYFUNCTION("""COMPUTED_VALUE"""),"CAVITE")</f>
        <v>CAVITE</v>
      </c>
      <c r="R1829" s="1" t="str">
        <f>IFERROR(__xludf.DUMMYFUNCTION("""COMPUTED_VALUE"""),"FIBR UNLI ALL PLAN 1399")</f>
        <v>FIBR UNLI ALL PLAN 1399</v>
      </c>
      <c r="S1829" s="1" t="str">
        <f>IFERROR(__xludf.DUMMYFUNCTION("""COMPUTED_VALUE"""),"APPROVED")</f>
        <v>APPROVED</v>
      </c>
      <c r="T1829" s="1" t="str">
        <f>IFERROR(__xludf.DUMMYFUNCTION("""COMPUTED_VALUE"""),"CLOSED")</f>
        <v>CLOSED</v>
      </c>
      <c r="U1829" s="1" t="str">
        <f>IFERROR(__xludf.DUMMYFUNCTION("""COMPUTED_VALUE"""),"POSTED")</f>
        <v>POSTED</v>
      </c>
      <c r="V1829" s="1"/>
      <c r="W1829" s="1"/>
    </row>
    <row r="1830" customHeight="1" spans="1:23">
      <c r="A1830" s="3">
        <f>IFERROR(__xludf.DUMMYFUNCTION("""COMPUTED_VALUE"""),46166)</f>
        <v>46166</v>
      </c>
      <c r="B1830" s="1" t="str">
        <f>IFERROR(__xludf.DUMMYFUNCTION("""COMPUTED_VALUE"""),"FRANCISCO , ROSELYN")</f>
        <v>FRANCISCO , ROSELYN</v>
      </c>
      <c r="C1830" s="1" t="str">
        <f>IFERROR(__xludf.DUMMYFUNCTION("""COMPUTED_VALUE"""),"ORGANIC")</f>
        <v>ORGANIC</v>
      </c>
      <c r="D1830" s="1" t="str">
        <f>IFERROR(__xludf.DUMMYFUNCTION("""COMPUTED_VALUE"""),"ALOS, CHARLS")</f>
        <v>ALOS, CHARLS</v>
      </c>
      <c r="E1830" s="1" t="str">
        <f>IFERROR(__xludf.DUMMYFUNCTION("""COMPUTED_VALUE"""),"PLDT BK EXPRESS")</f>
        <v>PLDT BK EXPRESS</v>
      </c>
      <c r="F1830" s="1">
        <f>IFERROR(__xludf.DUMMYFUNCTION("""COMPUTED_VALUE"""),2309689027)</f>
        <v>2309689027</v>
      </c>
      <c r="G1830" s="1">
        <f>IFERROR(__xludf.DUMMYFUNCTION("""COMPUTED_VALUE"""),455928609004)</f>
        <v>455928609004</v>
      </c>
      <c r="H1830" s="1" t="str">
        <f>IFERROR(__xludf.DUMMYFUNCTION("""COMPUTED_VALUE"""),"CLARA DEDACE ANTICRISTO")</f>
        <v>CLARA DEDACE ANTICRISTO</v>
      </c>
      <c r="I1830" s="1">
        <f>IFERROR(__xludf.DUMMYFUNCTION("""COMPUTED_VALUE"""),9778110515)</f>
        <v>9778110515</v>
      </c>
      <c r="J1830" s="1">
        <f>IFERROR(__xludf.DUMMYFUNCTION("""COMPUTED_VALUE"""),9163620344)</f>
        <v>9163620344</v>
      </c>
      <c r="K1830" s="1" t="str">
        <f>IFERROR(__xludf.DUMMYFUNCTION("""COMPUTED_VALUE"""),"ROBELYNLOGIO@GMAIL.COM")</f>
        <v>ROBELYNLOGIO@GMAIL.COM</v>
      </c>
      <c r="L1830" s="1" t="str">
        <f>IFERROR(__xludf.DUMMYFUNCTION("""COMPUTED_VALUE"""),"9193")</f>
        <v>9193</v>
      </c>
      <c r="M1830" s="1" t="str">
        <f>IFERROR(__xludf.DUMMYFUNCTION("""COMPUTED_VALUE"""),"PUROK 210")</f>
        <v>PUROK 210</v>
      </c>
      <c r="N1830" s="1"/>
      <c r="O1830" s="1" t="str">
        <f>IFERROR(__xludf.DUMMYFUNCTION("""COMPUTED_VALUE"""),"ZAMBAL")</f>
        <v>ZAMBAL</v>
      </c>
      <c r="P1830" s="1" t="str">
        <f>IFERROR(__xludf.DUMMYFUNCTION("""COMPUTED_VALUE"""),"TAGAYTAY")</f>
        <v>TAGAYTAY</v>
      </c>
      <c r="Q1830" s="1" t="str">
        <f>IFERROR(__xludf.DUMMYFUNCTION("""COMPUTED_VALUE"""),"CAVITE")</f>
        <v>CAVITE</v>
      </c>
      <c r="R1830" s="1" t="str">
        <f>IFERROR(__xludf.DUMMYFUNCTION("""COMPUTED_VALUE"""),"FIBR PLAN 1299")</f>
        <v>FIBR PLAN 1299</v>
      </c>
      <c r="S1830" s="1" t="str">
        <f>IFERROR(__xludf.DUMMYFUNCTION("""COMPUTED_VALUE"""),"APPROVED")</f>
        <v>APPROVED</v>
      </c>
      <c r="T1830" s="1" t="str">
        <f>IFERROR(__xludf.DUMMYFUNCTION("""COMPUTED_VALUE"""),"CLOSED")</f>
        <v>CLOSED</v>
      </c>
      <c r="U1830" s="1" t="str">
        <f>IFERROR(__xludf.DUMMYFUNCTION("""COMPUTED_VALUE"""),"POSTED")</f>
        <v>POSTED</v>
      </c>
      <c r="V1830" s="1"/>
      <c r="W1830" s="1"/>
    </row>
    <row r="1831" customHeight="1" spans="1:23">
      <c r="A1831" s="3">
        <f>IFERROR(__xludf.DUMMYFUNCTION("""COMPUTED_VALUE"""),46166)</f>
        <v>46166</v>
      </c>
      <c r="B1831" s="1" t="str">
        <f>IFERROR(__xludf.DUMMYFUNCTION("""COMPUTED_VALUE"""),"IVNO, RAZZEL")</f>
        <v>IVNO, RAZZEL</v>
      </c>
      <c r="C1831" s="1" t="str">
        <f>IFERROR(__xludf.DUMMYFUNCTION("""COMPUTED_VALUE"""),"ORGANIC")</f>
        <v>ORGANIC</v>
      </c>
      <c r="D1831" s="1" t="str">
        <f>IFERROR(__xludf.DUMMYFUNCTION("""COMPUTED_VALUE"""),"REMOLLO LEA")</f>
        <v>REMOLLO LEA</v>
      </c>
      <c r="E1831" s="1" t="str">
        <f>IFERROR(__xludf.DUMMYFUNCTION("""COMPUTED_VALUE"""),"PLDT / H2H")</f>
        <v>PLDT / H2H</v>
      </c>
      <c r="F1831" s="1">
        <f>IFERROR(__xludf.DUMMYFUNCTION("""COMPUTED_VALUE"""),2309689468)</f>
        <v>2309689468</v>
      </c>
      <c r="G1831" s="1">
        <f>IFERROR(__xludf.DUMMYFUNCTION("""COMPUTED_VALUE"""),455933599004)</f>
        <v>455933599004</v>
      </c>
      <c r="H1831" s="1" t="str">
        <f>IFERROR(__xludf.DUMMYFUNCTION("""COMPUTED_VALUE"""),"ANGELIE EGANG TINAMBACAN")</f>
        <v>ANGELIE EGANG TINAMBACAN</v>
      </c>
      <c r="I1831" s="1">
        <f>IFERROR(__xludf.DUMMYFUNCTION("""COMPUTED_VALUE"""),9666901757)</f>
        <v>9666901757</v>
      </c>
      <c r="J1831" s="1">
        <f>IFERROR(__xludf.DUMMYFUNCTION("""COMPUTED_VALUE"""),9305994275)</f>
        <v>9305994275</v>
      </c>
      <c r="K1831" s="1" t="str">
        <f>IFERROR(__xludf.DUMMYFUNCTION("""COMPUTED_VALUE"""),"ANGELIETINAMBACAN81@GMAIL.COM")</f>
        <v>ANGELIETINAMBACAN81@GMAIL.COM</v>
      </c>
      <c r="L1831" s="1" t="str">
        <f>IFERROR(__xludf.DUMMYFUNCTION("""COMPUTED_VALUE"""),"BLK 31 LOT 17")</f>
        <v>BLK 31 LOT 17</v>
      </c>
      <c r="M1831" s="1" t="str">
        <f>IFERROR(__xludf.DUMMYFUNCTION("""COMPUTED_VALUE"""),"VIRATA")</f>
        <v>VIRATA</v>
      </c>
      <c r="N1831" s="1"/>
      <c r="O1831" s="1" t="str">
        <f>IFERROR(__xludf.DUMMYFUNCTION("""COMPUTED_VALUE"""),"NICOLASA VIRATA (SAN JOSE)")</f>
        <v>NICOLASA VIRATA (SAN JOSE)</v>
      </c>
      <c r="P1831" s="1" t="str">
        <f>IFERROR(__xludf.DUMMYFUNCTION("""COMPUTED_VALUE"""),"GEN MARIANO ALVAREZ")</f>
        <v>GEN MARIANO ALVAREZ</v>
      </c>
      <c r="Q1831" s="1" t="str">
        <f>IFERROR(__xludf.DUMMYFUNCTION("""COMPUTED_VALUE"""),"CAVITE")</f>
        <v>CAVITE</v>
      </c>
      <c r="R1831" s="1" t="str">
        <f>IFERROR(__xludf.DUMMYFUNCTION("""COMPUTED_VALUE"""),"FIBR UNLI ALL PLAN 1399")</f>
        <v>FIBR UNLI ALL PLAN 1399</v>
      </c>
      <c r="S1831" s="1" t="str">
        <f>IFERROR(__xludf.DUMMYFUNCTION("""COMPUTED_VALUE"""),"APPROVED")</f>
        <v>APPROVED</v>
      </c>
      <c r="T1831" s="1" t="str">
        <f>IFERROR(__xludf.DUMMYFUNCTION("""COMPUTED_VALUE"""),"RESERVED FACILITY")</f>
        <v>RESERVED FACILITY</v>
      </c>
      <c r="U1831" s="1"/>
      <c r="V1831" s="1"/>
      <c r="W1831" s="1"/>
    </row>
    <row r="1832" customHeight="1" spans="1:23">
      <c r="A1832" s="3">
        <f>IFERROR(__xludf.DUMMYFUNCTION("""COMPUTED_VALUE"""),46166)</f>
        <v>46166</v>
      </c>
      <c r="B1832" s="1" t="str">
        <f>IFERROR(__xludf.DUMMYFUNCTION("""COMPUTED_VALUE"""),"MAÑANITA, ERIKA")</f>
        <v>MAÑANITA, ERIKA</v>
      </c>
      <c r="C1832" s="1" t="str">
        <f>IFERROR(__xludf.DUMMYFUNCTION("""COMPUTED_VALUE"""),"ORGANIC")</f>
        <v>ORGANIC</v>
      </c>
      <c r="D1832" s="1" t="str">
        <f>IFERROR(__xludf.DUMMYFUNCTION("""COMPUTED_VALUE"""),"ALOS, CHARLS")</f>
        <v>ALOS, CHARLS</v>
      </c>
      <c r="E1832" s="1" t="str">
        <f>IFERROR(__xludf.DUMMYFUNCTION("""COMPUTED_VALUE"""),"PLDT / ONLINE")</f>
        <v>PLDT / ONLINE</v>
      </c>
      <c r="F1832" s="1">
        <f>IFERROR(__xludf.DUMMYFUNCTION("""COMPUTED_VALUE"""),2309696534)</f>
        <v>2309696534</v>
      </c>
      <c r="G1832" s="1">
        <f>IFERROR(__xludf.DUMMYFUNCTION("""COMPUTED_VALUE"""),455969021004)</f>
        <v>455969021004</v>
      </c>
      <c r="H1832" s="1" t="str">
        <f>IFERROR(__xludf.DUMMYFUNCTION("""COMPUTED_VALUE"""),"JOHN VINCENT ROSANO PAGLINAWAN")</f>
        <v>JOHN VINCENT ROSANO PAGLINAWAN</v>
      </c>
      <c r="I1832" s="1">
        <f>IFERROR(__xludf.DUMMYFUNCTION("""COMPUTED_VALUE"""),9264141917)</f>
        <v>9264141917</v>
      </c>
      <c r="J1832" s="1">
        <f>IFERROR(__xludf.DUMMYFUNCTION("""COMPUTED_VALUE"""),9651777253)</f>
        <v>9651777253</v>
      </c>
      <c r="K1832" s="1" t="str">
        <f>IFERROR(__xludf.DUMMYFUNCTION("""COMPUTED_VALUE"""),"JJVROSANOPAGLINAWAN008@GMAIL.COM")</f>
        <v>JJVROSANOPAGLINAWAN008@GMAIL.COM</v>
      </c>
      <c r="L1832" s="1" t="str">
        <f>IFERROR(__xludf.DUMMYFUNCTION("""COMPUTED_VALUE"""),"65")</f>
        <v>65</v>
      </c>
      <c r="M1832" s="1" t="str">
        <f>IFERROR(__xludf.DUMMYFUNCTION("""COMPUTED_VALUE"""),"PUROK 5")</f>
        <v>PUROK 5</v>
      </c>
      <c r="N1832" s="1"/>
      <c r="O1832" s="1" t="str">
        <f>IFERROR(__xludf.DUMMYFUNCTION("""COMPUTED_VALUE"""),"ESPERANZA ILAYA")</f>
        <v>ESPERANZA ILAYA</v>
      </c>
      <c r="P1832" s="1" t="str">
        <f>IFERROR(__xludf.DUMMYFUNCTION("""COMPUTED_VALUE"""),"ALFONSO")</f>
        <v>ALFONSO</v>
      </c>
      <c r="Q1832" s="1" t="str">
        <f>IFERROR(__xludf.DUMMYFUNCTION("""COMPUTED_VALUE"""),"CAVITE")</f>
        <v>CAVITE</v>
      </c>
      <c r="R1832" s="1" t="str">
        <f>IFERROR(__xludf.DUMMYFUNCTION("""COMPUTED_VALUE"""),"FIBR PLAN 1299")</f>
        <v>FIBR PLAN 1299</v>
      </c>
      <c r="S1832" s="1" t="str">
        <f>IFERROR(__xludf.DUMMYFUNCTION("""COMPUTED_VALUE"""),"APPROVED")</f>
        <v>APPROVED</v>
      </c>
      <c r="T1832" s="1" t="str">
        <f>IFERROR(__xludf.DUMMYFUNCTION("""COMPUTED_VALUE"""),"CLOSED")</f>
        <v>CLOSED</v>
      </c>
      <c r="U1832" s="1" t="str">
        <f>IFERROR(__xludf.DUMMYFUNCTION("""COMPUTED_VALUE"""),"POSTED")</f>
        <v>POSTED</v>
      </c>
      <c r="V1832" s="1"/>
      <c r="W1832" s="1"/>
    </row>
    <row r="1833" customHeight="1" spans="1:23">
      <c r="A1833" s="3">
        <f>IFERROR(__xludf.DUMMYFUNCTION("""COMPUTED_VALUE"""),46166)</f>
        <v>46166</v>
      </c>
      <c r="B1833" s="1" t="str">
        <f>IFERROR(__xludf.DUMMYFUNCTION("""COMPUTED_VALUE"""),"RIVERA, AIRIZH JOY")</f>
        <v>RIVERA, AIRIZH JOY</v>
      </c>
      <c r="C1833" s="1" t="str">
        <f>IFERROR(__xludf.DUMMYFUNCTION("""COMPUTED_VALUE"""),"ORGANIC")</f>
        <v>ORGANIC</v>
      </c>
      <c r="D1833" s="1" t="str">
        <f>IFERROR(__xludf.DUMMYFUNCTION("""COMPUTED_VALUE"""),"ALOS, CHARLS")</f>
        <v>ALOS, CHARLS</v>
      </c>
      <c r="E1833" s="1" t="str">
        <f>IFERROR(__xludf.DUMMYFUNCTION("""COMPUTED_VALUE"""),"PLDT / H2H")</f>
        <v>PLDT / H2H</v>
      </c>
      <c r="F1833" s="1">
        <f>IFERROR(__xludf.DUMMYFUNCTION("""COMPUTED_VALUE"""),2309696732)</f>
        <v>2309696732</v>
      </c>
      <c r="G1833" s="1">
        <f>IFERROR(__xludf.DUMMYFUNCTION("""COMPUTED_VALUE"""),456036977004)</f>
        <v>456036977004</v>
      </c>
      <c r="H1833" s="1" t="str">
        <f>IFERROR(__xludf.DUMMYFUNCTION("""COMPUTED_VALUE"""),"OLYMPIA DE LOS REYES RETERADO")</f>
        <v>OLYMPIA DE LOS REYES RETERADO</v>
      </c>
      <c r="I1833" s="1">
        <f>IFERROR(__xludf.DUMMYFUNCTION("""COMPUTED_VALUE"""),9752888584)</f>
        <v>9752888584</v>
      </c>
      <c r="J1833" s="1"/>
      <c r="K1833" s="1" t="str">
        <f>IFERROR(__xludf.DUMMYFUNCTION("""COMPUTED_VALUE"""),"OLIVERETERADO123@GMAIL.COM")</f>
        <v>OLIVERETERADO123@GMAIL.COM</v>
      </c>
      <c r="L1833" s="1" t="str">
        <f>IFERROR(__xludf.DUMMYFUNCTION("""COMPUTED_VALUE"""),"222")</f>
        <v>222</v>
      </c>
      <c r="M1833" s="1" t="str">
        <f>IFERROR(__xludf.DUMMYFUNCTION("""COMPUTED_VALUE"""),"ST PAUL")</f>
        <v>ST PAUL</v>
      </c>
      <c r="N1833" s="1"/>
      <c r="O1833" s="1" t="str">
        <f>IFERROR(__xludf.DUMMYFUNCTION("""COMPUTED_VALUE"""),"MIGUEL MOJICA")</f>
        <v>MIGUEL MOJICA</v>
      </c>
      <c r="P1833" s="1" t="str">
        <f>IFERROR(__xludf.DUMMYFUNCTION("""COMPUTED_VALUE"""),"MENDEZ")</f>
        <v>MENDEZ</v>
      </c>
      <c r="Q1833" s="1" t="str">
        <f>IFERROR(__xludf.DUMMYFUNCTION("""COMPUTED_VALUE"""),"CAVITE")</f>
        <v>CAVITE</v>
      </c>
      <c r="R1833" s="1" t="str">
        <f>IFERROR(__xludf.DUMMYFUNCTION("""COMPUTED_VALUE"""),"FIBR UNLI ALL PLAN 999")</f>
        <v>FIBR UNLI ALL PLAN 999</v>
      </c>
      <c r="S1833" s="1" t="str">
        <f>IFERROR(__xludf.DUMMYFUNCTION("""COMPUTED_VALUE"""),"APPROVED")</f>
        <v>APPROVED</v>
      </c>
      <c r="T1833" s="1" t="str">
        <f>IFERROR(__xludf.DUMMYFUNCTION("""COMPUTED_VALUE"""),"CLOSED")</f>
        <v>CLOSED</v>
      </c>
      <c r="U1833" s="1" t="str">
        <f>IFERROR(__xludf.DUMMYFUNCTION("""COMPUTED_VALUE"""),"PAID VIA GCASH")</f>
        <v>PAID VIA GCASH</v>
      </c>
      <c r="V1833" s="1"/>
      <c r="W1833" s="1"/>
    </row>
    <row r="1834" customHeight="1" spans="1:23">
      <c r="A1834" s="3">
        <f>IFERROR(__xludf.DUMMYFUNCTION("""COMPUTED_VALUE"""),46166)</f>
        <v>46166</v>
      </c>
      <c r="B1834" s="1" t="str">
        <f>IFERROR(__xludf.DUMMYFUNCTION("""COMPUTED_VALUE"""),"DELA ROSA, JENNELYN")</f>
        <v>DELA ROSA, JENNELYN</v>
      </c>
      <c r="C1834" s="1" t="str">
        <f>IFERROR(__xludf.DUMMYFUNCTION("""COMPUTED_VALUE"""),"ORGANIC")</f>
        <v>ORGANIC</v>
      </c>
      <c r="D1834" s="1" t="str">
        <f>IFERROR(__xludf.DUMMYFUNCTION("""COMPUTED_VALUE"""),"ALOS, CHARLS")</f>
        <v>ALOS, CHARLS</v>
      </c>
      <c r="E1834" s="1" t="str">
        <f>IFERROR(__xludf.DUMMYFUNCTION("""COMPUTED_VALUE"""),"PLDT / H2H")</f>
        <v>PLDT / H2H</v>
      </c>
      <c r="F1834" s="1">
        <f>IFERROR(__xludf.DUMMYFUNCTION("""COMPUTED_VALUE"""),2309691298)</f>
        <v>2309691298</v>
      </c>
      <c r="G1834" s="1">
        <f>IFERROR(__xludf.DUMMYFUNCTION("""COMPUTED_VALUE"""),455934420004)</f>
        <v>455934420004</v>
      </c>
      <c r="H1834" s="1" t="str">
        <f>IFERROR(__xludf.DUMMYFUNCTION("""COMPUTED_VALUE"""),"PAMELA RODIS ROBLEDO")</f>
        <v>PAMELA RODIS ROBLEDO</v>
      </c>
      <c r="I1834" s="1">
        <f>IFERROR(__xludf.DUMMYFUNCTION("""COMPUTED_VALUE"""),9652887913)</f>
        <v>9652887913</v>
      </c>
      <c r="J1834" s="1">
        <f>IFERROR(__xludf.DUMMYFUNCTION("""COMPUTED_VALUE"""),9752811567)</f>
        <v>9752811567</v>
      </c>
      <c r="K1834" s="1" t="str">
        <f>IFERROR(__xludf.DUMMYFUNCTION("""COMPUTED_VALUE"""),"ALISONRETERADO@GMAIL.COM")</f>
        <v>ALISONRETERADO@GMAIL.COM</v>
      </c>
      <c r="L1834" s="1" t="str">
        <f>IFERROR(__xludf.DUMMYFUNCTION("""COMPUTED_VALUE"""),"39")</f>
        <v>39</v>
      </c>
      <c r="M1834" s="1" t="str">
        <f>IFERROR(__xludf.DUMMYFUNCTION("""COMPUTED_VALUE"""),"ST PAUL")</f>
        <v>ST PAUL</v>
      </c>
      <c r="N1834" s="1"/>
      <c r="O1834" s="1" t="str">
        <f>IFERROR(__xludf.DUMMYFUNCTION("""COMPUTED_VALUE"""),"MIGUEL MOJICA")</f>
        <v>MIGUEL MOJICA</v>
      </c>
      <c r="P1834" s="1" t="str">
        <f>IFERROR(__xludf.DUMMYFUNCTION("""COMPUTED_VALUE"""),"MENDEZ")</f>
        <v>MENDEZ</v>
      </c>
      <c r="Q1834" s="1" t="str">
        <f>IFERROR(__xludf.DUMMYFUNCTION("""COMPUTED_VALUE"""),"CAVITE")</f>
        <v>CAVITE</v>
      </c>
      <c r="R1834" s="1" t="str">
        <f>IFERROR(__xludf.DUMMYFUNCTION("""COMPUTED_VALUE"""),"FIBR UNLI ALL PLAN 999")</f>
        <v>FIBR UNLI ALL PLAN 999</v>
      </c>
      <c r="S1834" s="1" t="str">
        <f>IFERROR(__xludf.DUMMYFUNCTION("""COMPUTED_VALUE"""),"APPROVED")</f>
        <v>APPROVED</v>
      </c>
      <c r="T1834" s="1" t="str">
        <f>IFERROR(__xludf.DUMMYFUNCTION("""COMPUTED_VALUE"""),"CLOSED")</f>
        <v>CLOSED</v>
      </c>
      <c r="U1834" s="1" t="str">
        <f>IFERROR(__xludf.DUMMYFUNCTION("""COMPUTED_VALUE"""),"POSTED")</f>
        <v>POSTED</v>
      </c>
      <c r="V1834" s="1"/>
      <c r="W1834" s="1"/>
    </row>
    <row r="1835" customHeight="1" spans="1:23">
      <c r="A1835" s="3">
        <f>IFERROR(__xludf.DUMMYFUNCTION("""COMPUTED_VALUE"""),46166)</f>
        <v>46166</v>
      </c>
      <c r="B1835" s="1" t="str">
        <f>IFERROR(__xludf.DUMMYFUNCTION("""COMPUTED_VALUE"""),"IVNO, RAZZEL")</f>
        <v>IVNO, RAZZEL</v>
      </c>
      <c r="C1835" s="1" t="str">
        <f>IFERROR(__xludf.DUMMYFUNCTION("""COMPUTED_VALUE"""),"ORGANIC")</f>
        <v>ORGANIC</v>
      </c>
      <c r="D1835" s="1" t="str">
        <f>IFERROR(__xludf.DUMMYFUNCTION("""COMPUTED_VALUE"""),"REMOLLO LEA")</f>
        <v>REMOLLO LEA</v>
      </c>
      <c r="E1835" s="1" t="str">
        <f>IFERROR(__xludf.DUMMYFUNCTION("""COMPUTED_VALUE"""),"PLDT / H2H")</f>
        <v>PLDT / H2H</v>
      </c>
      <c r="F1835" s="1">
        <f>IFERROR(__xludf.DUMMYFUNCTION("""COMPUTED_VALUE"""),2309696942)</f>
        <v>2309696942</v>
      </c>
      <c r="G1835" s="1">
        <f>IFERROR(__xludf.DUMMYFUNCTION("""COMPUTED_VALUE"""),456031319004)</f>
        <v>456031319004</v>
      </c>
      <c r="H1835" s="1" t="str">
        <f>IFERROR(__xludf.DUMMYFUNCTION("""COMPUTED_VALUE"""),"JERALD NURENTE GONZAGA")</f>
        <v>JERALD NURENTE GONZAGA</v>
      </c>
      <c r="I1835" s="1">
        <f>IFERROR(__xludf.DUMMYFUNCTION("""COMPUTED_VALUE"""),9464993883)</f>
        <v>9464993883</v>
      </c>
      <c r="J1835" s="1">
        <f>IFERROR(__xludf.DUMMYFUNCTION("""COMPUTED_VALUE"""),9121973932)</f>
        <v>9121973932</v>
      </c>
      <c r="K1835" s="1" t="str">
        <f>IFERROR(__xludf.DUMMYFUNCTION("""COMPUTED_VALUE"""),"JERALDGONZAGA@GMAIL.COM")</f>
        <v>JERALDGONZAGA@GMAIL.COM</v>
      </c>
      <c r="L1835" s="1" t="str">
        <f>IFERROR(__xludf.DUMMYFUNCTION("""COMPUTED_VALUE"""),"3")</f>
        <v>3</v>
      </c>
      <c r="M1835" s="1" t="str">
        <f>IFERROR(__xludf.DUMMYFUNCTION("""COMPUTED_VALUE"""),"KALYE PUTOL")</f>
        <v>KALYE PUTOL</v>
      </c>
      <c r="N1835" s="1"/>
      <c r="O1835" s="1" t="str">
        <f>IFERROR(__xludf.DUMMYFUNCTION("""COMPUTED_VALUE"""),"TIBIG")</f>
        <v>TIBIG</v>
      </c>
      <c r="P1835" s="1" t="str">
        <f>IFERROR(__xludf.DUMMYFUNCTION("""COMPUTED_VALUE"""),"SILANG")</f>
        <v>SILANG</v>
      </c>
      <c r="Q1835" s="1" t="str">
        <f>IFERROR(__xludf.DUMMYFUNCTION("""COMPUTED_VALUE"""),"CAVITE")</f>
        <v>CAVITE</v>
      </c>
      <c r="R1835" s="1" t="str">
        <f>IFERROR(__xludf.DUMMYFUNCTION("""COMPUTED_VALUE"""),"FIBR UNLI ALL PLAN 999")</f>
        <v>FIBR UNLI ALL PLAN 999</v>
      </c>
      <c r="S1835" s="1" t="str">
        <f>IFERROR(__xludf.DUMMYFUNCTION("""COMPUTED_VALUE"""),"APPROVED")</f>
        <v>APPROVED</v>
      </c>
      <c r="T1835" s="1" t="str">
        <f>IFERROR(__xludf.DUMMYFUNCTION("""COMPUTED_VALUE"""),"CANCELLED")</f>
        <v>CANCELLED</v>
      </c>
      <c r="U1835" s="1" t="str">
        <f>IFERROR(__xludf.DUMMYFUNCTION("""COMPUTED_VALUE"""),"NO PAYMENT")</f>
        <v>NO PAYMENT</v>
      </c>
      <c r="V1835" s="1"/>
      <c r="W1835" s="1"/>
    </row>
    <row r="1836" customHeight="1" spans="1:23">
      <c r="A1836" s="3">
        <f>IFERROR(__xludf.DUMMYFUNCTION("""COMPUTED_VALUE"""),46166)</f>
        <v>46166</v>
      </c>
      <c r="B1836" s="1" t="str">
        <f>IFERROR(__xludf.DUMMYFUNCTION("""COMPUTED_VALUE"""),"DE VERA, MARIVIC")</f>
        <v>DE VERA, MARIVIC</v>
      </c>
      <c r="C1836" s="1" t="str">
        <f>IFERROR(__xludf.DUMMYFUNCTION("""COMPUTED_VALUE"""),"ORGANIC")</f>
        <v>ORGANIC</v>
      </c>
      <c r="D1836" s="1" t="str">
        <f>IFERROR(__xludf.DUMMYFUNCTION("""COMPUTED_VALUE"""),"REMOLLO LEA")</f>
        <v>REMOLLO LEA</v>
      </c>
      <c r="E1836" s="1" t="str">
        <f>IFERROR(__xludf.DUMMYFUNCTION("""COMPUTED_VALUE"""),"PLDT / H2H")</f>
        <v>PLDT / H2H</v>
      </c>
      <c r="F1836" s="1">
        <f>IFERROR(__xludf.DUMMYFUNCTION("""COMPUTED_VALUE"""),2309691655)</f>
        <v>2309691655</v>
      </c>
      <c r="G1836" s="1">
        <f>IFERROR(__xludf.DUMMYFUNCTION("""COMPUTED_VALUE"""),455933534004)</f>
        <v>455933534004</v>
      </c>
      <c r="H1836" s="1" t="str">
        <f>IFERROR(__xludf.DUMMYFUNCTION("""COMPUTED_VALUE"""),"BABY LYN CARAAN CALPE")</f>
        <v>BABY LYN CARAAN CALPE</v>
      </c>
      <c r="I1836" s="1">
        <f>IFERROR(__xludf.DUMMYFUNCTION("""COMPUTED_VALUE"""),9054278825)</f>
        <v>9054278825</v>
      </c>
      <c r="J1836" s="1">
        <f>IFERROR(__xludf.DUMMYFUNCTION("""COMPUTED_VALUE"""),9553151450)</f>
        <v>9553151450</v>
      </c>
      <c r="K1836" s="1" t="str">
        <f>IFERROR(__xludf.DUMMYFUNCTION("""COMPUTED_VALUE"""),"BABYLYNCALPE@GMAIL.COM")</f>
        <v>BABYLYNCALPE@GMAIL.COM</v>
      </c>
      <c r="L1836" s="1" t="str">
        <f>IFERROR(__xludf.DUMMYFUNCTION("""COMPUTED_VALUE"""),"136")</f>
        <v>136</v>
      </c>
      <c r="M1836" s="1" t="str">
        <f>IFERROR(__xludf.DUMMYFUNCTION("""COMPUTED_VALUE"""),"KALYE PUTOL")</f>
        <v>KALYE PUTOL</v>
      </c>
      <c r="N1836" s="1"/>
      <c r="O1836" s="1" t="str">
        <f>IFERROR(__xludf.DUMMYFUNCTION("""COMPUTED_VALUE"""),"TIBIG")</f>
        <v>TIBIG</v>
      </c>
      <c r="P1836" s="1" t="str">
        <f>IFERROR(__xludf.DUMMYFUNCTION("""COMPUTED_VALUE"""),"SILANG")</f>
        <v>SILANG</v>
      </c>
      <c r="Q1836" s="1" t="str">
        <f>IFERROR(__xludf.DUMMYFUNCTION("""COMPUTED_VALUE"""),"CAVITE")</f>
        <v>CAVITE</v>
      </c>
      <c r="R1836" s="1" t="str">
        <f>IFERROR(__xludf.DUMMYFUNCTION("""COMPUTED_VALUE"""),"FIBR UNLI ALL PLAN 1399")</f>
        <v>FIBR UNLI ALL PLAN 1399</v>
      </c>
      <c r="S1836" s="1" t="str">
        <f>IFERROR(__xludf.DUMMYFUNCTION("""COMPUTED_VALUE"""),"APPROVED")</f>
        <v>APPROVED</v>
      </c>
      <c r="T1836" s="1" t="str">
        <f>IFERROR(__xludf.DUMMYFUNCTION("""COMPUTED_VALUE"""),"RPR")</f>
        <v>RPR</v>
      </c>
      <c r="U1836" s="1"/>
      <c r="V1836" s="1"/>
      <c r="W1836" s="1"/>
    </row>
    <row r="1837" customHeight="1" spans="1:23">
      <c r="A1837" s="3">
        <f>IFERROR(__xludf.DUMMYFUNCTION("""COMPUTED_VALUE"""),46166)</f>
        <v>46166</v>
      </c>
      <c r="B1837" s="1" t="str">
        <f>IFERROR(__xludf.DUMMYFUNCTION("""COMPUTED_VALUE"""),"ESCARCHA, MA ALMA  ESCOTO")</f>
        <v>ESCARCHA, MA ALMA  ESCOTO</v>
      </c>
      <c r="C1837" s="1" t="str">
        <f>IFERROR(__xludf.DUMMYFUNCTION("""COMPUTED_VALUE"""),"ORGANIC")</f>
        <v>ORGANIC</v>
      </c>
      <c r="D1837" s="1" t="str">
        <f>IFERROR(__xludf.DUMMYFUNCTION("""COMPUTED_VALUE"""),"ALINGARO, CINDY")</f>
        <v>ALINGARO, CINDY</v>
      </c>
      <c r="E1837" s="1" t="str">
        <f>IFERROR(__xludf.DUMMYFUNCTION("""COMPUTED_VALUE"""),"PLDT / H2H")</f>
        <v>PLDT / H2H</v>
      </c>
      <c r="F1837" s="1">
        <f>IFERROR(__xludf.DUMMYFUNCTION("""COMPUTED_VALUE"""),2309707734)</f>
        <v>2309707734</v>
      </c>
      <c r="G1837" s="1">
        <f>IFERROR(__xludf.DUMMYFUNCTION("""COMPUTED_VALUE"""),456050249004)</f>
        <v>456050249004</v>
      </c>
      <c r="H1837" s="1" t="str">
        <f>IFERROR(__xludf.DUMMYFUNCTION("""COMPUTED_VALUE"""),"ARJAY SOLANO VILLEGAS")</f>
        <v>ARJAY SOLANO VILLEGAS</v>
      </c>
      <c r="I1837" s="1">
        <f>IFERROR(__xludf.DUMMYFUNCTION("""COMPUTED_VALUE"""),9560984939)</f>
        <v>9560984939</v>
      </c>
      <c r="J1837" s="1"/>
      <c r="K1837" s="1" t="str">
        <f>IFERROR(__xludf.DUMMYFUNCTION("""COMPUTED_VALUE"""),"SOLANOJERRYBELLO2@GMAIL.COM")</f>
        <v>SOLANOJERRYBELLO2@GMAIL.COM</v>
      </c>
      <c r="L1837" s="1" t="str">
        <f>IFERROR(__xludf.DUMMYFUNCTION("""COMPUTED_VALUE"""),"249")</f>
        <v>249</v>
      </c>
      <c r="M1837" s="1" t="str">
        <f>IFERROR(__xludf.DUMMYFUNCTION("""COMPUTED_VALUE"""),"KALYE PUTOL")</f>
        <v>KALYE PUTOL</v>
      </c>
      <c r="N1837" s="1"/>
      <c r="O1837" s="1" t="str">
        <f>IFERROR(__xludf.DUMMYFUNCTION("""COMPUTED_VALUE"""),"TIBIG")</f>
        <v>TIBIG</v>
      </c>
      <c r="P1837" s="1" t="str">
        <f>IFERROR(__xludf.DUMMYFUNCTION("""COMPUTED_VALUE"""),"SILANG")</f>
        <v>SILANG</v>
      </c>
      <c r="Q1837" s="1" t="str">
        <f>IFERROR(__xludf.DUMMYFUNCTION("""COMPUTED_VALUE"""),"CAVITE")</f>
        <v>CAVITE</v>
      </c>
      <c r="R1837" s="1" t="str">
        <f>IFERROR(__xludf.DUMMYFUNCTION("""COMPUTED_VALUE"""),"FIBR PLAN 1299")</f>
        <v>FIBR PLAN 1299</v>
      </c>
      <c r="S1837" s="1" t="str">
        <f>IFERROR(__xludf.DUMMYFUNCTION("""COMPUTED_VALUE"""),"APPROVED")</f>
        <v>APPROVED</v>
      </c>
      <c r="T1837" s="1" t="str">
        <f>IFERROR(__xludf.DUMMYFUNCTION("""COMPUTED_VALUE"""),"CLOSED")</f>
        <v>CLOSED</v>
      </c>
      <c r="U1837" s="1" t="str">
        <f>IFERROR(__xludf.DUMMYFUNCTION("""COMPUTED_VALUE"""),"POSTED")</f>
        <v>POSTED</v>
      </c>
      <c r="V1837" s="1"/>
      <c r="W1837" s="1"/>
    </row>
    <row r="1838" customHeight="1" spans="1:23">
      <c r="A1838" s="3">
        <f>IFERROR(__xludf.DUMMYFUNCTION("""COMPUTED_VALUE"""),46166)</f>
        <v>46166</v>
      </c>
      <c r="B1838" s="1" t="str">
        <f>IFERROR(__xludf.DUMMYFUNCTION("""COMPUTED_VALUE"""),"AGUNOS, JHON AIRVIN")</f>
        <v>AGUNOS, JHON AIRVIN</v>
      </c>
      <c r="C1838" s="1" t="str">
        <f>IFERROR(__xludf.DUMMYFUNCTION("""COMPUTED_VALUE"""),"ORGANIC")</f>
        <v>ORGANIC</v>
      </c>
      <c r="D1838" s="1" t="str">
        <f>IFERROR(__xludf.DUMMYFUNCTION("""COMPUTED_VALUE"""),"ALINGARO, CINDY")</f>
        <v>ALINGARO, CINDY</v>
      </c>
      <c r="E1838" s="1" t="str">
        <f>IFERROR(__xludf.DUMMYFUNCTION("""COMPUTED_VALUE"""),"PLDT / H2H")</f>
        <v>PLDT / H2H</v>
      </c>
      <c r="F1838" s="1">
        <f>IFERROR(__xludf.DUMMYFUNCTION("""COMPUTED_VALUE"""),2309691947)</f>
        <v>2309691947</v>
      </c>
      <c r="G1838" s="1">
        <f>IFERROR(__xludf.DUMMYFUNCTION("""COMPUTED_VALUE"""),455934108004)</f>
        <v>455934108004</v>
      </c>
      <c r="H1838" s="1" t="str">
        <f>IFERROR(__xludf.DUMMYFUNCTION("""COMPUTED_VALUE"""),"JOSEPHINE GUIAN CAISP")</f>
        <v>JOSEPHINE GUIAN CAISP</v>
      </c>
      <c r="I1838" s="1">
        <f>IFERROR(__xludf.DUMMYFUNCTION("""COMPUTED_VALUE"""),9533940515)</f>
        <v>9533940515</v>
      </c>
      <c r="J1838" s="1">
        <f>IFERROR(__xludf.DUMMYFUNCTION("""COMPUTED_VALUE"""),9567415627)</f>
        <v>9567415627</v>
      </c>
      <c r="K1838" s="1" t="str">
        <f>IFERROR(__xludf.DUMMYFUNCTION("""COMPUTED_VALUE"""),"LARRYAREVALOJR@GMAIL.COM")</f>
        <v>LARRYAREVALOJR@GMAIL.COM</v>
      </c>
      <c r="L1838" s="1" t="str">
        <f>IFERROR(__xludf.DUMMYFUNCTION("""COMPUTED_VALUE"""),"BLK 21")</f>
        <v>BLK 21</v>
      </c>
      <c r="M1838" s="1" t="str">
        <f>IFERROR(__xludf.DUMMYFUNCTION("""COMPUTED_VALUE"""),"EXCESS LOT")</f>
        <v>EXCESS LOT</v>
      </c>
      <c r="N1838" s="1"/>
      <c r="O1838" s="1" t="str">
        <f>IFERROR(__xludf.DUMMYFUNCTION("""COMPUTED_VALUE"""),"BANABA")</f>
        <v>BANABA</v>
      </c>
      <c r="P1838" s="1" t="str">
        <f>IFERROR(__xludf.DUMMYFUNCTION("""COMPUTED_VALUE"""),"SILANG")</f>
        <v>SILANG</v>
      </c>
      <c r="Q1838" s="1" t="str">
        <f>IFERROR(__xludf.DUMMYFUNCTION("""COMPUTED_VALUE"""),"CAVITE")</f>
        <v>CAVITE</v>
      </c>
      <c r="R1838" s="1" t="str">
        <f>IFERROR(__xludf.DUMMYFUNCTION("""COMPUTED_VALUE"""),"FIBR PLAN 1299")</f>
        <v>FIBR PLAN 1299</v>
      </c>
      <c r="S1838" s="1" t="str">
        <f>IFERROR(__xludf.DUMMYFUNCTION("""COMPUTED_VALUE"""),"APPROVED")</f>
        <v>APPROVED</v>
      </c>
      <c r="T1838" s="1" t="str">
        <f>IFERROR(__xludf.DUMMYFUNCTION("""COMPUTED_VALUE"""),"CLOSED")</f>
        <v>CLOSED</v>
      </c>
      <c r="U1838" s="1" t="str">
        <f>IFERROR(__xludf.DUMMYFUNCTION("""COMPUTED_VALUE"""),"NO PAYMENT")</f>
        <v>NO PAYMENT</v>
      </c>
      <c r="V1838" s="1"/>
      <c r="W1838" s="1"/>
    </row>
    <row r="1839" customHeight="1" spans="1:23">
      <c r="A1839" s="3">
        <f>IFERROR(__xludf.DUMMYFUNCTION("""COMPUTED_VALUE"""),46167)</f>
        <v>46167</v>
      </c>
      <c r="B1839" s="1" t="str">
        <f>IFERROR(__xludf.DUMMYFUNCTION("""COMPUTED_VALUE"""),"MAGDARAOG, KENNETH")</f>
        <v>MAGDARAOG, KENNETH</v>
      </c>
      <c r="C1839" s="1" t="str">
        <f>IFERROR(__xludf.DUMMYFUNCTION("""COMPUTED_VALUE"""),"ORGANIC")</f>
        <v>ORGANIC</v>
      </c>
      <c r="D1839" s="1" t="str">
        <f>IFERROR(__xludf.DUMMYFUNCTION("""COMPUTED_VALUE"""),"ALINGARO, CINDY")</f>
        <v>ALINGARO, CINDY</v>
      </c>
      <c r="E1839" s="1" t="str">
        <f>IFERROR(__xludf.DUMMYFUNCTION("""COMPUTED_VALUE"""),"PLDT / H2H")</f>
        <v>PLDT / H2H</v>
      </c>
      <c r="F1839" s="1">
        <f>IFERROR(__xludf.DUMMYFUNCTION("""COMPUTED_VALUE"""),2309703215)</f>
        <v>2309703215</v>
      </c>
      <c r="G1839" s="1">
        <f>IFERROR(__xludf.DUMMYFUNCTION("""COMPUTED_VALUE"""),456039493004)</f>
        <v>456039493004</v>
      </c>
      <c r="H1839" s="1" t="str">
        <f>IFERROR(__xludf.DUMMYFUNCTION("""COMPUTED_VALUE"""),"RIZLA LITADA NUESTRO")</f>
        <v>RIZLA LITADA NUESTRO</v>
      </c>
      <c r="I1839" s="1">
        <f>IFERROR(__xludf.DUMMYFUNCTION("""COMPUTED_VALUE"""),9668641308)</f>
        <v>9668641308</v>
      </c>
      <c r="J1839" s="1"/>
      <c r="K1839" s="1" t="str">
        <f>IFERROR(__xludf.DUMMYFUNCTION("""COMPUTED_VALUE"""),"RIZLANUESTRO@GMAIL.COM")</f>
        <v>RIZLANUESTRO@GMAIL.COM</v>
      </c>
      <c r="L1839" s="1" t="str">
        <f>IFERROR(__xludf.DUMMYFUNCTION("""COMPUTED_VALUE"""),"LOT 12")</f>
        <v>LOT 12</v>
      </c>
      <c r="M1839" s="1" t="str">
        <f>IFERROR(__xludf.DUMMYFUNCTION("""COMPUTED_VALUE"""),"PABAHAY")</f>
        <v>PABAHAY</v>
      </c>
      <c r="N1839" s="1"/>
      <c r="O1839" s="1" t="str">
        <f>IFERROR(__xludf.DUMMYFUNCTION("""COMPUTED_VALUE"""),"ZAMBAL")</f>
        <v>ZAMBAL</v>
      </c>
      <c r="P1839" s="1" t="str">
        <f>IFERROR(__xludf.DUMMYFUNCTION("""COMPUTED_VALUE"""),"TAGAYTAY")</f>
        <v>TAGAYTAY</v>
      </c>
      <c r="Q1839" s="1" t="str">
        <f>IFERROR(__xludf.DUMMYFUNCTION("""COMPUTED_VALUE"""),"CAVITE")</f>
        <v>CAVITE</v>
      </c>
      <c r="R1839" s="1" t="str">
        <f>IFERROR(__xludf.DUMMYFUNCTION("""COMPUTED_VALUE"""),"FIBR PLAN 1299")</f>
        <v>FIBR PLAN 1299</v>
      </c>
      <c r="S1839" s="1" t="str">
        <f>IFERROR(__xludf.DUMMYFUNCTION("""COMPUTED_VALUE"""),"APPROVED")</f>
        <v>APPROVED</v>
      </c>
      <c r="T1839" s="1" t="str">
        <f>IFERROR(__xludf.DUMMYFUNCTION("""COMPUTED_VALUE"""),"CLOSED")</f>
        <v>CLOSED</v>
      </c>
      <c r="U1839" s="1" t="str">
        <f>IFERROR(__xludf.DUMMYFUNCTION("""COMPUTED_VALUE"""),"POSTED")</f>
        <v>POSTED</v>
      </c>
      <c r="V1839" s="1"/>
      <c r="W1839" s="1"/>
    </row>
    <row r="1840" customHeight="1" spans="1:23">
      <c r="A1840" s="3">
        <f>IFERROR(__xludf.DUMMYFUNCTION("""COMPUTED_VALUE"""),46167)</f>
        <v>46167</v>
      </c>
      <c r="B1840" s="1" t="str">
        <f>IFERROR(__xludf.DUMMYFUNCTION("""COMPUTED_VALUE"""),"GABAY, MANUEL")</f>
        <v>GABAY, MANUEL</v>
      </c>
      <c r="C1840" s="1" t="str">
        <f>IFERROR(__xludf.DUMMYFUNCTION("""COMPUTED_VALUE"""),"FLA")</f>
        <v>FLA</v>
      </c>
      <c r="D1840" s="1" t="str">
        <f>IFERROR(__xludf.DUMMYFUNCTION("""COMPUTED_VALUE"""),"JERIC NAVARRO")</f>
        <v>JERIC NAVARRO</v>
      </c>
      <c r="E1840" s="1" t="str">
        <f>IFERROR(__xludf.DUMMYFUNCTION("""COMPUTED_VALUE"""),"PLDT / H2H")</f>
        <v>PLDT / H2H</v>
      </c>
      <c r="F1840" s="1">
        <f>IFERROR(__xludf.DUMMYFUNCTION("""COMPUTED_VALUE"""),2309703559)</f>
        <v>2309703559</v>
      </c>
      <c r="G1840" s="1">
        <f>IFERROR(__xludf.DUMMYFUNCTION("""COMPUTED_VALUE"""),456039846004)</f>
        <v>456039846004</v>
      </c>
      <c r="H1840" s="1" t="str">
        <f>IFERROR(__xludf.DUMMYFUNCTION("""COMPUTED_VALUE"""),"RIALYN CURIANO MARASIGAN")</f>
        <v>RIALYN CURIANO MARASIGAN</v>
      </c>
      <c r="I1840" s="1">
        <f>IFERROR(__xludf.DUMMYFUNCTION("""COMPUTED_VALUE"""),9634603111)</f>
        <v>9634603111</v>
      </c>
      <c r="J1840" s="1">
        <f>IFERROR(__xludf.DUMMYFUNCTION("""COMPUTED_VALUE"""),9101756600)</f>
        <v>9101756600</v>
      </c>
      <c r="K1840" s="1" t="str">
        <f>IFERROR(__xludf.DUMMYFUNCTION("""COMPUTED_VALUE"""),"RIALYNMARASIGAN17@GMAIL.COM")</f>
        <v>RIALYNMARASIGAN17@GMAIL.COM</v>
      </c>
      <c r="L1840" s="1" t="str">
        <f>IFERROR(__xludf.DUMMYFUNCTION("""COMPUTED_VALUE"""),"10930")</f>
        <v>10930</v>
      </c>
      <c r="M1840" s="1" t="str">
        <f>IFERROR(__xludf.DUMMYFUNCTION("""COMPUTED_VALUE"""),"PUROK 212")</f>
        <v>PUROK 212</v>
      </c>
      <c r="N1840" s="1" t="str">
        <f>IFERROR(__xludf.DUMMYFUNCTION("""COMPUTED_VALUE"""),"PABAHAY")</f>
        <v>PABAHAY</v>
      </c>
      <c r="O1840" s="1" t="str">
        <f>IFERROR(__xludf.DUMMYFUNCTION("""COMPUTED_VALUE"""),"ZAMBAL")</f>
        <v>ZAMBAL</v>
      </c>
      <c r="P1840" s="1" t="str">
        <f>IFERROR(__xludf.DUMMYFUNCTION("""COMPUTED_VALUE"""),"TAGAYTAY")</f>
        <v>TAGAYTAY</v>
      </c>
      <c r="Q1840" s="1" t="str">
        <f>IFERROR(__xludf.DUMMYFUNCTION("""COMPUTED_VALUE"""),"CAVITE")</f>
        <v>CAVITE</v>
      </c>
      <c r="R1840" s="1" t="str">
        <f>IFERROR(__xludf.DUMMYFUNCTION("""COMPUTED_VALUE"""),"FIBR UNLI ALL PLAN 999")</f>
        <v>FIBR UNLI ALL PLAN 999</v>
      </c>
      <c r="S1840" s="1" t="str">
        <f>IFERROR(__xludf.DUMMYFUNCTION("""COMPUTED_VALUE"""),"APPROVED")</f>
        <v>APPROVED</v>
      </c>
      <c r="T1840" s="1" t="str">
        <f>IFERROR(__xludf.DUMMYFUNCTION("""COMPUTED_VALUE"""),"CLOSED")</f>
        <v>CLOSED</v>
      </c>
      <c r="U1840" s="1" t="str">
        <f>IFERROR(__xludf.DUMMYFUNCTION("""COMPUTED_VALUE"""),"POSTED")</f>
        <v>POSTED</v>
      </c>
      <c r="V1840" s="1"/>
      <c r="W1840" s="1"/>
    </row>
    <row r="1841" customHeight="1" spans="1:23">
      <c r="A1841" s="3">
        <f>IFERROR(__xludf.DUMMYFUNCTION("""COMPUTED_VALUE"""),46167)</f>
        <v>46167</v>
      </c>
      <c r="B1841" s="1" t="str">
        <f>IFERROR(__xludf.DUMMYFUNCTION("""COMPUTED_VALUE"""),"ODY , CLARENCE")</f>
        <v>ODY , CLARENCE</v>
      </c>
      <c r="C1841" s="1" t="str">
        <f>IFERROR(__xludf.DUMMYFUNCTION("""COMPUTED_VALUE"""),"ORGANIC")</f>
        <v>ORGANIC</v>
      </c>
      <c r="D1841" s="1" t="str">
        <f>IFERROR(__xludf.DUMMYFUNCTION("""COMPUTED_VALUE"""),"ALOS, CHARLS")</f>
        <v>ALOS, CHARLS</v>
      </c>
      <c r="E1841" s="1" t="str">
        <f>IFERROR(__xludf.DUMMYFUNCTION("""COMPUTED_VALUE"""),"PLDT / ONLINE")</f>
        <v>PLDT / ONLINE</v>
      </c>
      <c r="F1841" s="1">
        <f>IFERROR(__xludf.DUMMYFUNCTION("""COMPUTED_VALUE"""),2309706836)</f>
        <v>2309706836</v>
      </c>
      <c r="G1841" s="1">
        <f>IFERROR(__xludf.DUMMYFUNCTION("""COMPUTED_VALUE"""),456045019004)</f>
        <v>456045019004</v>
      </c>
      <c r="H1841" s="1" t="str">
        <f>IFERROR(__xludf.DUMMYFUNCTION("""COMPUTED_VALUE"""),"PATRICK LUIS DE GUZMAN MANARIN")</f>
        <v>PATRICK LUIS DE GUZMAN MANARIN</v>
      </c>
      <c r="I1841" s="1">
        <f>IFERROR(__xludf.DUMMYFUNCTION("""COMPUTED_VALUE"""),9949493219)</f>
        <v>9949493219</v>
      </c>
      <c r="J1841" s="1">
        <f>IFERROR(__xludf.DUMMYFUNCTION("""COMPUTED_VALUE"""),9474834219)</f>
        <v>9474834219</v>
      </c>
      <c r="K1841" s="1" t="str">
        <f>IFERROR(__xludf.DUMMYFUNCTION("""COMPUTED_VALUE"""),"PATRICKLUISMANARIN@GMAIL.COM")</f>
        <v>PATRICKLUISMANARIN@GMAIL.COM</v>
      </c>
      <c r="L1841" s="1" t="str">
        <f>IFERROR(__xludf.DUMMYFUNCTION("""COMPUTED_VALUE"""),"9069")</f>
        <v>9069</v>
      </c>
      <c r="M1841" s="1" t="str">
        <f>IFERROR(__xludf.DUMMYFUNCTION("""COMPUTED_VALUE"""),"KALYE PUTOL")</f>
        <v>KALYE PUTOL</v>
      </c>
      <c r="N1841" s="1"/>
      <c r="O1841" s="1" t="str">
        <f>IFERROR(__xludf.DUMMYFUNCTION("""COMPUTED_VALUE"""),"TIBIG")</f>
        <v>TIBIG</v>
      </c>
      <c r="P1841" s="1" t="str">
        <f>IFERROR(__xludf.DUMMYFUNCTION("""COMPUTED_VALUE"""),"SILANG")</f>
        <v>SILANG</v>
      </c>
      <c r="Q1841" s="1" t="str">
        <f>IFERROR(__xludf.DUMMYFUNCTION("""COMPUTED_VALUE"""),"CAVITE")</f>
        <v>CAVITE</v>
      </c>
      <c r="R1841" s="1" t="str">
        <f>IFERROR(__xludf.DUMMYFUNCTION("""COMPUTED_VALUE"""),"FIBR UNLI ALL PLAN 1399")</f>
        <v>FIBR UNLI ALL PLAN 1399</v>
      </c>
      <c r="S1841" s="1" t="str">
        <f>IFERROR(__xludf.DUMMYFUNCTION("""COMPUTED_VALUE"""),"APPROVED")</f>
        <v>APPROVED</v>
      </c>
      <c r="T1841" s="1" t="str">
        <f>IFERROR(__xludf.DUMMYFUNCTION("""COMPUTED_VALUE"""),"CLOSED")</f>
        <v>CLOSED</v>
      </c>
      <c r="U1841" s="1" t="str">
        <f>IFERROR(__xludf.DUMMYFUNCTION("""COMPUTED_VALUE"""),"POSTED")</f>
        <v>POSTED</v>
      </c>
      <c r="V1841" s="1"/>
      <c r="W1841" s="1"/>
    </row>
    <row r="1842" customHeight="1" spans="1:23">
      <c r="A1842" s="3">
        <f>IFERROR(__xludf.DUMMYFUNCTION("""COMPUTED_VALUE"""),46167)</f>
        <v>46167</v>
      </c>
      <c r="B1842" s="1" t="str">
        <f>IFERROR(__xludf.DUMMYFUNCTION("""COMPUTED_VALUE"""),"DELA ROSA, JENNELYN")</f>
        <v>DELA ROSA, JENNELYN</v>
      </c>
      <c r="C1842" s="1" t="str">
        <f>IFERROR(__xludf.DUMMYFUNCTION("""COMPUTED_VALUE"""),"ORGANIC")</f>
        <v>ORGANIC</v>
      </c>
      <c r="D1842" s="1" t="str">
        <f>IFERROR(__xludf.DUMMYFUNCTION("""COMPUTED_VALUE"""),"ALOS, CHARLS")</f>
        <v>ALOS, CHARLS</v>
      </c>
      <c r="E1842" s="1" t="str">
        <f>IFERROR(__xludf.DUMMYFUNCTION("""COMPUTED_VALUE"""),"PLDT / H2H")</f>
        <v>PLDT / H2H</v>
      </c>
      <c r="F1842" s="1">
        <f>IFERROR(__xludf.DUMMYFUNCTION("""COMPUTED_VALUE"""),2309707342)</f>
        <v>2309707342</v>
      </c>
      <c r="G1842" s="1">
        <f>IFERROR(__xludf.DUMMYFUNCTION("""COMPUTED_VALUE"""),456052419004)</f>
        <v>456052419004</v>
      </c>
      <c r="H1842" s="1" t="str">
        <f>IFERROR(__xludf.DUMMYFUNCTION("""COMPUTED_VALUE"""),"JOANA MARIE DE LEON DURAN")</f>
        <v>JOANA MARIE DE LEON DURAN</v>
      </c>
      <c r="I1842" s="1">
        <f>IFERROR(__xludf.DUMMYFUNCTION("""COMPUTED_VALUE"""),9648277440)</f>
        <v>9648277440</v>
      </c>
      <c r="J1842" s="1">
        <f>IFERROR(__xludf.DUMMYFUNCTION("""COMPUTED_VALUE"""),9622862625)</f>
        <v>9622862625</v>
      </c>
      <c r="K1842" s="1" t="str">
        <f>IFERROR(__xludf.DUMMYFUNCTION("""COMPUTED_VALUE"""),"ANNEE.DURAN@GMAIL.COM")</f>
        <v>ANNEE.DURAN@GMAIL.COM</v>
      </c>
      <c r="L1842" s="1" t="str">
        <f>IFERROR(__xludf.DUMMYFUNCTION("""COMPUTED_VALUE"""),"118")</f>
        <v>118</v>
      </c>
      <c r="M1842" s="1" t="str">
        <f>IFERROR(__xludf.DUMMYFUNCTION("""COMPUTED_VALUE"""),"ZAMORA")</f>
        <v>ZAMORA</v>
      </c>
      <c r="N1842" s="1"/>
      <c r="O1842" s="1" t="str">
        <f>IFERROR(__xludf.DUMMYFUNCTION("""COMPUTED_VALUE"""),"ASIS I")</f>
        <v>ASIS I</v>
      </c>
      <c r="P1842" s="1" t="str">
        <f>IFERROR(__xludf.DUMMYFUNCTION("""COMPUTED_VALUE"""),"MENDEZ")</f>
        <v>MENDEZ</v>
      </c>
      <c r="Q1842" s="1" t="str">
        <f>IFERROR(__xludf.DUMMYFUNCTION("""COMPUTED_VALUE"""),"CAVITE")</f>
        <v>CAVITE</v>
      </c>
      <c r="R1842" s="1" t="str">
        <f>IFERROR(__xludf.DUMMYFUNCTION("""COMPUTED_VALUE"""),"FIBR UNLI ALL PLAN 1399")</f>
        <v>FIBR UNLI ALL PLAN 1399</v>
      </c>
      <c r="S1842" s="1" t="str">
        <f>IFERROR(__xludf.DUMMYFUNCTION("""COMPUTED_VALUE"""),"APPROVED")</f>
        <v>APPROVED</v>
      </c>
      <c r="T1842" s="1" t="str">
        <f>IFERROR(__xludf.DUMMYFUNCTION("""COMPUTED_VALUE"""),"CLOSED")</f>
        <v>CLOSED</v>
      </c>
      <c r="U1842" s="1" t="str">
        <f>IFERROR(__xludf.DUMMYFUNCTION("""COMPUTED_VALUE"""),"POSTED")</f>
        <v>POSTED</v>
      </c>
      <c r="V1842" s="1"/>
      <c r="W1842" s="1"/>
    </row>
    <row r="1843" customHeight="1" spans="1:23">
      <c r="A1843" s="3">
        <f>IFERROR(__xludf.DUMMYFUNCTION("""COMPUTED_VALUE"""),46167)</f>
        <v>46167</v>
      </c>
      <c r="B1843" s="1" t="str">
        <f>IFERROR(__xludf.DUMMYFUNCTION("""COMPUTED_VALUE"""),"FRANCISCO , ROSELYN")</f>
        <v>FRANCISCO , ROSELYN</v>
      </c>
      <c r="C1843" s="1" t="str">
        <f>IFERROR(__xludf.DUMMYFUNCTION("""COMPUTED_VALUE"""),"ORGANIC")</f>
        <v>ORGANIC</v>
      </c>
      <c r="D1843" s="1" t="str">
        <f>IFERROR(__xludf.DUMMYFUNCTION("""COMPUTED_VALUE"""),"ALOS, CHARLS")</f>
        <v>ALOS, CHARLS</v>
      </c>
      <c r="E1843" s="1" t="str">
        <f>IFERROR(__xludf.DUMMYFUNCTION("""COMPUTED_VALUE"""),"PLDT / ONLINE")</f>
        <v>PLDT / ONLINE</v>
      </c>
      <c r="F1843" s="1">
        <f>IFERROR(__xludf.DUMMYFUNCTION("""COMPUTED_VALUE"""),2309710451)</f>
        <v>2309710451</v>
      </c>
      <c r="G1843" s="1">
        <f>IFERROR(__xludf.DUMMYFUNCTION("""COMPUTED_VALUE"""),456139116004)</f>
        <v>456139116004</v>
      </c>
      <c r="H1843" s="1" t="str">
        <f>IFERROR(__xludf.DUMMYFUNCTION("""COMPUTED_VALUE"""),"ARNEL CALIAO JUANES")</f>
        <v>ARNEL CALIAO JUANES</v>
      </c>
      <c r="I1843" s="1">
        <f>IFERROR(__xludf.DUMMYFUNCTION("""COMPUTED_VALUE"""),9920583803)</f>
        <v>9920583803</v>
      </c>
      <c r="J1843" s="1">
        <f>IFERROR(__xludf.DUMMYFUNCTION("""COMPUTED_VALUE"""),9155479929)</f>
        <v>9155479929</v>
      </c>
      <c r="K1843" s="1" t="str">
        <f>IFERROR(__xludf.DUMMYFUNCTION("""COMPUTED_VALUE"""),"NELSKIEJUANES@GMAIL.COM")</f>
        <v>NELSKIEJUANES@GMAIL.COM</v>
      </c>
      <c r="L1843" s="1" t="str">
        <f>IFERROR(__xludf.DUMMYFUNCTION("""COMPUTED_VALUE"""),"BLK 76 LOT 3B")</f>
        <v>BLK 76 LOT 3B</v>
      </c>
      <c r="M1843" s="1" t="str">
        <f>IFERROR(__xludf.DUMMYFUNCTION("""COMPUTED_VALUE"""),"PHASE 4")</f>
        <v>PHASE 4</v>
      </c>
      <c r="N1843" s="1" t="str">
        <f>IFERROR(__xludf.DUMMYFUNCTION("""COMPUTED_VALUE"""),"MABUHAY CITY")</f>
        <v>MABUHAY CITY</v>
      </c>
      <c r="O1843" s="1" t="str">
        <f>IFERROR(__xludf.DUMMYFUNCTION("""COMPUTED_VALUE"""),"PALIPARAN III")</f>
        <v>PALIPARAN III</v>
      </c>
      <c r="P1843" s="1" t="str">
        <f>IFERROR(__xludf.DUMMYFUNCTION("""COMPUTED_VALUE"""),"DASMARINAS")</f>
        <v>DASMARINAS</v>
      </c>
      <c r="Q1843" s="1" t="str">
        <f>IFERROR(__xludf.DUMMYFUNCTION("""COMPUTED_VALUE"""),"CAVITE")</f>
        <v>CAVITE</v>
      </c>
      <c r="R1843" s="1" t="str">
        <f>IFERROR(__xludf.DUMMYFUNCTION("""COMPUTED_VALUE"""),"FIBR PLAN 1699")</f>
        <v>FIBR PLAN 1699</v>
      </c>
      <c r="S1843" s="1" t="str">
        <f>IFERROR(__xludf.DUMMYFUNCTION("""COMPUTED_VALUE"""),"APPROVED")</f>
        <v>APPROVED</v>
      </c>
      <c r="T1843" s="1" t="str">
        <f>IFERROR(__xludf.DUMMYFUNCTION("""COMPUTED_VALUE"""),"CLOSED")</f>
        <v>CLOSED</v>
      </c>
      <c r="U1843" s="1" t="str">
        <f>IFERROR(__xludf.DUMMYFUNCTION("""COMPUTED_VALUE"""),"POSTED")</f>
        <v>POSTED</v>
      </c>
      <c r="V1843" s="1"/>
      <c r="W1843" s="1"/>
    </row>
    <row r="1844" customHeight="1" spans="1:23">
      <c r="A1844" s="3">
        <f>IFERROR(__xludf.DUMMYFUNCTION("""COMPUTED_VALUE"""),46167)</f>
        <v>46167</v>
      </c>
      <c r="B1844" s="1" t="str">
        <f>IFERROR(__xludf.DUMMYFUNCTION("""COMPUTED_VALUE"""),"AGUNOS, JHON AIRVIN")</f>
        <v>AGUNOS, JHON AIRVIN</v>
      </c>
      <c r="C1844" s="1" t="str">
        <f>IFERROR(__xludf.DUMMYFUNCTION("""COMPUTED_VALUE"""),"ORGANIC")</f>
        <v>ORGANIC</v>
      </c>
      <c r="D1844" s="1" t="str">
        <f>IFERROR(__xludf.DUMMYFUNCTION("""COMPUTED_VALUE"""),"ALINGARO, CINDY")</f>
        <v>ALINGARO, CINDY</v>
      </c>
      <c r="E1844" s="1" t="str">
        <f>IFERROR(__xludf.DUMMYFUNCTION("""COMPUTED_VALUE"""),"PLDT / H2H")</f>
        <v>PLDT / H2H</v>
      </c>
      <c r="F1844" s="1">
        <f>IFERROR(__xludf.DUMMYFUNCTION("""COMPUTED_VALUE"""),2309710989)</f>
        <v>2309710989</v>
      </c>
      <c r="G1844" s="1">
        <f>IFERROR(__xludf.DUMMYFUNCTION("""COMPUTED_VALUE"""),456049569004)</f>
        <v>456049569004</v>
      </c>
      <c r="H1844" s="1" t="str">
        <f>IFERROR(__xludf.DUMMYFUNCTION("""COMPUTED_VALUE"""),"JULIUS JAY PUROY ALUDO")</f>
        <v>JULIUS JAY PUROY ALUDO</v>
      </c>
      <c r="I1844" s="1">
        <f>IFERROR(__xludf.DUMMYFUNCTION("""COMPUTED_VALUE"""),9496302977)</f>
        <v>9496302977</v>
      </c>
      <c r="J1844" s="1"/>
      <c r="K1844" s="1" t="str">
        <f>IFERROR(__xludf.DUMMYFUNCTION("""COMPUTED_VALUE"""),"JULIUSJANUARY14@GMAIL.COM")</f>
        <v>JULIUSJANUARY14@GMAIL.COM</v>
      </c>
      <c r="L1844" s="1" t="str">
        <f>IFERROR(__xludf.DUMMYFUNCTION("""COMPUTED_VALUE"""),"BLK 1 LOT 1")</f>
        <v>BLK 1 LOT 1</v>
      </c>
      <c r="M1844" s="1" t="str">
        <f>IFERROR(__xludf.DUMMYFUNCTION("""COMPUTED_VALUE"""),"GOV DRIVE")</f>
        <v>GOV DRIVE</v>
      </c>
      <c r="N1844" s="1"/>
      <c r="O1844" s="1" t="str">
        <f>IFERROR(__xludf.DUMMYFUNCTION("""COMPUTED_VALUE"""),"BANABA")</f>
        <v>BANABA</v>
      </c>
      <c r="P1844" s="1" t="str">
        <f>IFERROR(__xludf.DUMMYFUNCTION("""COMPUTED_VALUE"""),"SILANG")</f>
        <v>SILANG</v>
      </c>
      <c r="Q1844" s="1" t="str">
        <f>IFERROR(__xludf.DUMMYFUNCTION("""COMPUTED_VALUE"""),"CAVITE")</f>
        <v>CAVITE</v>
      </c>
      <c r="R1844" s="1" t="str">
        <f>IFERROR(__xludf.DUMMYFUNCTION("""COMPUTED_VALUE"""),"FIBR UNLI ALL PLAN 999")</f>
        <v>FIBR UNLI ALL PLAN 999</v>
      </c>
      <c r="S1844" s="1" t="str">
        <f>IFERROR(__xludf.DUMMYFUNCTION("""COMPUTED_VALUE"""),"APPROVED")</f>
        <v>APPROVED</v>
      </c>
      <c r="T1844" s="1" t="str">
        <f>IFERROR(__xludf.DUMMYFUNCTION("""COMPUTED_VALUE"""),"CLOSED")</f>
        <v>CLOSED</v>
      </c>
      <c r="U1844" s="1" t="str">
        <f>IFERROR(__xludf.DUMMYFUNCTION("""COMPUTED_VALUE"""),"POSTED")</f>
        <v>POSTED</v>
      </c>
      <c r="V1844" s="1"/>
      <c r="W1844" s="1"/>
    </row>
    <row r="1845" customHeight="1" spans="1:23">
      <c r="A1845" s="3">
        <f>IFERROR(__xludf.DUMMYFUNCTION("""COMPUTED_VALUE"""),46167)</f>
        <v>46167</v>
      </c>
      <c r="B1845" s="1" t="str">
        <f>IFERROR(__xludf.DUMMYFUNCTION("""COMPUTED_VALUE"""),"AYON MANUEL")</f>
        <v>AYON MANUEL</v>
      </c>
      <c r="C1845" s="1" t="str">
        <f>IFERROR(__xludf.DUMMYFUNCTION("""COMPUTED_VALUE"""),"FLA")</f>
        <v>FLA</v>
      </c>
      <c r="D1845" s="1" t="str">
        <f>IFERROR(__xludf.DUMMYFUNCTION("""COMPUTED_VALUE"""),"JERIC NAVARRO")</f>
        <v>JERIC NAVARRO</v>
      </c>
      <c r="E1845" s="1" t="str">
        <f>IFERROR(__xludf.DUMMYFUNCTION("""COMPUTED_VALUE"""),"PLDT / H2H")</f>
        <v>PLDT / H2H</v>
      </c>
      <c r="F1845" s="1">
        <f>IFERROR(__xludf.DUMMYFUNCTION("""COMPUTED_VALUE"""),2309711634)</f>
        <v>2309711634</v>
      </c>
      <c r="G1845" s="1">
        <f>IFERROR(__xludf.DUMMYFUNCTION("""COMPUTED_VALUE"""),456058974004)</f>
        <v>456058974004</v>
      </c>
      <c r="H1845" s="1" t="str">
        <f>IFERROR(__xludf.DUMMYFUNCTION("""COMPUTED_VALUE"""),"MARIE JOY AMOROSO AGUILA")</f>
        <v>MARIE JOY AMOROSO AGUILA</v>
      </c>
      <c r="I1845" s="1">
        <f>IFERROR(__xludf.DUMMYFUNCTION("""COMPUTED_VALUE"""),9952795080)</f>
        <v>9952795080</v>
      </c>
      <c r="J1845" s="1">
        <f>IFERROR(__xludf.DUMMYFUNCTION("""COMPUTED_VALUE"""),9279334894)</f>
        <v>9279334894</v>
      </c>
      <c r="K1845" s="1" t="str">
        <f>IFERROR(__xludf.DUMMYFUNCTION("""COMPUTED_VALUE"""),"MARIEJOY.AMOROSO@GMAIL.COM")</f>
        <v>MARIEJOY.AMOROSO@GMAIL.COM</v>
      </c>
      <c r="L1845" s="1" t="str">
        <f>IFERROR(__xludf.DUMMYFUNCTION("""COMPUTED_VALUE"""),"9372")</f>
        <v>9372</v>
      </c>
      <c r="M1845" s="1" t="str">
        <f>IFERROR(__xludf.DUMMYFUNCTION("""COMPUTED_VALUE"""),"PUROK 7")</f>
        <v>PUROK 7</v>
      </c>
      <c r="N1845" s="1"/>
      <c r="O1845" s="1" t="str">
        <f>IFERROR(__xludf.DUMMYFUNCTION("""COMPUTED_VALUE"""),"IBA")</f>
        <v>IBA</v>
      </c>
      <c r="P1845" s="1" t="str">
        <f>IFERROR(__xludf.DUMMYFUNCTION("""COMPUTED_VALUE"""),"SILANG")</f>
        <v>SILANG</v>
      </c>
      <c r="Q1845" s="1" t="str">
        <f>IFERROR(__xludf.DUMMYFUNCTION("""COMPUTED_VALUE"""),"CAVITE")</f>
        <v>CAVITE</v>
      </c>
      <c r="R1845" s="1" t="str">
        <f>IFERROR(__xludf.DUMMYFUNCTION("""COMPUTED_VALUE"""),"FIBR PLAN 1299")</f>
        <v>FIBR PLAN 1299</v>
      </c>
      <c r="S1845" s="1" t="str">
        <f>IFERROR(__xludf.DUMMYFUNCTION("""COMPUTED_VALUE"""),"APPROVED")</f>
        <v>APPROVED</v>
      </c>
      <c r="T1845" s="1" t="str">
        <f>IFERROR(__xludf.DUMMYFUNCTION("""COMPUTED_VALUE"""),"RPR")</f>
        <v>RPR</v>
      </c>
      <c r="U1845" s="1"/>
      <c r="V1845" s="1"/>
      <c r="W1845" s="1"/>
    </row>
    <row r="1846" customHeight="1" spans="1:23">
      <c r="A1846" s="3">
        <f>IFERROR(__xludf.DUMMYFUNCTION("""COMPUTED_VALUE"""),46167)</f>
        <v>46167</v>
      </c>
      <c r="B1846" s="1" t="str">
        <f>IFERROR(__xludf.DUMMYFUNCTION("""COMPUTED_VALUE"""),"AYON MANUEL")</f>
        <v>AYON MANUEL</v>
      </c>
      <c r="C1846" s="1" t="str">
        <f>IFERROR(__xludf.DUMMYFUNCTION("""COMPUTED_VALUE"""),"FLA")</f>
        <v>FLA</v>
      </c>
      <c r="D1846" s="1" t="str">
        <f>IFERROR(__xludf.DUMMYFUNCTION("""COMPUTED_VALUE"""),"JERIC NAVARRO")</f>
        <v>JERIC NAVARRO</v>
      </c>
      <c r="E1846" s="1" t="str">
        <f>IFERROR(__xludf.DUMMYFUNCTION("""COMPUTED_VALUE"""),"PLDT / ONLINE")</f>
        <v>PLDT / ONLINE</v>
      </c>
      <c r="F1846" s="1">
        <f>IFERROR(__xludf.DUMMYFUNCTION("""COMPUTED_VALUE"""),2309711359)</f>
        <v>2309711359</v>
      </c>
      <c r="G1846" s="1">
        <f>IFERROR(__xludf.DUMMYFUNCTION("""COMPUTED_VALUE"""),456144039004)</f>
        <v>456144039004</v>
      </c>
      <c r="H1846" s="1" t="str">
        <f>IFERROR(__xludf.DUMMYFUNCTION("""COMPUTED_VALUE"""),"SUSAN NUNEZ PECAYO")</f>
        <v>SUSAN NUNEZ PECAYO</v>
      </c>
      <c r="I1846" s="1">
        <f>IFERROR(__xludf.DUMMYFUNCTION("""COMPUTED_VALUE"""),9088887576)</f>
        <v>9088887576</v>
      </c>
      <c r="J1846" s="1">
        <f>IFERROR(__xludf.DUMMYFUNCTION("""COMPUTED_VALUE"""),9088648875)</f>
        <v>9088648875</v>
      </c>
      <c r="K1846" s="1" t="str">
        <f>IFERROR(__xludf.DUMMYFUNCTION("""COMPUTED_VALUE"""),"SUSANPECAYO@GMAIL.COM")</f>
        <v>SUSANPECAYO@GMAIL.COM</v>
      </c>
      <c r="L1846" s="1" t="str">
        <f>IFERROR(__xludf.DUMMYFUNCTION("""COMPUTED_VALUE"""),"BLK 1 LOT 7")</f>
        <v>BLK 1 LOT 7</v>
      </c>
      <c r="M1846" s="1" t="str">
        <f>IFERROR(__xludf.DUMMYFUNCTION("""COMPUTED_VALUE"""),"ZAMBAL RD")</f>
        <v>ZAMBAL RD</v>
      </c>
      <c r="N1846" s="1"/>
      <c r="O1846" s="1" t="str">
        <f>IFERROR(__xludf.DUMMYFUNCTION("""COMPUTED_VALUE"""),"PALOCPOC I")</f>
        <v>PALOCPOC I</v>
      </c>
      <c r="P1846" s="1" t="str">
        <f>IFERROR(__xludf.DUMMYFUNCTION("""COMPUTED_VALUE"""),"MENDEZ")</f>
        <v>MENDEZ</v>
      </c>
      <c r="Q1846" s="1" t="str">
        <f>IFERROR(__xludf.DUMMYFUNCTION("""COMPUTED_VALUE"""),"CAVITE")</f>
        <v>CAVITE</v>
      </c>
      <c r="R1846" s="1" t="str">
        <f>IFERROR(__xludf.DUMMYFUNCTION("""COMPUTED_VALUE"""),"FIBR NETFLIX PLAN 1599")</f>
        <v>FIBR NETFLIX PLAN 1599</v>
      </c>
      <c r="S1846" s="1" t="str">
        <f>IFERROR(__xludf.DUMMYFUNCTION("""COMPUTED_VALUE"""),"APPROVED")</f>
        <v>APPROVED</v>
      </c>
      <c r="T1846" s="1" t="str">
        <f>IFERROR(__xludf.DUMMYFUNCTION("""COMPUTED_VALUE"""),"CLOSED")</f>
        <v>CLOSED</v>
      </c>
      <c r="U1846" s="1"/>
      <c r="V1846" s="1"/>
      <c r="W1846" s="1"/>
    </row>
    <row r="1847" customHeight="1" spans="1:23">
      <c r="A1847" s="3">
        <f>IFERROR(__xludf.DUMMYFUNCTION("""COMPUTED_VALUE"""),46168)</f>
        <v>46168</v>
      </c>
      <c r="B1847" s="1" t="str">
        <f>IFERROR(__xludf.DUMMYFUNCTION("""COMPUTED_VALUE"""),"AYON MANUEL")</f>
        <v>AYON MANUEL</v>
      </c>
      <c r="C1847" s="1" t="str">
        <f>IFERROR(__xludf.DUMMYFUNCTION("""COMPUTED_VALUE"""),"FLA")</f>
        <v>FLA</v>
      </c>
      <c r="D1847" s="1" t="str">
        <f>IFERROR(__xludf.DUMMYFUNCTION("""COMPUTED_VALUE"""),"JERIC NAVARRO")</f>
        <v>JERIC NAVARRO</v>
      </c>
      <c r="E1847" s="1" t="str">
        <f>IFERROR(__xludf.DUMMYFUNCTION("""COMPUTED_VALUE"""),"PLDT / H2H")</f>
        <v>PLDT / H2H</v>
      </c>
      <c r="F1847" s="1">
        <f>IFERROR(__xludf.DUMMYFUNCTION("""COMPUTED_VALUE"""),2309723148)</f>
        <v>2309723148</v>
      </c>
      <c r="G1847" s="1">
        <f>IFERROR(__xludf.DUMMYFUNCTION("""COMPUTED_VALUE"""),456138797004)</f>
        <v>456138797004</v>
      </c>
      <c r="H1847" s="1" t="str">
        <f>IFERROR(__xludf.DUMMYFUNCTION("""COMPUTED_VALUE"""),"MORENO FERMA RORALDO")</f>
        <v>MORENO FERMA RORALDO</v>
      </c>
      <c r="I1847" s="1">
        <f>IFERROR(__xludf.DUMMYFUNCTION("""COMPUTED_VALUE"""),9263631952)</f>
        <v>9263631952</v>
      </c>
      <c r="J1847" s="1">
        <f>IFERROR(__xludf.DUMMYFUNCTION("""COMPUTED_VALUE"""),9164668517)</f>
        <v>9164668517</v>
      </c>
      <c r="K1847" s="1" t="str">
        <f>IFERROR(__xludf.DUMMYFUNCTION("""COMPUTED_VALUE"""),"JERICKNEPOMUCENO@GMAIL.COM")</f>
        <v>JERICKNEPOMUCENO@GMAIL.COM</v>
      </c>
      <c r="L1847" s="1" t="str">
        <f>IFERROR(__xludf.DUMMYFUNCTION("""COMPUTED_VALUE"""),"9003")</f>
        <v>9003</v>
      </c>
      <c r="M1847" s="1" t="str">
        <f>IFERROR(__xludf.DUMMYFUNCTION("""COMPUTED_VALUE"""),"GUINHAWA RD")</f>
        <v>GUINHAWA RD</v>
      </c>
      <c r="N1847" s="1"/>
      <c r="O1847" s="1" t="str">
        <f>IFERROR(__xludf.DUMMYFUNCTION("""COMPUTED_VALUE"""),"GUINHAWA NORTH")</f>
        <v>GUINHAWA NORTH</v>
      </c>
      <c r="P1847" s="1" t="str">
        <f>IFERROR(__xludf.DUMMYFUNCTION("""COMPUTED_VALUE"""),"TAGAYTAY")</f>
        <v>TAGAYTAY</v>
      </c>
      <c r="Q1847" s="1" t="str">
        <f>IFERROR(__xludf.DUMMYFUNCTION("""COMPUTED_VALUE"""),"CAVITE")</f>
        <v>CAVITE</v>
      </c>
      <c r="R1847" s="1" t="str">
        <f>IFERROR(__xludf.DUMMYFUNCTION("""COMPUTED_VALUE"""),"FIBR UNLI ALL PLAN 1399")</f>
        <v>FIBR UNLI ALL PLAN 1399</v>
      </c>
      <c r="S1847" s="1" t="str">
        <f>IFERROR(__xludf.DUMMYFUNCTION("""COMPUTED_VALUE"""),"APPROVED")</f>
        <v>APPROVED</v>
      </c>
      <c r="T1847" s="1" t="str">
        <f>IFERROR(__xludf.DUMMYFUNCTION("""COMPUTED_VALUE"""),"CLOSED")</f>
        <v>CLOSED</v>
      </c>
      <c r="U1847" s="1" t="str">
        <f>IFERROR(__xludf.DUMMYFUNCTION("""COMPUTED_VALUE"""),"POSTED")</f>
        <v>POSTED</v>
      </c>
      <c r="V1847" s="1"/>
      <c r="W1847" s="1"/>
    </row>
    <row r="1848" customHeight="1" spans="1:23">
      <c r="A1848" s="3">
        <f>IFERROR(__xludf.DUMMYFUNCTION("""COMPUTED_VALUE"""),46168)</f>
        <v>46168</v>
      </c>
      <c r="B1848" s="1" t="str">
        <f>IFERROR(__xludf.DUMMYFUNCTION("""COMPUTED_VALUE"""),"GABAY, MANUEL")</f>
        <v>GABAY, MANUEL</v>
      </c>
      <c r="C1848" s="1" t="str">
        <f>IFERROR(__xludf.DUMMYFUNCTION("""COMPUTED_VALUE"""),"FLA")</f>
        <v>FLA</v>
      </c>
      <c r="D1848" s="1" t="str">
        <f>IFERROR(__xludf.DUMMYFUNCTION("""COMPUTED_VALUE"""),"JERIC NAVARRO")</f>
        <v>JERIC NAVARRO</v>
      </c>
      <c r="E1848" s="1" t="str">
        <f>IFERROR(__xludf.DUMMYFUNCTION("""COMPUTED_VALUE"""),"PLDT / ONLINE")</f>
        <v>PLDT / ONLINE</v>
      </c>
      <c r="F1848" s="1">
        <f>IFERROR(__xludf.DUMMYFUNCTION("""COMPUTED_VALUE"""),2309723128)</f>
        <v>2309723128</v>
      </c>
      <c r="G1848" s="1">
        <f>IFERROR(__xludf.DUMMYFUNCTION("""COMPUTED_VALUE"""),456138804004)</f>
        <v>456138804004</v>
      </c>
      <c r="H1848" s="1" t="str">
        <f>IFERROR(__xludf.DUMMYFUNCTION("""COMPUTED_VALUE"""),"MICHEAL DELA CRUZ LEABAN")</f>
        <v>MICHEAL DELA CRUZ LEABAN</v>
      </c>
      <c r="I1848" s="1">
        <f>IFERROR(__xludf.DUMMYFUNCTION("""COMPUTED_VALUE"""),9772704548)</f>
        <v>9772704548</v>
      </c>
      <c r="J1848" s="1">
        <f>IFERROR(__xludf.DUMMYFUNCTION("""COMPUTED_VALUE"""),9772704548)</f>
        <v>9772704548</v>
      </c>
      <c r="K1848" s="1" t="str">
        <f>IFERROR(__xludf.DUMMYFUNCTION("""COMPUTED_VALUE"""),"MIKELEABAN@GMAIL.COM")</f>
        <v>MIKELEABAN@GMAIL.COM</v>
      </c>
      <c r="L1848" s="1" t="str">
        <f>IFERROR(__xludf.DUMMYFUNCTION("""COMPUTED_VALUE"""),"BLK 4 LOT 4")</f>
        <v>BLK 4 LOT 4</v>
      </c>
      <c r="M1848" s="1" t="str">
        <f>IFERROR(__xludf.DUMMYFUNCTION("""COMPUTED_VALUE"""),"PHASE 1")</f>
        <v>PHASE 1</v>
      </c>
      <c r="N1848" s="1" t="str">
        <f>IFERROR(__xludf.DUMMYFUNCTION("""COMPUTED_VALUE"""),"PABAHAY")</f>
        <v>PABAHAY</v>
      </c>
      <c r="O1848" s="1" t="str">
        <f>IFERROR(__xludf.DUMMYFUNCTION("""COMPUTED_VALUE"""),"ZAMBAL")</f>
        <v>ZAMBAL</v>
      </c>
      <c r="P1848" s="1" t="str">
        <f>IFERROR(__xludf.DUMMYFUNCTION("""COMPUTED_VALUE"""),"TAGAYTAY")</f>
        <v>TAGAYTAY</v>
      </c>
      <c r="Q1848" s="1" t="str">
        <f>IFERROR(__xludf.DUMMYFUNCTION("""COMPUTED_VALUE"""),"CAVITE")</f>
        <v>CAVITE</v>
      </c>
      <c r="R1848" s="1" t="str">
        <f>IFERROR(__xludf.DUMMYFUNCTION("""COMPUTED_VALUE"""),"FIBR UNLI ALL PLAN 1399")</f>
        <v>FIBR UNLI ALL PLAN 1399</v>
      </c>
      <c r="S1848" s="1" t="str">
        <f>IFERROR(__xludf.DUMMYFUNCTION("""COMPUTED_VALUE"""),"APPROVED")</f>
        <v>APPROVED</v>
      </c>
      <c r="T1848" s="1" t="str">
        <f>IFERROR(__xludf.DUMMYFUNCTION("""COMPUTED_VALUE"""),"CLOSED")</f>
        <v>CLOSED</v>
      </c>
      <c r="U1848" s="1" t="str">
        <f>IFERROR(__xludf.DUMMYFUNCTION("""COMPUTED_VALUE"""),"POSTED")</f>
        <v>POSTED</v>
      </c>
      <c r="V1848" s="1"/>
      <c r="W1848" s="1"/>
    </row>
    <row r="1849" customHeight="1" spans="1:23">
      <c r="A1849" s="3">
        <f>IFERROR(__xludf.DUMMYFUNCTION("""COMPUTED_VALUE"""),46168)</f>
        <v>46168</v>
      </c>
      <c r="B1849" s="1" t="str">
        <f>IFERROR(__xludf.DUMMYFUNCTION("""COMPUTED_VALUE"""),"DACALCAP RUBEN")</f>
        <v>DACALCAP RUBEN</v>
      </c>
      <c r="C1849" s="1" t="str">
        <f>IFERROR(__xludf.DUMMYFUNCTION("""COMPUTED_VALUE"""),"FLA")</f>
        <v>FLA</v>
      </c>
      <c r="D1849" s="1" t="str">
        <f>IFERROR(__xludf.DUMMYFUNCTION("""COMPUTED_VALUE"""),"JERIC NAVARRO")</f>
        <v>JERIC NAVARRO</v>
      </c>
      <c r="E1849" s="1" t="str">
        <f>IFERROR(__xludf.DUMMYFUNCTION("""COMPUTED_VALUE"""),"PLDT / ONLINE")</f>
        <v>PLDT / ONLINE</v>
      </c>
      <c r="F1849" s="1">
        <f>IFERROR(__xludf.DUMMYFUNCTION("""COMPUTED_VALUE"""),2309723403)</f>
        <v>2309723403</v>
      </c>
      <c r="G1849" s="1">
        <f>IFERROR(__xludf.DUMMYFUNCTION("""COMPUTED_VALUE"""),456138774004)</f>
        <v>456138774004</v>
      </c>
      <c r="H1849" s="1" t="str">
        <f>IFERROR(__xludf.DUMMYFUNCTION("""COMPUTED_VALUE"""),"ANTHONY EMELO AMORANTO")</f>
        <v>ANTHONY EMELO AMORANTO</v>
      </c>
      <c r="I1849" s="1">
        <f>IFERROR(__xludf.DUMMYFUNCTION("""COMPUTED_VALUE"""),9151724852)</f>
        <v>9151724852</v>
      </c>
      <c r="J1849" s="1">
        <f>IFERROR(__xludf.DUMMYFUNCTION("""COMPUTED_VALUE"""),9222599437)</f>
        <v>9222599437</v>
      </c>
      <c r="K1849" s="1" t="str">
        <f>IFERROR(__xludf.DUMMYFUNCTION("""COMPUTED_VALUE"""),"AN2NIE0601@GMAIL.COM")</f>
        <v>AN2NIE0601@GMAIL.COM</v>
      </c>
      <c r="L1849" s="1" t="str">
        <f>IFERROR(__xludf.DUMMYFUNCTION("""COMPUTED_VALUE"""),"3")</f>
        <v>3</v>
      </c>
      <c r="M1849" s="1" t="str">
        <f>IFERROR(__xludf.DUMMYFUNCTION("""COMPUTED_VALUE"""),"AGUILAR")</f>
        <v>AGUILAR</v>
      </c>
      <c r="N1849" s="1"/>
      <c r="O1849" s="1" t="str">
        <f>IFERROR(__xludf.DUMMYFUNCTION("""COMPUTED_VALUE"""),"BATAS")</f>
        <v>BATAS</v>
      </c>
      <c r="P1849" s="1" t="str">
        <f>IFERROR(__xludf.DUMMYFUNCTION("""COMPUTED_VALUE"""),"SILANG")</f>
        <v>SILANG</v>
      </c>
      <c r="Q1849" s="1" t="str">
        <f>IFERROR(__xludf.DUMMYFUNCTION("""COMPUTED_VALUE"""),"CAVITE")</f>
        <v>CAVITE</v>
      </c>
      <c r="R1849" s="1" t="str">
        <f>IFERROR(__xludf.DUMMYFUNCTION("""COMPUTED_VALUE"""),"FIBR UNLI ALL PLAN 1399")</f>
        <v>FIBR UNLI ALL PLAN 1399</v>
      </c>
      <c r="S1849" s="1" t="str">
        <f>IFERROR(__xludf.DUMMYFUNCTION("""COMPUTED_VALUE"""),"APPROVED")</f>
        <v>APPROVED</v>
      </c>
      <c r="T1849" s="1" t="str">
        <f>IFERROR(__xludf.DUMMYFUNCTION("""COMPUTED_VALUE"""),"CLOSED")</f>
        <v>CLOSED</v>
      </c>
      <c r="U1849" s="1" t="str">
        <f>IFERROR(__xludf.DUMMYFUNCTION("""COMPUTED_VALUE"""),"POSTED")</f>
        <v>POSTED</v>
      </c>
      <c r="V1849" s="1"/>
      <c r="W1849" s="1"/>
    </row>
    <row r="1850" customHeight="1" spans="1:23">
      <c r="A1850" s="3">
        <f>IFERROR(__xludf.DUMMYFUNCTION("""COMPUTED_VALUE"""),46168)</f>
        <v>46168</v>
      </c>
      <c r="B1850" s="1" t="str">
        <f>IFERROR(__xludf.DUMMYFUNCTION("""COMPUTED_VALUE"""),"AGUNOS, JHON AIRVIN")</f>
        <v>AGUNOS, JHON AIRVIN</v>
      </c>
      <c r="C1850" s="1" t="str">
        <f>IFERROR(__xludf.DUMMYFUNCTION("""COMPUTED_VALUE"""),"ORGANIC")</f>
        <v>ORGANIC</v>
      </c>
      <c r="D1850" s="1" t="str">
        <f>IFERROR(__xludf.DUMMYFUNCTION("""COMPUTED_VALUE"""),"ALINGARO, CINDY")</f>
        <v>ALINGARO, CINDY</v>
      </c>
      <c r="E1850" s="1" t="str">
        <f>IFERROR(__xludf.DUMMYFUNCTION("""COMPUTED_VALUE"""),"PLDT / H2H")</f>
        <v>PLDT / H2H</v>
      </c>
      <c r="F1850" s="1">
        <f>IFERROR(__xludf.DUMMYFUNCTION("""COMPUTED_VALUE"""),2309727545)</f>
        <v>2309727545</v>
      </c>
      <c r="G1850" s="1">
        <f>IFERROR(__xludf.DUMMYFUNCTION("""COMPUTED_VALUE"""),456148026004)</f>
        <v>456148026004</v>
      </c>
      <c r="H1850" s="1" t="str">
        <f>IFERROR(__xludf.DUMMYFUNCTION("""COMPUTED_VALUE"""),"MARIO AMBRAD AMULAR")</f>
        <v>MARIO AMBRAD AMULAR</v>
      </c>
      <c r="I1850" s="1">
        <f>IFERROR(__xludf.DUMMYFUNCTION("""COMPUTED_VALUE"""),9150729350)</f>
        <v>9150729350</v>
      </c>
      <c r="J1850" s="1">
        <f>IFERROR(__xludf.DUMMYFUNCTION("""COMPUTED_VALUE"""),9064905962)</f>
        <v>9064905962</v>
      </c>
      <c r="K1850" s="1" t="str">
        <f>IFERROR(__xludf.DUMMYFUNCTION("""COMPUTED_VALUE"""),"MARIOAMULAR@GMAIL.COM")</f>
        <v>MARIOAMULAR@GMAIL.COM</v>
      </c>
      <c r="L1850" s="1" t="str">
        <f>IFERROR(__xludf.DUMMYFUNCTION("""COMPUTED_VALUE"""),"213")</f>
        <v>213</v>
      </c>
      <c r="M1850" s="1" t="str">
        <f>IFERROR(__xludf.DUMMYFUNCTION("""COMPUTED_VALUE"""),"PUROK 7")</f>
        <v>PUROK 7</v>
      </c>
      <c r="N1850" s="1"/>
      <c r="O1850" s="1" t="str">
        <f>IFERROR(__xludf.DUMMYFUNCTION("""COMPUTED_VALUE"""),"HUKAY")</f>
        <v>HUKAY</v>
      </c>
      <c r="P1850" s="1" t="str">
        <f>IFERROR(__xludf.DUMMYFUNCTION("""COMPUTED_VALUE"""),"SILANG")</f>
        <v>SILANG</v>
      </c>
      <c r="Q1850" s="1" t="str">
        <f>IFERROR(__xludf.DUMMYFUNCTION("""COMPUTED_VALUE"""),"CAVITE")</f>
        <v>CAVITE</v>
      </c>
      <c r="R1850" s="1" t="str">
        <f>IFERROR(__xludf.DUMMYFUNCTION("""COMPUTED_VALUE"""),"FIBR UNLI ALL PLAN 999")</f>
        <v>FIBR UNLI ALL PLAN 999</v>
      </c>
      <c r="S1850" s="1" t="str">
        <f>IFERROR(__xludf.DUMMYFUNCTION("""COMPUTED_VALUE"""),"APPROVED")</f>
        <v>APPROVED</v>
      </c>
      <c r="T1850" s="1" t="str">
        <f>IFERROR(__xludf.DUMMYFUNCTION("""COMPUTED_VALUE"""),"CLOSED")</f>
        <v>CLOSED</v>
      </c>
      <c r="U1850" s="1" t="str">
        <f>IFERROR(__xludf.DUMMYFUNCTION("""COMPUTED_VALUE"""),"POSTED")</f>
        <v>POSTED</v>
      </c>
      <c r="V1850" s="1"/>
      <c r="W1850" s="1"/>
    </row>
    <row r="1851" customHeight="1" spans="1:23">
      <c r="A1851" s="3">
        <f>IFERROR(__xludf.DUMMYFUNCTION("""COMPUTED_VALUE"""),46168)</f>
        <v>46168</v>
      </c>
      <c r="B1851" s="1" t="str">
        <f>IFERROR(__xludf.DUMMYFUNCTION("""COMPUTED_VALUE"""),"FRONDEZ, JEDREFF")</f>
        <v>FRONDEZ, JEDREFF</v>
      </c>
      <c r="C1851" s="1" t="str">
        <f>IFERROR(__xludf.DUMMYFUNCTION("""COMPUTED_VALUE"""),"ORGANIC")</f>
        <v>ORGANIC</v>
      </c>
      <c r="D1851" s="1" t="str">
        <f>IFERROR(__xludf.DUMMYFUNCTION("""COMPUTED_VALUE"""),"REMOLLO LEA")</f>
        <v>REMOLLO LEA</v>
      </c>
      <c r="E1851" s="1" t="str">
        <f>IFERROR(__xludf.DUMMYFUNCTION("""COMPUTED_VALUE"""),"RED FIBER")</f>
        <v>RED FIBER</v>
      </c>
      <c r="F1851" s="1"/>
      <c r="G1851" s="1"/>
      <c r="H1851" s="1" t="str">
        <f>IFERROR(__xludf.DUMMYFUNCTION("""COMPUTED_VALUE"""),"JERIK GLOMAR AMAKIN")</f>
        <v>JERIK GLOMAR AMAKIN</v>
      </c>
      <c r="I1851" s="1">
        <f>IFERROR(__xludf.DUMMYFUNCTION("""COMPUTED_VALUE"""),9358032807)</f>
        <v>9358032807</v>
      </c>
      <c r="J1851" s="1">
        <f>IFERROR(__xludf.DUMMYFUNCTION("""COMPUTED_VALUE"""),9451507493)</f>
        <v>9451507493</v>
      </c>
      <c r="K1851" s="1" t="str">
        <f>IFERROR(__xludf.DUMMYFUNCTION("""COMPUTED_VALUE"""),"PRINCEJERICKOAMAKIN@GMAIL.COM")</f>
        <v>PRINCEJERICKOAMAKIN@GMAIL.COM</v>
      </c>
      <c r="L1851" s="1" t="str">
        <f>IFERROR(__xludf.DUMMYFUNCTION("""COMPUTED_VALUE"""),"42")</f>
        <v>42</v>
      </c>
      <c r="M1851" s="1" t="str">
        <f>IFERROR(__xludf.DUMMYFUNCTION("""COMPUTED_VALUE"""),"ZAMORA")</f>
        <v>ZAMORA</v>
      </c>
      <c r="N1851" s="1"/>
      <c r="O1851" s="1" t="str">
        <f>IFERROR(__xludf.DUMMYFUNCTION("""COMPUTED_VALUE"""),"ASIS I")</f>
        <v>ASIS I</v>
      </c>
      <c r="P1851" s="1" t="str">
        <f>IFERROR(__xludf.DUMMYFUNCTION("""COMPUTED_VALUE"""),"MENDEZ")</f>
        <v>MENDEZ</v>
      </c>
      <c r="Q1851" s="1" t="str">
        <f>IFERROR(__xludf.DUMMYFUNCTION("""COMPUTED_VALUE"""),"CAVITE")</f>
        <v>CAVITE</v>
      </c>
      <c r="R1851" s="1" t="str">
        <f>IFERROR(__xludf.DUMMYFUNCTION("""COMPUTED_VALUE"""),"RED PLAN 1000")</f>
        <v>RED PLAN 1000</v>
      </c>
      <c r="S1851" s="1" t="str">
        <f>IFERROR(__xludf.DUMMYFUNCTION("""COMPUTED_VALUE"""),"APPROVED")</f>
        <v>APPROVED</v>
      </c>
      <c r="T1851" s="1" t="str">
        <f>IFERROR(__xludf.DUMMYFUNCTION("""COMPUTED_VALUE"""),"#N/A")</f>
        <v>#N/A</v>
      </c>
      <c r="U1851" s="1"/>
      <c r="V1851" s="1"/>
      <c r="W1851" s="1"/>
    </row>
    <row r="1852" customHeight="1" spans="1:23">
      <c r="A1852" s="3">
        <f>IFERROR(__xludf.DUMMYFUNCTION("""COMPUTED_VALUE"""),46168)</f>
        <v>46168</v>
      </c>
      <c r="B1852" s="1" t="str">
        <f>IFERROR(__xludf.DUMMYFUNCTION("""COMPUTED_VALUE"""),"GABAY, MANUEL")</f>
        <v>GABAY, MANUEL</v>
      </c>
      <c r="C1852" s="1" t="str">
        <f>IFERROR(__xludf.DUMMYFUNCTION("""COMPUTED_VALUE"""),"FLA")</f>
        <v>FLA</v>
      </c>
      <c r="D1852" s="1" t="str">
        <f>IFERROR(__xludf.DUMMYFUNCTION("""COMPUTED_VALUE"""),"JERIC NAVARRO")</f>
        <v>JERIC NAVARRO</v>
      </c>
      <c r="E1852" s="1" t="str">
        <f>IFERROR(__xludf.DUMMYFUNCTION("""COMPUTED_VALUE"""),"PLDT / H2H")</f>
        <v>PLDT / H2H</v>
      </c>
      <c r="F1852" s="1">
        <f>IFERROR(__xludf.DUMMYFUNCTION("""COMPUTED_VALUE"""),2309727713)</f>
        <v>2309727713</v>
      </c>
      <c r="G1852" s="1">
        <f>IFERROR(__xludf.DUMMYFUNCTION("""COMPUTED_VALUE"""),456157146004)</f>
        <v>456157146004</v>
      </c>
      <c r="H1852" s="1" t="str">
        <f>IFERROR(__xludf.DUMMYFUNCTION("""COMPUTED_VALUE"""),"GIAN CARLO CACAO HERNANDEZ")</f>
        <v>GIAN CARLO CACAO HERNANDEZ</v>
      </c>
      <c r="I1852" s="1">
        <f>IFERROR(__xludf.DUMMYFUNCTION("""COMPUTED_VALUE"""),9665722796)</f>
        <v>9665722796</v>
      </c>
      <c r="J1852" s="1"/>
      <c r="K1852" s="1" t="str">
        <f>IFERROR(__xludf.DUMMYFUNCTION("""COMPUTED_VALUE"""),"GIANCARLOHERNANDEZ773@GMAIL.COM")</f>
        <v>GIANCARLOHERNANDEZ773@GMAIL.COM</v>
      </c>
      <c r="L1852" s="1" t="str">
        <f>IFERROR(__xludf.DUMMYFUNCTION("""COMPUTED_VALUE"""),"26")</f>
        <v>26</v>
      </c>
      <c r="M1852" s="1" t="str">
        <f>IFERROR(__xludf.DUMMYFUNCTION("""COMPUTED_VALUE"""),"ASIS")</f>
        <v>ASIS</v>
      </c>
      <c r="N1852" s="1"/>
      <c r="O1852" s="1" t="str">
        <f>IFERROR(__xludf.DUMMYFUNCTION("""COMPUTED_VALUE"""),"ASIS I")</f>
        <v>ASIS I</v>
      </c>
      <c r="P1852" s="1" t="str">
        <f>IFERROR(__xludf.DUMMYFUNCTION("""COMPUTED_VALUE"""),"MENDEZ")</f>
        <v>MENDEZ</v>
      </c>
      <c r="Q1852" s="1" t="str">
        <f>IFERROR(__xludf.DUMMYFUNCTION("""COMPUTED_VALUE"""),"CAVITE")</f>
        <v>CAVITE</v>
      </c>
      <c r="R1852" s="1" t="str">
        <f>IFERROR(__xludf.DUMMYFUNCTION("""COMPUTED_VALUE"""),"FIBR NETFLIX PLAN 1599")</f>
        <v>FIBR NETFLIX PLAN 1599</v>
      </c>
      <c r="S1852" s="1" t="str">
        <f>IFERROR(__xludf.DUMMYFUNCTION("""COMPUTED_VALUE"""),"APPROVED")</f>
        <v>APPROVED</v>
      </c>
      <c r="T1852" s="1" t="str">
        <f>IFERROR(__xludf.DUMMYFUNCTION("""COMPUTED_VALUE"""),"RPR")</f>
        <v>RPR</v>
      </c>
      <c r="U1852" s="1"/>
      <c r="V1852" s="1"/>
      <c r="W1852" s="1"/>
    </row>
    <row r="1853" customHeight="1" spans="1:23">
      <c r="A1853" s="3">
        <f>IFERROR(__xludf.DUMMYFUNCTION("""COMPUTED_VALUE"""),46168)</f>
        <v>46168</v>
      </c>
      <c r="B1853" s="1" t="str">
        <f>IFERROR(__xludf.DUMMYFUNCTION("""COMPUTED_VALUE"""),"MAGDARAOG, KENNETH")</f>
        <v>MAGDARAOG, KENNETH</v>
      </c>
      <c r="C1853" s="1" t="str">
        <f>IFERROR(__xludf.DUMMYFUNCTION("""COMPUTED_VALUE"""),"ORGANIC")</f>
        <v>ORGANIC</v>
      </c>
      <c r="D1853" s="1" t="str">
        <f>IFERROR(__xludf.DUMMYFUNCTION("""COMPUTED_VALUE"""),"ALINGARO, CINDY")</f>
        <v>ALINGARO, CINDY</v>
      </c>
      <c r="E1853" s="1" t="str">
        <f>IFERROR(__xludf.DUMMYFUNCTION("""COMPUTED_VALUE"""),"PLDT / H2H")</f>
        <v>PLDT / H2H</v>
      </c>
      <c r="F1853" s="1">
        <f>IFERROR(__xludf.DUMMYFUNCTION("""COMPUTED_VALUE"""),2309731130)</f>
        <v>2309731130</v>
      </c>
      <c r="G1853" s="1">
        <f>IFERROR(__xludf.DUMMYFUNCTION("""COMPUTED_VALUE"""),456155240004)</f>
        <v>456155240004</v>
      </c>
      <c r="H1853" s="1" t="str">
        <f>IFERROR(__xludf.DUMMYFUNCTION("""COMPUTED_VALUE"""),"MAYYLANNE DELOS REYES UY")</f>
        <v>MAYYLANNE DELOS REYES UY</v>
      </c>
      <c r="I1853" s="1">
        <f>IFERROR(__xludf.DUMMYFUNCTION("""COMPUTED_VALUE"""),9257920912)</f>
        <v>9257920912</v>
      </c>
      <c r="J1853" s="1">
        <f>IFERROR(__xludf.DUMMYFUNCTION("""COMPUTED_VALUE"""),9171940462)</f>
        <v>9171940462</v>
      </c>
      <c r="K1853" s="1" t="str">
        <f>IFERROR(__xludf.DUMMYFUNCTION("""COMPUTED_VALUE"""),"MAYLAN24@GMAIL.COM")</f>
        <v>MAYLAN24@GMAIL.COM</v>
      </c>
      <c r="L1853" s="1" t="str">
        <f>IFERROR(__xludf.DUMMYFUNCTION("""COMPUTED_VALUE"""),"155")</f>
        <v>155</v>
      </c>
      <c r="M1853" s="1" t="str">
        <f>IFERROR(__xludf.DUMMYFUNCTION("""COMPUTED_VALUE"""),"JP RIZAL")</f>
        <v>JP RIZAL</v>
      </c>
      <c r="N1853" s="1"/>
      <c r="O1853" s="1" t="str">
        <f>IFERROR(__xludf.DUMMYFUNCTION("""COMPUTED_VALUE"""),"KAYBAGAL SOUTH (POB.)")</f>
        <v>KAYBAGAL SOUTH (POB.)</v>
      </c>
      <c r="P1853" s="1" t="str">
        <f>IFERROR(__xludf.DUMMYFUNCTION("""COMPUTED_VALUE"""),"TAGAYTAY")</f>
        <v>TAGAYTAY</v>
      </c>
      <c r="Q1853" s="1" t="str">
        <f>IFERROR(__xludf.DUMMYFUNCTION("""COMPUTED_VALUE"""),"CAVITE")</f>
        <v>CAVITE</v>
      </c>
      <c r="R1853" s="1" t="str">
        <f>IFERROR(__xludf.DUMMYFUNCTION("""COMPUTED_VALUE"""),"FIBR PLAN 1299")</f>
        <v>FIBR PLAN 1299</v>
      </c>
      <c r="S1853" s="1" t="str">
        <f>IFERROR(__xludf.DUMMYFUNCTION("""COMPUTED_VALUE"""),"APPROVED")</f>
        <v>APPROVED</v>
      </c>
      <c r="T1853" s="1" t="str">
        <f>IFERROR(__xludf.DUMMYFUNCTION("""COMPUTED_VALUE"""),"CLOSED")</f>
        <v>CLOSED</v>
      </c>
      <c r="U1853" s="1" t="str">
        <f>IFERROR(__xludf.DUMMYFUNCTION("""COMPUTED_VALUE"""),"POSTED")</f>
        <v>POSTED</v>
      </c>
      <c r="V1853" s="1"/>
      <c r="W1853" s="1"/>
    </row>
    <row r="1854" customHeight="1" spans="1:23">
      <c r="A1854" s="3">
        <f>IFERROR(__xludf.DUMMYFUNCTION("""COMPUTED_VALUE"""),46168)</f>
        <v>46168</v>
      </c>
      <c r="B1854" s="1" t="str">
        <f>IFERROR(__xludf.DUMMYFUNCTION("""COMPUTED_VALUE"""),"AGUNOS, JHON AIRVIN")</f>
        <v>AGUNOS, JHON AIRVIN</v>
      </c>
      <c r="C1854" s="1" t="str">
        <f>IFERROR(__xludf.DUMMYFUNCTION("""COMPUTED_VALUE"""),"ORGANIC")</f>
        <v>ORGANIC</v>
      </c>
      <c r="D1854" s="1" t="str">
        <f>IFERROR(__xludf.DUMMYFUNCTION("""COMPUTED_VALUE"""),"ALINGARO, CINDY")</f>
        <v>ALINGARO, CINDY</v>
      </c>
      <c r="E1854" s="1" t="str">
        <f>IFERROR(__xludf.DUMMYFUNCTION("""COMPUTED_VALUE"""),"PLDT / ONLINE")</f>
        <v>PLDT / ONLINE</v>
      </c>
      <c r="F1854" s="1">
        <f>IFERROR(__xludf.DUMMYFUNCTION("""COMPUTED_VALUE"""),2309732004)</f>
        <v>2309732004</v>
      </c>
      <c r="G1854" s="1">
        <f>IFERROR(__xludf.DUMMYFUNCTION("""COMPUTED_VALUE"""),456155111004)</f>
        <v>456155111004</v>
      </c>
      <c r="H1854" s="1" t="str">
        <f>IFERROR(__xludf.DUMMYFUNCTION("""COMPUTED_VALUE"""),"JESUS ALFARO GUINTO")</f>
        <v>JESUS ALFARO GUINTO</v>
      </c>
      <c r="I1854" s="1">
        <f>IFERROR(__xludf.DUMMYFUNCTION("""COMPUTED_VALUE"""),9912122117)</f>
        <v>9912122117</v>
      </c>
      <c r="J1854" s="1">
        <f>IFERROR(__xludf.DUMMYFUNCTION("""COMPUTED_VALUE"""),9186692768)</f>
        <v>9186692768</v>
      </c>
      <c r="K1854" s="1" t="str">
        <f>IFERROR(__xludf.DUMMYFUNCTION("""COMPUTED_VALUE"""),"JESSGUINTO683@GMAIL.COM")</f>
        <v>JESSGUINTO683@GMAIL.COM</v>
      </c>
      <c r="L1854" s="1" t="str">
        <f>IFERROR(__xludf.DUMMYFUNCTION("""COMPUTED_VALUE"""),"BLK 20 LOT 16")</f>
        <v>BLK 20 LOT 16</v>
      </c>
      <c r="M1854" s="1" t="str">
        <f>IFERROR(__xludf.DUMMYFUNCTION("""COMPUTED_VALUE"""),"BUKLURAN 2")</f>
        <v>BUKLURAN 2</v>
      </c>
      <c r="N1854" s="1"/>
      <c r="O1854" s="1" t="str">
        <f>IFERROR(__xludf.DUMMYFUNCTION("""COMPUTED_VALUE"""),"BULIHAN")</f>
        <v>BULIHAN</v>
      </c>
      <c r="P1854" s="1" t="str">
        <f>IFERROR(__xludf.DUMMYFUNCTION("""COMPUTED_VALUE"""),"SILANG")</f>
        <v>SILANG</v>
      </c>
      <c r="Q1854" s="1" t="str">
        <f>IFERROR(__xludf.DUMMYFUNCTION("""COMPUTED_VALUE"""),"CAVITE")</f>
        <v>CAVITE</v>
      </c>
      <c r="R1854" s="1" t="str">
        <f>IFERROR(__xludf.DUMMYFUNCTION("""COMPUTED_VALUE"""),"FIBR PLAN 1299")</f>
        <v>FIBR PLAN 1299</v>
      </c>
      <c r="S1854" s="1" t="str">
        <f>IFERROR(__xludf.DUMMYFUNCTION("""COMPUTED_VALUE"""),"APPROVED")</f>
        <v>APPROVED</v>
      </c>
      <c r="T1854" s="1" t="str">
        <f>IFERROR(__xludf.DUMMYFUNCTION("""COMPUTED_VALUE"""),"RPR")</f>
        <v>RPR</v>
      </c>
      <c r="U1854" s="1" t="str">
        <f>IFERROR(__xludf.DUMMYFUNCTION("""COMPUTED_VALUE"""),"PAID VIA GCASH ")</f>
        <v>PAID VIA GCASH </v>
      </c>
      <c r="V1854" s="1"/>
      <c r="W1854" s="1"/>
    </row>
    <row r="1855" customHeight="1" spans="1:23">
      <c r="A1855" s="3">
        <f>IFERROR(__xludf.DUMMYFUNCTION("""COMPUTED_VALUE"""),46168)</f>
        <v>46168</v>
      </c>
      <c r="B1855" s="1" t="str">
        <f>IFERROR(__xludf.DUMMYFUNCTION("""COMPUTED_VALUE"""),"DACALCAP RUBEN")</f>
        <v>DACALCAP RUBEN</v>
      </c>
      <c r="C1855" s="1" t="str">
        <f>IFERROR(__xludf.DUMMYFUNCTION("""COMPUTED_VALUE"""),"FLA")</f>
        <v>FLA</v>
      </c>
      <c r="D1855" s="1" t="str">
        <f>IFERROR(__xludf.DUMMYFUNCTION("""COMPUTED_VALUE"""),"JERIC NAVARRO")</f>
        <v>JERIC NAVARRO</v>
      </c>
      <c r="E1855" s="1" t="str">
        <f>IFERROR(__xludf.DUMMYFUNCTION("""COMPUTED_VALUE"""),"PLDT / ONLINE")</f>
        <v>PLDT / ONLINE</v>
      </c>
      <c r="F1855" s="1">
        <f>IFERROR(__xludf.DUMMYFUNCTION("""COMPUTED_VALUE"""),2309732020)</f>
        <v>2309732020</v>
      </c>
      <c r="G1855" s="1">
        <f>IFERROR(__xludf.DUMMYFUNCTION("""COMPUTED_VALUE"""),456152463004)</f>
        <v>456152463004</v>
      </c>
      <c r="H1855" s="1" t="str">
        <f>IFERROR(__xludf.DUMMYFUNCTION("""COMPUTED_VALUE"""),"ALINHA SARIP ALONTO")</f>
        <v>ALINHA SARIP ALONTO</v>
      </c>
      <c r="I1855" s="1">
        <f>IFERROR(__xludf.DUMMYFUNCTION("""COMPUTED_VALUE"""),9274675019)</f>
        <v>9274675019</v>
      </c>
      <c r="J1855" s="1">
        <f>IFERROR(__xludf.DUMMYFUNCTION("""COMPUTED_VALUE"""),9272226467)</f>
        <v>9272226467</v>
      </c>
      <c r="K1855" s="1" t="str">
        <f>IFERROR(__xludf.DUMMYFUNCTION("""COMPUTED_VALUE"""),"ALNIHAXYRINE@GMAIL.COM")</f>
        <v>ALNIHAXYRINE@GMAIL.COM</v>
      </c>
      <c r="L1855" s="1" t="str">
        <f>IFERROR(__xludf.DUMMYFUNCTION("""COMPUTED_VALUE"""),"14264")</f>
        <v>14264</v>
      </c>
      <c r="M1855" s="1" t="str">
        <f>IFERROR(__xludf.DUMMYFUNCTION("""COMPUTED_VALUE"""),"ASUNCION")</f>
        <v>ASUNCION</v>
      </c>
      <c r="N1855" s="1"/>
      <c r="O1855" s="1" t="str">
        <f>IFERROR(__xludf.DUMMYFUNCTION("""COMPUTED_VALUE"""),"TUBUAN II")</f>
        <v>TUBUAN II</v>
      </c>
      <c r="P1855" s="1" t="str">
        <f>IFERROR(__xludf.DUMMYFUNCTION("""COMPUTED_VALUE"""),"SILANG")</f>
        <v>SILANG</v>
      </c>
      <c r="Q1855" s="1" t="str">
        <f>IFERROR(__xludf.DUMMYFUNCTION("""COMPUTED_VALUE"""),"CAVITE")</f>
        <v>CAVITE</v>
      </c>
      <c r="R1855" s="1" t="str">
        <f>IFERROR(__xludf.DUMMYFUNCTION("""COMPUTED_VALUE"""),"FIBR UNLI ALL PLAN 1399")</f>
        <v>FIBR UNLI ALL PLAN 1399</v>
      </c>
      <c r="S1855" s="1" t="str">
        <f>IFERROR(__xludf.DUMMYFUNCTION("""COMPUTED_VALUE"""),"APPROVED")</f>
        <v>APPROVED</v>
      </c>
      <c r="T1855" s="1" t="str">
        <f>IFERROR(__xludf.DUMMYFUNCTION("""COMPUTED_VALUE"""),"CLOSED")</f>
        <v>CLOSED</v>
      </c>
      <c r="U1855" s="1" t="str">
        <f>IFERROR(__xludf.DUMMYFUNCTION("""COMPUTED_VALUE"""),"POSTED")</f>
        <v>POSTED</v>
      </c>
      <c r="V1855" s="1"/>
      <c r="W1855" s="1"/>
    </row>
    <row r="1856" customHeight="1" spans="1:23">
      <c r="A1856" s="3">
        <f>IFERROR(__xludf.DUMMYFUNCTION("""COMPUTED_VALUE"""),46168)</f>
        <v>46168</v>
      </c>
      <c r="B1856" s="1" t="str">
        <f>IFERROR(__xludf.DUMMYFUNCTION("""COMPUTED_VALUE"""),"AGUNOS, JHON AIRVIN")</f>
        <v>AGUNOS, JHON AIRVIN</v>
      </c>
      <c r="C1856" s="1" t="str">
        <f>IFERROR(__xludf.DUMMYFUNCTION("""COMPUTED_VALUE"""),"ORGANIC")</f>
        <v>ORGANIC</v>
      </c>
      <c r="D1856" s="1" t="str">
        <f>IFERROR(__xludf.DUMMYFUNCTION("""COMPUTED_VALUE"""),"ALINGARO, CINDY")</f>
        <v>ALINGARO, CINDY</v>
      </c>
      <c r="E1856" s="1" t="str">
        <f>IFERROR(__xludf.DUMMYFUNCTION("""COMPUTED_VALUE"""),"PLDT / H2H")</f>
        <v>PLDT / H2H</v>
      </c>
      <c r="F1856" s="1">
        <f>IFERROR(__xludf.DUMMYFUNCTION("""COMPUTED_VALUE"""),2309733733)</f>
        <v>2309733733</v>
      </c>
      <c r="G1856" s="1">
        <f>IFERROR(__xludf.DUMMYFUNCTION("""COMPUTED_VALUE"""),456154681004)</f>
        <v>456154681004</v>
      </c>
      <c r="H1856" s="1" t="str">
        <f>IFERROR(__xludf.DUMMYFUNCTION("""COMPUTED_VALUE"""),"JASMIN TOMO IPIS")</f>
        <v>JASMIN TOMO IPIS</v>
      </c>
      <c r="I1856" s="1">
        <f>IFERROR(__xludf.DUMMYFUNCTION("""COMPUTED_VALUE"""),9164434912)</f>
        <v>9164434912</v>
      </c>
      <c r="J1856" s="1">
        <f>IFERROR(__xludf.DUMMYFUNCTION("""COMPUTED_VALUE"""),9070269798)</f>
        <v>9070269798</v>
      </c>
      <c r="K1856" s="1" t="str">
        <f>IFERROR(__xludf.DUMMYFUNCTION("""COMPUTED_VALUE"""),"JENILYNEPIS86@GMAIL.COM")</f>
        <v>JENILYNEPIS86@GMAIL.COM</v>
      </c>
      <c r="L1856" s="1" t="str">
        <f>IFERROR(__xludf.DUMMYFUNCTION("""COMPUTED_VALUE"""),"30")</f>
        <v>30</v>
      </c>
      <c r="M1856" s="1" t="str">
        <f>IFERROR(__xludf.DUMMYFUNCTION("""COMPUTED_VALUE"""),"AMBID")</f>
        <v>AMBID</v>
      </c>
      <c r="N1856" s="1"/>
      <c r="O1856" s="1" t="str">
        <f>IFERROR(__xludf.DUMMYFUNCTION("""COMPUTED_VALUE"""),"BILUSO")</f>
        <v>BILUSO</v>
      </c>
      <c r="P1856" s="1" t="str">
        <f>IFERROR(__xludf.DUMMYFUNCTION("""COMPUTED_VALUE"""),"SILANG")</f>
        <v>SILANG</v>
      </c>
      <c r="Q1856" s="1" t="str">
        <f>IFERROR(__xludf.DUMMYFUNCTION("""COMPUTED_VALUE"""),"CAVITE")</f>
        <v>CAVITE</v>
      </c>
      <c r="R1856" s="1" t="str">
        <f>IFERROR(__xludf.DUMMYFUNCTION("""COMPUTED_VALUE"""),"FIBR UNLI ALL PLAN 999")</f>
        <v>FIBR UNLI ALL PLAN 999</v>
      </c>
      <c r="S1856" s="1" t="str">
        <f>IFERROR(__xludf.DUMMYFUNCTION("""COMPUTED_VALUE"""),"APPROVED")</f>
        <v>APPROVED</v>
      </c>
      <c r="T1856" s="1" t="str">
        <f>IFERROR(__xludf.DUMMYFUNCTION("""COMPUTED_VALUE"""),"CLOSED")</f>
        <v>CLOSED</v>
      </c>
      <c r="U1856" s="1" t="str">
        <f>IFERROR(__xludf.DUMMYFUNCTION("""COMPUTED_VALUE"""),"POSTED")</f>
        <v>POSTED</v>
      </c>
      <c r="V1856" s="1"/>
      <c r="W1856" s="1"/>
    </row>
    <row r="1857" customHeight="1" spans="1:23">
      <c r="A1857" s="3">
        <f>IFERROR(__xludf.DUMMYFUNCTION("""COMPUTED_VALUE"""),46168)</f>
        <v>46168</v>
      </c>
      <c r="B1857" s="1" t="str">
        <f>IFERROR(__xludf.DUMMYFUNCTION("""COMPUTED_VALUE"""),"DE VERA, MARIVIC")</f>
        <v>DE VERA, MARIVIC</v>
      </c>
      <c r="C1857" s="1" t="str">
        <f>IFERROR(__xludf.DUMMYFUNCTION("""COMPUTED_VALUE"""),"ORGANIC")</f>
        <v>ORGANIC</v>
      </c>
      <c r="D1857" s="1" t="str">
        <f>IFERROR(__xludf.DUMMYFUNCTION("""COMPUTED_VALUE"""),"REMOLLO LEA")</f>
        <v>REMOLLO LEA</v>
      </c>
      <c r="E1857" s="1" t="str">
        <f>IFERROR(__xludf.DUMMYFUNCTION("""COMPUTED_VALUE"""),"PLDT / H2H")</f>
        <v>PLDT / H2H</v>
      </c>
      <c r="F1857" s="1">
        <f>IFERROR(__xludf.DUMMYFUNCTION("""COMPUTED_VALUE"""),2309732652)</f>
        <v>2309732652</v>
      </c>
      <c r="G1857" s="1">
        <f>IFERROR(__xludf.DUMMYFUNCTION("""COMPUTED_VALUE"""),456154256004)</f>
        <v>456154256004</v>
      </c>
      <c r="H1857" s="1" t="str">
        <f>IFERROR(__xludf.DUMMYFUNCTION("""COMPUTED_VALUE"""),"JOSHUA TAGUNON CUENTO")</f>
        <v>JOSHUA TAGUNON CUENTO</v>
      </c>
      <c r="I1857" s="1">
        <f>IFERROR(__xludf.DUMMYFUNCTION("""COMPUTED_VALUE"""),9526249826)</f>
        <v>9526249826</v>
      </c>
      <c r="J1857" s="1">
        <f>IFERROR(__xludf.DUMMYFUNCTION("""COMPUTED_VALUE"""),9268918314)</f>
        <v>9268918314</v>
      </c>
      <c r="K1857" s="1" t="str">
        <f>IFERROR(__xludf.DUMMYFUNCTION("""COMPUTED_VALUE"""),"JUSHUATCUENTO@GMAIL.COM")</f>
        <v>JUSHUATCUENTO@GMAIL.COM</v>
      </c>
      <c r="L1857" s="1" t="str">
        <f>IFERROR(__xludf.DUMMYFUNCTION("""COMPUTED_VALUE"""),"426")</f>
        <v>426</v>
      </c>
      <c r="M1857" s="1" t="str">
        <f>IFERROR(__xludf.DUMMYFUNCTION("""COMPUTED_VALUE"""),"RAFAEL")</f>
        <v>RAFAEL</v>
      </c>
      <c r="N1857" s="1"/>
      <c r="O1857" s="1" t="str">
        <f>IFERROR(__xludf.DUMMYFUNCTION("""COMPUTED_VALUE"""),"KAYBAGAL SOUTH (POB.)")</f>
        <v>KAYBAGAL SOUTH (POB.)</v>
      </c>
      <c r="P1857" s="1" t="str">
        <f>IFERROR(__xludf.DUMMYFUNCTION("""COMPUTED_VALUE"""),"TAGAYTAY")</f>
        <v>TAGAYTAY</v>
      </c>
      <c r="Q1857" s="1" t="str">
        <f>IFERROR(__xludf.DUMMYFUNCTION("""COMPUTED_VALUE"""),"CAVITE")</f>
        <v>CAVITE</v>
      </c>
      <c r="R1857" s="1" t="str">
        <f>IFERROR(__xludf.DUMMYFUNCTION("""COMPUTED_VALUE"""),"FIBR UNLI ALL PLAN 1399")</f>
        <v>FIBR UNLI ALL PLAN 1399</v>
      </c>
      <c r="S1857" s="1" t="str">
        <f>IFERROR(__xludf.DUMMYFUNCTION("""COMPUTED_VALUE"""),"APPROVED")</f>
        <v>APPROVED</v>
      </c>
      <c r="T1857" s="1" t="str">
        <f>IFERROR(__xludf.DUMMYFUNCTION("""COMPUTED_VALUE"""),"CANCELLED")</f>
        <v>CANCELLED</v>
      </c>
      <c r="U1857" s="1"/>
      <c r="V1857" s="1"/>
      <c r="W1857" s="1"/>
    </row>
    <row r="1858" customHeight="1" spans="1:23">
      <c r="A1858" s="3">
        <f>IFERROR(__xludf.DUMMYFUNCTION("""COMPUTED_VALUE"""),46168)</f>
        <v>46168</v>
      </c>
      <c r="B1858" s="1" t="str">
        <f>IFERROR(__xludf.DUMMYFUNCTION("""COMPUTED_VALUE"""),"RIVERA, AIRIZH JOY")</f>
        <v>RIVERA, AIRIZH JOY</v>
      </c>
      <c r="C1858" s="1" t="str">
        <f>IFERROR(__xludf.DUMMYFUNCTION("""COMPUTED_VALUE"""),"ORGANIC")</f>
        <v>ORGANIC</v>
      </c>
      <c r="D1858" s="1" t="str">
        <f>IFERROR(__xludf.DUMMYFUNCTION("""COMPUTED_VALUE"""),"ALOS, CHARLS")</f>
        <v>ALOS, CHARLS</v>
      </c>
      <c r="E1858" s="1" t="str">
        <f>IFERROR(__xludf.DUMMYFUNCTION("""COMPUTED_VALUE"""),"RED FIBER")</f>
        <v>RED FIBER</v>
      </c>
      <c r="F1858" s="1"/>
      <c r="G1858" s="1"/>
      <c r="H1858" s="1" t="str">
        <f>IFERROR(__xludf.DUMMYFUNCTION("""COMPUTED_VALUE"""),"OLIVER MENDOZA MANANZAN")</f>
        <v>OLIVER MENDOZA MANANZAN</v>
      </c>
      <c r="I1858" s="1">
        <f>IFERROR(__xludf.DUMMYFUNCTION("""COMPUTED_VALUE"""),9914283327)</f>
        <v>9914283327</v>
      </c>
      <c r="J1858" s="1"/>
      <c r="K1858" s="1" t="str">
        <f>IFERROR(__xludf.DUMMYFUNCTION("""COMPUTED_VALUE"""),"OLIVERMANAZAN282@GMAIL.COM")</f>
        <v>OLIVERMANAZAN282@GMAIL.COM</v>
      </c>
      <c r="L1858" s="1" t="str">
        <f>IFERROR(__xludf.DUMMYFUNCTION("""COMPUTED_VALUE"""),"600")</f>
        <v>600</v>
      </c>
      <c r="M1858" s="1" t="str">
        <f>IFERROR(__xludf.DUMMYFUNCTION("""COMPUTED_VALUE"""),"PUROK 5")</f>
        <v>PUROK 5</v>
      </c>
      <c r="N1858" s="1"/>
      <c r="O1858" s="1" t="str">
        <f>IFERROR(__xludf.DUMMYFUNCTION("""COMPUTED_VALUE"""),"LANGKAAN I")</f>
        <v>LANGKAAN I</v>
      </c>
      <c r="P1858" s="1" t="str">
        <f>IFERROR(__xludf.DUMMYFUNCTION("""COMPUTED_VALUE"""),"DASMARINAS")</f>
        <v>DASMARINAS</v>
      </c>
      <c r="Q1858" s="1" t="str">
        <f>IFERROR(__xludf.DUMMYFUNCTION("""COMPUTED_VALUE"""),"CAVITE")</f>
        <v>CAVITE</v>
      </c>
      <c r="R1858" s="1" t="str">
        <f>IFERROR(__xludf.DUMMYFUNCTION("""COMPUTED_VALUE"""),"RED PLAN 1000")</f>
        <v>RED PLAN 1000</v>
      </c>
      <c r="S1858" s="1" t="str">
        <f>IFERROR(__xludf.DUMMYFUNCTION("""COMPUTED_VALUE"""),"APPROVED")</f>
        <v>APPROVED</v>
      </c>
      <c r="T1858" s="1" t="str">
        <f>IFERROR(__xludf.DUMMYFUNCTION("""COMPUTED_VALUE"""),"PAID")</f>
        <v>PAID</v>
      </c>
      <c r="U1858" s="1" t="str">
        <f>IFERROR(__xludf.DUMMYFUNCTION("""COMPUTED_VALUE"""),"PAID VIA GCASH ")</f>
        <v>PAID VIA GCASH </v>
      </c>
      <c r="V1858" s="1"/>
      <c r="W1858" s="1"/>
    </row>
    <row r="1859" customHeight="1" spans="1:23">
      <c r="A1859" s="3">
        <f>IFERROR(__xludf.DUMMYFUNCTION("""COMPUTED_VALUE"""),46168)</f>
        <v>46168</v>
      </c>
      <c r="B1859" s="1" t="str">
        <f>IFERROR(__xludf.DUMMYFUNCTION("""COMPUTED_VALUE"""),"NAVARRO, JERIC")</f>
        <v>NAVARRO, JERIC</v>
      </c>
      <c r="C1859" s="1" t="str">
        <f>IFERROR(__xludf.DUMMYFUNCTION("""COMPUTED_VALUE"""),"FLA")</f>
        <v>FLA</v>
      </c>
      <c r="D1859" s="1" t="str">
        <f>IFERROR(__xludf.DUMMYFUNCTION("""COMPUTED_VALUE"""),"JERIC NAVARRO")</f>
        <v>JERIC NAVARRO</v>
      </c>
      <c r="E1859" s="1" t="str">
        <f>IFERROR(__xludf.DUMMYFUNCTION("""COMPUTED_VALUE"""),"PLDT / H2H")</f>
        <v>PLDT / H2H</v>
      </c>
      <c r="F1859" s="1">
        <f>IFERROR(__xludf.DUMMYFUNCTION("""COMPUTED_VALUE"""),2309743542)</f>
        <v>2309743542</v>
      </c>
      <c r="G1859" s="1">
        <f>IFERROR(__xludf.DUMMYFUNCTION("""COMPUTED_VALUE"""),456243122004)</f>
        <v>456243122004</v>
      </c>
      <c r="H1859" s="1" t="str">
        <f>IFERROR(__xludf.DUMMYFUNCTION("""COMPUTED_VALUE"""),"LUIS GABRIEL KHO DE GUZMAN")</f>
        <v>LUIS GABRIEL KHO DE GUZMAN</v>
      </c>
      <c r="I1859" s="1">
        <f>IFERROR(__xludf.DUMMYFUNCTION("""COMPUTED_VALUE"""),9177160130)</f>
        <v>9177160130</v>
      </c>
      <c r="J1859" s="1"/>
      <c r="K1859" s="1" t="str">
        <f>IFERROR(__xludf.DUMMYFUNCTION("""COMPUTED_VALUE"""),"LGDEGUZMAN1116@GMAIL.COM")</f>
        <v>LGDEGUZMAN1116@GMAIL.COM</v>
      </c>
      <c r="L1859" s="1" t="str">
        <f>IFERROR(__xludf.DUMMYFUNCTION("""COMPUTED_VALUE"""),"UNIT 10")</f>
        <v>UNIT 10</v>
      </c>
      <c r="M1859" s="1" t="str">
        <f>IFERROR(__xludf.DUMMYFUNCTION("""COMPUTED_VALUE"""),"AREVALO BUILDING")</f>
        <v>AREVALO BUILDING</v>
      </c>
      <c r="N1859" s="1"/>
      <c r="O1859" s="1" t="str">
        <f>IFERROR(__xludf.DUMMYFUNCTION("""COMPUTED_VALUE"""),"SAMPALOC III")</f>
        <v>SAMPALOC III</v>
      </c>
      <c r="P1859" s="1" t="str">
        <f>IFERROR(__xludf.DUMMYFUNCTION("""COMPUTED_VALUE"""),"DASMARINAS")</f>
        <v>DASMARINAS</v>
      </c>
      <c r="Q1859" s="1" t="str">
        <f>IFERROR(__xludf.DUMMYFUNCTION("""COMPUTED_VALUE"""),"CAVITE")</f>
        <v>CAVITE</v>
      </c>
      <c r="R1859" s="1" t="str">
        <f>IFERROR(__xludf.DUMMYFUNCTION("""COMPUTED_VALUE"""),"FIBR PLAN 1299")</f>
        <v>FIBR PLAN 1299</v>
      </c>
      <c r="S1859" s="1" t="str">
        <f>IFERROR(__xludf.DUMMYFUNCTION("""COMPUTED_VALUE"""),"APPROVED")</f>
        <v>APPROVED</v>
      </c>
      <c r="T1859" s="1" t="str">
        <f>IFERROR(__xludf.DUMMYFUNCTION("""COMPUTED_VALUE"""),"CLOSED")</f>
        <v>CLOSED</v>
      </c>
      <c r="U1859" s="1"/>
      <c r="V1859" s="1"/>
      <c r="W1859" s="1"/>
    </row>
    <row r="1860" customHeight="1" spans="1:23">
      <c r="A1860" s="3">
        <f>IFERROR(__xludf.DUMMYFUNCTION("""COMPUTED_VALUE"""),46168)</f>
        <v>46168</v>
      </c>
      <c r="B1860" s="1" t="str">
        <f>IFERROR(__xludf.DUMMYFUNCTION("""COMPUTED_VALUE"""),"ODY , CLARENCE")</f>
        <v>ODY , CLARENCE</v>
      </c>
      <c r="C1860" s="1" t="str">
        <f>IFERROR(__xludf.DUMMYFUNCTION("""COMPUTED_VALUE"""),"ORGANIC")</f>
        <v>ORGANIC</v>
      </c>
      <c r="D1860" s="1" t="str">
        <f>IFERROR(__xludf.DUMMYFUNCTION("""COMPUTED_VALUE"""),"ALOS, CHARLS")</f>
        <v>ALOS, CHARLS</v>
      </c>
      <c r="E1860" s="1" t="str">
        <f>IFERROR(__xludf.DUMMYFUNCTION("""COMPUTED_VALUE"""),"RED FIBER")</f>
        <v>RED FIBER</v>
      </c>
      <c r="F1860" s="1"/>
      <c r="G1860" s="1"/>
      <c r="H1860" s="1" t="str">
        <f>IFERROR(__xludf.DUMMYFUNCTION("""COMPUTED_VALUE"""),"JOEL GUMANAM TIAGO")</f>
        <v>JOEL GUMANAM TIAGO</v>
      </c>
      <c r="I1860" s="1">
        <f>IFERROR(__xludf.DUMMYFUNCTION("""COMPUTED_VALUE"""),9067658445)</f>
        <v>9067658445</v>
      </c>
      <c r="J1860" s="1"/>
      <c r="K1860" s="1" t="str">
        <f>IFERROR(__xludf.DUMMYFUNCTION("""COMPUTED_VALUE"""),"JOELTIAGO116@GMAIL.COM")</f>
        <v>JOELTIAGO116@GMAIL.COM</v>
      </c>
      <c r="L1860" s="1" t="str">
        <f>IFERROR(__xludf.DUMMYFUNCTION("""COMPUTED_VALUE"""),"284")</f>
        <v>284</v>
      </c>
      <c r="M1860" s="1" t="str">
        <f>IFERROR(__xludf.DUMMYFUNCTION("""COMPUTED_VALUE"""),"REYES")</f>
        <v>REYES</v>
      </c>
      <c r="N1860" s="1"/>
      <c r="O1860" s="1" t="str">
        <f>IFERROR(__xludf.DUMMYFUNCTION("""COMPUTED_VALUE"""),"LANGKAAN I")</f>
        <v>LANGKAAN I</v>
      </c>
      <c r="P1860" s="1" t="str">
        <f>IFERROR(__xludf.DUMMYFUNCTION("""COMPUTED_VALUE"""),"DASMARINAS")</f>
        <v>DASMARINAS</v>
      </c>
      <c r="Q1860" s="1" t="str">
        <f>IFERROR(__xludf.DUMMYFUNCTION("""COMPUTED_VALUE"""),"CAVITE")</f>
        <v>CAVITE</v>
      </c>
      <c r="R1860" s="1" t="str">
        <f>IFERROR(__xludf.DUMMYFUNCTION("""COMPUTED_VALUE"""),"RED PLAN 1000")</f>
        <v>RED PLAN 1000</v>
      </c>
      <c r="S1860" s="1" t="str">
        <f>IFERROR(__xludf.DUMMYFUNCTION("""COMPUTED_VALUE"""),"APPROVED")</f>
        <v>APPROVED</v>
      </c>
      <c r="T1860" s="1" t="str">
        <f>IFERROR(__xludf.DUMMYFUNCTION("""COMPUTED_VALUE"""),"#N/A")</f>
        <v>#N/A</v>
      </c>
      <c r="U1860" s="1"/>
      <c r="V1860" s="1"/>
      <c r="W1860" s="1"/>
    </row>
    <row r="1861" customHeight="1" spans="1:23">
      <c r="A1861" s="3">
        <f>IFERROR(__xludf.DUMMYFUNCTION("""COMPUTED_VALUE"""),46168)</f>
        <v>46168</v>
      </c>
      <c r="B1861" s="1" t="str">
        <f>IFERROR(__xludf.DUMMYFUNCTION("""COMPUTED_VALUE"""),"CASTILLEJOS, ARREL")</f>
        <v>CASTILLEJOS, ARREL</v>
      </c>
      <c r="C1861" s="1" t="str">
        <f>IFERROR(__xludf.DUMMYFUNCTION("""COMPUTED_VALUE"""),"ORGANIC")</f>
        <v>ORGANIC</v>
      </c>
      <c r="D1861" s="1" t="str">
        <f>IFERROR(__xludf.DUMMYFUNCTION("""COMPUTED_VALUE"""),"REMOLLO LEA")</f>
        <v>REMOLLO LEA</v>
      </c>
      <c r="E1861" s="1" t="str">
        <f>IFERROR(__xludf.DUMMYFUNCTION("""COMPUTED_VALUE"""),"PLDT / ONLINE")</f>
        <v>PLDT / ONLINE</v>
      </c>
      <c r="F1861" s="1">
        <f>IFERROR(__xludf.DUMMYFUNCTION("""COMPUTED_VALUE"""),2309734223)</f>
        <v>2309734223</v>
      </c>
      <c r="G1861" s="1">
        <f>IFERROR(__xludf.DUMMYFUNCTION("""COMPUTED_VALUE"""),456177457004)</f>
        <v>456177457004</v>
      </c>
      <c r="H1861" s="1" t="str">
        <f>IFERROR(__xludf.DUMMYFUNCTION("""COMPUTED_VALUE"""),"EXCEL JOHN MAOUTI DE GUZMAN")</f>
        <v>EXCEL JOHN MAOUTI DE GUZMAN</v>
      </c>
      <c r="I1861" s="1">
        <f>IFERROR(__xludf.DUMMYFUNCTION("""COMPUTED_VALUE"""),9100794958)</f>
        <v>9100794958</v>
      </c>
      <c r="J1861" s="1">
        <f>IFERROR(__xludf.DUMMYFUNCTION("""COMPUTED_VALUE"""),9637627113)</f>
        <v>9637627113</v>
      </c>
      <c r="K1861" s="1" t="str">
        <f>IFERROR(__xludf.DUMMYFUNCTION("""COMPUTED_VALUE"""),"MYLENEMAPUTI65@GMAIL.COM")</f>
        <v>MYLENEMAPUTI65@GMAIL.COM</v>
      </c>
      <c r="L1861" s="1" t="str">
        <f>IFERROR(__xludf.DUMMYFUNCTION("""COMPUTED_VALUE"""),"BLK 24  LOT 4")</f>
        <v>BLK 24  LOT 4</v>
      </c>
      <c r="M1861" s="1" t="str">
        <f>IFERROR(__xludf.DUMMYFUNCTION("""COMPUTED_VALUE"""),"R5")</f>
        <v>R5</v>
      </c>
      <c r="N1861" s="1" t="str">
        <f>IFERROR(__xludf.DUMMYFUNCTION("""COMPUTED_VALUE"""),"CITYHOMES")</f>
        <v>CITYHOMES</v>
      </c>
      <c r="O1861" s="1" t="str">
        <f>IFERROR(__xludf.DUMMYFUNCTION("""COMPUTED_VALUE"""),"LANGKAAN II")</f>
        <v>LANGKAAN II</v>
      </c>
      <c r="P1861" s="1" t="str">
        <f>IFERROR(__xludf.DUMMYFUNCTION("""COMPUTED_VALUE"""),"DASMARINAS")</f>
        <v>DASMARINAS</v>
      </c>
      <c r="Q1861" s="1" t="str">
        <f>IFERROR(__xludf.DUMMYFUNCTION("""COMPUTED_VALUE"""),"CAVITE")</f>
        <v>CAVITE</v>
      </c>
      <c r="R1861" s="1" t="str">
        <f>IFERROR(__xludf.DUMMYFUNCTION("""COMPUTED_VALUE"""),"FIBR UNLI ALL PLAN 999")</f>
        <v>FIBR UNLI ALL PLAN 999</v>
      </c>
      <c r="S1861" s="1" t="str">
        <f>IFERROR(__xludf.DUMMYFUNCTION("""COMPUTED_VALUE"""),"APPROVED")</f>
        <v>APPROVED</v>
      </c>
      <c r="T1861" s="1" t="str">
        <f>IFERROR(__xludf.DUMMYFUNCTION("""COMPUTED_VALUE"""),"CLOSED")</f>
        <v>CLOSED</v>
      </c>
      <c r="U1861" s="1" t="str">
        <f>IFERROR(__xludf.DUMMYFUNCTION("""COMPUTED_VALUE"""),"POSTED")</f>
        <v>POSTED</v>
      </c>
      <c r="V1861" s="1"/>
      <c r="W1861" s="1"/>
    </row>
    <row r="1862" customHeight="1" spans="1:23">
      <c r="A1862" s="3">
        <f>IFERROR(__xludf.DUMMYFUNCTION("""COMPUTED_VALUE"""),46168)</f>
        <v>46168</v>
      </c>
      <c r="B1862" s="1" t="str">
        <f>IFERROR(__xludf.DUMMYFUNCTION("""COMPUTED_VALUE"""),"DELA ROSA, JENNELYN")</f>
        <v>DELA ROSA, JENNELYN</v>
      </c>
      <c r="C1862" s="1" t="str">
        <f>IFERROR(__xludf.DUMMYFUNCTION("""COMPUTED_VALUE"""),"ORGANIC")</f>
        <v>ORGANIC</v>
      </c>
      <c r="D1862" s="1" t="str">
        <f>IFERROR(__xludf.DUMMYFUNCTION("""COMPUTED_VALUE"""),"ALOS, CHARLS")</f>
        <v>ALOS, CHARLS</v>
      </c>
      <c r="E1862" s="1" t="str">
        <f>IFERROR(__xludf.DUMMYFUNCTION("""COMPUTED_VALUE"""),"RED FIBER")</f>
        <v>RED FIBER</v>
      </c>
      <c r="F1862" s="1"/>
      <c r="G1862" s="1"/>
      <c r="H1862" s="1" t="str">
        <f>IFERROR(__xludf.DUMMYFUNCTION("""COMPUTED_VALUE"""),"BRIAN CARZON REAZON")</f>
        <v>BRIAN CARZON REAZON</v>
      </c>
      <c r="I1862" s="1">
        <f>IFERROR(__xludf.DUMMYFUNCTION("""COMPUTED_VALUE"""),9686188502)</f>
        <v>9686188502</v>
      </c>
      <c r="J1862" s="1"/>
      <c r="K1862" s="1" t="str">
        <f>IFERROR(__xludf.DUMMYFUNCTION("""COMPUTED_VALUE"""),"REAZONBRIAN28@GMAIL.COM")</f>
        <v>REAZONBRIAN28@GMAIL.COM</v>
      </c>
      <c r="L1862" s="1" t="str">
        <f>IFERROR(__xludf.DUMMYFUNCTION("""COMPUTED_VALUE"""),"89")</f>
        <v>89</v>
      </c>
      <c r="M1862" s="1" t="str">
        <f>IFERROR(__xludf.DUMMYFUNCTION("""COMPUTED_VALUE"""),"MARKETSITE")</f>
        <v>MARKETSITE</v>
      </c>
      <c r="N1862" s="1"/>
      <c r="O1862" s="1" t="str">
        <f>IFERROR(__xludf.DUMMYFUNCTION("""COMPUTED_VALUE"""),"GALICIA II")</f>
        <v>GALICIA II</v>
      </c>
      <c r="P1862" s="1" t="str">
        <f>IFERROR(__xludf.DUMMYFUNCTION("""COMPUTED_VALUE"""),"MENDEZ")</f>
        <v>MENDEZ</v>
      </c>
      <c r="Q1862" s="1" t="str">
        <f>IFERROR(__xludf.DUMMYFUNCTION("""COMPUTED_VALUE"""),"CAVITE")</f>
        <v>CAVITE</v>
      </c>
      <c r="R1862" s="1" t="str">
        <f>IFERROR(__xludf.DUMMYFUNCTION("""COMPUTED_VALUE"""),"RED PLAN 1000")</f>
        <v>RED PLAN 1000</v>
      </c>
      <c r="S1862" s="1" t="str">
        <f>IFERROR(__xludf.DUMMYFUNCTION("""COMPUTED_VALUE"""),"APPROVED")</f>
        <v>APPROVED</v>
      </c>
      <c r="T1862" s="1" t="str">
        <f>IFERROR(__xludf.DUMMYFUNCTION("""COMPUTED_VALUE"""),"#N/A")</f>
        <v>#N/A</v>
      </c>
      <c r="U1862" s="1"/>
      <c r="V1862" s="1"/>
      <c r="W1862" s="1"/>
    </row>
    <row r="1863" customHeight="1" spans="1:23">
      <c r="A1863" s="3">
        <f>IFERROR(__xludf.DUMMYFUNCTION("""COMPUTED_VALUE"""),46169)</f>
        <v>46169</v>
      </c>
      <c r="B1863" s="1" t="str">
        <f>IFERROR(__xludf.DUMMYFUNCTION("""COMPUTED_VALUE"""),"AGUNOS, JHON AIRVIN")</f>
        <v>AGUNOS, JHON AIRVIN</v>
      </c>
      <c r="C1863" s="1" t="str">
        <f>IFERROR(__xludf.DUMMYFUNCTION("""COMPUTED_VALUE"""),"ORGANIC")</f>
        <v>ORGANIC</v>
      </c>
      <c r="D1863" s="1" t="str">
        <f>IFERROR(__xludf.DUMMYFUNCTION("""COMPUTED_VALUE"""),"ALINGARO, CINDY")</f>
        <v>ALINGARO, CINDY</v>
      </c>
      <c r="E1863" s="1" t="str">
        <f>IFERROR(__xludf.DUMMYFUNCTION("""COMPUTED_VALUE"""),"PLDT / ONLINE")</f>
        <v>PLDT / ONLINE</v>
      </c>
      <c r="F1863" s="1">
        <f>IFERROR(__xludf.DUMMYFUNCTION("""COMPUTED_VALUE"""),2309744033)</f>
        <v>2309744033</v>
      </c>
      <c r="G1863" s="1">
        <f>IFERROR(__xludf.DUMMYFUNCTION("""COMPUTED_VALUE"""),456250280004)</f>
        <v>456250280004</v>
      </c>
      <c r="H1863" s="1" t="str">
        <f>IFERROR(__xludf.DUMMYFUNCTION("""COMPUTED_VALUE"""),"LEO SORIANO NUESTRO")</f>
        <v>LEO SORIANO NUESTRO</v>
      </c>
      <c r="I1863" s="1">
        <f>IFERROR(__xludf.DUMMYFUNCTION("""COMPUTED_VALUE"""),9924153398)</f>
        <v>9924153398</v>
      </c>
      <c r="J1863" s="1">
        <f>IFERROR(__xludf.DUMMYFUNCTION("""COMPUTED_VALUE"""),9101755643)</f>
        <v>9101755643</v>
      </c>
      <c r="K1863" s="1" t="str">
        <f>IFERROR(__xludf.DUMMYFUNCTION("""COMPUTED_VALUE"""),"leopazi@yahoo.com")</f>
        <v>leopazi@yahoo.com</v>
      </c>
      <c r="L1863" s="1" t="str">
        <f>IFERROR(__xludf.DUMMYFUNCTION("""COMPUTED_VALUE"""),"005-BL-006")</f>
        <v>005-BL-006</v>
      </c>
      <c r="M1863" s="1" t="str">
        <f>IFERROR(__xludf.DUMMYFUNCTION("""COMPUTED_VALUE"""),"LILIA HEIGHTS")</f>
        <v>LILIA HEIGHTS</v>
      </c>
      <c r="N1863" s="1" t="str">
        <f>IFERROR(__xludf.DUMMYFUNCTION("""COMPUTED_VALUE"""),"LILIA HEIGHTS")</f>
        <v>LILIA HEIGHTS</v>
      </c>
      <c r="O1863" s="1" t="str">
        <f>IFERROR(__xludf.DUMMYFUNCTION("""COMPUTED_VALUE"""),"ASIS III")</f>
        <v>ASIS III</v>
      </c>
      <c r="P1863" s="1" t="str">
        <f>IFERROR(__xludf.DUMMYFUNCTION("""COMPUTED_VALUE"""),"MENDEZ")</f>
        <v>MENDEZ</v>
      </c>
      <c r="Q1863" s="1" t="str">
        <f>IFERROR(__xludf.DUMMYFUNCTION("""COMPUTED_VALUE"""),"CAVITE")</f>
        <v>CAVITE</v>
      </c>
      <c r="R1863" s="1" t="str">
        <f>IFERROR(__xludf.DUMMYFUNCTION("""COMPUTED_VALUE"""),"FIBR NETFLIX PLAN 1599")</f>
        <v>FIBR NETFLIX PLAN 1599</v>
      </c>
      <c r="S1863" s="1" t="str">
        <f>IFERROR(__xludf.DUMMYFUNCTION("""COMPUTED_VALUE"""),"APPROVED")</f>
        <v>APPROVED</v>
      </c>
      <c r="T1863" s="1" t="str">
        <f>IFERROR(__xludf.DUMMYFUNCTION("""COMPUTED_VALUE"""),"CLOSED")</f>
        <v>CLOSED</v>
      </c>
      <c r="U1863" s="1" t="str">
        <f>IFERROR(__xludf.DUMMYFUNCTION("""COMPUTED_VALUE"""),"POSTED")</f>
        <v>POSTED</v>
      </c>
      <c r="V1863" s="1"/>
      <c r="W1863" s="1"/>
    </row>
    <row r="1864" customHeight="1" spans="1:23">
      <c r="A1864" s="3">
        <f>IFERROR(__xludf.DUMMYFUNCTION("""COMPUTED_VALUE"""),46169)</f>
        <v>46169</v>
      </c>
      <c r="B1864" s="1" t="str">
        <f>IFERROR(__xludf.DUMMYFUNCTION("""COMPUTED_VALUE"""),"FRANCISCO , ROSELYN")</f>
        <v>FRANCISCO , ROSELYN</v>
      </c>
      <c r="C1864" s="1" t="str">
        <f>IFERROR(__xludf.DUMMYFUNCTION("""COMPUTED_VALUE"""),"ORGANIC")</f>
        <v>ORGANIC</v>
      </c>
      <c r="D1864" s="1" t="str">
        <f>IFERROR(__xludf.DUMMYFUNCTION("""COMPUTED_VALUE"""),"ALOS, CHARLS")</f>
        <v>ALOS, CHARLS</v>
      </c>
      <c r="E1864" s="1" t="str">
        <f>IFERROR(__xludf.DUMMYFUNCTION("""COMPUTED_VALUE"""),"PLDT / ONLINE")</f>
        <v>PLDT / ONLINE</v>
      </c>
      <c r="F1864" s="1">
        <f>IFERROR(__xludf.DUMMYFUNCTION("""COMPUTED_VALUE"""),2309772749)</f>
        <v>2309772749</v>
      </c>
      <c r="G1864" s="1">
        <f>IFERROR(__xludf.DUMMYFUNCTION("""COMPUTED_VALUE"""),456359849004)</f>
        <v>456359849004</v>
      </c>
      <c r="H1864" s="1" t="str">
        <f>IFERROR(__xludf.DUMMYFUNCTION("""COMPUTED_VALUE"""),"JAYPEE TEJADA FLORES")</f>
        <v>JAYPEE TEJADA FLORES</v>
      </c>
      <c r="I1864" s="1">
        <f>IFERROR(__xludf.DUMMYFUNCTION("""COMPUTED_VALUE"""),9512347458)</f>
        <v>9512347458</v>
      </c>
      <c r="J1864" s="1"/>
      <c r="K1864" s="1" t="str">
        <f>IFERROR(__xludf.DUMMYFUNCTION("""COMPUTED_VALUE"""),"jaypeetejadaflores1984@gmail.com")</f>
        <v>jaypeetejadaflores1984@gmail.com</v>
      </c>
      <c r="L1864" s="1" t="str">
        <f>IFERROR(__xludf.DUMMYFUNCTION("""COMPUTED_VALUE"""),"013-BL-030")</f>
        <v>013-BL-030</v>
      </c>
      <c r="M1864" s="1" t="str">
        <f>IFERROR(__xludf.DUMMYFUNCTION("""COMPUTED_VALUE"""),"ALPINE")</f>
        <v>ALPINE</v>
      </c>
      <c r="N1864" s="1" t="str">
        <f>IFERROR(__xludf.DUMMYFUNCTION("""COMPUTED_VALUE"""),"SAVANNA VILLE TOWNHOMES")</f>
        <v>SAVANNA VILLE TOWNHOMES</v>
      </c>
      <c r="O1864" s="1" t="str">
        <f>IFERROR(__xludf.DUMMYFUNCTION("""COMPUTED_VALUE"""),"MALAGASANG I-C")</f>
        <v>MALAGASANG I-C</v>
      </c>
      <c r="P1864" s="1" t="str">
        <f>IFERROR(__xludf.DUMMYFUNCTION("""COMPUTED_VALUE"""),"IMUS")</f>
        <v>IMUS</v>
      </c>
      <c r="Q1864" s="1" t="str">
        <f>IFERROR(__xludf.DUMMYFUNCTION("""COMPUTED_VALUE"""),"CAVITE")</f>
        <v>CAVITE</v>
      </c>
      <c r="R1864" s="1" t="str">
        <f>IFERROR(__xludf.DUMMYFUNCTION("""COMPUTED_VALUE"""),"FIBR NETFLIX PLAN 1599")</f>
        <v>FIBR NETFLIX PLAN 1599</v>
      </c>
      <c r="S1864" s="1" t="str">
        <f>IFERROR(__xludf.DUMMYFUNCTION("""COMPUTED_VALUE"""),"APPROVED")</f>
        <v>APPROVED</v>
      </c>
      <c r="T1864" s="1" t="str">
        <f>IFERROR(__xludf.DUMMYFUNCTION("""COMPUTED_VALUE"""),"CLOSED")</f>
        <v>CLOSED</v>
      </c>
      <c r="U1864" s="1" t="str">
        <f>IFERROR(__xludf.DUMMYFUNCTION("""COMPUTED_VALUE"""),"POSTED")</f>
        <v>POSTED</v>
      </c>
      <c r="V1864" s="1"/>
      <c r="W1864" s="1"/>
    </row>
    <row r="1865" customHeight="1" spans="1:23">
      <c r="A1865" s="3">
        <f>IFERROR(__xludf.DUMMYFUNCTION("""COMPUTED_VALUE"""),46169)</f>
        <v>46169</v>
      </c>
      <c r="B1865" s="1" t="str">
        <f>IFERROR(__xludf.DUMMYFUNCTION("""COMPUTED_VALUE"""),"OPS WESLY")</f>
        <v>OPS WESLY</v>
      </c>
      <c r="C1865" s="1" t="str">
        <f>IFERROR(__xludf.DUMMYFUNCTION("""COMPUTED_VALUE"""),"LEADSTORE")</f>
        <v>LEADSTORE</v>
      </c>
      <c r="D1865" s="1" t="str">
        <f>IFERROR(__xludf.DUMMYFUNCTION("""COMPUTED_VALUE"""),"JERIC NAVARRO")</f>
        <v>JERIC NAVARRO</v>
      </c>
      <c r="E1865" s="1" t="str">
        <f>IFERROR(__xludf.DUMMYFUNCTION("""COMPUTED_VALUE"""),"PLDT / ONLINE")</f>
        <v>PLDT / ONLINE</v>
      </c>
      <c r="F1865" s="1">
        <f>IFERROR(__xludf.DUMMYFUNCTION("""COMPUTED_VALUE"""),2309745318)</f>
        <v>2309745318</v>
      </c>
      <c r="G1865" s="1">
        <f>IFERROR(__xludf.DUMMYFUNCTION("""COMPUTED_VALUE"""),456248411004)</f>
        <v>456248411004</v>
      </c>
      <c r="H1865" s="1" t="str">
        <f>IFERROR(__xludf.DUMMYFUNCTION("""COMPUTED_VALUE"""),"IVY FILIPINA RODRIGUEZ TOLEDO")</f>
        <v>IVY FILIPINA RODRIGUEZ TOLEDO</v>
      </c>
      <c r="I1865" s="1">
        <f>IFERROR(__xludf.DUMMYFUNCTION("""COMPUTED_VALUE"""),9228891570)</f>
        <v>9228891570</v>
      </c>
      <c r="J1865" s="1"/>
      <c r="K1865" s="1" t="str">
        <f>IFERROR(__xludf.DUMMYFUNCTION("""COMPUTED_VALUE"""),"ivyfilipinatoledo@gmail.com")</f>
        <v>ivyfilipinatoledo@gmail.com</v>
      </c>
      <c r="L1865" s="1" t="str">
        <f>IFERROR(__xludf.DUMMYFUNCTION("""COMPUTED_VALUE"""),"99")</f>
        <v>99</v>
      </c>
      <c r="M1865" s="1" t="str">
        <f>IFERROR(__xludf.DUMMYFUNCTION("""COMPUTED_VALUE"""),"MALABAG")</f>
        <v>MALABAG</v>
      </c>
      <c r="N1865" s="1"/>
      <c r="O1865" s="1" t="str">
        <f>IFERROR(__xludf.DUMMYFUNCTION("""COMPUTED_VALUE"""),"MALABAG")</f>
        <v>MALABAG</v>
      </c>
      <c r="P1865" s="1" t="str">
        <f>IFERROR(__xludf.DUMMYFUNCTION("""COMPUTED_VALUE"""),"SILANG")</f>
        <v>SILANG</v>
      </c>
      <c r="Q1865" s="1" t="str">
        <f>IFERROR(__xludf.DUMMYFUNCTION("""COMPUTED_VALUE"""),"CAVITE")</f>
        <v>CAVITE</v>
      </c>
      <c r="R1865" s="1" t="str">
        <f>IFERROR(__xludf.DUMMYFUNCTION("""COMPUTED_VALUE"""),"FIBR UNLI ALL PLAN 999")</f>
        <v>FIBR UNLI ALL PLAN 999</v>
      </c>
      <c r="S1865" s="1" t="str">
        <f>IFERROR(__xludf.DUMMYFUNCTION("""COMPUTED_VALUE"""),"APPROVED")</f>
        <v>APPROVED</v>
      </c>
      <c r="T1865" s="1" t="str">
        <f>IFERROR(__xludf.DUMMYFUNCTION("""COMPUTED_VALUE"""),"CLOSED")</f>
        <v>CLOSED</v>
      </c>
      <c r="U1865" s="1" t="str">
        <f>IFERROR(__xludf.DUMMYFUNCTION("""COMPUTED_VALUE"""),"POSTED")</f>
        <v>POSTED</v>
      </c>
      <c r="V1865" s="1"/>
      <c r="W1865" s="1"/>
    </row>
    <row r="1866" customHeight="1" spans="1:23">
      <c r="A1866" s="3">
        <f>IFERROR(__xludf.DUMMYFUNCTION("""COMPUTED_VALUE"""),46169)</f>
        <v>46169</v>
      </c>
      <c r="B1866" s="1" t="str">
        <f>IFERROR(__xludf.DUMMYFUNCTION("""COMPUTED_VALUE"""),"AGUNOS, JHON AIRVIN")</f>
        <v>AGUNOS, JHON AIRVIN</v>
      </c>
      <c r="C1866" s="1" t="str">
        <f>IFERROR(__xludf.DUMMYFUNCTION("""COMPUTED_VALUE"""),"ORGANIC")</f>
        <v>ORGANIC</v>
      </c>
      <c r="D1866" s="1" t="str">
        <f>IFERROR(__xludf.DUMMYFUNCTION("""COMPUTED_VALUE"""),"ALINGARO, CINDY")</f>
        <v>ALINGARO, CINDY</v>
      </c>
      <c r="E1866" s="1" t="str">
        <f>IFERROR(__xludf.DUMMYFUNCTION("""COMPUTED_VALUE"""),"PLDT / ONLINE")</f>
        <v>PLDT / ONLINE</v>
      </c>
      <c r="F1866" s="1">
        <f>IFERROR(__xludf.DUMMYFUNCTION("""COMPUTED_VALUE"""),2309746092)</f>
        <v>2309746092</v>
      </c>
      <c r="G1866" s="1">
        <f>IFERROR(__xludf.DUMMYFUNCTION("""COMPUTED_VALUE"""),456251497004)</f>
        <v>456251497004</v>
      </c>
      <c r="H1866" s="1" t="str">
        <f>IFERROR(__xludf.DUMMYFUNCTION("""COMPUTED_VALUE"""),"MA. JEWEL DE GUZMAN MACARAEG")</f>
        <v>MA. JEWEL DE GUZMAN MACARAEG</v>
      </c>
      <c r="I1866" s="1">
        <f>IFERROR(__xludf.DUMMYFUNCTION("""COMPUTED_VALUE"""),9202866569)</f>
        <v>9202866569</v>
      </c>
      <c r="J1866" s="1"/>
      <c r="K1866" s="1" t="str">
        <f>IFERROR(__xludf.DUMMYFUNCTION("""COMPUTED_VALUE"""),"rastagirl714@gmail.com")</f>
        <v>rastagirl714@gmail.com</v>
      </c>
      <c r="L1866" s="1" t="str">
        <f>IFERROR(__xludf.DUMMYFUNCTION("""COMPUTED_VALUE"""),"014-BL-019")</f>
        <v>014-BL-019</v>
      </c>
      <c r="M1866" s="1" t="str">
        <f>IFERROR(__xludf.DUMMYFUNCTION("""COMPUTED_VALUE"""),"DREAMHOMES")</f>
        <v>DREAMHOMES</v>
      </c>
      <c r="N1866" s="1" t="str">
        <f>IFERROR(__xludf.DUMMYFUNCTION("""COMPUTED_VALUE"""),"DREAMHOMES SUBD")</f>
        <v>DREAMHOMES SUBD</v>
      </c>
      <c r="O1866" s="1" t="str">
        <f>IFERROR(__xludf.DUMMYFUNCTION("""COMPUTED_VALUE"""),"TEJERO")</f>
        <v>TEJERO</v>
      </c>
      <c r="P1866" s="1" t="str">
        <f>IFERROR(__xludf.DUMMYFUNCTION("""COMPUTED_VALUE"""),"GENERAL TRIAS")</f>
        <v>GENERAL TRIAS</v>
      </c>
      <c r="Q1866" s="1" t="str">
        <f>IFERROR(__xludf.DUMMYFUNCTION("""COMPUTED_VALUE"""),"CAVITE")</f>
        <v>CAVITE</v>
      </c>
      <c r="R1866" s="1" t="str">
        <f>IFERROR(__xludf.DUMMYFUNCTION("""COMPUTED_VALUE"""),"FIBR NETFLIX PLAN 1599")</f>
        <v>FIBR NETFLIX PLAN 1599</v>
      </c>
      <c r="S1866" s="1" t="str">
        <f>IFERROR(__xludf.DUMMYFUNCTION("""COMPUTED_VALUE"""),"APPROVED")</f>
        <v>APPROVED</v>
      </c>
      <c r="T1866" s="1" t="str">
        <f>IFERROR(__xludf.DUMMYFUNCTION("""COMPUTED_VALUE"""),"CANCELLED")</f>
        <v>CANCELLED</v>
      </c>
      <c r="U1866" s="1"/>
      <c r="V1866" s="1"/>
      <c r="W1866" s="1"/>
    </row>
    <row r="1867" customHeight="1" spans="1:23">
      <c r="A1867" s="3">
        <f>IFERROR(__xludf.DUMMYFUNCTION("""COMPUTED_VALUE"""),46169)</f>
        <v>46169</v>
      </c>
      <c r="B1867" s="1" t="str">
        <f>IFERROR(__xludf.DUMMYFUNCTION("""COMPUTED_VALUE"""),"ESCARCHA, MA ALMA  ESCOTO")</f>
        <v>ESCARCHA, MA ALMA  ESCOTO</v>
      </c>
      <c r="C1867" s="1" t="str">
        <f>IFERROR(__xludf.DUMMYFUNCTION("""COMPUTED_VALUE"""),"ORGANIC")</f>
        <v>ORGANIC</v>
      </c>
      <c r="D1867" s="1" t="str">
        <f>IFERROR(__xludf.DUMMYFUNCTION("""COMPUTED_VALUE"""),"ALINGARO, CINDY")</f>
        <v>ALINGARO, CINDY</v>
      </c>
      <c r="E1867" s="1" t="str">
        <f>IFERROR(__xludf.DUMMYFUNCTION("""COMPUTED_VALUE"""),"PLDT / H2H")</f>
        <v>PLDT / H2H</v>
      </c>
      <c r="F1867" s="1">
        <f>IFERROR(__xludf.DUMMYFUNCTION("""COMPUTED_VALUE"""),2309747005)</f>
        <v>2309747005</v>
      </c>
      <c r="G1867" s="1">
        <f>IFERROR(__xludf.DUMMYFUNCTION("""COMPUTED_VALUE"""),456271202004)</f>
        <v>456271202004</v>
      </c>
      <c r="H1867" s="1" t="str">
        <f>IFERROR(__xludf.DUMMYFUNCTION("""COMPUTED_VALUE"""),"HIPOLITO MANILA BELANDO")</f>
        <v>HIPOLITO MANILA BELANDO</v>
      </c>
      <c r="I1867" s="1">
        <f>IFERROR(__xludf.DUMMYFUNCTION("""COMPUTED_VALUE"""),9701031717)</f>
        <v>9701031717</v>
      </c>
      <c r="J1867" s="1">
        <f>IFERROR(__xludf.DUMMYFUNCTION("""COMPUTED_VALUE"""),9101951971)</f>
        <v>9101951971</v>
      </c>
      <c r="K1867" s="1" t="str">
        <f>IFERROR(__xludf.DUMMYFUNCTION("""COMPUTED_VALUE"""),"belandohipolito@gmail.com")</f>
        <v>belandohipolito@gmail.com</v>
      </c>
      <c r="L1867" s="1" t="str">
        <f>IFERROR(__xludf.DUMMYFUNCTION("""COMPUTED_VALUE"""),"989")</f>
        <v>989</v>
      </c>
      <c r="M1867" s="1" t="str">
        <f>IFERROR(__xludf.DUMMYFUNCTION("""COMPUTED_VALUE"""),"TIBIG")</f>
        <v>TIBIG</v>
      </c>
      <c r="N1867" s="1"/>
      <c r="O1867" s="1" t="str">
        <f>IFERROR(__xludf.DUMMYFUNCTION("""COMPUTED_VALUE"""),"TIBIG")</f>
        <v>TIBIG</v>
      </c>
      <c r="P1867" s="1" t="str">
        <f>IFERROR(__xludf.DUMMYFUNCTION("""COMPUTED_VALUE"""),"SILANG")</f>
        <v>SILANG</v>
      </c>
      <c r="Q1867" s="1" t="str">
        <f>IFERROR(__xludf.DUMMYFUNCTION("""COMPUTED_VALUE"""),"CAVITE")</f>
        <v>CAVITE</v>
      </c>
      <c r="R1867" s="1" t="str">
        <f>IFERROR(__xludf.DUMMYFUNCTION("""COMPUTED_VALUE"""),"FIBR UNLI ALL PLAN 999")</f>
        <v>FIBR UNLI ALL PLAN 999</v>
      </c>
      <c r="S1867" s="1" t="str">
        <f>IFERROR(__xludf.DUMMYFUNCTION("""COMPUTED_VALUE"""),"APPROVED")</f>
        <v>APPROVED</v>
      </c>
      <c r="T1867" s="1" t="str">
        <f>IFERROR(__xludf.DUMMYFUNCTION("""COMPUTED_VALUE"""),"CLOSED")</f>
        <v>CLOSED</v>
      </c>
      <c r="U1867" s="1" t="str">
        <f>IFERROR(__xludf.DUMMYFUNCTION("""COMPUTED_VALUE"""),"POSTED")</f>
        <v>POSTED</v>
      </c>
      <c r="V1867" s="1"/>
      <c r="W1867" s="1"/>
    </row>
    <row r="1868" customHeight="1" spans="1:23">
      <c r="A1868" s="3">
        <f>IFERROR(__xludf.DUMMYFUNCTION("""COMPUTED_VALUE"""),46169)</f>
        <v>46169</v>
      </c>
      <c r="B1868" s="1" t="str">
        <f>IFERROR(__xludf.DUMMYFUNCTION("""COMPUTED_VALUE"""),"ESCARCHA, MA ALMA  ESCOTO")</f>
        <v>ESCARCHA, MA ALMA  ESCOTO</v>
      </c>
      <c r="C1868" s="1" t="str">
        <f>IFERROR(__xludf.DUMMYFUNCTION("""COMPUTED_VALUE"""),"ORGANIC")</f>
        <v>ORGANIC</v>
      </c>
      <c r="D1868" s="1" t="str">
        <f>IFERROR(__xludf.DUMMYFUNCTION("""COMPUTED_VALUE"""),"ALINGARO, CINDY")</f>
        <v>ALINGARO, CINDY</v>
      </c>
      <c r="E1868" s="1" t="str">
        <f>IFERROR(__xludf.DUMMYFUNCTION("""COMPUTED_VALUE"""),"PLDT / H2H")</f>
        <v>PLDT / H2H</v>
      </c>
      <c r="F1868" s="1">
        <f>IFERROR(__xludf.DUMMYFUNCTION("""COMPUTED_VALUE"""),2309747917)</f>
        <v>2309747917</v>
      </c>
      <c r="G1868" s="1">
        <f>IFERROR(__xludf.DUMMYFUNCTION("""COMPUTED_VALUE"""),456252437004)</f>
        <v>456252437004</v>
      </c>
      <c r="H1868" s="1" t="str">
        <f>IFERROR(__xludf.DUMMYFUNCTION("""COMPUTED_VALUE"""),"ROXANNE CAVIENTE CUISON")</f>
        <v>ROXANNE CAVIENTE CUISON</v>
      </c>
      <c r="I1868" s="1">
        <f>IFERROR(__xludf.DUMMYFUNCTION("""COMPUTED_VALUE"""),9913641236)</f>
        <v>9913641236</v>
      </c>
      <c r="J1868" s="1"/>
      <c r="K1868" s="1" t="str">
        <f>IFERROR(__xludf.DUMMYFUNCTION("""COMPUTED_VALUE"""),"roxannecuison08@gmail.com")</f>
        <v>roxannecuison08@gmail.com</v>
      </c>
      <c r="L1868" s="1" t="str">
        <f>IFERROR(__xludf.DUMMYFUNCTION("""COMPUTED_VALUE"""),"9031")</f>
        <v>9031</v>
      </c>
      <c r="M1868" s="1" t="str">
        <f>IFERROR(__xludf.DUMMYFUNCTION("""COMPUTED_VALUE"""),"BLISS SITE")</f>
        <v>BLISS SITE</v>
      </c>
      <c r="N1868" s="1"/>
      <c r="O1868" s="1" t="str">
        <f>IFERROR(__xludf.DUMMYFUNCTION("""COMPUTED_VALUE"""),"SUNGAY SOUTH")</f>
        <v>SUNGAY SOUTH</v>
      </c>
      <c r="P1868" s="1" t="str">
        <f>IFERROR(__xludf.DUMMYFUNCTION("""COMPUTED_VALUE"""),"TAGAYTAY")</f>
        <v>TAGAYTAY</v>
      </c>
      <c r="Q1868" s="1" t="str">
        <f>IFERROR(__xludf.DUMMYFUNCTION("""COMPUTED_VALUE"""),"CAVITE")</f>
        <v>CAVITE</v>
      </c>
      <c r="R1868" s="1" t="str">
        <f>IFERROR(__xludf.DUMMYFUNCTION("""COMPUTED_VALUE"""),"FIBR PLAN 1299")</f>
        <v>FIBR PLAN 1299</v>
      </c>
      <c r="S1868" s="1" t="str">
        <f>IFERROR(__xludf.DUMMYFUNCTION("""COMPUTED_VALUE"""),"APPROVED")</f>
        <v>APPROVED</v>
      </c>
      <c r="T1868" s="1" t="str">
        <f>IFERROR(__xludf.DUMMYFUNCTION("""COMPUTED_VALUE"""),"RPR")</f>
        <v>RPR</v>
      </c>
      <c r="U1868" s="1"/>
      <c r="V1868" s="1"/>
      <c r="W1868" s="1"/>
    </row>
    <row r="1869" customHeight="1" spans="1:23">
      <c r="A1869" s="3">
        <f>IFERROR(__xludf.DUMMYFUNCTION("""COMPUTED_VALUE"""),46169)</f>
        <v>46169</v>
      </c>
      <c r="B1869" s="1" t="str">
        <f>IFERROR(__xludf.DUMMYFUNCTION("""COMPUTED_VALUE"""),"OPS WESLY")</f>
        <v>OPS WESLY</v>
      </c>
      <c r="C1869" s="1" t="str">
        <f>IFERROR(__xludf.DUMMYFUNCTION("""COMPUTED_VALUE"""),"LEADSTORE")</f>
        <v>LEADSTORE</v>
      </c>
      <c r="D1869" s="1" t="str">
        <f>IFERROR(__xludf.DUMMYFUNCTION("""COMPUTED_VALUE"""),"JERIC NAVARRO")</f>
        <v>JERIC NAVARRO</v>
      </c>
      <c r="E1869" s="1" t="str">
        <f>IFERROR(__xludf.DUMMYFUNCTION("""COMPUTED_VALUE"""),"PLDT / ONLINE")</f>
        <v>PLDT / ONLINE</v>
      </c>
      <c r="F1869" s="1">
        <f>IFERROR(__xludf.DUMMYFUNCTION("""COMPUTED_VALUE"""),2309749682)</f>
        <v>2309749682</v>
      </c>
      <c r="G1869" s="1">
        <f>IFERROR(__xludf.DUMMYFUNCTION("""COMPUTED_VALUE"""),456255673004)</f>
        <v>456255673004</v>
      </c>
      <c r="H1869" s="1" t="str">
        <f>IFERROR(__xludf.DUMMYFUNCTION("""COMPUTED_VALUE"""),"JOSEFINA HUMARANG CONCEPCION")</f>
        <v>JOSEFINA HUMARANG CONCEPCION</v>
      </c>
      <c r="I1869" s="1">
        <f>IFERROR(__xludf.DUMMYFUNCTION("""COMPUTED_VALUE"""),9952347072)</f>
        <v>9952347072</v>
      </c>
      <c r="J1869" s="1">
        <f>IFERROR(__xludf.DUMMYFUNCTION("""COMPUTED_VALUE"""),9171791473)</f>
        <v>9171791473</v>
      </c>
      <c r="K1869" s="1" t="str">
        <f>IFERROR(__xludf.DUMMYFUNCTION("""COMPUTED_VALUE"""),"josefinaconcepcion522@gmail.com")</f>
        <v>josefinaconcepcion522@gmail.com</v>
      </c>
      <c r="L1869" s="1" t="str">
        <f>IFERROR(__xludf.DUMMYFUNCTION("""COMPUTED_VALUE"""),"9103")</f>
        <v>9103</v>
      </c>
      <c r="M1869" s="1" t="str">
        <f>IFERROR(__xludf.DUMMYFUNCTION("""COMPUTED_VALUE"""),"POOC 1")</f>
        <v>POOC 1</v>
      </c>
      <c r="N1869" s="1"/>
      <c r="O1869" s="1" t="str">
        <f>IFERROR(__xludf.DUMMYFUNCTION("""COMPUTED_VALUE"""),"POOC I")</f>
        <v>POOC I</v>
      </c>
      <c r="P1869" s="1" t="str">
        <f>IFERROR(__xludf.DUMMYFUNCTION("""COMPUTED_VALUE"""),"MENDEZ")</f>
        <v>MENDEZ</v>
      </c>
      <c r="Q1869" s="1" t="str">
        <f>IFERROR(__xludf.DUMMYFUNCTION("""COMPUTED_VALUE"""),"CAVITE")</f>
        <v>CAVITE</v>
      </c>
      <c r="R1869" s="1" t="str">
        <f>IFERROR(__xludf.DUMMYFUNCTION("""COMPUTED_VALUE"""),"FIBR PLAN 2099")</f>
        <v>FIBR PLAN 2099</v>
      </c>
      <c r="S1869" s="1" t="str">
        <f>IFERROR(__xludf.DUMMYFUNCTION("""COMPUTED_VALUE"""),"APPROVED")</f>
        <v>APPROVED</v>
      </c>
      <c r="T1869" s="1" t="str">
        <f>IFERROR(__xludf.DUMMYFUNCTION("""COMPUTED_VALUE"""),"CLOSED")</f>
        <v>CLOSED</v>
      </c>
      <c r="U1869" s="1" t="str">
        <f>IFERROR(__xludf.DUMMYFUNCTION("""COMPUTED_VALUE"""),"POSTED")</f>
        <v>POSTED</v>
      </c>
      <c r="V1869" s="1"/>
      <c r="W1869" s="1"/>
    </row>
    <row r="1870" customHeight="1" spans="1:23">
      <c r="A1870" s="3">
        <f>IFERROR(__xludf.DUMMYFUNCTION("""COMPUTED_VALUE"""),46169)</f>
        <v>46169</v>
      </c>
      <c r="B1870" s="1" t="str">
        <f>IFERROR(__xludf.DUMMYFUNCTION("""COMPUTED_VALUE"""),"IVNO, RAZZEL")</f>
        <v>IVNO, RAZZEL</v>
      </c>
      <c r="C1870" s="1" t="str">
        <f>IFERROR(__xludf.DUMMYFUNCTION("""COMPUTED_VALUE"""),"ORGANIC")</f>
        <v>ORGANIC</v>
      </c>
      <c r="D1870" s="1" t="str">
        <f>IFERROR(__xludf.DUMMYFUNCTION("""COMPUTED_VALUE"""),"REMOLLO LEA")</f>
        <v>REMOLLO LEA</v>
      </c>
      <c r="E1870" s="1" t="str">
        <f>IFERROR(__xludf.DUMMYFUNCTION("""COMPUTED_VALUE"""),"PLDT / H2H")</f>
        <v>PLDT / H2H</v>
      </c>
      <c r="F1870" s="1">
        <f>IFERROR(__xludf.DUMMYFUNCTION("""COMPUTED_VALUE"""),2309750080)</f>
        <v>2309750080</v>
      </c>
      <c r="G1870" s="1">
        <f>IFERROR(__xludf.DUMMYFUNCTION("""COMPUTED_VALUE"""),456259204004)</f>
        <v>456259204004</v>
      </c>
      <c r="H1870" s="1" t="str">
        <f>IFERROR(__xludf.DUMMYFUNCTION("""COMPUTED_VALUE"""),"REXAN MANGILI GANO")</f>
        <v>REXAN MANGILI GANO</v>
      </c>
      <c r="I1870" s="1">
        <f>IFERROR(__xludf.DUMMYFUNCTION("""COMPUTED_VALUE"""),9975364434)</f>
        <v>9975364434</v>
      </c>
      <c r="J1870" s="1">
        <f>IFERROR(__xludf.DUMMYFUNCTION("""COMPUTED_VALUE"""),9491666059)</f>
        <v>9491666059</v>
      </c>
      <c r="K1870" s="1" t="str">
        <f>IFERROR(__xludf.DUMMYFUNCTION("""COMPUTED_VALUE"""),"Rexangano31490@gmail.com")</f>
        <v>Rexangano31490@gmail.com</v>
      </c>
      <c r="L1870" s="1" t="str">
        <f>IFERROR(__xludf.DUMMYFUNCTION("""COMPUTED_VALUE"""),"30")</f>
        <v>30</v>
      </c>
      <c r="M1870" s="1" t="str">
        <f>IFERROR(__xludf.DUMMYFUNCTION("""COMPUTED_VALUE"""),"PUROK 5")</f>
        <v>PUROK 5</v>
      </c>
      <c r="N1870" s="1"/>
      <c r="O1870" s="1" t="str">
        <f>IFERROR(__xludf.DUMMYFUNCTION("""COMPUTED_VALUE"""),"LUMIL")</f>
        <v>LUMIL</v>
      </c>
      <c r="P1870" s="1" t="str">
        <f>IFERROR(__xludf.DUMMYFUNCTION("""COMPUTED_VALUE"""),"SILANG")</f>
        <v>SILANG</v>
      </c>
      <c r="Q1870" s="1" t="str">
        <f>IFERROR(__xludf.DUMMYFUNCTION("""COMPUTED_VALUE"""),"CAVITE")</f>
        <v>CAVITE</v>
      </c>
      <c r="R1870" s="1" t="str">
        <f>IFERROR(__xludf.DUMMYFUNCTION("""COMPUTED_VALUE"""),"FIBR NETFLIX PLAN 1599")</f>
        <v>FIBR NETFLIX PLAN 1599</v>
      </c>
      <c r="S1870" s="1" t="str">
        <f>IFERROR(__xludf.DUMMYFUNCTION("""COMPUTED_VALUE"""),"APPROVED")</f>
        <v>APPROVED</v>
      </c>
      <c r="T1870" s="1" t="str">
        <f>IFERROR(__xludf.DUMMYFUNCTION("""COMPUTED_VALUE"""),"CLOSED")</f>
        <v>CLOSED</v>
      </c>
      <c r="U1870" s="1" t="str">
        <f>IFERROR(__xludf.DUMMYFUNCTION("""COMPUTED_VALUE"""),"POSTED")</f>
        <v>POSTED</v>
      </c>
      <c r="V1870" s="1"/>
      <c r="W1870" s="1"/>
    </row>
    <row r="1871" customHeight="1" spans="1:23">
      <c r="A1871" s="3">
        <f>IFERROR(__xludf.DUMMYFUNCTION("""COMPUTED_VALUE"""),46169)</f>
        <v>46169</v>
      </c>
      <c r="B1871" s="1" t="str">
        <f>IFERROR(__xludf.DUMMYFUNCTION("""COMPUTED_VALUE"""),"REMOLLO, LEA")</f>
        <v>REMOLLO, LEA</v>
      </c>
      <c r="C1871" s="1" t="str">
        <f>IFERROR(__xludf.DUMMYFUNCTION("""COMPUTED_VALUE"""),"FLA")</f>
        <v>FLA</v>
      </c>
      <c r="D1871" s="1" t="str">
        <f>IFERROR(__xludf.DUMMYFUNCTION("""COMPUTED_VALUE"""),"JERIC NAVARRO")</f>
        <v>JERIC NAVARRO</v>
      </c>
      <c r="E1871" s="1" t="str">
        <f>IFERROR(__xludf.DUMMYFUNCTION("""COMPUTED_VALUE"""),"PLDT / H2H")</f>
        <v>PLDT / H2H</v>
      </c>
      <c r="F1871" s="1">
        <f>IFERROR(__xludf.DUMMYFUNCTION("""COMPUTED_VALUE"""),2309750528)</f>
        <v>2309750528</v>
      </c>
      <c r="G1871" s="1">
        <f>IFERROR(__xludf.DUMMYFUNCTION("""COMPUTED_VALUE"""),456255764004)</f>
        <v>456255764004</v>
      </c>
      <c r="H1871" s="1" t="str">
        <f>IFERROR(__xludf.DUMMYFUNCTION("""COMPUTED_VALUE"""),"MARK ADRIAN PANGANIBAN BALINADO")</f>
        <v>MARK ADRIAN PANGANIBAN BALINADO</v>
      </c>
      <c r="I1871" s="1">
        <f>IFERROR(__xludf.DUMMYFUNCTION("""COMPUTED_VALUE"""),9676077989)</f>
        <v>9676077989</v>
      </c>
      <c r="J1871" s="1"/>
      <c r="K1871" s="1" t="str">
        <f>IFERROR(__xludf.DUMMYFUNCTION("""COMPUTED_VALUE"""),"markajbalinado0406@gmail.com")</f>
        <v>markajbalinado0406@gmail.com</v>
      </c>
      <c r="L1871" s="1" t="str">
        <f>IFERROR(__xludf.DUMMYFUNCTION("""COMPUTED_VALUE"""),"166")</f>
        <v>166</v>
      </c>
      <c r="M1871" s="1" t="str">
        <f>IFERROR(__xludf.DUMMYFUNCTION("""COMPUTED_VALUE"""),"P FERMA")</f>
        <v>P FERMA</v>
      </c>
      <c r="N1871" s="1"/>
      <c r="O1871" s="1" t="str">
        <f>IFERROR(__xludf.DUMMYFUNCTION("""COMPUTED_VALUE"""),"ANULING CERCA I")</f>
        <v>ANULING CERCA I</v>
      </c>
      <c r="P1871" s="1" t="str">
        <f>IFERROR(__xludf.DUMMYFUNCTION("""COMPUTED_VALUE"""),"MENDEZ")</f>
        <v>MENDEZ</v>
      </c>
      <c r="Q1871" s="1" t="str">
        <f>IFERROR(__xludf.DUMMYFUNCTION("""COMPUTED_VALUE"""),"CAVITE")</f>
        <v>CAVITE</v>
      </c>
      <c r="R1871" s="1" t="str">
        <f>IFERROR(__xludf.DUMMYFUNCTION("""COMPUTED_VALUE"""),"FIBR UNLI ALL PLAN 1399")</f>
        <v>FIBR UNLI ALL PLAN 1399</v>
      </c>
      <c r="S1871" s="1" t="str">
        <f>IFERROR(__xludf.DUMMYFUNCTION("""COMPUTED_VALUE"""),"APPROVED")</f>
        <v>APPROVED</v>
      </c>
      <c r="T1871" s="1" t="str">
        <f>IFERROR(__xludf.DUMMYFUNCTION("""COMPUTED_VALUE"""),"CLOSED")</f>
        <v>CLOSED</v>
      </c>
      <c r="U1871" s="1" t="str">
        <f>IFERROR(__xludf.DUMMYFUNCTION("""COMPUTED_VALUE"""),"POSTED")</f>
        <v>POSTED</v>
      </c>
      <c r="V1871" s="1"/>
      <c r="W1871" s="1"/>
    </row>
    <row r="1872" customHeight="1" spans="1:23">
      <c r="A1872" s="3">
        <f>IFERROR(__xludf.DUMMYFUNCTION("""COMPUTED_VALUE"""),46169)</f>
        <v>46169</v>
      </c>
      <c r="B1872" s="1" t="str">
        <f>IFERROR(__xludf.DUMMYFUNCTION("""COMPUTED_VALUE"""),"DELA ROSA, JENNELYN")</f>
        <v>DELA ROSA, JENNELYN</v>
      </c>
      <c r="C1872" s="1" t="str">
        <f>IFERROR(__xludf.DUMMYFUNCTION("""COMPUTED_VALUE"""),"ORGANIC")</f>
        <v>ORGANIC</v>
      </c>
      <c r="D1872" s="1" t="str">
        <f>IFERROR(__xludf.DUMMYFUNCTION("""COMPUTED_VALUE"""),"ALOS, CHARLS")</f>
        <v>ALOS, CHARLS</v>
      </c>
      <c r="E1872" s="1" t="str">
        <f>IFERROR(__xludf.DUMMYFUNCTION("""COMPUTED_VALUE"""),"PLDT / ONLINE")</f>
        <v>PLDT / ONLINE</v>
      </c>
      <c r="F1872" s="1">
        <f>IFERROR(__xludf.DUMMYFUNCTION("""COMPUTED_VALUE"""),2309750969)</f>
        <v>2309750969</v>
      </c>
      <c r="G1872" s="1"/>
      <c r="H1872" s="1" t="str">
        <f>IFERROR(__xludf.DUMMYFUNCTION("""COMPUTED_VALUE"""),"RIZALDY MALIKSI BAUTISTA")</f>
        <v>RIZALDY MALIKSI BAUTISTA</v>
      </c>
      <c r="I1872" s="1">
        <f>IFERROR(__xludf.DUMMYFUNCTION("""COMPUTED_VALUE"""),9484024836)</f>
        <v>9484024836</v>
      </c>
      <c r="J1872" s="1">
        <f>IFERROR(__xludf.DUMMYFUNCTION("""COMPUTED_VALUE"""),9662564559)</f>
        <v>9662564559</v>
      </c>
      <c r="K1872" s="1" t="str">
        <f>IFERROR(__xludf.DUMMYFUNCTION("""COMPUTED_VALUE"""),"mirandamarkjhun@gmail.com")</f>
        <v>mirandamarkjhun@gmail.com</v>
      </c>
      <c r="L1872" s="1" t="str">
        <f>IFERROR(__xludf.DUMMYFUNCTION("""COMPUTED_VALUE"""),"075-BL-020")</f>
        <v>075-BL-020</v>
      </c>
      <c r="M1872" s="1" t="str">
        <f>IFERROR(__xludf.DUMMYFUNCTION("""COMPUTED_VALUE"""),"IPIL 2")</f>
        <v>IPIL 2</v>
      </c>
      <c r="N1872" s="1"/>
      <c r="O1872" s="1" t="str">
        <f>IFERROR(__xludf.DUMMYFUNCTION("""COMPUTED_VALUE"""),"IPIL II")</f>
        <v>IPIL II</v>
      </c>
      <c r="P1872" s="1" t="str">
        <f>IFERROR(__xludf.DUMMYFUNCTION("""COMPUTED_VALUE"""),"SILANG")</f>
        <v>SILANG</v>
      </c>
      <c r="Q1872" s="1" t="str">
        <f>IFERROR(__xludf.DUMMYFUNCTION("""COMPUTED_VALUE"""),"CAVITE")</f>
        <v>CAVITE</v>
      </c>
      <c r="R1872" s="1" t="str">
        <f>IFERROR(__xludf.DUMMYFUNCTION("""COMPUTED_VALUE"""),"FIBR UNLI ALL PLAN 1399")</f>
        <v>FIBR UNLI ALL PLAN 1399</v>
      </c>
      <c r="S1872" s="1" t="str">
        <f>IFERROR(__xludf.DUMMYFUNCTION("""COMPUTED_VALUE"""),"APPROVED")</f>
        <v>APPROVED</v>
      </c>
      <c r="T1872" s="1" t="str">
        <f>IFERROR(__xludf.DUMMYFUNCTION("""COMPUTED_VALUE"""),"CANCELLED")</f>
        <v>CANCELLED</v>
      </c>
      <c r="U1872" s="1"/>
      <c r="V1872" s="1"/>
      <c r="W1872" s="1"/>
    </row>
    <row r="1873" customHeight="1" spans="1:23">
      <c r="A1873" s="3">
        <f>IFERROR(__xludf.DUMMYFUNCTION("""COMPUTED_VALUE"""),46169)</f>
        <v>46169</v>
      </c>
      <c r="B1873" s="1" t="str">
        <f>IFERROR(__xludf.DUMMYFUNCTION("""COMPUTED_VALUE"""),"FRANCISCO , ROSELYN")</f>
        <v>FRANCISCO , ROSELYN</v>
      </c>
      <c r="C1873" s="1" t="str">
        <f>IFERROR(__xludf.DUMMYFUNCTION("""COMPUTED_VALUE"""),"ORGANIC")</f>
        <v>ORGANIC</v>
      </c>
      <c r="D1873" s="1" t="str">
        <f>IFERROR(__xludf.DUMMYFUNCTION("""COMPUTED_VALUE"""),"ALOS, CHARLS")</f>
        <v>ALOS, CHARLS</v>
      </c>
      <c r="E1873" s="1" t="str">
        <f>IFERROR(__xludf.DUMMYFUNCTION("""COMPUTED_VALUE"""),"PLDT / H2H")</f>
        <v>PLDT / H2H</v>
      </c>
      <c r="F1873" s="1">
        <f>IFERROR(__xludf.DUMMYFUNCTION("""COMPUTED_VALUE"""),2309751578)</f>
        <v>2309751578</v>
      </c>
      <c r="G1873" s="1">
        <f>IFERROR(__xludf.DUMMYFUNCTION("""COMPUTED_VALUE"""),456258108004)</f>
        <v>456258108004</v>
      </c>
      <c r="H1873" s="1" t="str">
        <f>IFERROR(__xludf.DUMMYFUNCTION("""COMPUTED_VALUE"""),"MA VERONICA FERNANDEZ APA")</f>
        <v>MA VERONICA FERNANDEZ APA</v>
      </c>
      <c r="I1873" s="1">
        <f>IFERROR(__xludf.DUMMYFUNCTION("""COMPUTED_VALUE"""),9511234885)</f>
        <v>9511234885</v>
      </c>
      <c r="J1873" s="1">
        <f>IFERROR(__xludf.DUMMYFUNCTION("""COMPUTED_VALUE"""),9387170696)</f>
        <v>9387170696</v>
      </c>
      <c r="K1873" s="1" t="str">
        <f>IFERROR(__xludf.DUMMYFUNCTION("""COMPUTED_VALUE"""),"APAMAVERONICA@GMAIL.COM")</f>
        <v>APAMAVERONICA@GMAIL.COM</v>
      </c>
      <c r="L1873" s="1" t="str">
        <f>IFERROR(__xludf.DUMMYFUNCTION("""COMPUTED_VALUE"""),"931C")</f>
        <v>931C</v>
      </c>
      <c r="M1873" s="1" t="str">
        <f>IFERROR(__xludf.DUMMYFUNCTION("""COMPUTED_VALUE"""),"LLAMADO")</f>
        <v>LLAMADO</v>
      </c>
      <c r="N1873" s="1"/>
      <c r="O1873" s="1" t="str">
        <f>IFERROR(__xludf.DUMMYFUNCTION("""COMPUTED_VALUE"""),"ASIS III")</f>
        <v>ASIS III</v>
      </c>
      <c r="P1873" s="1" t="str">
        <f>IFERROR(__xludf.DUMMYFUNCTION("""COMPUTED_VALUE"""),"MENDEZ")</f>
        <v>MENDEZ</v>
      </c>
      <c r="Q1873" s="1" t="str">
        <f>IFERROR(__xludf.DUMMYFUNCTION("""COMPUTED_VALUE"""),"CAVITE")</f>
        <v>CAVITE</v>
      </c>
      <c r="R1873" s="1" t="str">
        <f>IFERROR(__xludf.DUMMYFUNCTION("""COMPUTED_VALUE"""),"FIBR UNLI ALL PLAN 999")</f>
        <v>FIBR UNLI ALL PLAN 999</v>
      </c>
      <c r="S1873" s="1" t="str">
        <f>IFERROR(__xludf.DUMMYFUNCTION("""COMPUTED_VALUE"""),"APPROVED")</f>
        <v>APPROVED</v>
      </c>
      <c r="T1873" s="1" t="str">
        <f>IFERROR(__xludf.DUMMYFUNCTION("""COMPUTED_VALUE"""),"CLOSED")</f>
        <v>CLOSED</v>
      </c>
      <c r="U1873" s="1" t="str">
        <f>IFERROR(__xludf.DUMMYFUNCTION("""COMPUTED_VALUE"""),"POSTED")</f>
        <v>POSTED</v>
      </c>
      <c r="V1873" s="1"/>
      <c r="W1873" s="1"/>
    </row>
    <row r="1874" customHeight="1" spans="1:23">
      <c r="A1874" s="3">
        <f>IFERROR(__xludf.DUMMYFUNCTION("""COMPUTED_VALUE"""),46169)</f>
        <v>46169</v>
      </c>
      <c r="B1874" s="1" t="str">
        <f>IFERROR(__xludf.DUMMYFUNCTION("""COMPUTED_VALUE"""),"FERNANDEZ JERIC")</f>
        <v>FERNANDEZ JERIC</v>
      </c>
      <c r="C1874" s="1" t="str">
        <f>IFERROR(__xludf.DUMMYFUNCTION("""COMPUTED_VALUE"""),"ORGANIC")</f>
        <v>ORGANIC</v>
      </c>
      <c r="D1874" s="1" t="str">
        <f>IFERROR(__xludf.DUMMYFUNCTION("""COMPUTED_VALUE"""),"ALOS, CHARLS")</f>
        <v>ALOS, CHARLS</v>
      </c>
      <c r="E1874" s="1" t="str">
        <f>IFERROR(__xludf.DUMMYFUNCTION("""COMPUTED_VALUE"""),"PLDT / ONLINE")</f>
        <v>PLDT / ONLINE</v>
      </c>
      <c r="F1874" s="1">
        <f>IFERROR(__xludf.DUMMYFUNCTION("""COMPUTED_VALUE"""),2309752173)</f>
        <v>2309752173</v>
      </c>
      <c r="G1874" s="1">
        <f>IFERROR(__xludf.DUMMYFUNCTION("""COMPUTED_VALUE"""),456257541004)</f>
        <v>456257541004</v>
      </c>
      <c r="H1874" s="1" t="str">
        <f>IFERROR(__xludf.DUMMYFUNCTION("""COMPUTED_VALUE"""),"DONITA MARRY ALCONES GARCIA")</f>
        <v>DONITA MARRY ALCONES GARCIA</v>
      </c>
      <c r="I1874" s="1">
        <f>IFERROR(__xludf.DUMMYFUNCTION("""COMPUTED_VALUE"""),9606980367)</f>
        <v>9606980367</v>
      </c>
      <c r="J1874" s="1">
        <f>IFERROR(__xludf.DUMMYFUNCTION("""COMPUTED_VALUE"""),9603136412)</f>
        <v>9603136412</v>
      </c>
      <c r="K1874" s="1" t="str">
        <f>IFERROR(__xludf.DUMMYFUNCTION("""COMPUTED_VALUE"""),"graciamarie109@gmail.com")</f>
        <v>graciamarie109@gmail.com</v>
      </c>
      <c r="L1874" s="1" t="str">
        <f>IFERROR(__xludf.DUMMYFUNCTION("""COMPUTED_VALUE"""),"83")</f>
        <v>83</v>
      </c>
      <c r="M1874" s="1" t="str">
        <f>IFERROR(__xludf.DUMMYFUNCTION("""COMPUTED_VALUE"""),"PAHILAHAN")</f>
        <v>PAHILAHAN</v>
      </c>
      <c r="N1874" s="1" t="str">
        <f>IFERROR(__xludf.DUMMYFUNCTION("""COMPUTED_VALUE"""),"WHIITE GRAY APT")</f>
        <v>WHIITE GRAY APT</v>
      </c>
      <c r="O1874" s="1" t="str">
        <f>IFERROR(__xludf.DUMMYFUNCTION("""COMPUTED_VALUE"""),"TAYWANAK ILAYA")</f>
        <v>TAYWANAK ILAYA</v>
      </c>
      <c r="P1874" s="1" t="str">
        <f>IFERROR(__xludf.DUMMYFUNCTION("""COMPUTED_VALUE"""),"ALFONSO")</f>
        <v>ALFONSO</v>
      </c>
      <c r="Q1874" s="1" t="str">
        <f>IFERROR(__xludf.DUMMYFUNCTION("""COMPUTED_VALUE"""),"CAVITE")</f>
        <v>CAVITE</v>
      </c>
      <c r="R1874" s="1" t="str">
        <f>IFERROR(__xludf.DUMMYFUNCTION("""COMPUTED_VALUE"""),"FIBR UNLI ALL PLAN 1399")</f>
        <v>FIBR UNLI ALL PLAN 1399</v>
      </c>
      <c r="S1874" s="1" t="str">
        <f>IFERROR(__xludf.DUMMYFUNCTION("""COMPUTED_VALUE"""),"APPROVED")</f>
        <v>APPROVED</v>
      </c>
      <c r="T1874" s="1" t="str">
        <f>IFERROR(__xludf.DUMMYFUNCTION("""COMPUTED_VALUE"""),"AFD")</f>
        <v>AFD</v>
      </c>
      <c r="U1874" s="1"/>
      <c r="V1874" s="1"/>
      <c r="W1874" s="1"/>
    </row>
    <row r="1875" customHeight="1" spans="1:23">
      <c r="A1875" s="3">
        <f>IFERROR(__xludf.DUMMYFUNCTION("""COMPUTED_VALUE"""),46169)</f>
        <v>46169</v>
      </c>
      <c r="B1875" s="1" t="str">
        <f>IFERROR(__xludf.DUMMYFUNCTION("""COMPUTED_VALUE"""),"CASTILLEJOS, ARREL")</f>
        <v>CASTILLEJOS, ARREL</v>
      </c>
      <c r="C1875" s="1" t="str">
        <f>IFERROR(__xludf.DUMMYFUNCTION("""COMPUTED_VALUE"""),"ORGANIC")</f>
        <v>ORGANIC</v>
      </c>
      <c r="D1875" s="1" t="str">
        <f>IFERROR(__xludf.DUMMYFUNCTION("""COMPUTED_VALUE"""),"REMOLLO LEA")</f>
        <v>REMOLLO LEA</v>
      </c>
      <c r="E1875" s="1" t="str">
        <f>IFERROR(__xludf.DUMMYFUNCTION("""COMPUTED_VALUE"""),"PLDT / ONLINE")</f>
        <v>PLDT / ONLINE</v>
      </c>
      <c r="F1875" s="1">
        <f>IFERROR(__xludf.DUMMYFUNCTION("""COMPUTED_VALUE"""),2309753300)</f>
        <v>2309753300</v>
      </c>
      <c r="G1875" s="1">
        <f>IFERROR(__xludf.DUMMYFUNCTION("""COMPUTED_VALUE"""),456263671004)</f>
        <v>456263671004</v>
      </c>
      <c r="H1875" s="1" t="str">
        <f>IFERROR(__xludf.DUMMYFUNCTION("""COMPUTED_VALUE"""),"JOSELYN AGUSAN BAARDE")</f>
        <v>JOSELYN AGUSAN BAARDE</v>
      </c>
      <c r="I1875" s="1">
        <f>IFERROR(__xludf.DUMMYFUNCTION("""COMPUTED_VALUE"""),9216597925)</f>
        <v>9216597925</v>
      </c>
      <c r="J1875" s="1"/>
      <c r="K1875" s="1" t="str">
        <f>IFERROR(__xludf.DUMMYFUNCTION("""COMPUTED_VALUE"""),"melchormalano@gmail.com")</f>
        <v>melchormalano@gmail.com</v>
      </c>
      <c r="L1875" s="1" t="str">
        <f>IFERROR(__xludf.DUMMYFUNCTION("""COMPUTED_VALUE"""),"020-BL-010")</f>
        <v>020-BL-010</v>
      </c>
      <c r="M1875" s="1" t="str">
        <f>IFERROR(__xludf.DUMMYFUNCTION("""COMPUTED_VALUE"""),"NICOLASA VIRATA")</f>
        <v>NICOLASA VIRATA</v>
      </c>
      <c r="N1875" s="1"/>
      <c r="O1875" s="1" t="str">
        <f>IFERROR(__xludf.DUMMYFUNCTION("""COMPUTED_VALUE"""),"NICOLASA VIRATA (SAN JOSE)")</f>
        <v>NICOLASA VIRATA (SAN JOSE)</v>
      </c>
      <c r="P1875" s="1" t="str">
        <f>IFERROR(__xludf.DUMMYFUNCTION("""COMPUTED_VALUE"""),"GEN MARIANO ALVAREZ")</f>
        <v>GEN MARIANO ALVAREZ</v>
      </c>
      <c r="Q1875" s="1" t="str">
        <f>IFERROR(__xludf.DUMMYFUNCTION("""COMPUTED_VALUE"""),"CAVITE")</f>
        <v>CAVITE</v>
      </c>
      <c r="R1875" s="1" t="str">
        <f>IFERROR(__xludf.DUMMYFUNCTION("""COMPUTED_VALUE"""),"FIBR PLAN 1299")</f>
        <v>FIBR PLAN 1299</v>
      </c>
      <c r="S1875" s="1" t="str">
        <f>IFERROR(__xludf.DUMMYFUNCTION("""COMPUTED_VALUE"""),"APPROVED")</f>
        <v>APPROVED</v>
      </c>
      <c r="T1875" s="1" t="str">
        <f>IFERROR(__xludf.DUMMYFUNCTION("""COMPUTED_VALUE"""),"RPR")</f>
        <v>RPR</v>
      </c>
      <c r="U1875" s="1"/>
      <c r="V1875" s="1"/>
      <c r="W1875" s="1"/>
    </row>
    <row r="1876" customHeight="1" spans="1:23">
      <c r="A1876" s="3">
        <f>IFERROR(__xludf.DUMMYFUNCTION("""COMPUTED_VALUE"""),46170)</f>
        <v>46170</v>
      </c>
      <c r="B1876" s="1" t="str">
        <f>IFERROR(__xludf.DUMMYFUNCTION("""COMPUTED_VALUE"""),"DE VERA, MARIVIC")</f>
        <v>DE VERA, MARIVIC</v>
      </c>
      <c r="C1876" s="1" t="str">
        <f>IFERROR(__xludf.DUMMYFUNCTION("""COMPUTED_VALUE"""),"ORGANIC")</f>
        <v>ORGANIC</v>
      </c>
      <c r="D1876" s="1" t="str">
        <f>IFERROR(__xludf.DUMMYFUNCTION("""COMPUTED_VALUE"""),"REMOLLO LEA")</f>
        <v>REMOLLO LEA</v>
      </c>
      <c r="E1876" s="1" t="str">
        <f>IFERROR(__xludf.DUMMYFUNCTION("""COMPUTED_VALUE"""),"PLDT / H2H")</f>
        <v>PLDT / H2H</v>
      </c>
      <c r="F1876" s="1">
        <f>IFERROR(__xludf.DUMMYFUNCTION("""COMPUTED_VALUE"""),2309763742)</f>
        <v>2309763742</v>
      </c>
      <c r="G1876" s="1">
        <f>IFERROR(__xludf.DUMMYFUNCTION("""COMPUTED_VALUE"""),456335861004)</f>
        <v>456335861004</v>
      </c>
      <c r="H1876" s="1" t="str">
        <f>IFERROR(__xludf.DUMMYFUNCTION("""COMPUTED_VALUE"""),"ADRIAN BALISONG ASCANO")</f>
        <v>ADRIAN BALISONG ASCANO</v>
      </c>
      <c r="I1876" s="1">
        <f>IFERROR(__xludf.DUMMYFUNCTION("""COMPUTED_VALUE"""),9702202320)</f>
        <v>9702202320</v>
      </c>
      <c r="J1876" s="1"/>
      <c r="K1876" s="1" t="str">
        <f>IFERROR(__xludf.DUMMYFUNCTION("""COMPUTED_VALUE"""),"ascanoadrian0@gmail.com")</f>
        <v>ascanoadrian0@gmail.com</v>
      </c>
      <c r="L1876" s="1" t="str">
        <f>IFERROR(__xludf.DUMMYFUNCTION("""COMPUTED_VALUE"""),"112")</f>
        <v>112</v>
      </c>
      <c r="M1876" s="1" t="str">
        <f>IFERROR(__xludf.DUMMYFUNCTION("""COMPUTED_VALUE"""),"PUROK 5")</f>
        <v>PUROK 5</v>
      </c>
      <c r="N1876" s="1" t="str">
        <f>IFERROR(__xludf.DUMMYFUNCTION("""COMPUTED_VALUE"""),"SITIO PALIGAWAN")</f>
        <v>SITIO PALIGAWAN</v>
      </c>
      <c r="O1876" s="1" t="str">
        <f>IFERROR(__xludf.DUMMYFUNCTION("""COMPUTED_VALUE"""),"LUMIL")</f>
        <v>LUMIL</v>
      </c>
      <c r="P1876" s="1" t="str">
        <f>IFERROR(__xludf.DUMMYFUNCTION("""COMPUTED_VALUE"""),"SILANG")</f>
        <v>SILANG</v>
      </c>
      <c r="Q1876" s="1" t="str">
        <f>IFERROR(__xludf.DUMMYFUNCTION("""COMPUTED_VALUE"""),"CAVITE")</f>
        <v>CAVITE</v>
      </c>
      <c r="R1876" s="1" t="str">
        <f>IFERROR(__xludf.DUMMYFUNCTION("""COMPUTED_VALUE"""),"FIBR UNLI ALL PLAN 1399")</f>
        <v>FIBR UNLI ALL PLAN 1399</v>
      </c>
      <c r="S1876" s="1" t="str">
        <f>IFERROR(__xludf.DUMMYFUNCTION("""COMPUTED_VALUE"""),"APPROVED")</f>
        <v>APPROVED</v>
      </c>
      <c r="T1876" s="1" t="str">
        <f>IFERROR(__xludf.DUMMYFUNCTION("""COMPUTED_VALUE"""),"CLOSED")</f>
        <v>CLOSED</v>
      </c>
      <c r="U1876" s="1" t="str">
        <f>IFERROR(__xludf.DUMMYFUNCTION("""COMPUTED_VALUE"""),"POSTED")</f>
        <v>POSTED</v>
      </c>
      <c r="V1876" s="1"/>
      <c r="W1876" s="1"/>
    </row>
    <row r="1877" customHeight="1" spans="1:23">
      <c r="A1877" s="3">
        <f>IFERROR(__xludf.DUMMYFUNCTION("""COMPUTED_VALUE"""),46170)</f>
        <v>46170</v>
      </c>
      <c r="B1877" s="1" t="str">
        <f>IFERROR(__xludf.DUMMYFUNCTION("""COMPUTED_VALUE"""),"FRANCISCO , ROSELYN")</f>
        <v>FRANCISCO , ROSELYN</v>
      </c>
      <c r="C1877" s="1" t="str">
        <f>IFERROR(__xludf.DUMMYFUNCTION("""COMPUTED_VALUE"""),"ORGANIC")</f>
        <v>ORGANIC</v>
      </c>
      <c r="D1877" s="1" t="str">
        <f>IFERROR(__xludf.DUMMYFUNCTION("""COMPUTED_VALUE"""),"ALOS, CHARLS")</f>
        <v>ALOS, CHARLS</v>
      </c>
      <c r="E1877" s="1" t="str">
        <f>IFERROR(__xludf.DUMMYFUNCTION("""COMPUTED_VALUE"""),"PLDT / ONLINE")</f>
        <v>PLDT / ONLINE</v>
      </c>
      <c r="F1877" s="1">
        <f>IFERROR(__xludf.DUMMYFUNCTION("""COMPUTED_VALUE"""),2309764073)</f>
        <v>2309764073</v>
      </c>
      <c r="G1877" s="1">
        <f>IFERROR(__xludf.DUMMYFUNCTION("""COMPUTED_VALUE"""),456336763004)</f>
        <v>456336763004</v>
      </c>
      <c r="H1877" s="1" t="str">
        <f>IFERROR(__xludf.DUMMYFUNCTION("""COMPUTED_VALUE"""),"DANILO YABUT FRANCISCO")</f>
        <v>DANILO YABUT FRANCISCO</v>
      </c>
      <c r="I1877" s="1">
        <f>IFERROR(__xludf.DUMMYFUNCTION("""COMPUTED_VALUE"""),9367152725)</f>
        <v>9367152725</v>
      </c>
      <c r="J1877" s="1">
        <f>IFERROR(__xludf.DUMMYFUNCTION("""COMPUTED_VALUE"""),9461711047)</f>
        <v>9461711047</v>
      </c>
      <c r="K1877" s="1" t="str">
        <f>IFERROR(__xludf.DUMMYFUNCTION("""COMPUTED_VALUE"""),"danilofrancisco180@gmail.com")</f>
        <v>danilofrancisco180@gmail.com</v>
      </c>
      <c r="L1877" s="1" t="str">
        <f>IFERROR(__xludf.DUMMYFUNCTION("""COMPUTED_VALUE"""),"195")</f>
        <v>195</v>
      </c>
      <c r="M1877" s="1" t="str">
        <f>IFERROR(__xludf.DUMMYFUNCTION("""COMPUTED_VALUE"""),"MITRO GATE")</f>
        <v>MITRO GATE</v>
      </c>
      <c r="N1877" s="1"/>
      <c r="O1877" s="1" t="str">
        <f>IFERROR(__xludf.DUMMYFUNCTION("""COMPUTED_VALUE"""),"TIBIG")</f>
        <v>TIBIG</v>
      </c>
      <c r="P1877" s="1" t="str">
        <f>IFERROR(__xludf.DUMMYFUNCTION("""COMPUTED_VALUE"""),"SILANG")</f>
        <v>SILANG</v>
      </c>
      <c r="Q1877" s="1" t="str">
        <f>IFERROR(__xludf.DUMMYFUNCTION("""COMPUTED_VALUE"""),"CAVITE")</f>
        <v>CAVITE</v>
      </c>
      <c r="R1877" s="1" t="str">
        <f>IFERROR(__xludf.DUMMYFUNCTION("""COMPUTED_VALUE"""),"FIBR UNLI ALL PLAN 999")</f>
        <v>FIBR UNLI ALL PLAN 999</v>
      </c>
      <c r="S1877" s="1" t="str">
        <f>IFERROR(__xludf.DUMMYFUNCTION("""COMPUTED_VALUE"""),"APPROVED")</f>
        <v>APPROVED</v>
      </c>
      <c r="T1877" s="1" t="str">
        <f>IFERROR(__xludf.DUMMYFUNCTION("""COMPUTED_VALUE"""),"CLOSED")</f>
        <v>CLOSED</v>
      </c>
      <c r="U1877" s="1" t="str">
        <f>IFERROR(__xludf.DUMMYFUNCTION("""COMPUTED_VALUE"""),"POSTED")</f>
        <v>POSTED</v>
      </c>
      <c r="V1877" s="1"/>
      <c r="W1877" s="1"/>
    </row>
    <row r="1878" customHeight="1" spans="1:23">
      <c r="A1878" s="3">
        <f>IFERROR(__xludf.DUMMYFUNCTION("""COMPUTED_VALUE"""),46170)</f>
        <v>46170</v>
      </c>
      <c r="B1878" s="1" t="str">
        <f>IFERROR(__xludf.DUMMYFUNCTION("""COMPUTED_VALUE"""),"ESCARCHA, MA ALMA  ESCOTO")</f>
        <v>ESCARCHA, MA ALMA  ESCOTO</v>
      </c>
      <c r="C1878" s="1" t="str">
        <f>IFERROR(__xludf.DUMMYFUNCTION("""COMPUTED_VALUE"""),"ORGANIC")</f>
        <v>ORGANIC</v>
      </c>
      <c r="D1878" s="1" t="str">
        <f>IFERROR(__xludf.DUMMYFUNCTION("""COMPUTED_VALUE"""),"ALINGARO, CINDY")</f>
        <v>ALINGARO, CINDY</v>
      </c>
      <c r="E1878" s="1" t="str">
        <f>IFERROR(__xludf.DUMMYFUNCTION("""COMPUTED_VALUE"""),"PLDT / ONLINE")</f>
        <v>PLDT / ONLINE</v>
      </c>
      <c r="F1878" s="1">
        <f>IFERROR(__xludf.DUMMYFUNCTION("""COMPUTED_VALUE"""),2309766092)</f>
        <v>2309766092</v>
      </c>
      <c r="G1878" s="1">
        <f>IFERROR(__xludf.DUMMYFUNCTION("""COMPUTED_VALUE"""),456349346004)</f>
        <v>456349346004</v>
      </c>
      <c r="H1878" s="1" t="str">
        <f>IFERROR(__xludf.DUMMYFUNCTION("""COMPUTED_VALUE"""),"ANGELITO NONE TUGADE")</f>
        <v>ANGELITO NONE TUGADE</v>
      </c>
      <c r="I1878" s="1">
        <f>IFERROR(__xludf.DUMMYFUNCTION("""COMPUTED_VALUE"""),9066853501)</f>
        <v>9066853501</v>
      </c>
      <c r="J1878" s="1">
        <f>IFERROR(__xludf.DUMMYFUNCTION("""COMPUTED_VALUE"""),9674392604)</f>
        <v>9674392604</v>
      </c>
      <c r="K1878" s="1" t="str">
        <f>IFERROR(__xludf.DUMMYFUNCTION("""COMPUTED_VALUE"""),"angeliotugade@gmail.com")</f>
        <v>angeliotugade@gmail.com</v>
      </c>
      <c r="L1878" s="1" t="str">
        <f>IFERROR(__xludf.DUMMYFUNCTION("""COMPUTED_VALUE"""),"9034")</f>
        <v>9034</v>
      </c>
      <c r="M1878" s="1" t="str">
        <f>IFERROR(__xludf.DUMMYFUNCTION("""COMPUTED_VALUE"""),"BLISS SITE")</f>
        <v>BLISS SITE</v>
      </c>
      <c r="N1878" s="1"/>
      <c r="O1878" s="1" t="str">
        <f>IFERROR(__xludf.DUMMYFUNCTION("""COMPUTED_VALUE"""),"SUNGAY SOUTH")</f>
        <v>SUNGAY SOUTH</v>
      </c>
      <c r="P1878" s="1" t="str">
        <f>IFERROR(__xludf.DUMMYFUNCTION("""COMPUTED_VALUE"""),"TAGAYTAY")</f>
        <v>TAGAYTAY</v>
      </c>
      <c r="Q1878" s="1" t="str">
        <f>IFERROR(__xludf.DUMMYFUNCTION("""COMPUTED_VALUE"""),"CAVITE")</f>
        <v>CAVITE</v>
      </c>
      <c r="R1878" s="1" t="str">
        <f>IFERROR(__xludf.DUMMYFUNCTION("""COMPUTED_VALUE"""),"FIBR PLAN 1299")</f>
        <v>FIBR PLAN 1299</v>
      </c>
      <c r="S1878" s="1" t="str">
        <f>IFERROR(__xludf.DUMMYFUNCTION("""COMPUTED_VALUE"""),"APPROVED")</f>
        <v>APPROVED</v>
      </c>
      <c r="T1878" s="1" t="str">
        <f>IFERROR(__xludf.DUMMYFUNCTION("""COMPUTED_VALUE"""),"CANCELLED")</f>
        <v>CANCELLED</v>
      </c>
      <c r="U1878" s="1"/>
      <c r="V1878" s="1"/>
      <c r="W1878" s="1"/>
    </row>
    <row r="1879" customHeight="1" spans="1:23">
      <c r="A1879" s="3">
        <f>IFERROR(__xludf.DUMMYFUNCTION("""COMPUTED_VALUE"""),46170)</f>
        <v>46170</v>
      </c>
      <c r="B1879" s="1" t="str">
        <f>IFERROR(__xludf.DUMMYFUNCTION("""COMPUTED_VALUE"""),"ESCARCHA, MA ALMA  ESCOTO")</f>
        <v>ESCARCHA, MA ALMA  ESCOTO</v>
      </c>
      <c r="C1879" s="1" t="str">
        <f>IFERROR(__xludf.DUMMYFUNCTION("""COMPUTED_VALUE"""),"ORGANIC")</f>
        <v>ORGANIC</v>
      </c>
      <c r="D1879" s="1" t="str">
        <f>IFERROR(__xludf.DUMMYFUNCTION("""COMPUTED_VALUE"""),"ALINGARO, CINDY")</f>
        <v>ALINGARO, CINDY</v>
      </c>
      <c r="E1879" s="1" t="str">
        <f>IFERROR(__xludf.DUMMYFUNCTION("""COMPUTED_VALUE"""),"PLDT / ONLINE")</f>
        <v>PLDT / ONLINE</v>
      </c>
      <c r="F1879" s="1">
        <f>IFERROR(__xludf.DUMMYFUNCTION("""COMPUTED_VALUE"""),2309765414)</f>
        <v>2309765414</v>
      </c>
      <c r="G1879" s="1"/>
      <c r="H1879" s="1" t="str">
        <f>IFERROR(__xludf.DUMMYFUNCTION("""COMPUTED_VALUE"""),"MA. THERESA SIGUENZA HANDIG")</f>
        <v>MA. THERESA SIGUENZA HANDIG</v>
      </c>
      <c r="I1879" s="1">
        <f>IFERROR(__xludf.DUMMYFUNCTION("""COMPUTED_VALUE"""),9998966044)</f>
        <v>9998966044</v>
      </c>
      <c r="J1879" s="1">
        <f>IFERROR(__xludf.DUMMYFUNCTION("""COMPUTED_VALUE"""),9914878046)</f>
        <v>9914878046</v>
      </c>
      <c r="K1879" s="1" t="str">
        <f>IFERROR(__xludf.DUMMYFUNCTION("""COMPUTED_VALUE"""),"matheresahandig@gmail.com")</f>
        <v>matheresahandig@gmail.com</v>
      </c>
      <c r="L1879" s="1" t="str">
        <f>IFERROR(__xludf.DUMMYFUNCTION("""COMPUTED_VALUE"""),"BLK 1 LOT 30")</f>
        <v>BLK 1 LOT 30</v>
      </c>
      <c r="M1879" s="1" t="str">
        <f>IFERROR(__xludf.DUMMYFUNCTION("""COMPUTED_VALUE"""),"ARIZONA")</f>
        <v>ARIZONA</v>
      </c>
      <c r="N1879" s="1" t="str">
        <f>IFERROR(__xludf.DUMMYFUNCTION("""COMPUTED_VALUE"""),"CITY VIEW")</f>
        <v>CITY VIEW</v>
      </c>
      <c r="O1879" s="1" t="str">
        <f>IFERROR(__xludf.DUMMYFUNCTION("""COMPUTED_VALUE"""),"SAMPALOC III")</f>
        <v>SAMPALOC III</v>
      </c>
      <c r="P1879" s="1" t="str">
        <f>IFERROR(__xludf.DUMMYFUNCTION("""COMPUTED_VALUE"""),"DASMARINAS")</f>
        <v>DASMARINAS</v>
      </c>
      <c r="Q1879" s="1" t="str">
        <f>IFERROR(__xludf.DUMMYFUNCTION("""COMPUTED_VALUE"""),"CAVITE")</f>
        <v>CAVITE</v>
      </c>
      <c r="R1879" s="1" t="str">
        <f>IFERROR(__xludf.DUMMYFUNCTION("""COMPUTED_VALUE"""),"FIBR PLAN 1299")</f>
        <v>FIBR PLAN 1299</v>
      </c>
      <c r="S1879" s="1" t="str">
        <f>IFERROR(__xludf.DUMMYFUNCTION("""COMPUTED_VALUE"""),"APPROVED")</f>
        <v>APPROVED</v>
      </c>
      <c r="T1879" s="1" t="str">
        <f>IFERROR(__xludf.DUMMYFUNCTION("""COMPUTED_VALUE"""),"CANCELLED")</f>
        <v>CANCELLED</v>
      </c>
      <c r="U1879" s="1"/>
      <c r="V1879" s="1"/>
      <c r="W1879" s="1"/>
    </row>
    <row r="1880" customHeight="1" spans="1:23">
      <c r="A1880" s="3">
        <f>IFERROR(__xludf.DUMMYFUNCTION("""COMPUTED_VALUE"""),46170)</f>
        <v>46170</v>
      </c>
      <c r="B1880" s="1" t="str">
        <f>IFERROR(__xludf.DUMMYFUNCTION("""COMPUTED_VALUE"""),"MAGDARAOG, KENNETH")</f>
        <v>MAGDARAOG, KENNETH</v>
      </c>
      <c r="C1880" s="1" t="str">
        <f>IFERROR(__xludf.DUMMYFUNCTION("""COMPUTED_VALUE"""),"ORGANIC")</f>
        <v>ORGANIC</v>
      </c>
      <c r="D1880" s="1" t="str">
        <f>IFERROR(__xludf.DUMMYFUNCTION("""COMPUTED_VALUE"""),"ALINGARO, CINDY")</f>
        <v>ALINGARO, CINDY</v>
      </c>
      <c r="E1880" s="1" t="str">
        <f>IFERROR(__xludf.DUMMYFUNCTION("""COMPUTED_VALUE"""),"PLDT / H2H")</f>
        <v>PLDT / H2H</v>
      </c>
      <c r="F1880" s="1">
        <f>IFERROR(__xludf.DUMMYFUNCTION("""COMPUTED_VALUE"""),2309766587)</f>
        <v>2309766587</v>
      </c>
      <c r="G1880" s="1">
        <f>IFERROR(__xludf.DUMMYFUNCTION("""COMPUTED_VALUE"""),456345532004)</f>
        <v>456345532004</v>
      </c>
      <c r="H1880" s="1" t="str">
        <f>IFERROR(__xludf.DUMMYFUNCTION("""COMPUTED_VALUE"""),"ARNOLD ORIEL PAZ")</f>
        <v>ARNOLD ORIEL PAZ</v>
      </c>
      <c r="I1880" s="1">
        <f>IFERROR(__xludf.DUMMYFUNCTION("""COMPUTED_VALUE"""),9465869810)</f>
        <v>9465869810</v>
      </c>
      <c r="J1880" s="1">
        <f>IFERROR(__xludf.DUMMYFUNCTION("""COMPUTED_VALUE"""),9233777342)</f>
        <v>9233777342</v>
      </c>
      <c r="K1880" s="1" t="str">
        <f>IFERROR(__xludf.DUMMYFUNCTION("""COMPUTED_VALUE"""),"jonahvalleras@gmail.com")</f>
        <v>jonahvalleras@gmail.com</v>
      </c>
      <c r="L1880" s="1" t="str">
        <f>IFERROR(__xludf.DUMMYFUNCTION("""COMPUTED_VALUE"""),"BLK 3 LOT 7")</f>
        <v>BLK 3 LOT 7</v>
      </c>
      <c r="M1880" s="1" t="str">
        <f>IFERROR(__xludf.DUMMYFUNCTION("""COMPUTED_VALUE"""),"PABAHAY")</f>
        <v>PABAHAY</v>
      </c>
      <c r="N1880" s="1"/>
      <c r="O1880" s="1" t="str">
        <f>IFERROR(__xludf.DUMMYFUNCTION("""COMPUTED_VALUE"""),"ZAMBAL")</f>
        <v>ZAMBAL</v>
      </c>
      <c r="P1880" s="1" t="str">
        <f>IFERROR(__xludf.DUMMYFUNCTION("""COMPUTED_VALUE"""),"TAGAYTAY")</f>
        <v>TAGAYTAY</v>
      </c>
      <c r="Q1880" s="1" t="str">
        <f>IFERROR(__xludf.DUMMYFUNCTION("""COMPUTED_VALUE"""),"CAVITE")</f>
        <v>CAVITE</v>
      </c>
      <c r="R1880" s="1" t="str">
        <f>IFERROR(__xludf.DUMMYFUNCTION("""COMPUTED_VALUE"""),"SWITCH FIBR UNLI ALL PLAN 1399")</f>
        <v>SWITCH FIBR UNLI ALL PLAN 1399</v>
      </c>
      <c r="S1880" s="1" t="str">
        <f>IFERROR(__xludf.DUMMYFUNCTION("""COMPUTED_VALUE"""),"APPROVED")</f>
        <v>APPROVED</v>
      </c>
      <c r="T1880" s="1" t="str">
        <f>IFERROR(__xludf.DUMMYFUNCTION("""COMPUTED_VALUE"""),"CLOSED")</f>
        <v>CLOSED</v>
      </c>
      <c r="U1880" s="1" t="str">
        <f>IFERROR(__xludf.DUMMYFUNCTION("""COMPUTED_VALUE"""),"POSTED")</f>
        <v>POSTED</v>
      </c>
      <c r="V1880" s="1"/>
      <c r="W1880" s="1"/>
    </row>
    <row r="1881" customHeight="1" spans="1:23">
      <c r="A1881" s="3">
        <f>IFERROR(__xludf.DUMMYFUNCTION("""COMPUTED_VALUE"""),46170)</f>
        <v>46170</v>
      </c>
      <c r="B1881" s="1" t="str">
        <f>IFERROR(__xludf.DUMMYFUNCTION("""COMPUTED_VALUE"""),"NAVARRO, JERIC")</f>
        <v>NAVARRO, JERIC</v>
      </c>
      <c r="C1881" s="1" t="str">
        <f>IFERROR(__xludf.DUMMYFUNCTION("""COMPUTED_VALUE"""),"FLA")</f>
        <v>FLA</v>
      </c>
      <c r="D1881" s="1" t="str">
        <f>IFERROR(__xludf.DUMMYFUNCTION("""COMPUTED_VALUE"""),"JERIC NAVARRO")</f>
        <v>JERIC NAVARRO</v>
      </c>
      <c r="E1881" s="1" t="str">
        <f>IFERROR(__xludf.DUMMYFUNCTION("""COMPUTED_VALUE"""),"PLDT / ONLINE")</f>
        <v>PLDT / ONLINE</v>
      </c>
      <c r="F1881" s="1">
        <f>IFERROR(__xludf.DUMMYFUNCTION("""COMPUTED_VALUE"""),2309769649)</f>
        <v>2309769649</v>
      </c>
      <c r="G1881" s="1">
        <f>IFERROR(__xludf.DUMMYFUNCTION("""COMPUTED_VALUE"""),456352770004)</f>
        <v>456352770004</v>
      </c>
      <c r="H1881" s="1" t="str">
        <f>IFERROR(__xludf.DUMMYFUNCTION("""COMPUTED_VALUE"""),"JEROREN BLANCAFLOR HERNANDEZ")</f>
        <v>JEROREN BLANCAFLOR HERNANDEZ</v>
      </c>
      <c r="I1881" s="1">
        <f>IFERROR(__xludf.DUMMYFUNCTION("""COMPUTED_VALUE"""),9469576813)</f>
        <v>9469576813</v>
      </c>
      <c r="J1881" s="1">
        <f>IFERROR(__xludf.DUMMYFUNCTION("""COMPUTED_VALUE"""),9617181915)</f>
        <v>9617181915</v>
      </c>
      <c r="K1881" s="1" t="str">
        <f>IFERROR(__xludf.DUMMYFUNCTION("""COMPUTED_VALUE"""),"hjeloren7@gmail.com")</f>
        <v>hjeloren7@gmail.com</v>
      </c>
      <c r="L1881" s="1" t="str">
        <f>IFERROR(__xludf.DUMMYFUNCTION("""COMPUTED_VALUE"""),"BLK 7 LOT 28")</f>
        <v>BLK 7 LOT 28</v>
      </c>
      <c r="M1881" s="1" t="str">
        <f>IFERROR(__xludf.DUMMYFUNCTION("""COMPUTED_VALUE"""),"PUROK 7")</f>
        <v>PUROK 7</v>
      </c>
      <c r="N1881" s="1" t="str">
        <f>IFERROR(__xludf.DUMMYFUNCTION("""COMPUTED_VALUE"""),"HEART FOUNDATION")</f>
        <v>HEART FOUNDATION</v>
      </c>
      <c r="O1881" s="1" t="str">
        <f>IFERROR(__xludf.DUMMYFUNCTION("""COMPUTED_VALUE"""),"SANTOL")</f>
        <v>SANTOL</v>
      </c>
      <c r="P1881" s="1" t="str">
        <f>IFERROR(__xludf.DUMMYFUNCTION("""COMPUTED_VALUE"""),"TANZA")</f>
        <v>TANZA</v>
      </c>
      <c r="Q1881" s="1" t="str">
        <f>IFERROR(__xludf.DUMMYFUNCTION("""COMPUTED_VALUE"""),"CAVITE")</f>
        <v>CAVITE</v>
      </c>
      <c r="R1881" s="1" t="str">
        <f>IFERROR(__xludf.DUMMYFUNCTION("""COMPUTED_VALUE"""),"FIBR UNLI ALL PLAN 1399")</f>
        <v>FIBR UNLI ALL PLAN 1399</v>
      </c>
      <c r="S1881" s="1" t="str">
        <f>IFERROR(__xludf.DUMMYFUNCTION("""COMPUTED_VALUE"""),"APPROVED")</f>
        <v>APPROVED</v>
      </c>
      <c r="T1881" s="1" t="str">
        <f>IFERROR(__xludf.DUMMYFUNCTION("""COMPUTED_VALUE"""),"CLOSED")</f>
        <v>CLOSED</v>
      </c>
      <c r="U1881" s="1" t="str">
        <f>IFERROR(__xludf.DUMMYFUNCTION("""COMPUTED_VALUE"""),"POSTED")</f>
        <v>POSTED</v>
      </c>
      <c r="V1881" s="1"/>
      <c r="W1881" s="1"/>
    </row>
    <row r="1882" customHeight="1" spans="1:23">
      <c r="A1882" s="3">
        <f>IFERROR(__xludf.DUMMYFUNCTION("""COMPUTED_VALUE"""),46170)</f>
        <v>46170</v>
      </c>
      <c r="B1882" s="1" t="str">
        <f>IFERROR(__xludf.DUMMYFUNCTION("""COMPUTED_VALUE"""),"MAGDARAOG, KENNETH")</f>
        <v>MAGDARAOG, KENNETH</v>
      </c>
      <c r="C1882" s="1" t="str">
        <f>IFERROR(__xludf.DUMMYFUNCTION("""COMPUTED_VALUE"""),"ORGANIC")</f>
        <v>ORGANIC</v>
      </c>
      <c r="D1882" s="1" t="str">
        <f>IFERROR(__xludf.DUMMYFUNCTION("""COMPUTED_VALUE"""),"ALINGARO, CINDY")</f>
        <v>ALINGARO, CINDY</v>
      </c>
      <c r="E1882" s="1" t="str">
        <f>IFERROR(__xludf.DUMMYFUNCTION("""COMPUTED_VALUE"""),"PLDT / ONLINE")</f>
        <v>PLDT / ONLINE</v>
      </c>
      <c r="F1882" s="1">
        <f>IFERROR(__xludf.DUMMYFUNCTION("""COMPUTED_VALUE"""),2309770259)</f>
        <v>2309770259</v>
      </c>
      <c r="G1882" s="1">
        <f>IFERROR(__xludf.DUMMYFUNCTION("""COMPUTED_VALUE"""),456352085004)</f>
        <v>456352085004</v>
      </c>
      <c r="H1882" s="1" t="str">
        <f>IFERROR(__xludf.DUMMYFUNCTION("""COMPUTED_VALUE"""),"LERRY JAMES LAPPAY BROCKWAY")</f>
        <v>LERRY JAMES LAPPAY BROCKWAY</v>
      </c>
      <c r="I1882" s="1">
        <f>IFERROR(__xludf.DUMMYFUNCTION("""COMPUTED_VALUE"""),9507147556)</f>
        <v>9507147556</v>
      </c>
      <c r="J1882" s="1">
        <f>IFERROR(__xludf.DUMMYFUNCTION("""COMPUTED_VALUE"""),9919460042)</f>
        <v>9919460042</v>
      </c>
      <c r="K1882" s="1" t="str">
        <f>IFERROR(__xludf.DUMMYFUNCTION("""COMPUTED_VALUE"""),"bossnak@gmail.com")</f>
        <v>bossnak@gmail.com</v>
      </c>
      <c r="L1882" s="1" t="str">
        <f>IFERROR(__xludf.DUMMYFUNCTION("""COMPUTED_VALUE"""),"BLK 40 LOT 14")</f>
        <v>BLK 40 LOT 14</v>
      </c>
      <c r="M1882" s="1" t="str">
        <f>IFERROR(__xludf.DUMMYFUNCTION("""COMPUTED_VALUE"""),"PHASE 3")</f>
        <v>PHASE 3</v>
      </c>
      <c r="N1882" s="1"/>
      <c r="O1882" s="1" t="str">
        <f>IFERROR(__xludf.DUMMYFUNCTION("""COMPUTED_VALUE"""),"YAKAL")</f>
        <v>YAKAL</v>
      </c>
      <c r="P1882" s="1" t="str">
        <f>IFERROR(__xludf.DUMMYFUNCTION("""COMPUTED_VALUE"""),"SILANG")</f>
        <v>SILANG</v>
      </c>
      <c r="Q1882" s="1" t="str">
        <f>IFERROR(__xludf.DUMMYFUNCTION("""COMPUTED_VALUE"""),"CAVITE")</f>
        <v>CAVITE</v>
      </c>
      <c r="R1882" s="1" t="str">
        <f>IFERROR(__xludf.DUMMYFUNCTION("""COMPUTED_VALUE"""),"FIBR UNLI ALL PLAN 1399")</f>
        <v>FIBR UNLI ALL PLAN 1399</v>
      </c>
      <c r="S1882" s="1" t="str">
        <f>IFERROR(__xludf.DUMMYFUNCTION("""COMPUTED_VALUE"""),"APPROVED")</f>
        <v>APPROVED</v>
      </c>
      <c r="T1882" s="1" t="str">
        <f>IFERROR(__xludf.DUMMYFUNCTION("""COMPUTED_VALUE"""),"CLOSED")</f>
        <v>CLOSED</v>
      </c>
      <c r="U1882" s="1" t="str">
        <f>IFERROR(__xludf.DUMMYFUNCTION("""COMPUTED_VALUE"""),"POSTED")</f>
        <v>POSTED</v>
      </c>
      <c r="V1882" s="1"/>
      <c r="W1882" s="1"/>
    </row>
    <row r="1883" customHeight="1" spans="1:23">
      <c r="A1883" s="3">
        <f>IFERROR(__xludf.DUMMYFUNCTION("""COMPUTED_VALUE"""),46170)</f>
        <v>46170</v>
      </c>
      <c r="B1883" s="1" t="str">
        <f>IFERROR(__xludf.DUMMYFUNCTION("""COMPUTED_VALUE"""),"CASTILLEJOS, ARREL")</f>
        <v>CASTILLEJOS, ARREL</v>
      </c>
      <c r="C1883" s="1" t="str">
        <f>IFERROR(__xludf.DUMMYFUNCTION("""COMPUTED_VALUE"""),"ORGANIC")</f>
        <v>ORGANIC</v>
      </c>
      <c r="D1883" s="1" t="str">
        <f>IFERROR(__xludf.DUMMYFUNCTION("""COMPUTED_VALUE"""),"ALINGARO, CINDY")</f>
        <v>ALINGARO, CINDY</v>
      </c>
      <c r="E1883" s="1" t="str">
        <f>IFERROR(__xludf.DUMMYFUNCTION("""COMPUTED_VALUE"""),"PLDT / ONLINE")</f>
        <v>PLDT / ONLINE</v>
      </c>
      <c r="F1883" s="1">
        <f>IFERROR(__xludf.DUMMYFUNCTION("""COMPUTED_VALUE"""),2309774188)</f>
        <v>2309774188</v>
      </c>
      <c r="G1883" s="1">
        <f>IFERROR(__xludf.DUMMYFUNCTION("""COMPUTED_VALUE"""),456357405004)</f>
        <v>456357405004</v>
      </c>
      <c r="H1883" s="1" t="str">
        <f>IFERROR(__xludf.DUMMYFUNCTION("""COMPUTED_VALUE"""),"ERRIS VILLA BOLINGOT")</f>
        <v>ERRIS VILLA BOLINGOT</v>
      </c>
      <c r="I1883" s="1">
        <f>IFERROR(__xludf.DUMMYFUNCTION("""COMPUTED_VALUE"""),9692762773)</f>
        <v>9692762773</v>
      </c>
      <c r="J1883" s="1"/>
      <c r="K1883" s="1" t="str">
        <f>IFERROR(__xludf.DUMMYFUNCTION("""COMPUTED_VALUE"""),"bolingotterris@gmail.com")</f>
        <v>bolingotterris@gmail.com</v>
      </c>
      <c r="L1883" s="1" t="str">
        <f>IFERROR(__xludf.DUMMYFUNCTION("""COMPUTED_VALUE"""),"BLK 13 LOT 52")</f>
        <v>BLK 13 LOT 52</v>
      </c>
      <c r="M1883" s="1" t="str">
        <f>IFERROR(__xludf.DUMMYFUNCTION("""COMPUTED_VALUE"""),"GREEN PLACE ")</f>
        <v>GREEN PLACE </v>
      </c>
      <c r="N1883" s="1"/>
      <c r="O1883" s="1" t="str">
        <f>IFERROR(__xludf.DUMMYFUNCTION("""COMPUTED_VALUE"""),"MALAGASANG II-A")</f>
        <v>MALAGASANG II-A</v>
      </c>
      <c r="P1883" s="1" t="str">
        <f>IFERROR(__xludf.DUMMYFUNCTION("""COMPUTED_VALUE"""),"IMUS")</f>
        <v>IMUS</v>
      </c>
      <c r="Q1883" s="1" t="str">
        <f>IFERROR(__xludf.DUMMYFUNCTION("""COMPUTED_VALUE"""),"CAVITE")</f>
        <v>CAVITE</v>
      </c>
      <c r="R1883" s="1" t="str">
        <f>IFERROR(__xludf.DUMMYFUNCTION("""COMPUTED_VALUE"""),"FIBR UNLI ALL PLAN 999")</f>
        <v>FIBR UNLI ALL PLAN 999</v>
      </c>
      <c r="S1883" s="1" t="str">
        <f>IFERROR(__xludf.DUMMYFUNCTION("""COMPUTED_VALUE"""),"APPROVED")</f>
        <v>APPROVED</v>
      </c>
      <c r="T1883" s="1" t="str">
        <f>IFERROR(__xludf.DUMMYFUNCTION("""COMPUTED_VALUE"""),"CANCELLED")</f>
        <v>CANCELLED</v>
      </c>
      <c r="U1883" s="1"/>
      <c r="V1883" s="1"/>
      <c r="W1883" s="1"/>
    </row>
    <row r="1884" customHeight="1" spans="1:23">
      <c r="A1884" s="3">
        <f>IFERROR(__xludf.DUMMYFUNCTION("""COMPUTED_VALUE"""),46170)</f>
        <v>46170</v>
      </c>
      <c r="B1884" s="1" t="str">
        <f>IFERROR(__xludf.DUMMYFUNCTION("""COMPUTED_VALUE"""),"ODY , CLARENCE")</f>
        <v>ODY , CLARENCE</v>
      </c>
      <c r="C1884" s="1" t="str">
        <f>IFERROR(__xludf.DUMMYFUNCTION("""COMPUTED_VALUE"""),"ORGANIC")</f>
        <v>ORGANIC</v>
      </c>
      <c r="D1884" s="1" t="str">
        <f>IFERROR(__xludf.DUMMYFUNCTION("""COMPUTED_VALUE"""),"ALOS, CHARLS")</f>
        <v>ALOS, CHARLS</v>
      </c>
      <c r="E1884" s="1" t="str">
        <f>IFERROR(__xludf.DUMMYFUNCTION("""COMPUTED_VALUE"""),"PLDT / ONLINE")</f>
        <v>PLDT / ONLINE</v>
      </c>
      <c r="F1884" s="1">
        <f>IFERROR(__xludf.DUMMYFUNCTION("""COMPUTED_VALUE"""),2309771493)</f>
        <v>2309771493</v>
      </c>
      <c r="G1884" s="1"/>
      <c r="H1884" s="1" t="str">
        <f>IFERROR(__xludf.DUMMYFUNCTION("""COMPUTED_VALUE"""),"ALDRICH CHEVY SOLIDEO ESTEVES")</f>
        <v>ALDRICH CHEVY SOLIDEO ESTEVES</v>
      </c>
      <c r="I1884" s="1">
        <f>IFERROR(__xludf.DUMMYFUNCTION("""COMPUTED_VALUE"""),9945747651)</f>
        <v>9945747651</v>
      </c>
      <c r="J1884" s="1"/>
      <c r="K1884" s="1" t="str">
        <f>IFERROR(__xludf.DUMMYFUNCTION("""COMPUTED_VALUE"""),"ac.02esteves@gmail.com")</f>
        <v>ac.02esteves@gmail.com</v>
      </c>
      <c r="L1884" s="1" t="str">
        <f>IFERROR(__xludf.DUMMYFUNCTION("""COMPUTED_VALUE"""),"BLK 11 LOT 50")</f>
        <v>BLK 11 LOT 50</v>
      </c>
      <c r="M1884" s="1" t="str">
        <f>IFERROR(__xludf.DUMMYFUNCTION("""COMPUTED_VALUE"""),"JORDAN ST")</f>
        <v>JORDAN ST</v>
      </c>
      <c r="N1884" s="1" t="str">
        <f>IFERROR(__xludf.DUMMYFUNCTION("""COMPUTED_VALUE"""),"SAN MARINO")</f>
        <v>SAN MARINO</v>
      </c>
      <c r="O1884" s="1" t="str">
        <f>IFERROR(__xludf.DUMMYFUNCTION("""COMPUTED_VALUE"""),"SALAWAG")</f>
        <v>SALAWAG</v>
      </c>
      <c r="P1884" s="1" t="str">
        <f>IFERROR(__xludf.DUMMYFUNCTION("""COMPUTED_VALUE"""),"DASMARINAS")</f>
        <v>DASMARINAS</v>
      </c>
      <c r="Q1884" s="1" t="str">
        <f>IFERROR(__xludf.DUMMYFUNCTION("""COMPUTED_VALUE"""),"CAVITE")</f>
        <v>CAVITE</v>
      </c>
      <c r="R1884" s="1" t="str">
        <f>IFERROR(__xludf.DUMMYFUNCTION("""COMPUTED_VALUE"""),"FIBR PLAN 1299")</f>
        <v>FIBR PLAN 1299</v>
      </c>
      <c r="S1884" s="1" t="str">
        <f>IFERROR(__xludf.DUMMYFUNCTION("""COMPUTED_VALUE"""),"APPROVED")</f>
        <v>APPROVED</v>
      </c>
      <c r="T1884" s="1" t="str">
        <f>IFERROR(__xludf.DUMMYFUNCTION("""COMPUTED_VALUE"""),"SUBS CANCELLED APPLICATION")</f>
        <v>SUBS CANCELLED APPLICATION</v>
      </c>
      <c r="U1884" s="1"/>
      <c r="V1884" s="1"/>
      <c r="W1884" s="1"/>
    </row>
    <row r="1885" customHeight="1" spans="1:23">
      <c r="A1885" s="3">
        <f>IFERROR(__xludf.DUMMYFUNCTION("""COMPUTED_VALUE"""),46170)</f>
        <v>46170</v>
      </c>
      <c r="B1885" s="1" t="str">
        <f>IFERROR(__xludf.DUMMYFUNCTION("""COMPUTED_VALUE"""),"ODY , CLARENCE")</f>
        <v>ODY , CLARENCE</v>
      </c>
      <c r="C1885" s="1" t="str">
        <f>IFERROR(__xludf.DUMMYFUNCTION("""COMPUTED_VALUE"""),"ORGANIC")</f>
        <v>ORGANIC</v>
      </c>
      <c r="D1885" s="1" t="str">
        <f>IFERROR(__xludf.DUMMYFUNCTION("""COMPUTED_VALUE"""),"ALOS, CHARLS")</f>
        <v>ALOS, CHARLS</v>
      </c>
      <c r="E1885" s="1" t="str">
        <f>IFERROR(__xludf.DUMMYFUNCTION("""COMPUTED_VALUE"""),"PLDT / ONLINE")</f>
        <v>PLDT / ONLINE</v>
      </c>
      <c r="F1885" s="1">
        <f>IFERROR(__xludf.DUMMYFUNCTION("""COMPUTED_VALUE"""),2309774541)</f>
        <v>2309774541</v>
      </c>
      <c r="G1885" s="1">
        <f>IFERROR(__xludf.DUMMYFUNCTION("""COMPUTED_VALUE"""),456390233004)</f>
        <v>456390233004</v>
      </c>
      <c r="H1885" s="1" t="str">
        <f>IFERROR(__xludf.DUMMYFUNCTION("""COMPUTED_VALUE"""),"MARRY ROSE LOZANO LAZAR")</f>
        <v>MARRY ROSE LOZANO LAZAR</v>
      </c>
      <c r="I1885" s="1">
        <f>IFERROR(__xludf.DUMMYFUNCTION("""COMPUTED_VALUE"""),9617134424)</f>
        <v>9617134424</v>
      </c>
      <c r="J1885" s="1">
        <f>IFERROR(__xludf.DUMMYFUNCTION("""COMPUTED_VALUE"""),9240714834)</f>
        <v>9240714834</v>
      </c>
      <c r="K1885" s="1" t="str">
        <f>IFERROR(__xludf.DUMMYFUNCTION("""COMPUTED_VALUE"""),"dokmenlangmalakas@gmail.com")</f>
        <v>dokmenlangmalakas@gmail.com</v>
      </c>
      <c r="L1885" s="1" t="str">
        <f>IFERROR(__xludf.DUMMYFUNCTION("""COMPUTED_VALUE"""),"BLK 8 LOT 8")</f>
        <v>BLK 8 LOT 8</v>
      </c>
      <c r="M1885" s="1" t="str">
        <f>IFERROR(__xludf.DUMMYFUNCTION("""COMPUTED_VALUE"""),"NORTH 1")</f>
        <v>NORTH 1</v>
      </c>
      <c r="N1885" s="1" t="str">
        <f>IFERROR(__xludf.DUMMYFUNCTION("""COMPUTED_VALUE"""),"SAN MARINO")</f>
        <v>SAN MARINO</v>
      </c>
      <c r="O1885" s="1" t="str">
        <f>IFERROR(__xludf.DUMMYFUNCTION("""COMPUTED_VALUE"""),"SALAWAG")</f>
        <v>SALAWAG</v>
      </c>
      <c r="P1885" s="1" t="str">
        <f>IFERROR(__xludf.DUMMYFUNCTION("""COMPUTED_VALUE"""),"DASMARINAS")</f>
        <v>DASMARINAS</v>
      </c>
      <c r="Q1885" s="1" t="str">
        <f>IFERROR(__xludf.DUMMYFUNCTION("""COMPUTED_VALUE"""),"CAVITE")</f>
        <v>CAVITE</v>
      </c>
      <c r="R1885" s="1" t="str">
        <f>IFERROR(__xludf.DUMMYFUNCTION("""COMPUTED_VALUE"""),"FIBR UNLI ALL PLAN 999")</f>
        <v>FIBR UNLI ALL PLAN 999</v>
      </c>
      <c r="S1885" s="1" t="str">
        <f>IFERROR(__xludf.DUMMYFUNCTION("""COMPUTED_VALUE"""),"APPROVED")</f>
        <v>APPROVED</v>
      </c>
      <c r="T1885" s="1" t="str">
        <f>IFERROR(__xludf.DUMMYFUNCTION("""COMPUTED_VALUE"""),"CLOSED")</f>
        <v>CLOSED</v>
      </c>
      <c r="U1885" s="1" t="str">
        <f>IFERROR(__xludf.DUMMYFUNCTION("""COMPUTED_VALUE"""),"PAID VIA GCASH ")</f>
        <v>PAID VIA GCASH </v>
      </c>
      <c r="V1885" s="1"/>
      <c r="W1885" s="1"/>
    </row>
    <row r="1886" customHeight="1" spans="1:23">
      <c r="A1886" s="3">
        <f>IFERROR(__xludf.DUMMYFUNCTION("""COMPUTED_VALUE"""),46170)</f>
        <v>46170</v>
      </c>
      <c r="B1886" s="1" t="str">
        <f>IFERROR(__xludf.DUMMYFUNCTION("""COMPUTED_VALUE"""),"FRANCISCO , ROSELYN")</f>
        <v>FRANCISCO , ROSELYN</v>
      </c>
      <c r="C1886" s="1" t="str">
        <f>IFERROR(__xludf.DUMMYFUNCTION("""COMPUTED_VALUE"""),"ORGANIC")</f>
        <v>ORGANIC</v>
      </c>
      <c r="D1886" s="1" t="str">
        <f>IFERROR(__xludf.DUMMYFUNCTION("""COMPUTED_VALUE"""),"ALOS, CHARLS")</f>
        <v>ALOS, CHARLS</v>
      </c>
      <c r="E1886" s="1" t="str">
        <f>IFERROR(__xludf.DUMMYFUNCTION("""COMPUTED_VALUE"""),"RED FIBER")</f>
        <v>RED FIBER</v>
      </c>
      <c r="F1886" s="1"/>
      <c r="G1886" s="1"/>
      <c r="H1886" s="1" t="str">
        <f>IFERROR(__xludf.DUMMYFUNCTION("""COMPUTED_VALUE"""),"JENNIFER TIBAYAN APLANDO")</f>
        <v>JENNIFER TIBAYAN APLANDO</v>
      </c>
      <c r="I1886" s="1">
        <f>IFERROR(__xludf.DUMMYFUNCTION("""COMPUTED_VALUE"""),9153523450)</f>
        <v>9153523450</v>
      </c>
      <c r="J1886" s="1"/>
      <c r="K1886" s="1" t="str">
        <f>IFERROR(__xludf.DUMMYFUNCTION("""COMPUTED_VALUE"""),"aplandojennifer24@gmail.com")</f>
        <v>aplandojennifer24@gmail.com</v>
      </c>
      <c r="L1886" s="1" t="str">
        <f>IFERROR(__xludf.DUMMYFUNCTION("""COMPUTED_VALUE"""),"131")</f>
        <v>131</v>
      </c>
      <c r="M1886" s="1" t="str">
        <f>IFERROR(__xludf.DUMMYFUNCTION("""COMPUTED_VALUE"""),"OREGANO")</f>
        <v>OREGANO</v>
      </c>
      <c r="N1886" s="1"/>
      <c r="O1886" s="1" t="str">
        <f>IFERROR(__xludf.DUMMYFUNCTION("""COMPUTED_VALUE"""),"ULAT")</f>
        <v>ULAT</v>
      </c>
      <c r="P1886" s="1" t="str">
        <f>IFERROR(__xludf.DUMMYFUNCTION("""COMPUTED_VALUE"""),"SILANG")</f>
        <v>SILANG</v>
      </c>
      <c r="Q1886" s="1" t="str">
        <f>IFERROR(__xludf.DUMMYFUNCTION("""COMPUTED_VALUE"""),"CAVITE")</f>
        <v>CAVITE</v>
      </c>
      <c r="R1886" s="1" t="str">
        <f>IFERROR(__xludf.DUMMYFUNCTION("""COMPUTED_VALUE"""),"RED PLAN 1400")</f>
        <v>RED PLAN 1400</v>
      </c>
      <c r="S1886" s="1" t="str">
        <f>IFERROR(__xludf.DUMMYFUNCTION("""COMPUTED_VALUE"""),"APPROVED")</f>
        <v>APPROVED</v>
      </c>
      <c r="T1886" s="1" t="str">
        <f>IFERROR(__xludf.DUMMYFUNCTION("""COMPUTED_VALUE"""),"PAID")</f>
        <v>PAID</v>
      </c>
      <c r="U1886" s="1" t="str">
        <f>IFERROR(__xludf.DUMMYFUNCTION("""COMPUTED_VALUE"""),"PAID VIA GCASH ")</f>
        <v>PAID VIA GCASH </v>
      </c>
      <c r="V1886" s="1"/>
      <c r="W1886" s="1"/>
    </row>
    <row r="1887" customHeight="1" spans="1:23">
      <c r="A1887" s="3">
        <f>IFERROR(__xludf.DUMMYFUNCTION("""COMPUTED_VALUE"""),46170)</f>
        <v>46170</v>
      </c>
      <c r="B1887" s="1" t="str">
        <f>IFERROR(__xludf.DUMMYFUNCTION("""COMPUTED_VALUE"""),"FERNANDEZ JERIC")</f>
        <v>FERNANDEZ JERIC</v>
      </c>
      <c r="C1887" s="1" t="str">
        <f>IFERROR(__xludf.DUMMYFUNCTION("""COMPUTED_VALUE"""),"ORGANIC")</f>
        <v>ORGANIC</v>
      </c>
      <c r="D1887" s="1" t="str">
        <f>IFERROR(__xludf.DUMMYFUNCTION("""COMPUTED_VALUE"""),"ALOS, CHARLS")</f>
        <v>ALOS, CHARLS</v>
      </c>
      <c r="E1887" s="1" t="str">
        <f>IFERROR(__xludf.DUMMYFUNCTION("""COMPUTED_VALUE"""),"RED FIBER")</f>
        <v>RED FIBER</v>
      </c>
      <c r="F1887" s="1"/>
      <c r="G1887" s="1"/>
      <c r="H1887" s="1" t="str">
        <f>IFERROR(__xludf.DUMMYFUNCTION("""COMPUTED_VALUE"""),"MARILYN SEVERA HERNANDEZ")</f>
        <v>MARILYN SEVERA HERNANDEZ</v>
      </c>
      <c r="I1887" s="1">
        <f>IFERROR(__xludf.DUMMYFUNCTION("""COMPUTED_VALUE"""),9425172082)</f>
        <v>9425172082</v>
      </c>
      <c r="J1887" s="1"/>
      <c r="K1887" s="1" t="str">
        <f>IFERROR(__xludf.DUMMYFUNCTION("""COMPUTED_VALUE"""),"marilynhernandez1970@gmail.com")</f>
        <v>marilynhernandez1970@gmail.com</v>
      </c>
      <c r="L1887" s="1" t="str">
        <f>IFERROR(__xludf.DUMMYFUNCTION("""COMPUTED_VALUE"""),"207")</f>
        <v>207</v>
      </c>
      <c r="M1887" s="1" t="str">
        <f>IFERROR(__xludf.DUMMYFUNCTION("""COMPUTED_VALUE"""),"TAHIBO")</f>
        <v>TAHIBO</v>
      </c>
      <c r="N1887" s="1"/>
      <c r="O1887" s="1" t="str">
        <f>IFERROR(__xludf.DUMMYFUNCTION("""COMPUTED_VALUE"""),"ULAT")</f>
        <v>ULAT</v>
      </c>
      <c r="P1887" s="1" t="str">
        <f>IFERROR(__xludf.DUMMYFUNCTION("""COMPUTED_VALUE"""),"SILANG")</f>
        <v>SILANG</v>
      </c>
      <c r="Q1887" s="1" t="str">
        <f>IFERROR(__xludf.DUMMYFUNCTION("""COMPUTED_VALUE"""),"CAVITE")</f>
        <v>CAVITE</v>
      </c>
      <c r="R1887" s="1" t="str">
        <f>IFERROR(__xludf.DUMMYFUNCTION("""COMPUTED_VALUE"""),"RED PLAN 1000")</f>
        <v>RED PLAN 1000</v>
      </c>
      <c r="S1887" s="1" t="str">
        <f>IFERROR(__xludf.DUMMYFUNCTION("""COMPUTED_VALUE"""),"APPROVED")</f>
        <v>APPROVED</v>
      </c>
      <c r="T1887" s="1" t="str">
        <f>IFERROR(__xludf.DUMMYFUNCTION("""COMPUTED_VALUE"""),"#N/A")</f>
        <v>#N/A</v>
      </c>
      <c r="U1887" s="1"/>
      <c r="V1887" s="1"/>
      <c r="W1887" s="1"/>
    </row>
    <row r="1888" customHeight="1" spans="1:23">
      <c r="A1888" s="3">
        <f>IFERROR(__xludf.DUMMYFUNCTION("""COMPUTED_VALUE"""),46170)</f>
        <v>46170</v>
      </c>
      <c r="B1888" s="1" t="str">
        <f>IFERROR(__xludf.DUMMYFUNCTION("""COMPUTED_VALUE"""),"RIVERA, AIRIZH JOY")</f>
        <v>RIVERA, AIRIZH JOY</v>
      </c>
      <c r="C1888" s="1" t="str">
        <f>IFERROR(__xludf.DUMMYFUNCTION("""COMPUTED_VALUE"""),"ORGANIC")</f>
        <v>ORGANIC</v>
      </c>
      <c r="D1888" s="1" t="str">
        <f>IFERROR(__xludf.DUMMYFUNCTION("""COMPUTED_VALUE"""),"ALOS, CHARLS")</f>
        <v>ALOS, CHARLS</v>
      </c>
      <c r="E1888" s="1" t="str">
        <f>IFERROR(__xludf.DUMMYFUNCTION("""COMPUTED_VALUE"""),"PLDT / H2H")</f>
        <v>PLDT / H2H</v>
      </c>
      <c r="F1888" s="1">
        <f>IFERROR(__xludf.DUMMYFUNCTION("""COMPUTED_VALUE"""),2309775899)</f>
        <v>2309775899</v>
      </c>
      <c r="G1888" s="1">
        <f>IFERROR(__xludf.DUMMYFUNCTION("""COMPUTED_VALUE"""),456359340004)</f>
        <v>456359340004</v>
      </c>
      <c r="H1888" s="1" t="str">
        <f>IFERROR(__xludf.DUMMYFUNCTION("""COMPUTED_VALUE"""),"ALDRINE BIGCAS")</f>
        <v>ALDRINE BIGCAS</v>
      </c>
      <c r="I1888" s="1">
        <f>IFERROR(__xludf.DUMMYFUNCTION("""COMPUTED_VALUE"""),9318765165)</f>
        <v>9318765165</v>
      </c>
      <c r="J1888" s="1">
        <f>IFERROR(__xludf.DUMMYFUNCTION("""COMPUTED_VALUE"""),9930177894)</f>
        <v>9930177894</v>
      </c>
      <c r="K1888" s="1" t="str">
        <f>IFERROR(__xludf.DUMMYFUNCTION("""COMPUTED_VALUE"""),"aldrinecortez123@gmail.com")</f>
        <v>aldrinecortez123@gmail.com</v>
      </c>
      <c r="L1888" s="1" t="str">
        <f>IFERROR(__xludf.DUMMYFUNCTION("""COMPUTED_VALUE"""),"BLK 96 LOT 83")</f>
        <v>BLK 96 LOT 83</v>
      </c>
      <c r="M1888" s="1" t="str">
        <f>IFERROR(__xludf.DUMMYFUNCTION("""COMPUTED_VALUE"""),"SAN JOSE")</f>
        <v>SAN JOSE</v>
      </c>
      <c r="N1888" s="1"/>
      <c r="O1888" s="1" t="str">
        <f>IFERROR(__xludf.DUMMYFUNCTION("""COMPUTED_VALUE"""),"SAN JOSE")</f>
        <v>SAN JOSE</v>
      </c>
      <c r="P1888" s="1" t="str">
        <f>IFERROR(__xludf.DUMMYFUNCTION("""COMPUTED_VALUE"""),"GEN MARIANO ALVAREZ")</f>
        <v>GEN MARIANO ALVAREZ</v>
      </c>
      <c r="Q1888" s="1" t="str">
        <f>IFERROR(__xludf.DUMMYFUNCTION("""COMPUTED_VALUE"""),"CAVITE")</f>
        <v>CAVITE</v>
      </c>
      <c r="R1888" s="1" t="str">
        <f>IFERROR(__xludf.DUMMYFUNCTION("""COMPUTED_VALUE"""),"FIBR UNLI ALL PLAN 999")</f>
        <v>FIBR UNLI ALL PLAN 999</v>
      </c>
      <c r="S1888" s="1" t="str">
        <f>IFERROR(__xludf.DUMMYFUNCTION("""COMPUTED_VALUE"""),"APPROVED")</f>
        <v>APPROVED</v>
      </c>
      <c r="T1888" s="1" t="str">
        <f>IFERROR(__xludf.DUMMYFUNCTION("""COMPUTED_VALUE"""),"CLOSED")</f>
        <v>CLOSED</v>
      </c>
      <c r="U1888" s="1" t="str">
        <f>IFERROR(__xludf.DUMMYFUNCTION("""COMPUTED_VALUE"""),"POSTED")</f>
        <v>POSTED</v>
      </c>
      <c r="V1888" s="1"/>
      <c r="W1888" s="1"/>
    </row>
    <row r="1889" customHeight="1" spans="1:23">
      <c r="A1889" s="3">
        <f>IFERROR(__xludf.DUMMYFUNCTION("""COMPUTED_VALUE"""),46171)</f>
        <v>46171</v>
      </c>
      <c r="B1889" s="1" t="str">
        <f>IFERROR(__xludf.DUMMYFUNCTION("""COMPUTED_VALUE"""),"AYON MANUEL")</f>
        <v>AYON MANUEL</v>
      </c>
      <c r="C1889" s="1" t="str">
        <f>IFERROR(__xludf.DUMMYFUNCTION("""COMPUTED_VALUE"""),"FLA")</f>
        <v>FLA</v>
      </c>
      <c r="D1889" s="1" t="str">
        <f>IFERROR(__xludf.DUMMYFUNCTION("""COMPUTED_VALUE"""),"JERIC NAVARRO")</f>
        <v>JERIC NAVARRO</v>
      </c>
      <c r="E1889" s="1" t="str">
        <f>IFERROR(__xludf.DUMMYFUNCTION("""COMPUTED_VALUE"""),"PLDT / H2H")</f>
        <v>PLDT / H2H</v>
      </c>
      <c r="F1889" s="1">
        <f>IFERROR(__xludf.DUMMYFUNCTION("""COMPUTED_VALUE"""),2309785424)</f>
        <v>2309785424</v>
      </c>
      <c r="G1889" s="1">
        <f>IFERROR(__xludf.DUMMYFUNCTION("""COMPUTED_VALUE"""),456493818004)</f>
        <v>456493818004</v>
      </c>
      <c r="H1889" s="1" t="str">
        <f>IFERROR(__xludf.DUMMYFUNCTION("""COMPUTED_VALUE"""),"JOHN LLOYD MAKIRADAM ADONA")</f>
        <v>JOHN LLOYD MAKIRADAM ADONA</v>
      </c>
      <c r="I1889" s="1">
        <f>IFERROR(__xludf.DUMMYFUNCTION("""COMPUTED_VALUE"""),9458668495)</f>
        <v>9458668495</v>
      </c>
      <c r="J1889" s="1">
        <f>IFERROR(__xludf.DUMMYFUNCTION("""COMPUTED_VALUE"""),9501288325)</f>
        <v>9501288325</v>
      </c>
      <c r="K1889" s="1" t="str">
        <f>IFERROR(__xludf.DUMMYFUNCTION("""COMPUTED_VALUE"""),"kennethadona75@gmail.com")</f>
        <v>kennethadona75@gmail.com</v>
      </c>
      <c r="L1889" s="1" t="str">
        <f>IFERROR(__xludf.DUMMYFUNCTION("""COMPUTED_VALUE"""),"9075")</f>
        <v>9075</v>
      </c>
      <c r="M1889" s="1" t="str">
        <f>IFERROR(__xludf.DUMMYFUNCTION("""COMPUTED_VALUE"""),"TAGAYTAY STA ROSA")</f>
        <v>TAGAYTAY STA ROSA</v>
      </c>
      <c r="N1889" s="1" t="str">
        <f>IFERROR(__xludf.DUMMYFUNCTION("""COMPUTED_VALUE"""),"PUROK 5")</f>
        <v>PUROK 5</v>
      </c>
      <c r="O1889" s="1" t="str">
        <f>IFERROR(__xludf.DUMMYFUNCTION("""COMPUTED_VALUE"""),"LUMIL")</f>
        <v>LUMIL</v>
      </c>
      <c r="P1889" s="1" t="str">
        <f>IFERROR(__xludf.DUMMYFUNCTION("""COMPUTED_VALUE"""),"SILANG")</f>
        <v>SILANG</v>
      </c>
      <c r="Q1889" s="1" t="str">
        <f>IFERROR(__xludf.DUMMYFUNCTION("""COMPUTED_VALUE"""),"CAVITE")</f>
        <v>CAVITE</v>
      </c>
      <c r="R1889" s="1" t="str">
        <f>IFERROR(__xludf.DUMMYFUNCTION("""COMPUTED_VALUE"""),"FIBR NETFLIX PLAN 1599")</f>
        <v>FIBR NETFLIX PLAN 1599</v>
      </c>
      <c r="S1889" s="1" t="str">
        <f>IFERROR(__xludf.DUMMYFUNCTION("""COMPUTED_VALUE"""),"APPROVED")</f>
        <v>APPROVED</v>
      </c>
      <c r="T1889" s="1" t="str">
        <f>IFERROR(__xludf.DUMMYFUNCTION("""COMPUTED_VALUE"""),"CLOSED")</f>
        <v>CLOSED</v>
      </c>
      <c r="U1889" s="1" t="str">
        <f>IFERROR(__xludf.DUMMYFUNCTION("""COMPUTED_VALUE"""),"POSTED")</f>
        <v>POSTED</v>
      </c>
      <c r="V1889" s="1"/>
      <c r="W1889" s="1"/>
    </row>
    <row r="1890" customHeight="1" spans="1:23">
      <c r="A1890" s="3">
        <f>IFERROR(__xludf.DUMMYFUNCTION("""COMPUTED_VALUE"""),46171)</f>
        <v>46171</v>
      </c>
      <c r="B1890" s="1" t="str">
        <f>IFERROR(__xludf.DUMMYFUNCTION("""COMPUTED_VALUE"""),"DACALCAP RUBEN")</f>
        <v>DACALCAP RUBEN</v>
      </c>
      <c r="C1890" s="1" t="str">
        <f>IFERROR(__xludf.DUMMYFUNCTION("""COMPUTED_VALUE"""),"FLA")</f>
        <v>FLA</v>
      </c>
      <c r="D1890" s="1" t="str">
        <f>IFERROR(__xludf.DUMMYFUNCTION("""COMPUTED_VALUE"""),"JERIC NAVARRO")</f>
        <v>JERIC NAVARRO</v>
      </c>
      <c r="E1890" s="1" t="str">
        <f>IFERROR(__xludf.DUMMYFUNCTION("""COMPUTED_VALUE"""),"PLDT / H2H")</f>
        <v>PLDT / H2H</v>
      </c>
      <c r="F1890" s="1">
        <f>IFERROR(__xludf.DUMMYFUNCTION("""COMPUTED_VALUE"""),2309785678)</f>
        <v>2309785678</v>
      </c>
      <c r="G1890" s="1">
        <f>IFERROR(__xludf.DUMMYFUNCTION("""COMPUTED_VALUE"""),456502113004)</f>
        <v>456502113004</v>
      </c>
      <c r="H1890" s="1" t="str">
        <f>IFERROR(__xludf.DUMMYFUNCTION("""COMPUTED_VALUE"""),"MARY ROSE CORTES ANGELES")</f>
        <v>MARY ROSE CORTES ANGELES</v>
      </c>
      <c r="I1890" s="1">
        <f>IFERROR(__xludf.DUMMYFUNCTION("""COMPUTED_VALUE"""),9053154122)</f>
        <v>9053154122</v>
      </c>
      <c r="J1890" s="1">
        <f>IFERROR(__xludf.DUMMYFUNCTION("""COMPUTED_VALUE"""),9562808629)</f>
        <v>9562808629</v>
      </c>
      <c r="K1890" s="1" t="str">
        <f>IFERROR(__xludf.DUMMYFUNCTION("""COMPUTED_VALUE"""),"mumay7335@gmail.com")</f>
        <v>mumay7335@gmail.com</v>
      </c>
      <c r="L1890" s="1" t="str">
        <f>IFERROR(__xludf.DUMMYFUNCTION("""COMPUTED_VALUE"""),"9074")</f>
        <v>9074</v>
      </c>
      <c r="M1890" s="1" t="str">
        <f>IFERROR(__xludf.DUMMYFUNCTION("""COMPUTED_VALUE"""),"BLESSED VILLE")</f>
        <v>BLESSED VILLE</v>
      </c>
      <c r="N1890" s="1"/>
      <c r="O1890" s="1" t="str">
        <f>IFERROR(__xludf.DUMMYFUNCTION("""COMPUTED_VALUE"""),"BIGA II")</f>
        <v>BIGA II</v>
      </c>
      <c r="P1890" s="1" t="str">
        <f>IFERROR(__xludf.DUMMYFUNCTION("""COMPUTED_VALUE"""),"SILANG")</f>
        <v>SILANG</v>
      </c>
      <c r="Q1890" s="1" t="str">
        <f>IFERROR(__xludf.DUMMYFUNCTION("""COMPUTED_VALUE"""),"CAVITE")</f>
        <v>CAVITE</v>
      </c>
      <c r="R1890" s="1" t="str">
        <f>IFERROR(__xludf.DUMMYFUNCTION("""COMPUTED_VALUE"""),"FIBR PLAN 1299")</f>
        <v>FIBR PLAN 1299</v>
      </c>
      <c r="S1890" s="1" t="str">
        <f>IFERROR(__xludf.DUMMYFUNCTION("""COMPUTED_VALUE"""),"APPROVED")</f>
        <v>APPROVED</v>
      </c>
      <c r="T1890" s="1" t="str">
        <f>IFERROR(__xludf.DUMMYFUNCTION("""COMPUTED_VALUE"""),"CLOSED")</f>
        <v>CLOSED</v>
      </c>
      <c r="U1890" s="1" t="str">
        <f>IFERROR(__xludf.DUMMYFUNCTION("""COMPUTED_VALUE"""),"POSTED")</f>
        <v>POSTED</v>
      </c>
      <c r="V1890" s="1"/>
      <c r="W1890" s="1"/>
    </row>
    <row r="1891" customHeight="1" spans="1:23">
      <c r="A1891" s="3">
        <f>IFERROR(__xludf.DUMMYFUNCTION("""COMPUTED_VALUE"""),46171)</f>
        <v>46171</v>
      </c>
      <c r="B1891" s="1" t="str">
        <f>IFERROR(__xludf.DUMMYFUNCTION("""COMPUTED_VALUE"""),"FARO, REFRANTA")</f>
        <v>FARO, REFRANTA</v>
      </c>
      <c r="C1891" s="1" t="str">
        <f>IFERROR(__xludf.DUMMYFUNCTION("""COMPUTED_VALUE"""),"ORGANIC")</f>
        <v>ORGANIC</v>
      </c>
      <c r="D1891" s="1" t="str">
        <f>IFERROR(__xludf.DUMMYFUNCTION("""COMPUTED_VALUE"""),"ALINGARO, CINDY")</f>
        <v>ALINGARO, CINDY</v>
      </c>
      <c r="E1891" s="1" t="str">
        <f>IFERROR(__xludf.DUMMYFUNCTION("""COMPUTED_VALUE"""),"PLDT / H2H")</f>
        <v>PLDT / H2H</v>
      </c>
      <c r="F1891" s="1">
        <f>IFERROR(__xludf.DUMMYFUNCTION("""COMPUTED_VALUE"""),2309786804)</f>
        <v>2309786804</v>
      </c>
      <c r="G1891" s="1">
        <f>IFERROR(__xludf.DUMMYFUNCTION("""COMPUTED_VALUE"""),456502065004)</f>
        <v>456502065004</v>
      </c>
      <c r="H1891" s="1" t="str">
        <f>IFERROR(__xludf.DUMMYFUNCTION("""COMPUTED_VALUE"""),"KEVIN MARK PADON GUEVARRA ")</f>
        <v>KEVIN MARK PADON GUEVARRA </v>
      </c>
      <c r="I1891" s="1">
        <f>IFERROR(__xludf.DUMMYFUNCTION("""COMPUTED_VALUE"""),9385883848)</f>
        <v>9385883848</v>
      </c>
      <c r="J1891" s="1">
        <f>IFERROR(__xludf.DUMMYFUNCTION("""COMPUTED_VALUE"""),9491596755)</f>
        <v>9491596755</v>
      </c>
      <c r="K1891" s="1" t="str">
        <f>IFERROR(__xludf.DUMMYFUNCTION("""COMPUTED_VALUE"""),"kevinmarkguevarra01@gmail.com")</f>
        <v>kevinmarkguevarra01@gmail.com</v>
      </c>
      <c r="L1891" s="1" t="str">
        <f>IFERROR(__xludf.DUMMYFUNCTION("""COMPUTED_VALUE"""),"1")</f>
        <v>1</v>
      </c>
      <c r="M1891" s="1" t="str">
        <f>IFERROR(__xludf.DUMMYFUNCTION("""COMPUTED_VALUE"""),"MATROGATE")</f>
        <v>MATROGATE</v>
      </c>
      <c r="N1891" s="1"/>
      <c r="O1891" s="1" t="str">
        <f>IFERROR(__xludf.DUMMYFUNCTION("""COMPUTED_VALUE"""),"TIBIG")</f>
        <v>TIBIG</v>
      </c>
      <c r="P1891" s="1" t="str">
        <f>IFERROR(__xludf.DUMMYFUNCTION("""COMPUTED_VALUE"""),"SILANG")</f>
        <v>SILANG</v>
      </c>
      <c r="Q1891" s="1" t="str">
        <f>IFERROR(__xludf.DUMMYFUNCTION("""COMPUTED_VALUE"""),"CAVITE")</f>
        <v>CAVITE</v>
      </c>
      <c r="R1891" s="1" t="str">
        <f>IFERROR(__xludf.DUMMYFUNCTION("""COMPUTED_VALUE"""),"FIBR UNLI ALL PLAN 1399")</f>
        <v>FIBR UNLI ALL PLAN 1399</v>
      </c>
      <c r="S1891" s="1" t="str">
        <f>IFERROR(__xludf.DUMMYFUNCTION("""COMPUTED_VALUE"""),"APPROVED")</f>
        <v>APPROVED</v>
      </c>
      <c r="T1891" s="1" t="str">
        <f>IFERROR(__xludf.DUMMYFUNCTION("""COMPUTED_VALUE"""),"RPR")</f>
        <v>RPR</v>
      </c>
      <c r="U1891" s="1"/>
      <c r="V1891" s="1"/>
      <c r="W1891" s="1"/>
    </row>
    <row r="1892" customHeight="1" spans="1:23">
      <c r="A1892" s="3">
        <f>IFERROR(__xludf.DUMMYFUNCTION("""COMPUTED_VALUE"""),46171)</f>
        <v>46171</v>
      </c>
      <c r="B1892" s="1" t="str">
        <f>IFERROR(__xludf.DUMMYFUNCTION("""COMPUTED_VALUE"""),"MANDUCDOC, MARIANE")</f>
        <v>MANDUCDOC, MARIANE</v>
      </c>
      <c r="C1892" s="1" t="str">
        <f>IFERROR(__xludf.DUMMYFUNCTION("""COMPUTED_VALUE"""),"ORGANIC")</f>
        <v>ORGANIC</v>
      </c>
      <c r="D1892" s="1" t="str">
        <f>IFERROR(__xludf.DUMMYFUNCTION("""COMPUTED_VALUE"""),"ALINGARO, CINDY")</f>
        <v>ALINGARO, CINDY</v>
      </c>
      <c r="E1892" s="1" t="str">
        <f>IFERROR(__xludf.DUMMYFUNCTION("""COMPUTED_VALUE"""),"PLDT / H2H")</f>
        <v>PLDT / H2H</v>
      </c>
      <c r="F1892" s="1">
        <f>IFERROR(__xludf.DUMMYFUNCTION("""COMPUTED_VALUE"""),2309787627)</f>
        <v>2309787627</v>
      </c>
      <c r="G1892" s="1">
        <f>IFERROR(__xludf.DUMMYFUNCTION("""COMPUTED_VALUE"""),456504178004)</f>
        <v>456504178004</v>
      </c>
      <c r="H1892" s="1" t="str">
        <f>IFERROR(__xludf.DUMMYFUNCTION("""COMPUTED_VALUE"""),"SARAH JANE FRONDOZO BERMAS")</f>
        <v>SARAH JANE FRONDOZO BERMAS</v>
      </c>
      <c r="I1892" s="1">
        <f>IFERROR(__xludf.DUMMYFUNCTION("""COMPUTED_VALUE"""),9615009904)</f>
        <v>9615009904</v>
      </c>
      <c r="J1892" s="1">
        <f>IFERROR(__xludf.DUMMYFUNCTION("""COMPUTED_VALUE"""),997419334)</f>
        <v>997419334</v>
      </c>
      <c r="K1892" s="1" t="str">
        <f>IFERROR(__xludf.DUMMYFUNCTION("""COMPUTED_VALUE"""),"bermassarah4@gmail.com")</f>
        <v>bermassarah4@gmail.com</v>
      </c>
      <c r="L1892" s="1" t="str">
        <f>IFERROR(__xludf.DUMMYFUNCTION("""COMPUTED_VALUE"""),"26")</f>
        <v>26</v>
      </c>
      <c r="M1892" s="1" t="str">
        <f>IFERROR(__xludf.DUMMYFUNCTION("""COMPUTED_VALUE"""),"KANLURAN")</f>
        <v>KANLURAN</v>
      </c>
      <c r="N1892" s="1"/>
      <c r="O1892" s="1" t="str">
        <f>IFERROR(__xludf.DUMMYFUNCTION("""COMPUTED_VALUE"""),"TIBIG")</f>
        <v>TIBIG</v>
      </c>
      <c r="P1892" s="1" t="str">
        <f>IFERROR(__xludf.DUMMYFUNCTION("""COMPUTED_VALUE"""),"SILANG")</f>
        <v>SILANG</v>
      </c>
      <c r="Q1892" s="1" t="str">
        <f>IFERROR(__xludf.DUMMYFUNCTION("""COMPUTED_VALUE"""),"CAVITE")</f>
        <v>CAVITE</v>
      </c>
      <c r="R1892" s="1" t="str">
        <f>IFERROR(__xludf.DUMMYFUNCTION("""COMPUTED_VALUE"""),"FIBR PLAN 1299")</f>
        <v>FIBR PLAN 1299</v>
      </c>
      <c r="S1892" s="1" t="str">
        <f>IFERROR(__xludf.DUMMYFUNCTION("""COMPUTED_VALUE"""),"APPROVED")</f>
        <v>APPROVED</v>
      </c>
      <c r="T1892" s="1" t="str">
        <f>IFERROR(__xludf.DUMMYFUNCTION("""COMPUTED_VALUE"""),"RPR")</f>
        <v>RPR</v>
      </c>
      <c r="U1892" s="1"/>
      <c r="V1892" s="1"/>
      <c r="W1892" s="1"/>
    </row>
    <row r="1893" customHeight="1" spans="1:23">
      <c r="A1893" s="3">
        <f>IFERROR(__xludf.DUMMYFUNCTION("""COMPUTED_VALUE"""),46171)</f>
        <v>46171</v>
      </c>
      <c r="B1893" s="1" t="str">
        <f>IFERROR(__xludf.DUMMYFUNCTION("""COMPUTED_VALUE"""),"FARO, REFRANTA")</f>
        <v>FARO, REFRANTA</v>
      </c>
      <c r="C1893" s="1" t="str">
        <f>IFERROR(__xludf.DUMMYFUNCTION("""COMPUTED_VALUE"""),"ORGANIC")</f>
        <v>ORGANIC</v>
      </c>
      <c r="D1893" s="1" t="str">
        <f>IFERROR(__xludf.DUMMYFUNCTION("""COMPUTED_VALUE"""),"ALINGARO, CINDY")</f>
        <v>ALINGARO, CINDY</v>
      </c>
      <c r="E1893" s="1" t="str">
        <f>IFERROR(__xludf.DUMMYFUNCTION("""COMPUTED_VALUE"""),"PLDT / H2H")</f>
        <v>PLDT / H2H</v>
      </c>
      <c r="F1893" s="1">
        <f>IFERROR(__xludf.DUMMYFUNCTION("""COMPUTED_VALUE"""),2309787648)</f>
        <v>2309787648</v>
      </c>
      <c r="G1893" s="1">
        <f>IFERROR(__xludf.DUMMYFUNCTION("""COMPUTED_VALUE"""),456506478004)</f>
        <v>456506478004</v>
      </c>
      <c r="H1893" s="1" t="str">
        <f>IFERROR(__xludf.DUMMYFUNCTION("""COMPUTED_VALUE"""),"CHARMAINE AMON GUTIEREZ")</f>
        <v>CHARMAINE AMON GUTIEREZ</v>
      </c>
      <c r="I1893" s="1">
        <f>IFERROR(__xludf.DUMMYFUNCTION("""COMPUTED_VALUE"""),9501909360)</f>
        <v>9501909360</v>
      </c>
      <c r="J1893" s="1"/>
      <c r="K1893" s="1" t="str">
        <f>IFERROR(__xludf.DUMMYFUNCTION("""COMPUTED_VALUE"""),"charmainegutierrez0228@gmail.com")</f>
        <v>charmainegutierrez0228@gmail.com</v>
      </c>
      <c r="L1893" s="1" t="str">
        <f>IFERROR(__xludf.DUMMYFUNCTION("""COMPUTED_VALUE"""),"147")</f>
        <v>147</v>
      </c>
      <c r="M1893" s="1" t="str">
        <f>IFERROR(__xludf.DUMMYFUNCTION("""COMPUTED_VALUE"""),"MATROGATE")</f>
        <v>MATROGATE</v>
      </c>
      <c r="N1893" s="1"/>
      <c r="O1893" s="1" t="str">
        <f>IFERROR(__xludf.DUMMYFUNCTION("""COMPUTED_VALUE"""),"TIBIG")</f>
        <v>TIBIG</v>
      </c>
      <c r="P1893" s="1" t="str">
        <f>IFERROR(__xludf.DUMMYFUNCTION("""COMPUTED_VALUE"""),"SILANG")</f>
        <v>SILANG</v>
      </c>
      <c r="Q1893" s="1" t="str">
        <f>IFERROR(__xludf.DUMMYFUNCTION("""COMPUTED_VALUE"""),"CAVITE")</f>
        <v>CAVITE</v>
      </c>
      <c r="R1893" s="1" t="str">
        <f>IFERROR(__xludf.DUMMYFUNCTION("""COMPUTED_VALUE"""),"FIBR UNLI ALL PLAN 1399")</f>
        <v>FIBR UNLI ALL PLAN 1399</v>
      </c>
      <c r="S1893" s="1" t="str">
        <f>IFERROR(__xludf.DUMMYFUNCTION("""COMPUTED_VALUE"""),"APPROVED")</f>
        <v>APPROVED</v>
      </c>
      <c r="T1893" s="1" t="str">
        <f>IFERROR(__xludf.DUMMYFUNCTION("""COMPUTED_VALUE"""),"CLOSED")</f>
        <v>CLOSED</v>
      </c>
      <c r="U1893" s="1" t="str">
        <f>IFERROR(__xludf.DUMMYFUNCTION("""COMPUTED_VALUE"""),"POSTED")</f>
        <v>POSTED</v>
      </c>
      <c r="V1893" s="1"/>
      <c r="W1893" s="1"/>
    </row>
    <row r="1894" customHeight="1" spans="1:23">
      <c r="A1894" s="3">
        <f>IFERROR(__xludf.DUMMYFUNCTION("""COMPUTED_VALUE"""),46171)</f>
        <v>46171</v>
      </c>
      <c r="B1894" s="1" t="str">
        <f>IFERROR(__xludf.DUMMYFUNCTION("""COMPUTED_VALUE"""),"CASTILLEJOS, ARREL")</f>
        <v>CASTILLEJOS, ARREL</v>
      </c>
      <c r="C1894" s="1" t="str">
        <f>IFERROR(__xludf.DUMMYFUNCTION("""COMPUTED_VALUE"""),"ORGANIC")</f>
        <v>ORGANIC</v>
      </c>
      <c r="D1894" s="1" t="str">
        <f>IFERROR(__xludf.DUMMYFUNCTION("""COMPUTED_VALUE"""),"REMOLLO LEA")</f>
        <v>REMOLLO LEA</v>
      </c>
      <c r="E1894" s="1" t="str">
        <f>IFERROR(__xludf.DUMMYFUNCTION("""COMPUTED_VALUE"""),"PLDT / H2H")</f>
        <v>PLDT / H2H</v>
      </c>
      <c r="F1894" s="1">
        <f>IFERROR(__xludf.DUMMYFUNCTION("""COMPUTED_VALUE"""),2309789450)</f>
        <v>2309789450</v>
      </c>
      <c r="G1894" s="1">
        <f>IFERROR(__xludf.DUMMYFUNCTION("""COMPUTED_VALUE"""),456508160004)</f>
        <v>456508160004</v>
      </c>
      <c r="H1894" s="1" t="str">
        <f>IFERROR(__xludf.DUMMYFUNCTION("""COMPUTED_VALUE"""),"LIZA AMADO PARILLA")</f>
        <v>LIZA AMADO PARILLA</v>
      </c>
      <c r="I1894" s="1">
        <f>IFERROR(__xludf.DUMMYFUNCTION("""COMPUTED_VALUE"""),96419038880)</f>
        <v>96419038880</v>
      </c>
      <c r="J1894" s="1">
        <f>IFERROR(__xludf.DUMMYFUNCTION("""COMPUTED_VALUE"""),9955820496)</f>
        <v>9955820496</v>
      </c>
      <c r="K1894" s="1" t="str">
        <f>IFERROR(__xludf.DUMMYFUNCTION("""COMPUTED_VALUE"""),"lnenaluna93@gmail.com")</f>
        <v>lnenaluna93@gmail.com</v>
      </c>
      <c r="L1894" s="1" t="str">
        <f>IFERROR(__xludf.DUMMYFUNCTION("""COMPUTED_VALUE"""),"BLK 11 LOT 1")</f>
        <v>BLK 11 LOT 1</v>
      </c>
      <c r="M1894" s="1" t="str">
        <f>IFERROR(__xludf.DUMMYFUNCTION("""COMPUTED_VALUE"""),"PABAHAY")</f>
        <v>PABAHAY</v>
      </c>
      <c r="N1894" s="1"/>
      <c r="O1894" s="1" t="str">
        <f>IFERROR(__xludf.DUMMYFUNCTION("""COMPUTED_VALUE"""),"ZAMBAL")</f>
        <v>ZAMBAL</v>
      </c>
      <c r="P1894" s="1" t="str">
        <f>IFERROR(__xludf.DUMMYFUNCTION("""COMPUTED_VALUE"""),"TAGAYTAY")</f>
        <v>TAGAYTAY</v>
      </c>
      <c r="Q1894" s="1" t="str">
        <f>IFERROR(__xludf.DUMMYFUNCTION("""COMPUTED_VALUE"""),"CAVITE")</f>
        <v>CAVITE</v>
      </c>
      <c r="R1894" s="1" t="str">
        <f>IFERROR(__xludf.DUMMYFUNCTION("""COMPUTED_VALUE"""),"FIBR UNLI ALL PLAN 1399")</f>
        <v>FIBR UNLI ALL PLAN 1399</v>
      </c>
      <c r="S1894" s="1" t="str">
        <f>IFERROR(__xludf.DUMMYFUNCTION("""COMPUTED_VALUE"""),"APPROVED")</f>
        <v>APPROVED</v>
      </c>
      <c r="T1894" s="1" t="str">
        <f>IFERROR(__xludf.DUMMYFUNCTION("""COMPUTED_VALUE"""),"CLOSED")</f>
        <v>CLOSED</v>
      </c>
      <c r="U1894" s="1" t="str">
        <f>IFERROR(__xludf.DUMMYFUNCTION("""COMPUTED_VALUE"""),"POSTED")</f>
        <v>POSTED</v>
      </c>
      <c r="V1894" s="1"/>
      <c r="W1894" s="1"/>
    </row>
    <row r="1895" customHeight="1" spans="1:23">
      <c r="A1895" s="3">
        <f>IFERROR(__xludf.DUMMYFUNCTION("""COMPUTED_VALUE"""),46171)</f>
        <v>46171</v>
      </c>
      <c r="B1895" s="1" t="str">
        <f>IFERROR(__xludf.DUMMYFUNCTION("""COMPUTED_VALUE"""),"FRONDEZ, JEDREFF")</f>
        <v>FRONDEZ, JEDREFF</v>
      </c>
      <c r="C1895" s="1" t="str">
        <f>IFERROR(__xludf.DUMMYFUNCTION("""COMPUTED_VALUE"""),"ORGANIC")</f>
        <v>ORGANIC</v>
      </c>
      <c r="D1895" s="1" t="str">
        <f>IFERROR(__xludf.DUMMYFUNCTION("""COMPUTED_VALUE"""),"REMOLLO LEA")</f>
        <v>REMOLLO LEA</v>
      </c>
      <c r="E1895" s="1" t="str">
        <f>IFERROR(__xludf.DUMMYFUNCTION("""COMPUTED_VALUE"""),"PLDT / H2H")</f>
        <v>PLDT / H2H</v>
      </c>
      <c r="F1895" s="1">
        <f>IFERROR(__xludf.DUMMYFUNCTION("""COMPUTED_VALUE"""),2309789664)</f>
        <v>2309789664</v>
      </c>
      <c r="G1895" s="1">
        <f>IFERROR(__xludf.DUMMYFUNCTION("""COMPUTED_VALUE"""),456509911004)</f>
        <v>456509911004</v>
      </c>
      <c r="H1895" s="1" t="str">
        <f>IFERROR(__xludf.DUMMYFUNCTION("""COMPUTED_VALUE"""),"JOHN PAUL CATONG SORSONE")</f>
        <v>JOHN PAUL CATONG SORSONE</v>
      </c>
      <c r="I1895" s="1">
        <f>IFERROR(__xludf.DUMMYFUNCTION("""COMPUTED_VALUE"""),9553642225)</f>
        <v>9553642225</v>
      </c>
      <c r="J1895" s="1">
        <f>IFERROR(__xludf.DUMMYFUNCTION("""COMPUTED_VALUE"""),9964800750)</f>
        <v>9964800750</v>
      </c>
      <c r="K1895" s="1" t="str">
        <f>IFERROR(__xludf.DUMMYFUNCTION("""COMPUTED_VALUE"""),"sorsomejohnpaul027@gmail.com")</f>
        <v>sorsomejohnpaul027@gmail.com</v>
      </c>
      <c r="L1895" s="1" t="str">
        <f>IFERROR(__xludf.DUMMYFUNCTION("""COMPUTED_VALUE"""),"BLK 6 LOT 9")</f>
        <v>BLK 6 LOT 9</v>
      </c>
      <c r="M1895" s="1" t="str">
        <f>IFERROR(__xludf.DUMMYFUNCTION("""COMPUTED_VALUE"""),"PABAHAY")</f>
        <v>PABAHAY</v>
      </c>
      <c r="N1895" s="1"/>
      <c r="O1895" s="1" t="str">
        <f>IFERROR(__xludf.DUMMYFUNCTION("""COMPUTED_VALUE"""),"ZAMBAL")</f>
        <v>ZAMBAL</v>
      </c>
      <c r="P1895" s="1" t="str">
        <f>IFERROR(__xludf.DUMMYFUNCTION("""COMPUTED_VALUE"""),"TAGAYTAY")</f>
        <v>TAGAYTAY</v>
      </c>
      <c r="Q1895" s="1" t="str">
        <f>IFERROR(__xludf.DUMMYFUNCTION("""COMPUTED_VALUE"""),"CAVITE")</f>
        <v>CAVITE</v>
      </c>
      <c r="R1895" s="1" t="str">
        <f>IFERROR(__xludf.DUMMYFUNCTION("""COMPUTED_VALUE"""),"FIBR UNLI ALL PLAN 999")</f>
        <v>FIBR UNLI ALL PLAN 999</v>
      </c>
      <c r="S1895" s="1" t="str">
        <f>IFERROR(__xludf.DUMMYFUNCTION("""COMPUTED_VALUE"""),"APPROVED")</f>
        <v>APPROVED</v>
      </c>
      <c r="T1895" s="1" t="str">
        <f>IFERROR(__xludf.DUMMYFUNCTION("""COMPUTED_VALUE"""),"CLOSED")</f>
        <v>CLOSED</v>
      </c>
      <c r="U1895" s="1" t="str">
        <f>IFERROR(__xludf.DUMMYFUNCTION("""COMPUTED_VALUE"""),"POSTED")</f>
        <v>POSTED</v>
      </c>
      <c r="V1895" s="1"/>
      <c r="W1895" s="1"/>
    </row>
    <row r="1896" customHeight="1" spans="1:23">
      <c r="A1896" s="3">
        <f>IFERROR(__xludf.DUMMYFUNCTION("""COMPUTED_VALUE"""),46171)</f>
        <v>46171</v>
      </c>
      <c r="B1896" s="1" t="str">
        <f>IFERROR(__xludf.DUMMYFUNCTION("""COMPUTED_VALUE"""),"FRANCISCO , ROSELYN")</f>
        <v>FRANCISCO , ROSELYN</v>
      </c>
      <c r="C1896" s="1" t="str">
        <f>IFERROR(__xludf.DUMMYFUNCTION("""COMPUTED_VALUE"""),"ORGANIC")</f>
        <v>ORGANIC</v>
      </c>
      <c r="D1896" s="1" t="str">
        <f>IFERROR(__xludf.DUMMYFUNCTION("""COMPUTED_VALUE"""),"ALINGARO, CINDY")</f>
        <v>ALINGARO, CINDY</v>
      </c>
      <c r="E1896" s="1" t="str">
        <f>IFERROR(__xludf.DUMMYFUNCTION("""COMPUTED_VALUE"""),"PLDT / H2H")</f>
        <v>PLDT / H2H</v>
      </c>
      <c r="F1896" s="1">
        <f>IFERROR(__xludf.DUMMYFUNCTION("""COMPUTED_VALUE"""),2309792105)</f>
        <v>2309792105</v>
      </c>
      <c r="G1896" s="1"/>
      <c r="H1896" s="1" t="str">
        <f>IFERROR(__xludf.DUMMYFUNCTION("""COMPUTED_VALUE"""),"EDNALENE VILLANIA MEDINA")</f>
        <v>EDNALENE VILLANIA MEDINA</v>
      </c>
      <c r="I1896" s="1">
        <f>IFERROR(__xludf.DUMMYFUNCTION("""COMPUTED_VALUE"""),9630754168)</f>
        <v>9630754168</v>
      </c>
      <c r="J1896" s="1">
        <f>IFERROR(__xludf.DUMMYFUNCTION("""COMPUTED_VALUE"""),9562872343)</f>
        <v>9562872343</v>
      </c>
      <c r="K1896" s="1" t="str">
        <f>IFERROR(__xludf.DUMMYFUNCTION("""COMPUTED_VALUE"""),"medinaednalene866@gmail.com")</f>
        <v>medinaednalene866@gmail.com</v>
      </c>
      <c r="L1896" s="1" t="str">
        <f>IFERROR(__xludf.DUMMYFUNCTION("""COMPUTED_VALUE"""),"BLK 5 LOT 11")</f>
        <v>BLK 5 LOT 11</v>
      </c>
      <c r="M1896" s="1" t="str">
        <f>IFERROR(__xludf.DUMMYFUNCTION("""COMPUTED_VALUE"""),"CASA DE MONTEVERDE")</f>
        <v>CASA DE MONTEVERDE</v>
      </c>
      <c r="N1896" s="1" t="str">
        <f>IFERROR(__xludf.DUMMYFUNCTION("""COMPUTED_VALUE"""),"CASA DE MONTEVERDE")</f>
        <v>CASA DE MONTEVERDE</v>
      </c>
      <c r="O1896" s="1" t="str">
        <f>IFERROR(__xludf.DUMMYFUNCTION("""COMPUTED_VALUE"""),"FRANCISCO REYES")</f>
        <v>FRANCISCO REYES</v>
      </c>
      <c r="P1896" s="1" t="str">
        <f>IFERROR(__xludf.DUMMYFUNCTION("""COMPUTED_VALUE"""),"GEN MARIANO ALVAREZ")</f>
        <v>GEN MARIANO ALVAREZ</v>
      </c>
      <c r="Q1896" s="1" t="str">
        <f>IFERROR(__xludf.DUMMYFUNCTION("""COMPUTED_VALUE"""),"CAVITE")</f>
        <v>CAVITE</v>
      </c>
      <c r="R1896" s="1" t="str">
        <f>IFERROR(__xludf.DUMMYFUNCTION("""COMPUTED_VALUE"""),"FIBR UNLI ALL PLAN 999")</f>
        <v>FIBR UNLI ALL PLAN 999</v>
      </c>
      <c r="S1896" s="1" t="str">
        <f>IFERROR(__xludf.DUMMYFUNCTION("""COMPUTED_VALUE"""),"APPROVED")</f>
        <v>APPROVED</v>
      </c>
      <c r="T1896" s="1" t="str">
        <f>IFERROR(__xludf.DUMMYFUNCTION("""COMPUTED_VALUE"""),"CANCELLED")</f>
        <v>CANCELLED</v>
      </c>
      <c r="U1896" s="1"/>
      <c r="V1896" s="1"/>
      <c r="W1896" s="1"/>
    </row>
    <row r="1897" customHeight="1" spans="1:23">
      <c r="A1897" s="3">
        <f>IFERROR(__xludf.DUMMYFUNCTION("""COMPUTED_VALUE"""),46171)</f>
        <v>46171</v>
      </c>
      <c r="B1897" s="1" t="str">
        <f>IFERROR(__xludf.DUMMYFUNCTION("""COMPUTED_VALUE"""),"FERNANDEZ JERIC")</f>
        <v>FERNANDEZ JERIC</v>
      </c>
      <c r="C1897" s="1" t="str">
        <f>IFERROR(__xludf.DUMMYFUNCTION("""COMPUTED_VALUE"""),"ORGANIC")</f>
        <v>ORGANIC</v>
      </c>
      <c r="D1897" s="1" t="str">
        <f>IFERROR(__xludf.DUMMYFUNCTION("""COMPUTED_VALUE"""),"ALOS, CHARLS")</f>
        <v>ALOS, CHARLS</v>
      </c>
      <c r="E1897" s="1" t="str">
        <f>IFERROR(__xludf.DUMMYFUNCTION("""COMPUTED_VALUE"""),"RED FIBER")</f>
        <v>RED FIBER</v>
      </c>
      <c r="F1897" s="1"/>
      <c r="G1897" s="1"/>
      <c r="H1897" s="1" t="str">
        <f>IFERROR(__xludf.DUMMYFUNCTION("""COMPUTED_VALUE"""),"KLEANTHIE ESCOBAR DY")</f>
        <v>KLEANTHIE ESCOBAR DY</v>
      </c>
      <c r="I1897" s="1">
        <f>IFERROR(__xludf.DUMMYFUNCTION("""COMPUTED_VALUE"""),9544757800)</f>
        <v>9544757800</v>
      </c>
      <c r="J1897" s="1">
        <f>IFERROR(__xludf.DUMMYFUNCTION("""COMPUTED_VALUE"""),9319084183)</f>
        <v>9319084183</v>
      </c>
      <c r="K1897" s="1" t="str">
        <f>IFERROR(__xludf.DUMMYFUNCTION("""COMPUTED_VALUE"""),"kleanthiedy@gmail.com")</f>
        <v>kleanthiedy@gmail.com</v>
      </c>
      <c r="L1897" s="1" t="str">
        <f>IFERROR(__xludf.DUMMYFUNCTION("""COMPUTED_VALUE"""),"171")</f>
        <v>171</v>
      </c>
      <c r="M1897" s="1" t="str">
        <f>IFERROR(__xludf.DUMMYFUNCTION("""COMPUTED_VALUE"""),"PUROK 4")</f>
        <v>PUROK 4</v>
      </c>
      <c r="N1897" s="1"/>
      <c r="O1897" s="1" t="str">
        <f>IFERROR(__xludf.DUMMYFUNCTION("""COMPUTED_VALUE"""),"ULAT")</f>
        <v>ULAT</v>
      </c>
      <c r="P1897" s="1" t="str">
        <f>IFERROR(__xludf.DUMMYFUNCTION("""COMPUTED_VALUE"""),"SILANG")</f>
        <v>SILANG</v>
      </c>
      <c r="Q1897" s="1" t="str">
        <f>IFERROR(__xludf.DUMMYFUNCTION("""COMPUTED_VALUE"""),"CAVITE")</f>
        <v>CAVITE</v>
      </c>
      <c r="R1897" s="1" t="str">
        <f>IFERROR(__xludf.DUMMYFUNCTION("""COMPUTED_VALUE"""),"RED PLAN 1400")</f>
        <v>RED PLAN 1400</v>
      </c>
      <c r="S1897" s="1" t="str">
        <f>IFERROR(__xludf.DUMMYFUNCTION("""COMPUTED_VALUE"""),"APPROVED")</f>
        <v>APPROVED</v>
      </c>
      <c r="T1897" s="1" t="str">
        <f>IFERROR(__xludf.DUMMYFUNCTION("""COMPUTED_VALUE"""),"PAID")</f>
        <v>PAID</v>
      </c>
      <c r="U1897" s="1" t="str">
        <f>IFERROR(__xludf.DUMMYFUNCTION("""COMPUTED_VALUE"""),"PAID VIA GCASH")</f>
        <v>PAID VIA GCASH</v>
      </c>
      <c r="V1897" s="1"/>
      <c r="W1897" s="1"/>
    </row>
    <row r="1898" customHeight="1" spans="1:23">
      <c r="A1898" s="3">
        <f>IFERROR(__xludf.DUMMYFUNCTION("""COMPUTED_VALUE"""),46171)</f>
        <v>46171</v>
      </c>
      <c r="B1898" s="1" t="str">
        <f>IFERROR(__xludf.DUMMYFUNCTION("""COMPUTED_VALUE"""),"RIVERA, AIRIZH JOY")</f>
        <v>RIVERA, AIRIZH JOY</v>
      </c>
      <c r="C1898" s="1" t="str">
        <f>IFERROR(__xludf.DUMMYFUNCTION("""COMPUTED_VALUE"""),"ORGANIC")</f>
        <v>ORGANIC</v>
      </c>
      <c r="D1898" s="1" t="str">
        <f>IFERROR(__xludf.DUMMYFUNCTION("""COMPUTED_VALUE"""),"ALOS, CHARLS")</f>
        <v>ALOS, CHARLS</v>
      </c>
      <c r="E1898" s="1" t="str">
        <f>IFERROR(__xludf.DUMMYFUNCTION("""COMPUTED_VALUE"""),"PLDT / H2H")</f>
        <v>PLDT / H2H</v>
      </c>
      <c r="F1898" s="1">
        <f>IFERROR(__xludf.DUMMYFUNCTION("""COMPUTED_VALUE"""),2309811448)</f>
        <v>2309811448</v>
      </c>
      <c r="G1898" s="1">
        <f>IFERROR(__xludf.DUMMYFUNCTION("""COMPUTED_VALUE"""),456628003004)</f>
        <v>456628003004</v>
      </c>
      <c r="H1898" s="1" t="str">
        <f>IFERROR(__xludf.DUMMYFUNCTION("""COMPUTED_VALUE"""),"ARLENE AQUINO LINSANGAN")</f>
        <v>ARLENE AQUINO LINSANGAN</v>
      </c>
      <c r="I1898" s="1">
        <f>IFERROR(__xludf.DUMMYFUNCTION("""COMPUTED_VALUE"""),9762411565)</f>
        <v>9762411565</v>
      </c>
      <c r="J1898" s="1"/>
      <c r="K1898" s="1" t="str">
        <f>IFERROR(__xludf.DUMMYFUNCTION("""COMPUTED_VALUE"""),"mayieenriquez@yahoo.com")</f>
        <v>mayieenriquez@yahoo.com</v>
      </c>
      <c r="L1898" s="1" t="str">
        <f>IFERROR(__xludf.DUMMYFUNCTION("""COMPUTED_VALUE"""),"BLK 30 LOT 21")</f>
        <v>BLK 30 LOT 21</v>
      </c>
      <c r="M1898" s="1" t="str">
        <f>IFERROR(__xludf.DUMMYFUNCTION("""COMPUTED_VALUE"""),"PHASE 2")</f>
        <v>PHASE 2</v>
      </c>
      <c r="N1898" s="1" t="str">
        <f>IFERROR(__xludf.DUMMYFUNCTION("""COMPUTED_VALUE"""),"VERONA SUN TRUST")</f>
        <v>VERONA SUN TRUST</v>
      </c>
      <c r="O1898" s="1" t="str">
        <f>IFERROR(__xludf.DUMMYFUNCTION("""COMPUTED_VALUE"""),"HOYO")</f>
        <v>HOYO</v>
      </c>
      <c r="P1898" s="1" t="str">
        <f>IFERROR(__xludf.DUMMYFUNCTION("""COMPUTED_VALUE"""),"SILANG")</f>
        <v>SILANG</v>
      </c>
      <c r="Q1898" s="1" t="str">
        <f>IFERROR(__xludf.DUMMYFUNCTION("""COMPUTED_VALUE"""),"CAVITE")</f>
        <v>CAVITE</v>
      </c>
      <c r="R1898" s="1" t="str">
        <f>IFERROR(__xludf.DUMMYFUNCTION("""COMPUTED_VALUE"""),"FIBR UNLI ALL PLAN 1799")</f>
        <v>FIBR UNLI ALL PLAN 1799</v>
      </c>
      <c r="S1898" s="1" t="str">
        <f>IFERROR(__xludf.DUMMYFUNCTION("""COMPUTED_VALUE"""),"APPROVED")</f>
        <v>APPROVED</v>
      </c>
      <c r="T1898" s="1" t="str">
        <f>IFERROR(__xludf.DUMMYFUNCTION("""COMPUTED_VALUE"""),"CLOSED")</f>
        <v>CLOSED</v>
      </c>
      <c r="U1898" s="1" t="str">
        <f>IFERROR(__xludf.DUMMYFUNCTION("""COMPUTED_VALUE"""),"PAID VIA GCASH")</f>
        <v>PAID VIA GCASH</v>
      </c>
      <c r="V1898" s="1"/>
      <c r="W1898" s="1"/>
    </row>
    <row r="1899" customHeight="1" spans="1:23">
      <c r="A1899" s="3">
        <f>IFERROR(__xludf.DUMMYFUNCTION("""COMPUTED_VALUE"""),46171)</f>
        <v>46171</v>
      </c>
      <c r="B1899" s="1" t="str">
        <f>IFERROR(__xludf.DUMMYFUNCTION("""COMPUTED_VALUE"""),"DELA ROSA, JENNELYN")</f>
        <v>DELA ROSA, JENNELYN</v>
      </c>
      <c r="C1899" s="1" t="str">
        <f>IFERROR(__xludf.DUMMYFUNCTION("""COMPUTED_VALUE"""),"ORGANIC")</f>
        <v>ORGANIC</v>
      </c>
      <c r="D1899" s="1" t="str">
        <f>IFERROR(__xludf.DUMMYFUNCTION("""COMPUTED_VALUE"""),"ALOS, CHARLS")</f>
        <v>ALOS, CHARLS</v>
      </c>
      <c r="E1899" s="1" t="str">
        <f>IFERROR(__xludf.DUMMYFUNCTION("""COMPUTED_VALUE"""),"PLDT / H2H")</f>
        <v>PLDT / H2H</v>
      </c>
      <c r="F1899" s="1">
        <f>IFERROR(__xludf.DUMMYFUNCTION("""COMPUTED_VALUE"""),2309794836)</f>
        <v>2309794836</v>
      </c>
      <c r="G1899" s="1">
        <f>IFERROR(__xludf.DUMMYFUNCTION("""COMPUTED_VALUE"""),456517722004)</f>
        <v>456517722004</v>
      </c>
      <c r="H1899" s="1" t="str">
        <f>IFERROR(__xludf.DUMMYFUNCTION("""COMPUTED_VALUE"""),"A V EURIEL JASMIN MANIMTIM DE JESUS")</f>
        <v>A V EURIEL JASMIN MANIMTIM DE JESUS</v>
      </c>
      <c r="I1899" s="1">
        <f>IFERROR(__xludf.DUMMYFUNCTION("""COMPUTED_VALUE"""),9684503069)</f>
        <v>9684503069</v>
      </c>
      <c r="J1899" s="1"/>
      <c r="K1899" s="1" t="str">
        <f>IFERROR(__xludf.DUMMYFUNCTION("""COMPUTED_VALUE"""),"erasmusdejesus@gmail.com")</f>
        <v>erasmusdejesus@gmail.com</v>
      </c>
      <c r="L1899" s="1" t="str">
        <f>IFERROR(__xludf.DUMMYFUNCTION("""COMPUTED_VALUE"""),"240")</f>
        <v>240</v>
      </c>
      <c r="M1899" s="1" t="str">
        <f>IFERROR(__xludf.DUMMYFUNCTION("""COMPUTED_VALUE"""),"SITIO PUTOL")</f>
        <v>SITIO PUTOL</v>
      </c>
      <c r="N1899" s="1"/>
      <c r="O1899" s="1" t="str">
        <f>IFERROR(__xludf.DUMMYFUNCTION("""COMPUTED_VALUE"""),"TIBIG")</f>
        <v>TIBIG</v>
      </c>
      <c r="P1899" s="1" t="str">
        <f>IFERROR(__xludf.DUMMYFUNCTION("""COMPUTED_VALUE"""),"SILANG")</f>
        <v>SILANG</v>
      </c>
      <c r="Q1899" s="1" t="str">
        <f>IFERROR(__xludf.DUMMYFUNCTION("""COMPUTED_VALUE"""),"CAVITE")</f>
        <v>CAVITE</v>
      </c>
      <c r="R1899" s="1" t="str">
        <f>IFERROR(__xludf.DUMMYFUNCTION("""COMPUTED_VALUE"""),"FIBR UNLI ALL PLAN 999")</f>
        <v>FIBR UNLI ALL PLAN 999</v>
      </c>
      <c r="S1899" s="1" t="str">
        <f>IFERROR(__xludf.DUMMYFUNCTION("""COMPUTED_VALUE"""),"APPROVED")</f>
        <v>APPROVED</v>
      </c>
      <c r="T1899" s="1" t="str">
        <f>IFERROR(__xludf.DUMMYFUNCTION("""COMPUTED_VALUE"""),"CLOSED")</f>
        <v>CLOSED</v>
      </c>
      <c r="U1899" s="1" t="str">
        <f>IFERROR(__xludf.DUMMYFUNCTION("""COMPUTED_VALUE"""),"POSTED")</f>
        <v>POSTED</v>
      </c>
      <c r="V1899" s="1"/>
      <c r="W1899" s="1"/>
    </row>
    <row r="1900" customHeight="1" spans="1:23">
      <c r="A1900" s="3">
        <f>IFERROR(__xludf.DUMMYFUNCTION("""COMPUTED_VALUE"""),46171)</f>
        <v>46171</v>
      </c>
      <c r="B1900" s="1" t="str">
        <f>IFERROR(__xludf.DUMMYFUNCTION("""COMPUTED_VALUE"""),"CANDIA, ROSE")</f>
        <v>CANDIA, ROSE</v>
      </c>
      <c r="C1900" s="1" t="str">
        <f>IFERROR(__xludf.DUMMYFUNCTION("""COMPUTED_VALUE"""),"ORGANIC")</f>
        <v>ORGANIC</v>
      </c>
      <c r="D1900" s="1" t="str">
        <f>IFERROR(__xludf.DUMMYFUNCTION("""COMPUTED_VALUE"""),"ALINGARO, CINDY")</f>
        <v>ALINGARO, CINDY</v>
      </c>
      <c r="E1900" s="1" t="str">
        <f>IFERROR(__xludf.DUMMYFUNCTION("""COMPUTED_VALUE"""),"PLDT / H2H")</f>
        <v>PLDT / H2H</v>
      </c>
      <c r="F1900" s="1"/>
      <c r="G1900" s="1"/>
      <c r="H1900" s="1" t="str">
        <f>IFERROR(__xludf.DUMMYFUNCTION("""COMPUTED_VALUE"""),"KEN ROSS MONILAR TAMARAY")</f>
        <v>KEN ROSS MONILAR TAMARAY</v>
      </c>
      <c r="I1900" s="1">
        <f>IFERROR(__xludf.DUMMYFUNCTION("""COMPUTED_VALUE"""),9561230979)</f>
        <v>9561230979</v>
      </c>
      <c r="J1900" s="1"/>
      <c r="K1900" s="1" t="str">
        <f>IFERROR(__xludf.DUMMYFUNCTION("""COMPUTED_VALUE"""),"kenrossn07@gmail.com")</f>
        <v>kenrossn07@gmail.com</v>
      </c>
      <c r="L1900" s="1" t="str">
        <f>IFERROR(__xludf.DUMMYFUNCTION("""COMPUTED_VALUE"""),"229")</f>
        <v>229</v>
      </c>
      <c r="M1900" s="1" t="str">
        <f>IFERROR(__xludf.DUMMYFUNCTION("""COMPUTED_VALUE"""),"SITIO PUTOL")</f>
        <v>SITIO PUTOL</v>
      </c>
      <c r="N1900" s="1"/>
      <c r="O1900" s="1" t="str">
        <f>IFERROR(__xludf.DUMMYFUNCTION("""COMPUTED_VALUE"""),"TIBIG")</f>
        <v>TIBIG</v>
      </c>
      <c r="P1900" s="1" t="str">
        <f>IFERROR(__xludf.DUMMYFUNCTION("""COMPUTED_VALUE"""),"SILANG")</f>
        <v>SILANG</v>
      </c>
      <c r="Q1900" s="1" t="str">
        <f>IFERROR(__xludf.DUMMYFUNCTION("""COMPUTED_VALUE"""),"CAVITE")</f>
        <v>CAVITE</v>
      </c>
      <c r="R1900" s="1" t="str">
        <f>IFERROR(__xludf.DUMMYFUNCTION("""COMPUTED_VALUE"""),"FIBR UNLI ALL PLAN 999")</f>
        <v>FIBR UNLI ALL PLAN 999</v>
      </c>
      <c r="S1900" s="1" t="str">
        <f>IFERROR(__xludf.DUMMYFUNCTION("""COMPUTED_VALUE"""),"RETURN FOR COMPLIANCE - AGENT")</f>
        <v>RETURN FOR COMPLIANCE - AGENT</v>
      </c>
      <c r="T1900" s="1" t="str">
        <f>IFERROR(__xludf.DUMMYFUNCTION("""COMPUTED_VALUE"""),"CBR RINGING ONLY EMAIL NOT READABLE")</f>
        <v>CBR RINGING ONLY EMAIL NOT READABLE</v>
      </c>
      <c r="U1900" s="1"/>
      <c r="V1900" s="1"/>
      <c r="W1900" s="1"/>
    </row>
    <row r="1901" customHeight="1" spans="1:23">
      <c r="A1901" s="3">
        <f>IFERROR(__xludf.DUMMYFUNCTION("""COMPUTED_VALUE"""),46171)</f>
        <v>46171</v>
      </c>
      <c r="B1901" s="1" t="str">
        <f>IFERROR(__xludf.DUMMYFUNCTION("""COMPUTED_VALUE"""),"AGUNOS, JHON AIRVIN")</f>
        <v>AGUNOS, JHON AIRVIN</v>
      </c>
      <c r="C1901" s="1" t="str">
        <f>IFERROR(__xludf.DUMMYFUNCTION("""COMPUTED_VALUE"""),"ORGANIC")</f>
        <v>ORGANIC</v>
      </c>
      <c r="D1901" s="1" t="str">
        <f>IFERROR(__xludf.DUMMYFUNCTION("""COMPUTED_VALUE"""),"ALINGARO, CINDY")</f>
        <v>ALINGARO, CINDY</v>
      </c>
      <c r="E1901" s="1" t="str">
        <f>IFERROR(__xludf.DUMMYFUNCTION("""COMPUTED_VALUE"""),"PLDT / H2H")</f>
        <v>PLDT / H2H</v>
      </c>
      <c r="F1901" s="1">
        <f>IFERROR(__xludf.DUMMYFUNCTION("""COMPUTED_VALUE"""),2309797679)</f>
        <v>2309797679</v>
      </c>
      <c r="G1901" s="1"/>
      <c r="H1901" s="1" t="str">
        <f>IFERROR(__xludf.DUMMYFUNCTION("""COMPUTED_VALUE"""),"MARICAR DAVID LLANTINO")</f>
        <v>MARICAR DAVID LLANTINO</v>
      </c>
      <c r="I1901" s="1">
        <f>IFERROR(__xludf.DUMMYFUNCTION("""COMPUTED_VALUE"""),9278054467)</f>
        <v>9278054467</v>
      </c>
      <c r="J1901" s="1"/>
      <c r="K1901" s="1" t="str">
        <f>IFERROR(__xludf.DUMMYFUNCTION("""COMPUTED_VALUE"""),"migsrhide123@gmail.com")</f>
        <v>migsrhide123@gmail.com</v>
      </c>
      <c r="L1901" s="1" t="str">
        <f>IFERROR(__xludf.DUMMYFUNCTION("""COMPUTED_VALUE"""),"417")</f>
        <v>417</v>
      </c>
      <c r="M1901" s="1" t="str">
        <f>IFERROR(__xludf.DUMMYFUNCTION("""COMPUTED_VALUE"""),"MALAKING TATIAO")</f>
        <v>MALAKING TATIAO</v>
      </c>
      <c r="N1901" s="1"/>
      <c r="O1901" s="1" t="str">
        <f>IFERROR(__xludf.DUMMYFUNCTION("""COMPUTED_VALUE"""),"MALAKING TATYAO")</f>
        <v>MALAKING TATYAO</v>
      </c>
      <c r="P1901" s="1" t="str">
        <f>IFERROR(__xludf.DUMMYFUNCTION("""COMPUTED_VALUE"""),"SILANG")</f>
        <v>SILANG</v>
      </c>
      <c r="Q1901" s="1" t="str">
        <f>IFERROR(__xludf.DUMMYFUNCTION("""COMPUTED_VALUE"""),"CAVITE")</f>
        <v>CAVITE</v>
      </c>
      <c r="R1901" s="1" t="str">
        <f>IFERROR(__xludf.DUMMYFUNCTION("""COMPUTED_VALUE"""),"FIBR UNLI ALL PLAN 1399")</f>
        <v>FIBR UNLI ALL PLAN 1399</v>
      </c>
      <c r="S1901" s="1" t="str">
        <f>IFERROR(__xludf.DUMMYFUNCTION("""COMPUTED_VALUE"""),"RETURN FOR COMPLIANCE-TL")</f>
        <v>RETURN FOR COMPLIANCE-TL</v>
      </c>
      <c r="T1901" s="1" t="str">
        <f>IFERROR(__xludf.DUMMYFUNCTION("""COMPUTED_VALUE"""),"CANCELLED")</f>
        <v>CANCELLED</v>
      </c>
      <c r="U1901" s="1"/>
      <c r="V1901" s="1"/>
      <c r="W1901" s="1"/>
    </row>
    <row r="1902" customHeight="1" spans="1:23">
      <c r="A1902" s="3">
        <f>IFERROR(__xludf.DUMMYFUNCTION("""COMPUTED_VALUE"""),46171)</f>
        <v>46171</v>
      </c>
      <c r="B1902" s="1" t="str">
        <f>IFERROR(__xludf.DUMMYFUNCTION("""COMPUTED_VALUE"""),"FARO, REFRANTA")</f>
        <v>FARO, REFRANTA</v>
      </c>
      <c r="C1902" s="1" t="str">
        <f>IFERROR(__xludf.DUMMYFUNCTION("""COMPUTED_VALUE"""),"ORGANIC")</f>
        <v>ORGANIC</v>
      </c>
      <c r="D1902" s="1" t="str">
        <f>IFERROR(__xludf.DUMMYFUNCTION("""COMPUTED_VALUE"""),"ALINGARO, CINDY")</f>
        <v>ALINGARO, CINDY</v>
      </c>
      <c r="E1902" s="1" t="str">
        <f>IFERROR(__xludf.DUMMYFUNCTION("""COMPUTED_VALUE"""),"PLDT / H2H")</f>
        <v>PLDT / H2H</v>
      </c>
      <c r="F1902" s="1">
        <f>IFERROR(__xludf.DUMMYFUNCTION("""COMPUTED_VALUE"""),2309798296)</f>
        <v>2309798296</v>
      </c>
      <c r="G1902" s="1">
        <f>IFERROR(__xludf.DUMMYFUNCTION("""COMPUTED_VALUE"""),456522275004)</f>
        <v>456522275004</v>
      </c>
      <c r="H1902" s="1" t="str">
        <f>IFERROR(__xludf.DUMMYFUNCTION("""COMPUTED_VALUE"""),"BONIFACIO RAMOS DE GUIA ")</f>
        <v>BONIFACIO RAMOS DE GUIA </v>
      </c>
      <c r="I1902" s="1">
        <f>IFERROR(__xludf.DUMMYFUNCTION("""COMPUTED_VALUE"""),9662010390)</f>
        <v>9662010390</v>
      </c>
      <c r="J1902" s="1"/>
      <c r="K1902" s="1" t="str">
        <f>IFERROR(__xludf.DUMMYFUNCTION("""COMPUTED_VALUE"""),"bonmau@gmail.com")</f>
        <v>bonmau@gmail.com</v>
      </c>
      <c r="L1902" s="1" t="str">
        <f>IFERROR(__xludf.DUMMYFUNCTION("""COMPUTED_VALUE"""),"10")</f>
        <v>10</v>
      </c>
      <c r="M1902" s="1" t="str">
        <f>IFERROR(__xludf.DUMMYFUNCTION("""COMPUTED_VALUE"""),"PUROK 3")</f>
        <v>PUROK 3</v>
      </c>
      <c r="N1902" s="1"/>
      <c r="O1902" s="1" t="str">
        <f>IFERROR(__xludf.DUMMYFUNCTION("""COMPUTED_VALUE"""),"MALAKING TATYAO")</f>
        <v>MALAKING TATYAO</v>
      </c>
      <c r="P1902" s="1" t="str">
        <f>IFERROR(__xludf.DUMMYFUNCTION("""COMPUTED_VALUE"""),"SILANG")</f>
        <v>SILANG</v>
      </c>
      <c r="Q1902" s="1" t="str">
        <f>IFERROR(__xludf.DUMMYFUNCTION("""COMPUTED_VALUE"""),"CAVITE")</f>
        <v>CAVITE</v>
      </c>
      <c r="R1902" s="1" t="str">
        <f>IFERROR(__xludf.DUMMYFUNCTION("""COMPUTED_VALUE"""),"FIBR UNLI ALL PLAN 999")</f>
        <v>FIBR UNLI ALL PLAN 999</v>
      </c>
      <c r="S1902" s="1" t="str">
        <f>IFERROR(__xludf.DUMMYFUNCTION("""COMPUTED_VALUE"""),"RETURN FOR COMPLIANCE-TL")</f>
        <v>RETURN FOR COMPLIANCE-TL</v>
      </c>
      <c r="T1902" s="1" t="str">
        <f>IFERROR(__xludf.DUMMYFUNCTION("""COMPUTED_VALUE"""),"AFD")</f>
        <v>AFD</v>
      </c>
      <c r="U1902" s="1"/>
      <c r="V1902" s="1"/>
      <c r="W1902" s="1"/>
    </row>
    <row r="1903" customHeight="1" spans="1:23">
      <c r="A1903" s="3">
        <f>IFERROR(__xludf.DUMMYFUNCTION("""COMPUTED_VALUE"""),46171)</f>
        <v>46171</v>
      </c>
      <c r="B1903" s="1" t="str">
        <f>IFERROR(__xludf.DUMMYFUNCTION("""COMPUTED_VALUE"""),"IVNO, RAZZEL")</f>
        <v>IVNO, RAZZEL</v>
      </c>
      <c r="C1903" s="1" t="str">
        <f>IFERROR(__xludf.DUMMYFUNCTION("""COMPUTED_VALUE"""),"ORGANIC")</f>
        <v>ORGANIC</v>
      </c>
      <c r="D1903" s="1" t="str">
        <f>IFERROR(__xludf.DUMMYFUNCTION("""COMPUTED_VALUE"""),"ALINGARO, CINDY")</f>
        <v>ALINGARO, CINDY</v>
      </c>
      <c r="E1903" s="1" t="str">
        <f>IFERROR(__xludf.DUMMYFUNCTION("""COMPUTED_VALUE"""),"PLDT / H2H")</f>
        <v>PLDT / H2H</v>
      </c>
      <c r="F1903" s="1">
        <f>IFERROR(__xludf.DUMMYFUNCTION("""COMPUTED_VALUE"""),2309798659)</f>
        <v>2309798659</v>
      </c>
      <c r="G1903" s="1">
        <f>IFERROR(__xludf.DUMMYFUNCTION("""COMPUTED_VALUE"""),456532499004)</f>
        <v>456532499004</v>
      </c>
      <c r="H1903" s="1" t="str">
        <f>IFERROR(__xludf.DUMMYFUNCTION("""COMPUTED_VALUE"""),"BRIGILDO CERVANTEZ BERMUDEZ")</f>
        <v>BRIGILDO CERVANTEZ BERMUDEZ</v>
      </c>
      <c r="I1903" s="1">
        <f>IFERROR(__xludf.DUMMYFUNCTION("""COMPUTED_VALUE"""),9153515813)</f>
        <v>9153515813</v>
      </c>
      <c r="J1903" s="1"/>
      <c r="K1903" s="1" t="str">
        <f>IFERROR(__xludf.DUMMYFUNCTION("""COMPUTED_VALUE"""),"bermudezcherryl16@gmail.com")</f>
        <v>bermudezcherryl16@gmail.com</v>
      </c>
      <c r="L1903" s="1" t="str">
        <f>IFERROR(__xludf.DUMMYFUNCTION("""COMPUTED_VALUE"""),"134")</f>
        <v>134</v>
      </c>
      <c r="M1903" s="1" t="str">
        <f>IFERROR(__xludf.DUMMYFUNCTION("""COMPUTED_VALUE"""),"MALAKING TATIAO")</f>
        <v>MALAKING TATIAO</v>
      </c>
      <c r="N1903" s="1"/>
      <c r="O1903" s="1" t="str">
        <f>IFERROR(__xludf.DUMMYFUNCTION("""COMPUTED_VALUE"""),"MALAKING TATYAO")</f>
        <v>MALAKING TATYAO</v>
      </c>
      <c r="P1903" s="1" t="str">
        <f>IFERROR(__xludf.DUMMYFUNCTION("""COMPUTED_VALUE"""),"SILANG")</f>
        <v>SILANG</v>
      </c>
      <c r="Q1903" s="1" t="str">
        <f>IFERROR(__xludf.DUMMYFUNCTION("""COMPUTED_VALUE"""),"CAVITE")</f>
        <v>CAVITE</v>
      </c>
      <c r="R1903" s="1" t="str">
        <f>IFERROR(__xludf.DUMMYFUNCTION("""COMPUTED_VALUE"""),"FIBR UNLI ALL PLAN 1399")</f>
        <v>FIBR UNLI ALL PLAN 1399</v>
      </c>
      <c r="S1903" s="1" t="str">
        <f>IFERROR(__xludf.DUMMYFUNCTION("""COMPUTED_VALUE"""),"RETURN FOR COMPLIANCE-TL")</f>
        <v>RETURN FOR COMPLIANCE-TL</v>
      </c>
      <c r="T1903" s="1" t="str">
        <f>IFERROR(__xludf.DUMMYFUNCTION("""COMPUTED_VALUE"""),"CLOSED")</f>
        <v>CLOSED</v>
      </c>
      <c r="U1903" s="1"/>
      <c r="V1903" s="1"/>
      <c r="W1903" s="1"/>
    </row>
    <row r="1904" customHeight="1" spans="1:23">
      <c r="A1904" s="3">
        <f>IFERROR(__xludf.DUMMYFUNCTION("""COMPUTED_VALUE"""),46171)</f>
        <v>46171</v>
      </c>
      <c r="B1904" s="1" t="str">
        <f>IFERROR(__xludf.DUMMYFUNCTION("""COMPUTED_VALUE"""),"DE VERA, MARIVIC")</f>
        <v>DE VERA, MARIVIC</v>
      </c>
      <c r="C1904" s="1" t="str">
        <f>IFERROR(__xludf.DUMMYFUNCTION("""COMPUTED_VALUE"""),"ORGANIC")</f>
        <v>ORGANIC</v>
      </c>
      <c r="D1904" s="1" t="str">
        <f>IFERROR(__xludf.DUMMYFUNCTION("""COMPUTED_VALUE"""),"REMOLLO LEA")</f>
        <v>REMOLLO LEA</v>
      </c>
      <c r="E1904" s="1" t="str">
        <f>IFERROR(__xludf.DUMMYFUNCTION("""COMPUTED_VALUE"""),"PLDT / H2H")</f>
        <v>PLDT / H2H</v>
      </c>
      <c r="F1904" s="1">
        <f>IFERROR(__xludf.DUMMYFUNCTION("""COMPUTED_VALUE"""),2309796030)</f>
        <v>2309796030</v>
      </c>
      <c r="G1904" s="1">
        <f>IFERROR(__xludf.DUMMYFUNCTION("""COMPUTED_VALUE"""),456519781004)</f>
        <v>456519781004</v>
      </c>
      <c r="H1904" s="1" t="str">
        <f>IFERROR(__xludf.DUMMYFUNCTION("""COMPUTED_VALUE"""),"REGINE VILLANUEVA TAYAD")</f>
        <v>REGINE VILLANUEVA TAYAD</v>
      </c>
      <c r="I1904" s="1">
        <f>IFERROR(__xludf.DUMMYFUNCTION("""COMPUTED_VALUE"""),9674070443)</f>
        <v>9674070443</v>
      </c>
      <c r="J1904" s="1"/>
      <c r="K1904" s="1" t="str">
        <f>IFERROR(__xludf.DUMMYFUNCTION("""COMPUTED_VALUE"""),"reginevillanueva250@gmail.com")</f>
        <v>reginevillanueva250@gmail.com</v>
      </c>
      <c r="L1904" s="1" t="str">
        <f>IFERROR(__xludf.DUMMYFUNCTION("""COMPUTED_VALUE"""),"1021")</f>
        <v>1021</v>
      </c>
      <c r="M1904" s="1" t="str">
        <f>IFERROR(__xludf.DUMMYFUNCTION("""COMPUTED_VALUE"""),"PUROK 36")</f>
        <v>PUROK 36</v>
      </c>
      <c r="N1904" s="1"/>
      <c r="O1904" s="1" t="str">
        <f>IFERROR(__xludf.DUMMYFUNCTION("""COMPUTED_VALUE"""),"GUINHAWA SOUTH")</f>
        <v>GUINHAWA SOUTH</v>
      </c>
      <c r="P1904" s="1" t="str">
        <f>IFERROR(__xludf.DUMMYFUNCTION("""COMPUTED_VALUE"""),"TAGAYTAY")</f>
        <v>TAGAYTAY</v>
      </c>
      <c r="Q1904" s="1" t="str">
        <f>IFERROR(__xludf.DUMMYFUNCTION("""COMPUTED_VALUE"""),"CAVITE")</f>
        <v>CAVITE</v>
      </c>
      <c r="R1904" s="1" t="str">
        <f>IFERROR(__xludf.DUMMYFUNCTION("""COMPUTED_VALUE"""),"FIBR UNLI ALL PLAN 1399")</f>
        <v>FIBR UNLI ALL PLAN 1399</v>
      </c>
      <c r="S1904" s="1" t="str">
        <f>IFERROR(__xludf.DUMMYFUNCTION("""COMPUTED_VALUE"""),"APPROVED")</f>
        <v>APPROVED</v>
      </c>
      <c r="T1904" s="1" t="str">
        <f>IFERROR(__xludf.DUMMYFUNCTION("""COMPUTED_VALUE"""),"CLOSED")</f>
        <v>CLOSED</v>
      </c>
      <c r="U1904" s="1" t="str">
        <f>IFERROR(__xludf.DUMMYFUNCTION("""COMPUTED_VALUE"""),"POSTED")</f>
        <v>POSTED</v>
      </c>
      <c r="V1904" s="1"/>
      <c r="W1904" s="1"/>
    </row>
    <row r="1905" customHeight="1" spans="1:23">
      <c r="A1905" s="3">
        <f>IFERROR(__xludf.DUMMYFUNCTION("""COMPUTED_VALUE"""),46171)</f>
        <v>46171</v>
      </c>
      <c r="B1905" s="1" t="str">
        <f>IFERROR(__xludf.DUMMYFUNCTION("""COMPUTED_VALUE"""),"MALIWAT MARK ELVIN")</f>
        <v>MALIWAT MARK ELVIN</v>
      </c>
      <c r="C1905" s="1" t="str">
        <f>IFERROR(__xludf.DUMMYFUNCTION("""COMPUTED_VALUE"""),"FLA")</f>
        <v>FLA</v>
      </c>
      <c r="D1905" s="1" t="str">
        <f>IFERROR(__xludf.DUMMYFUNCTION("""COMPUTED_VALUE"""),"JERIC NAVARRO")</f>
        <v>JERIC NAVARRO</v>
      </c>
      <c r="E1905" s="1" t="str">
        <f>IFERROR(__xludf.DUMMYFUNCTION("""COMPUTED_VALUE"""),"PLDT / ONLINE")</f>
        <v>PLDT / ONLINE</v>
      </c>
      <c r="F1905" s="1">
        <f>IFERROR(__xludf.DUMMYFUNCTION("""COMPUTED_VALUE"""),2309802868)</f>
        <v>2309802868</v>
      </c>
      <c r="G1905" s="1">
        <f>IFERROR(__xludf.DUMMYFUNCTION("""COMPUTED_VALUE"""),456538402004)</f>
        <v>456538402004</v>
      </c>
      <c r="H1905" s="1" t="str">
        <f>IFERROR(__xludf.DUMMYFUNCTION("""COMPUTED_VALUE"""),"CHERRY ANJELL LOPEZ BALABARINO")</f>
        <v>CHERRY ANJELL LOPEZ BALABARINO</v>
      </c>
      <c r="I1905" s="1">
        <f>IFERROR(__xludf.DUMMYFUNCTION("""COMPUTED_VALUE"""),9102269566)</f>
        <v>9102269566</v>
      </c>
      <c r="J1905" s="1"/>
      <c r="K1905" s="1" t="str">
        <f>IFERROR(__xludf.DUMMYFUNCTION("""COMPUTED_VALUE"""),"teacherschestvirtuallearning@gmail.com")</f>
        <v>teacherschestvirtuallearning@gmail.com</v>
      </c>
      <c r="L1905" s="1" t="str">
        <f>IFERROR(__xludf.DUMMYFUNCTION("""COMPUTED_VALUE"""),"BLK 6 LOT 2")</f>
        <v>BLK 6 LOT 2</v>
      </c>
      <c r="M1905" s="1" t="str">
        <f>IFERROR(__xludf.DUMMYFUNCTION("""COMPUTED_VALUE"""),"GREENBREEZE")</f>
        <v>GREENBREEZE</v>
      </c>
      <c r="N1905" s="1"/>
      <c r="O1905" s="1" t="str">
        <f>IFERROR(__xludf.DUMMYFUNCTION("""COMPUTED_VALUE"""),"LANGKAAN I")</f>
        <v>LANGKAAN I</v>
      </c>
      <c r="P1905" s="1" t="str">
        <f>IFERROR(__xludf.DUMMYFUNCTION("""COMPUTED_VALUE"""),"DASMARINAS")</f>
        <v>DASMARINAS</v>
      </c>
      <c r="Q1905" s="1" t="str">
        <f>IFERROR(__xludf.DUMMYFUNCTION("""COMPUTED_VALUE"""),"CAVITE")</f>
        <v>CAVITE</v>
      </c>
      <c r="R1905" s="1" t="str">
        <f>IFERROR(__xludf.DUMMYFUNCTION("""COMPUTED_VALUE"""),"SWITCH FIBR UNLI ALL PLAN 1399")</f>
        <v>SWITCH FIBR UNLI ALL PLAN 1399</v>
      </c>
      <c r="S1905" s="1" t="str">
        <f>IFERROR(__xludf.DUMMYFUNCTION("""COMPUTED_VALUE"""),"APPROVED")</f>
        <v>APPROVED</v>
      </c>
      <c r="T1905" s="1"/>
      <c r="U1905" s="1"/>
      <c r="V1905" s="1"/>
      <c r="W1905" s="1"/>
    </row>
    <row r="1906" customHeight="1" spans="1:23">
      <c r="A1906" s="3">
        <f>IFERROR(__xludf.DUMMYFUNCTION("""COMPUTED_VALUE"""),46172)</f>
        <v>46172</v>
      </c>
      <c r="B1906" s="1" t="str">
        <f>IFERROR(__xludf.DUMMYFUNCTION("""COMPUTED_VALUE"""),"MALIWAT MARK ELVIN")</f>
        <v>MALIWAT MARK ELVIN</v>
      </c>
      <c r="C1906" s="1" t="str">
        <f>IFERROR(__xludf.DUMMYFUNCTION("""COMPUTED_VALUE"""),"FLA")</f>
        <v>FLA</v>
      </c>
      <c r="D1906" s="1" t="str">
        <f>IFERROR(__xludf.DUMMYFUNCTION("""COMPUTED_VALUE"""),"JERIC NAVARRO")</f>
        <v>JERIC NAVARRO</v>
      </c>
      <c r="E1906" s="1" t="str">
        <f>IFERROR(__xludf.DUMMYFUNCTION("""COMPUTED_VALUE"""),"PLDT / ONLINE")</f>
        <v>PLDT / ONLINE</v>
      </c>
      <c r="F1906" s="1">
        <f>IFERROR(__xludf.DUMMYFUNCTION("""COMPUTED_VALUE"""),2309810334)</f>
        <v>2309810334</v>
      </c>
      <c r="G1906" s="1">
        <f>IFERROR(__xludf.DUMMYFUNCTION("""COMPUTED_VALUE"""),456621733004)</f>
        <v>456621733004</v>
      </c>
      <c r="H1906" s="1" t="str">
        <f>IFERROR(__xludf.DUMMYFUNCTION("""COMPUTED_VALUE"""),"CARLO GUERIBA COLLANTES")</f>
        <v>CARLO GUERIBA COLLANTES</v>
      </c>
      <c r="I1906" s="1">
        <f>IFERROR(__xludf.DUMMYFUNCTION("""COMPUTED_VALUE"""),9512379303)</f>
        <v>9512379303</v>
      </c>
      <c r="J1906" s="1"/>
      <c r="K1906" s="1" t="str">
        <f>IFERROR(__xludf.DUMMYFUNCTION("""COMPUTED_VALUE"""),"oninonin990@gmail.com")</f>
        <v>oninonin990@gmail.com</v>
      </c>
      <c r="L1906" s="1" t="str">
        <f>IFERROR(__xludf.DUMMYFUNCTION("""COMPUTED_VALUE"""),"BLK 11 LOT 21")</f>
        <v>BLK 11 LOT 21</v>
      </c>
      <c r="M1906" s="1" t="str">
        <f>IFERROR(__xludf.DUMMYFUNCTION("""COMPUTED_VALUE"""),"ABOT KAMAY")</f>
        <v>ABOT KAMAY</v>
      </c>
      <c r="N1906" s="1"/>
      <c r="O1906" s="1" t="str">
        <f>IFERROR(__xludf.DUMMYFUNCTION("""COMPUTED_VALUE"""),"LANGKAAN I")</f>
        <v>LANGKAAN I</v>
      </c>
      <c r="P1906" s="1" t="str">
        <f>IFERROR(__xludf.DUMMYFUNCTION("""COMPUTED_VALUE"""),"DASMARINAS")</f>
        <v>DASMARINAS</v>
      </c>
      <c r="Q1906" s="1" t="str">
        <f>IFERROR(__xludf.DUMMYFUNCTION("""COMPUTED_VALUE"""),"CAVITE")</f>
        <v>CAVITE</v>
      </c>
      <c r="R1906" s="1" t="str">
        <f>IFERROR(__xludf.DUMMYFUNCTION("""COMPUTED_VALUE"""),"FIBR PLAN 2699")</f>
        <v>FIBR PLAN 2699</v>
      </c>
      <c r="S1906" s="1" t="str">
        <f>IFERROR(__xludf.DUMMYFUNCTION("""COMPUTED_VALUE"""),"APPROVED")</f>
        <v>APPROVED</v>
      </c>
      <c r="T1906" s="1" t="str">
        <f>IFERROR(__xludf.DUMMYFUNCTION("""COMPUTED_VALUE"""),"CLOSED")</f>
        <v>CLOSED</v>
      </c>
      <c r="U1906" s="1"/>
      <c r="V1906" s="1"/>
      <c r="W1906" s="1"/>
    </row>
    <row r="1907" customHeight="1" spans="1:23">
      <c r="A1907" s="3">
        <f>IFERROR(__xludf.DUMMYFUNCTION("""COMPUTED_VALUE"""),46172)</f>
        <v>46172</v>
      </c>
      <c r="B1907" s="1" t="str">
        <f>IFERROR(__xludf.DUMMYFUNCTION("""COMPUTED_VALUE"""),"ESCARCHA, MA ALMA  ESCOTO")</f>
        <v>ESCARCHA, MA ALMA  ESCOTO</v>
      </c>
      <c r="C1907" s="1" t="str">
        <f>IFERROR(__xludf.DUMMYFUNCTION("""COMPUTED_VALUE"""),"ORGANIC")</f>
        <v>ORGANIC</v>
      </c>
      <c r="D1907" s="1" t="str">
        <f>IFERROR(__xludf.DUMMYFUNCTION("""COMPUTED_VALUE"""),"ALINGARO, CINDY")</f>
        <v>ALINGARO, CINDY</v>
      </c>
      <c r="E1907" s="1" t="str">
        <f>IFERROR(__xludf.DUMMYFUNCTION("""COMPUTED_VALUE"""),"PLDT / H2H")</f>
        <v>PLDT / H2H</v>
      </c>
      <c r="F1907" s="1"/>
      <c r="G1907" s="1"/>
      <c r="H1907" s="1" t="str">
        <f>IFERROR(__xludf.DUMMYFUNCTION("""COMPUTED_VALUE"""),"s")</f>
        <v>s</v>
      </c>
      <c r="I1907" s="1">
        <f>IFERROR(__xludf.DUMMYFUNCTION("""COMPUTED_VALUE"""),9525841417)</f>
        <v>9525841417</v>
      </c>
      <c r="J1907" s="1">
        <f>IFERROR(__xludf.DUMMYFUNCTION("""COMPUTED_VALUE"""),9674393110)</f>
        <v>9674393110</v>
      </c>
      <c r="K1907" s="1" t="str">
        <f>IFERROR(__xludf.DUMMYFUNCTION("""COMPUTED_VALUE"""),"gelg61335@gmail.com")</f>
        <v>gelg61335@gmail.com</v>
      </c>
      <c r="L1907" s="1" t="str">
        <f>IFERROR(__xludf.DUMMYFUNCTION("""COMPUTED_VALUE"""),"136")</f>
        <v>136</v>
      </c>
      <c r="M1907" s="1" t="str">
        <f>IFERROR(__xludf.DUMMYFUNCTION("""COMPUTED_VALUE"""),"PUROK 4")</f>
        <v>PUROK 4</v>
      </c>
      <c r="N1907" s="1"/>
      <c r="O1907" s="1" t="str">
        <f>IFERROR(__xludf.DUMMYFUNCTION("""COMPUTED_VALUE"""),"MALAKING TATYAO")</f>
        <v>MALAKING TATYAO</v>
      </c>
      <c r="P1907" s="1" t="str">
        <f>IFERROR(__xludf.DUMMYFUNCTION("""COMPUTED_VALUE"""),"SILANG")</f>
        <v>SILANG</v>
      </c>
      <c r="Q1907" s="1" t="str">
        <f>IFERROR(__xludf.DUMMYFUNCTION("""COMPUTED_VALUE"""),"CAVITE")</f>
        <v>CAVITE</v>
      </c>
      <c r="R1907" s="1" t="str">
        <f>IFERROR(__xludf.DUMMYFUNCTION("""COMPUTED_VALUE"""),"FIBR UNLI ALL PLAN 999")</f>
        <v>FIBR UNLI ALL PLAN 999</v>
      </c>
      <c r="S1907" s="1" t="str">
        <f>IFERROR(__xludf.DUMMYFUNCTION("""COMPUTED_VALUE"""),"RETURN FOR COMPLIANCE-TL")</f>
        <v>RETURN FOR COMPLIANCE-TL</v>
      </c>
      <c r="T1907" s="1" t="str">
        <f>IFERROR(__xludf.DUMMYFUNCTION("""COMPUTED_VALUE"""),"NAP FULL")</f>
        <v>NAP FULL</v>
      </c>
      <c r="U1907" s="1"/>
      <c r="V1907" s="1"/>
      <c r="W1907" s="1"/>
    </row>
    <row r="1908" customHeight="1" spans="1:23">
      <c r="A1908" s="3">
        <f>IFERROR(__xludf.DUMMYFUNCTION("""COMPUTED_VALUE"""),46172)</f>
        <v>46172</v>
      </c>
      <c r="B1908" s="1" t="str">
        <f>IFERROR(__xludf.DUMMYFUNCTION("""COMPUTED_VALUE"""),"GABAY, MANUEL")</f>
        <v>GABAY, MANUEL</v>
      </c>
      <c r="C1908" s="1" t="str">
        <f>IFERROR(__xludf.DUMMYFUNCTION("""COMPUTED_VALUE"""),"FLA")</f>
        <v>FLA</v>
      </c>
      <c r="D1908" s="1" t="str">
        <f>IFERROR(__xludf.DUMMYFUNCTION("""COMPUTED_VALUE"""),"JERIC NAVARRO")</f>
        <v>JERIC NAVARRO</v>
      </c>
      <c r="E1908" s="1" t="str">
        <f>IFERROR(__xludf.DUMMYFUNCTION("""COMPUTED_VALUE"""),"RED FIBER")</f>
        <v>RED FIBER</v>
      </c>
      <c r="F1908" s="1"/>
      <c r="G1908" s="1"/>
      <c r="H1908" s="1" t="str">
        <f>IFERROR(__xludf.DUMMYFUNCTION("""COMPUTED_VALUE"""),"PETER CRIS HERNANDEZ VIDA")</f>
        <v>PETER CRIS HERNANDEZ VIDA</v>
      </c>
      <c r="I1908" s="1">
        <f>IFERROR(__xludf.DUMMYFUNCTION("""COMPUTED_VALUE"""),9640849472)</f>
        <v>9640849472</v>
      </c>
      <c r="J1908" s="1">
        <f>IFERROR(__xludf.DUMMYFUNCTION("""COMPUTED_VALUE"""),9926601881)</f>
        <v>9926601881</v>
      </c>
      <c r="K1908" s="1" t="str">
        <f>IFERROR(__xludf.DUMMYFUNCTION("""COMPUTED_VALUE"""),"petervida21@gmail.com")</f>
        <v>petervida21@gmail.com</v>
      </c>
      <c r="L1908" s="1" t="str">
        <f>IFERROR(__xludf.DUMMYFUNCTION("""COMPUTED_VALUE"""),"16")</f>
        <v>16</v>
      </c>
      <c r="M1908" s="1" t="str">
        <f>IFERROR(__xludf.DUMMYFUNCTION("""COMPUTED_VALUE"""),"SAINT FRANCIS ")</f>
        <v>SAINT FRANCIS </v>
      </c>
      <c r="N1908" s="1"/>
      <c r="O1908" s="1" t="str">
        <f>IFERROR(__xludf.DUMMYFUNCTION("""COMPUTED_VALUE"""),"ASIS III")</f>
        <v>ASIS III</v>
      </c>
      <c r="P1908" s="1" t="str">
        <f>IFERROR(__xludf.DUMMYFUNCTION("""COMPUTED_VALUE"""),"MENDEZ")</f>
        <v>MENDEZ</v>
      </c>
      <c r="Q1908" s="1" t="str">
        <f>IFERROR(__xludf.DUMMYFUNCTION("""COMPUTED_VALUE"""),"CAVITE")</f>
        <v>CAVITE</v>
      </c>
      <c r="R1908" s="1" t="str">
        <f>IFERROR(__xludf.DUMMYFUNCTION("""COMPUTED_VALUE"""),"RED PLAN 1000")</f>
        <v>RED PLAN 1000</v>
      </c>
      <c r="S1908" s="1" t="str">
        <f>IFERROR(__xludf.DUMMYFUNCTION("""COMPUTED_VALUE"""),"APPROVED")</f>
        <v>APPROVED</v>
      </c>
      <c r="T1908" s="1" t="str">
        <f>IFERROR(__xludf.DUMMYFUNCTION("""COMPUTED_VALUE"""),"AS PER SUBS HINTAY MAG DECIDE YUNG FINANCER")</f>
        <v>AS PER SUBS HINTAY MAG DECIDE YUNG FINANCER</v>
      </c>
      <c r="U1908" s="1"/>
      <c r="V1908" s="1"/>
      <c r="W1908" s="1"/>
    </row>
    <row r="1909" customHeight="1" spans="1:23">
      <c r="A1909" s="3">
        <f>IFERROR(__xludf.DUMMYFUNCTION("""COMPUTED_VALUE"""),46172)</f>
        <v>46172</v>
      </c>
      <c r="B1909" s="1" t="str">
        <f>IFERROR(__xludf.DUMMYFUNCTION("""COMPUTED_VALUE"""),"DELA ROSA, JENNELYN")</f>
        <v>DELA ROSA, JENNELYN</v>
      </c>
      <c r="C1909" s="1" t="str">
        <f>IFERROR(__xludf.DUMMYFUNCTION("""COMPUTED_VALUE"""),"ORGANIC")</f>
        <v>ORGANIC</v>
      </c>
      <c r="D1909" s="1" t="str">
        <f>IFERROR(__xludf.DUMMYFUNCTION("""COMPUTED_VALUE"""),"ALOS, CHARLS")</f>
        <v>ALOS, CHARLS</v>
      </c>
      <c r="E1909" s="1" t="str">
        <f>IFERROR(__xludf.DUMMYFUNCTION("""COMPUTED_VALUE"""),"PLDT / ONLINE")</f>
        <v>PLDT / ONLINE</v>
      </c>
      <c r="F1909" s="1"/>
      <c r="G1909" s="1"/>
      <c r="H1909" s="1" t="str">
        <f>IFERROR(__xludf.DUMMYFUNCTION("""COMPUTED_VALUE"""),"BENJOIE DE VERA MASIGLAT")</f>
        <v>BENJOIE DE VERA MASIGLAT</v>
      </c>
      <c r="I1909" s="1">
        <f>IFERROR(__xludf.DUMMYFUNCTION("""COMPUTED_VALUE"""),9951154103)</f>
        <v>9951154103</v>
      </c>
      <c r="J1909" s="1">
        <f>IFERROR(__xludf.DUMMYFUNCTION("""COMPUTED_VALUE"""),9926017755)</f>
        <v>9926017755</v>
      </c>
      <c r="K1909" s="1" t="str">
        <f>IFERROR(__xludf.DUMMYFUNCTION("""COMPUTED_VALUE"""),"bmasiglat49@gmail.com")</f>
        <v>bmasiglat49@gmail.com</v>
      </c>
      <c r="L1909" s="1" t="str">
        <f>IFERROR(__xludf.DUMMYFUNCTION("""COMPUTED_VALUE"""),"BLK 15 LOT 9 ")</f>
        <v>BLK 15 LOT 9 </v>
      </c>
      <c r="M1909" s="1" t="str">
        <f>IFERROR(__xludf.DUMMYFUNCTION("""COMPUTED_VALUE"""),"SAINT JOSEPH 9 ")</f>
        <v>SAINT JOSEPH 9 </v>
      </c>
      <c r="N1909" s="1"/>
      <c r="O1909" s="1"/>
      <c r="P1909" s="1"/>
      <c r="Q1909" s="1" t="str">
        <f>IFERROR(__xludf.DUMMYFUNCTION("""COMPUTED_VALUE"""),"LAGUNA")</f>
        <v>LAGUNA</v>
      </c>
      <c r="R1909" s="1" t="str">
        <f>IFERROR(__xludf.DUMMYFUNCTION("""COMPUTED_VALUE"""),"FIBR UNLI ALL PLAN 999")</f>
        <v>FIBR UNLI ALL PLAN 999</v>
      </c>
      <c r="S1909" s="1" t="str">
        <f>IFERROR(__xludf.DUMMYFUNCTION("""COMPUTED_VALUE"""),"CANCELLED ")</f>
        <v>CANCELLED </v>
      </c>
      <c r="T1909" s="1" t="str">
        <f>IFERROR(__xludf.DUMMYFUNCTION("""COMPUTED_VALUE"""),"NOT AOR OF LAGUNA ENDORSED TO GMM MAAM SHAI")</f>
        <v>NOT AOR OF LAGUNA ENDORSED TO GMM MAAM SHAI</v>
      </c>
      <c r="U1909" s="1"/>
      <c r="V1909" s="1"/>
      <c r="W1909" s="1"/>
    </row>
    <row r="1910" customHeight="1" spans="1:23">
      <c r="A1910" s="3">
        <f>IFERROR(__xludf.DUMMYFUNCTION("""COMPUTED_VALUE"""),46172)</f>
        <v>46172</v>
      </c>
      <c r="B1910" s="1" t="str">
        <f>IFERROR(__xludf.DUMMYFUNCTION("""COMPUTED_VALUE"""),"FARO, REFRANTA")</f>
        <v>FARO, REFRANTA</v>
      </c>
      <c r="C1910" s="1" t="str">
        <f>IFERROR(__xludf.DUMMYFUNCTION("""COMPUTED_VALUE"""),"ORGANIC")</f>
        <v>ORGANIC</v>
      </c>
      <c r="D1910" s="1" t="str">
        <f>IFERROR(__xludf.DUMMYFUNCTION("""COMPUTED_VALUE"""),"ALINGARO, CINDY")</f>
        <v>ALINGARO, CINDY</v>
      </c>
      <c r="E1910" s="1" t="str">
        <f>IFERROR(__xludf.DUMMYFUNCTION("""COMPUTED_VALUE"""),"PLDT / H2H")</f>
        <v>PLDT / H2H</v>
      </c>
      <c r="F1910" s="1">
        <f>IFERROR(__xludf.DUMMYFUNCTION("""COMPUTED_VALUE"""),2309814934)</f>
        <v>2309814934</v>
      </c>
      <c r="G1910" s="1">
        <f>IFERROR(__xludf.DUMMYFUNCTION("""COMPUTED_VALUE"""),456751660004)</f>
        <v>456751660004</v>
      </c>
      <c r="H1910" s="1" t="str">
        <f>IFERROR(__xludf.DUMMYFUNCTION("""COMPUTED_VALUE"""),"MARY ANN BANEZ DOG-E")</f>
        <v>MARY ANN BANEZ DOG-E</v>
      </c>
      <c r="I1910" s="1">
        <f>IFERROR(__xludf.DUMMYFUNCTION("""COMPUTED_VALUE"""),9215580046)</f>
        <v>9215580046</v>
      </c>
      <c r="J1910" s="1"/>
      <c r="K1910" s="1" t="str">
        <f>IFERROR(__xludf.DUMMYFUNCTION("""COMPUTED_VALUE"""),"maryann.banez81@gmail.com")</f>
        <v>maryann.banez81@gmail.com</v>
      </c>
      <c r="L1910" s="1" t="str">
        <f>IFERROR(__xludf.DUMMYFUNCTION("""COMPUTED_VALUE"""),"3")</f>
        <v>3</v>
      </c>
      <c r="M1910" s="1" t="str">
        <f>IFERROR(__xludf.DUMMYFUNCTION("""COMPUTED_VALUE"""),"ZAMBAL RD")</f>
        <v>ZAMBAL RD</v>
      </c>
      <c r="N1910" s="1"/>
      <c r="O1910" s="1" t="str">
        <f>IFERROR(__xludf.DUMMYFUNCTION("""COMPUTED_VALUE"""),"ZAMBAL")</f>
        <v>ZAMBAL</v>
      </c>
      <c r="P1910" s="1" t="str">
        <f>IFERROR(__xludf.DUMMYFUNCTION("""COMPUTED_VALUE"""),"TAGAYTAY")</f>
        <v>TAGAYTAY</v>
      </c>
      <c r="Q1910" s="1" t="str">
        <f>IFERROR(__xludf.DUMMYFUNCTION("""COMPUTED_VALUE"""),"CAVITE")</f>
        <v>CAVITE</v>
      </c>
      <c r="R1910" s="1" t="str">
        <f>IFERROR(__xludf.DUMMYFUNCTION("""COMPUTED_VALUE"""),"FIBR NETFLIX PLAN 1599")</f>
        <v>FIBR NETFLIX PLAN 1599</v>
      </c>
      <c r="S1910" s="1" t="str">
        <f>IFERROR(__xludf.DUMMYFUNCTION("""COMPUTED_VALUE"""),"APPROVED")</f>
        <v>APPROVED</v>
      </c>
      <c r="T1910" s="1" t="str">
        <f>IFERROR(__xludf.DUMMYFUNCTION("""COMPUTED_VALUE"""),"CLOSED")</f>
        <v>CLOSED</v>
      </c>
      <c r="U1910" s="1" t="str">
        <f>IFERROR(__xludf.DUMMYFUNCTION("""COMPUTED_VALUE"""),"POSTED")</f>
        <v>POSTED</v>
      </c>
      <c r="V1910" s="1"/>
      <c r="W1910" s="1"/>
    </row>
    <row r="1911" customHeight="1" spans="1:23">
      <c r="A1911" s="3">
        <f>IFERROR(__xludf.DUMMYFUNCTION("""COMPUTED_VALUE"""),46172)</f>
        <v>46172</v>
      </c>
      <c r="B1911" s="1" t="str">
        <f>IFERROR(__xludf.DUMMYFUNCTION("""COMPUTED_VALUE"""),"AGUNOS, JHON AIRVIN")</f>
        <v>AGUNOS, JHON AIRVIN</v>
      </c>
      <c r="C1911" s="1" t="str">
        <f>IFERROR(__xludf.DUMMYFUNCTION("""COMPUTED_VALUE"""),"ORGANIC")</f>
        <v>ORGANIC</v>
      </c>
      <c r="D1911" s="1" t="str">
        <f>IFERROR(__xludf.DUMMYFUNCTION("""COMPUTED_VALUE"""),"ALINGARO, CINDY")</f>
        <v>ALINGARO, CINDY</v>
      </c>
      <c r="E1911" s="1" t="str">
        <f>IFERROR(__xludf.DUMMYFUNCTION("""COMPUTED_VALUE"""),"PLDT / H2H")</f>
        <v>PLDT / H2H</v>
      </c>
      <c r="F1911" s="1">
        <f>IFERROR(__xludf.DUMMYFUNCTION("""COMPUTED_VALUE"""),2309816566)</f>
        <v>2309816566</v>
      </c>
      <c r="G1911" s="1">
        <f>IFERROR(__xludf.DUMMYFUNCTION("""COMPUTED_VALUE"""),456632342004)</f>
        <v>456632342004</v>
      </c>
      <c r="H1911" s="1" t="str">
        <f>IFERROR(__xludf.DUMMYFUNCTION("""COMPUTED_VALUE"""),"LAILYN MENDOZA EMILIO")</f>
        <v>LAILYN MENDOZA EMILIO</v>
      </c>
      <c r="I1911" s="1">
        <f>IFERROR(__xludf.DUMMYFUNCTION("""COMPUTED_VALUE"""),9568674179)</f>
        <v>9568674179</v>
      </c>
      <c r="J1911" s="1"/>
      <c r="K1911" s="1" t="str">
        <f>IFERROR(__xludf.DUMMYFUNCTION("""COMPUTED_VALUE"""),"lailynemilio@yahoo.com")</f>
        <v>lailynemilio@yahoo.com</v>
      </c>
      <c r="L1911" s="1" t="str">
        <f>IFERROR(__xludf.DUMMYFUNCTION("""COMPUTED_VALUE"""),"9889")</f>
        <v>9889</v>
      </c>
      <c r="M1911" s="1" t="str">
        <f>IFERROR(__xludf.DUMMYFUNCTION("""COMPUTED_VALUE"""),"MAITIM")</f>
        <v>MAITIM</v>
      </c>
      <c r="N1911" s="1"/>
      <c r="O1911" s="1" t="str">
        <f>IFERROR(__xludf.DUMMYFUNCTION("""COMPUTED_VALUE"""),"MAITIM 2ND EAST")</f>
        <v>MAITIM 2ND EAST</v>
      </c>
      <c r="P1911" s="1" t="str">
        <f>IFERROR(__xludf.DUMMYFUNCTION("""COMPUTED_VALUE"""),"TAGAYTAY")</f>
        <v>TAGAYTAY</v>
      </c>
      <c r="Q1911" s="1" t="str">
        <f>IFERROR(__xludf.DUMMYFUNCTION("""COMPUTED_VALUE"""),"CAVITE")</f>
        <v>CAVITE</v>
      </c>
      <c r="R1911" s="1" t="str">
        <f>IFERROR(__xludf.DUMMYFUNCTION("""COMPUTED_VALUE"""),"FIBR NETFLIX PLAN 1599")</f>
        <v>FIBR NETFLIX PLAN 1599</v>
      </c>
      <c r="S1911" s="1" t="str">
        <f>IFERROR(__xludf.DUMMYFUNCTION("""COMPUTED_VALUE"""),"APPROVED")</f>
        <v>APPROVED</v>
      </c>
      <c r="T1911" s="1" t="str">
        <f>IFERROR(__xludf.DUMMYFUNCTION("""COMPUTED_VALUE"""),"RPR")</f>
        <v>RPR</v>
      </c>
      <c r="U1911" s="1"/>
      <c r="V1911" s="1"/>
      <c r="W1911" s="1"/>
    </row>
    <row r="1912" customHeight="1" spans="1:23">
      <c r="A1912" s="3">
        <f>IFERROR(__xludf.DUMMYFUNCTION("""COMPUTED_VALUE"""),46172)</f>
        <v>46172</v>
      </c>
      <c r="B1912" s="1" t="str">
        <f>IFERROR(__xludf.DUMMYFUNCTION("""COMPUTED_VALUE"""),"GABAY, MANUEL")</f>
        <v>GABAY, MANUEL</v>
      </c>
      <c r="C1912" s="1" t="str">
        <f>IFERROR(__xludf.DUMMYFUNCTION("""COMPUTED_VALUE"""),"FLA")</f>
        <v>FLA</v>
      </c>
      <c r="D1912" s="1" t="str">
        <f>IFERROR(__xludf.DUMMYFUNCTION("""COMPUTED_VALUE"""),"JERIC NAVARRO")</f>
        <v>JERIC NAVARRO</v>
      </c>
      <c r="E1912" s="1" t="str">
        <f>IFERROR(__xludf.DUMMYFUNCTION("""COMPUTED_VALUE"""),"PLDT / H2H")</f>
        <v>PLDT / H2H</v>
      </c>
      <c r="F1912" s="1">
        <f>IFERROR(__xludf.DUMMYFUNCTION("""COMPUTED_VALUE"""),2309817177)</f>
        <v>2309817177</v>
      </c>
      <c r="G1912" s="1">
        <f>IFERROR(__xludf.DUMMYFUNCTION("""COMPUTED_VALUE"""),456632528004)</f>
        <v>456632528004</v>
      </c>
      <c r="H1912" s="1" t="str">
        <f>IFERROR(__xludf.DUMMYFUNCTION("""COMPUTED_VALUE"""),"MAGALLANES ANASTACIO DIMARANAN")</f>
        <v>MAGALLANES ANASTACIO DIMARANAN</v>
      </c>
      <c r="I1912" s="1">
        <f>IFERROR(__xludf.DUMMYFUNCTION("""COMPUTED_VALUE"""),9611189605)</f>
        <v>9611189605</v>
      </c>
      <c r="J1912" s="1">
        <f>IFERROR(__xludf.DUMMYFUNCTION("""COMPUTED_VALUE"""),929898816)</f>
        <v>929898816</v>
      </c>
      <c r="K1912" s="1" t="str">
        <f>IFERROR(__xludf.DUMMYFUNCTION("""COMPUTED_VALUE"""),"dimarananmichan582@gmail.com")</f>
        <v>dimarananmichan582@gmail.com</v>
      </c>
      <c r="L1912" s="1" t="str">
        <f>IFERROR(__xludf.DUMMYFUNCTION("""COMPUTED_VALUE"""),"837")</f>
        <v>837</v>
      </c>
      <c r="M1912" s="1" t="str">
        <f>IFERROR(__xludf.DUMMYFUNCTION("""COMPUTED_VALUE"""),"ZAMORA")</f>
        <v>ZAMORA</v>
      </c>
      <c r="N1912" s="1"/>
      <c r="O1912" s="1" t="str">
        <f>IFERROR(__xludf.DUMMYFUNCTION("""COMPUTED_VALUE"""),"ASIS I")</f>
        <v>ASIS I</v>
      </c>
      <c r="P1912" s="1" t="str">
        <f>IFERROR(__xludf.DUMMYFUNCTION("""COMPUTED_VALUE"""),"MENDEZ")</f>
        <v>MENDEZ</v>
      </c>
      <c r="Q1912" s="1" t="str">
        <f>IFERROR(__xludf.DUMMYFUNCTION("""COMPUTED_VALUE"""),"CAVITE")</f>
        <v>CAVITE</v>
      </c>
      <c r="R1912" s="1" t="str">
        <f>IFERROR(__xludf.DUMMYFUNCTION("""COMPUTED_VALUE"""),"FIBR NETFLIX PLAN 1599")</f>
        <v>FIBR NETFLIX PLAN 1599</v>
      </c>
      <c r="S1912" s="1" t="str">
        <f>IFERROR(__xludf.DUMMYFUNCTION("""COMPUTED_VALUE"""),"APPROVED")</f>
        <v>APPROVED</v>
      </c>
      <c r="T1912" s="1" t="str">
        <f>IFERROR(__xludf.DUMMYFUNCTION("""COMPUTED_VALUE"""),"RPR")</f>
        <v>RPR</v>
      </c>
      <c r="U1912" s="1"/>
      <c r="V1912" s="1"/>
      <c r="W1912" s="1"/>
    </row>
    <row r="1913" customHeight="1" spans="1:23">
      <c r="A1913" s="3">
        <f>IFERROR(__xludf.DUMMYFUNCTION("""COMPUTED_VALUE"""),46172)</f>
        <v>46172</v>
      </c>
      <c r="B1913" s="1" t="str">
        <f>IFERROR(__xludf.DUMMYFUNCTION("""COMPUTED_VALUE"""),"DE VERA, MARIVIC")</f>
        <v>DE VERA, MARIVIC</v>
      </c>
      <c r="C1913" s="1" t="str">
        <f>IFERROR(__xludf.DUMMYFUNCTION("""COMPUTED_VALUE"""),"ORGANIC")</f>
        <v>ORGANIC</v>
      </c>
      <c r="D1913" s="1" t="str">
        <f>IFERROR(__xludf.DUMMYFUNCTION("""COMPUTED_VALUE"""),"REMOLLO LEA")</f>
        <v>REMOLLO LEA</v>
      </c>
      <c r="E1913" s="1" t="str">
        <f>IFERROR(__xludf.DUMMYFUNCTION("""COMPUTED_VALUE"""),"PLDT / ONLINE")</f>
        <v>PLDT / ONLINE</v>
      </c>
      <c r="F1913" s="1"/>
      <c r="G1913" s="1"/>
      <c r="H1913" s="1" t="str">
        <f>IFERROR(__xludf.DUMMYFUNCTION("""COMPUTED_VALUE"""),"ALJOHN TARGA")</f>
        <v>ALJOHN TARGA</v>
      </c>
      <c r="I1913" s="1">
        <f>IFERROR(__xludf.DUMMYFUNCTION("""COMPUTED_VALUE"""),9303480312)</f>
        <v>9303480312</v>
      </c>
      <c r="J1913" s="1"/>
      <c r="K1913" s="1" t="str">
        <f>IFERROR(__xludf.DUMMYFUNCTION("""COMPUTED_VALUE"""),"aljohntarga050595@gmail.com")</f>
        <v>aljohntarga050595@gmail.com</v>
      </c>
      <c r="L1913" s="1" t="str">
        <f>IFERROR(__xludf.DUMMYFUNCTION("""COMPUTED_VALUE"""),"B11 LOT 3")</f>
        <v>B11 LOT 3</v>
      </c>
      <c r="M1913" s="1" t="str">
        <f>IFERROR(__xludf.DUMMYFUNCTION("""COMPUTED_VALUE"""),"LE MOUBREZA")</f>
        <v>LE MOUBREZA</v>
      </c>
      <c r="N1913" s="1"/>
      <c r="O1913" s="1"/>
      <c r="P1913" s="1"/>
      <c r="Q1913" s="1" t="str">
        <f>IFERROR(__xludf.DUMMYFUNCTION("""COMPUTED_VALUE"""),"BATANGAS")</f>
        <v>BATANGAS</v>
      </c>
      <c r="R1913" s="1" t="str">
        <f>IFERROR(__xludf.DUMMYFUNCTION("""COMPUTED_VALUE"""),"FIBR UNLI ALL PLAN 1399")</f>
        <v>FIBR UNLI ALL PLAN 1399</v>
      </c>
      <c r="S1913" s="1" t="str">
        <f>IFERROR(__xludf.DUMMYFUNCTION("""COMPUTED_VALUE"""),"APPROVED")</f>
        <v>APPROVED</v>
      </c>
      <c r="T1913" s="1" t="str">
        <f>IFERROR(__xludf.DUMMYFUNCTION("""COMPUTED_VALUE"""),"ENDORSED TO BATANGAS")</f>
        <v>ENDORSED TO BATANGAS</v>
      </c>
      <c r="U1913" s="1"/>
      <c r="V1913" s="1"/>
      <c r="W1913" s="1"/>
    </row>
    <row r="1914" customHeight="1" spans="1:23">
      <c r="A1914" s="3">
        <f>IFERROR(__xludf.DUMMYFUNCTION("""COMPUTED_VALUE"""),46172)</f>
        <v>46172</v>
      </c>
      <c r="B1914" s="1" t="str">
        <f>IFERROR(__xludf.DUMMYFUNCTION("""COMPUTED_VALUE"""),"FRANCISCO , ROSELYN")</f>
        <v>FRANCISCO , ROSELYN</v>
      </c>
      <c r="C1914" s="1" t="str">
        <f>IFERROR(__xludf.DUMMYFUNCTION("""COMPUTED_VALUE"""),"ORGANIC")</f>
        <v>ORGANIC</v>
      </c>
      <c r="D1914" s="1" t="str">
        <f>IFERROR(__xludf.DUMMYFUNCTION("""COMPUTED_VALUE"""),"ALOS, CHARLS")</f>
        <v>ALOS, CHARLS</v>
      </c>
      <c r="E1914" s="1" t="str">
        <f>IFERROR(__xludf.DUMMYFUNCTION("""COMPUTED_VALUE"""),"PLDT / H2H")</f>
        <v>PLDT / H2H</v>
      </c>
      <c r="F1914" s="1">
        <f>IFERROR(__xludf.DUMMYFUNCTION("""COMPUTED_VALUE"""),2309818365)</f>
        <v>2309818365</v>
      </c>
      <c r="G1914" s="1">
        <f>IFERROR(__xludf.DUMMYFUNCTION("""COMPUTED_VALUE"""),456633697004)</f>
        <v>456633697004</v>
      </c>
      <c r="H1914" s="1" t="str">
        <f>IFERROR(__xludf.DUMMYFUNCTION("""COMPUTED_VALUE"""),"CRISVHER PENARANDA AMABROCIO")</f>
        <v>CRISVHER PENARANDA AMABROCIO</v>
      </c>
      <c r="I1914" s="1">
        <f>IFERROR(__xludf.DUMMYFUNCTION("""COMPUTED_VALUE"""),9076339926)</f>
        <v>9076339926</v>
      </c>
      <c r="J1914" s="1">
        <f>IFERROR(__xludf.DUMMYFUNCTION("""COMPUTED_VALUE"""),9858924104)</f>
        <v>9858924104</v>
      </c>
      <c r="K1914" s="1" t="str">
        <f>IFERROR(__xludf.DUMMYFUNCTION("""COMPUTED_VALUE"""),"yalexrg@gmail.com")</f>
        <v>yalexrg@gmail.com</v>
      </c>
      <c r="L1914" s="1" t="str">
        <f>IFERROR(__xludf.DUMMYFUNCTION("""COMPUTED_VALUE"""),"99")</f>
        <v>99</v>
      </c>
      <c r="M1914" s="1" t="str">
        <f>IFERROR(__xludf.DUMMYFUNCTION("""COMPUTED_VALUE"""),"MUZON RD")</f>
        <v>MUZON RD</v>
      </c>
      <c r="N1914" s="1"/>
      <c r="O1914" s="1" t="str">
        <f>IFERROR(__xludf.DUMMYFUNCTION("""COMPUTED_VALUE"""),"ASIS I")</f>
        <v>ASIS I</v>
      </c>
      <c r="P1914" s="1" t="str">
        <f>IFERROR(__xludf.DUMMYFUNCTION("""COMPUTED_VALUE"""),"MENDEZ")</f>
        <v>MENDEZ</v>
      </c>
      <c r="Q1914" s="1" t="str">
        <f>IFERROR(__xludf.DUMMYFUNCTION("""COMPUTED_VALUE"""),"CAVITE")</f>
        <v>CAVITE</v>
      </c>
      <c r="R1914" s="1" t="str">
        <f>IFERROR(__xludf.DUMMYFUNCTION("""COMPUTED_VALUE"""),"FIBR UNLI ALL PLAN 1399")</f>
        <v>FIBR UNLI ALL PLAN 1399</v>
      </c>
      <c r="S1914" s="1" t="str">
        <f>IFERROR(__xludf.DUMMYFUNCTION("""COMPUTED_VALUE"""),"APPROVED")</f>
        <v>APPROVED</v>
      </c>
      <c r="T1914" s="1" t="str">
        <f>IFERROR(__xludf.DUMMYFUNCTION("""COMPUTED_VALUE"""),"CLOSED")</f>
        <v>CLOSED</v>
      </c>
      <c r="U1914" s="1" t="str">
        <f>IFERROR(__xludf.DUMMYFUNCTION("""COMPUTED_VALUE"""),"PAID VIA GCASH")</f>
        <v>PAID VIA GCASH</v>
      </c>
      <c r="V1914" s="1"/>
      <c r="W1914" s="1"/>
    </row>
    <row r="1915" customHeight="1" spans="1:23">
      <c r="A1915" s="3">
        <f>IFERROR(__xludf.DUMMYFUNCTION("""COMPUTED_VALUE"""),46172)</f>
        <v>46172</v>
      </c>
      <c r="B1915" s="1" t="str">
        <f>IFERROR(__xludf.DUMMYFUNCTION("""COMPUTED_VALUE"""),"RIVERA, AIRIZH JOY")</f>
        <v>RIVERA, AIRIZH JOY</v>
      </c>
      <c r="C1915" s="1" t="str">
        <f>IFERROR(__xludf.DUMMYFUNCTION("""COMPUTED_VALUE"""),"ORGANIC")</f>
        <v>ORGANIC</v>
      </c>
      <c r="D1915" s="1" t="str">
        <f>IFERROR(__xludf.DUMMYFUNCTION("""COMPUTED_VALUE"""),"ALOS, CHARLS")</f>
        <v>ALOS, CHARLS</v>
      </c>
      <c r="E1915" s="1" t="str">
        <f>IFERROR(__xludf.DUMMYFUNCTION("""COMPUTED_VALUE"""),"PLDT / ONLINE")</f>
        <v>PLDT / ONLINE</v>
      </c>
      <c r="F1915" s="1">
        <f>IFERROR(__xludf.DUMMYFUNCTION("""COMPUTED_VALUE"""),2309819594)</f>
        <v>2309819594</v>
      </c>
      <c r="G1915" s="1">
        <f>IFERROR(__xludf.DUMMYFUNCTION("""COMPUTED_VALUE"""),456735055004)</f>
        <v>456735055004</v>
      </c>
      <c r="H1915" s="1" t="str">
        <f>IFERROR(__xludf.DUMMYFUNCTION("""COMPUTED_VALUE"""),"JAN JAY JOBHIE TUBIG")</f>
        <v>JAN JAY JOBHIE TUBIG</v>
      </c>
      <c r="I1915" s="1">
        <f>IFERROR(__xludf.DUMMYFUNCTION("""COMPUTED_VALUE"""),9938313077)</f>
        <v>9938313077</v>
      </c>
      <c r="J1915" s="1">
        <f>IFERROR(__xludf.DUMMYFUNCTION("""COMPUTED_VALUE"""),9925431400)</f>
        <v>9925431400</v>
      </c>
      <c r="K1915" s="1" t="str">
        <f>IFERROR(__xludf.DUMMYFUNCTION("""COMPUTED_VALUE"""),"jayjobhie16@gmail.com")</f>
        <v>jayjobhie16@gmail.com</v>
      </c>
      <c r="L1915" s="1" t="str">
        <f>IFERROR(__xludf.DUMMYFUNCTION("""COMPUTED_VALUE"""),"1040")</f>
        <v>1040</v>
      </c>
      <c r="M1915" s="1" t="str">
        <f>IFERROR(__xludf.DUMMYFUNCTION("""COMPUTED_VALUE"""),"JUDGE ALVAREZ")</f>
        <v>JUDGE ALVAREZ</v>
      </c>
      <c r="N1915" s="1"/>
      <c r="O1915" s="1" t="str">
        <f>IFERROR(__xludf.DUMMYFUNCTION("""COMPUTED_VALUE"""),"BARANGAY 42 (PINAGBUKLOD)")</f>
        <v>BARANGAY 42 (PINAGBUKLOD)</v>
      </c>
      <c r="P1915" s="1" t="str">
        <f>IFERROR(__xludf.DUMMYFUNCTION("""COMPUTED_VALUE"""),"CAVITE CITY")</f>
        <v>CAVITE CITY</v>
      </c>
      <c r="Q1915" s="1" t="str">
        <f>IFERROR(__xludf.DUMMYFUNCTION("""COMPUTED_VALUE"""),"CAVITE")</f>
        <v>CAVITE</v>
      </c>
      <c r="R1915" s="1" t="str">
        <f>IFERROR(__xludf.DUMMYFUNCTION("""COMPUTED_VALUE"""),"FIBR UNLI ALL PLAN 999")</f>
        <v>FIBR UNLI ALL PLAN 999</v>
      </c>
      <c r="S1915" s="1" t="str">
        <f>IFERROR(__xludf.DUMMYFUNCTION("""COMPUTED_VALUE"""),"APPROVED")</f>
        <v>APPROVED</v>
      </c>
      <c r="T1915" s="1" t="str">
        <f>IFERROR(__xludf.DUMMYFUNCTION("""COMPUTED_VALUE"""),"CANCELLED")</f>
        <v>CANCELLED</v>
      </c>
      <c r="U1915" s="1"/>
      <c r="V1915" s="1"/>
      <c r="W1915" s="1"/>
    </row>
    <row r="1916" customHeight="1" spans="1:23">
      <c r="A1916" s="3">
        <f>IFERROR(__xludf.DUMMYFUNCTION("""COMPUTED_VALUE"""),46172)</f>
        <v>46172</v>
      </c>
      <c r="B1916" s="1" t="str">
        <f>IFERROR(__xludf.DUMMYFUNCTION("""COMPUTED_VALUE"""),"MALIWAT MARK ELVIN")</f>
        <v>MALIWAT MARK ELVIN</v>
      </c>
      <c r="C1916" s="1" t="str">
        <f>IFERROR(__xludf.DUMMYFUNCTION("""COMPUTED_VALUE"""),"FLA")</f>
        <v>FLA</v>
      </c>
      <c r="D1916" s="1" t="str">
        <f>IFERROR(__xludf.DUMMYFUNCTION("""COMPUTED_VALUE"""),"JERIC NAVARRO")</f>
        <v>JERIC NAVARRO</v>
      </c>
      <c r="E1916" s="1" t="str">
        <f>IFERROR(__xludf.DUMMYFUNCTION("""COMPUTED_VALUE"""),"PLDT / ONLINE")</f>
        <v>PLDT / ONLINE</v>
      </c>
      <c r="F1916" s="1">
        <f>IFERROR(__xludf.DUMMYFUNCTION("""COMPUTED_VALUE"""),2309819616)</f>
        <v>2309819616</v>
      </c>
      <c r="G1916" s="1">
        <f>IFERROR(__xludf.DUMMYFUNCTION("""COMPUTED_VALUE"""),456641161004)</f>
        <v>456641161004</v>
      </c>
      <c r="H1916" s="1" t="str">
        <f>IFERROR(__xludf.DUMMYFUNCTION("""COMPUTED_VALUE"""),"IRENE CRIS ANDES MANREZA")</f>
        <v>IRENE CRIS ANDES MANREZA</v>
      </c>
      <c r="I1916" s="1">
        <f>IFERROR(__xludf.DUMMYFUNCTION("""COMPUTED_VALUE"""),9567002883)</f>
        <v>9567002883</v>
      </c>
      <c r="J1916" s="1">
        <f>IFERROR(__xludf.DUMMYFUNCTION("""COMPUTED_VALUE"""),9481525250)</f>
        <v>9481525250</v>
      </c>
      <c r="K1916" s="1" t="str">
        <f>IFERROR(__xludf.DUMMYFUNCTION("""COMPUTED_VALUE"""),"manrezairine@gmail.com")</f>
        <v>manrezairine@gmail.com</v>
      </c>
      <c r="L1916" s="1" t="str">
        <f>IFERROR(__xludf.DUMMYFUNCTION("""COMPUTED_VALUE"""),"BLK 6 LOT 9")</f>
        <v>BLK 6 LOT 9</v>
      </c>
      <c r="M1916" s="1" t="str">
        <f>IFERROR(__xludf.DUMMYFUNCTION("""COMPUTED_VALUE"""),"COMELEC VILLAGE")</f>
        <v>COMELEC VILLAGE</v>
      </c>
      <c r="N1916" s="1"/>
      <c r="O1916" s="1" t="str">
        <f>IFERROR(__xludf.DUMMYFUNCTION("""COMPUTED_VALUE"""),"SAN SEBASTIAN")</f>
        <v>SAN SEBASTIAN</v>
      </c>
      <c r="P1916" s="1" t="str">
        <f>IFERROR(__xludf.DUMMYFUNCTION("""COMPUTED_VALUE"""),"KAWIT")</f>
        <v>KAWIT</v>
      </c>
      <c r="Q1916" s="1" t="str">
        <f>IFERROR(__xludf.DUMMYFUNCTION("""COMPUTED_VALUE"""),"CAVITE")</f>
        <v>CAVITE</v>
      </c>
      <c r="R1916" s="1" t="str">
        <f>IFERROR(__xludf.DUMMYFUNCTION("""COMPUTED_VALUE"""),"FIBR UNLI ALL PLAN 1799")</f>
        <v>FIBR UNLI ALL PLAN 1799</v>
      </c>
      <c r="S1916" s="1" t="str">
        <f>IFERROR(__xludf.DUMMYFUNCTION("""COMPUTED_VALUE"""),"APPROVED")</f>
        <v>APPROVED</v>
      </c>
      <c r="T1916" s="1" t="str">
        <f>IFERROR(__xludf.DUMMYFUNCTION("""COMPUTED_VALUE"""),"CLOSED")</f>
        <v>CLOSED</v>
      </c>
      <c r="U1916" s="1"/>
      <c r="V1916" s="1"/>
      <c r="W1916" s="1"/>
    </row>
    <row r="1917" customHeight="1" spans="1:23">
      <c r="A1917" s="3">
        <f>IFERROR(__xludf.DUMMYFUNCTION("""COMPUTED_VALUE"""),46173)</f>
        <v>46173</v>
      </c>
      <c r="B1917" s="1" t="str">
        <f>IFERROR(__xludf.DUMMYFUNCTION("""COMPUTED_VALUE"""),"FRANCISCO , ROSELYN")</f>
        <v>FRANCISCO , ROSELYN</v>
      </c>
      <c r="C1917" s="1" t="str">
        <f>IFERROR(__xludf.DUMMYFUNCTION("""COMPUTED_VALUE"""),"ORGANIC")</f>
        <v>ORGANIC</v>
      </c>
      <c r="D1917" s="1" t="str">
        <f>IFERROR(__xludf.DUMMYFUNCTION("""COMPUTED_VALUE"""),"ALOS, CHARLS")</f>
        <v>ALOS, CHARLS</v>
      </c>
      <c r="E1917" s="1" t="str">
        <f>IFERROR(__xludf.DUMMYFUNCTION("""COMPUTED_VALUE"""),"PLDT / ONLINE")</f>
        <v>PLDT / ONLINE</v>
      </c>
      <c r="F1917" s="1">
        <f>IFERROR(__xludf.DUMMYFUNCTION("""COMPUTED_VALUE"""),2309832101)</f>
        <v>2309832101</v>
      </c>
      <c r="G1917" s="1">
        <f>IFERROR(__xludf.DUMMYFUNCTION("""COMPUTED_VALUE"""),456760450004)</f>
        <v>456760450004</v>
      </c>
      <c r="H1917" s="1" t="str">
        <f>IFERROR(__xludf.DUMMYFUNCTION("""COMPUTED_VALUE"""),"LYKA UMBRETE DE CHAVEZ")</f>
        <v>LYKA UMBRETE DE CHAVEZ</v>
      </c>
      <c r="I1917" s="1">
        <f>IFERROR(__xludf.DUMMYFUNCTION("""COMPUTED_VALUE"""),9159372330)</f>
        <v>9159372330</v>
      </c>
      <c r="J1917" s="1">
        <f>IFERROR(__xludf.DUMMYFUNCTION("""COMPUTED_VALUE"""),9272849521)</f>
        <v>9272849521</v>
      </c>
      <c r="K1917" s="1" t="str">
        <f>IFERROR(__xludf.DUMMYFUNCTION("""COMPUTED_VALUE"""),"dechavezlyka82@gmail.com")</f>
        <v>dechavezlyka82@gmail.com</v>
      </c>
      <c r="L1917" s="1" t="str">
        <f>IFERROR(__xludf.DUMMYFUNCTION("""COMPUTED_VALUE"""),"BLK 15 LOT8")</f>
        <v>BLK 15 LOT8</v>
      </c>
      <c r="M1917" s="1" t="str">
        <f>IFERROR(__xludf.DUMMYFUNCTION("""COMPUTED_VALUE"""),"WEST CAMACHILE")</f>
        <v>WEST CAMACHILE</v>
      </c>
      <c r="N1917" s="1"/>
      <c r="O1917" s="1" t="str">
        <f>IFERROR(__xludf.DUMMYFUNCTION("""COMPUTED_VALUE"""),"MOLINO III")</f>
        <v>MOLINO III</v>
      </c>
      <c r="P1917" s="1" t="str">
        <f>IFERROR(__xludf.DUMMYFUNCTION("""COMPUTED_VALUE"""),"BACOOR")</f>
        <v>BACOOR</v>
      </c>
      <c r="Q1917" s="1" t="str">
        <f>IFERROR(__xludf.DUMMYFUNCTION("""COMPUTED_VALUE"""),"CAVITE")</f>
        <v>CAVITE</v>
      </c>
      <c r="R1917" s="1" t="str">
        <f>IFERROR(__xludf.DUMMYFUNCTION("""COMPUTED_VALUE"""),"FIBR NETFLIX PLAN 1599")</f>
        <v>FIBR NETFLIX PLAN 1599</v>
      </c>
      <c r="S1917" s="1" t="str">
        <f>IFERROR(__xludf.DUMMYFUNCTION("""COMPUTED_VALUE"""),"APPROVED")</f>
        <v>APPROVED</v>
      </c>
      <c r="T1917" s="1" t="str">
        <f>IFERROR(__xludf.DUMMYFUNCTION("""COMPUTED_VALUE"""),"CANCELLED")</f>
        <v>CANCELLED</v>
      </c>
      <c r="U1917" s="1"/>
      <c r="V1917" s="1"/>
      <c r="W1917" s="1"/>
    </row>
    <row r="1918" customHeight="1" spans="1:23">
      <c r="A1918" s="3">
        <f>IFERROR(__xludf.DUMMYFUNCTION("""COMPUTED_VALUE"""),46173)</f>
        <v>46173</v>
      </c>
      <c r="B1918" s="1" t="str">
        <f>IFERROR(__xludf.DUMMYFUNCTION("""COMPUTED_VALUE"""),"DELA ROSA, JENNELYN")</f>
        <v>DELA ROSA, JENNELYN</v>
      </c>
      <c r="C1918" s="1" t="str">
        <f>IFERROR(__xludf.DUMMYFUNCTION("""COMPUTED_VALUE"""),"ORGANIC")</f>
        <v>ORGANIC</v>
      </c>
      <c r="D1918" s="1" t="str">
        <f>IFERROR(__xludf.DUMMYFUNCTION("""COMPUTED_VALUE"""),"ALOS, CHARLS")</f>
        <v>ALOS, CHARLS</v>
      </c>
      <c r="E1918" s="1" t="str">
        <f>IFERROR(__xludf.DUMMYFUNCTION("""COMPUTED_VALUE"""),"PLDT / H2H")</f>
        <v>PLDT / H2H</v>
      </c>
      <c r="F1918" s="1">
        <f>IFERROR(__xludf.DUMMYFUNCTION("""COMPUTED_VALUE"""),2309832325)</f>
        <v>2309832325</v>
      </c>
      <c r="G1918" s="1">
        <f>IFERROR(__xludf.DUMMYFUNCTION("""COMPUTED_VALUE"""),456765388004)</f>
        <v>456765388004</v>
      </c>
      <c r="H1918" s="1" t="str">
        <f>IFERROR(__xludf.DUMMYFUNCTION("""COMPUTED_VALUE"""),"MARILYN GATPANDAN ALEGRE")</f>
        <v>MARILYN GATPANDAN ALEGRE</v>
      </c>
      <c r="I1918" s="1">
        <f>IFERROR(__xludf.DUMMYFUNCTION("""COMPUTED_VALUE"""),9692990629)</f>
        <v>9692990629</v>
      </c>
      <c r="J1918" s="1">
        <f>IFERROR(__xludf.DUMMYFUNCTION("""COMPUTED_VALUE"""),9672034040)</f>
        <v>9672034040</v>
      </c>
      <c r="K1918" s="1" t="str">
        <f>IFERROR(__xludf.DUMMYFUNCTION("""COMPUTED_VALUE"""),"moralesrodalyn11@gmail.com")</f>
        <v>moralesrodalyn11@gmail.com</v>
      </c>
      <c r="L1918" s="1" t="str">
        <f>IFERROR(__xludf.DUMMYFUNCTION("""COMPUTED_VALUE"""),"013A")</f>
        <v>013A</v>
      </c>
      <c r="M1918" s="1" t="str">
        <f>IFERROR(__xludf.DUMMYFUNCTION("""COMPUTED_VALUE"""),"KANGGAHAN")</f>
        <v>KANGGAHAN</v>
      </c>
      <c r="N1918" s="1"/>
      <c r="O1918" s="1" t="str">
        <f>IFERROR(__xludf.DUMMYFUNCTION("""COMPUTED_VALUE"""),"ASIS I")</f>
        <v>ASIS I</v>
      </c>
      <c r="P1918" s="1" t="str">
        <f>IFERROR(__xludf.DUMMYFUNCTION("""COMPUTED_VALUE"""),"MENDEZ")</f>
        <v>MENDEZ</v>
      </c>
      <c r="Q1918" s="1" t="str">
        <f>IFERROR(__xludf.DUMMYFUNCTION("""COMPUTED_VALUE"""),"CAVITE")</f>
        <v>CAVITE</v>
      </c>
      <c r="R1918" s="1" t="str">
        <f>IFERROR(__xludf.DUMMYFUNCTION("""COMPUTED_VALUE"""),"FIBR UNLI ALL PLAN 1399")</f>
        <v>FIBR UNLI ALL PLAN 1399</v>
      </c>
      <c r="S1918" s="1" t="str">
        <f>IFERROR(__xludf.DUMMYFUNCTION("""COMPUTED_VALUE"""),"APPROVED")</f>
        <v>APPROVED</v>
      </c>
      <c r="T1918" s="1" t="str">
        <f>IFERROR(__xludf.DUMMYFUNCTION("""COMPUTED_VALUE"""),"CLOSED")</f>
        <v>CLOSED</v>
      </c>
      <c r="U1918" s="1" t="str">
        <f>IFERROR(__xludf.DUMMYFUNCTION("""COMPUTED_VALUE"""),"PAID VIA GCASH ")</f>
        <v>PAID VIA GCASH </v>
      </c>
      <c r="V1918" s="1"/>
      <c r="W1918" s="1"/>
    </row>
    <row r="1919" customHeight="1" spans="1:23">
      <c r="A1919" s="3">
        <f>IFERROR(__xludf.DUMMYFUNCTION("""COMPUTED_VALUE"""),46173)</f>
        <v>46173</v>
      </c>
      <c r="B1919" s="1" t="str">
        <f>IFERROR(__xludf.DUMMYFUNCTION("""COMPUTED_VALUE"""),"ESCARCHA, MA ALMA  ESCOTO")</f>
        <v>ESCARCHA, MA ALMA  ESCOTO</v>
      </c>
      <c r="C1919" s="1" t="str">
        <f>IFERROR(__xludf.DUMMYFUNCTION("""COMPUTED_VALUE"""),"ORGANIC")</f>
        <v>ORGANIC</v>
      </c>
      <c r="D1919" s="1" t="str">
        <f>IFERROR(__xludf.DUMMYFUNCTION("""COMPUTED_VALUE"""),"ALINGARO, CINDY")</f>
        <v>ALINGARO, CINDY</v>
      </c>
      <c r="E1919" s="1" t="str">
        <f>IFERROR(__xludf.DUMMYFUNCTION("""COMPUTED_VALUE"""),"PLDT / ONLINE")</f>
        <v>PLDT / ONLINE</v>
      </c>
      <c r="F1919" s="1">
        <f>IFERROR(__xludf.DUMMYFUNCTION("""COMPUTED_VALUE"""),2309834144)</f>
        <v>2309834144</v>
      </c>
      <c r="G1919" s="1">
        <f>IFERROR(__xludf.DUMMYFUNCTION("""COMPUTED_VALUE"""),456766778004)</f>
        <v>456766778004</v>
      </c>
      <c r="H1919" s="1" t="str">
        <f>IFERROR(__xludf.DUMMYFUNCTION("""COMPUTED_VALUE"""),"ESTRELLA DELIMA RODRIGUEZ")</f>
        <v>ESTRELLA DELIMA RODRIGUEZ</v>
      </c>
      <c r="I1919" s="1">
        <f>IFERROR(__xludf.DUMMYFUNCTION("""COMPUTED_VALUE"""),9367038353)</f>
        <v>9367038353</v>
      </c>
      <c r="J1919" s="1"/>
      <c r="K1919" s="1" t="str">
        <f>IFERROR(__xludf.DUMMYFUNCTION("""COMPUTED_VALUE"""),"rodriguezjhaycaan@gmail.com")</f>
        <v>rodriguezjhaycaan@gmail.com</v>
      </c>
      <c r="L1919" s="1" t="str">
        <f>IFERROR(__xludf.DUMMYFUNCTION("""COMPUTED_VALUE"""),"BLK 30 LOT 7")</f>
        <v>BLK 30 LOT 7</v>
      </c>
      <c r="M1919" s="1" t="str">
        <f>IFERROR(__xludf.DUMMYFUNCTION("""COMPUTED_VALUE"""),"BULIHAN")</f>
        <v>BULIHAN</v>
      </c>
      <c r="N1919" s="1"/>
      <c r="O1919" s="1" t="str">
        <f>IFERROR(__xludf.DUMMYFUNCTION("""COMPUTED_VALUE"""),"ANAHAW II")</f>
        <v>ANAHAW II</v>
      </c>
      <c r="P1919" s="1" t="str">
        <f>IFERROR(__xludf.DUMMYFUNCTION("""COMPUTED_VALUE"""),"SILANG")</f>
        <v>SILANG</v>
      </c>
      <c r="Q1919" s="1" t="str">
        <f>IFERROR(__xludf.DUMMYFUNCTION("""COMPUTED_VALUE"""),"CAVITE")</f>
        <v>CAVITE</v>
      </c>
      <c r="R1919" s="1" t="str">
        <f>IFERROR(__xludf.DUMMYFUNCTION("""COMPUTED_VALUE"""),"FIBR UNLI ALL PLAN 1399")</f>
        <v>FIBR UNLI ALL PLAN 1399</v>
      </c>
      <c r="S1919" s="1" t="str">
        <f>IFERROR(__xludf.DUMMYFUNCTION("""COMPUTED_VALUE"""),"APPROVED")</f>
        <v>APPROVED</v>
      </c>
      <c r="T1919" s="1" t="str">
        <f>IFERROR(__xludf.DUMMYFUNCTION("""COMPUTED_VALUE"""),"RPR")</f>
        <v>RPR</v>
      </c>
      <c r="U1919" s="1"/>
      <c r="V1919" s="1"/>
      <c r="W1919" s="1"/>
    </row>
    <row r="1920" customHeight="1" spans="1:23">
      <c r="A1920" s="3">
        <f>IFERROR(__xludf.DUMMYFUNCTION("""COMPUTED_VALUE"""),46173)</f>
        <v>46173</v>
      </c>
      <c r="B1920" s="1" t="str">
        <f>IFERROR(__xludf.DUMMYFUNCTION("""COMPUTED_VALUE"""),"NAVARRO, JERIC")</f>
        <v>NAVARRO, JERIC</v>
      </c>
      <c r="C1920" s="1" t="str">
        <f>IFERROR(__xludf.DUMMYFUNCTION("""COMPUTED_VALUE"""),"FLA")</f>
        <v>FLA</v>
      </c>
      <c r="D1920" s="1" t="str">
        <f>IFERROR(__xludf.DUMMYFUNCTION("""COMPUTED_VALUE"""),"JERIC NAVARRO")</f>
        <v>JERIC NAVARRO</v>
      </c>
      <c r="E1920" s="1" t="str">
        <f>IFERROR(__xludf.DUMMYFUNCTION("""COMPUTED_VALUE"""),"PLDT / ONLINE")</f>
        <v>PLDT / ONLINE</v>
      </c>
      <c r="F1920" s="1">
        <f>IFERROR(__xludf.DUMMYFUNCTION("""COMPUTED_VALUE"""),2309834419)</f>
        <v>2309834419</v>
      </c>
      <c r="G1920" s="1"/>
      <c r="H1920" s="1" t="str">
        <f>IFERROR(__xludf.DUMMYFUNCTION("""COMPUTED_VALUE"""),"BRADEN CABRERA CARANDANG")</f>
        <v>BRADEN CABRERA CARANDANG</v>
      </c>
      <c r="I1920" s="1">
        <f>IFERROR(__xludf.DUMMYFUNCTION("""COMPUTED_VALUE"""),9277939004)</f>
        <v>9277939004</v>
      </c>
      <c r="J1920" s="1"/>
      <c r="K1920" s="1" t="str">
        <f>IFERROR(__xludf.DUMMYFUNCTION("""COMPUTED_VALUE"""),"brycencarandang@gmail.com")</f>
        <v>brycencarandang@gmail.com</v>
      </c>
      <c r="L1920" s="1" t="str">
        <f>IFERROR(__xludf.DUMMYFUNCTION("""COMPUTED_VALUE"""),"99")</f>
        <v>99</v>
      </c>
      <c r="M1920" s="1" t="str">
        <f>IFERROR(__xludf.DUMMYFUNCTION("""COMPUTED_VALUE"""),"RESURRECTION")</f>
        <v>RESURRECTION</v>
      </c>
      <c r="N1920" s="1"/>
      <c r="O1920" s="1" t="str">
        <f>IFERROR(__xludf.DUMMYFUNCTION("""COMPUTED_VALUE"""),"JULUGAN V")</f>
        <v>JULUGAN V</v>
      </c>
      <c r="P1920" s="1" t="str">
        <f>IFERROR(__xludf.DUMMYFUNCTION("""COMPUTED_VALUE"""),"TANZA")</f>
        <v>TANZA</v>
      </c>
      <c r="Q1920" s="1" t="str">
        <f>IFERROR(__xludf.DUMMYFUNCTION("""COMPUTED_VALUE"""),"CAVITE")</f>
        <v>CAVITE</v>
      </c>
      <c r="R1920" s="1" t="str">
        <f>IFERROR(__xludf.DUMMYFUNCTION("""COMPUTED_VALUE"""),"SWITCH FIBER UNLI ALL 1799")</f>
        <v>SWITCH FIBER UNLI ALL 1799</v>
      </c>
      <c r="S1920" s="1" t="str">
        <f>IFERROR(__xludf.DUMMYFUNCTION("""COMPUTED_VALUE"""),"APPROVED")</f>
        <v>APPROVED</v>
      </c>
      <c r="T1920" s="1" t="str">
        <f>IFERROR(__xludf.DUMMYFUNCTION("""COMPUTED_VALUE"""),"CANCELLED")</f>
        <v>CANCELLED</v>
      </c>
      <c r="U1920" s="1"/>
      <c r="V1920" s="1"/>
      <c r="W1920" s="1"/>
    </row>
    <row r="1921" customHeight="1" spans="1:23">
      <c r="A1921" s="3">
        <f>IFERROR(__xludf.DUMMYFUNCTION("""COMPUTED_VALUE"""),46173)</f>
        <v>46173</v>
      </c>
      <c r="B1921" s="1" t="str">
        <f>IFERROR(__xludf.DUMMYFUNCTION("""COMPUTED_VALUE"""),"MALIWAT MARK ELVIN")</f>
        <v>MALIWAT MARK ELVIN</v>
      </c>
      <c r="C1921" s="1" t="str">
        <f>IFERROR(__xludf.DUMMYFUNCTION("""COMPUTED_VALUE"""),"FLA")</f>
        <v>FLA</v>
      </c>
      <c r="D1921" s="1" t="str">
        <f>IFERROR(__xludf.DUMMYFUNCTION("""COMPUTED_VALUE"""),"JERIC NAVARRO")</f>
        <v>JERIC NAVARRO</v>
      </c>
      <c r="E1921" s="1" t="str">
        <f>IFERROR(__xludf.DUMMYFUNCTION("""COMPUTED_VALUE"""),"PLDT / ONLINE")</f>
        <v>PLDT / ONLINE</v>
      </c>
      <c r="F1921" s="1">
        <f>IFERROR(__xludf.DUMMYFUNCTION("""COMPUTED_VALUE"""),2309837641)</f>
        <v>2309837641</v>
      </c>
      <c r="G1921" s="1">
        <f>IFERROR(__xludf.DUMMYFUNCTION("""COMPUTED_VALUE"""),456771810004)</f>
        <v>456771810004</v>
      </c>
      <c r="H1921" s="1" t="str">
        <f>IFERROR(__xludf.DUMMYFUNCTION("""COMPUTED_VALUE"""),"MARY ROSE AMAN ABAPO")</f>
        <v>MARY ROSE AMAN ABAPO</v>
      </c>
      <c r="I1921" s="1">
        <f>IFERROR(__xludf.DUMMYFUNCTION("""COMPUTED_VALUE"""),9926226883)</f>
        <v>9926226883</v>
      </c>
      <c r="J1921" s="1">
        <f>IFERROR(__xludf.DUMMYFUNCTION("""COMPUTED_VALUE"""),9162397128)</f>
        <v>9162397128</v>
      </c>
      <c r="K1921" s="1" t="str">
        <f>IFERROR(__xludf.DUMMYFUNCTION("""COMPUTED_VALUE"""),"abapomaryrose24@gmail.com")</f>
        <v>abapomaryrose24@gmail.com</v>
      </c>
      <c r="L1921" s="1" t="str">
        <f>IFERROR(__xludf.DUMMYFUNCTION("""COMPUTED_VALUE"""),"BLK 20 LOT 26")</f>
        <v>BLK 20 LOT 26</v>
      </c>
      <c r="M1921" s="1" t="str">
        <f>IFERROR(__xludf.DUMMYFUNCTION("""COMPUTED_VALUE"""),"CARNATION")</f>
        <v>CARNATION</v>
      </c>
      <c r="N1921" s="1" t="str">
        <f>IFERROR(__xludf.DUMMYFUNCTION("""COMPUTED_VALUE"""),"CHRV")</f>
        <v>CHRV</v>
      </c>
      <c r="O1921" s="1" t="str">
        <f>IFERROR(__xludf.DUMMYFUNCTION("""COMPUTED_VALUE"""),"LANGKAAN II")</f>
        <v>LANGKAAN II</v>
      </c>
      <c r="P1921" s="1" t="str">
        <f>IFERROR(__xludf.DUMMYFUNCTION("""COMPUTED_VALUE"""),"DASMARINAS")</f>
        <v>DASMARINAS</v>
      </c>
      <c r="Q1921" s="1" t="str">
        <f>IFERROR(__xludf.DUMMYFUNCTION("""COMPUTED_VALUE"""),"CAVITE")</f>
        <v>CAVITE</v>
      </c>
      <c r="R1921" s="1" t="str">
        <f>IFERROR(__xludf.DUMMYFUNCTION("""COMPUTED_VALUE"""),"FIBR UNLI ALL PLAN 1399")</f>
        <v>FIBR UNLI ALL PLAN 1399</v>
      </c>
      <c r="S1921" s="1" t="str">
        <f>IFERROR(__xludf.DUMMYFUNCTION("""COMPUTED_VALUE"""),"APPROVED")</f>
        <v>APPROVED</v>
      </c>
      <c r="T1921" s="1" t="str">
        <f>IFERROR(__xludf.DUMMYFUNCTION("""COMPUTED_VALUE"""),"CLOSED")</f>
        <v>CLOSED</v>
      </c>
      <c r="U1921" s="1" t="str">
        <f>IFERROR(__xludf.DUMMYFUNCTION("""COMPUTED_VALUE"""),"POSTED")</f>
        <v>POSTED</v>
      </c>
      <c r="V1921" s="1"/>
      <c r="W1921" s="1"/>
    </row>
    <row r="1922" customHeight="1" spans="1:23">
      <c r="A1922" s="3">
        <f>IFERROR(__xludf.DUMMYFUNCTION("""COMPUTED_VALUE"""),46173)</f>
        <v>46173</v>
      </c>
      <c r="B1922" s="1" t="str">
        <f>IFERROR(__xludf.DUMMYFUNCTION("""COMPUTED_VALUE"""),"AYON MANUEL")</f>
        <v>AYON MANUEL</v>
      </c>
      <c r="C1922" s="1" t="str">
        <f>IFERROR(__xludf.DUMMYFUNCTION("""COMPUTED_VALUE"""),"FLA")</f>
        <v>FLA</v>
      </c>
      <c r="D1922" s="1" t="str">
        <f>IFERROR(__xludf.DUMMYFUNCTION("""COMPUTED_VALUE"""),"JERIC NAVARRO")</f>
        <v>JERIC NAVARRO</v>
      </c>
      <c r="E1922" s="1" t="str">
        <f>IFERROR(__xludf.DUMMYFUNCTION("""COMPUTED_VALUE"""),"HOME BIZZ")</f>
        <v>HOME BIZZ</v>
      </c>
      <c r="F1922" s="1">
        <f>IFERROR(__xludf.DUMMYFUNCTION("""COMPUTED_VALUE"""),2309839271)</f>
        <v>2309839271</v>
      </c>
      <c r="G1922" s="1">
        <f>IFERROR(__xludf.DUMMYFUNCTION("""COMPUTED_VALUE"""),456773947004)</f>
        <v>456773947004</v>
      </c>
      <c r="H1922" s="1" t="str">
        <f>IFERROR(__xludf.DUMMYFUNCTION("""COMPUTED_VALUE"""),"ALADIN ALUMINUM")</f>
        <v>ALADIN ALUMINUM</v>
      </c>
      <c r="I1922" s="1">
        <f>IFERROR(__xludf.DUMMYFUNCTION("""COMPUTED_VALUE"""),9175034546)</f>
        <v>9175034546</v>
      </c>
      <c r="J1922" s="1">
        <f>IFERROR(__xludf.DUMMYFUNCTION("""COMPUTED_VALUE"""),9989788442)</f>
        <v>9989788442</v>
      </c>
      <c r="K1922" s="1" t="str">
        <f>IFERROR(__xludf.DUMMYFUNCTION("""COMPUTED_VALUE"""),"antonio.aladin@yahoo.com")</f>
        <v>antonio.aladin@yahoo.com</v>
      </c>
      <c r="L1922" s="1" t="str">
        <f>IFERROR(__xludf.DUMMYFUNCTION("""COMPUTED_VALUE"""),"233")</f>
        <v>233</v>
      </c>
      <c r="M1922" s="1" t="str">
        <f>IFERROR(__xludf.DUMMYFUNCTION("""COMPUTED_VALUE"""),"JP RIZAL")</f>
        <v>JP RIZAL</v>
      </c>
      <c r="N1922" s="1"/>
      <c r="O1922" s="1" t="str">
        <f>IFERROR(__xludf.DUMMYFUNCTION("""COMPUTED_VALUE"""),"GALICIA III")</f>
        <v>GALICIA III</v>
      </c>
      <c r="P1922" s="1" t="str">
        <f>IFERROR(__xludf.DUMMYFUNCTION("""COMPUTED_VALUE"""),"MENDEZ")</f>
        <v>MENDEZ</v>
      </c>
      <c r="Q1922" s="1" t="str">
        <f>IFERROR(__xludf.DUMMYFUNCTION("""COMPUTED_VALUE"""),"CAVITE")</f>
        <v>CAVITE</v>
      </c>
      <c r="R1922" s="1" t="str">
        <f>IFERROR(__xludf.DUMMYFUNCTION("""COMPUTED_VALUE"""),"HOME BIZ PLAN 1299")</f>
        <v>HOME BIZ PLAN 1299</v>
      </c>
      <c r="S1922" s="1" t="str">
        <f>IFERROR(__xludf.DUMMYFUNCTION("""COMPUTED_VALUE"""),"APPROVED")</f>
        <v>APPROVED</v>
      </c>
      <c r="T1922" s="1" t="str">
        <f>IFERROR(__xludf.DUMMYFUNCTION("""COMPUTED_VALUE"""),"CLOSED")</f>
        <v>CLOSED</v>
      </c>
      <c r="U1922" s="1"/>
      <c r="V1922" s="1"/>
      <c r="W1922" s="1"/>
    </row>
    <row r="1923" customHeight="1" spans="1:23">
      <c r="A1923" s="3">
        <f>IFERROR(__xludf.DUMMYFUNCTION("""COMPUTED_VALUE"""),46173)</f>
        <v>46173</v>
      </c>
      <c r="B1923" s="1" t="str">
        <f>IFERROR(__xludf.DUMMYFUNCTION("""COMPUTED_VALUE"""),"ODY , CLARENCE")</f>
        <v>ODY , CLARENCE</v>
      </c>
      <c r="C1923" s="1" t="str">
        <f>IFERROR(__xludf.DUMMYFUNCTION("""COMPUTED_VALUE"""),"ORGANIC")</f>
        <v>ORGANIC</v>
      </c>
      <c r="D1923" s="1" t="str">
        <f>IFERROR(__xludf.DUMMYFUNCTION("""COMPUTED_VALUE"""),"ALOS, CHARLS")</f>
        <v>ALOS, CHARLS</v>
      </c>
      <c r="E1923" s="1" t="str">
        <f>IFERROR(__xludf.DUMMYFUNCTION("""COMPUTED_VALUE"""),"PLDT / H2H")</f>
        <v>PLDT / H2H</v>
      </c>
      <c r="F1923" s="1">
        <f>IFERROR(__xludf.DUMMYFUNCTION("""COMPUTED_VALUE"""),2309839607)</f>
        <v>2309839607</v>
      </c>
      <c r="G1923" s="1">
        <f>IFERROR(__xludf.DUMMYFUNCTION("""COMPUTED_VALUE"""),456774103004)</f>
        <v>456774103004</v>
      </c>
      <c r="H1923" s="1" t="str">
        <f>IFERROR(__xludf.DUMMYFUNCTION("""COMPUTED_VALUE"""),"MELENCIA DIMARANAN TENIDO")</f>
        <v>MELENCIA DIMARANAN TENIDO</v>
      </c>
      <c r="I1923" s="1">
        <f>IFERROR(__xludf.DUMMYFUNCTION("""COMPUTED_VALUE"""),9701744064)</f>
        <v>9701744064</v>
      </c>
      <c r="J1923" s="1">
        <f>IFERROR(__xludf.DUMMYFUNCTION("""COMPUTED_VALUE"""),9380187064)</f>
        <v>9380187064</v>
      </c>
      <c r="K1923" s="1" t="str">
        <f>IFERROR(__xludf.DUMMYFUNCTION("""COMPUTED_VALUE"""),"tenidodimaranan.melencia@gmail.com")</f>
        <v>tenidodimaranan.melencia@gmail.com</v>
      </c>
      <c r="L1923" s="1" t="str">
        <f>IFERROR(__xludf.DUMMYFUNCTION("""COMPUTED_VALUE"""),"9787")</f>
        <v>9787</v>
      </c>
      <c r="M1923" s="1" t="str">
        <f>IFERROR(__xludf.DUMMYFUNCTION("""COMPUTED_VALUE"""),"MAYSILI")</f>
        <v>MAYSILI</v>
      </c>
      <c r="N1923" s="1"/>
      <c r="O1923" s="1" t="str">
        <f>IFERROR(__xludf.DUMMYFUNCTION("""COMPUTED_VALUE"""),"ASIS I")</f>
        <v>ASIS I</v>
      </c>
      <c r="P1923" s="1" t="str">
        <f>IFERROR(__xludf.DUMMYFUNCTION("""COMPUTED_VALUE"""),"MENDEZ")</f>
        <v>MENDEZ</v>
      </c>
      <c r="Q1923" s="1" t="str">
        <f>IFERROR(__xludf.DUMMYFUNCTION("""COMPUTED_VALUE"""),"CAVITE")</f>
        <v>CAVITE</v>
      </c>
      <c r="R1923" s="1" t="str">
        <f>IFERROR(__xludf.DUMMYFUNCTION("""COMPUTED_VALUE"""),"FIBR UNLI ALL PLAN 999")</f>
        <v>FIBR UNLI ALL PLAN 999</v>
      </c>
      <c r="S1923" s="1" t="str">
        <f>IFERROR(__xludf.DUMMYFUNCTION("""COMPUTED_VALUE"""),"APPROVED")</f>
        <v>APPROVED</v>
      </c>
      <c r="T1923" s="1" t="str">
        <f>IFERROR(__xludf.DUMMYFUNCTION("""COMPUTED_VALUE"""),"CLOSED")</f>
        <v>CLOSED</v>
      </c>
      <c r="U1923" s="1"/>
      <c r="V1923" s="1"/>
      <c r="W1923" s="1"/>
    </row>
    <row r="1924" customHeight="1" spans="1:23">
      <c r="A1924" s="3">
        <f>IFERROR(__xludf.DUMMYFUNCTION("""COMPUTED_VALUE"""),46173)</f>
        <v>46173</v>
      </c>
      <c r="B1924" s="1" t="str">
        <f>IFERROR(__xludf.DUMMYFUNCTION("""COMPUTED_VALUE"""),"RIVERA, AIRIZH JOY")</f>
        <v>RIVERA, AIRIZH JOY</v>
      </c>
      <c r="C1924" s="1" t="str">
        <f>IFERROR(__xludf.DUMMYFUNCTION("""COMPUTED_VALUE"""),"ORGANIC")</f>
        <v>ORGANIC</v>
      </c>
      <c r="D1924" s="1" t="str">
        <f>IFERROR(__xludf.DUMMYFUNCTION("""COMPUTED_VALUE"""),"ALOS, CHARLS")</f>
        <v>ALOS, CHARLS</v>
      </c>
      <c r="E1924" s="1" t="str">
        <f>IFERROR(__xludf.DUMMYFUNCTION("""COMPUTED_VALUE"""),"PLDT / ONLINE")</f>
        <v>PLDT / ONLINE</v>
      </c>
      <c r="F1924" s="1">
        <f>IFERROR(__xludf.DUMMYFUNCTION("""COMPUTED_VALUE"""),2309860551)</f>
        <v>2309860551</v>
      </c>
      <c r="G1924" s="1">
        <f>IFERROR(__xludf.DUMMYFUNCTION("""COMPUTED_VALUE"""),456888482004)</f>
        <v>456888482004</v>
      </c>
      <c r="H1924" s="1" t="str">
        <f>IFERROR(__xludf.DUMMYFUNCTION("""COMPUTED_VALUE"""),"CHERRYLYN DELA CRUZ GANGO")</f>
        <v>CHERRYLYN DELA CRUZ GANGO</v>
      </c>
      <c r="I1924" s="1">
        <f>IFERROR(__xludf.DUMMYFUNCTION("""COMPUTED_VALUE"""),9245823938)</f>
        <v>9245823938</v>
      </c>
      <c r="J1924" s="1"/>
      <c r="K1924" s="1" t="str">
        <f>IFERROR(__xludf.DUMMYFUNCTION("""COMPUTED_VALUE"""),"cherrylyngango24@gmail.com")</f>
        <v>cherrylyngango24@gmail.com</v>
      </c>
      <c r="L1924" s="1" t="str">
        <f>IFERROR(__xludf.DUMMYFUNCTION("""COMPUTED_VALUE"""),"BLK 32")</f>
        <v>BLK 32</v>
      </c>
      <c r="M1924" s="1" t="str">
        <f>IFERROR(__xludf.DUMMYFUNCTION("""COMPUTED_VALUE"""),"EXCESS LOT")</f>
        <v>EXCESS LOT</v>
      </c>
      <c r="N1924" s="1"/>
      <c r="O1924" s="1" t="str">
        <f>IFERROR(__xludf.DUMMYFUNCTION("""COMPUTED_VALUE"""),"SAN ISIDRO LABRADOR I")</f>
        <v>SAN ISIDRO LABRADOR I</v>
      </c>
      <c r="P1924" s="1" t="str">
        <f>IFERROR(__xludf.DUMMYFUNCTION("""COMPUTED_VALUE"""),"DASMARINAS")</f>
        <v>DASMARINAS</v>
      </c>
      <c r="Q1924" s="1" t="str">
        <f>IFERROR(__xludf.DUMMYFUNCTION("""COMPUTED_VALUE"""),"CAVITE")</f>
        <v>CAVITE</v>
      </c>
      <c r="R1924" s="1" t="str">
        <f>IFERROR(__xludf.DUMMYFUNCTION("""COMPUTED_VALUE"""),"FIBR UNLI ALL PLAN 999")</f>
        <v>FIBR UNLI ALL PLAN 999</v>
      </c>
      <c r="S1924" s="1" t="str">
        <f>IFERROR(__xludf.DUMMYFUNCTION("""COMPUTED_VALUE"""),"APPROVED")</f>
        <v>APPROVED</v>
      </c>
      <c r="T1924" s="1" t="str">
        <f>IFERROR(__xludf.DUMMYFUNCTION("""COMPUTED_VALUE"""),"RESERVED FACILITY")</f>
        <v>RESERVED FACILITY</v>
      </c>
      <c r="U1924" s="1"/>
      <c r="V1924" s="1"/>
      <c r="W1924" s="1"/>
    </row>
    <row r="1925" customHeight="1" spans="1:23">
      <c r="A1925" s="3">
        <f>IFERROR(__xludf.DUMMYFUNCTION("""COMPUTED_VALUE"""),46173)</f>
        <v>46173</v>
      </c>
      <c r="B1925" s="1" t="str">
        <f>IFERROR(__xludf.DUMMYFUNCTION("""COMPUTED_VALUE"""),"CASTILLEJOS, ARREL")</f>
        <v>CASTILLEJOS, ARREL</v>
      </c>
      <c r="C1925" s="1" t="str">
        <f>IFERROR(__xludf.DUMMYFUNCTION("""COMPUTED_VALUE"""),"ORGANIC")</f>
        <v>ORGANIC</v>
      </c>
      <c r="D1925" s="1" t="str">
        <f>IFERROR(__xludf.DUMMYFUNCTION("""COMPUTED_VALUE"""),"REMOLLO LEA")</f>
        <v>REMOLLO LEA</v>
      </c>
      <c r="E1925" s="1" t="str">
        <f>IFERROR(__xludf.DUMMYFUNCTION("""COMPUTED_VALUE"""),"PLDT / H2H")</f>
        <v>PLDT / H2H</v>
      </c>
      <c r="F1925" s="1">
        <f>IFERROR(__xludf.DUMMYFUNCTION("""COMPUTED_VALUE"""),2309838993)</f>
        <v>2309838993</v>
      </c>
      <c r="G1925" s="1">
        <f>IFERROR(__xludf.DUMMYFUNCTION("""COMPUTED_VALUE"""),456775250004)</f>
        <v>456775250004</v>
      </c>
      <c r="H1925" s="1" t="str">
        <f>IFERROR(__xludf.DUMMYFUNCTION("""COMPUTED_VALUE"""),"MARILYN VIDON MACAPAGAL")</f>
        <v>MARILYN VIDON MACAPAGAL</v>
      </c>
      <c r="I1925" s="1">
        <f>IFERROR(__xludf.DUMMYFUNCTION("""COMPUTED_VALUE"""),9515887371)</f>
        <v>9515887371</v>
      </c>
      <c r="J1925" s="1">
        <f>IFERROR(__xludf.DUMMYFUNCTION("""COMPUTED_VALUE"""),9705100581)</f>
        <v>9705100581</v>
      </c>
      <c r="K1925" s="1" t="str">
        <f>IFERROR(__xludf.DUMMYFUNCTION("""COMPUTED_VALUE"""),"marilynvidon@gmail.com")</f>
        <v>marilynvidon@gmail.com</v>
      </c>
      <c r="L1925" s="1" t="str">
        <f>IFERROR(__xludf.DUMMYFUNCTION("""COMPUTED_VALUE"""),"BLK 1 LOT 6603")</f>
        <v>BLK 1 LOT 6603</v>
      </c>
      <c r="M1925" s="1" t="str">
        <f>IFERROR(__xludf.DUMMYFUNCTION("""COMPUTED_VALUE"""),"MAYSILI")</f>
        <v>MAYSILI</v>
      </c>
      <c r="N1925" s="1"/>
      <c r="O1925" s="1" t="str">
        <f>IFERROR(__xludf.DUMMYFUNCTION("""COMPUTED_VALUE"""),"ASIS I")</f>
        <v>ASIS I</v>
      </c>
      <c r="P1925" s="1" t="str">
        <f>IFERROR(__xludf.DUMMYFUNCTION("""COMPUTED_VALUE"""),"MENDEZ")</f>
        <v>MENDEZ</v>
      </c>
      <c r="Q1925" s="1" t="str">
        <f>IFERROR(__xludf.DUMMYFUNCTION("""COMPUTED_VALUE"""),"CAVITE")</f>
        <v>CAVITE</v>
      </c>
      <c r="R1925" s="1" t="str">
        <f>IFERROR(__xludf.DUMMYFUNCTION("""COMPUTED_VALUE"""),"FIBR NETFLIX PLAN 1599")</f>
        <v>FIBR NETFLIX PLAN 1599</v>
      </c>
      <c r="S1925" s="1" t="str">
        <f>IFERROR(__xludf.DUMMYFUNCTION("""COMPUTED_VALUE"""),"APPROVED")</f>
        <v>APPROVED</v>
      </c>
      <c r="T1925" s="1" t="str">
        <f>IFERROR(__xludf.DUMMYFUNCTION("""COMPUTED_VALUE"""),"RPR")</f>
        <v>RPR</v>
      </c>
      <c r="U1925" s="1"/>
      <c r="V1925" s="1"/>
      <c r="W1925" s="1"/>
    </row>
    <row r="1926" customHeight="1" spans="1:23">
      <c r="A1926" s="3">
        <f>IFERROR(__xludf.DUMMYFUNCTION("""COMPUTED_VALUE"""),46173)</f>
        <v>46173</v>
      </c>
      <c r="B1926" s="1" t="str">
        <f>IFERROR(__xludf.DUMMYFUNCTION("""COMPUTED_VALUE"""),"AGUNOS, JHON AIRVIN")</f>
        <v>AGUNOS, JHON AIRVIN</v>
      </c>
      <c r="C1926" s="1" t="str">
        <f>IFERROR(__xludf.DUMMYFUNCTION("""COMPUTED_VALUE"""),"ORGANIC")</f>
        <v>ORGANIC</v>
      </c>
      <c r="D1926" s="1" t="str">
        <f>IFERROR(__xludf.DUMMYFUNCTION("""COMPUTED_VALUE"""),"ALINGARO, CINDY")</f>
        <v>ALINGARO, CINDY</v>
      </c>
      <c r="E1926" s="1" t="str">
        <f>IFERROR(__xludf.DUMMYFUNCTION("""COMPUTED_VALUE"""),"PLDT / ONLINE")</f>
        <v>PLDT / ONLINE</v>
      </c>
      <c r="F1926" s="1"/>
      <c r="G1926" s="1"/>
      <c r="H1926" s="1" t="str">
        <f>IFERROR(__xludf.DUMMYFUNCTION("""COMPUTED_VALUE"""),"MARIA JOREANN DELA CRUZ REGALARIO")</f>
        <v>MARIA JOREANN DELA CRUZ REGALARIO</v>
      </c>
      <c r="I1926" s="1">
        <f>IFERROR(__xludf.DUMMYFUNCTION("""COMPUTED_VALUE"""),9310066418)</f>
        <v>9310066418</v>
      </c>
      <c r="J1926" s="1">
        <f>IFERROR(__xludf.DUMMYFUNCTION("""COMPUTED_VALUE"""),9380852945)</f>
        <v>9380852945</v>
      </c>
      <c r="K1926" s="1" t="str">
        <f>IFERROR(__xludf.DUMMYFUNCTION("""COMPUTED_VALUE"""),"mjhayregalario52@ggmail.com")</f>
        <v>mjhayregalario52@ggmail.com</v>
      </c>
      <c r="L1926" s="1" t="str">
        <f>IFERROR(__xludf.DUMMYFUNCTION("""COMPUTED_VALUE"""),"BLK 2 LOT 28")</f>
        <v>BLK 2 LOT 28</v>
      </c>
      <c r="M1926" s="1" t="str">
        <f>IFERROR(__xludf.DUMMYFUNCTION("""COMPUTED_VALUE"""),"PHASE 4A")</f>
        <v>PHASE 4A</v>
      </c>
      <c r="N1926" s="1" t="str">
        <f>IFERROR(__xludf.DUMMYFUNCTION("""COMPUTED_VALUE"""),"TERRA VERDE")</f>
        <v>TERRA VERDE</v>
      </c>
      <c r="O1926" s="1" t="str">
        <f>IFERROR(__xludf.DUMMYFUNCTION("""COMPUTED_VALUE"""),"BANCAL")</f>
        <v>BANCAL</v>
      </c>
      <c r="P1926" s="1" t="str">
        <f>IFERROR(__xludf.DUMMYFUNCTION("""COMPUTED_VALUE"""),"CARMONA")</f>
        <v>CARMONA</v>
      </c>
      <c r="Q1926" s="1" t="str">
        <f>IFERROR(__xludf.DUMMYFUNCTION("""COMPUTED_VALUE"""),"CAVITE")</f>
        <v>CAVITE</v>
      </c>
      <c r="R1926" s="1" t="str">
        <f>IFERROR(__xludf.DUMMYFUNCTION("""COMPUTED_VALUE"""),"FIBR UNLI ALL PLAN 1799")</f>
        <v>FIBR UNLI ALL PLAN 1799</v>
      </c>
      <c r="S1926" s="1" t="str">
        <f>IFERROR(__xludf.DUMMYFUNCTION("""COMPUTED_VALUE"""),"RETURN FOR COMPLIANCE - AGENT")</f>
        <v>RETURN FOR COMPLIANCE - AGENT</v>
      </c>
      <c r="T1926" s="1" t="str">
        <f>IFERROR(__xludf.DUMMYFUNCTION("""COMPUTED_VALUE"""),"NAP FULL")</f>
        <v>NAP FULL</v>
      </c>
      <c r="U1926" s="1"/>
      <c r="V1926" s="1"/>
      <c r="W1926" s="1"/>
    </row>
    <row r="1927" customHeight="1" spans="1:23">
      <c r="A1927" s="3">
        <f>IFERROR(__xludf.DUMMYFUNCTION("""COMPUTED_VALUE"""),46173)</f>
        <v>46173</v>
      </c>
      <c r="B1927" s="1" t="str">
        <f>IFERROR(__xludf.DUMMYFUNCTION("""COMPUTED_VALUE"""),"GABAY, MANUEL")</f>
        <v>GABAY, MANUEL</v>
      </c>
      <c r="C1927" s="1" t="str">
        <f>IFERROR(__xludf.DUMMYFUNCTION("""COMPUTED_VALUE"""),"FLA")</f>
        <v>FLA</v>
      </c>
      <c r="D1927" s="1" t="str">
        <f>IFERROR(__xludf.DUMMYFUNCTION("""COMPUTED_VALUE"""),"JERIC NAVARRO")</f>
        <v>JERIC NAVARRO</v>
      </c>
      <c r="E1927" s="1" t="str">
        <f>IFERROR(__xludf.DUMMYFUNCTION("""COMPUTED_VALUE"""),"RED FIBER")</f>
        <v>RED FIBER</v>
      </c>
      <c r="F1927" s="1"/>
      <c r="G1927" s="1"/>
      <c r="H1927" s="1" t="str">
        <f>IFERROR(__xludf.DUMMYFUNCTION("""COMPUTED_VALUE"""),"FREDDIE DELA CRUZ EVANGELISTA")</f>
        <v>FREDDIE DELA CRUZ EVANGELISTA</v>
      </c>
      <c r="I1927" s="1">
        <f>IFERROR(__xludf.DUMMYFUNCTION("""COMPUTED_VALUE"""),92619226490)</f>
        <v>92619226490</v>
      </c>
      <c r="J1927" s="1">
        <f>IFERROR(__xludf.DUMMYFUNCTION("""COMPUTED_VALUE"""),9857798583)</f>
        <v>9857798583</v>
      </c>
      <c r="K1927" s="1" t="str">
        <f>IFERROR(__xludf.DUMMYFUNCTION("""COMPUTED_VALUE"""),"keiashii077@gmail.com")</f>
        <v>keiashii077@gmail.com</v>
      </c>
      <c r="L1927" s="1" t="str">
        <f>IFERROR(__xludf.DUMMYFUNCTION("""COMPUTED_VALUE"""),"56")</f>
        <v>56</v>
      </c>
      <c r="M1927" s="1" t="str">
        <f>IFERROR(__xludf.DUMMYFUNCTION("""COMPUTED_VALUE"""),"YLLAMADO")</f>
        <v>YLLAMADO</v>
      </c>
      <c r="N1927" s="1"/>
      <c r="O1927" s="1" t="str">
        <f>IFERROR(__xludf.DUMMYFUNCTION("""COMPUTED_VALUE"""),"BARANGAY IV (POB.)")</f>
        <v>BARANGAY IV (POB.)</v>
      </c>
      <c r="P1927" s="1" t="str">
        <f>IFERROR(__xludf.DUMMYFUNCTION("""COMPUTED_VALUE"""),"MENDEZ")</f>
        <v>MENDEZ</v>
      </c>
      <c r="Q1927" s="1" t="str">
        <f>IFERROR(__xludf.DUMMYFUNCTION("""COMPUTED_VALUE"""),"CAVITE")</f>
        <v>CAVITE</v>
      </c>
      <c r="R1927" s="1" t="str">
        <f>IFERROR(__xludf.DUMMYFUNCTION("""COMPUTED_VALUE"""),"RED PLAN 1000")</f>
        <v>RED PLAN 1000</v>
      </c>
      <c r="S1927" s="1" t="str">
        <f>IFERROR(__xludf.DUMMYFUNCTION("""COMPUTED_VALUE"""),"APPROVED")</f>
        <v>APPROVED</v>
      </c>
      <c r="T1927" s="1" t="str">
        <f>IFERROR(__xludf.DUMMYFUNCTION("""COMPUTED_VALUE"""),"#N/A")</f>
        <v>#N/A</v>
      </c>
      <c r="U1927" s="1"/>
      <c r="V1927" s="1"/>
      <c r="W1927" s="1"/>
    </row>
    <row r="1928" customHeight="1" spans="1:23">
      <c r="A1928" s="3">
        <f>IFERROR(__xludf.DUMMYFUNCTION("""COMPUTED_VALUE"""),46174)</f>
        <v>46174</v>
      </c>
      <c r="B1928" s="1" t="str">
        <f>IFERROR(__xludf.DUMMYFUNCTION("""COMPUTED_VALUE"""),"AYON MANUEL")</f>
        <v>AYON MANUEL</v>
      </c>
      <c r="C1928" s="1" t="str">
        <f>IFERROR(__xludf.DUMMYFUNCTION("""COMPUTED_VALUE"""),"FLA")</f>
        <v>FLA</v>
      </c>
      <c r="D1928" s="1" t="str">
        <f>IFERROR(__xludf.DUMMYFUNCTION("""COMPUTED_VALUE"""),"JERIC NAVARRO")</f>
        <v>JERIC NAVARRO</v>
      </c>
      <c r="E1928" s="1" t="str">
        <f>IFERROR(__xludf.DUMMYFUNCTION("""COMPUTED_VALUE"""),"PLDT / ONLINE")</f>
        <v>PLDT / ONLINE</v>
      </c>
      <c r="F1928" s="1">
        <f>IFERROR(__xludf.DUMMYFUNCTION("""COMPUTED_VALUE"""),2309877913)</f>
        <v>2309877913</v>
      </c>
      <c r="G1928" s="1"/>
      <c r="H1928" s="1" t="str">
        <f>IFERROR(__xludf.DUMMYFUNCTION("""COMPUTED_VALUE"""),"JASON ABAD PATAYAN")</f>
        <v>JASON ABAD PATAYAN</v>
      </c>
      <c r="I1928" s="1">
        <f>IFERROR(__xludf.DUMMYFUNCTION("""COMPUTED_VALUE"""),9164269266)</f>
        <v>9164269266</v>
      </c>
      <c r="J1928" s="1">
        <f>IFERROR(__xludf.DUMMYFUNCTION("""COMPUTED_VALUE"""),9760092211)</f>
        <v>9760092211</v>
      </c>
      <c r="K1928" s="1" t="str">
        <f>IFERROR(__xludf.DUMMYFUNCTION("""COMPUTED_VALUE"""),"patayanjhason28@gmail.com")</f>
        <v>patayanjhason28@gmail.com</v>
      </c>
      <c r="L1928" s="1" t="str">
        <f>IFERROR(__xludf.DUMMYFUNCTION("""COMPUTED_VALUE"""),"BLK 41 LOT 1")</f>
        <v>BLK 41 LOT 1</v>
      </c>
      <c r="M1928" s="1" t="str">
        <f>IFERROR(__xludf.DUMMYFUNCTION("""COMPUTED_VALUE"""),"MANILA SOUTHWOODS")</f>
        <v>MANILA SOUTHWOODS</v>
      </c>
      <c r="N1928" s="1"/>
      <c r="O1928" s="1" t="str">
        <f>IFERROR(__xludf.DUMMYFUNCTION("""COMPUTED_VALUE"""),"CABILANG BAYBAY")</f>
        <v>CABILANG BAYBAY</v>
      </c>
      <c r="P1928" s="1" t="str">
        <f>IFERROR(__xludf.DUMMYFUNCTION("""COMPUTED_VALUE"""),"CARMONA")</f>
        <v>CARMONA</v>
      </c>
      <c r="Q1928" s="1" t="str">
        <f>IFERROR(__xludf.DUMMYFUNCTION("""COMPUTED_VALUE"""),"CAVITE")</f>
        <v>CAVITE</v>
      </c>
      <c r="R1928" s="1" t="str">
        <f>IFERROR(__xludf.DUMMYFUNCTION("""COMPUTED_VALUE"""),"FIBR UNLI ALL PLAN 999")</f>
        <v>FIBR UNLI ALL PLAN 999</v>
      </c>
      <c r="S1928" s="1" t="str">
        <f>IFERROR(__xludf.DUMMYFUNCTION("""COMPUTED_VALUE"""),"APPROVED")</f>
        <v>APPROVED</v>
      </c>
      <c r="T1928" s="1" t="str">
        <f>IFERROR(__xludf.DUMMYFUNCTION("""COMPUTED_VALUE"""),"#N/A")</f>
        <v>#N/A</v>
      </c>
      <c r="U1928" s="1"/>
      <c r="V1928" s="1"/>
      <c r="W1928" s="1"/>
    </row>
    <row r="1929" customHeight="1" spans="1:23">
      <c r="A1929" s="3">
        <f>IFERROR(__xludf.DUMMYFUNCTION("""COMPUTED_VALUE"""),46174)</f>
        <v>46174</v>
      </c>
      <c r="B1929" s="1" t="str">
        <f>IFERROR(__xludf.DUMMYFUNCTION("""COMPUTED_VALUE"""),"FRANCISCO , ROSELYN")</f>
        <v>FRANCISCO , ROSELYN</v>
      </c>
      <c r="C1929" s="1" t="str">
        <f>IFERROR(__xludf.DUMMYFUNCTION("""COMPUTED_VALUE"""),"ORGANIC")</f>
        <v>ORGANIC</v>
      </c>
      <c r="D1929" s="1" t="str">
        <f>IFERROR(__xludf.DUMMYFUNCTION("""COMPUTED_VALUE"""),"REMOLLO LEA")</f>
        <v>REMOLLO LEA</v>
      </c>
      <c r="E1929" s="1" t="str">
        <f>IFERROR(__xludf.DUMMYFUNCTION("""COMPUTED_VALUE"""),"PLDT / ONLINE")</f>
        <v>PLDT / ONLINE</v>
      </c>
      <c r="F1929" s="1">
        <f>IFERROR(__xludf.DUMMYFUNCTION("""COMPUTED_VALUE"""),2309856513)</f>
        <v>2309856513</v>
      </c>
      <c r="G1929" s="1"/>
      <c r="H1929" s="1" t="str">
        <f>IFERROR(__xludf.DUMMYFUNCTION("""COMPUTED_VALUE"""),"MICHELLE GONZALES GUERRERO")</f>
        <v>MICHELLE GONZALES GUERRERO</v>
      </c>
      <c r="I1929" s="1">
        <f>IFERROR(__xludf.DUMMYFUNCTION("""COMPUTED_VALUE"""),9929878581)</f>
        <v>9929878581</v>
      </c>
      <c r="J1929" s="1">
        <f>IFERROR(__xludf.DUMMYFUNCTION("""COMPUTED_VALUE"""),9929350498)</f>
        <v>9929350498</v>
      </c>
      <c r="K1929" s="1" t="str">
        <f>IFERROR(__xludf.DUMMYFUNCTION("""COMPUTED_VALUE"""),"mchllgrrr39@gmail.com")</f>
        <v>mchllgrrr39@gmail.com</v>
      </c>
      <c r="L1929" s="1" t="str">
        <f>IFERROR(__xludf.DUMMYFUNCTION("""COMPUTED_VALUE"""),"BLK 5 LOT 4")</f>
        <v>BLK 5 LOT 4</v>
      </c>
      <c r="M1929" s="1" t="str">
        <f>IFERROR(__xludf.DUMMYFUNCTION("""COMPUTED_VALUE"""),"VILLA JUANITA")</f>
        <v>VILLA JUANITA</v>
      </c>
      <c r="N1929" s="1"/>
      <c r="O1929" s="1" t="str">
        <f>IFERROR(__xludf.DUMMYFUNCTION("""COMPUTED_VALUE"""),"SAHUD ULAN")</f>
        <v>SAHUD ULAN</v>
      </c>
      <c r="P1929" s="1" t="str">
        <f>IFERROR(__xludf.DUMMYFUNCTION("""COMPUTED_VALUE"""),"TANZA")</f>
        <v>TANZA</v>
      </c>
      <c r="Q1929" s="1" t="str">
        <f>IFERROR(__xludf.DUMMYFUNCTION("""COMPUTED_VALUE"""),"CAVITE")</f>
        <v>CAVITE</v>
      </c>
      <c r="R1929" s="1" t="str">
        <f>IFERROR(__xludf.DUMMYFUNCTION("""COMPUTED_VALUE"""),"FIBR UNLI ALL PLAN 999")</f>
        <v>FIBR UNLI ALL PLAN 999</v>
      </c>
      <c r="S1929" s="1" t="str">
        <f>IFERROR(__xludf.DUMMYFUNCTION("""COMPUTED_VALUE"""),"APPROVED")</f>
        <v>APPROVED</v>
      </c>
      <c r="T1929" s="1" t="str">
        <f>IFERROR(__xludf.DUMMYFUNCTION("""COMPUTED_VALUE"""),"#N/A")</f>
        <v>#N/A</v>
      </c>
      <c r="U1929" s="1"/>
      <c r="V1929" s="1"/>
      <c r="W1929" s="1"/>
    </row>
    <row r="1930" customHeight="1" spans="1:23">
      <c r="A1930" s="3">
        <f>IFERROR(__xludf.DUMMYFUNCTION("""COMPUTED_VALUE"""),46174)</f>
        <v>46174</v>
      </c>
      <c r="B1930" s="1" t="str">
        <f>IFERROR(__xludf.DUMMYFUNCTION("""COMPUTED_VALUE"""),"GABAY, MANUEL")</f>
        <v>GABAY, MANUEL</v>
      </c>
      <c r="C1930" s="1" t="str">
        <f>IFERROR(__xludf.DUMMYFUNCTION("""COMPUTED_VALUE"""),"FLA")</f>
        <v>FLA</v>
      </c>
      <c r="D1930" s="1" t="str">
        <f>IFERROR(__xludf.DUMMYFUNCTION("""COMPUTED_VALUE"""),"JERIC NAVARRO")</f>
        <v>JERIC NAVARRO</v>
      </c>
      <c r="E1930" s="1" t="str">
        <f>IFERROR(__xludf.DUMMYFUNCTION("""COMPUTED_VALUE"""),"PLDT / H2H")</f>
        <v>PLDT / H2H</v>
      </c>
      <c r="F1930" s="1">
        <f>IFERROR(__xludf.DUMMYFUNCTION("""COMPUTED_VALUE"""),2309869138)</f>
        <v>2309869138</v>
      </c>
      <c r="G1930" s="1"/>
      <c r="H1930" s="1" t="str">
        <f>IFERROR(__xludf.DUMMYFUNCTION("""COMPUTED_VALUE"""),"BREN CAEZARDO CEPE ANTONIO")</f>
        <v>BREN CAEZARDO CEPE ANTONIO</v>
      </c>
      <c r="I1930" s="1">
        <f>IFERROR(__xludf.DUMMYFUNCTION("""COMPUTED_VALUE"""),9452562266)</f>
        <v>9452562266</v>
      </c>
      <c r="J1930" s="1">
        <f>IFERROR(__xludf.DUMMYFUNCTION("""COMPUTED_VALUE"""),9852597175)</f>
        <v>9852597175</v>
      </c>
      <c r="K1930" s="1" t="str">
        <f>IFERROR(__xludf.DUMMYFUNCTION("""COMPUTED_VALUE"""),"brencaezardoantonio@gmail.com")</f>
        <v>brencaezardoantonio@gmail.com</v>
      </c>
      <c r="L1930" s="1" t="str">
        <f>IFERROR(__xludf.DUMMYFUNCTION("""COMPUTED_VALUE"""),"BLK 2 LOT 6A")</f>
        <v>BLK 2 LOT 6A</v>
      </c>
      <c r="M1930" s="1" t="str">
        <f>IFERROR(__xludf.DUMMYFUNCTION("""COMPUTED_VALUE"""),"SMSL COMPOUND")</f>
        <v>SMSL COMPOUND</v>
      </c>
      <c r="N1930" s="1"/>
      <c r="O1930" s="1" t="str">
        <f>IFERROR(__xludf.DUMMYFUNCTION("""COMPUTED_VALUE"""),"POBLACION I")</f>
        <v>POBLACION I</v>
      </c>
      <c r="P1930" s="1" t="str">
        <f>IFERROR(__xludf.DUMMYFUNCTION("""COMPUTED_VALUE"""),"GEN MARIANO ALVAREZ")</f>
        <v>GEN MARIANO ALVAREZ</v>
      </c>
      <c r="Q1930" s="1" t="str">
        <f>IFERROR(__xludf.DUMMYFUNCTION("""COMPUTED_VALUE"""),"CAVITE")</f>
        <v>CAVITE</v>
      </c>
      <c r="R1930" s="1" t="str">
        <f>IFERROR(__xludf.DUMMYFUNCTION("""COMPUTED_VALUE"""),"FIBR NETFLIX PLAN 1599")</f>
        <v>FIBR NETFLIX PLAN 1599</v>
      </c>
      <c r="S1930" s="1" t="str">
        <f>IFERROR(__xludf.DUMMYFUNCTION("""COMPUTED_VALUE"""),"APPROVED")</f>
        <v>APPROVED</v>
      </c>
      <c r="T1930" s="1" t="str">
        <f>IFERROR(__xludf.DUMMYFUNCTION("""COMPUTED_VALUE"""),"#N/A")</f>
        <v>#N/A</v>
      </c>
      <c r="U1930" s="1" t="str">
        <f>IFERROR(__xludf.DUMMYFUNCTION("""COMPUTED_VALUE"""),"POSTED")</f>
        <v>POSTED</v>
      </c>
      <c r="V1930" s="1"/>
      <c r="W1930" s="1"/>
    </row>
    <row r="1931" customHeight="1" spans="1:23">
      <c r="A1931" s="3">
        <f>IFERROR(__xludf.DUMMYFUNCTION("""COMPUTED_VALUE"""),46174)</f>
        <v>46174</v>
      </c>
      <c r="B1931" s="1" t="str">
        <f>IFERROR(__xludf.DUMMYFUNCTION("""COMPUTED_VALUE"""),"SALIOA JB")</f>
        <v>SALIOA JB</v>
      </c>
      <c r="C1931" s="1" t="str">
        <f>IFERROR(__xludf.DUMMYFUNCTION("""COMPUTED_VALUE"""),"FLA")</f>
        <v>FLA</v>
      </c>
      <c r="D1931" s="1" t="str">
        <f>IFERROR(__xludf.DUMMYFUNCTION("""COMPUTED_VALUE"""),"JERIC NAVARRO")</f>
        <v>JERIC NAVARRO</v>
      </c>
      <c r="E1931" s="1" t="str">
        <f>IFERROR(__xludf.DUMMYFUNCTION("""COMPUTED_VALUE"""),"PLDT / ONLINE")</f>
        <v>PLDT / ONLINE</v>
      </c>
      <c r="F1931" s="1">
        <f>IFERROR(__xludf.DUMMYFUNCTION("""COMPUTED_VALUE"""),2309853563)</f>
        <v>2309853563</v>
      </c>
      <c r="G1931" s="1"/>
      <c r="H1931" s="1" t="str">
        <f>IFERROR(__xludf.DUMMYFUNCTION("""COMPUTED_VALUE"""),"KINGOFFADEZPH BACOOR  BARBER SHOP")</f>
        <v>KINGOFFADEZPH BACOOR  BARBER SHOP</v>
      </c>
      <c r="I1931" s="1">
        <f>IFERROR(__xludf.DUMMYFUNCTION("""COMPUTED_VALUE"""),9690805899)</f>
        <v>9690805899</v>
      </c>
      <c r="J1931" s="1"/>
      <c r="K1931" s="1" t="str">
        <f>IFERROR(__xludf.DUMMYFUNCTION("""COMPUTED_VALUE"""),"lewferj@gmail.com")</f>
        <v>lewferj@gmail.com</v>
      </c>
      <c r="L1931" s="1" t="str">
        <f>IFERROR(__xludf.DUMMYFUNCTION("""COMPUTED_VALUE"""),"BLK 4 LOT 6")</f>
        <v>BLK 4 LOT 6</v>
      </c>
      <c r="M1931" s="1" t="str">
        <f>IFERROR(__xludf.DUMMYFUNCTION("""COMPUTED_VALUE"""),"GSIS RD")</f>
        <v>GSIS RD</v>
      </c>
      <c r="N1931" s="1"/>
      <c r="O1931" s="1" t="str">
        <f>IFERROR(__xludf.DUMMYFUNCTION("""COMPUTED_VALUE"""),"MOLINO III")</f>
        <v>MOLINO III</v>
      </c>
      <c r="P1931" s="1" t="str">
        <f>IFERROR(__xludf.DUMMYFUNCTION("""COMPUTED_VALUE"""),"BACOOR")</f>
        <v>BACOOR</v>
      </c>
      <c r="Q1931" s="1" t="str">
        <f>IFERROR(__xludf.DUMMYFUNCTION("""COMPUTED_VALUE"""),"CAVITE")</f>
        <v>CAVITE</v>
      </c>
      <c r="R1931" s="1" t="str">
        <f>IFERROR(__xludf.DUMMYFUNCTION("""COMPUTED_VALUE"""),"HOME BIZ PLAN 1699")</f>
        <v>HOME BIZ PLAN 1699</v>
      </c>
      <c r="S1931" s="1" t="str">
        <f>IFERROR(__xludf.DUMMYFUNCTION("""COMPUTED_VALUE"""),"APPROVED")</f>
        <v>APPROVED</v>
      </c>
      <c r="T1931" s="1" t="str">
        <f>IFERROR(__xludf.DUMMYFUNCTION("""COMPUTED_VALUE"""),"#N/A")</f>
        <v>#N/A</v>
      </c>
      <c r="U1931" s="1" t="str">
        <f>IFERROR(__xludf.DUMMYFUNCTION("""COMPUTED_VALUE"""),"POSTED")</f>
        <v>POSTED</v>
      </c>
      <c r="V1931" s="1"/>
      <c r="W1931" s="1"/>
    </row>
    <row r="1932" customHeight="1" spans="1:23">
      <c r="A1932" s="3">
        <f>IFERROR(__xludf.DUMMYFUNCTION("""COMPUTED_VALUE"""),46174)</f>
        <v>46174</v>
      </c>
      <c r="B1932" s="1" t="str">
        <f>IFERROR(__xludf.DUMMYFUNCTION("""COMPUTED_VALUE"""),"MAGDARAOG, KENNETH")</f>
        <v>MAGDARAOG, KENNETH</v>
      </c>
      <c r="C1932" s="1" t="str">
        <f>IFERROR(__xludf.DUMMYFUNCTION("""COMPUTED_VALUE"""),"ORGANIC")</f>
        <v>ORGANIC</v>
      </c>
      <c r="D1932" s="1" t="str">
        <f>IFERROR(__xludf.DUMMYFUNCTION("""COMPUTED_VALUE"""),"REMOLLO LEA")</f>
        <v>REMOLLO LEA</v>
      </c>
      <c r="E1932" s="1" t="str">
        <f>IFERROR(__xludf.DUMMYFUNCTION("""COMPUTED_VALUE"""),"PLDT / H2H")</f>
        <v>PLDT / H2H</v>
      </c>
      <c r="F1932" s="1"/>
      <c r="G1932" s="1"/>
      <c r="H1932" s="1" t="str">
        <f>IFERROR(__xludf.DUMMYFUNCTION("""COMPUTED_VALUE"""),"AMADO SAN JUAN FRANCISCO")</f>
        <v>AMADO SAN JUAN FRANCISCO</v>
      </c>
      <c r="I1932" s="1">
        <f>IFERROR(__xludf.DUMMYFUNCTION("""COMPUTED_VALUE"""),9311317230)</f>
        <v>9311317230</v>
      </c>
      <c r="J1932" s="1"/>
      <c r="K1932" s="1" t="str">
        <f>IFERROR(__xludf.DUMMYFUNCTION("""COMPUTED_VALUE"""),"amadof.146@gmail.com")</f>
        <v>amadof.146@gmail.com</v>
      </c>
      <c r="L1932" s="1" t="str">
        <f>IFERROR(__xludf.DUMMYFUNCTION("""COMPUTED_VALUE"""),"BLK 29 ")</f>
        <v>BLK 29 </v>
      </c>
      <c r="M1932" s="1" t="str">
        <f>IFERROR(__xludf.DUMMYFUNCTION("""COMPUTED_VALUE"""),"EXCESS LOT")</f>
        <v>EXCESS LOT</v>
      </c>
      <c r="N1932" s="1"/>
      <c r="O1932" s="1" t="str">
        <f>IFERROR(__xludf.DUMMYFUNCTION("""COMPUTED_VALUE"""),"GAVINO MADERAN")</f>
        <v>GAVINO MADERAN</v>
      </c>
      <c r="P1932" s="1" t="str">
        <f>IFERROR(__xludf.DUMMYFUNCTION("""COMPUTED_VALUE"""),"GENERAL EMILIO AGUINALDO")</f>
        <v>GENERAL EMILIO AGUINALDO</v>
      </c>
      <c r="Q1932" s="1" t="str">
        <f>IFERROR(__xludf.DUMMYFUNCTION("""COMPUTED_VALUE"""),"CAVITE")</f>
        <v>CAVITE</v>
      </c>
      <c r="R1932" s="1" t="str">
        <f>IFERROR(__xludf.DUMMYFUNCTION("""COMPUTED_VALUE"""),"FIBR PLAN 1299")</f>
        <v>FIBR PLAN 1299</v>
      </c>
      <c r="S1932" s="1" t="str">
        <f>IFERROR(__xludf.DUMMYFUNCTION("""COMPUTED_VALUE"""),"HOLD")</f>
        <v>HOLD</v>
      </c>
      <c r="T1932" s="1" t="str">
        <f>IFERROR(__xludf.DUMMYFUNCTION("""COMPUTED_VALUE"""),"#N/A")</f>
        <v>#N/A</v>
      </c>
      <c r="U1932" s="1"/>
      <c r="V1932" s="1"/>
      <c r="W1932" s="1"/>
    </row>
    <row r="1933" customHeight="1" spans="1:23">
      <c r="A1933" s="3">
        <f>IFERROR(__xludf.DUMMYFUNCTION("""COMPUTED_VALUE"""),46174)</f>
        <v>46174</v>
      </c>
      <c r="B1933" s="1" t="str">
        <f>IFERROR(__xludf.DUMMYFUNCTION("""COMPUTED_VALUE"""),"AYON MANUEL")</f>
        <v>AYON MANUEL</v>
      </c>
      <c r="C1933" s="1" t="str">
        <f>IFERROR(__xludf.DUMMYFUNCTION("""COMPUTED_VALUE"""),"FLA")</f>
        <v>FLA</v>
      </c>
      <c r="D1933" s="1" t="str">
        <f>IFERROR(__xludf.DUMMYFUNCTION("""COMPUTED_VALUE"""),"JERIC NAVARRO")</f>
        <v>JERIC NAVARRO</v>
      </c>
      <c r="E1933" s="1" t="str">
        <f>IFERROR(__xludf.DUMMYFUNCTION("""COMPUTED_VALUE"""),"PLDT / H2H")</f>
        <v>PLDT / H2H</v>
      </c>
      <c r="F1933" s="1">
        <f>IFERROR(__xludf.DUMMYFUNCTION("""COMPUTED_VALUE"""),2309878422)</f>
        <v>2309878422</v>
      </c>
      <c r="G1933" s="1"/>
      <c r="H1933" s="1" t="str">
        <f>IFERROR(__xludf.DUMMYFUNCTION("""COMPUTED_VALUE"""),"JEZREEL MONLEON NABISA")</f>
        <v>JEZREEL MONLEON NABISA</v>
      </c>
      <c r="I1933" s="1">
        <f>IFERROR(__xludf.DUMMYFUNCTION("""COMPUTED_VALUE"""),9176125374)</f>
        <v>9176125374</v>
      </c>
      <c r="J1933" s="1">
        <f>IFERROR(__xludf.DUMMYFUNCTION("""COMPUTED_VALUE"""),9560510846)</f>
        <v>9560510846</v>
      </c>
      <c r="K1933" s="1" t="str">
        <f>IFERROR(__xludf.DUMMYFUNCTION("""COMPUTED_VALUE"""),"nabisajezz@gmail.com")</f>
        <v>nabisajezz@gmail.com</v>
      </c>
      <c r="L1933" s="1" t="str">
        <f>IFERROR(__xludf.DUMMYFUNCTION("""COMPUTED_VALUE"""),"BLK 19 LOT 17")</f>
        <v>BLK 19 LOT 17</v>
      </c>
      <c r="M1933" s="1" t="str">
        <f>IFERROR(__xludf.DUMMYFUNCTION("""COMPUTED_VALUE"""),"NENUFAR")</f>
        <v>NENUFAR</v>
      </c>
      <c r="N1933" s="1" t="str">
        <f>IFERROR(__xludf.DUMMYFUNCTION("""COMPUTED_VALUE"""),"TERRA VERDE")</f>
        <v>TERRA VERDE</v>
      </c>
      <c r="O1933" s="1" t="str">
        <f>IFERROR(__xludf.DUMMYFUNCTION("""COMPUTED_VALUE"""),"BANCAL")</f>
        <v>BANCAL</v>
      </c>
      <c r="P1933" s="1" t="str">
        <f>IFERROR(__xludf.DUMMYFUNCTION("""COMPUTED_VALUE"""),"CARMONA")</f>
        <v>CARMONA</v>
      </c>
      <c r="Q1933" s="1" t="str">
        <f>IFERROR(__xludf.DUMMYFUNCTION("""COMPUTED_VALUE"""),"CAVITE")</f>
        <v>CAVITE</v>
      </c>
      <c r="R1933" s="1" t="str">
        <f>IFERROR(__xludf.DUMMYFUNCTION("""COMPUTED_VALUE"""),"FIBR PLAN 1299")</f>
        <v>FIBR PLAN 1299</v>
      </c>
      <c r="S1933" s="1" t="str">
        <f>IFERROR(__xludf.DUMMYFUNCTION("""COMPUTED_VALUE"""),"APPROVED")</f>
        <v>APPROVED</v>
      </c>
      <c r="T1933" s="1" t="str">
        <f>IFERROR(__xludf.DUMMYFUNCTION("""COMPUTED_VALUE"""),"#N/A")</f>
        <v>#N/A</v>
      </c>
      <c r="U1933" s="1" t="str">
        <f>IFERROR(__xludf.DUMMYFUNCTION("""COMPUTED_VALUE"""),"POSTED")</f>
        <v>POSTED</v>
      </c>
      <c r="V1933" s="1"/>
      <c r="W1933" s="1"/>
    </row>
    <row r="1934" customHeight="1" spans="1:23">
      <c r="A1934" s="3">
        <f>IFERROR(__xludf.DUMMYFUNCTION("""COMPUTED_VALUE"""),46174)</f>
        <v>46174</v>
      </c>
      <c r="B1934" s="1" t="str">
        <f>IFERROR(__xludf.DUMMYFUNCTION("""COMPUTED_VALUE"""),"IVNO, RAZZEL")</f>
        <v>IVNO, RAZZEL</v>
      </c>
      <c r="C1934" s="1" t="str">
        <f>IFERROR(__xludf.DUMMYFUNCTION("""COMPUTED_VALUE"""),"ORGANIC")</f>
        <v>ORGANIC</v>
      </c>
      <c r="D1934" s="1" t="str">
        <f>IFERROR(__xludf.DUMMYFUNCTION("""COMPUTED_VALUE"""),"REMOLLO LEA")</f>
        <v>REMOLLO LEA</v>
      </c>
      <c r="E1934" s="1" t="str">
        <f>IFERROR(__xludf.DUMMYFUNCTION("""COMPUTED_VALUE"""),"PLDT / H2H")</f>
        <v>PLDT / H2H</v>
      </c>
      <c r="F1934" s="1">
        <f>IFERROR(__xludf.DUMMYFUNCTION("""COMPUTED_VALUE"""),2309878789)</f>
        <v>2309878789</v>
      </c>
      <c r="G1934" s="1"/>
      <c r="H1934" s="1" t="str">
        <f>IFERROR(__xludf.DUMMYFUNCTION("""COMPUTED_VALUE"""),"TEODORA ANTATICO CABELLO")</f>
        <v>TEODORA ANTATICO CABELLO</v>
      </c>
      <c r="I1934" s="1">
        <f>IFERROR(__xludf.DUMMYFUNCTION("""COMPUTED_VALUE"""),9387186059)</f>
        <v>9387186059</v>
      </c>
      <c r="J1934" s="1"/>
      <c r="K1934" s="1" t="str">
        <f>IFERROR(__xludf.DUMMYFUNCTION("""COMPUTED_VALUE"""),"cabellochody@gmail.com")</f>
        <v>cabellochody@gmail.com</v>
      </c>
      <c r="L1934" s="1" t="str">
        <f>IFERROR(__xludf.DUMMYFUNCTION("""COMPUTED_VALUE"""),"BLK 12 LOT 30")</f>
        <v>BLK 12 LOT 30</v>
      </c>
      <c r="M1934" s="1" t="str">
        <f>IFERROR(__xludf.DUMMYFUNCTION("""COMPUTED_VALUE"""),"POBLACION RD")</f>
        <v>POBLACION RD</v>
      </c>
      <c r="N1934" s="1"/>
      <c r="O1934" s="1" t="str">
        <f>IFERROR(__xludf.DUMMYFUNCTION("""COMPUTED_VALUE"""),"POBLACION IV")</f>
        <v>POBLACION IV</v>
      </c>
      <c r="P1934" s="1" t="str">
        <f>IFERROR(__xludf.DUMMYFUNCTION("""COMPUTED_VALUE"""),"GEN MARIANO ALVAREZ")</f>
        <v>GEN MARIANO ALVAREZ</v>
      </c>
      <c r="Q1934" s="1" t="str">
        <f>IFERROR(__xludf.DUMMYFUNCTION("""COMPUTED_VALUE"""),"CAVITE")</f>
        <v>CAVITE</v>
      </c>
      <c r="R1934" s="1" t="str">
        <f>IFERROR(__xludf.DUMMYFUNCTION("""COMPUTED_VALUE"""),"FIBR UNLI ALL PLAN 999")</f>
        <v>FIBR UNLI ALL PLAN 999</v>
      </c>
      <c r="S1934" s="1" t="str">
        <f>IFERROR(__xludf.DUMMYFUNCTION("""COMPUTED_VALUE"""),"APPROVED")</f>
        <v>APPROVED</v>
      </c>
      <c r="T1934" s="1" t="str">
        <f>IFERROR(__xludf.DUMMYFUNCTION("""COMPUTED_VALUE"""),"#N/A")</f>
        <v>#N/A</v>
      </c>
      <c r="U1934" s="1"/>
      <c r="V1934" s="1"/>
      <c r="W1934" s="1"/>
    </row>
    <row r="1935" customHeight="1" spans="1:23">
      <c r="A1935" s="3">
        <f>IFERROR(__xludf.DUMMYFUNCTION("""COMPUTED_VALUE"""),46174)</f>
        <v>46174</v>
      </c>
      <c r="B1935" s="1" t="str">
        <f>IFERROR(__xludf.DUMMYFUNCTION("""COMPUTED_VALUE"""),"DACALCAP RUBEN")</f>
        <v>DACALCAP RUBEN</v>
      </c>
      <c r="C1935" s="1" t="str">
        <f>IFERROR(__xludf.DUMMYFUNCTION("""COMPUTED_VALUE"""),"FLA")</f>
        <v>FLA</v>
      </c>
      <c r="D1935" s="1" t="str">
        <f>IFERROR(__xludf.DUMMYFUNCTION("""COMPUTED_VALUE"""),"JERIC NAVARRO")</f>
        <v>JERIC NAVARRO</v>
      </c>
      <c r="E1935" s="1" t="str">
        <f>IFERROR(__xludf.DUMMYFUNCTION("""COMPUTED_VALUE"""),"RED FIBER")</f>
        <v>RED FIBER</v>
      </c>
      <c r="F1935" s="1"/>
      <c r="G1935" s="1"/>
      <c r="H1935" s="1" t="str">
        <f>IFERROR(__xludf.DUMMYFUNCTION("""COMPUTED_VALUE"""),"JOREL CLYDE JAVIER AURE")</f>
        <v>JOREL CLYDE JAVIER AURE</v>
      </c>
      <c r="I1935" s="1">
        <f>IFERROR(__xludf.DUMMYFUNCTION("""COMPUTED_VALUE"""),9684394623)</f>
        <v>9684394623</v>
      </c>
      <c r="J1935" s="1"/>
      <c r="K1935" s="1" t="str">
        <f>IFERROR(__xludf.DUMMYFUNCTION("""COMPUTED_VALUE"""),"aurejerelclyde@gmail.com")</f>
        <v>aurejerelclyde@gmail.com</v>
      </c>
      <c r="L1935" s="1" t="str">
        <f>IFERROR(__xludf.DUMMYFUNCTION("""COMPUTED_VALUE"""),"48")</f>
        <v>48</v>
      </c>
      <c r="M1935" s="1" t="str">
        <f>IFERROR(__xludf.DUMMYFUNCTION("""COMPUTED_VALUE"""),"LLAMADO ")</f>
        <v>LLAMADO </v>
      </c>
      <c r="N1935" s="1"/>
      <c r="O1935" s="1" t="str">
        <f>IFERROR(__xludf.DUMMYFUNCTION("""COMPUTED_VALUE"""),"BARANGAY 5 POBLACION")</f>
        <v>BARANGAY 5 POBLACION</v>
      </c>
      <c r="P1935" s="1" t="str">
        <f>IFERROR(__xludf.DUMMYFUNCTION("""COMPUTED_VALUE"""),"MENDEZ")</f>
        <v>MENDEZ</v>
      </c>
      <c r="Q1935" s="1" t="str">
        <f>IFERROR(__xludf.DUMMYFUNCTION("""COMPUTED_VALUE"""),"CAVITE")</f>
        <v>CAVITE</v>
      </c>
      <c r="R1935" s="1" t="str">
        <f>IFERROR(__xludf.DUMMYFUNCTION("""COMPUTED_VALUE"""),"RED PLAN 1400")</f>
        <v>RED PLAN 1400</v>
      </c>
      <c r="S1935" s="1" t="str">
        <f>IFERROR(__xludf.DUMMYFUNCTION("""COMPUTED_VALUE"""),"APPROVED")</f>
        <v>APPROVED</v>
      </c>
      <c r="T1935" s="1" t="str">
        <f>IFERROR(__xludf.DUMMYFUNCTION("""COMPUTED_VALUE"""),"PAID")</f>
        <v>PAID</v>
      </c>
      <c r="U1935" s="1" t="str">
        <f>IFERROR(__xludf.DUMMYFUNCTION("""COMPUTED_VALUE"""),"POSTED")</f>
        <v>POSTED</v>
      </c>
      <c r="V1935" s="1"/>
      <c r="W1935" s="1"/>
    </row>
    <row r="1936" customHeight="1" spans="1:23">
      <c r="A1936" s="3">
        <f>IFERROR(__xludf.DUMMYFUNCTION("""COMPUTED_VALUE"""),46174)</f>
        <v>46174</v>
      </c>
      <c r="B1936" s="1" t="str">
        <f>IFERROR(__xludf.DUMMYFUNCTION("""COMPUTED_VALUE"""),"NAVARRO, JERIC")</f>
        <v>NAVARRO, JERIC</v>
      </c>
      <c r="C1936" s="1" t="str">
        <f>IFERROR(__xludf.DUMMYFUNCTION("""COMPUTED_VALUE"""),"FLA")</f>
        <v>FLA</v>
      </c>
      <c r="D1936" s="1" t="str">
        <f>IFERROR(__xludf.DUMMYFUNCTION("""COMPUTED_VALUE"""),"JERIC NAVARRO")</f>
        <v>JERIC NAVARRO</v>
      </c>
      <c r="E1936" s="1" t="str">
        <f>IFERROR(__xludf.DUMMYFUNCTION("""COMPUTED_VALUE"""),"PLDT / ONLINE")</f>
        <v>PLDT / ONLINE</v>
      </c>
      <c r="F1936" s="1">
        <f>IFERROR(__xludf.DUMMYFUNCTION("""COMPUTED_VALUE"""),2309860178)</f>
        <v>2309860178</v>
      </c>
      <c r="G1936" s="1"/>
      <c r="H1936" s="1" t="str">
        <f>IFERROR(__xludf.DUMMYFUNCTION("""COMPUTED_VALUE"""),"AILA MARIE DE GUZMAN PROFETA")</f>
        <v>AILA MARIE DE GUZMAN PROFETA</v>
      </c>
      <c r="I1936" s="1">
        <f>IFERROR(__xludf.DUMMYFUNCTION("""COMPUTED_VALUE"""),9673159340)</f>
        <v>9673159340</v>
      </c>
      <c r="J1936" s="1">
        <f>IFERROR(__xludf.DUMMYFUNCTION("""COMPUTED_VALUE"""),9761336385)</f>
        <v>9761336385</v>
      </c>
      <c r="K1936" s="1" t="str">
        <f>IFERROR(__xludf.DUMMYFUNCTION("""COMPUTED_VALUE"""),"aila.profeta@gmail.com")</f>
        <v>aila.profeta@gmail.com</v>
      </c>
      <c r="L1936" s="1" t="str">
        <f>IFERROR(__xludf.DUMMYFUNCTION("""COMPUTED_VALUE"""),"197")</f>
        <v>197</v>
      </c>
      <c r="M1936" s="1" t="str">
        <f>IFERROR(__xludf.DUMMYFUNCTION("""COMPUTED_VALUE"""),"SOLIS")</f>
        <v>SOLIS</v>
      </c>
      <c r="N1936" s="1"/>
      <c r="O1936" s="1" t="str">
        <f>IFERROR(__xludf.DUMMYFUNCTION("""COMPUTED_VALUE"""),"JULUGAN III")</f>
        <v>JULUGAN III</v>
      </c>
      <c r="P1936" s="1" t="str">
        <f>IFERROR(__xludf.DUMMYFUNCTION("""COMPUTED_VALUE"""),"TANZA")</f>
        <v>TANZA</v>
      </c>
      <c r="Q1936" s="1" t="str">
        <f>IFERROR(__xludf.DUMMYFUNCTION("""COMPUTED_VALUE"""),"CAVITE")</f>
        <v>CAVITE</v>
      </c>
      <c r="R1936" s="1" t="str">
        <f>IFERROR(__xludf.DUMMYFUNCTION("""COMPUTED_VALUE"""),"FIBR PLAN 1699")</f>
        <v>FIBR PLAN 1699</v>
      </c>
      <c r="S1936" s="1" t="str">
        <f>IFERROR(__xludf.DUMMYFUNCTION("""COMPUTED_VALUE"""),"APPROVED")</f>
        <v>APPROVED</v>
      </c>
      <c r="T1936" s="1" t="str">
        <f>IFERROR(__xludf.DUMMYFUNCTION("""COMPUTED_VALUE"""),"#N/A")</f>
        <v>#N/A</v>
      </c>
      <c r="U1936" s="1"/>
      <c r="V1936" s="1"/>
      <c r="W1936" s="1"/>
    </row>
    <row r="1937" customHeight="1" spans="1:23">
      <c r="A1937" s="3">
        <f>IFERROR(__xludf.DUMMYFUNCTION("""COMPUTED_VALUE"""),46175)</f>
        <v>46175</v>
      </c>
      <c r="B1937" s="1" t="str">
        <f>IFERROR(__xludf.DUMMYFUNCTION("""COMPUTED_VALUE"""),"AYON MANUEL")</f>
        <v>AYON MANUEL</v>
      </c>
      <c r="C1937" s="1" t="str">
        <f>IFERROR(__xludf.DUMMYFUNCTION("""COMPUTED_VALUE"""),"FLA")</f>
        <v>FLA</v>
      </c>
      <c r="D1937" s="1" t="str">
        <f>IFERROR(__xludf.DUMMYFUNCTION("""COMPUTED_VALUE"""),"JERIC NAVARRO")</f>
        <v>JERIC NAVARRO</v>
      </c>
      <c r="E1937" s="1" t="str">
        <f>IFERROR(__xludf.DUMMYFUNCTION("""COMPUTED_VALUE"""),"PLDT / ONLINE")</f>
        <v>PLDT / ONLINE</v>
      </c>
      <c r="F1937" s="1">
        <f>IFERROR(__xludf.DUMMYFUNCTION("""COMPUTED_VALUE"""),2309875130)</f>
        <v>2309875130</v>
      </c>
      <c r="G1937" s="1"/>
      <c r="H1937" s="1" t="str">
        <f>IFERROR(__xludf.DUMMYFUNCTION("""COMPUTED_VALUE"""),"BIEN MANDAPAT VALENCIA")</f>
        <v>BIEN MANDAPAT VALENCIA</v>
      </c>
      <c r="I1937" s="1">
        <f>IFERROR(__xludf.DUMMYFUNCTION("""COMPUTED_VALUE"""),9457510146)</f>
        <v>9457510146</v>
      </c>
      <c r="J1937" s="1">
        <f>IFERROR(__xludf.DUMMYFUNCTION("""COMPUTED_VALUE"""),9115387751)</f>
        <v>9115387751</v>
      </c>
      <c r="K1937" s="1" t="str">
        <f>IFERROR(__xludf.DUMMYFUNCTION("""COMPUTED_VALUE"""),"bienval23@yahoo.com")</f>
        <v>bienval23@yahoo.com</v>
      </c>
      <c r="L1937" s="1" t="str">
        <f>IFERROR(__xludf.DUMMYFUNCTION("""COMPUTED_VALUE"""),"BLK 85 LOT 14")</f>
        <v>BLK 85 LOT 14</v>
      </c>
      <c r="M1937" s="1" t="str">
        <f>IFERROR(__xludf.DUMMYFUNCTION("""COMPUTED_VALUE"""),"PHASE 6")</f>
        <v>PHASE 6</v>
      </c>
      <c r="N1937" s="1" t="str">
        <f>IFERROR(__xludf.DUMMYFUNCTION("""COMPUTED_VALUE"""),"SUNTRUST")</f>
        <v>SUNTRUST</v>
      </c>
      <c r="O1937" s="1" t="str">
        <f>IFERROR(__xludf.DUMMYFUNCTION("""COMPUTED_VALUE"""),"HOYO")</f>
        <v>HOYO</v>
      </c>
      <c r="P1937" s="1" t="str">
        <f>IFERROR(__xludf.DUMMYFUNCTION("""COMPUTED_VALUE"""),"SILANG")</f>
        <v>SILANG</v>
      </c>
      <c r="Q1937" s="1" t="str">
        <f>IFERROR(__xludf.DUMMYFUNCTION("""COMPUTED_VALUE"""),"CAVITE")</f>
        <v>CAVITE</v>
      </c>
      <c r="R1937" s="1" t="str">
        <f>IFERROR(__xludf.DUMMYFUNCTION("""COMPUTED_VALUE"""),"FIBR PLAN 2699")</f>
        <v>FIBR PLAN 2699</v>
      </c>
      <c r="S1937" s="1" t="str">
        <f>IFERROR(__xludf.DUMMYFUNCTION("""COMPUTED_VALUE"""),"APPROVED")</f>
        <v>APPROVED</v>
      </c>
      <c r="T1937" s="1" t="str">
        <f>IFERROR(__xludf.DUMMYFUNCTION("""COMPUTED_VALUE"""),"#N/A")</f>
        <v>#N/A</v>
      </c>
      <c r="U1937" s="1" t="str">
        <f>IFERROR(__xludf.DUMMYFUNCTION("""COMPUTED_VALUE"""),"POSTED")</f>
        <v>POSTED</v>
      </c>
      <c r="V1937" s="1"/>
      <c r="W1937" s="1"/>
    </row>
    <row r="1938" customHeight="1" spans="1:23">
      <c r="A1938" s="3">
        <f>IFERROR(__xludf.DUMMYFUNCTION("""COMPUTED_VALUE"""),46175)</f>
        <v>46175</v>
      </c>
      <c r="B1938" s="1" t="str">
        <f>IFERROR(__xludf.DUMMYFUNCTION("""COMPUTED_VALUE"""),"ESCARCHA, MA ALMA  ESCOTO")</f>
        <v>ESCARCHA, MA ALMA  ESCOTO</v>
      </c>
      <c r="C1938" s="1" t="str">
        <f>IFERROR(__xludf.DUMMYFUNCTION("""COMPUTED_VALUE"""),"ORGANIC")</f>
        <v>ORGANIC</v>
      </c>
      <c r="D1938" s="1" t="str">
        <f>IFERROR(__xludf.DUMMYFUNCTION("""COMPUTED_VALUE"""),"REMOLLO LEA")</f>
        <v>REMOLLO LEA</v>
      </c>
      <c r="E1938" s="1" t="str">
        <f>IFERROR(__xludf.DUMMYFUNCTION("""COMPUTED_VALUE"""),"PLDT / H2H")</f>
        <v>PLDT / H2H</v>
      </c>
      <c r="F1938" s="1">
        <f>IFERROR(__xludf.DUMMYFUNCTION("""COMPUTED_VALUE"""),2309878960)</f>
        <v>2309878960</v>
      </c>
      <c r="G1938" s="1"/>
      <c r="H1938" s="1" t="str">
        <f>IFERROR(__xludf.DUMMYFUNCTION("""COMPUTED_VALUE"""),"ALMA PUERIN ANABIEZA")</f>
        <v>ALMA PUERIN ANABIEZA</v>
      </c>
      <c r="I1938" s="1">
        <f>IFERROR(__xludf.DUMMYFUNCTION("""COMPUTED_VALUE"""),9941403758)</f>
        <v>9941403758</v>
      </c>
      <c r="J1938" s="1"/>
      <c r="K1938" s="1" t="str">
        <f>IFERROR(__xludf.DUMMYFUNCTION("""COMPUTED_VALUE"""),"puerinalma401@gmail.com")</f>
        <v>puerinalma401@gmail.com</v>
      </c>
      <c r="L1938" s="1" t="str">
        <f>IFERROR(__xludf.DUMMYFUNCTION("""COMPUTED_VALUE"""),"22a")</f>
        <v>22a</v>
      </c>
      <c r="M1938" s="1" t="str">
        <f>IFERROR(__xludf.DUMMYFUNCTION("""COMPUTED_VALUE"""),"STRAWBERRY HILLS")</f>
        <v>STRAWBERRY HILLS</v>
      </c>
      <c r="N1938" s="1"/>
      <c r="O1938" s="1" t="str">
        <f>IFERROR(__xludf.DUMMYFUNCTION("""COMPUTED_VALUE"""),"FRANCISCO REYES")</f>
        <v>FRANCISCO REYES</v>
      </c>
      <c r="P1938" s="1" t="str">
        <f>IFERROR(__xludf.DUMMYFUNCTION("""COMPUTED_VALUE"""),"GEN MARIANO ALVAREZ")</f>
        <v>GEN MARIANO ALVAREZ</v>
      </c>
      <c r="Q1938" s="1" t="str">
        <f>IFERROR(__xludf.DUMMYFUNCTION("""COMPUTED_VALUE"""),"CAVITE")</f>
        <v>CAVITE</v>
      </c>
      <c r="R1938" s="1" t="str">
        <f>IFERROR(__xludf.DUMMYFUNCTION("""COMPUTED_VALUE"""),"FIBR UNLI ALL PLAN 999")</f>
        <v>FIBR UNLI ALL PLAN 999</v>
      </c>
      <c r="S1938" s="1" t="str">
        <f>IFERROR(__xludf.DUMMYFUNCTION("""COMPUTED_VALUE"""),"APPROVED")</f>
        <v>APPROVED</v>
      </c>
      <c r="T1938" s="1" t="str">
        <f>IFERROR(__xludf.DUMMYFUNCTION("""COMPUTED_VALUE"""),"#N/A")</f>
        <v>#N/A</v>
      </c>
      <c r="U1938" s="1" t="str">
        <f>IFERROR(__xludf.DUMMYFUNCTION("""COMPUTED_VALUE"""),"POSTED")</f>
        <v>POSTED</v>
      </c>
      <c r="V1938" s="1"/>
      <c r="W1938" s="1"/>
    </row>
    <row r="1939" customHeight="1" spans="1:23">
      <c r="A1939" s="3">
        <f>IFERROR(__xludf.DUMMYFUNCTION("""COMPUTED_VALUE"""),46175)</f>
        <v>46175</v>
      </c>
      <c r="B1939" s="1" t="str">
        <f>IFERROR(__xludf.DUMMYFUNCTION("""COMPUTED_VALUE"""),"NAVARRO, JERIC")</f>
        <v>NAVARRO, JERIC</v>
      </c>
      <c r="C1939" s="1" t="str">
        <f>IFERROR(__xludf.DUMMYFUNCTION("""COMPUTED_VALUE"""),"FLA")</f>
        <v>FLA</v>
      </c>
      <c r="D1939" s="1" t="str">
        <f>IFERROR(__xludf.DUMMYFUNCTION("""COMPUTED_VALUE"""),"JERIC NAVARRO")</f>
        <v>JERIC NAVARRO</v>
      </c>
      <c r="E1939" s="1" t="str">
        <f>IFERROR(__xludf.DUMMYFUNCTION("""COMPUTED_VALUE"""),"PLDT / ONLINE")</f>
        <v>PLDT / ONLINE</v>
      </c>
      <c r="F1939" s="1">
        <f>IFERROR(__xludf.DUMMYFUNCTION("""COMPUTED_VALUE"""),2309875816)</f>
        <v>2309875816</v>
      </c>
      <c r="G1939" s="1"/>
      <c r="H1939" s="1" t="str">
        <f>IFERROR(__xludf.DUMMYFUNCTION("""COMPUTED_VALUE"""),"ANNIKA MARIE CORTES PRILE")</f>
        <v>ANNIKA MARIE CORTES PRILE</v>
      </c>
      <c r="I1939" s="1">
        <f>IFERROR(__xludf.DUMMYFUNCTION("""COMPUTED_VALUE"""),9770322225)</f>
        <v>9770322225</v>
      </c>
      <c r="J1939" s="1">
        <f>IFERROR(__xludf.DUMMYFUNCTION("""COMPUTED_VALUE"""),9277939004)</f>
        <v>9277939004</v>
      </c>
      <c r="K1939" s="1" t="str">
        <f>IFERROR(__xludf.DUMMYFUNCTION("""COMPUTED_VALUE"""),"anikkaprile@gmail.com")</f>
        <v>anikkaprile@gmail.com</v>
      </c>
      <c r="L1939" s="1" t="str">
        <f>IFERROR(__xludf.DUMMYFUNCTION("""COMPUTED_VALUE"""),"99")</f>
        <v>99</v>
      </c>
      <c r="M1939" s="1" t="str">
        <f>IFERROR(__xludf.DUMMYFUNCTION("""COMPUTED_VALUE"""),"RESURRECTION")</f>
        <v>RESURRECTION</v>
      </c>
      <c r="N1939" s="1"/>
      <c r="O1939" s="1" t="str">
        <f>IFERROR(__xludf.DUMMYFUNCTION("""COMPUTED_VALUE"""),"JULUGAN V")</f>
        <v>JULUGAN V</v>
      </c>
      <c r="P1939" s="1" t="str">
        <f>IFERROR(__xludf.DUMMYFUNCTION("""COMPUTED_VALUE"""),"TANZA")</f>
        <v>TANZA</v>
      </c>
      <c r="Q1939" s="1" t="str">
        <f>IFERROR(__xludf.DUMMYFUNCTION("""COMPUTED_VALUE"""),"CAVITE")</f>
        <v>CAVITE</v>
      </c>
      <c r="R1939" s="1" t="str">
        <f>IFERROR(__xludf.DUMMYFUNCTION("""COMPUTED_VALUE"""),"FIBR UNLI ALL PLAN 1799")</f>
        <v>FIBR UNLI ALL PLAN 1799</v>
      </c>
      <c r="S1939" s="1" t="str">
        <f>IFERROR(__xludf.DUMMYFUNCTION("""COMPUTED_VALUE"""),"APPROVED")</f>
        <v>APPROVED</v>
      </c>
      <c r="T1939" s="1" t="str">
        <f>IFERROR(__xludf.DUMMYFUNCTION("""COMPUTED_VALUE"""),"#N/A")</f>
        <v>#N/A</v>
      </c>
      <c r="U1939" s="1"/>
      <c r="V1939" s="1"/>
      <c r="W1939" s="1"/>
    </row>
    <row r="1940" customHeight="1" spans="1:23">
      <c r="A1940" s="3">
        <f>IFERROR(__xludf.DUMMYFUNCTION("""COMPUTED_VALUE"""),46175)</f>
        <v>46175</v>
      </c>
      <c r="B1940" s="1" t="str">
        <f>IFERROR(__xludf.DUMMYFUNCTION("""COMPUTED_VALUE"""),"FERNANDEZ JERIC")</f>
        <v>FERNANDEZ JERIC</v>
      </c>
      <c r="C1940" s="1" t="str">
        <f>IFERROR(__xludf.DUMMYFUNCTION("""COMPUTED_VALUE"""),"ORGANIC")</f>
        <v>ORGANIC</v>
      </c>
      <c r="D1940" s="1" t="str">
        <f>IFERROR(__xludf.DUMMYFUNCTION("""COMPUTED_VALUE"""),"REMOLLO LEA")</f>
        <v>REMOLLO LEA</v>
      </c>
      <c r="E1940" s="1" t="str">
        <f>IFERROR(__xludf.DUMMYFUNCTION("""COMPUTED_VALUE"""),"PLDT / ONLINE")</f>
        <v>PLDT / ONLINE</v>
      </c>
      <c r="F1940" s="1">
        <f>IFERROR(__xludf.DUMMYFUNCTION("""COMPUTED_VALUE"""),2309877164)</f>
        <v>2309877164</v>
      </c>
      <c r="G1940" s="1"/>
      <c r="H1940" s="1" t="str">
        <f>IFERROR(__xludf.DUMMYFUNCTION("""COMPUTED_VALUE"""),"JESAMY BELLODO ESPIRITU")</f>
        <v>JESAMY BELLODO ESPIRITU</v>
      </c>
      <c r="I1940" s="1">
        <f>IFERROR(__xludf.DUMMYFUNCTION("""COMPUTED_VALUE"""),9765084395)</f>
        <v>9765084395</v>
      </c>
      <c r="J1940" s="1">
        <f>IFERROR(__xludf.DUMMYFUNCTION("""COMPUTED_VALUE"""),9556544628)</f>
        <v>9556544628</v>
      </c>
      <c r="K1940" s="1" t="str">
        <f>IFERROR(__xludf.DUMMYFUNCTION("""COMPUTED_VALUE"""),"yprints21@gmail.com")</f>
        <v>yprints21@gmail.com</v>
      </c>
      <c r="L1940" s="1" t="str">
        <f>IFERROR(__xludf.DUMMYFUNCTION("""COMPUTED_VALUE"""),"9963")</f>
        <v>9963</v>
      </c>
      <c r="M1940" s="1" t="str">
        <f>IFERROR(__xludf.DUMMYFUNCTION("""COMPUTED_VALUE"""),"AVEO ST")</f>
        <v>AVEO ST</v>
      </c>
      <c r="N1940" s="1"/>
      <c r="O1940" s="1" t="str">
        <f>IFERROR(__xludf.DUMMYFUNCTION("""COMPUTED_VALUE"""),"BARANGAY IV (POB.)")</f>
        <v>BARANGAY IV (POB.)</v>
      </c>
      <c r="P1940" s="1" t="str">
        <f>IFERROR(__xludf.DUMMYFUNCTION("""COMPUTED_VALUE"""),"ALFONSO")</f>
        <v>ALFONSO</v>
      </c>
      <c r="Q1940" s="1" t="str">
        <f>IFERROR(__xludf.DUMMYFUNCTION("""COMPUTED_VALUE"""),"CAVITE")</f>
        <v>CAVITE</v>
      </c>
      <c r="R1940" s="1" t="str">
        <f>IFERROR(__xludf.DUMMYFUNCTION("""COMPUTED_VALUE"""),"FIBR NETFLIX PLAN 1599")</f>
        <v>FIBR NETFLIX PLAN 1599</v>
      </c>
      <c r="S1940" s="1" t="str">
        <f>IFERROR(__xludf.DUMMYFUNCTION("""COMPUTED_VALUE"""),"APPROVED")</f>
        <v>APPROVED</v>
      </c>
      <c r="T1940" s="1" t="str">
        <f>IFERROR(__xludf.DUMMYFUNCTION("""COMPUTED_VALUE"""),"#N/A")</f>
        <v>#N/A</v>
      </c>
      <c r="U1940" s="1" t="str">
        <f>IFERROR(__xludf.DUMMYFUNCTION("""COMPUTED_VALUE"""),"PAID VIA GCASH")</f>
        <v>PAID VIA GCASH</v>
      </c>
      <c r="V1940" s="1"/>
      <c r="W1940" s="1"/>
    </row>
    <row r="1941" customHeight="1" spans="1:23">
      <c r="A1941" s="3">
        <f>IFERROR(__xludf.DUMMYFUNCTION("""COMPUTED_VALUE"""),46175)</f>
        <v>46175</v>
      </c>
      <c r="B1941" s="1" t="str">
        <f>IFERROR(__xludf.DUMMYFUNCTION("""COMPUTED_VALUE"""),"LEADSTORE - ILANO, LIANDRO TEJAS")</f>
        <v>LEADSTORE - ILANO, LIANDRO TEJAS</v>
      </c>
      <c r="C1941" s="1" t="str">
        <f>IFERROR(__xludf.DUMMYFUNCTION("""COMPUTED_VALUE"""),"LEADSTORE")</f>
        <v>LEADSTORE</v>
      </c>
      <c r="D1941" s="1" t="str">
        <f>IFERROR(__xludf.DUMMYFUNCTION("""COMPUTED_VALUE"""),"JERIC NAVARRO")</f>
        <v>JERIC NAVARRO</v>
      </c>
      <c r="E1941" s="1" t="str">
        <f>IFERROR(__xludf.DUMMYFUNCTION("""COMPUTED_VALUE"""),"PLDT / ONLINE")</f>
        <v>PLDT / ONLINE</v>
      </c>
      <c r="F1941" s="1">
        <f>IFERROR(__xludf.DUMMYFUNCTION("""COMPUTED_VALUE"""),2309881225)</f>
        <v>2309881225</v>
      </c>
      <c r="G1941" s="1"/>
      <c r="H1941" s="1" t="str">
        <f>IFERROR(__xludf.DUMMYFUNCTION("""COMPUTED_VALUE"""),"CHRISFER SITJAR BARCELONA")</f>
        <v>CHRISFER SITJAR BARCELONA</v>
      </c>
      <c r="I1941" s="1">
        <f>IFERROR(__xludf.DUMMYFUNCTION("""COMPUTED_VALUE"""),9702888401)</f>
        <v>9702888401</v>
      </c>
      <c r="J1941" s="1">
        <f>IFERROR(__xludf.DUMMYFUNCTION("""COMPUTED_VALUE"""),9462887646)</f>
        <v>9462887646</v>
      </c>
      <c r="K1941" s="1" t="str">
        <f>IFERROR(__xludf.DUMMYFUNCTION("""COMPUTED_VALUE"""),"lorrybwercelona25@gmail.com")</f>
        <v>lorrybwercelona25@gmail.com</v>
      </c>
      <c r="L1941" s="1" t="str">
        <f>IFERROR(__xludf.DUMMYFUNCTION("""COMPUTED_VALUE"""),"9320")</f>
        <v>9320</v>
      </c>
      <c r="M1941" s="1" t="str">
        <f>IFERROR(__xludf.DUMMYFUNCTION("""COMPUTED_VALUE"""),"LAGUSAN DRIVE")</f>
        <v>LAGUSAN DRIVE</v>
      </c>
      <c r="N1941" s="1"/>
      <c r="O1941" s="1" t="str">
        <f>IFERROR(__xludf.DUMMYFUNCTION("""COMPUTED_VALUE"""),"TOLENTINO EAST")</f>
        <v>TOLENTINO EAST</v>
      </c>
      <c r="P1941" s="1" t="str">
        <f>IFERROR(__xludf.DUMMYFUNCTION("""COMPUTED_VALUE"""),"TAGAYTAY")</f>
        <v>TAGAYTAY</v>
      </c>
      <c r="Q1941" s="1" t="str">
        <f>IFERROR(__xludf.DUMMYFUNCTION("""COMPUTED_VALUE"""),"CAVITE")</f>
        <v>CAVITE</v>
      </c>
      <c r="R1941" s="1" t="str">
        <f>IFERROR(__xludf.DUMMYFUNCTION("""COMPUTED_VALUE"""),"FIBR PLAN 1299")</f>
        <v>FIBR PLAN 1299</v>
      </c>
      <c r="S1941" s="1" t="str">
        <f>IFERROR(__xludf.DUMMYFUNCTION("""COMPUTED_VALUE"""),"APPROVED")</f>
        <v>APPROVED</v>
      </c>
      <c r="T1941" s="1" t="str">
        <f>IFERROR(__xludf.DUMMYFUNCTION("""COMPUTED_VALUE"""),"#N/A")</f>
        <v>#N/A</v>
      </c>
      <c r="U1941" s="1" t="str">
        <f>IFERROR(__xludf.DUMMYFUNCTION("""COMPUTED_VALUE"""),"POSTED")</f>
        <v>POSTED</v>
      </c>
      <c r="V1941" s="1"/>
      <c r="W1941" s="1"/>
    </row>
    <row r="1942" customHeight="1" spans="1:23">
      <c r="A1942" s="3">
        <f>IFERROR(__xludf.DUMMYFUNCTION("""COMPUTED_VALUE"""),46175)</f>
        <v>46175</v>
      </c>
      <c r="B1942" s="1" t="str">
        <f>IFERROR(__xludf.DUMMYFUNCTION("""COMPUTED_VALUE"""),"IVNO, RAZZEL")</f>
        <v>IVNO, RAZZEL</v>
      </c>
      <c r="C1942" s="1" t="str">
        <f>IFERROR(__xludf.DUMMYFUNCTION("""COMPUTED_VALUE"""),"ORGANIC")</f>
        <v>ORGANIC</v>
      </c>
      <c r="D1942" s="1" t="str">
        <f>IFERROR(__xludf.DUMMYFUNCTION("""COMPUTED_VALUE"""),"REMOLLO LEA")</f>
        <v>REMOLLO LEA</v>
      </c>
      <c r="E1942" s="1" t="str">
        <f>IFERROR(__xludf.DUMMYFUNCTION("""COMPUTED_VALUE"""),"PLDT / H2H")</f>
        <v>PLDT / H2H</v>
      </c>
      <c r="F1942" s="1">
        <f>IFERROR(__xludf.DUMMYFUNCTION("""COMPUTED_VALUE"""),2309883220)</f>
        <v>2309883220</v>
      </c>
      <c r="G1942" s="1"/>
      <c r="H1942" s="1" t="str">
        <f>IFERROR(__xludf.DUMMYFUNCTION("""COMPUTED_VALUE"""),"MARRIZA ARMANDA CABACANG")</f>
        <v>MARRIZA ARMANDA CABACANG</v>
      </c>
      <c r="I1942" s="1">
        <f>IFERROR(__xludf.DUMMYFUNCTION("""COMPUTED_VALUE"""),9053777652)</f>
        <v>9053777652</v>
      </c>
      <c r="J1942" s="1">
        <f>IFERROR(__xludf.DUMMYFUNCTION("""COMPUTED_VALUE"""),9153212097)</f>
        <v>9153212097</v>
      </c>
      <c r="K1942" s="1" t="str">
        <f>IFERROR(__xludf.DUMMYFUNCTION("""COMPUTED_VALUE"""),"janiecabacang@gmail.com")</f>
        <v>janiecabacang@gmail.com</v>
      </c>
      <c r="L1942" s="1" t="str">
        <f>IFERROR(__xludf.DUMMYFUNCTION("""COMPUTED_VALUE"""),"37")</f>
        <v>37</v>
      </c>
      <c r="M1942" s="1" t="str">
        <f>IFERROR(__xludf.DUMMYFUNCTION("""COMPUTED_VALUE"""),"STRAWBERRY HILLS")</f>
        <v>STRAWBERRY HILLS</v>
      </c>
      <c r="N1942" s="1"/>
      <c r="O1942" s="1" t="str">
        <f>IFERROR(__xludf.DUMMYFUNCTION("""COMPUTED_VALUE"""),"FRANCISCO REYES")</f>
        <v>FRANCISCO REYES</v>
      </c>
      <c r="P1942" s="1" t="str">
        <f>IFERROR(__xludf.DUMMYFUNCTION("""COMPUTED_VALUE"""),"GENERAL EMILIO AGUINALDO")</f>
        <v>GENERAL EMILIO AGUINALDO</v>
      </c>
      <c r="Q1942" s="1" t="str">
        <f>IFERROR(__xludf.DUMMYFUNCTION("""COMPUTED_VALUE"""),"CAVITE")</f>
        <v>CAVITE</v>
      </c>
      <c r="R1942" s="1" t="str">
        <f>IFERROR(__xludf.DUMMYFUNCTION("""COMPUTED_VALUE"""),"FIBR UNLI ALL PLAN 999")</f>
        <v>FIBR UNLI ALL PLAN 999</v>
      </c>
      <c r="S1942" s="1" t="str">
        <f>IFERROR(__xludf.DUMMYFUNCTION("""COMPUTED_VALUE"""),"APPROVED")</f>
        <v>APPROVED</v>
      </c>
      <c r="T1942" s="1" t="str">
        <f>IFERROR(__xludf.DUMMYFUNCTION("""COMPUTED_VALUE"""),"#N/A")</f>
        <v>#N/A</v>
      </c>
      <c r="U1942" s="1" t="str">
        <f>IFERROR(__xludf.DUMMYFUNCTION("""COMPUTED_VALUE"""),"POSTED")</f>
        <v>POSTED</v>
      </c>
      <c r="V1942" s="1"/>
      <c r="W1942" s="1"/>
    </row>
    <row r="1943" customHeight="1" spans="1:23">
      <c r="A1943" s="3">
        <f>IFERROR(__xludf.DUMMYFUNCTION("""COMPUTED_VALUE"""),46175)</f>
        <v>46175</v>
      </c>
      <c r="B1943" s="1" t="str">
        <f>IFERROR(__xludf.DUMMYFUNCTION("""COMPUTED_VALUE"""),"LEADSTORE - ILANO, LIANDRO TEJAS")</f>
        <v>LEADSTORE - ILANO, LIANDRO TEJAS</v>
      </c>
      <c r="C1943" s="1" t="str">
        <f>IFERROR(__xludf.DUMMYFUNCTION("""COMPUTED_VALUE"""),"FLA")</f>
        <v>FLA</v>
      </c>
      <c r="D1943" s="1" t="str">
        <f>IFERROR(__xludf.DUMMYFUNCTION("""COMPUTED_VALUE"""),"JERIC NAVARRO")</f>
        <v>JERIC NAVARRO</v>
      </c>
      <c r="E1943" s="1" t="str">
        <f>IFERROR(__xludf.DUMMYFUNCTION("""COMPUTED_VALUE"""),"PLDT / H2H")</f>
        <v>PLDT / H2H</v>
      </c>
      <c r="F1943" s="1">
        <f>IFERROR(__xludf.DUMMYFUNCTION("""COMPUTED_VALUE"""),2309879298)</f>
        <v>2309879298</v>
      </c>
      <c r="G1943" s="1"/>
      <c r="H1943" s="1" t="str">
        <f>IFERROR(__xludf.DUMMYFUNCTION("""COMPUTED_VALUE"""),"SUSAN RHYM ABAD BALOCAT")</f>
        <v>SUSAN RHYM ABAD BALOCAT</v>
      </c>
      <c r="I1943" s="1">
        <f>IFERROR(__xludf.DUMMYFUNCTION("""COMPUTED_VALUE"""),9917003627)</f>
        <v>9917003627</v>
      </c>
      <c r="J1943" s="1"/>
      <c r="K1943" s="1" t="str">
        <f>IFERROR(__xludf.DUMMYFUNCTION("""COMPUTED_VALUE"""),"balocatsusanrhym@gmail.com")</f>
        <v>balocatsusanrhym@gmail.com</v>
      </c>
      <c r="L1943" s="1" t="str">
        <f>IFERROR(__xludf.DUMMYFUNCTION("""COMPUTED_VALUE"""),"BLK 34 LOT 11")</f>
        <v>BLK 34 LOT 11</v>
      </c>
      <c r="M1943" s="1" t="str">
        <f>IFERROR(__xludf.DUMMYFUNCTION("""COMPUTED_VALUE"""),"LAGUNA ST")</f>
        <v>LAGUNA ST</v>
      </c>
      <c r="N1943" s="1"/>
      <c r="O1943" s="1" t="str">
        <f>IFERROR(__xludf.DUMMYFUNCTION("""COMPUTED_VALUE"""),"GAVINO MADERAN")</f>
        <v>GAVINO MADERAN</v>
      </c>
      <c r="P1943" s="1" t="str">
        <f>IFERROR(__xludf.DUMMYFUNCTION("""COMPUTED_VALUE"""),"GEN MARIANO ALVAREZ")</f>
        <v>GEN MARIANO ALVAREZ</v>
      </c>
      <c r="Q1943" s="1" t="str">
        <f>IFERROR(__xludf.DUMMYFUNCTION("""COMPUTED_VALUE"""),"CAVITE")</f>
        <v>CAVITE</v>
      </c>
      <c r="R1943" s="1" t="str">
        <f>IFERROR(__xludf.DUMMYFUNCTION("""COMPUTED_VALUE"""),"PREPAID FIBER UNLI")</f>
        <v>PREPAID FIBER UNLI</v>
      </c>
      <c r="S1943" s="1" t="str">
        <f>IFERROR(__xludf.DUMMYFUNCTION("""COMPUTED_VALUE"""),"APPROVED")</f>
        <v>APPROVED</v>
      </c>
      <c r="T1943" s="1" t="str">
        <f>IFERROR(__xludf.DUMMYFUNCTION("""COMPUTED_VALUE"""),"#N/A")</f>
        <v>#N/A</v>
      </c>
      <c r="U1943" s="1"/>
      <c r="V1943" s="1"/>
      <c r="W1943" s="1"/>
    </row>
    <row r="1944" customHeight="1" spans="1:23">
      <c r="A1944" s="3">
        <f>IFERROR(__xludf.DUMMYFUNCTION("""COMPUTED_VALUE"""),46175)</f>
        <v>46175</v>
      </c>
      <c r="B1944" s="1" t="str">
        <f>IFERROR(__xludf.DUMMYFUNCTION("""COMPUTED_VALUE"""),"MALIWAT MARK ELVIN")</f>
        <v>MALIWAT MARK ELVIN</v>
      </c>
      <c r="C1944" s="1" t="str">
        <f>IFERROR(__xludf.DUMMYFUNCTION("""COMPUTED_VALUE"""),"FLA")</f>
        <v>FLA</v>
      </c>
      <c r="D1944" s="1" t="str">
        <f>IFERROR(__xludf.DUMMYFUNCTION("""COMPUTED_VALUE"""),"JERIC NAVARRO")</f>
        <v>JERIC NAVARRO</v>
      </c>
      <c r="E1944" s="1" t="str">
        <f>IFERROR(__xludf.DUMMYFUNCTION("""COMPUTED_VALUE"""),"PLDT / ONLINE")</f>
        <v>PLDT / ONLINE</v>
      </c>
      <c r="F1944" s="1">
        <f>IFERROR(__xludf.DUMMYFUNCTION("""COMPUTED_VALUE"""),2309881859)</f>
        <v>2309881859</v>
      </c>
      <c r="G1944" s="1"/>
      <c r="H1944" s="1" t="str">
        <f>IFERROR(__xludf.DUMMYFUNCTION("""COMPUTED_VALUE"""),"GILBERT PAPASIN ROQUE")</f>
        <v>GILBERT PAPASIN ROQUE</v>
      </c>
      <c r="I1944" s="1">
        <f>IFERROR(__xludf.DUMMYFUNCTION("""COMPUTED_VALUE"""),9175162006)</f>
        <v>9175162006</v>
      </c>
      <c r="J1944" s="1">
        <f>IFERROR(__xludf.DUMMYFUNCTION("""COMPUTED_VALUE"""),9175365884)</f>
        <v>9175365884</v>
      </c>
      <c r="K1944" s="1" t="str">
        <f>IFERROR(__xludf.DUMMYFUNCTION("""COMPUTED_VALUE"""),"mageinc2006@gmail.com")</f>
        <v>mageinc2006@gmail.com</v>
      </c>
      <c r="L1944" s="1" t="str">
        <f>IFERROR(__xludf.DUMMYFUNCTION("""COMPUTED_VALUE"""),"BLK 3D LOT 19")</f>
        <v>BLK 3D LOT 19</v>
      </c>
      <c r="M1944" s="1" t="str">
        <f>IFERROR(__xludf.DUMMYFUNCTION("""COMPUTED_VALUE"""),"PHASE 1")</f>
        <v>PHASE 1</v>
      </c>
      <c r="N1944" s="1" t="str">
        <f>IFERROR(__xludf.DUMMYFUNCTION("""COMPUTED_VALUE"""),"TERRANEVADA")</f>
        <v>TERRANEVADA</v>
      </c>
      <c r="O1944" s="1" t="str">
        <f>IFERROR(__xludf.DUMMYFUNCTION("""COMPUTED_VALUE"""),"SAN FRANCISCO")</f>
        <v>SAN FRANCISCO</v>
      </c>
      <c r="P1944" s="1" t="str">
        <f>IFERROR(__xludf.DUMMYFUNCTION("""COMPUTED_VALUE"""),"GENERAL TRIAS")</f>
        <v>GENERAL TRIAS</v>
      </c>
      <c r="Q1944" s="1" t="str">
        <f>IFERROR(__xludf.DUMMYFUNCTION("""COMPUTED_VALUE"""),"CAVITE")</f>
        <v>CAVITE</v>
      </c>
      <c r="R1944" s="1" t="str">
        <f>IFERROR(__xludf.DUMMYFUNCTION("""COMPUTED_VALUE"""),"FIBR PLAN 1699")</f>
        <v>FIBR PLAN 1699</v>
      </c>
      <c r="S1944" s="1" t="str">
        <f>IFERROR(__xludf.DUMMYFUNCTION("""COMPUTED_VALUE"""),"APPROVED")</f>
        <v>APPROVED</v>
      </c>
      <c r="T1944" s="1" t="str">
        <f>IFERROR(__xludf.DUMMYFUNCTION("""COMPUTED_VALUE"""),"#N/A")</f>
        <v>#N/A</v>
      </c>
      <c r="U1944" s="1"/>
      <c r="V1944" s="1"/>
      <c r="W1944" s="1"/>
    </row>
    <row r="1945" customHeight="1" spans="1:23">
      <c r="A1945" s="3">
        <f>IFERROR(__xludf.DUMMYFUNCTION("""COMPUTED_VALUE"""),46175)</f>
        <v>46175</v>
      </c>
      <c r="B1945" s="1" t="str">
        <f>IFERROR(__xludf.DUMMYFUNCTION("""COMPUTED_VALUE"""),"AYON MANUEL")</f>
        <v>AYON MANUEL</v>
      </c>
      <c r="C1945" s="1" t="str">
        <f>IFERROR(__xludf.DUMMYFUNCTION("""COMPUTED_VALUE"""),"FLA")</f>
        <v>FLA</v>
      </c>
      <c r="D1945" s="1" t="str">
        <f>IFERROR(__xludf.DUMMYFUNCTION("""COMPUTED_VALUE"""),"JERIC NAVARRO")</f>
        <v>JERIC NAVARRO</v>
      </c>
      <c r="E1945" s="1" t="str">
        <f>IFERROR(__xludf.DUMMYFUNCTION("""COMPUTED_VALUE"""),"PLDT / ONLINE")</f>
        <v>PLDT / ONLINE</v>
      </c>
      <c r="F1945" s="1">
        <f>IFERROR(__xludf.DUMMYFUNCTION("""COMPUTED_VALUE"""),2309882442)</f>
        <v>2309882442</v>
      </c>
      <c r="G1945" s="1"/>
      <c r="H1945" s="1" t="str">
        <f>IFERROR(__xludf.DUMMYFUNCTION("""COMPUTED_VALUE"""),"JULLIANA PAJES RIDONDO")</f>
        <v>JULLIANA PAJES RIDONDO</v>
      </c>
      <c r="I1945" s="1">
        <f>IFERROR(__xludf.DUMMYFUNCTION("""COMPUTED_VALUE"""),9395089937)</f>
        <v>9395089937</v>
      </c>
      <c r="J1945" s="1">
        <f>IFERROR(__xludf.DUMMYFUNCTION("""COMPUTED_VALUE"""),9753522808)</f>
        <v>9753522808</v>
      </c>
      <c r="K1945" s="1" t="str">
        <f>IFERROR(__xludf.DUMMYFUNCTION("""COMPUTED_VALUE"""),"jullianaridondo04@gmail.com")</f>
        <v>jullianaridondo04@gmail.com</v>
      </c>
      <c r="L1945" s="1" t="str">
        <f>IFERROR(__xludf.DUMMYFUNCTION("""COMPUTED_VALUE"""),"9007")</f>
        <v>9007</v>
      </c>
      <c r="M1945" s="1" t="str">
        <f>IFERROR(__xludf.DUMMYFUNCTION("""COMPUTED_VALUE"""),"ZAMBAL RD")</f>
        <v>ZAMBAL RD</v>
      </c>
      <c r="N1945" s="1"/>
      <c r="O1945" s="1" t="str">
        <f>IFERROR(__xludf.DUMMYFUNCTION("""COMPUTED_VALUE"""),"ZAMBAL")</f>
        <v>ZAMBAL</v>
      </c>
      <c r="P1945" s="1" t="str">
        <f>IFERROR(__xludf.DUMMYFUNCTION("""COMPUTED_VALUE"""),"TAGAYTAY")</f>
        <v>TAGAYTAY</v>
      </c>
      <c r="Q1945" s="1" t="str">
        <f>IFERROR(__xludf.DUMMYFUNCTION("""COMPUTED_VALUE"""),"CAVITE")</f>
        <v>CAVITE</v>
      </c>
      <c r="R1945" s="1" t="str">
        <f>IFERROR(__xludf.DUMMYFUNCTION("""COMPUTED_VALUE"""),"FIBR UNLI ALL PLAN 999")</f>
        <v>FIBR UNLI ALL PLAN 999</v>
      </c>
      <c r="S1945" s="1" t="str">
        <f>IFERROR(__xludf.DUMMYFUNCTION("""COMPUTED_VALUE"""),"APPROVED")</f>
        <v>APPROVED</v>
      </c>
      <c r="T1945" s="1" t="str">
        <f>IFERROR(__xludf.DUMMYFUNCTION("""COMPUTED_VALUE"""),"#N/A")</f>
        <v>#N/A</v>
      </c>
      <c r="U1945" s="1" t="str">
        <f>IFERROR(__xludf.DUMMYFUNCTION("""COMPUTED_VALUE"""),"POSTED")</f>
        <v>POSTED</v>
      </c>
      <c r="V1945" s="1"/>
      <c r="W1945" s="1"/>
    </row>
    <row r="1946" customHeight="1" spans="1:23">
      <c r="A1946" s="3">
        <f>IFERROR(__xludf.DUMMYFUNCTION("""COMPUTED_VALUE"""),46175)</f>
        <v>46175</v>
      </c>
      <c r="B1946" s="1" t="str">
        <f>IFERROR(__xludf.DUMMYFUNCTION("""COMPUTED_VALUE"""),"IVNO, RAZZEL")</f>
        <v>IVNO, RAZZEL</v>
      </c>
      <c r="C1946" s="1" t="str">
        <f>IFERROR(__xludf.DUMMYFUNCTION("""COMPUTED_VALUE"""),"ORGANIC")</f>
        <v>ORGANIC</v>
      </c>
      <c r="D1946" s="1" t="str">
        <f>IFERROR(__xludf.DUMMYFUNCTION("""COMPUTED_VALUE"""),"REMOLLO LEA")</f>
        <v>REMOLLO LEA</v>
      </c>
      <c r="E1946" s="1" t="str">
        <f>IFERROR(__xludf.DUMMYFUNCTION("""COMPUTED_VALUE"""),"PLDT / H2H")</f>
        <v>PLDT / H2H</v>
      </c>
      <c r="F1946" s="1">
        <f>IFERROR(__xludf.DUMMYFUNCTION("""COMPUTED_VALUE"""),2309899276)</f>
        <v>2309899276</v>
      </c>
      <c r="G1946" s="1"/>
      <c r="H1946" s="1" t="str">
        <f>IFERROR(__xludf.DUMMYFUNCTION("""COMPUTED_VALUE"""),"LARREN LAUREL MONTOYA MARIANO")</f>
        <v>LARREN LAUREL MONTOYA MARIANO</v>
      </c>
      <c r="I1946" s="1">
        <f>IFERROR(__xludf.DUMMYFUNCTION("""COMPUTED_VALUE"""),9705214292)</f>
        <v>9705214292</v>
      </c>
      <c r="J1946" s="1">
        <f>IFERROR(__xludf.DUMMYFUNCTION("""COMPUTED_VALUE"""),9185273526)</f>
        <v>9185273526</v>
      </c>
      <c r="K1946" s="1" t="str">
        <f>IFERROR(__xludf.DUMMYFUNCTION("""COMPUTED_VALUE"""),"caswatso09@gmail.com")</f>
        <v>caswatso09@gmail.com</v>
      </c>
      <c r="L1946" s="1" t="str">
        <f>IFERROR(__xludf.DUMMYFUNCTION("""COMPUTED_VALUE"""),"BLK 26 LOT 17")</f>
        <v>BLK 26 LOT 17</v>
      </c>
      <c r="M1946" s="1" t="str">
        <f>IFERROR(__xludf.DUMMYFUNCTION("""COMPUTED_VALUE"""),"BUKLURAN 2")</f>
        <v>BUKLURAN 2</v>
      </c>
      <c r="N1946" s="1"/>
      <c r="O1946" s="1" t="str">
        <f>IFERROR(__xludf.DUMMYFUNCTION("""COMPUTED_VALUE"""),"BULIHAN")</f>
        <v>BULIHAN</v>
      </c>
      <c r="P1946" s="1" t="str">
        <f>IFERROR(__xludf.DUMMYFUNCTION("""COMPUTED_VALUE"""),"SILANG")</f>
        <v>SILANG</v>
      </c>
      <c r="Q1946" s="1" t="str">
        <f>IFERROR(__xludf.DUMMYFUNCTION("""COMPUTED_VALUE"""),"CAVITE")</f>
        <v>CAVITE</v>
      </c>
      <c r="R1946" s="1" t="str">
        <f>IFERROR(__xludf.DUMMYFUNCTION("""COMPUTED_VALUE"""),"FIBR NETFLIX PLAN 1599")</f>
        <v>FIBR NETFLIX PLAN 1599</v>
      </c>
      <c r="S1946" s="1" t="str">
        <f>IFERROR(__xludf.DUMMYFUNCTION("""COMPUTED_VALUE"""),"APPROVED")</f>
        <v>APPROVED</v>
      </c>
      <c r="T1946" s="1" t="str">
        <f>IFERROR(__xludf.DUMMYFUNCTION("""COMPUTED_VALUE"""),"#N/A")</f>
        <v>#N/A</v>
      </c>
      <c r="U1946" s="1" t="str">
        <f>IFERROR(__xludf.DUMMYFUNCTION("""COMPUTED_VALUE"""),"POSTED")</f>
        <v>POSTED</v>
      </c>
      <c r="V1946" s="1"/>
      <c r="W1946" s="1"/>
    </row>
    <row r="1947" customHeight="1" spans="1:23">
      <c r="A1947" s="3">
        <f>IFERROR(__xludf.DUMMYFUNCTION("""COMPUTED_VALUE"""),46175)</f>
        <v>46175</v>
      </c>
      <c r="B1947" s="1" t="str">
        <f>IFERROR(__xludf.DUMMYFUNCTION("""COMPUTED_VALUE"""),"ESCARCHA, MA ALMA  ESCOTO")</f>
        <v>ESCARCHA, MA ALMA  ESCOTO</v>
      </c>
      <c r="C1947" s="1" t="str">
        <f>IFERROR(__xludf.DUMMYFUNCTION("""COMPUTED_VALUE"""),"ORGANIC")</f>
        <v>ORGANIC</v>
      </c>
      <c r="D1947" s="1" t="str">
        <f>IFERROR(__xludf.DUMMYFUNCTION("""COMPUTED_VALUE"""),"REMOLLO LEA")</f>
        <v>REMOLLO LEA</v>
      </c>
      <c r="E1947" s="1" t="str">
        <f>IFERROR(__xludf.DUMMYFUNCTION("""COMPUTED_VALUE"""),"PLDT / H2H")</f>
        <v>PLDT / H2H</v>
      </c>
      <c r="F1947" s="1"/>
      <c r="G1947" s="1"/>
      <c r="H1947" s="1" t="str">
        <f>IFERROR(__xludf.DUMMYFUNCTION("""COMPUTED_VALUE"""),"ANDREA ANDALES SELENCIO")</f>
        <v>ANDREA ANDALES SELENCIO</v>
      </c>
      <c r="I1947" s="1">
        <f>IFERROR(__xludf.DUMMYFUNCTION("""COMPUTED_VALUE"""),9488073451)</f>
        <v>9488073451</v>
      </c>
      <c r="J1947" s="1"/>
      <c r="K1947" s="1" t="str">
        <f>IFERROR(__xludf.DUMMYFUNCTION("""COMPUTED_VALUE"""),"sanycatinggan@gmail.com")</f>
        <v>sanycatinggan@gmail.com</v>
      </c>
      <c r="L1947" s="1" t="str">
        <f>IFERROR(__xludf.DUMMYFUNCTION("""COMPUTED_VALUE"""),"87")</f>
        <v>87</v>
      </c>
      <c r="M1947" s="1" t="str">
        <f>IFERROR(__xludf.DUMMYFUNCTION("""COMPUTED_VALUE"""),"PANUNGYAN")</f>
        <v>PANUNGYAN</v>
      </c>
      <c r="N1947" s="1"/>
      <c r="O1947" s="1" t="str">
        <f>IFERROR(__xludf.DUMMYFUNCTION("""COMPUTED_VALUE"""),"PANUNGYAN I")</f>
        <v>PANUNGYAN I</v>
      </c>
      <c r="P1947" s="1" t="str">
        <f>IFERROR(__xludf.DUMMYFUNCTION("""COMPUTED_VALUE"""),"MENDEZ")</f>
        <v>MENDEZ</v>
      </c>
      <c r="Q1947" s="1" t="str">
        <f>IFERROR(__xludf.DUMMYFUNCTION("""COMPUTED_VALUE"""),"CAVITE")</f>
        <v>CAVITE</v>
      </c>
      <c r="R1947" s="1" t="str">
        <f>IFERROR(__xludf.DUMMYFUNCTION("""COMPUTED_VALUE"""),"FIBR UNLI ALL PLAN 999")</f>
        <v>FIBR UNLI ALL PLAN 999</v>
      </c>
      <c r="S1947" s="1" t="str">
        <f>IFERROR(__xludf.DUMMYFUNCTION("""COMPUTED_VALUE"""),"CANCELLED ")</f>
        <v>CANCELLED </v>
      </c>
      <c r="T1947" s="1" t="str">
        <f>IFERROR(__xludf.DUMMYFUNCTION("""COMPUTED_VALUE"""),"#N/A")</f>
        <v>#N/A</v>
      </c>
      <c r="U1947" s="1" t="str">
        <f>IFERROR(__xludf.DUMMYFUNCTION("""COMPUTED_VALUE"""),"AS PER SUBS KAKAUSAPIN DAW MUNA MAMA NYA REGARDING SA ADVANCE PAYMENT")</f>
        <v>AS PER SUBS KAKAUSAPIN DAW MUNA MAMA NYA REGARDING SA ADVANCE PAYMENT</v>
      </c>
      <c r="V1947" s="1"/>
      <c r="W1947" s="1"/>
    </row>
    <row r="1948" customHeight="1" spans="1:23">
      <c r="A1948" s="3">
        <f>IFERROR(__xludf.DUMMYFUNCTION("""COMPUTED_VALUE"""),46175)</f>
        <v>46175</v>
      </c>
      <c r="B1948" s="1" t="str">
        <f>IFERROR(__xludf.DUMMYFUNCTION("""COMPUTED_VALUE"""),"FRANCISCO , ROSELYN")</f>
        <v>FRANCISCO , ROSELYN</v>
      </c>
      <c r="C1948" s="1" t="str">
        <f>IFERROR(__xludf.DUMMYFUNCTION("""COMPUTED_VALUE"""),"ORGANIC")</f>
        <v>ORGANIC</v>
      </c>
      <c r="D1948" s="1" t="str">
        <f>IFERROR(__xludf.DUMMYFUNCTION("""COMPUTED_VALUE"""),"REMOLLO LEA")</f>
        <v>REMOLLO LEA</v>
      </c>
      <c r="E1948" s="1" t="str">
        <f>IFERROR(__xludf.DUMMYFUNCTION("""COMPUTED_VALUE"""),"PLDT / H2H")</f>
        <v>PLDT / H2H</v>
      </c>
      <c r="F1948" s="1">
        <f>IFERROR(__xludf.DUMMYFUNCTION("""COMPUTED_VALUE"""),2309882571)</f>
        <v>2309882571</v>
      </c>
      <c r="G1948" s="1"/>
      <c r="H1948" s="1" t="str">
        <f>IFERROR(__xludf.DUMMYFUNCTION("""COMPUTED_VALUE"""),"ARIEL HATE ANGUSTIA")</f>
        <v>ARIEL HATE ANGUSTIA</v>
      </c>
      <c r="I1948" s="1">
        <f>IFERROR(__xludf.DUMMYFUNCTION("""COMPUTED_VALUE"""),9122808322)</f>
        <v>9122808322</v>
      </c>
      <c r="J1948" s="1"/>
      <c r="K1948" s="1" t="str">
        <f>IFERROR(__xludf.DUMMYFUNCTION("""COMPUTED_VALUE"""),"arielangustia14@gmail.com")</f>
        <v>arielangustia14@gmail.com</v>
      </c>
      <c r="L1948" s="1" t="str">
        <f>IFERROR(__xludf.DUMMYFUNCTION("""COMPUTED_VALUE"""),"212")</f>
        <v>212</v>
      </c>
      <c r="M1948" s="1" t="str">
        <f>IFERROR(__xludf.DUMMYFUNCTION("""COMPUTED_VALUE"""),"DAANG PANUNGYAN")</f>
        <v>DAANG PANUNGYAN</v>
      </c>
      <c r="N1948" s="1"/>
      <c r="O1948" s="1" t="str">
        <f>IFERROR(__xludf.DUMMYFUNCTION("""COMPUTED_VALUE"""),"GALICIA II")</f>
        <v>GALICIA II</v>
      </c>
      <c r="P1948" s="1" t="str">
        <f>IFERROR(__xludf.DUMMYFUNCTION("""COMPUTED_VALUE"""),"MENDEZ")</f>
        <v>MENDEZ</v>
      </c>
      <c r="Q1948" s="1" t="str">
        <f>IFERROR(__xludf.DUMMYFUNCTION("""COMPUTED_VALUE"""),"CAVITE")</f>
        <v>CAVITE</v>
      </c>
      <c r="R1948" s="1" t="str">
        <f>IFERROR(__xludf.DUMMYFUNCTION("""COMPUTED_VALUE"""),"PREPAID FIBER UNLI")</f>
        <v>PREPAID FIBER UNLI</v>
      </c>
      <c r="S1948" s="1" t="str">
        <f>IFERROR(__xludf.DUMMYFUNCTION("""COMPUTED_VALUE"""),"APPROVED")</f>
        <v>APPROVED</v>
      </c>
      <c r="T1948" s="1" t="str">
        <f>IFERROR(__xludf.DUMMYFUNCTION("""COMPUTED_VALUE"""),"#N/A")</f>
        <v>#N/A</v>
      </c>
      <c r="U1948" s="1"/>
      <c r="V1948" s="1"/>
      <c r="W1948" s="1"/>
    </row>
    <row r="1949" customHeight="1" spans="1:23">
      <c r="A1949" s="3">
        <f>IFERROR(__xludf.DUMMYFUNCTION("""COMPUTED_VALUE"""),46175)</f>
        <v>46175</v>
      </c>
      <c r="B1949" s="1" t="str">
        <f>IFERROR(__xludf.DUMMYFUNCTION("""COMPUTED_VALUE"""),"AGUNOS, JHON AIRVIN")</f>
        <v>AGUNOS, JHON AIRVIN</v>
      </c>
      <c r="C1949" s="1" t="str">
        <f>IFERROR(__xludf.DUMMYFUNCTION("""COMPUTED_VALUE"""),"ORGANIC")</f>
        <v>ORGANIC</v>
      </c>
      <c r="D1949" s="1" t="str">
        <f>IFERROR(__xludf.DUMMYFUNCTION("""COMPUTED_VALUE"""),"REMOLLO LEA")</f>
        <v>REMOLLO LEA</v>
      </c>
      <c r="E1949" s="1" t="str">
        <f>IFERROR(__xludf.DUMMYFUNCTION("""COMPUTED_VALUE"""),"PLDT / H2H")</f>
        <v>PLDT / H2H</v>
      </c>
      <c r="F1949" s="1">
        <f>IFERROR(__xludf.DUMMYFUNCTION("""COMPUTED_VALUE"""),2309883262)</f>
        <v>2309883262</v>
      </c>
      <c r="G1949" s="1"/>
      <c r="H1949" s="1" t="str">
        <f>IFERROR(__xludf.DUMMYFUNCTION("""COMPUTED_VALUE"""),"RENEBOY LEGARTO MATU-OG")</f>
        <v>RENEBOY LEGARTO MATU-OG</v>
      </c>
      <c r="I1949" s="1">
        <f>IFERROR(__xludf.DUMMYFUNCTION("""COMPUTED_VALUE"""),9516084614)</f>
        <v>9516084614</v>
      </c>
      <c r="J1949" s="1"/>
      <c r="K1949" s="1" t="str">
        <f>IFERROR(__xludf.DUMMYFUNCTION("""COMPUTED_VALUE"""),"kylle.luang.sept18@gmail.com")</f>
        <v>kylle.luang.sept18@gmail.com</v>
      </c>
      <c r="L1949" s="1" t="str">
        <f>IFERROR(__xludf.DUMMYFUNCTION("""COMPUTED_VALUE"""),"231a")</f>
        <v>231a</v>
      </c>
      <c r="M1949" s="1" t="str">
        <f>IFERROR(__xludf.DUMMYFUNCTION("""COMPUTED_VALUE"""),"GALICIA RD")</f>
        <v>GALICIA RD</v>
      </c>
      <c r="N1949" s="1"/>
      <c r="O1949" s="1" t="str">
        <f>IFERROR(__xludf.DUMMYFUNCTION("""COMPUTED_VALUE"""),"GALICIA II")</f>
        <v>GALICIA II</v>
      </c>
      <c r="P1949" s="1" t="str">
        <f>IFERROR(__xludf.DUMMYFUNCTION("""COMPUTED_VALUE"""),"MENDEZ")</f>
        <v>MENDEZ</v>
      </c>
      <c r="Q1949" s="1" t="str">
        <f>IFERROR(__xludf.DUMMYFUNCTION("""COMPUTED_VALUE"""),"CAVITE")</f>
        <v>CAVITE</v>
      </c>
      <c r="R1949" s="1" t="str">
        <f>IFERROR(__xludf.DUMMYFUNCTION("""COMPUTED_VALUE"""),"PREPAID FIBER UNLI")</f>
        <v>PREPAID FIBER UNLI</v>
      </c>
      <c r="S1949" s="1" t="str">
        <f>IFERROR(__xludf.DUMMYFUNCTION("""COMPUTED_VALUE"""),"APPROVED")</f>
        <v>APPROVED</v>
      </c>
      <c r="T1949" s="1" t="str">
        <f>IFERROR(__xludf.DUMMYFUNCTION("""COMPUTED_VALUE"""),"#N/A")</f>
        <v>#N/A</v>
      </c>
      <c r="U1949" s="1"/>
      <c r="V1949" s="1"/>
      <c r="W1949" s="1"/>
    </row>
    <row r="1950" customHeight="1" spans="1:23">
      <c r="A1950" s="3">
        <f>IFERROR(__xludf.DUMMYFUNCTION("""COMPUTED_VALUE"""),46175)</f>
        <v>46175</v>
      </c>
      <c r="B1950" s="1" t="str">
        <f>IFERROR(__xludf.DUMMYFUNCTION("""COMPUTED_VALUE"""),"CASTILLEJOS, ARREL")</f>
        <v>CASTILLEJOS, ARREL</v>
      </c>
      <c r="C1950" s="1" t="str">
        <f>IFERROR(__xludf.DUMMYFUNCTION("""COMPUTED_VALUE"""),"ORGANIC")</f>
        <v>ORGANIC</v>
      </c>
      <c r="D1950" s="1" t="str">
        <f>IFERROR(__xludf.DUMMYFUNCTION("""COMPUTED_VALUE"""),"REMOLLO LEA")</f>
        <v>REMOLLO LEA</v>
      </c>
      <c r="E1950" s="1" t="str">
        <f>IFERROR(__xludf.DUMMYFUNCTION("""COMPUTED_VALUE"""),"PLDT / H2H")</f>
        <v>PLDT / H2H</v>
      </c>
      <c r="F1950" s="1">
        <f>IFERROR(__xludf.DUMMYFUNCTION("""COMPUTED_VALUE"""),2309883922)</f>
        <v>2309883922</v>
      </c>
      <c r="G1950" s="1"/>
      <c r="H1950" s="1" t="str">
        <f>IFERROR(__xludf.DUMMYFUNCTION("""COMPUTED_VALUE"""),"LESLEE VENTURA MONTEMAYOR")</f>
        <v>LESLEE VENTURA MONTEMAYOR</v>
      </c>
      <c r="I1950" s="1">
        <f>IFERROR(__xludf.DUMMYFUNCTION("""COMPUTED_VALUE"""),9350015411)</f>
        <v>9350015411</v>
      </c>
      <c r="J1950" s="1">
        <f>IFERROR(__xludf.DUMMYFUNCTION("""COMPUTED_VALUE"""),9641216056)</f>
        <v>9641216056</v>
      </c>
      <c r="K1950" s="1" t="str">
        <f>IFERROR(__xludf.DUMMYFUNCTION("""COMPUTED_VALUE"""),"lesleemontemayor0@gmail.com")</f>
        <v>lesleemontemayor0@gmail.com</v>
      </c>
      <c r="L1950" s="1" t="str">
        <f>IFERROR(__xludf.DUMMYFUNCTION("""COMPUTED_VALUE"""),"227")</f>
        <v>227</v>
      </c>
      <c r="M1950" s="1" t="str">
        <f>IFERROR(__xludf.DUMMYFUNCTION("""COMPUTED_VALUE"""),"ALFONSO RD")</f>
        <v>ALFONSO RD</v>
      </c>
      <c r="N1950" s="1"/>
      <c r="O1950" s="1" t="str">
        <f>IFERROR(__xludf.DUMMYFUNCTION("""COMPUTED_VALUE"""),"GALICIA II")</f>
        <v>GALICIA II</v>
      </c>
      <c r="P1950" s="1" t="str">
        <f>IFERROR(__xludf.DUMMYFUNCTION("""COMPUTED_VALUE"""),"MENDEZ")</f>
        <v>MENDEZ</v>
      </c>
      <c r="Q1950" s="1" t="str">
        <f>IFERROR(__xludf.DUMMYFUNCTION("""COMPUTED_VALUE"""),"CAVITE")</f>
        <v>CAVITE</v>
      </c>
      <c r="R1950" s="1" t="str">
        <f>IFERROR(__xludf.DUMMYFUNCTION("""COMPUTED_VALUE"""),"FIBR UNLI ALL PLAN 1399")</f>
        <v>FIBR UNLI ALL PLAN 1399</v>
      </c>
      <c r="S1950" s="1" t="str">
        <f>IFERROR(__xludf.DUMMYFUNCTION("""COMPUTED_VALUE"""),"APPROVED")</f>
        <v>APPROVED</v>
      </c>
      <c r="T1950" s="1" t="str">
        <f>IFERROR(__xludf.DUMMYFUNCTION("""COMPUTED_VALUE"""),"#N/A")</f>
        <v>#N/A</v>
      </c>
      <c r="U1950" s="1"/>
      <c r="V1950" s="1"/>
      <c r="W1950" s="1"/>
    </row>
    <row r="1951" customHeight="1" spans="1:23">
      <c r="A1951" s="3">
        <f>IFERROR(__xludf.DUMMYFUNCTION("""COMPUTED_VALUE"""),46175)</f>
        <v>46175</v>
      </c>
      <c r="B1951" s="1" t="str">
        <f>IFERROR(__xludf.DUMMYFUNCTION("""COMPUTED_VALUE"""),"DELA ROSA, JENNELYN")</f>
        <v>DELA ROSA, JENNELYN</v>
      </c>
      <c r="C1951" s="1" t="str">
        <f>IFERROR(__xludf.DUMMYFUNCTION("""COMPUTED_VALUE"""),"ORGANIC")</f>
        <v>ORGANIC</v>
      </c>
      <c r="D1951" s="1" t="str">
        <f>IFERROR(__xludf.DUMMYFUNCTION("""COMPUTED_VALUE"""),"REMOLLO LEA")</f>
        <v>REMOLLO LEA</v>
      </c>
      <c r="E1951" s="1" t="str">
        <f>IFERROR(__xludf.DUMMYFUNCTION("""COMPUTED_VALUE"""),"PLDT / H2H")</f>
        <v>PLDT / H2H</v>
      </c>
      <c r="F1951" s="1"/>
      <c r="G1951" s="1"/>
      <c r="H1951" s="1" t="str">
        <f>IFERROR(__xludf.DUMMYFUNCTION("""COMPUTED_VALUE"""),"MARLITA DEPAZ ADONIS")</f>
        <v>MARLITA DEPAZ ADONIS</v>
      </c>
      <c r="I1951" s="1">
        <f>IFERROR(__xludf.DUMMYFUNCTION("""COMPUTED_VALUE"""),9622416843)</f>
        <v>9622416843</v>
      </c>
      <c r="J1951" s="1"/>
      <c r="K1951" s="1" t="str">
        <f>IFERROR(__xludf.DUMMYFUNCTION("""COMPUTED_VALUE"""),"vallerieaguino@gmail.com")</f>
        <v>vallerieaguino@gmail.com</v>
      </c>
      <c r="L1951" s="1" t="str">
        <f>IFERROR(__xludf.DUMMYFUNCTION("""COMPUTED_VALUE"""),"198")</f>
        <v>198</v>
      </c>
      <c r="M1951" s="1" t="str">
        <f>IFERROR(__xludf.DUMMYFUNCTION("""COMPUTED_VALUE"""),"TABON ")</f>
        <v>TABON </v>
      </c>
      <c r="N1951" s="1"/>
      <c r="O1951" s="1" t="str">
        <f>IFERROR(__xludf.DUMMYFUNCTION("""COMPUTED_VALUE"""),"P.F. ESPIRITU I (PANAPAAN)")</f>
        <v>P.F. ESPIRITU I (PANAPAAN)</v>
      </c>
      <c r="P1951" s="1" t="str">
        <f>IFERROR(__xludf.DUMMYFUNCTION("""COMPUTED_VALUE"""),"BACOOR")</f>
        <v>BACOOR</v>
      </c>
      <c r="Q1951" s="1" t="str">
        <f>IFERROR(__xludf.DUMMYFUNCTION("""COMPUTED_VALUE"""),"CAVITE")</f>
        <v>CAVITE</v>
      </c>
      <c r="R1951" s="1" t="str">
        <f>IFERROR(__xludf.DUMMYFUNCTION("""COMPUTED_VALUE"""),"FIBR PLAN 1299")</f>
        <v>FIBR PLAN 1299</v>
      </c>
      <c r="S1951" s="1" t="str">
        <f>IFERROR(__xludf.DUMMYFUNCTION("""COMPUTED_VALUE"""),"CANCELLED ")</f>
        <v>CANCELLED </v>
      </c>
      <c r="T1951" s="1" t="str">
        <f>IFERROR(__xludf.DUMMYFUNCTION("""COMPUTED_VALUE"""),"#N/A")</f>
        <v>#N/A</v>
      </c>
      <c r="U1951" s="1" t="str">
        <f>IFERROR(__xludf.DUMMYFUNCTION("""COMPUTED_VALUE"""),"AS PER SUBS CANCELLED NALANG DAW")</f>
        <v>AS PER SUBS CANCELLED NALANG DAW</v>
      </c>
      <c r="V1951" s="1"/>
      <c r="W1951" s="1"/>
    </row>
    <row r="1952" customHeight="1" spans="1:23">
      <c r="A1952" s="3">
        <f>IFERROR(__xludf.DUMMYFUNCTION("""COMPUTED_VALUE"""),46175)</f>
        <v>46175</v>
      </c>
      <c r="B1952" s="1" t="str">
        <f>IFERROR(__xludf.DUMMYFUNCTION("""COMPUTED_VALUE"""),"GABAY, MANUEL")</f>
        <v>GABAY, MANUEL</v>
      </c>
      <c r="C1952" s="1" t="str">
        <f>IFERROR(__xludf.DUMMYFUNCTION("""COMPUTED_VALUE"""),"FLA")</f>
        <v>FLA</v>
      </c>
      <c r="D1952" s="1" t="str">
        <f>IFERROR(__xludf.DUMMYFUNCTION("""COMPUTED_VALUE"""),"JERIC NAVARRO")</f>
        <v>JERIC NAVARRO</v>
      </c>
      <c r="E1952" s="1" t="str">
        <f>IFERROR(__xludf.DUMMYFUNCTION("""COMPUTED_VALUE"""),"RED FIBER")</f>
        <v>RED FIBER</v>
      </c>
      <c r="F1952" s="1"/>
      <c r="G1952" s="1"/>
      <c r="H1952" s="1" t="str">
        <f>IFERROR(__xludf.DUMMYFUNCTION("""COMPUTED_VALUE"""),"ROSABELL DIMARANAN NERO")</f>
        <v>ROSABELL DIMARANAN NERO</v>
      </c>
      <c r="I1952" s="1">
        <f>IFERROR(__xludf.DUMMYFUNCTION("""COMPUTED_VALUE"""),9351910142)</f>
        <v>9351910142</v>
      </c>
      <c r="J1952" s="1">
        <f>IFERROR(__xludf.DUMMYFUNCTION("""COMPUTED_VALUE"""),9361316141)</f>
        <v>9361316141</v>
      </c>
      <c r="K1952" s="1" t="str">
        <f>IFERROR(__xludf.DUMMYFUNCTION("""COMPUTED_VALUE"""),"rnero110390@gmail.com")</f>
        <v>rnero110390@gmail.com</v>
      </c>
      <c r="L1952" s="1" t="str">
        <f>IFERROR(__xludf.DUMMYFUNCTION("""COMPUTED_VALUE"""),"102")</f>
        <v>102</v>
      </c>
      <c r="M1952" s="1" t="str">
        <f>IFERROR(__xludf.DUMMYFUNCTION("""COMPUTED_VALUE"""),"ZAMORA")</f>
        <v>ZAMORA</v>
      </c>
      <c r="N1952" s="1"/>
      <c r="O1952" s="1" t="str">
        <f>IFERROR(__xludf.DUMMYFUNCTION("""COMPUTED_VALUE"""),"ASIS I")</f>
        <v>ASIS I</v>
      </c>
      <c r="P1952" s="1" t="str">
        <f>IFERROR(__xludf.DUMMYFUNCTION("""COMPUTED_VALUE"""),"MENDEZ")</f>
        <v>MENDEZ</v>
      </c>
      <c r="Q1952" s="1" t="str">
        <f>IFERROR(__xludf.DUMMYFUNCTION("""COMPUTED_VALUE"""),"CAVITE")</f>
        <v>CAVITE</v>
      </c>
      <c r="R1952" s="1" t="str">
        <f>IFERROR(__xludf.DUMMYFUNCTION("""COMPUTED_VALUE"""),"RED PLAN 1000")</f>
        <v>RED PLAN 1000</v>
      </c>
      <c r="S1952" s="1" t="str">
        <f>IFERROR(__xludf.DUMMYFUNCTION("""COMPUTED_VALUE"""),"APPROVED")</f>
        <v>APPROVED</v>
      </c>
      <c r="T1952" s="1" t="str">
        <f>IFERROR(__xludf.DUMMYFUNCTION("""COMPUTED_VALUE"""),"PAID")</f>
        <v>PAID</v>
      </c>
      <c r="U1952" s="1" t="str">
        <f>IFERROR(__xludf.DUMMYFUNCTION("""COMPUTED_VALUE"""),"POSTED")</f>
        <v>POSTED</v>
      </c>
      <c r="V1952" s="1"/>
      <c r="W1952" s="1"/>
    </row>
    <row r="1953" customHeight="1" spans="1:23">
      <c r="A1953" s="3">
        <f>IFERROR(__xludf.DUMMYFUNCTION("""COMPUTED_VALUE"""),46175)</f>
        <v>46175</v>
      </c>
      <c r="B1953" s="1" t="str">
        <f>IFERROR(__xludf.DUMMYFUNCTION("""COMPUTED_VALUE"""),"GABAY, MANUEL")</f>
        <v>GABAY, MANUEL</v>
      </c>
      <c r="C1953" s="1" t="str">
        <f>IFERROR(__xludf.DUMMYFUNCTION("""COMPUTED_VALUE"""),"FLA")</f>
        <v>FLA</v>
      </c>
      <c r="D1953" s="1" t="str">
        <f>IFERROR(__xludf.DUMMYFUNCTION("""COMPUTED_VALUE"""),"JERIC NAVARRO")</f>
        <v>JERIC NAVARRO</v>
      </c>
      <c r="E1953" s="1" t="str">
        <f>IFERROR(__xludf.DUMMYFUNCTION("""COMPUTED_VALUE"""),"RED FIBER")</f>
        <v>RED FIBER</v>
      </c>
      <c r="F1953" s="1"/>
      <c r="G1953" s="1"/>
      <c r="H1953" s="1" t="str">
        <f>IFERROR(__xludf.DUMMYFUNCTION("""COMPUTED_VALUE"""),"RODELYN GAMOTIN CABILES")</f>
        <v>RODELYN GAMOTIN CABILES</v>
      </c>
      <c r="I1953" s="1">
        <f>IFERROR(__xludf.DUMMYFUNCTION("""COMPUTED_VALUE"""),9665393252)</f>
        <v>9665393252</v>
      </c>
      <c r="J1953" s="1">
        <f>IFERROR(__xludf.DUMMYFUNCTION("""COMPUTED_VALUE"""),9213693170)</f>
        <v>9213693170</v>
      </c>
      <c r="K1953" s="1" t="str">
        <f>IFERROR(__xludf.DUMMYFUNCTION("""COMPUTED_VALUE"""),"cabilesrodelyn105@gmail.com")</f>
        <v>cabilesrodelyn105@gmail.com</v>
      </c>
      <c r="L1953" s="1" t="str">
        <f>IFERROR(__xludf.DUMMYFUNCTION("""COMPUTED_VALUE"""),"99")</f>
        <v>99</v>
      </c>
      <c r="M1953" s="1" t="str">
        <f>IFERROR(__xludf.DUMMYFUNCTION("""COMPUTED_VALUE"""),"ZAMORA")</f>
        <v>ZAMORA</v>
      </c>
      <c r="N1953" s="1"/>
      <c r="O1953" s="1" t="str">
        <f>IFERROR(__xludf.DUMMYFUNCTION("""COMPUTED_VALUE"""),"ASIS I")</f>
        <v>ASIS I</v>
      </c>
      <c r="P1953" s="1" t="str">
        <f>IFERROR(__xludf.DUMMYFUNCTION("""COMPUTED_VALUE"""),"MENDEZ")</f>
        <v>MENDEZ</v>
      </c>
      <c r="Q1953" s="1" t="str">
        <f>IFERROR(__xludf.DUMMYFUNCTION("""COMPUTED_VALUE"""),"CAVITE")</f>
        <v>CAVITE</v>
      </c>
      <c r="R1953" s="1" t="str">
        <f>IFERROR(__xludf.DUMMYFUNCTION("""COMPUTED_VALUE"""),"RED PLAN 1000")</f>
        <v>RED PLAN 1000</v>
      </c>
      <c r="S1953" s="1" t="str">
        <f>IFERROR(__xludf.DUMMYFUNCTION("""COMPUTED_VALUE"""),"APPROVED")</f>
        <v>APPROVED</v>
      </c>
      <c r="T1953" s="1" t="str">
        <f>IFERROR(__xludf.DUMMYFUNCTION("""COMPUTED_VALUE"""),"PAID")</f>
        <v>PAID</v>
      </c>
      <c r="U1953" s="1" t="str">
        <f>IFERROR(__xludf.DUMMYFUNCTION("""COMPUTED_VALUE"""),"POSTED")</f>
        <v>POSTED</v>
      </c>
      <c r="V1953" s="1"/>
      <c r="W1953" s="1"/>
    </row>
    <row r="1954" customHeight="1" spans="1:23">
      <c r="A1954" s="3">
        <f>IFERROR(__xludf.DUMMYFUNCTION("""COMPUTED_VALUE"""),46175)</f>
        <v>46175</v>
      </c>
      <c r="B1954" s="1" t="str">
        <f>IFERROR(__xludf.DUMMYFUNCTION("""COMPUTED_VALUE"""),"ODY , CLARENCE")</f>
        <v>ODY , CLARENCE</v>
      </c>
      <c r="C1954" s="1" t="str">
        <f>IFERROR(__xludf.DUMMYFUNCTION("""COMPUTED_VALUE"""),"ORGANIC")</f>
        <v>ORGANIC</v>
      </c>
      <c r="D1954" s="1" t="str">
        <f>IFERROR(__xludf.DUMMYFUNCTION("""COMPUTED_VALUE"""),"REMOLLO LEA")</f>
        <v>REMOLLO LEA</v>
      </c>
      <c r="E1954" s="1" t="str">
        <f>IFERROR(__xludf.DUMMYFUNCTION("""COMPUTED_VALUE"""),"PLDT / H2H")</f>
        <v>PLDT / H2H</v>
      </c>
      <c r="F1954" s="1">
        <f>IFERROR(__xludf.DUMMYFUNCTION("""COMPUTED_VALUE"""),2309885402)</f>
        <v>2309885402</v>
      </c>
      <c r="G1954" s="1"/>
      <c r="H1954" s="1" t="str">
        <f>IFERROR(__xludf.DUMMYFUNCTION("""COMPUTED_VALUE"""),"RICHIE MAY DE GUZMAN BATIS")</f>
        <v>RICHIE MAY DE GUZMAN BATIS</v>
      </c>
      <c r="I1954" s="1">
        <f>IFERROR(__xludf.DUMMYFUNCTION("""COMPUTED_VALUE"""),9267538137)</f>
        <v>9267538137</v>
      </c>
      <c r="J1954" s="1"/>
      <c r="K1954" s="1" t="str">
        <f>IFERROR(__xludf.DUMMYFUNCTION("""COMPUTED_VALUE"""),"richiemaybatis947@gmail.com")</f>
        <v>richiemaybatis947@gmail.com</v>
      </c>
      <c r="L1954" s="1" t="str">
        <f>IFERROR(__xludf.DUMMYFUNCTION("""COMPUTED_VALUE"""),"225c")</f>
        <v>225c</v>
      </c>
      <c r="M1954" s="1" t="str">
        <f>IFERROR(__xludf.DUMMYFUNCTION("""COMPUTED_VALUE"""),"ALFONSO RD")</f>
        <v>ALFONSO RD</v>
      </c>
      <c r="N1954" s="1"/>
      <c r="O1954" s="1" t="str">
        <f>IFERROR(__xludf.DUMMYFUNCTION("""COMPUTED_VALUE"""),"GALICIA II")</f>
        <v>GALICIA II</v>
      </c>
      <c r="P1954" s="1" t="str">
        <f>IFERROR(__xludf.DUMMYFUNCTION("""COMPUTED_VALUE"""),"MENDEZ")</f>
        <v>MENDEZ</v>
      </c>
      <c r="Q1954" s="1" t="str">
        <f>IFERROR(__xludf.DUMMYFUNCTION("""COMPUTED_VALUE"""),"CAVITE")</f>
        <v>CAVITE</v>
      </c>
      <c r="R1954" s="1" t="str">
        <f>IFERROR(__xludf.DUMMYFUNCTION("""COMPUTED_VALUE"""),"FIBR UNLI ALL PLAN 999")</f>
        <v>FIBR UNLI ALL PLAN 999</v>
      </c>
      <c r="S1954" s="1" t="str">
        <f>IFERROR(__xludf.DUMMYFUNCTION("""COMPUTED_VALUE"""),"APPROVED")</f>
        <v>APPROVED</v>
      </c>
      <c r="T1954" s="1" t="str">
        <f>IFERROR(__xludf.DUMMYFUNCTION("""COMPUTED_VALUE"""),"#N/A")</f>
        <v>#N/A</v>
      </c>
      <c r="U1954" s="1"/>
      <c r="V1954" s="1"/>
      <c r="W1954" s="1"/>
    </row>
    <row r="1955" customHeight="1" spans="1:23">
      <c r="A1955" s="3">
        <f>IFERROR(__xludf.DUMMYFUNCTION("""COMPUTED_VALUE"""),46175)</f>
        <v>46175</v>
      </c>
      <c r="B1955" s="1" t="str">
        <f>IFERROR(__xludf.DUMMYFUNCTION("""COMPUTED_VALUE"""),"ESCARCHA, MA ALMA  ESCOTO")</f>
        <v>ESCARCHA, MA ALMA  ESCOTO</v>
      </c>
      <c r="C1955" s="1" t="str">
        <f>IFERROR(__xludf.DUMMYFUNCTION("""COMPUTED_VALUE"""),"ORGANIC")</f>
        <v>ORGANIC</v>
      </c>
      <c r="D1955" s="1" t="str">
        <f>IFERROR(__xludf.DUMMYFUNCTION("""COMPUTED_VALUE"""),"REMOLLO LEA")</f>
        <v>REMOLLO LEA</v>
      </c>
      <c r="E1955" s="1" t="str">
        <f>IFERROR(__xludf.DUMMYFUNCTION("""COMPUTED_VALUE"""),"PLDT / H2H")</f>
        <v>PLDT / H2H</v>
      </c>
      <c r="F1955" s="1">
        <f>IFERROR(__xludf.DUMMYFUNCTION("""COMPUTED_VALUE"""),2309886066)</f>
        <v>2309886066</v>
      </c>
      <c r="G1955" s="1"/>
      <c r="H1955" s="1" t="str">
        <f>IFERROR(__xludf.DUMMYFUNCTION("""COMPUTED_VALUE"""),"MARIECHEL GAGARIN TARRAYO")</f>
        <v>MARIECHEL GAGARIN TARRAYO</v>
      </c>
      <c r="I1955" s="1">
        <f>IFERROR(__xludf.DUMMYFUNCTION("""COMPUTED_VALUE"""),9120810218)</f>
        <v>9120810218</v>
      </c>
      <c r="J1955" s="1"/>
      <c r="K1955" s="1" t="str">
        <f>IFERROR(__xludf.DUMMYFUNCTION("""COMPUTED_VALUE"""),"tarrayomarichel@gmail.com")</f>
        <v>tarrayomarichel@gmail.com</v>
      </c>
      <c r="L1955" s="1" t="str">
        <f>IFERROR(__xludf.DUMMYFUNCTION("""COMPUTED_VALUE"""),"243")</f>
        <v>243</v>
      </c>
      <c r="M1955" s="1" t="str">
        <f>IFERROR(__xludf.DUMMYFUNCTION("""COMPUTED_VALUE"""),"SITIO PUTOL")</f>
        <v>SITIO PUTOL</v>
      </c>
      <c r="N1955" s="1"/>
      <c r="O1955" s="1" t="str">
        <f>IFERROR(__xludf.DUMMYFUNCTION("""COMPUTED_VALUE"""),"TIBIG")</f>
        <v>TIBIG</v>
      </c>
      <c r="P1955" s="1" t="str">
        <f>IFERROR(__xludf.DUMMYFUNCTION("""COMPUTED_VALUE"""),"SILANG")</f>
        <v>SILANG</v>
      </c>
      <c r="Q1955" s="1" t="str">
        <f>IFERROR(__xludf.DUMMYFUNCTION("""COMPUTED_VALUE"""),"CAVITE")</f>
        <v>CAVITE</v>
      </c>
      <c r="R1955" s="1" t="str">
        <f>IFERROR(__xludf.DUMMYFUNCTION("""COMPUTED_VALUE"""),"RED PREPAID")</f>
        <v>RED PREPAID</v>
      </c>
      <c r="S1955" s="1" t="str">
        <f>IFERROR(__xludf.DUMMYFUNCTION("""COMPUTED_VALUE"""),"APPROVED")</f>
        <v>APPROVED</v>
      </c>
      <c r="T1955" s="1" t="str">
        <f>IFERROR(__xludf.DUMMYFUNCTION("""COMPUTED_VALUE"""),"#N/A")</f>
        <v>#N/A</v>
      </c>
      <c r="U1955" s="1" t="str">
        <f>IFERROR(__xludf.DUMMYFUNCTION("""COMPUTED_VALUE"""),"POSTED")</f>
        <v>POSTED</v>
      </c>
      <c r="V1955" s="1"/>
      <c r="W1955" s="1"/>
    </row>
    <row r="1956" customHeight="1" spans="1:23">
      <c r="A1956" s="3">
        <f>IFERROR(__xludf.DUMMYFUNCTION("""COMPUTED_VALUE"""),46175)</f>
        <v>46175</v>
      </c>
      <c r="B1956" s="1" t="str">
        <f>IFERROR(__xludf.DUMMYFUNCTION("""COMPUTED_VALUE"""),"FRANCISCO , ROSELYN")</f>
        <v>FRANCISCO , ROSELYN</v>
      </c>
      <c r="C1956" s="1" t="str">
        <f>IFERROR(__xludf.DUMMYFUNCTION("""COMPUTED_VALUE"""),"ORGANIC")</f>
        <v>ORGANIC</v>
      </c>
      <c r="D1956" s="1" t="str">
        <f>IFERROR(__xludf.DUMMYFUNCTION("""COMPUTED_VALUE"""),"REMOLLO LEA")</f>
        <v>REMOLLO LEA</v>
      </c>
      <c r="E1956" s="1" t="str">
        <f>IFERROR(__xludf.DUMMYFUNCTION("""COMPUTED_VALUE"""),"PLDT / ONLINE")</f>
        <v>PLDT / ONLINE</v>
      </c>
      <c r="F1956" s="1">
        <f>IFERROR(__xludf.DUMMYFUNCTION("""COMPUTED_VALUE"""),2309887247)</f>
        <v>2309887247</v>
      </c>
      <c r="G1956" s="1">
        <f>IFERROR(__xludf.DUMMYFUNCTION("""COMPUTED_VALUE"""),457053210004)</f>
        <v>457053210004</v>
      </c>
      <c r="H1956" s="1" t="str">
        <f>IFERROR(__xludf.DUMMYFUNCTION("""COMPUTED_VALUE"""),"PRINCESS DELA CRUZ ZAMORA")</f>
        <v>PRINCESS DELA CRUZ ZAMORA</v>
      </c>
      <c r="I1956" s="1">
        <f>IFERROR(__xludf.DUMMYFUNCTION("""COMPUTED_VALUE"""),9855621680)</f>
        <v>9855621680</v>
      </c>
      <c r="J1956" s="1">
        <f>IFERROR(__xludf.DUMMYFUNCTION("""COMPUTED_VALUE"""),9918260176)</f>
        <v>9918260176</v>
      </c>
      <c r="K1956" s="1" t="str">
        <f>IFERROR(__xludf.DUMMYFUNCTION("""COMPUTED_VALUE"""),"ceszy1211@gmail.com")</f>
        <v>ceszy1211@gmail.com</v>
      </c>
      <c r="L1956" s="1" t="str">
        <f>IFERROR(__xludf.DUMMYFUNCTION("""COMPUTED_VALUE"""),"30")</f>
        <v>30</v>
      </c>
      <c r="M1956" s="1" t="str">
        <f>IFERROR(__xludf.DUMMYFUNCTION("""COMPUTED_VALUE"""),"TIBANGLAN")</f>
        <v>TIBANGLAN</v>
      </c>
      <c r="N1956" s="1"/>
      <c r="O1956" s="1"/>
      <c r="P1956" s="1"/>
      <c r="Q1956" s="1" t="str">
        <f>IFERROR(__xludf.DUMMYFUNCTION("""COMPUTED_VALUE"""),"BATANGAS")</f>
        <v>BATANGAS</v>
      </c>
      <c r="R1956" s="1" t="str">
        <f>IFERROR(__xludf.DUMMYFUNCTION("""COMPUTED_VALUE"""),"FIBR UNLI ALL PLAN 1399")</f>
        <v>FIBR UNLI ALL PLAN 1399</v>
      </c>
      <c r="S1956" s="1" t="str">
        <f>IFERROR(__xludf.DUMMYFUNCTION("""COMPUTED_VALUE"""),"APPROVED")</f>
        <v>APPROVED</v>
      </c>
      <c r="T1956" s="1" t="str">
        <f>IFERROR(__xludf.DUMMYFUNCTION("""COMPUTED_VALUE"""),"ENDORSED TO BATANGAS")</f>
        <v>ENDORSED TO BATANGAS</v>
      </c>
      <c r="U1956" s="1" t="str">
        <f>IFERROR(__xludf.DUMMYFUNCTION("""COMPUTED_VALUE"""),"POSTED")</f>
        <v>POSTED</v>
      </c>
      <c r="V1956" s="1"/>
      <c r="W1956" s="1"/>
    </row>
    <row r="1957" customHeight="1" spans="1:23">
      <c r="A1957" s="3">
        <f>IFERROR(__xludf.DUMMYFUNCTION("""COMPUTED_VALUE"""),46175)</f>
        <v>46175</v>
      </c>
      <c r="B1957" s="1" t="str">
        <f>IFERROR(__xludf.DUMMYFUNCTION("""COMPUTED_VALUE"""),"DACALCAP RUBEN")</f>
        <v>DACALCAP RUBEN</v>
      </c>
      <c r="C1957" s="1" t="str">
        <f>IFERROR(__xludf.DUMMYFUNCTION("""COMPUTED_VALUE"""),"FLA")</f>
        <v>FLA</v>
      </c>
      <c r="D1957" s="1" t="str">
        <f>IFERROR(__xludf.DUMMYFUNCTION("""COMPUTED_VALUE"""),"JERIC NAVARRO")</f>
        <v>JERIC NAVARRO</v>
      </c>
      <c r="E1957" s="1" t="str">
        <f>IFERROR(__xludf.DUMMYFUNCTION("""COMPUTED_VALUE"""),"PLDT / ONLINE")</f>
        <v>PLDT / ONLINE</v>
      </c>
      <c r="F1957" s="1">
        <f>IFERROR(__xludf.DUMMYFUNCTION("""COMPUTED_VALUE"""),2309887894)</f>
        <v>2309887894</v>
      </c>
      <c r="G1957" s="1"/>
      <c r="H1957" s="1" t="str">
        <f>IFERROR(__xludf.DUMMYFUNCTION("""COMPUTED_VALUE"""),"JESUSA SINFOROSO BILIGAN")</f>
        <v>JESUSA SINFOROSO BILIGAN</v>
      </c>
      <c r="I1957" s="1">
        <f>IFERROR(__xludf.DUMMYFUNCTION("""COMPUTED_VALUE"""),9301863133)</f>
        <v>9301863133</v>
      </c>
      <c r="J1957" s="1">
        <f>IFERROR(__xludf.DUMMYFUNCTION("""COMPUTED_VALUE"""),9913762266)</f>
        <v>9913762266</v>
      </c>
      <c r="K1957" s="1" t="str">
        <f>IFERROR(__xludf.DUMMYFUNCTION("""COMPUTED_VALUE"""),"jessabilingan544@gmail.com")</f>
        <v>jessabilingan544@gmail.com</v>
      </c>
      <c r="L1957" s="1" t="str">
        <f>IFERROR(__xludf.DUMMYFUNCTION("""COMPUTED_VALUE"""),"BLK 70B LOT 13")</f>
        <v>BLK 70B LOT 13</v>
      </c>
      <c r="M1957" s="1" t="str">
        <f>IFERROR(__xludf.DUMMYFUNCTION("""COMPUTED_VALUE"""),"PHASE 4")</f>
        <v>PHASE 4</v>
      </c>
      <c r="N1957" s="1" t="str">
        <f>IFERROR(__xludf.DUMMYFUNCTION("""COMPUTED_VALUE"""),"MABUHAY CITY")</f>
        <v>MABUHAY CITY</v>
      </c>
      <c r="O1957" s="1" t="str">
        <f>IFERROR(__xludf.DUMMYFUNCTION("""COMPUTED_VALUE"""),"PALIPARAN III")</f>
        <v>PALIPARAN III</v>
      </c>
      <c r="P1957" s="1" t="str">
        <f>IFERROR(__xludf.DUMMYFUNCTION("""COMPUTED_VALUE"""),"DASMARINAS")</f>
        <v>DASMARINAS</v>
      </c>
      <c r="Q1957" s="1" t="str">
        <f>IFERROR(__xludf.DUMMYFUNCTION("""COMPUTED_VALUE"""),"CAVITE")</f>
        <v>CAVITE</v>
      </c>
      <c r="R1957" s="1" t="str">
        <f>IFERROR(__xludf.DUMMYFUNCTION("""COMPUTED_VALUE"""),"FIBR UNLI ALL PLAN 2499")</f>
        <v>FIBR UNLI ALL PLAN 2499</v>
      </c>
      <c r="S1957" s="1" t="str">
        <f>IFERROR(__xludf.DUMMYFUNCTION("""COMPUTED_VALUE"""),"APPROVED")</f>
        <v>APPROVED</v>
      </c>
      <c r="T1957" s="1" t="str">
        <f>IFERROR(__xludf.DUMMYFUNCTION("""COMPUTED_VALUE"""),"#N/A")</f>
        <v>#N/A</v>
      </c>
      <c r="U1957" s="1"/>
      <c r="V1957" s="1"/>
      <c r="W1957" s="1"/>
    </row>
    <row r="1958" customHeight="1" spans="1:23">
      <c r="A1958" s="3">
        <f>IFERROR(__xludf.DUMMYFUNCTION("""COMPUTED_VALUE"""),46175)</f>
        <v>46175</v>
      </c>
      <c r="B1958" s="1" t="str">
        <f>IFERROR(__xludf.DUMMYFUNCTION("""COMPUTED_VALUE"""),"FRANCISCO , ROSELYN")</f>
        <v>FRANCISCO , ROSELYN</v>
      </c>
      <c r="C1958" s="1" t="str">
        <f>IFERROR(__xludf.DUMMYFUNCTION("""COMPUTED_VALUE"""),"ORGANIC")</f>
        <v>ORGANIC</v>
      </c>
      <c r="D1958" s="1" t="str">
        <f>IFERROR(__xludf.DUMMYFUNCTION("""COMPUTED_VALUE"""),"REMOLLO LEA")</f>
        <v>REMOLLO LEA</v>
      </c>
      <c r="E1958" s="1" t="str">
        <f>IFERROR(__xludf.DUMMYFUNCTION("""COMPUTED_VALUE"""),"PLDT / ONLINE")</f>
        <v>PLDT / ONLINE</v>
      </c>
      <c r="F1958" s="1">
        <f>IFERROR(__xludf.DUMMYFUNCTION("""COMPUTED_VALUE"""),2309887619)</f>
        <v>2309887619</v>
      </c>
      <c r="G1958" s="1"/>
      <c r="H1958" s="1" t="str">
        <f>IFERROR(__xludf.DUMMYFUNCTION("""COMPUTED_VALUE"""),"JHUNVIC PUROG DELA CRUZ")</f>
        <v>JHUNVIC PUROG DELA CRUZ</v>
      </c>
      <c r="I1958" s="1">
        <f>IFERROR(__xludf.DUMMYFUNCTION("""COMPUTED_VALUE"""),9308363823)</f>
        <v>9308363823</v>
      </c>
      <c r="J1958" s="1"/>
      <c r="K1958" s="1" t="str">
        <f>IFERROR(__xludf.DUMMYFUNCTION("""COMPUTED_VALUE"""),"me.jhunvicdelacruz@gmail.com")</f>
        <v>me.jhunvicdelacruz@gmail.com</v>
      </c>
      <c r="L1958" s="1" t="str">
        <f>IFERROR(__xludf.DUMMYFUNCTION("""COMPUTED_VALUE"""),"BLK 4 LOT 15")</f>
        <v>BLK 4 LOT 15</v>
      </c>
      <c r="M1958" s="1" t="str">
        <f>IFERROR(__xludf.DUMMYFUNCTION("""COMPUTED_VALUE"""),"F REYES")</f>
        <v>F REYES</v>
      </c>
      <c r="N1958" s="1"/>
      <c r="O1958" s="1" t="str">
        <f>IFERROR(__xludf.DUMMYFUNCTION("""COMPUTED_VALUE"""),"FRANCISCO REYES")</f>
        <v>FRANCISCO REYES</v>
      </c>
      <c r="P1958" s="1" t="str">
        <f>IFERROR(__xludf.DUMMYFUNCTION("""COMPUTED_VALUE"""),"GEN MARIANO ALVAREZ")</f>
        <v>GEN MARIANO ALVAREZ</v>
      </c>
      <c r="Q1958" s="1" t="str">
        <f>IFERROR(__xludf.DUMMYFUNCTION("""COMPUTED_VALUE"""),"CAVITE")</f>
        <v>CAVITE</v>
      </c>
      <c r="R1958" s="1" t="str">
        <f>IFERROR(__xludf.DUMMYFUNCTION("""COMPUTED_VALUE"""),"FIBR PLAN 1699")</f>
        <v>FIBR PLAN 1699</v>
      </c>
      <c r="S1958" s="1" t="str">
        <f>IFERROR(__xludf.DUMMYFUNCTION("""COMPUTED_VALUE"""),"APPROVED")</f>
        <v>APPROVED</v>
      </c>
      <c r="T1958" s="1" t="str">
        <f>IFERROR(__xludf.DUMMYFUNCTION("""COMPUTED_VALUE"""),"#N/A")</f>
        <v>#N/A</v>
      </c>
      <c r="U1958" s="1"/>
      <c r="V1958" s="1"/>
      <c r="W1958" s="1"/>
    </row>
    <row r="1959" customHeight="1" spans="1:23">
      <c r="A1959" s="3">
        <f>IFERROR(__xludf.DUMMYFUNCTION("""COMPUTED_VALUE"""),46175)</f>
        <v>46175</v>
      </c>
      <c r="B1959" s="1" t="str">
        <f>IFERROR(__xludf.DUMMYFUNCTION("""COMPUTED_VALUE"""),"CASTILLEJOS, ARREL")</f>
        <v>CASTILLEJOS, ARREL</v>
      </c>
      <c r="C1959" s="1" t="str">
        <f>IFERROR(__xludf.DUMMYFUNCTION("""COMPUTED_VALUE"""),"ORGANIC")</f>
        <v>ORGANIC</v>
      </c>
      <c r="D1959" s="1" t="str">
        <f>IFERROR(__xludf.DUMMYFUNCTION("""COMPUTED_VALUE"""),"REMOLLO LEA")</f>
        <v>REMOLLO LEA</v>
      </c>
      <c r="E1959" s="1" t="str">
        <f>IFERROR(__xludf.DUMMYFUNCTION("""COMPUTED_VALUE"""),"PLDT / ONLINE")</f>
        <v>PLDT / ONLINE</v>
      </c>
      <c r="F1959" s="1">
        <f>IFERROR(__xludf.DUMMYFUNCTION("""COMPUTED_VALUE"""),2309887894)</f>
        <v>2309887894</v>
      </c>
      <c r="G1959" s="1"/>
      <c r="H1959" s="1" t="str">
        <f>IFERROR(__xludf.DUMMYFUNCTION("""COMPUTED_VALUE"""),"RENALYN NOCEDA VIADO")</f>
        <v>RENALYN NOCEDA VIADO</v>
      </c>
      <c r="I1959" s="1">
        <f>IFERROR(__xludf.DUMMYFUNCTION("""COMPUTED_VALUE"""),9753871463)</f>
        <v>9753871463</v>
      </c>
      <c r="J1959" s="1">
        <f>IFERROR(__xludf.DUMMYFUNCTION("""COMPUTED_VALUE"""),99764347110)</f>
        <v>99764347110</v>
      </c>
      <c r="K1959" s="1" t="str">
        <f>IFERROR(__xludf.DUMMYFUNCTION("""COMPUTED_VALUE"""),"renalynviado013@gmail.com")</f>
        <v>renalynviado013@gmail.com</v>
      </c>
      <c r="L1959" s="1" t="str">
        <f>IFERROR(__xludf.DUMMYFUNCTION("""COMPUTED_VALUE"""),"29")</f>
        <v>29</v>
      </c>
      <c r="M1959" s="1" t="str">
        <f>IFERROR(__xludf.DUMMYFUNCTION("""COMPUTED_VALUE"""),"ATLAS")</f>
        <v>ATLAS</v>
      </c>
      <c r="N1959" s="1"/>
      <c r="O1959" s="1" t="str">
        <f>IFERROR(__xludf.DUMMYFUNCTION("""COMPUTED_VALUE"""),"GALICIA II")</f>
        <v>GALICIA II</v>
      </c>
      <c r="P1959" s="1" t="str">
        <f>IFERROR(__xludf.DUMMYFUNCTION("""COMPUTED_VALUE"""),"MENDEZ")</f>
        <v>MENDEZ</v>
      </c>
      <c r="Q1959" s="1" t="str">
        <f>IFERROR(__xludf.DUMMYFUNCTION("""COMPUTED_VALUE"""),"CAVITE")</f>
        <v>CAVITE</v>
      </c>
      <c r="R1959" s="1" t="str">
        <f>IFERROR(__xludf.DUMMYFUNCTION("""COMPUTED_VALUE"""),"FIBR UNLI ALL PLAN 1399")</f>
        <v>FIBR UNLI ALL PLAN 1399</v>
      </c>
      <c r="S1959" s="1" t="str">
        <f>IFERROR(__xludf.DUMMYFUNCTION("""COMPUTED_VALUE"""),"APPROVED")</f>
        <v>APPROVED</v>
      </c>
      <c r="T1959" s="1" t="str">
        <f>IFERROR(__xludf.DUMMYFUNCTION("""COMPUTED_VALUE"""),"#N/A")</f>
        <v>#N/A</v>
      </c>
      <c r="U1959" s="1" t="str">
        <f>IFERROR(__xludf.DUMMYFUNCTION("""COMPUTED_VALUE"""),"PAID VIA GCASH")</f>
        <v>PAID VIA GCASH</v>
      </c>
      <c r="V1959" s="1"/>
      <c r="W1959" s="1"/>
    </row>
    <row r="1960" customHeight="1" spans="1:23">
      <c r="A1960" s="3">
        <f>IFERROR(__xludf.DUMMYFUNCTION("""COMPUTED_VALUE"""),46175)</f>
        <v>46175</v>
      </c>
      <c r="B1960" s="1" t="str">
        <f>IFERROR(__xludf.DUMMYFUNCTION("""COMPUTED_VALUE"""),"DE VERA, MARIVIC")</f>
        <v>DE VERA, MARIVIC</v>
      </c>
      <c r="C1960" s="1" t="str">
        <f>IFERROR(__xludf.DUMMYFUNCTION("""COMPUTED_VALUE"""),"ORGANIC")</f>
        <v>ORGANIC</v>
      </c>
      <c r="D1960" s="1" t="str">
        <f>IFERROR(__xludf.DUMMYFUNCTION("""COMPUTED_VALUE"""),"REMOLLO LEA")</f>
        <v>REMOLLO LEA</v>
      </c>
      <c r="E1960" s="1" t="str">
        <f>IFERROR(__xludf.DUMMYFUNCTION("""COMPUTED_VALUE"""),"PLDT / H2H")</f>
        <v>PLDT / H2H</v>
      </c>
      <c r="F1960" s="1">
        <f>IFERROR(__xludf.DUMMYFUNCTION("""COMPUTED_VALUE"""),2309888158)</f>
        <v>2309888158</v>
      </c>
      <c r="G1960" s="1"/>
      <c r="H1960" s="1" t="str">
        <f>IFERROR(__xludf.DUMMYFUNCTION("""COMPUTED_VALUE"""),"NILLY ABAN GARCIA")</f>
        <v>NILLY ABAN GARCIA</v>
      </c>
      <c r="I1960" s="1">
        <f>IFERROR(__xludf.DUMMYFUNCTION("""COMPUTED_VALUE"""),9648260511)</f>
        <v>9648260511</v>
      </c>
      <c r="J1960" s="1"/>
      <c r="K1960" s="1" t="str">
        <f>IFERROR(__xludf.DUMMYFUNCTION("""COMPUTED_VALUE"""),"jimmyviaje9@gmail.com")</f>
        <v>jimmyviaje9@gmail.com</v>
      </c>
      <c r="L1960" s="1" t="str">
        <f>IFERROR(__xludf.DUMMYFUNCTION("""COMPUTED_VALUE"""),"529")</f>
        <v>529</v>
      </c>
      <c r="M1960" s="1" t="str">
        <f>IFERROR(__xludf.DUMMYFUNCTION("""COMPUTED_VALUE"""),"PUROK 6")</f>
        <v>PUROK 6</v>
      </c>
      <c r="N1960" s="1"/>
      <c r="O1960" s="1" t="str">
        <f>IFERROR(__xludf.DUMMYFUNCTION("""COMPUTED_VALUE"""),"MUNTING ILOG")</f>
        <v>MUNTING ILOG</v>
      </c>
      <c r="P1960" s="1" t="str">
        <f>IFERROR(__xludf.DUMMYFUNCTION("""COMPUTED_VALUE"""),"SILANG")</f>
        <v>SILANG</v>
      </c>
      <c r="Q1960" s="1" t="str">
        <f>IFERROR(__xludf.DUMMYFUNCTION("""COMPUTED_VALUE"""),"CAVITE")</f>
        <v>CAVITE</v>
      </c>
      <c r="R1960" s="1" t="str">
        <f>IFERROR(__xludf.DUMMYFUNCTION("""COMPUTED_VALUE"""),"PREPAID FIBER UNLI")</f>
        <v>PREPAID FIBER UNLI</v>
      </c>
      <c r="S1960" s="1" t="str">
        <f>IFERROR(__xludf.DUMMYFUNCTION("""COMPUTED_VALUE"""),"APPROVED")</f>
        <v>APPROVED</v>
      </c>
      <c r="T1960" s="1" t="str">
        <f>IFERROR(__xludf.DUMMYFUNCTION("""COMPUTED_VALUE"""),"#N/A")</f>
        <v>#N/A</v>
      </c>
      <c r="U1960" s="1"/>
      <c r="V1960" s="1"/>
      <c r="W1960" s="1"/>
    </row>
    <row r="1961" customHeight="1" spans="1:23">
      <c r="A1961" s="3">
        <f>IFERROR(__xludf.DUMMYFUNCTION("""COMPUTED_VALUE"""),46176)</f>
        <v>46176</v>
      </c>
      <c r="B1961" s="1" t="str">
        <f>IFERROR(__xludf.DUMMYFUNCTION("""COMPUTED_VALUE"""),"ODY , CLARENCE")</f>
        <v>ODY , CLARENCE</v>
      </c>
      <c r="C1961" s="1" t="str">
        <f>IFERROR(__xludf.DUMMYFUNCTION("""COMPUTED_VALUE"""),"ORGANIC")</f>
        <v>ORGANIC</v>
      </c>
      <c r="D1961" s="1" t="str">
        <f>IFERROR(__xludf.DUMMYFUNCTION("""COMPUTED_VALUE"""),"REMOLLO LEA")</f>
        <v>REMOLLO LEA</v>
      </c>
      <c r="E1961" s="1" t="str">
        <f>IFERROR(__xludf.DUMMYFUNCTION("""COMPUTED_VALUE"""),"PLDT / ONLINE")</f>
        <v>PLDT / ONLINE</v>
      </c>
      <c r="F1961" s="1">
        <f>IFERROR(__xludf.DUMMYFUNCTION("""COMPUTED_VALUE"""),2309899747)</f>
        <v>2309899747</v>
      </c>
      <c r="G1961" s="1"/>
      <c r="H1961" s="1" t="str">
        <f>IFERROR(__xludf.DUMMYFUNCTION("""COMPUTED_VALUE"""),"CESAR JR REYES BALDONO")</f>
        <v>CESAR JR REYES BALDONO</v>
      </c>
      <c r="I1961" s="1">
        <f>IFERROR(__xludf.DUMMYFUNCTION("""COMPUTED_VALUE"""),9993166389)</f>
        <v>9993166389</v>
      </c>
      <c r="J1961" s="1"/>
      <c r="K1961" s="1" t="str">
        <f>IFERROR(__xludf.DUMMYFUNCTION("""COMPUTED_VALUE"""),"cesarbaldono@gmail.com")</f>
        <v>cesarbaldono@gmail.com</v>
      </c>
      <c r="L1961" s="1" t="str">
        <f>IFERROR(__xludf.DUMMYFUNCTION("""COMPUTED_VALUE"""),"BLK 11 LOT 11")</f>
        <v>BLK 11 LOT 11</v>
      </c>
      <c r="M1961" s="1" t="str">
        <f>IFERROR(__xludf.DUMMYFUNCTION("""COMPUTED_VALUE"""),"CANCER")</f>
        <v>CANCER</v>
      </c>
      <c r="N1961" s="1" t="str">
        <f>IFERROR(__xludf.DUMMYFUNCTION("""COMPUTED_VALUE"""),"SAN MARINO")</f>
        <v>SAN MARINO</v>
      </c>
      <c r="O1961" s="1" t="str">
        <f>IFERROR(__xludf.DUMMYFUNCTION("""COMPUTED_VALUE"""),"SALAWAG")</f>
        <v>SALAWAG</v>
      </c>
      <c r="P1961" s="1" t="str">
        <f>IFERROR(__xludf.DUMMYFUNCTION("""COMPUTED_VALUE"""),"DASMARINAS")</f>
        <v>DASMARINAS</v>
      </c>
      <c r="Q1961" s="1" t="str">
        <f>IFERROR(__xludf.DUMMYFUNCTION("""COMPUTED_VALUE"""),"CAVITE")</f>
        <v>CAVITE</v>
      </c>
      <c r="R1961" s="1" t="str">
        <f>IFERROR(__xludf.DUMMYFUNCTION("""COMPUTED_VALUE"""),"PREPAID FIBER UNLI")</f>
        <v>PREPAID FIBER UNLI</v>
      </c>
      <c r="S1961" s="1" t="str">
        <f>IFERROR(__xludf.DUMMYFUNCTION("""COMPUTED_VALUE"""),"APPROVED")</f>
        <v>APPROVED</v>
      </c>
      <c r="T1961" s="1" t="str">
        <f>IFERROR(__xludf.DUMMYFUNCTION("""COMPUTED_VALUE"""),"#N/A")</f>
        <v>#N/A</v>
      </c>
      <c r="U1961" s="1" t="str">
        <f>IFERROR(__xludf.DUMMYFUNCTION("""COMPUTED_VALUE"""),"POSTED")</f>
        <v>POSTED</v>
      </c>
      <c r="V1961" s="1"/>
      <c r="W1961" s="1"/>
    </row>
    <row r="1962" customHeight="1" spans="1:23">
      <c r="A1962" s="3">
        <f>IFERROR(__xludf.DUMMYFUNCTION("""COMPUTED_VALUE"""),46176)</f>
        <v>46176</v>
      </c>
      <c r="B1962" s="1" t="str">
        <f>IFERROR(__xludf.DUMMYFUNCTION("""COMPUTED_VALUE"""),"CASTILLEJOS, ARREL")</f>
        <v>CASTILLEJOS, ARREL</v>
      </c>
      <c r="C1962" s="1" t="str">
        <f>IFERROR(__xludf.DUMMYFUNCTION("""COMPUTED_VALUE"""),"ORGANIC")</f>
        <v>ORGANIC</v>
      </c>
      <c r="D1962" s="1" t="str">
        <f>IFERROR(__xludf.DUMMYFUNCTION("""COMPUTED_VALUE"""),"REMOLLO LEA")</f>
        <v>REMOLLO LEA</v>
      </c>
      <c r="E1962" s="1" t="str">
        <f>IFERROR(__xludf.DUMMYFUNCTION("""COMPUTED_VALUE"""),"RED FIBER")</f>
        <v>RED FIBER</v>
      </c>
      <c r="F1962" s="1"/>
      <c r="G1962" s="1"/>
      <c r="H1962" s="1" t="str">
        <f>IFERROR(__xludf.DUMMYFUNCTION("""COMPUTED_VALUE"""),"MARIA LYNEL BAORGANOS CERILLANO")</f>
        <v>MARIA LYNEL BAORGANOS CERILLANO</v>
      </c>
      <c r="I1962" s="1">
        <f>IFERROR(__xludf.DUMMYFUNCTION("""COMPUTED_VALUE"""),9294202989)</f>
        <v>9294202989</v>
      </c>
      <c r="J1962" s="1"/>
      <c r="K1962" s="1" t="str">
        <f>IFERROR(__xludf.DUMMYFUNCTION("""COMPUTED_VALUE"""),"reikavega@gmail.com")</f>
        <v>reikavega@gmail.com</v>
      </c>
      <c r="L1962" s="1" t="str">
        <f>IFERROR(__xludf.DUMMYFUNCTION("""COMPUTED_VALUE"""),"18")</f>
        <v>18</v>
      </c>
      <c r="M1962" s="1" t="str">
        <f>IFERROR(__xludf.DUMMYFUNCTION("""COMPUTED_VALUE"""),"GALICIA RD")</f>
        <v>GALICIA RD</v>
      </c>
      <c r="N1962" s="1"/>
      <c r="O1962" s="1" t="str">
        <f>IFERROR(__xludf.DUMMYFUNCTION("""COMPUTED_VALUE"""),"GALICIA II")</f>
        <v>GALICIA II</v>
      </c>
      <c r="P1962" s="1" t="str">
        <f>IFERROR(__xludf.DUMMYFUNCTION("""COMPUTED_VALUE"""),"MENDEZ")</f>
        <v>MENDEZ</v>
      </c>
      <c r="Q1962" s="1" t="str">
        <f>IFERROR(__xludf.DUMMYFUNCTION("""COMPUTED_VALUE"""),"CAVITE")</f>
        <v>CAVITE</v>
      </c>
      <c r="R1962" s="1" t="str">
        <f>IFERROR(__xludf.DUMMYFUNCTION("""COMPUTED_VALUE"""),"RED PLAN 1400")</f>
        <v>RED PLAN 1400</v>
      </c>
      <c r="S1962" s="1" t="str">
        <f>IFERROR(__xludf.DUMMYFUNCTION("""COMPUTED_VALUE"""),"APPROVED")</f>
        <v>APPROVED</v>
      </c>
      <c r="T1962" s="1" t="str">
        <f>IFERROR(__xludf.DUMMYFUNCTION("""COMPUTED_VALUE"""),"PAID")</f>
        <v>PAID</v>
      </c>
      <c r="U1962" s="1" t="str">
        <f>IFERROR(__xludf.DUMMYFUNCTION("""COMPUTED_VALUE"""),"POSTED")</f>
        <v>POSTED</v>
      </c>
      <c r="V1962" s="1"/>
      <c r="W1962" s="1"/>
    </row>
    <row r="1963" customHeight="1" spans="1:23">
      <c r="A1963" s="3">
        <f>IFERROR(__xludf.DUMMYFUNCTION("""COMPUTED_VALUE"""),46176)</f>
        <v>46176</v>
      </c>
      <c r="B1963" s="1" t="str">
        <f>IFERROR(__xludf.DUMMYFUNCTION("""COMPUTED_VALUE"""),"REMOLLO, LEA")</f>
        <v>REMOLLO, LEA</v>
      </c>
      <c r="C1963" s="1" t="str">
        <f>IFERROR(__xludf.DUMMYFUNCTION("""COMPUTED_VALUE"""),"FLA")</f>
        <v>FLA</v>
      </c>
      <c r="D1963" s="1" t="str">
        <f>IFERROR(__xludf.DUMMYFUNCTION("""COMPUTED_VALUE"""),"JERIC NAVARRO")</f>
        <v>JERIC NAVARRO</v>
      </c>
      <c r="E1963" s="1" t="str">
        <f>IFERROR(__xludf.DUMMYFUNCTION("""COMPUTED_VALUE"""),"PLDT / ONLINE")</f>
        <v>PLDT / ONLINE</v>
      </c>
      <c r="F1963" s="1">
        <f>IFERROR(__xludf.DUMMYFUNCTION("""COMPUTED_VALUE"""),2309902580)</f>
        <v>2309902580</v>
      </c>
      <c r="G1963" s="1"/>
      <c r="H1963" s="1" t="str">
        <f>IFERROR(__xludf.DUMMYFUNCTION("""COMPUTED_VALUE"""),"PEDRO JR AGUINO DURAN")</f>
        <v>PEDRO JR AGUINO DURAN</v>
      </c>
      <c r="I1963" s="1">
        <f>IFERROR(__xludf.DUMMYFUNCTION("""COMPUTED_VALUE"""),9485004193)</f>
        <v>9485004193</v>
      </c>
      <c r="J1963" s="1">
        <f>IFERROR(__xludf.DUMMYFUNCTION("""COMPUTED_VALUE"""),9481249102)</f>
        <v>9481249102</v>
      </c>
      <c r="K1963" s="1" t="str">
        <f>IFERROR(__xludf.DUMMYFUNCTION("""COMPUTED_VALUE"""),"patriciaduran28041971@gmail.com")</f>
        <v>patriciaduran28041971@gmail.com</v>
      </c>
      <c r="L1963" s="1" t="str">
        <f>IFERROR(__xludf.DUMMYFUNCTION("""COMPUTED_VALUE"""),"1")</f>
        <v>1</v>
      </c>
      <c r="M1963" s="1" t="str">
        <f>IFERROR(__xludf.DUMMYFUNCTION("""COMPUTED_VALUE"""),"PUROK 6")</f>
        <v>PUROK 6</v>
      </c>
      <c r="N1963" s="1"/>
      <c r="O1963" s="1" t="str">
        <f>IFERROR(__xludf.DUMMYFUNCTION("""COMPUTED_VALUE"""),"MUNTING ILOG")</f>
        <v>MUNTING ILOG</v>
      </c>
      <c r="P1963" s="1" t="str">
        <f>IFERROR(__xludf.DUMMYFUNCTION("""COMPUTED_VALUE"""),"SILANG")</f>
        <v>SILANG</v>
      </c>
      <c r="Q1963" s="1" t="str">
        <f>IFERROR(__xludf.DUMMYFUNCTION("""COMPUTED_VALUE"""),"CAVITE")</f>
        <v>CAVITE</v>
      </c>
      <c r="R1963" s="1" t="str">
        <f>IFERROR(__xludf.DUMMYFUNCTION("""COMPUTED_VALUE"""),"FIBR UNLI ALL PLAN 1799")</f>
        <v>FIBR UNLI ALL PLAN 1799</v>
      </c>
      <c r="S1963" s="1" t="str">
        <f>IFERROR(__xludf.DUMMYFUNCTION("""COMPUTED_VALUE"""),"APPROVED")</f>
        <v>APPROVED</v>
      </c>
      <c r="T1963" s="1" t="str">
        <f>IFERROR(__xludf.DUMMYFUNCTION("""COMPUTED_VALUE"""),"#N/A")</f>
        <v>#N/A</v>
      </c>
      <c r="U1963" s="1"/>
      <c r="V1963" s="1"/>
      <c r="W1963" s="1"/>
    </row>
    <row r="1964" customHeight="1" spans="1:23">
      <c r="A1964" s="3">
        <f>IFERROR(__xludf.DUMMYFUNCTION("""COMPUTED_VALUE"""),46176)</f>
        <v>46176</v>
      </c>
      <c r="B1964" s="1" t="str">
        <f>IFERROR(__xludf.DUMMYFUNCTION("""COMPUTED_VALUE"""),"AGUNOS, JHON AIRVIN")</f>
        <v>AGUNOS, JHON AIRVIN</v>
      </c>
      <c r="C1964" s="1" t="str">
        <f>IFERROR(__xludf.DUMMYFUNCTION("""COMPUTED_VALUE"""),"ORGANIC")</f>
        <v>ORGANIC</v>
      </c>
      <c r="D1964" s="1" t="str">
        <f>IFERROR(__xludf.DUMMYFUNCTION("""COMPUTED_VALUE"""),"REMOLLO LEA")</f>
        <v>REMOLLO LEA</v>
      </c>
      <c r="E1964" s="1" t="str">
        <f>IFERROR(__xludf.DUMMYFUNCTION("""COMPUTED_VALUE"""),"PLDT / ONLINE")</f>
        <v>PLDT / ONLINE</v>
      </c>
      <c r="F1964" s="1">
        <f>IFERROR(__xludf.DUMMYFUNCTION("""COMPUTED_VALUE"""),2309903352)</f>
        <v>2309903352</v>
      </c>
      <c r="G1964" s="1"/>
      <c r="H1964" s="1" t="str">
        <f>IFERROR(__xludf.DUMMYFUNCTION("""COMPUTED_VALUE"""),"ANGEL KYLLE LU-ANG MATU-OG")</f>
        <v>ANGEL KYLLE LU-ANG MATU-OG</v>
      </c>
      <c r="I1964" s="1">
        <f>IFERROR(__xludf.DUMMYFUNCTION("""COMPUTED_VALUE"""),9760413529)</f>
        <v>9760413529</v>
      </c>
      <c r="J1964" s="1">
        <f>IFERROR(__xludf.DUMMYFUNCTION("""COMPUTED_VALUE"""),9516084614)</f>
        <v>9516084614</v>
      </c>
      <c r="K1964" s="1" t="str">
        <f>IFERROR(__xludf.DUMMYFUNCTION("""COMPUTED_VALUE"""),"akclmtg@gmail.com")</f>
        <v>akclmtg@gmail.com</v>
      </c>
      <c r="L1964" s="1" t="str">
        <f>IFERROR(__xludf.DUMMYFUNCTION("""COMPUTED_VALUE"""),"231A")</f>
        <v>231A</v>
      </c>
      <c r="M1964" s="1" t="str">
        <f>IFERROR(__xludf.DUMMYFUNCTION("""COMPUTED_VALUE"""),"PANUNGYAN")</f>
        <v>PANUNGYAN</v>
      </c>
      <c r="N1964" s="1"/>
      <c r="O1964" s="1" t="str">
        <f>IFERROR(__xludf.DUMMYFUNCTION("""COMPUTED_VALUE"""),"GALICIA II")</f>
        <v>GALICIA II</v>
      </c>
      <c r="P1964" s="1" t="str">
        <f>IFERROR(__xludf.DUMMYFUNCTION("""COMPUTED_VALUE"""),"MENDEZ")</f>
        <v>MENDEZ</v>
      </c>
      <c r="Q1964" s="1" t="str">
        <f>IFERROR(__xludf.DUMMYFUNCTION("""COMPUTED_VALUE"""),"CAVITE")</f>
        <v>CAVITE</v>
      </c>
      <c r="R1964" s="1" t="str">
        <f>IFERROR(__xludf.DUMMYFUNCTION("""COMPUTED_VALUE"""),"FIBR UNLI ALL PLAN 999")</f>
        <v>FIBR UNLI ALL PLAN 999</v>
      </c>
      <c r="S1964" s="1" t="str">
        <f>IFERROR(__xludf.DUMMYFUNCTION("""COMPUTED_VALUE"""),"APPROVED")</f>
        <v>APPROVED</v>
      </c>
      <c r="T1964" s="1" t="str">
        <f>IFERROR(__xludf.DUMMYFUNCTION("""COMPUTED_VALUE"""),"#N/A")</f>
        <v>#N/A</v>
      </c>
      <c r="U1964" s="1"/>
      <c r="V1964" s="1"/>
      <c r="W1964" s="1"/>
    </row>
    <row r="1965" customHeight="1" spans="1:23">
      <c r="A1965" s="3">
        <f>IFERROR(__xludf.DUMMYFUNCTION("""COMPUTED_VALUE"""),46176)</f>
        <v>46176</v>
      </c>
      <c r="B1965" s="1" t="str">
        <f>IFERROR(__xludf.DUMMYFUNCTION("""COMPUTED_VALUE"""),"RIVERA, AIRIZH JOY")</f>
        <v>RIVERA, AIRIZH JOY</v>
      </c>
      <c r="C1965" s="1" t="str">
        <f>IFERROR(__xludf.DUMMYFUNCTION("""COMPUTED_VALUE"""),"ORGANIC")</f>
        <v>ORGANIC</v>
      </c>
      <c r="D1965" s="1" t="str">
        <f>IFERROR(__xludf.DUMMYFUNCTION("""COMPUTED_VALUE"""),"REMOLLO LEA")</f>
        <v>REMOLLO LEA</v>
      </c>
      <c r="E1965" s="1" t="str">
        <f>IFERROR(__xludf.DUMMYFUNCTION("""COMPUTED_VALUE"""),"PLDT / H2H")</f>
        <v>PLDT / H2H</v>
      </c>
      <c r="F1965" s="1">
        <f>IFERROR(__xludf.DUMMYFUNCTION("""COMPUTED_VALUE"""),2309906765)</f>
        <v>2309906765</v>
      </c>
      <c r="G1965" s="1"/>
      <c r="H1965" s="1" t="str">
        <f>IFERROR(__xludf.DUMMYFUNCTION("""COMPUTED_VALUE"""),"JERALD GATPANDAN BONGON")</f>
        <v>JERALD GATPANDAN BONGON</v>
      </c>
      <c r="I1965" s="1">
        <f>IFERROR(__xludf.DUMMYFUNCTION("""COMPUTED_VALUE"""),9515203686)</f>
        <v>9515203686</v>
      </c>
      <c r="J1965" s="1">
        <f>IFERROR(__xludf.DUMMYFUNCTION("""COMPUTED_VALUE"""),9705222969)</f>
        <v>9705222969</v>
      </c>
      <c r="K1965" s="1" t="str">
        <f>IFERROR(__xludf.DUMMYFUNCTION("""COMPUTED_VALUE"""),"jeraldbongon057@gmail.com")</f>
        <v>jeraldbongon057@gmail.com</v>
      </c>
      <c r="L1965" s="1" t="str">
        <f>IFERROR(__xludf.DUMMYFUNCTION("""COMPUTED_VALUE"""),"126")</f>
        <v>126</v>
      </c>
      <c r="M1965" s="1" t="str">
        <f>IFERROR(__xludf.DUMMYFUNCTION("""COMPUTED_VALUE"""),"ASIS 1")</f>
        <v>ASIS 1</v>
      </c>
      <c r="N1965" s="1"/>
      <c r="O1965" s="1" t="str">
        <f>IFERROR(__xludf.DUMMYFUNCTION("""COMPUTED_VALUE"""),"ASIS I")</f>
        <v>ASIS I</v>
      </c>
      <c r="P1965" s="1" t="str">
        <f>IFERROR(__xludf.DUMMYFUNCTION("""COMPUTED_VALUE"""),"MENDEZ")</f>
        <v>MENDEZ</v>
      </c>
      <c r="Q1965" s="1" t="str">
        <f>IFERROR(__xludf.DUMMYFUNCTION("""COMPUTED_VALUE"""),"CAVITE")</f>
        <v>CAVITE</v>
      </c>
      <c r="R1965" s="1" t="str">
        <f>IFERROR(__xludf.DUMMYFUNCTION("""COMPUTED_VALUE"""),"FIBR UNLI ALL PLAN 1399")</f>
        <v>FIBR UNLI ALL PLAN 1399</v>
      </c>
      <c r="S1965" s="1" t="str">
        <f>IFERROR(__xludf.DUMMYFUNCTION("""COMPUTED_VALUE"""),"APPROVED")</f>
        <v>APPROVED</v>
      </c>
      <c r="T1965" s="1" t="str">
        <f>IFERROR(__xludf.DUMMYFUNCTION("""COMPUTED_VALUE"""),"#N/A")</f>
        <v>#N/A</v>
      </c>
      <c r="U1965" s="1" t="str">
        <f>IFERROR(__xludf.DUMMYFUNCTION("""COMPUTED_VALUE"""),"PAID VIA GCASH")</f>
        <v>PAID VIA GCASH</v>
      </c>
      <c r="V1965" s="1"/>
      <c r="W1965" s="1"/>
    </row>
    <row r="1966" customHeight="1" spans="1:23">
      <c r="A1966" s="3">
        <f>IFERROR(__xludf.DUMMYFUNCTION("""COMPUTED_VALUE"""),46176)</f>
        <v>46176</v>
      </c>
      <c r="B1966" s="1" t="str">
        <f>IFERROR(__xludf.DUMMYFUNCTION("""COMPUTED_VALUE"""),"DELA ROSA, JENNELYN")</f>
        <v>DELA ROSA, JENNELYN</v>
      </c>
      <c r="C1966" s="1" t="str">
        <f>IFERROR(__xludf.DUMMYFUNCTION("""COMPUTED_VALUE"""),"ORGANIC")</f>
        <v>ORGANIC</v>
      </c>
      <c r="D1966" s="1" t="str">
        <f>IFERROR(__xludf.DUMMYFUNCTION("""COMPUTED_VALUE"""),"REMOLLO LEA")</f>
        <v>REMOLLO LEA</v>
      </c>
      <c r="E1966" s="1" t="str">
        <f>IFERROR(__xludf.DUMMYFUNCTION("""COMPUTED_VALUE"""),"PLDT / H2H")</f>
        <v>PLDT / H2H</v>
      </c>
      <c r="F1966" s="1">
        <f>IFERROR(__xludf.DUMMYFUNCTION("""COMPUTED_VALUE"""),2309903786)</f>
        <v>2309903786</v>
      </c>
      <c r="G1966" s="1"/>
      <c r="H1966" s="1" t="str">
        <f>IFERROR(__xludf.DUMMYFUNCTION("""COMPUTED_VALUE"""),"MARICEL GATPANDAN MEDEL")</f>
        <v>MARICEL GATPANDAN MEDEL</v>
      </c>
      <c r="I1966" s="1">
        <f>IFERROR(__xludf.DUMMYFUNCTION("""COMPUTED_VALUE"""),9165922150)</f>
        <v>9165922150</v>
      </c>
      <c r="J1966" s="1"/>
      <c r="K1966" s="1" t="str">
        <f>IFERROR(__xludf.DUMMYFUNCTION("""COMPUTED_VALUE"""),"mhacy215@gmail.com")</f>
        <v>mhacy215@gmail.com</v>
      </c>
      <c r="L1966" s="1" t="str">
        <f>IFERROR(__xludf.DUMMYFUNCTION("""COMPUTED_VALUE"""),"13")</f>
        <v>13</v>
      </c>
      <c r="M1966" s="1" t="str">
        <f>IFERROR(__xludf.DUMMYFUNCTION("""COMPUTED_VALUE"""),"KANGGAHAN")</f>
        <v>KANGGAHAN</v>
      </c>
      <c r="N1966" s="1"/>
      <c r="O1966" s="1" t="str">
        <f>IFERROR(__xludf.DUMMYFUNCTION("""COMPUTED_VALUE"""),"ASIS I")</f>
        <v>ASIS I</v>
      </c>
      <c r="P1966" s="1" t="str">
        <f>IFERROR(__xludf.DUMMYFUNCTION("""COMPUTED_VALUE"""),"MENDEZ")</f>
        <v>MENDEZ</v>
      </c>
      <c r="Q1966" s="1" t="str">
        <f>IFERROR(__xludf.DUMMYFUNCTION("""COMPUTED_VALUE"""),"CAVITE")</f>
        <v>CAVITE</v>
      </c>
      <c r="R1966" s="1" t="str">
        <f>IFERROR(__xludf.DUMMYFUNCTION("""COMPUTED_VALUE"""),"FIBR UNLI ALL PLAN 1399")</f>
        <v>FIBR UNLI ALL PLAN 1399</v>
      </c>
      <c r="S1966" s="1" t="str">
        <f>IFERROR(__xludf.DUMMYFUNCTION("""COMPUTED_VALUE"""),"APPROVED")</f>
        <v>APPROVED</v>
      </c>
      <c r="T1966" s="1" t="str">
        <f>IFERROR(__xludf.DUMMYFUNCTION("""COMPUTED_VALUE"""),"#N/A")</f>
        <v>#N/A</v>
      </c>
      <c r="U1966" s="1" t="str">
        <f>IFERROR(__xludf.DUMMYFUNCTION("""COMPUTED_VALUE"""),"PAID VIA GCASH")</f>
        <v>PAID VIA GCASH</v>
      </c>
      <c r="V1966" s="1"/>
      <c r="W1966" s="1"/>
    </row>
    <row r="1967" customHeight="1" spans="1:23">
      <c r="A1967" s="3">
        <f>IFERROR(__xludf.DUMMYFUNCTION("""COMPUTED_VALUE"""),46176)</f>
        <v>46176</v>
      </c>
      <c r="B1967" s="1" t="str">
        <f>IFERROR(__xludf.DUMMYFUNCTION("""COMPUTED_VALUE"""),"GABAY, MANUEL")</f>
        <v>GABAY, MANUEL</v>
      </c>
      <c r="C1967" s="1" t="str">
        <f>IFERROR(__xludf.DUMMYFUNCTION("""COMPUTED_VALUE"""),"FLA")</f>
        <v>FLA</v>
      </c>
      <c r="D1967" s="1" t="str">
        <f>IFERROR(__xludf.DUMMYFUNCTION("""COMPUTED_VALUE"""),"JERIC NAVARRO")</f>
        <v>JERIC NAVARRO</v>
      </c>
      <c r="E1967" s="1" t="str">
        <f>IFERROR(__xludf.DUMMYFUNCTION("""COMPUTED_VALUE"""),"PLDT / H2H")</f>
        <v>PLDT / H2H</v>
      </c>
      <c r="F1967" s="1">
        <f>IFERROR(__xludf.DUMMYFUNCTION("""COMPUTED_VALUE"""),2309906159)</f>
        <v>2309906159</v>
      </c>
      <c r="G1967" s="1"/>
      <c r="H1967" s="1" t="str">
        <f>IFERROR(__xludf.DUMMYFUNCTION("""COMPUTED_VALUE"""),"RAMP KENNETH ALEGRE PENDON")</f>
        <v>RAMP KENNETH ALEGRE PENDON</v>
      </c>
      <c r="I1967" s="1">
        <f>IFERROR(__xludf.DUMMYFUNCTION("""COMPUTED_VALUE"""),9484086775)</f>
        <v>9484086775</v>
      </c>
      <c r="J1967" s="1">
        <f>IFERROR(__xludf.DUMMYFUNCTION("""COMPUTED_VALUE"""),9752431362)</f>
        <v>9752431362</v>
      </c>
      <c r="K1967" s="1" t="str">
        <f>IFERROR(__xludf.DUMMYFUNCTION("""COMPUTED_VALUE"""),"pendonk28@gmail.com")</f>
        <v>pendonk28@gmail.com</v>
      </c>
      <c r="L1967" s="1" t="str">
        <f>IFERROR(__xludf.DUMMYFUNCTION("""COMPUTED_VALUE"""),"462")</f>
        <v>462</v>
      </c>
      <c r="M1967" s="1" t="str">
        <f>IFERROR(__xludf.DUMMYFUNCTION("""COMPUTED_VALUE"""),"LLMADO")</f>
        <v>LLMADO</v>
      </c>
      <c r="N1967" s="1"/>
      <c r="O1967" s="1" t="str">
        <f>IFERROR(__xludf.DUMMYFUNCTION("""COMPUTED_VALUE"""),"ASIS I")</f>
        <v>ASIS I</v>
      </c>
      <c r="P1967" s="1" t="str">
        <f>IFERROR(__xludf.DUMMYFUNCTION("""COMPUTED_VALUE"""),"MENDEZ")</f>
        <v>MENDEZ</v>
      </c>
      <c r="Q1967" s="1" t="str">
        <f>IFERROR(__xludf.DUMMYFUNCTION("""COMPUTED_VALUE"""),"CAVITE")</f>
        <v>CAVITE</v>
      </c>
      <c r="R1967" s="1" t="str">
        <f>IFERROR(__xludf.DUMMYFUNCTION("""COMPUTED_VALUE"""),"FIBR NETFLIX PLAN 1599")</f>
        <v>FIBR NETFLIX PLAN 1599</v>
      </c>
      <c r="S1967" s="1" t="str">
        <f>IFERROR(__xludf.DUMMYFUNCTION("""COMPUTED_VALUE"""),"APPROVED")</f>
        <v>APPROVED</v>
      </c>
      <c r="T1967" s="1" t="str">
        <f>IFERROR(__xludf.DUMMYFUNCTION("""COMPUTED_VALUE"""),"#N/A")</f>
        <v>#N/A</v>
      </c>
      <c r="U1967" s="1" t="str">
        <f>IFERROR(__xludf.DUMMYFUNCTION("""COMPUTED_VALUE"""),"POSTED")</f>
        <v>POSTED</v>
      </c>
      <c r="V1967" s="1"/>
      <c r="W1967" s="1"/>
    </row>
    <row r="1968" customHeight="1" spans="1:23">
      <c r="A1968" s="3">
        <f>IFERROR(__xludf.DUMMYFUNCTION("""COMPUTED_VALUE"""),46176)</f>
        <v>46176</v>
      </c>
      <c r="B1968" s="1" t="str">
        <f>IFERROR(__xludf.DUMMYFUNCTION("""COMPUTED_VALUE"""),"FRANCISCO , ROSELYN")</f>
        <v>FRANCISCO , ROSELYN</v>
      </c>
      <c r="C1968" s="1" t="str">
        <f>IFERROR(__xludf.DUMMYFUNCTION("""COMPUTED_VALUE"""),"ORGANIC")</f>
        <v>ORGANIC</v>
      </c>
      <c r="D1968" s="1" t="str">
        <f>IFERROR(__xludf.DUMMYFUNCTION("""COMPUTED_VALUE"""),"REMOLLO LEA")</f>
        <v>REMOLLO LEA</v>
      </c>
      <c r="E1968" s="1" t="str">
        <f>IFERROR(__xludf.DUMMYFUNCTION("""COMPUTED_VALUE"""),"PLDT / H2H")</f>
        <v>PLDT / H2H</v>
      </c>
      <c r="F1968" s="1">
        <f>IFERROR(__xludf.DUMMYFUNCTION("""COMPUTED_VALUE"""),2309907247)</f>
        <v>2309907247</v>
      </c>
      <c r="G1968" s="1"/>
      <c r="H1968" s="1" t="str">
        <f>IFERROR(__xludf.DUMMYFUNCTION("""COMPUTED_VALUE"""),"JAY-AR REYMUND PELAYO")</f>
        <v>JAY-AR REYMUND PELAYO</v>
      </c>
      <c r="I1968" s="1">
        <f>IFERROR(__xludf.DUMMYFUNCTION("""COMPUTED_VALUE"""),9095889012)</f>
        <v>9095889012</v>
      </c>
      <c r="J1968" s="1"/>
      <c r="K1968" s="1" t="str">
        <f>IFERROR(__xludf.DUMMYFUNCTION("""COMPUTED_VALUE"""),"kim087825@gmail.com")</f>
        <v>kim087825@gmail.com</v>
      </c>
      <c r="L1968" s="1" t="str">
        <f>IFERROR(__xludf.DUMMYFUNCTION("""COMPUTED_VALUE"""),"239")</f>
        <v>239</v>
      </c>
      <c r="M1968" s="1" t="str">
        <f>IFERROR(__xludf.DUMMYFUNCTION("""COMPUTED_VALUE"""),"PAYANG")</f>
        <v>PAYANG</v>
      </c>
      <c r="N1968" s="1"/>
      <c r="O1968" s="1" t="str">
        <f>IFERROR(__xludf.DUMMYFUNCTION("""COMPUTED_VALUE"""),"AMAYA II")</f>
        <v>AMAYA II</v>
      </c>
      <c r="P1968" s="1" t="str">
        <f>IFERROR(__xludf.DUMMYFUNCTION("""COMPUTED_VALUE"""),"TANZA")</f>
        <v>TANZA</v>
      </c>
      <c r="Q1968" s="1" t="str">
        <f>IFERROR(__xludf.DUMMYFUNCTION("""COMPUTED_VALUE"""),"CAVITE")</f>
        <v>CAVITE</v>
      </c>
      <c r="R1968" s="1" t="str">
        <f>IFERROR(__xludf.DUMMYFUNCTION("""COMPUTED_VALUE"""),"PREPAID FIBER UNLI")</f>
        <v>PREPAID FIBER UNLI</v>
      </c>
      <c r="S1968" s="1" t="str">
        <f>IFERROR(__xludf.DUMMYFUNCTION("""COMPUTED_VALUE"""),"APPROVED")</f>
        <v>APPROVED</v>
      </c>
      <c r="T1968" s="1" t="str">
        <f>IFERROR(__xludf.DUMMYFUNCTION("""COMPUTED_VALUE"""),"#N/A")</f>
        <v>#N/A</v>
      </c>
      <c r="U1968" s="1" t="str">
        <f>IFERROR(__xludf.DUMMYFUNCTION("""COMPUTED_VALUE"""),"PAID VIA GCASH")</f>
        <v>PAID VIA GCASH</v>
      </c>
      <c r="V1968" s="1"/>
      <c r="W1968" s="1"/>
    </row>
    <row r="1969" customHeight="1" spans="1:23">
      <c r="A1969" s="3">
        <f>IFERROR(__xludf.DUMMYFUNCTION("""COMPUTED_VALUE"""),46176)</f>
        <v>46176</v>
      </c>
      <c r="B1969" s="1" t="str">
        <f>IFERROR(__xludf.DUMMYFUNCTION("""COMPUTED_VALUE"""),"FRONDEZ, JEDREFF")</f>
        <v>FRONDEZ, JEDREFF</v>
      </c>
      <c r="C1969" s="1" t="str">
        <f>IFERROR(__xludf.DUMMYFUNCTION("""COMPUTED_VALUE"""),"ORGANIC")</f>
        <v>ORGANIC</v>
      </c>
      <c r="D1969" s="1" t="str">
        <f>IFERROR(__xludf.DUMMYFUNCTION("""COMPUTED_VALUE"""),"REMOLLO LEA")</f>
        <v>REMOLLO LEA</v>
      </c>
      <c r="E1969" s="1" t="str">
        <f>IFERROR(__xludf.DUMMYFUNCTION("""COMPUTED_VALUE"""),"PLDT / H2H")</f>
        <v>PLDT / H2H</v>
      </c>
      <c r="F1969" s="1">
        <f>IFERROR(__xludf.DUMMYFUNCTION("""COMPUTED_VALUE"""),2309907917)</f>
        <v>2309907917</v>
      </c>
      <c r="G1969" s="1"/>
      <c r="H1969" s="1" t="str">
        <f>IFERROR(__xludf.DUMMYFUNCTION("""COMPUTED_VALUE"""),"ROSITA RODIL RUSTO")</f>
        <v>ROSITA RODIL RUSTO</v>
      </c>
      <c r="I1969" s="1">
        <f>IFERROR(__xludf.DUMMYFUNCTION("""COMPUTED_VALUE"""),9108167232)</f>
        <v>9108167232</v>
      </c>
      <c r="J1969" s="1">
        <f>IFERROR(__xludf.DUMMYFUNCTION("""COMPUTED_VALUE"""),9671534380)</f>
        <v>9671534380</v>
      </c>
      <c r="K1969" s="1" t="str">
        <f>IFERROR(__xludf.DUMMYFUNCTION("""COMPUTED_VALUE"""),"bustorosita22@gmail.com")</f>
        <v>bustorosita22@gmail.com</v>
      </c>
      <c r="L1969" s="1" t="str">
        <f>IFERROR(__xludf.DUMMYFUNCTION("""COMPUTED_VALUE"""),"BLK 10 LOT 7")</f>
        <v>BLK 10 LOT 7</v>
      </c>
      <c r="M1969" s="1" t="str">
        <f>IFERROR(__xludf.DUMMYFUNCTION("""COMPUTED_VALUE"""),"PABAHAY")</f>
        <v>PABAHAY</v>
      </c>
      <c r="N1969" s="1"/>
      <c r="O1969" s="1" t="str">
        <f>IFERROR(__xludf.DUMMYFUNCTION("""COMPUTED_VALUE"""),"ZAMBAL")</f>
        <v>ZAMBAL</v>
      </c>
      <c r="P1969" s="1" t="str">
        <f>IFERROR(__xludf.DUMMYFUNCTION("""COMPUTED_VALUE"""),"TAGAYTAY")</f>
        <v>TAGAYTAY</v>
      </c>
      <c r="Q1969" s="1" t="str">
        <f>IFERROR(__xludf.DUMMYFUNCTION("""COMPUTED_VALUE"""),"CAVITE")</f>
        <v>CAVITE</v>
      </c>
      <c r="R1969" s="1" t="str">
        <f>IFERROR(__xludf.DUMMYFUNCTION("""COMPUTED_VALUE"""),"FIBR UNLI ALL PLAN 999")</f>
        <v>FIBR UNLI ALL PLAN 999</v>
      </c>
      <c r="S1969" s="1" t="str">
        <f>IFERROR(__xludf.DUMMYFUNCTION("""COMPUTED_VALUE"""),"APPROVED")</f>
        <v>APPROVED</v>
      </c>
      <c r="T1969" s="1" t="str">
        <f>IFERROR(__xludf.DUMMYFUNCTION("""COMPUTED_VALUE"""),"#N/A")</f>
        <v>#N/A</v>
      </c>
      <c r="U1969" s="1" t="str">
        <f>IFERROR(__xludf.DUMMYFUNCTION("""COMPUTED_VALUE"""),"POSTED")</f>
        <v>POSTED</v>
      </c>
      <c r="V1969" s="1"/>
      <c r="W1969" s="1"/>
    </row>
    <row r="1970" customHeight="1" spans="1:23">
      <c r="A1970" s="3">
        <f>IFERROR(__xludf.DUMMYFUNCTION("""COMPUTED_VALUE"""),46176)</f>
        <v>46176</v>
      </c>
      <c r="B1970" s="1" t="str">
        <f>IFERROR(__xludf.DUMMYFUNCTION("""COMPUTED_VALUE"""),"MAGDARAOG, KENNETH")</f>
        <v>MAGDARAOG, KENNETH</v>
      </c>
      <c r="C1970" s="1" t="str">
        <f>IFERROR(__xludf.DUMMYFUNCTION("""COMPUTED_VALUE"""),"ORGANIC")</f>
        <v>ORGANIC</v>
      </c>
      <c r="D1970" s="1" t="str">
        <f>IFERROR(__xludf.DUMMYFUNCTION("""COMPUTED_VALUE"""),"REMOLLO LEA")</f>
        <v>REMOLLO LEA</v>
      </c>
      <c r="E1970" s="1" t="str">
        <f>IFERROR(__xludf.DUMMYFUNCTION("""COMPUTED_VALUE"""),"PLDT / H2H")</f>
        <v>PLDT / H2H</v>
      </c>
      <c r="F1970" s="1">
        <f>IFERROR(__xludf.DUMMYFUNCTION("""COMPUTED_VALUE"""),2309908750)</f>
        <v>2309908750</v>
      </c>
      <c r="G1970" s="1"/>
      <c r="H1970" s="1" t="str">
        <f>IFERROR(__xludf.DUMMYFUNCTION("""COMPUTED_VALUE"""),"BOBBY TAGANAS ANOSA")</f>
        <v>BOBBY TAGANAS ANOSA</v>
      </c>
      <c r="I1970" s="1">
        <f>IFERROR(__xludf.DUMMYFUNCTION("""COMPUTED_VALUE"""),9166828405)</f>
        <v>9166828405</v>
      </c>
      <c r="J1970" s="1">
        <f>IFERROR(__xludf.DUMMYFUNCTION("""COMPUTED_VALUE"""),9101345970)</f>
        <v>9101345970</v>
      </c>
      <c r="K1970" s="1" t="str">
        <f>IFERROR(__xludf.DUMMYFUNCTION("""COMPUTED_VALUE"""),"bobbyadrian0826@gmail.com")</f>
        <v>bobbyadrian0826@gmail.com</v>
      </c>
      <c r="L1970" s="1" t="str">
        <f>IFERROR(__xludf.DUMMYFUNCTION("""COMPUTED_VALUE"""),"9")</f>
        <v>9</v>
      </c>
      <c r="M1970" s="1" t="str">
        <f>IFERROR(__xludf.DUMMYFUNCTION("""COMPUTED_VALUE"""),"SMOKEY HILLS")</f>
        <v>SMOKEY HILLS</v>
      </c>
      <c r="N1970" s="1"/>
      <c r="O1970" s="1" t="str">
        <f>IFERROR(__xludf.DUMMYFUNCTION("""COMPUTED_VALUE"""),"MAHARLIKA EAST")</f>
        <v>MAHARLIKA EAST</v>
      </c>
      <c r="P1970" s="1" t="str">
        <f>IFERROR(__xludf.DUMMYFUNCTION("""COMPUTED_VALUE"""),"TAGAYTAY")</f>
        <v>TAGAYTAY</v>
      </c>
      <c r="Q1970" s="1" t="str">
        <f>IFERROR(__xludf.DUMMYFUNCTION("""COMPUTED_VALUE"""),"CAVITE")</f>
        <v>CAVITE</v>
      </c>
      <c r="R1970" s="1" t="str">
        <f>IFERROR(__xludf.DUMMYFUNCTION("""COMPUTED_VALUE"""),"FIBR UNLI ALL PLAN 1399")</f>
        <v>FIBR UNLI ALL PLAN 1399</v>
      </c>
      <c r="S1970" s="1" t="str">
        <f>IFERROR(__xludf.DUMMYFUNCTION("""COMPUTED_VALUE"""),"APPROVED")</f>
        <v>APPROVED</v>
      </c>
      <c r="T1970" s="1" t="str">
        <f>IFERROR(__xludf.DUMMYFUNCTION("""COMPUTED_VALUE"""),"#N/A")</f>
        <v>#N/A</v>
      </c>
      <c r="U1970" s="1" t="str">
        <f>IFERROR(__xludf.DUMMYFUNCTION("""COMPUTED_VALUE"""),"POSTED")</f>
        <v>POSTED</v>
      </c>
      <c r="V1970" s="1"/>
      <c r="W1970" s="1"/>
    </row>
    <row r="1971" customHeight="1" spans="1:23">
      <c r="A1971" s="3">
        <f>IFERROR(__xludf.DUMMYFUNCTION("""COMPUTED_VALUE"""),46176)</f>
        <v>46176</v>
      </c>
      <c r="B1971" s="1" t="str">
        <f>IFERROR(__xludf.DUMMYFUNCTION("""COMPUTED_VALUE"""),"AYON MANUEL")</f>
        <v>AYON MANUEL</v>
      </c>
      <c r="C1971" s="1" t="str">
        <f>IFERROR(__xludf.DUMMYFUNCTION("""COMPUTED_VALUE"""),"FLA")</f>
        <v>FLA</v>
      </c>
      <c r="D1971" s="1" t="str">
        <f>IFERROR(__xludf.DUMMYFUNCTION("""COMPUTED_VALUE"""),"JERIC NAVARRO")</f>
        <v>JERIC NAVARRO</v>
      </c>
      <c r="E1971" s="1" t="str">
        <f>IFERROR(__xludf.DUMMYFUNCTION("""COMPUTED_VALUE"""),"PLDT / ONLINE")</f>
        <v>PLDT / ONLINE</v>
      </c>
      <c r="F1971" s="1">
        <f>IFERROR(__xludf.DUMMYFUNCTION("""COMPUTED_VALUE"""),2309909409)</f>
        <v>2309909409</v>
      </c>
      <c r="G1971" s="1"/>
      <c r="H1971" s="1" t="str">
        <f>IFERROR(__xludf.DUMMYFUNCTION("""COMPUTED_VALUE"""),"MONALIZA HERNANDEZ SALENGA")</f>
        <v>MONALIZA HERNANDEZ SALENGA</v>
      </c>
      <c r="I1971" s="1">
        <f>IFERROR(__xludf.DUMMYFUNCTION("""COMPUTED_VALUE"""),9175147287)</f>
        <v>9175147287</v>
      </c>
      <c r="J1971" s="1">
        <f>IFERROR(__xludf.DUMMYFUNCTION("""COMPUTED_VALUE"""),9690638458)</f>
        <v>9690638458</v>
      </c>
      <c r="K1971" s="1" t="str">
        <f>IFERROR(__xludf.DUMMYFUNCTION("""COMPUTED_VALUE"""),"monaliza.s@pbt-tech.com")</f>
        <v>monaliza.s@pbt-tech.com</v>
      </c>
      <c r="L1971" s="1" t="str">
        <f>IFERROR(__xludf.DUMMYFUNCTION("""COMPUTED_VALUE"""),"9020")</f>
        <v>9020</v>
      </c>
      <c r="M1971" s="1" t="str">
        <f>IFERROR(__xludf.DUMMYFUNCTION("""COMPUTED_VALUE"""),"WISDOM")</f>
        <v>WISDOM</v>
      </c>
      <c r="N1971" s="1" t="str">
        <f>IFERROR(__xludf.DUMMYFUNCTION("""COMPUTED_VALUE"""),"CITYLAND ")</f>
        <v>CITYLAND </v>
      </c>
      <c r="O1971" s="1" t="str">
        <f>IFERROR(__xludf.DUMMYFUNCTION("""COMPUTED_VALUE"""),"MABUHAY")</f>
        <v>MABUHAY</v>
      </c>
      <c r="P1971" s="1" t="str">
        <f>IFERROR(__xludf.DUMMYFUNCTION("""COMPUTED_VALUE"""),"CARMONA")</f>
        <v>CARMONA</v>
      </c>
      <c r="Q1971" s="1" t="str">
        <f>IFERROR(__xludf.DUMMYFUNCTION("""COMPUTED_VALUE"""),"CAVITE")</f>
        <v>CAVITE</v>
      </c>
      <c r="R1971" s="1" t="str">
        <f>IFERROR(__xludf.DUMMYFUNCTION("""COMPUTED_VALUE"""),"FIBR PLAN 1299")</f>
        <v>FIBR PLAN 1299</v>
      </c>
      <c r="S1971" s="1" t="str">
        <f>IFERROR(__xludf.DUMMYFUNCTION("""COMPUTED_VALUE"""),"APPROVED")</f>
        <v>APPROVED</v>
      </c>
      <c r="T1971" s="1" t="str">
        <f>IFERROR(__xludf.DUMMYFUNCTION("""COMPUTED_VALUE"""),"#N/A")</f>
        <v>#N/A</v>
      </c>
      <c r="U1971" s="1"/>
      <c r="V1971" s="1"/>
      <c r="W1971" s="1"/>
    </row>
    <row r="1972" customHeight="1" spans="1:23">
      <c r="A1972" s="3">
        <f>IFERROR(__xludf.DUMMYFUNCTION("""COMPUTED_VALUE"""),46176)</f>
        <v>46176</v>
      </c>
      <c r="B1972" s="1" t="str">
        <f>IFERROR(__xludf.DUMMYFUNCTION("""COMPUTED_VALUE"""),"MAGDARAOG, KENNETH")</f>
        <v>MAGDARAOG, KENNETH</v>
      </c>
      <c r="C1972" s="1" t="str">
        <f>IFERROR(__xludf.DUMMYFUNCTION("""COMPUTED_VALUE"""),"ORGANIC")</f>
        <v>ORGANIC</v>
      </c>
      <c r="D1972" s="1" t="str">
        <f>IFERROR(__xludf.DUMMYFUNCTION("""COMPUTED_VALUE"""),"REMOLLO LEA")</f>
        <v>REMOLLO LEA</v>
      </c>
      <c r="E1972" s="1" t="str">
        <f>IFERROR(__xludf.DUMMYFUNCTION("""COMPUTED_VALUE"""),"PLDT / ONLINE")</f>
        <v>PLDT / ONLINE</v>
      </c>
      <c r="F1972" s="1">
        <f>IFERROR(__xludf.DUMMYFUNCTION("""COMPUTED_VALUE"""),2309911075)</f>
        <v>2309911075</v>
      </c>
      <c r="G1972" s="1"/>
      <c r="H1972" s="1" t="str">
        <f>IFERROR(__xludf.DUMMYFUNCTION("""COMPUTED_VALUE"""),"ALEXANDER LINCUNA NARIO")</f>
        <v>ALEXANDER LINCUNA NARIO</v>
      </c>
      <c r="I1972" s="1">
        <f>IFERROR(__xludf.DUMMYFUNCTION("""COMPUTED_VALUE"""),9913559352)</f>
        <v>9913559352</v>
      </c>
      <c r="J1972" s="1"/>
      <c r="K1972" s="1" t="str">
        <f>IFERROR(__xludf.DUMMYFUNCTION("""COMPUTED_VALUE"""),"narioalexander2@gmail.com")</f>
        <v>narioalexander2@gmail.com</v>
      </c>
      <c r="L1972" s="1" t="str">
        <f>IFERROR(__xludf.DUMMYFUNCTION("""COMPUTED_VALUE"""),"30")</f>
        <v>30</v>
      </c>
      <c r="M1972" s="1" t="str">
        <f>IFERROR(__xludf.DUMMYFUNCTION("""COMPUTED_VALUE"""),"MAYSILI")</f>
        <v>MAYSILI</v>
      </c>
      <c r="N1972" s="1"/>
      <c r="O1972" s="1" t="str">
        <f>IFERROR(__xludf.DUMMYFUNCTION("""COMPUTED_VALUE"""),"ASIS I")</f>
        <v>ASIS I</v>
      </c>
      <c r="P1972" s="1" t="str">
        <f>IFERROR(__xludf.DUMMYFUNCTION("""COMPUTED_VALUE"""),"MENDEZ")</f>
        <v>MENDEZ</v>
      </c>
      <c r="Q1972" s="1" t="str">
        <f>IFERROR(__xludf.DUMMYFUNCTION("""COMPUTED_VALUE"""),"CAVITE")</f>
        <v>CAVITE</v>
      </c>
      <c r="R1972" s="1" t="str">
        <f>IFERROR(__xludf.DUMMYFUNCTION("""COMPUTED_VALUE"""),"PREPAID FIBER UNLI")</f>
        <v>PREPAID FIBER UNLI</v>
      </c>
      <c r="S1972" s="1" t="str">
        <f>IFERROR(__xludf.DUMMYFUNCTION("""COMPUTED_VALUE"""),"APPROVED")</f>
        <v>APPROVED</v>
      </c>
      <c r="T1972" s="1" t="str">
        <f>IFERROR(__xludf.DUMMYFUNCTION("""COMPUTED_VALUE"""),"#N/A")</f>
        <v>#N/A</v>
      </c>
      <c r="U1972" s="1" t="str">
        <f>IFERROR(__xludf.DUMMYFUNCTION("""COMPUTED_VALUE"""),"POSTED")</f>
        <v>POSTED</v>
      </c>
      <c r="V1972" s="1"/>
      <c r="W1972" s="1"/>
    </row>
    <row r="1973" customHeight="1" spans="1:23">
      <c r="A1973" s="3">
        <f>IFERROR(__xludf.DUMMYFUNCTION("""COMPUTED_VALUE"""),46176)</f>
        <v>46176</v>
      </c>
      <c r="B1973" s="1" t="str">
        <f>IFERROR(__xludf.DUMMYFUNCTION("""COMPUTED_VALUE"""),"AYON MANUEL")</f>
        <v>AYON MANUEL</v>
      </c>
      <c r="C1973" s="1" t="str">
        <f>IFERROR(__xludf.DUMMYFUNCTION("""COMPUTED_VALUE"""),"FLA")</f>
        <v>FLA</v>
      </c>
      <c r="D1973" s="1" t="str">
        <f>IFERROR(__xludf.DUMMYFUNCTION("""COMPUTED_VALUE"""),"JERIC NAVARRO")</f>
        <v>JERIC NAVARRO</v>
      </c>
      <c r="E1973" s="1" t="str">
        <f>IFERROR(__xludf.DUMMYFUNCTION("""COMPUTED_VALUE"""),"PLDT / ONLINE")</f>
        <v>PLDT / ONLINE</v>
      </c>
      <c r="F1973" s="1">
        <f>IFERROR(__xludf.DUMMYFUNCTION("""COMPUTED_VALUE"""),2309912647)</f>
        <v>2309912647</v>
      </c>
      <c r="G1973" s="1"/>
      <c r="H1973" s="1" t="str">
        <f>IFERROR(__xludf.DUMMYFUNCTION("""COMPUTED_VALUE"""),"LOVELIE MARIANO DIMAPILIS")</f>
        <v>LOVELIE MARIANO DIMAPILIS</v>
      </c>
      <c r="I1973" s="1">
        <f>IFERROR(__xludf.DUMMYFUNCTION("""COMPUTED_VALUE"""),9274002594)</f>
        <v>9274002594</v>
      </c>
      <c r="J1973" s="1"/>
      <c r="K1973" s="1" t="str">
        <f>IFERROR(__xludf.DUMMYFUNCTION("""COMPUTED_VALUE"""),"kreativtyco0127@gmail.com")</f>
        <v>kreativtyco0127@gmail.com</v>
      </c>
      <c r="L1973" s="1" t="str">
        <f>IFERROR(__xludf.DUMMYFUNCTION("""COMPUTED_VALUE"""),"BLK 50 LOT 3-5")</f>
        <v>BLK 50 LOT 3-5</v>
      </c>
      <c r="M1973" s="1" t="str">
        <f>IFERROR(__xludf.DUMMYFUNCTION("""COMPUTED_VALUE"""),"PHASE 4")</f>
        <v>PHASE 4</v>
      </c>
      <c r="N1973" s="1" t="str">
        <f>IFERROR(__xludf.DUMMYFUNCTION("""COMPUTED_VALUE"""),"VERONA")</f>
        <v>VERONA</v>
      </c>
      <c r="O1973" s="1" t="str">
        <f>IFERROR(__xludf.DUMMYFUNCTION("""COMPUTED_VALUE"""),"HOYO")</f>
        <v>HOYO</v>
      </c>
      <c r="P1973" s="1" t="str">
        <f>IFERROR(__xludf.DUMMYFUNCTION("""COMPUTED_VALUE"""),"SILANG")</f>
        <v>SILANG</v>
      </c>
      <c r="Q1973" s="1" t="str">
        <f>IFERROR(__xludf.DUMMYFUNCTION("""COMPUTED_VALUE"""),"CAVITE")</f>
        <v>CAVITE</v>
      </c>
      <c r="R1973" s="1" t="str">
        <f>IFERROR(__xludf.DUMMYFUNCTION("""COMPUTED_VALUE"""),"FIBR NETFLIX PLAN 1599")</f>
        <v>FIBR NETFLIX PLAN 1599</v>
      </c>
      <c r="S1973" s="1" t="str">
        <f>IFERROR(__xludf.DUMMYFUNCTION("""COMPUTED_VALUE"""),"APPROVED")</f>
        <v>APPROVED</v>
      </c>
      <c r="T1973" s="1" t="str">
        <f>IFERROR(__xludf.DUMMYFUNCTION("""COMPUTED_VALUE"""),"#N/A")</f>
        <v>#N/A</v>
      </c>
      <c r="U1973" s="1" t="str">
        <f>IFERROR(__xludf.DUMMYFUNCTION("""COMPUTED_VALUE"""),"POSTED")</f>
        <v>POSTED</v>
      </c>
      <c r="V1973" s="1"/>
      <c r="W1973" s="1"/>
    </row>
    <row r="1974" customHeight="1" spans="1:23">
      <c r="A1974" s="3">
        <f>IFERROR(__xludf.DUMMYFUNCTION("""COMPUTED_VALUE"""),46176)</f>
        <v>46176</v>
      </c>
      <c r="B1974" s="1" t="str">
        <f>IFERROR(__xludf.DUMMYFUNCTION("""COMPUTED_VALUE"""),"ODY , CLARENCE")</f>
        <v>ODY , CLARENCE</v>
      </c>
      <c r="C1974" s="1" t="str">
        <f>IFERROR(__xludf.DUMMYFUNCTION("""COMPUTED_VALUE"""),"ORGANIC")</f>
        <v>ORGANIC</v>
      </c>
      <c r="D1974" s="1" t="str">
        <f>IFERROR(__xludf.DUMMYFUNCTION("""COMPUTED_VALUE"""),"REMOLLO LEA")</f>
        <v>REMOLLO LEA</v>
      </c>
      <c r="E1974" s="1" t="str">
        <f>IFERROR(__xludf.DUMMYFUNCTION("""COMPUTED_VALUE"""),"PLDT / H2H")</f>
        <v>PLDT / H2H</v>
      </c>
      <c r="F1974" s="1">
        <f>IFERROR(__xludf.DUMMYFUNCTION("""COMPUTED_VALUE"""),2309912941)</f>
        <v>2309912941</v>
      </c>
      <c r="G1974" s="1"/>
      <c r="H1974" s="1" t="str">
        <f>IFERROR(__xludf.DUMMYFUNCTION("""COMPUTED_VALUE"""),"JENNY DESEO ABECILLO")</f>
        <v>JENNY DESEO ABECILLO</v>
      </c>
      <c r="I1974" s="1">
        <f>IFERROR(__xludf.DUMMYFUNCTION("""COMPUTED_VALUE"""),9482130963)</f>
        <v>9482130963</v>
      </c>
      <c r="J1974" s="1"/>
      <c r="K1974" s="1" t="str">
        <f>IFERROR(__xludf.DUMMYFUNCTION("""COMPUTED_VALUE"""),"jennyabecilla8@gmail.com")</f>
        <v>jennyabecilla8@gmail.com</v>
      </c>
      <c r="L1974" s="1" t="str">
        <f>IFERROR(__xludf.DUMMYFUNCTION("""COMPUTED_VALUE"""),"64")</f>
        <v>64</v>
      </c>
      <c r="M1974" s="1" t="str">
        <f>IFERROR(__xludf.DUMMYFUNCTION("""COMPUTED_VALUE"""),"OLD BULIHAN")</f>
        <v>OLD BULIHAN</v>
      </c>
      <c r="N1974" s="1"/>
      <c r="O1974" s="1" t="str">
        <f>IFERROR(__xludf.DUMMYFUNCTION("""COMPUTED_VALUE"""),"BULIHAN")</f>
        <v>BULIHAN</v>
      </c>
      <c r="P1974" s="1" t="str">
        <f>IFERROR(__xludf.DUMMYFUNCTION("""COMPUTED_VALUE"""),"SILANG")</f>
        <v>SILANG</v>
      </c>
      <c r="Q1974" s="1" t="str">
        <f>IFERROR(__xludf.DUMMYFUNCTION("""COMPUTED_VALUE"""),"CAVITE")</f>
        <v>CAVITE</v>
      </c>
      <c r="R1974" s="1" t="str">
        <f>IFERROR(__xludf.DUMMYFUNCTION("""COMPUTED_VALUE"""),"FIBR UNLI ALL PLAN 999")</f>
        <v>FIBR UNLI ALL PLAN 999</v>
      </c>
      <c r="S1974" s="1" t="str">
        <f>IFERROR(__xludf.DUMMYFUNCTION("""COMPUTED_VALUE"""),"APPROVED")</f>
        <v>APPROVED</v>
      </c>
      <c r="T1974" s="1" t="str">
        <f>IFERROR(__xludf.DUMMYFUNCTION("""COMPUTED_VALUE"""),"#N/A")</f>
        <v>#N/A</v>
      </c>
      <c r="U1974" s="1" t="str">
        <f>IFERROR(__xludf.DUMMYFUNCTION("""COMPUTED_VALUE"""),"POSTED")</f>
        <v>POSTED</v>
      </c>
      <c r="V1974" s="1"/>
      <c r="W1974" s="1"/>
    </row>
    <row r="1975" customHeight="1" spans="1:23">
      <c r="A1975" s="3">
        <f>IFERROR(__xludf.DUMMYFUNCTION("""COMPUTED_VALUE"""),46177)</f>
        <v>46177</v>
      </c>
      <c r="B1975" s="1" t="str">
        <f>IFERROR(__xludf.DUMMYFUNCTION("""COMPUTED_VALUE"""),"DELA ROSA, JENNELYN")</f>
        <v>DELA ROSA, JENNELYN</v>
      </c>
      <c r="C1975" s="1" t="str">
        <f>IFERROR(__xludf.DUMMYFUNCTION("""COMPUTED_VALUE"""),"ORGANIC")</f>
        <v>ORGANIC</v>
      </c>
      <c r="D1975" s="1" t="str">
        <f>IFERROR(__xludf.DUMMYFUNCTION("""COMPUTED_VALUE"""),"REMOLLO LEA")</f>
        <v>REMOLLO LEA</v>
      </c>
      <c r="E1975" s="1" t="str">
        <f>IFERROR(__xludf.DUMMYFUNCTION("""COMPUTED_VALUE"""),"PLDT / ONLINE")</f>
        <v>PLDT / ONLINE</v>
      </c>
      <c r="F1975" s="1">
        <f>IFERROR(__xludf.DUMMYFUNCTION("""COMPUTED_VALUE"""),2309926418)</f>
        <v>2309926418</v>
      </c>
      <c r="G1975" s="1"/>
      <c r="H1975" s="1" t="str">
        <f>IFERROR(__xludf.DUMMYFUNCTION("""COMPUTED_VALUE"""),"MARIVIC MONTERONA ALENO")</f>
        <v>MARIVIC MONTERONA ALENO</v>
      </c>
      <c r="I1975" s="1">
        <f>IFERROR(__xludf.DUMMYFUNCTION("""COMPUTED_VALUE"""),9671094772)</f>
        <v>9671094772</v>
      </c>
      <c r="J1975" s="1">
        <f>IFERROR(__xludf.DUMMYFUNCTION("""COMPUTED_VALUE"""),9616608605)</f>
        <v>9616608605</v>
      </c>
      <c r="K1975" s="1" t="str">
        <f>IFERROR(__xludf.DUMMYFUNCTION("""COMPUTED_VALUE"""),"mimo0875@gmail.com")</f>
        <v>mimo0875@gmail.com</v>
      </c>
      <c r="L1975" s="1" t="str">
        <f>IFERROR(__xludf.DUMMYFUNCTION("""COMPUTED_VALUE"""),"BLK 13 LOT 33")</f>
        <v>BLK 13 LOT 33</v>
      </c>
      <c r="M1975" s="1" t="str">
        <f>IFERROR(__xludf.DUMMYFUNCTION("""COMPUTED_VALUE"""),"ICHIGAN ST")</f>
        <v>ICHIGAN ST</v>
      </c>
      <c r="N1975" s="1" t="str">
        <f>IFERROR(__xludf.DUMMYFUNCTION("""COMPUTED_VALUE"""),"SAN MARINO")</f>
        <v>SAN MARINO</v>
      </c>
      <c r="O1975" s="1" t="str">
        <f>IFERROR(__xludf.DUMMYFUNCTION("""COMPUTED_VALUE"""),"SALAWAG")</f>
        <v>SALAWAG</v>
      </c>
      <c r="P1975" s="1" t="str">
        <f>IFERROR(__xludf.DUMMYFUNCTION("""COMPUTED_VALUE"""),"DASMARINAS")</f>
        <v>DASMARINAS</v>
      </c>
      <c r="Q1975" s="1" t="str">
        <f>IFERROR(__xludf.DUMMYFUNCTION("""COMPUTED_VALUE"""),"CAVITE")</f>
        <v>CAVITE</v>
      </c>
      <c r="R1975" s="1" t="str">
        <f>IFERROR(__xludf.DUMMYFUNCTION("""COMPUTED_VALUE"""),"FIBR NETFLIX PLAN 1599")</f>
        <v>FIBR NETFLIX PLAN 1599</v>
      </c>
      <c r="S1975" s="1" t="str">
        <f>IFERROR(__xludf.DUMMYFUNCTION("""COMPUTED_VALUE"""),"APPROVED")</f>
        <v>APPROVED</v>
      </c>
      <c r="T1975" s="1" t="str">
        <f>IFERROR(__xludf.DUMMYFUNCTION("""COMPUTED_VALUE"""),"#N/A")</f>
        <v>#N/A</v>
      </c>
      <c r="U1975" s="1" t="str">
        <f>IFERROR(__xludf.DUMMYFUNCTION("""COMPUTED_VALUE"""),"POSTED")</f>
        <v>POSTED</v>
      </c>
      <c r="V1975" s="1"/>
      <c r="W1975" s="1"/>
    </row>
    <row r="1976" customHeight="1" spans="1:23">
      <c r="A1976" s="3">
        <f>IFERROR(__xludf.DUMMYFUNCTION("""COMPUTED_VALUE"""),46177)</f>
        <v>46177</v>
      </c>
      <c r="B1976" s="1" t="str">
        <f>IFERROR(__xludf.DUMMYFUNCTION("""COMPUTED_VALUE"""),"AYON MANUEL")</f>
        <v>AYON MANUEL</v>
      </c>
      <c r="C1976" s="1" t="str">
        <f>IFERROR(__xludf.DUMMYFUNCTION("""COMPUTED_VALUE"""),"FLA")</f>
        <v>FLA</v>
      </c>
      <c r="D1976" s="1" t="str">
        <f>IFERROR(__xludf.DUMMYFUNCTION("""COMPUTED_VALUE"""),"JERIC NAVARRO")</f>
        <v>JERIC NAVARRO</v>
      </c>
      <c r="E1976" s="1" t="str">
        <f>IFERROR(__xludf.DUMMYFUNCTION("""COMPUTED_VALUE"""),"PLDT / ONLINE")</f>
        <v>PLDT / ONLINE</v>
      </c>
      <c r="F1976" s="1">
        <f>IFERROR(__xludf.DUMMYFUNCTION("""COMPUTED_VALUE"""),2309926798)</f>
        <v>2309926798</v>
      </c>
      <c r="G1976" s="1"/>
      <c r="H1976" s="1" t="str">
        <f>IFERROR(__xludf.DUMMYFUNCTION("""COMPUTED_VALUE"""),"ROSA TERREON ROXAS")</f>
        <v>ROSA TERREON ROXAS</v>
      </c>
      <c r="I1976" s="1">
        <f>IFERROR(__xludf.DUMMYFUNCTION("""COMPUTED_VALUE"""),9154661944)</f>
        <v>9154661944</v>
      </c>
      <c r="J1976" s="1">
        <f>IFERROR(__xludf.DUMMYFUNCTION("""COMPUTED_VALUE"""),9270120099)</f>
        <v>9270120099</v>
      </c>
      <c r="K1976" s="1" t="str">
        <f>IFERROR(__xludf.DUMMYFUNCTION("""COMPUTED_VALUE"""),"robelynroxas137@gmail.com")</f>
        <v>robelynroxas137@gmail.com</v>
      </c>
      <c r="L1976" s="1" t="str">
        <f>IFERROR(__xludf.DUMMYFUNCTION("""COMPUTED_VALUE"""),"BLK 46")</f>
        <v>BLK 46</v>
      </c>
      <c r="M1976" s="1" t="str">
        <f>IFERROR(__xludf.DUMMYFUNCTION("""COMPUTED_VALUE"""),"ECXESS LOT")</f>
        <v>ECXESS LOT</v>
      </c>
      <c r="N1976" s="1"/>
      <c r="O1976" s="1" t="str">
        <f>IFERROR(__xludf.DUMMYFUNCTION("""COMPUTED_VALUE"""),"ACACIA")</f>
        <v>ACACIA</v>
      </c>
      <c r="P1976" s="1" t="str">
        <f>IFERROR(__xludf.DUMMYFUNCTION("""COMPUTED_VALUE"""),"SILANG")</f>
        <v>SILANG</v>
      </c>
      <c r="Q1976" s="1" t="str">
        <f>IFERROR(__xludf.DUMMYFUNCTION("""COMPUTED_VALUE"""),"CAVITE")</f>
        <v>CAVITE</v>
      </c>
      <c r="R1976" s="1" t="str">
        <f>IFERROR(__xludf.DUMMYFUNCTION("""COMPUTED_VALUE"""),"FIBR UNLI ALL PLAN 999")</f>
        <v>FIBR UNLI ALL PLAN 999</v>
      </c>
      <c r="S1976" s="1" t="str">
        <f>IFERROR(__xludf.DUMMYFUNCTION("""COMPUTED_VALUE"""),"APPROVED")</f>
        <v>APPROVED</v>
      </c>
      <c r="T1976" s="1" t="str">
        <f>IFERROR(__xludf.DUMMYFUNCTION("""COMPUTED_VALUE"""),"#N/A")</f>
        <v>#N/A</v>
      </c>
      <c r="U1976" s="1" t="str">
        <f>IFERROR(__xludf.DUMMYFUNCTION("""COMPUTED_VALUE"""),"PAID VIA GCASH")</f>
        <v>PAID VIA GCASH</v>
      </c>
      <c r="V1976" s="1"/>
      <c r="W1976" s="1"/>
    </row>
    <row r="1977" customHeight="1" spans="1:23">
      <c r="A1977" s="3">
        <f>IFERROR(__xludf.DUMMYFUNCTION("""COMPUTED_VALUE"""),46177)</f>
        <v>46177</v>
      </c>
      <c r="B1977" s="1" t="str">
        <f>IFERROR(__xludf.DUMMYFUNCTION("""COMPUTED_VALUE"""),"FRANCISCO , ROSELYN")</f>
        <v>FRANCISCO , ROSELYN</v>
      </c>
      <c r="C1977" s="1" t="str">
        <f>IFERROR(__xludf.DUMMYFUNCTION("""COMPUTED_VALUE"""),"ORGANIC")</f>
        <v>ORGANIC</v>
      </c>
      <c r="D1977" s="1" t="str">
        <f>IFERROR(__xludf.DUMMYFUNCTION("""COMPUTED_VALUE"""),"REMOLLO LEA")</f>
        <v>REMOLLO LEA</v>
      </c>
      <c r="E1977" s="1" t="str">
        <f>IFERROR(__xludf.DUMMYFUNCTION("""COMPUTED_VALUE"""),"PLDT / ONLINE")</f>
        <v>PLDT / ONLINE</v>
      </c>
      <c r="F1977" s="1">
        <f>IFERROR(__xludf.DUMMYFUNCTION("""COMPUTED_VALUE"""),2309927757)</f>
        <v>2309927757</v>
      </c>
      <c r="G1977" s="1"/>
      <c r="H1977" s="1" t="str">
        <f>IFERROR(__xludf.DUMMYFUNCTION("""COMPUTED_VALUE"""),"SHIELA MER FAITH MIRAS ANTIPOLO")</f>
        <v>SHIELA MER FAITH MIRAS ANTIPOLO</v>
      </c>
      <c r="I1977" s="1">
        <f>IFERROR(__xludf.DUMMYFUNCTION("""COMPUTED_VALUE"""),9519934942)</f>
        <v>9519934942</v>
      </c>
      <c r="J1977" s="1">
        <f>IFERROR(__xludf.DUMMYFUNCTION("""COMPUTED_VALUE"""),9066700090)</f>
        <v>9066700090</v>
      </c>
      <c r="K1977" s="1" t="str">
        <f>IFERROR(__xludf.DUMMYFUNCTION("""COMPUTED_VALUE"""),"shielamer02@gmail.com")</f>
        <v>shielamer02@gmail.com</v>
      </c>
      <c r="L1977" s="1" t="str">
        <f>IFERROR(__xludf.DUMMYFUNCTION("""COMPUTED_VALUE"""),"5")</f>
        <v>5</v>
      </c>
      <c r="M1977" s="1" t="str">
        <f>IFERROR(__xludf.DUMMYFUNCTION("""COMPUTED_VALUE"""),"LLAMADO ")</f>
        <v>LLAMADO </v>
      </c>
      <c r="N1977" s="1"/>
      <c r="O1977" s="1" t="str">
        <f>IFERROR(__xludf.DUMMYFUNCTION("""COMPUTED_VALUE"""),"ASIS I")</f>
        <v>ASIS I</v>
      </c>
      <c r="P1977" s="1" t="str">
        <f>IFERROR(__xludf.DUMMYFUNCTION("""COMPUTED_VALUE"""),"MENDEZ")</f>
        <v>MENDEZ</v>
      </c>
      <c r="Q1977" s="1" t="str">
        <f>IFERROR(__xludf.DUMMYFUNCTION("""COMPUTED_VALUE"""),"CAVITE")</f>
        <v>CAVITE</v>
      </c>
      <c r="R1977" s="1" t="str">
        <f>IFERROR(__xludf.DUMMYFUNCTION("""COMPUTED_VALUE"""),"FIBR PLAN 1699")</f>
        <v>FIBR PLAN 1699</v>
      </c>
      <c r="S1977" s="1" t="str">
        <f>IFERROR(__xludf.DUMMYFUNCTION("""COMPUTED_VALUE"""),"APPROVED")</f>
        <v>APPROVED</v>
      </c>
      <c r="T1977" s="1" t="str">
        <f>IFERROR(__xludf.DUMMYFUNCTION("""COMPUTED_VALUE"""),"#N/A")</f>
        <v>#N/A</v>
      </c>
      <c r="U1977" s="1" t="str">
        <f>IFERROR(__xludf.DUMMYFUNCTION("""COMPUTED_VALUE"""),"PAID VIA GCASH")</f>
        <v>PAID VIA GCASH</v>
      </c>
      <c r="V1977" s="1"/>
      <c r="W1977" s="1"/>
    </row>
    <row r="1978" customHeight="1" spans="1:23">
      <c r="A1978" s="3">
        <f>IFERROR(__xludf.DUMMYFUNCTION("""COMPUTED_VALUE"""),46177)</f>
        <v>46177</v>
      </c>
      <c r="B1978" s="1" t="str">
        <f>IFERROR(__xludf.DUMMYFUNCTION("""COMPUTED_VALUE"""),"FRANCISCO , ROSELYN")</f>
        <v>FRANCISCO , ROSELYN</v>
      </c>
      <c r="C1978" s="1" t="str">
        <f>IFERROR(__xludf.DUMMYFUNCTION("""COMPUTED_VALUE"""),"ORGANIC")</f>
        <v>ORGANIC</v>
      </c>
      <c r="D1978" s="1" t="str">
        <f>IFERROR(__xludf.DUMMYFUNCTION("""COMPUTED_VALUE"""),"REMOLLO LEA")</f>
        <v>REMOLLO LEA</v>
      </c>
      <c r="E1978" s="1" t="str">
        <f>IFERROR(__xludf.DUMMYFUNCTION("""COMPUTED_VALUE"""),"PLDT / H2H")</f>
        <v>PLDT / H2H</v>
      </c>
      <c r="F1978" s="1">
        <f>IFERROR(__xludf.DUMMYFUNCTION("""COMPUTED_VALUE"""),2309928074)</f>
        <v>2309928074</v>
      </c>
      <c r="G1978" s="1"/>
      <c r="H1978" s="1" t="str">
        <f>IFERROR(__xludf.DUMMYFUNCTION("""COMPUTED_VALUE"""),"RANDY MORALES FERANIL")</f>
        <v>RANDY MORALES FERANIL</v>
      </c>
      <c r="I1978" s="1">
        <f>IFERROR(__xludf.DUMMYFUNCTION("""COMPUTED_VALUE"""),9665410938)</f>
        <v>9665410938</v>
      </c>
      <c r="J1978" s="1">
        <f>IFERROR(__xludf.DUMMYFUNCTION("""COMPUTED_VALUE"""),9214244267)</f>
        <v>9214244267</v>
      </c>
      <c r="K1978" s="1" t="str">
        <f>IFERROR(__xludf.DUMMYFUNCTION("""COMPUTED_VALUE"""),"mldferanil102328@gmail.com")</f>
        <v>mldferanil102328@gmail.com</v>
      </c>
      <c r="L1978" s="1" t="str">
        <f>IFERROR(__xludf.DUMMYFUNCTION("""COMPUTED_VALUE"""),"88")</f>
        <v>88</v>
      </c>
      <c r="M1978" s="1" t="str">
        <f>IFERROR(__xludf.DUMMYFUNCTION("""COMPUTED_VALUE"""),"GLOBAL VILLAGE")</f>
        <v>GLOBAL VILLAGE</v>
      </c>
      <c r="N1978" s="1"/>
      <c r="O1978" s="1" t="str">
        <f>IFERROR(__xludf.DUMMYFUNCTION("""COMPUTED_VALUE"""),"GALICIA II")</f>
        <v>GALICIA II</v>
      </c>
      <c r="P1978" s="1" t="str">
        <f>IFERROR(__xludf.DUMMYFUNCTION("""COMPUTED_VALUE"""),"MENDEZ")</f>
        <v>MENDEZ</v>
      </c>
      <c r="Q1978" s="1" t="str">
        <f>IFERROR(__xludf.DUMMYFUNCTION("""COMPUTED_VALUE"""),"CAVITE")</f>
        <v>CAVITE</v>
      </c>
      <c r="R1978" s="1" t="str">
        <f>IFERROR(__xludf.DUMMYFUNCTION("""COMPUTED_VALUE"""),"FIBR PLAN 1299")</f>
        <v>FIBR PLAN 1299</v>
      </c>
      <c r="S1978" s="1" t="str">
        <f>IFERROR(__xludf.DUMMYFUNCTION("""COMPUTED_VALUE"""),"APPROVED")</f>
        <v>APPROVED</v>
      </c>
      <c r="T1978" s="1" t="str">
        <f>IFERROR(__xludf.DUMMYFUNCTION("""COMPUTED_VALUE"""),"#N/A")</f>
        <v>#N/A</v>
      </c>
      <c r="U1978" s="1" t="str">
        <f>IFERROR(__xludf.DUMMYFUNCTION("""COMPUTED_VALUE"""),"PAID VIA GCASH")</f>
        <v>PAID VIA GCASH</v>
      </c>
      <c r="V1978" s="1"/>
      <c r="W1978" s="1"/>
    </row>
    <row r="1979" customHeight="1" spans="1:23">
      <c r="A1979" s="3">
        <f>IFERROR(__xludf.DUMMYFUNCTION("""COMPUTED_VALUE"""),46177)</f>
        <v>46177</v>
      </c>
      <c r="B1979" s="1" t="str">
        <f>IFERROR(__xludf.DUMMYFUNCTION("""COMPUTED_VALUE"""),"MALIWAT MARK ELVIN")</f>
        <v>MALIWAT MARK ELVIN</v>
      </c>
      <c r="C1979" s="1" t="str">
        <f>IFERROR(__xludf.DUMMYFUNCTION("""COMPUTED_VALUE"""),"FLA")</f>
        <v>FLA</v>
      </c>
      <c r="D1979" s="1" t="str">
        <f>IFERROR(__xludf.DUMMYFUNCTION("""COMPUTED_VALUE"""),"JERIC NAVARRO")</f>
        <v>JERIC NAVARRO</v>
      </c>
      <c r="E1979" s="1" t="str">
        <f>IFERROR(__xludf.DUMMYFUNCTION("""COMPUTED_VALUE"""),"PLDT / ONLINE")</f>
        <v>PLDT / ONLINE</v>
      </c>
      <c r="F1979" s="1">
        <f>IFERROR(__xludf.DUMMYFUNCTION("""COMPUTED_VALUE"""),2309928886)</f>
        <v>2309928886</v>
      </c>
      <c r="G1979" s="1"/>
      <c r="H1979" s="1" t="str">
        <f>IFERROR(__xludf.DUMMYFUNCTION("""COMPUTED_VALUE"""),"RONALD MAMAYBAY PATIDUNGAN")</f>
        <v>RONALD MAMAYBAY PATIDUNGAN</v>
      </c>
      <c r="I1979" s="1">
        <f>IFERROR(__xludf.DUMMYFUNCTION("""COMPUTED_VALUE"""),9948311594)</f>
        <v>9948311594</v>
      </c>
      <c r="J1979" s="1">
        <f>IFERROR(__xludf.DUMMYFUNCTION("""COMPUTED_VALUE"""),9626845265)</f>
        <v>9626845265</v>
      </c>
      <c r="K1979" s="1" t="str">
        <f>IFERROR(__xludf.DUMMYFUNCTION("""COMPUTED_VALUE"""),"dodongpatidongan79@gmail.com")</f>
        <v>dodongpatidongan79@gmail.com</v>
      </c>
      <c r="L1979" s="1" t="str">
        <f>IFERROR(__xludf.DUMMYFUNCTION("""COMPUTED_VALUE"""),"BLK 9 LOT 16")</f>
        <v>BLK 9 LOT 16</v>
      </c>
      <c r="M1979" s="1" t="str">
        <f>IFERROR(__xludf.DUMMYFUNCTION("""COMPUTED_VALUE"""),"CHICAGO ")</f>
        <v>CHICAGO </v>
      </c>
      <c r="N1979" s="1" t="str">
        <f>IFERROR(__xludf.DUMMYFUNCTION("""COMPUTED_VALUE"""),"SAN MARINO")</f>
        <v>SAN MARINO</v>
      </c>
      <c r="O1979" s="1" t="str">
        <f>IFERROR(__xludf.DUMMYFUNCTION("""COMPUTED_VALUE"""),"SALAWAG")</f>
        <v>SALAWAG</v>
      </c>
      <c r="P1979" s="1" t="str">
        <f>IFERROR(__xludf.DUMMYFUNCTION("""COMPUTED_VALUE"""),"DASMARINAS")</f>
        <v>DASMARINAS</v>
      </c>
      <c r="Q1979" s="1" t="str">
        <f>IFERROR(__xludf.DUMMYFUNCTION("""COMPUTED_VALUE"""),"CAVITE")</f>
        <v>CAVITE</v>
      </c>
      <c r="R1979" s="1" t="str">
        <f>IFERROR(__xludf.DUMMYFUNCTION("""COMPUTED_VALUE"""),"FIBR PLAN 1299")</f>
        <v>FIBR PLAN 1299</v>
      </c>
      <c r="S1979" s="1" t="str">
        <f>IFERROR(__xludf.DUMMYFUNCTION("""COMPUTED_VALUE"""),"APPROVED")</f>
        <v>APPROVED</v>
      </c>
      <c r="T1979" s="1" t="str">
        <f>IFERROR(__xludf.DUMMYFUNCTION("""COMPUTED_VALUE"""),"#N/A")</f>
        <v>#N/A</v>
      </c>
      <c r="U1979" s="1" t="str">
        <f>IFERROR(__xludf.DUMMYFUNCTION("""COMPUTED_VALUE"""),"POSTED")</f>
        <v>POSTED</v>
      </c>
      <c r="V1979" s="1"/>
      <c r="W1979" s="1"/>
    </row>
    <row r="1980" customHeight="1" spans="1:23">
      <c r="A1980" s="3">
        <f>IFERROR(__xludf.DUMMYFUNCTION("""COMPUTED_VALUE"""),46177)</f>
        <v>46177</v>
      </c>
      <c r="B1980" s="1" t="str">
        <f>IFERROR(__xludf.DUMMYFUNCTION("""COMPUTED_VALUE"""),"AYON MANUEL")</f>
        <v>AYON MANUEL</v>
      </c>
      <c r="C1980" s="1" t="str">
        <f>IFERROR(__xludf.DUMMYFUNCTION("""COMPUTED_VALUE"""),"FLA")</f>
        <v>FLA</v>
      </c>
      <c r="D1980" s="1" t="str">
        <f>IFERROR(__xludf.DUMMYFUNCTION("""COMPUTED_VALUE"""),"JERIC NAVARRO")</f>
        <v>JERIC NAVARRO</v>
      </c>
      <c r="E1980" s="1" t="str">
        <f>IFERROR(__xludf.DUMMYFUNCTION("""COMPUTED_VALUE"""),"PLDT / H2H")</f>
        <v>PLDT / H2H</v>
      </c>
      <c r="F1980" s="1">
        <f>IFERROR(__xludf.DUMMYFUNCTION("""COMPUTED_VALUE"""),2309929497)</f>
        <v>2309929497</v>
      </c>
      <c r="G1980" s="1"/>
      <c r="H1980" s="1" t="str">
        <f>IFERROR(__xludf.DUMMYFUNCTION("""COMPUTED_VALUE"""),"ARCELE BEJASA ALVIAR")</f>
        <v>ARCELE BEJASA ALVIAR</v>
      </c>
      <c r="I1980" s="1">
        <f>IFERROR(__xludf.DUMMYFUNCTION("""COMPUTED_VALUE"""),9356431429)</f>
        <v>9356431429</v>
      </c>
      <c r="J1980" s="1">
        <f>IFERROR(__xludf.DUMMYFUNCTION("""COMPUTED_VALUE"""),9506309613)</f>
        <v>9506309613</v>
      </c>
      <c r="K1980" s="1" t="str">
        <f>IFERROR(__xludf.DUMMYFUNCTION("""COMPUTED_VALUE"""),"arcele.bejasa.alviar@gmail.com")</f>
        <v>arcele.bejasa.alviar@gmail.com</v>
      </c>
      <c r="L1980" s="1" t="str">
        <f>IFERROR(__xludf.DUMMYFUNCTION("""COMPUTED_VALUE"""),"LOT 11213 A")</f>
        <v>LOT 11213 A</v>
      </c>
      <c r="M1980" s="1" t="str">
        <f>IFERROR(__xludf.DUMMYFUNCTION("""COMPUTED_VALUE"""),"ENRILE ")</f>
        <v>ENRILE </v>
      </c>
      <c r="N1980" s="1"/>
      <c r="O1980" s="1" t="str">
        <f>IFERROR(__xludf.DUMMYFUNCTION("""COMPUTED_VALUE"""),"PATUTONG MALAKI SOUTH")</f>
        <v>PATUTONG MALAKI SOUTH</v>
      </c>
      <c r="P1980" s="1" t="str">
        <f>IFERROR(__xludf.DUMMYFUNCTION("""COMPUTED_VALUE"""),"TAGAYTAY")</f>
        <v>TAGAYTAY</v>
      </c>
      <c r="Q1980" s="1" t="str">
        <f>IFERROR(__xludf.DUMMYFUNCTION("""COMPUTED_VALUE"""),"CAVITE")</f>
        <v>CAVITE</v>
      </c>
      <c r="R1980" s="1" t="str">
        <f>IFERROR(__xludf.DUMMYFUNCTION("""COMPUTED_VALUE"""),"FIBR UNLI ALL PLAN 999")</f>
        <v>FIBR UNLI ALL PLAN 999</v>
      </c>
      <c r="S1980" s="1" t="str">
        <f>IFERROR(__xludf.DUMMYFUNCTION("""COMPUTED_VALUE"""),"APPROVED")</f>
        <v>APPROVED</v>
      </c>
      <c r="T1980" s="1" t="str">
        <f>IFERROR(__xludf.DUMMYFUNCTION("""COMPUTED_VALUE"""),"#N/A")</f>
        <v>#N/A</v>
      </c>
      <c r="U1980" s="1"/>
      <c r="V1980" s="1"/>
      <c r="W1980" s="1"/>
    </row>
    <row r="1981" customHeight="1" spans="1:23">
      <c r="A1981" s="3">
        <f>IFERROR(__xludf.DUMMYFUNCTION("""COMPUTED_VALUE"""),46177)</f>
        <v>46177</v>
      </c>
      <c r="B1981" s="1" t="str">
        <f>IFERROR(__xludf.DUMMYFUNCTION("""COMPUTED_VALUE"""),"CASTILLEJOS, ARREL")</f>
        <v>CASTILLEJOS, ARREL</v>
      </c>
      <c r="C1981" s="1" t="str">
        <f>IFERROR(__xludf.DUMMYFUNCTION("""COMPUTED_VALUE"""),"ORGANIC")</f>
        <v>ORGANIC</v>
      </c>
      <c r="D1981" s="1" t="str">
        <f>IFERROR(__xludf.DUMMYFUNCTION("""COMPUTED_VALUE"""),"REMOLLO LEA")</f>
        <v>REMOLLO LEA</v>
      </c>
      <c r="E1981" s="1" t="str">
        <f>IFERROR(__xludf.DUMMYFUNCTION("""COMPUTED_VALUE"""),"PLDT / H2H")</f>
        <v>PLDT / H2H</v>
      </c>
      <c r="F1981" s="1">
        <f>IFERROR(__xludf.DUMMYFUNCTION("""COMPUTED_VALUE"""),2309931957)</f>
        <v>2309931957</v>
      </c>
      <c r="G1981" s="1"/>
      <c r="H1981" s="1" t="str">
        <f>IFERROR(__xludf.DUMMYFUNCTION("""COMPUTED_VALUE"""),"FLOREMIE REYLA CABRESIS")</f>
        <v>FLOREMIE REYLA CABRESIS</v>
      </c>
      <c r="I1981" s="1">
        <f>IFERROR(__xludf.DUMMYFUNCTION("""COMPUTED_VALUE"""),9481135849)</f>
        <v>9481135849</v>
      </c>
      <c r="J1981" s="1">
        <f>IFERROR(__xludf.DUMMYFUNCTION("""COMPUTED_VALUE"""),9667707140)</f>
        <v>9667707140</v>
      </c>
      <c r="K1981" s="1" t="str">
        <f>IFERROR(__xludf.DUMMYFUNCTION("""COMPUTED_VALUE"""),"jayflorcabresis@gmail.com")</f>
        <v>jayflorcabresis@gmail.com</v>
      </c>
      <c r="L1981" s="1" t="str">
        <f>IFERROR(__xludf.DUMMYFUNCTION("""COMPUTED_VALUE"""),"931 e")</f>
        <v>931 e</v>
      </c>
      <c r="M1981" s="1" t="str">
        <f>IFERROR(__xludf.DUMMYFUNCTION("""COMPUTED_VALUE"""),"LLAMADO ")</f>
        <v>LLAMADO </v>
      </c>
      <c r="N1981" s="1"/>
      <c r="O1981" s="1" t="str">
        <f>IFERROR(__xludf.DUMMYFUNCTION("""COMPUTED_VALUE"""),"ASIS III")</f>
        <v>ASIS III</v>
      </c>
      <c r="P1981" s="1" t="str">
        <f>IFERROR(__xludf.DUMMYFUNCTION("""COMPUTED_VALUE"""),"MENDEZ")</f>
        <v>MENDEZ</v>
      </c>
      <c r="Q1981" s="1" t="str">
        <f>IFERROR(__xludf.DUMMYFUNCTION("""COMPUTED_VALUE"""),"CAVITE")</f>
        <v>CAVITE</v>
      </c>
      <c r="R1981" s="1" t="str">
        <f>IFERROR(__xludf.DUMMYFUNCTION("""COMPUTED_VALUE"""),"FIBR UNLI ALL PLAN 999")</f>
        <v>FIBR UNLI ALL PLAN 999</v>
      </c>
      <c r="S1981" s="1" t="str">
        <f>IFERROR(__xludf.DUMMYFUNCTION("""COMPUTED_VALUE"""),"APPROVED")</f>
        <v>APPROVED</v>
      </c>
      <c r="T1981" s="1" t="str">
        <f>IFERROR(__xludf.DUMMYFUNCTION("""COMPUTED_VALUE"""),"#N/A")</f>
        <v>#N/A</v>
      </c>
      <c r="U1981" s="1" t="str">
        <f>IFERROR(__xludf.DUMMYFUNCTION("""COMPUTED_VALUE"""),"PAID VIA GCASH")</f>
        <v>PAID VIA GCASH</v>
      </c>
      <c r="V1981" s="1"/>
      <c r="W1981" s="1"/>
    </row>
    <row r="1982" customHeight="1" spans="1:23">
      <c r="A1982" s="3">
        <f>IFERROR(__xludf.DUMMYFUNCTION("""COMPUTED_VALUE"""),46177)</f>
        <v>46177</v>
      </c>
      <c r="B1982" s="1" t="str">
        <f>IFERROR(__xludf.DUMMYFUNCTION("""COMPUTED_VALUE"""),"ESCARCHA, MA ALMA  ESCOTO")</f>
        <v>ESCARCHA, MA ALMA  ESCOTO</v>
      </c>
      <c r="C1982" s="1" t="str">
        <f>IFERROR(__xludf.DUMMYFUNCTION("""COMPUTED_VALUE"""),"ORGANIC")</f>
        <v>ORGANIC</v>
      </c>
      <c r="D1982" s="1" t="str">
        <f>IFERROR(__xludf.DUMMYFUNCTION("""COMPUTED_VALUE"""),"REMOLLO LEA")</f>
        <v>REMOLLO LEA</v>
      </c>
      <c r="E1982" s="1" t="str">
        <f>IFERROR(__xludf.DUMMYFUNCTION("""COMPUTED_VALUE"""),"PLDT / H2H")</f>
        <v>PLDT / H2H</v>
      </c>
      <c r="F1982" s="1">
        <f>IFERROR(__xludf.DUMMYFUNCTION("""COMPUTED_VALUE"""),2309934776)</f>
        <v>2309934776</v>
      </c>
      <c r="G1982" s="1"/>
      <c r="H1982" s="1" t="str">
        <f>IFERROR(__xludf.DUMMYFUNCTION("""COMPUTED_VALUE"""),"CRISTINA BELBEZ NOVICIO")</f>
        <v>CRISTINA BELBEZ NOVICIO</v>
      </c>
      <c r="I1982" s="1">
        <f>IFERROR(__xludf.DUMMYFUNCTION("""COMPUTED_VALUE"""),9084092870)</f>
        <v>9084092870</v>
      </c>
      <c r="J1982" s="1"/>
      <c r="K1982" s="1" t="str">
        <f>IFERROR(__xludf.DUMMYFUNCTION("""COMPUTED_VALUE"""),"francisconaovicio@gmail.com")</f>
        <v>francisconaovicio@gmail.com</v>
      </c>
      <c r="L1982" s="1" t="str">
        <f>IFERROR(__xludf.DUMMYFUNCTION("""COMPUTED_VALUE"""),"30b")</f>
        <v>30b</v>
      </c>
      <c r="M1982" s="1" t="str">
        <f>IFERROR(__xludf.DUMMYFUNCTION("""COMPUTED_VALUE"""),"MENDEZ ALFONZO RD")</f>
        <v>MENDEZ ALFONZO RD</v>
      </c>
      <c r="N1982" s="1"/>
      <c r="O1982" s="1" t="str">
        <f>IFERROR(__xludf.DUMMYFUNCTION("""COMPUTED_VALUE"""),"GALICIA II")</f>
        <v>GALICIA II</v>
      </c>
      <c r="P1982" s="1" t="str">
        <f>IFERROR(__xludf.DUMMYFUNCTION("""COMPUTED_VALUE"""),"MENDEZ")</f>
        <v>MENDEZ</v>
      </c>
      <c r="Q1982" s="1" t="str">
        <f>IFERROR(__xludf.DUMMYFUNCTION("""COMPUTED_VALUE"""),"CAVITE")</f>
        <v>CAVITE</v>
      </c>
      <c r="R1982" s="1" t="str">
        <f>IFERROR(__xludf.DUMMYFUNCTION("""COMPUTED_VALUE"""),"FIBR UNLI ALL PLAN 999")</f>
        <v>FIBR UNLI ALL PLAN 999</v>
      </c>
      <c r="S1982" s="1" t="str">
        <f>IFERROR(__xludf.DUMMYFUNCTION("""COMPUTED_VALUE"""),"APPROVED")</f>
        <v>APPROVED</v>
      </c>
      <c r="T1982" s="1" t="str">
        <f>IFERROR(__xludf.DUMMYFUNCTION("""COMPUTED_VALUE"""),"#N/A")</f>
        <v>#N/A</v>
      </c>
      <c r="U1982" s="1" t="str">
        <f>IFERROR(__xludf.DUMMYFUNCTION("""COMPUTED_VALUE"""),"POSTED")</f>
        <v>POSTED</v>
      </c>
      <c r="V1982" s="1"/>
      <c r="W1982" s="1"/>
    </row>
    <row r="1983" customHeight="1" spans="1:23">
      <c r="A1983" s="3">
        <f>IFERROR(__xludf.DUMMYFUNCTION("""COMPUTED_VALUE"""),46177)</f>
        <v>46177</v>
      </c>
      <c r="B1983" s="1" t="str">
        <f>IFERROR(__xludf.DUMMYFUNCTION("""COMPUTED_VALUE"""),"MALIWAT MARK ELVIN")</f>
        <v>MALIWAT MARK ELVIN</v>
      </c>
      <c r="C1983" s="1" t="str">
        <f>IFERROR(__xludf.DUMMYFUNCTION("""COMPUTED_VALUE"""),"FLA")</f>
        <v>FLA</v>
      </c>
      <c r="D1983" s="1" t="str">
        <f>IFERROR(__xludf.DUMMYFUNCTION("""COMPUTED_VALUE"""),"JERIC NAVARRO")</f>
        <v>JERIC NAVARRO</v>
      </c>
      <c r="E1983" s="1" t="str">
        <f>IFERROR(__xludf.DUMMYFUNCTION("""COMPUTED_VALUE"""),"PLDT / ONLINE")</f>
        <v>PLDT / ONLINE</v>
      </c>
      <c r="F1983" s="1">
        <f>IFERROR(__xludf.DUMMYFUNCTION("""COMPUTED_VALUE"""),2309933840)</f>
        <v>2309933840</v>
      </c>
      <c r="G1983" s="1"/>
      <c r="H1983" s="1" t="str">
        <f>IFERROR(__xludf.DUMMYFUNCTION("""COMPUTED_VALUE"""),"ELYSA MARIE DE GUZMAN ALBERTO")</f>
        <v>ELYSA MARIE DE GUZMAN ALBERTO</v>
      </c>
      <c r="I1983" s="1">
        <f>IFERROR(__xludf.DUMMYFUNCTION("""COMPUTED_VALUE"""),9459636461)</f>
        <v>9459636461</v>
      </c>
      <c r="J1983" s="1">
        <f>IFERROR(__xludf.DUMMYFUNCTION("""COMPUTED_VALUE"""),9267312569)</f>
        <v>9267312569</v>
      </c>
      <c r="K1983" s="1" t="str">
        <f>IFERROR(__xludf.DUMMYFUNCTION("""COMPUTED_VALUE"""),"albertoelysamarie@gmail.com")</f>
        <v>albertoelysamarie@gmail.com</v>
      </c>
      <c r="L1983" s="1" t="str">
        <f>IFERROR(__xludf.DUMMYFUNCTION("""COMPUTED_VALUE"""),"790")</f>
        <v>790</v>
      </c>
      <c r="M1983" s="1" t="str">
        <f>IFERROR(__xludf.DUMMYFUNCTION("""COMPUTED_VALUE"""),"SAN JUAN")</f>
        <v>SAN JUAN</v>
      </c>
      <c r="N1983" s="1"/>
      <c r="O1983" s="1" t="str">
        <f>IFERROR(__xludf.DUMMYFUNCTION("""COMPUTED_VALUE"""),"SAN JUAN I")</f>
        <v>SAN JUAN I</v>
      </c>
      <c r="P1983" s="1" t="str">
        <f>IFERROR(__xludf.DUMMYFUNCTION("""COMPUTED_VALUE"""),"NOVELETA")</f>
        <v>NOVELETA</v>
      </c>
      <c r="Q1983" s="1" t="str">
        <f>IFERROR(__xludf.DUMMYFUNCTION("""COMPUTED_VALUE"""),"CAVITE")</f>
        <v>CAVITE</v>
      </c>
      <c r="R1983" s="1" t="str">
        <f>IFERROR(__xludf.DUMMYFUNCTION("""COMPUTED_VALUE"""),"SWITCH FIBER UNLI ALL 1299")</f>
        <v>SWITCH FIBER UNLI ALL 1299</v>
      </c>
      <c r="S1983" s="1" t="str">
        <f>IFERROR(__xludf.DUMMYFUNCTION("""COMPUTED_VALUE"""),"APPROVED")</f>
        <v>APPROVED</v>
      </c>
      <c r="T1983" s="1" t="str">
        <f>IFERROR(__xludf.DUMMYFUNCTION("""COMPUTED_VALUE"""),"#N/A")</f>
        <v>#N/A</v>
      </c>
      <c r="U1983" s="1" t="str">
        <f>IFERROR(__xludf.DUMMYFUNCTION("""COMPUTED_VALUE"""),"POSTED")</f>
        <v>POSTED</v>
      </c>
      <c r="V1983" s="1"/>
      <c r="W1983" s="1"/>
    </row>
    <row r="1984" customHeight="1" spans="1:23">
      <c r="A1984" s="3">
        <f>IFERROR(__xludf.DUMMYFUNCTION("""COMPUTED_VALUE"""),46177)</f>
        <v>46177</v>
      </c>
      <c r="B1984" s="1" t="str">
        <f>IFERROR(__xludf.DUMMYFUNCTION("""COMPUTED_VALUE"""),"RIVERA, AIRIZH JOY")</f>
        <v>RIVERA, AIRIZH JOY</v>
      </c>
      <c r="C1984" s="1" t="str">
        <f>IFERROR(__xludf.DUMMYFUNCTION("""COMPUTED_VALUE"""),"ORGANIC")</f>
        <v>ORGANIC</v>
      </c>
      <c r="D1984" s="1" t="str">
        <f>IFERROR(__xludf.DUMMYFUNCTION("""COMPUTED_VALUE"""),"REMOLLO LEA")</f>
        <v>REMOLLO LEA</v>
      </c>
      <c r="E1984" s="1" t="str">
        <f>IFERROR(__xludf.DUMMYFUNCTION("""COMPUTED_VALUE"""),"PLDT / H2H")</f>
        <v>PLDT / H2H</v>
      </c>
      <c r="F1984" s="1">
        <f>IFERROR(__xludf.DUMMYFUNCTION("""COMPUTED_VALUE"""),2309935497)</f>
        <v>2309935497</v>
      </c>
      <c r="G1984" s="1"/>
      <c r="H1984" s="1" t="str">
        <f>IFERROR(__xludf.DUMMYFUNCTION("""COMPUTED_VALUE"""),"ROLLY SUMALING SANTOS")</f>
        <v>ROLLY SUMALING SANTOS</v>
      </c>
      <c r="I1984" s="1">
        <f>IFERROR(__xludf.DUMMYFUNCTION("""COMPUTED_VALUE"""),9202432274)</f>
        <v>9202432274</v>
      </c>
      <c r="J1984" s="1"/>
      <c r="K1984" s="1" t="str">
        <f>IFERROR(__xludf.DUMMYFUNCTION("""COMPUTED_VALUE"""),"rollysantos968@gmail.com")</f>
        <v>rollysantos968@gmail.com</v>
      </c>
      <c r="L1984" s="1" t="str">
        <f>IFERROR(__xludf.DUMMYFUNCTION("""COMPUTED_VALUE"""),"37")</f>
        <v>37</v>
      </c>
      <c r="M1984" s="1" t="str">
        <f>IFERROR(__xludf.DUMMYFUNCTION("""COMPUTED_VALUE"""),"ESPERANZA")</f>
        <v>ESPERANZA</v>
      </c>
      <c r="N1984" s="1"/>
      <c r="O1984" s="1" t="str">
        <f>IFERROR(__xludf.DUMMYFUNCTION("""COMPUTED_VALUE"""),"ESPERANZA ILAYA")</f>
        <v>ESPERANZA ILAYA</v>
      </c>
      <c r="P1984" s="1" t="str">
        <f>IFERROR(__xludf.DUMMYFUNCTION("""COMPUTED_VALUE"""),"ALFONSO")</f>
        <v>ALFONSO</v>
      </c>
      <c r="Q1984" s="1" t="str">
        <f>IFERROR(__xludf.DUMMYFUNCTION("""COMPUTED_VALUE"""),"CAVITE")</f>
        <v>CAVITE</v>
      </c>
      <c r="R1984" s="1" t="str">
        <f>IFERROR(__xludf.DUMMYFUNCTION("""COMPUTED_VALUE"""),"FIBR UNLI ALL PLAN 999")</f>
        <v>FIBR UNLI ALL PLAN 999</v>
      </c>
      <c r="S1984" s="1" t="str">
        <f>IFERROR(__xludf.DUMMYFUNCTION("""COMPUTED_VALUE"""),"APPROVED")</f>
        <v>APPROVED</v>
      </c>
      <c r="T1984" s="1" t="str">
        <f>IFERROR(__xludf.DUMMYFUNCTION("""COMPUTED_VALUE"""),"#N/A")</f>
        <v>#N/A</v>
      </c>
      <c r="U1984" s="1" t="str">
        <f>IFERROR(__xludf.DUMMYFUNCTION("""COMPUTED_VALUE"""),"POSTED")</f>
        <v>POSTED</v>
      </c>
      <c r="V1984" s="1"/>
      <c r="W1984" s="1"/>
    </row>
    <row r="1985" customHeight="1" spans="1:23">
      <c r="A1985" s="3">
        <f>IFERROR(__xludf.DUMMYFUNCTION("""COMPUTED_VALUE"""),46177)</f>
        <v>46177</v>
      </c>
      <c r="B1985" s="1" t="str">
        <f>IFERROR(__xludf.DUMMYFUNCTION("""COMPUTED_VALUE"""),"CASTILLEJOS, ARREL")</f>
        <v>CASTILLEJOS, ARREL</v>
      </c>
      <c r="C1985" s="1" t="str">
        <f>IFERROR(__xludf.DUMMYFUNCTION("""COMPUTED_VALUE"""),"ORGANIC")</f>
        <v>ORGANIC</v>
      </c>
      <c r="D1985" s="1" t="str">
        <f>IFERROR(__xludf.DUMMYFUNCTION("""COMPUTED_VALUE"""),"REMOLLO LEA")</f>
        <v>REMOLLO LEA</v>
      </c>
      <c r="E1985" s="1" t="str">
        <f>IFERROR(__xludf.DUMMYFUNCTION("""COMPUTED_VALUE"""),"RED FIBER")</f>
        <v>RED FIBER</v>
      </c>
      <c r="F1985" s="1"/>
      <c r="G1985" s="1"/>
      <c r="H1985" s="1" t="str">
        <f>IFERROR(__xludf.DUMMYFUNCTION("""COMPUTED_VALUE"""),"EVELYN PEREY BAURON")</f>
        <v>EVELYN PEREY BAURON</v>
      </c>
      <c r="I1985" s="1">
        <f>IFERROR(__xludf.DUMMYFUNCTION("""COMPUTED_VALUE"""),9203229277)</f>
        <v>9203229277</v>
      </c>
      <c r="J1985" s="1">
        <f>IFERROR(__xludf.DUMMYFUNCTION("""COMPUTED_VALUE"""),9156415511)</f>
        <v>9156415511</v>
      </c>
      <c r="K1985" s="1" t="str">
        <f>IFERROR(__xludf.DUMMYFUNCTION("""COMPUTED_VALUE"""),"evelynburon2121@gmail.com")</f>
        <v>evelynburon2121@gmail.com</v>
      </c>
      <c r="L1985" s="1" t="str">
        <f>IFERROR(__xludf.DUMMYFUNCTION("""COMPUTED_VALUE"""),"51")</f>
        <v>51</v>
      </c>
      <c r="M1985" s="1" t="str">
        <f>IFERROR(__xludf.DUMMYFUNCTION("""COMPUTED_VALUE"""),"PEREY ")</f>
        <v>PEREY </v>
      </c>
      <c r="N1985" s="1"/>
      <c r="O1985" s="1" t="str">
        <f>IFERROR(__xludf.DUMMYFUNCTION("""COMPUTED_VALUE"""),"POBLACION VI (BARANGAY VI)")</f>
        <v>POBLACION VI (BARANGAY VI)</v>
      </c>
      <c r="P1985" s="1" t="str">
        <f>IFERROR(__xludf.DUMMYFUNCTION("""COMPUTED_VALUE"""),"MENDEZ")</f>
        <v>MENDEZ</v>
      </c>
      <c r="Q1985" s="1" t="str">
        <f>IFERROR(__xludf.DUMMYFUNCTION("""COMPUTED_VALUE"""),"CAVITE")</f>
        <v>CAVITE</v>
      </c>
      <c r="R1985" s="1" t="str">
        <f>IFERROR(__xludf.DUMMYFUNCTION("""COMPUTED_VALUE"""),"RED PLAN 1000")</f>
        <v>RED PLAN 1000</v>
      </c>
      <c r="S1985" s="1" t="str">
        <f>IFERROR(__xludf.DUMMYFUNCTION("""COMPUTED_VALUE"""),"APPROVED")</f>
        <v>APPROVED</v>
      </c>
      <c r="T1985" s="1" t="str">
        <f>IFERROR(__xludf.DUMMYFUNCTION("""COMPUTED_VALUE"""),"PAID")</f>
        <v>PAID</v>
      </c>
      <c r="U1985" s="1" t="str">
        <f>IFERROR(__xludf.DUMMYFUNCTION("""COMPUTED_VALUE"""),"POSTED")</f>
        <v>POSTED</v>
      </c>
      <c r="V1985" s="1"/>
      <c r="W1985" s="1"/>
    </row>
    <row r="1986" customHeight="1" spans="1:23">
      <c r="A1986" s="3">
        <f>IFERROR(__xludf.DUMMYFUNCTION("""COMPUTED_VALUE"""),46177)</f>
        <v>46177</v>
      </c>
      <c r="B1986" s="1" t="str">
        <f>IFERROR(__xludf.DUMMYFUNCTION("""COMPUTED_VALUE"""),"AGUNOS, JHON AIRVIN")</f>
        <v>AGUNOS, JHON AIRVIN</v>
      </c>
      <c r="C1986" s="1" t="str">
        <f>IFERROR(__xludf.DUMMYFUNCTION("""COMPUTED_VALUE"""),"ORGANIC")</f>
        <v>ORGANIC</v>
      </c>
      <c r="D1986" s="1" t="str">
        <f>IFERROR(__xludf.DUMMYFUNCTION("""COMPUTED_VALUE"""),"REMOLLO LEA")</f>
        <v>REMOLLO LEA</v>
      </c>
      <c r="E1986" s="1" t="str">
        <f>IFERROR(__xludf.DUMMYFUNCTION("""COMPUTED_VALUE"""),"PLDT / H2H")</f>
        <v>PLDT / H2H</v>
      </c>
      <c r="F1986" s="1">
        <f>IFERROR(__xludf.DUMMYFUNCTION("""COMPUTED_VALUE"""),2309935900)</f>
        <v>2309935900</v>
      </c>
      <c r="G1986" s="1"/>
      <c r="H1986" s="1" t="str">
        <f>IFERROR(__xludf.DUMMYFUNCTION("""COMPUTED_VALUE"""),"MILAGROSA TRINIDAD LACORTE")</f>
        <v>MILAGROSA TRINIDAD LACORTE</v>
      </c>
      <c r="I1986" s="1">
        <f>IFERROR(__xludf.DUMMYFUNCTION("""COMPUTED_VALUE"""),9397715439)</f>
        <v>9397715439</v>
      </c>
      <c r="J1986" s="1"/>
      <c r="K1986" s="1" t="str">
        <f>IFERROR(__xludf.DUMMYFUNCTION("""COMPUTED_VALUE"""),"leyzillacorte@gmail.com")</f>
        <v>leyzillacorte@gmail.com</v>
      </c>
      <c r="L1986" s="1" t="str">
        <f>IFERROR(__xludf.DUMMYFUNCTION("""COMPUTED_VALUE"""),"526")</f>
        <v>526</v>
      </c>
      <c r="M1986" s="1" t="str">
        <f>IFERROR(__xludf.DUMMYFUNCTION("""COMPUTED_VALUE"""),"ALFONSO RD")</f>
        <v>ALFONSO RD</v>
      </c>
      <c r="N1986" s="1"/>
      <c r="O1986" s="1" t="str">
        <f>IFERROR(__xludf.DUMMYFUNCTION("""COMPUTED_VALUE"""),"PANUNGYAN I")</f>
        <v>PANUNGYAN I</v>
      </c>
      <c r="P1986" s="1" t="str">
        <f>IFERROR(__xludf.DUMMYFUNCTION("""COMPUTED_VALUE"""),"MENDEZ")</f>
        <v>MENDEZ</v>
      </c>
      <c r="Q1986" s="1" t="str">
        <f>IFERROR(__xludf.DUMMYFUNCTION("""COMPUTED_VALUE"""),"CAVITE")</f>
        <v>CAVITE</v>
      </c>
      <c r="R1986" s="1" t="str">
        <f>IFERROR(__xludf.DUMMYFUNCTION("""COMPUTED_VALUE"""),"FIBR UNLI ALL PLAN 1399")</f>
        <v>FIBR UNLI ALL PLAN 1399</v>
      </c>
      <c r="S1986" s="1" t="str">
        <f>IFERROR(__xludf.DUMMYFUNCTION("""COMPUTED_VALUE"""),"APPROVED")</f>
        <v>APPROVED</v>
      </c>
      <c r="T1986" s="1" t="str">
        <f>IFERROR(__xludf.DUMMYFUNCTION("""COMPUTED_VALUE"""),"#N/A")</f>
        <v>#N/A</v>
      </c>
      <c r="U1986" s="1" t="str">
        <f>IFERROR(__xludf.DUMMYFUNCTION("""COMPUTED_VALUE"""),"POSTED")</f>
        <v>POSTED</v>
      </c>
      <c r="V1986" s="1"/>
      <c r="W1986" s="1"/>
    </row>
    <row r="1987" customHeight="1" spans="1:23">
      <c r="A1987" s="3">
        <f>IFERROR(__xludf.DUMMYFUNCTION("""COMPUTED_VALUE"""),46178)</f>
        <v>46178</v>
      </c>
      <c r="B1987" s="1" t="str">
        <f>IFERROR(__xludf.DUMMYFUNCTION("""COMPUTED_VALUE"""),"REMOLLO, LEA")</f>
        <v>REMOLLO, LEA</v>
      </c>
      <c r="C1987" s="1" t="str">
        <f>IFERROR(__xludf.DUMMYFUNCTION("""COMPUTED_VALUE"""),"FLA")</f>
        <v>FLA</v>
      </c>
      <c r="D1987" s="1" t="str">
        <f>IFERROR(__xludf.DUMMYFUNCTION("""COMPUTED_VALUE"""),"JERIC NAVARRO")</f>
        <v>JERIC NAVARRO</v>
      </c>
      <c r="E1987" s="1" t="str">
        <f>IFERROR(__xludf.DUMMYFUNCTION("""COMPUTED_VALUE"""),"PLDT / H2H")</f>
        <v>PLDT / H2H</v>
      </c>
      <c r="F1987" s="1">
        <f>IFERROR(__xludf.DUMMYFUNCTION("""COMPUTED_VALUE"""),2309953323)</f>
        <v>2309953323</v>
      </c>
      <c r="G1987" s="1"/>
      <c r="H1987" s="1" t="str">
        <f>IFERROR(__xludf.DUMMYFUNCTION("""COMPUTED_VALUE"""),"CYRILL BARTOLATA PORTAL")</f>
        <v>CYRILL BARTOLATA PORTAL</v>
      </c>
      <c r="I1987" s="1">
        <f>IFERROR(__xludf.DUMMYFUNCTION("""COMPUTED_VALUE"""),9525976802)</f>
        <v>9525976802</v>
      </c>
      <c r="J1987" s="1">
        <f>IFERROR(__xludf.DUMMYFUNCTION("""COMPUTED_VALUE"""),9465369078)</f>
        <v>9465369078</v>
      </c>
      <c r="K1987" s="1" t="str">
        <f>IFERROR(__xludf.DUMMYFUNCTION("""COMPUTED_VALUE"""),"jayarsampa@gmail.com")</f>
        <v>jayarsampa@gmail.com</v>
      </c>
      <c r="L1987" s="1" t="str">
        <f>IFERROR(__xludf.DUMMYFUNCTION("""COMPUTED_VALUE"""),"9987")</f>
        <v>9987</v>
      </c>
      <c r="M1987" s="1" t="str">
        <f>IFERROR(__xludf.DUMMYFUNCTION("""COMPUTED_VALUE"""),"STA ROSA PUROK 1")</f>
        <v>STA ROSA PUROK 1</v>
      </c>
      <c r="N1987" s="1"/>
      <c r="O1987" s="1" t="str">
        <f>IFERROR(__xludf.DUMMYFUNCTION("""COMPUTED_VALUE"""),"PUTING KAHOY")</f>
        <v>PUTING KAHOY</v>
      </c>
      <c r="P1987" s="1" t="str">
        <f>IFERROR(__xludf.DUMMYFUNCTION("""COMPUTED_VALUE"""),"SILANG")</f>
        <v>SILANG</v>
      </c>
      <c r="Q1987" s="1" t="str">
        <f>IFERROR(__xludf.DUMMYFUNCTION("""COMPUTED_VALUE"""),"CAVITE")</f>
        <v>CAVITE</v>
      </c>
      <c r="R1987" s="1" t="str">
        <f>IFERROR(__xludf.DUMMYFUNCTION("""COMPUTED_VALUE"""),"FIBR NETFLIX PLAN 1599")</f>
        <v>FIBR NETFLIX PLAN 1599</v>
      </c>
      <c r="S1987" s="1" t="str">
        <f>IFERROR(__xludf.DUMMYFUNCTION("""COMPUTED_VALUE"""),"APPROVED")</f>
        <v>APPROVED</v>
      </c>
      <c r="T1987" s="1" t="str">
        <f>IFERROR(__xludf.DUMMYFUNCTION("""COMPUTED_VALUE"""),"#N/A")</f>
        <v>#N/A</v>
      </c>
      <c r="U1987" s="1" t="str">
        <f>IFERROR(__xludf.DUMMYFUNCTION("""COMPUTED_VALUE"""),"POSTED")</f>
        <v>POSTED</v>
      </c>
      <c r="V1987" s="1"/>
      <c r="W1987" s="1"/>
    </row>
    <row r="1988" customHeight="1" spans="1:23">
      <c r="A1988" s="3">
        <f>IFERROR(__xludf.DUMMYFUNCTION("""COMPUTED_VALUE"""),46178)</f>
        <v>46178</v>
      </c>
      <c r="B1988" s="1" t="str">
        <f>IFERROR(__xludf.DUMMYFUNCTION("""COMPUTED_VALUE"""),"RIVERA, AIRIZH JOY")</f>
        <v>RIVERA, AIRIZH JOY</v>
      </c>
      <c r="C1988" s="1" t="str">
        <f>IFERROR(__xludf.DUMMYFUNCTION("""COMPUTED_VALUE"""),"ORGANIC")</f>
        <v>ORGANIC</v>
      </c>
      <c r="D1988" s="1" t="str">
        <f>IFERROR(__xludf.DUMMYFUNCTION("""COMPUTED_VALUE"""),"REMOLLO LEA")</f>
        <v>REMOLLO LEA</v>
      </c>
      <c r="E1988" s="1" t="str">
        <f>IFERROR(__xludf.DUMMYFUNCTION("""COMPUTED_VALUE"""),"RED FIBER")</f>
        <v>RED FIBER</v>
      </c>
      <c r="F1988" s="1"/>
      <c r="G1988" s="1"/>
      <c r="H1988" s="1" t="str">
        <f>IFERROR(__xludf.DUMMYFUNCTION("""COMPUTED_VALUE"""),"MA CHRISTINA CARONAN LEPARDO")</f>
        <v>MA CHRISTINA CARONAN LEPARDO</v>
      </c>
      <c r="I1988" s="1">
        <f>IFERROR(__xludf.DUMMYFUNCTION("""COMPUTED_VALUE"""),9972309378)</f>
        <v>9972309378</v>
      </c>
      <c r="J1988" s="1">
        <f>IFERROR(__xludf.DUMMYFUNCTION("""COMPUTED_VALUE"""),9397196683)</f>
        <v>9397196683</v>
      </c>
      <c r="K1988" s="1" t="str">
        <f>IFERROR(__xludf.DUMMYFUNCTION("""COMPUTED_VALUE"""),"carona070589@gmail.com")</f>
        <v>carona070589@gmail.com</v>
      </c>
      <c r="L1988" s="1" t="str">
        <f>IFERROR(__xludf.DUMMYFUNCTION("""COMPUTED_VALUE"""),"396")</f>
        <v>396</v>
      </c>
      <c r="M1988" s="1" t="str">
        <f>IFERROR(__xludf.DUMMYFUNCTION("""COMPUTED_VALUE"""),"LLAMADO ")</f>
        <v>LLAMADO </v>
      </c>
      <c r="N1988" s="1"/>
      <c r="O1988" s="1" t="str">
        <f>IFERROR(__xludf.DUMMYFUNCTION("""COMPUTED_VALUE"""),"BARANGAY VII (POB.)")</f>
        <v>BARANGAY VII (POB.)</v>
      </c>
      <c r="P1988" s="1" t="str">
        <f>IFERROR(__xludf.DUMMYFUNCTION("""COMPUTED_VALUE"""),"MENDEZ")</f>
        <v>MENDEZ</v>
      </c>
      <c r="Q1988" s="1" t="str">
        <f>IFERROR(__xludf.DUMMYFUNCTION("""COMPUTED_VALUE"""),"CAVITE")</f>
        <v>CAVITE</v>
      </c>
      <c r="R1988" s="1" t="str">
        <f>IFERROR(__xludf.DUMMYFUNCTION("""COMPUTED_VALUE"""),"RED PLAN 1000")</f>
        <v>RED PLAN 1000</v>
      </c>
      <c r="S1988" s="1" t="str">
        <f>IFERROR(__xludf.DUMMYFUNCTION("""COMPUTED_VALUE"""),"APPROVED")</f>
        <v>APPROVED</v>
      </c>
      <c r="T1988" s="1" t="str">
        <f>IFERROR(__xludf.DUMMYFUNCTION("""COMPUTED_VALUE"""),"PAID")</f>
        <v>PAID</v>
      </c>
      <c r="U1988" s="1" t="str">
        <f>IFERROR(__xludf.DUMMYFUNCTION("""COMPUTED_VALUE"""),"POSTED")</f>
        <v>POSTED</v>
      </c>
      <c r="V1988" s="1"/>
      <c r="W1988" s="1"/>
    </row>
    <row r="1989" customHeight="1" spans="1:23">
      <c r="A1989" s="3">
        <f>IFERROR(__xludf.DUMMYFUNCTION("""COMPUTED_VALUE"""),46178)</f>
        <v>46178</v>
      </c>
      <c r="B1989" s="1" t="str">
        <f>IFERROR(__xludf.DUMMYFUNCTION("""COMPUTED_VALUE"""),"MALIWAT MARK ELVIN")</f>
        <v>MALIWAT MARK ELVIN</v>
      </c>
      <c r="C1989" s="1" t="str">
        <f>IFERROR(__xludf.DUMMYFUNCTION("""COMPUTED_VALUE"""),"FLA")</f>
        <v>FLA</v>
      </c>
      <c r="D1989" s="1" t="str">
        <f>IFERROR(__xludf.DUMMYFUNCTION("""COMPUTED_VALUE"""),"JERIC NAVARRO")</f>
        <v>JERIC NAVARRO</v>
      </c>
      <c r="E1989" s="1" t="str">
        <f>IFERROR(__xludf.DUMMYFUNCTION("""COMPUTED_VALUE"""),"PLDT / H2H")</f>
        <v>PLDT / H2H</v>
      </c>
      <c r="F1989" s="1">
        <f>IFERROR(__xludf.DUMMYFUNCTION("""COMPUTED_VALUE"""),2309954206)</f>
        <v>2309954206</v>
      </c>
      <c r="G1989" s="1"/>
      <c r="H1989" s="1" t="str">
        <f>IFERROR(__xludf.DUMMYFUNCTION("""COMPUTED_VALUE"""),"JAN LARANEL DABAC CIDRO")</f>
        <v>JAN LARANEL DABAC CIDRO</v>
      </c>
      <c r="I1989" s="1">
        <f>IFERROR(__xludf.DUMMYFUNCTION("""COMPUTED_VALUE"""),9944109966)</f>
        <v>9944109966</v>
      </c>
      <c r="J1989" s="1"/>
      <c r="K1989" s="1" t="str">
        <f>IFERROR(__xludf.DUMMYFUNCTION("""COMPUTED_VALUE"""),"cidrojanlaranel@gmail.com")</f>
        <v>cidrojanlaranel@gmail.com</v>
      </c>
      <c r="L1989" s="1" t="str">
        <f>IFERROR(__xludf.DUMMYFUNCTION("""COMPUTED_VALUE"""),"BLK 2 LOT 65")</f>
        <v>BLK 2 LOT 65</v>
      </c>
      <c r="M1989" s="1" t="str">
        <f>IFERROR(__xludf.DUMMYFUNCTION("""COMPUTED_VALUE"""),"MABUHAY CITY ")</f>
        <v>MABUHAY CITY </v>
      </c>
      <c r="N1989" s="1"/>
      <c r="O1989" s="1" t="str">
        <f>IFERROR(__xludf.DUMMYFUNCTION("""COMPUTED_VALUE"""),"PALIPARAN III")</f>
        <v>PALIPARAN III</v>
      </c>
      <c r="P1989" s="1" t="str">
        <f>IFERROR(__xludf.DUMMYFUNCTION("""COMPUTED_VALUE"""),"DASMARINAS")</f>
        <v>DASMARINAS</v>
      </c>
      <c r="Q1989" s="1" t="str">
        <f>IFERROR(__xludf.DUMMYFUNCTION("""COMPUTED_VALUE"""),"CAVITE")</f>
        <v>CAVITE</v>
      </c>
      <c r="R1989" s="1" t="str">
        <f>IFERROR(__xludf.DUMMYFUNCTION("""COMPUTED_VALUE"""),"PREPAID FIBER UNLI")</f>
        <v>PREPAID FIBER UNLI</v>
      </c>
      <c r="S1989" s="1" t="str">
        <f>IFERROR(__xludf.DUMMYFUNCTION("""COMPUTED_VALUE"""),"APPROVED")</f>
        <v>APPROVED</v>
      </c>
      <c r="T1989" s="1" t="str">
        <f>IFERROR(__xludf.DUMMYFUNCTION("""COMPUTED_VALUE"""),"#N/A")</f>
        <v>#N/A</v>
      </c>
      <c r="U1989" s="1" t="str">
        <f>IFERROR(__xludf.DUMMYFUNCTION("""COMPUTED_VALUE"""),"POSTED")</f>
        <v>POSTED</v>
      </c>
      <c r="V1989" s="1"/>
      <c r="W1989" s="1"/>
    </row>
    <row r="1990" customHeight="1" spans="1:23">
      <c r="A1990" s="3">
        <f>IFERROR(__xludf.DUMMYFUNCTION("""COMPUTED_VALUE"""),46178)</f>
        <v>46178</v>
      </c>
      <c r="B1990" s="1"/>
      <c r="C1990" s="1" t="str">
        <f>IFERROR(__xludf.DUMMYFUNCTION("""COMPUTED_VALUE"""),"FLA")</f>
        <v>FLA</v>
      </c>
      <c r="D1990" s="1" t="str">
        <f>IFERROR(__xludf.DUMMYFUNCTION("""COMPUTED_VALUE"""),"JERIC NAVARRO")</f>
        <v>JERIC NAVARRO</v>
      </c>
      <c r="E1990" s="1" t="str">
        <f>IFERROR(__xludf.DUMMYFUNCTION("""COMPUTED_VALUE"""),"PLDT / H2H")</f>
        <v>PLDT / H2H</v>
      </c>
      <c r="F1990" s="1">
        <f>IFERROR(__xludf.DUMMYFUNCTION("""COMPUTED_VALUE"""),2309956811)</f>
        <v>2309956811</v>
      </c>
      <c r="G1990" s="1"/>
      <c r="H1990" s="1" t="str">
        <f>IFERROR(__xludf.DUMMYFUNCTION("""COMPUTED_VALUE"""),"JOHN CARLO PANLAQUI PORTENTO")</f>
        <v>JOHN CARLO PANLAQUI PORTENTO</v>
      </c>
      <c r="I1990" s="1">
        <f>IFERROR(__xludf.DUMMYFUNCTION("""COMPUTED_VALUE"""),9944469244)</f>
        <v>9944469244</v>
      </c>
      <c r="J1990" s="1">
        <f>IFERROR(__xludf.DUMMYFUNCTION("""COMPUTED_VALUE"""),93935502189)</f>
        <v>93935502189</v>
      </c>
      <c r="K1990" s="1" t="str">
        <f>IFERROR(__xludf.DUMMYFUNCTION("""COMPUTED_VALUE"""),"carlo.portento@yahoo.com")</f>
        <v>carlo.portento@yahoo.com</v>
      </c>
      <c r="L1990" s="1" t="str">
        <f>IFERROR(__xludf.DUMMYFUNCTION("""COMPUTED_VALUE"""),"BLK 9 LOT 6")</f>
        <v>BLK 9 LOT 6</v>
      </c>
      <c r="M1990" s="1" t="str">
        <f>IFERROR(__xludf.DUMMYFUNCTION("""COMPUTED_VALUE"""),"BEECH")</f>
        <v>BEECH</v>
      </c>
      <c r="N1990" s="1" t="str">
        <f>IFERROR(__xludf.DUMMYFUNCTION("""COMPUTED_VALUE"""),"ST JOSEPH RIDGEVIEW")</f>
        <v>ST JOSEPH RIDGEVIEW</v>
      </c>
      <c r="O1990" s="1" t="str">
        <f>IFERROR(__xludf.DUMMYFUNCTION("""COMPUTED_VALUE"""),"PALIPARAN II")</f>
        <v>PALIPARAN II</v>
      </c>
      <c r="P1990" s="1" t="str">
        <f>IFERROR(__xludf.DUMMYFUNCTION("""COMPUTED_VALUE"""),"DASMARINAS")</f>
        <v>DASMARINAS</v>
      </c>
      <c r="Q1990" s="1" t="str">
        <f>IFERROR(__xludf.DUMMYFUNCTION("""COMPUTED_VALUE"""),"CAVITE")</f>
        <v>CAVITE</v>
      </c>
      <c r="R1990" s="1" t="str">
        <f>IFERROR(__xludf.DUMMYFUNCTION("""COMPUTED_VALUE"""),"FIBR UNLI ALL PLAN 2499")</f>
        <v>FIBR UNLI ALL PLAN 2499</v>
      </c>
      <c r="S1990" s="1" t="str">
        <f>IFERROR(__xludf.DUMMYFUNCTION("""COMPUTED_VALUE"""),"APPROVED")</f>
        <v>APPROVED</v>
      </c>
      <c r="T1990" s="1" t="str">
        <f>IFERROR(__xludf.DUMMYFUNCTION("""COMPUTED_VALUE"""),"#N/A")</f>
        <v>#N/A</v>
      </c>
      <c r="U1990" s="1"/>
      <c r="V1990" s="1"/>
      <c r="W1990" s="1"/>
    </row>
    <row r="1991" customHeight="1" spans="1:23">
      <c r="A1991" s="3">
        <f>IFERROR(__xludf.DUMMYFUNCTION("""COMPUTED_VALUE"""),46178)</f>
        <v>46178</v>
      </c>
      <c r="B1991" s="1" t="str">
        <f>IFERROR(__xludf.DUMMYFUNCTION("""COMPUTED_VALUE"""),"AYON MANUEL")</f>
        <v>AYON MANUEL</v>
      </c>
      <c r="C1991" s="1" t="str">
        <f>IFERROR(__xludf.DUMMYFUNCTION("""COMPUTED_VALUE"""),"FLA")</f>
        <v>FLA</v>
      </c>
      <c r="D1991" s="1" t="str">
        <f>IFERROR(__xludf.DUMMYFUNCTION("""COMPUTED_VALUE"""),"JERIC NAVARRO")</f>
        <v>JERIC NAVARRO</v>
      </c>
      <c r="E1991" s="1" t="str">
        <f>IFERROR(__xludf.DUMMYFUNCTION("""COMPUTED_VALUE"""),"PLDT / H2H")</f>
        <v>PLDT / H2H</v>
      </c>
      <c r="F1991" s="1">
        <f>IFERROR(__xludf.DUMMYFUNCTION("""COMPUTED_VALUE"""),2309957732)</f>
        <v>2309957732</v>
      </c>
      <c r="G1991" s="1"/>
      <c r="H1991" s="1" t="str">
        <f>IFERROR(__xludf.DUMMYFUNCTION("""COMPUTED_VALUE"""),"CARROL HERNANDEZ SANTIAGO")</f>
        <v>CARROL HERNANDEZ SANTIAGO</v>
      </c>
      <c r="I1991" s="1">
        <f>IFERROR(__xludf.DUMMYFUNCTION("""COMPUTED_VALUE"""),91787003531)</f>
        <v>91787003531</v>
      </c>
      <c r="J1991" s="1">
        <f>IFERROR(__xludf.DUMMYFUNCTION("""COMPUTED_VALUE"""),9690638458)</f>
        <v>9690638458</v>
      </c>
      <c r="K1991" s="1" t="str">
        <f>IFERROR(__xludf.DUMMYFUNCTION("""COMPUTED_VALUE"""),"carol.s@pbts-tech.com")</f>
        <v>carol.s@pbts-tech.com</v>
      </c>
      <c r="L1991" s="1" t="str">
        <f>IFERROR(__xludf.DUMMYFUNCTION("""COMPUTED_VALUE"""),"9020")</f>
        <v>9020</v>
      </c>
      <c r="M1991" s="1" t="str">
        <f>IFERROR(__xludf.DUMMYFUNCTION("""COMPUTED_VALUE"""),"WISDOM")</f>
        <v>WISDOM</v>
      </c>
      <c r="N1991" s="1" t="str">
        <f>IFERROR(__xludf.DUMMYFUNCTION("""COMPUTED_VALUE"""),"CITYLAND")</f>
        <v>CITYLAND</v>
      </c>
      <c r="O1991" s="1" t="str">
        <f>IFERROR(__xludf.DUMMYFUNCTION("""COMPUTED_VALUE"""),"MABUHAY")</f>
        <v>MABUHAY</v>
      </c>
      <c r="P1991" s="1" t="str">
        <f>IFERROR(__xludf.DUMMYFUNCTION("""COMPUTED_VALUE"""),"CARMONA")</f>
        <v>CARMONA</v>
      </c>
      <c r="Q1991" s="1" t="str">
        <f>IFERROR(__xludf.DUMMYFUNCTION("""COMPUTED_VALUE"""),"CAVITE")</f>
        <v>CAVITE</v>
      </c>
      <c r="R1991" s="1" t="str">
        <f>IFERROR(__xludf.DUMMYFUNCTION("""COMPUTED_VALUE"""),"FIBR PLAN 1299")</f>
        <v>FIBR PLAN 1299</v>
      </c>
      <c r="S1991" s="1" t="str">
        <f>IFERROR(__xludf.DUMMYFUNCTION("""COMPUTED_VALUE"""),"APPROVED")</f>
        <v>APPROVED</v>
      </c>
      <c r="T1991" s="1" t="str">
        <f>IFERROR(__xludf.DUMMYFUNCTION("""COMPUTED_VALUE"""),"#N/A")</f>
        <v>#N/A</v>
      </c>
      <c r="U1991" s="1" t="str">
        <f>IFERROR(__xludf.DUMMYFUNCTION("""COMPUTED_VALUE"""),"POSTED")</f>
        <v>POSTED</v>
      </c>
      <c r="V1991" s="1"/>
      <c r="W1991" s="1"/>
    </row>
    <row r="1992" customHeight="1" spans="1:23">
      <c r="A1992" s="3">
        <f>IFERROR(__xludf.DUMMYFUNCTION("""COMPUTED_VALUE"""),46178)</f>
        <v>46178</v>
      </c>
      <c r="B1992" s="1" t="str">
        <f>IFERROR(__xludf.DUMMYFUNCTION("""COMPUTED_VALUE"""),"MAGDARAOG, KENNETH")</f>
        <v>MAGDARAOG, KENNETH</v>
      </c>
      <c r="C1992" s="1" t="str">
        <f>IFERROR(__xludf.DUMMYFUNCTION("""COMPUTED_VALUE"""),"ORGANIC")</f>
        <v>ORGANIC</v>
      </c>
      <c r="D1992" s="1" t="str">
        <f>IFERROR(__xludf.DUMMYFUNCTION("""COMPUTED_VALUE"""),"REMOLLO LEA")</f>
        <v>REMOLLO LEA</v>
      </c>
      <c r="E1992" s="1" t="str">
        <f>IFERROR(__xludf.DUMMYFUNCTION("""COMPUTED_VALUE"""),"PLDT / H2H")</f>
        <v>PLDT / H2H</v>
      </c>
      <c r="F1992" s="1">
        <f>IFERROR(__xludf.DUMMYFUNCTION("""COMPUTED_VALUE"""),2309958740)</f>
        <v>2309958740</v>
      </c>
      <c r="G1992" s="1"/>
      <c r="H1992" s="1" t="str">
        <f>IFERROR(__xludf.DUMMYFUNCTION("""COMPUTED_VALUE"""),"ANDREI AMOR CALDERON")</f>
        <v>ANDREI AMOR CALDERON</v>
      </c>
      <c r="I1992" s="1">
        <f>IFERROR(__xludf.DUMMYFUNCTION("""COMPUTED_VALUE"""),9516343299)</f>
        <v>9516343299</v>
      </c>
      <c r="J1992" s="1">
        <f>IFERROR(__xludf.DUMMYFUNCTION("""COMPUTED_VALUE"""),9971339083)</f>
        <v>9971339083</v>
      </c>
      <c r="K1992" s="1" t="str">
        <f>IFERROR(__xludf.DUMMYFUNCTION("""COMPUTED_VALUE"""),"andreicalderon.3@gmail.com")</f>
        <v>andreicalderon.3@gmail.com</v>
      </c>
      <c r="L1992" s="1" t="str">
        <f>IFERROR(__xludf.DUMMYFUNCTION("""COMPUTED_VALUE"""),"549")</f>
        <v>549</v>
      </c>
      <c r="M1992" s="1" t="str">
        <f>IFERROR(__xludf.DUMMYFUNCTION("""COMPUTED_VALUE"""),"OLD SABUNGAN")</f>
        <v>OLD SABUNGAN</v>
      </c>
      <c r="N1992" s="1"/>
      <c r="O1992" s="1" t="str">
        <f>IFERROR(__xludf.DUMMYFUNCTION("""COMPUTED_VALUE"""),"GALICIA III")</f>
        <v>GALICIA III</v>
      </c>
      <c r="P1992" s="1" t="str">
        <f>IFERROR(__xludf.DUMMYFUNCTION("""COMPUTED_VALUE"""),"MENDEZ")</f>
        <v>MENDEZ</v>
      </c>
      <c r="Q1992" s="1" t="str">
        <f>IFERROR(__xludf.DUMMYFUNCTION("""COMPUTED_VALUE"""),"CAVITE")</f>
        <v>CAVITE</v>
      </c>
      <c r="R1992" s="1" t="str">
        <f>IFERROR(__xludf.DUMMYFUNCTION("""COMPUTED_VALUE"""),"FIBR PLAN 1299")</f>
        <v>FIBR PLAN 1299</v>
      </c>
      <c r="S1992" s="1" t="str">
        <f>IFERROR(__xludf.DUMMYFUNCTION("""COMPUTED_VALUE"""),"APPROVED")</f>
        <v>APPROVED</v>
      </c>
      <c r="T1992" s="1" t="str">
        <f>IFERROR(__xludf.DUMMYFUNCTION("""COMPUTED_VALUE"""),"#N/A")</f>
        <v>#N/A</v>
      </c>
      <c r="U1992" s="1"/>
      <c r="V1992" s="1"/>
      <c r="W1992" s="1"/>
    </row>
    <row r="1993" customHeight="1" spans="1:23">
      <c r="A1993" s="3">
        <f>IFERROR(__xludf.DUMMYFUNCTION("""COMPUTED_VALUE"""),46178)</f>
        <v>46178</v>
      </c>
      <c r="B1993" s="1" t="str">
        <f>IFERROR(__xludf.DUMMYFUNCTION("""COMPUTED_VALUE"""),"ESCARCHA, MA ALMA  ESCOTO")</f>
        <v>ESCARCHA, MA ALMA  ESCOTO</v>
      </c>
      <c r="C1993" s="1" t="str">
        <f>IFERROR(__xludf.DUMMYFUNCTION("""COMPUTED_VALUE"""),"ORGANIC")</f>
        <v>ORGANIC</v>
      </c>
      <c r="D1993" s="1" t="str">
        <f>IFERROR(__xludf.DUMMYFUNCTION("""COMPUTED_VALUE"""),"REMOLLO LEA")</f>
        <v>REMOLLO LEA</v>
      </c>
      <c r="E1993" s="1" t="str">
        <f>IFERROR(__xludf.DUMMYFUNCTION("""COMPUTED_VALUE"""),"PLDT / H2H")</f>
        <v>PLDT / H2H</v>
      </c>
      <c r="F1993" s="1">
        <f>IFERROR(__xludf.DUMMYFUNCTION("""COMPUTED_VALUE"""),2309962203)</f>
        <v>2309962203</v>
      </c>
      <c r="G1993" s="1"/>
      <c r="H1993" s="1" t="str">
        <f>IFERROR(__xludf.DUMMYFUNCTION("""COMPUTED_VALUE"""),"CHONA ABEQUIBEL AREDES")</f>
        <v>CHONA ABEQUIBEL AREDES</v>
      </c>
      <c r="I1993" s="1">
        <f>IFERROR(__xludf.DUMMYFUNCTION("""COMPUTED_VALUE"""),9638800928)</f>
        <v>9638800928</v>
      </c>
      <c r="J1993" s="1"/>
      <c r="K1993" s="1" t="str">
        <f>IFERROR(__xludf.DUMMYFUNCTION("""COMPUTED_VALUE"""),"chonaparedes1975@gmail.com")</f>
        <v>chonaparedes1975@gmail.com</v>
      </c>
      <c r="L1993" s="1" t="str">
        <f>IFERROR(__xludf.DUMMYFUNCTION("""COMPUTED_VALUE"""),"9674")</f>
        <v>9674</v>
      </c>
      <c r="M1993" s="1" t="str">
        <f>IFERROR(__xludf.DUMMYFUNCTION("""COMPUTED_VALUE"""),"MAYSILI")</f>
        <v>MAYSILI</v>
      </c>
      <c r="N1993" s="1"/>
      <c r="O1993" s="1" t="str">
        <f>IFERROR(__xludf.DUMMYFUNCTION("""COMPUTED_VALUE"""),"ASIS III")</f>
        <v>ASIS III</v>
      </c>
      <c r="P1993" s="1" t="str">
        <f>IFERROR(__xludf.DUMMYFUNCTION("""COMPUTED_VALUE"""),"MENDEZ")</f>
        <v>MENDEZ</v>
      </c>
      <c r="Q1993" s="1" t="str">
        <f>IFERROR(__xludf.DUMMYFUNCTION("""COMPUTED_VALUE"""),"CAVITE")</f>
        <v>CAVITE</v>
      </c>
      <c r="R1993" s="1" t="str">
        <f>IFERROR(__xludf.DUMMYFUNCTION("""COMPUTED_VALUE"""),"PREPAID FIBER UNLI")</f>
        <v>PREPAID FIBER UNLI</v>
      </c>
      <c r="S1993" s="1" t="str">
        <f>IFERROR(__xludf.DUMMYFUNCTION("""COMPUTED_VALUE"""),"APPROVED")</f>
        <v>APPROVED</v>
      </c>
      <c r="T1993" s="1" t="str">
        <f>IFERROR(__xludf.DUMMYFUNCTION("""COMPUTED_VALUE"""),"#N/A")</f>
        <v>#N/A</v>
      </c>
      <c r="U1993" s="1" t="str">
        <f>IFERROR(__xludf.DUMMYFUNCTION("""COMPUTED_VALUE"""),"POSTED")</f>
        <v>POSTED</v>
      </c>
      <c r="V1993" s="1"/>
      <c r="W1993" s="1"/>
    </row>
    <row r="1994" customHeight="1" spans="1:23">
      <c r="A1994" s="3">
        <f>IFERROR(__xludf.DUMMYFUNCTION("""COMPUTED_VALUE"""),46178)</f>
        <v>46178</v>
      </c>
      <c r="B1994" s="1" t="str">
        <f>IFERROR(__xludf.DUMMYFUNCTION("""COMPUTED_VALUE"""),"ESCARCHA, MA ALMA  ESCOTO")</f>
        <v>ESCARCHA, MA ALMA  ESCOTO</v>
      </c>
      <c r="C1994" s="1" t="str">
        <f>IFERROR(__xludf.DUMMYFUNCTION("""COMPUTED_VALUE"""),"ORGANIC")</f>
        <v>ORGANIC</v>
      </c>
      <c r="D1994" s="1" t="str">
        <f>IFERROR(__xludf.DUMMYFUNCTION("""COMPUTED_VALUE"""),"REMOLLO LEA")</f>
        <v>REMOLLO LEA</v>
      </c>
      <c r="E1994" s="1" t="str">
        <f>IFERROR(__xludf.DUMMYFUNCTION("""COMPUTED_VALUE"""),"PLDT / H2H")</f>
        <v>PLDT / H2H</v>
      </c>
      <c r="F1994" s="1">
        <f>IFERROR(__xludf.DUMMYFUNCTION("""COMPUTED_VALUE"""),2309962535)</f>
        <v>2309962535</v>
      </c>
      <c r="G1994" s="1"/>
      <c r="H1994" s="1" t="str">
        <f>IFERROR(__xludf.DUMMYFUNCTION("""COMPUTED_VALUE"""),"JUVY HALICHIC LAURENTE")</f>
        <v>JUVY HALICHIC LAURENTE</v>
      </c>
      <c r="I1994" s="1">
        <f>IFERROR(__xludf.DUMMYFUNCTION("""COMPUTED_VALUE"""),9657096649)</f>
        <v>9657096649</v>
      </c>
      <c r="J1994" s="1"/>
      <c r="K1994" s="1" t="str">
        <f>IFERROR(__xludf.DUMMYFUNCTION("""COMPUTED_VALUE"""),"bhenglaurente@gmail.com")</f>
        <v>bhenglaurente@gmail.com</v>
      </c>
      <c r="L1994" s="1" t="str">
        <f>IFERROR(__xludf.DUMMYFUNCTION("""COMPUTED_VALUE"""),"6485")</f>
        <v>6485</v>
      </c>
      <c r="M1994" s="1" t="str">
        <f>IFERROR(__xludf.DUMMYFUNCTION("""COMPUTED_VALUE"""),"MAYSILI")</f>
        <v>MAYSILI</v>
      </c>
      <c r="N1994" s="1"/>
      <c r="O1994" s="1" t="str">
        <f>IFERROR(__xludf.DUMMYFUNCTION("""COMPUTED_VALUE"""),"ASIS III")</f>
        <v>ASIS III</v>
      </c>
      <c r="P1994" s="1" t="str">
        <f>IFERROR(__xludf.DUMMYFUNCTION("""COMPUTED_VALUE"""),"MENDEZ")</f>
        <v>MENDEZ</v>
      </c>
      <c r="Q1994" s="1" t="str">
        <f>IFERROR(__xludf.DUMMYFUNCTION("""COMPUTED_VALUE"""),"CAVITE")</f>
        <v>CAVITE</v>
      </c>
      <c r="R1994" s="1" t="str">
        <f>IFERROR(__xludf.DUMMYFUNCTION("""COMPUTED_VALUE"""),"FIBR UNLI ALL PLAN 999")</f>
        <v>FIBR UNLI ALL PLAN 999</v>
      </c>
      <c r="S1994" s="1" t="str">
        <f>IFERROR(__xludf.DUMMYFUNCTION("""COMPUTED_VALUE"""),"APPROVED")</f>
        <v>APPROVED</v>
      </c>
      <c r="T1994" s="1" t="str">
        <f>IFERROR(__xludf.DUMMYFUNCTION("""COMPUTED_VALUE"""),"#N/A")</f>
        <v>#N/A</v>
      </c>
      <c r="U1994" s="1" t="str">
        <f>IFERROR(__xludf.DUMMYFUNCTION("""COMPUTED_VALUE"""),"PAID VIA GCASH")</f>
        <v>PAID VIA GCASH</v>
      </c>
      <c r="V1994" s="1"/>
      <c r="W1994" s="1"/>
    </row>
    <row r="1995" customHeight="1" spans="1:23">
      <c r="A1995" s="3">
        <f>IFERROR(__xludf.DUMMYFUNCTION("""COMPUTED_VALUE"""),46178)</f>
        <v>46178</v>
      </c>
      <c r="B1995" s="1" t="str">
        <f>IFERROR(__xludf.DUMMYFUNCTION("""COMPUTED_VALUE"""),"DELA ROSA, JENNELYN")</f>
        <v>DELA ROSA, JENNELYN</v>
      </c>
      <c r="C1995" s="1" t="str">
        <f>IFERROR(__xludf.DUMMYFUNCTION("""COMPUTED_VALUE"""),"ORGANIC")</f>
        <v>ORGANIC</v>
      </c>
      <c r="D1995" s="1" t="str">
        <f>IFERROR(__xludf.DUMMYFUNCTION("""COMPUTED_VALUE"""),"REMOLLO LEA")</f>
        <v>REMOLLO LEA</v>
      </c>
      <c r="E1995" s="1" t="str">
        <f>IFERROR(__xludf.DUMMYFUNCTION("""COMPUTED_VALUE"""),"PLDT / H2H")</f>
        <v>PLDT / H2H</v>
      </c>
      <c r="F1995" s="1">
        <f>IFERROR(__xludf.DUMMYFUNCTION("""COMPUTED_VALUE"""),2309987429)</f>
        <v>2309987429</v>
      </c>
      <c r="G1995" s="1"/>
      <c r="H1995" s="1" t="str">
        <f>IFERROR(__xludf.DUMMYFUNCTION("""COMPUTED_VALUE"""),"MARICEL DELA TORRE DELOS SANTOS")</f>
        <v>MARICEL DELA TORRE DELOS SANTOS</v>
      </c>
      <c r="I1995" s="1">
        <f>IFERROR(__xludf.DUMMYFUNCTION("""COMPUTED_VALUE"""),9366917421)</f>
        <v>9366917421</v>
      </c>
      <c r="J1995" s="1"/>
      <c r="K1995" s="1" t="str">
        <f>IFERROR(__xludf.DUMMYFUNCTION("""COMPUTED_VALUE"""),"mardelsan@gmail.com")</f>
        <v>mardelsan@gmail.com</v>
      </c>
      <c r="L1995" s="1" t="str">
        <f>IFERROR(__xludf.DUMMYFUNCTION("""COMPUTED_VALUE"""),"BLK 15 LOT 21")</f>
        <v>BLK 15 LOT 21</v>
      </c>
      <c r="M1995" s="1" t="str">
        <f>IFERROR(__xludf.DUMMYFUNCTION("""COMPUTED_VALUE""")," PRINCESS NICOLE")</f>
        <v> PRINCESS NICOLE</v>
      </c>
      <c r="N1995" s="1" t="str">
        <f>IFERROR(__xludf.DUMMYFUNCTION("""COMPUTED_VALUE"""),"DEXTER VILLE")</f>
        <v>DEXTER VILLE</v>
      </c>
      <c r="O1995" s="1" t="str">
        <f>IFERROR(__xludf.DUMMYFUNCTION("""COMPUTED_VALUE"""),"SAN NICOLAS III")</f>
        <v>SAN NICOLAS III</v>
      </c>
      <c r="P1995" s="1" t="str">
        <f>IFERROR(__xludf.DUMMYFUNCTION("""COMPUTED_VALUE"""),"DASMARINAS")</f>
        <v>DASMARINAS</v>
      </c>
      <c r="Q1995" s="1" t="str">
        <f>IFERROR(__xludf.DUMMYFUNCTION("""COMPUTED_VALUE"""),"CAVITE")</f>
        <v>CAVITE</v>
      </c>
      <c r="R1995" s="1" t="str">
        <f>IFERROR(__xludf.DUMMYFUNCTION("""COMPUTED_VALUE"""),"FIBR NETFLIX PLAN 1599")</f>
        <v>FIBR NETFLIX PLAN 1599</v>
      </c>
      <c r="S1995" s="1" t="str">
        <f>IFERROR(__xludf.DUMMYFUNCTION("""COMPUTED_VALUE"""),"APPROVED")</f>
        <v>APPROVED</v>
      </c>
      <c r="T1995" s="1" t="str">
        <f>IFERROR(__xludf.DUMMYFUNCTION("""COMPUTED_VALUE"""),"#N/A")</f>
        <v>#N/A</v>
      </c>
      <c r="U1995" s="1" t="str">
        <f>IFERROR(__xludf.DUMMYFUNCTION("""COMPUTED_VALUE"""),"POSTED")</f>
        <v>POSTED</v>
      </c>
      <c r="V1995" s="1"/>
      <c r="W1995" s="1"/>
    </row>
    <row r="1996" customHeight="1" spans="1:23">
      <c r="A1996" s="3">
        <f>IFERROR(__xludf.DUMMYFUNCTION("""COMPUTED_VALUE"""),46178)</f>
        <v>46178</v>
      </c>
      <c r="B1996" s="1" t="str">
        <f>IFERROR(__xludf.DUMMYFUNCTION("""COMPUTED_VALUE"""),"FRONDEZ, JEDREFF")</f>
        <v>FRONDEZ, JEDREFF</v>
      </c>
      <c r="C1996" s="1" t="str">
        <f>IFERROR(__xludf.DUMMYFUNCTION("""COMPUTED_VALUE"""),"ORGANIC")</f>
        <v>ORGANIC</v>
      </c>
      <c r="D1996" s="1" t="str">
        <f>IFERROR(__xludf.DUMMYFUNCTION("""COMPUTED_VALUE"""),"REMOLLO LEA")</f>
        <v>REMOLLO LEA</v>
      </c>
      <c r="E1996" s="1" t="str">
        <f>IFERROR(__xludf.DUMMYFUNCTION("""COMPUTED_VALUE"""),"RED FIBER")</f>
        <v>RED FIBER</v>
      </c>
      <c r="F1996" s="1"/>
      <c r="G1996" s="1"/>
      <c r="H1996" s="1" t="str">
        <f>IFERROR(__xludf.DUMMYFUNCTION("""COMPUTED_VALUE"""),"MARILOU PADUA DE LEON")</f>
        <v>MARILOU PADUA DE LEON</v>
      </c>
      <c r="I1996" s="1">
        <f>IFERROR(__xludf.DUMMYFUNCTION("""COMPUTED_VALUE"""),9995502787)</f>
        <v>9995502787</v>
      </c>
      <c r="J1996" s="1">
        <f>IFERROR(__xludf.DUMMYFUNCTION("""COMPUTED_VALUE"""),9983475422)</f>
        <v>9983475422</v>
      </c>
      <c r="K1996" s="1" t="str">
        <f>IFERROR(__xludf.DUMMYFUNCTION("""COMPUTED_VALUE"""),"mdeleon122172@gmail.com")</f>
        <v>mdeleon122172@gmail.com</v>
      </c>
      <c r="L1996" s="1" t="str">
        <f>IFERROR(__xludf.DUMMYFUNCTION("""COMPUTED_VALUE"""),"156")</f>
        <v>156</v>
      </c>
      <c r="M1996" s="1" t="str">
        <f>IFERROR(__xludf.DUMMYFUNCTION("""COMPUTED_VALUE"""),"PUROK 5")</f>
        <v>PUROK 5</v>
      </c>
      <c r="N1996" s="1"/>
      <c r="O1996" s="1" t="str">
        <f>IFERROR(__xludf.DUMMYFUNCTION("""COMPUTED_VALUE"""),"ULAT")</f>
        <v>ULAT</v>
      </c>
      <c r="P1996" s="1" t="str">
        <f>IFERROR(__xludf.DUMMYFUNCTION("""COMPUTED_VALUE"""),"SILANG")</f>
        <v>SILANG</v>
      </c>
      <c r="Q1996" s="1" t="str">
        <f>IFERROR(__xludf.DUMMYFUNCTION("""COMPUTED_VALUE"""),"CAVITE")</f>
        <v>CAVITE</v>
      </c>
      <c r="R1996" s="1" t="str">
        <f>IFERROR(__xludf.DUMMYFUNCTION("""COMPUTED_VALUE"""),"RED PLAN 1000")</f>
        <v>RED PLAN 1000</v>
      </c>
      <c r="S1996" s="1" t="str">
        <f>IFERROR(__xludf.DUMMYFUNCTION("""COMPUTED_VALUE"""),"APPROVED")</f>
        <v>APPROVED</v>
      </c>
      <c r="T1996" s="1" t="str">
        <f>IFERROR(__xludf.DUMMYFUNCTION("""COMPUTED_VALUE"""),"PAID")</f>
        <v>PAID</v>
      </c>
      <c r="U1996" s="1" t="str">
        <f>IFERROR(__xludf.DUMMYFUNCTION("""COMPUTED_VALUE"""),"POSTED")</f>
        <v>POSTED</v>
      </c>
      <c r="V1996" s="1"/>
      <c r="W1996" s="1"/>
    </row>
    <row r="1997" customHeight="1" spans="1:23">
      <c r="A1997" s="3">
        <f>IFERROR(__xludf.DUMMYFUNCTION("""COMPUTED_VALUE"""),46178)</f>
        <v>46178</v>
      </c>
      <c r="B1997" s="1" t="str">
        <f>IFERROR(__xludf.DUMMYFUNCTION("""COMPUTED_VALUE"""),"FRONDEZ, JEDREFF")</f>
        <v>FRONDEZ, JEDREFF</v>
      </c>
      <c r="C1997" s="1" t="str">
        <f>IFERROR(__xludf.DUMMYFUNCTION("""COMPUTED_VALUE"""),"ORGANIC")</f>
        <v>ORGANIC</v>
      </c>
      <c r="D1997" s="1" t="str">
        <f>IFERROR(__xludf.DUMMYFUNCTION("""COMPUTED_VALUE"""),"REMOLLO LEA")</f>
        <v>REMOLLO LEA</v>
      </c>
      <c r="E1997" s="1" t="str">
        <f>IFERROR(__xludf.DUMMYFUNCTION("""COMPUTED_VALUE"""),"RED FIBER")</f>
        <v>RED FIBER</v>
      </c>
      <c r="F1997" s="1"/>
      <c r="G1997" s="1"/>
      <c r="H1997" s="1" t="str">
        <f>IFERROR(__xludf.DUMMYFUNCTION("""COMPUTED_VALUE"""),"TRIXIA MARINILLE CATENA NITO")</f>
        <v>TRIXIA MARINILLE CATENA NITO</v>
      </c>
      <c r="I1997" s="1">
        <f>IFERROR(__xludf.DUMMYFUNCTION("""COMPUTED_VALUE"""),9070206927)</f>
        <v>9070206927</v>
      </c>
      <c r="J1997" s="1">
        <f>IFERROR(__xludf.DUMMYFUNCTION("""COMPUTED_VALUE"""),9463494444)</f>
        <v>9463494444</v>
      </c>
      <c r="K1997" s="1" t="str">
        <f>IFERROR(__xludf.DUMMYFUNCTION("""COMPUTED_VALUE"""),"trixinito@gmail.com")</f>
        <v>trixinito@gmail.com</v>
      </c>
      <c r="L1997" s="1" t="str">
        <f>IFERROR(__xludf.DUMMYFUNCTION("""COMPUTED_VALUE"""),"57")</f>
        <v>57</v>
      </c>
      <c r="M1997" s="1" t="str">
        <f>IFERROR(__xludf.DUMMYFUNCTION("""COMPUTED_VALUE"""),"P REYES")</f>
        <v>P REYES</v>
      </c>
      <c r="N1997" s="1"/>
      <c r="O1997" s="1" t="str">
        <f>IFERROR(__xludf.DUMMYFUNCTION("""COMPUTED_VALUE"""),"POBLACION VI (BARANGAY VI)")</f>
        <v>POBLACION VI (BARANGAY VI)</v>
      </c>
      <c r="P1997" s="1" t="str">
        <f>IFERROR(__xludf.DUMMYFUNCTION("""COMPUTED_VALUE"""),"MENDEZ")</f>
        <v>MENDEZ</v>
      </c>
      <c r="Q1997" s="1" t="str">
        <f>IFERROR(__xludf.DUMMYFUNCTION("""COMPUTED_VALUE"""),"CAVITE")</f>
        <v>CAVITE</v>
      </c>
      <c r="R1997" s="1" t="str">
        <f>IFERROR(__xludf.DUMMYFUNCTION("""COMPUTED_VALUE"""),"FIBR UNLI ALL PLAN 999")</f>
        <v>FIBR UNLI ALL PLAN 999</v>
      </c>
      <c r="S1997" s="1" t="str">
        <f>IFERROR(__xludf.DUMMYFUNCTION("""COMPUTED_VALUE"""),"APPROVED")</f>
        <v>APPROVED</v>
      </c>
      <c r="T1997" s="1" t="str">
        <f>IFERROR(__xludf.DUMMYFUNCTION("""COMPUTED_VALUE"""),"PAID")</f>
        <v>PAID</v>
      </c>
      <c r="U1997" s="1" t="str">
        <f>IFERROR(__xludf.DUMMYFUNCTION("""COMPUTED_VALUE"""),"POSTED")</f>
        <v>POSTED</v>
      </c>
      <c r="V1997" s="1"/>
      <c r="W1997" s="1"/>
    </row>
    <row r="1998" customHeight="1" spans="1:23">
      <c r="A1998" s="3">
        <f>IFERROR(__xludf.DUMMYFUNCTION("""COMPUTED_VALUE"""),46178)</f>
        <v>46178</v>
      </c>
      <c r="B1998" s="1" t="str">
        <f>IFERROR(__xludf.DUMMYFUNCTION("""COMPUTED_VALUE"""),"FARO, REFRANTA")</f>
        <v>FARO, REFRANTA</v>
      </c>
      <c r="C1998" s="1" t="str">
        <f>IFERROR(__xludf.DUMMYFUNCTION("""COMPUTED_VALUE"""),"ORGANIC")</f>
        <v>ORGANIC</v>
      </c>
      <c r="D1998" s="1" t="str">
        <f>IFERROR(__xludf.DUMMYFUNCTION("""COMPUTED_VALUE"""),"REMOLLO LEA")</f>
        <v>REMOLLO LEA</v>
      </c>
      <c r="E1998" s="1" t="str">
        <f>IFERROR(__xludf.DUMMYFUNCTION("""COMPUTED_VALUE"""),"PLDT / H2H")</f>
        <v>PLDT / H2H</v>
      </c>
      <c r="F1998" s="1">
        <f>IFERROR(__xludf.DUMMYFUNCTION("""COMPUTED_VALUE"""),2310130921)</f>
        <v>2310130921</v>
      </c>
      <c r="G1998" s="1"/>
      <c r="H1998" s="1" t="str">
        <f>IFERROR(__xludf.DUMMYFUNCTION("""COMPUTED_VALUE"""),"ANNALYN COMPASSION SERRAN")</f>
        <v>ANNALYN COMPASSION SERRAN</v>
      </c>
      <c r="I1998" s="1">
        <f>IFERROR(__xludf.DUMMYFUNCTION("""COMPUTED_VALUE"""),9477032383)</f>
        <v>9477032383</v>
      </c>
      <c r="J1998" s="1"/>
      <c r="K1998" s="1" t="str">
        <f>IFERROR(__xludf.DUMMYFUNCTION("""COMPUTED_VALUE"""),"analynserran@yahoo.com")</f>
        <v>analynserran@yahoo.com</v>
      </c>
      <c r="L1998" s="1" t="str">
        <f>IFERROR(__xludf.DUMMYFUNCTION("""COMPUTED_VALUE"""),"40")</f>
        <v>40</v>
      </c>
      <c r="M1998" s="1" t="str">
        <f>IFERROR(__xludf.DUMMYFUNCTION("""COMPUTED_VALUE"""),"LLAMADO ")</f>
        <v>LLAMADO </v>
      </c>
      <c r="N1998" s="1"/>
      <c r="O1998" s="1" t="str">
        <f>IFERROR(__xludf.DUMMYFUNCTION("""COMPUTED_VALUE"""),"ASIS I")</f>
        <v>ASIS I</v>
      </c>
      <c r="P1998" s="1" t="str">
        <f>IFERROR(__xludf.DUMMYFUNCTION("""COMPUTED_VALUE"""),"MENDEZ")</f>
        <v>MENDEZ</v>
      </c>
      <c r="Q1998" s="1" t="str">
        <f>IFERROR(__xludf.DUMMYFUNCTION("""COMPUTED_VALUE"""),"CAVITE")</f>
        <v>CAVITE</v>
      </c>
      <c r="R1998" s="1" t="str">
        <f>IFERROR(__xludf.DUMMYFUNCTION("""COMPUTED_VALUE"""),"FIBR NETFLIX PLAN 1599")</f>
        <v>FIBR NETFLIX PLAN 1599</v>
      </c>
      <c r="S1998" s="1" t="str">
        <f>IFERROR(__xludf.DUMMYFUNCTION("""COMPUTED_VALUE"""),"APPROVED")</f>
        <v>APPROVED</v>
      </c>
      <c r="T1998" s="1" t="str">
        <f>IFERROR(__xludf.DUMMYFUNCTION("""COMPUTED_VALUE"""),"#N/A")</f>
        <v>#N/A</v>
      </c>
      <c r="U1998" s="1" t="str">
        <f>IFERROR(__xludf.DUMMYFUNCTION("""COMPUTED_VALUE"""),"FOR PAYROLL 8-14")</f>
        <v>FOR PAYROLL 8-14</v>
      </c>
      <c r="V1998" s="1"/>
      <c r="W1998" s="1"/>
    </row>
    <row r="1999" customHeight="1" spans="1:23">
      <c r="A1999" s="3">
        <f>IFERROR(__xludf.DUMMYFUNCTION("""COMPUTED_VALUE"""),46178)</f>
        <v>46178</v>
      </c>
      <c r="B1999" s="1" t="str">
        <f>IFERROR(__xludf.DUMMYFUNCTION("""COMPUTED_VALUE"""),"MAGDARAOG, KENNETH")</f>
        <v>MAGDARAOG, KENNETH</v>
      </c>
      <c r="C1999" s="1" t="str">
        <f>IFERROR(__xludf.DUMMYFUNCTION("""COMPUTED_VALUE"""),"ORGANIC")</f>
        <v>ORGANIC</v>
      </c>
      <c r="D1999" s="1" t="str">
        <f>IFERROR(__xludf.DUMMYFUNCTION("""COMPUTED_VALUE"""),"REMOLLO LEA")</f>
        <v>REMOLLO LEA</v>
      </c>
      <c r="E1999" s="1" t="str">
        <f>IFERROR(__xludf.DUMMYFUNCTION("""COMPUTED_VALUE"""),"PLDT / H2H")</f>
        <v>PLDT / H2H</v>
      </c>
      <c r="F1999" s="1">
        <f>IFERROR(__xludf.DUMMYFUNCTION("""COMPUTED_VALUE"""),2309969167)</f>
        <v>2309969167</v>
      </c>
      <c r="G1999" s="1"/>
      <c r="H1999" s="1" t="str">
        <f>IFERROR(__xludf.DUMMYFUNCTION("""COMPUTED_VALUE"""),"SHIELA MARIE VILLA RAMOS")</f>
        <v>SHIELA MARIE VILLA RAMOS</v>
      </c>
      <c r="I1999" s="1">
        <f>IFERROR(__xludf.DUMMYFUNCTION("""COMPUTED_VALUE"""),9778051484)</f>
        <v>9778051484</v>
      </c>
      <c r="J1999" s="1">
        <f>IFERROR(__xludf.DUMMYFUNCTION("""COMPUTED_VALUE"""),9566859449)</f>
        <v>9566859449</v>
      </c>
      <c r="K1999" s="1" t="str">
        <f>IFERROR(__xludf.DUMMYFUNCTION("""COMPUTED_VALUE"""),"sm_villa14@yahoo.com")</f>
        <v>sm_villa14@yahoo.com</v>
      </c>
      <c r="L1999" s="1" t="str">
        <f>IFERROR(__xludf.DUMMYFUNCTION("""COMPUTED_VALUE"""),"3E")</f>
        <v>3E</v>
      </c>
      <c r="M1999" s="1" t="str">
        <f>IFERROR(__xludf.DUMMYFUNCTION("""COMPUTED_VALUE"""),"GALICIA RD")</f>
        <v>GALICIA RD</v>
      </c>
      <c r="N1999" s="1" t="str">
        <f>IFERROR(__xludf.DUMMYFUNCTION("""COMPUTED_VALUE"""),"COFFEE ROYAL HOME")</f>
        <v>COFFEE ROYAL HOME</v>
      </c>
      <c r="O1999" s="1" t="str">
        <f>IFERROR(__xludf.DUMMYFUNCTION("""COMPUTED_VALUE"""),"GALICIA III")</f>
        <v>GALICIA III</v>
      </c>
      <c r="P1999" s="1" t="str">
        <f>IFERROR(__xludf.DUMMYFUNCTION("""COMPUTED_VALUE"""),"MENDEZ")</f>
        <v>MENDEZ</v>
      </c>
      <c r="Q1999" s="1" t="str">
        <f>IFERROR(__xludf.DUMMYFUNCTION("""COMPUTED_VALUE"""),"CAVITE")</f>
        <v>CAVITE</v>
      </c>
      <c r="R1999" s="1" t="str">
        <f>IFERROR(__xludf.DUMMYFUNCTION("""COMPUTED_VALUE"""),"FIBR UNLI ALL PLAN 1799")</f>
        <v>FIBR UNLI ALL PLAN 1799</v>
      </c>
      <c r="S1999" s="1" t="str">
        <f>IFERROR(__xludf.DUMMYFUNCTION("""COMPUTED_VALUE"""),"APPROVED")</f>
        <v>APPROVED</v>
      </c>
      <c r="T1999" s="1" t="str">
        <f>IFERROR(__xludf.DUMMYFUNCTION("""COMPUTED_VALUE"""),"#N/A")</f>
        <v>#N/A</v>
      </c>
      <c r="U1999" s="1" t="str">
        <f>IFERROR(__xludf.DUMMYFUNCTION("""COMPUTED_VALUE"""),"POSTED")</f>
        <v>POSTED</v>
      </c>
      <c r="V1999" s="1"/>
      <c r="W1999" s="1"/>
    </row>
    <row r="2000" customHeight="1" spans="1:23">
      <c r="A2000" s="3">
        <f>IFERROR(__xludf.DUMMYFUNCTION("""COMPUTED_VALUE"""),46179)</f>
        <v>46179</v>
      </c>
      <c r="B2000" s="1" t="str">
        <f>IFERROR(__xludf.DUMMYFUNCTION("""COMPUTED_VALUE"""),"FARO, REFRANTA")</f>
        <v>FARO, REFRANTA</v>
      </c>
      <c r="C2000" s="1" t="str">
        <f>IFERROR(__xludf.DUMMYFUNCTION("""COMPUTED_VALUE"""),"ORGANIC")</f>
        <v>ORGANIC</v>
      </c>
      <c r="D2000" s="1" t="str">
        <f>IFERROR(__xludf.DUMMYFUNCTION("""COMPUTED_VALUE"""),"REMOLLO LEA")</f>
        <v>REMOLLO LEA</v>
      </c>
      <c r="E2000" s="1" t="str">
        <f>IFERROR(__xludf.DUMMYFUNCTION("""COMPUTED_VALUE"""),"PLDT / H2H")</f>
        <v>PLDT / H2H</v>
      </c>
      <c r="F2000" s="1">
        <f>IFERROR(__xludf.DUMMYFUNCTION("""COMPUTED_VALUE"""),2309986135)</f>
        <v>2309986135</v>
      </c>
      <c r="G2000" s="1"/>
      <c r="H2000" s="1" t="str">
        <f>IFERROR(__xludf.DUMMYFUNCTION("""COMPUTED_VALUE"""),"ZANDRO PANDAAN SAN DIEGO")</f>
        <v>ZANDRO PANDAAN SAN DIEGO</v>
      </c>
      <c r="I2000" s="1">
        <f>IFERROR(__xludf.DUMMYFUNCTION("""COMPUTED_VALUE"""),9911898175)</f>
        <v>9911898175</v>
      </c>
      <c r="J2000" s="1">
        <f>IFERROR(__xludf.DUMMYFUNCTION("""COMPUTED_VALUE"""),9357815966)</f>
        <v>9357815966</v>
      </c>
      <c r="K2000" s="1" t="str">
        <f>IFERROR(__xludf.DUMMYFUNCTION("""COMPUTED_VALUE"""),"jordan.abella@olivarezcollegetagaytay.edu.ph")</f>
        <v>jordan.abella@olivarezcollegetagaytay.edu.ph</v>
      </c>
      <c r="L2000" s="1" t="str">
        <f>IFERROR(__xludf.DUMMYFUNCTION("""COMPUTED_VALUE"""),"57")</f>
        <v>57</v>
      </c>
      <c r="M2000" s="1" t="str">
        <f>IFERROR(__xludf.DUMMYFUNCTION("""COMPUTED_VALUE"""),"MAHARLIKA RD")</f>
        <v>MAHARLIKA RD</v>
      </c>
      <c r="N2000" s="1"/>
      <c r="O2000" s="1" t="str">
        <f>IFERROR(__xludf.DUMMYFUNCTION("""COMPUTED_VALUE"""),"MAHARLIKA WEST")</f>
        <v>MAHARLIKA WEST</v>
      </c>
      <c r="P2000" s="1" t="str">
        <f>IFERROR(__xludf.DUMMYFUNCTION("""COMPUTED_VALUE"""),"TAGAYTAY")</f>
        <v>TAGAYTAY</v>
      </c>
      <c r="Q2000" s="1" t="str">
        <f>IFERROR(__xludf.DUMMYFUNCTION("""COMPUTED_VALUE"""),"CAVITE")</f>
        <v>CAVITE</v>
      </c>
      <c r="R2000" s="1" t="str">
        <f>IFERROR(__xludf.DUMMYFUNCTION("""COMPUTED_VALUE"""),"FIBR UNLI ALL PLAN 1399")</f>
        <v>FIBR UNLI ALL PLAN 1399</v>
      </c>
      <c r="S2000" s="1" t="str">
        <f>IFERROR(__xludf.DUMMYFUNCTION("""COMPUTED_VALUE"""),"APPROVED")</f>
        <v>APPROVED</v>
      </c>
      <c r="T2000" s="1" t="str">
        <f>IFERROR(__xludf.DUMMYFUNCTION("""COMPUTED_VALUE"""),"#N/A")</f>
        <v>#N/A</v>
      </c>
      <c r="U2000" s="1"/>
      <c r="V2000" s="1"/>
      <c r="W2000" s="1"/>
    </row>
    <row r="2001" customHeight="1" spans="1:23">
      <c r="A2001" s="3">
        <f>IFERROR(__xludf.DUMMYFUNCTION("""COMPUTED_VALUE"""),46179)</f>
        <v>46179</v>
      </c>
      <c r="B2001" s="1" t="str">
        <f>IFERROR(__xludf.DUMMYFUNCTION("""COMPUTED_VALUE"""),"AYON MANUEL")</f>
        <v>AYON MANUEL</v>
      </c>
      <c r="C2001" s="1" t="str">
        <f>IFERROR(__xludf.DUMMYFUNCTION("""COMPUTED_VALUE"""),"FLA")</f>
        <v>FLA</v>
      </c>
      <c r="D2001" s="1" t="str">
        <f>IFERROR(__xludf.DUMMYFUNCTION("""COMPUTED_VALUE"""),"JERIC NAVARRO")</f>
        <v>JERIC NAVARRO</v>
      </c>
      <c r="E2001" s="1" t="str">
        <f>IFERROR(__xludf.DUMMYFUNCTION("""COMPUTED_VALUE"""),"PLDT / ONLINE")</f>
        <v>PLDT / ONLINE</v>
      </c>
      <c r="F2001" s="1">
        <f>IFERROR(__xludf.DUMMYFUNCTION("""COMPUTED_VALUE"""),2309986955)</f>
        <v>2309986955</v>
      </c>
      <c r="G2001" s="1"/>
      <c r="H2001" s="1" t="str">
        <f>IFERROR(__xludf.DUMMYFUNCTION("""COMPUTED_VALUE"""),"ROLIE FRIAS ARCILLA")</f>
        <v>ROLIE FRIAS ARCILLA</v>
      </c>
      <c r="I2001" s="1">
        <f>IFERROR(__xludf.DUMMYFUNCTION("""COMPUTED_VALUE"""),9083342055)</f>
        <v>9083342055</v>
      </c>
      <c r="J2001" s="1">
        <f>IFERROR(__xludf.DUMMYFUNCTION("""COMPUTED_VALUE"""),9708263461)</f>
        <v>9708263461</v>
      </c>
      <c r="K2001" s="1" t="str">
        <f>IFERROR(__xludf.DUMMYFUNCTION("""COMPUTED_VALUE"""),"roliearcilla@gmail.com")</f>
        <v>roliearcilla@gmail.com</v>
      </c>
      <c r="L2001" s="1" t="str">
        <f>IFERROR(__xludf.DUMMYFUNCTION("""COMPUTED_VALUE"""),"BLK 2 LOT 26")</f>
        <v>BLK 2 LOT 26</v>
      </c>
      <c r="M2001" s="1" t="str">
        <f>IFERROR(__xludf.DUMMYFUNCTION("""COMPUTED_VALUE"""),"PULUNAN RD")</f>
        <v>PULUNAN RD</v>
      </c>
      <c r="N2001" s="1"/>
      <c r="O2001" s="1" t="str">
        <f>IFERROR(__xludf.DUMMYFUNCTION("""COMPUTED_VALUE"""),"DAGATAN")</f>
        <v>DAGATAN</v>
      </c>
      <c r="P2001" s="1" t="str">
        <f>IFERROR(__xludf.DUMMYFUNCTION("""COMPUTED_VALUE"""),"AMADEO")</f>
        <v>AMADEO</v>
      </c>
      <c r="Q2001" s="1" t="str">
        <f>IFERROR(__xludf.DUMMYFUNCTION("""COMPUTED_VALUE"""),"CAVITE")</f>
        <v>CAVITE</v>
      </c>
      <c r="R2001" s="1" t="str">
        <f>IFERROR(__xludf.DUMMYFUNCTION("""COMPUTED_VALUE"""),"FIBR UNLI ALL PLAN 999")</f>
        <v>FIBR UNLI ALL PLAN 999</v>
      </c>
      <c r="S2001" s="1" t="str">
        <f>IFERROR(__xludf.DUMMYFUNCTION("""COMPUTED_VALUE"""),"APPROVED")</f>
        <v>APPROVED</v>
      </c>
      <c r="T2001" s="1" t="str">
        <f>IFERROR(__xludf.DUMMYFUNCTION("""COMPUTED_VALUE"""),"#N/A")</f>
        <v>#N/A</v>
      </c>
      <c r="U2001" s="1" t="str">
        <f>IFERROR(__xludf.DUMMYFUNCTION("""COMPUTED_VALUE"""),"POSTED")</f>
        <v>POSTED</v>
      </c>
      <c r="V2001" s="1"/>
      <c r="W2001" s="1"/>
    </row>
    <row r="2002" customHeight="1" spans="1:23">
      <c r="A2002" s="3">
        <f>IFERROR(__xludf.DUMMYFUNCTION("""COMPUTED_VALUE"""),46179)</f>
        <v>46179</v>
      </c>
      <c r="B2002" s="1" t="str">
        <f>IFERROR(__xludf.DUMMYFUNCTION("""COMPUTED_VALUE"""),"ESCARCHA, MA ALMA  ESCOTO")</f>
        <v>ESCARCHA, MA ALMA  ESCOTO</v>
      </c>
      <c r="C2002" s="1" t="str">
        <f>IFERROR(__xludf.DUMMYFUNCTION("""COMPUTED_VALUE"""),"ORGANIC")</f>
        <v>ORGANIC</v>
      </c>
      <c r="D2002" s="1" t="str">
        <f>IFERROR(__xludf.DUMMYFUNCTION("""COMPUTED_VALUE"""),"REMOLLO LEA")</f>
        <v>REMOLLO LEA</v>
      </c>
      <c r="E2002" s="1" t="str">
        <f>IFERROR(__xludf.DUMMYFUNCTION("""COMPUTED_VALUE"""),"PLDT / ONLINE")</f>
        <v>PLDT / ONLINE</v>
      </c>
      <c r="F2002" s="1">
        <f>IFERROR(__xludf.DUMMYFUNCTION("""COMPUTED_VALUE"""),2309988030)</f>
        <v>2309988030</v>
      </c>
      <c r="G2002" s="1"/>
      <c r="H2002" s="1" t="str">
        <f>IFERROR(__xludf.DUMMYFUNCTION("""COMPUTED_VALUE"""),"ARNIL MOQUIRING QUINLOG")</f>
        <v>ARNIL MOQUIRING QUINLOG</v>
      </c>
      <c r="I2002" s="1">
        <f>IFERROR(__xludf.DUMMYFUNCTION("""COMPUTED_VALUE"""),9462546502)</f>
        <v>9462546502</v>
      </c>
      <c r="J2002" s="1"/>
      <c r="K2002" s="1" t="str">
        <f>IFERROR(__xludf.DUMMYFUNCTION("""COMPUTED_VALUE"""),"arnilquilog258@gmail.com")</f>
        <v>arnilquilog258@gmail.com</v>
      </c>
      <c r="L2002" s="1" t="str">
        <f>IFERROR(__xludf.DUMMYFUNCTION("""COMPUTED_VALUE"""),"BLK 59 LOT 3A")</f>
        <v>BLK 59 LOT 3A</v>
      </c>
      <c r="M2002" s="1" t="str">
        <f>IFERROR(__xludf.DUMMYFUNCTION("""COMPUTED_VALUE"""),"ZONE 3")</f>
        <v>ZONE 3</v>
      </c>
      <c r="N2002" s="1"/>
      <c r="O2002" s="1" t="str">
        <f>IFERROR(__xludf.DUMMYFUNCTION("""COMPUTED_VALUE"""),"BULIHAN")</f>
        <v>BULIHAN</v>
      </c>
      <c r="P2002" s="1" t="str">
        <f>IFERROR(__xludf.DUMMYFUNCTION("""COMPUTED_VALUE"""),"SILANG")</f>
        <v>SILANG</v>
      </c>
      <c r="Q2002" s="1" t="str">
        <f>IFERROR(__xludf.DUMMYFUNCTION("""COMPUTED_VALUE"""),"CAVITE")</f>
        <v>CAVITE</v>
      </c>
      <c r="R2002" s="1" t="str">
        <f>IFERROR(__xludf.DUMMYFUNCTION("""COMPUTED_VALUE"""),"FIBR PLAN 1299")</f>
        <v>FIBR PLAN 1299</v>
      </c>
      <c r="S2002" s="1" t="str">
        <f>IFERROR(__xludf.DUMMYFUNCTION("""COMPUTED_VALUE"""),"APPROVED")</f>
        <v>APPROVED</v>
      </c>
      <c r="T2002" s="1" t="str">
        <f>IFERROR(__xludf.DUMMYFUNCTION("""COMPUTED_VALUE"""),"#N/A")</f>
        <v>#N/A</v>
      </c>
      <c r="U2002" s="1" t="str">
        <f>IFERROR(__xludf.DUMMYFUNCTION("""COMPUTED_VALUE"""),"POSTED")</f>
        <v>POSTED</v>
      </c>
      <c r="V2002" s="1"/>
      <c r="W2002" s="1"/>
    </row>
    <row r="2003" customHeight="1" spans="1:23">
      <c r="A2003" s="3">
        <f>IFERROR(__xludf.DUMMYFUNCTION("""COMPUTED_VALUE"""),46179)</f>
        <v>46179</v>
      </c>
      <c r="B2003" s="1" t="str">
        <f>IFERROR(__xludf.DUMMYFUNCTION("""COMPUTED_VALUE"""),"MAGDARAOG, KENNETH")</f>
        <v>MAGDARAOG, KENNETH</v>
      </c>
      <c r="C2003" s="1" t="str">
        <f>IFERROR(__xludf.DUMMYFUNCTION("""COMPUTED_VALUE"""),"ORGANIC")</f>
        <v>ORGANIC</v>
      </c>
      <c r="D2003" s="1" t="str">
        <f>IFERROR(__xludf.DUMMYFUNCTION("""COMPUTED_VALUE"""),"REMOLLO LEA")</f>
        <v>REMOLLO LEA</v>
      </c>
      <c r="E2003" s="1" t="str">
        <f>IFERROR(__xludf.DUMMYFUNCTION("""COMPUTED_VALUE"""),"PLDT / H2H")</f>
        <v>PLDT / H2H</v>
      </c>
      <c r="F2003" s="1">
        <f>IFERROR(__xludf.DUMMYFUNCTION("""COMPUTED_VALUE"""),2309988613)</f>
        <v>2309988613</v>
      </c>
      <c r="G2003" s="1"/>
      <c r="H2003" s="1" t="str">
        <f>IFERROR(__xludf.DUMMYFUNCTION("""COMPUTED_VALUE"""),"AIRENN TEDRIA DOLORES")</f>
        <v>AIRENN TEDRIA DOLORES</v>
      </c>
      <c r="I2003" s="1">
        <f>IFERROR(__xludf.DUMMYFUNCTION("""COMPUTED_VALUE"""),9658023513)</f>
        <v>9658023513</v>
      </c>
      <c r="J2003" s="1"/>
      <c r="K2003" s="1" t="str">
        <f>IFERROR(__xludf.DUMMYFUNCTION("""COMPUTED_VALUE"""),"airenndolores@gmail.com")</f>
        <v>airenndolores@gmail.com</v>
      </c>
      <c r="L2003" s="1" t="str">
        <f>IFERROR(__xludf.DUMMYFUNCTION("""COMPUTED_VALUE"""),"37")</f>
        <v>37</v>
      </c>
      <c r="M2003" s="1" t="str">
        <f>IFERROR(__xludf.DUMMYFUNCTION("""COMPUTED_VALUE"""),"PUROK 137")</f>
        <v>PUROK 137</v>
      </c>
      <c r="N2003" s="1"/>
      <c r="O2003" s="1" t="str">
        <f>IFERROR(__xludf.DUMMYFUNCTION("""COMPUTED_VALUE"""),"NEOGAN")</f>
        <v>NEOGAN</v>
      </c>
      <c r="P2003" s="1" t="str">
        <f>IFERROR(__xludf.DUMMYFUNCTION("""COMPUTED_VALUE"""),"TAGAYTAY")</f>
        <v>TAGAYTAY</v>
      </c>
      <c r="Q2003" s="1" t="str">
        <f>IFERROR(__xludf.DUMMYFUNCTION("""COMPUTED_VALUE"""),"CAVITE")</f>
        <v>CAVITE</v>
      </c>
      <c r="R2003" s="1" t="str">
        <f>IFERROR(__xludf.DUMMYFUNCTION("""COMPUTED_VALUE"""),"FIBR UNLI ALL PLAN 999")</f>
        <v>FIBR UNLI ALL PLAN 999</v>
      </c>
      <c r="S2003" s="1" t="str">
        <f>IFERROR(__xludf.DUMMYFUNCTION("""COMPUTED_VALUE"""),"APPROVED")</f>
        <v>APPROVED</v>
      </c>
      <c r="T2003" s="1" t="str">
        <f>IFERROR(__xludf.DUMMYFUNCTION("""COMPUTED_VALUE"""),"#N/A")</f>
        <v>#N/A</v>
      </c>
      <c r="U2003" s="1" t="str">
        <f>IFERROR(__xludf.DUMMYFUNCTION("""COMPUTED_VALUE"""),"POSTED")</f>
        <v>POSTED</v>
      </c>
      <c r="V2003" s="1"/>
      <c r="W2003" s="1"/>
    </row>
    <row r="2004" customHeight="1" spans="1:23">
      <c r="A2004" s="3">
        <f>IFERROR(__xludf.DUMMYFUNCTION("""COMPUTED_VALUE"""),46179)</f>
        <v>46179</v>
      </c>
      <c r="B2004" s="1" t="str">
        <f>IFERROR(__xludf.DUMMYFUNCTION("""COMPUTED_VALUE"""),"FERNANDEZ JERIC")</f>
        <v>FERNANDEZ JERIC</v>
      </c>
      <c r="C2004" s="1" t="str">
        <f>IFERROR(__xludf.DUMMYFUNCTION("""COMPUTED_VALUE"""),"ORGANIC")</f>
        <v>ORGANIC</v>
      </c>
      <c r="D2004" s="1" t="str">
        <f>IFERROR(__xludf.DUMMYFUNCTION("""COMPUTED_VALUE"""),"REMOLLO LEA")</f>
        <v>REMOLLO LEA</v>
      </c>
      <c r="E2004" s="1" t="str">
        <f>IFERROR(__xludf.DUMMYFUNCTION("""COMPUTED_VALUE"""),"RED FIBER")</f>
        <v>RED FIBER</v>
      </c>
      <c r="F2004" s="1"/>
      <c r="G2004" s="1"/>
      <c r="H2004" s="1" t="str">
        <f>IFERROR(__xludf.DUMMYFUNCTION("""COMPUTED_VALUE"""),"EUGENE MIRANDA BRIONES")</f>
        <v>EUGENE MIRANDA BRIONES</v>
      </c>
      <c r="I2004" s="1">
        <f>IFERROR(__xludf.DUMMYFUNCTION("""COMPUTED_VALUE"""),9063596839)</f>
        <v>9063596839</v>
      </c>
      <c r="J2004" s="1"/>
      <c r="K2004" s="1" t="str">
        <f>IFERROR(__xludf.DUMMYFUNCTION("""COMPUTED_VALUE"""),"eugenebriones289@gmail.com")</f>
        <v>eugenebriones289@gmail.com</v>
      </c>
      <c r="L2004" s="1" t="str">
        <f>IFERROR(__xludf.DUMMYFUNCTION("""COMPUTED_VALUE"""),"6892")</f>
        <v>6892</v>
      </c>
      <c r="M2004" s="1" t="str">
        <f>IFERROR(__xludf.DUMMYFUNCTION("""COMPUTED_VALUE"""),"CITRONELA")</f>
        <v>CITRONELA</v>
      </c>
      <c r="N2004" s="1"/>
      <c r="O2004" s="1" t="str">
        <f>IFERROR(__xludf.DUMMYFUNCTION("""COMPUTED_VALUE"""),"ULAT")</f>
        <v>ULAT</v>
      </c>
      <c r="P2004" s="1" t="str">
        <f>IFERROR(__xludf.DUMMYFUNCTION("""COMPUTED_VALUE"""),"SILANG")</f>
        <v>SILANG</v>
      </c>
      <c r="Q2004" s="1" t="str">
        <f>IFERROR(__xludf.DUMMYFUNCTION("""COMPUTED_VALUE"""),"CAVITE")</f>
        <v>CAVITE</v>
      </c>
      <c r="R2004" s="1" t="str">
        <f>IFERROR(__xludf.DUMMYFUNCTION("""COMPUTED_VALUE"""),"RED PLAN 1400")</f>
        <v>RED PLAN 1400</v>
      </c>
      <c r="S2004" s="1" t="str">
        <f>IFERROR(__xludf.DUMMYFUNCTION("""COMPUTED_VALUE"""),"APPROVED")</f>
        <v>APPROVED</v>
      </c>
      <c r="T2004" s="1" t="str">
        <f>IFERROR(__xludf.DUMMYFUNCTION("""COMPUTED_VALUE"""),"PAID")</f>
        <v>PAID</v>
      </c>
      <c r="U2004" s="1" t="str">
        <f>IFERROR(__xludf.DUMMYFUNCTION("""COMPUTED_VALUE"""),"POSTED")</f>
        <v>POSTED</v>
      </c>
      <c r="V2004" s="1"/>
      <c r="W2004" s="1"/>
    </row>
    <row r="2005" customHeight="1" spans="1:23">
      <c r="A2005" s="3">
        <f>IFERROR(__xludf.DUMMYFUNCTION("""COMPUTED_VALUE"""),46179)</f>
        <v>46179</v>
      </c>
      <c r="B2005" s="1" t="str">
        <f>IFERROR(__xludf.DUMMYFUNCTION("""COMPUTED_VALUE"""),"DACALCAP RUBEN")</f>
        <v>DACALCAP RUBEN</v>
      </c>
      <c r="C2005" s="1" t="str">
        <f>IFERROR(__xludf.DUMMYFUNCTION("""COMPUTED_VALUE"""),"FLA")</f>
        <v>FLA</v>
      </c>
      <c r="D2005" s="1" t="str">
        <f>IFERROR(__xludf.DUMMYFUNCTION("""COMPUTED_VALUE"""),"JERIC NAVARRO")</f>
        <v>JERIC NAVARRO</v>
      </c>
      <c r="E2005" s="1" t="str">
        <f>IFERROR(__xludf.DUMMYFUNCTION("""COMPUTED_VALUE"""),"PLDT / ONLINE")</f>
        <v>PLDT / ONLINE</v>
      </c>
      <c r="F2005" s="1">
        <f>IFERROR(__xludf.DUMMYFUNCTION("""COMPUTED_VALUE"""),2309992015)</f>
        <v>2309992015</v>
      </c>
      <c r="G2005" s="1"/>
      <c r="H2005" s="1" t="str">
        <f>IFERROR(__xludf.DUMMYFUNCTION("""COMPUTED_VALUE"""),"LARA VIREYNATO LAYUG")</f>
        <v>LARA VIREYNATO LAYUG</v>
      </c>
      <c r="I2005" s="1">
        <f>IFERROR(__xludf.DUMMYFUNCTION("""COMPUTED_VALUE"""),9158180131)</f>
        <v>9158180131</v>
      </c>
      <c r="J2005" s="1">
        <f>IFERROR(__xludf.DUMMYFUNCTION("""COMPUTED_VALUE"""),9518707026)</f>
        <v>9518707026</v>
      </c>
      <c r="K2005" s="1" t="str">
        <f>IFERROR(__xludf.DUMMYFUNCTION("""COMPUTED_VALUE"""),"laivireynato@gmail.com")</f>
        <v>laivireynato@gmail.com</v>
      </c>
      <c r="L2005" s="1" t="str">
        <f>IFERROR(__xludf.DUMMYFUNCTION("""COMPUTED_VALUE"""),"BLK 12 LOT 1")</f>
        <v>BLK 12 LOT 1</v>
      </c>
      <c r="M2005" s="1" t="str">
        <f>IFERROR(__xludf.DUMMYFUNCTION("""COMPUTED_VALUE"""),"BLESSED VILLE")</f>
        <v>BLESSED VILLE</v>
      </c>
      <c r="N2005" s="1"/>
      <c r="O2005" s="1" t="str">
        <f>IFERROR(__xludf.DUMMYFUNCTION("""COMPUTED_VALUE"""),"SAMPALOC II")</f>
        <v>SAMPALOC II</v>
      </c>
      <c r="P2005" s="1" t="str">
        <f>IFERROR(__xludf.DUMMYFUNCTION("""COMPUTED_VALUE"""),"DASMARINAS")</f>
        <v>DASMARINAS</v>
      </c>
      <c r="Q2005" s="1" t="str">
        <f>IFERROR(__xludf.DUMMYFUNCTION("""COMPUTED_VALUE"""),"CAVITE")</f>
        <v>CAVITE</v>
      </c>
      <c r="R2005" s="1" t="str">
        <f>IFERROR(__xludf.DUMMYFUNCTION("""COMPUTED_VALUE"""),"FIBR PLAN 1299")</f>
        <v>FIBR PLAN 1299</v>
      </c>
      <c r="S2005" s="1" t="str">
        <f>IFERROR(__xludf.DUMMYFUNCTION("""COMPUTED_VALUE"""),"APPROVED")</f>
        <v>APPROVED</v>
      </c>
      <c r="T2005" s="1" t="str">
        <f>IFERROR(__xludf.DUMMYFUNCTION("""COMPUTED_VALUE"""),"#N/A")</f>
        <v>#N/A</v>
      </c>
      <c r="U2005" s="1"/>
      <c r="V2005" s="1"/>
      <c r="W2005" s="1"/>
    </row>
    <row r="2006" customHeight="1" spans="1:23">
      <c r="A2006" s="3">
        <f>IFERROR(__xludf.DUMMYFUNCTION("""COMPUTED_VALUE"""),46179)</f>
        <v>46179</v>
      </c>
      <c r="B2006" s="1" t="str">
        <f>IFERROR(__xludf.DUMMYFUNCTION("""COMPUTED_VALUE"""),"FRONDEZ, JEDREFF")</f>
        <v>FRONDEZ, JEDREFF</v>
      </c>
      <c r="C2006" s="1" t="str">
        <f>IFERROR(__xludf.DUMMYFUNCTION("""COMPUTED_VALUE"""),"ORGANIC")</f>
        <v>ORGANIC</v>
      </c>
      <c r="D2006" s="1" t="str">
        <f>IFERROR(__xludf.DUMMYFUNCTION("""COMPUTED_VALUE"""),"REMOLLO LEA")</f>
        <v>REMOLLO LEA</v>
      </c>
      <c r="E2006" s="1" t="str">
        <f>IFERROR(__xludf.DUMMYFUNCTION("""COMPUTED_VALUE"""),"RED FIBER")</f>
        <v>RED FIBER</v>
      </c>
      <c r="F2006" s="1"/>
      <c r="G2006" s="1"/>
      <c r="H2006" s="1" t="str">
        <f>IFERROR(__xludf.DUMMYFUNCTION("""COMPUTED_VALUE"""),"LALISCA MAE CAJEPE ENCARNATION")</f>
        <v>LALISCA MAE CAJEPE ENCARNATION</v>
      </c>
      <c r="I2006" s="1">
        <f>IFERROR(__xludf.DUMMYFUNCTION("""COMPUTED_VALUE"""),9568101410)</f>
        <v>9568101410</v>
      </c>
      <c r="J2006" s="1">
        <f>IFERROR(__xludf.DUMMYFUNCTION("""COMPUTED_VALUE"""),9056618127)</f>
        <v>9056618127</v>
      </c>
      <c r="K2006" s="1" t="str">
        <f>IFERROR(__xludf.DUMMYFUNCTION("""COMPUTED_VALUE"""),"encarnacionlalisca@gmail.com")</f>
        <v>encarnacionlalisca@gmail.com</v>
      </c>
      <c r="L2006" s="1" t="str">
        <f>IFERROR(__xludf.DUMMYFUNCTION("""COMPUTED_VALUE"""),"5990")</f>
        <v>5990</v>
      </c>
      <c r="M2006" s="1" t="str">
        <f>IFERROR(__xludf.DUMMYFUNCTION("""COMPUTED_VALUE"""),"FRANCISCO RD")</f>
        <v>FRANCISCO RD</v>
      </c>
      <c r="N2006" s="1"/>
      <c r="O2006" s="1" t="str">
        <f>IFERROR(__xludf.DUMMYFUNCTION("""COMPUTED_VALUE"""),"ULAT")</f>
        <v>ULAT</v>
      </c>
      <c r="P2006" s="1" t="str">
        <f>IFERROR(__xludf.DUMMYFUNCTION("""COMPUTED_VALUE"""),"SILANG")</f>
        <v>SILANG</v>
      </c>
      <c r="Q2006" s="1" t="str">
        <f>IFERROR(__xludf.DUMMYFUNCTION("""COMPUTED_VALUE"""),"CAVITE")</f>
        <v>CAVITE</v>
      </c>
      <c r="R2006" s="1" t="str">
        <f>IFERROR(__xludf.DUMMYFUNCTION("""COMPUTED_VALUE"""),"RED PLAN 1400")</f>
        <v>RED PLAN 1400</v>
      </c>
      <c r="S2006" s="1" t="str">
        <f>IFERROR(__xludf.DUMMYFUNCTION("""COMPUTED_VALUE"""),"APPROVED")</f>
        <v>APPROVED</v>
      </c>
      <c r="T2006" s="1" t="str">
        <f>IFERROR(__xludf.DUMMYFUNCTION("""COMPUTED_VALUE"""),"PAID")</f>
        <v>PAID</v>
      </c>
      <c r="U2006" s="1" t="str">
        <f>IFERROR(__xludf.DUMMYFUNCTION("""COMPUTED_VALUE"""),"POSTED")</f>
        <v>POSTED</v>
      </c>
      <c r="V2006" s="1"/>
      <c r="W2006" s="1"/>
    </row>
    <row r="2007" customHeight="1" spans="1:23">
      <c r="A2007" s="3">
        <f>IFERROR(__xludf.DUMMYFUNCTION("""COMPUTED_VALUE"""),46179)</f>
        <v>46179</v>
      </c>
      <c r="B2007" s="1" t="str">
        <f>IFERROR(__xludf.DUMMYFUNCTION("""COMPUTED_VALUE"""),"FRANCISCO , ROSELYN")</f>
        <v>FRANCISCO , ROSELYN</v>
      </c>
      <c r="C2007" s="1" t="str">
        <f>IFERROR(__xludf.DUMMYFUNCTION("""COMPUTED_VALUE"""),"ORGANIC")</f>
        <v>ORGANIC</v>
      </c>
      <c r="D2007" s="1" t="str">
        <f>IFERROR(__xludf.DUMMYFUNCTION("""COMPUTED_VALUE"""),"REMOLLO LEA")</f>
        <v>REMOLLO LEA</v>
      </c>
      <c r="E2007" s="1" t="str">
        <f>IFERROR(__xludf.DUMMYFUNCTION("""COMPUTED_VALUE"""),"RED FIBER")</f>
        <v>RED FIBER</v>
      </c>
      <c r="F2007" s="1"/>
      <c r="G2007" s="1"/>
      <c r="H2007" s="1" t="str">
        <f>IFERROR(__xludf.DUMMYFUNCTION("""COMPUTED_VALUE"""),"CHRISTINE BACOS MARAAN")</f>
        <v>CHRISTINE BACOS MARAAN</v>
      </c>
      <c r="I2007" s="1">
        <f>IFERROR(__xludf.DUMMYFUNCTION("""COMPUTED_VALUE"""),9164473847)</f>
        <v>9164473847</v>
      </c>
      <c r="J2007" s="1"/>
      <c r="K2007" s="1" t="str">
        <f>IFERROR(__xludf.DUMMYFUNCTION("""COMPUTED_VALUE"""),"maraanchristine@gmail.com")</f>
        <v>maraanchristine@gmail.com</v>
      </c>
      <c r="L2007" s="1" t="str">
        <f>IFERROR(__xludf.DUMMYFUNCTION("""COMPUTED_VALUE"""),"1125")</f>
        <v>1125</v>
      </c>
      <c r="M2007" s="1" t="str">
        <f>IFERROR(__xludf.DUMMYFUNCTION("""COMPUTED_VALUE"""),"JP RIZAL")</f>
        <v>JP RIZAL</v>
      </c>
      <c r="N2007" s="1"/>
      <c r="O2007" s="1" t="str">
        <f>IFERROR(__xludf.DUMMYFUNCTION("""COMPUTED_VALUE"""),"POBLACION I")</f>
        <v>POBLACION I</v>
      </c>
      <c r="P2007" s="1" t="str">
        <f>IFERROR(__xludf.DUMMYFUNCTION("""COMPUTED_VALUE"""),"MENDEZ")</f>
        <v>MENDEZ</v>
      </c>
      <c r="Q2007" s="1" t="str">
        <f>IFERROR(__xludf.DUMMYFUNCTION("""COMPUTED_VALUE"""),"CAVITE")</f>
        <v>CAVITE</v>
      </c>
      <c r="R2007" s="1" t="str">
        <f>IFERROR(__xludf.DUMMYFUNCTION("""COMPUTED_VALUE"""),"RED PLAN 1000")</f>
        <v>RED PLAN 1000</v>
      </c>
      <c r="S2007" s="1" t="str">
        <f>IFERROR(__xludf.DUMMYFUNCTION("""COMPUTED_VALUE"""),"APPROVED")</f>
        <v>APPROVED</v>
      </c>
      <c r="T2007" s="1" t="str">
        <f>IFERROR(__xludf.DUMMYFUNCTION("""COMPUTED_VALUE"""),"PAID")</f>
        <v>PAID</v>
      </c>
      <c r="U2007" s="1" t="str">
        <f>IFERROR(__xludf.DUMMYFUNCTION("""COMPUTED_VALUE"""),"POSTED")</f>
        <v>POSTED</v>
      </c>
      <c r="V2007" s="1"/>
      <c r="W2007" s="1"/>
    </row>
    <row r="2008" customHeight="1" spans="1:23">
      <c r="A2008" s="3">
        <f>IFERROR(__xludf.DUMMYFUNCTION("""COMPUTED_VALUE"""),46179)</f>
        <v>46179</v>
      </c>
      <c r="B2008" s="1" t="str">
        <f>IFERROR(__xludf.DUMMYFUNCTION("""COMPUTED_VALUE"""),"MAGDARAOG, KENNETH")</f>
        <v>MAGDARAOG, KENNETH</v>
      </c>
      <c r="C2008" s="1" t="str">
        <f>IFERROR(__xludf.DUMMYFUNCTION("""COMPUTED_VALUE"""),"ORGANIC")</f>
        <v>ORGANIC</v>
      </c>
      <c r="D2008" s="1" t="str">
        <f>IFERROR(__xludf.DUMMYFUNCTION("""COMPUTED_VALUE"""),"REMOLLO LEA")</f>
        <v>REMOLLO LEA</v>
      </c>
      <c r="E2008" s="1" t="str">
        <f>IFERROR(__xludf.DUMMYFUNCTION("""COMPUTED_VALUE"""),"PLDT / ONLINE")</f>
        <v>PLDT / ONLINE</v>
      </c>
      <c r="F2008" s="1">
        <f>IFERROR(__xludf.DUMMYFUNCTION("""COMPUTED_VALUE"""),2309993469)</f>
        <v>2309993469</v>
      </c>
      <c r="G2008" s="1"/>
      <c r="H2008" s="1" t="str">
        <f>IFERROR(__xludf.DUMMYFUNCTION("""COMPUTED_VALUE"""),"LEMUEL PANO DOCENA")</f>
        <v>LEMUEL PANO DOCENA</v>
      </c>
      <c r="I2008" s="1">
        <f>IFERROR(__xludf.DUMMYFUNCTION("""COMPUTED_VALUE"""),9958327502)</f>
        <v>9958327502</v>
      </c>
      <c r="J2008" s="1">
        <f>IFERROR(__xludf.DUMMYFUNCTION("""COMPUTED_VALUE"""),9087583206)</f>
        <v>9087583206</v>
      </c>
      <c r="K2008" s="1" t="str">
        <f>IFERROR(__xludf.DUMMYFUNCTION("""COMPUTED_VALUE"""),"lemueldocena90@gmail.com")</f>
        <v>lemueldocena90@gmail.com</v>
      </c>
      <c r="L2008" s="1" t="str">
        <f>IFERROR(__xludf.DUMMYFUNCTION("""COMPUTED_VALUE"""),"BLK 1 LOT 22")</f>
        <v>BLK 1 LOT 22</v>
      </c>
      <c r="M2008" s="1" t="str">
        <f>IFERROR(__xludf.DUMMYFUNCTION("""COMPUTED_VALUE"""),"LITA BAY")</f>
        <v>LITA BAY</v>
      </c>
      <c r="N2008" s="1"/>
      <c r="O2008" s="1" t="str">
        <f>IFERROR(__xludf.DUMMYFUNCTION("""COMPUTED_VALUE"""),"PANUNGYAN I")</f>
        <v>PANUNGYAN I</v>
      </c>
      <c r="P2008" s="1" t="str">
        <f>IFERROR(__xludf.DUMMYFUNCTION("""COMPUTED_VALUE"""),"MENDEZ")</f>
        <v>MENDEZ</v>
      </c>
      <c r="Q2008" s="1" t="str">
        <f>IFERROR(__xludf.DUMMYFUNCTION("""COMPUTED_VALUE"""),"CAVITE")</f>
        <v>CAVITE</v>
      </c>
      <c r="R2008" s="1" t="str">
        <f>IFERROR(__xludf.DUMMYFUNCTION("""COMPUTED_VALUE"""),"FIBR PLAN 1299")</f>
        <v>FIBR PLAN 1299</v>
      </c>
      <c r="S2008" s="1" t="str">
        <f>IFERROR(__xludf.DUMMYFUNCTION("""COMPUTED_VALUE"""),"APPROVED")</f>
        <v>APPROVED</v>
      </c>
      <c r="T2008" s="1" t="str">
        <f>IFERROR(__xludf.DUMMYFUNCTION("""COMPUTED_VALUE"""),"#N/A")</f>
        <v>#N/A</v>
      </c>
      <c r="U2008" s="1" t="str">
        <f>IFERROR(__xludf.DUMMYFUNCTION("""COMPUTED_VALUE"""),"POSTED")</f>
        <v>POSTED</v>
      </c>
      <c r="V2008" s="1"/>
      <c r="W2008" s="1"/>
    </row>
    <row r="2009" customHeight="1" spans="1:23">
      <c r="A2009" s="3">
        <f>IFERROR(__xludf.DUMMYFUNCTION("""COMPUTED_VALUE"""),46179)</f>
        <v>46179</v>
      </c>
      <c r="B2009" s="1" t="str">
        <f>IFERROR(__xludf.DUMMYFUNCTION("""COMPUTED_VALUE"""),"RIVERA, AIRIZH JOY")</f>
        <v>RIVERA, AIRIZH JOY</v>
      </c>
      <c r="C2009" s="1" t="str">
        <f>IFERROR(__xludf.DUMMYFUNCTION("""COMPUTED_VALUE"""),"ORGANIC")</f>
        <v>ORGANIC</v>
      </c>
      <c r="D2009" s="1" t="str">
        <f>IFERROR(__xludf.DUMMYFUNCTION("""COMPUTED_VALUE"""),"REMOLLO LEA")</f>
        <v>REMOLLO LEA</v>
      </c>
      <c r="E2009" s="1" t="str">
        <f>IFERROR(__xludf.DUMMYFUNCTION("""COMPUTED_VALUE"""),"PLDT / H2H")</f>
        <v>PLDT / H2H</v>
      </c>
      <c r="F2009" s="1">
        <f>IFERROR(__xludf.DUMMYFUNCTION("""COMPUTED_VALUE"""),2309993856)</f>
        <v>2309993856</v>
      </c>
      <c r="G2009" s="1"/>
      <c r="H2009" s="1" t="str">
        <f>IFERROR(__xludf.DUMMYFUNCTION("""COMPUTED_VALUE"""),"JAN AUBREY DE OCAMPO PEREZ")</f>
        <v>JAN AUBREY DE OCAMPO PEREZ</v>
      </c>
      <c r="I2009" s="1">
        <f>IFERROR(__xludf.DUMMYFUNCTION("""COMPUTED_VALUE"""),9701787484)</f>
        <v>9701787484</v>
      </c>
      <c r="J2009" s="1">
        <f>IFERROR(__xludf.DUMMYFUNCTION("""COMPUTED_VALUE"""),9989375279)</f>
        <v>9989375279</v>
      </c>
      <c r="K2009" s="1" t="str">
        <f>IFERROR(__xludf.DUMMYFUNCTION("""COMPUTED_VALUE"""),"janaubreyperez19@gmail.com")</f>
        <v>janaubreyperez19@gmail.com</v>
      </c>
      <c r="L2009" s="1" t="str">
        <f>IFERROR(__xludf.DUMMYFUNCTION("""COMPUTED_VALUE"""),"3")</f>
        <v>3</v>
      </c>
      <c r="M2009" s="1" t="str">
        <f>IFERROR(__xludf.DUMMYFUNCTION("""COMPUTED_VALUE"""),"RAZUL")</f>
        <v>RAZUL</v>
      </c>
      <c r="N2009" s="1"/>
      <c r="O2009" s="1" t="str">
        <f>IFERROR(__xludf.DUMMYFUNCTION("""COMPUTED_VALUE"""),"BUKAL")</f>
        <v>BUKAL</v>
      </c>
      <c r="P2009" s="1" t="str">
        <f>IFERROR(__xludf.DUMMYFUNCTION("""COMPUTED_VALUE"""),"MENDEZ")</f>
        <v>MENDEZ</v>
      </c>
      <c r="Q2009" s="1" t="str">
        <f>IFERROR(__xludf.DUMMYFUNCTION("""COMPUTED_VALUE"""),"CAVITE")</f>
        <v>CAVITE</v>
      </c>
      <c r="R2009" s="1" t="str">
        <f>IFERROR(__xludf.DUMMYFUNCTION("""COMPUTED_VALUE"""),"FIBR PLAN 1299")</f>
        <v>FIBR PLAN 1299</v>
      </c>
      <c r="S2009" s="1" t="str">
        <f>IFERROR(__xludf.DUMMYFUNCTION("""COMPUTED_VALUE"""),"APPROVED")</f>
        <v>APPROVED</v>
      </c>
      <c r="T2009" s="1" t="str">
        <f>IFERROR(__xludf.DUMMYFUNCTION("""COMPUTED_VALUE"""),"#N/A")</f>
        <v>#N/A</v>
      </c>
      <c r="U2009" s="1" t="str">
        <f>IFERROR(__xludf.DUMMYFUNCTION("""COMPUTED_VALUE"""),"POSTED")</f>
        <v>POSTED</v>
      </c>
      <c r="V2009" s="1"/>
      <c r="W2009" s="1"/>
    </row>
    <row r="2010" customHeight="1" spans="1:23">
      <c r="A2010" s="3">
        <f>IFERROR(__xludf.DUMMYFUNCTION("""COMPUTED_VALUE"""),46179)</f>
        <v>46179</v>
      </c>
      <c r="B2010" s="1" t="str">
        <f>IFERROR(__xludf.DUMMYFUNCTION("""COMPUTED_VALUE"""),"DELA ROSA, JENNELYN")</f>
        <v>DELA ROSA, JENNELYN</v>
      </c>
      <c r="C2010" s="1" t="str">
        <f>IFERROR(__xludf.DUMMYFUNCTION("""COMPUTED_VALUE"""),"ORGANIC")</f>
        <v>ORGANIC</v>
      </c>
      <c r="D2010" s="1" t="str">
        <f>IFERROR(__xludf.DUMMYFUNCTION("""COMPUTED_VALUE"""),"REMOLLO LEA")</f>
        <v>REMOLLO LEA</v>
      </c>
      <c r="E2010" s="1" t="str">
        <f>IFERROR(__xludf.DUMMYFUNCTION("""COMPUTED_VALUE"""),"PLDT / ONLINE")</f>
        <v>PLDT / ONLINE</v>
      </c>
      <c r="F2010" s="1">
        <f>IFERROR(__xludf.DUMMYFUNCTION("""COMPUTED_VALUE"""),2309994185)</f>
        <v>2309994185</v>
      </c>
      <c r="G2010" s="1"/>
      <c r="H2010" s="1" t="str">
        <f>IFERROR(__xludf.DUMMYFUNCTION("""COMPUTED_VALUE"""),"JOYCE MENDOZA")</f>
        <v>JOYCE MENDOZA</v>
      </c>
      <c r="I2010" s="1">
        <f>IFERROR(__xludf.DUMMYFUNCTION("""COMPUTED_VALUE"""),9941772280)</f>
        <v>9941772280</v>
      </c>
      <c r="J2010" s="1">
        <f>IFERROR(__xludf.DUMMYFUNCTION("""COMPUTED_VALUE"""),9925344241)</f>
        <v>9925344241</v>
      </c>
      <c r="K2010" s="1" t="str">
        <f>IFERROR(__xludf.DUMMYFUNCTION("""COMPUTED_VALUE"""),"joelisanan32@gmail.com")</f>
        <v>joelisanan32@gmail.com</v>
      </c>
      <c r="L2010" s="1" t="str">
        <f>IFERROR(__xludf.DUMMYFUNCTION("""COMPUTED_VALUE"""),"BLK 91 LOT 13")</f>
        <v>BLK 91 LOT 13</v>
      </c>
      <c r="M2010" s="1" t="str">
        <f>IFERROR(__xludf.DUMMYFUNCTION("""COMPUTED_VALUE"""),"PHASE 4")</f>
        <v>PHASE 4</v>
      </c>
      <c r="N2010" s="1"/>
      <c r="O2010" s="1" t="str">
        <f>IFERROR(__xludf.DUMMYFUNCTION("""COMPUTED_VALUE"""),"IPIL II")</f>
        <v>IPIL II</v>
      </c>
      <c r="P2010" s="1" t="str">
        <f>IFERROR(__xludf.DUMMYFUNCTION("""COMPUTED_VALUE"""),"SILANG")</f>
        <v>SILANG</v>
      </c>
      <c r="Q2010" s="1" t="str">
        <f>IFERROR(__xludf.DUMMYFUNCTION("""COMPUTED_VALUE"""),"CAVITE")</f>
        <v>CAVITE</v>
      </c>
      <c r="R2010" s="1" t="str">
        <f>IFERROR(__xludf.DUMMYFUNCTION("""COMPUTED_VALUE"""),"FIBR NETFLIX PLAN 1599")</f>
        <v>FIBR NETFLIX PLAN 1599</v>
      </c>
      <c r="S2010" s="1" t="str">
        <f>IFERROR(__xludf.DUMMYFUNCTION("""COMPUTED_VALUE"""),"APPROVED")</f>
        <v>APPROVED</v>
      </c>
      <c r="T2010" s="1" t="str">
        <f>IFERROR(__xludf.DUMMYFUNCTION("""COMPUTED_VALUE"""),"#N/A")</f>
        <v>#N/A</v>
      </c>
      <c r="U2010" s="1"/>
      <c r="V2010" s="1"/>
      <c r="W2010" s="1"/>
    </row>
    <row r="2011" customHeight="1" spans="1:23">
      <c r="A2011" s="3">
        <f>IFERROR(__xludf.DUMMYFUNCTION("""COMPUTED_VALUE"""),46179)</f>
        <v>46179</v>
      </c>
      <c r="B2011" s="1" t="str">
        <f>IFERROR(__xludf.DUMMYFUNCTION("""COMPUTED_VALUE"""),"CASTILLEJOS, ARREL")</f>
        <v>CASTILLEJOS, ARREL</v>
      </c>
      <c r="C2011" s="1" t="str">
        <f>IFERROR(__xludf.DUMMYFUNCTION("""COMPUTED_VALUE"""),"ORGANIC")</f>
        <v>ORGANIC</v>
      </c>
      <c r="D2011" s="1" t="str">
        <f>IFERROR(__xludf.DUMMYFUNCTION("""COMPUTED_VALUE"""),"REMOLLO LEA")</f>
        <v>REMOLLO LEA</v>
      </c>
      <c r="E2011" s="1" t="str">
        <f>IFERROR(__xludf.DUMMYFUNCTION("""COMPUTED_VALUE"""),"PLDT / ONLINE")</f>
        <v>PLDT / ONLINE</v>
      </c>
      <c r="F2011" s="1">
        <f>IFERROR(__xludf.DUMMYFUNCTION("""COMPUTED_VALUE"""),2309994667)</f>
        <v>2309994667</v>
      </c>
      <c r="G2011" s="1"/>
      <c r="H2011" s="1" t="str">
        <f>IFERROR(__xludf.DUMMYFUNCTION("""COMPUTED_VALUE"""),"SUSANA VENTURA UBALUBAO")</f>
        <v>SUSANA VENTURA UBALUBAO</v>
      </c>
      <c r="I2011" s="1">
        <f>IFERROR(__xludf.DUMMYFUNCTION("""COMPUTED_VALUE"""),9093735035)</f>
        <v>9093735035</v>
      </c>
      <c r="J2011" s="1">
        <f>IFERROR(__xludf.DUMMYFUNCTION("""COMPUTED_VALUE"""),9940789025)</f>
        <v>9940789025</v>
      </c>
      <c r="K2011" s="1" t="str">
        <f>IFERROR(__xludf.DUMMYFUNCTION("""COMPUTED_VALUE"""),"susanaubalubao@gmail.com")</f>
        <v>susanaubalubao@gmail.com</v>
      </c>
      <c r="L2011" s="1" t="str">
        <f>IFERROR(__xludf.DUMMYFUNCTION("""COMPUTED_VALUE"""),"BLK 7A LOT 38")</f>
        <v>BLK 7A LOT 38</v>
      </c>
      <c r="M2011" s="1" t="str">
        <f>IFERROR(__xludf.DUMMYFUNCTION("""COMPUTED_VALUE"""),"YELLOW ST")</f>
        <v>YELLOW ST</v>
      </c>
      <c r="N2011" s="1"/>
      <c r="O2011" s="1" t="str">
        <f>IFERROR(__xludf.DUMMYFUNCTION("""COMPUTED_VALUE"""),"TINIENTE TIAGO")</f>
        <v>TINIENTE TIAGO</v>
      </c>
      <c r="P2011" s="1" t="str">
        <f>IFERROR(__xludf.DUMMYFUNCTION("""COMPUTED_VALUE"""),"GEN MARIANO ALVAREZ")</f>
        <v>GEN MARIANO ALVAREZ</v>
      </c>
      <c r="Q2011" s="1" t="str">
        <f>IFERROR(__xludf.DUMMYFUNCTION("""COMPUTED_VALUE"""),"CAVITE")</f>
        <v>CAVITE</v>
      </c>
      <c r="R2011" s="1" t="str">
        <f>IFERROR(__xludf.DUMMYFUNCTION("""COMPUTED_VALUE"""),"FIBR UNLI ALL PLAN 999")</f>
        <v>FIBR UNLI ALL PLAN 999</v>
      </c>
      <c r="S2011" s="1" t="str">
        <f>IFERROR(__xludf.DUMMYFUNCTION("""COMPUTED_VALUE"""),"APPROVED")</f>
        <v>APPROVED</v>
      </c>
      <c r="T2011" s="1" t="str">
        <f>IFERROR(__xludf.DUMMYFUNCTION("""COMPUTED_VALUE"""),"#N/A")</f>
        <v>#N/A</v>
      </c>
      <c r="U2011" s="1" t="str">
        <f>IFERROR(__xludf.DUMMYFUNCTION("""COMPUTED_VALUE"""),"POSTED")</f>
        <v>POSTED</v>
      </c>
      <c r="V2011" s="1"/>
      <c r="W2011" s="1"/>
    </row>
    <row r="2012" customHeight="1" spans="1:23">
      <c r="A2012" s="3">
        <f>IFERROR(__xludf.DUMMYFUNCTION("""COMPUTED_VALUE"""),46179)</f>
        <v>46179</v>
      </c>
      <c r="B2012" s="1" t="str">
        <f>IFERROR(__xludf.DUMMYFUNCTION("""COMPUTED_VALUE"""),"ODY , CLARENCE")</f>
        <v>ODY , CLARENCE</v>
      </c>
      <c r="C2012" s="1" t="str">
        <f>IFERROR(__xludf.DUMMYFUNCTION("""COMPUTED_VALUE"""),"ORGANIC")</f>
        <v>ORGANIC</v>
      </c>
      <c r="D2012" s="1" t="str">
        <f>IFERROR(__xludf.DUMMYFUNCTION("""COMPUTED_VALUE"""),"REMOLLO LEA")</f>
        <v>REMOLLO LEA</v>
      </c>
      <c r="E2012" s="1" t="str">
        <f>IFERROR(__xludf.DUMMYFUNCTION("""COMPUTED_VALUE"""),"PLDT / ONLINE")</f>
        <v>PLDT / ONLINE</v>
      </c>
      <c r="F2012" s="1">
        <f>IFERROR(__xludf.DUMMYFUNCTION("""COMPUTED_VALUE"""),2309995008)</f>
        <v>2309995008</v>
      </c>
      <c r="G2012" s="1"/>
      <c r="H2012" s="1" t="str">
        <f>IFERROR(__xludf.DUMMYFUNCTION("""COMPUTED_VALUE"""),"RIOMER SARMIENTO GALABIN")</f>
        <v>RIOMER SARMIENTO GALABIN</v>
      </c>
      <c r="I2012" s="1">
        <f>IFERROR(__xludf.DUMMYFUNCTION("""COMPUTED_VALUE"""),9202680740)</f>
        <v>9202680740</v>
      </c>
      <c r="J2012" s="1"/>
      <c r="K2012" s="1" t="str">
        <f>IFERROR(__xludf.DUMMYFUNCTION("""COMPUTED_VALUE"""),"riomersarmientogalabin@gmail.com")</f>
        <v>riomersarmientogalabin@gmail.com</v>
      </c>
      <c r="L2012" s="1" t="str">
        <f>IFERROR(__xludf.DUMMYFUNCTION("""COMPUTED_VALUE"""),"BLK 2 LOT 1")</f>
        <v>BLK 2 LOT 1</v>
      </c>
      <c r="M2012" s="1" t="str">
        <f>IFERROR(__xludf.DUMMYFUNCTION("""COMPUTED_VALUE"""),"PHASE 1")</f>
        <v>PHASE 1</v>
      </c>
      <c r="N2012" s="1" t="str">
        <f>IFERROR(__xludf.DUMMYFUNCTION("""COMPUTED_VALUE"""),"AUSTINE VILLAGE")</f>
        <v>AUSTINE VILLAGE</v>
      </c>
      <c r="O2012" s="1" t="str">
        <f>IFERROR(__xludf.DUMMYFUNCTION("""COMPUTED_VALUE"""),"BIWAS")</f>
        <v>BIWAS</v>
      </c>
      <c r="P2012" s="1" t="str">
        <f>IFERROR(__xludf.DUMMYFUNCTION("""COMPUTED_VALUE"""),"TANZA")</f>
        <v>TANZA</v>
      </c>
      <c r="Q2012" s="1" t="str">
        <f>IFERROR(__xludf.DUMMYFUNCTION("""COMPUTED_VALUE"""),"CAVITE")</f>
        <v>CAVITE</v>
      </c>
      <c r="R2012" s="1" t="str">
        <f>IFERROR(__xludf.DUMMYFUNCTION("""COMPUTED_VALUE"""),"FIBR UNLI ALL PLAN 999")</f>
        <v>FIBR UNLI ALL PLAN 999</v>
      </c>
      <c r="S2012" s="1" t="str">
        <f>IFERROR(__xludf.DUMMYFUNCTION("""COMPUTED_VALUE"""),"APPROVED")</f>
        <v>APPROVED</v>
      </c>
      <c r="T2012" s="1" t="str">
        <f>IFERROR(__xludf.DUMMYFUNCTION("""COMPUTED_VALUE"""),"#N/A")</f>
        <v>#N/A</v>
      </c>
      <c r="U2012" s="1" t="str">
        <f>IFERROR(__xludf.DUMMYFUNCTION("""COMPUTED_VALUE"""),"POSTED")</f>
        <v>POSTED</v>
      </c>
      <c r="V2012" s="1"/>
      <c r="W2012" s="1"/>
    </row>
    <row r="2013" customHeight="1" spans="1:23">
      <c r="A2013" s="3">
        <f>IFERROR(__xludf.DUMMYFUNCTION("""COMPUTED_VALUE"""),46179)</f>
        <v>46179</v>
      </c>
      <c r="B2013" s="1" t="str">
        <f>IFERROR(__xludf.DUMMYFUNCTION("""COMPUTED_VALUE"""),"AGUNOS, JHON AIRVIN")</f>
        <v>AGUNOS, JHON AIRVIN</v>
      </c>
      <c r="C2013" s="1" t="str">
        <f>IFERROR(__xludf.DUMMYFUNCTION("""COMPUTED_VALUE"""),"ORGANIC")</f>
        <v>ORGANIC</v>
      </c>
      <c r="D2013" s="1" t="str">
        <f>IFERROR(__xludf.DUMMYFUNCTION("""COMPUTED_VALUE"""),"REMOLLO LEA")</f>
        <v>REMOLLO LEA</v>
      </c>
      <c r="E2013" s="1" t="str">
        <f>IFERROR(__xludf.DUMMYFUNCTION("""COMPUTED_VALUE"""),"PLDT / H2H")</f>
        <v>PLDT / H2H</v>
      </c>
      <c r="F2013" s="1">
        <f>IFERROR(__xludf.DUMMYFUNCTION("""COMPUTED_VALUE"""),2309996185)</f>
        <v>2309996185</v>
      </c>
      <c r="G2013" s="1"/>
      <c r="H2013" s="1" t="str">
        <f>IFERROR(__xludf.DUMMYFUNCTION("""COMPUTED_VALUE"""),"MARISSA VIVA FRONDA")</f>
        <v>MARISSA VIVA FRONDA</v>
      </c>
      <c r="I2013" s="1">
        <f>IFERROR(__xludf.DUMMYFUNCTION("""COMPUTED_VALUE"""),9555676537)</f>
        <v>9555676537</v>
      </c>
      <c r="J2013" s="1"/>
      <c r="K2013" s="1" t="str">
        <f>IFERROR(__xludf.DUMMYFUNCTION("""COMPUTED_VALUE"""),"vivamarissab025@gmail.com")</f>
        <v>vivamarissab025@gmail.com</v>
      </c>
      <c r="L2013" s="1" t="str">
        <f>IFERROR(__xludf.DUMMYFUNCTION("""COMPUTED_VALUE"""),"163")</f>
        <v>163</v>
      </c>
      <c r="M2013" s="1" t="str">
        <f>IFERROR(__xludf.DUMMYFUNCTION("""COMPUTED_VALUE"""),"SITIO PANTAY")</f>
        <v>SITIO PANTAY</v>
      </c>
      <c r="N2013" s="1"/>
      <c r="O2013" s="1" t="str">
        <f>IFERROR(__xludf.DUMMYFUNCTION("""COMPUTED_VALUE"""),"MAGUYAM")</f>
        <v>MAGUYAM</v>
      </c>
      <c r="P2013" s="1" t="str">
        <f>IFERROR(__xludf.DUMMYFUNCTION("""COMPUTED_VALUE"""),"SILANG")</f>
        <v>SILANG</v>
      </c>
      <c r="Q2013" s="1" t="str">
        <f>IFERROR(__xludf.DUMMYFUNCTION("""COMPUTED_VALUE"""),"CAVITE")</f>
        <v>CAVITE</v>
      </c>
      <c r="R2013" s="1" t="str">
        <f>IFERROR(__xludf.DUMMYFUNCTION("""COMPUTED_VALUE"""),"FIBR NETFLIX PLAN 1599")</f>
        <v>FIBR NETFLIX PLAN 1599</v>
      </c>
      <c r="S2013" s="1" t="str">
        <f>IFERROR(__xludf.DUMMYFUNCTION("""COMPUTED_VALUE"""),"APPROVED")</f>
        <v>APPROVED</v>
      </c>
      <c r="T2013" s="1" t="str">
        <f>IFERROR(__xludf.DUMMYFUNCTION("""COMPUTED_VALUE"""),"#N/A")</f>
        <v>#N/A</v>
      </c>
      <c r="U2013" s="1"/>
      <c r="V2013" s="1"/>
      <c r="W2013" s="1"/>
    </row>
    <row r="2014" customHeight="1" spans="1:23">
      <c r="A2014" s="3">
        <f>IFERROR(__xludf.DUMMYFUNCTION("""COMPUTED_VALUE"""),46180)</f>
        <v>46180</v>
      </c>
      <c r="B2014" s="1" t="str">
        <f>IFERROR(__xludf.DUMMYFUNCTION("""COMPUTED_VALUE"""),"FRANCISCO , ROSELYN")</f>
        <v>FRANCISCO , ROSELYN</v>
      </c>
      <c r="C2014" s="1" t="str">
        <f>IFERROR(__xludf.DUMMYFUNCTION("""COMPUTED_VALUE"""),"ORGANIC")</f>
        <v>ORGANIC</v>
      </c>
      <c r="D2014" s="1" t="str">
        <f>IFERROR(__xludf.DUMMYFUNCTION("""COMPUTED_VALUE"""),"REMOLLO LEA")</f>
        <v>REMOLLO LEA</v>
      </c>
      <c r="E2014" s="1" t="str">
        <f>IFERROR(__xludf.DUMMYFUNCTION("""COMPUTED_VALUE"""),"PLDT / ONLINE")</f>
        <v>PLDT / ONLINE</v>
      </c>
      <c r="F2014" s="1">
        <f>IFERROR(__xludf.DUMMYFUNCTION("""COMPUTED_VALUE"""),2310008732)</f>
        <v>2310008732</v>
      </c>
      <c r="G2014" s="1"/>
      <c r="H2014" s="1" t="str">
        <f>IFERROR(__xludf.DUMMYFUNCTION("""COMPUTED_VALUE"""),"SUNLIGHT DOMINGUEZ BEGINO")</f>
        <v>SUNLIGHT DOMINGUEZ BEGINO</v>
      </c>
      <c r="I2014" s="1">
        <f>IFERROR(__xludf.DUMMYFUNCTION("""COMPUTED_VALUE"""),9511514828)</f>
        <v>9511514828</v>
      </c>
      <c r="J2014" s="1">
        <f>IFERROR(__xludf.DUMMYFUNCTION("""COMPUTED_VALUE"""),9091057036)</f>
        <v>9091057036</v>
      </c>
      <c r="K2014" s="1" t="str">
        <f>IFERROR(__xludf.DUMMYFUNCTION("""COMPUTED_VALUE"""),"manoregine03@gmail.com")</f>
        <v>manoregine03@gmail.com</v>
      </c>
      <c r="L2014" s="1" t="str">
        <f>IFERROR(__xludf.DUMMYFUNCTION("""COMPUTED_VALUE"""),"167")</f>
        <v>167</v>
      </c>
      <c r="M2014" s="1" t="str">
        <f>IFERROR(__xludf.DUMMYFUNCTION("""COMPUTED_VALUE"""),"PUROK 137")</f>
        <v>PUROK 137</v>
      </c>
      <c r="N2014" s="1"/>
      <c r="O2014" s="1" t="str">
        <f>IFERROR(__xludf.DUMMYFUNCTION("""COMPUTED_VALUE"""),"MANGAS II")</f>
        <v>MANGAS II</v>
      </c>
      <c r="P2014" s="1" t="str">
        <f>IFERROR(__xludf.DUMMYFUNCTION("""COMPUTED_VALUE"""),"ALFONSO")</f>
        <v>ALFONSO</v>
      </c>
      <c r="Q2014" s="1" t="str">
        <f>IFERROR(__xludf.DUMMYFUNCTION("""COMPUTED_VALUE"""),"CAVITE")</f>
        <v>CAVITE</v>
      </c>
      <c r="R2014" s="1" t="str">
        <f>IFERROR(__xludf.DUMMYFUNCTION("""COMPUTED_VALUE"""),"FIBR PLAN 1299")</f>
        <v>FIBR PLAN 1299</v>
      </c>
      <c r="S2014" s="1" t="str">
        <f>IFERROR(__xludf.DUMMYFUNCTION("""COMPUTED_VALUE"""),"APPROVED")</f>
        <v>APPROVED</v>
      </c>
      <c r="T2014" s="1" t="str">
        <f>IFERROR(__xludf.DUMMYFUNCTION("""COMPUTED_VALUE"""),"#N/A")</f>
        <v>#N/A</v>
      </c>
      <c r="U2014" s="1" t="str">
        <f>IFERROR(__xludf.DUMMYFUNCTION("""COMPUTED_VALUE"""),"POSTED")</f>
        <v>POSTED</v>
      </c>
      <c r="V2014" s="1"/>
      <c r="W2014" s="1"/>
    </row>
    <row r="2015" customHeight="1" spans="1:23">
      <c r="A2015" s="3">
        <f>IFERROR(__xludf.DUMMYFUNCTION("""COMPUTED_VALUE"""),46180)</f>
        <v>46180</v>
      </c>
      <c r="B2015" s="1" t="str">
        <f>IFERROR(__xludf.DUMMYFUNCTION("""COMPUTED_VALUE"""),"ESCARCHA, MA ALMA  ESCOTO")</f>
        <v>ESCARCHA, MA ALMA  ESCOTO</v>
      </c>
      <c r="C2015" s="1" t="str">
        <f>IFERROR(__xludf.DUMMYFUNCTION("""COMPUTED_VALUE"""),"ORGANIC")</f>
        <v>ORGANIC</v>
      </c>
      <c r="D2015" s="1" t="str">
        <f>IFERROR(__xludf.DUMMYFUNCTION("""COMPUTED_VALUE"""),"REMOLLO LEA")</f>
        <v>REMOLLO LEA</v>
      </c>
      <c r="E2015" s="1" t="str">
        <f>IFERROR(__xludf.DUMMYFUNCTION("""COMPUTED_VALUE"""),"RED FIBER")</f>
        <v>RED FIBER</v>
      </c>
      <c r="F2015" s="1"/>
      <c r="G2015" s="1"/>
      <c r="H2015" s="1" t="str">
        <f>IFERROR(__xludf.DUMMYFUNCTION("""COMPUTED_VALUE"""),"ROBIN PACURSA MACANAS")</f>
        <v>ROBIN PACURSA MACANAS</v>
      </c>
      <c r="I2015" s="1">
        <f>IFERROR(__xludf.DUMMYFUNCTION("""COMPUTED_VALUE"""),9352632060)</f>
        <v>9352632060</v>
      </c>
      <c r="J2015" s="1"/>
      <c r="K2015" s="1" t="str">
        <f>IFERROR(__xludf.DUMMYFUNCTION("""COMPUTED_VALUE"""),"macanasribin@gmail,com")</f>
        <v>macanasribin@gmail,com</v>
      </c>
      <c r="L2015" s="1" t="str">
        <f>IFERROR(__xludf.DUMMYFUNCTION("""COMPUTED_VALUE"""),"134")</f>
        <v>134</v>
      </c>
      <c r="M2015" s="1" t="str">
        <f>IFERROR(__xludf.DUMMYFUNCTION("""COMPUTED_VALUE"""),"PUROK 4")</f>
        <v>PUROK 4</v>
      </c>
      <c r="N2015" s="1"/>
      <c r="O2015" s="1" t="str">
        <f>IFERROR(__xludf.DUMMYFUNCTION("""COMPUTED_VALUE"""),"ULAT")</f>
        <v>ULAT</v>
      </c>
      <c r="P2015" s="1" t="str">
        <f>IFERROR(__xludf.DUMMYFUNCTION("""COMPUTED_VALUE"""),"SILANG")</f>
        <v>SILANG</v>
      </c>
      <c r="Q2015" s="1" t="str">
        <f>IFERROR(__xludf.DUMMYFUNCTION("""COMPUTED_VALUE"""),"CAVITE")</f>
        <v>CAVITE</v>
      </c>
      <c r="R2015" s="1" t="str">
        <f>IFERROR(__xludf.DUMMYFUNCTION("""COMPUTED_VALUE"""),"RED PLAN 1000")</f>
        <v>RED PLAN 1000</v>
      </c>
      <c r="S2015" s="1" t="str">
        <f>IFERROR(__xludf.DUMMYFUNCTION("""COMPUTED_VALUE"""),"APPROVED")</f>
        <v>APPROVED</v>
      </c>
      <c r="T2015" s="1" t="str">
        <f>IFERROR(__xludf.DUMMYFUNCTION("""COMPUTED_VALUE"""),"#N/A")</f>
        <v>#N/A</v>
      </c>
      <c r="U2015" s="1"/>
      <c r="V2015" s="1"/>
      <c r="W2015" s="1"/>
    </row>
    <row r="2016" customHeight="1" spans="1:23">
      <c r="A2016" s="3">
        <f>IFERROR(__xludf.DUMMYFUNCTION("""COMPUTED_VALUE"""),46180)</f>
        <v>46180</v>
      </c>
      <c r="B2016" s="1" t="str">
        <f>IFERROR(__xludf.DUMMYFUNCTION("""COMPUTED_VALUE"""),"ODY , CLARENCE")</f>
        <v>ODY , CLARENCE</v>
      </c>
      <c r="C2016" s="1" t="str">
        <f>IFERROR(__xludf.DUMMYFUNCTION("""COMPUTED_VALUE"""),"ORGANIC")</f>
        <v>ORGANIC</v>
      </c>
      <c r="D2016" s="1" t="str">
        <f>IFERROR(__xludf.DUMMYFUNCTION("""COMPUTED_VALUE"""),"REMOLLO LEA")</f>
        <v>REMOLLO LEA</v>
      </c>
      <c r="E2016" s="1" t="str">
        <f>IFERROR(__xludf.DUMMYFUNCTION("""COMPUTED_VALUE"""),"RED FIBER")</f>
        <v>RED FIBER</v>
      </c>
      <c r="F2016" s="1"/>
      <c r="G2016" s="1"/>
      <c r="H2016" s="1" t="str">
        <f>IFERROR(__xludf.DUMMYFUNCTION("""COMPUTED_VALUE"""),"LAZARO MOLATO ORAYE")</f>
        <v>LAZARO MOLATO ORAYE</v>
      </c>
      <c r="I2016" s="1">
        <f>IFERROR(__xludf.DUMMYFUNCTION("""COMPUTED_VALUE"""),9386984596)</f>
        <v>9386984596</v>
      </c>
      <c r="J2016" s="1">
        <f>IFERROR(__xludf.DUMMYFUNCTION("""COMPUTED_VALUE"""),9273555419)</f>
        <v>9273555419</v>
      </c>
      <c r="K2016" s="1" t="str">
        <f>IFERROR(__xludf.DUMMYFUNCTION("""COMPUTED_VALUE"""),"orayelazaro@gmail.com")</f>
        <v>orayelazaro@gmail.com</v>
      </c>
      <c r="L2016" s="1" t="str">
        <f>IFERROR(__xludf.DUMMYFUNCTION("""COMPUTED_VALUE"""),"178")</f>
        <v>178</v>
      </c>
      <c r="M2016" s="1" t="str">
        <f>IFERROR(__xludf.DUMMYFUNCTION("""COMPUTED_VALUE"""),"PUROK 3")</f>
        <v>PUROK 3</v>
      </c>
      <c r="N2016" s="1"/>
      <c r="O2016" s="1" t="str">
        <f>IFERROR(__xludf.DUMMYFUNCTION("""COMPUTED_VALUE"""),"ULAT")</f>
        <v>ULAT</v>
      </c>
      <c r="P2016" s="1" t="str">
        <f>IFERROR(__xludf.DUMMYFUNCTION("""COMPUTED_VALUE"""),"SILANG")</f>
        <v>SILANG</v>
      </c>
      <c r="Q2016" s="1" t="str">
        <f>IFERROR(__xludf.DUMMYFUNCTION("""COMPUTED_VALUE"""),"CAVITE")</f>
        <v>CAVITE</v>
      </c>
      <c r="R2016" s="1" t="str">
        <f>IFERROR(__xludf.DUMMYFUNCTION("""COMPUTED_VALUE"""),"RED PLAN 1000")</f>
        <v>RED PLAN 1000</v>
      </c>
      <c r="S2016" s="1" t="str">
        <f>IFERROR(__xludf.DUMMYFUNCTION("""COMPUTED_VALUE"""),"APPROVED")</f>
        <v>APPROVED</v>
      </c>
      <c r="T2016" s="1" t="str">
        <f>IFERROR(__xludf.DUMMYFUNCTION("""COMPUTED_VALUE"""),"#N/A")</f>
        <v>#N/A</v>
      </c>
      <c r="U2016" s="1"/>
      <c r="V2016" s="1"/>
      <c r="W2016" s="1"/>
    </row>
    <row r="2017" customHeight="1" spans="1:23">
      <c r="A2017" s="3">
        <f>IFERROR(__xludf.DUMMYFUNCTION("""COMPUTED_VALUE"""),46180)</f>
        <v>46180</v>
      </c>
      <c r="B2017" s="1" t="str">
        <f>IFERROR(__xludf.DUMMYFUNCTION("""COMPUTED_VALUE"""),"ODY , CLARENCE")</f>
        <v>ODY , CLARENCE</v>
      </c>
      <c r="C2017" s="1" t="str">
        <f>IFERROR(__xludf.DUMMYFUNCTION("""COMPUTED_VALUE"""),"ORGANIC")</f>
        <v>ORGANIC</v>
      </c>
      <c r="D2017" s="1" t="str">
        <f>IFERROR(__xludf.DUMMYFUNCTION("""COMPUTED_VALUE"""),"REMOLLO LEA")</f>
        <v>REMOLLO LEA</v>
      </c>
      <c r="E2017" s="1" t="str">
        <f>IFERROR(__xludf.DUMMYFUNCTION("""COMPUTED_VALUE"""),"RED FIBER")</f>
        <v>RED FIBER</v>
      </c>
      <c r="F2017" s="1"/>
      <c r="G2017" s="1"/>
      <c r="H2017" s="1" t="str">
        <f>IFERROR(__xludf.DUMMYFUNCTION("""COMPUTED_VALUE"""),"KAREN GRECE TIBRE CAMINO")</f>
        <v>KAREN GRECE TIBRE CAMINO</v>
      </c>
      <c r="I2017" s="1">
        <f>IFERROR(__xludf.DUMMYFUNCTION("""COMPUTED_VALUE"""),9926448772)</f>
        <v>9926448772</v>
      </c>
      <c r="J2017" s="1">
        <f>IFERROR(__xludf.DUMMYFUNCTION("""COMPUTED_VALUE"""),9458703306)</f>
        <v>9458703306</v>
      </c>
      <c r="K2017" s="1" t="str">
        <f>IFERROR(__xludf.DUMMYFUNCTION("""COMPUTED_VALUE"""),"karengrececamino30@gmail.com")</f>
        <v>karengrececamino30@gmail.com</v>
      </c>
      <c r="L2017" s="1" t="str">
        <f>IFERROR(__xludf.DUMMYFUNCTION("""COMPUTED_VALUE"""),"251")</f>
        <v>251</v>
      </c>
      <c r="M2017" s="1" t="str">
        <f>IFERROR(__xludf.DUMMYFUNCTION("""COMPUTED_VALUE"""),"PUROK 7")</f>
        <v>PUROK 7</v>
      </c>
      <c r="N2017" s="1"/>
      <c r="O2017" s="1" t="str">
        <f>IFERROR(__xludf.DUMMYFUNCTION("""COMPUTED_VALUE"""),"ULAT")</f>
        <v>ULAT</v>
      </c>
      <c r="P2017" s="1" t="str">
        <f>IFERROR(__xludf.DUMMYFUNCTION("""COMPUTED_VALUE"""),"SILANG")</f>
        <v>SILANG</v>
      </c>
      <c r="Q2017" s="1" t="str">
        <f>IFERROR(__xludf.DUMMYFUNCTION("""COMPUTED_VALUE"""),"CAVITE")</f>
        <v>CAVITE</v>
      </c>
      <c r="R2017" s="1" t="str">
        <f>IFERROR(__xludf.DUMMYFUNCTION("""COMPUTED_VALUE"""),"RED PLAN 1000")</f>
        <v>RED PLAN 1000</v>
      </c>
      <c r="S2017" s="1" t="str">
        <f>IFERROR(__xludf.DUMMYFUNCTION("""COMPUTED_VALUE"""),"APPROVED")</f>
        <v>APPROVED</v>
      </c>
      <c r="T2017" s="1" t="str">
        <f>IFERROR(__xludf.DUMMYFUNCTION("""COMPUTED_VALUE"""),"PAID")</f>
        <v>PAID</v>
      </c>
      <c r="U2017" s="1" t="str">
        <f>IFERROR(__xludf.DUMMYFUNCTION("""COMPUTED_VALUE"""),"POSTED")</f>
        <v>POSTED</v>
      </c>
      <c r="V2017" s="1"/>
      <c r="W2017" s="1"/>
    </row>
    <row r="2018" customHeight="1" spans="1:23">
      <c r="A2018" s="3">
        <f>IFERROR(__xludf.DUMMYFUNCTION("""COMPUTED_VALUE"""),46180)</f>
        <v>46180</v>
      </c>
      <c r="B2018" s="1" t="str">
        <f>IFERROR(__xludf.DUMMYFUNCTION("""COMPUTED_VALUE"""),"MALIWAT MARK ELVIN")</f>
        <v>MALIWAT MARK ELVIN</v>
      </c>
      <c r="C2018" s="1" t="str">
        <f>IFERROR(__xludf.DUMMYFUNCTION("""COMPUTED_VALUE"""),"FLA")</f>
        <v>FLA</v>
      </c>
      <c r="D2018" s="1" t="str">
        <f>IFERROR(__xludf.DUMMYFUNCTION("""COMPUTED_VALUE"""),"JERIC NAVARRO")</f>
        <v>JERIC NAVARRO</v>
      </c>
      <c r="E2018" s="1" t="str">
        <f>IFERROR(__xludf.DUMMYFUNCTION("""COMPUTED_VALUE"""),"PLDT / ONLINE")</f>
        <v>PLDT / ONLINE</v>
      </c>
      <c r="F2018" s="1">
        <f>IFERROR(__xludf.DUMMYFUNCTION("""COMPUTED_VALUE"""),2310014071)</f>
        <v>2310014071</v>
      </c>
      <c r="G2018" s="1"/>
      <c r="H2018" s="1" t="str">
        <f>IFERROR(__xludf.DUMMYFUNCTION("""COMPUTED_VALUE"""),"RENORLYN RANARIO TAPERLA")</f>
        <v>RENORLYN RANARIO TAPERLA</v>
      </c>
      <c r="I2018" s="1">
        <f>IFERROR(__xludf.DUMMYFUNCTION("""COMPUTED_VALUE"""),9563766112)</f>
        <v>9563766112</v>
      </c>
      <c r="J2018" s="1">
        <f>IFERROR(__xludf.DUMMYFUNCTION("""COMPUTED_VALUE"""),9953008796)</f>
        <v>9953008796</v>
      </c>
      <c r="K2018" s="1" t="str">
        <f>IFERROR(__xludf.DUMMYFUNCTION("""COMPUTED_VALUE"""),"renorlynt@gmail.com")</f>
        <v>renorlynt@gmail.com</v>
      </c>
      <c r="L2018" s="1" t="str">
        <f>IFERROR(__xludf.DUMMYFUNCTION("""COMPUTED_VALUE"""),"6")</f>
        <v>6</v>
      </c>
      <c r="M2018" s="1" t="str">
        <f>IFERROR(__xludf.DUMMYFUNCTION("""COMPUTED_VALUE"""),"KAPITAN SAYAS")</f>
        <v>KAPITAN SAYAS</v>
      </c>
      <c r="N2018" s="1"/>
      <c r="O2018" s="1" t="str">
        <f>IFERROR(__xludf.DUMMYFUNCTION("""COMPUTED_VALUE"""),"SAN VICENTE II")</f>
        <v>SAN VICENTE II</v>
      </c>
      <c r="P2018" s="1" t="str">
        <f>IFERROR(__xludf.DUMMYFUNCTION("""COMPUTED_VALUE"""),"SILANG")</f>
        <v>SILANG</v>
      </c>
      <c r="Q2018" s="1" t="str">
        <f>IFERROR(__xludf.DUMMYFUNCTION("""COMPUTED_VALUE"""),"CAVITE")</f>
        <v>CAVITE</v>
      </c>
      <c r="R2018" s="1" t="str">
        <f>IFERROR(__xludf.DUMMYFUNCTION("""COMPUTED_VALUE"""),"FIBR UNLI ALL PLAN 1399")</f>
        <v>FIBR UNLI ALL PLAN 1399</v>
      </c>
      <c r="S2018" s="1" t="str">
        <f>IFERROR(__xludf.DUMMYFUNCTION("""COMPUTED_VALUE"""),"APPROVED")</f>
        <v>APPROVED</v>
      </c>
      <c r="T2018" s="1" t="str">
        <f>IFERROR(__xludf.DUMMYFUNCTION("""COMPUTED_VALUE"""),"#N/A")</f>
        <v>#N/A</v>
      </c>
      <c r="U2018" s="1" t="str">
        <f>IFERROR(__xludf.DUMMYFUNCTION("""COMPUTED_VALUE"""),"POSTED")</f>
        <v>POSTED</v>
      </c>
      <c r="V2018" s="1"/>
      <c r="W2018" s="1"/>
    </row>
    <row r="2019" customHeight="1" spans="1:23">
      <c r="A2019" s="3">
        <f>IFERROR(__xludf.DUMMYFUNCTION("""COMPUTED_VALUE"""),46180)</f>
        <v>46180</v>
      </c>
      <c r="B2019" s="1" t="str">
        <f>IFERROR(__xludf.DUMMYFUNCTION("""COMPUTED_VALUE"""),"AGUNOS, JHON AIRVIN")</f>
        <v>AGUNOS, JHON AIRVIN</v>
      </c>
      <c r="C2019" s="1" t="str">
        <f>IFERROR(__xludf.DUMMYFUNCTION("""COMPUTED_VALUE"""),"ORGANIC")</f>
        <v>ORGANIC</v>
      </c>
      <c r="D2019" s="1" t="str">
        <f>IFERROR(__xludf.DUMMYFUNCTION("""COMPUTED_VALUE"""),"REMOLLO LEA")</f>
        <v>REMOLLO LEA</v>
      </c>
      <c r="E2019" s="1" t="str">
        <f>IFERROR(__xludf.DUMMYFUNCTION("""COMPUTED_VALUE"""),"PLDT / ONLINE")</f>
        <v>PLDT / ONLINE</v>
      </c>
      <c r="F2019" s="1">
        <f>IFERROR(__xludf.DUMMYFUNCTION("""COMPUTED_VALUE"""),2310014464)</f>
        <v>2310014464</v>
      </c>
      <c r="G2019" s="1"/>
      <c r="H2019" s="1" t="str">
        <f>IFERROR(__xludf.DUMMYFUNCTION("""COMPUTED_VALUE"""),"JHON MARK LEDDA FRONDA")</f>
        <v>JHON MARK LEDDA FRONDA</v>
      </c>
      <c r="I2019" s="1">
        <f>IFERROR(__xludf.DUMMYFUNCTION("""COMPUTED_VALUE"""),9217014335)</f>
        <v>9217014335</v>
      </c>
      <c r="J2019" s="1">
        <f>IFERROR(__xludf.DUMMYFUNCTION("""COMPUTED_VALUE"""),9555676537)</f>
        <v>9555676537</v>
      </c>
      <c r="K2019" s="1" t="str">
        <f>IFERROR(__xludf.DUMMYFUNCTION("""COMPUTED_VALUE"""),"princessloft.tv07@gmail.com")</f>
        <v>princessloft.tv07@gmail.com</v>
      </c>
      <c r="L2019" s="1" t="str">
        <f>IFERROR(__xludf.DUMMYFUNCTION("""COMPUTED_VALUE"""),"163")</f>
        <v>163</v>
      </c>
      <c r="M2019" s="1" t="str">
        <f>IFERROR(__xludf.DUMMYFUNCTION("""COMPUTED_VALUE"""),"SITIO PANTAY")</f>
        <v>SITIO PANTAY</v>
      </c>
      <c r="N2019" s="1"/>
      <c r="O2019" s="1" t="str">
        <f>IFERROR(__xludf.DUMMYFUNCTION("""COMPUTED_VALUE"""),"MAGUYAM")</f>
        <v>MAGUYAM</v>
      </c>
      <c r="P2019" s="1" t="str">
        <f>IFERROR(__xludf.DUMMYFUNCTION("""COMPUTED_VALUE"""),"SILANG")</f>
        <v>SILANG</v>
      </c>
      <c r="Q2019" s="1" t="str">
        <f>IFERROR(__xludf.DUMMYFUNCTION("""COMPUTED_VALUE"""),"CAVITE")</f>
        <v>CAVITE</v>
      </c>
      <c r="R2019" s="1" t="str">
        <f>IFERROR(__xludf.DUMMYFUNCTION("""COMPUTED_VALUE"""),"FIBR NETFLIX PLAN 1599")</f>
        <v>FIBR NETFLIX PLAN 1599</v>
      </c>
      <c r="S2019" s="1" t="str">
        <f>IFERROR(__xludf.DUMMYFUNCTION("""COMPUTED_VALUE"""),"APPROVED")</f>
        <v>APPROVED</v>
      </c>
      <c r="T2019" s="1" t="str">
        <f>IFERROR(__xludf.DUMMYFUNCTION("""COMPUTED_VALUE"""),"#N/A")</f>
        <v>#N/A</v>
      </c>
      <c r="U2019" s="1"/>
      <c r="V2019" s="1"/>
      <c r="W2019" s="1"/>
    </row>
    <row r="2020" customHeight="1" spans="1:23">
      <c r="A2020" s="3">
        <f>IFERROR(__xludf.DUMMYFUNCTION("""COMPUTED_VALUE"""),46180)</f>
        <v>46180</v>
      </c>
      <c r="B2020" s="1" t="str">
        <f>IFERROR(__xludf.DUMMYFUNCTION("""COMPUTED_VALUE"""),"REMOLLO, LEA")</f>
        <v>REMOLLO, LEA</v>
      </c>
      <c r="C2020" s="1" t="str">
        <f>IFERROR(__xludf.DUMMYFUNCTION("""COMPUTED_VALUE"""),"FLA")</f>
        <v>FLA</v>
      </c>
      <c r="D2020" s="1" t="str">
        <f>IFERROR(__xludf.DUMMYFUNCTION("""COMPUTED_VALUE"""),"JERIC NAVARRO")</f>
        <v>JERIC NAVARRO</v>
      </c>
      <c r="E2020" s="1" t="str">
        <f>IFERROR(__xludf.DUMMYFUNCTION("""COMPUTED_VALUE"""),"PLDT / H2H")</f>
        <v>PLDT / H2H</v>
      </c>
      <c r="F2020" s="1">
        <f>IFERROR(__xludf.DUMMYFUNCTION("""COMPUTED_VALUE"""),2310015110)</f>
        <v>2310015110</v>
      </c>
      <c r="G2020" s="1"/>
      <c r="H2020" s="1" t="str">
        <f>IFERROR(__xludf.DUMMYFUNCTION("""COMPUTED_VALUE"""),"GLENDA BENIG YAUN")</f>
        <v>GLENDA BENIG YAUN</v>
      </c>
      <c r="I2020" s="1">
        <f>IFERROR(__xludf.DUMMYFUNCTION("""COMPUTED_VALUE"""),9203417849)</f>
        <v>9203417849</v>
      </c>
      <c r="J2020" s="1"/>
      <c r="K2020" s="1" t="str">
        <f>IFERROR(__xludf.DUMMYFUNCTION("""COMPUTED_VALUE"""),"manlapazmariel91@gmail.com")</f>
        <v>manlapazmariel91@gmail.com</v>
      </c>
      <c r="L2020" s="1" t="str">
        <f>IFERROR(__xludf.DUMMYFUNCTION("""COMPUTED_VALUE"""),"5650")</f>
        <v>5650</v>
      </c>
      <c r="M2020" s="1" t="str">
        <f>IFERROR(__xludf.DUMMYFUNCTION("""COMPUTED_VALUE"""),"ANULING RD")</f>
        <v>ANULING RD</v>
      </c>
      <c r="N2020" s="1"/>
      <c r="O2020" s="1" t="str">
        <f>IFERROR(__xludf.DUMMYFUNCTION("""COMPUTED_VALUE"""),"ANULING CERCA II")</f>
        <v>ANULING CERCA II</v>
      </c>
      <c r="P2020" s="1" t="str">
        <f>IFERROR(__xludf.DUMMYFUNCTION("""COMPUTED_VALUE"""),"MENDEZ")</f>
        <v>MENDEZ</v>
      </c>
      <c r="Q2020" s="1" t="str">
        <f>IFERROR(__xludf.DUMMYFUNCTION("""COMPUTED_VALUE"""),"CAVITE")</f>
        <v>CAVITE</v>
      </c>
      <c r="R2020" s="1" t="str">
        <f>IFERROR(__xludf.DUMMYFUNCTION("""COMPUTED_VALUE"""),"FIBR NETFLIX PLAN 1599")</f>
        <v>FIBR NETFLIX PLAN 1599</v>
      </c>
      <c r="S2020" s="1" t="str">
        <f>IFERROR(__xludf.DUMMYFUNCTION("""COMPUTED_VALUE"""),"APPROVED")</f>
        <v>APPROVED</v>
      </c>
      <c r="T2020" s="1" t="str">
        <f>IFERROR(__xludf.DUMMYFUNCTION("""COMPUTED_VALUE"""),"#N/A")</f>
        <v>#N/A</v>
      </c>
      <c r="U2020" s="1" t="str">
        <f>IFERROR(__xludf.DUMMYFUNCTION("""COMPUTED_VALUE"""),"POSTED")</f>
        <v>POSTED</v>
      </c>
      <c r="V2020" s="1"/>
      <c r="W2020" s="1"/>
    </row>
    <row r="2021" customHeight="1" spans="1:23">
      <c r="A2021" s="3">
        <f>IFERROR(__xludf.DUMMYFUNCTION("""COMPUTED_VALUE"""),46180)</f>
        <v>46180</v>
      </c>
      <c r="B2021" s="1" t="str">
        <f>IFERROR(__xludf.DUMMYFUNCTION("""COMPUTED_VALUE"""),"MALIWAT MARK ELVIN")</f>
        <v>MALIWAT MARK ELVIN</v>
      </c>
      <c r="C2021" s="1" t="str">
        <f>IFERROR(__xludf.DUMMYFUNCTION("""COMPUTED_VALUE"""),"FLA")</f>
        <v>FLA</v>
      </c>
      <c r="D2021" s="1" t="str">
        <f>IFERROR(__xludf.DUMMYFUNCTION("""COMPUTED_VALUE"""),"JERIC NAVARRO")</f>
        <v>JERIC NAVARRO</v>
      </c>
      <c r="E2021" s="1" t="str">
        <f>IFERROR(__xludf.DUMMYFUNCTION("""COMPUTED_VALUE"""),"PLDT / ONLINE")</f>
        <v>PLDT / ONLINE</v>
      </c>
      <c r="F2021" s="1">
        <f>IFERROR(__xludf.DUMMYFUNCTION("""COMPUTED_VALUE"""),2310015359)</f>
        <v>2310015359</v>
      </c>
      <c r="G2021" s="1"/>
      <c r="H2021" s="1" t="str">
        <f>IFERROR(__xludf.DUMMYFUNCTION("""COMPUTED_VALUE"""),"LIERRA MAE SOLIS NAVALES")</f>
        <v>LIERRA MAE SOLIS NAVALES</v>
      </c>
      <c r="I2021" s="1">
        <f>IFERROR(__xludf.DUMMYFUNCTION("""COMPUTED_VALUE"""),9269431903)</f>
        <v>9269431903</v>
      </c>
      <c r="J2021" s="1">
        <f>IFERROR(__xludf.DUMMYFUNCTION("""COMPUTED_VALUE"""),9357632195)</f>
        <v>9357632195</v>
      </c>
      <c r="K2021" s="1" t="str">
        <f>IFERROR(__xludf.DUMMYFUNCTION("""COMPUTED_VALUE"""),"lierramaen@gmail.comm=")</f>
        <v>lierramaen@gmail.comm=</v>
      </c>
      <c r="L2021" s="1" t="str">
        <f>IFERROR(__xludf.DUMMYFUNCTION("""COMPUTED_VALUE"""),"BLK 80 LOT 70")</f>
        <v>BLK 80 LOT 70</v>
      </c>
      <c r="M2021" s="1" t="str">
        <f>IFERROR(__xludf.DUMMYFUNCTION("""COMPUTED_VALUE"""),"PHASE 1")</f>
        <v>PHASE 1</v>
      </c>
      <c r="N2021" s="1" t="str">
        <f>IFERROR(__xludf.DUMMYFUNCTION("""COMPUTED_VALUE"""),"ALTA TIERA")</f>
        <v>ALTA TIERA</v>
      </c>
      <c r="O2021" s="1" t="str">
        <f>IFERROR(__xludf.DUMMYFUNCTION("""COMPUTED_VALUE"""),"ALDIANO OLAES")</f>
        <v>ALDIANO OLAES</v>
      </c>
      <c r="P2021" s="1" t="str">
        <f>IFERROR(__xludf.DUMMYFUNCTION("""COMPUTED_VALUE"""),"GEN MARIANO ALVAREZ")</f>
        <v>GEN MARIANO ALVAREZ</v>
      </c>
      <c r="Q2021" s="1" t="str">
        <f>IFERROR(__xludf.DUMMYFUNCTION("""COMPUTED_VALUE"""),"CAVITE")</f>
        <v>CAVITE</v>
      </c>
      <c r="R2021" s="1" t="str">
        <f>IFERROR(__xludf.DUMMYFUNCTION("""COMPUTED_VALUE"""),"SWITCH FIBER NETFLIX PLAN 1599")</f>
        <v>SWITCH FIBER NETFLIX PLAN 1599</v>
      </c>
      <c r="S2021" s="1" t="str">
        <f>IFERROR(__xludf.DUMMYFUNCTION("""COMPUTED_VALUE"""),"APPROVED")</f>
        <v>APPROVED</v>
      </c>
      <c r="T2021" s="1" t="str">
        <f>IFERROR(__xludf.DUMMYFUNCTION("""COMPUTED_VALUE"""),"#N/A")</f>
        <v>#N/A</v>
      </c>
      <c r="U2021" s="1" t="str">
        <f>IFERROR(__xludf.DUMMYFUNCTION("""COMPUTED_VALUE"""),"POSTED")</f>
        <v>POSTED</v>
      </c>
      <c r="V2021" s="1"/>
      <c r="W2021" s="1"/>
    </row>
    <row r="2022" customHeight="1" spans="1:23">
      <c r="A2022" s="3">
        <f>IFERROR(__xludf.DUMMYFUNCTION("""COMPUTED_VALUE"""),46180)</f>
        <v>46180</v>
      </c>
      <c r="B2022" s="1" t="str">
        <f>IFERROR(__xludf.DUMMYFUNCTION("""COMPUTED_VALUE"""),"DELA ROSA, JENNELYN")</f>
        <v>DELA ROSA, JENNELYN</v>
      </c>
      <c r="C2022" s="1" t="str">
        <f>IFERROR(__xludf.DUMMYFUNCTION("""COMPUTED_VALUE"""),"ORGANIC")</f>
        <v>ORGANIC</v>
      </c>
      <c r="D2022" s="1" t="str">
        <f>IFERROR(__xludf.DUMMYFUNCTION("""COMPUTED_VALUE"""),"REMOLLO LEA")</f>
        <v>REMOLLO LEA</v>
      </c>
      <c r="E2022" s="1" t="str">
        <f>IFERROR(__xludf.DUMMYFUNCTION("""COMPUTED_VALUE"""),"PLDT / H2H")</f>
        <v>PLDT / H2H</v>
      </c>
      <c r="F2022" s="1">
        <f>IFERROR(__xludf.DUMMYFUNCTION("""COMPUTED_VALUE"""),2310016135)</f>
        <v>2310016135</v>
      </c>
      <c r="G2022" s="1"/>
      <c r="H2022" s="1" t="str">
        <f>IFERROR(__xludf.DUMMYFUNCTION("""COMPUTED_VALUE"""),"MAK JOHN PAUL LARGO PANALIGAN")</f>
        <v>MAK JOHN PAUL LARGO PANALIGAN</v>
      </c>
      <c r="I2022" s="1">
        <f>IFERROR(__xludf.DUMMYFUNCTION("""COMPUTED_VALUE"""),9929699692)</f>
        <v>9929699692</v>
      </c>
      <c r="J2022" s="1">
        <f>IFERROR(__xludf.DUMMYFUNCTION("""COMPUTED_VALUE"""),9945786493)</f>
        <v>9945786493</v>
      </c>
      <c r="K2022" s="1" t="str">
        <f>IFERROR(__xludf.DUMMYFUNCTION("""COMPUTED_VALUE"""),"panaligan44@gmail.com")</f>
        <v>panaligan44@gmail.com</v>
      </c>
      <c r="L2022" s="1" t="str">
        <f>IFERROR(__xludf.DUMMYFUNCTION("""COMPUTED_VALUE"""),"10893")</f>
        <v>10893</v>
      </c>
      <c r="M2022" s="1" t="str">
        <f>IFERROR(__xludf.DUMMYFUNCTION("""COMPUTED_VALUE"""),"ENRILE ")</f>
        <v>ENRILE </v>
      </c>
      <c r="N2022" s="1"/>
      <c r="O2022" s="1" t="str">
        <f>IFERROR(__xludf.DUMMYFUNCTION("""COMPUTED_VALUE"""),"PATUTONG MALAKI SOUTH")</f>
        <v>PATUTONG MALAKI SOUTH</v>
      </c>
      <c r="P2022" s="1" t="str">
        <f>IFERROR(__xludf.DUMMYFUNCTION("""COMPUTED_VALUE"""),"TAGAYTAY")</f>
        <v>TAGAYTAY</v>
      </c>
      <c r="Q2022" s="1" t="str">
        <f>IFERROR(__xludf.DUMMYFUNCTION("""COMPUTED_VALUE"""),"CAVITE")</f>
        <v>CAVITE</v>
      </c>
      <c r="R2022" s="1" t="str">
        <f>IFERROR(__xludf.DUMMYFUNCTION("""COMPUTED_VALUE"""),"FIBR UNLI ALL PLAN 1799")</f>
        <v>FIBR UNLI ALL PLAN 1799</v>
      </c>
      <c r="S2022" s="1" t="str">
        <f>IFERROR(__xludf.DUMMYFUNCTION("""COMPUTED_VALUE"""),"APPROVED")</f>
        <v>APPROVED</v>
      </c>
      <c r="T2022" s="1" t="str">
        <f>IFERROR(__xludf.DUMMYFUNCTION("""COMPUTED_VALUE"""),"#N/A")</f>
        <v>#N/A</v>
      </c>
      <c r="U2022" s="1"/>
      <c r="V2022" s="1"/>
      <c r="W2022" s="1"/>
    </row>
    <row r="2023" customHeight="1" spans="1:23">
      <c r="A2023" s="3">
        <f>IFERROR(__xludf.DUMMYFUNCTION("""COMPUTED_VALUE"""),46180)</f>
        <v>46180</v>
      </c>
      <c r="B2023" s="1" t="str">
        <f>IFERROR(__xludf.DUMMYFUNCTION("""COMPUTED_VALUE"""),"RIVERA, AIRIZH JOY")</f>
        <v>RIVERA, AIRIZH JOY</v>
      </c>
      <c r="C2023" s="1" t="str">
        <f>IFERROR(__xludf.DUMMYFUNCTION("""COMPUTED_VALUE"""),"ORGANIC")</f>
        <v>ORGANIC</v>
      </c>
      <c r="D2023" s="1" t="str">
        <f>IFERROR(__xludf.DUMMYFUNCTION("""COMPUTED_VALUE"""),"REMOLLO LEA")</f>
        <v>REMOLLO LEA</v>
      </c>
      <c r="E2023" s="1" t="str">
        <f>IFERROR(__xludf.DUMMYFUNCTION("""COMPUTED_VALUE"""),"PLDT / ONLINE")</f>
        <v>PLDT / ONLINE</v>
      </c>
      <c r="F2023" s="1">
        <f>IFERROR(__xludf.DUMMYFUNCTION("""COMPUTED_VALUE"""),2310016923)</f>
        <v>2310016923</v>
      </c>
      <c r="G2023" s="1"/>
      <c r="H2023" s="1" t="str">
        <f>IFERROR(__xludf.DUMMYFUNCTION("""COMPUTED_VALUE"""),"RODEL JR DELOS ANGELES ESCRIBANO")</f>
        <v>RODEL JR DELOS ANGELES ESCRIBANO</v>
      </c>
      <c r="I2023" s="1">
        <f>IFERROR(__xludf.DUMMYFUNCTION("""COMPUTED_VALUE"""),9536838348)</f>
        <v>9536838348</v>
      </c>
      <c r="J2023" s="1">
        <f>IFERROR(__xludf.DUMMYFUNCTION("""COMPUTED_VALUE"""),9086710634)</f>
        <v>9086710634</v>
      </c>
      <c r="K2023" s="1" t="str">
        <f>IFERROR(__xludf.DUMMYFUNCTION("""COMPUTED_VALUE"""),"rodelescribano549@gmail.com")</f>
        <v>rodelescribano549@gmail.com</v>
      </c>
      <c r="L2023" s="1" t="str">
        <f>IFERROR(__xludf.DUMMYFUNCTION("""COMPUTED_VALUE"""),"167")</f>
        <v>167</v>
      </c>
      <c r="M2023" s="1" t="str">
        <f>IFERROR(__xludf.DUMMYFUNCTION("""COMPUTED_VALUE"""),"SANTOS APPT")</f>
        <v>SANTOS APPT</v>
      </c>
      <c r="N2023" s="1"/>
      <c r="O2023" s="1" t="str">
        <f>IFERROR(__xludf.DUMMYFUNCTION("""COMPUTED_VALUE"""),"BATONG DALIG")</f>
        <v>BATONG DALIG</v>
      </c>
      <c r="P2023" s="1" t="str">
        <f>IFERROR(__xludf.DUMMYFUNCTION("""COMPUTED_VALUE"""),"KAWIT")</f>
        <v>KAWIT</v>
      </c>
      <c r="Q2023" s="1" t="str">
        <f>IFERROR(__xludf.DUMMYFUNCTION("""COMPUTED_VALUE"""),"CAVITE")</f>
        <v>CAVITE</v>
      </c>
      <c r="R2023" s="1" t="str">
        <f>IFERROR(__xludf.DUMMYFUNCTION("""COMPUTED_VALUE"""),"FIBR PLAN 1299")</f>
        <v>FIBR PLAN 1299</v>
      </c>
      <c r="S2023" s="1" t="str">
        <f>IFERROR(__xludf.DUMMYFUNCTION("""COMPUTED_VALUE"""),"APPROVED")</f>
        <v>APPROVED</v>
      </c>
      <c r="T2023" s="1" t="str">
        <f>IFERROR(__xludf.DUMMYFUNCTION("""COMPUTED_VALUE"""),"#N/A")</f>
        <v>#N/A</v>
      </c>
      <c r="U2023" s="1" t="str">
        <f>IFERROR(__xludf.DUMMYFUNCTION("""COMPUTED_VALUE"""),"POSTED")</f>
        <v>POSTED</v>
      </c>
      <c r="V2023" s="1"/>
      <c r="W2023" s="1"/>
    </row>
    <row r="2024" customHeight="1" spans="1:23">
      <c r="A2024" s="3">
        <f>IFERROR(__xludf.DUMMYFUNCTION("""COMPUTED_VALUE"""),46180)</f>
        <v>46180</v>
      </c>
      <c r="B2024" s="1" t="str">
        <f>IFERROR(__xludf.DUMMYFUNCTION("""COMPUTED_VALUE"""),"RIVERA, AIRIZH JOY")</f>
        <v>RIVERA, AIRIZH JOY</v>
      </c>
      <c r="C2024" s="1" t="str">
        <f>IFERROR(__xludf.DUMMYFUNCTION("""COMPUTED_VALUE"""),"ORGANIC")</f>
        <v>ORGANIC</v>
      </c>
      <c r="D2024" s="1" t="str">
        <f>IFERROR(__xludf.DUMMYFUNCTION("""COMPUTED_VALUE"""),"REMOLLO LEA")</f>
        <v>REMOLLO LEA</v>
      </c>
      <c r="E2024" s="1" t="str">
        <f>IFERROR(__xludf.DUMMYFUNCTION("""COMPUTED_VALUE"""),"PLDT / ONLINE")</f>
        <v>PLDT / ONLINE</v>
      </c>
      <c r="F2024" s="1">
        <f>IFERROR(__xludf.DUMMYFUNCTION("""COMPUTED_VALUE"""),2310016568)</f>
        <v>2310016568</v>
      </c>
      <c r="G2024" s="1"/>
      <c r="H2024" s="1" t="str">
        <f>IFERROR(__xludf.DUMMYFUNCTION("""COMPUTED_VALUE"""),"JUSTLEEN SOLOMON TORREDO")</f>
        <v>JUSTLEEN SOLOMON TORREDO</v>
      </c>
      <c r="I2024" s="1">
        <f>IFERROR(__xludf.DUMMYFUNCTION("""COMPUTED_VALUE"""),9282049321)</f>
        <v>9282049321</v>
      </c>
      <c r="J2024" s="1"/>
      <c r="K2024" s="1" t="str">
        <f>IFERROR(__xludf.DUMMYFUNCTION("""COMPUTED_VALUE"""),"torredojustleen@gmail.com")</f>
        <v>torredojustleen@gmail.com</v>
      </c>
      <c r="L2024" s="1" t="str">
        <f>IFERROR(__xludf.DUMMYFUNCTION("""COMPUTED_VALUE"""),"1509")</f>
        <v>1509</v>
      </c>
      <c r="M2024" s="1" t="str">
        <f>IFERROR(__xludf.DUMMYFUNCTION("""COMPUTED_VALUE"""),"TOWER 5")</f>
        <v>TOWER 5</v>
      </c>
      <c r="N2024" s="1" t="str">
        <f>IFERROR(__xludf.DUMMYFUNCTION("""COMPUTED_VALUE"""),"SMDC")</f>
        <v>SMDC</v>
      </c>
      <c r="O2024" s="1" t="str">
        <f>IFERROR(__xludf.DUMMYFUNCTION("""COMPUTED_VALUE"""),"MAHARLIKA WEST")</f>
        <v>MAHARLIKA WEST</v>
      </c>
      <c r="P2024" s="1" t="str">
        <f>IFERROR(__xludf.DUMMYFUNCTION("""COMPUTED_VALUE"""),"TAGAYTAY")</f>
        <v>TAGAYTAY</v>
      </c>
      <c r="Q2024" s="1" t="str">
        <f>IFERROR(__xludf.DUMMYFUNCTION("""COMPUTED_VALUE"""),"CAVITE")</f>
        <v>CAVITE</v>
      </c>
      <c r="R2024" s="1" t="str">
        <f>IFERROR(__xludf.DUMMYFUNCTION("""COMPUTED_VALUE"""),"FIBR UNLI ALL PLAN 1399")</f>
        <v>FIBR UNLI ALL PLAN 1399</v>
      </c>
      <c r="S2024" s="1" t="str">
        <f>IFERROR(__xludf.DUMMYFUNCTION("""COMPUTED_VALUE"""),"APPROVED")</f>
        <v>APPROVED</v>
      </c>
      <c r="T2024" s="1" t="str">
        <f>IFERROR(__xludf.DUMMYFUNCTION("""COMPUTED_VALUE"""),"#N/A")</f>
        <v>#N/A</v>
      </c>
      <c r="U2024" s="1" t="str">
        <f>IFERROR(__xludf.DUMMYFUNCTION("""COMPUTED_VALUE"""),"POSTED")</f>
        <v>POSTED</v>
      </c>
      <c r="V2024" s="1"/>
      <c r="W2024" s="1"/>
    </row>
    <row r="2025" customHeight="1" spans="1:23">
      <c r="A2025" s="3">
        <f>IFERROR(__xludf.DUMMYFUNCTION("""COMPUTED_VALUE"""),46180)</f>
        <v>46180</v>
      </c>
      <c r="B2025" s="1" t="str">
        <f>IFERROR(__xludf.DUMMYFUNCTION("""COMPUTED_VALUE"""),"FRONDEZ, JEDREFF")</f>
        <v>FRONDEZ, JEDREFF</v>
      </c>
      <c r="C2025" s="1" t="str">
        <f>IFERROR(__xludf.DUMMYFUNCTION("""COMPUTED_VALUE"""),"ORGANIC")</f>
        <v>ORGANIC</v>
      </c>
      <c r="D2025" s="1" t="str">
        <f>IFERROR(__xludf.DUMMYFUNCTION("""COMPUTED_VALUE"""),"REMOLLO LEA")</f>
        <v>REMOLLO LEA</v>
      </c>
      <c r="E2025" s="1" t="str">
        <f>IFERROR(__xludf.DUMMYFUNCTION("""COMPUTED_VALUE"""),"PLDT / H2H")</f>
        <v>PLDT / H2H</v>
      </c>
      <c r="F2025" s="1">
        <f>IFERROR(__xludf.DUMMYFUNCTION("""COMPUTED_VALUE"""),2310017895)</f>
        <v>2310017895</v>
      </c>
      <c r="G2025" s="1"/>
      <c r="H2025" s="1" t="str">
        <f>IFERROR(__xludf.DUMMYFUNCTION("""COMPUTED_VALUE"""),"NORMITA CRUZ MENDOZA")</f>
        <v>NORMITA CRUZ MENDOZA</v>
      </c>
      <c r="I2025" s="1">
        <f>IFERROR(__xludf.DUMMYFUNCTION("""COMPUTED_VALUE"""),9453943231)</f>
        <v>9453943231</v>
      </c>
      <c r="J2025" s="1">
        <f>IFERROR(__xludf.DUMMYFUNCTION("""COMPUTED_VALUE"""),9071530575)</f>
        <v>9071530575</v>
      </c>
      <c r="K2025" s="1" t="str">
        <f>IFERROR(__xludf.DUMMYFUNCTION("""COMPUTED_VALUE"""),"normitamendoza99@gmail.com")</f>
        <v>normitamendoza99@gmail.com</v>
      </c>
      <c r="L2025" s="1" t="str">
        <f>IFERROR(__xludf.DUMMYFUNCTION("""COMPUTED_VALUE"""),"261")</f>
        <v>261</v>
      </c>
      <c r="M2025" s="1" t="str">
        <f>IFERROR(__xludf.DUMMYFUNCTION("""COMPUTED_VALUE"""),"PUROK 43")</f>
        <v>PUROK 43</v>
      </c>
      <c r="N2025" s="1"/>
      <c r="O2025" s="1" t="str">
        <f>IFERROR(__xludf.DUMMYFUNCTION("""COMPUTED_VALUE"""),"IRUHIN WEST")</f>
        <v>IRUHIN WEST</v>
      </c>
      <c r="P2025" s="1" t="str">
        <f>IFERROR(__xludf.DUMMYFUNCTION("""COMPUTED_VALUE"""),"TAGAYTAY")</f>
        <v>TAGAYTAY</v>
      </c>
      <c r="Q2025" s="1" t="str">
        <f>IFERROR(__xludf.DUMMYFUNCTION("""COMPUTED_VALUE"""),"CAVITE")</f>
        <v>CAVITE</v>
      </c>
      <c r="R2025" s="1" t="str">
        <f>IFERROR(__xludf.DUMMYFUNCTION("""COMPUTED_VALUE"""),"FIBR UNLI ALL PLAN 999")</f>
        <v>FIBR UNLI ALL PLAN 999</v>
      </c>
      <c r="S2025" s="1" t="str">
        <f>IFERROR(__xludf.DUMMYFUNCTION("""COMPUTED_VALUE"""),"APPROVED")</f>
        <v>APPROVED</v>
      </c>
      <c r="T2025" s="1" t="str">
        <f>IFERROR(__xludf.DUMMYFUNCTION("""COMPUTED_VALUE"""),"#N/A")</f>
        <v>#N/A</v>
      </c>
      <c r="U2025" s="1" t="str">
        <f>IFERROR(__xludf.DUMMYFUNCTION("""COMPUTED_VALUE"""),"POSTED")</f>
        <v>POSTED</v>
      </c>
      <c r="V2025" s="1"/>
      <c r="W2025" s="1"/>
    </row>
    <row r="2026" customHeight="1" spans="1:23">
      <c r="A2026" s="3">
        <f>IFERROR(__xludf.DUMMYFUNCTION("""COMPUTED_VALUE"""),46181)</f>
        <v>46181</v>
      </c>
      <c r="B2026" s="1" t="str">
        <f>IFERROR(__xludf.DUMMYFUNCTION("""COMPUTED_VALUE"""),"CARPIO, STEPHANIE NICOLE")</f>
        <v>CARPIO, STEPHANIE NICOLE</v>
      </c>
      <c r="C2026" s="1" t="str">
        <f>IFERROR(__xludf.DUMMYFUNCTION("""COMPUTED_VALUE"""),"FLA")</f>
        <v>FLA</v>
      </c>
      <c r="D2026" s="1" t="str">
        <f>IFERROR(__xludf.DUMMYFUNCTION("""COMPUTED_VALUE"""),"JERIC NAVARRO")</f>
        <v>JERIC NAVARRO</v>
      </c>
      <c r="E2026" s="1" t="str">
        <f>IFERROR(__xludf.DUMMYFUNCTION("""COMPUTED_VALUE"""),"PLDT / ONLINE")</f>
        <v>PLDT / ONLINE</v>
      </c>
      <c r="F2026" s="1">
        <f>IFERROR(__xludf.DUMMYFUNCTION("""COMPUTED_VALUE"""),2310030742)</f>
        <v>2310030742</v>
      </c>
      <c r="G2026" s="1"/>
      <c r="H2026" s="1" t="str">
        <f>IFERROR(__xludf.DUMMYFUNCTION("""COMPUTED_VALUE"""),"KIM ALYSSA ORNALES LUMABAS")</f>
        <v>KIM ALYSSA ORNALES LUMABAS</v>
      </c>
      <c r="I2026" s="1">
        <f>IFERROR(__xludf.DUMMYFUNCTION("""COMPUTED_VALUE"""),9926742467)</f>
        <v>9926742467</v>
      </c>
      <c r="J2026" s="1"/>
      <c r="K2026" s="1" t="str">
        <f>IFERROR(__xludf.DUMMYFUNCTION("""COMPUTED_VALUE"""),"kimlumabas@gmail.com")</f>
        <v>kimlumabas@gmail.com</v>
      </c>
      <c r="L2026" s="1" t="str">
        <f>IFERROR(__xludf.DUMMYFUNCTION("""COMPUTED_VALUE"""),"804")</f>
        <v>804</v>
      </c>
      <c r="M2026" s="1" t="str">
        <f>IFERROR(__xludf.DUMMYFUNCTION("""COMPUTED_VALUE"""),"GONZALES")</f>
        <v>GONZALES</v>
      </c>
      <c r="N2026" s="1" t="str">
        <f>IFERROR(__xludf.DUMMYFUNCTION("""COMPUTED_VALUE"""),"STA CRUZ")</f>
        <v>STA CRUZ</v>
      </c>
      <c r="O2026" s="1" t="str">
        <f>IFERROR(__xludf.DUMMYFUNCTION("""COMPUTED_VALUE"""),"BARANGAY 11 (LAWIN)")</f>
        <v>BARANGAY 11 (LAWIN)</v>
      </c>
      <c r="P2026" s="1" t="str">
        <f>IFERROR(__xludf.DUMMYFUNCTION("""COMPUTED_VALUE"""),"CAVITE CITY")</f>
        <v>CAVITE CITY</v>
      </c>
      <c r="Q2026" s="1" t="str">
        <f>IFERROR(__xludf.DUMMYFUNCTION("""COMPUTED_VALUE"""),"CAVITE")</f>
        <v>CAVITE</v>
      </c>
      <c r="R2026" s="1" t="str">
        <f>IFERROR(__xludf.DUMMYFUNCTION("""COMPUTED_VALUE"""),"FIBR UNLI ALL PLAN 1399")</f>
        <v>FIBR UNLI ALL PLAN 1399</v>
      </c>
      <c r="S2026" s="1" t="str">
        <f>IFERROR(__xludf.DUMMYFUNCTION("""COMPUTED_VALUE"""),"APPROVED")</f>
        <v>APPROVED</v>
      </c>
      <c r="T2026" s="1" t="str">
        <f>IFERROR(__xludf.DUMMYFUNCTION("""COMPUTED_VALUE"""),"#N/A")</f>
        <v>#N/A</v>
      </c>
      <c r="U2026" s="1" t="str">
        <f>IFERROR(__xludf.DUMMYFUNCTION("""COMPUTED_VALUE"""),"POSTED")</f>
        <v>POSTED</v>
      </c>
      <c r="V2026" s="1"/>
      <c r="W2026" s="1"/>
    </row>
    <row r="2027" customHeight="1" spans="1:23">
      <c r="A2027" s="3">
        <f>IFERROR(__xludf.DUMMYFUNCTION("""COMPUTED_VALUE"""),46181)</f>
        <v>46181</v>
      </c>
      <c r="B2027" s="1" t="str">
        <f>IFERROR(__xludf.DUMMYFUNCTION("""COMPUTED_VALUE"""),"CARPIO, STEPHANIE NICOLE")</f>
        <v>CARPIO, STEPHANIE NICOLE</v>
      </c>
      <c r="C2027" s="1" t="str">
        <f>IFERROR(__xludf.DUMMYFUNCTION("""COMPUTED_VALUE"""),"FLA")</f>
        <v>FLA</v>
      </c>
      <c r="D2027" s="1" t="str">
        <f>IFERROR(__xludf.DUMMYFUNCTION("""COMPUTED_VALUE"""),"JERIC NAVARRO")</f>
        <v>JERIC NAVARRO</v>
      </c>
      <c r="E2027" s="1" t="str">
        <f>IFERROR(__xludf.DUMMYFUNCTION("""COMPUTED_VALUE"""),"PLDT / ONLINE")</f>
        <v>PLDT / ONLINE</v>
      </c>
      <c r="F2027" s="1">
        <f>IFERROR(__xludf.DUMMYFUNCTION("""COMPUTED_VALUE"""),2310031790)</f>
        <v>2310031790</v>
      </c>
      <c r="G2027" s="1"/>
      <c r="H2027" s="1" t="str">
        <f>IFERROR(__xludf.DUMMYFUNCTION("""COMPUTED_VALUE"""),"MA. NORISSA MADLANGBAYAN MADLANGBAYAN")</f>
        <v>MA. NORISSA MADLANGBAYAN MADLANGBAYAN</v>
      </c>
      <c r="I2027" s="1">
        <f>IFERROR(__xludf.DUMMYFUNCTION("""COMPUTED_VALUE"""),9156040622)</f>
        <v>9156040622</v>
      </c>
      <c r="J2027" s="1"/>
      <c r="K2027" s="1" t="str">
        <f>IFERROR(__xludf.DUMMYFUNCTION("""COMPUTED_VALUE"""),"noriecatalan21@gmail.com")</f>
        <v>noriecatalan21@gmail.com</v>
      </c>
      <c r="L2027" s="1" t="str">
        <f>IFERROR(__xludf.DUMMYFUNCTION("""COMPUTED_VALUE"""),"892")</f>
        <v>892</v>
      </c>
      <c r="M2027" s="1" t="str">
        <f>IFERROR(__xludf.DUMMYFUNCTION("""COMPUTED_VALUE"""),"LOPEZ JAENA")</f>
        <v>LOPEZ JAENA</v>
      </c>
      <c r="N2027" s="1" t="str">
        <f>IFERROR(__xludf.DUMMYFUNCTION("""COMPUTED_VALUE"""),"SAN ROQUE")</f>
        <v>SAN ROQUE</v>
      </c>
      <c r="O2027" s="1" t="str">
        <f>IFERROR(__xludf.DUMMYFUNCTION("""COMPUTED_VALUE"""),"BARANGAY 56 (LABANOS)")</f>
        <v>BARANGAY 56 (LABANOS)</v>
      </c>
      <c r="P2027" s="1" t="str">
        <f>IFERROR(__xludf.DUMMYFUNCTION("""COMPUTED_VALUE"""),"CAVITE CITY")</f>
        <v>CAVITE CITY</v>
      </c>
      <c r="Q2027" s="1" t="str">
        <f>IFERROR(__xludf.DUMMYFUNCTION("""COMPUTED_VALUE"""),"CAVITE")</f>
        <v>CAVITE</v>
      </c>
      <c r="R2027" s="1" t="str">
        <f>IFERROR(__xludf.DUMMYFUNCTION("""COMPUTED_VALUE"""),"FIBR UNLI ALL PLAN 1799")</f>
        <v>FIBR UNLI ALL PLAN 1799</v>
      </c>
      <c r="S2027" s="1" t="str">
        <f>IFERROR(__xludf.DUMMYFUNCTION("""COMPUTED_VALUE"""),"APPROVED")</f>
        <v>APPROVED</v>
      </c>
      <c r="T2027" s="1" t="str">
        <f>IFERROR(__xludf.DUMMYFUNCTION("""COMPUTED_VALUE"""),"#N/A")</f>
        <v>#N/A</v>
      </c>
      <c r="U2027" s="1" t="str">
        <f>IFERROR(__xludf.DUMMYFUNCTION("""COMPUTED_VALUE"""),"POSTED")</f>
        <v>POSTED</v>
      </c>
      <c r="V2027" s="1"/>
      <c r="W2027" s="1"/>
    </row>
    <row r="2028" customHeight="1" spans="1:23">
      <c r="A2028" s="3">
        <f>IFERROR(__xludf.DUMMYFUNCTION("""COMPUTED_VALUE"""),46181)</f>
        <v>46181</v>
      </c>
      <c r="B2028" s="1" t="str">
        <f>IFERROR(__xludf.DUMMYFUNCTION("""COMPUTED_VALUE"""),"FRANCISCO , ROSELYN")</f>
        <v>FRANCISCO , ROSELYN</v>
      </c>
      <c r="C2028" s="1" t="str">
        <f>IFERROR(__xludf.DUMMYFUNCTION("""COMPUTED_VALUE"""),"ORGANIC")</f>
        <v>ORGANIC</v>
      </c>
      <c r="D2028" s="1" t="str">
        <f>IFERROR(__xludf.DUMMYFUNCTION("""COMPUTED_VALUE"""),"REMOLLO LEA")</f>
        <v>REMOLLO LEA</v>
      </c>
      <c r="E2028" s="1" t="str">
        <f>IFERROR(__xludf.DUMMYFUNCTION("""COMPUTED_VALUE"""),"PLDT / ONLINE")</f>
        <v>PLDT / ONLINE</v>
      </c>
      <c r="F2028" s="1">
        <f>IFERROR(__xludf.DUMMYFUNCTION("""COMPUTED_VALUE"""),2310033296)</f>
        <v>2310033296</v>
      </c>
      <c r="G2028" s="1"/>
      <c r="H2028" s="1" t="str">
        <f>IFERROR(__xludf.DUMMYFUNCTION("""COMPUTED_VALUE"""),"DEODITA NAA GIANAN")</f>
        <v>DEODITA NAA GIANAN</v>
      </c>
      <c r="I2028" s="1">
        <f>IFERROR(__xludf.DUMMYFUNCTION("""COMPUTED_VALUE"""),9073685819)</f>
        <v>9073685819</v>
      </c>
      <c r="J2028" s="1">
        <f>IFERROR(__xludf.DUMMYFUNCTION("""COMPUTED_VALUE"""),9298258964)</f>
        <v>9298258964</v>
      </c>
      <c r="K2028" s="1" t="str">
        <f>IFERROR(__xludf.DUMMYFUNCTION("""COMPUTED_VALUE"""),"margiegianan01@gmail.com")</f>
        <v>margiegianan01@gmail.com</v>
      </c>
      <c r="L2028" s="1" t="str">
        <f>IFERROR(__xludf.DUMMYFUNCTION("""COMPUTED_VALUE"""),"003-BL-005")</f>
        <v>003-BL-005</v>
      </c>
      <c r="M2028" s="1" t="str">
        <f>IFERROR(__xludf.DUMMYFUNCTION("""COMPUTED_VALUE"""),"KAMAGONG")</f>
        <v>KAMAGONG</v>
      </c>
      <c r="N2028" s="1" t="str">
        <f>IFERROR(__xludf.DUMMYFUNCTION("""COMPUTED_VALUE"""),"VERAVILLE ARCADIA HOMES")</f>
        <v>VERAVILLE ARCADIA HOMES</v>
      </c>
      <c r="O2028" s="1" t="str">
        <f>IFERROR(__xludf.DUMMYFUNCTION("""COMPUTED_VALUE"""),"SALINAS I")</f>
        <v>SALINAS I</v>
      </c>
      <c r="P2028" s="1" t="str">
        <f>IFERROR(__xludf.DUMMYFUNCTION("""COMPUTED_VALUE"""),"BACOOR")</f>
        <v>BACOOR</v>
      </c>
      <c r="Q2028" s="1" t="str">
        <f>IFERROR(__xludf.DUMMYFUNCTION("""COMPUTED_VALUE"""),"CAVITE")</f>
        <v>CAVITE</v>
      </c>
      <c r="R2028" s="1" t="str">
        <f>IFERROR(__xludf.DUMMYFUNCTION("""COMPUTED_VALUE"""),"FIBR UNLI ALL PLAN 1799")</f>
        <v>FIBR UNLI ALL PLAN 1799</v>
      </c>
      <c r="S2028" s="1" t="str">
        <f>IFERROR(__xludf.DUMMYFUNCTION("""COMPUTED_VALUE"""),"APPROVED")</f>
        <v>APPROVED</v>
      </c>
      <c r="T2028" s="1" t="str">
        <f>IFERROR(__xludf.DUMMYFUNCTION("""COMPUTED_VALUE"""),"#N/A")</f>
        <v>#N/A</v>
      </c>
      <c r="U2028" s="1" t="str">
        <f>IFERROR(__xludf.DUMMYFUNCTION("""COMPUTED_VALUE"""),"POSTED")</f>
        <v>POSTED</v>
      </c>
      <c r="V2028" s="1"/>
      <c r="W2028" s="1"/>
    </row>
    <row r="2029" customHeight="1" spans="1:23">
      <c r="A2029" s="3">
        <f>IFERROR(__xludf.DUMMYFUNCTION("""COMPUTED_VALUE"""),46181)</f>
        <v>46181</v>
      </c>
      <c r="B2029" s="1" t="str">
        <f>IFERROR(__xludf.DUMMYFUNCTION("""COMPUTED_VALUE"""),"AYON MANUEL")</f>
        <v>AYON MANUEL</v>
      </c>
      <c r="C2029" s="1" t="str">
        <f>IFERROR(__xludf.DUMMYFUNCTION("""COMPUTED_VALUE"""),"FLA")</f>
        <v>FLA</v>
      </c>
      <c r="D2029" s="1" t="str">
        <f>IFERROR(__xludf.DUMMYFUNCTION("""COMPUTED_VALUE"""),"JERIC NAVARRO")</f>
        <v>JERIC NAVARRO</v>
      </c>
      <c r="E2029" s="1" t="str">
        <f>IFERROR(__xludf.DUMMYFUNCTION("""COMPUTED_VALUE"""),"PLDT / ONLINE")</f>
        <v>PLDT / ONLINE</v>
      </c>
      <c r="F2029" s="1">
        <f>IFERROR(__xludf.DUMMYFUNCTION("""COMPUTED_VALUE"""),2310047051)</f>
        <v>2310047051</v>
      </c>
      <c r="G2029" s="1"/>
      <c r="H2029" s="1" t="str">
        <f>IFERROR(__xludf.DUMMYFUNCTION("""COMPUTED_VALUE"""),"GABRIEL PEREZ BERMUNDO")</f>
        <v>GABRIEL PEREZ BERMUNDO</v>
      </c>
      <c r="I2029" s="1">
        <f>IFERROR(__xludf.DUMMYFUNCTION("""COMPUTED_VALUE"""),9928345018)</f>
        <v>9928345018</v>
      </c>
      <c r="J2029" s="1"/>
      <c r="K2029" s="1" t="str">
        <f>IFERROR(__xludf.DUMMYFUNCTION("""COMPUTED_VALUE"""),"gangan.gerald@gmail.com")</f>
        <v>gangan.gerald@gmail.com</v>
      </c>
      <c r="L2029" s="1" t="str">
        <f>IFERROR(__xludf.DUMMYFUNCTION("""COMPUTED_VALUE"""),"045-BL-001")</f>
        <v>045-BL-001</v>
      </c>
      <c r="M2029" s="1" t="str">
        <f>IFERROR(__xludf.DUMMYFUNCTION("""COMPUTED_VALUE"""),"SPYGLASS HILLS")</f>
        <v>SPYGLASS HILLS</v>
      </c>
      <c r="N2029" s="1" t="str">
        <f>IFERROR(__xludf.DUMMYFUNCTION("""COMPUTED_VALUE"""),"MANILA SOUTHWOODS PH 2")</f>
        <v>MANILA SOUTHWOODS PH 2</v>
      </c>
      <c r="O2029" s="1" t="str">
        <f>IFERROR(__xludf.DUMMYFUNCTION("""COMPUTED_VALUE"""),"CABILANG BAYBAY")</f>
        <v>CABILANG BAYBAY</v>
      </c>
      <c r="P2029" s="1" t="str">
        <f>IFERROR(__xludf.DUMMYFUNCTION("""COMPUTED_VALUE"""),"CARMONA")</f>
        <v>CARMONA</v>
      </c>
      <c r="Q2029" s="1" t="str">
        <f>IFERROR(__xludf.DUMMYFUNCTION("""COMPUTED_VALUE"""),"CAVITE")</f>
        <v>CAVITE</v>
      </c>
      <c r="R2029" s="1" t="str">
        <f>IFERROR(__xludf.DUMMYFUNCTION("""COMPUTED_VALUE"""),"PREPAID FIBER UNLI")</f>
        <v>PREPAID FIBER UNLI</v>
      </c>
      <c r="S2029" s="1" t="str">
        <f>IFERROR(__xludf.DUMMYFUNCTION("""COMPUTED_VALUE"""),"APPROVED")</f>
        <v>APPROVED</v>
      </c>
      <c r="T2029" s="1" t="str">
        <f>IFERROR(__xludf.DUMMYFUNCTION("""COMPUTED_VALUE"""),"#N/A")</f>
        <v>#N/A</v>
      </c>
      <c r="U2029" s="1" t="str">
        <f>IFERROR(__xludf.DUMMYFUNCTION("""COMPUTED_VALUE"""),"POSTED")</f>
        <v>POSTED</v>
      </c>
      <c r="V2029" s="1"/>
      <c r="W2029" s="1"/>
    </row>
    <row r="2030" customHeight="1" spans="1:23">
      <c r="A2030" s="3">
        <f>IFERROR(__xludf.DUMMYFUNCTION("""COMPUTED_VALUE"""),46181)</f>
        <v>46181</v>
      </c>
      <c r="B2030" s="1" t="str">
        <f>IFERROR(__xludf.DUMMYFUNCTION("""COMPUTED_VALUE"""),"ODY , CLARENCE")</f>
        <v>ODY , CLARENCE</v>
      </c>
      <c r="C2030" s="1" t="str">
        <f>IFERROR(__xludf.DUMMYFUNCTION("""COMPUTED_VALUE"""),"ORGANIC")</f>
        <v>ORGANIC</v>
      </c>
      <c r="D2030" s="1" t="str">
        <f>IFERROR(__xludf.DUMMYFUNCTION("""COMPUTED_VALUE"""),"REMOLLO LEA")</f>
        <v>REMOLLO LEA</v>
      </c>
      <c r="E2030" s="1" t="str">
        <f>IFERROR(__xludf.DUMMYFUNCTION("""COMPUTED_VALUE"""),"PLDT / H2H")</f>
        <v>PLDT / H2H</v>
      </c>
      <c r="F2030" s="1">
        <f>IFERROR(__xludf.DUMMYFUNCTION("""COMPUTED_VALUE"""),2310036441)</f>
        <v>2310036441</v>
      </c>
      <c r="G2030" s="1"/>
      <c r="H2030" s="1" t="str">
        <f>IFERROR(__xludf.DUMMYFUNCTION("""COMPUTED_VALUE"""),"MARRY JOYCE FRANCIA EMELO")</f>
        <v>MARRY JOYCE FRANCIA EMELO</v>
      </c>
      <c r="I2030" s="1">
        <f>IFERROR(__xludf.DUMMYFUNCTION("""COMPUTED_VALUE"""),9704925911)</f>
        <v>9704925911</v>
      </c>
      <c r="J2030" s="1">
        <f>IFERROR(__xludf.DUMMYFUNCTION("""COMPUTED_VALUE"""),9751150548)</f>
        <v>9751150548</v>
      </c>
      <c r="K2030" s="1" t="str">
        <f>IFERROR(__xludf.DUMMYFUNCTION("""COMPUTED_VALUE"""),"emelojoyce469@gmail.com")</f>
        <v>emelojoyce469@gmail.com</v>
      </c>
      <c r="L2030" s="1" t="str">
        <f>IFERROR(__xludf.DUMMYFUNCTION("""COMPUTED_VALUE"""),"1668F")</f>
        <v>1668F</v>
      </c>
      <c r="M2030" s="1" t="str">
        <f>IFERROR(__xludf.DUMMYFUNCTION("""COMPUTED_VALUE"""),"SAN PEDRO")</f>
        <v>SAN PEDRO</v>
      </c>
      <c r="N2030" s="1"/>
      <c r="O2030" s="1" t="str">
        <f>IFERROR(__xludf.DUMMYFUNCTION("""COMPUTED_VALUE"""),"BUKAL")</f>
        <v>BUKAL</v>
      </c>
      <c r="P2030" s="1" t="str">
        <f>IFERROR(__xludf.DUMMYFUNCTION("""COMPUTED_VALUE"""),"MENDEZ")</f>
        <v>MENDEZ</v>
      </c>
      <c r="Q2030" s="1" t="str">
        <f>IFERROR(__xludf.DUMMYFUNCTION("""COMPUTED_VALUE"""),"CAVITE")</f>
        <v>CAVITE</v>
      </c>
      <c r="R2030" s="1" t="str">
        <f>IFERROR(__xludf.DUMMYFUNCTION("""COMPUTED_VALUE"""),"FIBR UNLI ALL PLAN 999")</f>
        <v>FIBR UNLI ALL PLAN 999</v>
      </c>
      <c r="S2030" s="1" t="str">
        <f>IFERROR(__xludf.DUMMYFUNCTION("""COMPUTED_VALUE"""),"APPROVED")</f>
        <v>APPROVED</v>
      </c>
      <c r="T2030" s="1" t="str">
        <f>IFERROR(__xludf.DUMMYFUNCTION("""COMPUTED_VALUE"""),"#N/A")</f>
        <v>#N/A</v>
      </c>
      <c r="U2030" s="1" t="str">
        <f>IFERROR(__xludf.DUMMYFUNCTION("""COMPUTED_VALUE"""),"POSTED")</f>
        <v>POSTED</v>
      </c>
      <c r="V2030" s="1"/>
      <c r="W2030" s="1"/>
    </row>
    <row r="2031" customHeight="1" spans="1:23">
      <c r="A2031" s="3">
        <f>IFERROR(__xludf.DUMMYFUNCTION("""COMPUTED_VALUE"""),46181)</f>
        <v>46181</v>
      </c>
      <c r="B2031" s="1" t="str">
        <f>IFERROR(__xludf.DUMMYFUNCTION("""COMPUTED_VALUE"""),"MALIWAT MARK ELVIN")</f>
        <v>MALIWAT MARK ELVIN</v>
      </c>
      <c r="C2031" s="1" t="str">
        <f>IFERROR(__xludf.DUMMYFUNCTION("""COMPUTED_VALUE"""),"FLA")</f>
        <v>FLA</v>
      </c>
      <c r="D2031" s="1" t="str">
        <f>IFERROR(__xludf.DUMMYFUNCTION("""COMPUTED_VALUE"""),"JERIC NAVARRO")</f>
        <v>JERIC NAVARRO</v>
      </c>
      <c r="E2031" s="1" t="str">
        <f>IFERROR(__xludf.DUMMYFUNCTION("""COMPUTED_VALUE"""),"PLDT / ONLINE")</f>
        <v>PLDT / ONLINE</v>
      </c>
      <c r="F2031" s="1">
        <f>IFERROR(__xludf.DUMMYFUNCTION("""COMPUTED_VALUE"""),2310047398)</f>
        <v>2310047398</v>
      </c>
      <c r="G2031" s="1"/>
      <c r="H2031" s="1" t="str">
        <f>IFERROR(__xludf.DUMMYFUNCTION("""COMPUTED_VALUE"""),"LEVI ESPERAS DE VERA")</f>
        <v>LEVI ESPERAS DE VERA</v>
      </c>
      <c r="I2031" s="1">
        <f>IFERROR(__xludf.DUMMYFUNCTION("""COMPUTED_VALUE"""),9212693439)</f>
        <v>9212693439</v>
      </c>
      <c r="J2031" s="1">
        <f>IFERROR(__xludf.DUMMYFUNCTION("""COMPUTED_VALUE"""),9616421548)</f>
        <v>9616421548</v>
      </c>
      <c r="K2031" s="1" t="str">
        <f>IFERROR(__xludf.DUMMYFUNCTION("""COMPUTED_VALUE"""),"godalleclanzy@gmail.com")</f>
        <v>godalleclanzy@gmail.com</v>
      </c>
      <c r="L2031" s="1" t="str">
        <f>IFERROR(__xludf.DUMMYFUNCTION("""COMPUTED_VALUE"""),"001-BL-023")</f>
        <v>001-BL-023</v>
      </c>
      <c r="M2031" s="1" t="str">
        <f>IFERROR(__xludf.DUMMYFUNCTION("""COMPUTED_VALUE"""),"CARMONA TOWNHOMES")</f>
        <v>CARMONA TOWNHOMES</v>
      </c>
      <c r="N2031" s="1" t="str">
        <f>IFERROR(__xludf.DUMMYFUNCTION("""COMPUTED_VALUE"""),"CARMONA TOWNHOMES")</f>
        <v>CARMONA TOWNHOMES</v>
      </c>
      <c r="O2031" s="1" t="str">
        <f>IFERROR(__xludf.DUMMYFUNCTION("""COMPUTED_VALUE"""),"MILAGROSA")</f>
        <v>MILAGROSA</v>
      </c>
      <c r="P2031" s="1" t="str">
        <f>IFERROR(__xludf.DUMMYFUNCTION("""COMPUTED_VALUE"""),"CARMONA")</f>
        <v>CARMONA</v>
      </c>
      <c r="Q2031" s="1" t="str">
        <f>IFERROR(__xludf.DUMMYFUNCTION("""COMPUTED_VALUE"""),"CAVITE")</f>
        <v>CAVITE</v>
      </c>
      <c r="R2031" s="1" t="str">
        <f>IFERROR(__xludf.DUMMYFUNCTION("""COMPUTED_VALUE"""),"FIBR PLAN 1299")</f>
        <v>FIBR PLAN 1299</v>
      </c>
      <c r="S2031" s="1" t="str">
        <f>IFERROR(__xludf.DUMMYFUNCTION("""COMPUTED_VALUE"""),"APPROVED")</f>
        <v>APPROVED</v>
      </c>
      <c r="T2031" s="1" t="str">
        <f>IFERROR(__xludf.DUMMYFUNCTION("""COMPUTED_VALUE"""),"#N/A")</f>
        <v>#N/A</v>
      </c>
      <c r="U2031" s="1" t="str">
        <f>IFERROR(__xludf.DUMMYFUNCTION("""COMPUTED_VALUE"""),"POSTED")</f>
        <v>POSTED</v>
      </c>
      <c r="V2031" s="1"/>
      <c r="W2031" s="1"/>
    </row>
    <row r="2032" customHeight="1" spans="1:23">
      <c r="A2032" s="3">
        <f>IFERROR(__xludf.DUMMYFUNCTION("""COMPUTED_VALUE"""),46181)</f>
        <v>46181</v>
      </c>
      <c r="B2032" s="1" t="str">
        <f>IFERROR(__xludf.DUMMYFUNCTION("""COMPUTED_VALUE"""),"AGUNOS, JHON AIRVIN")</f>
        <v>AGUNOS, JHON AIRVIN</v>
      </c>
      <c r="C2032" s="1" t="str">
        <f>IFERROR(__xludf.DUMMYFUNCTION("""COMPUTED_VALUE"""),"ORGANIC")</f>
        <v>ORGANIC</v>
      </c>
      <c r="D2032" s="1" t="str">
        <f>IFERROR(__xludf.DUMMYFUNCTION("""COMPUTED_VALUE"""),"REMOLLO LEA")</f>
        <v>REMOLLO LEA</v>
      </c>
      <c r="E2032" s="1" t="str">
        <f>IFERROR(__xludf.DUMMYFUNCTION("""COMPUTED_VALUE"""),"PLDT / H2H")</f>
        <v>PLDT / H2H</v>
      </c>
      <c r="F2032" s="1">
        <f>IFERROR(__xludf.DUMMYFUNCTION("""COMPUTED_VALUE"""),2310048792)</f>
        <v>2310048792</v>
      </c>
      <c r="G2032" s="1"/>
      <c r="H2032" s="1" t="str">
        <f>IFERROR(__xludf.DUMMYFUNCTION("""COMPUTED_VALUE"""),"LINDSAY IYA SACAY CRISOSTOMO")</f>
        <v>LINDSAY IYA SACAY CRISOSTOMO</v>
      </c>
      <c r="I2032" s="1">
        <f>IFERROR(__xludf.DUMMYFUNCTION("""COMPUTED_VALUE"""),9099391227)</f>
        <v>9099391227</v>
      </c>
      <c r="J2032" s="1">
        <f>IFERROR(__xludf.DUMMYFUNCTION("""COMPUTED_VALUE"""),9197689412)</f>
        <v>9197689412</v>
      </c>
      <c r="K2032" s="1" t="str">
        <f>IFERROR(__xludf.DUMMYFUNCTION("""COMPUTED_VALUE"""),"clindsayiya13@gmail.com")</f>
        <v>clindsayiya13@gmail.com</v>
      </c>
      <c r="L2032" s="1" t="str">
        <f>IFERROR(__xludf.DUMMYFUNCTION("""COMPUTED_VALUE"""),"BLK 8 LOT 21")</f>
        <v>BLK 8 LOT 21</v>
      </c>
      <c r="M2032" s="1" t="str">
        <f>IFERROR(__xludf.DUMMYFUNCTION("""COMPUTED_VALUE"""),"ACACIA")</f>
        <v>ACACIA</v>
      </c>
      <c r="N2032" s="1"/>
      <c r="O2032" s="1" t="str">
        <f>IFERROR(__xludf.DUMMYFUNCTION("""COMPUTED_VALUE"""),"ACACIA")</f>
        <v>ACACIA</v>
      </c>
      <c r="P2032" s="1" t="str">
        <f>IFERROR(__xludf.DUMMYFUNCTION("""COMPUTED_VALUE"""),"SILANG")</f>
        <v>SILANG</v>
      </c>
      <c r="Q2032" s="1" t="str">
        <f>IFERROR(__xludf.DUMMYFUNCTION("""COMPUTED_VALUE"""),"CAVITE")</f>
        <v>CAVITE</v>
      </c>
      <c r="R2032" s="1" t="str">
        <f>IFERROR(__xludf.DUMMYFUNCTION("""COMPUTED_VALUE"""),"FIBR PLAN 1299")</f>
        <v>FIBR PLAN 1299</v>
      </c>
      <c r="S2032" s="1" t="str">
        <f>IFERROR(__xludf.DUMMYFUNCTION("""COMPUTED_VALUE"""),"APPROVED")</f>
        <v>APPROVED</v>
      </c>
      <c r="T2032" s="1" t="str">
        <f>IFERROR(__xludf.DUMMYFUNCTION("""COMPUTED_VALUE"""),"#N/A")</f>
        <v>#N/A</v>
      </c>
      <c r="U2032" s="1" t="str">
        <f>IFERROR(__xludf.DUMMYFUNCTION("""COMPUTED_VALUE"""),"POSTED")</f>
        <v>POSTED</v>
      </c>
      <c r="V2032" s="1"/>
      <c r="W2032" s="1"/>
    </row>
    <row r="2033" customHeight="1" spans="1:23">
      <c r="A2033" s="3">
        <f>IFERROR(__xludf.DUMMYFUNCTION("""COMPUTED_VALUE"""),46182)</f>
        <v>46182</v>
      </c>
      <c r="B2033" s="1" t="str">
        <f>IFERROR(__xludf.DUMMYFUNCTION("""COMPUTED_VALUE"""),"MALIWAT MARK ELVIN")</f>
        <v>MALIWAT MARK ELVIN</v>
      </c>
      <c r="C2033" s="1" t="str">
        <f>IFERROR(__xludf.DUMMYFUNCTION("""COMPUTED_VALUE"""),"FLA")</f>
        <v>FLA</v>
      </c>
      <c r="D2033" s="1" t="str">
        <f>IFERROR(__xludf.DUMMYFUNCTION("""COMPUTED_VALUE"""),"JERIC NAVARRO")</f>
        <v>JERIC NAVARRO</v>
      </c>
      <c r="E2033" s="1" t="str">
        <f>IFERROR(__xludf.DUMMYFUNCTION("""COMPUTED_VALUE"""),"PLDT / ONLINE")</f>
        <v>PLDT / ONLINE</v>
      </c>
      <c r="F2033" s="1">
        <f>IFERROR(__xludf.DUMMYFUNCTION("""COMPUTED_VALUE"""),2310060958)</f>
        <v>2310060958</v>
      </c>
      <c r="G2033" s="1"/>
      <c r="H2033" s="1" t="str">
        <f>IFERROR(__xludf.DUMMYFUNCTION("""COMPUTED_VALUE"""),"JENEL MAGO MONTANA")</f>
        <v>JENEL MAGO MONTANA</v>
      </c>
      <c r="I2033" s="1">
        <f>IFERROR(__xludf.DUMMYFUNCTION("""COMPUTED_VALUE"""),9923496542)</f>
        <v>9923496542</v>
      </c>
      <c r="J2033" s="1">
        <f>IFERROR(__xludf.DUMMYFUNCTION("""COMPUTED_VALUE"""),9392275714)</f>
        <v>9392275714</v>
      </c>
      <c r="K2033" s="1" t="str">
        <f>IFERROR(__xludf.DUMMYFUNCTION("""COMPUTED_VALUE"""),"jenenmontana@gmail.com")</f>
        <v>jenenmontana@gmail.com</v>
      </c>
      <c r="L2033" s="1" t="str">
        <f>IFERROR(__xludf.DUMMYFUNCTION("""COMPUTED_VALUE"""),"BLK 37")</f>
        <v>BLK 37</v>
      </c>
      <c r="M2033" s="1" t="str">
        <f>IFERROR(__xludf.DUMMYFUNCTION("""COMPUTED_VALUE"""),"EXCESS LOT")</f>
        <v>EXCESS LOT</v>
      </c>
      <c r="N2033" s="1" t="str">
        <f>IFERROR(__xludf.DUMMYFUNCTION("""COMPUTED_VALUE"""),"BAUSTISTA")</f>
        <v>BAUSTISTA</v>
      </c>
      <c r="O2033" s="1" t="str">
        <f>IFERROR(__xludf.DUMMYFUNCTION("""COMPUTED_VALUE"""),"SAMPALOC IV")</f>
        <v>SAMPALOC IV</v>
      </c>
      <c r="P2033" s="1" t="str">
        <f>IFERROR(__xludf.DUMMYFUNCTION("""COMPUTED_VALUE"""),"DASMARINAS")</f>
        <v>DASMARINAS</v>
      </c>
      <c r="Q2033" s="1" t="str">
        <f>IFERROR(__xludf.DUMMYFUNCTION("""COMPUTED_VALUE"""),"CAVITE")</f>
        <v>CAVITE</v>
      </c>
      <c r="R2033" s="1" t="str">
        <f>IFERROR(__xludf.DUMMYFUNCTION("""COMPUTED_VALUE"""),"FIBR PLAN 1299")</f>
        <v>FIBR PLAN 1299</v>
      </c>
      <c r="S2033" s="1" t="str">
        <f>IFERROR(__xludf.DUMMYFUNCTION("""COMPUTED_VALUE"""),"APPROVED")</f>
        <v>APPROVED</v>
      </c>
      <c r="T2033" s="1" t="str">
        <f>IFERROR(__xludf.DUMMYFUNCTION("""COMPUTED_VALUE"""),"#N/A")</f>
        <v>#N/A</v>
      </c>
      <c r="U2033" s="1"/>
      <c r="V2033" s="1"/>
      <c r="W2033" s="1"/>
    </row>
    <row r="2034" customHeight="1" spans="1:23">
      <c r="A2034" s="3">
        <f>IFERROR(__xludf.DUMMYFUNCTION("""COMPUTED_VALUE"""),46182)</f>
        <v>46182</v>
      </c>
      <c r="B2034" s="1" t="str">
        <f>IFERROR(__xludf.DUMMYFUNCTION("""COMPUTED_VALUE"""),"MALIWAT MARK ELVIN")</f>
        <v>MALIWAT MARK ELVIN</v>
      </c>
      <c r="C2034" s="1" t="str">
        <f>IFERROR(__xludf.DUMMYFUNCTION("""COMPUTED_VALUE"""),"FLA")</f>
        <v>FLA</v>
      </c>
      <c r="D2034" s="1" t="str">
        <f>IFERROR(__xludf.DUMMYFUNCTION("""COMPUTED_VALUE"""),"JERIC NAVARRO")</f>
        <v>JERIC NAVARRO</v>
      </c>
      <c r="E2034" s="1" t="str">
        <f>IFERROR(__xludf.DUMMYFUNCTION("""COMPUTED_VALUE"""),"RED FIBER")</f>
        <v>RED FIBER</v>
      </c>
      <c r="F2034" s="1"/>
      <c r="G2034" s="1"/>
      <c r="H2034" s="1" t="str">
        <f>IFERROR(__xludf.DUMMYFUNCTION("""COMPUTED_VALUE"""),"JOHNDEL OCAMPO NUESTRO")</f>
        <v>JOHNDEL OCAMPO NUESTRO</v>
      </c>
      <c r="I2034" s="1">
        <f>IFERROR(__xludf.DUMMYFUNCTION("""COMPUTED_VALUE"""),9614140341)</f>
        <v>9614140341</v>
      </c>
      <c r="J2034" s="1"/>
      <c r="K2034" s="1" t="str">
        <f>IFERROR(__xludf.DUMMYFUNCTION("""COMPUTED_VALUE"""),"jophetnuestro02@gmail.com")</f>
        <v>jophetnuestro02@gmail.com</v>
      </c>
      <c r="L2034" s="1" t="str">
        <f>IFERROR(__xludf.DUMMYFUNCTION("""COMPUTED_VALUE"""),"245")</f>
        <v>245</v>
      </c>
      <c r="M2034" s="1" t="str">
        <f>IFERROR(__xludf.DUMMYFUNCTION("""COMPUTED_VALUE"""),"MABINI")</f>
        <v>MABINI</v>
      </c>
      <c r="N2034" s="1"/>
      <c r="O2034" s="1" t="str">
        <f>IFERROR(__xludf.DUMMYFUNCTION("""COMPUTED_VALUE"""),"BARANGAY 3 (POB.)")</f>
        <v>BARANGAY 3 (POB.)</v>
      </c>
      <c r="P2034" s="1" t="str">
        <f>IFERROR(__xludf.DUMMYFUNCTION("""COMPUTED_VALUE"""),"MENDEZ")</f>
        <v>MENDEZ</v>
      </c>
      <c r="Q2034" s="1" t="str">
        <f>IFERROR(__xludf.DUMMYFUNCTION("""COMPUTED_VALUE"""),"CAVITE")</f>
        <v>CAVITE</v>
      </c>
      <c r="R2034" s="1" t="str">
        <f>IFERROR(__xludf.DUMMYFUNCTION("""COMPUTED_VALUE"""),"RED PLAN 1000")</f>
        <v>RED PLAN 1000</v>
      </c>
      <c r="S2034" s="1" t="str">
        <f>IFERROR(__xludf.DUMMYFUNCTION("""COMPUTED_VALUE"""),"APPROVED")</f>
        <v>APPROVED</v>
      </c>
      <c r="T2034" s="1" t="str">
        <f>IFERROR(__xludf.DUMMYFUNCTION("""COMPUTED_VALUE"""),"#N/A")</f>
        <v>#N/A</v>
      </c>
      <c r="U2034" s="1"/>
      <c r="V2034" s="1"/>
      <c r="W2034" s="1"/>
    </row>
    <row r="2035" customHeight="1" spans="1:23">
      <c r="A2035" s="3">
        <f>IFERROR(__xludf.DUMMYFUNCTION("""COMPUTED_VALUE"""),46182)</f>
        <v>46182</v>
      </c>
      <c r="B2035" s="1" t="str">
        <f>IFERROR(__xludf.DUMMYFUNCTION("""COMPUTED_VALUE"""),"MALIWAT MARK ELVIN")</f>
        <v>MALIWAT MARK ELVIN</v>
      </c>
      <c r="C2035" s="1" t="str">
        <f>IFERROR(__xludf.DUMMYFUNCTION("""COMPUTED_VALUE"""),"FLA")</f>
        <v>FLA</v>
      </c>
      <c r="D2035" s="1" t="str">
        <f>IFERROR(__xludf.DUMMYFUNCTION("""COMPUTED_VALUE"""),"JERIC NAVARRO")</f>
        <v>JERIC NAVARRO</v>
      </c>
      <c r="E2035" s="1" t="str">
        <f>IFERROR(__xludf.DUMMYFUNCTION("""COMPUTED_VALUE"""),"PLDT / ONLINE")</f>
        <v>PLDT / ONLINE</v>
      </c>
      <c r="F2035" s="1">
        <f>IFERROR(__xludf.DUMMYFUNCTION("""COMPUTED_VALUE"""),2310069898)</f>
        <v>2310069898</v>
      </c>
      <c r="G2035" s="1"/>
      <c r="H2035" s="1" t="str">
        <f>IFERROR(__xludf.DUMMYFUNCTION("""COMPUTED_VALUE"""),"MARILYN ALANO ORDES")</f>
        <v>MARILYN ALANO ORDES</v>
      </c>
      <c r="I2035" s="1">
        <f>IFERROR(__xludf.DUMMYFUNCTION("""COMPUTED_VALUE"""),9602809546)</f>
        <v>9602809546</v>
      </c>
      <c r="J2035" s="1">
        <f>IFERROR(__xludf.DUMMYFUNCTION("""COMPUTED_VALUE"""),9919897896)</f>
        <v>9919897896</v>
      </c>
      <c r="K2035" s="1" t="str">
        <f>IFERROR(__xludf.DUMMYFUNCTION("""COMPUTED_VALUE"""),"naldojreduard15@gmail.com")</f>
        <v>naldojreduard15@gmail.com</v>
      </c>
      <c r="L2035" s="1" t="str">
        <f>IFERROR(__xludf.DUMMYFUNCTION("""COMPUTED_VALUE"""),"9108")</f>
        <v>9108</v>
      </c>
      <c r="M2035" s="1" t="str">
        <f>IFERROR(__xludf.DUMMYFUNCTION("""COMPUTED_VALUE"""),"MALAKAS ")</f>
        <v>MALAKAS </v>
      </c>
      <c r="N2035" s="1" t="str">
        <f>IFERROR(__xludf.DUMMYFUNCTION("""COMPUTED_VALUE"""),"PUROK 3")</f>
        <v>PUROK 3</v>
      </c>
      <c r="O2035" s="1" t="str">
        <f>IFERROR(__xludf.DUMMYFUNCTION("""COMPUTED_VALUE"""),"LANGKAAN I")</f>
        <v>LANGKAAN I</v>
      </c>
      <c r="P2035" s="1" t="str">
        <f>IFERROR(__xludf.DUMMYFUNCTION("""COMPUTED_VALUE"""),"DASMARINAS")</f>
        <v>DASMARINAS</v>
      </c>
      <c r="Q2035" s="1" t="str">
        <f>IFERROR(__xludf.DUMMYFUNCTION("""COMPUTED_VALUE"""),"CAVITE")</f>
        <v>CAVITE</v>
      </c>
      <c r="R2035" s="1" t="str">
        <f>IFERROR(__xludf.DUMMYFUNCTION("""COMPUTED_VALUE"""),"FIBR NETFLIX PLAN 1599")</f>
        <v>FIBR NETFLIX PLAN 1599</v>
      </c>
      <c r="S2035" s="1" t="str">
        <f>IFERROR(__xludf.DUMMYFUNCTION("""COMPUTED_VALUE"""),"APPROVED")</f>
        <v>APPROVED</v>
      </c>
      <c r="T2035" s="1" t="str">
        <f>IFERROR(__xludf.DUMMYFUNCTION("""COMPUTED_VALUE"""),"#N/A")</f>
        <v>#N/A</v>
      </c>
      <c r="U2035" s="1" t="str">
        <f>IFERROR(__xludf.DUMMYFUNCTION("""COMPUTED_VALUE"""),"POSTED")</f>
        <v>POSTED</v>
      </c>
      <c r="V2035" s="1"/>
      <c r="W2035" s="1"/>
    </row>
    <row r="2036" customHeight="1" spans="1:23">
      <c r="A2036" s="3">
        <f>IFERROR(__xludf.DUMMYFUNCTION("""COMPUTED_VALUE"""),46182)</f>
        <v>46182</v>
      </c>
      <c r="B2036" s="1" t="str">
        <f>IFERROR(__xludf.DUMMYFUNCTION("""COMPUTED_VALUE"""),"GABAY, MANUEL")</f>
        <v>GABAY, MANUEL</v>
      </c>
      <c r="C2036" s="1" t="str">
        <f>IFERROR(__xludf.DUMMYFUNCTION("""COMPUTED_VALUE"""),"FLA")</f>
        <v>FLA</v>
      </c>
      <c r="D2036" s="1" t="str">
        <f>IFERROR(__xludf.DUMMYFUNCTION("""COMPUTED_VALUE"""),"JERIC NAVARRO")</f>
        <v>JERIC NAVARRO</v>
      </c>
      <c r="E2036" s="1" t="str">
        <f>IFERROR(__xludf.DUMMYFUNCTION("""COMPUTED_VALUE"""),"PLDT / ONLINE")</f>
        <v>PLDT / ONLINE</v>
      </c>
      <c r="F2036" s="1">
        <f>IFERROR(__xludf.DUMMYFUNCTION("""COMPUTED_VALUE"""),2310063051)</f>
        <v>2310063051</v>
      </c>
      <c r="G2036" s="1"/>
      <c r="H2036" s="1" t="str">
        <f>IFERROR(__xludf.DUMMYFUNCTION("""COMPUTED_VALUE"""),"LIONEL ABAD LUNA")</f>
        <v>LIONEL ABAD LUNA</v>
      </c>
      <c r="I2036" s="1">
        <f>IFERROR(__xludf.DUMMYFUNCTION("""COMPUTED_VALUE"""),9604253602)</f>
        <v>9604253602</v>
      </c>
      <c r="J2036" s="1"/>
      <c r="K2036" s="1" t="str">
        <f>IFERROR(__xludf.DUMMYFUNCTION("""COMPUTED_VALUE"""),"lunalionel13@gmail.com")</f>
        <v>lunalionel13@gmail.com</v>
      </c>
      <c r="L2036" s="1" t="str">
        <f>IFERROR(__xludf.DUMMYFUNCTION("""COMPUTED_VALUE"""),"BLK 2 LOT 2")</f>
        <v>BLK 2 LOT 2</v>
      </c>
      <c r="M2036" s="1" t="str">
        <f>IFERROR(__xludf.DUMMYFUNCTION("""COMPUTED_VALUE"""),"PABAHAY")</f>
        <v>PABAHAY</v>
      </c>
      <c r="N2036" s="1"/>
      <c r="O2036" s="1" t="str">
        <f>IFERROR(__xludf.DUMMYFUNCTION("""COMPUTED_VALUE"""),"ZAMBAL")</f>
        <v>ZAMBAL</v>
      </c>
      <c r="P2036" s="1" t="str">
        <f>IFERROR(__xludf.DUMMYFUNCTION("""COMPUTED_VALUE"""),"TAGAYTAY")</f>
        <v>TAGAYTAY</v>
      </c>
      <c r="Q2036" s="1" t="str">
        <f>IFERROR(__xludf.DUMMYFUNCTION("""COMPUTED_VALUE"""),"CAVITE")</f>
        <v>CAVITE</v>
      </c>
      <c r="R2036" s="1" t="str">
        <f>IFERROR(__xludf.DUMMYFUNCTION("""COMPUTED_VALUE"""),"FIBR NETFLIX PLAN 1599")</f>
        <v>FIBR NETFLIX PLAN 1599</v>
      </c>
      <c r="S2036" s="1" t="str">
        <f>IFERROR(__xludf.DUMMYFUNCTION("""COMPUTED_VALUE"""),"APPROVED")</f>
        <v>APPROVED</v>
      </c>
      <c r="T2036" s="1" t="str">
        <f>IFERROR(__xludf.DUMMYFUNCTION("""COMPUTED_VALUE"""),"#N/A")</f>
        <v>#N/A</v>
      </c>
      <c r="U2036" s="1" t="str">
        <f>IFERROR(__xludf.DUMMYFUNCTION("""COMPUTED_VALUE"""),"POSTED")</f>
        <v>POSTED</v>
      </c>
      <c r="V2036" s="1"/>
      <c r="W2036" s="1"/>
    </row>
    <row r="2037" customHeight="1" spans="1:23">
      <c r="A2037" s="3">
        <f>IFERROR(__xludf.DUMMYFUNCTION("""COMPUTED_VALUE"""),46182)</f>
        <v>46182</v>
      </c>
      <c r="B2037" s="1" t="str">
        <f>IFERROR(__xludf.DUMMYFUNCTION("""COMPUTED_VALUE"""),"NAVARRO, JERIC")</f>
        <v>NAVARRO, JERIC</v>
      </c>
      <c r="C2037" s="1" t="str">
        <f>IFERROR(__xludf.DUMMYFUNCTION("""COMPUTED_VALUE"""),"FLA")</f>
        <v>FLA</v>
      </c>
      <c r="D2037" s="1" t="str">
        <f>IFERROR(__xludf.DUMMYFUNCTION("""COMPUTED_VALUE"""),"JERIC NAVARRO")</f>
        <v>JERIC NAVARRO</v>
      </c>
      <c r="E2037" s="1" t="str">
        <f>IFERROR(__xludf.DUMMYFUNCTION("""COMPUTED_VALUE"""),"RED FIBER")</f>
        <v>RED FIBER</v>
      </c>
      <c r="F2037" s="1"/>
      <c r="G2037" s="1"/>
      <c r="H2037" s="1" t="str">
        <f>IFERROR(__xludf.DUMMYFUNCTION("""COMPUTED_VALUE"""),"LENY ABLOLA MARAAN")</f>
        <v>LENY ABLOLA MARAAN</v>
      </c>
      <c r="I2037" s="1">
        <f>IFERROR(__xludf.DUMMYFUNCTION("""COMPUTED_VALUE"""),9332289687)</f>
        <v>9332289687</v>
      </c>
      <c r="J2037" s="1"/>
      <c r="K2037" s="1" t="str">
        <f>IFERROR(__xludf.DUMMYFUNCTION("""COMPUTED_VALUE"""),"azhleight23@gmail.com")</f>
        <v>azhleight23@gmail.com</v>
      </c>
      <c r="L2037" s="1" t="str">
        <f>IFERROR(__xludf.DUMMYFUNCTION("""COMPUTED_VALUE"""),"140")</f>
        <v>140</v>
      </c>
      <c r="M2037" s="1" t="str">
        <f>IFERROR(__xludf.DUMMYFUNCTION("""COMPUTED_VALUE"""),"ZAMORA")</f>
        <v>ZAMORA</v>
      </c>
      <c r="N2037" s="1"/>
      <c r="O2037" s="1" t="str">
        <f>IFERROR(__xludf.DUMMYFUNCTION("""COMPUTED_VALUE"""),"ASIS I")</f>
        <v>ASIS I</v>
      </c>
      <c r="P2037" s="1" t="str">
        <f>IFERROR(__xludf.DUMMYFUNCTION("""COMPUTED_VALUE"""),"MENDEZ")</f>
        <v>MENDEZ</v>
      </c>
      <c r="Q2037" s="1" t="str">
        <f>IFERROR(__xludf.DUMMYFUNCTION("""COMPUTED_VALUE"""),"CAVITE")</f>
        <v>CAVITE</v>
      </c>
      <c r="R2037" s="1" t="str">
        <f>IFERROR(__xludf.DUMMYFUNCTION("""COMPUTED_VALUE"""),"RED PLAN 1000")</f>
        <v>RED PLAN 1000</v>
      </c>
      <c r="S2037" s="1" t="str">
        <f>IFERROR(__xludf.DUMMYFUNCTION("""COMPUTED_VALUE"""),"APPROVED")</f>
        <v>APPROVED</v>
      </c>
      <c r="T2037" s="1" t="str">
        <f>IFERROR(__xludf.DUMMYFUNCTION("""COMPUTED_VALUE"""),"PAID")</f>
        <v>PAID</v>
      </c>
      <c r="U2037" s="1" t="str">
        <f>IFERROR(__xludf.DUMMYFUNCTION("""COMPUTED_VALUE"""),"POSTED")</f>
        <v>POSTED</v>
      </c>
      <c r="V2037" s="1"/>
      <c r="W2037" s="1"/>
    </row>
    <row r="2038" customHeight="1" spans="1:23">
      <c r="A2038" s="3">
        <f>IFERROR(__xludf.DUMMYFUNCTION("""COMPUTED_VALUE"""),46182)</f>
        <v>46182</v>
      </c>
      <c r="B2038" s="1" t="str">
        <f>IFERROR(__xludf.DUMMYFUNCTION("""COMPUTED_VALUE"""),"FARO, REFRANTA")</f>
        <v>FARO, REFRANTA</v>
      </c>
      <c r="C2038" s="1" t="str">
        <f>IFERROR(__xludf.DUMMYFUNCTION("""COMPUTED_VALUE"""),"ORGANIC")</f>
        <v>ORGANIC</v>
      </c>
      <c r="D2038" s="1" t="str">
        <f>IFERROR(__xludf.DUMMYFUNCTION("""COMPUTED_VALUE"""),"REMOLLO LEA")</f>
        <v>REMOLLO LEA</v>
      </c>
      <c r="E2038" s="1" t="str">
        <f>IFERROR(__xludf.DUMMYFUNCTION("""COMPUTED_VALUE"""),"PLDT / H2H")</f>
        <v>PLDT / H2H</v>
      </c>
      <c r="F2038" s="1"/>
      <c r="G2038" s="1"/>
      <c r="H2038" s="1" t="str">
        <f>IFERROR(__xludf.DUMMYFUNCTION("""COMPUTED_VALUE"""),"EDINA DILIVA MARCIAL")</f>
        <v>EDINA DILIVA MARCIAL</v>
      </c>
      <c r="I2038" s="1">
        <f>IFERROR(__xludf.DUMMYFUNCTION("""COMPUTED_VALUE"""),9759896848)</f>
        <v>9759896848</v>
      </c>
      <c r="J2038" s="1"/>
      <c r="K2038" s="1" t="str">
        <f>IFERROR(__xludf.DUMMYFUNCTION("""COMPUTED_VALUE"""),"dacillomariel5@gmail.com")</f>
        <v>dacillomariel5@gmail.com</v>
      </c>
      <c r="L2038" s="1" t="str">
        <f>IFERROR(__xludf.DUMMYFUNCTION("""COMPUTED_VALUE"""),"19")</f>
        <v>19</v>
      </c>
      <c r="M2038" s="1" t="str">
        <f>IFERROR(__xludf.DUMMYFUNCTION("""COMPUTED_VALUE"""),"DAANG LUMA")</f>
        <v>DAANG LUMA</v>
      </c>
      <c r="N2038" s="1"/>
      <c r="O2038" s="1" t="str">
        <f>IFERROR(__xludf.DUMMYFUNCTION("""COMPUTED_VALUE"""),"LOMA")</f>
        <v>LOMA</v>
      </c>
      <c r="P2038" s="1" t="str">
        <f>IFERROR(__xludf.DUMMYFUNCTION("""COMPUTED_VALUE"""),"AMADEO")</f>
        <v>AMADEO</v>
      </c>
      <c r="Q2038" s="1" t="str">
        <f>IFERROR(__xludf.DUMMYFUNCTION("""COMPUTED_VALUE"""),"CAVITE")</f>
        <v>CAVITE</v>
      </c>
      <c r="R2038" s="1" t="str">
        <f>IFERROR(__xludf.DUMMYFUNCTION("""COMPUTED_VALUE"""),"FIBR UNLI ALL PLAN 1399")</f>
        <v>FIBR UNLI ALL PLAN 1399</v>
      </c>
      <c r="S2038" s="1" t="str">
        <f>IFERROR(__xludf.DUMMYFUNCTION("""COMPUTED_VALUE"""),"CANCELLED ")</f>
        <v>CANCELLED </v>
      </c>
      <c r="T2038" s="1" t="str">
        <f>IFERROR(__xludf.DUMMYFUNCTION("""COMPUTED_VALUE"""),"#N/A")</f>
        <v>#N/A</v>
      </c>
      <c r="U2038" s="1" t="str">
        <f>IFERROR(__xludf.DUMMYFUNCTION("""COMPUTED_VALUE"""),"AS PER SUBS JUNE 25 PA SILA MAGKAKAPERA/FOR CANCELLATION DI DAW DUMATING YUNG INAASAHAN NILANG PERA JUNE 23")</f>
        <v>AS PER SUBS JUNE 25 PA SILA MAGKAKAPERA/FOR CANCELLATION DI DAW DUMATING YUNG INAASAHAN NILANG PERA JUNE 23</v>
      </c>
      <c r="V2038" s="1"/>
      <c r="W2038" s="1"/>
    </row>
    <row r="2039" customHeight="1" spans="1:23">
      <c r="A2039" s="3">
        <f>IFERROR(__xludf.DUMMYFUNCTION("""COMPUTED_VALUE"""),46182)</f>
        <v>46182</v>
      </c>
      <c r="B2039" s="1" t="str">
        <f>IFERROR(__xludf.DUMMYFUNCTION("""COMPUTED_VALUE"""),"GABAY, MANUEL")</f>
        <v>GABAY, MANUEL</v>
      </c>
      <c r="C2039" s="1" t="str">
        <f>IFERROR(__xludf.DUMMYFUNCTION("""COMPUTED_VALUE"""),"FLA")</f>
        <v>FLA</v>
      </c>
      <c r="D2039" s="1" t="str">
        <f>IFERROR(__xludf.DUMMYFUNCTION("""COMPUTED_VALUE"""),"JERIC NAVARRO")</f>
        <v>JERIC NAVARRO</v>
      </c>
      <c r="E2039" s="1" t="str">
        <f>IFERROR(__xludf.DUMMYFUNCTION("""COMPUTED_VALUE"""),"PLDT / H2H")</f>
        <v>PLDT / H2H</v>
      </c>
      <c r="F2039" s="1">
        <f>IFERROR(__xludf.DUMMYFUNCTION("""COMPUTED_VALUE"""),2310068638)</f>
        <v>2310068638</v>
      </c>
      <c r="G2039" s="1"/>
      <c r="H2039" s="1" t="str">
        <f>IFERROR(__xludf.DUMMYFUNCTION("""COMPUTED_VALUE"""),"BELEN ANASTACIO ABUTIN")</f>
        <v>BELEN ANASTACIO ABUTIN</v>
      </c>
      <c r="I2039" s="1">
        <f>IFERROR(__xludf.DUMMYFUNCTION("""COMPUTED_VALUE"""),9165773807)</f>
        <v>9165773807</v>
      </c>
      <c r="J2039" s="1">
        <f>IFERROR(__xludf.DUMMYFUNCTION("""COMPUTED_VALUE"""),9755809802)</f>
        <v>9755809802</v>
      </c>
      <c r="K2039" s="1" t="str">
        <f>IFERROR(__xludf.DUMMYFUNCTION("""COMPUTED_VALUE"""),"emmanabutin@gmail.com")</f>
        <v>emmanabutin@gmail.com</v>
      </c>
      <c r="L2039" s="1" t="str">
        <f>IFERROR(__xludf.DUMMYFUNCTION("""COMPUTED_VALUE"""),"2748")</f>
        <v>2748</v>
      </c>
      <c r="M2039" s="1" t="str">
        <f>IFERROR(__xludf.DUMMYFUNCTION("""COMPUTED_VALUE"""),"SEMION VIDA")</f>
        <v>SEMION VIDA</v>
      </c>
      <c r="N2039" s="1"/>
      <c r="O2039" s="1" t="str">
        <f>IFERROR(__xludf.DUMMYFUNCTION("""COMPUTED_VALUE"""),"PANUNGYAN I")</f>
        <v>PANUNGYAN I</v>
      </c>
      <c r="P2039" s="1" t="str">
        <f>IFERROR(__xludf.DUMMYFUNCTION("""COMPUTED_VALUE"""),"MENDEZ")</f>
        <v>MENDEZ</v>
      </c>
      <c r="Q2039" s="1" t="str">
        <f>IFERROR(__xludf.DUMMYFUNCTION("""COMPUTED_VALUE"""),"CAVITE")</f>
        <v>CAVITE</v>
      </c>
      <c r="R2039" s="1" t="str">
        <f>IFERROR(__xludf.DUMMYFUNCTION("""COMPUTED_VALUE"""),"FIBR NETFLIX PLAN 1599")</f>
        <v>FIBR NETFLIX PLAN 1599</v>
      </c>
      <c r="S2039" s="1" t="str">
        <f>IFERROR(__xludf.DUMMYFUNCTION("""COMPUTED_VALUE"""),"APPROVED")</f>
        <v>APPROVED</v>
      </c>
      <c r="T2039" s="1" t="str">
        <f>IFERROR(__xludf.DUMMYFUNCTION("""COMPUTED_VALUE"""),"#N/A")</f>
        <v>#N/A</v>
      </c>
      <c r="U2039" s="1" t="str">
        <f>IFERROR(__xludf.DUMMYFUNCTION("""COMPUTED_VALUE"""),"POSTED")</f>
        <v>POSTED</v>
      </c>
      <c r="V2039" s="1"/>
      <c r="W2039" s="1"/>
    </row>
    <row r="2040" customHeight="1" spans="1:23">
      <c r="A2040" s="3">
        <f>IFERROR(__xludf.DUMMYFUNCTION("""COMPUTED_VALUE"""),46182)</f>
        <v>46182</v>
      </c>
      <c r="B2040" s="1" t="str">
        <f>IFERROR(__xludf.DUMMYFUNCTION("""COMPUTED_VALUE"""),"CASTILLEJOS, ARREL")</f>
        <v>CASTILLEJOS, ARREL</v>
      </c>
      <c r="C2040" s="1" t="str">
        <f>IFERROR(__xludf.DUMMYFUNCTION("""COMPUTED_VALUE"""),"ORGANIC")</f>
        <v>ORGANIC</v>
      </c>
      <c r="D2040" s="1" t="str">
        <f>IFERROR(__xludf.DUMMYFUNCTION("""COMPUTED_VALUE"""),"REMOLLO LEA")</f>
        <v>REMOLLO LEA</v>
      </c>
      <c r="E2040" s="1" t="str">
        <f>IFERROR(__xludf.DUMMYFUNCTION("""COMPUTED_VALUE"""),"RED FIBER")</f>
        <v>RED FIBER</v>
      </c>
      <c r="F2040" s="1"/>
      <c r="G2040" s="1"/>
      <c r="H2040" s="1" t="str">
        <f>IFERROR(__xludf.DUMMYFUNCTION("""COMPUTED_VALUE"""),"NELSON GUTTIERREZ AURE")</f>
        <v>NELSON GUTTIERREZ AURE</v>
      </c>
      <c r="I2040" s="1">
        <f>IFERROR(__xludf.DUMMYFUNCTION("""COMPUTED_VALUE"""),9081729355)</f>
        <v>9081729355</v>
      </c>
      <c r="J2040" s="1">
        <f>IFERROR(__xludf.DUMMYFUNCTION("""COMPUTED_VALUE"""),9452946851)</f>
        <v>9452946851</v>
      </c>
      <c r="K2040" s="1" t="str">
        <f>IFERROR(__xludf.DUMMYFUNCTION("""COMPUTED_VALUE"""),"aureloveallison@yahoo.com")</f>
        <v>aureloveallison@yahoo.com</v>
      </c>
      <c r="L2040" s="1" t="str">
        <f>IFERROR(__xludf.DUMMYFUNCTION("""COMPUTED_VALUE"""),"43")</f>
        <v>43</v>
      </c>
      <c r="M2040" s="1" t="str">
        <f>IFERROR(__xludf.DUMMYFUNCTION("""COMPUTED_VALUE"""),"RIZAL")</f>
        <v>RIZAL</v>
      </c>
      <c r="N2040" s="1"/>
      <c r="O2040" s="1" t="str">
        <f>IFERROR(__xludf.DUMMYFUNCTION("""COMPUTED_VALUE"""),"BARANGAY IX (POB.)")</f>
        <v>BARANGAY IX (POB.)</v>
      </c>
      <c r="P2040" s="1" t="str">
        <f>IFERROR(__xludf.DUMMYFUNCTION("""COMPUTED_VALUE"""),"MENDEZ")</f>
        <v>MENDEZ</v>
      </c>
      <c r="Q2040" s="1" t="str">
        <f>IFERROR(__xludf.DUMMYFUNCTION("""COMPUTED_VALUE"""),"CAVITE")</f>
        <v>CAVITE</v>
      </c>
      <c r="R2040" s="1" t="str">
        <f>IFERROR(__xludf.DUMMYFUNCTION("""COMPUTED_VALUE"""),"RED PLAN 1400")</f>
        <v>RED PLAN 1400</v>
      </c>
      <c r="S2040" s="1" t="str">
        <f>IFERROR(__xludf.DUMMYFUNCTION("""COMPUTED_VALUE"""),"APPROVED")</f>
        <v>APPROVED</v>
      </c>
      <c r="T2040" s="1" t="str">
        <f>IFERROR(__xludf.DUMMYFUNCTION("""COMPUTED_VALUE"""),"CANCELLED")</f>
        <v>CANCELLED</v>
      </c>
      <c r="U2040" s="1" t="str">
        <f>IFERROR(__xludf.DUMMYFUNCTION("""COMPUTED_VALUE"""),"SUBS CANCELLED ")</f>
        <v>SUBS CANCELLED </v>
      </c>
      <c r="V2040" s="1"/>
      <c r="W2040" s="1"/>
    </row>
    <row r="2041" customHeight="1" spans="1:23">
      <c r="A2041" s="3">
        <f>IFERROR(__xludf.DUMMYFUNCTION("""COMPUTED_VALUE"""),46182)</f>
        <v>46182</v>
      </c>
      <c r="B2041" s="1" t="str">
        <f>IFERROR(__xludf.DUMMYFUNCTION("""COMPUTED_VALUE"""),"FRANCISCO , ROSELYN")</f>
        <v>FRANCISCO , ROSELYN</v>
      </c>
      <c r="C2041" s="1" t="str">
        <f>IFERROR(__xludf.DUMMYFUNCTION("""COMPUTED_VALUE"""),"ORGANIC")</f>
        <v>ORGANIC</v>
      </c>
      <c r="D2041" s="1" t="str">
        <f>IFERROR(__xludf.DUMMYFUNCTION("""COMPUTED_VALUE"""),"REMOLLO LEA")</f>
        <v>REMOLLO LEA</v>
      </c>
      <c r="E2041" s="1" t="str">
        <f>IFERROR(__xludf.DUMMYFUNCTION("""COMPUTED_VALUE"""),"PLDT / H2H")</f>
        <v>PLDT / H2H</v>
      </c>
      <c r="F2041" s="1">
        <f>IFERROR(__xludf.DUMMYFUNCTION("""COMPUTED_VALUE"""),2310068544)</f>
        <v>2310068544</v>
      </c>
      <c r="G2041" s="1"/>
      <c r="H2041" s="1" t="str">
        <f>IFERROR(__xludf.DUMMYFUNCTION("""COMPUTED_VALUE"""),"GABRIEL LUMABAO BADIA")</f>
        <v>GABRIEL LUMABAO BADIA</v>
      </c>
      <c r="I2041" s="1">
        <f>IFERROR(__xludf.DUMMYFUNCTION("""COMPUTED_VALUE"""),9940381649)</f>
        <v>9940381649</v>
      </c>
      <c r="J2041" s="1">
        <f>IFERROR(__xludf.DUMMYFUNCTION("""COMPUTED_VALUE"""),9939527767)</f>
        <v>9939527767</v>
      </c>
      <c r="K2041" s="1" t="str">
        <f>IFERROR(__xludf.DUMMYFUNCTION("""COMPUTED_VALUE"""),"gabriellumabao@gmail.com")</f>
        <v>gabriellumabao@gmail.com</v>
      </c>
      <c r="L2041" s="1" t="str">
        <f>IFERROR(__xludf.DUMMYFUNCTION("""COMPUTED_VALUE"""),"43")</f>
        <v>43</v>
      </c>
      <c r="M2041" s="1" t="str">
        <f>IFERROR(__xludf.DUMMYFUNCTION("""COMPUTED_VALUE"""),"ESPERANZA")</f>
        <v>ESPERANZA</v>
      </c>
      <c r="N2041" s="1"/>
      <c r="O2041" s="1" t="str">
        <f>IFERROR(__xludf.DUMMYFUNCTION("""COMPUTED_VALUE"""),"ESPERANZA ILAYA")</f>
        <v>ESPERANZA ILAYA</v>
      </c>
      <c r="P2041" s="1" t="str">
        <f>IFERROR(__xludf.DUMMYFUNCTION("""COMPUTED_VALUE"""),"ALFONSO")</f>
        <v>ALFONSO</v>
      </c>
      <c r="Q2041" s="1" t="str">
        <f>IFERROR(__xludf.DUMMYFUNCTION("""COMPUTED_VALUE"""),"CAVITE")</f>
        <v>CAVITE</v>
      </c>
      <c r="R2041" s="1" t="str">
        <f>IFERROR(__xludf.DUMMYFUNCTION("""COMPUTED_VALUE"""),"FIBR NETFLIX PLAN 1599")</f>
        <v>FIBR NETFLIX PLAN 1599</v>
      </c>
      <c r="S2041" s="1" t="str">
        <f>IFERROR(__xludf.DUMMYFUNCTION("""COMPUTED_VALUE"""),"APPROVED")</f>
        <v>APPROVED</v>
      </c>
      <c r="T2041" s="1" t="str">
        <f>IFERROR(__xludf.DUMMYFUNCTION("""COMPUTED_VALUE"""),"#N/A")</f>
        <v>#N/A</v>
      </c>
      <c r="U2041" s="1" t="str">
        <f>IFERROR(__xludf.DUMMYFUNCTION("""COMPUTED_VALUE"""),"POSTED")</f>
        <v>POSTED</v>
      </c>
      <c r="V2041" s="1"/>
      <c r="W2041" s="1"/>
    </row>
    <row r="2042" customHeight="1" spans="1:23">
      <c r="A2042" s="3">
        <f>IFERROR(__xludf.DUMMYFUNCTION("""COMPUTED_VALUE"""),46182)</f>
        <v>46182</v>
      </c>
      <c r="B2042" s="1" t="str">
        <f>IFERROR(__xludf.DUMMYFUNCTION("""COMPUTED_VALUE"""),"FERNANDEZ JERIC")</f>
        <v>FERNANDEZ JERIC</v>
      </c>
      <c r="C2042" s="1" t="str">
        <f>IFERROR(__xludf.DUMMYFUNCTION("""COMPUTED_VALUE"""),"ORGANIC")</f>
        <v>ORGANIC</v>
      </c>
      <c r="D2042" s="1" t="str">
        <f>IFERROR(__xludf.DUMMYFUNCTION("""COMPUTED_VALUE"""),"REMOLLO LEA")</f>
        <v>REMOLLO LEA</v>
      </c>
      <c r="E2042" s="1" t="str">
        <f>IFERROR(__xludf.DUMMYFUNCTION("""COMPUTED_VALUE"""),"PLDT / H2H")</f>
        <v>PLDT / H2H</v>
      </c>
      <c r="F2042" s="1">
        <f>IFERROR(__xludf.DUMMYFUNCTION("""COMPUTED_VALUE"""),2310069398)</f>
        <v>2310069398</v>
      </c>
      <c r="G2042" s="1"/>
      <c r="H2042" s="1" t="str">
        <f>IFERROR(__xludf.DUMMYFUNCTION("""COMPUTED_VALUE"""),"SHANTELLE MARIE NICGEFRANCA SALIDARIOS")</f>
        <v>SHANTELLE MARIE NICGEFRANCA SALIDARIOS</v>
      </c>
      <c r="I2042" s="1">
        <f>IFERROR(__xludf.DUMMYFUNCTION("""COMPUTED_VALUE"""),9954321711)</f>
        <v>9954321711</v>
      </c>
      <c r="J2042" s="1"/>
      <c r="K2042" s="1" t="str">
        <f>IFERROR(__xludf.DUMMYFUNCTION("""COMPUTED_VALUE"""),"shamrie.solidarius07@gmail.com")</f>
        <v>shamrie.solidarius07@gmail.com</v>
      </c>
      <c r="L2042" s="1" t="str">
        <f>IFERROR(__xludf.DUMMYFUNCTION("""COMPUTED_VALUE"""),"185")</f>
        <v>185</v>
      </c>
      <c r="M2042" s="1" t="str">
        <f>IFERROR(__xludf.DUMMYFUNCTION("""COMPUTED_VALUE"""),"JP RIZAL")</f>
        <v>JP RIZAL</v>
      </c>
      <c r="N2042" s="1"/>
      <c r="O2042" s="1" t="str">
        <f>IFERROR(__xludf.DUMMYFUNCTION("""COMPUTED_VALUE"""),"ESPERANZA ILAYA")</f>
        <v>ESPERANZA ILAYA</v>
      </c>
      <c r="P2042" s="1" t="str">
        <f>IFERROR(__xludf.DUMMYFUNCTION("""COMPUTED_VALUE"""),"ALFONSO")</f>
        <v>ALFONSO</v>
      </c>
      <c r="Q2042" s="1" t="str">
        <f>IFERROR(__xludf.DUMMYFUNCTION("""COMPUTED_VALUE"""),"CAVITE")</f>
        <v>CAVITE</v>
      </c>
      <c r="R2042" s="1" t="str">
        <f>IFERROR(__xludf.DUMMYFUNCTION("""COMPUTED_VALUE"""),"FIBR PLAN 1299")</f>
        <v>FIBR PLAN 1299</v>
      </c>
      <c r="S2042" s="1" t="str">
        <f>IFERROR(__xludf.DUMMYFUNCTION("""COMPUTED_VALUE"""),"APPROVED")</f>
        <v>APPROVED</v>
      </c>
      <c r="T2042" s="1" t="str">
        <f>IFERROR(__xludf.DUMMYFUNCTION("""COMPUTED_VALUE"""),"#N/A")</f>
        <v>#N/A</v>
      </c>
      <c r="U2042" s="1" t="str">
        <f>IFERROR(__xludf.DUMMYFUNCTION("""COMPUTED_VALUE"""),"POSTED")</f>
        <v>POSTED</v>
      </c>
      <c r="V2042" s="1"/>
      <c r="W2042" s="1"/>
    </row>
    <row r="2043" customHeight="1" spans="1:23">
      <c r="A2043" s="3">
        <f>IFERROR(__xludf.DUMMYFUNCTION("""COMPUTED_VALUE"""),46182)</f>
        <v>46182</v>
      </c>
      <c r="B2043" s="1" t="str">
        <f>IFERROR(__xludf.DUMMYFUNCTION("""COMPUTED_VALUE"""),"RIVERA, AIRIZH JOY")</f>
        <v>RIVERA, AIRIZH JOY</v>
      </c>
      <c r="C2043" s="1" t="str">
        <f>IFERROR(__xludf.DUMMYFUNCTION("""COMPUTED_VALUE"""),"ORGANIC")</f>
        <v>ORGANIC</v>
      </c>
      <c r="D2043" s="1" t="str">
        <f>IFERROR(__xludf.DUMMYFUNCTION("""COMPUTED_VALUE"""),"REMOLLO LEA")</f>
        <v>REMOLLO LEA</v>
      </c>
      <c r="E2043" s="1" t="str">
        <f>IFERROR(__xludf.DUMMYFUNCTION("""COMPUTED_VALUE"""),"PLDT / ONLINE")</f>
        <v>PLDT / ONLINE</v>
      </c>
      <c r="F2043" s="1"/>
      <c r="G2043" s="1"/>
      <c r="H2043" s="1" t="str">
        <f>IFERROR(__xludf.DUMMYFUNCTION("""COMPUTED_VALUE"""),"EDREYLYN ORTEGA FORMOSO")</f>
        <v>EDREYLYN ORTEGA FORMOSO</v>
      </c>
      <c r="I2043" s="1">
        <f>IFERROR(__xludf.DUMMYFUNCTION("""COMPUTED_VALUE"""),9204338448)</f>
        <v>9204338448</v>
      </c>
      <c r="J2043" s="1"/>
      <c r="K2043" s="1" t="str">
        <f>IFERROR(__xludf.DUMMYFUNCTION("""COMPUTED_VALUE"""),"formosoedreylyn8@gmail.com")</f>
        <v>formosoedreylyn8@gmail.com</v>
      </c>
      <c r="L2043" s="1" t="str">
        <f>IFERROR(__xludf.DUMMYFUNCTION("""COMPUTED_VALUE"""),"BLK 201 LOT 21")</f>
        <v>BLK 201 LOT 21</v>
      </c>
      <c r="M2043" s="1" t="str">
        <f>IFERROR(__xludf.DUMMYFUNCTION("""COMPUTED_VALUE"""),"PHASE 5")</f>
        <v>PHASE 5</v>
      </c>
      <c r="N2043" s="1"/>
      <c r="O2043" s="1" t="str">
        <f>IFERROR(__xludf.DUMMYFUNCTION("""COMPUTED_VALUE"""),"PALIPARAN III")</f>
        <v>PALIPARAN III</v>
      </c>
      <c r="P2043" s="1" t="str">
        <f>IFERROR(__xludf.DUMMYFUNCTION("""COMPUTED_VALUE"""),"DASMARINAS")</f>
        <v>DASMARINAS</v>
      </c>
      <c r="Q2043" s="1" t="str">
        <f>IFERROR(__xludf.DUMMYFUNCTION("""COMPUTED_VALUE"""),"CAVITE")</f>
        <v>CAVITE</v>
      </c>
      <c r="R2043" s="1" t="str">
        <f>IFERROR(__xludf.DUMMYFUNCTION("""COMPUTED_VALUE"""),"FIBR UNLI ALL PLAN 999")</f>
        <v>FIBR UNLI ALL PLAN 999</v>
      </c>
      <c r="S2043" s="1" t="str">
        <f>IFERROR(__xludf.DUMMYFUNCTION("""COMPUTED_VALUE"""),"CANCELLED ")</f>
        <v>CANCELLED </v>
      </c>
      <c r="T2043" s="1" t="str">
        <f>IFERROR(__xludf.DUMMYFUNCTION("""COMPUTED_VALUE"""),"#N/A")</f>
        <v>#N/A</v>
      </c>
      <c r="U2043" s="1" t="str">
        <f>IFERROR(__xludf.DUMMYFUNCTION("""COMPUTED_VALUE"""),"AS PER AGENT CANCELLED NA DAW ITO")</f>
        <v>AS PER AGENT CANCELLED NA DAW ITO</v>
      </c>
      <c r="V2043" s="1"/>
      <c r="W2043" s="1"/>
    </row>
    <row r="2044" customHeight="1" spans="1:23">
      <c r="A2044" s="3">
        <f>IFERROR(__xludf.DUMMYFUNCTION("""COMPUTED_VALUE"""),46182)</f>
        <v>46182</v>
      </c>
      <c r="B2044" s="1" t="str">
        <f>IFERROR(__xludf.DUMMYFUNCTION("""COMPUTED_VALUE"""),"DELA ROSA, JENNELYN")</f>
        <v>DELA ROSA, JENNELYN</v>
      </c>
      <c r="C2044" s="1" t="str">
        <f>IFERROR(__xludf.DUMMYFUNCTION("""COMPUTED_VALUE"""),"ORGANIC")</f>
        <v>ORGANIC</v>
      </c>
      <c r="D2044" s="1" t="str">
        <f>IFERROR(__xludf.DUMMYFUNCTION("""COMPUTED_VALUE"""),"REMOLLO LEA")</f>
        <v>REMOLLO LEA</v>
      </c>
      <c r="E2044" s="1" t="str">
        <f>IFERROR(__xludf.DUMMYFUNCTION("""COMPUTED_VALUE"""),"PLDT / H2H")</f>
        <v>PLDT / H2H</v>
      </c>
      <c r="F2044" s="1">
        <f>IFERROR(__xludf.DUMMYFUNCTION("""COMPUTED_VALUE"""),2310072470)</f>
        <v>2310072470</v>
      </c>
      <c r="G2044" s="1"/>
      <c r="H2044" s="1" t="str">
        <f>IFERROR(__xludf.DUMMYFUNCTION("""COMPUTED_VALUE"""),"ANDREW TEODORO SOSA CHUPAPIN")</f>
        <v>ANDREW TEODORO SOSA CHUPAPIN</v>
      </c>
      <c r="I2044" s="1">
        <f>IFERROR(__xludf.DUMMYFUNCTION("""COMPUTED_VALUE"""),9632510620)</f>
        <v>9632510620</v>
      </c>
      <c r="J2044" s="1"/>
      <c r="K2044" s="1" t="str">
        <f>IFERROR(__xludf.DUMMYFUNCTION("""COMPUTED_VALUE"""),"drey75879@gmail.com")</f>
        <v>drey75879@gmail.com</v>
      </c>
      <c r="L2044" s="1" t="str">
        <f>IFERROR(__xludf.DUMMYFUNCTION("""COMPUTED_VALUE"""),"BLK 11 LOT 17")</f>
        <v>BLK 11 LOT 17</v>
      </c>
      <c r="M2044" s="1" t="str">
        <f>IFERROR(__xludf.DUMMYFUNCTION("""COMPUTED_VALUE"""),"SAN JOSE")</f>
        <v>SAN JOSE</v>
      </c>
      <c r="N2044" s="1"/>
      <c r="O2044" s="1" t="str">
        <f>IFERROR(__xludf.DUMMYFUNCTION("""COMPUTED_VALUE"""),"SAN JOSE")</f>
        <v>SAN JOSE</v>
      </c>
      <c r="P2044" s="1" t="str">
        <f>IFERROR(__xludf.DUMMYFUNCTION("""COMPUTED_VALUE"""),"GEN MARIANO ALVAREZ")</f>
        <v>GEN MARIANO ALVAREZ</v>
      </c>
      <c r="Q2044" s="1" t="str">
        <f>IFERROR(__xludf.DUMMYFUNCTION("""COMPUTED_VALUE"""),"CAVITE")</f>
        <v>CAVITE</v>
      </c>
      <c r="R2044" s="1" t="str">
        <f>IFERROR(__xludf.DUMMYFUNCTION("""COMPUTED_VALUE"""),"FIBR UNLI ALL PLAN 999")</f>
        <v>FIBR UNLI ALL PLAN 999</v>
      </c>
      <c r="S2044" s="1" t="str">
        <f>IFERROR(__xludf.DUMMYFUNCTION("""COMPUTED_VALUE"""),"APPROVED")</f>
        <v>APPROVED</v>
      </c>
      <c r="T2044" s="1" t="str">
        <f>IFERROR(__xludf.DUMMYFUNCTION("""COMPUTED_VALUE"""),"#N/A")</f>
        <v>#N/A</v>
      </c>
      <c r="U2044" s="1" t="str">
        <f>IFERROR(__xludf.DUMMYFUNCTION("""COMPUTED_VALUE"""),"POSTED")</f>
        <v>POSTED</v>
      </c>
      <c r="V2044" s="1"/>
      <c r="W2044" s="1"/>
    </row>
    <row r="2045" customHeight="1" spans="1:23">
      <c r="A2045" s="3">
        <f>IFERROR(__xludf.DUMMYFUNCTION("""COMPUTED_VALUE"""),46182)</f>
        <v>46182</v>
      </c>
      <c r="B2045" s="1" t="str">
        <f>IFERROR(__xludf.DUMMYFUNCTION("""COMPUTED_VALUE"""),"ODY , CLARENCE")</f>
        <v>ODY , CLARENCE</v>
      </c>
      <c r="C2045" s="1" t="str">
        <f>IFERROR(__xludf.DUMMYFUNCTION("""COMPUTED_VALUE"""),"ORGANIC")</f>
        <v>ORGANIC</v>
      </c>
      <c r="D2045" s="1" t="str">
        <f>IFERROR(__xludf.DUMMYFUNCTION("""COMPUTED_VALUE"""),"REMOLLO LEA")</f>
        <v>REMOLLO LEA</v>
      </c>
      <c r="E2045" s="1" t="str">
        <f>IFERROR(__xludf.DUMMYFUNCTION("""COMPUTED_VALUE"""),"PLDT / H2H")</f>
        <v>PLDT / H2H</v>
      </c>
      <c r="F2045" s="1">
        <f>IFERROR(__xludf.DUMMYFUNCTION("""COMPUTED_VALUE"""),2310073274)</f>
        <v>2310073274</v>
      </c>
      <c r="G2045" s="1"/>
      <c r="H2045" s="1" t="str">
        <f>IFERROR(__xludf.DUMMYFUNCTION("""COMPUTED_VALUE"""),"BERNARDO NAMORA ORPIADA")</f>
        <v>BERNARDO NAMORA ORPIADA</v>
      </c>
      <c r="I2045" s="1">
        <f>IFERROR(__xludf.DUMMYFUNCTION("""COMPUTED_VALUE"""),9056550525)</f>
        <v>9056550525</v>
      </c>
      <c r="J2045" s="1">
        <f>IFERROR(__xludf.DUMMYFUNCTION("""COMPUTED_VALUE"""),9652118740)</f>
        <v>9652118740</v>
      </c>
      <c r="K2045" s="1" t="str">
        <f>IFERROR(__xludf.DUMMYFUNCTION("""COMPUTED_VALUE"""),"bernadytheopiada70@gmail.com")</f>
        <v>bernadytheopiada70@gmail.com</v>
      </c>
      <c r="L2045" s="1" t="str">
        <f>IFERROR(__xludf.DUMMYFUNCTION("""COMPUTED_VALUE"""),"227")</f>
        <v>227</v>
      </c>
      <c r="M2045" s="1" t="str">
        <f>IFERROR(__xludf.DUMMYFUNCTION("""COMPUTED_VALUE"""),"KALYE PUTOL")</f>
        <v>KALYE PUTOL</v>
      </c>
      <c r="N2045" s="1"/>
      <c r="O2045" s="1" t="str">
        <f>IFERROR(__xludf.DUMMYFUNCTION("""COMPUTED_VALUE"""),"TIBIG")</f>
        <v>TIBIG</v>
      </c>
      <c r="P2045" s="1" t="str">
        <f>IFERROR(__xludf.DUMMYFUNCTION("""COMPUTED_VALUE"""),"SILANG")</f>
        <v>SILANG</v>
      </c>
      <c r="Q2045" s="1" t="str">
        <f>IFERROR(__xludf.DUMMYFUNCTION("""COMPUTED_VALUE"""),"CAVITE")</f>
        <v>CAVITE</v>
      </c>
      <c r="R2045" s="1" t="str">
        <f>IFERROR(__xludf.DUMMYFUNCTION("""COMPUTED_VALUE"""),"FIBR UNLI ALL PLAN 999")</f>
        <v>FIBR UNLI ALL PLAN 999</v>
      </c>
      <c r="S2045" s="1" t="str">
        <f>IFERROR(__xludf.DUMMYFUNCTION("""COMPUTED_VALUE"""),"APPROVED")</f>
        <v>APPROVED</v>
      </c>
      <c r="T2045" s="1" t="str">
        <f>IFERROR(__xludf.DUMMYFUNCTION("""COMPUTED_VALUE"""),"#N/A")</f>
        <v>#N/A</v>
      </c>
      <c r="U2045" s="1"/>
      <c r="V2045" s="1"/>
      <c r="W2045" s="1"/>
    </row>
    <row r="2046" customHeight="1" spans="1:23">
      <c r="A2046" s="3">
        <f>IFERROR(__xludf.DUMMYFUNCTION("""COMPUTED_VALUE"""),46182)</f>
        <v>46182</v>
      </c>
      <c r="B2046" s="1" t="str">
        <f>IFERROR(__xludf.DUMMYFUNCTION("""COMPUTED_VALUE"""),"FRANCISCO , ROSELYN")</f>
        <v>FRANCISCO , ROSELYN</v>
      </c>
      <c r="C2046" s="1" t="str">
        <f>IFERROR(__xludf.DUMMYFUNCTION("""COMPUTED_VALUE"""),"ORGANIC")</f>
        <v>ORGANIC</v>
      </c>
      <c r="D2046" s="1" t="str">
        <f>IFERROR(__xludf.DUMMYFUNCTION("""COMPUTED_VALUE"""),"REMOLLO LEA")</f>
        <v>REMOLLO LEA</v>
      </c>
      <c r="E2046" s="1" t="str">
        <f>IFERROR(__xludf.DUMMYFUNCTION("""COMPUTED_VALUE"""),"PLDT / H2H")</f>
        <v>PLDT / H2H</v>
      </c>
      <c r="F2046" s="1">
        <f>IFERROR(__xludf.DUMMYFUNCTION("""COMPUTED_VALUE"""),2310075115)</f>
        <v>2310075115</v>
      </c>
      <c r="G2046" s="1"/>
      <c r="H2046" s="1" t="str">
        <f>IFERROR(__xludf.DUMMYFUNCTION("""COMPUTED_VALUE"""),"JENNY ANNE GUMIRAN GUMIRAN")</f>
        <v>JENNY ANNE GUMIRAN GUMIRAN</v>
      </c>
      <c r="I2046" s="1">
        <f>IFERROR(__xludf.DUMMYFUNCTION("""COMPUTED_VALUE"""),9168759357)</f>
        <v>9168759357</v>
      </c>
      <c r="J2046" s="1"/>
      <c r="K2046" s="1" t="str">
        <f>IFERROR(__xludf.DUMMYFUNCTION("""COMPUTED_VALUE"""),"jagumiran21@gmail.com")</f>
        <v>jagumiran21@gmail.com</v>
      </c>
      <c r="L2046" s="1" t="str">
        <f>IFERROR(__xludf.DUMMYFUNCTION("""COMPUTED_VALUE"""),"BLK 5 LOT 10")</f>
        <v>BLK 5 LOT 10</v>
      </c>
      <c r="M2046" s="1" t="str">
        <f>IFERROR(__xludf.DUMMYFUNCTION("""COMPUTED_VALUE"""),"ILOCOS")</f>
        <v>ILOCOS</v>
      </c>
      <c r="N2046" s="1"/>
      <c r="O2046" s="1" t="str">
        <f>IFERROR(__xludf.DUMMYFUNCTION("""COMPUTED_VALUE"""),"GAVINO MADERAN")</f>
        <v>GAVINO MADERAN</v>
      </c>
      <c r="P2046" s="1" t="str">
        <f>IFERROR(__xludf.DUMMYFUNCTION("""COMPUTED_VALUE"""),"GEN MARIANO ALVAREZ")</f>
        <v>GEN MARIANO ALVAREZ</v>
      </c>
      <c r="Q2046" s="1" t="str">
        <f>IFERROR(__xludf.DUMMYFUNCTION("""COMPUTED_VALUE"""),"CAVITE")</f>
        <v>CAVITE</v>
      </c>
      <c r="R2046" s="1" t="str">
        <f>IFERROR(__xludf.DUMMYFUNCTION("""COMPUTED_VALUE"""),"FIBR PLAN 1299")</f>
        <v>FIBR PLAN 1299</v>
      </c>
      <c r="S2046" s="1" t="str">
        <f>IFERROR(__xludf.DUMMYFUNCTION("""COMPUTED_VALUE"""),"APPROVED")</f>
        <v>APPROVED</v>
      </c>
      <c r="T2046" s="1" t="str">
        <f>IFERROR(__xludf.DUMMYFUNCTION("""COMPUTED_VALUE"""),"#N/A")</f>
        <v>#N/A</v>
      </c>
      <c r="U2046" s="1" t="str">
        <f>IFERROR(__xludf.DUMMYFUNCTION("""COMPUTED_VALUE"""),"POSTED")</f>
        <v>POSTED</v>
      </c>
      <c r="V2046" s="1"/>
      <c r="W2046" s="1"/>
    </row>
    <row r="2047" customHeight="1" spans="1:23">
      <c r="A2047" s="3">
        <f>IFERROR(__xludf.DUMMYFUNCTION("""COMPUTED_VALUE"""),46182)</f>
        <v>46182</v>
      </c>
      <c r="B2047" s="1" t="str">
        <f>IFERROR(__xludf.DUMMYFUNCTION("""COMPUTED_VALUE"""),"FRONDEZ, JEDREFF")</f>
        <v>FRONDEZ, JEDREFF</v>
      </c>
      <c r="C2047" s="1" t="str">
        <f>IFERROR(__xludf.DUMMYFUNCTION("""COMPUTED_VALUE"""),"ORGANIC")</f>
        <v>ORGANIC</v>
      </c>
      <c r="D2047" s="1" t="str">
        <f>IFERROR(__xludf.DUMMYFUNCTION("""COMPUTED_VALUE"""),"REMOLLO LEA")</f>
        <v>REMOLLO LEA</v>
      </c>
      <c r="E2047" s="1" t="str">
        <f>IFERROR(__xludf.DUMMYFUNCTION("""COMPUTED_VALUE"""),"PLDT / ONLINE")</f>
        <v>PLDT / ONLINE</v>
      </c>
      <c r="F2047" s="1">
        <f>IFERROR(__xludf.DUMMYFUNCTION("""COMPUTED_VALUE"""),2310076125)</f>
        <v>2310076125</v>
      </c>
      <c r="G2047" s="1"/>
      <c r="H2047" s="1" t="str">
        <f>IFERROR(__xludf.DUMMYFUNCTION("""COMPUTED_VALUE"""),"RANDY BAHILLO LUMBES")</f>
        <v>RANDY BAHILLO LUMBES</v>
      </c>
      <c r="I2047" s="1">
        <f>IFERROR(__xludf.DUMMYFUNCTION("""COMPUTED_VALUE"""),9460804085)</f>
        <v>9460804085</v>
      </c>
      <c r="J2047" s="1"/>
      <c r="K2047" s="1" t="str">
        <f>IFERROR(__xludf.DUMMYFUNCTION("""COMPUTED_VALUE"""),"randylumbes2@gmail.com")</f>
        <v>randylumbes2@gmail.com</v>
      </c>
      <c r="L2047" s="1" t="str">
        <f>IFERROR(__xludf.DUMMYFUNCTION("""COMPUTED_VALUE"""),"68")</f>
        <v>68</v>
      </c>
      <c r="M2047" s="1" t="str">
        <f>IFERROR(__xludf.DUMMYFUNCTION("""COMPUTED_VALUE"""),"ANABU RD")</f>
        <v>ANABU RD</v>
      </c>
      <c r="N2047" s="1"/>
      <c r="O2047" s="1" t="str">
        <f>IFERROR(__xludf.DUMMYFUNCTION("""COMPUTED_VALUE"""),"ANABU II-D")</f>
        <v>ANABU II-D</v>
      </c>
      <c r="P2047" s="1" t="str">
        <f>IFERROR(__xludf.DUMMYFUNCTION("""COMPUTED_VALUE"""),"IMUS")</f>
        <v>IMUS</v>
      </c>
      <c r="Q2047" s="1" t="str">
        <f>IFERROR(__xludf.DUMMYFUNCTION("""COMPUTED_VALUE"""),"CAVITE")</f>
        <v>CAVITE</v>
      </c>
      <c r="R2047" s="1" t="str">
        <f>IFERROR(__xludf.DUMMYFUNCTION("""COMPUTED_VALUE"""),"FIBR UNLI ALL PLAN 999")</f>
        <v>FIBR UNLI ALL PLAN 999</v>
      </c>
      <c r="S2047" s="1" t="str">
        <f>IFERROR(__xludf.DUMMYFUNCTION("""COMPUTED_VALUE"""),"APPROVED")</f>
        <v>APPROVED</v>
      </c>
      <c r="T2047" s="1" t="str">
        <f>IFERROR(__xludf.DUMMYFUNCTION("""COMPUTED_VALUE"""),"#N/A")</f>
        <v>#N/A</v>
      </c>
      <c r="U2047" s="1"/>
      <c r="V2047" s="1"/>
      <c r="W2047" s="1"/>
    </row>
    <row r="2048" customHeight="1" spans="1:23">
      <c r="A2048" s="3">
        <f>IFERROR(__xludf.DUMMYFUNCTION("""COMPUTED_VALUE"""),46182)</f>
        <v>46182</v>
      </c>
      <c r="B2048" s="1" t="str">
        <f>IFERROR(__xludf.DUMMYFUNCTION("""COMPUTED_VALUE"""),"AGUNOS, JHON AIRVIN")</f>
        <v>AGUNOS, JHON AIRVIN</v>
      </c>
      <c r="C2048" s="1" t="str">
        <f>IFERROR(__xludf.DUMMYFUNCTION("""COMPUTED_VALUE"""),"ORGANIC")</f>
        <v>ORGANIC</v>
      </c>
      <c r="D2048" s="1" t="str">
        <f>IFERROR(__xludf.DUMMYFUNCTION("""COMPUTED_VALUE"""),"REMOLLO LEA")</f>
        <v>REMOLLO LEA</v>
      </c>
      <c r="E2048" s="1" t="str">
        <f>IFERROR(__xludf.DUMMYFUNCTION("""COMPUTED_VALUE"""),"PLDT / H2H")</f>
        <v>PLDT / H2H</v>
      </c>
      <c r="F2048" s="1">
        <f>IFERROR(__xludf.DUMMYFUNCTION("""COMPUTED_VALUE"""),2310076319)</f>
        <v>2310076319</v>
      </c>
      <c r="G2048" s="1"/>
      <c r="H2048" s="1" t="str">
        <f>IFERROR(__xludf.DUMMYFUNCTION("""COMPUTED_VALUE"""),"JOHNSON ARNALDO DELA PENA")</f>
        <v>JOHNSON ARNALDO DELA PENA</v>
      </c>
      <c r="I2048" s="1">
        <f>IFERROR(__xludf.DUMMYFUNCTION("""COMPUTED_VALUE"""),9750335502)</f>
        <v>9750335502</v>
      </c>
      <c r="J2048" s="1"/>
      <c r="K2048" s="1" t="str">
        <f>IFERROR(__xludf.DUMMYFUNCTION("""COMPUTED_VALUE"""),"roseannfrondozo@gmail.com")</f>
        <v>roseannfrondozo@gmail.com</v>
      </c>
      <c r="L2048" s="1" t="str">
        <f>IFERROR(__xludf.DUMMYFUNCTION("""COMPUTED_VALUE"""),"BLK 80 LOT 1A")</f>
        <v>BLK 80 LOT 1A</v>
      </c>
      <c r="M2048" s="1" t="str">
        <f>IFERROR(__xludf.DUMMYFUNCTION("""COMPUTED_VALUE"""),"PHASE 4")</f>
        <v>PHASE 4</v>
      </c>
      <c r="N2048" s="1"/>
      <c r="O2048" s="1" t="str">
        <f>IFERROR(__xludf.DUMMYFUNCTION("""COMPUTED_VALUE"""),"IPIL II")</f>
        <v>IPIL II</v>
      </c>
      <c r="P2048" s="1" t="str">
        <f>IFERROR(__xludf.DUMMYFUNCTION("""COMPUTED_VALUE"""),"SILANG")</f>
        <v>SILANG</v>
      </c>
      <c r="Q2048" s="1" t="str">
        <f>IFERROR(__xludf.DUMMYFUNCTION("""COMPUTED_VALUE"""),"CAVITE")</f>
        <v>CAVITE</v>
      </c>
      <c r="R2048" s="1" t="str">
        <f>IFERROR(__xludf.DUMMYFUNCTION("""COMPUTED_VALUE"""),"FIBR UNLI ALL PLAN 1399")</f>
        <v>FIBR UNLI ALL PLAN 1399</v>
      </c>
      <c r="S2048" s="1" t="str">
        <f>IFERROR(__xludf.DUMMYFUNCTION("""COMPUTED_VALUE"""),"APPROVED")</f>
        <v>APPROVED</v>
      </c>
      <c r="T2048" s="1" t="str">
        <f>IFERROR(__xludf.DUMMYFUNCTION("""COMPUTED_VALUE"""),"#N/A")</f>
        <v>#N/A</v>
      </c>
      <c r="U2048" s="1" t="str">
        <f>IFERROR(__xludf.DUMMYFUNCTION("""COMPUTED_VALUE"""),"POSTED")</f>
        <v>POSTED</v>
      </c>
      <c r="V2048" s="1"/>
      <c r="W2048" s="1"/>
    </row>
    <row r="2049" customHeight="1" spans="1:23">
      <c r="A2049" s="3">
        <f>IFERROR(__xludf.DUMMYFUNCTION("""COMPUTED_VALUE"""),46182)</f>
        <v>46182</v>
      </c>
      <c r="B2049" s="1" t="str">
        <f>IFERROR(__xludf.DUMMYFUNCTION("""COMPUTED_VALUE"""),"MALIWAT MARK ELVIN")</f>
        <v>MALIWAT MARK ELVIN</v>
      </c>
      <c r="C2049" s="1" t="str">
        <f>IFERROR(__xludf.DUMMYFUNCTION("""COMPUTED_VALUE"""),"FLA")</f>
        <v>FLA</v>
      </c>
      <c r="D2049" s="1" t="str">
        <f>IFERROR(__xludf.DUMMYFUNCTION("""COMPUTED_VALUE"""),"JERIC NAVARRO")</f>
        <v>JERIC NAVARRO</v>
      </c>
      <c r="E2049" s="1" t="str">
        <f>IFERROR(__xludf.DUMMYFUNCTION("""COMPUTED_VALUE"""),"PLDT / ONLINE")</f>
        <v>PLDT / ONLINE</v>
      </c>
      <c r="F2049" s="1">
        <f>IFERROR(__xludf.DUMMYFUNCTION("""COMPUTED_VALUE"""),2310082102)</f>
        <v>2310082102</v>
      </c>
      <c r="G2049" s="1"/>
      <c r="H2049" s="1" t="str">
        <f>IFERROR(__xludf.DUMMYFUNCTION("""COMPUTED_VALUE"""),"MARVIC MAGDAONG MADORO")</f>
        <v>MARVIC MAGDAONG MADORO</v>
      </c>
      <c r="I2049" s="1">
        <f>IFERROR(__xludf.DUMMYFUNCTION("""COMPUTED_VALUE"""),9910072712)</f>
        <v>9910072712</v>
      </c>
      <c r="J2049" s="1">
        <f>IFERROR(__xludf.DUMMYFUNCTION("""COMPUTED_VALUE"""),9157770757)</f>
        <v>9157770757</v>
      </c>
      <c r="K2049" s="1" t="str">
        <f>IFERROR(__xludf.DUMMYFUNCTION("""COMPUTED_VALUE"""),"mmadaro@gmail.com")</f>
        <v>mmadaro@gmail.com</v>
      </c>
      <c r="L2049" s="1" t="str">
        <f>IFERROR(__xludf.DUMMYFUNCTION("""COMPUTED_VALUE"""),"BLK 48 LOT 24")</f>
        <v>BLK 48 LOT 24</v>
      </c>
      <c r="M2049" s="1" t="str">
        <f>IFERROR(__xludf.DUMMYFUNCTION("""COMPUTED_VALUE"""),"PHASE 4")</f>
        <v>PHASE 4</v>
      </c>
      <c r="N2049" s="1" t="str">
        <f>IFERROR(__xludf.DUMMYFUNCTION("""COMPUTED_VALUE"""),"ALTA TIERA")</f>
        <v>ALTA TIERA</v>
      </c>
      <c r="O2049" s="1" t="str">
        <f>IFERROR(__xludf.DUMMYFUNCTION("""COMPUTED_VALUE"""),"ALDIANO OLAES")</f>
        <v>ALDIANO OLAES</v>
      </c>
      <c r="P2049" s="1" t="str">
        <f>IFERROR(__xludf.DUMMYFUNCTION("""COMPUTED_VALUE"""),"GEN MARIANO ALVAREZ")</f>
        <v>GEN MARIANO ALVAREZ</v>
      </c>
      <c r="Q2049" s="1" t="str">
        <f>IFERROR(__xludf.DUMMYFUNCTION("""COMPUTED_VALUE"""),"CAVITE")</f>
        <v>CAVITE</v>
      </c>
      <c r="R2049" s="1" t="str">
        <f>IFERROR(__xludf.DUMMYFUNCTION("""COMPUTED_VALUE"""),"SWITCH FIBR UNLI ALL PLAN 1399")</f>
        <v>SWITCH FIBR UNLI ALL PLAN 1399</v>
      </c>
      <c r="S2049" s="1" t="str">
        <f>IFERROR(__xludf.DUMMYFUNCTION("""COMPUTED_VALUE"""),"APPROVED")</f>
        <v>APPROVED</v>
      </c>
      <c r="T2049" s="1" t="str">
        <f>IFERROR(__xludf.DUMMYFUNCTION("""COMPUTED_VALUE"""),"#N/A")</f>
        <v>#N/A</v>
      </c>
      <c r="U2049" s="1" t="str">
        <f>IFERROR(__xludf.DUMMYFUNCTION("""COMPUTED_VALUE"""),"POSTED")</f>
        <v>POSTED</v>
      </c>
      <c r="V2049" s="1"/>
      <c r="W2049" s="1"/>
    </row>
    <row r="2050" customHeight="1" spans="1:23">
      <c r="A2050" s="3">
        <f>IFERROR(__xludf.DUMMYFUNCTION("""COMPUTED_VALUE"""),46183)</f>
        <v>46183</v>
      </c>
      <c r="B2050" s="1" t="str">
        <f>IFERROR(__xludf.DUMMYFUNCTION("""COMPUTED_VALUE"""),"MALIWAT MARK ELVIN")</f>
        <v>MALIWAT MARK ELVIN</v>
      </c>
      <c r="C2050" s="1" t="str">
        <f>IFERROR(__xludf.DUMMYFUNCTION("""COMPUTED_VALUE"""),"FLA")</f>
        <v>FLA</v>
      </c>
      <c r="D2050" s="1" t="str">
        <f>IFERROR(__xludf.DUMMYFUNCTION("""COMPUTED_VALUE"""),"JERIC NAVARRO")</f>
        <v>JERIC NAVARRO</v>
      </c>
      <c r="E2050" s="1" t="str">
        <f>IFERROR(__xludf.DUMMYFUNCTION("""COMPUTED_VALUE"""),"PLDT / ONLINE")</f>
        <v>PLDT / ONLINE</v>
      </c>
      <c r="F2050" s="1">
        <f>IFERROR(__xludf.DUMMYFUNCTION("""COMPUTED_VALUE"""),2310094992)</f>
        <v>2310094992</v>
      </c>
      <c r="G2050" s="1"/>
      <c r="H2050" s="1" t="str">
        <f>IFERROR(__xludf.DUMMYFUNCTION("""COMPUTED_VALUE"""),"DANILO OLIVAREZ MORADO")</f>
        <v>DANILO OLIVAREZ MORADO</v>
      </c>
      <c r="I2050" s="1">
        <f>IFERROR(__xludf.DUMMYFUNCTION("""COMPUTED_VALUE"""),9561861156)</f>
        <v>9561861156</v>
      </c>
      <c r="J2050" s="1"/>
      <c r="K2050" s="1" t="str">
        <f>IFERROR(__xludf.DUMMYFUNCTION("""COMPUTED_VALUE"""),"danilomorado12@gmail.com")</f>
        <v>danilomorado12@gmail.com</v>
      </c>
      <c r="L2050" s="1" t="str">
        <f>IFERROR(__xludf.DUMMYFUNCTION("""COMPUTED_VALUE"""),"BLK 37 LOT 27")</f>
        <v>BLK 37 LOT 27</v>
      </c>
      <c r="M2050" s="1" t="str">
        <f>IFERROR(__xludf.DUMMYFUNCTION("""COMPUTED_VALUE"""),"SAMPAGUITA")</f>
        <v>SAMPAGUITA</v>
      </c>
      <c r="N2050" s="1" t="str">
        <f>IFERROR(__xludf.DUMMYFUNCTION("""COMPUTED_VALUE"""),"CHRV")</f>
        <v>CHRV</v>
      </c>
      <c r="O2050" s="1" t="str">
        <f>IFERROR(__xludf.DUMMYFUNCTION("""COMPUTED_VALUE"""),"LANGKAAN I")</f>
        <v>LANGKAAN I</v>
      </c>
      <c r="P2050" s="1" t="str">
        <f>IFERROR(__xludf.DUMMYFUNCTION("""COMPUTED_VALUE"""),"DASMARINAS")</f>
        <v>DASMARINAS</v>
      </c>
      <c r="Q2050" s="1" t="str">
        <f>IFERROR(__xludf.DUMMYFUNCTION("""COMPUTED_VALUE"""),"CAVITE")</f>
        <v>CAVITE</v>
      </c>
      <c r="R2050" s="1" t="str">
        <f>IFERROR(__xludf.DUMMYFUNCTION("""COMPUTED_VALUE"""),"PREPAID FIBER UNLI")</f>
        <v>PREPAID FIBER UNLI</v>
      </c>
      <c r="S2050" s="1" t="str">
        <f>IFERROR(__xludf.DUMMYFUNCTION("""COMPUTED_VALUE"""),"APPROVED")</f>
        <v>APPROVED</v>
      </c>
      <c r="T2050" s="1" t="str">
        <f>IFERROR(__xludf.DUMMYFUNCTION("""COMPUTED_VALUE"""),"#N/A")</f>
        <v>#N/A</v>
      </c>
      <c r="U2050" s="1" t="str">
        <f>IFERROR(__xludf.DUMMYFUNCTION("""COMPUTED_VALUE"""),"POSTED")</f>
        <v>POSTED</v>
      </c>
      <c r="V2050" s="1"/>
      <c r="W2050" s="1"/>
    </row>
    <row r="2051" customHeight="1" spans="1:23">
      <c r="A2051" s="3">
        <f>IFERROR(__xludf.DUMMYFUNCTION("""COMPUTED_VALUE"""),46183)</f>
        <v>46183</v>
      </c>
      <c r="B2051" s="1" t="str">
        <f>IFERROR(__xludf.DUMMYFUNCTION("""COMPUTED_VALUE"""),"MALIWAT MARK ELVIN")</f>
        <v>MALIWAT MARK ELVIN</v>
      </c>
      <c r="C2051" s="1" t="str">
        <f>IFERROR(__xludf.DUMMYFUNCTION("""COMPUTED_VALUE"""),"FLA")</f>
        <v>FLA</v>
      </c>
      <c r="D2051" s="1" t="str">
        <f>IFERROR(__xludf.DUMMYFUNCTION("""COMPUTED_VALUE"""),"JERIC NAVARRO")</f>
        <v>JERIC NAVARRO</v>
      </c>
      <c r="E2051" s="1" t="str">
        <f>IFERROR(__xludf.DUMMYFUNCTION("""COMPUTED_VALUE"""),"PLDT / ONLINE")</f>
        <v>PLDT / ONLINE</v>
      </c>
      <c r="F2051" s="1">
        <f>IFERROR(__xludf.DUMMYFUNCTION("""COMPUTED_VALUE"""),2310094388)</f>
        <v>2310094388</v>
      </c>
      <c r="G2051" s="1"/>
      <c r="H2051" s="1" t="str">
        <f>IFERROR(__xludf.DUMMYFUNCTION("""COMPUTED_VALUE"""),"JOHN PASCUAL VILLACASTIN VARGAS")</f>
        <v>JOHN PASCUAL VILLACASTIN VARGAS</v>
      </c>
      <c r="I2051" s="1">
        <f>IFERROR(__xludf.DUMMYFUNCTION("""COMPUTED_VALUE"""),9971062962)</f>
        <v>9971062962</v>
      </c>
      <c r="J2051" s="1"/>
      <c r="K2051" s="1" t="str">
        <f>IFERROR(__xludf.DUMMYFUNCTION("""COMPUTED_VALUE"""),"johnpascual2q@gmail.com")</f>
        <v>johnpascual2q@gmail.com</v>
      </c>
      <c r="L2051" s="1" t="str">
        <f>IFERROR(__xludf.DUMMYFUNCTION("""COMPUTED_VALUE"""),"BLK 80 LOT 1A")</f>
        <v>BLK 80 LOT 1A</v>
      </c>
      <c r="M2051" s="1" t="str">
        <f>IFERROR(__xludf.DUMMYFUNCTION("""COMPUTED_VALUE"""),"PHASE 3")</f>
        <v>PHASE 3</v>
      </c>
      <c r="N2051" s="1" t="str">
        <f>IFERROR(__xludf.DUMMYFUNCTION("""COMPUTED_VALUE"""),"CHRV")</f>
        <v>CHRV</v>
      </c>
      <c r="O2051" s="1" t="str">
        <f>IFERROR(__xludf.DUMMYFUNCTION("""COMPUTED_VALUE"""),"LANGKAAN II")</f>
        <v>LANGKAAN II</v>
      </c>
      <c r="P2051" s="1" t="str">
        <f>IFERROR(__xludf.DUMMYFUNCTION("""COMPUTED_VALUE"""),"DASMARINAS")</f>
        <v>DASMARINAS</v>
      </c>
      <c r="Q2051" s="1" t="str">
        <f>IFERROR(__xludf.DUMMYFUNCTION("""COMPUTED_VALUE"""),"CAVITE")</f>
        <v>CAVITE</v>
      </c>
      <c r="R2051" s="1" t="str">
        <f>IFERROR(__xludf.DUMMYFUNCTION("""COMPUTED_VALUE"""),"PREPAID FIBER UNLI")</f>
        <v>PREPAID FIBER UNLI</v>
      </c>
      <c r="S2051" s="1" t="str">
        <f>IFERROR(__xludf.DUMMYFUNCTION("""COMPUTED_VALUE"""),"APPROVED")</f>
        <v>APPROVED</v>
      </c>
      <c r="T2051" s="1" t="str">
        <f>IFERROR(__xludf.DUMMYFUNCTION("""COMPUTED_VALUE"""),"#N/A")</f>
        <v>#N/A</v>
      </c>
      <c r="U2051" s="1" t="str">
        <f>IFERROR(__xludf.DUMMYFUNCTION("""COMPUTED_VALUE"""),"POSTED")</f>
        <v>POSTED</v>
      </c>
      <c r="V2051" s="1"/>
      <c r="W2051" s="1"/>
    </row>
    <row r="2052" customHeight="1" spans="1:23">
      <c r="A2052" s="3">
        <f>IFERROR(__xludf.DUMMYFUNCTION("""COMPUTED_VALUE"""),46183)</f>
        <v>46183</v>
      </c>
      <c r="B2052" s="1" t="str">
        <f>IFERROR(__xludf.DUMMYFUNCTION("""COMPUTED_VALUE"""),"MANDUCDOC, MARIANE")</f>
        <v>MANDUCDOC, MARIANE</v>
      </c>
      <c r="C2052" s="1" t="str">
        <f>IFERROR(__xludf.DUMMYFUNCTION("""COMPUTED_VALUE"""),"ORGANIC")</f>
        <v>ORGANIC</v>
      </c>
      <c r="D2052" s="1" t="str">
        <f>IFERROR(__xludf.DUMMYFUNCTION("""COMPUTED_VALUE"""),"REMOLLO LEA")</f>
        <v>REMOLLO LEA</v>
      </c>
      <c r="E2052" s="1" t="str">
        <f>IFERROR(__xludf.DUMMYFUNCTION("""COMPUTED_VALUE"""),"PLDT / H2H")</f>
        <v>PLDT / H2H</v>
      </c>
      <c r="F2052" s="1">
        <f>IFERROR(__xludf.DUMMYFUNCTION("""COMPUTED_VALUE"""),2310093611)</f>
        <v>2310093611</v>
      </c>
      <c r="G2052" s="1"/>
      <c r="H2052" s="1" t="str">
        <f>IFERROR(__xludf.DUMMYFUNCTION("""COMPUTED_VALUE"""),"RIXON JARENA DESPUES")</f>
        <v>RIXON JARENA DESPUES</v>
      </c>
      <c r="I2052" s="1">
        <f>IFERROR(__xludf.DUMMYFUNCTION("""COMPUTED_VALUE"""),9946765258)</f>
        <v>9946765258</v>
      </c>
      <c r="J2052" s="1"/>
      <c r="K2052" s="1" t="str">
        <f>IFERROR(__xludf.DUMMYFUNCTION("""COMPUTED_VALUE"""),"larabellg@gmail.com")</f>
        <v>larabellg@gmail.com</v>
      </c>
      <c r="L2052" s="1" t="str">
        <f>IFERROR(__xludf.DUMMYFUNCTION("""COMPUTED_VALUE"""),"3")</f>
        <v>3</v>
      </c>
      <c r="M2052" s="1" t="str">
        <f>IFERROR(__xludf.DUMMYFUNCTION("""COMPUTED_VALUE"""),"RANCHO RD")</f>
        <v>RANCHO RD</v>
      </c>
      <c r="N2052" s="1"/>
      <c r="O2052" s="1" t="str">
        <f>IFERROR(__xludf.DUMMYFUNCTION("""COMPUTED_VALUE"""),"TARTARIA")</f>
        <v>TARTARIA</v>
      </c>
      <c r="P2052" s="1" t="str">
        <f>IFERROR(__xludf.DUMMYFUNCTION("""COMPUTED_VALUE"""),"SILANG")</f>
        <v>SILANG</v>
      </c>
      <c r="Q2052" s="1" t="str">
        <f>IFERROR(__xludf.DUMMYFUNCTION("""COMPUTED_VALUE"""),"CAVITE")</f>
        <v>CAVITE</v>
      </c>
      <c r="R2052" s="1" t="str">
        <f>IFERROR(__xludf.DUMMYFUNCTION("""COMPUTED_VALUE"""),"FIBR PLAN 1299")</f>
        <v>FIBR PLAN 1299</v>
      </c>
      <c r="S2052" s="1" t="str">
        <f>IFERROR(__xludf.DUMMYFUNCTION("""COMPUTED_VALUE"""),"APPROVED")</f>
        <v>APPROVED</v>
      </c>
      <c r="T2052" s="1" t="str">
        <f>IFERROR(__xludf.DUMMYFUNCTION("""COMPUTED_VALUE"""),"#N/A")</f>
        <v>#N/A</v>
      </c>
      <c r="U2052" s="1"/>
      <c r="V2052" s="1"/>
      <c r="W2052" s="1"/>
    </row>
    <row r="2053" customHeight="1" spans="1:23">
      <c r="A2053" s="3">
        <f>IFERROR(__xludf.DUMMYFUNCTION("""COMPUTED_VALUE"""),46183)</f>
        <v>46183</v>
      </c>
      <c r="B2053" s="1" t="str">
        <f>IFERROR(__xludf.DUMMYFUNCTION("""COMPUTED_VALUE"""),"FRONDEZ, JEDREFF")</f>
        <v>FRONDEZ, JEDREFF</v>
      </c>
      <c r="C2053" s="1" t="str">
        <f>IFERROR(__xludf.DUMMYFUNCTION("""COMPUTED_VALUE"""),"ORGANIC")</f>
        <v>ORGANIC</v>
      </c>
      <c r="D2053" s="1" t="str">
        <f>IFERROR(__xludf.DUMMYFUNCTION("""COMPUTED_VALUE"""),"REMOLLO LEA")</f>
        <v>REMOLLO LEA</v>
      </c>
      <c r="E2053" s="1" t="str">
        <f>IFERROR(__xludf.DUMMYFUNCTION("""COMPUTED_VALUE"""),"PLDT / H2H")</f>
        <v>PLDT / H2H</v>
      </c>
      <c r="F2053" s="1">
        <f>IFERROR(__xludf.DUMMYFUNCTION("""COMPUTED_VALUE"""),2310095584)</f>
        <v>2310095584</v>
      </c>
      <c r="G2053" s="1"/>
      <c r="H2053" s="1" t="str">
        <f>IFERROR(__xludf.DUMMYFUNCTION("""COMPUTED_VALUE"""),"JOEL OLIMPIADA MANIMTIM")</f>
        <v>JOEL OLIMPIADA MANIMTIM</v>
      </c>
      <c r="I2053" s="1">
        <f>IFERROR(__xludf.DUMMYFUNCTION("""COMPUTED_VALUE"""),9197251669)</f>
        <v>9197251669</v>
      </c>
      <c r="J2053" s="1">
        <f>IFERROR(__xludf.DUMMYFUNCTION("""COMPUTED_VALUE"""),9552489912)</f>
        <v>9552489912</v>
      </c>
      <c r="K2053" s="1" t="str">
        <f>IFERROR(__xludf.DUMMYFUNCTION("""COMPUTED_VALUE"""),"manimtimjoel9@gmail.com")</f>
        <v>manimtimjoel9@gmail.com</v>
      </c>
      <c r="L2053" s="1" t="str">
        <f>IFERROR(__xludf.DUMMYFUNCTION("""COMPUTED_VALUE"""),"206")</f>
        <v>206</v>
      </c>
      <c r="M2053" s="1" t="str">
        <f>IFERROR(__xludf.DUMMYFUNCTION("""COMPUTED_VALUE"""),"PUROK 43")</f>
        <v>PUROK 43</v>
      </c>
      <c r="N2053" s="1"/>
      <c r="O2053" s="1" t="str">
        <f>IFERROR(__xludf.DUMMYFUNCTION("""COMPUTED_VALUE"""),"IRUHIN SOUTH")</f>
        <v>IRUHIN SOUTH</v>
      </c>
      <c r="P2053" s="1" t="str">
        <f>IFERROR(__xludf.DUMMYFUNCTION("""COMPUTED_VALUE"""),"TAGAYTAY")</f>
        <v>TAGAYTAY</v>
      </c>
      <c r="Q2053" s="1" t="str">
        <f>IFERROR(__xludf.DUMMYFUNCTION("""COMPUTED_VALUE"""),"CAVITE")</f>
        <v>CAVITE</v>
      </c>
      <c r="R2053" s="1" t="str">
        <f>IFERROR(__xludf.DUMMYFUNCTION("""COMPUTED_VALUE"""),"FIBR UNLI ALL PLAN 999")</f>
        <v>FIBR UNLI ALL PLAN 999</v>
      </c>
      <c r="S2053" s="1" t="str">
        <f>IFERROR(__xludf.DUMMYFUNCTION("""COMPUTED_VALUE"""),"APPROVED")</f>
        <v>APPROVED</v>
      </c>
      <c r="T2053" s="1" t="str">
        <f>IFERROR(__xludf.DUMMYFUNCTION("""COMPUTED_VALUE"""),"#N/A")</f>
        <v>#N/A</v>
      </c>
      <c r="U2053" s="1" t="str">
        <f>IFERROR(__xludf.DUMMYFUNCTION("""COMPUTED_VALUE"""),"POSTED")</f>
        <v>POSTED</v>
      </c>
      <c r="V2053" s="1"/>
      <c r="W2053" s="1"/>
    </row>
    <row r="2054" customHeight="1" spans="1:23">
      <c r="A2054" s="3">
        <f>IFERROR(__xludf.DUMMYFUNCTION("""COMPUTED_VALUE"""),46183)</f>
        <v>46183</v>
      </c>
      <c r="B2054" s="1" t="str">
        <f>IFERROR(__xludf.DUMMYFUNCTION("""COMPUTED_VALUE"""),"RIVERA, AIRIZH JOY")</f>
        <v>RIVERA, AIRIZH JOY</v>
      </c>
      <c r="C2054" s="1" t="str">
        <f>IFERROR(__xludf.DUMMYFUNCTION("""COMPUTED_VALUE"""),"ORGANIC")</f>
        <v>ORGANIC</v>
      </c>
      <c r="D2054" s="1" t="str">
        <f>IFERROR(__xludf.DUMMYFUNCTION("""COMPUTED_VALUE"""),"REMOLLO LEA")</f>
        <v>REMOLLO LEA</v>
      </c>
      <c r="E2054" s="1" t="str">
        <f>IFERROR(__xludf.DUMMYFUNCTION("""COMPUTED_VALUE"""),"PLDT / ONLINE")</f>
        <v>PLDT / ONLINE</v>
      </c>
      <c r="F2054" s="1">
        <f>IFERROR(__xludf.DUMMYFUNCTION("""COMPUTED_VALUE"""),2310099202)</f>
        <v>2310099202</v>
      </c>
      <c r="G2054" s="1"/>
      <c r="H2054" s="1" t="str">
        <f>IFERROR(__xludf.DUMMYFUNCTION("""COMPUTED_VALUE"""),"MELLENIE FHE MARZAN CALIVA")</f>
        <v>MELLENIE FHE MARZAN CALIVA</v>
      </c>
      <c r="I2054" s="1">
        <f>IFERROR(__xludf.DUMMYFUNCTION("""COMPUTED_VALUE"""),9453441075)</f>
        <v>9453441075</v>
      </c>
      <c r="J2054" s="1"/>
      <c r="K2054" s="1" t="str">
        <f>IFERROR(__xludf.DUMMYFUNCTION("""COMPUTED_VALUE"""),"calivamellaniefhe@gmail.com")</f>
        <v>calivamellaniefhe@gmail.com</v>
      </c>
      <c r="L2054" s="1" t="str">
        <f>IFERROR(__xludf.DUMMYFUNCTION("""COMPUTED_VALUE"""),"BLK 66 LOT 27")</f>
        <v>BLK 66 LOT 27</v>
      </c>
      <c r="M2054" s="1" t="str">
        <f>IFERROR(__xludf.DUMMYFUNCTION("""COMPUTED_VALUE"""),"C5")</f>
        <v>C5</v>
      </c>
      <c r="N2054" s="1" t="str">
        <f>IFERROR(__xludf.DUMMYFUNCTION("""COMPUTED_VALUE"""),"BELLA VISTA")</f>
        <v>BELLA VISTA</v>
      </c>
      <c r="O2054" s="1" t="str">
        <f>IFERROR(__xludf.DUMMYFUNCTION("""COMPUTED_VALUE"""),"SANTIAGO")</f>
        <v>SANTIAGO</v>
      </c>
      <c r="P2054" s="1" t="str">
        <f>IFERROR(__xludf.DUMMYFUNCTION("""COMPUTED_VALUE"""),"GENERAL TRIAS")</f>
        <v>GENERAL TRIAS</v>
      </c>
      <c r="Q2054" s="1" t="str">
        <f>IFERROR(__xludf.DUMMYFUNCTION("""COMPUTED_VALUE"""),"CAVITE")</f>
        <v>CAVITE</v>
      </c>
      <c r="R2054" s="1" t="str">
        <f>IFERROR(__xludf.DUMMYFUNCTION("""COMPUTED_VALUE"""),"FIBR UNLI ALL PLAN 1799")</f>
        <v>FIBR UNLI ALL PLAN 1799</v>
      </c>
      <c r="S2054" s="1" t="str">
        <f>IFERROR(__xludf.DUMMYFUNCTION("""COMPUTED_VALUE"""),"APPROVED")</f>
        <v>APPROVED</v>
      </c>
      <c r="T2054" s="1" t="str">
        <f>IFERROR(__xludf.DUMMYFUNCTION("""COMPUTED_VALUE"""),"#N/A")</f>
        <v>#N/A</v>
      </c>
      <c r="U2054" s="1" t="str">
        <f>IFERROR(__xludf.DUMMYFUNCTION("""COMPUTED_VALUE"""),"POSTED")</f>
        <v>POSTED</v>
      </c>
      <c r="V2054" s="1"/>
      <c r="W2054" s="1"/>
    </row>
    <row r="2055" customHeight="1" spans="1:23">
      <c r="A2055" s="3">
        <f>IFERROR(__xludf.DUMMYFUNCTION("""COMPUTED_VALUE"""),46183)</f>
        <v>46183</v>
      </c>
      <c r="B2055" s="1" t="str">
        <f>IFERROR(__xludf.DUMMYFUNCTION("""COMPUTED_VALUE"""),"DELA ROSA, JENNELYN")</f>
        <v>DELA ROSA, JENNELYN</v>
      </c>
      <c r="C2055" s="1" t="str">
        <f>IFERROR(__xludf.DUMMYFUNCTION("""COMPUTED_VALUE"""),"ORGANIC")</f>
        <v>ORGANIC</v>
      </c>
      <c r="D2055" s="1" t="str">
        <f>IFERROR(__xludf.DUMMYFUNCTION("""COMPUTED_VALUE"""),"REMOLLO LEA")</f>
        <v>REMOLLO LEA</v>
      </c>
      <c r="E2055" s="1" t="str">
        <f>IFERROR(__xludf.DUMMYFUNCTION("""COMPUTED_VALUE"""),"PLDT / ONLINE")</f>
        <v>PLDT / ONLINE</v>
      </c>
      <c r="F2055" s="1">
        <f>IFERROR(__xludf.DUMMYFUNCTION("""COMPUTED_VALUE"""),2310098680)</f>
        <v>2310098680</v>
      </c>
      <c r="G2055" s="1"/>
      <c r="H2055" s="1" t="str">
        <f>IFERROR(__xludf.DUMMYFUNCTION("""COMPUTED_VALUE"""),"ALAISA ROSE DERANO AQUINO")</f>
        <v>ALAISA ROSE DERANO AQUINO</v>
      </c>
      <c r="I2055" s="1">
        <f>IFERROR(__xludf.DUMMYFUNCTION("""COMPUTED_VALUE"""),9091524520)</f>
        <v>9091524520</v>
      </c>
      <c r="J2055" s="1"/>
      <c r="K2055" s="1" t="str">
        <f>IFERROR(__xludf.DUMMYFUNCTION("""COMPUTED_VALUE"""),"leiaquino123@gmail.com")</f>
        <v>leiaquino123@gmail.com</v>
      </c>
      <c r="L2055" s="1" t="str">
        <f>IFERROR(__xludf.DUMMYFUNCTION("""COMPUTED_VALUE"""),"2")</f>
        <v>2</v>
      </c>
      <c r="M2055" s="1" t="str">
        <f>IFERROR(__xludf.DUMMYFUNCTION("""COMPUTED_VALUE"""),"MOLINO")</f>
        <v>MOLINO</v>
      </c>
      <c r="N2055" s="1"/>
      <c r="O2055" s="1" t="str">
        <f>IFERROR(__xludf.DUMMYFUNCTION("""COMPUTED_VALUE"""),"MOLINO III")</f>
        <v>MOLINO III</v>
      </c>
      <c r="P2055" s="1" t="str">
        <f>IFERROR(__xludf.DUMMYFUNCTION("""COMPUTED_VALUE"""),"BACOOR")</f>
        <v>BACOOR</v>
      </c>
      <c r="Q2055" s="1" t="str">
        <f>IFERROR(__xludf.DUMMYFUNCTION("""COMPUTED_VALUE"""),"CAVITE")</f>
        <v>CAVITE</v>
      </c>
      <c r="R2055" s="1" t="str">
        <f>IFERROR(__xludf.DUMMYFUNCTION("""COMPUTED_VALUE"""),"FIBR NETFLIX PLAN 1599")</f>
        <v>FIBR NETFLIX PLAN 1599</v>
      </c>
      <c r="S2055" s="1" t="str">
        <f>IFERROR(__xludf.DUMMYFUNCTION("""COMPUTED_VALUE"""),"APPROVED")</f>
        <v>APPROVED</v>
      </c>
      <c r="T2055" s="1" t="str">
        <f>IFERROR(__xludf.DUMMYFUNCTION("""COMPUTED_VALUE"""),"#N/A")</f>
        <v>#N/A</v>
      </c>
      <c r="U2055" s="1"/>
      <c r="V2055" s="1"/>
      <c r="W2055" s="1"/>
    </row>
    <row r="2056" customHeight="1" spans="1:23">
      <c r="A2056" s="3">
        <f>IFERROR(__xludf.DUMMYFUNCTION("""COMPUTED_VALUE"""),46183)</f>
        <v>46183</v>
      </c>
      <c r="B2056" s="1" t="str">
        <f>IFERROR(__xludf.DUMMYFUNCTION("""COMPUTED_VALUE"""),"CASTILLEJOS, ARREL")</f>
        <v>CASTILLEJOS, ARREL</v>
      </c>
      <c r="C2056" s="1" t="str">
        <f>IFERROR(__xludf.DUMMYFUNCTION("""COMPUTED_VALUE"""),"ORGANIC")</f>
        <v>ORGANIC</v>
      </c>
      <c r="D2056" s="1" t="str">
        <f>IFERROR(__xludf.DUMMYFUNCTION("""COMPUTED_VALUE"""),"REMOLLO LEA")</f>
        <v>REMOLLO LEA</v>
      </c>
      <c r="E2056" s="1" t="str">
        <f>IFERROR(__xludf.DUMMYFUNCTION("""COMPUTED_VALUE"""),"PLDT / H2H")</f>
        <v>PLDT / H2H</v>
      </c>
      <c r="F2056" s="1">
        <f>IFERROR(__xludf.DUMMYFUNCTION("""COMPUTED_VALUE"""),2310100033)</f>
        <v>2310100033</v>
      </c>
      <c r="G2056" s="1"/>
      <c r="H2056" s="1" t="str">
        <f>IFERROR(__xludf.DUMMYFUNCTION("""COMPUTED_VALUE"""),"MAR GAMIDO PARAZO")</f>
        <v>MAR GAMIDO PARAZO</v>
      </c>
      <c r="I2056" s="1">
        <f>IFERROR(__xludf.DUMMYFUNCTION("""COMPUTED_VALUE"""),9351725034)</f>
        <v>9351725034</v>
      </c>
      <c r="J2056" s="1">
        <f>IFERROR(__xludf.DUMMYFUNCTION("""COMPUTED_VALUE"""),9630185171)</f>
        <v>9630185171</v>
      </c>
      <c r="K2056" s="1" t="str">
        <f>IFERROR(__xludf.DUMMYFUNCTION("""COMPUTED_VALUE"""),"marpazao0319@gmail.com")</f>
        <v>marpazao0319@gmail.com</v>
      </c>
      <c r="L2056" s="1" t="str">
        <f>IFERROR(__xludf.DUMMYFUNCTION("""COMPUTED_VALUE"""),"28")</f>
        <v>28</v>
      </c>
      <c r="M2056" s="1" t="str">
        <f>IFERROR(__xludf.DUMMYFUNCTION("""COMPUTED_VALUE"""),"ESPERANZA")</f>
        <v>ESPERANZA</v>
      </c>
      <c r="N2056" s="1"/>
      <c r="O2056" s="1" t="str">
        <f>IFERROR(__xludf.DUMMYFUNCTION("""COMPUTED_VALUE"""),"ESPERANZA ILAYA")</f>
        <v>ESPERANZA ILAYA</v>
      </c>
      <c r="P2056" s="1" t="str">
        <f>IFERROR(__xludf.DUMMYFUNCTION("""COMPUTED_VALUE"""),"ALFONSO")</f>
        <v>ALFONSO</v>
      </c>
      <c r="Q2056" s="1" t="str">
        <f>IFERROR(__xludf.DUMMYFUNCTION("""COMPUTED_VALUE"""),"CAVITE")</f>
        <v>CAVITE</v>
      </c>
      <c r="R2056" s="1" t="str">
        <f>IFERROR(__xludf.DUMMYFUNCTION("""COMPUTED_VALUE"""),"FIBR UNLI ALL PLAN 999")</f>
        <v>FIBR UNLI ALL PLAN 999</v>
      </c>
      <c r="S2056" s="1" t="str">
        <f>IFERROR(__xludf.DUMMYFUNCTION("""COMPUTED_VALUE"""),"APPROVED")</f>
        <v>APPROVED</v>
      </c>
      <c r="T2056" s="1" t="str">
        <f>IFERROR(__xludf.DUMMYFUNCTION("""COMPUTED_VALUE"""),"#N/A")</f>
        <v>#N/A</v>
      </c>
      <c r="U2056" s="1" t="str">
        <f>IFERROR(__xludf.DUMMYFUNCTION("""COMPUTED_VALUE"""),"POSTED")</f>
        <v>POSTED</v>
      </c>
      <c r="V2056" s="1"/>
      <c r="W2056" s="1"/>
    </row>
    <row r="2057" customHeight="1" spans="1:23">
      <c r="A2057" s="3">
        <f>IFERROR(__xludf.DUMMYFUNCTION("""COMPUTED_VALUE"""),46183)</f>
        <v>46183</v>
      </c>
      <c r="B2057" s="1" t="str">
        <f>IFERROR(__xludf.DUMMYFUNCTION("""COMPUTED_VALUE"""),"AYON MANUEL")</f>
        <v>AYON MANUEL</v>
      </c>
      <c r="C2057" s="1" t="str">
        <f>IFERROR(__xludf.DUMMYFUNCTION("""COMPUTED_VALUE"""),"FLA")</f>
        <v>FLA</v>
      </c>
      <c r="D2057" s="1" t="str">
        <f>IFERROR(__xludf.DUMMYFUNCTION("""COMPUTED_VALUE"""),"JERIC NAVARRO")</f>
        <v>JERIC NAVARRO</v>
      </c>
      <c r="E2057" s="1" t="str">
        <f>IFERROR(__xludf.DUMMYFUNCTION("""COMPUTED_VALUE"""),"PLDT / ONLINE")</f>
        <v>PLDT / ONLINE</v>
      </c>
      <c r="F2057" s="1">
        <f>IFERROR(__xludf.DUMMYFUNCTION("""COMPUTED_VALUE"""),2310102670)</f>
        <v>2310102670</v>
      </c>
      <c r="G2057" s="1"/>
      <c r="H2057" s="1" t="str">
        <f>IFERROR(__xludf.DUMMYFUNCTION("""COMPUTED_VALUE"""),"CLARISSA AURE VIDAMO")</f>
        <v>CLARISSA AURE VIDAMO</v>
      </c>
      <c r="I2057" s="1">
        <f>IFERROR(__xludf.DUMMYFUNCTION("""COMPUTED_VALUE"""),9150092791)</f>
        <v>9150092791</v>
      </c>
      <c r="J2057" s="1">
        <f>IFERROR(__xludf.DUMMYFUNCTION("""COMPUTED_VALUE"""),9366006970)</f>
        <v>9366006970</v>
      </c>
      <c r="K2057" s="1" t="str">
        <f>IFERROR(__xludf.DUMMYFUNCTION("""COMPUTED_VALUE"""),"clavidamo@gmail.com")</f>
        <v>clavidamo@gmail.com</v>
      </c>
      <c r="L2057" s="1" t="str">
        <f>IFERROR(__xludf.DUMMYFUNCTION("""COMPUTED_VALUE"""),"59")</f>
        <v>59</v>
      </c>
      <c r="M2057" s="1" t="str">
        <f>IFERROR(__xludf.DUMMYFUNCTION("""COMPUTED_VALUE"""),"POBLACION RD")</f>
        <v>POBLACION RD</v>
      </c>
      <c r="N2057" s="1"/>
      <c r="O2057" s="1" t="str">
        <f>IFERROR(__xludf.DUMMYFUNCTION("""COMPUTED_VALUE"""),"BARANGAY VI (POB.)")</f>
        <v>BARANGAY VI (POB.)</v>
      </c>
      <c r="P2057" s="1" t="str">
        <f>IFERROR(__xludf.DUMMYFUNCTION("""COMPUTED_VALUE"""),"MENDEZ")</f>
        <v>MENDEZ</v>
      </c>
      <c r="Q2057" s="1" t="str">
        <f>IFERROR(__xludf.DUMMYFUNCTION("""COMPUTED_VALUE"""),"CAVITE")</f>
        <v>CAVITE</v>
      </c>
      <c r="R2057" s="1" t="str">
        <f>IFERROR(__xludf.DUMMYFUNCTION("""COMPUTED_VALUE"""),"FIBR UNLI ALL PLAN 1399")</f>
        <v>FIBR UNLI ALL PLAN 1399</v>
      </c>
      <c r="S2057" s="1" t="str">
        <f>IFERROR(__xludf.DUMMYFUNCTION("""COMPUTED_VALUE"""),"APPROVED")</f>
        <v>APPROVED</v>
      </c>
      <c r="T2057" s="1" t="str">
        <f>IFERROR(__xludf.DUMMYFUNCTION("""COMPUTED_VALUE"""),"#N/A")</f>
        <v>#N/A</v>
      </c>
      <c r="U2057" s="1" t="str">
        <f>IFERROR(__xludf.DUMMYFUNCTION("""COMPUTED_VALUE"""),"POSTED")</f>
        <v>POSTED</v>
      </c>
      <c r="V2057" s="1"/>
      <c r="W2057" s="1"/>
    </row>
    <row r="2058" customHeight="1" spans="1:23">
      <c r="A2058" s="3">
        <f>IFERROR(__xludf.DUMMYFUNCTION("""COMPUTED_VALUE"""),46183)</f>
        <v>46183</v>
      </c>
      <c r="B2058" s="1" t="str">
        <f>IFERROR(__xludf.DUMMYFUNCTION("""COMPUTED_VALUE"""),"ODY , CLARENCE")</f>
        <v>ODY , CLARENCE</v>
      </c>
      <c r="C2058" s="1" t="str">
        <f>IFERROR(__xludf.DUMMYFUNCTION("""COMPUTED_VALUE"""),"ORGANIC")</f>
        <v>ORGANIC</v>
      </c>
      <c r="D2058" s="1" t="str">
        <f>IFERROR(__xludf.DUMMYFUNCTION("""COMPUTED_VALUE"""),"REMOLLO LEA")</f>
        <v>REMOLLO LEA</v>
      </c>
      <c r="E2058" s="1" t="str">
        <f>IFERROR(__xludf.DUMMYFUNCTION("""COMPUTED_VALUE"""),"PLDT / ONLINE")</f>
        <v>PLDT / ONLINE</v>
      </c>
      <c r="F2058" s="1">
        <f>IFERROR(__xludf.DUMMYFUNCTION("""COMPUTED_VALUE"""),2310101650)</f>
        <v>2310101650</v>
      </c>
      <c r="G2058" s="1"/>
      <c r="H2058" s="1" t="str">
        <f>IFERROR(__xludf.DUMMYFUNCTION("""COMPUTED_VALUE"""),"MICHAEL VINZON DELA PAZ MUTUC")</f>
        <v>MICHAEL VINZON DELA PAZ MUTUC</v>
      </c>
      <c r="I2058" s="1">
        <f>IFERROR(__xludf.DUMMYFUNCTION("""COMPUTED_VALUE"""),9700216573)</f>
        <v>9700216573</v>
      </c>
      <c r="J2058" s="1"/>
      <c r="K2058" s="1" t="str">
        <f>IFERROR(__xludf.DUMMYFUNCTION("""COMPUTED_VALUE"""),"araustero@gmail.com")</f>
        <v>araustero@gmail.com</v>
      </c>
      <c r="L2058" s="1" t="str">
        <f>IFERROR(__xludf.DUMMYFUNCTION("""COMPUTED_VALUE"""),"41")</f>
        <v>41</v>
      </c>
      <c r="M2058" s="1" t="str">
        <f>IFERROR(__xludf.DUMMYFUNCTION("""COMPUTED_VALUE"""),"AMC")</f>
        <v>AMC</v>
      </c>
      <c r="N2058" s="1" t="str">
        <f>IFERROR(__xludf.DUMMYFUNCTION("""COMPUTED_VALUE"""),"PACIFIC WOOD")</f>
        <v>PACIFIC WOOD</v>
      </c>
      <c r="O2058" s="1" t="str">
        <f>IFERROR(__xludf.DUMMYFUNCTION("""COMPUTED_VALUE"""),"CARSADANG BAGO II")</f>
        <v>CARSADANG BAGO II</v>
      </c>
      <c r="P2058" s="1" t="str">
        <f>IFERROR(__xludf.DUMMYFUNCTION("""COMPUTED_VALUE"""),"IMUS")</f>
        <v>IMUS</v>
      </c>
      <c r="Q2058" s="1" t="str">
        <f>IFERROR(__xludf.DUMMYFUNCTION("""COMPUTED_VALUE"""),"CAVITE")</f>
        <v>CAVITE</v>
      </c>
      <c r="R2058" s="1" t="str">
        <f>IFERROR(__xludf.DUMMYFUNCTION("""COMPUTED_VALUE"""),"FIBR UNLI ALL PLAN 1399")</f>
        <v>FIBR UNLI ALL PLAN 1399</v>
      </c>
      <c r="S2058" s="1" t="str">
        <f>IFERROR(__xludf.DUMMYFUNCTION("""COMPUTED_VALUE"""),"APPROVED")</f>
        <v>APPROVED</v>
      </c>
      <c r="T2058" s="1" t="str">
        <f>IFERROR(__xludf.DUMMYFUNCTION("""COMPUTED_VALUE"""),"#N/A")</f>
        <v>#N/A</v>
      </c>
      <c r="U2058" s="1" t="str">
        <f>IFERROR(__xludf.DUMMYFUNCTION("""COMPUTED_VALUE"""),"POSTED")</f>
        <v>POSTED</v>
      </c>
      <c r="V2058" s="1"/>
      <c r="W2058" s="1"/>
    </row>
    <row r="2059" customHeight="1" spans="1:23">
      <c r="A2059" s="3">
        <f>IFERROR(__xludf.DUMMYFUNCTION("""COMPUTED_VALUE"""),46183)</f>
        <v>46183</v>
      </c>
      <c r="B2059" s="1" t="str">
        <f>IFERROR(__xludf.DUMMYFUNCTION("""COMPUTED_VALUE"""),"MANDUCDOC, MARIANE")</f>
        <v>MANDUCDOC, MARIANE</v>
      </c>
      <c r="C2059" s="1" t="str">
        <f>IFERROR(__xludf.DUMMYFUNCTION("""COMPUTED_VALUE"""),"ORGANIC")</f>
        <v>ORGANIC</v>
      </c>
      <c r="D2059" s="1" t="str">
        <f>IFERROR(__xludf.DUMMYFUNCTION("""COMPUTED_VALUE"""),"REMOLLO LEA")</f>
        <v>REMOLLO LEA</v>
      </c>
      <c r="E2059" s="1" t="str">
        <f>IFERROR(__xludf.DUMMYFUNCTION("""COMPUTED_VALUE"""),"PLDT / H2H")</f>
        <v>PLDT / H2H</v>
      </c>
      <c r="F2059" s="1">
        <f>IFERROR(__xludf.DUMMYFUNCTION("""COMPUTED_VALUE"""),2310102245)</f>
        <v>2310102245</v>
      </c>
      <c r="G2059" s="1"/>
      <c r="H2059" s="1" t="str">
        <f>IFERROR(__xludf.DUMMYFUNCTION("""COMPUTED_VALUE"""),"RENANTE RUIZ GANDRA")</f>
        <v>RENANTE RUIZ GANDRA</v>
      </c>
      <c r="I2059" s="1">
        <f>IFERROR(__xludf.DUMMYFUNCTION("""COMPUTED_VALUE"""),9309917242)</f>
        <v>9309917242</v>
      </c>
      <c r="J2059" s="1"/>
      <c r="K2059" s="1" t="str">
        <f>IFERROR(__xludf.DUMMYFUNCTION("""COMPUTED_VALUE"""),"ginalyn.gondra@gmail.com")</f>
        <v>ginalyn.gondra@gmail.com</v>
      </c>
      <c r="L2059" s="1" t="str">
        <f>IFERROR(__xludf.DUMMYFUNCTION("""COMPUTED_VALUE"""),"BLK 2 LOT 21")</f>
        <v>BLK 2 LOT 21</v>
      </c>
      <c r="M2059" s="1" t="str">
        <f>IFERROR(__xludf.DUMMYFUNCTION("""COMPUTED_VALUE"""),"POBLACION RD")</f>
        <v>POBLACION RD</v>
      </c>
      <c r="N2059" s="1"/>
      <c r="O2059" s="1" t="str">
        <f>IFERROR(__xludf.DUMMYFUNCTION("""COMPUTED_VALUE"""),"BARANGAY II (POB.)")</f>
        <v>BARANGAY II (POB.)</v>
      </c>
      <c r="P2059" s="1" t="str">
        <f>IFERROR(__xludf.DUMMYFUNCTION("""COMPUTED_VALUE"""),"GEN MARIANO ALVAREZ")</f>
        <v>GEN MARIANO ALVAREZ</v>
      </c>
      <c r="Q2059" s="1" t="str">
        <f>IFERROR(__xludf.DUMMYFUNCTION("""COMPUTED_VALUE"""),"CAVITE")</f>
        <v>CAVITE</v>
      </c>
      <c r="R2059" s="1" t="str">
        <f>IFERROR(__xludf.DUMMYFUNCTION("""COMPUTED_VALUE"""),"FIBR PLAN 1299")</f>
        <v>FIBR PLAN 1299</v>
      </c>
      <c r="S2059" s="1" t="str">
        <f>IFERROR(__xludf.DUMMYFUNCTION("""COMPUTED_VALUE"""),"APPROVED")</f>
        <v>APPROVED</v>
      </c>
      <c r="T2059" s="1" t="str">
        <f>IFERROR(__xludf.DUMMYFUNCTION("""COMPUTED_VALUE"""),"#N/A")</f>
        <v>#N/A</v>
      </c>
      <c r="U2059" s="1" t="str">
        <f>IFERROR(__xludf.DUMMYFUNCTION("""COMPUTED_VALUE"""),"POSTED")</f>
        <v>POSTED</v>
      </c>
      <c r="V2059" s="1"/>
      <c r="W2059" s="1"/>
    </row>
    <row r="2060" customHeight="1" spans="1:23">
      <c r="A2060" s="3">
        <f>IFERROR(__xludf.DUMMYFUNCTION("""COMPUTED_VALUE"""),46183)</f>
        <v>46183</v>
      </c>
      <c r="B2060" s="1" t="str">
        <f>IFERROR(__xludf.DUMMYFUNCTION("""COMPUTED_VALUE"""),"ESCARCHA, MA ALMA  ESCOTO")</f>
        <v>ESCARCHA, MA ALMA  ESCOTO</v>
      </c>
      <c r="C2060" s="1" t="str">
        <f>IFERROR(__xludf.DUMMYFUNCTION("""COMPUTED_VALUE"""),"ORGANIC")</f>
        <v>ORGANIC</v>
      </c>
      <c r="D2060" s="1" t="str">
        <f>IFERROR(__xludf.DUMMYFUNCTION("""COMPUTED_VALUE"""),"REMOLLO LEA")</f>
        <v>REMOLLO LEA</v>
      </c>
      <c r="E2060" s="1" t="str">
        <f>IFERROR(__xludf.DUMMYFUNCTION("""COMPUTED_VALUE"""),"PLDT / H2H")</f>
        <v>PLDT / H2H</v>
      </c>
      <c r="F2060" s="1">
        <f>IFERROR(__xludf.DUMMYFUNCTION("""COMPUTED_VALUE"""),2310103159)</f>
        <v>2310103159</v>
      </c>
      <c r="G2060" s="1"/>
      <c r="H2060" s="1" t="str">
        <f>IFERROR(__xludf.DUMMYFUNCTION("""COMPUTED_VALUE"""),"GLECILDA GALANG CORONEL")</f>
        <v>GLECILDA GALANG CORONEL</v>
      </c>
      <c r="I2060" s="1">
        <f>IFERROR(__xludf.DUMMYFUNCTION("""COMPUTED_VALUE"""),9931492318)</f>
        <v>9931492318</v>
      </c>
      <c r="J2060" s="1"/>
      <c r="K2060" s="1" t="str">
        <f>IFERROR(__xludf.DUMMYFUNCTION("""COMPUTED_VALUE"""),"galangjosh820@gmail.com")</f>
        <v>galangjosh820@gmail.com</v>
      </c>
      <c r="L2060" s="1" t="str">
        <f>IFERROR(__xludf.DUMMYFUNCTION("""COMPUTED_VALUE"""),"BLK 4 LOT 17")</f>
        <v>BLK 4 LOT 17</v>
      </c>
      <c r="M2060" s="1" t="str">
        <f>IFERROR(__xludf.DUMMYFUNCTION("""COMPUTED_VALUE"""),"HAWK ST")</f>
        <v>HAWK ST</v>
      </c>
      <c r="N2060" s="1"/>
      <c r="O2060" s="1" t="str">
        <f>IFERROR(__xludf.DUMMYFUNCTION("""COMPUTED_VALUE"""),"BENJAMIN TIRONA (AREA D)")</f>
        <v>BENJAMIN TIRONA (AREA D)</v>
      </c>
      <c r="P2060" s="1" t="str">
        <f>IFERROR(__xludf.DUMMYFUNCTION("""COMPUTED_VALUE"""),"GEN MARIANO ALVAREZ")</f>
        <v>GEN MARIANO ALVAREZ</v>
      </c>
      <c r="Q2060" s="1" t="str">
        <f>IFERROR(__xludf.DUMMYFUNCTION("""COMPUTED_VALUE"""),"CAVITE")</f>
        <v>CAVITE</v>
      </c>
      <c r="R2060" s="1" t="str">
        <f>IFERROR(__xludf.DUMMYFUNCTION("""COMPUTED_VALUE"""),"FIBR UNLI ALL PLAN 999")</f>
        <v>FIBR UNLI ALL PLAN 999</v>
      </c>
      <c r="S2060" s="1" t="str">
        <f>IFERROR(__xludf.DUMMYFUNCTION("""COMPUTED_VALUE"""),"APPROVED")</f>
        <v>APPROVED</v>
      </c>
      <c r="T2060" s="1" t="str">
        <f>IFERROR(__xludf.DUMMYFUNCTION("""COMPUTED_VALUE"""),"#N/A")</f>
        <v>#N/A</v>
      </c>
      <c r="U2060" s="1" t="str">
        <f>IFERROR(__xludf.DUMMYFUNCTION("""COMPUTED_VALUE"""),"POSTED")</f>
        <v>POSTED</v>
      </c>
      <c r="V2060" s="1"/>
      <c r="W2060" s="1"/>
    </row>
    <row r="2061" customHeight="1" spans="1:23">
      <c r="A2061" s="3">
        <f>IFERROR(__xludf.DUMMYFUNCTION("""COMPUTED_VALUE"""),46183)</f>
        <v>46183</v>
      </c>
      <c r="B2061" s="1" t="str">
        <f>IFERROR(__xludf.DUMMYFUNCTION("""COMPUTED_VALUE"""),"CASTILLEJOS, ARREL")</f>
        <v>CASTILLEJOS, ARREL</v>
      </c>
      <c r="C2061" s="1" t="str">
        <f>IFERROR(__xludf.DUMMYFUNCTION("""COMPUTED_VALUE"""),"ORGANIC")</f>
        <v>ORGANIC</v>
      </c>
      <c r="D2061" s="1" t="str">
        <f>IFERROR(__xludf.DUMMYFUNCTION("""COMPUTED_VALUE"""),"REMOLLO LEA")</f>
        <v>REMOLLO LEA</v>
      </c>
      <c r="E2061" s="1" t="str">
        <f>IFERROR(__xludf.DUMMYFUNCTION("""COMPUTED_VALUE"""),"PLDT / H2H")</f>
        <v>PLDT / H2H</v>
      </c>
      <c r="F2061" s="1">
        <f>IFERROR(__xludf.DUMMYFUNCTION("""COMPUTED_VALUE"""),2310103808)</f>
        <v>2310103808</v>
      </c>
      <c r="G2061" s="1"/>
      <c r="H2061" s="1" t="str">
        <f>IFERROR(__xludf.DUMMYFUNCTION("""COMPUTED_VALUE"""),"GILEANE NIKOL BUNCAB AURE")</f>
        <v>GILEANE NIKOL BUNCAB AURE</v>
      </c>
      <c r="I2061" s="1">
        <f>IFERROR(__xludf.DUMMYFUNCTION("""COMPUTED_VALUE"""),9081729355)</f>
        <v>9081729355</v>
      </c>
      <c r="J2061" s="1">
        <f>IFERROR(__xludf.DUMMYFUNCTION("""COMPUTED_VALUE"""),9452946851)</f>
        <v>9452946851</v>
      </c>
      <c r="K2061" s="1" t="str">
        <f>IFERROR(__xludf.DUMMYFUNCTION("""COMPUTED_VALUE"""),"gileanenikol@gmail.com")</f>
        <v>gileanenikol@gmail.com</v>
      </c>
      <c r="L2061" s="1" t="str">
        <f>IFERROR(__xludf.DUMMYFUNCTION("""COMPUTED_VALUE"""),"43")</f>
        <v>43</v>
      </c>
      <c r="M2061" s="1" t="str">
        <f>IFERROR(__xludf.DUMMYFUNCTION("""COMPUTED_VALUE"""),"JP RIZAL")</f>
        <v>JP RIZAL</v>
      </c>
      <c r="N2061" s="1"/>
      <c r="O2061" s="1" t="str">
        <f>IFERROR(__xludf.DUMMYFUNCTION("""COMPUTED_VALUE"""),"ASIS I")</f>
        <v>ASIS I</v>
      </c>
      <c r="P2061" s="1" t="str">
        <f>IFERROR(__xludf.DUMMYFUNCTION("""COMPUTED_VALUE"""),"MENDEZ")</f>
        <v>MENDEZ</v>
      </c>
      <c r="Q2061" s="1" t="str">
        <f>IFERROR(__xludf.DUMMYFUNCTION("""COMPUTED_VALUE"""),"CAVITE")</f>
        <v>CAVITE</v>
      </c>
      <c r="R2061" s="1" t="str">
        <f>IFERROR(__xludf.DUMMYFUNCTION("""COMPUTED_VALUE"""),"FIBR NETFLIX PLAN 1599")</f>
        <v>FIBR NETFLIX PLAN 1599</v>
      </c>
      <c r="S2061" s="1" t="str">
        <f>IFERROR(__xludf.DUMMYFUNCTION("""COMPUTED_VALUE"""),"APPROVED")</f>
        <v>APPROVED</v>
      </c>
      <c r="T2061" s="1" t="str">
        <f>IFERROR(__xludf.DUMMYFUNCTION("""COMPUTED_VALUE"""),"#N/A")</f>
        <v>#N/A</v>
      </c>
      <c r="U2061" s="1" t="str">
        <f>IFERROR(__xludf.DUMMYFUNCTION("""COMPUTED_VALUE"""),"POSTED")</f>
        <v>POSTED</v>
      </c>
      <c r="V2061" s="1"/>
      <c r="W2061" s="1"/>
    </row>
    <row r="2062" customHeight="1" spans="1:23">
      <c r="A2062" s="3">
        <f>IFERROR(__xludf.DUMMYFUNCTION("""COMPUTED_VALUE"""),46183)</f>
        <v>46183</v>
      </c>
      <c r="B2062" s="1" t="str">
        <f>IFERROR(__xludf.DUMMYFUNCTION("""COMPUTED_VALUE"""),"GABAY, MANUEL")</f>
        <v>GABAY, MANUEL</v>
      </c>
      <c r="C2062" s="1" t="str">
        <f>IFERROR(__xludf.DUMMYFUNCTION("""COMPUTED_VALUE"""),"FLA")</f>
        <v>FLA</v>
      </c>
      <c r="D2062" s="1" t="str">
        <f>IFERROR(__xludf.DUMMYFUNCTION("""COMPUTED_VALUE"""),"JERIC NAVARRO")</f>
        <v>JERIC NAVARRO</v>
      </c>
      <c r="E2062" s="1" t="str">
        <f>IFERROR(__xludf.DUMMYFUNCTION("""COMPUTED_VALUE"""),"RED FIBER")</f>
        <v>RED FIBER</v>
      </c>
      <c r="F2062" s="1"/>
      <c r="G2062" s="1"/>
      <c r="H2062" s="1" t="str">
        <f>IFERROR(__xludf.DUMMYFUNCTION("""COMPUTED_VALUE"""),"LORDGELINE MENDOZA TIZON")</f>
        <v>LORDGELINE MENDOZA TIZON</v>
      </c>
      <c r="I2062" s="1">
        <f>IFERROR(__xludf.DUMMYFUNCTION("""COMPUTED_VALUE"""),9084922025)</f>
        <v>9084922025</v>
      </c>
      <c r="J2062" s="1">
        <f>IFERROR(__xludf.DUMMYFUNCTION("""COMPUTED_VALUE"""),9915810277)</f>
        <v>9915810277</v>
      </c>
      <c r="K2062" s="1" t="str">
        <f>IFERROR(__xludf.DUMMYFUNCTION("""COMPUTED_VALUE"""),"gelztizon1130@gmail.com")</f>
        <v>gelztizon1130@gmail.com</v>
      </c>
      <c r="L2062" s="1" t="str">
        <f>IFERROR(__xludf.DUMMYFUNCTION("""COMPUTED_VALUE"""),"103")</f>
        <v>103</v>
      </c>
      <c r="M2062" s="1" t="str">
        <f>IFERROR(__xludf.DUMMYFUNCTION("""COMPUTED_VALUE"""),"ZAMORA")</f>
        <v>ZAMORA</v>
      </c>
      <c r="N2062" s="1"/>
      <c r="O2062" s="1" t="str">
        <f>IFERROR(__xludf.DUMMYFUNCTION("""COMPUTED_VALUE"""),"ASIS I")</f>
        <v>ASIS I</v>
      </c>
      <c r="P2062" s="1" t="str">
        <f>IFERROR(__xludf.DUMMYFUNCTION("""COMPUTED_VALUE"""),"MENDEZ")</f>
        <v>MENDEZ</v>
      </c>
      <c r="Q2062" s="1" t="str">
        <f>IFERROR(__xludf.DUMMYFUNCTION("""COMPUTED_VALUE"""),"CAVITE")</f>
        <v>CAVITE</v>
      </c>
      <c r="R2062" s="1" t="str">
        <f>IFERROR(__xludf.DUMMYFUNCTION("""COMPUTED_VALUE"""),"RED PLAN 1000")</f>
        <v>RED PLAN 1000</v>
      </c>
      <c r="S2062" s="1" t="str">
        <f>IFERROR(__xludf.DUMMYFUNCTION("""COMPUTED_VALUE"""),"APPROVED")</f>
        <v>APPROVED</v>
      </c>
      <c r="T2062" s="1" t="str">
        <f>IFERROR(__xludf.DUMMYFUNCTION("""COMPUTED_VALUE"""),"PAID")</f>
        <v>PAID</v>
      </c>
      <c r="U2062" s="1" t="str">
        <f>IFERROR(__xludf.DUMMYFUNCTION("""COMPUTED_VALUE"""),"POSTED")</f>
        <v>POSTED</v>
      </c>
      <c r="V2062" s="1"/>
      <c r="W2062" s="1"/>
    </row>
    <row r="2063" customHeight="1" spans="1:23">
      <c r="A2063" s="3">
        <f>IFERROR(__xludf.DUMMYFUNCTION("""COMPUTED_VALUE"""),46183)</f>
        <v>46183</v>
      </c>
      <c r="B2063" s="1" t="str">
        <f>IFERROR(__xludf.DUMMYFUNCTION("""COMPUTED_VALUE"""),"FERNANDEZ JERIC")</f>
        <v>FERNANDEZ JERIC</v>
      </c>
      <c r="C2063" s="1" t="str">
        <f>IFERROR(__xludf.DUMMYFUNCTION("""COMPUTED_VALUE"""),"ORGANIC")</f>
        <v>ORGANIC</v>
      </c>
      <c r="D2063" s="1" t="str">
        <f>IFERROR(__xludf.DUMMYFUNCTION("""COMPUTED_VALUE"""),"REMOLLO LEA")</f>
        <v>REMOLLO LEA</v>
      </c>
      <c r="E2063" s="1" t="str">
        <f>IFERROR(__xludf.DUMMYFUNCTION("""COMPUTED_VALUE"""),"PLDT / ONLINE")</f>
        <v>PLDT / ONLINE</v>
      </c>
      <c r="F2063" s="1">
        <f>IFERROR(__xludf.DUMMYFUNCTION("""COMPUTED_VALUE"""),2310104907)</f>
        <v>2310104907</v>
      </c>
      <c r="G2063" s="1"/>
      <c r="H2063" s="1" t="str">
        <f>IFERROR(__xludf.DUMMYFUNCTION("""COMPUTED_VALUE"""),"PEGIE SALUTA SALIMA")</f>
        <v>PEGIE SALUTA SALIMA</v>
      </c>
      <c r="I2063" s="1">
        <f>IFERROR(__xludf.DUMMYFUNCTION("""COMPUTED_VALUE"""),9602630211)</f>
        <v>9602630211</v>
      </c>
      <c r="J2063" s="1"/>
      <c r="K2063" s="1" t="str">
        <f>IFERROR(__xludf.DUMMYFUNCTION("""COMPUTED_VALUE"""),"saxthine071985@gmail.com")</f>
        <v>saxthine071985@gmail.com</v>
      </c>
      <c r="L2063" s="1" t="str">
        <f>IFERROR(__xludf.DUMMYFUNCTION("""COMPUTED_VALUE"""),"9076")</f>
        <v>9076</v>
      </c>
      <c r="M2063" s="1" t="str">
        <f>IFERROR(__xludf.DUMMYFUNCTION("""COMPUTED_VALUE"""),"EXCESS LOT")</f>
        <v>EXCESS LOT</v>
      </c>
      <c r="N2063" s="1"/>
      <c r="O2063" s="1" t="str">
        <f>IFERROR(__xludf.DUMMYFUNCTION("""COMPUTED_VALUE"""),"PALIPARAN III")</f>
        <v>PALIPARAN III</v>
      </c>
      <c r="P2063" s="1" t="str">
        <f>IFERROR(__xludf.DUMMYFUNCTION("""COMPUTED_VALUE"""),"DASMARINAS")</f>
        <v>DASMARINAS</v>
      </c>
      <c r="Q2063" s="1" t="str">
        <f>IFERROR(__xludf.DUMMYFUNCTION("""COMPUTED_VALUE"""),"CAVITE")</f>
        <v>CAVITE</v>
      </c>
      <c r="R2063" s="1" t="str">
        <f>IFERROR(__xludf.DUMMYFUNCTION("""COMPUTED_VALUE"""),"FIBR UNLI ALL PLAN 999")</f>
        <v>FIBR UNLI ALL PLAN 999</v>
      </c>
      <c r="S2063" s="1" t="str">
        <f>IFERROR(__xludf.DUMMYFUNCTION("""COMPUTED_VALUE"""),"APPROVED")</f>
        <v>APPROVED</v>
      </c>
      <c r="T2063" s="1" t="str">
        <f>IFERROR(__xludf.DUMMYFUNCTION("""COMPUTED_VALUE"""),"#N/A")</f>
        <v>#N/A</v>
      </c>
      <c r="U2063" s="1" t="str">
        <f>IFERROR(__xludf.DUMMYFUNCTION("""COMPUTED_VALUE"""),"PAID VIA GCASH")</f>
        <v>PAID VIA GCASH</v>
      </c>
      <c r="V2063" s="1"/>
      <c r="W2063" s="1"/>
    </row>
    <row r="2064" customHeight="1" spans="1:23">
      <c r="A2064" s="3">
        <f>IFERROR(__xludf.DUMMYFUNCTION("""COMPUTED_VALUE"""),46183)</f>
        <v>46183</v>
      </c>
      <c r="B2064" s="1" t="str">
        <f>IFERROR(__xludf.DUMMYFUNCTION("""COMPUTED_VALUE"""),"MAGDARAOG, KENNETH")</f>
        <v>MAGDARAOG, KENNETH</v>
      </c>
      <c r="C2064" s="1" t="str">
        <f>IFERROR(__xludf.DUMMYFUNCTION("""COMPUTED_VALUE"""),"ORGANIC")</f>
        <v>ORGANIC</v>
      </c>
      <c r="D2064" s="1" t="str">
        <f>IFERROR(__xludf.DUMMYFUNCTION("""COMPUTED_VALUE"""),"REMOLLO LEA")</f>
        <v>REMOLLO LEA</v>
      </c>
      <c r="E2064" s="1" t="str">
        <f>IFERROR(__xludf.DUMMYFUNCTION("""COMPUTED_VALUE"""),"PLDT / H2H")</f>
        <v>PLDT / H2H</v>
      </c>
      <c r="F2064" s="1">
        <f>IFERROR(__xludf.DUMMYFUNCTION("""COMPUTED_VALUE"""),2310105780)</f>
        <v>2310105780</v>
      </c>
      <c r="G2064" s="1"/>
      <c r="H2064" s="1" t="str">
        <f>IFERROR(__xludf.DUMMYFUNCTION("""COMPUTED_VALUE"""),"JAMES PATRICK HAGOS CLARO")</f>
        <v>JAMES PATRICK HAGOS CLARO</v>
      </c>
      <c r="I2064" s="1">
        <f>IFERROR(__xludf.DUMMYFUNCTION("""COMPUTED_VALUE"""),9121063373)</f>
        <v>9121063373</v>
      </c>
      <c r="J2064" s="1">
        <f>IFERROR(__xludf.DUMMYFUNCTION("""COMPUTED_VALUE"""),9108025203)</f>
        <v>9108025203</v>
      </c>
      <c r="K2064" s="1" t="str">
        <f>IFERROR(__xludf.DUMMYFUNCTION("""COMPUTED_VALUE"""),"jaelyn112808@gmail.com")</f>
        <v>jaelyn112808@gmail.com</v>
      </c>
      <c r="L2064" s="1" t="str">
        <f>IFERROR(__xludf.DUMMYFUNCTION("""COMPUTED_VALUE"""),"BLK 16 LOT 20")</f>
        <v>BLK 16 LOT 20</v>
      </c>
      <c r="M2064" s="1" t="str">
        <f>IFERROR(__xludf.DUMMYFUNCTION("""COMPUTED_VALUE"""),"DAGUPAN")</f>
        <v>DAGUPAN</v>
      </c>
      <c r="N2064" s="1"/>
      <c r="O2064" s="1" t="str">
        <f>IFERROR(__xludf.DUMMYFUNCTION("""COMPUTED_VALUE"""),"FRANCISCO REYES")</f>
        <v>FRANCISCO REYES</v>
      </c>
      <c r="P2064" s="1" t="str">
        <f>IFERROR(__xludf.DUMMYFUNCTION("""COMPUTED_VALUE"""),"GEN MARIANO ALVAREZ")</f>
        <v>GEN MARIANO ALVAREZ</v>
      </c>
      <c r="Q2064" s="1" t="str">
        <f>IFERROR(__xludf.DUMMYFUNCTION("""COMPUTED_VALUE"""),"CAVITE")</f>
        <v>CAVITE</v>
      </c>
      <c r="R2064" s="1" t="str">
        <f>IFERROR(__xludf.DUMMYFUNCTION("""COMPUTED_VALUE"""),"FIBR PLAN 1299")</f>
        <v>FIBR PLAN 1299</v>
      </c>
      <c r="S2064" s="1" t="str">
        <f>IFERROR(__xludf.DUMMYFUNCTION("""COMPUTED_VALUE"""),"APPROVED")</f>
        <v>APPROVED</v>
      </c>
      <c r="T2064" s="1" t="str">
        <f>IFERROR(__xludf.DUMMYFUNCTION("""COMPUTED_VALUE"""),"#N/A")</f>
        <v>#N/A</v>
      </c>
      <c r="U2064" s="1" t="str">
        <f>IFERROR(__xludf.DUMMYFUNCTION("""COMPUTED_VALUE"""),"POSTED")</f>
        <v>POSTED</v>
      </c>
      <c r="V2064" s="1"/>
      <c r="W2064" s="1"/>
    </row>
    <row r="2065" customHeight="1" spans="1:23">
      <c r="A2065" s="3">
        <f>IFERROR(__xludf.DUMMYFUNCTION("""COMPUTED_VALUE"""),46183)</f>
        <v>46183</v>
      </c>
      <c r="B2065" s="1" t="str">
        <f>IFERROR(__xludf.DUMMYFUNCTION("""COMPUTED_VALUE"""),"FRANCISCO , ROSELYN")</f>
        <v>FRANCISCO , ROSELYN</v>
      </c>
      <c r="C2065" s="1" t="str">
        <f>IFERROR(__xludf.DUMMYFUNCTION("""COMPUTED_VALUE"""),"ORGANIC")</f>
        <v>ORGANIC</v>
      </c>
      <c r="D2065" s="1" t="str">
        <f>IFERROR(__xludf.DUMMYFUNCTION("""COMPUTED_VALUE"""),"REMOLLO LEA")</f>
        <v>REMOLLO LEA</v>
      </c>
      <c r="E2065" s="1" t="str">
        <f>IFERROR(__xludf.DUMMYFUNCTION("""COMPUTED_VALUE"""),"PLDT / ONLINE")</f>
        <v>PLDT / ONLINE</v>
      </c>
      <c r="F2065" s="1">
        <f>IFERROR(__xludf.DUMMYFUNCTION("""COMPUTED_VALUE"""),2310089991)</f>
        <v>2310089991</v>
      </c>
      <c r="G2065" s="1"/>
      <c r="H2065" s="1" t="str">
        <f>IFERROR(__xludf.DUMMYFUNCTION("""COMPUTED_VALUE"""),"JOHN MARK PEREZ ROSAL")</f>
        <v>JOHN MARK PEREZ ROSAL</v>
      </c>
      <c r="I2065" s="1">
        <f>IFERROR(__xludf.DUMMYFUNCTION("""COMPUTED_VALUE"""),9279412869)</f>
        <v>9279412869</v>
      </c>
      <c r="J2065" s="1">
        <f>IFERROR(__xludf.DUMMYFUNCTION("""COMPUTED_VALUE"""),9167966523)</f>
        <v>9167966523</v>
      </c>
      <c r="K2065" s="1"/>
      <c r="L2065" s="1" t="str">
        <f>IFERROR(__xludf.DUMMYFUNCTION("""COMPUTED_VALUE"""),"BLK 6 LOT 9")</f>
        <v>BLK 6 LOT 9</v>
      </c>
      <c r="M2065" s="1" t="str">
        <f>IFERROR(__xludf.DUMMYFUNCTION("""COMPUTED_VALUE"""),"GREEN PLACE 1")</f>
        <v>GREEN PLACE 1</v>
      </c>
      <c r="N2065" s="1"/>
      <c r="O2065" s="1" t="str">
        <f>IFERROR(__xludf.DUMMYFUNCTION("""COMPUTED_VALUE"""),"MALAGASANG I-G")</f>
        <v>MALAGASANG I-G</v>
      </c>
      <c r="P2065" s="1" t="str">
        <f>IFERROR(__xludf.DUMMYFUNCTION("""COMPUTED_VALUE"""),"IMUS")</f>
        <v>IMUS</v>
      </c>
      <c r="Q2065" s="1" t="str">
        <f>IFERROR(__xludf.DUMMYFUNCTION("""COMPUTED_VALUE"""),"CAVITE")</f>
        <v>CAVITE</v>
      </c>
      <c r="R2065" s="1" t="str">
        <f>IFERROR(__xludf.DUMMYFUNCTION("""COMPUTED_VALUE"""),"FIBR UNLI ALL PLAN 1799")</f>
        <v>FIBR UNLI ALL PLAN 1799</v>
      </c>
      <c r="S2065" s="1" t="str">
        <f>IFERROR(__xludf.DUMMYFUNCTION("""COMPUTED_VALUE"""),"APPROVED")</f>
        <v>APPROVED</v>
      </c>
      <c r="T2065" s="1" t="str">
        <f>IFERROR(__xludf.DUMMYFUNCTION("""COMPUTED_VALUE"""),"#N/A")</f>
        <v>#N/A</v>
      </c>
      <c r="U2065" s="1" t="str">
        <f>IFERROR(__xludf.DUMMYFUNCTION("""COMPUTED_VALUE"""),"POSTED")</f>
        <v>POSTED</v>
      </c>
      <c r="V2065" s="1"/>
      <c r="W2065" s="1"/>
    </row>
    <row r="2066" customHeight="1" spans="1:23">
      <c r="A2066" s="3">
        <f>IFERROR(__xludf.DUMMYFUNCTION("""COMPUTED_VALUE"""),46184)</f>
        <v>46184</v>
      </c>
      <c r="B2066" s="1" t="str">
        <f>IFERROR(__xludf.DUMMYFUNCTION("""COMPUTED_VALUE"""),"MALIWAT MARK ELVIN")</f>
        <v>MALIWAT MARK ELVIN</v>
      </c>
      <c r="C2066" s="1" t="str">
        <f>IFERROR(__xludf.DUMMYFUNCTION("""COMPUTED_VALUE"""),"FLA")</f>
        <v>FLA</v>
      </c>
      <c r="D2066" s="1" t="str">
        <f>IFERROR(__xludf.DUMMYFUNCTION("""COMPUTED_VALUE"""),"JERIC NAVARRO")</f>
        <v>JERIC NAVARRO</v>
      </c>
      <c r="E2066" s="1" t="str">
        <f>IFERROR(__xludf.DUMMYFUNCTION("""COMPUTED_VALUE"""),"HOME BIZZ")</f>
        <v>HOME BIZZ</v>
      </c>
      <c r="F2066" s="1">
        <f>IFERROR(__xludf.DUMMYFUNCTION("""COMPUTED_VALUE"""),2310122498)</f>
        <v>2310122498</v>
      </c>
      <c r="G2066" s="1"/>
      <c r="H2066" s="1" t="str">
        <f>IFERROR(__xludf.DUMMYFUNCTION("""COMPUTED_VALUE"""),"HUE DENTAL CLINIC CO")</f>
        <v>HUE DENTAL CLINIC CO</v>
      </c>
      <c r="I2066" s="1">
        <f>IFERROR(__xludf.DUMMYFUNCTION("""COMPUTED_VALUE"""),9772792167)</f>
        <v>9772792167</v>
      </c>
      <c r="J2066" s="1">
        <f>IFERROR(__xludf.DUMMYFUNCTION("""COMPUTED_VALUE"""),9772792167)</f>
        <v>9772792167</v>
      </c>
      <c r="K2066" s="1" t="str">
        <f>IFERROR(__xludf.DUMMYFUNCTION("""COMPUTED_VALUE"""),"leinster.castillo@gmail.com")</f>
        <v>leinster.castillo@gmail.com</v>
      </c>
      <c r="L2066" s="1" t="str">
        <f>IFERROR(__xludf.DUMMYFUNCTION("""COMPUTED_VALUE"""),"148")</f>
        <v>148</v>
      </c>
      <c r="M2066" s="1" t="str">
        <f>IFERROR(__xludf.DUMMYFUNCTION("""COMPUTED_VALUE"""),"MAITIM RD")</f>
        <v>MAITIM RD</v>
      </c>
      <c r="N2066" s="1"/>
      <c r="O2066" s="1" t="str">
        <f>IFERROR(__xludf.DUMMYFUNCTION("""COMPUTED_VALUE"""),"MAITIM 2ND EAST")</f>
        <v>MAITIM 2ND EAST</v>
      </c>
      <c r="P2066" s="1" t="str">
        <f>IFERROR(__xludf.DUMMYFUNCTION("""COMPUTED_VALUE"""),"TAGAYTAY")</f>
        <v>TAGAYTAY</v>
      </c>
      <c r="Q2066" s="1" t="str">
        <f>IFERROR(__xludf.DUMMYFUNCTION("""COMPUTED_VALUE"""),"CAVITE")</f>
        <v>CAVITE</v>
      </c>
      <c r="R2066" s="1" t="str">
        <f>IFERROR(__xludf.DUMMYFUNCTION("""COMPUTED_VALUE"""),"HOME BIZ PLAN 1699")</f>
        <v>HOME BIZ PLAN 1699</v>
      </c>
      <c r="S2066" s="1" t="str">
        <f>IFERROR(__xludf.DUMMYFUNCTION("""COMPUTED_VALUE"""),"APPROVED")</f>
        <v>APPROVED</v>
      </c>
      <c r="T2066" s="1" t="str">
        <f>IFERROR(__xludf.DUMMYFUNCTION("""COMPUTED_VALUE"""),"#N/A")</f>
        <v>#N/A</v>
      </c>
      <c r="U2066" s="1"/>
      <c r="V2066" s="1"/>
      <c r="W2066" s="1"/>
    </row>
    <row r="2067" customHeight="1" spans="1:23">
      <c r="A2067" s="3">
        <f>IFERROR(__xludf.DUMMYFUNCTION("""COMPUTED_VALUE"""),46184)</f>
        <v>46184</v>
      </c>
      <c r="B2067" s="1" t="str">
        <f>IFERROR(__xludf.DUMMYFUNCTION("""COMPUTED_VALUE"""),"FRANCISCO , ROSELYN")</f>
        <v>FRANCISCO , ROSELYN</v>
      </c>
      <c r="C2067" s="1" t="str">
        <f>IFERROR(__xludf.DUMMYFUNCTION("""COMPUTED_VALUE"""),"ORGANIC")</f>
        <v>ORGANIC</v>
      </c>
      <c r="D2067" s="1" t="str">
        <f>IFERROR(__xludf.DUMMYFUNCTION("""COMPUTED_VALUE"""),"REMOLLO LEA")</f>
        <v>REMOLLO LEA</v>
      </c>
      <c r="E2067" s="1" t="str">
        <f>IFERROR(__xludf.DUMMYFUNCTION("""COMPUTED_VALUE"""),"PLDT / ONLINE")</f>
        <v>PLDT / ONLINE</v>
      </c>
      <c r="F2067" s="1">
        <f>IFERROR(__xludf.DUMMYFUNCTION("""COMPUTED_VALUE"""),2310120907)</f>
        <v>2310120907</v>
      </c>
      <c r="G2067" s="1"/>
      <c r="H2067" s="1" t="str">
        <f>IFERROR(__xludf.DUMMYFUNCTION("""COMPUTED_VALUE"""),"IRENE BALLATAN GALIGO")</f>
        <v>IRENE BALLATAN GALIGO</v>
      </c>
      <c r="I2067" s="1">
        <f>IFERROR(__xludf.DUMMYFUNCTION("""COMPUTED_VALUE"""),9564100781)</f>
        <v>9564100781</v>
      </c>
      <c r="J2067" s="1">
        <f>IFERROR(__xludf.DUMMYFUNCTION("""COMPUTED_VALUE"""),9319042981)</f>
        <v>9319042981</v>
      </c>
      <c r="K2067" s="1" t="str">
        <f>IFERROR(__xludf.DUMMYFUNCTION("""COMPUTED_VALUE"""),"ballatanirene8@gmail.com")</f>
        <v>ballatanirene8@gmail.com</v>
      </c>
      <c r="L2067" s="1" t="str">
        <f>IFERROR(__xludf.DUMMYFUNCTION("""COMPUTED_VALUE"""),"BLK 37 LOT 7")</f>
        <v>BLK 37 LOT 7</v>
      </c>
      <c r="M2067" s="1" t="str">
        <f>IFERROR(__xludf.DUMMYFUNCTION("""COMPUTED_VALUE"""),"PHASE 6")</f>
        <v>PHASE 6</v>
      </c>
      <c r="N2067" s="1"/>
      <c r="O2067" s="1" t="str">
        <f>IFERROR(__xludf.DUMMYFUNCTION("""COMPUTED_VALUE"""),"BANABA")</f>
        <v>BANABA</v>
      </c>
      <c r="P2067" s="1" t="str">
        <f>IFERROR(__xludf.DUMMYFUNCTION("""COMPUTED_VALUE"""),"SILANG")</f>
        <v>SILANG</v>
      </c>
      <c r="Q2067" s="1" t="str">
        <f>IFERROR(__xludf.DUMMYFUNCTION("""COMPUTED_VALUE"""),"CAVITE")</f>
        <v>CAVITE</v>
      </c>
      <c r="R2067" s="1" t="str">
        <f>IFERROR(__xludf.DUMMYFUNCTION("""COMPUTED_VALUE"""),"FIBR PLAN 1299")</f>
        <v>FIBR PLAN 1299</v>
      </c>
      <c r="S2067" s="1" t="str">
        <f>IFERROR(__xludf.DUMMYFUNCTION("""COMPUTED_VALUE"""),"APPROVED")</f>
        <v>APPROVED</v>
      </c>
      <c r="T2067" s="1" t="str">
        <f>IFERROR(__xludf.DUMMYFUNCTION("""COMPUTED_VALUE"""),"#N/A")</f>
        <v>#N/A</v>
      </c>
      <c r="U2067" s="1"/>
      <c r="V2067" s="1"/>
      <c r="W2067" s="1"/>
    </row>
    <row r="2068" customHeight="1" spans="1:23">
      <c r="A2068" s="3">
        <f>IFERROR(__xludf.DUMMYFUNCTION("""COMPUTED_VALUE"""),46184)</f>
        <v>46184</v>
      </c>
      <c r="B2068" s="1" t="str">
        <f>IFERROR(__xludf.DUMMYFUNCTION("""COMPUTED_VALUE"""),"ACOSTA. ZAIRUS")</f>
        <v>ACOSTA. ZAIRUS</v>
      </c>
      <c r="C2068" s="1" t="str">
        <f>IFERROR(__xludf.DUMMYFUNCTION("""COMPUTED_VALUE"""),"ORGANIC")</f>
        <v>ORGANIC</v>
      </c>
      <c r="D2068" s="1" t="str">
        <f>IFERROR(__xludf.DUMMYFUNCTION("""COMPUTED_VALUE"""),"REMOLLO LEA")</f>
        <v>REMOLLO LEA</v>
      </c>
      <c r="E2068" s="1" t="str">
        <f>IFERROR(__xludf.DUMMYFUNCTION("""COMPUTED_VALUE"""),"PLDT / H2H")</f>
        <v>PLDT / H2H</v>
      </c>
      <c r="F2068" s="1">
        <f>IFERROR(__xludf.DUMMYFUNCTION("""COMPUTED_VALUE"""),2310131359)</f>
        <v>2310131359</v>
      </c>
      <c r="G2068" s="1"/>
      <c r="H2068" s="1" t="str">
        <f>IFERROR(__xludf.DUMMYFUNCTION("""COMPUTED_VALUE"""),"CRISAN PAUL PUTONG ALILAIN")</f>
        <v>CRISAN PAUL PUTONG ALILAIN</v>
      </c>
      <c r="I2068" s="1">
        <f>IFERROR(__xludf.DUMMYFUNCTION("""COMPUTED_VALUE"""),9051918119)</f>
        <v>9051918119</v>
      </c>
      <c r="J2068" s="1">
        <f>IFERROR(__xludf.DUMMYFUNCTION("""COMPUTED_VALUE"""),9949146906)</f>
        <v>9949146906</v>
      </c>
      <c r="K2068" s="1" t="str">
        <f>IFERROR(__xludf.DUMMYFUNCTION("""COMPUTED_VALUE"""),"crisanpaulalilain@gmail.com")</f>
        <v>crisanpaulalilain@gmail.com</v>
      </c>
      <c r="L2068" s="1" t="str">
        <f>IFERROR(__xludf.DUMMYFUNCTION("""COMPUTED_VALUE"""),"9045")</f>
        <v>9045</v>
      </c>
      <c r="M2068" s="1" t="str">
        <f>IFERROR(__xludf.DUMMYFUNCTION("""COMPUTED_VALUE"""),"ZAMORA")</f>
        <v>ZAMORA</v>
      </c>
      <c r="N2068" s="1" t="str">
        <f>IFERROR(__xludf.DUMMYFUNCTION("""COMPUTED_VALUE"""),"CHAVEZ COMPOUND")</f>
        <v>CHAVEZ COMPOUND</v>
      </c>
      <c r="O2068" s="1" t="str">
        <f>IFERROR(__xludf.DUMMYFUNCTION("""COMPUTED_VALUE"""),"ASIS I")</f>
        <v>ASIS I</v>
      </c>
      <c r="P2068" s="1" t="str">
        <f>IFERROR(__xludf.DUMMYFUNCTION("""COMPUTED_VALUE"""),"MENDEZ")</f>
        <v>MENDEZ</v>
      </c>
      <c r="Q2068" s="1" t="str">
        <f>IFERROR(__xludf.DUMMYFUNCTION("""COMPUTED_VALUE"""),"CAVITE")</f>
        <v>CAVITE</v>
      </c>
      <c r="R2068" s="1" t="str">
        <f>IFERROR(__xludf.DUMMYFUNCTION("""COMPUTED_VALUE"""),"FIBR NETFLIX PLAN 1599")</f>
        <v>FIBR NETFLIX PLAN 1599</v>
      </c>
      <c r="S2068" s="1" t="str">
        <f>IFERROR(__xludf.DUMMYFUNCTION("""COMPUTED_VALUE"""),"APPROVED")</f>
        <v>APPROVED</v>
      </c>
      <c r="T2068" s="1" t="str">
        <f>IFERROR(__xludf.DUMMYFUNCTION("""COMPUTED_VALUE"""),"#N/A")</f>
        <v>#N/A</v>
      </c>
      <c r="U2068" s="1" t="str">
        <f>IFERROR(__xludf.DUMMYFUNCTION("""COMPUTED_VALUE"""),"POSTED")</f>
        <v>POSTED</v>
      </c>
      <c r="V2068" s="1"/>
      <c r="W2068" s="1"/>
    </row>
    <row r="2069" customHeight="1" spans="1:23">
      <c r="A2069" s="3">
        <f>IFERROR(__xludf.DUMMYFUNCTION("""COMPUTED_VALUE"""),46184)</f>
        <v>46184</v>
      </c>
      <c r="B2069" s="1" t="str">
        <f>IFERROR(__xludf.DUMMYFUNCTION("""COMPUTED_VALUE"""),"OPS SIR ZZEP")</f>
        <v>OPS SIR ZZEP</v>
      </c>
      <c r="C2069" s="1" t="str">
        <f>IFERROR(__xludf.DUMMYFUNCTION("""COMPUTED_VALUE"""),"LEADSTORE")</f>
        <v>LEADSTORE</v>
      </c>
      <c r="D2069" s="1" t="str">
        <f>IFERROR(__xludf.DUMMYFUNCTION("""COMPUTED_VALUE"""),"JERIC NAVARRO")</f>
        <v>JERIC NAVARRO</v>
      </c>
      <c r="E2069" s="1" t="str">
        <f>IFERROR(__xludf.DUMMYFUNCTION("""COMPUTED_VALUE"""),"PLDT / ONLINE")</f>
        <v>PLDT / ONLINE</v>
      </c>
      <c r="F2069" s="1">
        <f>IFERROR(__xludf.DUMMYFUNCTION("""COMPUTED_VALUE"""),2310125036)</f>
        <v>2310125036</v>
      </c>
      <c r="G2069" s="1"/>
      <c r="H2069" s="1" t="str">
        <f>IFERROR(__xludf.DUMMYFUNCTION("""COMPUTED_VALUE"""),"KARL ANTHONY VILLAS ANG")</f>
        <v>KARL ANTHONY VILLAS ANG</v>
      </c>
      <c r="I2069" s="1">
        <f>IFERROR(__xludf.DUMMYFUNCTION("""COMPUTED_VALUE"""),9166334168)</f>
        <v>9166334168</v>
      </c>
      <c r="J2069" s="1"/>
      <c r="K2069" s="1" t="str">
        <f>IFERROR(__xludf.DUMMYFUNCTION("""COMPUTED_VALUE"""),"k_a_08@yahoo.com")</f>
        <v>k_a_08@yahoo.com</v>
      </c>
      <c r="L2069" s="1" t="str">
        <f>IFERROR(__xludf.DUMMYFUNCTION("""COMPUTED_VALUE"""),"BLK 6 LOT 21")</f>
        <v>BLK 6 LOT 21</v>
      </c>
      <c r="M2069" s="1" t="str">
        <f>IFERROR(__xludf.DUMMYFUNCTION("""COMPUTED_VALUE"""),"RODEO COUNTRY")</f>
        <v>RODEO COUNTRY</v>
      </c>
      <c r="N2069" s="1"/>
      <c r="O2069" s="1" t="str">
        <f>IFERROR(__xludf.DUMMYFUNCTION("""COMPUTED_VALUE"""),"ESPERANZA ILAYA")</f>
        <v>ESPERANZA ILAYA</v>
      </c>
      <c r="P2069" s="1" t="str">
        <f>IFERROR(__xludf.DUMMYFUNCTION("""COMPUTED_VALUE"""),"ALFONSO")</f>
        <v>ALFONSO</v>
      </c>
      <c r="Q2069" s="1" t="str">
        <f>IFERROR(__xludf.DUMMYFUNCTION("""COMPUTED_VALUE"""),"CAVITE")</f>
        <v>CAVITE</v>
      </c>
      <c r="R2069" s="1" t="str">
        <f>IFERROR(__xludf.DUMMYFUNCTION("""COMPUTED_VALUE"""),"FIBR UNLI ALL PLAN 1399")</f>
        <v>FIBR UNLI ALL PLAN 1399</v>
      </c>
      <c r="S2069" s="1" t="str">
        <f>IFERROR(__xludf.DUMMYFUNCTION("""COMPUTED_VALUE"""),"APPROVED")</f>
        <v>APPROVED</v>
      </c>
      <c r="T2069" s="1" t="str">
        <f>IFERROR(__xludf.DUMMYFUNCTION("""COMPUTED_VALUE"""),"#N/A")</f>
        <v>#N/A</v>
      </c>
      <c r="U2069" s="1"/>
      <c r="V2069" s="1"/>
      <c r="W2069" s="1"/>
    </row>
    <row r="2070" customHeight="1" spans="1:23">
      <c r="A2070" s="3">
        <f>IFERROR(__xludf.DUMMYFUNCTION("""COMPUTED_VALUE"""),46184)</f>
        <v>46184</v>
      </c>
      <c r="B2070" s="1" t="str">
        <f>IFERROR(__xludf.DUMMYFUNCTION("""COMPUTED_VALUE"""),"MALIWAT MARK ELVIN")</f>
        <v>MALIWAT MARK ELVIN</v>
      </c>
      <c r="C2070" s="1" t="str">
        <f>IFERROR(__xludf.DUMMYFUNCTION("""COMPUTED_VALUE"""),"FLA")</f>
        <v>FLA</v>
      </c>
      <c r="D2070" s="1" t="str">
        <f>IFERROR(__xludf.DUMMYFUNCTION("""COMPUTED_VALUE"""),"JERIC NAVARRO")</f>
        <v>JERIC NAVARRO</v>
      </c>
      <c r="E2070" s="1" t="str">
        <f>IFERROR(__xludf.DUMMYFUNCTION("""COMPUTED_VALUE"""),"HOME BIZZ")</f>
        <v>HOME BIZZ</v>
      </c>
      <c r="F2070" s="1">
        <f>IFERROR(__xludf.DUMMYFUNCTION("""COMPUTED_VALUE"""),2310126244)</f>
        <v>2310126244</v>
      </c>
      <c r="G2070" s="1"/>
      <c r="H2070" s="1" t="str">
        <f>IFERROR(__xludf.DUMMYFUNCTION("""COMPUTED_VALUE"""),"CAMPING SITE RENTAL YARD SOUTH CABINS")</f>
        <v>CAMPING SITE RENTAL YARD SOUTH CABINS</v>
      </c>
      <c r="I2070" s="1">
        <f>IFERROR(__xludf.DUMMYFUNCTION("""COMPUTED_VALUE"""),9055650363)</f>
        <v>9055650363</v>
      </c>
      <c r="J2070" s="1">
        <f>IFERROR(__xludf.DUMMYFUNCTION("""COMPUTED_VALUE"""),9196248475)</f>
        <v>9196248475</v>
      </c>
      <c r="K2070" s="1" t="str">
        <f>IFERROR(__xludf.DUMMYFUNCTION("""COMPUTED_VALUE"""),"charinavinas@gmail.com")</f>
        <v>charinavinas@gmail.com</v>
      </c>
      <c r="L2070" s="1" t="str">
        <f>IFERROR(__xludf.DUMMYFUNCTION("""COMPUTED_VALUE"""),"LOT 6685-A")</f>
        <v>LOT 6685-A</v>
      </c>
      <c r="M2070" s="1" t="str">
        <f>IFERROR(__xludf.DUMMYFUNCTION("""COMPUTED_VALUE"""),"MAYSILI")</f>
        <v>MAYSILI</v>
      </c>
      <c r="N2070" s="1"/>
      <c r="O2070" s="1" t="str">
        <f>IFERROR(__xludf.DUMMYFUNCTION("""COMPUTED_VALUE"""),"ASIS I")</f>
        <v>ASIS I</v>
      </c>
      <c r="P2070" s="1" t="str">
        <f>IFERROR(__xludf.DUMMYFUNCTION("""COMPUTED_VALUE"""),"MENDEZ")</f>
        <v>MENDEZ</v>
      </c>
      <c r="Q2070" s="1" t="str">
        <f>IFERROR(__xludf.DUMMYFUNCTION("""COMPUTED_VALUE"""),"CAVITE")</f>
        <v>CAVITE</v>
      </c>
      <c r="R2070" s="1" t="str">
        <f>IFERROR(__xludf.DUMMYFUNCTION("""COMPUTED_VALUE"""),"HOME BIZ PLAN 1699")</f>
        <v>HOME BIZ PLAN 1699</v>
      </c>
      <c r="S2070" s="1" t="str">
        <f>IFERROR(__xludf.DUMMYFUNCTION("""COMPUTED_VALUE"""),"APPROVED")</f>
        <v>APPROVED</v>
      </c>
      <c r="T2070" s="1" t="str">
        <f>IFERROR(__xludf.DUMMYFUNCTION("""COMPUTED_VALUE"""),"#N/A")</f>
        <v>#N/A</v>
      </c>
      <c r="U2070" s="1" t="str">
        <f>IFERROR(__xludf.DUMMYFUNCTION("""COMPUTED_VALUE"""),"POSTED")</f>
        <v>POSTED</v>
      </c>
      <c r="V2070" s="1"/>
      <c r="W2070" s="1"/>
    </row>
    <row r="2071" customHeight="1" spans="1:23">
      <c r="A2071" s="3">
        <f>IFERROR(__xludf.DUMMYFUNCTION("""COMPUTED_VALUE"""),46184)</f>
        <v>46184</v>
      </c>
      <c r="B2071" s="1" t="str">
        <f>IFERROR(__xludf.DUMMYFUNCTION("""COMPUTED_VALUE"""),"RALLOS, ANGIELYN")</f>
        <v>RALLOS, ANGIELYN</v>
      </c>
      <c r="C2071" s="1" t="str">
        <f>IFERROR(__xludf.DUMMYFUNCTION("""COMPUTED_VALUE"""),"ORGANIC")</f>
        <v>ORGANIC</v>
      </c>
      <c r="D2071" s="1" t="str">
        <f>IFERROR(__xludf.DUMMYFUNCTION("""COMPUTED_VALUE"""),"REMOLLO LEA")</f>
        <v>REMOLLO LEA</v>
      </c>
      <c r="E2071" s="1" t="str">
        <f>IFERROR(__xludf.DUMMYFUNCTION("""COMPUTED_VALUE"""),"PLDT / H2H")</f>
        <v>PLDT / H2H</v>
      </c>
      <c r="F2071" s="1">
        <f>IFERROR(__xludf.DUMMYFUNCTION("""COMPUTED_VALUE"""),2310127794)</f>
        <v>2310127794</v>
      </c>
      <c r="G2071" s="1"/>
      <c r="H2071" s="1" t="str">
        <f>IFERROR(__xludf.DUMMYFUNCTION("""COMPUTED_VALUE"""),"KENNETH COSME CARAGAY")</f>
        <v>KENNETH COSME CARAGAY</v>
      </c>
      <c r="I2071" s="1">
        <f>IFERROR(__xludf.DUMMYFUNCTION("""COMPUTED_VALUE"""),9203270465)</f>
        <v>9203270465</v>
      </c>
      <c r="J2071" s="1"/>
      <c r="K2071" s="1" t="str">
        <f>IFERROR(__xludf.DUMMYFUNCTION("""COMPUTED_VALUE"""),"kennethcaragay16@gmail.com")</f>
        <v>kennethcaragay16@gmail.com</v>
      </c>
      <c r="L2071" s="1" t="str">
        <f>IFERROR(__xludf.DUMMYFUNCTION("""COMPUTED_VALUE"""),"340")</f>
        <v>340</v>
      </c>
      <c r="M2071" s="1" t="str">
        <f>IFERROR(__xludf.DUMMYFUNCTION("""COMPUTED_VALUE"""),"PUROK 6")</f>
        <v>PUROK 6</v>
      </c>
      <c r="N2071" s="1"/>
      <c r="O2071" s="1" t="str">
        <f>IFERROR(__xludf.DUMMYFUNCTION("""COMPUTED_VALUE"""),"SIKAT")</f>
        <v>SIKAT</v>
      </c>
      <c r="P2071" s="1" t="str">
        <f>IFERROR(__xludf.DUMMYFUNCTION("""COMPUTED_VALUE"""),"ALFONSO")</f>
        <v>ALFONSO</v>
      </c>
      <c r="Q2071" s="1" t="str">
        <f>IFERROR(__xludf.DUMMYFUNCTION("""COMPUTED_VALUE"""),"CAVITE")</f>
        <v>CAVITE</v>
      </c>
      <c r="R2071" s="1" t="str">
        <f>IFERROR(__xludf.DUMMYFUNCTION("""COMPUTED_VALUE"""),"FIBR PLAN 1299")</f>
        <v>FIBR PLAN 1299</v>
      </c>
      <c r="S2071" s="1" t="str">
        <f>IFERROR(__xludf.DUMMYFUNCTION("""COMPUTED_VALUE"""),"APPROVED")</f>
        <v>APPROVED</v>
      </c>
      <c r="T2071" s="1" t="str">
        <f>IFERROR(__xludf.DUMMYFUNCTION("""COMPUTED_VALUE"""),"#N/A")</f>
        <v>#N/A</v>
      </c>
      <c r="U2071" s="1"/>
      <c r="V2071" s="1"/>
      <c r="W2071" s="1"/>
    </row>
    <row r="2072" customHeight="1" spans="1:23">
      <c r="A2072" s="3">
        <f>IFERROR(__xludf.DUMMYFUNCTION("""COMPUTED_VALUE"""),46184)</f>
        <v>46184</v>
      </c>
      <c r="B2072" s="1" t="str">
        <f>IFERROR(__xludf.DUMMYFUNCTION("""COMPUTED_VALUE"""),"FRONDEZ, JEDREFF")</f>
        <v>FRONDEZ, JEDREFF</v>
      </c>
      <c r="C2072" s="1" t="str">
        <f>IFERROR(__xludf.DUMMYFUNCTION("""COMPUTED_VALUE"""),"ORGANIC")</f>
        <v>ORGANIC</v>
      </c>
      <c r="D2072" s="1" t="str">
        <f>IFERROR(__xludf.DUMMYFUNCTION("""COMPUTED_VALUE"""),"REMOLLO LEA")</f>
        <v>REMOLLO LEA</v>
      </c>
      <c r="E2072" s="1" t="str">
        <f>IFERROR(__xludf.DUMMYFUNCTION("""COMPUTED_VALUE"""),"PLDT / H2H")</f>
        <v>PLDT / H2H</v>
      </c>
      <c r="F2072" s="1"/>
      <c r="G2072" s="1"/>
      <c r="H2072" s="1" t="str">
        <f>IFERROR(__xludf.DUMMYFUNCTION("""COMPUTED_VALUE"""),"LENILITA MARASIGAN MOOG")</f>
        <v>LENILITA MARASIGAN MOOG</v>
      </c>
      <c r="I2072" s="1">
        <f>IFERROR(__xludf.DUMMYFUNCTION("""COMPUTED_VALUE"""),9380337071)</f>
        <v>9380337071</v>
      </c>
      <c r="J2072" s="1">
        <f>IFERROR(__xludf.DUMMYFUNCTION("""COMPUTED_VALUE"""),9127300345)</f>
        <v>9127300345</v>
      </c>
      <c r="K2072" s="1" t="str">
        <f>IFERROR(__xludf.DUMMYFUNCTION("""COMPUTED_VALUE"""),"mooglenilita@gmail.com")</f>
        <v>mooglenilita@gmail.com</v>
      </c>
      <c r="L2072" s="1" t="str">
        <f>IFERROR(__xludf.DUMMYFUNCTION("""COMPUTED_VALUE"""),"BLK 22 LOT 6")</f>
        <v>BLK 22 LOT 6</v>
      </c>
      <c r="M2072" s="1" t="str">
        <f>IFERROR(__xludf.DUMMYFUNCTION("""COMPUTED_VALUE"""),"PHASE 6")</f>
        <v>PHASE 6</v>
      </c>
      <c r="N2072" s="1"/>
      <c r="O2072" s="1" t="str">
        <f>IFERROR(__xludf.DUMMYFUNCTION("""COMPUTED_VALUE"""),"BANABA")</f>
        <v>BANABA</v>
      </c>
      <c r="P2072" s="1" t="str">
        <f>IFERROR(__xludf.DUMMYFUNCTION("""COMPUTED_VALUE"""),"SILANG")</f>
        <v>SILANG</v>
      </c>
      <c r="Q2072" s="1" t="str">
        <f>IFERROR(__xludf.DUMMYFUNCTION("""COMPUTED_VALUE"""),"CAVITE")</f>
        <v>CAVITE</v>
      </c>
      <c r="R2072" s="1" t="str">
        <f>IFERROR(__xludf.DUMMYFUNCTION("""COMPUTED_VALUE"""),"FIBR UNLI ALL PLAN 999")</f>
        <v>FIBR UNLI ALL PLAN 999</v>
      </c>
      <c r="S2072" s="1" t="str">
        <f>IFERROR(__xludf.DUMMYFUNCTION("""COMPUTED_VALUE"""),"HOLD")</f>
        <v>HOLD</v>
      </c>
      <c r="T2072" s="1" t="str">
        <f>IFERROR(__xludf.DUMMYFUNCTION("""COMPUTED_VALUE"""),"#N/A")</f>
        <v>#N/A</v>
      </c>
      <c r="U2072" s="1"/>
      <c r="V2072" s="1"/>
      <c r="W2072" s="1"/>
    </row>
    <row r="2073" customHeight="1" spans="1:23">
      <c r="A2073" s="3">
        <f>IFERROR(__xludf.DUMMYFUNCTION("""COMPUTED_VALUE"""),46184)</f>
        <v>46184</v>
      </c>
      <c r="B2073" s="1" t="str">
        <f>IFERROR(__xludf.DUMMYFUNCTION("""COMPUTED_VALUE"""),"FARO, REFRANTA")</f>
        <v>FARO, REFRANTA</v>
      </c>
      <c r="C2073" s="1" t="str">
        <f>IFERROR(__xludf.DUMMYFUNCTION("""COMPUTED_VALUE"""),"ORGANIC")</f>
        <v>ORGANIC</v>
      </c>
      <c r="D2073" s="1" t="str">
        <f>IFERROR(__xludf.DUMMYFUNCTION("""COMPUTED_VALUE"""),"REMOLLO LEA")</f>
        <v>REMOLLO LEA</v>
      </c>
      <c r="E2073" s="1" t="str">
        <f>IFERROR(__xludf.DUMMYFUNCTION("""COMPUTED_VALUE"""),"PLDT / H2H")</f>
        <v>PLDT / H2H</v>
      </c>
      <c r="F2073" s="1">
        <f>IFERROR(__xludf.DUMMYFUNCTION("""COMPUTED_VALUE"""),2310132396)</f>
        <v>2310132396</v>
      </c>
      <c r="G2073" s="1"/>
      <c r="H2073" s="1" t="str">
        <f>IFERROR(__xludf.DUMMYFUNCTION("""COMPUTED_VALUE"""),"LAYLANIE GARCES CRUSPE")</f>
        <v>LAYLANIE GARCES CRUSPE</v>
      </c>
      <c r="I2073" s="1">
        <f>IFERROR(__xludf.DUMMYFUNCTION("""COMPUTED_VALUE"""),9927933679)</f>
        <v>9927933679</v>
      </c>
      <c r="J2073" s="1"/>
      <c r="K2073" s="1" t="str">
        <f>IFERROR(__xludf.DUMMYFUNCTION("""COMPUTED_VALUE"""),"laniecruspe11@gmail.com")</f>
        <v>laniecruspe11@gmail.com</v>
      </c>
      <c r="L2073" s="1" t="str">
        <f>IFERROR(__xludf.DUMMYFUNCTION("""COMPUTED_VALUE"""),"21")</f>
        <v>21</v>
      </c>
      <c r="M2073" s="1" t="str">
        <f>IFERROR(__xludf.DUMMYFUNCTION("""COMPUTED_VALUE"""),"MARKET SIDE")</f>
        <v>MARKET SIDE</v>
      </c>
      <c r="N2073" s="1"/>
      <c r="O2073" s="1" t="str">
        <f>IFERROR(__xludf.DUMMYFUNCTION("""COMPUTED_VALUE"""),"GALICIA II")</f>
        <v>GALICIA II</v>
      </c>
      <c r="P2073" s="1" t="str">
        <f>IFERROR(__xludf.DUMMYFUNCTION("""COMPUTED_VALUE"""),"MENDEZ")</f>
        <v>MENDEZ</v>
      </c>
      <c r="Q2073" s="1" t="str">
        <f>IFERROR(__xludf.DUMMYFUNCTION("""COMPUTED_VALUE"""),"CAVITE")</f>
        <v>CAVITE</v>
      </c>
      <c r="R2073" s="1" t="str">
        <f>IFERROR(__xludf.DUMMYFUNCTION("""COMPUTED_VALUE"""),"FIBR PLAN 1299")</f>
        <v>FIBR PLAN 1299</v>
      </c>
      <c r="S2073" s="1" t="str">
        <f>IFERROR(__xludf.DUMMYFUNCTION("""COMPUTED_VALUE"""),"APPROVED")</f>
        <v>APPROVED</v>
      </c>
      <c r="T2073" s="1" t="str">
        <f>IFERROR(__xludf.DUMMYFUNCTION("""COMPUTED_VALUE"""),"#N/A")</f>
        <v>#N/A</v>
      </c>
      <c r="U2073" s="1"/>
      <c r="V2073" s="1"/>
      <c r="W2073" s="1"/>
    </row>
    <row r="2074" customHeight="1" spans="1:23">
      <c r="A2074" s="3">
        <f>IFERROR(__xludf.DUMMYFUNCTION("""COMPUTED_VALUE"""),46184)</f>
        <v>46184</v>
      </c>
      <c r="B2074" s="1" t="str">
        <f>IFERROR(__xludf.DUMMYFUNCTION("""COMPUTED_VALUE"""),"AGUNOS, JHON AIRVIN")</f>
        <v>AGUNOS, JHON AIRVIN</v>
      </c>
      <c r="C2074" s="1" t="str">
        <f>IFERROR(__xludf.DUMMYFUNCTION("""COMPUTED_VALUE"""),"ORGANIC")</f>
        <v>ORGANIC</v>
      </c>
      <c r="D2074" s="1" t="str">
        <f>IFERROR(__xludf.DUMMYFUNCTION("""COMPUTED_VALUE"""),"REMOLLO LEA")</f>
        <v>REMOLLO LEA</v>
      </c>
      <c r="E2074" s="1" t="str">
        <f>IFERROR(__xludf.DUMMYFUNCTION("""COMPUTED_VALUE"""),"PLDT / H2H")</f>
        <v>PLDT / H2H</v>
      </c>
      <c r="F2074" s="1">
        <f>IFERROR(__xludf.DUMMYFUNCTION("""COMPUTED_VALUE"""),2310134442)</f>
        <v>2310134442</v>
      </c>
      <c r="G2074" s="1"/>
      <c r="H2074" s="1" t="str">
        <f>IFERROR(__xludf.DUMMYFUNCTION("""COMPUTED_VALUE"""),"MARK JOSEPH CAIRO RANAY")</f>
        <v>MARK JOSEPH CAIRO RANAY</v>
      </c>
      <c r="I2074" s="1">
        <f>IFERROR(__xludf.DUMMYFUNCTION("""COMPUTED_VALUE"""),9083500687)</f>
        <v>9083500687</v>
      </c>
      <c r="J2074" s="1"/>
      <c r="K2074" s="1" t="str">
        <f>IFERROR(__xludf.DUMMYFUNCTION("""COMPUTED_VALUE"""),"markjosephranay2@gmail.com")</f>
        <v>markjosephranay2@gmail.com</v>
      </c>
      <c r="L2074" s="1" t="str">
        <f>IFERROR(__xludf.DUMMYFUNCTION("""COMPUTED_VALUE"""),"BLK 3 LOT 5")</f>
        <v>BLK 3 LOT 5</v>
      </c>
      <c r="M2074" s="1" t="str">
        <f>IFERROR(__xludf.DUMMYFUNCTION("""COMPUTED_VALUE"""),"PHASE 6")</f>
        <v>PHASE 6</v>
      </c>
      <c r="N2074" s="1"/>
      <c r="O2074" s="1" t="str">
        <f>IFERROR(__xludf.DUMMYFUNCTION("""COMPUTED_VALUE"""),"BANABA")</f>
        <v>BANABA</v>
      </c>
      <c r="P2074" s="1" t="str">
        <f>IFERROR(__xludf.DUMMYFUNCTION("""COMPUTED_VALUE"""),"SILANG")</f>
        <v>SILANG</v>
      </c>
      <c r="Q2074" s="1" t="str">
        <f>IFERROR(__xludf.DUMMYFUNCTION("""COMPUTED_VALUE"""),"CAVITE")</f>
        <v>CAVITE</v>
      </c>
      <c r="R2074" s="1" t="str">
        <f>IFERROR(__xludf.DUMMYFUNCTION("""COMPUTED_VALUE"""),"FIBR UNLI ALL PLAN 1399")</f>
        <v>FIBR UNLI ALL PLAN 1399</v>
      </c>
      <c r="S2074" s="1" t="str">
        <f>IFERROR(__xludf.DUMMYFUNCTION("""COMPUTED_VALUE"""),"APPROVED")</f>
        <v>APPROVED</v>
      </c>
      <c r="T2074" s="1" t="str">
        <f>IFERROR(__xludf.DUMMYFUNCTION("""COMPUTED_VALUE"""),"#N/A")</f>
        <v>#N/A</v>
      </c>
      <c r="U2074" s="1" t="str">
        <f>IFERROR(__xludf.DUMMYFUNCTION("""COMPUTED_VALUE"""),"POSTED")</f>
        <v>POSTED</v>
      </c>
      <c r="V2074" s="1"/>
      <c r="W2074" s="1"/>
    </row>
    <row r="2075" customHeight="1" spans="1:23">
      <c r="A2075" s="3">
        <f>IFERROR(__xludf.DUMMYFUNCTION("""COMPUTED_VALUE"""),46184)</f>
        <v>46184</v>
      </c>
      <c r="B2075" s="1" t="str">
        <f>IFERROR(__xludf.DUMMYFUNCTION("""COMPUTED_VALUE"""),"FERNANDEZ JERIC")</f>
        <v>FERNANDEZ JERIC</v>
      </c>
      <c r="C2075" s="1" t="str">
        <f>IFERROR(__xludf.DUMMYFUNCTION("""COMPUTED_VALUE"""),"ORGANIC")</f>
        <v>ORGANIC</v>
      </c>
      <c r="D2075" s="1" t="str">
        <f>IFERROR(__xludf.DUMMYFUNCTION("""COMPUTED_VALUE"""),"REMOLLO LEA")</f>
        <v>REMOLLO LEA</v>
      </c>
      <c r="E2075" s="1" t="str">
        <f>IFERROR(__xludf.DUMMYFUNCTION("""COMPUTED_VALUE"""),"PLDT / ONLINE")</f>
        <v>PLDT / ONLINE</v>
      </c>
      <c r="F2075" s="1">
        <f>IFERROR(__xludf.DUMMYFUNCTION("""COMPUTED_VALUE"""),2310132941)</f>
        <v>2310132941</v>
      </c>
      <c r="G2075" s="1"/>
      <c r="H2075" s="1" t="str">
        <f>IFERROR(__xludf.DUMMYFUNCTION("""COMPUTED_VALUE"""),"ARL NEIL SUMANG SANTOS")</f>
        <v>ARL NEIL SUMANG SANTOS</v>
      </c>
      <c r="I2075" s="1">
        <f>IFERROR(__xludf.DUMMYFUNCTION("""COMPUTED_VALUE"""),9399115018)</f>
        <v>9399115018</v>
      </c>
      <c r="J2075" s="1">
        <f>IFERROR(__xludf.DUMMYFUNCTION("""COMPUTED_VALUE"""),9098096997)</f>
        <v>9098096997</v>
      </c>
      <c r="K2075" s="1" t="str">
        <f>IFERROR(__xludf.DUMMYFUNCTION("""COMPUTED_VALUE"""),"sumangarlneil@yahoo.com")</f>
        <v>sumangarlneil@yahoo.com</v>
      </c>
      <c r="L2075" s="1" t="str">
        <f>IFERROR(__xludf.DUMMYFUNCTION("""COMPUTED_VALUE"""),"BLK 6 LOT 18")</f>
        <v>BLK 6 LOT 18</v>
      </c>
      <c r="M2075" s="1" t="str">
        <f>IFERROR(__xludf.DUMMYFUNCTION("""COMPUTED_VALUE"""),"PROLOGUE")</f>
        <v>PROLOGUE</v>
      </c>
      <c r="N2075" s="1"/>
      <c r="O2075" s="1" t="str">
        <f>IFERROR(__xludf.DUMMYFUNCTION("""COMPUTED_VALUE"""),"POBLACION I")</f>
        <v>POBLACION I</v>
      </c>
      <c r="P2075" s="1" t="str">
        <f>IFERROR(__xludf.DUMMYFUNCTION("""COMPUTED_VALUE"""),"GEN MARIANO ALVAREZ")</f>
        <v>GEN MARIANO ALVAREZ</v>
      </c>
      <c r="Q2075" s="1" t="str">
        <f>IFERROR(__xludf.DUMMYFUNCTION("""COMPUTED_VALUE"""),"CAVITE")</f>
        <v>CAVITE</v>
      </c>
      <c r="R2075" s="1" t="str">
        <f>IFERROR(__xludf.DUMMYFUNCTION("""COMPUTED_VALUE"""),"FIBR UNLI ALL PLAN 999")</f>
        <v>FIBR UNLI ALL PLAN 999</v>
      </c>
      <c r="S2075" s="1" t="str">
        <f>IFERROR(__xludf.DUMMYFUNCTION("""COMPUTED_VALUE"""),"APPROVED")</f>
        <v>APPROVED</v>
      </c>
      <c r="T2075" s="1" t="str">
        <f>IFERROR(__xludf.DUMMYFUNCTION("""COMPUTED_VALUE"""),"#N/A")</f>
        <v>#N/A</v>
      </c>
      <c r="U2075" s="1"/>
      <c r="V2075" s="1"/>
      <c r="W2075" s="1"/>
    </row>
    <row r="2076" customHeight="1" spans="1:23">
      <c r="A2076" s="3">
        <f>IFERROR(__xludf.DUMMYFUNCTION("""COMPUTED_VALUE"""),46184)</f>
        <v>46184</v>
      </c>
      <c r="B2076" s="1" t="str">
        <f>IFERROR(__xludf.DUMMYFUNCTION("""COMPUTED_VALUE"""),"MALIWAT MARK ELVIN")</f>
        <v>MALIWAT MARK ELVIN</v>
      </c>
      <c r="C2076" s="1" t="str">
        <f>IFERROR(__xludf.DUMMYFUNCTION("""COMPUTED_VALUE"""),"FLA")</f>
        <v>FLA</v>
      </c>
      <c r="D2076" s="1" t="str">
        <f>IFERROR(__xludf.DUMMYFUNCTION("""COMPUTED_VALUE"""),"JERIC NAVARRO")</f>
        <v>JERIC NAVARRO</v>
      </c>
      <c r="E2076" s="1" t="str">
        <f>IFERROR(__xludf.DUMMYFUNCTION("""COMPUTED_VALUE"""),"PLDT / ONLINE")</f>
        <v>PLDT / ONLINE</v>
      </c>
      <c r="F2076" s="1">
        <f>IFERROR(__xludf.DUMMYFUNCTION("""COMPUTED_VALUE"""),2310131825)</f>
        <v>2310131825</v>
      </c>
      <c r="G2076" s="1"/>
      <c r="H2076" s="1" t="str">
        <f>IFERROR(__xludf.DUMMYFUNCTION("""COMPUTED_VALUE"""),"ISABELITA QUINAL OBARCO")</f>
        <v>ISABELITA QUINAL OBARCO</v>
      </c>
      <c r="I2076" s="1">
        <f>IFERROR(__xludf.DUMMYFUNCTION("""COMPUTED_VALUE"""),9479853492)</f>
        <v>9479853492</v>
      </c>
      <c r="J2076" s="1">
        <f>IFERROR(__xludf.DUMMYFUNCTION("""COMPUTED_VALUE"""),9274157249)</f>
        <v>9274157249</v>
      </c>
      <c r="K2076" s="1" t="str">
        <f>IFERROR(__xludf.DUMMYFUNCTION("""COMPUTED_VALUE"""),"platinummpc2012@gmail.com")</f>
        <v>platinummpc2012@gmail.com</v>
      </c>
      <c r="L2076" s="1" t="str">
        <f>IFERROR(__xludf.DUMMYFUNCTION("""COMPUTED_VALUE"""),"30")</f>
        <v>30</v>
      </c>
      <c r="M2076" s="1" t="str">
        <f>IFERROR(__xludf.DUMMYFUNCTION("""COMPUTED_VALUE"""),"PALLADIUM")</f>
        <v>PALLADIUM</v>
      </c>
      <c r="N2076" s="1"/>
      <c r="O2076" s="1" t="str">
        <f>IFERROR(__xludf.DUMMYFUNCTION("""COMPUTED_VALUE"""),"SAN NICOLAS III")</f>
        <v>SAN NICOLAS III</v>
      </c>
      <c r="P2076" s="1" t="str">
        <f>IFERROR(__xludf.DUMMYFUNCTION("""COMPUTED_VALUE"""),"BACOOR")</f>
        <v>BACOOR</v>
      </c>
      <c r="Q2076" s="1" t="str">
        <f>IFERROR(__xludf.DUMMYFUNCTION("""COMPUTED_VALUE"""),"CAVITE")</f>
        <v>CAVITE</v>
      </c>
      <c r="R2076" s="1" t="str">
        <f>IFERROR(__xludf.DUMMYFUNCTION("""COMPUTED_VALUE"""),"FIBR PLAN 1299")</f>
        <v>FIBR PLAN 1299</v>
      </c>
      <c r="S2076" s="1" t="str">
        <f>IFERROR(__xludf.DUMMYFUNCTION("""COMPUTED_VALUE"""),"APPROVED")</f>
        <v>APPROVED</v>
      </c>
      <c r="T2076" s="1" t="str">
        <f>IFERROR(__xludf.DUMMYFUNCTION("""COMPUTED_VALUE"""),"#N/A")</f>
        <v>#N/A</v>
      </c>
      <c r="U2076" s="1" t="str">
        <f>IFERROR(__xludf.DUMMYFUNCTION("""COMPUTED_VALUE"""),"POSTED")</f>
        <v>POSTED</v>
      </c>
      <c r="V2076" s="1"/>
      <c r="W2076" s="1"/>
    </row>
    <row r="2077" customHeight="1" spans="1:23">
      <c r="A2077" s="3">
        <f>IFERROR(__xludf.DUMMYFUNCTION("""COMPUTED_VALUE"""),46184)</f>
        <v>46184</v>
      </c>
      <c r="B2077" s="1" t="str">
        <f>IFERROR(__xludf.DUMMYFUNCTION("""COMPUTED_VALUE"""),"MANDUCDOC, MARIANE")</f>
        <v>MANDUCDOC, MARIANE</v>
      </c>
      <c r="C2077" s="1" t="str">
        <f>IFERROR(__xludf.DUMMYFUNCTION("""COMPUTED_VALUE"""),"ORGANIC")</f>
        <v>ORGANIC</v>
      </c>
      <c r="D2077" s="1" t="str">
        <f>IFERROR(__xludf.DUMMYFUNCTION("""COMPUTED_VALUE"""),"REMOLLO LEA")</f>
        <v>REMOLLO LEA</v>
      </c>
      <c r="E2077" s="1" t="str">
        <f>IFERROR(__xludf.DUMMYFUNCTION("""COMPUTED_VALUE"""),"PLDT / ONLINE")</f>
        <v>PLDT / ONLINE</v>
      </c>
      <c r="F2077" s="1"/>
      <c r="G2077" s="1"/>
      <c r="H2077" s="1" t="str">
        <f>IFERROR(__xludf.DUMMYFUNCTION("""COMPUTED_VALUE"""),"ROCHELLE FLORES BELISTA")</f>
        <v>ROCHELLE FLORES BELISTA</v>
      </c>
      <c r="I2077" s="1">
        <f>IFERROR(__xludf.DUMMYFUNCTION("""COMPUTED_VALUE"""),9244791215)</f>
        <v>9244791215</v>
      </c>
      <c r="J2077" s="1">
        <f>IFERROR(__xludf.DUMMYFUNCTION("""COMPUTED_VALUE"""),9939890147)</f>
        <v>9939890147</v>
      </c>
      <c r="K2077" s="1" t="str">
        <f>IFERROR(__xludf.DUMMYFUNCTION("""COMPUTED_VALUE"""),"zjepoy79@gmail.com")</f>
        <v>zjepoy79@gmail.com</v>
      </c>
      <c r="L2077" s="1" t="str">
        <f>IFERROR(__xludf.DUMMYFUNCTION("""COMPUTED_VALUE"""),"2")</f>
        <v>2</v>
      </c>
      <c r="M2077" s="1" t="str">
        <f>IFERROR(__xludf.DUMMYFUNCTION("""COMPUTED_VALUE"""),"SITIO BIGA")</f>
        <v>SITIO BIGA</v>
      </c>
      <c r="N2077" s="1" t="str">
        <f>IFERROR(__xludf.DUMMYFUNCTION("""COMPUTED_VALUE"""),"EMZ APARTMENT")</f>
        <v>EMZ APARTMENT</v>
      </c>
      <c r="O2077" s="1" t="str">
        <f>IFERROR(__xludf.DUMMYFUNCTION("""COMPUTED_VALUE"""),"PUTING KAHOY")</f>
        <v>PUTING KAHOY</v>
      </c>
      <c r="P2077" s="1" t="str">
        <f>IFERROR(__xludf.DUMMYFUNCTION("""COMPUTED_VALUE"""),"SILANG")</f>
        <v>SILANG</v>
      </c>
      <c r="Q2077" s="1" t="str">
        <f>IFERROR(__xludf.DUMMYFUNCTION("""COMPUTED_VALUE"""),"CAVITE")</f>
        <v>CAVITE</v>
      </c>
      <c r="R2077" s="1" t="str">
        <f>IFERROR(__xludf.DUMMYFUNCTION("""COMPUTED_VALUE"""),"FIBR PLAN 1299")</f>
        <v>FIBR PLAN 1299</v>
      </c>
      <c r="S2077" s="1" t="str">
        <f>IFERROR(__xludf.DUMMYFUNCTION("""COMPUTED_VALUE"""),"HOLD")</f>
        <v>HOLD</v>
      </c>
      <c r="T2077" s="1" t="str">
        <f>IFERROR(__xludf.DUMMYFUNCTION("""COMPUTED_VALUE"""),"#N/A")</f>
        <v>#N/A</v>
      </c>
      <c r="U2077" s="1"/>
      <c r="V2077" s="1"/>
      <c r="W2077" s="1"/>
    </row>
    <row r="2078" customHeight="1" spans="1:23">
      <c r="A2078" s="3">
        <f>IFERROR(__xludf.DUMMYFUNCTION("""COMPUTED_VALUE"""),46184)</f>
        <v>46184</v>
      </c>
      <c r="B2078" s="1" t="str">
        <f>IFERROR(__xludf.DUMMYFUNCTION("""COMPUTED_VALUE"""),"FARO, REFRANTA")</f>
        <v>FARO, REFRANTA</v>
      </c>
      <c r="C2078" s="1" t="str">
        <f>IFERROR(__xludf.DUMMYFUNCTION("""COMPUTED_VALUE"""),"ORGANIC")</f>
        <v>ORGANIC</v>
      </c>
      <c r="D2078" s="1" t="str">
        <f>IFERROR(__xludf.DUMMYFUNCTION("""COMPUTED_VALUE"""),"REMOLLO LEA")</f>
        <v>REMOLLO LEA</v>
      </c>
      <c r="E2078" s="1" t="str">
        <f>IFERROR(__xludf.DUMMYFUNCTION("""COMPUTED_VALUE"""),"PLDT / H2H")</f>
        <v>PLDT / H2H</v>
      </c>
      <c r="F2078" s="1">
        <f>IFERROR(__xludf.DUMMYFUNCTION("""COMPUTED_VALUE"""),2310134138)</f>
        <v>2310134138</v>
      </c>
      <c r="G2078" s="1"/>
      <c r="H2078" s="1" t="str">
        <f>IFERROR(__xludf.DUMMYFUNCTION("""COMPUTED_VALUE"""),"EMELENE LARON MORELLA")</f>
        <v>EMELENE LARON MORELLA</v>
      </c>
      <c r="I2078" s="1">
        <f>IFERROR(__xludf.DUMMYFUNCTION("""COMPUTED_VALUE"""),9071338232)</f>
        <v>9071338232</v>
      </c>
      <c r="J2078" s="1"/>
      <c r="K2078" s="1" t="str">
        <f>IFERROR(__xludf.DUMMYFUNCTION("""COMPUTED_VALUE"""),"emelenemorella1@gmail.com")</f>
        <v>emelenemorella1@gmail.com</v>
      </c>
      <c r="L2078" s="1" t="str">
        <f>IFERROR(__xludf.DUMMYFUNCTION("""COMPUTED_VALUE"""),"BLK 38 LOT 12")</f>
        <v>BLK 38 LOT 12</v>
      </c>
      <c r="M2078" s="1" t="str">
        <f>IFERROR(__xludf.DUMMYFUNCTION("""COMPUTED_VALUE"""),"VIRATA")</f>
        <v>VIRATA</v>
      </c>
      <c r="N2078" s="1"/>
      <c r="O2078" s="1" t="str">
        <f>IFERROR(__xludf.DUMMYFUNCTION("""COMPUTED_VALUE"""),"NICOLASA VIRATA (SAN JOSE)")</f>
        <v>NICOLASA VIRATA (SAN JOSE)</v>
      </c>
      <c r="P2078" s="1" t="str">
        <f>IFERROR(__xludf.DUMMYFUNCTION("""COMPUTED_VALUE"""),"GENERAL EMILIO AGUINALDO")</f>
        <v>GENERAL EMILIO AGUINALDO</v>
      </c>
      <c r="Q2078" s="1" t="str">
        <f>IFERROR(__xludf.DUMMYFUNCTION("""COMPUTED_VALUE"""),"CAVITE")</f>
        <v>CAVITE</v>
      </c>
      <c r="R2078" s="1" t="str">
        <f>IFERROR(__xludf.DUMMYFUNCTION("""COMPUTED_VALUE"""),"FIBR PLAN 1299")</f>
        <v>FIBR PLAN 1299</v>
      </c>
      <c r="S2078" s="1" t="str">
        <f>IFERROR(__xludf.DUMMYFUNCTION("""COMPUTED_VALUE"""),"APPROVED")</f>
        <v>APPROVED</v>
      </c>
      <c r="T2078" s="1" t="str">
        <f>IFERROR(__xludf.DUMMYFUNCTION("""COMPUTED_VALUE"""),"#N/A")</f>
        <v>#N/A</v>
      </c>
      <c r="U2078" s="1" t="str">
        <f>IFERROR(__xludf.DUMMYFUNCTION("""COMPUTED_VALUE"""),"POSTED")</f>
        <v>POSTED</v>
      </c>
      <c r="V2078" s="1"/>
      <c r="W2078" s="1"/>
    </row>
    <row r="2079" customHeight="1" spans="1:23">
      <c r="A2079" s="3">
        <f>IFERROR(__xludf.DUMMYFUNCTION("""COMPUTED_VALUE"""),46184)</f>
        <v>46184</v>
      </c>
      <c r="B2079" s="1" t="str">
        <f>IFERROR(__xludf.DUMMYFUNCTION("""COMPUTED_VALUE"""),"OPS SIR ZZEP")</f>
        <v>OPS SIR ZZEP</v>
      </c>
      <c r="C2079" s="1" t="str">
        <f>IFERROR(__xludf.DUMMYFUNCTION("""COMPUTED_VALUE"""),"LEADSTORE")</f>
        <v>LEADSTORE</v>
      </c>
      <c r="D2079" s="1" t="str">
        <f>IFERROR(__xludf.DUMMYFUNCTION("""COMPUTED_VALUE"""),"JERIC NAVARRO")</f>
        <v>JERIC NAVARRO</v>
      </c>
      <c r="E2079" s="1" t="str">
        <f>IFERROR(__xludf.DUMMYFUNCTION("""COMPUTED_VALUE"""),"PLDT / ONLINE")</f>
        <v>PLDT / ONLINE</v>
      </c>
      <c r="F2079" s="1">
        <f>IFERROR(__xludf.DUMMYFUNCTION("""COMPUTED_VALUE"""),2310134894)</f>
        <v>2310134894</v>
      </c>
      <c r="G2079" s="1"/>
      <c r="H2079" s="1" t="str">
        <f>IFERROR(__xludf.DUMMYFUNCTION("""COMPUTED_VALUE"""),"MARIANNE HORNILLA DONATO")</f>
        <v>MARIANNE HORNILLA DONATO</v>
      </c>
      <c r="I2079" s="1">
        <f>IFERROR(__xludf.DUMMYFUNCTION("""COMPUTED_VALUE"""),9166334168)</f>
        <v>9166334168</v>
      </c>
      <c r="J2079" s="1"/>
      <c r="K2079" s="1" t="str">
        <f>IFERROR(__xludf.DUMMYFUNCTION("""COMPUTED_VALUE"""),"mphyani@gmail.com")</f>
        <v>mphyani@gmail.com</v>
      </c>
      <c r="L2079" s="1" t="str">
        <f>IFERROR(__xludf.DUMMYFUNCTION("""COMPUTED_VALUE"""),"BLK 14 LOT 1")</f>
        <v>BLK 14 LOT 1</v>
      </c>
      <c r="M2079" s="1" t="str">
        <f>IFERROR(__xludf.DUMMYFUNCTION("""COMPUTED_VALUE"""),"RODEO COUNTRY")</f>
        <v>RODEO COUNTRY</v>
      </c>
      <c r="N2079" s="1"/>
      <c r="O2079" s="1" t="str">
        <f>IFERROR(__xludf.DUMMYFUNCTION("""COMPUTED_VALUE"""),"ESPERANZA ILAYA")</f>
        <v>ESPERANZA ILAYA</v>
      </c>
      <c r="P2079" s="1" t="str">
        <f>IFERROR(__xludf.DUMMYFUNCTION("""COMPUTED_VALUE"""),"ALFONSO")</f>
        <v>ALFONSO</v>
      </c>
      <c r="Q2079" s="1" t="str">
        <f>IFERROR(__xludf.DUMMYFUNCTION("""COMPUTED_VALUE"""),"CAVITE")</f>
        <v>CAVITE</v>
      </c>
      <c r="R2079" s="1" t="str">
        <f>IFERROR(__xludf.DUMMYFUNCTION("""COMPUTED_VALUE"""),"FIBR UNLI ALL PLAN 1399")</f>
        <v>FIBR UNLI ALL PLAN 1399</v>
      </c>
      <c r="S2079" s="1" t="str">
        <f>IFERROR(__xludf.DUMMYFUNCTION("""COMPUTED_VALUE"""),"APPROVED")</f>
        <v>APPROVED</v>
      </c>
      <c r="T2079" s="1" t="str">
        <f>IFERROR(__xludf.DUMMYFUNCTION("""COMPUTED_VALUE"""),"#N/A")</f>
        <v>#N/A</v>
      </c>
      <c r="U2079" s="1" t="str">
        <f>IFERROR(__xludf.DUMMYFUNCTION("""COMPUTED_VALUE"""),"POSTED")</f>
        <v>POSTED</v>
      </c>
      <c r="V2079" s="1"/>
      <c r="W2079" s="1"/>
    </row>
    <row r="2080" customHeight="1" spans="1:23">
      <c r="A2080" s="3">
        <f>IFERROR(__xludf.DUMMYFUNCTION("""COMPUTED_VALUE"""),46185)</f>
        <v>46185</v>
      </c>
      <c r="B2080" s="1" t="str">
        <f>IFERROR(__xludf.DUMMYFUNCTION("""COMPUTED_VALUE"""),"DELA ROSA, JENNELYN")</f>
        <v>DELA ROSA, JENNELYN</v>
      </c>
      <c r="C2080" s="1" t="str">
        <f>IFERROR(__xludf.DUMMYFUNCTION("""COMPUTED_VALUE"""),"ORGANIC")</f>
        <v>ORGANIC</v>
      </c>
      <c r="D2080" s="1" t="str">
        <f>IFERROR(__xludf.DUMMYFUNCTION("""COMPUTED_VALUE"""),"REMOLLO LEA")</f>
        <v>REMOLLO LEA</v>
      </c>
      <c r="E2080" s="1" t="str">
        <f>IFERROR(__xludf.DUMMYFUNCTION("""COMPUTED_VALUE"""),"PLDT / H2H")</f>
        <v>PLDT / H2H</v>
      </c>
      <c r="F2080" s="1">
        <f>IFERROR(__xludf.DUMMYFUNCTION("""COMPUTED_VALUE"""),2310146783)</f>
        <v>2310146783</v>
      </c>
      <c r="G2080" s="1"/>
      <c r="H2080" s="1" t="str">
        <f>IFERROR(__xludf.DUMMYFUNCTION("""COMPUTED_VALUE"""),"HARVY EDRIAN ABUCAY CABARLE")</f>
        <v>HARVY EDRIAN ABUCAY CABARLE</v>
      </c>
      <c r="I2080" s="1">
        <f>IFERROR(__xludf.DUMMYFUNCTION("""COMPUTED_VALUE"""),9957236794)</f>
        <v>9957236794</v>
      </c>
      <c r="J2080" s="1">
        <f>IFERROR(__xludf.DUMMYFUNCTION("""COMPUTED_VALUE"""),9660827801)</f>
        <v>9660827801</v>
      </c>
      <c r="K2080" s="1" t="str">
        <f>IFERROR(__xludf.DUMMYFUNCTION("""COMPUTED_VALUE"""),"cabarleedrian@gmail.com")</f>
        <v>cabarleedrian@gmail.com</v>
      </c>
      <c r="L2080" s="1" t="str">
        <f>IFERROR(__xludf.DUMMYFUNCTION("""COMPUTED_VALUE"""),"BLK 5 LOT 5")</f>
        <v>BLK 5 LOT 5</v>
      </c>
      <c r="M2080" s="1" t="str">
        <f>IFERROR(__xludf.DUMMYFUNCTION("""COMPUTED_VALUE"""),"FATIMA 1")</f>
        <v>FATIMA 1</v>
      </c>
      <c r="N2080" s="1"/>
      <c r="O2080" s="1" t="str">
        <f>IFERROR(__xludf.DUMMYFUNCTION("""COMPUTED_VALUE"""),"FATIMA I")</f>
        <v>FATIMA I</v>
      </c>
      <c r="P2080" s="1" t="str">
        <f>IFERROR(__xludf.DUMMYFUNCTION("""COMPUTED_VALUE"""),"DASMARINAS")</f>
        <v>DASMARINAS</v>
      </c>
      <c r="Q2080" s="1" t="str">
        <f>IFERROR(__xludf.DUMMYFUNCTION("""COMPUTED_VALUE"""),"CAVITE")</f>
        <v>CAVITE</v>
      </c>
      <c r="R2080" s="1" t="str">
        <f>IFERROR(__xludf.DUMMYFUNCTION("""COMPUTED_VALUE"""),"FIBR UNLI ALL PLAN 999")</f>
        <v>FIBR UNLI ALL PLAN 999</v>
      </c>
      <c r="S2080" s="1" t="str">
        <f>IFERROR(__xludf.DUMMYFUNCTION("""COMPUTED_VALUE"""),"APPROVED")</f>
        <v>APPROVED</v>
      </c>
      <c r="T2080" s="1" t="str">
        <f>IFERROR(__xludf.DUMMYFUNCTION("""COMPUTED_VALUE"""),"#N/A")</f>
        <v>#N/A</v>
      </c>
      <c r="U2080" s="1" t="str">
        <f>IFERROR(__xludf.DUMMYFUNCTION("""COMPUTED_VALUE"""),"POSTED")</f>
        <v>POSTED</v>
      </c>
      <c r="V2080" s="1"/>
      <c r="W2080" s="1"/>
    </row>
    <row r="2081" customHeight="1" spans="1:23">
      <c r="A2081" s="3">
        <f>IFERROR(__xludf.DUMMYFUNCTION("""COMPUTED_VALUE"""),46185)</f>
        <v>46185</v>
      </c>
      <c r="B2081" s="1" t="str">
        <f>IFERROR(__xludf.DUMMYFUNCTION("""COMPUTED_VALUE"""),"LEADSTORE - ILANO, LIANDRO TEJAS")</f>
        <v>LEADSTORE - ILANO, LIANDRO TEJAS</v>
      </c>
      <c r="C2081" s="1" t="str">
        <f>IFERROR(__xludf.DUMMYFUNCTION("""COMPUTED_VALUE"""),"LEADSTORE")</f>
        <v>LEADSTORE</v>
      </c>
      <c r="D2081" s="1" t="str">
        <f>IFERROR(__xludf.DUMMYFUNCTION("""COMPUTED_VALUE"""),"JERIC NAVARRO")</f>
        <v>JERIC NAVARRO</v>
      </c>
      <c r="E2081" s="1" t="str">
        <f>IFERROR(__xludf.DUMMYFUNCTION("""COMPUTED_VALUE"""),"PLDT / H2H")</f>
        <v>PLDT / H2H</v>
      </c>
      <c r="F2081" s="1">
        <f>IFERROR(__xludf.DUMMYFUNCTION("""COMPUTED_VALUE"""),2310147712)</f>
        <v>2310147712</v>
      </c>
      <c r="G2081" s="1"/>
      <c r="H2081" s="1" t="str">
        <f>IFERROR(__xludf.DUMMYFUNCTION("""COMPUTED_VALUE"""),"JHORIE DELA CRUZ CABALLERO")</f>
        <v>JHORIE DELA CRUZ CABALLERO</v>
      </c>
      <c r="I2081" s="1">
        <f>IFERROR(__xludf.DUMMYFUNCTION("""COMPUTED_VALUE"""),9617028612)</f>
        <v>9617028612</v>
      </c>
      <c r="J2081" s="1">
        <f>IFERROR(__xludf.DUMMYFUNCTION("""COMPUTED_VALUE"""),9568091589)</f>
        <v>9568091589</v>
      </c>
      <c r="K2081" s="1" t="str">
        <f>IFERROR(__xludf.DUMMYFUNCTION("""COMPUTED_VALUE"""),"jhoriecaballero22@gmail.com")</f>
        <v>jhoriecaballero22@gmail.com</v>
      </c>
      <c r="L2081" s="1" t="str">
        <f>IFERROR(__xludf.DUMMYFUNCTION("""COMPUTED_VALUE"""),"BLK L LOT 19")</f>
        <v>BLK L LOT 19</v>
      </c>
      <c r="M2081" s="1" t="str">
        <f>IFERROR(__xludf.DUMMYFUNCTION("""COMPUTED_VALUE"""),"EXTENSION")</f>
        <v>EXTENSION</v>
      </c>
      <c r="N2081" s="1"/>
      <c r="O2081" s="1" t="str">
        <f>IFERROR(__xludf.DUMMYFUNCTION("""COMPUTED_VALUE"""),"EMMANUEL BERGADO I")</f>
        <v>EMMANUEL BERGADO I</v>
      </c>
      <c r="P2081" s="1" t="str">
        <f>IFERROR(__xludf.DUMMYFUNCTION("""COMPUTED_VALUE"""),"DASMARINAS")</f>
        <v>DASMARINAS</v>
      </c>
      <c r="Q2081" s="1" t="str">
        <f>IFERROR(__xludf.DUMMYFUNCTION("""COMPUTED_VALUE"""),"CAVITE")</f>
        <v>CAVITE</v>
      </c>
      <c r="R2081" s="1" t="str">
        <f>IFERROR(__xludf.DUMMYFUNCTION("""COMPUTED_VALUE"""),"FIBR UNLI ALL PLAN 1399")</f>
        <v>FIBR UNLI ALL PLAN 1399</v>
      </c>
      <c r="S2081" s="1" t="str">
        <f>IFERROR(__xludf.DUMMYFUNCTION("""COMPUTED_VALUE"""),"APPROVED")</f>
        <v>APPROVED</v>
      </c>
      <c r="T2081" s="1" t="str">
        <f>IFERROR(__xludf.DUMMYFUNCTION("""COMPUTED_VALUE"""),"#N/A")</f>
        <v>#N/A</v>
      </c>
      <c r="U2081" s="1"/>
      <c r="V2081" s="1"/>
      <c r="W2081" s="1"/>
    </row>
    <row r="2082" customHeight="1" spans="1:23">
      <c r="A2082" s="3">
        <f>IFERROR(__xludf.DUMMYFUNCTION("""COMPUTED_VALUE"""),46185)</f>
        <v>46185</v>
      </c>
      <c r="B2082" s="1" t="str">
        <f>IFERROR(__xludf.DUMMYFUNCTION("""COMPUTED_VALUE"""),"FRANCISCO , ROSELYN")</f>
        <v>FRANCISCO , ROSELYN</v>
      </c>
      <c r="C2082" s="1" t="str">
        <f>IFERROR(__xludf.DUMMYFUNCTION("""COMPUTED_VALUE"""),"ORGANIC")</f>
        <v>ORGANIC</v>
      </c>
      <c r="D2082" s="1" t="str">
        <f>IFERROR(__xludf.DUMMYFUNCTION("""COMPUTED_VALUE"""),"REMOLLO LEA")</f>
        <v>REMOLLO LEA</v>
      </c>
      <c r="E2082" s="1" t="str">
        <f>IFERROR(__xludf.DUMMYFUNCTION("""COMPUTED_VALUE"""),"PLDT / H2H")</f>
        <v>PLDT / H2H</v>
      </c>
      <c r="F2082" s="1">
        <f>IFERROR(__xludf.DUMMYFUNCTION("""COMPUTED_VALUE"""),2310147963)</f>
        <v>2310147963</v>
      </c>
      <c r="G2082" s="1"/>
      <c r="H2082" s="1" t="str">
        <f>IFERROR(__xludf.DUMMYFUNCTION("""COMPUTED_VALUE"""),"ALDEM PREDILLA DIAZ")</f>
        <v>ALDEM PREDILLA DIAZ</v>
      </c>
      <c r="I2082" s="1">
        <f>IFERROR(__xludf.DUMMYFUNCTION("""COMPUTED_VALUE"""),9268501434)</f>
        <v>9268501434</v>
      </c>
      <c r="J2082" s="1">
        <f>IFERROR(__xludf.DUMMYFUNCTION("""COMPUTED_VALUE"""),9911890307)</f>
        <v>9911890307</v>
      </c>
      <c r="K2082" s="1" t="str">
        <f>IFERROR(__xludf.DUMMYFUNCTION("""COMPUTED_VALUE"""),"aldemdiaz13@gmail.com")</f>
        <v>aldemdiaz13@gmail.com</v>
      </c>
      <c r="L2082" s="1" t="str">
        <f>IFERROR(__xludf.DUMMYFUNCTION("""COMPUTED_VALUE"""),"BLK 40 LOT 14B")</f>
        <v>BLK 40 LOT 14B</v>
      </c>
      <c r="M2082" s="1" t="str">
        <f>IFERROR(__xludf.DUMMYFUNCTION("""COMPUTED_VALUE"""),"ZONE 5")</f>
        <v>ZONE 5</v>
      </c>
      <c r="N2082" s="1" t="str">
        <f>IFERROR(__xludf.DUMMYFUNCTION("""COMPUTED_VALUE"""),"BAUTISTA COMPOUND")</f>
        <v>BAUTISTA COMPOUND</v>
      </c>
      <c r="O2082" s="1" t="str">
        <f>IFERROR(__xludf.DUMMYFUNCTION("""COMPUTED_VALUE"""),"SAMPALOC IV")</f>
        <v>SAMPALOC IV</v>
      </c>
      <c r="P2082" s="1" t="str">
        <f>IFERROR(__xludf.DUMMYFUNCTION("""COMPUTED_VALUE"""),"DASMARINAS")</f>
        <v>DASMARINAS</v>
      </c>
      <c r="Q2082" s="1" t="str">
        <f>IFERROR(__xludf.DUMMYFUNCTION("""COMPUTED_VALUE"""),"CAVITE")</f>
        <v>CAVITE</v>
      </c>
      <c r="R2082" s="1" t="str">
        <f>IFERROR(__xludf.DUMMYFUNCTION("""COMPUTED_VALUE"""),"FIBR PLAN 1299")</f>
        <v>FIBR PLAN 1299</v>
      </c>
      <c r="S2082" s="1" t="str">
        <f>IFERROR(__xludf.DUMMYFUNCTION("""COMPUTED_VALUE"""),"APPROVED")</f>
        <v>APPROVED</v>
      </c>
      <c r="T2082" s="1" t="str">
        <f>IFERROR(__xludf.DUMMYFUNCTION("""COMPUTED_VALUE"""),"#N/A")</f>
        <v>#N/A</v>
      </c>
      <c r="U2082" s="1"/>
      <c r="V2082" s="1"/>
      <c r="W2082" s="1"/>
    </row>
    <row r="2083" customHeight="1" spans="1:23">
      <c r="A2083" s="3">
        <f>IFERROR(__xludf.DUMMYFUNCTION("""COMPUTED_VALUE"""),46185)</f>
        <v>46185</v>
      </c>
      <c r="B2083" s="1" t="str">
        <f>IFERROR(__xludf.DUMMYFUNCTION("""COMPUTED_VALUE"""),"FARO, REFRANTA")</f>
        <v>FARO, REFRANTA</v>
      </c>
      <c r="C2083" s="1" t="str">
        <f>IFERROR(__xludf.DUMMYFUNCTION("""COMPUTED_VALUE"""),"ORGANIC")</f>
        <v>ORGANIC</v>
      </c>
      <c r="D2083" s="1" t="str">
        <f>IFERROR(__xludf.DUMMYFUNCTION("""COMPUTED_VALUE"""),"REMOLLO LEA")</f>
        <v>REMOLLO LEA</v>
      </c>
      <c r="E2083" s="1" t="str">
        <f>IFERROR(__xludf.DUMMYFUNCTION("""COMPUTED_VALUE"""),"PLDT / H2H")</f>
        <v>PLDT / H2H</v>
      </c>
      <c r="F2083" s="1">
        <f>IFERROR(__xludf.DUMMYFUNCTION("""COMPUTED_VALUE"""),2310148376)</f>
        <v>2310148376</v>
      </c>
      <c r="G2083" s="1"/>
      <c r="H2083" s="1" t="str">
        <f>IFERROR(__xludf.DUMMYFUNCTION("""COMPUTED_VALUE"""),"WALDEMAR DE CASTRO VELASCO")</f>
        <v>WALDEMAR DE CASTRO VELASCO</v>
      </c>
      <c r="I2083" s="1">
        <f>IFERROR(__xludf.DUMMYFUNCTION("""COMPUTED_VALUE"""),9190061690)</f>
        <v>9190061690</v>
      </c>
      <c r="J2083" s="1"/>
      <c r="K2083" s="1" t="str">
        <f>IFERROR(__xludf.DUMMYFUNCTION("""COMPUTED_VALUE"""),"chow1207@gmail.com")</f>
        <v>chow1207@gmail.com</v>
      </c>
      <c r="L2083" s="1" t="str">
        <f>IFERROR(__xludf.DUMMYFUNCTION("""COMPUTED_VALUE"""),"1034")</f>
        <v>1034</v>
      </c>
      <c r="M2083" s="1" t="str">
        <f>IFERROR(__xludf.DUMMYFUNCTION("""COMPUTED_VALUE"""),"ELEVE HOMES")</f>
        <v>ELEVE HOMES</v>
      </c>
      <c r="N2083" s="1"/>
      <c r="O2083" s="1" t="str">
        <f>IFERROR(__xludf.DUMMYFUNCTION("""COMPUTED_VALUE"""),"MAHARLIKA WEST")</f>
        <v>MAHARLIKA WEST</v>
      </c>
      <c r="P2083" s="1" t="str">
        <f>IFERROR(__xludf.DUMMYFUNCTION("""COMPUTED_VALUE"""),"TAGAYTAY")</f>
        <v>TAGAYTAY</v>
      </c>
      <c r="Q2083" s="1" t="str">
        <f>IFERROR(__xludf.DUMMYFUNCTION("""COMPUTED_VALUE"""),"CAVITE")</f>
        <v>CAVITE</v>
      </c>
      <c r="R2083" s="1" t="str">
        <f>IFERROR(__xludf.DUMMYFUNCTION("""COMPUTED_VALUE"""),"FIBR NETFLIX PLAN 1599")</f>
        <v>FIBR NETFLIX PLAN 1599</v>
      </c>
      <c r="S2083" s="1" t="str">
        <f>IFERROR(__xludf.DUMMYFUNCTION("""COMPUTED_VALUE"""),"APPROVED")</f>
        <v>APPROVED</v>
      </c>
      <c r="T2083" s="1" t="str">
        <f>IFERROR(__xludf.DUMMYFUNCTION("""COMPUTED_VALUE"""),"#N/A")</f>
        <v>#N/A</v>
      </c>
      <c r="U2083" s="1" t="str">
        <f>IFERROR(__xludf.DUMMYFUNCTION("""COMPUTED_VALUE"""),"POSTED")</f>
        <v>POSTED</v>
      </c>
      <c r="V2083" s="1"/>
      <c r="W2083" s="1"/>
    </row>
    <row r="2084" customHeight="1" spans="1:23">
      <c r="A2084" s="3">
        <f>IFERROR(__xludf.DUMMYFUNCTION("""COMPUTED_VALUE"""),46185)</f>
        <v>46185</v>
      </c>
      <c r="B2084" s="1" t="str">
        <f>IFERROR(__xludf.DUMMYFUNCTION("""COMPUTED_VALUE"""),"OPS SIR ZZEP")</f>
        <v>OPS SIR ZZEP</v>
      </c>
      <c r="C2084" s="1" t="str">
        <f>IFERROR(__xludf.DUMMYFUNCTION("""COMPUTED_VALUE"""),"LEADSTORE")</f>
        <v>LEADSTORE</v>
      </c>
      <c r="D2084" s="1" t="str">
        <f>IFERROR(__xludf.DUMMYFUNCTION("""COMPUTED_VALUE"""),"JERIC NAVARRO")</f>
        <v>JERIC NAVARRO</v>
      </c>
      <c r="E2084" s="1" t="str">
        <f>IFERROR(__xludf.DUMMYFUNCTION("""COMPUTED_VALUE"""),"PLDT / H2H")</f>
        <v>PLDT / H2H</v>
      </c>
      <c r="F2084" s="1">
        <f>IFERROR(__xludf.DUMMYFUNCTION("""COMPUTED_VALUE"""),2310148694)</f>
        <v>2310148694</v>
      </c>
      <c r="G2084" s="1"/>
      <c r="H2084" s="1" t="str">
        <f>IFERROR(__xludf.DUMMYFUNCTION("""COMPUTED_VALUE"""),"JOANNE MARISTAZA ANG")</f>
        <v>JOANNE MARISTAZA ANG</v>
      </c>
      <c r="I2084" s="1">
        <f>IFERROR(__xludf.DUMMYFUNCTION("""COMPUTED_VALUE"""),9661506988)</f>
        <v>9661506988</v>
      </c>
      <c r="J2084" s="1"/>
      <c r="K2084" s="1" t="str">
        <f>IFERROR(__xludf.DUMMYFUNCTION("""COMPUTED_VALUE"""),"jo.tenamaristaza@yahoo.com")</f>
        <v>jo.tenamaristaza@yahoo.com</v>
      </c>
      <c r="L2084" s="1" t="str">
        <f>IFERROR(__xludf.DUMMYFUNCTION("""COMPUTED_VALUE"""),"BLK 6 LOT 21")</f>
        <v>BLK 6 LOT 21</v>
      </c>
      <c r="M2084" s="1" t="str">
        <f>IFERROR(__xludf.DUMMYFUNCTION("""COMPUTED_VALUE"""),"COUNTRY SIDE RODEO")</f>
        <v>COUNTRY SIDE RODEO</v>
      </c>
      <c r="N2084" s="1" t="str">
        <f>IFERROR(__xludf.DUMMYFUNCTION("""COMPUTED_VALUE"""),"COUNTRY SIDE RODEO")</f>
        <v>COUNTRY SIDE RODEO</v>
      </c>
      <c r="O2084" s="1" t="str">
        <f>IFERROR(__xludf.DUMMYFUNCTION("""COMPUTED_VALUE"""),"ESPERANZA ILAYA")</f>
        <v>ESPERANZA ILAYA</v>
      </c>
      <c r="P2084" s="1" t="str">
        <f>IFERROR(__xludf.DUMMYFUNCTION("""COMPUTED_VALUE"""),"ALFONSO")</f>
        <v>ALFONSO</v>
      </c>
      <c r="Q2084" s="1" t="str">
        <f>IFERROR(__xludf.DUMMYFUNCTION("""COMPUTED_VALUE"""),"CAVITE")</f>
        <v>CAVITE</v>
      </c>
      <c r="R2084" s="1" t="str">
        <f>IFERROR(__xludf.DUMMYFUNCTION("""COMPUTED_VALUE"""),"FIBR UNLI ALL PLAN 1399")</f>
        <v>FIBR UNLI ALL PLAN 1399</v>
      </c>
      <c r="S2084" s="1" t="str">
        <f>IFERROR(__xludf.DUMMYFUNCTION("""COMPUTED_VALUE"""),"APPROVED")</f>
        <v>APPROVED</v>
      </c>
      <c r="T2084" s="1" t="str">
        <f>IFERROR(__xludf.DUMMYFUNCTION("""COMPUTED_VALUE"""),"#N/A")</f>
        <v>#N/A</v>
      </c>
      <c r="U2084" s="1" t="str">
        <f>IFERROR(__xludf.DUMMYFUNCTION("""COMPUTED_VALUE"""),"POSTED")</f>
        <v>POSTED</v>
      </c>
      <c r="V2084" s="1"/>
      <c r="W2084" s="1"/>
    </row>
    <row r="2085" customHeight="1" spans="1:23">
      <c r="A2085" s="3">
        <f>IFERROR(__xludf.DUMMYFUNCTION("""COMPUTED_VALUE"""),46185)</f>
        <v>46185</v>
      </c>
      <c r="B2085" s="1" t="str">
        <f>IFERROR(__xludf.DUMMYFUNCTION("""COMPUTED_VALUE"""),"GABAY, MANUEL")</f>
        <v>GABAY, MANUEL</v>
      </c>
      <c r="C2085" s="1" t="str">
        <f>IFERROR(__xludf.DUMMYFUNCTION("""COMPUTED_VALUE"""),"FLA")</f>
        <v>FLA</v>
      </c>
      <c r="D2085" s="1" t="str">
        <f>IFERROR(__xludf.DUMMYFUNCTION("""COMPUTED_VALUE"""),"JERIC NAVARRO")</f>
        <v>JERIC NAVARRO</v>
      </c>
      <c r="E2085" s="1" t="str">
        <f>IFERROR(__xludf.DUMMYFUNCTION("""COMPUTED_VALUE"""),"PLDT / H2H")</f>
        <v>PLDT / H2H</v>
      </c>
      <c r="F2085" s="1">
        <f>IFERROR(__xludf.DUMMYFUNCTION("""COMPUTED_VALUE"""),2310152939)</f>
        <v>2310152939</v>
      </c>
      <c r="G2085" s="1"/>
      <c r="H2085" s="1" t="str">
        <f>IFERROR(__xludf.DUMMYFUNCTION("""COMPUTED_VALUE"""),"JENNY ROSE ALMADEN ALBA")</f>
        <v>JENNY ROSE ALMADEN ALBA</v>
      </c>
      <c r="I2085" s="1">
        <f>IFERROR(__xludf.DUMMYFUNCTION("""COMPUTED_VALUE"""),9970857691)</f>
        <v>9970857691</v>
      </c>
      <c r="J2085" s="1">
        <f>IFERROR(__xludf.DUMMYFUNCTION("""COMPUTED_VALUE"""),9608693454)</f>
        <v>9608693454</v>
      </c>
      <c r="K2085" s="1" t="str">
        <f>IFERROR(__xludf.DUMMYFUNCTION("""COMPUTED_VALUE"""),"albajennyrose1399@gmail.com")</f>
        <v>albajennyrose1399@gmail.com</v>
      </c>
      <c r="L2085" s="1"/>
      <c r="M2085" s="1" t="str">
        <f>IFERROR(__xludf.DUMMYFUNCTION("""COMPUTED_VALUE"""),"ARTUR MASUNG")</f>
        <v>ARTUR MASUNG</v>
      </c>
      <c r="N2085" s="1" t="str">
        <f>IFERROR(__xludf.DUMMYFUNCTION("""COMPUTED_VALUE"""),"PALIGAWAN MATANDA")</f>
        <v>PALIGAWAN MATANDA</v>
      </c>
      <c r="O2085" s="1" t="str">
        <f>IFERROR(__xludf.DUMMYFUNCTION("""COMPUTED_VALUE"""),"LANTIC")</f>
        <v>LANTIC</v>
      </c>
      <c r="P2085" s="1" t="str">
        <f>IFERROR(__xludf.DUMMYFUNCTION("""COMPUTED_VALUE"""),"CARMONA")</f>
        <v>CARMONA</v>
      </c>
      <c r="Q2085" s="1" t="str">
        <f>IFERROR(__xludf.DUMMYFUNCTION("""COMPUTED_VALUE"""),"CAVITE")</f>
        <v>CAVITE</v>
      </c>
      <c r="R2085" s="1" t="str">
        <f>IFERROR(__xludf.DUMMYFUNCTION("""COMPUTED_VALUE"""),"FIBR UNLI ALL PLAN 1399")</f>
        <v>FIBR UNLI ALL PLAN 1399</v>
      </c>
      <c r="S2085" s="1" t="str">
        <f>IFERROR(__xludf.DUMMYFUNCTION("""COMPUTED_VALUE"""),"APPROVED")</f>
        <v>APPROVED</v>
      </c>
      <c r="T2085" s="1" t="str">
        <f>IFERROR(__xludf.DUMMYFUNCTION("""COMPUTED_VALUE"""),"#N/A")</f>
        <v>#N/A</v>
      </c>
      <c r="U2085" s="1" t="str">
        <f>IFERROR(__xludf.DUMMYFUNCTION("""COMPUTED_VALUE"""),"POSTED")</f>
        <v>POSTED</v>
      </c>
      <c r="V2085" s="1"/>
      <c r="W2085" s="1"/>
    </row>
    <row r="2086" customHeight="1" spans="1:23">
      <c r="A2086" s="3">
        <f>IFERROR(__xludf.DUMMYFUNCTION("""COMPUTED_VALUE"""),46185)</f>
        <v>46185</v>
      </c>
      <c r="B2086" s="1" t="str">
        <f>IFERROR(__xludf.DUMMYFUNCTION("""COMPUTED_VALUE"""),"PHILIP, DRIVER")</f>
        <v>PHILIP, DRIVER</v>
      </c>
      <c r="C2086" s="1" t="str">
        <f>IFERROR(__xludf.DUMMYFUNCTION("""COMPUTED_VALUE"""),"FLA")</f>
        <v>FLA</v>
      </c>
      <c r="D2086" s="1" t="str">
        <f>IFERROR(__xludf.DUMMYFUNCTION("""COMPUTED_VALUE"""),"JERIC NAVARRO")</f>
        <v>JERIC NAVARRO</v>
      </c>
      <c r="E2086" s="1" t="str">
        <f>IFERROR(__xludf.DUMMYFUNCTION("""COMPUTED_VALUE"""),"RED FIBER")</f>
        <v>RED FIBER</v>
      </c>
      <c r="F2086" s="1"/>
      <c r="G2086" s="1"/>
      <c r="H2086" s="1" t="str">
        <f>IFERROR(__xludf.DUMMYFUNCTION("""COMPUTED_VALUE"""),"JUDY ANN SAMPAGA JACA")</f>
        <v>JUDY ANN SAMPAGA JACA</v>
      </c>
      <c r="I2086" s="1">
        <f>IFERROR(__xludf.DUMMYFUNCTION("""COMPUTED_VALUE"""),9059572868)</f>
        <v>9059572868</v>
      </c>
      <c r="J2086" s="1"/>
      <c r="K2086" s="1" t="str">
        <f>IFERROR(__xludf.DUMMYFUNCTION("""COMPUTED_VALUE"""),"jacaannjudy@gmail.com")</f>
        <v>jacaannjudy@gmail.com</v>
      </c>
      <c r="L2086" s="1" t="str">
        <f>IFERROR(__xludf.DUMMYFUNCTION("""COMPUTED_VALUE"""),"22 d")</f>
        <v>22 d</v>
      </c>
      <c r="M2086" s="1" t="str">
        <f>IFERROR(__xludf.DUMMYFUNCTION("""COMPUTED_VALUE"""),"MANGUBAT")</f>
        <v>MANGUBAT</v>
      </c>
      <c r="N2086" s="1"/>
      <c r="O2086" s="1" t="str">
        <f>IFERROR(__xludf.DUMMYFUNCTION("""COMPUTED_VALUE"""),"ZONE II (POB.)")</f>
        <v>ZONE II (POB.)</v>
      </c>
      <c r="P2086" s="1" t="str">
        <f>IFERROR(__xludf.DUMMYFUNCTION("""COMPUTED_VALUE"""),"DASMARINAS")</f>
        <v>DASMARINAS</v>
      </c>
      <c r="Q2086" s="1" t="str">
        <f>IFERROR(__xludf.DUMMYFUNCTION("""COMPUTED_VALUE"""),"CAVITE")</f>
        <v>CAVITE</v>
      </c>
      <c r="R2086" s="1" t="str">
        <f>IFERROR(__xludf.DUMMYFUNCTION("""COMPUTED_VALUE"""),"RED PLAN 1000")</f>
        <v>RED PLAN 1000</v>
      </c>
      <c r="S2086" s="1" t="str">
        <f>IFERROR(__xludf.DUMMYFUNCTION("""COMPUTED_VALUE"""),"APPROVED")</f>
        <v>APPROVED</v>
      </c>
      <c r="T2086" s="1" t="str">
        <f>IFERROR(__xludf.DUMMYFUNCTION("""COMPUTED_VALUE"""),"PAID")</f>
        <v>PAID</v>
      </c>
      <c r="U2086" s="1" t="str">
        <f>IFERROR(__xludf.DUMMYFUNCTION("""COMPUTED_VALUE"""),"POSTED")</f>
        <v>POSTED</v>
      </c>
      <c r="V2086" s="1"/>
      <c r="W2086" s="1"/>
    </row>
    <row r="2087" customHeight="1" spans="1:23">
      <c r="A2087" s="3">
        <f>IFERROR(__xludf.DUMMYFUNCTION("""COMPUTED_VALUE"""),46185)</f>
        <v>46185</v>
      </c>
      <c r="B2087" s="1" t="str">
        <f>IFERROR(__xludf.DUMMYFUNCTION("""COMPUTED_VALUE"""),"FRONDEZ, JEDREFF")</f>
        <v>FRONDEZ, JEDREFF</v>
      </c>
      <c r="C2087" s="1" t="str">
        <f>IFERROR(__xludf.DUMMYFUNCTION("""COMPUTED_VALUE"""),"ORGANIC")</f>
        <v>ORGANIC</v>
      </c>
      <c r="D2087" s="1" t="str">
        <f>IFERROR(__xludf.DUMMYFUNCTION("""COMPUTED_VALUE"""),"REMOLLO LEA")</f>
        <v>REMOLLO LEA</v>
      </c>
      <c r="E2087" s="1" t="str">
        <f>IFERROR(__xludf.DUMMYFUNCTION("""COMPUTED_VALUE"""),"PLDT / H2H")</f>
        <v>PLDT / H2H</v>
      </c>
      <c r="F2087" s="1">
        <f>IFERROR(__xludf.DUMMYFUNCTION("""COMPUTED_VALUE"""),2310149884)</f>
        <v>2310149884</v>
      </c>
      <c r="G2087" s="1"/>
      <c r="H2087" s="1" t="str">
        <f>IFERROR(__xludf.DUMMYFUNCTION("""COMPUTED_VALUE"""),"RUTH SANTOS DIMAPILIS")</f>
        <v>RUTH SANTOS DIMAPILIS</v>
      </c>
      <c r="I2087" s="1">
        <f>IFERROR(__xludf.DUMMYFUNCTION("""COMPUTED_VALUE"""),9637761623)</f>
        <v>9637761623</v>
      </c>
      <c r="J2087" s="1">
        <f>IFERROR(__xludf.DUMMYFUNCTION("""COMPUTED_VALUE"""),9704704091)</f>
        <v>9704704091</v>
      </c>
      <c r="K2087" s="1" t="str">
        <f>IFERROR(__xludf.DUMMYFUNCTION("""COMPUTED_VALUE"""),"ruthydimapili16@gmail.com")</f>
        <v>ruthydimapili16@gmail.com</v>
      </c>
      <c r="L2087" s="1" t="str">
        <f>IFERROR(__xludf.DUMMYFUNCTION("""COMPUTED_VALUE"""),"655")</f>
        <v>655</v>
      </c>
      <c r="M2087" s="1" t="str">
        <f>IFERROR(__xludf.DUMMYFUNCTION("""COMPUTED_VALUE"""),"J REMULLA")</f>
        <v>J REMULLA</v>
      </c>
      <c r="N2087" s="1" t="str">
        <f>IFERROR(__xludf.DUMMYFUNCTION("""COMPUTED_VALUE"""),"PUROK 3")</f>
        <v>PUROK 3</v>
      </c>
      <c r="O2087" s="1" t="str">
        <f>IFERROR(__xludf.DUMMYFUNCTION("""COMPUTED_VALUE"""),"ESPERANZA ILAYA")</f>
        <v>ESPERANZA ILAYA</v>
      </c>
      <c r="P2087" s="1" t="str">
        <f>IFERROR(__xludf.DUMMYFUNCTION("""COMPUTED_VALUE"""),"ALFONSO")</f>
        <v>ALFONSO</v>
      </c>
      <c r="Q2087" s="1" t="str">
        <f>IFERROR(__xludf.DUMMYFUNCTION("""COMPUTED_VALUE"""),"CAVITE")</f>
        <v>CAVITE</v>
      </c>
      <c r="R2087" s="1" t="str">
        <f>IFERROR(__xludf.DUMMYFUNCTION("""COMPUTED_VALUE"""),"FIBR NETFLIX PLAN 1599")</f>
        <v>FIBR NETFLIX PLAN 1599</v>
      </c>
      <c r="S2087" s="1" t="str">
        <f>IFERROR(__xludf.DUMMYFUNCTION("""COMPUTED_VALUE"""),"APPROVED")</f>
        <v>APPROVED</v>
      </c>
      <c r="T2087" s="1" t="str">
        <f>IFERROR(__xludf.DUMMYFUNCTION("""COMPUTED_VALUE"""),"#N/A")</f>
        <v>#N/A</v>
      </c>
      <c r="U2087" s="1" t="str">
        <f>IFERROR(__xludf.DUMMYFUNCTION("""COMPUTED_VALUE"""),"POSTED")</f>
        <v>POSTED</v>
      </c>
      <c r="V2087" s="1"/>
      <c r="W2087" s="1"/>
    </row>
    <row r="2088" customHeight="1" spans="1:23">
      <c r="A2088" s="3">
        <f>IFERROR(__xludf.DUMMYFUNCTION("""COMPUTED_VALUE"""),46185)</f>
        <v>46185</v>
      </c>
      <c r="B2088" s="1" t="str">
        <f>IFERROR(__xludf.DUMMYFUNCTION("""COMPUTED_VALUE"""),"GABAY, MANUEL")</f>
        <v>GABAY, MANUEL</v>
      </c>
      <c r="C2088" s="1" t="str">
        <f>IFERROR(__xludf.DUMMYFUNCTION("""COMPUTED_VALUE"""),"FLA")</f>
        <v>FLA</v>
      </c>
      <c r="D2088" s="1" t="str">
        <f>IFERROR(__xludf.DUMMYFUNCTION("""COMPUTED_VALUE"""),"JERIC NAVARRO")</f>
        <v>JERIC NAVARRO</v>
      </c>
      <c r="E2088" s="1" t="str">
        <f>IFERROR(__xludf.DUMMYFUNCTION("""COMPUTED_VALUE"""),"PLDT / H2H")</f>
        <v>PLDT / H2H</v>
      </c>
      <c r="F2088" s="1">
        <f>IFERROR(__xludf.DUMMYFUNCTION("""COMPUTED_VALUE"""),2310150582)</f>
        <v>2310150582</v>
      </c>
      <c r="G2088" s="1"/>
      <c r="H2088" s="1" t="str">
        <f>IFERROR(__xludf.DUMMYFUNCTION("""COMPUTED_VALUE"""),"KESSIE GIE DIONERO GALLO")</f>
        <v>KESSIE GIE DIONERO GALLO</v>
      </c>
      <c r="I2088" s="1">
        <f>IFERROR(__xludf.DUMMYFUNCTION("""COMPUTED_VALUE"""),9510545044)</f>
        <v>9510545044</v>
      </c>
      <c r="J2088" s="1">
        <f>IFERROR(__xludf.DUMMYFUNCTION("""COMPUTED_VALUE"""),9387920784)</f>
        <v>9387920784</v>
      </c>
      <c r="K2088" s="1" t="str">
        <f>IFERROR(__xludf.DUMMYFUNCTION("""COMPUTED_VALUE"""),"gkessiegie@gmail.com")</f>
        <v>gkessiegie@gmail.com</v>
      </c>
      <c r="L2088" s="1" t="str">
        <f>IFERROR(__xludf.DUMMYFUNCTION("""COMPUTED_VALUE"""),"181")</f>
        <v>181</v>
      </c>
      <c r="M2088" s="1" t="str">
        <f>IFERROR(__xludf.DUMMYFUNCTION("""COMPUTED_VALUE"""),"PUROK 6")</f>
        <v>PUROK 6</v>
      </c>
      <c r="N2088" s="1"/>
      <c r="O2088" s="1" t="str">
        <f>IFERROR(__xludf.DUMMYFUNCTION("""COMPUTED_VALUE"""),"ESPERANZA ILAYA")</f>
        <v>ESPERANZA ILAYA</v>
      </c>
      <c r="P2088" s="1" t="str">
        <f>IFERROR(__xludf.DUMMYFUNCTION("""COMPUTED_VALUE"""),"ALFONSO")</f>
        <v>ALFONSO</v>
      </c>
      <c r="Q2088" s="1" t="str">
        <f>IFERROR(__xludf.DUMMYFUNCTION("""COMPUTED_VALUE"""),"CAVITE")</f>
        <v>CAVITE</v>
      </c>
      <c r="R2088" s="1" t="str">
        <f>IFERROR(__xludf.DUMMYFUNCTION("""COMPUTED_VALUE"""),"FIBR UNLI ALL PLAN 1399")</f>
        <v>FIBR UNLI ALL PLAN 1399</v>
      </c>
      <c r="S2088" s="1" t="str">
        <f>IFERROR(__xludf.DUMMYFUNCTION("""COMPUTED_VALUE"""),"APPROVED")</f>
        <v>APPROVED</v>
      </c>
      <c r="T2088" s="1" t="str">
        <f>IFERROR(__xludf.DUMMYFUNCTION("""COMPUTED_VALUE"""),"#N/A")</f>
        <v>#N/A</v>
      </c>
      <c r="U2088" s="1" t="str">
        <f>IFERROR(__xludf.DUMMYFUNCTION("""COMPUTED_VALUE"""),"POSTED")</f>
        <v>POSTED</v>
      </c>
      <c r="V2088" s="1"/>
      <c r="W2088" s="1"/>
    </row>
    <row r="2089" customHeight="1" spans="1:23">
      <c r="A2089" s="3">
        <f>IFERROR(__xludf.DUMMYFUNCTION("""COMPUTED_VALUE"""),46185)</f>
        <v>46185</v>
      </c>
      <c r="B2089" s="1" t="str">
        <f>IFERROR(__xludf.DUMMYFUNCTION("""COMPUTED_VALUE"""),"GABAY, MANUEL")</f>
        <v>GABAY, MANUEL</v>
      </c>
      <c r="C2089" s="1" t="str">
        <f>IFERROR(__xludf.DUMMYFUNCTION("""COMPUTED_VALUE"""),"FLA")</f>
        <v>FLA</v>
      </c>
      <c r="D2089" s="1" t="str">
        <f>IFERROR(__xludf.DUMMYFUNCTION("""COMPUTED_VALUE"""),"JERIC NAVARRO")</f>
        <v>JERIC NAVARRO</v>
      </c>
      <c r="E2089" s="1" t="str">
        <f>IFERROR(__xludf.DUMMYFUNCTION("""COMPUTED_VALUE"""),"PLDT / H2H")</f>
        <v>PLDT / H2H</v>
      </c>
      <c r="F2089" s="1">
        <f>IFERROR(__xludf.DUMMYFUNCTION("""COMPUTED_VALUE"""),2310152700)</f>
        <v>2310152700</v>
      </c>
      <c r="G2089" s="1"/>
      <c r="H2089" s="1" t="str">
        <f>IFERROR(__xludf.DUMMYFUNCTION("""COMPUTED_VALUE"""),"MACREY SILAN ROSANO")</f>
        <v>MACREY SILAN ROSANO</v>
      </c>
      <c r="I2089" s="1">
        <f>IFERROR(__xludf.DUMMYFUNCTION("""COMPUTED_VALUE"""),9274177513)</f>
        <v>9274177513</v>
      </c>
      <c r="J2089" s="1">
        <f>IFERROR(__xludf.DUMMYFUNCTION("""COMPUTED_VALUE"""),9664872440)</f>
        <v>9664872440</v>
      </c>
      <c r="K2089" s="1" t="str">
        <f>IFERROR(__xludf.DUMMYFUNCTION("""COMPUTED_VALUE"""),"kmbrlyron.IIIV@gmail.com")</f>
        <v>kmbrlyron.IIIV@gmail.com</v>
      </c>
      <c r="L2089" s="1" t="str">
        <f>IFERROR(__xludf.DUMMYFUNCTION("""COMPUTED_VALUE"""),"105")</f>
        <v>105</v>
      </c>
      <c r="M2089" s="1" t="str">
        <f>IFERROR(__xludf.DUMMYFUNCTION("""COMPUTED_VALUE"""),"PUROK 5")</f>
        <v>PUROK 5</v>
      </c>
      <c r="N2089" s="1"/>
      <c r="O2089" s="1" t="str">
        <f>IFERROR(__xludf.DUMMYFUNCTION("""COMPUTED_VALUE"""),"ESPERANZA ILAYA")</f>
        <v>ESPERANZA ILAYA</v>
      </c>
      <c r="P2089" s="1" t="str">
        <f>IFERROR(__xludf.DUMMYFUNCTION("""COMPUTED_VALUE"""),"ALFONSO")</f>
        <v>ALFONSO</v>
      </c>
      <c r="Q2089" s="1" t="str">
        <f>IFERROR(__xludf.DUMMYFUNCTION("""COMPUTED_VALUE"""),"CAVITE")</f>
        <v>CAVITE</v>
      </c>
      <c r="R2089" s="1" t="str">
        <f>IFERROR(__xludf.DUMMYFUNCTION("""COMPUTED_VALUE"""),"FIBR NETFLIX PLAN 1599")</f>
        <v>FIBR NETFLIX PLAN 1599</v>
      </c>
      <c r="S2089" s="1" t="str">
        <f>IFERROR(__xludf.DUMMYFUNCTION("""COMPUTED_VALUE"""),"APPROVED")</f>
        <v>APPROVED</v>
      </c>
      <c r="T2089" s="1" t="str">
        <f>IFERROR(__xludf.DUMMYFUNCTION("""COMPUTED_VALUE"""),"#N/A")</f>
        <v>#N/A</v>
      </c>
      <c r="U2089" s="1" t="str">
        <f>IFERROR(__xludf.DUMMYFUNCTION("""COMPUTED_VALUE"""),"POSTED")</f>
        <v>POSTED</v>
      </c>
      <c r="V2089" s="1"/>
      <c r="W2089" s="1"/>
    </row>
    <row r="2090" customHeight="1" spans="1:23">
      <c r="A2090" s="3">
        <f>IFERROR(__xludf.DUMMYFUNCTION("""COMPUTED_VALUE"""),46185)</f>
        <v>46185</v>
      </c>
      <c r="B2090" s="1" t="str">
        <f>IFERROR(__xludf.DUMMYFUNCTION("""COMPUTED_VALUE"""),"ODY , CLARENCE")</f>
        <v>ODY , CLARENCE</v>
      </c>
      <c r="C2090" s="1" t="str">
        <f>IFERROR(__xludf.DUMMYFUNCTION("""COMPUTED_VALUE"""),"ORGANIC")</f>
        <v>ORGANIC</v>
      </c>
      <c r="D2090" s="1" t="str">
        <f>IFERROR(__xludf.DUMMYFUNCTION("""COMPUTED_VALUE"""),"REMOLLO LEA")</f>
        <v>REMOLLO LEA</v>
      </c>
      <c r="E2090" s="1" t="str">
        <f>IFERROR(__xludf.DUMMYFUNCTION("""COMPUTED_VALUE"""),"PLDT / H2H")</f>
        <v>PLDT / H2H</v>
      </c>
      <c r="F2090" s="1">
        <f>IFERROR(__xludf.DUMMYFUNCTION("""COMPUTED_VALUE"""),2310153288)</f>
        <v>2310153288</v>
      </c>
      <c r="G2090" s="1"/>
      <c r="H2090" s="1" t="str">
        <f>IFERROR(__xludf.DUMMYFUNCTION("""COMPUTED_VALUE"""),"RICHARD PANGILINAN GONZALVO")</f>
        <v>RICHARD PANGILINAN GONZALVO</v>
      </c>
      <c r="I2090" s="1">
        <f>IFERROR(__xludf.DUMMYFUNCTION("""COMPUTED_VALUE"""),9362514663)</f>
        <v>9362514663</v>
      </c>
      <c r="J2090" s="1">
        <f>IFERROR(__xludf.DUMMYFUNCTION("""COMPUTED_VALUE"""),9288063612)</f>
        <v>9288063612</v>
      </c>
      <c r="K2090" s="1" t="str">
        <f>IFERROR(__xludf.DUMMYFUNCTION("""COMPUTED_VALUE"""),"mylaramirez21@gmail.com")</f>
        <v>mylaramirez21@gmail.com</v>
      </c>
      <c r="L2090" s="1" t="str">
        <f>IFERROR(__xludf.DUMMYFUNCTION("""COMPUTED_VALUE"""),"BLK 42 LOT 3")</f>
        <v>BLK 42 LOT 3</v>
      </c>
      <c r="M2090" s="1" t="str">
        <f>IFERROR(__xludf.DUMMYFUNCTION("""COMPUTED_VALUE"""),"ZONE 6")</f>
        <v>ZONE 6</v>
      </c>
      <c r="N2090" s="1" t="str">
        <f>IFERROR(__xludf.DUMMYFUNCTION("""COMPUTED_VALUE"""),"MABUHAY HOMES 2000")</f>
        <v>MABUHAY HOMES 2000</v>
      </c>
      <c r="O2090" s="1" t="str">
        <f>IFERROR(__xludf.DUMMYFUNCTION("""COMPUTED_VALUE"""),"PALIPARAN III")</f>
        <v>PALIPARAN III</v>
      </c>
      <c r="P2090" s="1" t="str">
        <f>IFERROR(__xludf.DUMMYFUNCTION("""COMPUTED_VALUE"""),"DASMARINAS")</f>
        <v>DASMARINAS</v>
      </c>
      <c r="Q2090" s="1" t="str">
        <f>IFERROR(__xludf.DUMMYFUNCTION("""COMPUTED_VALUE"""),"CAVITE")</f>
        <v>CAVITE</v>
      </c>
      <c r="R2090" s="1" t="str">
        <f>IFERROR(__xludf.DUMMYFUNCTION("""COMPUTED_VALUE"""),"FIBR UNLI ALL PLAN 999")</f>
        <v>FIBR UNLI ALL PLAN 999</v>
      </c>
      <c r="S2090" s="1" t="str">
        <f>IFERROR(__xludf.DUMMYFUNCTION("""COMPUTED_VALUE"""),"APPROVED")</f>
        <v>APPROVED</v>
      </c>
      <c r="T2090" s="1" t="str">
        <f>IFERROR(__xludf.DUMMYFUNCTION("""COMPUTED_VALUE"""),"#N/A")</f>
        <v>#N/A</v>
      </c>
      <c r="U2090" s="1"/>
      <c r="V2090" s="1"/>
      <c r="W2090" s="1"/>
    </row>
    <row r="2091" customHeight="1" spans="1:23">
      <c r="A2091" s="3">
        <f>IFERROR(__xludf.DUMMYFUNCTION("""COMPUTED_VALUE"""),46185)</f>
        <v>46185</v>
      </c>
      <c r="B2091" s="1" t="str">
        <f>IFERROR(__xludf.DUMMYFUNCTION("""COMPUTED_VALUE"""),"DELA ROSA, JENNELYN")</f>
        <v>DELA ROSA, JENNELYN</v>
      </c>
      <c r="C2091" s="1" t="str">
        <f>IFERROR(__xludf.DUMMYFUNCTION("""COMPUTED_VALUE"""),"ORGANIC")</f>
        <v>ORGANIC</v>
      </c>
      <c r="D2091" s="1" t="str">
        <f>IFERROR(__xludf.DUMMYFUNCTION("""COMPUTED_VALUE"""),"REMOLLO LEA")</f>
        <v>REMOLLO LEA</v>
      </c>
      <c r="E2091" s="1" t="str">
        <f>IFERROR(__xludf.DUMMYFUNCTION("""COMPUTED_VALUE"""),"PLDT / H2H")</f>
        <v>PLDT / H2H</v>
      </c>
      <c r="F2091" s="1">
        <f>IFERROR(__xludf.DUMMYFUNCTION("""COMPUTED_VALUE"""),2310153561)</f>
        <v>2310153561</v>
      </c>
      <c r="G2091" s="1"/>
      <c r="H2091" s="1" t="str">
        <f>IFERROR(__xludf.DUMMYFUNCTION("""COMPUTED_VALUE"""),"ELENA QUINTO MACEDA")</f>
        <v>ELENA QUINTO MACEDA</v>
      </c>
      <c r="I2091" s="1">
        <f>IFERROR(__xludf.DUMMYFUNCTION("""COMPUTED_VALUE"""),9925164337)</f>
        <v>9925164337</v>
      </c>
      <c r="J2091" s="1">
        <f>IFERROR(__xludf.DUMMYFUNCTION("""COMPUTED_VALUE"""),9358022597)</f>
        <v>9358022597</v>
      </c>
      <c r="K2091" s="1" t="str">
        <f>IFERROR(__xludf.DUMMYFUNCTION("""COMPUTED_VALUE"""),"dacemaanele08@gmail.com")</f>
        <v>dacemaanele08@gmail.com</v>
      </c>
      <c r="L2091" s="1" t="str">
        <f>IFERROR(__xludf.DUMMYFUNCTION("""COMPUTED_VALUE"""),"BLK 32 LOT 2")</f>
        <v>BLK 32 LOT 2</v>
      </c>
      <c r="M2091" s="1" t="str">
        <f>IFERROR(__xludf.DUMMYFUNCTION("""COMPUTED_VALUE"""),"MIAMI")</f>
        <v>MIAMI</v>
      </c>
      <c r="N2091" s="1" t="str">
        <f>IFERROR(__xludf.DUMMYFUNCTION("""COMPUTED_VALUE"""),"NORTH 1 SAN MARINO")</f>
        <v>NORTH 1 SAN MARINO</v>
      </c>
      <c r="O2091" s="1" t="str">
        <f>IFERROR(__xludf.DUMMYFUNCTION("""COMPUTED_VALUE"""),"SALAWAG")</f>
        <v>SALAWAG</v>
      </c>
      <c r="P2091" s="1" t="str">
        <f>IFERROR(__xludf.DUMMYFUNCTION("""COMPUTED_VALUE"""),"DASMARINAS")</f>
        <v>DASMARINAS</v>
      </c>
      <c r="Q2091" s="1" t="str">
        <f>IFERROR(__xludf.DUMMYFUNCTION("""COMPUTED_VALUE"""),"CAVITE")</f>
        <v>CAVITE</v>
      </c>
      <c r="R2091" s="1" t="str">
        <f>IFERROR(__xludf.DUMMYFUNCTION("""COMPUTED_VALUE"""),"FIBR UNLI ALL PLAN 999")</f>
        <v>FIBR UNLI ALL PLAN 999</v>
      </c>
      <c r="S2091" s="1" t="str">
        <f>IFERROR(__xludf.DUMMYFUNCTION("""COMPUTED_VALUE"""),"APPROVED")</f>
        <v>APPROVED</v>
      </c>
      <c r="T2091" s="1" t="str">
        <f>IFERROR(__xludf.DUMMYFUNCTION("""COMPUTED_VALUE"""),"#N/A")</f>
        <v>#N/A</v>
      </c>
      <c r="U2091" s="1"/>
      <c r="V2091" s="1"/>
      <c r="W2091" s="1"/>
    </row>
    <row r="2092" customHeight="1" spans="1:23">
      <c r="A2092" s="3">
        <f>IFERROR(__xludf.DUMMYFUNCTION("""COMPUTED_VALUE"""),46185)</f>
        <v>46185</v>
      </c>
      <c r="B2092" s="1" t="str">
        <f>IFERROR(__xludf.DUMMYFUNCTION("""COMPUTED_VALUE"""),"ESCARCHA, MA ALMA  ESCOTO")</f>
        <v>ESCARCHA, MA ALMA  ESCOTO</v>
      </c>
      <c r="C2092" s="1" t="str">
        <f>IFERROR(__xludf.DUMMYFUNCTION("""COMPUTED_VALUE"""),"ORGANIC")</f>
        <v>ORGANIC</v>
      </c>
      <c r="D2092" s="1" t="str">
        <f>IFERROR(__xludf.DUMMYFUNCTION("""COMPUTED_VALUE"""),"REMOLLO LEA")</f>
        <v>REMOLLO LEA</v>
      </c>
      <c r="E2092" s="1" t="str">
        <f>IFERROR(__xludf.DUMMYFUNCTION("""COMPUTED_VALUE"""),"PLDT / H2H")</f>
        <v>PLDT / H2H</v>
      </c>
      <c r="F2092" s="1">
        <f>IFERROR(__xludf.DUMMYFUNCTION("""COMPUTED_VALUE"""),2310153832)</f>
        <v>2310153832</v>
      </c>
      <c r="G2092" s="1"/>
      <c r="H2092" s="1" t="str">
        <f>IFERROR(__xludf.DUMMYFUNCTION("""COMPUTED_VALUE"""),"MIRASOL ABELLA OBAOB")</f>
        <v>MIRASOL ABELLA OBAOB</v>
      </c>
      <c r="I2092" s="1">
        <f>IFERROR(__xludf.DUMMYFUNCTION("""COMPUTED_VALUE"""),9357815966)</f>
        <v>9357815966</v>
      </c>
      <c r="J2092" s="1"/>
      <c r="K2092" s="1" t="str">
        <f>IFERROR(__xludf.DUMMYFUNCTION("""COMPUTED_VALUE"""),"mirasolabella@gmail.com")</f>
        <v>mirasolabella@gmail.com</v>
      </c>
      <c r="L2092" s="1" t="str">
        <f>IFERROR(__xludf.DUMMYFUNCTION("""COMPUTED_VALUE"""),"61B")</f>
        <v>61B</v>
      </c>
      <c r="M2092" s="1" t="str">
        <f>IFERROR(__xludf.DUMMYFUNCTION("""COMPUTED_VALUE"""),"PUROK 98")</f>
        <v>PUROK 98</v>
      </c>
      <c r="N2092" s="1"/>
      <c r="O2092" s="1" t="str">
        <f>IFERROR(__xludf.DUMMYFUNCTION("""COMPUTED_VALUE"""),"MAHARLIKA WEST")</f>
        <v>MAHARLIKA WEST</v>
      </c>
      <c r="P2092" s="1" t="str">
        <f>IFERROR(__xludf.DUMMYFUNCTION("""COMPUTED_VALUE"""),"TAGAYTAY")</f>
        <v>TAGAYTAY</v>
      </c>
      <c r="Q2092" s="1" t="str">
        <f>IFERROR(__xludf.DUMMYFUNCTION("""COMPUTED_VALUE"""),"CAVITE")</f>
        <v>CAVITE</v>
      </c>
      <c r="R2092" s="1" t="str">
        <f>IFERROR(__xludf.DUMMYFUNCTION("""COMPUTED_VALUE"""),"FIBR PLAN 1299")</f>
        <v>FIBR PLAN 1299</v>
      </c>
      <c r="S2092" s="1" t="str">
        <f>IFERROR(__xludf.DUMMYFUNCTION("""COMPUTED_VALUE"""),"APPROVED")</f>
        <v>APPROVED</v>
      </c>
      <c r="T2092" s="1" t="str">
        <f>IFERROR(__xludf.DUMMYFUNCTION("""COMPUTED_VALUE"""),"#N/A")</f>
        <v>#N/A</v>
      </c>
      <c r="U2092" s="1" t="str">
        <f>IFERROR(__xludf.DUMMYFUNCTION("""COMPUTED_VALUE"""),"POSTED")</f>
        <v>POSTED</v>
      </c>
      <c r="V2092" s="1"/>
      <c r="W2092" s="1"/>
    </row>
    <row r="2093" customHeight="1" spans="1:23">
      <c r="A2093" s="3">
        <f>IFERROR(__xludf.DUMMYFUNCTION("""COMPUTED_VALUE"""),46185)</f>
        <v>46185</v>
      </c>
      <c r="B2093" s="1" t="str">
        <f>IFERROR(__xludf.DUMMYFUNCTION("""COMPUTED_VALUE"""),"MAGDARAOG, KENNETH")</f>
        <v>MAGDARAOG, KENNETH</v>
      </c>
      <c r="C2093" s="1" t="str">
        <f>IFERROR(__xludf.DUMMYFUNCTION("""COMPUTED_VALUE"""),"ORGANIC")</f>
        <v>ORGANIC</v>
      </c>
      <c r="D2093" s="1" t="str">
        <f>IFERROR(__xludf.DUMMYFUNCTION("""COMPUTED_VALUE"""),"REMOLLO LEA")</f>
        <v>REMOLLO LEA</v>
      </c>
      <c r="E2093" s="1" t="str">
        <f>IFERROR(__xludf.DUMMYFUNCTION("""COMPUTED_VALUE"""),"PLDT / H2H")</f>
        <v>PLDT / H2H</v>
      </c>
      <c r="F2093" s="1">
        <f>IFERROR(__xludf.DUMMYFUNCTION("""COMPUTED_VALUE"""),2310154231)</f>
        <v>2310154231</v>
      </c>
      <c r="G2093" s="1"/>
      <c r="H2093" s="1" t="str">
        <f>IFERROR(__xludf.DUMMYFUNCTION("""COMPUTED_VALUE"""),"GENNY VAVE RUBION AMBON")</f>
        <v>GENNY VAVE RUBION AMBON</v>
      </c>
      <c r="I2093" s="1">
        <f>IFERROR(__xludf.DUMMYFUNCTION("""COMPUTED_VALUE"""),9398715643)</f>
        <v>9398715643</v>
      </c>
      <c r="J2093" s="1">
        <f>IFERROR(__xludf.DUMMYFUNCTION("""COMPUTED_VALUE"""),9303707375)</f>
        <v>9303707375</v>
      </c>
      <c r="K2093" s="1" t="str">
        <f>IFERROR(__xludf.DUMMYFUNCTION("""COMPUTED_VALUE"""),"dianedelrosario44@gmail.com")</f>
        <v>dianedelrosario44@gmail.com</v>
      </c>
      <c r="L2093" s="1" t="str">
        <f>IFERROR(__xludf.DUMMYFUNCTION("""COMPUTED_VALUE"""),"17")</f>
        <v>17</v>
      </c>
      <c r="M2093" s="1" t="str">
        <f>IFERROR(__xludf.DUMMYFUNCTION("""COMPUTED_VALUE"""),"PUROK 99")</f>
        <v>PUROK 99</v>
      </c>
      <c r="N2093" s="1"/>
      <c r="O2093" s="1" t="str">
        <f>IFERROR(__xludf.DUMMYFUNCTION("""COMPUTED_VALUE"""),"MAHARLIKA WEST")</f>
        <v>MAHARLIKA WEST</v>
      </c>
      <c r="P2093" s="1" t="str">
        <f>IFERROR(__xludf.DUMMYFUNCTION("""COMPUTED_VALUE"""),"TAGAYTAY")</f>
        <v>TAGAYTAY</v>
      </c>
      <c r="Q2093" s="1" t="str">
        <f>IFERROR(__xludf.DUMMYFUNCTION("""COMPUTED_VALUE"""),"CAVITE")</f>
        <v>CAVITE</v>
      </c>
      <c r="R2093" s="1" t="str">
        <f>IFERROR(__xludf.DUMMYFUNCTION("""COMPUTED_VALUE"""),"FIBR PLAN 1299")</f>
        <v>FIBR PLAN 1299</v>
      </c>
      <c r="S2093" s="1" t="str">
        <f>IFERROR(__xludf.DUMMYFUNCTION("""COMPUTED_VALUE"""),"APPROVED")</f>
        <v>APPROVED</v>
      </c>
      <c r="T2093" s="1" t="str">
        <f>IFERROR(__xludf.DUMMYFUNCTION("""COMPUTED_VALUE"""),"#N/A")</f>
        <v>#N/A</v>
      </c>
      <c r="U2093" s="1" t="str">
        <f>IFERROR(__xludf.DUMMYFUNCTION("""COMPUTED_VALUE"""),"POSTED")</f>
        <v>POSTED</v>
      </c>
      <c r="V2093" s="1"/>
      <c r="W2093" s="1"/>
    </row>
    <row r="2094" customHeight="1" spans="1:23">
      <c r="A2094" s="3">
        <f>IFERROR(__xludf.DUMMYFUNCTION("""COMPUTED_VALUE"""),46185)</f>
        <v>46185</v>
      </c>
      <c r="B2094" s="1" t="str">
        <f>IFERROR(__xludf.DUMMYFUNCTION("""COMPUTED_VALUE"""),"ESCARCHA, MA ALMA  ESCOTO")</f>
        <v>ESCARCHA, MA ALMA  ESCOTO</v>
      </c>
      <c r="C2094" s="1" t="str">
        <f>IFERROR(__xludf.DUMMYFUNCTION("""COMPUTED_VALUE"""),"ORGANIC")</f>
        <v>ORGANIC</v>
      </c>
      <c r="D2094" s="1" t="str">
        <f>IFERROR(__xludf.DUMMYFUNCTION("""COMPUTED_VALUE"""),"REMOLLO LEA")</f>
        <v>REMOLLO LEA</v>
      </c>
      <c r="E2094" s="1" t="str">
        <f>IFERROR(__xludf.DUMMYFUNCTION("""COMPUTED_VALUE"""),"PLDT / H2H")</f>
        <v>PLDT / H2H</v>
      </c>
      <c r="F2094" s="1">
        <f>IFERROR(__xludf.DUMMYFUNCTION("""COMPUTED_VALUE"""),2310154519)</f>
        <v>2310154519</v>
      </c>
      <c r="G2094" s="1"/>
      <c r="H2094" s="1" t="str">
        <f>IFERROR(__xludf.DUMMYFUNCTION("""COMPUTED_VALUE"""),"JULIE ANN LABANANCIA TEREZ")</f>
        <v>JULIE ANN LABANANCIA TEREZ</v>
      </c>
      <c r="I2094" s="1">
        <f>IFERROR(__xludf.DUMMYFUNCTION("""COMPUTED_VALUE"""),9123390876)</f>
        <v>9123390876</v>
      </c>
      <c r="J2094" s="1"/>
      <c r="K2094" s="1" t="str">
        <f>IFERROR(__xludf.DUMMYFUNCTION("""COMPUTED_VALUE"""),"sentido21@yahoo.com")</f>
        <v>sentido21@yahoo.com</v>
      </c>
      <c r="L2094" s="1" t="str">
        <f>IFERROR(__xludf.DUMMYFUNCTION("""COMPUTED_VALUE"""),"60 A")</f>
        <v>60 A</v>
      </c>
      <c r="M2094" s="1" t="str">
        <f>IFERROR(__xludf.DUMMYFUNCTION("""COMPUTED_VALUE"""),"PUROK 98")</f>
        <v>PUROK 98</v>
      </c>
      <c r="N2094" s="1"/>
      <c r="O2094" s="1" t="str">
        <f>IFERROR(__xludf.DUMMYFUNCTION("""COMPUTED_VALUE"""),"MAHARLIKA WEST")</f>
        <v>MAHARLIKA WEST</v>
      </c>
      <c r="P2094" s="1" t="str">
        <f>IFERROR(__xludf.DUMMYFUNCTION("""COMPUTED_VALUE"""),"TAGAYTAY")</f>
        <v>TAGAYTAY</v>
      </c>
      <c r="Q2094" s="1" t="str">
        <f>IFERROR(__xludf.DUMMYFUNCTION("""COMPUTED_VALUE"""),"CAVITE")</f>
        <v>CAVITE</v>
      </c>
      <c r="R2094" s="1" t="str">
        <f>IFERROR(__xludf.DUMMYFUNCTION("""COMPUTED_VALUE"""),"FIBR PLAN 1299")</f>
        <v>FIBR PLAN 1299</v>
      </c>
      <c r="S2094" s="1" t="str">
        <f>IFERROR(__xludf.DUMMYFUNCTION("""COMPUTED_VALUE"""),"APPROVED")</f>
        <v>APPROVED</v>
      </c>
      <c r="T2094" s="1" t="str">
        <f>IFERROR(__xludf.DUMMYFUNCTION("""COMPUTED_VALUE"""),"#N/A")</f>
        <v>#N/A</v>
      </c>
      <c r="U2094" s="1" t="str">
        <f>IFERROR(__xludf.DUMMYFUNCTION("""COMPUTED_VALUE"""),"POSTED")</f>
        <v>POSTED</v>
      </c>
      <c r="V2094" s="1"/>
      <c r="W2094" s="1"/>
    </row>
    <row r="2095" customHeight="1" spans="1:23">
      <c r="A2095" s="3">
        <f>IFERROR(__xludf.DUMMYFUNCTION("""COMPUTED_VALUE"""),46185)</f>
        <v>46185</v>
      </c>
      <c r="B2095" s="1" t="str">
        <f>IFERROR(__xludf.DUMMYFUNCTION("""COMPUTED_VALUE"""),"ADVINCULA, NICOLE")</f>
        <v>ADVINCULA, NICOLE</v>
      </c>
      <c r="C2095" s="1" t="str">
        <f>IFERROR(__xludf.DUMMYFUNCTION("""COMPUTED_VALUE"""),"ORGANIC")</f>
        <v>ORGANIC</v>
      </c>
      <c r="D2095" s="1" t="str">
        <f>IFERROR(__xludf.DUMMYFUNCTION("""COMPUTED_VALUE"""),"REMOLLO LEA")</f>
        <v>REMOLLO LEA</v>
      </c>
      <c r="E2095" s="1" t="str">
        <f>IFERROR(__xludf.DUMMYFUNCTION("""COMPUTED_VALUE"""),"PLDT / H2H")</f>
        <v>PLDT / H2H</v>
      </c>
      <c r="F2095" s="1"/>
      <c r="G2095" s="1"/>
      <c r="H2095" s="1" t="str">
        <f>IFERROR(__xludf.DUMMYFUNCTION("""COMPUTED_VALUE"""),"MARIVIC CAPISNON ANGUSTIA")</f>
        <v>MARIVIC CAPISNON ANGUSTIA</v>
      </c>
      <c r="I2095" s="1">
        <f>IFERROR(__xludf.DUMMYFUNCTION("""COMPUTED_VALUE"""),9675710626)</f>
        <v>9675710626</v>
      </c>
      <c r="J2095" s="1"/>
      <c r="K2095" s="1" t="str">
        <f>IFERROR(__xludf.DUMMYFUNCTION("""COMPUTED_VALUE"""),"marivicangustia13@gmail.com")</f>
        <v>marivicangustia13@gmail.com</v>
      </c>
      <c r="L2095" s="1" t="str">
        <f>IFERROR(__xludf.DUMMYFUNCTION("""COMPUTED_VALUE"""),"13")</f>
        <v>13</v>
      </c>
      <c r="M2095" s="1" t="str">
        <f>IFERROR(__xludf.DUMMYFUNCTION("""COMPUTED_VALUE"""),"PUROK 43")</f>
        <v>PUROK 43</v>
      </c>
      <c r="N2095" s="1"/>
      <c r="O2095" s="1" t="str">
        <f>IFERROR(__xludf.DUMMYFUNCTION("""COMPUTED_VALUE"""),"IRUHIN SOUTH")</f>
        <v>IRUHIN SOUTH</v>
      </c>
      <c r="P2095" s="1" t="str">
        <f>IFERROR(__xludf.DUMMYFUNCTION("""COMPUTED_VALUE"""),"TAGAYTAY")</f>
        <v>TAGAYTAY</v>
      </c>
      <c r="Q2095" s="1" t="str">
        <f>IFERROR(__xludf.DUMMYFUNCTION("""COMPUTED_VALUE"""),"CAVITE")</f>
        <v>CAVITE</v>
      </c>
      <c r="R2095" s="1" t="str">
        <f>IFERROR(__xludf.DUMMYFUNCTION("""COMPUTED_VALUE"""),"FIBR PLAN 1299")</f>
        <v>FIBR PLAN 1299</v>
      </c>
      <c r="S2095" s="1" t="str">
        <f>IFERROR(__xludf.DUMMYFUNCTION("""COMPUTED_VALUE"""),"HOLD")</f>
        <v>HOLD</v>
      </c>
      <c r="T2095" s="1" t="str">
        <f>IFERROR(__xludf.DUMMYFUNCTION("""COMPUTED_VALUE"""),"#N/A")</f>
        <v>#N/A</v>
      </c>
      <c r="U2095" s="1"/>
      <c r="V2095" s="1"/>
      <c r="W2095" s="1"/>
    </row>
    <row r="2096" customHeight="1" spans="1:23">
      <c r="A2096" s="3">
        <f>IFERROR(__xludf.DUMMYFUNCTION("""COMPUTED_VALUE"""),46185)</f>
        <v>46185</v>
      </c>
      <c r="B2096" s="1" t="str">
        <f>IFERROR(__xludf.DUMMYFUNCTION("""COMPUTED_VALUE"""),"FRANCISCO , ROSELYN")</f>
        <v>FRANCISCO , ROSELYN</v>
      </c>
      <c r="C2096" s="1" t="str">
        <f>IFERROR(__xludf.DUMMYFUNCTION("""COMPUTED_VALUE"""),"ORGANIC")</f>
        <v>ORGANIC</v>
      </c>
      <c r="D2096" s="1" t="str">
        <f>IFERROR(__xludf.DUMMYFUNCTION("""COMPUTED_VALUE"""),"REMOLLO LEA")</f>
        <v>REMOLLO LEA</v>
      </c>
      <c r="E2096" s="1" t="str">
        <f>IFERROR(__xludf.DUMMYFUNCTION("""COMPUTED_VALUE"""),"PLDT / H2H")</f>
        <v>PLDT / H2H</v>
      </c>
      <c r="F2096" s="1"/>
      <c r="G2096" s="1"/>
      <c r="H2096" s="1" t="str">
        <f>IFERROR(__xludf.DUMMYFUNCTION("""COMPUTED_VALUE"""),"CHRISTINE ERIKKA BAGAMASPAD ANGARA")</f>
        <v>CHRISTINE ERIKKA BAGAMASPAD ANGARA</v>
      </c>
      <c r="I2096" s="1">
        <f>IFERROR(__xludf.DUMMYFUNCTION("""COMPUTED_VALUE"""),9606275215)</f>
        <v>9606275215</v>
      </c>
      <c r="J2096" s="1">
        <f>IFERROR(__xludf.DUMMYFUNCTION("""COMPUTED_VALUE"""),9650620312)</f>
        <v>9650620312</v>
      </c>
      <c r="K2096" s="1" t="str">
        <f>IFERROR(__xludf.DUMMYFUNCTION("""COMPUTED_VALUE"""),"erikkaangara95@gmail.com")</f>
        <v>erikkaangara95@gmail.com</v>
      </c>
      <c r="L2096" s="1" t="str">
        <f>IFERROR(__xludf.DUMMYFUNCTION("""COMPUTED_VALUE"""),"BLK 45 lot 55")</f>
        <v>BLK 45 lot 55</v>
      </c>
      <c r="M2096" s="1" t="str">
        <f>IFERROR(__xludf.DUMMYFUNCTION("""COMPUTED_VALUE"""),"TUNTUNIN")</f>
        <v>TUNTUNIN</v>
      </c>
      <c r="N2096" s="1" t="str">
        <f>IFERROR(__xludf.DUMMYFUNCTION("""COMPUTED_VALUE"""),"PASINAYA PRIME NORTH")</f>
        <v>PASINAYA PRIME NORTH</v>
      </c>
      <c r="O2096" s="1" t="str">
        <f>IFERROR(__xludf.DUMMYFUNCTION("""COMPUTED_VALUE"""),"TIMALAN BALSAHAN")</f>
        <v>TIMALAN BALSAHAN</v>
      </c>
      <c r="P2096" s="1" t="str">
        <f>IFERROR(__xludf.DUMMYFUNCTION("""COMPUTED_VALUE"""),"NAIC")</f>
        <v>NAIC</v>
      </c>
      <c r="Q2096" s="1" t="str">
        <f>IFERROR(__xludf.DUMMYFUNCTION("""COMPUTED_VALUE"""),"CAVITE")</f>
        <v>CAVITE</v>
      </c>
      <c r="R2096" s="1" t="str">
        <f>IFERROR(__xludf.DUMMYFUNCTION("""COMPUTED_VALUE"""),"FIBR PLAN 1299")</f>
        <v>FIBR PLAN 1299</v>
      </c>
      <c r="S2096" s="1" t="str">
        <f>IFERROR(__xludf.DUMMYFUNCTION("""COMPUTED_VALUE"""),"HOLD")</f>
        <v>HOLD</v>
      </c>
      <c r="T2096" s="1" t="str">
        <f>IFERROR(__xludf.DUMMYFUNCTION("""COMPUTED_VALUE"""),"#N/A")</f>
        <v>#N/A</v>
      </c>
      <c r="U2096" s="1"/>
      <c r="V2096" s="1"/>
      <c r="W2096" s="1"/>
    </row>
    <row r="2097" customHeight="1" spans="1:23">
      <c r="A2097" s="3">
        <f>IFERROR(__xludf.DUMMYFUNCTION("""COMPUTED_VALUE"""),46185)</f>
        <v>46185</v>
      </c>
      <c r="B2097" s="1" t="str">
        <f>IFERROR(__xludf.DUMMYFUNCTION("""COMPUTED_VALUE"""),"RIVERA, AIRIZH JOY")</f>
        <v>RIVERA, AIRIZH JOY</v>
      </c>
      <c r="C2097" s="1" t="str">
        <f>IFERROR(__xludf.DUMMYFUNCTION("""COMPUTED_VALUE"""),"ORGANIC")</f>
        <v>ORGANIC</v>
      </c>
      <c r="D2097" s="1" t="str">
        <f>IFERROR(__xludf.DUMMYFUNCTION("""COMPUTED_VALUE"""),"REMOLLO LEA")</f>
        <v>REMOLLO LEA</v>
      </c>
      <c r="E2097" s="1" t="str">
        <f>IFERROR(__xludf.DUMMYFUNCTION("""COMPUTED_VALUE"""),"PLDT / H2H")</f>
        <v>PLDT / H2H</v>
      </c>
      <c r="F2097" s="1">
        <f>IFERROR(__xludf.DUMMYFUNCTION("""COMPUTED_VALUE"""),2310156380)</f>
        <v>2310156380</v>
      </c>
      <c r="G2097" s="1"/>
      <c r="H2097" s="1" t="str">
        <f>IFERROR(__xludf.DUMMYFUNCTION("""COMPUTED_VALUE"""),"ALFREDO LLABRES MALACAD")</f>
        <v>ALFREDO LLABRES MALACAD</v>
      </c>
      <c r="I2097" s="1">
        <f>IFERROR(__xludf.DUMMYFUNCTION("""COMPUTED_VALUE"""),9568100693)</f>
        <v>9568100693</v>
      </c>
      <c r="J2097" s="1"/>
      <c r="K2097" s="1" t="str">
        <f>IFERROR(__xludf.DUMMYFUNCTION("""COMPUTED_VALUE"""),"malacadalfred@gmail.com")</f>
        <v>malacadalfred@gmail.com</v>
      </c>
      <c r="L2097" s="1" t="str">
        <f>IFERROR(__xludf.DUMMYFUNCTION("""COMPUTED_VALUE"""),"225")</f>
        <v>225</v>
      </c>
      <c r="M2097" s="1" t="str">
        <f>IFERROR(__xludf.DUMMYFUNCTION("""COMPUTED_VALUE"""),"HABITAT PUROK 188")</f>
        <v>HABITAT PUROK 188</v>
      </c>
      <c r="N2097" s="1" t="str">
        <f>IFERROR(__xludf.DUMMYFUNCTION("""COMPUTED_VALUE"""),"MICHAEL VILLAGE")</f>
        <v>MICHAEL VILLAGE</v>
      </c>
      <c r="O2097" s="1" t="str">
        <f>IFERROR(__xludf.DUMMYFUNCTION("""COMPUTED_VALUE"""),"SUNGAY NORTH")</f>
        <v>SUNGAY NORTH</v>
      </c>
      <c r="P2097" s="1" t="str">
        <f>IFERROR(__xludf.DUMMYFUNCTION("""COMPUTED_VALUE"""),"TAGAYTAY")</f>
        <v>TAGAYTAY</v>
      </c>
      <c r="Q2097" s="1" t="str">
        <f>IFERROR(__xludf.DUMMYFUNCTION("""COMPUTED_VALUE"""),"CAVITE")</f>
        <v>CAVITE</v>
      </c>
      <c r="R2097" s="1" t="str">
        <f>IFERROR(__xludf.DUMMYFUNCTION("""COMPUTED_VALUE"""),"FIBR UNLI ALL PLAN 999")</f>
        <v>FIBR UNLI ALL PLAN 999</v>
      </c>
      <c r="S2097" s="1" t="str">
        <f>IFERROR(__xludf.DUMMYFUNCTION("""COMPUTED_VALUE"""),"APPROVED")</f>
        <v>APPROVED</v>
      </c>
      <c r="T2097" s="1" t="str">
        <f>IFERROR(__xludf.DUMMYFUNCTION("""COMPUTED_VALUE"""),"#N/A")</f>
        <v>#N/A</v>
      </c>
      <c r="U2097" s="1"/>
      <c r="V2097" s="1"/>
      <c r="W2097" s="1"/>
    </row>
    <row r="2098" customHeight="1" spans="1:23">
      <c r="A2098" s="3">
        <f>IFERROR(__xludf.DUMMYFUNCTION("""COMPUTED_VALUE"""),46185)</f>
        <v>46185</v>
      </c>
      <c r="B2098" s="1" t="str">
        <f>IFERROR(__xludf.DUMMYFUNCTION("""COMPUTED_VALUE"""),"FARO, REFRANTA")</f>
        <v>FARO, REFRANTA</v>
      </c>
      <c r="C2098" s="1" t="str">
        <f>IFERROR(__xludf.DUMMYFUNCTION("""COMPUTED_VALUE"""),"ORGANIC")</f>
        <v>ORGANIC</v>
      </c>
      <c r="D2098" s="1" t="str">
        <f>IFERROR(__xludf.DUMMYFUNCTION("""COMPUTED_VALUE"""),"REMOLLO LEA")</f>
        <v>REMOLLO LEA</v>
      </c>
      <c r="E2098" s="1" t="str">
        <f>IFERROR(__xludf.DUMMYFUNCTION("""COMPUTED_VALUE"""),"PLDT / H2H")</f>
        <v>PLDT / H2H</v>
      </c>
      <c r="F2098" s="1">
        <f>IFERROR(__xludf.DUMMYFUNCTION("""COMPUTED_VALUE"""),2310157098)</f>
        <v>2310157098</v>
      </c>
      <c r="G2098" s="1"/>
      <c r="H2098" s="1" t="str">
        <f>IFERROR(__xludf.DUMMYFUNCTION("""COMPUTED_VALUE"""),"ARLENE LLABAN")</f>
        <v>ARLENE LLABAN</v>
      </c>
      <c r="I2098" s="1">
        <f>IFERROR(__xludf.DUMMYFUNCTION("""COMPUTED_VALUE"""),9948258091)</f>
        <v>9948258091</v>
      </c>
      <c r="J2098" s="1"/>
      <c r="K2098" s="1" t="str">
        <f>IFERROR(__xludf.DUMMYFUNCTION("""COMPUTED_VALUE"""),"airaallico@yahoo.com")</f>
        <v>airaallico@yahoo.com</v>
      </c>
      <c r="L2098" s="1" t="str">
        <f>IFERROR(__xludf.DUMMYFUNCTION("""COMPUTED_VALUE"""),"566")</f>
        <v>566</v>
      </c>
      <c r="M2098" s="1" t="str">
        <f>IFERROR(__xludf.DUMMYFUNCTION("""COMPUTED_VALUE"""),"KAYKULOT")</f>
        <v>KAYKULOT</v>
      </c>
      <c r="N2098" s="1"/>
      <c r="O2098" s="1" t="str">
        <f>IFERROR(__xludf.DUMMYFUNCTION("""COMPUTED_VALUE"""),"SUNGAY NORTH")</f>
        <v>SUNGAY NORTH</v>
      </c>
      <c r="P2098" s="1" t="str">
        <f>IFERROR(__xludf.DUMMYFUNCTION("""COMPUTED_VALUE"""),"TAGAYTAY")</f>
        <v>TAGAYTAY</v>
      </c>
      <c r="Q2098" s="1" t="str">
        <f>IFERROR(__xludf.DUMMYFUNCTION("""COMPUTED_VALUE"""),"CAVITE")</f>
        <v>CAVITE</v>
      </c>
      <c r="R2098" s="1" t="str">
        <f>IFERROR(__xludf.DUMMYFUNCTION("""COMPUTED_VALUE"""),"FIBR UNLI ALL PLAN 1399")</f>
        <v>FIBR UNLI ALL PLAN 1399</v>
      </c>
      <c r="S2098" s="1" t="str">
        <f>IFERROR(__xludf.DUMMYFUNCTION("""COMPUTED_VALUE"""),"APPROVED")</f>
        <v>APPROVED</v>
      </c>
      <c r="T2098" s="1" t="str">
        <f>IFERROR(__xludf.DUMMYFUNCTION("""COMPUTED_VALUE"""),"#N/A")</f>
        <v>#N/A</v>
      </c>
      <c r="U2098" s="1" t="str">
        <f>IFERROR(__xludf.DUMMYFUNCTION("""COMPUTED_VALUE"""),"PAID VIA GCASH")</f>
        <v>PAID VIA GCASH</v>
      </c>
      <c r="V2098" s="1"/>
      <c r="W2098" s="1"/>
    </row>
    <row r="2099" customHeight="1" spans="1:23">
      <c r="A2099" s="3">
        <f>IFERROR(__xludf.DUMMYFUNCTION("""COMPUTED_VALUE"""),46185)</f>
        <v>46185</v>
      </c>
      <c r="B2099" s="1" t="str">
        <f>IFERROR(__xludf.DUMMYFUNCTION("""COMPUTED_VALUE"""),"OPS SIR ZZEP")</f>
        <v>OPS SIR ZZEP</v>
      </c>
      <c r="C2099" s="1" t="str">
        <f>IFERROR(__xludf.DUMMYFUNCTION("""COMPUTED_VALUE"""),"LEADSTORE")</f>
        <v>LEADSTORE</v>
      </c>
      <c r="D2099" s="1" t="str">
        <f>IFERROR(__xludf.DUMMYFUNCTION("""COMPUTED_VALUE"""),"JERIC NAVARRO")</f>
        <v>JERIC NAVARRO</v>
      </c>
      <c r="E2099" s="1" t="str">
        <f>IFERROR(__xludf.DUMMYFUNCTION("""COMPUTED_VALUE"""),"PLDT / H2H")</f>
        <v>PLDT / H2H</v>
      </c>
      <c r="F2099" s="1">
        <f>IFERROR(__xludf.DUMMYFUNCTION("""COMPUTED_VALUE"""),2310157561)</f>
        <v>2310157561</v>
      </c>
      <c r="G2099" s="1"/>
      <c r="H2099" s="1" t="str">
        <f>IFERROR(__xludf.DUMMYFUNCTION("""COMPUTED_VALUE"""),"PETER HENRY CARLOS CRUZ")</f>
        <v>PETER HENRY CARLOS CRUZ</v>
      </c>
      <c r="I2099" s="1">
        <f>IFERROR(__xludf.DUMMYFUNCTION("""COMPUTED_VALUE"""),9175948802)</f>
        <v>9175948802</v>
      </c>
      <c r="J2099" s="1"/>
      <c r="K2099" s="1" t="str">
        <f>IFERROR(__xludf.DUMMYFUNCTION("""COMPUTED_VALUE"""),"petercruz333@gmail.com")</f>
        <v>petercruz333@gmail.com</v>
      </c>
      <c r="L2099" s="1" t="str">
        <f>IFERROR(__xludf.DUMMYFUNCTION("""COMPUTED_VALUE"""),"        010-BL-010")</f>
        <v>        010-BL-010</v>
      </c>
      <c r="M2099" s="1" t="str">
        <f>IFERROR(__xludf.DUMMYFUNCTION("""COMPUTED_VALUE"""),"RODEO COUNTRYSIDE ESTATES ST")</f>
        <v>RODEO COUNTRYSIDE ESTATES ST</v>
      </c>
      <c r="N2099" s="1" t="str">
        <f>IFERROR(__xludf.DUMMYFUNCTION("""COMPUTED_VALUE"""),"RODEO COUNTRYSIDE ESTATES ST")</f>
        <v>RODEO COUNTRYSIDE ESTATES ST</v>
      </c>
      <c r="O2099" s="1" t="str">
        <f>IFERROR(__xludf.DUMMYFUNCTION("""COMPUTED_VALUE"""),"ESPERANZA ILAYA")</f>
        <v>ESPERANZA ILAYA</v>
      </c>
      <c r="P2099" s="1" t="str">
        <f>IFERROR(__xludf.DUMMYFUNCTION("""COMPUTED_VALUE"""),"ALFONSO")</f>
        <v>ALFONSO</v>
      </c>
      <c r="Q2099" s="1" t="str">
        <f>IFERROR(__xludf.DUMMYFUNCTION("""COMPUTED_VALUE"""),"CAVITE")</f>
        <v>CAVITE</v>
      </c>
      <c r="R2099" s="1" t="str">
        <f>IFERROR(__xludf.DUMMYFUNCTION("""COMPUTED_VALUE"""),"FIBR UNLI ALL PLAN 1799")</f>
        <v>FIBR UNLI ALL PLAN 1799</v>
      </c>
      <c r="S2099" s="1" t="str">
        <f>IFERROR(__xludf.DUMMYFUNCTION("""COMPUTED_VALUE"""),"APPROVED")</f>
        <v>APPROVED</v>
      </c>
      <c r="T2099" s="1" t="str">
        <f>IFERROR(__xludf.DUMMYFUNCTION("""COMPUTED_VALUE"""),"#N/A")</f>
        <v>#N/A</v>
      </c>
      <c r="U2099" s="1" t="str">
        <f>IFERROR(__xludf.DUMMYFUNCTION("""COMPUTED_VALUE"""),"POSTED")</f>
        <v>POSTED</v>
      </c>
      <c r="V2099" s="1"/>
      <c r="W2099" s="1"/>
    </row>
    <row r="2100" customHeight="1" spans="1:23">
      <c r="A2100" s="3">
        <f>IFERROR(__xludf.DUMMYFUNCTION("""COMPUTED_VALUE"""),46186)</f>
        <v>46186</v>
      </c>
      <c r="B2100" s="1" t="str">
        <f>IFERROR(__xludf.DUMMYFUNCTION("""COMPUTED_VALUE"""),"FARO, REFRANTA")</f>
        <v>FARO, REFRANTA</v>
      </c>
      <c r="C2100" s="1" t="str">
        <f>IFERROR(__xludf.DUMMYFUNCTION("""COMPUTED_VALUE"""),"ORGANIC")</f>
        <v>ORGANIC</v>
      </c>
      <c r="D2100" s="1" t="str">
        <f>IFERROR(__xludf.DUMMYFUNCTION("""COMPUTED_VALUE"""),"REMOLLO LEA")</f>
        <v>REMOLLO LEA</v>
      </c>
      <c r="E2100" s="1" t="str">
        <f>IFERROR(__xludf.DUMMYFUNCTION("""COMPUTED_VALUE"""),"PLDT / H2H")</f>
        <v>PLDT / H2H</v>
      </c>
      <c r="F2100" s="1">
        <f>IFERROR(__xludf.DUMMYFUNCTION("""COMPUTED_VALUE"""),2310172445)</f>
        <v>2310172445</v>
      </c>
      <c r="G2100" s="1"/>
      <c r="H2100" s="1" t="str">
        <f>IFERROR(__xludf.DUMMYFUNCTION("""COMPUTED_VALUE"""),"RHODA PLATON VELOSO")</f>
        <v>RHODA PLATON VELOSO</v>
      </c>
      <c r="I2100" s="1">
        <f>IFERROR(__xludf.DUMMYFUNCTION("""COMPUTED_VALUE"""),9186337981)</f>
        <v>9186337981</v>
      </c>
      <c r="J2100" s="1"/>
      <c r="K2100" s="1" t="str">
        <f>IFERROR(__xludf.DUMMYFUNCTION("""COMPUTED_VALUE"""),"dhangveloso@yahoo.com")</f>
        <v>dhangveloso@yahoo.com</v>
      </c>
      <c r="L2100" s="1" t="str">
        <f>IFERROR(__xludf.DUMMYFUNCTION("""COMPUTED_VALUE"""),"2075")</f>
        <v>2075</v>
      </c>
      <c r="M2100" s="1" t="str">
        <f>IFERROR(__xludf.DUMMYFUNCTION("""COMPUTED_VALUE"""),"BLK 2")</f>
        <v>BLK 2</v>
      </c>
      <c r="N2100" s="1" t="str">
        <f>IFERROR(__xludf.DUMMYFUNCTION("""COMPUTED_VALUE"""),"ELEVE HOMES")</f>
        <v>ELEVE HOMES</v>
      </c>
      <c r="O2100" s="1" t="str">
        <f>IFERROR(__xludf.DUMMYFUNCTION("""COMPUTED_VALUE"""),"MAHARLIKA WEST")</f>
        <v>MAHARLIKA WEST</v>
      </c>
      <c r="P2100" s="1" t="str">
        <f>IFERROR(__xludf.DUMMYFUNCTION("""COMPUTED_VALUE"""),"TAGAYTAY")</f>
        <v>TAGAYTAY</v>
      </c>
      <c r="Q2100" s="1" t="str">
        <f>IFERROR(__xludf.DUMMYFUNCTION("""COMPUTED_VALUE"""),"CAVITE")</f>
        <v>CAVITE</v>
      </c>
      <c r="R2100" s="1" t="str">
        <f>IFERROR(__xludf.DUMMYFUNCTION("""COMPUTED_VALUE"""),"FIBR UNLI ALL PLAN 1399")</f>
        <v>FIBR UNLI ALL PLAN 1399</v>
      </c>
      <c r="S2100" s="1" t="str">
        <f>IFERROR(__xludf.DUMMYFUNCTION("""COMPUTED_VALUE"""),"APPROVED")</f>
        <v>APPROVED</v>
      </c>
      <c r="T2100" s="1" t="str">
        <f>IFERROR(__xludf.DUMMYFUNCTION("""COMPUTED_VALUE"""),"#N/A")</f>
        <v>#N/A</v>
      </c>
      <c r="U2100" s="1"/>
      <c r="V2100" s="1"/>
      <c r="W2100" s="1"/>
    </row>
    <row r="2101" customHeight="1" spans="1:23">
      <c r="A2101" s="3">
        <f>IFERROR(__xludf.DUMMYFUNCTION("""COMPUTED_VALUE"""),46186)</f>
        <v>46186</v>
      </c>
      <c r="B2101" s="1" t="str">
        <f>IFERROR(__xludf.DUMMYFUNCTION("""COMPUTED_VALUE"""),"RIVERA, AIRIZH JOY")</f>
        <v>RIVERA, AIRIZH JOY</v>
      </c>
      <c r="C2101" s="1" t="str">
        <f>IFERROR(__xludf.DUMMYFUNCTION("""COMPUTED_VALUE"""),"ORGANIC")</f>
        <v>ORGANIC</v>
      </c>
      <c r="D2101" s="1" t="str">
        <f>IFERROR(__xludf.DUMMYFUNCTION("""COMPUTED_VALUE"""),"REMOLLO LEA")</f>
        <v>REMOLLO LEA</v>
      </c>
      <c r="E2101" s="1" t="str">
        <f>IFERROR(__xludf.DUMMYFUNCTION("""COMPUTED_VALUE"""),"PLDT / ONLINE")</f>
        <v>PLDT / ONLINE</v>
      </c>
      <c r="F2101" s="1">
        <f>IFERROR(__xludf.DUMMYFUNCTION("""COMPUTED_VALUE"""),2310173964)</f>
        <v>2310173964</v>
      </c>
      <c r="G2101" s="1"/>
      <c r="H2101" s="1" t="str">
        <f>IFERROR(__xludf.DUMMYFUNCTION("""COMPUTED_VALUE"""),"MAICA MAE TAPIADOR")</f>
        <v>MAICA MAE TAPIADOR</v>
      </c>
      <c r="I2101" s="1">
        <f>IFERROR(__xludf.DUMMYFUNCTION("""COMPUTED_VALUE"""),9095828076)</f>
        <v>9095828076</v>
      </c>
      <c r="J2101" s="1">
        <f>IFERROR(__xludf.DUMMYFUNCTION("""COMPUTED_VALUE"""),9072381618)</f>
        <v>9072381618</v>
      </c>
      <c r="K2101" s="1" t="str">
        <f>IFERROR(__xludf.DUMMYFUNCTION("""COMPUTED_VALUE"""),"maicatapiador@gmail.com")</f>
        <v>maicatapiador@gmail.com</v>
      </c>
      <c r="L2101" s="1" t="str">
        <f>IFERROR(__xludf.DUMMYFUNCTION("""COMPUTED_VALUE"""),"BLK 58 ")</f>
        <v>BLK 58 </v>
      </c>
      <c r="M2101" s="1" t="str">
        <f>IFERROR(__xludf.DUMMYFUNCTION("""COMPUTED_VALUE"""),"EXCESS LOT")</f>
        <v>EXCESS LOT</v>
      </c>
      <c r="N2101" s="1" t="str">
        <f>IFERROR(__xludf.DUMMYFUNCTION("""COMPUTED_VALUE"""),"ALELI COMPOUND")</f>
        <v>ALELI COMPOUND</v>
      </c>
      <c r="O2101" s="1" t="str">
        <f>IFERROR(__xludf.DUMMYFUNCTION("""COMPUTED_VALUE"""),"SANTA MARIA (BARANGAY 20)")</f>
        <v>SANTA MARIA (BARANGAY 20)</v>
      </c>
      <c r="P2101" s="1" t="str">
        <f>IFERROR(__xludf.DUMMYFUNCTION("""COMPUTED_VALUE"""),"DASMARINAS")</f>
        <v>DASMARINAS</v>
      </c>
      <c r="Q2101" s="1" t="str">
        <f>IFERROR(__xludf.DUMMYFUNCTION("""COMPUTED_VALUE"""),"CAVITE")</f>
        <v>CAVITE</v>
      </c>
      <c r="R2101" s="1" t="str">
        <f>IFERROR(__xludf.DUMMYFUNCTION("""COMPUTED_VALUE"""),"FIBR PLAN 1299")</f>
        <v>FIBR PLAN 1299</v>
      </c>
      <c r="S2101" s="1" t="str">
        <f>IFERROR(__xludf.DUMMYFUNCTION("""COMPUTED_VALUE"""),"APPROVED")</f>
        <v>APPROVED</v>
      </c>
      <c r="T2101" s="1" t="str">
        <f>IFERROR(__xludf.DUMMYFUNCTION("""COMPUTED_VALUE"""),"#N/A")</f>
        <v>#N/A</v>
      </c>
      <c r="U2101" s="1"/>
      <c r="V2101" s="1"/>
      <c r="W2101" s="1"/>
    </row>
    <row r="2102" customHeight="1" spans="1:23">
      <c r="A2102" s="3">
        <f>IFERROR(__xludf.DUMMYFUNCTION("""COMPUTED_VALUE"""),46186)</f>
        <v>46186</v>
      </c>
      <c r="B2102" s="1" t="str">
        <f>IFERROR(__xludf.DUMMYFUNCTION("""COMPUTED_VALUE"""),"GABAY, MANUEL")</f>
        <v>GABAY, MANUEL</v>
      </c>
      <c r="C2102" s="1" t="str">
        <f>IFERROR(__xludf.DUMMYFUNCTION("""COMPUTED_VALUE"""),"FLA")</f>
        <v>FLA</v>
      </c>
      <c r="D2102" s="1" t="str">
        <f>IFERROR(__xludf.DUMMYFUNCTION("""COMPUTED_VALUE"""),"JERIC NAVARRO")</f>
        <v>JERIC NAVARRO</v>
      </c>
      <c r="E2102" s="1" t="str">
        <f>IFERROR(__xludf.DUMMYFUNCTION("""COMPUTED_VALUE"""),"PLDT / H2H")</f>
        <v>PLDT / H2H</v>
      </c>
      <c r="F2102" s="1">
        <f>IFERROR(__xludf.DUMMYFUNCTION("""COMPUTED_VALUE"""),2310173333)</f>
        <v>2310173333</v>
      </c>
      <c r="G2102" s="1"/>
      <c r="H2102" s="1" t="str">
        <f>IFERROR(__xludf.DUMMYFUNCTION("""COMPUTED_VALUE"""),"ALLAN JR MAGTUPA CARPILLA")</f>
        <v>ALLAN JR MAGTUPA CARPILLA</v>
      </c>
      <c r="I2102" s="1">
        <f>IFERROR(__xludf.DUMMYFUNCTION("""COMPUTED_VALUE"""),9972240777)</f>
        <v>9972240777</v>
      </c>
      <c r="J2102" s="1">
        <f>IFERROR(__xludf.DUMMYFUNCTION("""COMPUTED_VALUE"""),9305674761)</f>
        <v>9305674761</v>
      </c>
      <c r="K2102" s="1" t="str">
        <f>IFERROR(__xludf.DUMMYFUNCTION("""COMPUTED_VALUE"""),"carpiallan21@gmail.com")</f>
        <v>carpiallan21@gmail.com</v>
      </c>
      <c r="L2102" s="1" t="str">
        <f>IFERROR(__xludf.DUMMYFUNCTION("""COMPUTED_VALUE"""),"224")</f>
        <v>224</v>
      </c>
      <c r="M2102" s="1" t="str">
        <f>IFERROR(__xludf.DUMMYFUNCTION("""COMPUTED_VALUE"""),"MENDIOLA")</f>
        <v>MENDIOLA</v>
      </c>
      <c r="N2102" s="1"/>
      <c r="O2102" s="1" t="str">
        <f>IFERROR(__xludf.DUMMYFUNCTION("""COMPUTED_VALUE"""),"GALICIA III")</f>
        <v>GALICIA III</v>
      </c>
      <c r="P2102" s="1" t="str">
        <f>IFERROR(__xludf.DUMMYFUNCTION("""COMPUTED_VALUE"""),"MENDEZ")</f>
        <v>MENDEZ</v>
      </c>
      <c r="Q2102" s="1" t="str">
        <f>IFERROR(__xludf.DUMMYFUNCTION("""COMPUTED_VALUE"""),"CAVITE")</f>
        <v>CAVITE</v>
      </c>
      <c r="R2102" s="1" t="str">
        <f>IFERROR(__xludf.DUMMYFUNCTION("""COMPUTED_VALUE"""),"FIBR UNLI ALL PLAN 1399")</f>
        <v>FIBR UNLI ALL PLAN 1399</v>
      </c>
      <c r="S2102" s="1" t="str">
        <f>IFERROR(__xludf.DUMMYFUNCTION("""COMPUTED_VALUE"""),"APPROVED")</f>
        <v>APPROVED</v>
      </c>
      <c r="T2102" s="1" t="str">
        <f>IFERROR(__xludf.DUMMYFUNCTION("""COMPUTED_VALUE"""),"#N/A")</f>
        <v>#N/A</v>
      </c>
      <c r="U2102" s="1" t="str">
        <f>IFERROR(__xludf.DUMMYFUNCTION("""COMPUTED_VALUE"""),"POSTED")</f>
        <v>POSTED</v>
      </c>
      <c r="V2102" s="1"/>
      <c r="W2102" s="1"/>
    </row>
    <row r="2103" customHeight="1" spans="1:23">
      <c r="A2103" s="3">
        <f>IFERROR(__xludf.DUMMYFUNCTION("""COMPUTED_VALUE"""),46186)</f>
        <v>46186</v>
      </c>
      <c r="B2103" s="1" t="str">
        <f>IFERROR(__xludf.DUMMYFUNCTION("""COMPUTED_VALUE"""),"ESCARCHA, MA ALMA  ESCOTO")</f>
        <v>ESCARCHA, MA ALMA  ESCOTO</v>
      </c>
      <c r="C2103" s="1" t="str">
        <f>IFERROR(__xludf.DUMMYFUNCTION("""COMPUTED_VALUE"""),"ORGANIC")</f>
        <v>ORGANIC</v>
      </c>
      <c r="D2103" s="1" t="str">
        <f>IFERROR(__xludf.DUMMYFUNCTION("""COMPUTED_VALUE"""),"REMOLLO LEA")</f>
        <v>REMOLLO LEA</v>
      </c>
      <c r="E2103" s="1" t="str">
        <f>IFERROR(__xludf.DUMMYFUNCTION("""COMPUTED_VALUE"""),"PLDT / H2H")</f>
        <v>PLDT / H2H</v>
      </c>
      <c r="F2103" s="1">
        <f>IFERROR(__xludf.DUMMYFUNCTION("""COMPUTED_VALUE"""),2310176713)</f>
        <v>2310176713</v>
      </c>
      <c r="G2103" s="1"/>
      <c r="H2103" s="1" t="str">
        <f>IFERROR(__xludf.DUMMYFUNCTION("""COMPUTED_VALUE"""),"MACEL BALDERAMA LUNA")</f>
        <v>MACEL BALDERAMA LUNA</v>
      </c>
      <c r="I2103" s="1">
        <f>IFERROR(__xludf.DUMMYFUNCTION("""COMPUTED_VALUE"""),9569855988)</f>
        <v>9569855988</v>
      </c>
      <c r="J2103" s="1"/>
      <c r="K2103" s="1" t="str">
        <f>IFERROR(__xludf.DUMMYFUNCTION("""COMPUTED_VALUE"""),"macel_balderama@yahoo.com")</f>
        <v>macel_balderama@yahoo.com</v>
      </c>
      <c r="L2103" s="1" t="str">
        <f>IFERROR(__xludf.DUMMYFUNCTION("""COMPUTED_VALUE"""),"38")</f>
        <v>38</v>
      </c>
      <c r="M2103" s="1" t="str">
        <f>IFERROR(__xludf.DUMMYFUNCTION("""COMPUTED_VALUE"""),"PUROK 99")</f>
        <v>PUROK 99</v>
      </c>
      <c r="N2103" s="1"/>
      <c r="O2103" s="1" t="str">
        <f>IFERROR(__xludf.DUMMYFUNCTION("""COMPUTED_VALUE"""),"MAHARLIKA WEST")</f>
        <v>MAHARLIKA WEST</v>
      </c>
      <c r="P2103" s="1" t="str">
        <f>IFERROR(__xludf.DUMMYFUNCTION("""COMPUTED_VALUE"""),"TAGAYTAY")</f>
        <v>TAGAYTAY</v>
      </c>
      <c r="Q2103" s="1" t="str">
        <f>IFERROR(__xludf.DUMMYFUNCTION("""COMPUTED_VALUE"""),"CAVITE")</f>
        <v>CAVITE</v>
      </c>
      <c r="R2103" s="1" t="str">
        <f>IFERROR(__xludf.DUMMYFUNCTION("""COMPUTED_VALUE"""),"FIBR PLAN 1299")</f>
        <v>FIBR PLAN 1299</v>
      </c>
      <c r="S2103" s="1" t="str">
        <f>IFERROR(__xludf.DUMMYFUNCTION("""COMPUTED_VALUE"""),"APPROVED")</f>
        <v>APPROVED</v>
      </c>
      <c r="T2103" s="1" t="str">
        <f>IFERROR(__xludf.DUMMYFUNCTION("""COMPUTED_VALUE"""),"#N/A")</f>
        <v>#N/A</v>
      </c>
      <c r="U2103" s="1"/>
      <c r="V2103" s="1"/>
      <c r="W2103" s="1"/>
    </row>
    <row r="2104" customHeight="1" spans="1:23">
      <c r="A2104" s="3">
        <f>IFERROR(__xludf.DUMMYFUNCTION("""COMPUTED_VALUE"""),46186)</f>
        <v>46186</v>
      </c>
      <c r="B2104" s="1" t="str">
        <f>IFERROR(__xludf.DUMMYFUNCTION("""COMPUTED_VALUE"""),"FERNANDEZ JERIC")</f>
        <v>FERNANDEZ JERIC</v>
      </c>
      <c r="C2104" s="1" t="str">
        <f>IFERROR(__xludf.DUMMYFUNCTION("""COMPUTED_VALUE"""),"ORGANIC")</f>
        <v>ORGANIC</v>
      </c>
      <c r="D2104" s="1" t="str">
        <f>IFERROR(__xludf.DUMMYFUNCTION("""COMPUTED_VALUE"""),"REMOLLO LEA")</f>
        <v>REMOLLO LEA</v>
      </c>
      <c r="E2104" s="1" t="str">
        <f>IFERROR(__xludf.DUMMYFUNCTION("""COMPUTED_VALUE"""),"PLDT / ONLINE")</f>
        <v>PLDT / ONLINE</v>
      </c>
      <c r="F2104" s="1">
        <f>IFERROR(__xludf.DUMMYFUNCTION("""COMPUTED_VALUE"""),2310181265)</f>
        <v>2310181265</v>
      </c>
      <c r="G2104" s="1"/>
      <c r="H2104" s="1" t="str">
        <f>IFERROR(__xludf.DUMMYFUNCTION("""COMPUTED_VALUE"""),"APRIL ANN BARBOSA EUPENIA")</f>
        <v>APRIL ANN BARBOSA EUPENIA</v>
      </c>
      <c r="I2104" s="1">
        <f>IFERROR(__xludf.DUMMYFUNCTION("""COMPUTED_VALUE"""),9641553252)</f>
        <v>9641553252</v>
      </c>
      <c r="J2104" s="1"/>
      <c r="K2104" s="1" t="str">
        <f>IFERROR(__xludf.DUMMYFUNCTION("""COMPUTED_VALUE"""),"eupeniamonsito07@gmail.com")</f>
        <v>eupeniamonsito07@gmail.com</v>
      </c>
      <c r="L2104" s="1" t="str">
        <f>IFERROR(__xludf.DUMMYFUNCTION("""COMPUTED_VALUE"""),"BLK 9")</f>
        <v>BLK 9</v>
      </c>
      <c r="M2104" s="1" t="str">
        <f>IFERROR(__xludf.DUMMYFUNCTION("""COMPUTED_VALUE"""),"EXCESS LOT")</f>
        <v>EXCESS LOT</v>
      </c>
      <c r="N2104" s="1" t="str">
        <f>IFERROR(__xludf.DUMMYFUNCTION("""COMPUTED_VALUE"""),"AREA F")</f>
        <v>AREA F</v>
      </c>
      <c r="O2104" s="1" t="str">
        <f>IFERROR(__xludf.DUMMYFUNCTION("""COMPUTED_VALUE"""),"KAPITAN KUA (AREA F)")</f>
        <v>KAPITAN KUA (AREA F)</v>
      </c>
      <c r="P2104" s="1" t="str">
        <f>IFERROR(__xludf.DUMMYFUNCTION("""COMPUTED_VALUE"""),"GEN MARIANO ALVAREZ")</f>
        <v>GEN MARIANO ALVAREZ</v>
      </c>
      <c r="Q2104" s="1" t="str">
        <f>IFERROR(__xludf.DUMMYFUNCTION("""COMPUTED_VALUE"""),"CAVITE")</f>
        <v>CAVITE</v>
      </c>
      <c r="R2104" s="1" t="str">
        <f>IFERROR(__xludf.DUMMYFUNCTION("""COMPUTED_VALUE"""),"FIBR UNLI ALL PLAN 999")</f>
        <v>FIBR UNLI ALL PLAN 999</v>
      </c>
      <c r="S2104" s="1" t="str">
        <f>IFERROR(__xludf.DUMMYFUNCTION("""COMPUTED_VALUE"""),"APPROVED")</f>
        <v>APPROVED</v>
      </c>
      <c r="T2104" s="1" t="str">
        <f>IFERROR(__xludf.DUMMYFUNCTION("""COMPUTED_VALUE"""),"#N/A")</f>
        <v>#N/A</v>
      </c>
      <c r="U2104" s="1" t="str">
        <f>IFERROR(__xludf.DUMMYFUNCTION("""COMPUTED_VALUE"""),"POSTED")</f>
        <v>POSTED</v>
      </c>
      <c r="V2104" s="1"/>
      <c r="W2104" s="1"/>
    </row>
    <row r="2105" customHeight="1" spans="1:23">
      <c r="A2105" s="3">
        <f>IFERROR(__xludf.DUMMYFUNCTION("""COMPUTED_VALUE"""),46186)</f>
        <v>46186</v>
      </c>
      <c r="B2105" s="1" t="str">
        <f>IFERROR(__xludf.DUMMYFUNCTION("""COMPUTED_VALUE"""),"DELA ROSA, JENNELYN")</f>
        <v>DELA ROSA, JENNELYN</v>
      </c>
      <c r="C2105" s="1" t="str">
        <f>IFERROR(__xludf.DUMMYFUNCTION("""COMPUTED_VALUE"""),"ORGANIC")</f>
        <v>ORGANIC</v>
      </c>
      <c r="D2105" s="1" t="str">
        <f>IFERROR(__xludf.DUMMYFUNCTION("""COMPUTED_VALUE"""),"REMOLLO LEA")</f>
        <v>REMOLLO LEA</v>
      </c>
      <c r="E2105" s="1" t="str">
        <f>IFERROR(__xludf.DUMMYFUNCTION("""COMPUTED_VALUE"""),"RED FIBER")</f>
        <v>RED FIBER</v>
      </c>
      <c r="F2105" s="1"/>
      <c r="G2105" s="1"/>
      <c r="H2105" s="1" t="str">
        <f>IFERROR(__xludf.DUMMYFUNCTION("""COMPUTED_VALUE"""),"AIZLE JOY MAGNAYE LOYOLA")</f>
        <v>AIZLE JOY MAGNAYE LOYOLA</v>
      </c>
      <c r="I2105" s="1">
        <f>IFERROR(__xludf.DUMMYFUNCTION("""COMPUTED_VALUE"""),9568973446)</f>
        <v>9568973446</v>
      </c>
      <c r="J2105" s="1">
        <f>IFERROR(__xludf.DUMMYFUNCTION("""COMPUTED_VALUE"""),9958107839)</f>
        <v>9958107839</v>
      </c>
      <c r="K2105" s="1" t="str">
        <f>IFERROR(__xludf.DUMMYFUNCTION("""COMPUTED_VALUE"""),"aizlejoymagnaye@gmail.com")</f>
        <v>aizlejoymagnaye@gmail.com</v>
      </c>
      <c r="L2105" s="1" t="str">
        <f>IFERROR(__xludf.DUMMYFUNCTION("""COMPUTED_VALUE"""),"175")</f>
        <v>175</v>
      </c>
      <c r="M2105" s="1" t="str">
        <f>IFERROR(__xludf.DUMMYFUNCTION("""COMPUTED_VALUE"""),"PUROK 6")</f>
        <v>PUROK 6</v>
      </c>
      <c r="N2105" s="1"/>
      <c r="O2105" s="1" t="str">
        <f>IFERROR(__xludf.DUMMYFUNCTION("""COMPUTED_VALUE"""),"ULAT")</f>
        <v>ULAT</v>
      </c>
      <c r="P2105" s="1" t="str">
        <f>IFERROR(__xludf.DUMMYFUNCTION("""COMPUTED_VALUE"""),"SILANG")</f>
        <v>SILANG</v>
      </c>
      <c r="Q2105" s="1" t="str">
        <f>IFERROR(__xludf.DUMMYFUNCTION("""COMPUTED_VALUE"""),"CAVITE")</f>
        <v>CAVITE</v>
      </c>
      <c r="R2105" s="1" t="str">
        <f>IFERROR(__xludf.DUMMYFUNCTION("""COMPUTED_VALUE"""),"RED PLAN 1000")</f>
        <v>RED PLAN 1000</v>
      </c>
      <c r="S2105" s="1" t="str">
        <f>IFERROR(__xludf.DUMMYFUNCTION("""COMPUTED_VALUE"""),"APPROVED")</f>
        <v>APPROVED</v>
      </c>
      <c r="T2105" s="1" t="str">
        <f>IFERROR(__xludf.DUMMYFUNCTION("""COMPUTED_VALUE"""),"PAID")</f>
        <v>PAID</v>
      </c>
      <c r="U2105" s="1" t="str">
        <f>IFERROR(__xludf.DUMMYFUNCTION("""COMPUTED_VALUE"""),"POSTED")</f>
        <v>POSTED</v>
      </c>
      <c r="V2105" s="1"/>
      <c r="W2105" s="1"/>
    </row>
    <row r="2106" customHeight="1" spans="1:23">
      <c r="A2106" s="3">
        <f>IFERROR(__xludf.DUMMYFUNCTION("""COMPUTED_VALUE"""),46186)</f>
        <v>46186</v>
      </c>
      <c r="B2106" s="1" t="str">
        <f>IFERROR(__xludf.DUMMYFUNCTION("""COMPUTED_VALUE"""),"REMOLLO, LEA")</f>
        <v>REMOLLO, LEA</v>
      </c>
      <c r="C2106" s="1" t="str">
        <f>IFERROR(__xludf.DUMMYFUNCTION("""COMPUTED_VALUE"""),"FLA")</f>
        <v>FLA</v>
      </c>
      <c r="D2106" s="1" t="str">
        <f>IFERROR(__xludf.DUMMYFUNCTION("""COMPUTED_VALUE"""),"JERIC NAVARRO")</f>
        <v>JERIC NAVARRO</v>
      </c>
      <c r="E2106" s="1" t="str">
        <f>IFERROR(__xludf.DUMMYFUNCTION("""COMPUTED_VALUE"""),"PLDT / ONLINE")</f>
        <v>PLDT / ONLINE</v>
      </c>
      <c r="F2106" s="1">
        <f>IFERROR(__xludf.DUMMYFUNCTION("""COMPUTED_VALUE"""),2310178905)</f>
        <v>2310178905</v>
      </c>
      <c r="G2106" s="1"/>
      <c r="H2106" s="1" t="str">
        <f>IFERROR(__xludf.DUMMYFUNCTION("""COMPUTED_VALUE"""),"ARLENE GONZALES BERNARDO")</f>
        <v>ARLENE GONZALES BERNARDO</v>
      </c>
      <c r="I2106" s="1">
        <f>IFERROR(__xludf.DUMMYFUNCTION("""COMPUTED_VALUE"""),9053577902)</f>
        <v>9053577902</v>
      </c>
      <c r="J2106" s="1"/>
      <c r="K2106" s="1" t="str">
        <f>IFERROR(__xludf.DUMMYFUNCTION("""COMPUTED_VALUE"""),"arlene.bernardo.ab@gmail.com")</f>
        <v>arlene.bernardo.ab@gmail.com</v>
      </c>
      <c r="L2106" s="1" t="str">
        <f>IFERROR(__xludf.DUMMYFUNCTION("""COMPUTED_VALUE"""),"2064")</f>
        <v>2064</v>
      </c>
      <c r="M2106" s="1" t="str">
        <f>IFERROR(__xludf.DUMMYFUNCTION("""COMPUTED_VALUE"""),"ELEVE HOMES")</f>
        <v>ELEVE HOMES</v>
      </c>
      <c r="N2106" s="1"/>
      <c r="O2106" s="1" t="str">
        <f>IFERROR(__xludf.DUMMYFUNCTION("""COMPUTED_VALUE"""),"MAHARLIKA WEST")</f>
        <v>MAHARLIKA WEST</v>
      </c>
      <c r="P2106" s="1" t="str">
        <f>IFERROR(__xludf.DUMMYFUNCTION("""COMPUTED_VALUE"""),"TAGAYTAY")</f>
        <v>TAGAYTAY</v>
      </c>
      <c r="Q2106" s="1" t="str">
        <f>IFERROR(__xludf.DUMMYFUNCTION("""COMPUTED_VALUE"""),"CAVITE")</f>
        <v>CAVITE</v>
      </c>
      <c r="R2106" s="1" t="str">
        <f>IFERROR(__xludf.DUMMYFUNCTION("""COMPUTED_VALUE"""),"FIBR PLAN 1299")</f>
        <v>FIBR PLAN 1299</v>
      </c>
      <c r="S2106" s="1" t="str">
        <f>IFERROR(__xludf.DUMMYFUNCTION("""COMPUTED_VALUE"""),"APPROVED")</f>
        <v>APPROVED</v>
      </c>
      <c r="T2106" s="1" t="str">
        <f>IFERROR(__xludf.DUMMYFUNCTION("""COMPUTED_VALUE"""),"#N/A")</f>
        <v>#N/A</v>
      </c>
      <c r="U2106" s="1" t="str">
        <f>IFERROR(__xludf.DUMMYFUNCTION("""COMPUTED_VALUE"""),"POSTED")</f>
        <v>POSTED</v>
      </c>
      <c r="V2106" s="1"/>
      <c r="W2106" s="1"/>
    </row>
    <row r="2107" customHeight="1" spans="1:23">
      <c r="A2107" s="3">
        <f>IFERROR(__xludf.DUMMYFUNCTION("""COMPUTED_VALUE"""),46186)</f>
        <v>46186</v>
      </c>
      <c r="B2107" s="1" t="str">
        <f>IFERROR(__xludf.DUMMYFUNCTION("""COMPUTED_VALUE"""),"FRANCISCO , ROSELYN")</f>
        <v>FRANCISCO , ROSELYN</v>
      </c>
      <c r="C2107" s="1" t="str">
        <f>IFERROR(__xludf.DUMMYFUNCTION("""COMPUTED_VALUE"""),"ORGANIC")</f>
        <v>ORGANIC</v>
      </c>
      <c r="D2107" s="1" t="str">
        <f>IFERROR(__xludf.DUMMYFUNCTION("""COMPUTED_VALUE"""),"REMOLLO LEA")</f>
        <v>REMOLLO LEA</v>
      </c>
      <c r="E2107" s="1" t="str">
        <f>IFERROR(__xludf.DUMMYFUNCTION("""COMPUTED_VALUE"""),"PLDT / ONLINE")</f>
        <v>PLDT / ONLINE</v>
      </c>
      <c r="F2107" s="1">
        <f>IFERROR(__xludf.DUMMYFUNCTION("""COMPUTED_VALUE"""),2310180506)</f>
        <v>2310180506</v>
      </c>
      <c r="G2107" s="1"/>
      <c r="H2107" s="1" t="str">
        <f>IFERROR(__xludf.DUMMYFUNCTION("""COMPUTED_VALUE"""),"KAREN JAYCO VALENCIA")</f>
        <v>KAREN JAYCO VALENCIA</v>
      </c>
      <c r="I2107" s="1">
        <f>IFERROR(__xludf.DUMMYFUNCTION("""COMPUTED_VALUE"""),9939149336)</f>
        <v>9939149336</v>
      </c>
      <c r="J2107" s="1">
        <f>IFERROR(__xludf.DUMMYFUNCTION("""COMPUTED_VALUE"""),9661457186)</f>
        <v>9661457186</v>
      </c>
      <c r="K2107" s="1" t="str">
        <f>IFERROR(__xludf.DUMMYFUNCTION("""COMPUTED_VALUE"""),"karenvalencia120501@gmail.com")</f>
        <v>karenvalencia120501@gmail.com</v>
      </c>
      <c r="L2107" s="1" t="str">
        <f>IFERROR(__xludf.DUMMYFUNCTION("""COMPUTED_VALUE"""),"BLK 65 LOT 105")</f>
        <v>BLK 65 LOT 105</v>
      </c>
      <c r="M2107" s="1" t="str">
        <f>IFERROR(__xludf.DUMMYFUNCTION("""COMPUTED_VALUE"""),"CLUSTER 5")</f>
        <v>CLUSTER 5</v>
      </c>
      <c r="N2107" s="1" t="str">
        <f>IFERROR(__xludf.DUMMYFUNCTION("""COMPUTED_VALUE"""),"BELLA VISTA")</f>
        <v>BELLA VISTA</v>
      </c>
      <c r="O2107" s="1" t="str">
        <f>IFERROR(__xludf.DUMMYFUNCTION("""COMPUTED_VALUE"""),"SANTIAGO")</f>
        <v>SANTIAGO</v>
      </c>
      <c r="P2107" s="1" t="str">
        <f>IFERROR(__xludf.DUMMYFUNCTION("""COMPUTED_VALUE"""),"GENERAL TRIAS")</f>
        <v>GENERAL TRIAS</v>
      </c>
      <c r="Q2107" s="1" t="str">
        <f>IFERROR(__xludf.DUMMYFUNCTION("""COMPUTED_VALUE"""),"CAVITE")</f>
        <v>CAVITE</v>
      </c>
      <c r="R2107" s="1" t="str">
        <f>IFERROR(__xludf.DUMMYFUNCTION("""COMPUTED_VALUE"""),"FIBR UNLI ALL PLAN 1799")</f>
        <v>FIBR UNLI ALL PLAN 1799</v>
      </c>
      <c r="S2107" s="1" t="str">
        <f>IFERROR(__xludf.DUMMYFUNCTION("""COMPUTED_VALUE"""),"APPROVED")</f>
        <v>APPROVED</v>
      </c>
      <c r="T2107" s="1" t="str">
        <f>IFERROR(__xludf.DUMMYFUNCTION("""COMPUTED_VALUE"""),"#N/A")</f>
        <v>#N/A</v>
      </c>
      <c r="U2107" s="1" t="str">
        <f>IFERROR(__xludf.DUMMYFUNCTION("""COMPUTED_VALUE"""),"POSTED")</f>
        <v>POSTED</v>
      </c>
      <c r="V2107" s="1"/>
      <c r="W2107" s="1"/>
    </row>
    <row r="2108" customHeight="1" spans="1:23">
      <c r="A2108" s="3">
        <f>IFERROR(__xludf.DUMMYFUNCTION("""COMPUTED_VALUE"""),46186)</f>
        <v>46186</v>
      </c>
      <c r="B2108" s="1" t="str">
        <f>IFERROR(__xludf.DUMMYFUNCTION("""COMPUTED_VALUE"""),"AGUNOS, JHON AIRVIN")</f>
        <v>AGUNOS, JHON AIRVIN</v>
      </c>
      <c r="C2108" s="1" t="str">
        <f>IFERROR(__xludf.DUMMYFUNCTION("""COMPUTED_VALUE"""),"ORGANIC")</f>
        <v>ORGANIC</v>
      </c>
      <c r="D2108" s="1" t="str">
        <f>IFERROR(__xludf.DUMMYFUNCTION("""COMPUTED_VALUE"""),"REMOLLO LEA")</f>
        <v>REMOLLO LEA</v>
      </c>
      <c r="E2108" s="1" t="str">
        <f>IFERROR(__xludf.DUMMYFUNCTION("""COMPUTED_VALUE"""),"PLDT / ONLINE")</f>
        <v>PLDT / ONLINE</v>
      </c>
      <c r="F2108" s="1">
        <f>IFERROR(__xludf.DUMMYFUNCTION("""COMPUTED_VALUE"""),2310192278)</f>
        <v>2310192278</v>
      </c>
      <c r="G2108" s="1"/>
      <c r="H2108" s="1" t="str">
        <f>IFERROR(__xludf.DUMMYFUNCTION("""COMPUTED_VALUE"""),"ALVIN MARAGUIS PRESTO")</f>
        <v>ALVIN MARAGUIS PRESTO</v>
      </c>
      <c r="I2108" s="1">
        <f>IFERROR(__xludf.DUMMYFUNCTION("""COMPUTED_VALUE"""),9462387634)</f>
        <v>9462387634</v>
      </c>
      <c r="J2108" s="1">
        <f>IFERROR(__xludf.DUMMYFUNCTION("""COMPUTED_VALUE"""),9637173854)</f>
        <v>9637173854</v>
      </c>
      <c r="K2108" s="1" t="str">
        <f>IFERROR(__xludf.DUMMYFUNCTION("""COMPUTED_VALUE"""),"lvnpresto@gmail.com")</f>
        <v>lvnpresto@gmail.com</v>
      </c>
      <c r="L2108" s="1" t="str">
        <f>IFERROR(__xludf.DUMMYFUNCTION("""COMPUTED_VALUE"""),"78")</f>
        <v>78</v>
      </c>
      <c r="M2108" s="1" t="str">
        <f>IFERROR(__xludf.DUMMYFUNCTION("""COMPUTED_VALUE"""),"PUROK 49")</f>
        <v>PUROK 49</v>
      </c>
      <c r="N2108" s="1"/>
      <c r="O2108" s="1" t="str">
        <f>IFERROR(__xludf.DUMMYFUNCTION("""COMPUTED_VALUE"""),"IRUHIN WEST")</f>
        <v>IRUHIN WEST</v>
      </c>
      <c r="P2108" s="1" t="str">
        <f>IFERROR(__xludf.DUMMYFUNCTION("""COMPUTED_VALUE"""),"TAGAYTAY")</f>
        <v>TAGAYTAY</v>
      </c>
      <c r="Q2108" s="1" t="str">
        <f>IFERROR(__xludf.DUMMYFUNCTION("""COMPUTED_VALUE"""),"CAVITE")</f>
        <v>CAVITE</v>
      </c>
      <c r="R2108" s="1" t="str">
        <f>IFERROR(__xludf.DUMMYFUNCTION("""COMPUTED_VALUE"""),"FIBR PLAN 1299")</f>
        <v>FIBR PLAN 1299</v>
      </c>
      <c r="S2108" s="1" t="str">
        <f>IFERROR(__xludf.DUMMYFUNCTION("""COMPUTED_VALUE"""),"APPROVED")</f>
        <v>APPROVED</v>
      </c>
      <c r="T2108" s="1" t="str">
        <f>IFERROR(__xludf.DUMMYFUNCTION("""COMPUTED_VALUE"""),"#N/A")</f>
        <v>#N/A</v>
      </c>
      <c r="U2108" s="1"/>
      <c r="V2108" s="1"/>
      <c r="W2108" s="1"/>
    </row>
    <row r="2109" customHeight="1" spans="1:23">
      <c r="A2109" s="3">
        <f>IFERROR(__xludf.DUMMYFUNCTION("""COMPUTED_VALUE"""),46186)</f>
        <v>46186</v>
      </c>
      <c r="B2109" s="1" t="str">
        <f>IFERROR(__xludf.DUMMYFUNCTION("""COMPUTED_VALUE"""),"LEADSTORE - ILANO, LIANDRO TEJAS")</f>
        <v>LEADSTORE - ILANO, LIANDRO TEJAS</v>
      </c>
      <c r="C2109" s="1" t="str">
        <f>IFERROR(__xludf.DUMMYFUNCTION("""COMPUTED_VALUE"""),"LEADSTORE")</f>
        <v>LEADSTORE</v>
      </c>
      <c r="D2109" s="1" t="str">
        <f>IFERROR(__xludf.DUMMYFUNCTION("""COMPUTED_VALUE"""),"JERIC NAVARRO")</f>
        <v>JERIC NAVARRO</v>
      </c>
      <c r="E2109" s="1" t="str">
        <f>IFERROR(__xludf.DUMMYFUNCTION("""COMPUTED_VALUE"""),"PLDT / ONLINE")</f>
        <v>PLDT / ONLINE</v>
      </c>
      <c r="F2109" s="1">
        <f>IFERROR(__xludf.DUMMYFUNCTION("""COMPUTED_VALUE"""),2310180830)</f>
        <v>2310180830</v>
      </c>
      <c r="G2109" s="1"/>
      <c r="H2109" s="1" t="str">
        <f>IFERROR(__xludf.DUMMYFUNCTION("""COMPUTED_VALUE"""),"GRACE MODRIGO CABALLERO")</f>
        <v>GRACE MODRIGO CABALLERO</v>
      </c>
      <c r="I2109" s="1">
        <f>IFERROR(__xludf.DUMMYFUNCTION("""COMPUTED_VALUE"""),9690338233)</f>
        <v>9690338233</v>
      </c>
      <c r="J2109" s="1">
        <f>IFERROR(__xludf.DUMMYFUNCTION("""COMPUTED_VALUE"""),9568091589)</f>
        <v>9568091589</v>
      </c>
      <c r="K2109" s="1" t="str">
        <f>IFERROR(__xludf.DUMMYFUNCTION("""COMPUTED_VALUE"""),"gracecaballero0227@gmail.com")</f>
        <v>gracecaballero0227@gmail.com</v>
      </c>
      <c r="L2109" s="1" t="str">
        <f>IFERROR(__xludf.DUMMYFUNCTION("""COMPUTED_VALUE"""),"BLK L19")</f>
        <v>BLK L19</v>
      </c>
      <c r="M2109" s="1" t="str">
        <f>IFERROR(__xludf.DUMMYFUNCTION("""COMPUTED_VALUE"""),"CLUSTER L")</f>
        <v>CLUSTER L</v>
      </c>
      <c r="N2109" s="1"/>
      <c r="O2109" s="1" t="str">
        <f>IFERROR(__xludf.DUMMYFUNCTION("""COMPUTED_VALUE"""),"EMMANUEL BERGADO I")</f>
        <v>EMMANUEL BERGADO I</v>
      </c>
      <c r="P2109" s="1" t="str">
        <f>IFERROR(__xludf.DUMMYFUNCTION("""COMPUTED_VALUE"""),"DASMARINAS")</f>
        <v>DASMARINAS</v>
      </c>
      <c r="Q2109" s="1" t="str">
        <f>IFERROR(__xludf.DUMMYFUNCTION("""COMPUTED_VALUE"""),"CAVITE")</f>
        <v>CAVITE</v>
      </c>
      <c r="R2109" s="1" t="str">
        <f>IFERROR(__xludf.DUMMYFUNCTION("""COMPUTED_VALUE"""),"FIBR UNLI ALL PLAN 1399")</f>
        <v>FIBR UNLI ALL PLAN 1399</v>
      </c>
      <c r="S2109" s="1" t="str">
        <f>IFERROR(__xludf.DUMMYFUNCTION("""COMPUTED_VALUE"""),"APPROVED")</f>
        <v>APPROVED</v>
      </c>
      <c r="T2109" s="1" t="str">
        <f>IFERROR(__xludf.DUMMYFUNCTION("""COMPUTED_VALUE"""),"#N/A")</f>
        <v>#N/A</v>
      </c>
      <c r="U2109" s="1"/>
      <c r="V2109" s="1"/>
      <c r="W2109" s="1"/>
    </row>
    <row r="2110" customHeight="1" spans="1:23">
      <c r="A2110" s="3">
        <f>IFERROR(__xludf.DUMMYFUNCTION("""COMPUTED_VALUE"""),46186)</f>
        <v>46186</v>
      </c>
      <c r="B2110" s="1" t="str">
        <f>IFERROR(__xludf.DUMMYFUNCTION("""COMPUTED_VALUE"""),"FRANCISCO , ROSELYN")</f>
        <v>FRANCISCO , ROSELYN</v>
      </c>
      <c r="C2110" s="1" t="str">
        <f>IFERROR(__xludf.DUMMYFUNCTION("""COMPUTED_VALUE"""),"ORGANIC")</f>
        <v>ORGANIC</v>
      </c>
      <c r="D2110" s="1" t="str">
        <f>IFERROR(__xludf.DUMMYFUNCTION("""COMPUTED_VALUE"""),"REMOLLO LEA")</f>
        <v>REMOLLO LEA</v>
      </c>
      <c r="E2110" s="1" t="str">
        <f>IFERROR(__xludf.DUMMYFUNCTION("""COMPUTED_VALUE"""),"PLDT / ONLINE")</f>
        <v>PLDT / ONLINE</v>
      </c>
      <c r="F2110" s="1">
        <f>IFERROR(__xludf.DUMMYFUNCTION("""COMPUTED_VALUE"""),2310181588)</f>
        <v>2310181588</v>
      </c>
      <c r="G2110" s="1">
        <f>IFERROR(__xludf.DUMMYFUNCTION("""COMPUTED_VALUE"""),458488835004)</f>
        <v>458488835004</v>
      </c>
      <c r="H2110" s="1" t="str">
        <f>IFERROR(__xludf.DUMMYFUNCTION("""COMPUTED_VALUE"""),"LAIZZA LYANNE SUMANG GUICO")</f>
        <v>LAIZZA LYANNE SUMANG GUICO</v>
      </c>
      <c r="I2110" s="1">
        <f>IFERROR(__xludf.DUMMYFUNCTION("""COMPUTED_VALUE"""),9662363443)</f>
        <v>9662363443</v>
      </c>
      <c r="J2110" s="1">
        <f>IFERROR(__xludf.DUMMYFUNCTION("""COMPUTED_VALUE"""),9562455634)</f>
        <v>9562455634</v>
      </c>
      <c r="K2110" s="1" t="str">
        <f>IFERROR(__xludf.DUMMYFUNCTION("""COMPUTED_VALUE"""),"guico.laizza.lyanne.333@gmail.com")</f>
        <v>guico.laizza.lyanne.333@gmail.com</v>
      </c>
      <c r="L2110" s="1" t="str">
        <f>IFERROR(__xludf.DUMMYFUNCTION("""COMPUTED_VALUE"""),"38")</f>
        <v>38</v>
      </c>
      <c r="M2110" s="1" t="str">
        <f>IFERROR(__xludf.DUMMYFUNCTION("""COMPUTED_VALUE"""),"SITIO BAGONG POOK")</f>
        <v>SITIO BAGONG POOK</v>
      </c>
      <c r="N2110" s="1"/>
      <c r="O2110" s="1"/>
      <c r="P2110" s="1"/>
      <c r="Q2110" s="1" t="str">
        <f>IFERROR(__xludf.DUMMYFUNCTION("""COMPUTED_VALUE"""),"BATANGAS")</f>
        <v>BATANGAS</v>
      </c>
      <c r="R2110" s="1" t="str">
        <f>IFERROR(__xludf.DUMMYFUNCTION("""COMPUTED_VALUE"""),"FIBR PLAN 1299")</f>
        <v>FIBR PLAN 1299</v>
      </c>
      <c r="S2110" s="1" t="str">
        <f>IFERROR(__xludf.DUMMYFUNCTION("""COMPUTED_VALUE"""),"APPROVED")</f>
        <v>APPROVED</v>
      </c>
      <c r="T2110" s="1" t="str">
        <f>IFERROR(__xludf.DUMMYFUNCTION("""COMPUTED_VALUE"""),"CLOSED")</f>
        <v>CLOSED</v>
      </c>
      <c r="U2110" s="1" t="str">
        <f>IFERROR(__xludf.DUMMYFUNCTION("""COMPUTED_VALUE"""),"POSTED")</f>
        <v>POSTED</v>
      </c>
      <c r="V2110" s="1"/>
      <c r="W2110" s="1"/>
    </row>
    <row r="2111" customHeight="1" spans="1:23">
      <c r="A2111" s="3">
        <f>IFERROR(__xludf.DUMMYFUNCTION("""COMPUTED_VALUE"""),46187)</f>
        <v>46187</v>
      </c>
      <c r="B2111" s="1" t="str">
        <f>IFERROR(__xludf.DUMMYFUNCTION("""COMPUTED_VALUE"""),"GABAY, MANUEL")</f>
        <v>GABAY, MANUEL</v>
      </c>
      <c r="C2111" s="1" t="str">
        <f>IFERROR(__xludf.DUMMYFUNCTION("""COMPUTED_VALUE"""),"FLA")</f>
        <v>FLA</v>
      </c>
      <c r="D2111" s="1" t="str">
        <f>IFERROR(__xludf.DUMMYFUNCTION("""COMPUTED_VALUE"""),"JERIC NAVARRO")</f>
        <v>JERIC NAVARRO</v>
      </c>
      <c r="E2111" s="1" t="str">
        <f>IFERROR(__xludf.DUMMYFUNCTION("""COMPUTED_VALUE"""),"PLDT / H2H")</f>
        <v>PLDT / H2H</v>
      </c>
      <c r="F2111" s="1">
        <f>IFERROR(__xludf.DUMMYFUNCTION("""COMPUTED_VALUE"""),2310193154)</f>
        <v>2310193154</v>
      </c>
      <c r="G2111" s="1"/>
      <c r="H2111" s="1" t="str">
        <f>IFERROR(__xludf.DUMMYFUNCTION("""COMPUTED_VALUE"""),"MARLENE PADILLA BONABON")</f>
        <v>MARLENE PADILLA BONABON</v>
      </c>
      <c r="I2111" s="1">
        <f>IFERROR(__xludf.DUMMYFUNCTION("""COMPUTED_VALUE"""),9512715141)</f>
        <v>9512715141</v>
      </c>
      <c r="J2111" s="1">
        <f>IFERROR(__xludf.DUMMYFUNCTION("""COMPUTED_VALUE"""),9611592484)</f>
        <v>9611592484</v>
      </c>
      <c r="K2111" s="1" t="str">
        <f>IFERROR(__xludf.DUMMYFUNCTION("""COMPUTED_VALUE"""),"bonabonmarlene164@gmail.com")</f>
        <v>bonabonmarlene164@gmail.com</v>
      </c>
      <c r="L2111" s="1" t="str">
        <f>IFERROR(__xludf.DUMMYFUNCTION("""COMPUTED_VALUE"""),"307")</f>
        <v>307</v>
      </c>
      <c r="M2111" s="1" t="str">
        <f>IFERROR(__xludf.DUMMYFUNCTION("""COMPUTED_VALUE"""),"SAN PEDRO RD")</f>
        <v>SAN PEDRO RD</v>
      </c>
      <c r="N2111" s="1"/>
      <c r="O2111" s="1" t="str">
        <f>IFERROR(__xludf.DUMMYFUNCTION("""COMPUTED_VALUE"""),"BUKAL")</f>
        <v>BUKAL</v>
      </c>
      <c r="P2111" s="1" t="str">
        <f>IFERROR(__xludf.DUMMYFUNCTION("""COMPUTED_VALUE"""),"MENDEZ")</f>
        <v>MENDEZ</v>
      </c>
      <c r="Q2111" s="1" t="str">
        <f>IFERROR(__xludf.DUMMYFUNCTION("""COMPUTED_VALUE"""),"CAVITE")</f>
        <v>CAVITE</v>
      </c>
      <c r="R2111" s="1" t="str">
        <f>IFERROR(__xludf.DUMMYFUNCTION("""COMPUTED_VALUE"""),"FIBR UNLI ALL PLAN 1399")</f>
        <v>FIBR UNLI ALL PLAN 1399</v>
      </c>
      <c r="S2111" s="1" t="str">
        <f>IFERROR(__xludf.DUMMYFUNCTION("""COMPUTED_VALUE"""),"APPROVED")</f>
        <v>APPROVED</v>
      </c>
      <c r="T2111" s="1" t="str">
        <f>IFERROR(__xludf.DUMMYFUNCTION("""COMPUTED_VALUE"""),"#N/A")</f>
        <v>#N/A</v>
      </c>
      <c r="U2111" s="1" t="str">
        <f>IFERROR(__xludf.DUMMYFUNCTION("""COMPUTED_VALUE"""),"POSTED")</f>
        <v>POSTED</v>
      </c>
      <c r="V2111" s="1"/>
      <c r="W2111" s="1"/>
    </row>
    <row r="2112" customHeight="1" spans="1:23">
      <c r="A2112" s="3">
        <f>IFERROR(__xludf.DUMMYFUNCTION("""COMPUTED_VALUE"""),46187)</f>
        <v>46187</v>
      </c>
      <c r="B2112" s="1" t="str">
        <f>IFERROR(__xludf.DUMMYFUNCTION("""COMPUTED_VALUE"""),"RIVERA, AIRIZH JOY")</f>
        <v>RIVERA, AIRIZH JOY</v>
      </c>
      <c r="C2112" s="1" t="str">
        <f>IFERROR(__xludf.DUMMYFUNCTION("""COMPUTED_VALUE"""),"ORGANIC")</f>
        <v>ORGANIC</v>
      </c>
      <c r="D2112" s="1" t="str">
        <f>IFERROR(__xludf.DUMMYFUNCTION("""COMPUTED_VALUE"""),"REMOLLO LEA")</f>
        <v>REMOLLO LEA</v>
      </c>
      <c r="E2112" s="1" t="str">
        <f>IFERROR(__xludf.DUMMYFUNCTION("""COMPUTED_VALUE"""),"PLDT / ONLINE")</f>
        <v>PLDT / ONLINE</v>
      </c>
      <c r="F2112" s="1">
        <f>IFERROR(__xludf.DUMMYFUNCTION("""COMPUTED_VALUE"""),2310422518)</f>
        <v>2310422518</v>
      </c>
      <c r="G2112" s="1">
        <f>IFERROR(__xludf.DUMMYFUNCTION("""COMPUTED_VALUE"""),459779438004)</f>
        <v>459779438004</v>
      </c>
      <c r="H2112" s="1" t="str">
        <f>IFERROR(__xludf.DUMMYFUNCTION("""COMPUTED_VALUE"""),"FLUGENCIO JR BALDECANAS GABRILLO")</f>
        <v>FLUGENCIO JR BALDECANAS GABRILLO</v>
      </c>
      <c r="I2112" s="1">
        <f>IFERROR(__xludf.DUMMYFUNCTION("""COMPUTED_VALUE"""),9454657591)</f>
        <v>9454657591</v>
      </c>
      <c r="J2112" s="1">
        <f>IFERROR(__xludf.DUMMYFUNCTION("""COMPUTED_VALUE"""),9709379668)</f>
        <v>9709379668</v>
      </c>
      <c r="K2112" s="1" t="str">
        <f>IFERROR(__xludf.DUMMYFUNCTION("""COMPUTED_VALUE"""),"dekalistaadvertising@gmail.com")</f>
        <v>dekalistaadvertising@gmail.com</v>
      </c>
      <c r="L2112" s="1" t="str">
        <f>IFERROR(__xludf.DUMMYFUNCTION("""COMPUTED_VALUE"""),"BLK 7")</f>
        <v>BLK 7</v>
      </c>
      <c r="M2112" s="1" t="str">
        <f>IFERROR(__xludf.DUMMYFUNCTION("""COMPUTED_VALUE"""),"EXCESS LOT")</f>
        <v>EXCESS LOT</v>
      </c>
      <c r="N2112" s="1"/>
      <c r="O2112" s="1" t="str">
        <f>IFERROR(__xludf.DUMMYFUNCTION("""COMPUTED_VALUE"""),"BANABA")</f>
        <v>BANABA</v>
      </c>
      <c r="P2112" s="1" t="str">
        <f>IFERROR(__xludf.DUMMYFUNCTION("""COMPUTED_VALUE"""),"SILANG")</f>
        <v>SILANG</v>
      </c>
      <c r="Q2112" s="1" t="str">
        <f>IFERROR(__xludf.DUMMYFUNCTION("""COMPUTED_VALUE"""),"CAVITE")</f>
        <v>CAVITE</v>
      </c>
      <c r="R2112" s="1" t="str">
        <f>IFERROR(__xludf.DUMMYFUNCTION("""COMPUTED_VALUE"""),"FIBR UNLI ALL PLAN 999")</f>
        <v>FIBR UNLI ALL PLAN 999</v>
      </c>
      <c r="S2112" s="1" t="str">
        <f>IFERROR(__xludf.DUMMYFUNCTION("""COMPUTED_VALUE"""),"APPROVED")</f>
        <v>APPROVED</v>
      </c>
      <c r="T2112" s="1" t="str">
        <f>IFERROR(__xludf.DUMMYFUNCTION("""COMPUTED_VALUE"""),"#N/A")</f>
        <v>#N/A</v>
      </c>
      <c r="U2112" s="1" t="str">
        <f>IFERROR(__xludf.DUMMYFUNCTION("""COMPUTED_VALUE"""),"POSTED")</f>
        <v>POSTED</v>
      </c>
      <c r="V2112" s="1"/>
      <c r="W2112" s="1"/>
    </row>
    <row r="2113" customHeight="1" spans="1:23">
      <c r="A2113" s="3">
        <f>IFERROR(__xludf.DUMMYFUNCTION("""COMPUTED_VALUE"""),46187)</f>
        <v>46187</v>
      </c>
      <c r="B2113" s="1" t="str">
        <f>IFERROR(__xludf.DUMMYFUNCTION("""COMPUTED_VALUE"""),"ESCARCHA, MA ALMA  ESCOTO")</f>
        <v>ESCARCHA, MA ALMA  ESCOTO</v>
      </c>
      <c r="C2113" s="1" t="str">
        <f>IFERROR(__xludf.DUMMYFUNCTION("""COMPUTED_VALUE"""),"ORGANIC")</f>
        <v>ORGANIC</v>
      </c>
      <c r="D2113" s="1" t="str">
        <f>IFERROR(__xludf.DUMMYFUNCTION("""COMPUTED_VALUE"""),"REMOLLO LEA")</f>
        <v>REMOLLO LEA</v>
      </c>
      <c r="E2113" s="1" t="str">
        <f>IFERROR(__xludf.DUMMYFUNCTION("""COMPUTED_VALUE"""),"PLDT / ONLINE")</f>
        <v>PLDT / ONLINE</v>
      </c>
      <c r="F2113" s="1">
        <f>IFERROR(__xludf.DUMMYFUNCTION("""COMPUTED_VALUE"""),2310193983)</f>
        <v>2310193983</v>
      </c>
      <c r="G2113" s="1"/>
      <c r="H2113" s="1" t="str">
        <f>IFERROR(__xludf.DUMMYFUNCTION("""COMPUTED_VALUE"""),"ANGELINE ECHAVES")</f>
        <v>ANGELINE ECHAVES</v>
      </c>
      <c r="I2113" s="1">
        <f>IFERROR(__xludf.DUMMYFUNCTION("""COMPUTED_VALUE"""),9169985543)</f>
        <v>9169985543</v>
      </c>
      <c r="J2113" s="1"/>
      <c r="K2113" s="1" t="str">
        <f>IFERROR(__xludf.DUMMYFUNCTION("""COMPUTED_VALUE"""),"escaladacherry73@gmail.com")</f>
        <v>escaladacherry73@gmail.com</v>
      </c>
      <c r="L2113" s="1" t="str">
        <f>IFERROR(__xludf.DUMMYFUNCTION("""COMPUTED_VALUE"""),"BLK 31 LOT 5")</f>
        <v>BLK 31 LOT 5</v>
      </c>
      <c r="M2113" s="1" t="str">
        <f>IFERROR(__xludf.DUMMYFUNCTION("""COMPUTED_VALUE"""),"BULIHAN")</f>
        <v>BULIHAN</v>
      </c>
      <c r="N2113" s="1"/>
      <c r="O2113" s="1" t="str">
        <f>IFERROR(__xludf.DUMMYFUNCTION("""COMPUTED_VALUE"""),"NARRA I")</f>
        <v>NARRA I</v>
      </c>
      <c r="P2113" s="1" t="str">
        <f>IFERROR(__xludf.DUMMYFUNCTION("""COMPUTED_VALUE"""),"SILANG")</f>
        <v>SILANG</v>
      </c>
      <c r="Q2113" s="1" t="str">
        <f>IFERROR(__xludf.DUMMYFUNCTION("""COMPUTED_VALUE"""),"CAVITE")</f>
        <v>CAVITE</v>
      </c>
      <c r="R2113" s="1" t="str">
        <f>IFERROR(__xludf.DUMMYFUNCTION("""COMPUTED_VALUE"""),"FIBR UNLI ALL PLAN 999")</f>
        <v>FIBR UNLI ALL PLAN 999</v>
      </c>
      <c r="S2113" s="1" t="str">
        <f>IFERROR(__xludf.DUMMYFUNCTION("""COMPUTED_VALUE"""),"APPROVED")</f>
        <v>APPROVED</v>
      </c>
      <c r="T2113" s="1" t="str">
        <f>IFERROR(__xludf.DUMMYFUNCTION("""COMPUTED_VALUE"""),"#N/A")</f>
        <v>#N/A</v>
      </c>
      <c r="U2113" s="1"/>
      <c r="V2113" s="1"/>
      <c r="W2113" s="1"/>
    </row>
    <row r="2114" customHeight="1" spans="1:23">
      <c r="A2114" s="3">
        <f>IFERROR(__xludf.DUMMYFUNCTION("""COMPUTED_VALUE"""),46187)</f>
        <v>46187</v>
      </c>
      <c r="B2114" s="1" t="str">
        <f>IFERROR(__xludf.DUMMYFUNCTION("""COMPUTED_VALUE"""),"RJAB JAZZ")</f>
        <v>RJAB JAZZ</v>
      </c>
      <c r="C2114" s="1" t="str">
        <f>IFERROR(__xludf.DUMMYFUNCTION("""COMPUTED_VALUE"""),"LEADSTORE")</f>
        <v>LEADSTORE</v>
      </c>
      <c r="D2114" s="1" t="str">
        <f>IFERROR(__xludf.DUMMYFUNCTION("""COMPUTED_VALUE"""),"JERIC NAVARRO")</f>
        <v>JERIC NAVARRO</v>
      </c>
      <c r="E2114" s="1" t="str">
        <f>IFERROR(__xludf.DUMMYFUNCTION("""COMPUTED_VALUE"""),"PLDT / ONLINE")</f>
        <v>PLDT / ONLINE</v>
      </c>
      <c r="F2114" s="1">
        <f>IFERROR(__xludf.DUMMYFUNCTION("""COMPUTED_VALUE"""),2310191369)</f>
        <v>2310191369</v>
      </c>
      <c r="G2114" s="1"/>
      <c r="H2114" s="1" t="str">
        <f>IFERROR(__xludf.DUMMYFUNCTION("""COMPUTED_VALUE"""),"EDFORD AGUINO BALAG")</f>
        <v>EDFORD AGUINO BALAG</v>
      </c>
      <c r="I2114" s="1">
        <f>IFERROR(__xludf.DUMMYFUNCTION("""COMPUTED_VALUE"""),9240637507)</f>
        <v>9240637507</v>
      </c>
      <c r="J2114" s="1">
        <f>IFERROR(__xludf.DUMMYFUNCTION("""COMPUTED_VALUE"""),9218396678)</f>
        <v>9218396678</v>
      </c>
      <c r="K2114" s="1" t="str">
        <f>IFERROR(__xludf.DUMMYFUNCTION("""COMPUTED_VALUE"""),"fordaaquino021@gmail.com")</f>
        <v>fordaaquino021@gmail.com</v>
      </c>
      <c r="L2114" s="1" t="str">
        <f>IFERROR(__xludf.DUMMYFUNCTION("""COMPUTED_VALUE"""),"BLK 21 LOT 53")</f>
        <v>BLK 21 LOT 53</v>
      </c>
      <c r="M2114" s="1" t="str">
        <f>IFERROR(__xludf.DUMMYFUNCTION("""COMPUTED_VALUE"""),"CYPRUS")</f>
        <v>CYPRUS</v>
      </c>
      <c r="N2114" s="1" t="str">
        <f>IFERROR(__xludf.DUMMYFUNCTION("""COMPUTED_VALUE"""),"CEDAR 3")</f>
        <v>CEDAR 3</v>
      </c>
      <c r="O2114" s="1" t="str">
        <f>IFERROR(__xludf.DUMMYFUNCTION("""COMPUTED_VALUE"""),"LANTIC")</f>
        <v>LANTIC</v>
      </c>
      <c r="P2114" s="1" t="str">
        <f>IFERROR(__xludf.DUMMYFUNCTION("""COMPUTED_VALUE"""),"CARMONA")</f>
        <v>CARMONA</v>
      </c>
      <c r="Q2114" s="1" t="str">
        <f>IFERROR(__xludf.DUMMYFUNCTION("""COMPUTED_VALUE"""),"CAVITE")</f>
        <v>CAVITE</v>
      </c>
      <c r="R2114" s="1" t="str">
        <f>IFERROR(__xludf.DUMMYFUNCTION("""COMPUTED_VALUE"""),"FIBR PLAN 2099")</f>
        <v>FIBR PLAN 2099</v>
      </c>
      <c r="S2114" s="1" t="str">
        <f>IFERROR(__xludf.DUMMYFUNCTION("""COMPUTED_VALUE"""),"APPROVED")</f>
        <v>APPROVED</v>
      </c>
      <c r="T2114" s="1" t="str">
        <f>IFERROR(__xludf.DUMMYFUNCTION("""COMPUTED_VALUE"""),"#N/A")</f>
        <v>#N/A</v>
      </c>
      <c r="U2114" s="1" t="str">
        <f>IFERROR(__xludf.DUMMYFUNCTION("""COMPUTED_VALUE"""),"POSTED")</f>
        <v>POSTED</v>
      </c>
      <c r="V2114" s="1"/>
      <c r="W2114" s="1"/>
    </row>
    <row r="2115" customHeight="1" spans="1:23">
      <c r="A2115" s="3">
        <f>IFERROR(__xludf.DUMMYFUNCTION("""COMPUTED_VALUE"""),46187)</f>
        <v>46187</v>
      </c>
      <c r="B2115" s="1" t="str">
        <f>IFERROR(__xludf.DUMMYFUNCTION("""COMPUTED_VALUE"""),"DELA ROSA, JENNELYN")</f>
        <v>DELA ROSA, JENNELYN</v>
      </c>
      <c r="C2115" s="1" t="str">
        <f>IFERROR(__xludf.DUMMYFUNCTION("""COMPUTED_VALUE"""),"ORGANIC")</f>
        <v>ORGANIC</v>
      </c>
      <c r="D2115" s="1" t="str">
        <f>IFERROR(__xludf.DUMMYFUNCTION("""COMPUTED_VALUE"""),"REMOLLO LEA")</f>
        <v>REMOLLO LEA</v>
      </c>
      <c r="E2115" s="1" t="str">
        <f>IFERROR(__xludf.DUMMYFUNCTION("""COMPUTED_VALUE"""),"PLDT / ONLINE")</f>
        <v>PLDT / ONLINE</v>
      </c>
      <c r="F2115" s="1">
        <f>IFERROR(__xludf.DUMMYFUNCTION("""COMPUTED_VALUE"""),2310194953)</f>
        <v>2310194953</v>
      </c>
      <c r="G2115" s="1"/>
      <c r="H2115" s="1" t="str">
        <f>IFERROR(__xludf.DUMMYFUNCTION("""COMPUTED_VALUE"""),"REBECCA DUGAN DONES")</f>
        <v>REBECCA DUGAN DONES</v>
      </c>
      <c r="I2115" s="1">
        <f>IFERROR(__xludf.DUMMYFUNCTION("""COMPUTED_VALUE"""),9383742459)</f>
        <v>9383742459</v>
      </c>
      <c r="J2115" s="1"/>
      <c r="K2115" s="1" t="str">
        <f>IFERROR(__xludf.DUMMYFUNCTION("""COMPUTED_VALUE"""),"rebeccadones@gmail.com")</f>
        <v>rebeccadones@gmail.com</v>
      </c>
      <c r="L2115" s="1" t="str">
        <f>IFERROR(__xludf.DUMMYFUNCTION("""COMPUTED_VALUE"""),"BLK 65")</f>
        <v>BLK 65</v>
      </c>
      <c r="M2115" s="1" t="str">
        <f>IFERROR(__xludf.DUMMYFUNCTION("""COMPUTED_VALUE"""),"EXCESS LOT")</f>
        <v>EXCESS LOT</v>
      </c>
      <c r="N2115" s="1" t="str">
        <f>IFERROR(__xludf.DUMMYFUNCTION("""COMPUTED_VALUE"""),"PHASE 6")</f>
        <v>PHASE 6</v>
      </c>
      <c r="O2115" s="1" t="str">
        <f>IFERROR(__xludf.DUMMYFUNCTION("""COMPUTED_VALUE"""),"FATIMA III")</f>
        <v>FATIMA III</v>
      </c>
      <c r="P2115" s="1" t="str">
        <f>IFERROR(__xludf.DUMMYFUNCTION("""COMPUTED_VALUE"""),"DASMARINAS")</f>
        <v>DASMARINAS</v>
      </c>
      <c r="Q2115" s="1" t="str">
        <f>IFERROR(__xludf.DUMMYFUNCTION("""COMPUTED_VALUE"""),"CAVITE")</f>
        <v>CAVITE</v>
      </c>
      <c r="R2115" s="1" t="str">
        <f>IFERROR(__xludf.DUMMYFUNCTION("""COMPUTED_VALUE"""),"FIBR UNLI ALL PLAN 999")</f>
        <v>FIBR UNLI ALL PLAN 999</v>
      </c>
      <c r="S2115" s="1" t="str">
        <f>IFERROR(__xludf.DUMMYFUNCTION("""COMPUTED_VALUE"""),"APPROVED")</f>
        <v>APPROVED</v>
      </c>
      <c r="T2115" s="1" t="str">
        <f>IFERROR(__xludf.DUMMYFUNCTION("""COMPUTED_VALUE"""),"#N/A")</f>
        <v>#N/A</v>
      </c>
      <c r="U2115" s="1"/>
      <c r="V2115" s="1"/>
      <c r="W2115" s="1"/>
    </row>
    <row r="2116" customHeight="1" spans="1:23">
      <c r="A2116" s="3">
        <f>IFERROR(__xludf.DUMMYFUNCTION("""COMPUTED_VALUE"""),46187)</f>
        <v>46187</v>
      </c>
      <c r="B2116" s="1" t="str">
        <f>IFERROR(__xludf.DUMMYFUNCTION("""COMPUTED_VALUE"""),"FARO, REFRANTA")</f>
        <v>FARO, REFRANTA</v>
      </c>
      <c r="C2116" s="1" t="str">
        <f>IFERROR(__xludf.DUMMYFUNCTION("""COMPUTED_VALUE"""),"ORGANIC")</f>
        <v>ORGANIC</v>
      </c>
      <c r="D2116" s="1" t="str">
        <f>IFERROR(__xludf.DUMMYFUNCTION("""COMPUTED_VALUE"""),"REMOLLO LEA")</f>
        <v>REMOLLO LEA</v>
      </c>
      <c r="E2116" s="1" t="str">
        <f>IFERROR(__xludf.DUMMYFUNCTION("""COMPUTED_VALUE"""),"PLDT / H2H")</f>
        <v>PLDT / H2H</v>
      </c>
      <c r="F2116" s="1">
        <f>IFERROR(__xludf.DUMMYFUNCTION("""COMPUTED_VALUE"""),2310198211)</f>
        <v>2310198211</v>
      </c>
      <c r="G2116" s="1"/>
      <c r="H2116" s="1" t="str">
        <f>IFERROR(__xludf.DUMMYFUNCTION("""COMPUTED_VALUE"""),"ELMER LAURELES LOYOLA")</f>
        <v>ELMER LAURELES LOYOLA</v>
      </c>
      <c r="I2116" s="1">
        <f>IFERROR(__xludf.DUMMYFUNCTION("""COMPUTED_VALUE"""),9218591820)</f>
        <v>9218591820</v>
      </c>
      <c r="J2116" s="1">
        <f>IFERROR(__xludf.DUMMYFUNCTION("""COMPUTED_VALUE"""),9759496993)</f>
        <v>9759496993</v>
      </c>
      <c r="K2116" s="1" t="str">
        <f>IFERROR(__xludf.DUMMYFUNCTION("""COMPUTED_VALUE"""),"elmerloyola14@gmail.com")</f>
        <v>elmerloyola14@gmail.com</v>
      </c>
      <c r="L2116" s="1" t="str">
        <f>IFERROR(__xludf.DUMMYFUNCTION("""COMPUTED_VALUE"""),"123")</f>
        <v>123</v>
      </c>
      <c r="M2116" s="1" t="str">
        <f>IFERROR(__xludf.DUMMYFUNCTION("""COMPUTED_VALUE"""),"DAMA DE NOCHE")</f>
        <v>DAMA DE NOCHE</v>
      </c>
      <c r="N2116" s="1"/>
      <c r="O2116" s="1" t="str">
        <f>IFERROR(__xludf.DUMMYFUNCTION("""COMPUTED_VALUE"""),"SAN MIGUEL II")</f>
        <v>SAN MIGUEL II</v>
      </c>
      <c r="P2116" s="1" t="str">
        <f>IFERROR(__xludf.DUMMYFUNCTION("""COMPUTED_VALUE"""),"SILANG")</f>
        <v>SILANG</v>
      </c>
      <c r="Q2116" s="1" t="str">
        <f>IFERROR(__xludf.DUMMYFUNCTION("""COMPUTED_VALUE"""),"CAVITE")</f>
        <v>CAVITE</v>
      </c>
      <c r="R2116" s="1" t="str">
        <f>IFERROR(__xludf.DUMMYFUNCTION("""COMPUTED_VALUE"""),"FIBR PLAN 1299")</f>
        <v>FIBR PLAN 1299</v>
      </c>
      <c r="S2116" s="1" t="str">
        <f>IFERROR(__xludf.DUMMYFUNCTION("""COMPUTED_VALUE"""),"APPROVED")</f>
        <v>APPROVED</v>
      </c>
      <c r="T2116" s="1" t="str">
        <f>IFERROR(__xludf.DUMMYFUNCTION("""COMPUTED_VALUE"""),"#N/A")</f>
        <v>#N/A</v>
      </c>
      <c r="U2116" s="1"/>
      <c r="V2116" s="1"/>
      <c r="W2116" s="1"/>
    </row>
    <row r="2117" customHeight="1" spans="1:23">
      <c r="A2117" s="3">
        <f>IFERROR(__xludf.DUMMYFUNCTION("""COMPUTED_VALUE"""),46187)</f>
        <v>46187</v>
      </c>
      <c r="B2117" s="1" t="str">
        <f>IFERROR(__xludf.DUMMYFUNCTION("""COMPUTED_VALUE"""),"CASTILLEJOS, ARREL")</f>
        <v>CASTILLEJOS, ARREL</v>
      </c>
      <c r="C2117" s="1" t="str">
        <f>IFERROR(__xludf.DUMMYFUNCTION("""COMPUTED_VALUE"""),"ORGANIC")</f>
        <v>ORGANIC</v>
      </c>
      <c r="D2117" s="1" t="str">
        <f>IFERROR(__xludf.DUMMYFUNCTION("""COMPUTED_VALUE"""),"REMOLLO LEA")</f>
        <v>REMOLLO LEA</v>
      </c>
      <c r="E2117" s="1" t="str">
        <f>IFERROR(__xludf.DUMMYFUNCTION("""COMPUTED_VALUE"""),"RED FIBER")</f>
        <v>RED FIBER</v>
      </c>
      <c r="F2117" s="1"/>
      <c r="G2117" s="1"/>
      <c r="H2117" s="1" t="str">
        <f>IFERROR(__xludf.DUMMYFUNCTION("""COMPUTED_VALUE"""),"SONIA GALLOS ROZUL")</f>
        <v>SONIA GALLOS ROZUL</v>
      </c>
      <c r="I2117" s="1">
        <f>IFERROR(__xludf.DUMMYFUNCTION("""COMPUTED_VALUE"""),9268067635)</f>
        <v>9268067635</v>
      </c>
      <c r="J2117" s="1"/>
      <c r="K2117" s="1" t="str">
        <f>IFERROR(__xludf.DUMMYFUNCTION("""COMPUTED_VALUE"""),"soniagallos24@gmail.com")</f>
        <v>soniagallos24@gmail.com</v>
      </c>
      <c r="L2117" s="1" t="str">
        <f>IFERROR(__xludf.DUMMYFUNCTION("""COMPUTED_VALUE"""),"275")</f>
        <v>275</v>
      </c>
      <c r="M2117" s="1" t="str">
        <f>IFERROR(__xludf.DUMMYFUNCTION("""COMPUTED_VALUE"""),"GALICIA RD")</f>
        <v>GALICIA RD</v>
      </c>
      <c r="N2117" s="1"/>
      <c r="O2117" s="1" t="str">
        <f>IFERROR(__xludf.DUMMYFUNCTION("""COMPUTED_VALUE"""),"GALICIA III")</f>
        <v>GALICIA III</v>
      </c>
      <c r="P2117" s="1" t="str">
        <f>IFERROR(__xludf.DUMMYFUNCTION("""COMPUTED_VALUE"""),"MENDEZ")</f>
        <v>MENDEZ</v>
      </c>
      <c r="Q2117" s="1" t="str">
        <f>IFERROR(__xludf.DUMMYFUNCTION("""COMPUTED_VALUE"""),"CAVITE")</f>
        <v>CAVITE</v>
      </c>
      <c r="R2117" s="1" t="str">
        <f>IFERROR(__xludf.DUMMYFUNCTION("""COMPUTED_VALUE"""),"RED PLAN 1000")</f>
        <v>RED PLAN 1000</v>
      </c>
      <c r="S2117" s="1" t="str">
        <f>IFERROR(__xludf.DUMMYFUNCTION("""COMPUTED_VALUE"""),"APPROVED")</f>
        <v>APPROVED</v>
      </c>
      <c r="T2117" s="1" t="str">
        <f>IFERROR(__xludf.DUMMYFUNCTION("""COMPUTED_VALUE"""),"PAID")</f>
        <v>PAID</v>
      </c>
      <c r="U2117" s="1" t="str">
        <f>IFERROR(__xludf.DUMMYFUNCTION("""COMPUTED_VALUE"""),"POSTED")</f>
        <v>POSTED</v>
      </c>
      <c r="V2117" s="1"/>
      <c r="W2117" s="1"/>
    </row>
    <row r="2118" customHeight="1" spans="1:23">
      <c r="A2118" s="3">
        <f>IFERROR(__xludf.DUMMYFUNCTION("""COMPUTED_VALUE"""),46187)</f>
        <v>46187</v>
      </c>
      <c r="B2118" s="1" t="str">
        <f>IFERROR(__xludf.DUMMYFUNCTION("""COMPUTED_VALUE"""),"AYON MANUEL")</f>
        <v>AYON MANUEL</v>
      </c>
      <c r="C2118" s="1" t="str">
        <f>IFERROR(__xludf.DUMMYFUNCTION("""COMPUTED_VALUE"""),"FLA")</f>
        <v>FLA</v>
      </c>
      <c r="D2118" s="1" t="str">
        <f>IFERROR(__xludf.DUMMYFUNCTION("""COMPUTED_VALUE"""),"JERIC NAVARRO")</f>
        <v>JERIC NAVARRO</v>
      </c>
      <c r="E2118" s="1" t="str">
        <f>IFERROR(__xludf.DUMMYFUNCTION("""COMPUTED_VALUE"""),"HOME BIZZ")</f>
        <v>HOME BIZZ</v>
      </c>
      <c r="F2118" s="1">
        <f>IFERROR(__xludf.DUMMYFUNCTION("""COMPUTED_VALUE"""),2310201678)</f>
        <v>2310201678</v>
      </c>
      <c r="G2118" s="1"/>
      <c r="H2118" s="1" t="str">
        <f>IFERROR(__xludf.DUMMYFUNCTION("""COMPUTED_VALUE"""),"LOVEBIRD'INN")</f>
        <v>LOVEBIRD'INN</v>
      </c>
      <c r="I2118" s="1">
        <f>IFERROR(__xludf.DUMMYFUNCTION("""COMPUTED_VALUE"""),2966568279)</f>
        <v>2966568279</v>
      </c>
      <c r="J2118" s="1">
        <f>IFERROR(__xludf.DUMMYFUNCTION("""COMPUTED_VALUE"""),9982024356)</f>
        <v>9982024356</v>
      </c>
      <c r="K2118" s="1" t="str">
        <f>IFERROR(__xludf.DUMMYFUNCTION("""COMPUTED_VALUE"""),"maricelpenriquez@yahoo.com")</f>
        <v>maricelpenriquez@yahoo.com</v>
      </c>
      <c r="L2118" s="1" t="str">
        <f>IFERROR(__xludf.DUMMYFUNCTION("""COMPUTED_VALUE"""),"LOT 3800")</f>
        <v>LOT 3800</v>
      </c>
      <c r="M2118" s="1" t="str">
        <f>IFERROR(__xludf.DUMMYFUNCTION("""COMPUTED_VALUE"""),"AMADEO- GEN TRIAS RD")</f>
        <v>AMADEO- GEN TRIAS RD</v>
      </c>
      <c r="N2118" s="1"/>
      <c r="O2118" s="1" t="str">
        <f>IFERROR(__xludf.DUMMYFUNCTION("""COMPUTED_VALUE"""),"BANAYBANAY")</f>
        <v>BANAYBANAY</v>
      </c>
      <c r="P2118" s="1" t="str">
        <f>IFERROR(__xludf.DUMMYFUNCTION("""COMPUTED_VALUE"""),"AMADEO")</f>
        <v>AMADEO</v>
      </c>
      <c r="Q2118" s="1" t="str">
        <f>IFERROR(__xludf.DUMMYFUNCTION("""COMPUTED_VALUE"""),"CAVITE")</f>
        <v>CAVITE</v>
      </c>
      <c r="R2118" s="1" t="str">
        <f>IFERROR(__xludf.DUMMYFUNCTION("""COMPUTED_VALUE"""),"FIBR PLAN 2099")</f>
        <v>FIBR PLAN 2099</v>
      </c>
      <c r="S2118" s="1" t="str">
        <f>IFERROR(__xludf.DUMMYFUNCTION("""COMPUTED_VALUE"""),"APPROVED")</f>
        <v>APPROVED</v>
      </c>
      <c r="T2118" s="1" t="str">
        <f>IFERROR(__xludf.DUMMYFUNCTION("""COMPUTED_VALUE"""),"#N/A")</f>
        <v>#N/A</v>
      </c>
      <c r="U2118" s="1" t="str">
        <f>IFERROR(__xludf.DUMMYFUNCTION("""COMPUTED_VALUE"""),"POSTED")</f>
        <v>POSTED</v>
      </c>
      <c r="V2118" s="1"/>
      <c r="W2118" s="1"/>
    </row>
    <row r="2119" customHeight="1" spans="1:23">
      <c r="A2119" s="3">
        <f>IFERROR(__xludf.DUMMYFUNCTION("""COMPUTED_VALUE"""),46188)</f>
        <v>46188</v>
      </c>
      <c r="B2119" s="1" t="str">
        <f>IFERROR(__xludf.DUMMYFUNCTION("""COMPUTED_VALUE"""),"ESCARCHA, MA ALMA  ESCOTO")</f>
        <v>ESCARCHA, MA ALMA  ESCOTO</v>
      </c>
      <c r="C2119" s="1" t="str">
        <f>IFERROR(__xludf.DUMMYFUNCTION("""COMPUTED_VALUE"""),"ORGANIC")</f>
        <v>ORGANIC</v>
      </c>
      <c r="D2119" s="1" t="str">
        <f>IFERROR(__xludf.DUMMYFUNCTION("""COMPUTED_VALUE"""),"REMOLLO LEA")</f>
        <v>REMOLLO LEA</v>
      </c>
      <c r="E2119" s="1" t="str">
        <f>IFERROR(__xludf.DUMMYFUNCTION("""COMPUTED_VALUE"""),"PLDT / H2H")</f>
        <v>PLDT / H2H</v>
      </c>
      <c r="F2119" s="1">
        <f>IFERROR(__xludf.DUMMYFUNCTION("""COMPUTED_VALUE"""),2310351427)</f>
        <v>2310351427</v>
      </c>
      <c r="G2119" s="1"/>
      <c r="H2119" s="1" t="str">
        <f>IFERROR(__xludf.DUMMYFUNCTION("""COMPUTED_VALUE"""),"CIELITO FORTES AURELIO")</f>
        <v>CIELITO FORTES AURELIO</v>
      </c>
      <c r="I2119" s="1">
        <f>IFERROR(__xludf.DUMMYFUNCTION("""COMPUTED_VALUE"""),9626870623)</f>
        <v>9626870623</v>
      </c>
      <c r="J2119" s="1">
        <f>IFERROR(__xludf.DUMMYFUNCTION("""COMPUTED_VALUE"""),994345097)</f>
        <v>994345097</v>
      </c>
      <c r="K2119" s="1" t="str">
        <f>IFERROR(__xludf.DUMMYFUNCTION("""COMPUTED_VALUE"""),"cielitoaurelio86@gmail.com")</f>
        <v>cielitoaurelio86@gmail.com</v>
      </c>
      <c r="L2119" s="1" t="str">
        <f>IFERROR(__xludf.DUMMYFUNCTION("""COMPUTED_VALUE"""),"BLK 15 LOT 3")</f>
        <v>BLK 15 LOT 3</v>
      </c>
      <c r="M2119" s="1" t="str">
        <f>IFERROR(__xludf.DUMMYFUNCTION("""COMPUTED_VALUE"""),"YAKAL")</f>
        <v>YAKAL</v>
      </c>
      <c r="N2119" s="1"/>
      <c r="O2119" s="1" t="str">
        <f>IFERROR(__xludf.DUMMYFUNCTION("""COMPUTED_VALUE"""),"YAKAL")</f>
        <v>YAKAL</v>
      </c>
      <c r="P2119" s="1" t="str">
        <f>IFERROR(__xludf.DUMMYFUNCTION("""COMPUTED_VALUE"""),"SILANG")</f>
        <v>SILANG</v>
      </c>
      <c r="Q2119" s="1" t="str">
        <f>IFERROR(__xludf.DUMMYFUNCTION("""COMPUTED_VALUE"""),"CAVITE")</f>
        <v>CAVITE</v>
      </c>
      <c r="R2119" s="1" t="str">
        <f>IFERROR(__xludf.DUMMYFUNCTION("""COMPUTED_VALUE"""),"FIBR UNLI ALL PLAN 999")</f>
        <v>FIBR UNLI ALL PLAN 999</v>
      </c>
      <c r="S2119" s="1" t="str">
        <f>IFERROR(__xludf.DUMMYFUNCTION("""COMPUTED_VALUE"""),"APPROVED")</f>
        <v>APPROVED</v>
      </c>
      <c r="T2119" s="1" t="str">
        <f>IFERROR(__xludf.DUMMYFUNCTION("""COMPUTED_VALUE"""),"#N/A")</f>
        <v>#N/A</v>
      </c>
      <c r="U2119" s="1" t="str">
        <f>IFERROR(__xludf.DUMMYFUNCTION("""COMPUTED_VALUE"""),"POSTED")</f>
        <v>POSTED</v>
      </c>
      <c r="V2119" s="1"/>
      <c r="W2119" s="1"/>
    </row>
    <row r="2120" customHeight="1" spans="1:23">
      <c r="A2120" s="3">
        <f>IFERROR(__xludf.DUMMYFUNCTION("""COMPUTED_VALUE"""),46188)</f>
        <v>46188</v>
      </c>
      <c r="B2120" s="1" t="str">
        <f>IFERROR(__xludf.DUMMYFUNCTION("""COMPUTED_VALUE"""),"MALIWAT MARK ELVIN")</f>
        <v>MALIWAT MARK ELVIN</v>
      </c>
      <c r="C2120" s="1" t="str">
        <f>IFERROR(__xludf.DUMMYFUNCTION("""COMPUTED_VALUE"""),"FLA")</f>
        <v>FLA</v>
      </c>
      <c r="D2120" s="1" t="str">
        <f>IFERROR(__xludf.DUMMYFUNCTION("""COMPUTED_VALUE"""),"JERIC NAVARRO")</f>
        <v>JERIC NAVARRO</v>
      </c>
      <c r="E2120" s="1" t="str">
        <f>IFERROR(__xludf.DUMMYFUNCTION("""COMPUTED_VALUE"""),"PLDT / H2H")</f>
        <v>PLDT / H2H</v>
      </c>
      <c r="F2120" s="1">
        <f>IFERROR(__xludf.DUMMYFUNCTION("""COMPUTED_VALUE"""),2310213887)</f>
        <v>2310213887</v>
      </c>
      <c r="G2120" s="1"/>
      <c r="H2120" s="1" t="str">
        <f>IFERROR(__xludf.DUMMYFUNCTION("""COMPUTED_VALUE"""),"LYN HAROLD ALCANTARA HERMOSO")</f>
        <v>LYN HAROLD ALCANTARA HERMOSO</v>
      </c>
      <c r="I2120" s="1">
        <f>IFERROR(__xludf.DUMMYFUNCTION("""COMPUTED_VALUE"""),9625084316)</f>
        <v>9625084316</v>
      </c>
      <c r="J2120" s="1">
        <f>IFERROR(__xludf.DUMMYFUNCTION("""COMPUTED_VALUE"""),9611590642)</f>
        <v>9611590642</v>
      </c>
      <c r="K2120" s="1" t="str">
        <f>IFERROR(__xludf.DUMMYFUNCTION("""COMPUTED_VALUE"""),"lyhharold.24@gmail.com")</f>
        <v>lyhharold.24@gmail.com</v>
      </c>
      <c r="L2120" s="1" t="str">
        <f>IFERROR(__xludf.DUMMYFUNCTION("""COMPUTED_VALUE"""),"219")</f>
        <v>219</v>
      </c>
      <c r="M2120" s="1" t="str">
        <f>IFERROR(__xludf.DUMMYFUNCTION("""COMPUTED_VALUE"""),"MATAGBAK ")</f>
        <v>MATAGBAK </v>
      </c>
      <c r="N2120" s="1"/>
      <c r="O2120" s="1" t="str">
        <f>IFERROR(__xludf.DUMMYFUNCTION("""COMPUTED_VALUE"""),"MATAGBAK I")</f>
        <v>MATAGBAK I</v>
      </c>
      <c r="P2120" s="1" t="str">
        <f>IFERROR(__xludf.DUMMYFUNCTION("""COMPUTED_VALUE"""),"ALFONSO")</f>
        <v>ALFONSO</v>
      </c>
      <c r="Q2120" s="1" t="str">
        <f>IFERROR(__xludf.DUMMYFUNCTION("""COMPUTED_VALUE"""),"CAVITE")</f>
        <v>CAVITE</v>
      </c>
      <c r="R2120" s="1" t="str">
        <f>IFERROR(__xludf.DUMMYFUNCTION("""COMPUTED_VALUE"""),"FIBR UNLI ALL PLAN 1399")</f>
        <v>FIBR UNLI ALL PLAN 1399</v>
      </c>
      <c r="S2120" s="1" t="str">
        <f>IFERROR(__xludf.DUMMYFUNCTION("""COMPUTED_VALUE"""),"APPROVED")</f>
        <v>APPROVED</v>
      </c>
      <c r="T2120" s="1" t="str">
        <f>IFERROR(__xludf.DUMMYFUNCTION("""COMPUTED_VALUE"""),"#N/A")</f>
        <v>#N/A</v>
      </c>
      <c r="U2120" s="1" t="str">
        <f>IFERROR(__xludf.DUMMYFUNCTION("""COMPUTED_VALUE"""),"POSTED")</f>
        <v>POSTED</v>
      </c>
      <c r="V2120" s="1"/>
      <c r="W2120" s="1"/>
    </row>
    <row r="2121" customHeight="1" spans="1:23">
      <c r="A2121" s="3">
        <f>IFERROR(__xludf.DUMMYFUNCTION("""COMPUTED_VALUE"""),46188)</f>
        <v>46188</v>
      </c>
      <c r="B2121" s="1" t="str">
        <f>IFERROR(__xludf.DUMMYFUNCTION("""COMPUTED_VALUE"""),"AYON MANUEL")</f>
        <v>AYON MANUEL</v>
      </c>
      <c r="C2121" s="1" t="str">
        <f>IFERROR(__xludf.DUMMYFUNCTION("""COMPUTED_VALUE"""),"FLA")</f>
        <v>FLA</v>
      </c>
      <c r="D2121" s="1" t="str">
        <f>IFERROR(__xludf.DUMMYFUNCTION("""COMPUTED_VALUE"""),"JERIC NAVARRO")</f>
        <v>JERIC NAVARRO</v>
      </c>
      <c r="E2121" s="1" t="str">
        <f>IFERROR(__xludf.DUMMYFUNCTION("""COMPUTED_VALUE"""),"PLDT / H2H")</f>
        <v>PLDT / H2H</v>
      </c>
      <c r="F2121" s="1">
        <f>IFERROR(__xludf.DUMMYFUNCTION("""COMPUTED_VALUE"""),2310222608)</f>
        <v>2310222608</v>
      </c>
      <c r="G2121" s="1"/>
      <c r="H2121" s="1" t="str">
        <f>IFERROR(__xludf.DUMMYFUNCTION("""COMPUTED_VALUE"""),"MARIMAR ETA FLORES")</f>
        <v>MARIMAR ETA FLORES</v>
      </c>
      <c r="I2121" s="1">
        <f>IFERROR(__xludf.DUMMYFUNCTION("""COMPUTED_VALUE"""),9777424398)</f>
        <v>9777424398</v>
      </c>
      <c r="J2121" s="1">
        <f>IFERROR(__xludf.DUMMYFUNCTION("""COMPUTED_VALUE"""),9563798401)</f>
        <v>9563798401</v>
      </c>
      <c r="K2121" s="1" t="str">
        <f>IFERROR(__xludf.DUMMYFUNCTION("""COMPUTED_VALUE"""),"marimaretaflores@gmail.com")</f>
        <v>marimaretaflores@gmail.com</v>
      </c>
      <c r="L2121" s="1" t="str">
        <f>IFERROR(__xludf.DUMMYFUNCTION("""COMPUTED_VALUE"""),"87")</f>
        <v>87</v>
      </c>
      <c r="M2121" s="1" t="str">
        <f>IFERROR(__xludf.DUMMYFUNCTION("""COMPUTED_VALUE"""),"STA CRUZ")</f>
        <v>STA CRUZ</v>
      </c>
      <c r="N2121" s="1"/>
      <c r="O2121" s="1" t="str">
        <f>IFERROR(__xludf.DUMMYFUNCTION("""COMPUTED_VALUE"""),"PALOCPOC II")</f>
        <v>PALOCPOC II</v>
      </c>
      <c r="P2121" s="1" t="str">
        <f>IFERROR(__xludf.DUMMYFUNCTION("""COMPUTED_VALUE"""),"MENDEZ")</f>
        <v>MENDEZ</v>
      </c>
      <c r="Q2121" s="1" t="str">
        <f>IFERROR(__xludf.DUMMYFUNCTION("""COMPUTED_VALUE"""),"CAVITE")</f>
        <v>CAVITE</v>
      </c>
      <c r="R2121" s="1" t="str">
        <f>IFERROR(__xludf.DUMMYFUNCTION("""COMPUTED_VALUE"""),"FIBR PLAN 1299")</f>
        <v>FIBR PLAN 1299</v>
      </c>
      <c r="S2121" s="1" t="str">
        <f>IFERROR(__xludf.DUMMYFUNCTION("""COMPUTED_VALUE"""),"APPROVED")</f>
        <v>APPROVED</v>
      </c>
      <c r="T2121" s="1" t="str">
        <f>IFERROR(__xludf.DUMMYFUNCTION("""COMPUTED_VALUE"""),"#N/A")</f>
        <v>#N/A</v>
      </c>
      <c r="U2121" s="1" t="str">
        <f>IFERROR(__xludf.DUMMYFUNCTION("""COMPUTED_VALUE"""),"POSTED")</f>
        <v>POSTED</v>
      </c>
      <c r="V2121" s="1"/>
      <c r="W2121" s="1"/>
    </row>
    <row r="2122" customHeight="1" spans="1:23">
      <c r="A2122" s="3">
        <f>IFERROR(__xludf.DUMMYFUNCTION("""COMPUTED_VALUE"""),46188)</f>
        <v>46188</v>
      </c>
      <c r="B2122" s="1" t="str">
        <f>IFERROR(__xludf.DUMMYFUNCTION("""COMPUTED_VALUE"""),"FRONDEZ, JEDREFF")</f>
        <v>FRONDEZ, JEDREFF</v>
      </c>
      <c r="C2122" s="1" t="str">
        <f>IFERROR(__xludf.DUMMYFUNCTION("""COMPUTED_VALUE"""),"ORGANIC")</f>
        <v>ORGANIC</v>
      </c>
      <c r="D2122" s="1" t="str">
        <f>IFERROR(__xludf.DUMMYFUNCTION("""COMPUTED_VALUE"""),"REMOLLO LEA")</f>
        <v>REMOLLO LEA</v>
      </c>
      <c r="E2122" s="1" t="str">
        <f>IFERROR(__xludf.DUMMYFUNCTION("""COMPUTED_VALUE"""),"PLDT / H2H")</f>
        <v>PLDT / H2H</v>
      </c>
      <c r="F2122" s="1">
        <f>IFERROR(__xludf.DUMMYFUNCTION("""COMPUTED_VALUE"""),2310217220)</f>
        <v>2310217220</v>
      </c>
      <c r="G2122" s="1"/>
      <c r="H2122" s="1" t="str">
        <f>IFERROR(__xludf.DUMMYFUNCTION("""COMPUTED_VALUE"""),"LOREFE ALIMENTO OLANO")</f>
        <v>LOREFE ALIMENTO OLANO</v>
      </c>
      <c r="I2122" s="1">
        <f>IFERROR(__xludf.DUMMYFUNCTION("""COMPUTED_VALUE"""),9755591680)</f>
        <v>9755591680</v>
      </c>
      <c r="J2122" s="1">
        <f>IFERROR(__xludf.DUMMYFUNCTION("""COMPUTED_VALUE"""),9677154373)</f>
        <v>9677154373</v>
      </c>
      <c r="K2122" s="1" t="str">
        <f>IFERROR(__xludf.DUMMYFUNCTION("""COMPUTED_VALUE"""),"aimentolorefe@gmail.com")</f>
        <v>aimentolorefe@gmail.com</v>
      </c>
      <c r="L2122" s="1" t="str">
        <f>IFERROR(__xludf.DUMMYFUNCTION("""COMPUTED_VALUE"""),"2035")</f>
        <v>2035</v>
      </c>
      <c r="M2122" s="1" t="str">
        <f>IFERROR(__xludf.DUMMYFUNCTION("""COMPUTED_VALUE"""),"KAYTITINGA AMUYONG")</f>
        <v>KAYTITINGA AMUYONG</v>
      </c>
      <c r="N2122" s="1"/>
      <c r="O2122" s="1" t="str">
        <f>IFERROR(__xludf.DUMMYFUNCTION("""COMPUTED_VALUE"""),"KAYTITINGA I")</f>
        <v>KAYTITINGA I</v>
      </c>
      <c r="P2122" s="1" t="str">
        <f>IFERROR(__xludf.DUMMYFUNCTION("""COMPUTED_VALUE"""),"ALFONSO")</f>
        <v>ALFONSO</v>
      </c>
      <c r="Q2122" s="1" t="str">
        <f>IFERROR(__xludf.DUMMYFUNCTION("""COMPUTED_VALUE"""),"CAVITE")</f>
        <v>CAVITE</v>
      </c>
      <c r="R2122" s="1" t="str">
        <f>IFERROR(__xludf.DUMMYFUNCTION("""COMPUTED_VALUE"""),"FIBR UNLI ALL PLAN 999")</f>
        <v>FIBR UNLI ALL PLAN 999</v>
      </c>
      <c r="S2122" s="1" t="str">
        <f>IFERROR(__xludf.DUMMYFUNCTION("""COMPUTED_VALUE"""),"APPROVED")</f>
        <v>APPROVED</v>
      </c>
      <c r="T2122" s="1" t="str">
        <f>IFERROR(__xludf.DUMMYFUNCTION("""COMPUTED_VALUE"""),"#N/A")</f>
        <v>#N/A</v>
      </c>
      <c r="U2122" s="1" t="str">
        <f>IFERROR(__xludf.DUMMYFUNCTION("""COMPUTED_VALUE"""),"POSTED")</f>
        <v>POSTED</v>
      </c>
      <c r="V2122" s="1"/>
      <c r="W2122" s="1"/>
    </row>
    <row r="2123" customHeight="1" spans="1:23">
      <c r="A2123" s="3">
        <f>IFERROR(__xludf.DUMMYFUNCTION("""COMPUTED_VALUE"""),46188)</f>
        <v>46188</v>
      </c>
      <c r="B2123" s="1" t="str">
        <f>IFERROR(__xludf.DUMMYFUNCTION("""COMPUTED_VALUE"""),"MANDUCDOC, MARIANE")</f>
        <v>MANDUCDOC, MARIANE</v>
      </c>
      <c r="C2123" s="1" t="str">
        <f>IFERROR(__xludf.DUMMYFUNCTION("""COMPUTED_VALUE"""),"ORGANIC")</f>
        <v>ORGANIC</v>
      </c>
      <c r="D2123" s="1" t="str">
        <f>IFERROR(__xludf.DUMMYFUNCTION("""COMPUTED_VALUE"""),"REMOLLO LEA")</f>
        <v>REMOLLO LEA</v>
      </c>
      <c r="E2123" s="1" t="str">
        <f>IFERROR(__xludf.DUMMYFUNCTION("""COMPUTED_VALUE"""),"PLDT / H2H")</f>
        <v>PLDT / H2H</v>
      </c>
      <c r="F2123" s="1">
        <f>IFERROR(__xludf.DUMMYFUNCTION("""COMPUTED_VALUE"""),2310224206)</f>
        <v>2310224206</v>
      </c>
      <c r="G2123" s="1"/>
      <c r="H2123" s="1" t="str">
        <f>IFERROR(__xludf.DUMMYFUNCTION("""COMPUTED_VALUE"""),"ABIGAIL GAPUSAN MARTIN")</f>
        <v>ABIGAIL GAPUSAN MARTIN</v>
      </c>
      <c r="I2123" s="1">
        <f>IFERROR(__xludf.DUMMYFUNCTION("""COMPUTED_VALUE"""),9761050711)</f>
        <v>9761050711</v>
      </c>
      <c r="J2123" s="1">
        <f>IFERROR(__xludf.DUMMYFUNCTION("""COMPUTED_VALUE"""),9610207421)</f>
        <v>9610207421</v>
      </c>
      <c r="K2123" s="1" t="str">
        <f>IFERROR(__xludf.DUMMYFUNCTION("""COMPUTED_VALUE"""),"abigailgapusan@gmail.com")</f>
        <v>abigailgapusan@gmail.com</v>
      </c>
      <c r="L2123" s="1" t="str">
        <f>IFERROR(__xludf.DUMMYFUNCTION("""COMPUTED_VALUE"""),"3")</f>
        <v>3</v>
      </c>
      <c r="M2123" s="1" t="str">
        <f>IFERROR(__xludf.DUMMYFUNCTION("""COMPUTED_VALUE"""),"SAN FRANCISCO")</f>
        <v>SAN FRANCISCO</v>
      </c>
      <c r="N2123" s="1"/>
      <c r="O2123" s="1" t="str">
        <f>IFERROR(__xludf.DUMMYFUNCTION("""COMPUTED_VALUE"""),"PALOCPOC II")</f>
        <v>PALOCPOC II</v>
      </c>
      <c r="P2123" s="1" t="str">
        <f>IFERROR(__xludf.DUMMYFUNCTION("""COMPUTED_VALUE"""),"MENDEZ")</f>
        <v>MENDEZ</v>
      </c>
      <c r="Q2123" s="1" t="str">
        <f>IFERROR(__xludf.DUMMYFUNCTION("""COMPUTED_VALUE"""),"CAVITE")</f>
        <v>CAVITE</v>
      </c>
      <c r="R2123" s="1" t="str">
        <f>IFERROR(__xludf.DUMMYFUNCTION("""COMPUTED_VALUE"""),"FIBR UNLI ALL PLAN 1799")</f>
        <v>FIBR UNLI ALL PLAN 1799</v>
      </c>
      <c r="S2123" s="1" t="str">
        <f>IFERROR(__xludf.DUMMYFUNCTION("""COMPUTED_VALUE"""),"APPROVED")</f>
        <v>APPROVED</v>
      </c>
      <c r="T2123" s="1" t="str">
        <f>IFERROR(__xludf.DUMMYFUNCTION("""COMPUTED_VALUE"""),"#N/A")</f>
        <v>#N/A</v>
      </c>
      <c r="U2123" s="1"/>
      <c r="V2123" s="1"/>
      <c r="W2123" s="1"/>
    </row>
    <row r="2124" customHeight="1" spans="1:23">
      <c r="A2124" s="3">
        <f>IFERROR(__xludf.DUMMYFUNCTION("""COMPUTED_VALUE"""),46188)</f>
        <v>46188</v>
      </c>
      <c r="B2124" s="1" t="str">
        <f>IFERROR(__xludf.DUMMYFUNCTION("""COMPUTED_VALUE"""),"CARPIO, STEPHANIE NICOLE")</f>
        <v>CARPIO, STEPHANIE NICOLE</v>
      </c>
      <c r="C2124" s="1" t="str">
        <f>IFERROR(__xludf.DUMMYFUNCTION("""COMPUTED_VALUE"""),"FLA")</f>
        <v>FLA</v>
      </c>
      <c r="D2124" s="1" t="str">
        <f>IFERROR(__xludf.DUMMYFUNCTION("""COMPUTED_VALUE"""),"JERIC NAVARRO")</f>
        <v>JERIC NAVARRO</v>
      </c>
      <c r="E2124" s="1" t="str">
        <f>IFERROR(__xludf.DUMMYFUNCTION("""COMPUTED_VALUE"""),"PLDT / H2H")</f>
        <v>PLDT / H2H</v>
      </c>
      <c r="F2124" s="1">
        <f>IFERROR(__xludf.DUMMYFUNCTION("""COMPUTED_VALUE"""),2310278879)</f>
        <v>2310278879</v>
      </c>
      <c r="G2124" s="1"/>
      <c r="H2124" s="1" t="str">
        <f>IFERROR(__xludf.DUMMYFUNCTION("""COMPUTED_VALUE"""),"LIWAYWAY LEGASPI SOLIS")</f>
        <v>LIWAYWAY LEGASPI SOLIS</v>
      </c>
      <c r="I2124" s="1">
        <f>IFERROR(__xludf.DUMMYFUNCTION("""COMPUTED_VALUE"""),9295429169)</f>
        <v>9295429169</v>
      </c>
      <c r="J2124" s="1"/>
      <c r="K2124" s="1" t="str">
        <f>IFERROR(__xludf.DUMMYFUNCTION("""COMPUTED_VALUE"""),"legaspiliwayway@gmail.com")</f>
        <v>legaspiliwayway@gmail.com</v>
      </c>
      <c r="L2124" s="1" t="str">
        <f>IFERROR(__xludf.DUMMYFUNCTION("""COMPUTED_VALUE"""),"330")</f>
        <v>330</v>
      </c>
      <c r="M2124" s="1" t="str">
        <f>IFERROR(__xludf.DUMMYFUNCTION("""COMPUTED_VALUE"""),"JUAN LUNA")</f>
        <v>JUAN LUNA</v>
      </c>
      <c r="N2124" s="1"/>
      <c r="O2124" s="1" t="str">
        <f>IFERROR(__xludf.DUMMYFUNCTION("""COMPUTED_VALUE"""),"BARANGAY 61 (TALONG)")</f>
        <v>BARANGAY 61 (TALONG)</v>
      </c>
      <c r="P2124" s="1" t="str">
        <f>IFERROR(__xludf.DUMMYFUNCTION("""COMPUTED_VALUE"""),"CAVITE CITY")</f>
        <v>CAVITE CITY</v>
      </c>
      <c r="Q2124" s="1" t="str">
        <f>IFERROR(__xludf.DUMMYFUNCTION("""COMPUTED_VALUE"""),"CAVITE")</f>
        <v>CAVITE</v>
      </c>
      <c r="R2124" s="1" t="str">
        <f>IFERROR(__xludf.DUMMYFUNCTION("""COMPUTED_VALUE"""),"FIBR NETFLIX PLAN 1599")</f>
        <v>FIBR NETFLIX PLAN 1599</v>
      </c>
      <c r="S2124" s="1" t="str">
        <f>IFERROR(__xludf.DUMMYFUNCTION("""COMPUTED_VALUE"""),"APPROVED")</f>
        <v>APPROVED</v>
      </c>
      <c r="T2124" s="1" t="str">
        <f>IFERROR(__xludf.DUMMYFUNCTION("""COMPUTED_VALUE"""),"#N/A")</f>
        <v>#N/A</v>
      </c>
      <c r="U2124" s="1" t="str">
        <f>IFERROR(__xludf.DUMMYFUNCTION("""COMPUTED_VALUE"""),"POSTED")</f>
        <v>POSTED</v>
      </c>
      <c r="V2124" s="1"/>
      <c r="W2124" s="1">
        <f>IFERROR(__xludf.DUMMYFUNCTION("""COMPUTED_VALUE"""),9099294675)</f>
        <v>9099294675</v>
      </c>
    </row>
    <row r="2125" customHeight="1" spans="1:23">
      <c r="A2125" s="3">
        <f>IFERROR(__xludf.DUMMYFUNCTION("""COMPUTED_VALUE"""),46188)</f>
        <v>46188</v>
      </c>
      <c r="B2125" s="1" t="str">
        <f>IFERROR(__xludf.DUMMYFUNCTION("""COMPUTED_VALUE"""),"ESCARCHA, MA ALMA  ESCOTO")</f>
        <v>ESCARCHA, MA ALMA  ESCOTO</v>
      </c>
      <c r="C2125" s="1" t="str">
        <f>IFERROR(__xludf.DUMMYFUNCTION("""COMPUTED_VALUE"""),"ORGANIC")</f>
        <v>ORGANIC</v>
      </c>
      <c r="D2125" s="1" t="str">
        <f>IFERROR(__xludf.DUMMYFUNCTION("""COMPUTED_VALUE"""),"REMOLLO LEA")</f>
        <v>REMOLLO LEA</v>
      </c>
      <c r="E2125" s="1" t="str">
        <f>IFERROR(__xludf.DUMMYFUNCTION("""COMPUTED_VALUE"""),"PLDT / H2H")</f>
        <v>PLDT / H2H</v>
      </c>
      <c r="F2125" s="1">
        <f>IFERROR(__xludf.DUMMYFUNCTION("""COMPUTED_VALUE"""),2310220919)</f>
        <v>2310220919</v>
      </c>
      <c r="G2125" s="1"/>
      <c r="H2125" s="1" t="str">
        <f>IFERROR(__xludf.DUMMYFUNCTION("""COMPUTED_VALUE"""),"RAMON ABELLERA ESTIPULAR")</f>
        <v>RAMON ABELLERA ESTIPULAR</v>
      </c>
      <c r="I2125" s="1">
        <f>IFERROR(__xludf.DUMMYFUNCTION("""COMPUTED_VALUE"""),9265752987)</f>
        <v>9265752987</v>
      </c>
      <c r="J2125" s="1">
        <f>IFERROR(__xludf.DUMMYFUNCTION("""COMPUTED_VALUE"""),9678413050)</f>
        <v>9678413050</v>
      </c>
      <c r="K2125" s="1" t="str">
        <f>IFERROR(__xludf.DUMMYFUNCTION("""COMPUTED_VALUE"""),"juliuswebster05@gmail.com")</f>
        <v>juliuswebster05@gmail.com</v>
      </c>
      <c r="L2125" s="1" t="str">
        <f>IFERROR(__xludf.DUMMYFUNCTION("""COMPUTED_VALUE"""),"381 F")</f>
        <v>381 F</v>
      </c>
      <c r="M2125" s="1" t="str">
        <f>IFERROR(__xludf.DUMMYFUNCTION("""COMPUTED_VALUE"""),"NICOLAS APART")</f>
        <v>NICOLAS APART</v>
      </c>
      <c r="N2125" s="1"/>
      <c r="O2125" s="1" t="str">
        <f>IFERROR(__xludf.DUMMYFUNCTION("""COMPUTED_VALUE"""),"KAYTITINGA I")</f>
        <v>KAYTITINGA I</v>
      </c>
      <c r="P2125" s="1" t="str">
        <f>IFERROR(__xludf.DUMMYFUNCTION("""COMPUTED_VALUE"""),"ALFONSO")</f>
        <v>ALFONSO</v>
      </c>
      <c r="Q2125" s="1" t="str">
        <f>IFERROR(__xludf.DUMMYFUNCTION("""COMPUTED_VALUE"""),"CAVITE")</f>
        <v>CAVITE</v>
      </c>
      <c r="R2125" s="1" t="str">
        <f>IFERROR(__xludf.DUMMYFUNCTION("""COMPUTED_VALUE"""),"FIBR UNLI ALL PLAN 999")</f>
        <v>FIBR UNLI ALL PLAN 999</v>
      </c>
      <c r="S2125" s="1" t="str">
        <f>IFERROR(__xludf.DUMMYFUNCTION("""COMPUTED_VALUE"""),"APPROVED")</f>
        <v>APPROVED</v>
      </c>
      <c r="T2125" s="1" t="str">
        <f>IFERROR(__xludf.DUMMYFUNCTION("""COMPUTED_VALUE"""),"#N/A")</f>
        <v>#N/A</v>
      </c>
      <c r="U2125" s="1"/>
      <c r="V2125" s="1"/>
      <c r="W2125" s="1"/>
    </row>
    <row r="2126" customHeight="1" spans="1:23">
      <c r="A2126" s="3">
        <f>IFERROR(__xludf.DUMMYFUNCTION("""COMPUTED_VALUE"""),46188)</f>
        <v>46188</v>
      </c>
      <c r="B2126" s="1" t="str">
        <f>IFERROR(__xludf.DUMMYFUNCTION("""COMPUTED_VALUE"""),"DELA ROSA, JENNELYN")</f>
        <v>DELA ROSA, JENNELYN</v>
      </c>
      <c r="C2126" s="1" t="str">
        <f>IFERROR(__xludf.DUMMYFUNCTION("""COMPUTED_VALUE"""),"ORGANIC")</f>
        <v>ORGANIC</v>
      </c>
      <c r="D2126" s="1" t="str">
        <f>IFERROR(__xludf.DUMMYFUNCTION("""COMPUTED_VALUE"""),"REMOLLO LEA")</f>
        <v>REMOLLO LEA</v>
      </c>
      <c r="E2126" s="1" t="str">
        <f>IFERROR(__xludf.DUMMYFUNCTION("""COMPUTED_VALUE"""),"PLDT / H2H")</f>
        <v>PLDT / H2H</v>
      </c>
      <c r="F2126" s="1">
        <f>IFERROR(__xludf.DUMMYFUNCTION("""COMPUTED_VALUE"""),2310221486)</f>
        <v>2310221486</v>
      </c>
      <c r="G2126" s="1"/>
      <c r="H2126" s="1" t="str">
        <f>IFERROR(__xludf.DUMMYFUNCTION("""COMPUTED_VALUE"""),"MAE GRACE GADE DELLAGUE")</f>
        <v>MAE GRACE GADE DELLAGUE</v>
      </c>
      <c r="I2126" s="1">
        <f>IFERROR(__xludf.DUMMYFUNCTION("""COMPUTED_VALUE"""),9750672299)</f>
        <v>9750672299</v>
      </c>
      <c r="J2126" s="1">
        <f>IFERROR(__xludf.DUMMYFUNCTION("""COMPUTED_VALUE"""),9161281446)</f>
        <v>9161281446</v>
      </c>
      <c r="K2126" s="1" t="str">
        <f>IFERROR(__xludf.DUMMYFUNCTION("""COMPUTED_VALUE"""),"rustanmarana31@gmail.com")</f>
        <v>rustanmarana31@gmail.com</v>
      </c>
      <c r="L2126" s="1" t="str">
        <f>IFERROR(__xludf.DUMMYFUNCTION("""COMPUTED_VALUE"""),"116")</f>
        <v>116</v>
      </c>
      <c r="M2126" s="1" t="str">
        <f>IFERROR(__xludf.DUMMYFUNCTION("""COMPUTED_VALUE"""),"PUROK 8")</f>
        <v>PUROK 8</v>
      </c>
      <c r="N2126" s="1"/>
      <c r="O2126" s="1" t="str">
        <f>IFERROR(__xludf.DUMMYFUNCTION("""COMPUTED_VALUE"""),"IBAYO ESTACION")</f>
        <v>IBAYO ESTACION</v>
      </c>
      <c r="P2126" s="1" t="str">
        <f>IFERROR(__xludf.DUMMYFUNCTION("""COMPUTED_VALUE"""),"NAIC")</f>
        <v>NAIC</v>
      </c>
      <c r="Q2126" s="1" t="str">
        <f>IFERROR(__xludf.DUMMYFUNCTION("""COMPUTED_VALUE"""),"CAVITE")</f>
        <v>CAVITE</v>
      </c>
      <c r="R2126" s="1" t="str">
        <f>IFERROR(__xludf.DUMMYFUNCTION("""COMPUTED_VALUE"""),"FIBR UNLI ALL PLAN 999")</f>
        <v>FIBR UNLI ALL PLAN 999</v>
      </c>
      <c r="S2126" s="1" t="str">
        <f>IFERROR(__xludf.DUMMYFUNCTION("""COMPUTED_VALUE"""),"APPROVED")</f>
        <v>APPROVED</v>
      </c>
      <c r="T2126" s="1" t="str">
        <f>IFERROR(__xludf.DUMMYFUNCTION("""COMPUTED_VALUE"""),"#N/A")</f>
        <v>#N/A</v>
      </c>
      <c r="U2126" s="1"/>
      <c r="V2126" s="1"/>
      <c r="W2126" s="1"/>
    </row>
    <row r="2127" customHeight="1" spans="1:23">
      <c r="A2127" s="3">
        <f>IFERROR(__xludf.DUMMYFUNCTION("""COMPUTED_VALUE"""),46188)</f>
        <v>46188</v>
      </c>
      <c r="B2127" s="1" t="str">
        <f>IFERROR(__xludf.DUMMYFUNCTION("""COMPUTED_VALUE"""),"MALIWAT MARK ELVIN")</f>
        <v>MALIWAT MARK ELVIN</v>
      </c>
      <c r="C2127" s="1" t="str">
        <f>IFERROR(__xludf.DUMMYFUNCTION("""COMPUTED_VALUE"""),"FLA")</f>
        <v>FLA</v>
      </c>
      <c r="D2127" s="1" t="str">
        <f>IFERROR(__xludf.DUMMYFUNCTION("""COMPUTED_VALUE"""),"JERIC NAVARRO")</f>
        <v>JERIC NAVARRO</v>
      </c>
      <c r="E2127" s="1" t="str">
        <f>IFERROR(__xludf.DUMMYFUNCTION("""COMPUTED_VALUE"""),"PLDT / H2H")</f>
        <v>PLDT / H2H</v>
      </c>
      <c r="F2127" s="1">
        <f>IFERROR(__xludf.DUMMYFUNCTION("""COMPUTED_VALUE"""),2310226416)</f>
        <v>2310226416</v>
      </c>
      <c r="G2127" s="1"/>
      <c r="H2127" s="1" t="str">
        <f>IFERROR(__xludf.DUMMYFUNCTION("""COMPUTED_VALUE"""),"JOSEFINA DE OCAMPO SANGA")</f>
        <v>JOSEFINA DE OCAMPO SANGA</v>
      </c>
      <c r="I2127" s="1">
        <f>IFERROR(__xludf.DUMMYFUNCTION("""COMPUTED_VALUE"""),9150091227)</f>
        <v>9150091227</v>
      </c>
      <c r="J2127" s="1">
        <f>IFERROR(__xludf.DUMMYFUNCTION("""COMPUTED_VALUE"""),9618566417)</f>
        <v>9618566417</v>
      </c>
      <c r="K2127" s="1" t="str">
        <f>IFERROR(__xludf.DUMMYFUNCTION("""COMPUTED_VALUE"""),"jomaloudeleon870@gmail.com")</f>
        <v>jomaloudeleon870@gmail.com</v>
      </c>
      <c r="L2127" s="1" t="str">
        <f>IFERROR(__xludf.DUMMYFUNCTION("""COMPUTED_VALUE"""),"BLK 65 LOT 28")</f>
        <v>BLK 65 LOT 28</v>
      </c>
      <c r="M2127" s="1" t="str">
        <f>IFERROR(__xludf.DUMMYFUNCTION("""COMPUTED_VALUE"""),"JUPITER")</f>
        <v>JUPITER</v>
      </c>
      <c r="N2127" s="1" t="str">
        <f>IFERROR(__xludf.DUMMYFUNCTION("""COMPUTED_VALUE"""),"CITYHOMES RESORTS VILLE GATE 1")</f>
        <v>CITYHOMES RESORTS VILLE GATE 1</v>
      </c>
      <c r="O2127" s="1" t="str">
        <f>IFERROR(__xludf.DUMMYFUNCTION("""COMPUTED_VALUE"""),"LANGKAAN II")</f>
        <v>LANGKAAN II</v>
      </c>
      <c r="P2127" s="1" t="str">
        <f>IFERROR(__xludf.DUMMYFUNCTION("""COMPUTED_VALUE"""),"DASMARINAS")</f>
        <v>DASMARINAS</v>
      </c>
      <c r="Q2127" s="1" t="str">
        <f>IFERROR(__xludf.DUMMYFUNCTION("""COMPUTED_VALUE"""),"CAVITE")</f>
        <v>CAVITE</v>
      </c>
      <c r="R2127" s="1" t="str">
        <f>IFERROR(__xludf.DUMMYFUNCTION("""COMPUTED_VALUE"""),"FIBR UNLI ALL PLAN 1399")</f>
        <v>FIBR UNLI ALL PLAN 1399</v>
      </c>
      <c r="S2127" s="1" t="str">
        <f>IFERROR(__xludf.DUMMYFUNCTION("""COMPUTED_VALUE"""),"APPROVED")</f>
        <v>APPROVED</v>
      </c>
      <c r="T2127" s="1" t="str">
        <f>IFERROR(__xludf.DUMMYFUNCTION("""COMPUTED_VALUE"""),"#N/A")</f>
        <v>#N/A</v>
      </c>
      <c r="U2127" s="1" t="str">
        <f>IFERROR(__xludf.DUMMYFUNCTION("""COMPUTED_VALUE"""),"POSTED")</f>
        <v>POSTED</v>
      </c>
      <c r="V2127" s="1"/>
      <c r="W2127" s="1"/>
    </row>
    <row r="2128" customHeight="1" spans="1:23">
      <c r="A2128" s="3">
        <f>IFERROR(__xludf.DUMMYFUNCTION("""COMPUTED_VALUE"""),46188)</f>
        <v>46188</v>
      </c>
      <c r="B2128" s="1" t="str">
        <f>IFERROR(__xludf.DUMMYFUNCTION("""COMPUTED_VALUE"""),"LEADSTORE - ILANO, LIANDRO TEJAS")</f>
        <v>LEADSTORE - ILANO, LIANDRO TEJAS</v>
      </c>
      <c r="C2128" s="1" t="str">
        <f>IFERROR(__xludf.DUMMYFUNCTION("""COMPUTED_VALUE"""),"LEADSTORE")</f>
        <v>LEADSTORE</v>
      </c>
      <c r="D2128" s="1" t="str">
        <f>IFERROR(__xludf.DUMMYFUNCTION("""COMPUTED_VALUE"""),"JERIC NAVARRO")</f>
        <v>JERIC NAVARRO</v>
      </c>
      <c r="E2128" s="1" t="str">
        <f>IFERROR(__xludf.DUMMYFUNCTION("""COMPUTED_VALUE"""),"PLDT / H2H")</f>
        <v>PLDT / H2H</v>
      </c>
      <c r="F2128" s="1">
        <f>IFERROR(__xludf.DUMMYFUNCTION("""COMPUTED_VALUE"""),2310226821)</f>
        <v>2310226821</v>
      </c>
      <c r="G2128" s="1"/>
      <c r="H2128" s="1" t="str">
        <f>IFERROR(__xludf.DUMMYFUNCTION("""COMPUTED_VALUE"""),"LUCSUHIN INTEGRATED SCHOOL")</f>
        <v>LUCSUHIN INTEGRATED SCHOOL</v>
      </c>
      <c r="I2128" s="1">
        <f>IFERROR(__xludf.DUMMYFUNCTION("""COMPUTED_VALUE"""),465220534)</f>
        <v>465220534</v>
      </c>
      <c r="J2128" s="1"/>
      <c r="K2128" s="1" t="str">
        <f>IFERROR(__xludf.DUMMYFUNCTION("""COMPUTED_VALUE"""),"301199@deped.gov.ph")</f>
        <v>301199@deped.gov.ph</v>
      </c>
      <c r="L2128" s="1" t="str">
        <f>IFERROR(__xludf.DUMMYFUNCTION("""COMPUTED_VALUE"""),"LUCSUHIN INTEGRATED SCHOOL")</f>
        <v>LUCSUHIN INTEGRATED SCHOOL</v>
      </c>
      <c r="M2128" s="1" t="str">
        <f>IFERROR(__xludf.DUMMYFUNCTION("""COMPUTED_VALUE"""),"LUCSUHIN INTEGRATED SCHOOL")</f>
        <v>LUCSUHIN INTEGRATED SCHOOL</v>
      </c>
      <c r="N2128" s="1"/>
      <c r="O2128" s="1" t="str">
        <f>IFERROR(__xludf.DUMMYFUNCTION("""COMPUTED_VALUE"""),"LUCSUHIN")</f>
        <v>LUCSUHIN</v>
      </c>
      <c r="P2128" s="1" t="str">
        <f>IFERROR(__xludf.DUMMYFUNCTION("""COMPUTED_VALUE"""),"ALFONSO")</f>
        <v>ALFONSO</v>
      </c>
      <c r="Q2128" s="1" t="str">
        <f>IFERROR(__xludf.DUMMYFUNCTION("""COMPUTED_VALUE"""),"CAVITE")</f>
        <v>CAVITE</v>
      </c>
      <c r="R2128" s="1" t="str">
        <f>IFERROR(__xludf.DUMMYFUNCTION("""COMPUTED_VALUE"""),"FIBR PLAN 2099")</f>
        <v>FIBR PLAN 2099</v>
      </c>
      <c r="S2128" s="1" t="str">
        <f>IFERROR(__xludf.DUMMYFUNCTION("""COMPUTED_VALUE"""),"APPROVED")</f>
        <v>APPROVED</v>
      </c>
      <c r="T2128" s="1" t="str">
        <f>IFERROR(__xludf.DUMMYFUNCTION("""COMPUTED_VALUE"""),"#N/A")</f>
        <v>#N/A</v>
      </c>
      <c r="U2128" s="1" t="str">
        <f>IFERROR(__xludf.DUMMYFUNCTION("""COMPUTED_VALUE"""),"POSTED")</f>
        <v>POSTED</v>
      </c>
      <c r="V2128" s="1"/>
      <c r="W2128" s="1"/>
    </row>
    <row r="2129" customHeight="1" spans="1:23">
      <c r="A2129" s="3">
        <f>IFERROR(__xludf.DUMMYFUNCTION("""COMPUTED_VALUE"""),46188)</f>
        <v>46188</v>
      </c>
      <c r="B2129" s="1" t="str">
        <f>IFERROR(__xludf.DUMMYFUNCTION("""COMPUTED_VALUE"""),"FARO, REFRANTA")</f>
        <v>FARO, REFRANTA</v>
      </c>
      <c r="C2129" s="1" t="str">
        <f>IFERROR(__xludf.DUMMYFUNCTION("""COMPUTED_VALUE"""),"ORGANIC")</f>
        <v>ORGANIC</v>
      </c>
      <c r="D2129" s="1" t="str">
        <f>IFERROR(__xludf.DUMMYFUNCTION("""COMPUTED_VALUE"""),"REMOLLO LEA")</f>
        <v>REMOLLO LEA</v>
      </c>
      <c r="E2129" s="1" t="str">
        <f>IFERROR(__xludf.DUMMYFUNCTION("""COMPUTED_VALUE"""),"PLDT / H2H")</f>
        <v>PLDT / H2H</v>
      </c>
      <c r="F2129" s="1">
        <f>IFERROR(__xludf.DUMMYFUNCTION("""COMPUTED_VALUE"""),2310226731)</f>
        <v>2310226731</v>
      </c>
      <c r="G2129" s="1"/>
      <c r="H2129" s="1" t="str">
        <f>IFERROR(__xludf.DUMMYFUNCTION("""COMPUTED_VALUE"""),"PABLO JR SANTOS VELOSO")</f>
        <v>PABLO JR SANTOS VELOSO</v>
      </c>
      <c r="I2129" s="1">
        <f>IFERROR(__xludf.DUMMYFUNCTION("""COMPUTED_VALUE"""),9282741520)</f>
        <v>9282741520</v>
      </c>
      <c r="J2129" s="1"/>
      <c r="K2129" s="1" t="str">
        <f>IFERROR(__xludf.DUMMYFUNCTION("""COMPUTED_VALUE"""),"pveloso1975@gmail.com")</f>
        <v>pveloso1975@gmail.com</v>
      </c>
      <c r="L2129" s="1" t="str">
        <f>IFERROR(__xludf.DUMMYFUNCTION("""COMPUTED_VALUE"""),"2075")</f>
        <v>2075</v>
      </c>
      <c r="M2129" s="1" t="str">
        <f>IFERROR(__xludf.DUMMYFUNCTION("""COMPUTED_VALUE"""),"BLOCK 2")</f>
        <v>BLOCK 2</v>
      </c>
      <c r="N2129" s="1" t="str">
        <f>IFERROR(__xludf.DUMMYFUNCTION("""COMPUTED_VALUE"""),"ELEVE HOME")</f>
        <v>ELEVE HOME</v>
      </c>
      <c r="O2129" s="1" t="str">
        <f>IFERROR(__xludf.DUMMYFUNCTION("""COMPUTED_VALUE"""),"MAHARLIKA WEST")</f>
        <v>MAHARLIKA WEST</v>
      </c>
      <c r="P2129" s="1" t="str">
        <f>IFERROR(__xludf.DUMMYFUNCTION("""COMPUTED_VALUE"""),"TAGAYTAY")</f>
        <v>TAGAYTAY</v>
      </c>
      <c r="Q2129" s="1" t="str">
        <f>IFERROR(__xludf.DUMMYFUNCTION("""COMPUTED_VALUE"""),"CAVITE")</f>
        <v>CAVITE</v>
      </c>
      <c r="R2129" s="1" t="str">
        <f>IFERROR(__xludf.DUMMYFUNCTION("""COMPUTED_VALUE"""),"FIBR UNLI ALL PLAN 1399")</f>
        <v>FIBR UNLI ALL PLAN 1399</v>
      </c>
      <c r="S2129" s="1" t="str">
        <f>IFERROR(__xludf.DUMMYFUNCTION("""COMPUTED_VALUE"""),"APPROVED")</f>
        <v>APPROVED</v>
      </c>
      <c r="T2129" s="1" t="str">
        <f>IFERROR(__xludf.DUMMYFUNCTION("""COMPUTED_VALUE"""),"#N/A")</f>
        <v>#N/A</v>
      </c>
      <c r="U2129" s="1" t="str">
        <f>IFERROR(__xludf.DUMMYFUNCTION("""COMPUTED_VALUE"""),"POSTED")</f>
        <v>POSTED</v>
      </c>
      <c r="V2129" s="1"/>
      <c r="W2129" s="1"/>
    </row>
    <row r="2130" customHeight="1" spans="1:23">
      <c r="A2130" s="3">
        <f>IFERROR(__xludf.DUMMYFUNCTION("""COMPUTED_VALUE"""),46189)</f>
        <v>46189</v>
      </c>
      <c r="B2130" s="1" t="str">
        <f>IFERROR(__xludf.DUMMYFUNCTION("""COMPUTED_VALUE"""),"FRANCISCO , ROSELYN")</f>
        <v>FRANCISCO , ROSELYN</v>
      </c>
      <c r="C2130" s="1" t="str">
        <f>IFERROR(__xludf.DUMMYFUNCTION("""COMPUTED_VALUE"""),"ORGANIC")</f>
        <v>ORGANIC</v>
      </c>
      <c r="D2130" s="1" t="str">
        <f>IFERROR(__xludf.DUMMYFUNCTION("""COMPUTED_VALUE"""),"REMOLLO LEA")</f>
        <v>REMOLLO LEA</v>
      </c>
      <c r="E2130" s="1" t="str">
        <f>IFERROR(__xludf.DUMMYFUNCTION("""COMPUTED_VALUE"""),"PLDT / ONLINE")</f>
        <v>PLDT / ONLINE</v>
      </c>
      <c r="F2130" s="1">
        <f>IFERROR(__xludf.DUMMYFUNCTION("""COMPUTED_VALUE"""),2310239608)</f>
        <v>2310239608</v>
      </c>
      <c r="G2130" s="1"/>
      <c r="H2130" s="1" t="str">
        <f>IFERROR(__xludf.DUMMYFUNCTION("""COMPUTED_VALUE"""),"LORELY JAYME MAQUILAN")</f>
        <v>LORELY JAYME MAQUILAN</v>
      </c>
      <c r="I2130" s="1">
        <f>IFERROR(__xludf.DUMMYFUNCTION("""COMPUTED_VALUE"""),9946602413)</f>
        <v>9946602413</v>
      </c>
      <c r="J2130" s="1">
        <f>IFERROR(__xludf.DUMMYFUNCTION("""COMPUTED_VALUE"""),9942553313)</f>
        <v>9942553313</v>
      </c>
      <c r="K2130" s="1" t="str">
        <f>IFERROR(__xludf.DUMMYFUNCTION("""COMPUTED_VALUE"""),"davismaquilan04@gmail.com")</f>
        <v>davismaquilan04@gmail.com</v>
      </c>
      <c r="L2130" s="1" t="str">
        <f>IFERROR(__xludf.DUMMYFUNCTION("""COMPUTED_VALUE"""),"BLK 5 LOT 2")</f>
        <v>BLK 5 LOT 2</v>
      </c>
      <c r="M2130" s="1" t="str">
        <f>IFERROR(__xludf.DUMMYFUNCTION("""COMPUTED_VALUE"""),"PHASE 1")</f>
        <v>PHASE 1</v>
      </c>
      <c r="N2130" s="1"/>
      <c r="O2130" s="1" t="str">
        <f>IFERROR(__xludf.DUMMYFUNCTION("""COMPUTED_VALUE"""),"PALIPARAN III")</f>
        <v>PALIPARAN III</v>
      </c>
      <c r="P2130" s="1" t="str">
        <f>IFERROR(__xludf.DUMMYFUNCTION("""COMPUTED_VALUE"""),"DASMARINAS")</f>
        <v>DASMARINAS</v>
      </c>
      <c r="Q2130" s="1" t="str">
        <f>IFERROR(__xludf.DUMMYFUNCTION("""COMPUTED_VALUE"""),"CAVITE")</f>
        <v>CAVITE</v>
      </c>
      <c r="R2130" s="1" t="str">
        <f>IFERROR(__xludf.DUMMYFUNCTION("""COMPUTED_VALUE"""),"FIBR UNLI ALL PLAN 999")</f>
        <v>FIBR UNLI ALL PLAN 999</v>
      </c>
      <c r="S2130" s="1" t="str">
        <f>IFERROR(__xludf.DUMMYFUNCTION("""COMPUTED_VALUE"""),"APPROVED")</f>
        <v>APPROVED</v>
      </c>
      <c r="T2130" s="1" t="str">
        <f>IFERROR(__xludf.DUMMYFUNCTION("""COMPUTED_VALUE"""),"#N/A")</f>
        <v>#N/A</v>
      </c>
      <c r="U2130" s="1"/>
      <c r="V2130" s="1"/>
      <c r="W2130" s="1"/>
    </row>
    <row r="2131" customHeight="1" spans="1:23">
      <c r="A2131" s="3">
        <f>IFERROR(__xludf.DUMMYFUNCTION("""COMPUTED_VALUE"""),46189)</f>
        <v>46189</v>
      </c>
      <c r="B2131" s="1" t="str">
        <f>IFERROR(__xludf.DUMMYFUNCTION("""COMPUTED_VALUE"""),"OPS SIR ZZEP")</f>
        <v>OPS SIR ZZEP</v>
      </c>
      <c r="C2131" s="1" t="str">
        <f>IFERROR(__xludf.DUMMYFUNCTION("""COMPUTED_VALUE"""),"LEADSTORE")</f>
        <v>LEADSTORE</v>
      </c>
      <c r="D2131" s="1" t="str">
        <f>IFERROR(__xludf.DUMMYFUNCTION("""COMPUTED_VALUE"""),"JERIC NAVARRO")</f>
        <v>JERIC NAVARRO</v>
      </c>
      <c r="E2131" s="1" t="str">
        <f>IFERROR(__xludf.DUMMYFUNCTION("""COMPUTED_VALUE"""),"PLDT / ONLINE")</f>
        <v>PLDT / ONLINE</v>
      </c>
      <c r="F2131" s="1">
        <f>IFERROR(__xludf.DUMMYFUNCTION("""COMPUTED_VALUE"""),2310248885)</f>
        <v>2310248885</v>
      </c>
      <c r="G2131" s="1"/>
      <c r="H2131" s="1" t="str">
        <f>IFERROR(__xludf.DUMMYFUNCTION("""COMPUTED_VALUE"""),"MICAH DELA CRUZ TAMAYO")</f>
        <v>MICAH DELA CRUZ TAMAYO</v>
      </c>
      <c r="I2131" s="1">
        <f>IFERROR(__xludf.DUMMYFUNCTION("""COMPUTED_VALUE"""),9267039950)</f>
        <v>9267039950</v>
      </c>
      <c r="J2131" s="1"/>
      <c r="K2131" s="1" t="str">
        <f>IFERROR(__xludf.DUMMYFUNCTION("""COMPUTED_VALUE"""),"micah111613@gmail.com")</f>
        <v>micah111613@gmail.com</v>
      </c>
      <c r="L2131" s="1" t="str">
        <f>IFERROR(__xludf.DUMMYFUNCTION("""COMPUTED_VALUE"""),"BLK 1 LOT 1")</f>
        <v>BLK 1 LOT 1</v>
      </c>
      <c r="M2131" s="1" t="str">
        <f>IFERROR(__xludf.DUMMYFUNCTION("""COMPUTED_VALUE"""),"RODEO")</f>
        <v>RODEO</v>
      </c>
      <c r="N2131" s="1"/>
      <c r="O2131" s="1" t="str">
        <f>IFERROR(__xludf.DUMMYFUNCTION("""COMPUTED_VALUE"""),"ESPERANZA ILAYA")</f>
        <v>ESPERANZA ILAYA</v>
      </c>
      <c r="P2131" s="1" t="str">
        <f>IFERROR(__xludf.DUMMYFUNCTION("""COMPUTED_VALUE"""),"ALFONSO")</f>
        <v>ALFONSO</v>
      </c>
      <c r="Q2131" s="1" t="str">
        <f>IFERROR(__xludf.DUMMYFUNCTION("""COMPUTED_VALUE"""),"CAVITE")</f>
        <v>CAVITE</v>
      </c>
      <c r="R2131" s="1" t="str">
        <f>IFERROR(__xludf.DUMMYFUNCTION("""COMPUTED_VALUE"""),"FIBR PLAN 1299")</f>
        <v>FIBR PLAN 1299</v>
      </c>
      <c r="S2131" s="1" t="str">
        <f>IFERROR(__xludf.DUMMYFUNCTION("""COMPUTED_VALUE"""),"APPROVED")</f>
        <v>APPROVED</v>
      </c>
      <c r="T2131" s="1" t="str">
        <f>IFERROR(__xludf.DUMMYFUNCTION("""COMPUTED_VALUE"""),"#N/A")</f>
        <v>#N/A</v>
      </c>
      <c r="U2131" s="1" t="str">
        <f>IFERROR(__xludf.DUMMYFUNCTION("""COMPUTED_VALUE"""),"POSTED")</f>
        <v>POSTED</v>
      </c>
      <c r="V2131" s="1"/>
      <c r="W2131" s="1"/>
    </row>
    <row r="2132" customHeight="1" spans="1:23">
      <c r="A2132" s="3">
        <f>IFERROR(__xludf.DUMMYFUNCTION("""COMPUTED_VALUE"""),46189)</f>
        <v>46189</v>
      </c>
      <c r="B2132" s="1" t="str">
        <f>IFERROR(__xludf.DUMMYFUNCTION("""COMPUTED_VALUE"""),"SALIOA JB")</f>
        <v>SALIOA JB</v>
      </c>
      <c r="C2132" s="1" t="str">
        <f>IFERROR(__xludf.DUMMYFUNCTION("""COMPUTED_VALUE"""),"FLA")</f>
        <v>FLA</v>
      </c>
      <c r="D2132" s="1" t="str">
        <f>IFERROR(__xludf.DUMMYFUNCTION("""COMPUTED_VALUE"""),"JERIC NAVARRO")</f>
        <v>JERIC NAVARRO</v>
      </c>
      <c r="E2132" s="1" t="str">
        <f>IFERROR(__xludf.DUMMYFUNCTION("""COMPUTED_VALUE"""),"RED FIBER")</f>
        <v>RED FIBER</v>
      </c>
      <c r="F2132" s="1"/>
      <c r="G2132" s="1"/>
      <c r="H2132" s="1" t="str">
        <f>IFERROR(__xludf.DUMMYFUNCTION("""COMPUTED_VALUE"""),"DELMA SANO HOLE")</f>
        <v>DELMA SANO HOLE</v>
      </c>
      <c r="I2132" s="1">
        <f>IFERROR(__xludf.DUMMYFUNCTION("""COMPUTED_VALUE"""),9301775998)</f>
        <v>9301775998</v>
      </c>
      <c r="J2132" s="1">
        <f>IFERROR(__xludf.DUMMYFUNCTION("""COMPUTED_VALUE"""),9393197761)</f>
        <v>9393197761</v>
      </c>
      <c r="K2132" s="1" t="str">
        <f>IFERROR(__xludf.DUMMYFUNCTION("""COMPUTED_VALUE"""),"delmahole@gmail.com")</f>
        <v>delmahole@gmail.com</v>
      </c>
      <c r="L2132" s="1" t="str">
        <f>IFERROR(__xludf.DUMMYFUNCTION("""COMPUTED_VALUE"""),"9025")</f>
        <v>9025</v>
      </c>
      <c r="M2132" s="1" t="str">
        <f>IFERROR(__xludf.DUMMYFUNCTION("""COMPUTED_VALUE"""),"ANTERO")</f>
        <v>ANTERO</v>
      </c>
      <c r="N2132" s="1"/>
      <c r="O2132" s="1" t="str">
        <f>IFERROR(__xludf.DUMMYFUNCTION("""COMPUTED_VALUE"""),"SAHUD ULAN")</f>
        <v>SAHUD ULAN</v>
      </c>
      <c r="P2132" s="1" t="str">
        <f>IFERROR(__xludf.DUMMYFUNCTION("""COMPUTED_VALUE"""),"TANZA")</f>
        <v>TANZA</v>
      </c>
      <c r="Q2132" s="1" t="str">
        <f>IFERROR(__xludf.DUMMYFUNCTION("""COMPUTED_VALUE"""),"CAVITE")</f>
        <v>CAVITE</v>
      </c>
      <c r="R2132" s="1" t="str">
        <f>IFERROR(__xludf.DUMMYFUNCTION("""COMPUTED_VALUE"""),"RED PLAN 1400")</f>
        <v>RED PLAN 1400</v>
      </c>
      <c r="S2132" s="1" t="str">
        <f>IFERROR(__xludf.DUMMYFUNCTION("""COMPUTED_VALUE"""),"APPROVED")</f>
        <v>APPROVED</v>
      </c>
      <c r="T2132" s="1" t="str">
        <f>IFERROR(__xludf.DUMMYFUNCTION("""COMPUTED_VALUE"""),"#N/A")</f>
        <v>#N/A</v>
      </c>
      <c r="U2132" s="1"/>
      <c r="V2132" s="1"/>
      <c r="W2132" s="1"/>
    </row>
    <row r="2133" customHeight="1" spans="1:23">
      <c r="A2133" s="3">
        <f>IFERROR(__xludf.DUMMYFUNCTION("""COMPUTED_VALUE"""),46189)</f>
        <v>46189</v>
      </c>
      <c r="B2133" s="1" t="str">
        <f>IFERROR(__xludf.DUMMYFUNCTION("""COMPUTED_VALUE"""),"ESCARCHA, MA ALMA  ESCOTO")</f>
        <v>ESCARCHA, MA ALMA  ESCOTO</v>
      </c>
      <c r="C2133" s="1" t="str">
        <f>IFERROR(__xludf.DUMMYFUNCTION("""COMPUTED_VALUE"""),"ORGANIC")</f>
        <v>ORGANIC</v>
      </c>
      <c r="D2133" s="1" t="str">
        <f>IFERROR(__xludf.DUMMYFUNCTION("""COMPUTED_VALUE"""),"REMOLLO LEA")</f>
        <v>REMOLLO LEA</v>
      </c>
      <c r="E2133" s="1" t="str">
        <f>IFERROR(__xludf.DUMMYFUNCTION("""COMPUTED_VALUE"""),"PLDT / H2H")</f>
        <v>PLDT / H2H</v>
      </c>
      <c r="F2133" s="1">
        <f>IFERROR(__xludf.DUMMYFUNCTION("""COMPUTED_VALUE"""),2310243277)</f>
        <v>2310243277</v>
      </c>
      <c r="G2133" s="1"/>
      <c r="H2133" s="1" t="str">
        <f>IFERROR(__xludf.DUMMYFUNCTION("""COMPUTED_VALUE"""),"ELVIRA FLORES ESTIPULAR")</f>
        <v>ELVIRA FLORES ESTIPULAR</v>
      </c>
      <c r="I2133" s="1">
        <f>IFERROR(__xludf.DUMMYFUNCTION("""COMPUTED_VALUE"""),9265752987)</f>
        <v>9265752987</v>
      </c>
      <c r="J2133" s="1"/>
      <c r="K2133" s="1" t="str">
        <f>IFERROR(__xludf.DUMMYFUNCTION("""COMPUTED_VALUE"""),"daniellejoytundayag@gmail.com")</f>
        <v>daniellejoytundayag@gmail.com</v>
      </c>
      <c r="L2133" s="1" t="str">
        <f>IFERROR(__xludf.DUMMYFUNCTION("""COMPUTED_VALUE"""),"381 F")</f>
        <v>381 F</v>
      </c>
      <c r="M2133" s="1" t="str">
        <f>IFERROR(__xludf.DUMMYFUNCTION("""COMPUTED_VALUE"""),"PILIPIT ST")</f>
        <v>PILIPIT ST</v>
      </c>
      <c r="N2133" s="1"/>
      <c r="O2133" s="1" t="str">
        <f>IFERROR(__xludf.DUMMYFUNCTION("""COMPUTED_VALUE"""),"KAYTITINGA I")</f>
        <v>KAYTITINGA I</v>
      </c>
      <c r="P2133" s="1" t="str">
        <f>IFERROR(__xludf.DUMMYFUNCTION("""COMPUTED_VALUE"""),"ALFONSO")</f>
        <v>ALFONSO</v>
      </c>
      <c r="Q2133" s="1" t="str">
        <f>IFERROR(__xludf.DUMMYFUNCTION("""COMPUTED_VALUE"""),"CAVITE")</f>
        <v>CAVITE</v>
      </c>
      <c r="R2133" s="1" t="str">
        <f>IFERROR(__xludf.DUMMYFUNCTION("""COMPUTED_VALUE"""),"FIBR UNLI ALL PLAN 999")</f>
        <v>FIBR UNLI ALL PLAN 999</v>
      </c>
      <c r="S2133" s="1" t="str">
        <f>IFERROR(__xludf.DUMMYFUNCTION("""COMPUTED_VALUE"""),"APPROVED")</f>
        <v>APPROVED</v>
      </c>
      <c r="T2133" s="1" t="str">
        <f>IFERROR(__xludf.DUMMYFUNCTION("""COMPUTED_VALUE"""),"#N/A")</f>
        <v>#N/A</v>
      </c>
      <c r="U2133" s="1" t="str">
        <f>IFERROR(__xludf.DUMMYFUNCTION("""COMPUTED_VALUE"""),"POSTED")</f>
        <v>POSTED</v>
      </c>
      <c r="V2133" s="1"/>
      <c r="W2133" s="1"/>
    </row>
    <row r="2134" customHeight="1" spans="1:23">
      <c r="A2134" s="3">
        <f>IFERROR(__xludf.DUMMYFUNCTION("""COMPUTED_VALUE"""),46189)</f>
        <v>46189</v>
      </c>
      <c r="B2134" s="1" t="str">
        <f>IFERROR(__xludf.DUMMYFUNCTION("""COMPUTED_VALUE"""),"ALINGARO, CINDY")</f>
        <v>ALINGARO, CINDY</v>
      </c>
      <c r="C2134" s="1" t="str">
        <f>IFERROR(__xludf.DUMMYFUNCTION("""COMPUTED_VALUE"""),"ORGANIC")</f>
        <v>ORGANIC</v>
      </c>
      <c r="D2134" s="1" t="str">
        <f>IFERROR(__xludf.DUMMYFUNCTION("""COMPUTED_VALUE"""),"REMOLLO LEA")</f>
        <v>REMOLLO LEA</v>
      </c>
      <c r="E2134" s="1" t="str">
        <f>IFERROR(__xludf.DUMMYFUNCTION("""COMPUTED_VALUE"""),"PLDT / H2H")</f>
        <v>PLDT / H2H</v>
      </c>
      <c r="F2134" s="1">
        <f>IFERROR(__xludf.DUMMYFUNCTION("""COMPUTED_VALUE"""),2310247272)</f>
        <v>2310247272</v>
      </c>
      <c r="G2134" s="1"/>
      <c r="H2134" s="1" t="str">
        <f>IFERROR(__xludf.DUMMYFUNCTION("""COMPUTED_VALUE"""),"RODERICK RAZON BELLA")</f>
        <v>RODERICK RAZON BELLA</v>
      </c>
      <c r="I2134" s="1">
        <f>IFERROR(__xludf.DUMMYFUNCTION("""COMPUTED_VALUE"""),9454774757)</f>
        <v>9454774757</v>
      </c>
      <c r="J2134" s="1">
        <f>IFERROR(__xludf.DUMMYFUNCTION("""COMPUTED_VALUE"""),9455789595)</f>
        <v>9455789595</v>
      </c>
      <c r="K2134" s="1" t="str">
        <f>IFERROR(__xludf.DUMMYFUNCTION("""COMPUTED_VALUE"""),"roderick_bella@gmail.com")</f>
        <v>roderick_bella@gmail.com</v>
      </c>
      <c r="L2134" s="1" t="str">
        <f>IFERROR(__xludf.DUMMYFUNCTION("""COMPUTED_VALUE"""),"BLK 18 LOT 20")</f>
        <v>BLK 18 LOT 20</v>
      </c>
      <c r="M2134" s="1" t="str">
        <f>IFERROR(__xludf.DUMMYFUNCTION("""COMPUTED_VALUE"""),"BONIFACIO DRIVE")</f>
        <v>BONIFACIO DRIVE</v>
      </c>
      <c r="N2134" s="1"/>
      <c r="O2134" s="1" t="str">
        <f>IFERROR(__xludf.DUMMYFUNCTION("""COMPUTED_VALUE"""),"SILANG CROSSING WEST")</f>
        <v>SILANG CROSSING WEST</v>
      </c>
      <c r="P2134" s="1" t="str">
        <f>IFERROR(__xludf.DUMMYFUNCTION("""COMPUTED_VALUE"""),"TAGAYTAY")</f>
        <v>TAGAYTAY</v>
      </c>
      <c r="Q2134" s="1" t="str">
        <f>IFERROR(__xludf.DUMMYFUNCTION("""COMPUTED_VALUE"""),"CAVITE")</f>
        <v>CAVITE</v>
      </c>
      <c r="R2134" s="1" t="str">
        <f>IFERROR(__xludf.DUMMYFUNCTION("""COMPUTED_VALUE"""),"FIBR NETFLIX PLAN 1599")</f>
        <v>FIBR NETFLIX PLAN 1599</v>
      </c>
      <c r="S2134" s="1" t="str">
        <f>IFERROR(__xludf.DUMMYFUNCTION("""COMPUTED_VALUE"""),"APPROVED")</f>
        <v>APPROVED</v>
      </c>
      <c r="T2134" s="1" t="str">
        <f>IFERROR(__xludf.DUMMYFUNCTION("""COMPUTED_VALUE"""),"#N/A")</f>
        <v>#N/A</v>
      </c>
      <c r="U2134" s="1" t="str">
        <f>IFERROR(__xludf.DUMMYFUNCTION("""COMPUTED_VALUE"""),"POSTED")</f>
        <v>POSTED</v>
      </c>
      <c r="V2134" s="1"/>
      <c r="W2134" s="1"/>
    </row>
    <row r="2135" customHeight="1" spans="1:23">
      <c r="A2135" s="3">
        <f>IFERROR(__xludf.DUMMYFUNCTION("""COMPUTED_VALUE"""),46189)</f>
        <v>46189</v>
      </c>
      <c r="B2135" s="1" t="str">
        <f>IFERROR(__xludf.DUMMYFUNCTION("""COMPUTED_VALUE"""),"GABAY, MANUEL")</f>
        <v>GABAY, MANUEL</v>
      </c>
      <c r="C2135" s="1" t="str">
        <f>IFERROR(__xludf.DUMMYFUNCTION("""COMPUTED_VALUE"""),"FLA")</f>
        <v>FLA</v>
      </c>
      <c r="D2135" s="1" t="str">
        <f>IFERROR(__xludf.DUMMYFUNCTION("""COMPUTED_VALUE"""),"JERIC NAVARRO")</f>
        <v>JERIC NAVARRO</v>
      </c>
      <c r="E2135" s="1" t="str">
        <f>IFERROR(__xludf.DUMMYFUNCTION("""COMPUTED_VALUE"""),"PLDT / ONLINE")</f>
        <v>PLDT / ONLINE</v>
      </c>
      <c r="F2135" s="1">
        <f>IFERROR(__xludf.DUMMYFUNCTION("""COMPUTED_VALUE"""),2310247817)</f>
        <v>2310247817</v>
      </c>
      <c r="G2135" s="1"/>
      <c r="H2135" s="1" t="str">
        <f>IFERROR(__xludf.DUMMYFUNCTION("""COMPUTED_VALUE"""),"FREDERICK MAGBOO GLORIA")</f>
        <v>FREDERICK MAGBOO GLORIA</v>
      </c>
      <c r="I2135" s="1">
        <f>IFERROR(__xludf.DUMMYFUNCTION("""COMPUTED_VALUE"""),9453341768)</f>
        <v>9453341768</v>
      </c>
      <c r="J2135" s="1">
        <f>IFERROR(__xludf.DUMMYFUNCTION("""COMPUTED_VALUE"""),9619773681)</f>
        <v>9619773681</v>
      </c>
      <c r="K2135" s="1" t="str">
        <f>IFERROR(__xludf.DUMMYFUNCTION("""COMPUTED_VALUE"""),"likhangmakabayan@gmial.com")</f>
        <v>likhangmakabayan@gmial.com</v>
      </c>
      <c r="L2135" s="1" t="str">
        <f>IFERROR(__xludf.DUMMYFUNCTION("""COMPUTED_VALUE"""),"1985")</f>
        <v>1985</v>
      </c>
      <c r="M2135" s="1" t="str">
        <f>IFERROR(__xludf.DUMMYFUNCTION("""COMPUTED_VALUE"""),"GUINHAWA RD")</f>
        <v>GUINHAWA RD</v>
      </c>
      <c r="N2135" s="1"/>
      <c r="O2135" s="1" t="str">
        <f>IFERROR(__xludf.DUMMYFUNCTION("""COMPUTED_VALUE"""),"GUINHAWA SOUTH")</f>
        <v>GUINHAWA SOUTH</v>
      </c>
      <c r="P2135" s="1" t="str">
        <f>IFERROR(__xludf.DUMMYFUNCTION("""COMPUTED_VALUE"""),"TAGAYTAY")</f>
        <v>TAGAYTAY</v>
      </c>
      <c r="Q2135" s="1" t="str">
        <f>IFERROR(__xludf.DUMMYFUNCTION("""COMPUTED_VALUE"""),"CAVITE")</f>
        <v>CAVITE</v>
      </c>
      <c r="R2135" s="1" t="str">
        <f>IFERROR(__xludf.DUMMYFUNCTION("""COMPUTED_VALUE"""),"FIBR UNLI ALL PLAN 1799")</f>
        <v>FIBR UNLI ALL PLAN 1799</v>
      </c>
      <c r="S2135" s="1" t="str">
        <f>IFERROR(__xludf.DUMMYFUNCTION("""COMPUTED_VALUE"""),"APPROVED")</f>
        <v>APPROVED</v>
      </c>
      <c r="T2135" s="1" t="str">
        <f>IFERROR(__xludf.DUMMYFUNCTION("""COMPUTED_VALUE"""),"#N/A")</f>
        <v>#N/A</v>
      </c>
      <c r="U2135" s="1" t="str">
        <f>IFERROR(__xludf.DUMMYFUNCTION("""COMPUTED_VALUE"""),"POSTED")</f>
        <v>POSTED</v>
      </c>
      <c r="V2135" s="1"/>
      <c r="W2135" s="1"/>
    </row>
    <row r="2136" customHeight="1" spans="1:23">
      <c r="A2136" s="3">
        <f>IFERROR(__xludf.DUMMYFUNCTION("""COMPUTED_VALUE"""),46189)</f>
        <v>46189</v>
      </c>
      <c r="B2136" s="1" t="str">
        <f>IFERROR(__xludf.DUMMYFUNCTION("""COMPUTED_VALUE"""),"FRANCISCO , ROSELYN")</f>
        <v>FRANCISCO , ROSELYN</v>
      </c>
      <c r="C2136" s="1" t="str">
        <f>IFERROR(__xludf.DUMMYFUNCTION("""COMPUTED_VALUE"""),"ORGANIC")</f>
        <v>ORGANIC</v>
      </c>
      <c r="D2136" s="1" t="str">
        <f>IFERROR(__xludf.DUMMYFUNCTION("""COMPUTED_VALUE"""),"REMOLLO LEA")</f>
        <v>REMOLLO LEA</v>
      </c>
      <c r="E2136" s="1" t="str">
        <f>IFERROR(__xludf.DUMMYFUNCTION("""COMPUTED_VALUE"""),"PLDT / H2H")</f>
        <v>PLDT / H2H</v>
      </c>
      <c r="F2136" s="1">
        <f>IFERROR(__xludf.DUMMYFUNCTION("""COMPUTED_VALUE"""),2310247110)</f>
        <v>2310247110</v>
      </c>
      <c r="G2136" s="1"/>
      <c r="H2136" s="1" t="str">
        <f>IFERROR(__xludf.DUMMYFUNCTION("""COMPUTED_VALUE"""),"DIANA ROSE CATOLICO BARRAMEDA")</f>
        <v>DIANA ROSE CATOLICO BARRAMEDA</v>
      </c>
      <c r="I2136" s="1">
        <f>IFERROR(__xludf.DUMMYFUNCTION("""COMPUTED_VALUE"""),9913914812)</f>
        <v>9913914812</v>
      </c>
      <c r="J2136" s="1">
        <f>IFERROR(__xludf.DUMMYFUNCTION("""COMPUTED_VALUE"""),9454526650)</f>
        <v>9454526650</v>
      </c>
      <c r="K2136" s="1" t="str">
        <f>IFERROR(__xludf.DUMMYFUNCTION("""COMPUTED_VALUE"""),"dianabarramda9@gmail.com")</f>
        <v>dianabarramda9@gmail.com</v>
      </c>
      <c r="L2136" s="1" t="str">
        <f>IFERROR(__xludf.DUMMYFUNCTION("""COMPUTED_VALUE"""),"BLK 6 LOT 3")</f>
        <v>BLK 6 LOT 3</v>
      </c>
      <c r="M2136" s="1" t="str">
        <f>IFERROR(__xludf.DUMMYFUNCTION("""COMPUTED_VALUE"""),"LATIBAY")</f>
        <v>LATIBAY</v>
      </c>
      <c r="N2136" s="1"/>
      <c r="O2136" s="1" t="str">
        <f>IFERROR(__xludf.DUMMYFUNCTION("""COMPUTED_VALUE"""),"PANUNGYAN I")</f>
        <v>PANUNGYAN I</v>
      </c>
      <c r="P2136" s="1" t="str">
        <f>IFERROR(__xludf.DUMMYFUNCTION("""COMPUTED_VALUE"""),"MENDEZ")</f>
        <v>MENDEZ</v>
      </c>
      <c r="Q2136" s="1" t="str">
        <f>IFERROR(__xludf.DUMMYFUNCTION("""COMPUTED_VALUE"""),"CAVITE")</f>
        <v>CAVITE</v>
      </c>
      <c r="R2136" s="1" t="str">
        <f>IFERROR(__xludf.DUMMYFUNCTION("""COMPUTED_VALUE"""),"FIBR UNLI ALL PLAN 1399")</f>
        <v>FIBR UNLI ALL PLAN 1399</v>
      </c>
      <c r="S2136" s="1" t="str">
        <f>IFERROR(__xludf.DUMMYFUNCTION("""COMPUTED_VALUE"""),"APPROVED")</f>
        <v>APPROVED</v>
      </c>
      <c r="T2136" s="1" t="str">
        <f>IFERROR(__xludf.DUMMYFUNCTION("""COMPUTED_VALUE"""),"#N/A")</f>
        <v>#N/A</v>
      </c>
      <c r="U2136" s="1" t="str">
        <f>IFERROR(__xludf.DUMMYFUNCTION("""COMPUTED_VALUE"""),"POSTED")</f>
        <v>POSTED</v>
      </c>
      <c r="V2136" s="1"/>
      <c r="W2136" s="1"/>
    </row>
    <row r="2137" customHeight="1" spans="1:23">
      <c r="A2137" s="3">
        <f>IFERROR(__xludf.DUMMYFUNCTION("""COMPUTED_VALUE"""),46189)</f>
        <v>46189</v>
      </c>
      <c r="B2137" s="1" t="str">
        <f>IFERROR(__xludf.DUMMYFUNCTION("""COMPUTED_VALUE"""),"AGUNOS, JHON AIRVIN")</f>
        <v>AGUNOS, JHON AIRVIN</v>
      </c>
      <c r="C2137" s="1" t="str">
        <f>IFERROR(__xludf.DUMMYFUNCTION("""COMPUTED_VALUE"""),"ORGANIC")</f>
        <v>ORGANIC</v>
      </c>
      <c r="D2137" s="1" t="str">
        <f>IFERROR(__xludf.DUMMYFUNCTION("""COMPUTED_VALUE"""),"REMOLLO LEA")</f>
        <v>REMOLLO LEA</v>
      </c>
      <c r="E2137" s="1" t="str">
        <f>IFERROR(__xludf.DUMMYFUNCTION("""COMPUTED_VALUE"""),"PLDT / H2H")</f>
        <v>PLDT / H2H</v>
      </c>
      <c r="F2137" s="1"/>
      <c r="G2137" s="1"/>
      <c r="H2137" s="1" t="str">
        <f>IFERROR(__xludf.DUMMYFUNCTION("""COMPUTED_VALUE"""),"MARICOR VALENZUELA AMANTE")</f>
        <v>MARICOR VALENZUELA AMANTE</v>
      </c>
      <c r="I2137" s="1">
        <f>IFERROR(__xludf.DUMMYFUNCTION("""COMPUTED_VALUE"""),9363801923)</f>
        <v>9363801923</v>
      </c>
      <c r="J2137" s="1">
        <f>IFERROR(__xludf.DUMMYFUNCTION("""COMPUTED_VALUE"""),9084104734)</f>
        <v>9084104734</v>
      </c>
      <c r="K2137" s="1" t="str">
        <f>IFERROR(__xludf.DUMMYFUNCTION("""COMPUTED_VALUE"""),"amantemaricor08@gmail.com")</f>
        <v>amantemaricor08@gmail.com</v>
      </c>
      <c r="L2137" s="1" t="str">
        <f>IFERROR(__xludf.DUMMYFUNCTION("""COMPUTED_VALUE"""),"198")</f>
        <v>198</v>
      </c>
      <c r="M2137" s="1" t="str">
        <f>IFERROR(__xludf.DUMMYFUNCTION("""COMPUTED_VALUE"""),"AGUINLADO HIGHWAY")</f>
        <v>AGUINLADO HIGHWAY</v>
      </c>
      <c r="N2137" s="1"/>
      <c r="O2137" s="1" t="str">
        <f>IFERROR(__xludf.DUMMYFUNCTION("""COMPUTED_VALUE"""),"BIGA I")</f>
        <v>BIGA I</v>
      </c>
      <c r="P2137" s="1" t="str">
        <f>IFERROR(__xludf.DUMMYFUNCTION("""COMPUTED_VALUE"""),"SILANG")</f>
        <v>SILANG</v>
      </c>
      <c r="Q2137" s="1" t="str">
        <f>IFERROR(__xludf.DUMMYFUNCTION("""COMPUTED_VALUE"""),"CAVITE")</f>
        <v>CAVITE</v>
      </c>
      <c r="R2137" s="1" t="str">
        <f>IFERROR(__xludf.DUMMYFUNCTION("""COMPUTED_VALUE"""),"FIBR PLAN 1299")</f>
        <v>FIBR PLAN 1299</v>
      </c>
      <c r="S2137" s="1" t="str">
        <f>IFERROR(__xludf.DUMMYFUNCTION("""COMPUTED_VALUE"""),"CANCELLED ")</f>
        <v>CANCELLED </v>
      </c>
      <c r="T2137" s="1" t="str">
        <f>IFERROR(__xludf.DUMMYFUNCTION("""COMPUTED_VALUE"""),"#N/A")</f>
        <v>#N/A</v>
      </c>
      <c r="U2137" s="1" t="str">
        <f>IFERROR(__xludf.DUMMYFUNCTION("""COMPUTED_VALUE"""),"BUSSINESS PO ITO")</f>
        <v>BUSSINESS PO ITO</v>
      </c>
      <c r="V2137" s="1"/>
      <c r="W2137" s="1"/>
    </row>
    <row r="2138" customHeight="1" spans="1:23">
      <c r="A2138" s="3">
        <f>IFERROR(__xludf.DUMMYFUNCTION("""COMPUTED_VALUE"""),46189)</f>
        <v>46189</v>
      </c>
      <c r="B2138" s="1" t="str">
        <f>IFERROR(__xludf.DUMMYFUNCTION("""COMPUTED_VALUE"""),"ACOSTA. ZAIRUS")</f>
        <v>ACOSTA. ZAIRUS</v>
      </c>
      <c r="C2138" s="1" t="str">
        <f>IFERROR(__xludf.DUMMYFUNCTION("""COMPUTED_VALUE"""),"ORGANIC")</f>
        <v>ORGANIC</v>
      </c>
      <c r="D2138" s="1" t="str">
        <f>IFERROR(__xludf.DUMMYFUNCTION("""COMPUTED_VALUE"""),"REMOLLO LEA")</f>
        <v>REMOLLO LEA</v>
      </c>
      <c r="E2138" s="1" t="str">
        <f>IFERROR(__xludf.DUMMYFUNCTION("""COMPUTED_VALUE"""),"PLDT / H2H")</f>
        <v>PLDT / H2H</v>
      </c>
      <c r="F2138" s="1">
        <f>IFERROR(__xludf.DUMMYFUNCTION("""COMPUTED_VALUE"""),2310248422)</f>
        <v>2310248422</v>
      </c>
      <c r="G2138" s="1"/>
      <c r="H2138" s="1" t="str">
        <f>IFERROR(__xludf.DUMMYFUNCTION("""COMPUTED_VALUE"""),"ROSALIE VALENZUELA NOLASCO")</f>
        <v>ROSALIE VALENZUELA NOLASCO</v>
      </c>
      <c r="I2138" s="1">
        <f>IFERROR(__xludf.DUMMYFUNCTION("""COMPUTED_VALUE"""),9245039670)</f>
        <v>9245039670</v>
      </c>
      <c r="J2138" s="1">
        <f>IFERROR(__xludf.DUMMYFUNCTION("""COMPUTED_VALUE"""),9535081501)</f>
        <v>9535081501</v>
      </c>
      <c r="K2138" s="1" t="str">
        <f>IFERROR(__xludf.DUMMYFUNCTION("""COMPUTED_VALUE"""),"nolascojayson1996@gmail.com")</f>
        <v>nolascojayson1996@gmail.com</v>
      </c>
      <c r="L2138" s="1" t="str">
        <f>IFERROR(__xludf.DUMMYFUNCTION("""COMPUTED_VALUE"""),"72")</f>
        <v>72</v>
      </c>
      <c r="M2138" s="1" t="str">
        <f>IFERROR(__xludf.DUMMYFUNCTION("""COMPUTED_VALUE"""),"PULONG PANDAY")</f>
        <v>PULONG PANDAY</v>
      </c>
      <c r="N2138" s="1"/>
      <c r="O2138" s="1" t="str">
        <f>IFERROR(__xludf.DUMMYFUNCTION("""COMPUTED_VALUE"""),"PANUNGYAN I")</f>
        <v>PANUNGYAN I</v>
      </c>
      <c r="P2138" s="1" t="str">
        <f>IFERROR(__xludf.DUMMYFUNCTION("""COMPUTED_VALUE"""),"MENDEZ")</f>
        <v>MENDEZ</v>
      </c>
      <c r="Q2138" s="1" t="str">
        <f>IFERROR(__xludf.DUMMYFUNCTION("""COMPUTED_VALUE"""),"CAVITE")</f>
        <v>CAVITE</v>
      </c>
      <c r="R2138" s="1" t="str">
        <f>IFERROR(__xludf.DUMMYFUNCTION("""COMPUTED_VALUE"""),"FIBR UNLI ALL PLAN 999")</f>
        <v>FIBR UNLI ALL PLAN 999</v>
      </c>
      <c r="S2138" s="1" t="str">
        <f>IFERROR(__xludf.DUMMYFUNCTION("""COMPUTED_VALUE"""),"APPROVED")</f>
        <v>APPROVED</v>
      </c>
      <c r="T2138" s="1" t="str">
        <f>IFERROR(__xludf.DUMMYFUNCTION("""COMPUTED_VALUE"""),"#N/A")</f>
        <v>#N/A</v>
      </c>
      <c r="U2138" s="1" t="str">
        <f>IFERROR(__xludf.DUMMYFUNCTION("""COMPUTED_VALUE"""),"POSTED")</f>
        <v>POSTED</v>
      </c>
      <c r="V2138" s="1"/>
      <c r="W2138" s="1"/>
    </row>
    <row r="2139" customHeight="1" spans="1:23">
      <c r="A2139" s="3">
        <f>IFERROR(__xludf.DUMMYFUNCTION("""COMPUTED_VALUE"""),46189)</f>
        <v>46189</v>
      </c>
      <c r="B2139" s="1" t="str">
        <f>IFERROR(__xludf.DUMMYFUNCTION("""COMPUTED_VALUE"""),"AGUNOS, JHON AIRVIN")</f>
        <v>AGUNOS, JHON AIRVIN</v>
      </c>
      <c r="C2139" s="1" t="str">
        <f>IFERROR(__xludf.DUMMYFUNCTION("""COMPUTED_VALUE"""),"ORGANIC")</f>
        <v>ORGANIC</v>
      </c>
      <c r="D2139" s="1" t="str">
        <f>IFERROR(__xludf.DUMMYFUNCTION("""COMPUTED_VALUE"""),"REMOLLO LEA")</f>
        <v>REMOLLO LEA</v>
      </c>
      <c r="E2139" s="1" t="str">
        <f>IFERROR(__xludf.DUMMYFUNCTION("""COMPUTED_VALUE"""),"PLDT / ONLINE")</f>
        <v>PLDT / ONLINE</v>
      </c>
      <c r="F2139" s="1">
        <f>IFERROR(__xludf.DUMMYFUNCTION("""COMPUTED_VALUE"""),2310249610)</f>
        <v>2310249610</v>
      </c>
      <c r="G2139" s="1"/>
      <c r="H2139" s="1" t="str">
        <f>IFERROR(__xludf.DUMMYFUNCTION("""COMPUTED_VALUE"""),"LIEZEL PENARANDA REDUBLA")</f>
        <v>LIEZEL PENARANDA REDUBLA</v>
      </c>
      <c r="I2139" s="1">
        <f>IFERROR(__xludf.DUMMYFUNCTION("""COMPUTED_VALUE"""),9462387663)</f>
        <v>9462387663</v>
      </c>
      <c r="J2139" s="1">
        <f>IFERROR(__xludf.DUMMYFUNCTION("""COMPUTED_VALUE"""),9637173854)</f>
        <v>9637173854</v>
      </c>
      <c r="K2139" s="1" t="str">
        <f>IFERROR(__xludf.DUMMYFUNCTION("""COMPUTED_VALUE"""),"lvnpresto@gmail.com")</f>
        <v>lvnpresto@gmail.com</v>
      </c>
      <c r="L2139" s="1" t="str">
        <f>IFERROR(__xludf.DUMMYFUNCTION("""COMPUTED_VALUE"""),"78")</f>
        <v>78</v>
      </c>
      <c r="M2139" s="1" t="str">
        <f>IFERROR(__xludf.DUMMYFUNCTION("""COMPUTED_VALUE"""),"PUROK 49")</f>
        <v>PUROK 49</v>
      </c>
      <c r="N2139" s="1"/>
      <c r="O2139" s="1" t="str">
        <f>IFERROR(__xludf.DUMMYFUNCTION("""COMPUTED_VALUE"""),"IRUHIN WEST")</f>
        <v>IRUHIN WEST</v>
      </c>
      <c r="P2139" s="1" t="str">
        <f>IFERROR(__xludf.DUMMYFUNCTION("""COMPUTED_VALUE"""),"TAGAYTAY")</f>
        <v>TAGAYTAY</v>
      </c>
      <c r="Q2139" s="1" t="str">
        <f>IFERROR(__xludf.DUMMYFUNCTION("""COMPUTED_VALUE"""),"CAVITE")</f>
        <v>CAVITE</v>
      </c>
      <c r="R2139" s="1" t="str">
        <f>IFERROR(__xludf.DUMMYFUNCTION("""COMPUTED_VALUE"""),"FIBR PLAN 1299")</f>
        <v>FIBR PLAN 1299</v>
      </c>
      <c r="S2139" s="1" t="str">
        <f>IFERROR(__xludf.DUMMYFUNCTION("""COMPUTED_VALUE"""),"APPROVED")</f>
        <v>APPROVED</v>
      </c>
      <c r="T2139" s="1" t="str">
        <f>IFERROR(__xludf.DUMMYFUNCTION("""COMPUTED_VALUE"""),"#N/A")</f>
        <v>#N/A</v>
      </c>
      <c r="U2139" s="1"/>
      <c r="V2139" s="1"/>
      <c r="W2139" s="1"/>
    </row>
    <row r="2140" customHeight="1" spans="1:23">
      <c r="A2140" s="3">
        <f>IFERROR(__xludf.DUMMYFUNCTION("""COMPUTED_VALUE"""),46189)</f>
        <v>46189</v>
      </c>
      <c r="B2140" s="1" t="str">
        <f>IFERROR(__xludf.DUMMYFUNCTION("""COMPUTED_VALUE"""),"FARO, REFRANTA")</f>
        <v>FARO, REFRANTA</v>
      </c>
      <c r="C2140" s="1" t="str">
        <f>IFERROR(__xludf.DUMMYFUNCTION("""COMPUTED_VALUE"""),"ORGANIC")</f>
        <v>ORGANIC</v>
      </c>
      <c r="D2140" s="1" t="str">
        <f>IFERROR(__xludf.DUMMYFUNCTION("""COMPUTED_VALUE"""),"REMOLLO LEA")</f>
        <v>REMOLLO LEA</v>
      </c>
      <c r="E2140" s="1" t="str">
        <f>IFERROR(__xludf.DUMMYFUNCTION("""COMPUTED_VALUE"""),"RED FIBER")</f>
        <v>RED FIBER</v>
      </c>
      <c r="F2140" s="1"/>
      <c r="G2140" s="1"/>
      <c r="H2140" s="1" t="str">
        <f>IFERROR(__xludf.DUMMYFUNCTION("""COMPUTED_VALUE"""),"RAFAEL ENRIQUEZ DELOS REYES")</f>
        <v>RAFAEL ENRIQUEZ DELOS REYES</v>
      </c>
      <c r="I2140" s="1">
        <f>IFERROR(__xludf.DUMMYFUNCTION("""COMPUTED_VALUE"""),9621445448)</f>
        <v>9621445448</v>
      </c>
      <c r="J2140" s="1"/>
      <c r="K2140" s="1" t="str">
        <f>IFERROR(__xludf.DUMMYFUNCTION("""COMPUTED_VALUE"""),"raffdelosreyes69@gmail.com")</f>
        <v>raffdelosreyes69@gmail.com</v>
      </c>
      <c r="L2140" s="1" t="str">
        <f>IFERROR(__xludf.DUMMYFUNCTION("""COMPUTED_VALUE"""),"1")</f>
        <v>1</v>
      </c>
      <c r="M2140" s="1" t="str">
        <f>IFERROR(__xludf.DUMMYFUNCTION("""COMPUTED_VALUE"""),"GALICIA RD")</f>
        <v>GALICIA RD</v>
      </c>
      <c r="N2140" s="1"/>
      <c r="O2140" s="1" t="str">
        <f>IFERROR(__xludf.DUMMYFUNCTION("""COMPUTED_VALUE"""),"GALICIA II")</f>
        <v>GALICIA II</v>
      </c>
      <c r="P2140" s="1" t="str">
        <f>IFERROR(__xludf.DUMMYFUNCTION("""COMPUTED_VALUE"""),"MENDEZ")</f>
        <v>MENDEZ</v>
      </c>
      <c r="Q2140" s="1" t="str">
        <f>IFERROR(__xludf.DUMMYFUNCTION("""COMPUTED_VALUE"""),"CAVITE")</f>
        <v>CAVITE</v>
      </c>
      <c r="R2140" s="1" t="str">
        <f>IFERROR(__xludf.DUMMYFUNCTION("""COMPUTED_VALUE"""),"RED PLAN 1000")</f>
        <v>RED PLAN 1000</v>
      </c>
      <c r="S2140" s="1" t="str">
        <f>IFERROR(__xludf.DUMMYFUNCTION("""COMPUTED_VALUE"""),"HOLD")</f>
        <v>HOLD</v>
      </c>
      <c r="T2140" s="1" t="str">
        <f>IFERROR(__xludf.DUMMYFUNCTION("""COMPUTED_VALUE"""),"#N/A")</f>
        <v>#N/A</v>
      </c>
      <c r="U2140" s="1"/>
      <c r="V2140" s="1"/>
      <c r="W2140" s="1"/>
    </row>
    <row r="2141" customHeight="1" spans="1:23">
      <c r="A2141" s="3">
        <f>IFERROR(__xludf.DUMMYFUNCTION("""COMPUTED_VALUE"""),46189)</f>
        <v>46189</v>
      </c>
      <c r="B2141" s="1" t="str">
        <f>IFERROR(__xludf.DUMMYFUNCTION("""COMPUTED_VALUE"""),"DELA ROSA, JENNELYN")</f>
        <v>DELA ROSA, JENNELYN</v>
      </c>
      <c r="C2141" s="1" t="str">
        <f>IFERROR(__xludf.DUMMYFUNCTION("""COMPUTED_VALUE"""),"ORGANIC")</f>
        <v>ORGANIC</v>
      </c>
      <c r="D2141" s="1" t="str">
        <f>IFERROR(__xludf.DUMMYFUNCTION("""COMPUTED_VALUE"""),"REMOLLO LEA")</f>
        <v>REMOLLO LEA</v>
      </c>
      <c r="E2141" s="1" t="str">
        <f>IFERROR(__xludf.DUMMYFUNCTION("""COMPUTED_VALUE"""),"PLDT / ONLINE")</f>
        <v>PLDT / ONLINE</v>
      </c>
      <c r="F2141" s="1">
        <f>IFERROR(__xludf.DUMMYFUNCTION("""COMPUTED_VALUE"""),2310250462)</f>
        <v>2310250462</v>
      </c>
      <c r="G2141" s="1"/>
      <c r="H2141" s="1" t="str">
        <f>IFERROR(__xludf.DUMMYFUNCTION("""COMPUTED_VALUE"""),"KIM SAINA TOMINEZ ALCANTARA")</f>
        <v>KIM SAINA TOMINEZ ALCANTARA</v>
      </c>
      <c r="I2141" s="1">
        <f>IFERROR(__xludf.DUMMYFUNCTION("""COMPUTED_VALUE"""),9637552591)</f>
        <v>9637552591</v>
      </c>
      <c r="J2141" s="1">
        <f>IFERROR(__xludf.DUMMYFUNCTION("""COMPUTED_VALUE"""),9567247253)</f>
        <v>9567247253</v>
      </c>
      <c r="K2141" s="1" t="str">
        <f>IFERROR(__xludf.DUMMYFUNCTION("""COMPUTED_VALUE"""),"alcantarakimsaina89@gmail.com")</f>
        <v>alcantarakimsaina89@gmail.com</v>
      </c>
      <c r="L2141" s="1" t="str">
        <f>IFERROR(__xludf.DUMMYFUNCTION("""COMPUTED_VALUE"""),"788")</f>
        <v>788</v>
      </c>
      <c r="M2141" s="1" t="str">
        <f>IFERROR(__xludf.DUMMYFUNCTION("""COMPUTED_VALUE"""),"LAURENTE")</f>
        <v>LAURENTE</v>
      </c>
      <c r="N2141" s="1"/>
      <c r="O2141" s="1" t="str">
        <f>IFERROR(__xludf.DUMMYFUNCTION("""COMPUTED_VALUE"""),"BERNARDO PULIDO (AREA H)")</f>
        <v>BERNARDO PULIDO (AREA H)</v>
      </c>
      <c r="P2141" s="1" t="str">
        <f>IFERROR(__xludf.DUMMYFUNCTION("""COMPUTED_VALUE"""),"GEN MARIANO ALVAREZ")</f>
        <v>GEN MARIANO ALVAREZ</v>
      </c>
      <c r="Q2141" s="1" t="str">
        <f>IFERROR(__xludf.DUMMYFUNCTION("""COMPUTED_VALUE"""),"CAVITE")</f>
        <v>CAVITE</v>
      </c>
      <c r="R2141" s="1" t="str">
        <f>IFERROR(__xludf.DUMMYFUNCTION("""COMPUTED_VALUE"""),"FIBR PLAN 1299")</f>
        <v>FIBR PLAN 1299</v>
      </c>
      <c r="S2141" s="1" t="str">
        <f>IFERROR(__xludf.DUMMYFUNCTION("""COMPUTED_VALUE"""),"APPROVED")</f>
        <v>APPROVED</v>
      </c>
      <c r="T2141" s="1" t="str">
        <f>IFERROR(__xludf.DUMMYFUNCTION("""COMPUTED_VALUE"""),"#N/A")</f>
        <v>#N/A</v>
      </c>
      <c r="U2141" s="1"/>
      <c r="V2141" s="1"/>
      <c r="W2141" s="1"/>
    </row>
    <row r="2142" customHeight="1" spans="1:23">
      <c r="A2142" s="3">
        <f>IFERROR(__xludf.DUMMYFUNCTION("""COMPUTED_VALUE"""),46189)</f>
        <v>46189</v>
      </c>
      <c r="B2142" s="1" t="str">
        <f>IFERROR(__xludf.DUMMYFUNCTION("""COMPUTED_VALUE"""),"GABAY, MANUEL")</f>
        <v>GABAY, MANUEL</v>
      </c>
      <c r="C2142" s="1" t="str">
        <f>IFERROR(__xludf.DUMMYFUNCTION("""COMPUTED_VALUE"""),"FLA")</f>
        <v>FLA</v>
      </c>
      <c r="D2142" s="1" t="str">
        <f>IFERROR(__xludf.DUMMYFUNCTION("""COMPUTED_VALUE"""),"JERIC NAVARRO")</f>
        <v>JERIC NAVARRO</v>
      </c>
      <c r="E2142" s="1" t="str">
        <f>IFERROR(__xludf.DUMMYFUNCTION("""COMPUTED_VALUE"""),"PLDT / H2H")</f>
        <v>PLDT / H2H</v>
      </c>
      <c r="F2142" s="1">
        <f>IFERROR(__xludf.DUMMYFUNCTION("""COMPUTED_VALUE"""),2310251237)</f>
        <v>2310251237</v>
      </c>
      <c r="G2142" s="1"/>
      <c r="H2142" s="1" t="str">
        <f>IFERROR(__xludf.DUMMYFUNCTION("""COMPUTED_VALUE"""),"NICKY JANE BACNIS VEGA")</f>
        <v>NICKY JANE BACNIS VEGA</v>
      </c>
      <c r="I2142" s="1">
        <f>IFERROR(__xludf.DUMMYFUNCTION("""COMPUTED_VALUE"""),9213343475)</f>
        <v>9213343475</v>
      </c>
      <c r="J2142" s="1">
        <f>IFERROR(__xludf.DUMMYFUNCTION("""COMPUTED_VALUE"""),9511507910)</f>
        <v>9511507910</v>
      </c>
      <c r="K2142" s="1" t="str">
        <f>IFERROR(__xludf.DUMMYFUNCTION("""COMPUTED_VALUE"""),"mackyvillegas@gmail.com")</f>
        <v>mackyvillegas@gmail.com</v>
      </c>
      <c r="L2142" s="1" t="str">
        <f>IFERROR(__xludf.DUMMYFUNCTION("""COMPUTED_VALUE"""),"9101")</f>
        <v>9101</v>
      </c>
      <c r="M2142" s="1" t="str">
        <f>IFERROR(__xludf.DUMMYFUNCTION("""COMPUTED_VALUE"""),"SAN PEDRO")</f>
        <v>SAN PEDRO</v>
      </c>
      <c r="N2142" s="1"/>
      <c r="O2142" s="1" t="str">
        <f>IFERROR(__xludf.DUMMYFUNCTION("""COMPUTED_VALUE"""),"BUKAL")</f>
        <v>BUKAL</v>
      </c>
      <c r="P2142" s="1" t="str">
        <f>IFERROR(__xludf.DUMMYFUNCTION("""COMPUTED_VALUE"""),"MENDEZ")</f>
        <v>MENDEZ</v>
      </c>
      <c r="Q2142" s="1" t="str">
        <f>IFERROR(__xludf.DUMMYFUNCTION("""COMPUTED_VALUE"""),"CAVITE")</f>
        <v>CAVITE</v>
      </c>
      <c r="R2142" s="1" t="str">
        <f>IFERROR(__xludf.DUMMYFUNCTION("""COMPUTED_VALUE"""),"FIBR UNLI ALL PLAN 1399")</f>
        <v>FIBR UNLI ALL PLAN 1399</v>
      </c>
      <c r="S2142" s="1" t="str">
        <f>IFERROR(__xludf.DUMMYFUNCTION("""COMPUTED_VALUE"""),"APPROVED")</f>
        <v>APPROVED</v>
      </c>
      <c r="T2142" s="1" t="str">
        <f>IFERROR(__xludf.DUMMYFUNCTION("""COMPUTED_VALUE"""),"#N/A")</f>
        <v>#N/A</v>
      </c>
      <c r="U2142" s="1" t="str">
        <f>IFERROR(__xludf.DUMMYFUNCTION("""COMPUTED_VALUE"""),"POSTED")</f>
        <v>POSTED</v>
      </c>
      <c r="V2142" s="1"/>
      <c r="W2142" s="1"/>
    </row>
    <row r="2143" customHeight="1" spans="1:23">
      <c r="A2143" s="3">
        <f>IFERROR(__xludf.DUMMYFUNCTION("""COMPUTED_VALUE"""),46189)</f>
        <v>46189</v>
      </c>
      <c r="B2143" s="1" t="str">
        <f>IFERROR(__xludf.DUMMYFUNCTION("""COMPUTED_VALUE"""),"TAMAYO, MARY ROSE")</f>
        <v>TAMAYO, MARY ROSE</v>
      </c>
      <c r="C2143" s="1" t="str">
        <f>IFERROR(__xludf.DUMMYFUNCTION("""COMPUTED_VALUE"""),"ORGANIC")</f>
        <v>ORGANIC</v>
      </c>
      <c r="D2143" s="1" t="str">
        <f>IFERROR(__xludf.DUMMYFUNCTION("""COMPUTED_VALUE"""),"REMOLLO LEA")</f>
        <v>REMOLLO LEA</v>
      </c>
      <c r="E2143" s="1" t="str">
        <f>IFERROR(__xludf.DUMMYFUNCTION("""COMPUTED_VALUE"""),"PLDT / H2H")</f>
        <v>PLDT / H2H</v>
      </c>
      <c r="F2143" s="1">
        <f>IFERROR(__xludf.DUMMYFUNCTION("""COMPUTED_VALUE"""),2310253164)</f>
        <v>2310253164</v>
      </c>
      <c r="G2143" s="1"/>
      <c r="H2143" s="1" t="str">
        <f>IFERROR(__xludf.DUMMYFUNCTION("""COMPUTED_VALUE"""),"VIVA FRANCE JUNSAY JOAQUIN")</f>
        <v>VIVA FRANCE JUNSAY JOAQUIN</v>
      </c>
      <c r="I2143" s="1">
        <f>IFERROR(__xludf.DUMMYFUNCTION("""COMPUTED_VALUE"""),9917418764)</f>
        <v>9917418764</v>
      </c>
      <c r="J2143" s="1"/>
      <c r="K2143" s="1" t="str">
        <f>IFERROR(__xludf.DUMMYFUNCTION("""COMPUTED_VALUE"""),"junsay.catherine29@gmail.com")</f>
        <v>junsay.catherine29@gmail.com</v>
      </c>
      <c r="L2143" s="1" t="str">
        <f>IFERROR(__xludf.DUMMYFUNCTION("""COMPUTED_VALUE"""),"BLK 9 LOT 35")</f>
        <v>BLK 9 LOT 35</v>
      </c>
      <c r="M2143" s="1" t="str">
        <f>IFERROR(__xludf.DUMMYFUNCTION("""COMPUTED_VALUE"""),"FAITH ST")</f>
        <v>FAITH ST</v>
      </c>
      <c r="N2143" s="1"/>
      <c r="O2143" s="1" t="str">
        <f>IFERROR(__xludf.DUMMYFUNCTION("""COMPUTED_VALUE"""),"MABUHAY")</f>
        <v>MABUHAY</v>
      </c>
      <c r="P2143" s="1" t="str">
        <f>IFERROR(__xludf.DUMMYFUNCTION("""COMPUTED_VALUE"""),"CARMONA")</f>
        <v>CARMONA</v>
      </c>
      <c r="Q2143" s="1" t="str">
        <f>IFERROR(__xludf.DUMMYFUNCTION("""COMPUTED_VALUE"""),"CAVITE")</f>
        <v>CAVITE</v>
      </c>
      <c r="R2143" s="1" t="str">
        <f>IFERROR(__xludf.DUMMYFUNCTION("""COMPUTED_VALUE"""),"FIBR NETFLIX PLAN 1599")</f>
        <v>FIBR NETFLIX PLAN 1599</v>
      </c>
      <c r="S2143" s="1" t="str">
        <f>IFERROR(__xludf.DUMMYFUNCTION("""COMPUTED_VALUE"""),"APPROVED")</f>
        <v>APPROVED</v>
      </c>
      <c r="T2143" s="1" t="str">
        <f>IFERROR(__xludf.DUMMYFUNCTION("""COMPUTED_VALUE"""),"#N/A")</f>
        <v>#N/A</v>
      </c>
      <c r="U2143" s="1" t="str">
        <f>IFERROR(__xludf.DUMMYFUNCTION("""COMPUTED_VALUE"""),"POSTED")</f>
        <v>POSTED</v>
      </c>
      <c r="V2143" s="1"/>
      <c r="W2143" s="1"/>
    </row>
    <row r="2144" customHeight="1" spans="1:23">
      <c r="A2144" s="3">
        <f>IFERROR(__xludf.DUMMYFUNCTION("""COMPUTED_VALUE"""),46189)</f>
        <v>46189</v>
      </c>
      <c r="B2144" s="1" t="str">
        <f>IFERROR(__xludf.DUMMYFUNCTION("""COMPUTED_VALUE"""),"FRANCISCO , ROSELYN")</f>
        <v>FRANCISCO , ROSELYN</v>
      </c>
      <c r="C2144" s="1" t="str">
        <f>IFERROR(__xludf.DUMMYFUNCTION("""COMPUTED_VALUE"""),"ORGANIC")</f>
        <v>ORGANIC</v>
      </c>
      <c r="D2144" s="1" t="str">
        <f>IFERROR(__xludf.DUMMYFUNCTION("""COMPUTED_VALUE"""),"REMOLLO LEA")</f>
        <v>REMOLLO LEA</v>
      </c>
      <c r="E2144" s="1" t="str">
        <f>IFERROR(__xludf.DUMMYFUNCTION("""COMPUTED_VALUE"""),"RED FIBER")</f>
        <v>RED FIBER</v>
      </c>
      <c r="F2144" s="1"/>
      <c r="G2144" s="1"/>
      <c r="H2144" s="1" t="str">
        <f>IFERROR(__xludf.DUMMYFUNCTION("""COMPUTED_VALUE"""),"ARTHUR LPEZ CORTEZ JR")</f>
        <v>ARTHUR LPEZ CORTEZ JR</v>
      </c>
      <c r="I2144" s="1">
        <f>IFERROR(__xludf.DUMMYFUNCTION("""COMPUTED_VALUE"""),9602043573)</f>
        <v>9602043573</v>
      </c>
      <c r="J2144" s="1"/>
      <c r="K2144" s="1" t="str">
        <f>IFERROR(__xludf.DUMMYFUNCTION("""COMPUTED_VALUE"""),"arthurcortezjr@gmail.com")</f>
        <v>arthurcortezjr@gmail.com</v>
      </c>
      <c r="L2144" s="1" t="str">
        <f>IFERROR(__xludf.DUMMYFUNCTION("""COMPUTED_VALUE"""),"186")</f>
        <v>186</v>
      </c>
      <c r="M2144" s="1" t="str">
        <f>IFERROR(__xludf.DUMMYFUNCTION("""COMPUTED_VALUE"""),"MARKET SIDE")</f>
        <v>MARKET SIDE</v>
      </c>
      <c r="N2144" s="1"/>
      <c r="O2144" s="1" t="str">
        <f>IFERROR(__xludf.DUMMYFUNCTION("""COMPUTED_VALUE"""),"GALICIA II")</f>
        <v>GALICIA II</v>
      </c>
      <c r="P2144" s="1" t="str">
        <f>IFERROR(__xludf.DUMMYFUNCTION("""COMPUTED_VALUE"""),"MENDEZ")</f>
        <v>MENDEZ</v>
      </c>
      <c r="Q2144" s="1" t="str">
        <f>IFERROR(__xludf.DUMMYFUNCTION("""COMPUTED_VALUE"""),"CAVITE")</f>
        <v>CAVITE</v>
      </c>
      <c r="R2144" s="1" t="str">
        <f>IFERROR(__xludf.DUMMYFUNCTION("""COMPUTED_VALUE"""),"RED PLAN 1000")</f>
        <v>RED PLAN 1000</v>
      </c>
      <c r="S2144" s="1" t="str">
        <f>IFERROR(__xludf.DUMMYFUNCTION("""COMPUTED_VALUE"""),"APPROVED")</f>
        <v>APPROVED</v>
      </c>
      <c r="T2144" s="1" t="str">
        <f>IFERROR(__xludf.DUMMYFUNCTION("""COMPUTED_VALUE"""),"PAID")</f>
        <v>PAID</v>
      </c>
      <c r="U2144" s="1" t="str">
        <f>IFERROR(__xludf.DUMMYFUNCTION("""COMPUTED_VALUE"""),"RPR")</f>
        <v>RPR</v>
      </c>
      <c r="V2144" s="1"/>
      <c r="W2144" s="1"/>
    </row>
    <row r="2145" customHeight="1" spans="1:23">
      <c r="A2145" s="3">
        <f>IFERROR(__xludf.DUMMYFUNCTION("""COMPUTED_VALUE"""),46190)</f>
        <v>46190</v>
      </c>
      <c r="B2145" s="1" t="str">
        <f>IFERROR(__xludf.DUMMYFUNCTION("""COMPUTED_VALUE"""),"OPS IAN SUMILANG")</f>
        <v>OPS IAN SUMILANG</v>
      </c>
      <c r="C2145" s="1" t="str">
        <f>IFERROR(__xludf.DUMMYFUNCTION("""COMPUTED_VALUE"""),"LEADSTORE")</f>
        <v>LEADSTORE</v>
      </c>
      <c r="D2145" s="1" t="str">
        <f>IFERROR(__xludf.DUMMYFUNCTION("""COMPUTED_VALUE"""),"JERIC NAVARRO")</f>
        <v>JERIC NAVARRO</v>
      </c>
      <c r="E2145" s="1" t="str">
        <f>IFERROR(__xludf.DUMMYFUNCTION("""COMPUTED_VALUE"""),"PLDT / ONLINE")</f>
        <v>PLDT / ONLINE</v>
      </c>
      <c r="F2145" s="1">
        <f>IFERROR(__xludf.DUMMYFUNCTION("""COMPUTED_VALUE"""),2310265059)</f>
        <v>2310265059</v>
      </c>
      <c r="G2145" s="1"/>
      <c r="H2145" s="1" t="str">
        <f>IFERROR(__xludf.DUMMYFUNCTION("""COMPUTED_VALUE"""),"CARLO UY ADERES")</f>
        <v>CARLO UY ADERES</v>
      </c>
      <c r="I2145" s="1">
        <f>IFERROR(__xludf.DUMMYFUNCTION("""COMPUTED_VALUE"""),9175605792)</f>
        <v>9175605792</v>
      </c>
      <c r="J2145" s="1">
        <f>IFERROR(__xludf.DUMMYFUNCTION("""COMPUTED_VALUE"""),9088731020)</f>
        <v>9088731020</v>
      </c>
      <c r="K2145" s="1" t="str">
        <f>IFERROR(__xludf.DUMMYFUNCTION("""COMPUTED_VALUE"""),"carlouyaderes@gmail.com")</f>
        <v>carlouyaderes@gmail.com</v>
      </c>
      <c r="L2145" s="1" t="str">
        <f>IFERROR(__xludf.DUMMYFUNCTION("""COMPUTED_VALUE"""),"121")</f>
        <v>121</v>
      </c>
      <c r="M2145" s="1" t="str">
        <f>IFERROR(__xludf.DUMMYFUNCTION("""COMPUTED_VALUE"""),"KANLURAN RD")</f>
        <v>KANLURAN RD</v>
      </c>
      <c r="N2145" s="1"/>
      <c r="O2145" s="1" t="str">
        <f>IFERROR(__xludf.DUMMYFUNCTION("""COMPUTED_VALUE"""),"NAVARRO")</f>
        <v>NAVARRO</v>
      </c>
      <c r="P2145" s="1" t="str">
        <f>IFERROR(__xludf.DUMMYFUNCTION("""COMPUTED_VALUE"""),"GENERAL TRIAS")</f>
        <v>GENERAL TRIAS</v>
      </c>
      <c r="Q2145" s="1" t="str">
        <f>IFERROR(__xludf.DUMMYFUNCTION("""COMPUTED_VALUE"""),"CAVITE")</f>
        <v>CAVITE</v>
      </c>
      <c r="R2145" s="1" t="str">
        <f>IFERROR(__xludf.DUMMYFUNCTION("""COMPUTED_VALUE"""),"FIBR PLAN 1299")</f>
        <v>FIBR PLAN 1299</v>
      </c>
      <c r="S2145" s="1" t="str">
        <f>IFERROR(__xludf.DUMMYFUNCTION("""COMPUTED_VALUE"""),"APPROVED")</f>
        <v>APPROVED</v>
      </c>
      <c r="T2145" s="1" t="str">
        <f>IFERROR(__xludf.DUMMYFUNCTION("""COMPUTED_VALUE"""),"#N/A")</f>
        <v>#N/A</v>
      </c>
      <c r="U2145" s="1" t="str">
        <f>IFERROR(__xludf.DUMMYFUNCTION("""COMPUTED_VALUE"""),"POSTED")</f>
        <v>POSTED</v>
      </c>
      <c r="V2145" s="1"/>
      <c r="W2145" s="1"/>
    </row>
    <row r="2146" customHeight="1" spans="1:23">
      <c r="A2146" s="3">
        <f>IFERROR(__xludf.DUMMYFUNCTION("""COMPUTED_VALUE"""),46190)</f>
        <v>46190</v>
      </c>
      <c r="B2146" s="1" t="str">
        <f>IFERROR(__xludf.DUMMYFUNCTION("""COMPUTED_VALUE"""),"CARPIO, STEPHANIE NICOLE")</f>
        <v>CARPIO, STEPHANIE NICOLE</v>
      </c>
      <c r="C2146" s="1" t="str">
        <f>IFERROR(__xludf.DUMMYFUNCTION("""COMPUTED_VALUE"""),"FLA")</f>
        <v>FLA</v>
      </c>
      <c r="D2146" s="1" t="str">
        <f>IFERROR(__xludf.DUMMYFUNCTION("""COMPUTED_VALUE"""),"JERIC NAVARRO")</f>
        <v>JERIC NAVARRO</v>
      </c>
      <c r="E2146" s="1" t="str">
        <f>IFERROR(__xludf.DUMMYFUNCTION("""COMPUTED_VALUE"""),"PLDT / H2H")</f>
        <v>PLDT / H2H</v>
      </c>
      <c r="F2146" s="1">
        <f>IFERROR(__xludf.DUMMYFUNCTION("""COMPUTED_VALUE"""),2310265655)</f>
        <v>2310265655</v>
      </c>
      <c r="G2146" s="1"/>
      <c r="H2146" s="1" t="str">
        <f>IFERROR(__xludf.DUMMYFUNCTION("""COMPUTED_VALUE"""),"REGIEN ARSENIO CAUNCA")</f>
        <v>REGIEN ARSENIO CAUNCA</v>
      </c>
      <c r="I2146" s="1">
        <f>IFERROR(__xludf.DUMMYFUNCTION("""COMPUTED_VALUE"""),9524766827)</f>
        <v>9524766827</v>
      </c>
      <c r="J2146" s="1"/>
      <c r="K2146" s="1" t="str">
        <f>IFERROR(__xludf.DUMMYFUNCTION("""COMPUTED_VALUE"""),"regarsenio28@gmail.com")</f>
        <v>regarsenio28@gmail.com</v>
      </c>
      <c r="L2146" s="1" t="str">
        <f>IFERROR(__xludf.DUMMYFUNCTION("""COMPUTED_VALUE"""),"BLK 10 LOT 25")</f>
        <v>BLK 10 LOT 25</v>
      </c>
      <c r="M2146" s="1" t="str">
        <f>IFERROR(__xludf.DUMMYFUNCTION("""COMPUTED_VALUE"""),"PHASE 2")</f>
        <v>PHASE 2</v>
      </c>
      <c r="N2146" s="1" t="str">
        <f>IFERROR(__xludf.DUMMYFUNCTION("""COMPUTED_VALUE"""),"AMAYA BREEZE")</f>
        <v>AMAYA BREEZE</v>
      </c>
      <c r="O2146" s="1" t="str">
        <f>IFERROR(__xludf.DUMMYFUNCTION("""COMPUTED_VALUE"""),"AMAYA II")</f>
        <v>AMAYA II</v>
      </c>
      <c r="P2146" s="1" t="str">
        <f>IFERROR(__xludf.DUMMYFUNCTION("""COMPUTED_VALUE"""),"TANZA")</f>
        <v>TANZA</v>
      </c>
      <c r="Q2146" s="1" t="str">
        <f>IFERROR(__xludf.DUMMYFUNCTION("""COMPUTED_VALUE"""),"CAVITE")</f>
        <v>CAVITE</v>
      </c>
      <c r="R2146" s="1" t="str">
        <f>IFERROR(__xludf.DUMMYFUNCTION("""COMPUTED_VALUE"""),"FIBR UNLI ALL PLAN 1399")</f>
        <v>FIBR UNLI ALL PLAN 1399</v>
      </c>
      <c r="S2146" s="1" t="str">
        <f>IFERROR(__xludf.DUMMYFUNCTION("""COMPUTED_VALUE"""),"APPROVED")</f>
        <v>APPROVED</v>
      </c>
      <c r="T2146" s="1" t="str">
        <f>IFERROR(__xludf.DUMMYFUNCTION("""COMPUTED_VALUE"""),"#N/A")</f>
        <v>#N/A</v>
      </c>
      <c r="U2146" s="1"/>
      <c r="V2146" s="1"/>
      <c r="W2146" s="1"/>
    </row>
    <row r="2147" customHeight="1" spans="1:23">
      <c r="A2147" s="3">
        <f>IFERROR(__xludf.DUMMYFUNCTION("""COMPUTED_VALUE"""),46190)</f>
        <v>46190</v>
      </c>
      <c r="B2147" s="1" t="str">
        <f>IFERROR(__xludf.DUMMYFUNCTION("""COMPUTED_VALUE"""),"AYON MANUEL")</f>
        <v>AYON MANUEL</v>
      </c>
      <c r="C2147" s="1" t="str">
        <f>IFERROR(__xludf.DUMMYFUNCTION("""COMPUTED_VALUE"""),"FLA")</f>
        <v>FLA</v>
      </c>
      <c r="D2147" s="1" t="str">
        <f>IFERROR(__xludf.DUMMYFUNCTION("""COMPUTED_VALUE"""),"JERIC NAVARRO")</f>
        <v>JERIC NAVARRO</v>
      </c>
      <c r="E2147" s="1" t="str">
        <f>IFERROR(__xludf.DUMMYFUNCTION("""COMPUTED_VALUE"""),"HOME BIZZ")</f>
        <v>HOME BIZZ</v>
      </c>
      <c r="F2147" s="1"/>
      <c r="G2147" s="1"/>
      <c r="H2147" s="1" t="str">
        <f>IFERROR(__xludf.DUMMYFUNCTION("""COMPUTED_VALUE"""),"DAYCARE CENTER PHAS3 6 CARMONA ESTATE")</f>
        <v>DAYCARE CENTER PHAS3 6 CARMONA ESTATE</v>
      </c>
      <c r="I2147" s="1">
        <f>IFERROR(__xludf.DUMMYFUNCTION("""COMPUTED_VALUE"""),9171426329)</f>
        <v>9171426329</v>
      </c>
      <c r="J2147" s="1">
        <f>IFERROR(__xludf.DUMMYFUNCTION("""COMPUTED_VALUE"""),9083578838)</f>
        <v>9083578838</v>
      </c>
      <c r="K2147" s="1" t="str">
        <f>IFERROR(__xludf.DUMMYFUNCTION("""COMPUTED_VALUE"""),"carmona.barangay13@gmail.com")</f>
        <v>carmona.barangay13@gmail.com</v>
      </c>
      <c r="L2147" s="1" t="str">
        <f>IFERROR(__xludf.DUMMYFUNCTION("""COMPUTED_VALUE"""),"BLK 00 LOT 5")</f>
        <v>BLK 00 LOT 5</v>
      </c>
      <c r="M2147" s="1" t="str">
        <f>IFERROR(__xludf.DUMMYFUNCTION("""COMPUTED_VALUE"""),"PHASE 6")</f>
        <v>PHASE 6</v>
      </c>
      <c r="N2147" s="1" t="str">
        <f>IFERROR(__xludf.DUMMYFUNCTION("""COMPUTED_VALUE"""),"CARMONA ESTATE")</f>
        <v>CARMONA ESTATE</v>
      </c>
      <c r="O2147" s="1" t="str">
        <f>IFERROR(__xludf.DUMMYFUNCTION("""COMPUTED_VALUE"""),"LANTIC")</f>
        <v>LANTIC</v>
      </c>
      <c r="P2147" s="1" t="str">
        <f>IFERROR(__xludf.DUMMYFUNCTION("""COMPUTED_VALUE"""),"CARMONA")</f>
        <v>CARMONA</v>
      </c>
      <c r="Q2147" s="1" t="str">
        <f>IFERROR(__xludf.DUMMYFUNCTION("""COMPUTED_VALUE"""),"CAVITE")</f>
        <v>CAVITE</v>
      </c>
      <c r="R2147" s="1" t="str">
        <f>IFERROR(__xludf.DUMMYFUNCTION("""COMPUTED_VALUE"""),"HOME BIZ PLAN 1299")</f>
        <v>HOME BIZ PLAN 1299</v>
      </c>
      <c r="S2147" s="1" t="str">
        <f>IFERROR(__xludf.DUMMYFUNCTION("""COMPUTED_VALUE"""),"HOLD")</f>
        <v>HOLD</v>
      </c>
      <c r="T2147" s="1" t="str">
        <f>IFERROR(__xludf.DUMMYFUNCTION("""COMPUTED_VALUE"""),"#N/A")</f>
        <v>#N/A</v>
      </c>
      <c r="U2147" s="1"/>
      <c r="V2147" s="1"/>
      <c r="W2147" s="1"/>
    </row>
    <row r="2148" customHeight="1" spans="1:23">
      <c r="A2148" s="3">
        <f>IFERROR(__xludf.DUMMYFUNCTION("""COMPUTED_VALUE"""),46190)</f>
        <v>46190</v>
      </c>
      <c r="B2148" s="1" t="str">
        <f>IFERROR(__xludf.DUMMYFUNCTION("""COMPUTED_VALUE"""),"MALIWAT MARK ELVIN")</f>
        <v>MALIWAT MARK ELVIN</v>
      </c>
      <c r="C2148" s="1" t="str">
        <f>IFERROR(__xludf.DUMMYFUNCTION("""COMPUTED_VALUE"""),"FLA")</f>
        <v>FLA</v>
      </c>
      <c r="D2148" s="1" t="str">
        <f>IFERROR(__xludf.DUMMYFUNCTION("""COMPUTED_VALUE"""),"JERIC NAVARRO")</f>
        <v>JERIC NAVARRO</v>
      </c>
      <c r="E2148" s="1" t="str">
        <f>IFERROR(__xludf.DUMMYFUNCTION("""COMPUTED_VALUE"""),"PLDT / ONLINE")</f>
        <v>PLDT / ONLINE</v>
      </c>
      <c r="F2148" s="1">
        <f>IFERROR(__xludf.DUMMYFUNCTION("""COMPUTED_VALUE"""),2310268569)</f>
        <v>2310268569</v>
      </c>
      <c r="G2148" s="1"/>
      <c r="H2148" s="1" t="str">
        <f>IFERROR(__xludf.DUMMYFUNCTION("""COMPUTED_VALUE"""),"NICK AARON PASTOR ALDAVE")</f>
        <v>NICK AARON PASTOR ALDAVE</v>
      </c>
      <c r="I2148" s="1">
        <f>IFERROR(__xludf.DUMMYFUNCTION("""COMPUTED_VALUE"""),9319304013)</f>
        <v>9319304013</v>
      </c>
      <c r="J2148" s="1">
        <f>IFERROR(__xludf.DUMMYFUNCTION("""COMPUTED_VALUE"""),9099015119)</f>
        <v>9099015119</v>
      </c>
      <c r="K2148" s="1" t="str">
        <f>IFERROR(__xludf.DUMMYFUNCTION("""COMPUTED_VALUE"""),"aldavenickaaron@gmail.com")</f>
        <v>aldavenickaaron@gmail.com</v>
      </c>
      <c r="L2148" s="1" t="str">
        <f>IFERROR(__xludf.DUMMYFUNCTION("""COMPUTED_VALUE"""),"723")</f>
        <v>723</v>
      </c>
      <c r="M2148" s="1" t="str">
        <f>IFERROR(__xludf.DUMMYFUNCTION("""COMPUTED_VALUE"""),"POBLACION RD")</f>
        <v>POBLACION RD</v>
      </c>
      <c r="N2148" s="1"/>
      <c r="O2148" s="1" t="str">
        <f>IFERROR(__xludf.DUMMYFUNCTION("""COMPUTED_VALUE"""),"POBLACION")</f>
        <v>POBLACION</v>
      </c>
      <c r="P2148" s="1" t="str">
        <f>IFERROR(__xludf.DUMMYFUNCTION("""COMPUTED_VALUE"""),"NOVELETA")</f>
        <v>NOVELETA</v>
      </c>
      <c r="Q2148" s="1" t="str">
        <f>IFERROR(__xludf.DUMMYFUNCTION("""COMPUTED_VALUE"""),"CAVITE")</f>
        <v>CAVITE</v>
      </c>
      <c r="R2148" s="1" t="str">
        <f>IFERROR(__xludf.DUMMYFUNCTION("""COMPUTED_VALUE"""),"FIBR PLAN 1299")</f>
        <v>FIBR PLAN 1299</v>
      </c>
      <c r="S2148" s="1" t="str">
        <f>IFERROR(__xludf.DUMMYFUNCTION("""COMPUTED_VALUE"""),"APPROVED")</f>
        <v>APPROVED</v>
      </c>
      <c r="T2148" s="1" t="str">
        <f>IFERROR(__xludf.DUMMYFUNCTION("""COMPUTED_VALUE"""),"#N/A")</f>
        <v>#N/A</v>
      </c>
      <c r="U2148" s="1" t="str">
        <f>IFERROR(__xludf.DUMMYFUNCTION("""COMPUTED_VALUE"""),"POSTED")</f>
        <v>POSTED</v>
      </c>
      <c r="V2148" s="1"/>
      <c r="W2148" s="1"/>
    </row>
    <row r="2149" customHeight="1" spans="1:23">
      <c r="A2149" s="3">
        <f>IFERROR(__xludf.DUMMYFUNCTION("""COMPUTED_VALUE"""),46190)</f>
        <v>46190</v>
      </c>
      <c r="B2149" s="1" t="str">
        <f>IFERROR(__xludf.DUMMYFUNCTION("""COMPUTED_VALUE"""),"MANDUCDOC, MARIANE")</f>
        <v>MANDUCDOC, MARIANE</v>
      </c>
      <c r="C2149" s="1" t="str">
        <f>IFERROR(__xludf.DUMMYFUNCTION("""COMPUTED_VALUE"""),"ORGANIC")</f>
        <v>ORGANIC</v>
      </c>
      <c r="D2149" s="1" t="str">
        <f>IFERROR(__xludf.DUMMYFUNCTION("""COMPUTED_VALUE"""),"REMOLLO LEA")</f>
        <v>REMOLLO LEA</v>
      </c>
      <c r="E2149" s="1" t="str">
        <f>IFERROR(__xludf.DUMMYFUNCTION("""COMPUTED_VALUE"""),"PLDT / H2H")</f>
        <v>PLDT / H2H</v>
      </c>
      <c r="F2149" s="1">
        <f>IFERROR(__xludf.DUMMYFUNCTION("""COMPUTED_VALUE"""),2310269315)</f>
        <v>2310269315</v>
      </c>
      <c r="G2149" s="1"/>
      <c r="H2149" s="1" t="str">
        <f>IFERROR(__xludf.DUMMYFUNCTION("""COMPUTED_VALUE"""),"JESSA CABRERA SESE")</f>
        <v>JESSA CABRERA SESE</v>
      </c>
      <c r="I2149" s="1">
        <f>IFERROR(__xludf.DUMMYFUNCTION("""COMPUTED_VALUE"""),9269723001)</f>
        <v>9269723001</v>
      </c>
      <c r="J2149" s="1"/>
      <c r="K2149" s="1" t="str">
        <f>IFERROR(__xludf.DUMMYFUNCTION("""COMPUTED_VALUE"""),"jsese1616@gmail.com")</f>
        <v>jsese1616@gmail.com</v>
      </c>
      <c r="L2149" s="1" t="str">
        <f>IFERROR(__xludf.DUMMYFUNCTION("""COMPUTED_VALUE"""),"16")</f>
        <v>16</v>
      </c>
      <c r="M2149" s="1" t="str">
        <f>IFERROR(__xludf.DUMMYFUNCTION("""COMPUTED_VALUE"""),"ANULING RD")</f>
        <v>ANULING RD</v>
      </c>
      <c r="N2149" s="1"/>
      <c r="O2149" s="1" t="str">
        <f>IFERROR(__xludf.DUMMYFUNCTION("""COMPUTED_VALUE"""),"ANULING CERCA I")</f>
        <v>ANULING CERCA I</v>
      </c>
      <c r="P2149" s="1" t="str">
        <f>IFERROR(__xludf.DUMMYFUNCTION("""COMPUTED_VALUE"""),"MENDEZ")</f>
        <v>MENDEZ</v>
      </c>
      <c r="Q2149" s="1" t="str">
        <f>IFERROR(__xludf.DUMMYFUNCTION("""COMPUTED_VALUE"""),"CAVITE")</f>
        <v>CAVITE</v>
      </c>
      <c r="R2149" s="1" t="str">
        <f>IFERROR(__xludf.DUMMYFUNCTION("""COMPUTED_VALUE"""),"FIBR UNLI ALL PLAN 999")</f>
        <v>FIBR UNLI ALL PLAN 999</v>
      </c>
      <c r="S2149" s="1" t="str">
        <f>IFERROR(__xludf.DUMMYFUNCTION("""COMPUTED_VALUE"""),"APPROVED")</f>
        <v>APPROVED</v>
      </c>
      <c r="T2149" s="1" t="str">
        <f>IFERROR(__xludf.DUMMYFUNCTION("""COMPUTED_VALUE"""),"#N/A")</f>
        <v>#N/A</v>
      </c>
      <c r="U2149" s="1" t="str">
        <f>IFERROR(__xludf.DUMMYFUNCTION("""COMPUTED_VALUE"""),"POSTED")</f>
        <v>POSTED</v>
      </c>
      <c r="V2149" s="1"/>
      <c r="W2149" s="1"/>
    </row>
    <row r="2150" customHeight="1" spans="1:23">
      <c r="A2150" s="3">
        <f>IFERROR(__xludf.DUMMYFUNCTION("""COMPUTED_VALUE"""),46190)</f>
        <v>46190</v>
      </c>
      <c r="B2150" s="1" t="str">
        <f>IFERROR(__xludf.DUMMYFUNCTION("""COMPUTED_VALUE"""),"MANARIN, PETER")</f>
        <v>MANARIN, PETER</v>
      </c>
      <c r="C2150" s="1" t="str">
        <f>IFERROR(__xludf.DUMMYFUNCTION("""COMPUTED_VALUE"""),"ORGANIC")</f>
        <v>ORGANIC</v>
      </c>
      <c r="D2150" s="1" t="str">
        <f>IFERROR(__xludf.DUMMYFUNCTION("""COMPUTED_VALUE"""),"REMOLLO LEA")</f>
        <v>REMOLLO LEA</v>
      </c>
      <c r="E2150" s="1" t="str">
        <f>IFERROR(__xludf.DUMMYFUNCTION("""COMPUTED_VALUE"""),"PLDT / H2H")</f>
        <v>PLDT / H2H</v>
      </c>
      <c r="F2150" s="1"/>
      <c r="G2150" s="1"/>
      <c r="H2150" s="1" t="str">
        <f>IFERROR(__xludf.DUMMYFUNCTION("""COMPUTED_VALUE"""),"EDGAR GINO REYES GUARIN")</f>
        <v>EDGAR GINO REYES GUARIN</v>
      </c>
      <c r="I2150" s="1">
        <f>IFERROR(__xludf.DUMMYFUNCTION("""COMPUTED_VALUE"""),9092359243)</f>
        <v>9092359243</v>
      </c>
      <c r="J2150" s="1">
        <f>IFERROR(__xludf.DUMMYFUNCTION("""COMPUTED_VALUE"""),9542351252)</f>
        <v>9542351252</v>
      </c>
      <c r="K2150" s="1" t="str">
        <f>IFERROR(__xludf.DUMMYFUNCTION("""COMPUTED_VALUE"""),"edgarginoreyesguarin@gmail.com")</f>
        <v>edgarginoreyesguarin@gmail.com</v>
      </c>
      <c r="L2150" s="1" t="str">
        <f>IFERROR(__xludf.DUMMYFUNCTION("""COMPUTED_VALUE"""),"9422")</f>
        <v>9422</v>
      </c>
      <c r="M2150" s="1" t="str">
        <f>IFERROR(__xludf.DUMMYFUNCTION("""COMPUTED_VALUE"""),"LOTUS")</f>
        <v>LOTUS</v>
      </c>
      <c r="N2150" s="1"/>
      <c r="O2150" s="1" t="str">
        <f>IFERROR(__xludf.DUMMYFUNCTION("""COMPUTED_VALUE"""),"MADUYA")</f>
        <v>MADUYA</v>
      </c>
      <c r="P2150" s="1" t="str">
        <f>IFERROR(__xludf.DUMMYFUNCTION("""COMPUTED_VALUE"""),"CARMONA")</f>
        <v>CARMONA</v>
      </c>
      <c r="Q2150" s="1" t="str">
        <f>IFERROR(__xludf.DUMMYFUNCTION("""COMPUTED_VALUE"""),"CAVITE")</f>
        <v>CAVITE</v>
      </c>
      <c r="R2150" s="1" t="str">
        <f>IFERROR(__xludf.DUMMYFUNCTION("""COMPUTED_VALUE"""),"FIBR UNLI ALL PLAN 1399")</f>
        <v>FIBR UNLI ALL PLAN 1399</v>
      </c>
      <c r="S2150" s="1" t="str">
        <f>IFERROR(__xludf.DUMMYFUNCTION("""COMPUTED_VALUE"""),"HOLD")</f>
        <v>HOLD</v>
      </c>
      <c r="T2150" s="1" t="str">
        <f>IFERROR(__xludf.DUMMYFUNCTION("""COMPUTED_VALUE"""),"#N/A")</f>
        <v>#N/A</v>
      </c>
      <c r="U2150" s="1"/>
      <c r="V2150" s="1"/>
      <c r="W2150" s="1"/>
    </row>
    <row r="2151" customHeight="1" spans="1:23">
      <c r="A2151" s="3">
        <f>IFERROR(__xludf.DUMMYFUNCTION("""COMPUTED_VALUE"""),46190)</f>
        <v>46190</v>
      </c>
      <c r="B2151" s="1" t="str">
        <f>IFERROR(__xludf.DUMMYFUNCTION("""COMPUTED_VALUE"""),"FRONDEZ, JEDREFF")</f>
        <v>FRONDEZ, JEDREFF</v>
      </c>
      <c r="C2151" s="1" t="str">
        <f>IFERROR(__xludf.DUMMYFUNCTION("""COMPUTED_VALUE"""),"ORGANIC")</f>
        <v>ORGANIC</v>
      </c>
      <c r="D2151" s="1" t="str">
        <f>IFERROR(__xludf.DUMMYFUNCTION("""COMPUTED_VALUE"""),"REMOLLO LEA")</f>
        <v>REMOLLO LEA</v>
      </c>
      <c r="E2151" s="1" t="str">
        <f>IFERROR(__xludf.DUMMYFUNCTION("""COMPUTED_VALUE"""),"PLDT / H2H")</f>
        <v>PLDT / H2H</v>
      </c>
      <c r="F2151" s="1"/>
      <c r="G2151" s="1"/>
      <c r="H2151" s="1" t="str">
        <f>IFERROR(__xludf.DUMMYFUNCTION("""COMPUTED_VALUE"""),"ARIEL BULAKLAK ANONUEVO")</f>
        <v>ARIEL BULAKLAK ANONUEVO</v>
      </c>
      <c r="I2151" s="1">
        <f>IFERROR(__xludf.DUMMYFUNCTION("""COMPUTED_VALUE"""),9304549250)</f>
        <v>9304549250</v>
      </c>
      <c r="J2151" s="1">
        <f>IFERROR(__xludf.DUMMYFUNCTION("""COMPUTED_VALUE"""),9534887359)</f>
        <v>9534887359</v>
      </c>
      <c r="K2151" s="1" t="str">
        <f>IFERROR(__xludf.DUMMYFUNCTION("""COMPUTED_VALUE"""),"arielanonuevo03@gmail.com")</f>
        <v>arielanonuevo03@gmail.com</v>
      </c>
      <c r="L2151" s="1" t="str">
        <f>IFERROR(__xludf.DUMMYFUNCTION("""COMPUTED_VALUE"""),"103")</f>
        <v>103</v>
      </c>
      <c r="M2151" s="1" t="str">
        <f>IFERROR(__xludf.DUMMYFUNCTION("""COMPUTED_VALUE"""),"PUROJK 2")</f>
        <v>PUROJK 2</v>
      </c>
      <c r="N2151" s="1"/>
      <c r="O2151" s="1" t="str">
        <f>IFERROR(__xludf.DUMMYFUNCTION("""COMPUTED_VALUE"""),"AMUYONG")</f>
        <v>AMUYONG</v>
      </c>
      <c r="P2151" s="1" t="str">
        <f>IFERROR(__xludf.DUMMYFUNCTION("""COMPUTED_VALUE"""),"ALFONSO")</f>
        <v>ALFONSO</v>
      </c>
      <c r="Q2151" s="1" t="str">
        <f>IFERROR(__xludf.DUMMYFUNCTION("""COMPUTED_VALUE"""),"CAVITE")</f>
        <v>CAVITE</v>
      </c>
      <c r="R2151" s="1" t="str">
        <f>IFERROR(__xludf.DUMMYFUNCTION("""COMPUTED_VALUE"""),"FIBR UNLI ALL PLAN 999")</f>
        <v>FIBR UNLI ALL PLAN 999</v>
      </c>
      <c r="S2151" s="1" t="str">
        <f>IFERROR(__xludf.DUMMYFUNCTION("""COMPUTED_VALUE"""),"HOLD")</f>
        <v>HOLD</v>
      </c>
      <c r="T2151" s="1" t="str">
        <f>IFERROR(__xludf.DUMMYFUNCTION("""COMPUTED_VALUE"""),"#N/A")</f>
        <v>#N/A</v>
      </c>
      <c r="U2151" s="1"/>
      <c r="V2151" s="1"/>
      <c r="W2151" s="1"/>
    </row>
    <row r="2152" customHeight="1" spans="1:23">
      <c r="A2152" s="3">
        <f>IFERROR(__xludf.DUMMYFUNCTION("""COMPUTED_VALUE"""),46190)</f>
        <v>46190</v>
      </c>
      <c r="B2152" s="1" t="str">
        <f>IFERROR(__xludf.DUMMYFUNCTION("""COMPUTED_VALUE"""),"CASTILLEJOS, ARREL")</f>
        <v>CASTILLEJOS, ARREL</v>
      </c>
      <c r="C2152" s="1" t="str">
        <f>IFERROR(__xludf.DUMMYFUNCTION("""COMPUTED_VALUE"""),"ORGANIC")</f>
        <v>ORGANIC</v>
      </c>
      <c r="D2152" s="1" t="str">
        <f>IFERROR(__xludf.DUMMYFUNCTION("""COMPUTED_VALUE"""),"REMOLLO LEA")</f>
        <v>REMOLLO LEA</v>
      </c>
      <c r="E2152" s="1" t="str">
        <f>IFERROR(__xludf.DUMMYFUNCTION("""COMPUTED_VALUE"""),"PLDT / H2H")</f>
        <v>PLDT / H2H</v>
      </c>
      <c r="F2152" s="1">
        <f>IFERROR(__xludf.DUMMYFUNCTION("""COMPUTED_VALUE"""),2310273862)</f>
        <v>2310273862</v>
      </c>
      <c r="G2152" s="1"/>
      <c r="H2152" s="1" t="str">
        <f>IFERROR(__xludf.DUMMYFUNCTION("""COMPUTED_VALUE"""),"SILVERIO AVENTURADO SEVILLLA")</f>
        <v>SILVERIO AVENTURADO SEVILLLA</v>
      </c>
      <c r="I2152" s="1">
        <f>IFERROR(__xludf.DUMMYFUNCTION("""COMPUTED_VALUE"""),9754206522)</f>
        <v>9754206522</v>
      </c>
      <c r="J2152" s="1">
        <f>IFERROR(__xludf.DUMMYFUNCTION("""COMPUTED_VALUE"""),9683112538)</f>
        <v>9683112538</v>
      </c>
      <c r="K2152" s="1" t="str">
        <f>IFERROR(__xludf.DUMMYFUNCTION("""COMPUTED_VALUE"""),"silveriosevilla06@gmail.com")</f>
        <v>silveriosevilla06@gmail.com</v>
      </c>
      <c r="L2152" s="1" t="str">
        <f>IFERROR(__xludf.DUMMYFUNCTION("""COMPUTED_VALUE"""),"453")</f>
        <v>453</v>
      </c>
      <c r="M2152" s="1" t="str">
        <f>IFERROR(__xludf.DUMMYFUNCTION("""COMPUTED_VALUE"""),"MALIGAYA COMPOUND")</f>
        <v>MALIGAYA COMPOUND</v>
      </c>
      <c r="N2152" s="1"/>
      <c r="O2152" s="1" t="str">
        <f>IFERROR(__xludf.DUMMYFUNCTION("""COMPUTED_VALUE"""),"KAYTITINGA I")</f>
        <v>KAYTITINGA I</v>
      </c>
      <c r="P2152" s="1" t="str">
        <f>IFERROR(__xludf.DUMMYFUNCTION("""COMPUTED_VALUE"""),"ALFONSO")</f>
        <v>ALFONSO</v>
      </c>
      <c r="Q2152" s="1" t="str">
        <f>IFERROR(__xludf.DUMMYFUNCTION("""COMPUTED_VALUE"""),"CAVITE")</f>
        <v>CAVITE</v>
      </c>
      <c r="R2152" s="1" t="str">
        <f>IFERROR(__xludf.DUMMYFUNCTION("""COMPUTED_VALUE"""),"FIBR PLAN 1299")</f>
        <v>FIBR PLAN 1299</v>
      </c>
      <c r="S2152" s="1" t="str">
        <f>IFERROR(__xludf.DUMMYFUNCTION("""COMPUTED_VALUE"""),"APPROVED")</f>
        <v>APPROVED</v>
      </c>
      <c r="T2152" s="1" t="str">
        <f>IFERROR(__xludf.DUMMYFUNCTION("""COMPUTED_VALUE"""),"#N/A")</f>
        <v>#N/A</v>
      </c>
      <c r="U2152" s="1" t="str">
        <f>IFERROR(__xludf.DUMMYFUNCTION("""COMPUTED_VALUE"""),"POSTED")</f>
        <v>POSTED</v>
      </c>
      <c r="V2152" s="1"/>
      <c r="W2152" s="1"/>
    </row>
    <row r="2153" customHeight="1" spans="1:23">
      <c r="A2153" s="3">
        <f>IFERROR(__xludf.DUMMYFUNCTION("""COMPUTED_VALUE"""),46190)</f>
        <v>46190</v>
      </c>
      <c r="B2153" s="1" t="str">
        <f>IFERROR(__xludf.DUMMYFUNCTION("""COMPUTED_VALUE"""),"ACOSTA. ZAIRUS")</f>
        <v>ACOSTA. ZAIRUS</v>
      </c>
      <c r="C2153" s="1" t="str">
        <f>IFERROR(__xludf.DUMMYFUNCTION("""COMPUTED_VALUE"""),"ORGANIC")</f>
        <v>ORGANIC</v>
      </c>
      <c r="D2153" s="1" t="str">
        <f>IFERROR(__xludf.DUMMYFUNCTION("""COMPUTED_VALUE"""),"REMOLLO LEA")</f>
        <v>REMOLLO LEA</v>
      </c>
      <c r="E2153" s="1" t="str">
        <f>IFERROR(__xludf.DUMMYFUNCTION("""COMPUTED_VALUE"""),"PLDT / H2H")</f>
        <v>PLDT / H2H</v>
      </c>
      <c r="F2153" s="1">
        <f>IFERROR(__xludf.DUMMYFUNCTION("""COMPUTED_VALUE"""),2310274365)</f>
        <v>2310274365</v>
      </c>
      <c r="G2153" s="1"/>
      <c r="H2153" s="1" t="str">
        <f>IFERROR(__xludf.DUMMYFUNCTION("""COMPUTED_VALUE"""),"ISIDRA BUSTILLO SANCHEZ")</f>
        <v>ISIDRA BUSTILLO SANCHEZ</v>
      </c>
      <c r="I2153" s="1">
        <f>IFERROR(__xludf.DUMMYFUNCTION("""COMPUTED_VALUE"""),9851587064)</f>
        <v>9851587064</v>
      </c>
      <c r="J2153" s="1">
        <f>IFERROR(__xludf.DUMMYFUNCTION("""COMPUTED_VALUE"""),9631683269)</f>
        <v>9631683269</v>
      </c>
      <c r="K2153" s="1" t="str">
        <f>IFERROR(__xludf.DUMMYFUNCTION("""COMPUTED_VALUE"""),"shonsanchez15@gmail.com")</f>
        <v>shonsanchez15@gmail.com</v>
      </c>
      <c r="L2153" s="1" t="str">
        <f>IFERROR(__xludf.DUMMYFUNCTION("""COMPUTED_VALUE"""),"8")</f>
        <v>8</v>
      </c>
      <c r="M2153" s="1" t="str">
        <f>IFERROR(__xludf.DUMMYFUNCTION("""COMPUTED_VALUE"""),"PUROK 2")</f>
        <v>PUROK 2</v>
      </c>
      <c r="N2153" s="1"/>
      <c r="O2153" s="1" t="str">
        <f>IFERROR(__xludf.DUMMYFUNCTION("""COMPUTED_VALUE"""),"AMUYONG")</f>
        <v>AMUYONG</v>
      </c>
      <c r="P2153" s="1" t="str">
        <f>IFERROR(__xludf.DUMMYFUNCTION("""COMPUTED_VALUE"""),"ALFONSO")</f>
        <v>ALFONSO</v>
      </c>
      <c r="Q2153" s="1" t="str">
        <f>IFERROR(__xludf.DUMMYFUNCTION("""COMPUTED_VALUE"""),"CAVITE")</f>
        <v>CAVITE</v>
      </c>
      <c r="R2153" s="1" t="str">
        <f>IFERROR(__xludf.DUMMYFUNCTION("""COMPUTED_VALUE"""),"FIBR UNLI ALL PLAN 1399")</f>
        <v>FIBR UNLI ALL PLAN 1399</v>
      </c>
      <c r="S2153" s="1" t="str">
        <f>IFERROR(__xludf.DUMMYFUNCTION("""COMPUTED_VALUE"""),"APPROVED")</f>
        <v>APPROVED</v>
      </c>
      <c r="T2153" s="1" t="str">
        <f>IFERROR(__xludf.DUMMYFUNCTION("""COMPUTED_VALUE"""),"#N/A")</f>
        <v>#N/A</v>
      </c>
      <c r="U2153" s="1" t="str">
        <f>IFERROR(__xludf.DUMMYFUNCTION("""COMPUTED_VALUE"""),"POSTED")</f>
        <v>POSTED</v>
      </c>
      <c r="V2153" s="1"/>
      <c r="W2153" s="1"/>
    </row>
    <row r="2154" customHeight="1" spans="1:23">
      <c r="A2154" s="3">
        <f>IFERROR(__xludf.DUMMYFUNCTION("""COMPUTED_VALUE"""),46190)</f>
        <v>46190</v>
      </c>
      <c r="B2154" s="1" t="str">
        <f>IFERROR(__xludf.DUMMYFUNCTION("""COMPUTED_VALUE"""),"MAGDARAOG, KENNETH")</f>
        <v>MAGDARAOG, KENNETH</v>
      </c>
      <c r="C2154" s="1" t="str">
        <f>IFERROR(__xludf.DUMMYFUNCTION("""COMPUTED_VALUE"""),"ORGANIC")</f>
        <v>ORGANIC</v>
      </c>
      <c r="D2154" s="1" t="str">
        <f>IFERROR(__xludf.DUMMYFUNCTION("""COMPUTED_VALUE"""),"REMOLLO LEA")</f>
        <v>REMOLLO LEA</v>
      </c>
      <c r="E2154" s="1" t="str">
        <f>IFERROR(__xludf.DUMMYFUNCTION("""COMPUTED_VALUE"""),"PLDT / H2H")</f>
        <v>PLDT / H2H</v>
      </c>
      <c r="F2154" s="1">
        <f>IFERROR(__xludf.DUMMYFUNCTION("""COMPUTED_VALUE"""),2310275029)</f>
        <v>2310275029</v>
      </c>
      <c r="G2154" s="1"/>
      <c r="H2154" s="1" t="str">
        <f>IFERROR(__xludf.DUMMYFUNCTION("""COMPUTED_VALUE"""),"ROMMEL BUAYA DE VILLA ")</f>
        <v>ROMMEL BUAYA DE VILLA </v>
      </c>
      <c r="I2154" s="1">
        <f>IFERROR(__xludf.DUMMYFUNCTION("""COMPUTED_VALUE"""),9566140073)</f>
        <v>9566140073</v>
      </c>
      <c r="J2154" s="1">
        <f>IFERROR(__xludf.DUMMYFUNCTION("""COMPUTED_VALUE"""),9936835841)</f>
        <v>9936835841</v>
      </c>
      <c r="K2154" s="1" t="str">
        <f>IFERROR(__xludf.DUMMYFUNCTION("""COMPUTED_VALUE"""),"rommeldevilla50@gmail.com")</f>
        <v>rommeldevilla50@gmail.com</v>
      </c>
      <c r="L2154" s="1" t="str">
        <f>IFERROR(__xludf.DUMMYFUNCTION("""COMPUTED_VALUE"""),"76")</f>
        <v>76</v>
      </c>
      <c r="M2154" s="1" t="str">
        <f>IFERROR(__xludf.DUMMYFUNCTION("""COMPUTED_VALUE"""),"GATPANDAN ")</f>
        <v>GATPANDAN </v>
      </c>
      <c r="N2154" s="1"/>
      <c r="O2154" s="1" t="str">
        <f>IFERROR(__xludf.DUMMYFUNCTION("""COMPUTED_VALUE"""),"ANULING CERCA II")</f>
        <v>ANULING CERCA II</v>
      </c>
      <c r="P2154" s="1" t="str">
        <f>IFERROR(__xludf.DUMMYFUNCTION("""COMPUTED_VALUE"""),"MENDEZ")</f>
        <v>MENDEZ</v>
      </c>
      <c r="Q2154" s="1" t="str">
        <f>IFERROR(__xludf.DUMMYFUNCTION("""COMPUTED_VALUE"""),"CAVITE")</f>
        <v>CAVITE</v>
      </c>
      <c r="R2154" s="1" t="str">
        <f>IFERROR(__xludf.DUMMYFUNCTION("""COMPUTED_VALUE"""),"FIBR UNLI ALL PLAN 1399")</f>
        <v>FIBR UNLI ALL PLAN 1399</v>
      </c>
      <c r="S2154" s="1" t="str">
        <f>IFERROR(__xludf.DUMMYFUNCTION("""COMPUTED_VALUE"""),"APPROVED")</f>
        <v>APPROVED</v>
      </c>
      <c r="T2154" s="1" t="str">
        <f>IFERROR(__xludf.DUMMYFUNCTION("""COMPUTED_VALUE"""),"#N/A")</f>
        <v>#N/A</v>
      </c>
      <c r="U2154" s="1" t="str">
        <f>IFERROR(__xludf.DUMMYFUNCTION("""COMPUTED_VALUE"""),"POSTED")</f>
        <v>POSTED</v>
      </c>
      <c r="V2154" s="1"/>
      <c r="W2154" s="1"/>
    </row>
    <row r="2155" customHeight="1" spans="1:23">
      <c r="A2155" s="3">
        <f>IFERROR(__xludf.DUMMYFUNCTION("""COMPUTED_VALUE"""),46190)</f>
        <v>46190</v>
      </c>
      <c r="B2155" s="1" t="str">
        <f>IFERROR(__xludf.DUMMYFUNCTION("""COMPUTED_VALUE"""),"MAGDARAOG, KENNETH")</f>
        <v>MAGDARAOG, KENNETH</v>
      </c>
      <c r="C2155" s="1" t="str">
        <f>IFERROR(__xludf.DUMMYFUNCTION("""COMPUTED_VALUE"""),"ORGANIC")</f>
        <v>ORGANIC</v>
      </c>
      <c r="D2155" s="1" t="str">
        <f>IFERROR(__xludf.DUMMYFUNCTION("""COMPUTED_VALUE"""),"REMOLLO LEA")</f>
        <v>REMOLLO LEA</v>
      </c>
      <c r="E2155" s="1" t="str">
        <f>IFERROR(__xludf.DUMMYFUNCTION("""COMPUTED_VALUE"""),"PLDT / H2H")</f>
        <v>PLDT / H2H</v>
      </c>
      <c r="F2155" s="1"/>
      <c r="G2155" s="1"/>
      <c r="H2155" s="1" t="str">
        <f>IFERROR(__xludf.DUMMYFUNCTION("""COMPUTED_VALUE"""),"GEMMA LUPANG BALAG")</f>
        <v>GEMMA LUPANG BALAG</v>
      </c>
      <c r="I2155" s="1">
        <f>IFERROR(__xludf.DUMMYFUNCTION("""COMPUTED_VALUE"""),9553954561)</f>
        <v>9553954561</v>
      </c>
      <c r="J2155" s="1">
        <f>IFERROR(__xludf.DUMMYFUNCTION("""COMPUTED_VALUE"""),9757348582)</f>
        <v>9757348582</v>
      </c>
      <c r="K2155" s="1" t="str">
        <f>IFERROR(__xludf.DUMMYFUNCTION("""COMPUTED_VALUE"""),"gemmabalag@gmail.com")</f>
        <v>gemmabalag@gmail.com</v>
      </c>
      <c r="L2155" s="1" t="str">
        <f>IFERROR(__xludf.DUMMYFUNCTION("""COMPUTED_VALUE"""),"77")</f>
        <v>77</v>
      </c>
      <c r="M2155" s="1" t="str">
        <f>IFERROR(__xludf.DUMMYFUNCTION("""COMPUTED_VALUE"""),"GATPANDAN ")</f>
        <v>GATPANDAN </v>
      </c>
      <c r="N2155" s="1"/>
      <c r="O2155" s="1" t="str">
        <f>IFERROR(__xludf.DUMMYFUNCTION("""COMPUTED_VALUE"""),"ANULING CERCA II")</f>
        <v>ANULING CERCA II</v>
      </c>
      <c r="P2155" s="1" t="str">
        <f>IFERROR(__xludf.DUMMYFUNCTION("""COMPUTED_VALUE"""),"MENDEZ")</f>
        <v>MENDEZ</v>
      </c>
      <c r="Q2155" s="1" t="str">
        <f>IFERROR(__xludf.DUMMYFUNCTION("""COMPUTED_VALUE"""),"CAVITE")</f>
        <v>CAVITE</v>
      </c>
      <c r="R2155" s="1" t="str">
        <f>IFERROR(__xludf.DUMMYFUNCTION("""COMPUTED_VALUE"""),"FIBR UNLI ALL PLAN 999")</f>
        <v>FIBR UNLI ALL PLAN 999</v>
      </c>
      <c r="S2155" s="1" t="str">
        <f>IFERROR(__xludf.DUMMYFUNCTION("""COMPUTED_VALUE"""),"CANCELLED ")</f>
        <v>CANCELLED </v>
      </c>
      <c r="T2155" s="1" t="str">
        <f>IFERROR(__xludf.DUMMYFUNCTION("""COMPUTED_VALUE"""),"#N/A")</f>
        <v>#N/A</v>
      </c>
      <c r="U2155" s="1" t="str">
        <f>IFERROR(__xludf.DUMMYFUNCTION("""COMPUTED_VALUE"""),"AS PER ANAK NI SUBS DI DAW SYA MAKAKAPAG DECIDE REGARDING SA APPLICATION NG NANAY NYA,. TAWAG NALANG DAW PAG UWI/ as husband ni subs hapon daw available sila nalng daw tatawag")</f>
        <v>AS PER ANAK NI SUBS DI DAW SYA MAKAKAPAG DECIDE REGARDING SA APPLICATION NG NANAY NYA,. TAWAG NALANG DAW PAG UWI/ as husband ni subs hapon daw available sila nalng daw tatawag</v>
      </c>
      <c r="V2155" s="1"/>
      <c r="W2155" s="1"/>
    </row>
    <row r="2156" customHeight="1" spans="1:23">
      <c r="A2156" s="3">
        <f>IFERROR(__xludf.DUMMYFUNCTION("""COMPUTED_VALUE"""),46190)</f>
        <v>46190</v>
      </c>
      <c r="B2156" s="1" t="str">
        <f>IFERROR(__xludf.DUMMYFUNCTION("""COMPUTED_VALUE"""),"REMOLLO, LEA")</f>
        <v>REMOLLO, LEA</v>
      </c>
      <c r="C2156" s="1" t="str">
        <f>IFERROR(__xludf.DUMMYFUNCTION("""COMPUTED_VALUE"""),"LEADSTORE")</f>
        <v>LEADSTORE</v>
      </c>
      <c r="D2156" s="1" t="str">
        <f>IFERROR(__xludf.DUMMYFUNCTION("""COMPUTED_VALUE"""),"JERIC NAVARRO")</f>
        <v>JERIC NAVARRO</v>
      </c>
      <c r="E2156" s="1" t="str">
        <f>IFERROR(__xludf.DUMMYFUNCTION("""COMPUTED_VALUE"""),"PLDT / ONLINE")</f>
        <v>PLDT / ONLINE</v>
      </c>
      <c r="F2156" s="1">
        <f>IFERROR(__xludf.DUMMYFUNCTION("""COMPUTED_VALUE"""),2310277160)</f>
        <v>2310277160</v>
      </c>
      <c r="G2156" s="1"/>
      <c r="H2156" s="1" t="str">
        <f>IFERROR(__xludf.DUMMYFUNCTION("""COMPUTED_VALUE"""),"MARISSA GABON DELOS ANGELES")</f>
        <v>MARISSA GABON DELOS ANGELES</v>
      </c>
      <c r="I2156" s="1">
        <f>IFERROR(__xludf.DUMMYFUNCTION("""COMPUTED_VALUE"""),9910662050)</f>
        <v>9910662050</v>
      </c>
      <c r="J2156" s="1"/>
      <c r="K2156" s="1" t="str">
        <f>IFERROR(__xludf.DUMMYFUNCTION("""COMPUTED_VALUE"""),"macmac051026@gmail.com")</f>
        <v>macmac051026@gmail.com</v>
      </c>
      <c r="L2156" s="1" t="str">
        <f>IFERROR(__xludf.DUMMYFUNCTION("""COMPUTED_VALUE"""),"9085")</f>
        <v>9085</v>
      </c>
      <c r="M2156" s="1" t="str">
        <f>IFERROR(__xludf.DUMMYFUNCTION("""COMPUTED_VALUE"""),"ASUNCION")</f>
        <v>ASUNCION</v>
      </c>
      <c r="N2156" s="1"/>
      <c r="O2156" s="1" t="str">
        <f>IFERROR(__xludf.DUMMYFUNCTION("""COMPUTED_VALUE"""),"TUBUAN I")</f>
        <v>TUBUAN I</v>
      </c>
      <c r="P2156" s="1" t="str">
        <f>IFERROR(__xludf.DUMMYFUNCTION("""COMPUTED_VALUE"""),"SILANG")</f>
        <v>SILANG</v>
      </c>
      <c r="Q2156" s="1" t="str">
        <f>IFERROR(__xludf.DUMMYFUNCTION("""COMPUTED_VALUE"""),"CAVITE")</f>
        <v>CAVITE</v>
      </c>
      <c r="R2156" s="1" t="str">
        <f>IFERROR(__xludf.DUMMYFUNCTION("""COMPUTED_VALUE"""),"FIBR PLAN 1299")</f>
        <v>FIBR PLAN 1299</v>
      </c>
      <c r="S2156" s="1" t="str">
        <f>IFERROR(__xludf.DUMMYFUNCTION("""COMPUTED_VALUE"""),"APPROVED")</f>
        <v>APPROVED</v>
      </c>
      <c r="T2156" s="1" t="str">
        <f>IFERROR(__xludf.DUMMYFUNCTION("""COMPUTED_VALUE"""),"#N/A")</f>
        <v>#N/A</v>
      </c>
      <c r="U2156" s="1" t="str">
        <f>IFERROR(__xludf.DUMMYFUNCTION("""COMPUTED_VALUE"""),"POSTED")</f>
        <v>POSTED</v>
      </c>
      <c r="V2156" s="1"/>
      <c r="W2156" s="1"/>
    </row>
    <row r="2157" customHeight="1" spans="1:23">
      <c r="A2157" s="3">
        <f>IFERROR(__xludf.DUMMYFUNCTION("""COMPUTED_VALUE"""),46190)</f>
        <v>46190</v>
      </c>
      <c r="B2157" s="1" t="str">
        <f>IFERROR(__xludf.DUMMYFUNCTION("""COMPUTED_VALUE"""),"CARPIO, STEPHANIE NICOLE")</f>
        <v>CARPIO, STEPHANIE NICOLE</v>
      </c>
      <c r="C2157" s="1" t="str">
        <f>IFERROR(__xludf.DUMMYFUNCTION("""COMPUTED_VALUE"""),"FLA")</f>
        <v>FLA</v>
      </c>
      <c r="D2157" s="1" t="str">
        <f>IFERROR(__xludf.DUMMYFUNCTION("""COMPUTED_VALUE"""),"JERIC NAVARRO")</f>
        <v>JERIC NAVARRO</v>
      </c>
      <c r="E2157" s="1" t="str">
        <f>IFERROR(__xludf.DUMMYFUNCTION("""COMPUTED_VALUE"""),"PLDT / ONLINE")</f>
        <v>PLDT / ONLINE</v>
      </c>
      <c r="F2157" s="1">
        <f>IFERROR(__xludf.DUMMYFUNCTION("""COMPUTED_VALUE"""),2310276429)</f>
        <v>2310276429</v>
      </c>
      <c r="G2157" s="1"/>
      <c r="H2157" s="1" t="str">
        <f>IFERROR(__xludf.DUMMYFUNCTION("""COMPUTED_VALUE"""),"GENEVIEVE BAROGA OLIVIA")</f>
        <v>GENEVIEVE BAROGA OLIVIA</v>
      </c>
      <c r="I2157" s="1">
        <f>IFERROR(__xludf.DUMMYFUNCTION("""COMPUTED_VALUE"""),9994983048)</f>
        <v>9994983048</v>
      </c>
      <c r="J2157" s="1"/>
      <c r="K2157" s="1" t="str">
        <f>IFERROR(__xludf.DUMMYFUNCTION("""COMPUTED_VALUE"""),"olivagenevieve@gmail.com")</f>
        <v>olivagenevieve@gmail.com</v>
      </c>
      <c r="L2157" s="1" t="str">
        <f>IFERROR(__xludf.DUMMYFUNCTION("""COMPUTED_VALUE"""),"BLK 10 LOT 25")</f>
        <v>BLK 10 LOT 25</v>
      </c>
      <c r="M2157" s="1" t="str">
        <f>IFERROR(__xludf.DUMMYFUNCTION("""COMPUTED_VALUE"""),"PHASE 2")</f>
        <v>PHASE 2</v>
      </c>
      <c r="N2157" s="1" t="str">
        <f>IFERROR(__xludf.DUMMYFUNCTION("""COMPUTED_VALUE"""),"AMAYA BREEZE")</f>
        <v>AMAYA BREEZE</v>
      </c>
      <c r="O2157" s="1" t="str">
        <f>IFERROR(__xludf.DUMMYFUNCTION("""COMPUTED_VALUE"""),"AMAYA II")</f>
        <v>AMAYA II</v>
      </c>
      <c r="P2157" s="1" t="str">
        <f>IFERROR(__xludf.DUMMYFUNCTION("""COMPUTED_VALUE"""),"TANZA")</f>
        <v>TANZA</v>
      </c>
      <c r="Q2157" s="1" t="str">
        <f>IFERROR(__xludf.DUMMYFUNCTION("""COMPUTED_VALUE"""),"CAVITE")</f>
        <v>CAVITE</v>
      </c>
      <c r="R2157" s="1" t="str">
        <f>IFERROR(__xludf.DUMMYFUNCTION("""COMPUTED_VALUE"""),"FIBR UNLI ALL PLAN 1399")</f>
        <v>FIBR UNLI ALL PLAN 1399</v>
      </c>
      <c r="S2157" s="1" t="str">
        <f>IFERROR(__xludf.DUMMYFUNCTION("""COMPUTED_VALUE"""),"APPROVED")</f>
        <v>APPROVED</v>
      </c>
      <c r="T2157" s="1" t="str">
        <f>IFERROR(__xludf.DUMMYFUNCTION("""COMPUTED_VALUE"""),"#N/A")</f>
        <v>#N/A</v>
      </c>
      <c r="U2157" s="1" t="str">
        <f>IFERROR(__xludf.DUMMYFUNCTION("""COMPUTED_VALUE"""),"POSTED")</f>
        <v>POSTED</v>
      </c>
      <c r="V2157" s="1"/>
      <c r="W2157" s="1"/>
    </row>
    <row r="2158" customHeight="1" spans="1:23">
      <c r="A2158" s="3">
        <f>IFERROR(__xludf.DUMMYFUNCTION("""COMPUTED_VALUE"""),46190)</f>
        <v>46190</v>
      </c>
      <c r="B2158" s="1" t="str">
        <f>IFERROR(__xludf.DUMMYFUNCTION("""COMPUTED_VALUE"""),"FRANCISCO , ROSELYN")</f>
        <v>FRANCISCO , ROSELYN</v>
      </c>
      <c r="C2158" s="1" t="str">
        <f>IFERROR(__xludf.DUMMYFUNCTION("""COMPUTED_VALUE"""),"ORGANIC")</f>
        <v>ORGANIC</v>
      </c>
      <c r="D2158" s="1" t="str">
        <f>IFERROR(__xludf.DUMMYFUNCTION("""COMPUTED_VALUE"""),"REMOLLO LEA")</f>
        <v>REMOLLO LEA</v>
      </c>
      <c r="E2158" s="1" t="str">
        <f>IFERROR(__xludf.DUMMYFUNCTION("""COMPUTED_VALUE"""),"PLDT / ONLINE")</f>
        <v>PLDT / ONLINE</v>
      </c>
      <c r="F2158" s="1">
        <f>IFERROR(__xludf.DUMMYFUNCTION("""COMPUTED_VALUE"""),2310275857)</f>
        <v>2310275857</v>
      </c>
      <c r="G2158" s="1"/>
      <c r="H2158" s="1" t="str">
        <f>IFERROR(__xludf.DUMMYFUNCTION("""COMPUTED_VALUE"""),"KATE MARIE LABAY DESTURA")</f>
        <v>KATE MARIE LABAY DESTURA</v>
      </c>
      <c r="I2158" s="1">
        <f>IFERROR(__xludf.DUMMYFUNCTION("""COMPUTED_VALUE"""),9916643160)</f>
        <v>9916643160</v>
      </c>
      <c r="J2158" s="1">
        <f>IFERROR(__xludf.DUMMYFUNCTION("""COMPUTED_VALUE"""),9364241391)</f>
        <v>9364241391</v>
      </c>
      <c r="K2158" s="1" t="str">
        <f>IFERROR(__xludf.DUMMYFUNCTION("""COMPUTED_VALUE"""),"desturakatemarie515@gmail.com")</f>
        <v>desturakatemarie515@gmail.com</v>
      </c>
      <c r="L2158" s="1" t="str">
        <f>IFERROR(__xludf.DUMMYFUNCTION("""COMPUTED_VALUE"""),"BLK 25 LOT 2")</f>
        <v>BLK 25 LOT 2</v>
      </c>
      <c r="M2158" s="1" t="str">
        <f>IFERROR(__xludf.DUMMYFUNCTION("""COMPUTED_VALUE"""),"PHASE 2")</f>
        <v>PHASE 2</v>
      </c>
      <c r="N2158" s="1" t="str">
        <f>IFERROR(__xludf.DUMMYFUNCTION("""COMPUTED_VALUE"""),"MABUHAY CITY")</f>
        <v>MABUHAY CITY</v>
      </c>
      <c r="O2158" s="1" t="str">
        <f>IFERROR(__xludf.DUMMYFUNCTION("""COMPUTED_VALUE"""),"PALIPARAN III")</f>
        <v>PALIPARAN III</v>
      </c>
      <c r="P2158" s="1" t="str">
        <f>IFERROR(__xludf.DUMMYFUNCTION("""COMPUTED_VALUE"""),"DASMARINAS")</f>
        <v>DASMARINAS</v>
      </c>
      <c r="Q2158" s="1" t="str">
        <f>IFERROR(__xludf.DUMMYFUNCTION("""COMPUTED_VALUE"""),"CAVITE")</f>
        <v>CAVITE</v>
      </c>
      <c r="R2158" s="1" t="str">
        <f>IFERROR(__xludf.DUMMYFUNCTION("""COMPUTED_VALUE"""),"FIBR UNLI ALL PLAN 1399")</f>
        <v>FIBR UNLI ALL PLAN 1399</v>
      </c>
      <c r="S2158" s="1" t="str">
        <f>IFERROR(__xludf.DUMMYFUNCTION("""COMPUTED_VALUE"""),"APPROVED")</f>
        <v>APPROVED</v>
      </c>
      <c r="T2158" s="1" t="str">
        <f>IFERROR(__xludf.DUMMYFUNCTION("""COMPUTED_VALUE"""),"#N/A")</f>
        <v>#N/A</v>
      </c>
      <c r="U2158" s="1" t="str">
        <f>IFERROR(__xludf.DUMMYFUNCTION("""COMPUTED_VALUE"""),"POSTED")</f>
        <v>POSTED</v>
      </c>
      <c r="V2158" s="1"/>
      <c r="W2158" s="1"/>
    </row>
    <row r="2159" customHeight="1" spans="1:23">
      <c r="A2159" s="3">
        <f>IFERROR(__xludf.DUMMYFUNCTION("""COMPUTED_VALUE"""),46190)</f>
        <v>46190</v>
      </c>
      <c r="B2159" s="1" t="str">
        <f>IFERROR(__xludf.DUMMYFUNCTION("""COMPUTED_VALUE"""),"AGUNOS, JHON AIRVIN")</f>
        <v>AGUNOS, JHON AIRVIN</v>
      </c>
      <c r="C2159" s="1" t="str">
        <f>IFERROR(__xludf.DUMMYFUNCTION("""COMPUTED_VALUE"""),"ORGANIC")</f>
        <v>ORGANIC</v>
      </c>
      <c r="D2159" s="1" t="str">
        <f>IFERROR(__xludf.DUMMYFUNCTION("""COMPUTED_VALUE"""),"REMOLLO LEA")</f>
        <v>REMOLLO LEA</v>
      </c>
      <c r="E2159" s="1" t="str">
        <f>IFERROR(__xludf.DUMMYFUNCTION("""COMPUTED_VALUE"""),"PLDT / H2H")</f>
        <v>PLDT / H2H</v>
      </c>
      <c r="F2159" s="1">
        <f>IFERROR(__xludf.DUMMYFUNCTION("""COMPUTED_VALUE"""),2310373041)</f>
        <v>2310373041</v>
      </c>
      <c r="G2159" s="1"/>
      <c r="H2159" s="1" t="str">
        <f>IFERROR(__xludf.DUMMYFUNCTION("""COMPUTED_VALUE"""),"KYLE CHRISTOPHER ESCUDERO PASTRANA")</f>
        <v>KYLE CHRISTOPHER ESCUDERO PASTRANA</v>
      </c>
      <c r="I2159" s="1">
        <f>IFERROR(__xludf.DUMMYFUNCTION("""COMPUTED_VALUE"""),9460184670)</f>
        <v>9460184670</v>
      </c>
      <c r="J2159" s="1"/>
      <c r="K2159" s="1" t="str">
        <f>IFERROR(__xludf.DUMMYFUNCTION("""COMPUTED_VALUE"""),"jpmsecagency@gmail.com")</f>
        <v>jpmsecagency@gmail.com</v>
      </c>
      <c r="L2159" s="1" t="str">
        <f>IFERROR(__xludf.DUMMYFUNCTION("""COMPUTED_VALUE"""),"8")</f>
        <v>8</v>
      </c>
      <c r="M2159" s="1" t="str">
        <f>IFERROR(__xludf.DUMMYFUNCTION("""COMPUTED_VALUE"""),"RGDM")</f>
        <v>RGDM</v>
      </c>
      <c r="N2159" s="1"/>
      <c r="O2159" s="1" t="str">
        <f>IFERROR(__xludf.DUMMYFUNCTION("""COMPUTED_VALUE"""),"GALICIA II")</f>
        <v>GALICIA II</v>
      </c>
      <c r="P2159" s="1" t="str">
        <f>IFERROR(__xludf.DUMMYFUNCTION("""COMPUTED_VALUE"""),"MENDEZ")</f>
        <v>MENDEZ</v>
      </c>
      <c r="Q2159" s="1" t="str">
        <f>IFERROR(__xludf.DUMMYFUNCTION("""COMPUTED_VALUE"""),"CAVITE")</f>
        <v>CAVITE</v>
      </c>
      <c r="R2159" s="1" t="str">
        <f>IFERROR(__xludf.DUMMYFUNCTION("""COMPUTED_VALUE"""),"FIBR UNLI ALL PLAN 1399")</f>
        <v>FIBR UNLI ALL PLAN 1399</v>
      </c>
      <c r="S2159" s="1" t="str">
        <f>IFERROR(__xludf.DUMMYFUNCTION("""COMPUTED_VALUE"""),"APPROVED")</f>
        <v>APPROVED</v>
      </c>
      <c r="T2159" s="1" t="str">
        <f>IFERROR(__xludf.DUMMYFUNCTION("""COMPUTED_VALUE"""),"#N/A")</f>
        <v>#N/A</v>
      </c>
      <c r="U2159" s="1" t="str">
        <f>IFERROR(__xludf.DUMMYFUNCTION("""COMPUTED_VALUE"""),"POSTED")</f>
        <v>POSTED</v>
      </c>
      <c r="V2159" s="1"/>
      <c r="W2159" s="1"/>
    </row>
    <row r="2160" customHeight="1" spans="1:23">
      <c r="A2160" s="3">
        <f>IFERROR(__xludf.DUMMYFUNCTION("""COMPUTED_VALUE"""),46190)</f>
        <v>46190</v>
      </c>
      <c r="B2160" s="1" t="str">
        <f>IFERROR(__xludf.DUMMYFUNCTION("""COMPUTED_VALUE"""),"GABAY, MANUEL")</f>
        <v>GABAY, MANUEL</v>
      </c>
      <c r="C2160" s="1" t="str">
        <f>IFERROR(__xludf.DUMMYFUNCTION("""COMPUTED_VALUE"""),"FLA")</f>
        <v>FLA</v>
      </c>
      <c r="D2160" s="1" t="str">
        <f>IFERROR(__xludf.DUMMYFUNCTION("""COMPUTED_VALUE"""),"JERIC NAVARRO")</f>
        <v>JERIC NAVARRO</v>
      </c>
      <c r="E2160" s="1" t="str">
        <f>IFERROR(__xludf.DUMMYFUNCTION("""COMPUTED_VALUE"""),"PLDT / H2H")</f>
        <v>PLDT / H2H</v>
      </c>
      <c r="F2160" s="1">
        <f>IFERROR(__xludf.DUMMYFUNCTION("""COMPUTED_VALUE"""),2310309966)</f>
        <v>2310309966</v>
      </c>
      <c r="G2160" s="1"/>
      <c r="H2160" s="1" t="str">
        <f>IFERROR(__xludf.DUMMYFUNCTION("""COMPUTED_VALUE"""),"JOHN LESTER BARRIOS OMBAO")</f>
        <v>JOHN LESTER BARRIOS OMBAO</v>
      </c>
      <c r="I2160" s="1">
        <f>IFERROR(__xludf.DUMMYFUNCTION("""COMPUTED_VALUE"""),9452491430)</f>
        <v>9452491430</v>
      </c>
      <c r="J2160" s="1">
        <f>IFERROR(__xludf.DUMMYFUNCTION("""COMPUTED_VALUE"""),9772600780)</f>
        <v>9772600780</v>
      </c>
      <c r="K2160" s="1" t="str">
        <f>IFERROR(__xludf.DUMMYFUNCTION("""COMPUTED_VALUE"""),"maccontrano@gmail.com")</f>
        <v>maccontrano@gmail.com</v>
      </c>
      <c r="L2160" s="1" t="str">
        <f>IFERROR(__xludf.DUMMYFUNCTION("""COMPUTED_VALUE"""),"9019")</f>
        <v>9019</v>
      </c>
      <c r="M2160" s="1" t="str">
        <f>IFERROR(__xludf.DUMMYFUNCTION("""COMPUTED_VALUE"""),"ALEGRE")</f>
        <v>ALEGRE</v>
      </c>
      <c r="N2160" s="1"/>
      <c r="O2160" s="1" t="str">
        <f>IFERROR(__xludf.DUMMYFUNCTION("""COMPUTED_VALUE"""),"GALICIA II")</f>
        <v>GALICIA II</v>
      </c>
      <c r="P2160" s="1" t="str">
        <f>IFERROR(__xludf.DUMMYFUNCTION("""COMPUTED_VALUE"""),"MENDEZ")</f>
        <v>MENDEZ</v>
      </c>
      <c r="Q2160" s="1" t="str">
        <f>IFERROR(__xludf.DUMMYFUNCTION("""COMPUTED_VALUE"""),"CAVITE")</f>
        <v>CAVITE</v>
      </c>
      <c r="R2160" s="1" t="str">
        <f>IFERROR(__xludf.DUMMYFUNCTION("""COMPUTED_VALUE"""),"FIBR UNLI ALL PLAN 1399")</f>
        <v>FIBR UNLI ALL PLAN 1399</v>
      </c>
      <c r="S2160" s="1" t="str">
        <f>IFERROR(__xludf.DUMMYFUNCTION("""COMPUTED_VALUE"""),"APPROVED")</f>
        <v>APPROVED</v>
      </c>
      <c r="T2160" s="1" t="str">
        <f>IFERROR(__xludf.DUMMYFUNCTION("""COMPUTED_VALUE"""),"#N/A")</f>
        <v>#N/A</v>
      </c>
      <c r="U2160" s="1" t="str">
        <f>IFERROR(__xludf.DUMMYFUNCTION("""COMPUTED_VALUE"""),"POSTED")</f>
        <v>POSTED</v>
      </c>
      <c r="V2160" s="1"/>
      <c r="W2160" s="1"/>
    </row>
    <row r="2161" customHeight="1" spans="1:23">
      <c r="A2161" s="3">
        <f>IFERROR(__xludf.DUMMYFUNCTION("""COMPUTED_VALUE"""),46190)</f>
        <v>46190</v>
      </c>
      <c r="B2161" s="1" t="str">
        <f>IFERROR(__xludf.DUMMYFUNCTION("""COMPUTED_VALUE"""),"ODY , CLARENCE")</f>
        <v>ODY , CLARENCE</v>
      </c>
      <c r="C2161" s="1" t="str">
        <f>IFERROR(__xludf.DUMMYFUNCTION("""COMPUTED_VALUE"""),"ORGANIC")</f>
        <v>ORGANIC</v>
      </c>
      <c r="D2161" s="1" t="str">
        <f>IFERROR(__xludf.DUMMYFUNCTION("""COMPUTED_VALUE"""),"REMOLLO LEA")</f>
        <v>REMOLLO LEA</v>
      </c>
      <c r="E2161" s="1" t="str">
        <f>IFERROR(__xludf.DUMMYFUNCTION("""COMPUTED_VALUE"""),"RED FIBER")</f>
        <v>RED FIBER</v>
      </c>
      <c r="F2161" s="1"/>
      <c r="G2161" s="1"/>
      <c r="H2161" s="1" t="str">
        <f>IFERROR(__xludf.DUMMYFUNCTION("""COMPUTED_VALUE"""),"MARICAR LAGAHID MENDOZA")</f>
        <v>MARICAR LAGAHID MENDOZA</v>
      </c>
      <c r="I2161" s="1">
        <f>IFERROR(__xludf.DUMMYFUNCTION("""COMPUTED_VALUE"""),9954266440)</f>
        <v>9954266440</v>
      </c>
      <c r="J2161" s="1"/>
      <c r="K2161" s="1" t="str">
        <f>IFERROR(__xludf.DUMMYFUNCTION("""COMPUTED_VALUE"""),"hernanarnold78@gmail.com")</f>
        <v>hernanarnold78@gmail.com</v>
      </c>
      <c r="L2161" s="1" t="str">
        <f>IFERROR(__xludf.DUMMYFUNCTION("""COMPUTED_VALUE"""),"205")</f>
        <v>205</v>
      </c>
      <c r="M2161" s="1" t="str">
        <f>IFERROR(__xludf.DUMMYFUNCTION("""COMPUTED_VALUE"""),"OLD BULIHAN")</f>
        <v>OLD BULIHAN</v>
      </c>
      <c r="N2161" s="1"/>
      <c r="O2161" s="1" t="str">
        <f>IFERROR(__xludf.DUMMYFUNCTION("""COMPUTED_VALUE"""),"GALICIA III")</f>
        <v>GALICIA III</v>
      </c>
      <c r="P2161" s="1" t="str">
        <f>IFERROR(__xludf.DUMMYFUNCTION("""COMPUTED_VALUE"""),"MENDEZ")</f>
        <v>MENDEZ</v>
      </c>
      <c r="Q2161" s="1" t="str">
        <f>IFERROR(__xludf.DUMMYFUNCTION("""COMPUTED_VALUE"""),"CAVITE")</f>
        <v>CAVITE</v>
      </c>
      <c r="R2161" s="1" t="str">
        <f>IFERROR(__xludf.DUMMYFUNCTION("""COMPUTED_VALUE"""),"RED PLAN 1000")</f>
        <v>RED PLAN 1000</v>
      </c>
      <c r="S2161" s="1" t="str">
        <f>IFERROR(__xludf.DUMMYFUNCTION("""COMPUTED_VALUE"""),"APPROVED")</f>
        <v>APPROVED</v>
      </c>
      <c r="T2161" s="1" t="str">
        <f>IFERROR(__xludf.DUMMYFUNCTION("""COMPUTED_VALUE"""),"CHANGED EMAIL - REENCODED 6/19")</f>
        <v>CHANGED EMAIL - REENCODED 6/19</v>
      </c>
      <c r="U2161" s="1"/>
      <c r="V2161" s="1"/>
      <c r="W2161" s="1"/>
    </row>
    <row r="2162" customHeight="1" spans="1:23">
      <c r="A2162" s="3">
        <f>IFERROR(__xludf.DUMMYFUNCTION("""COMPUTED_VALUE"""),46191)</f>
        <v>46191</v>
      </c>
      <c r="B2162" s="1" t="str">
        <f>IFERROR(__xludf.DUMMYFUNCTION("""COMPUTED_VALUE"""),"MALIWAT MARK ELVIN")</f>
        <v>MALIWAT MARK ELVIN</v>
      </c>
      <c r="C2162" s="1" t="str">
        <f>IFERROR(__xludf.DUMMYFUNCTION("""COMPUTED_VALUE"""),"FLA")</f>
        <v>FLA</v>
      </c>
      <c r="D2162" s="1" t="str">
        <f>IFERROR(__xludf.DUMMYFUNCTION("""COMPUTED_VALUE"""),"JERIC NAVARRO")</f>
        <v>JERIC NAVARRO</v>
      </c>
      <c r="E2162" s="1" t="str">
        <f>IFERROR(__xludf.DUMMYFUNCTION("""COMPUTED_VALUE"""),"PLDT / ONLINE")</f>
        <v>PLDT / ONLINE</v>
      </c>
      <c r="F2162" s="1">
        <f>IFERROR(__xludf.DUMMYFUNCTION("""COMPUTED_VALUE"""),2310296566)</f>
        <v>2310296566</v>
      </c>
      <c r="G2162" s="1"/>
      <c r="H2162" s="1" t="str">
        <f>IFERROR(__xludf.DUMMYFUNCTION("""COMPUTED_VALUE"""),"ALBERT MENDEZ SAMONTE")</f>
        <v>ALBERT MENDEZ SAMONTE</v>
      </c>
      <c r="I2162" s="1">
        <f>IFERROR(__xludf.DUMMYFUNCTION("""COMPUTED_VALUE"""),9175175531)</f>
        <v>9175175531</v>
      </c>
      <c r="J2162" s="1">
        <f>IFERROR(__xludf.DUMMYFUNCTION("""COMPUTED_VALUE"""),9176510422)</f>
        <v>9176510422</v>
      </c>
      <c r="K2162" s="1" t="str">
        <f>IFERROR(__xludf.DUMMYFUNCTION("""COMPUTED_VALUE"""),"sea.slaver.jen29@gmail.com")</f>
        <v>sea.slaver.jen29@gmail.com</v>
      </c>
      <c r="L2162" s="1" t="str">
        <f>IFERROR(__xludf.DUMMYFUNCTION("""COMPUTED_VALUE"""),"BLK 27 LOT 23")</f>
        <v>BLK 27 LOT 23</v>
      </c>
      <c r="M2162" s="1" t="str">
        <f>IFERROR(__xludf.DUMMYFUNCTION("""COMPUTED_VALUE"""),"MIDIAN")</f>
        <v>MIDIAN</v>
      </c>
      <c r="N2162" s="1" t="str">
        <f>IFERROR(__xludf.DUMMYFUNCTION("""COMPUTED_VALUE"""),"TOWN AND COUNTRY")</f>
        <v>TOWN AND COUNTRY</v>
      </c>
      <c r="O2162" s="1" t="str">
        <f>IFERROR(__xludf.DUMMYFUNCTION("""COMPUTED_VALUE"""),"BUROL I")</f>
        <v>BUROL I</v>
      </c>
      <c r="P2162" s="1" t="str">
        <f>IFERROR(__xludf.DUMMYFUNCTION("""COMPUTED_VALUE"""),"DASMARINAS")</f>
        <v>DASMARINAS</v>
      </c>
      <c r="Q2162" s="1" t="str">
        <f>IFERROR(__xludf.DUMMYFUNCTION("""COMPUTED_VALUE"""),"CAVITE")</f>
        <v>CAVITE</v>
      </c>
      <c r="R2162" s="1" t="str">
        <f>IFERROR(__xludf.DUMMYFUNCTION("""COMPUTED_VALUE"""),"FIBR UNLI ALL PLAN 1399")</f>
        <v>FIBR UNLI ALL PLAN 1399</v>
      </c>
      <c r="S2162" s="1" t="str">
        <f>IFERROR(__xludf.DUMMYFUNCTION("""COMPUTED_VALUE"""),"APPROVED")</f>
        <v>APPROVED</v>
      </c>
      <c r="T2162" s="1" t="str">
        <f>IFERROR(__xludf.DUMMYFUNCTION("""COMPUTED_VALUE"""),"#N/A")</f>
        <v>#N/A</v>
      </c>
      <c r="U2162" s="1" t="str">
        <f>IFERROR(__xludf.DUMMYFUNCTION("""COMPUTED_VALUE"""),"POSTED")</f>
        <v>POSTED</v>
      </c>
      <c r="V2162" s="1"/>
      <c r="W2162" s="1"/>
    </row>
    <row r="2163" customHeight="1" spans="1:23">
      <c r="A2163" s="3">
        <f>IFERROR(__xludf.DUMMYFUNCTION("""COMPUTED_VALUE"""),46191)</f>
        <v>46191</v>
      </c>
      <c r="B2163" s="1" t="str">
        <f>IFERROR(__xludf.DUMMYFUNCTION("""COMPUTED_VALUE"""),"MALIWAT MARK ELVIN")</f>
        <v>MALIWAT MARK ELVIN</v>
      </c>
      <c r="C2163" s="1" t="str">
        <f>IFERROR(__xludf.DUMMYFUNCTION("""COMPUTED_VALUE"""),"FLA")</f>
        <v>FLA</v>
      </c>
      <c r="D2163" s="1" t="str">
        <f>IFERROR(__xludf.DUMMYFUNCTION("""COMPUTED_VALUE"""),"JERIC NAVARRO")</f>
        <v>JERIC NAVARRO</v>
      </c>
      <c r="E2163" s="1" t="str">
        <f>IFERROR(__xludf.DUMMYFUNCTION("""COMPUTED_VALUE"""),"RED FIBER")</f>
        <v>RED FIBER</v>
      </c>
      <c r="F2163" s="1"/>
      <c r="G2163" s="1"/>
      <c r="H2163" s="1" t="str">
        <f>IFERROR(__xludf.DUMMYFUNCTION("""COMPUTED_VALUE"""),"LEANE JOYCE ENRIQUEZ BELTRAN")</f>
        <v>LEANE JOYCE ENRIQUEZ BELTRAN</v>
      </c>
      <c r="I2163" s="1">
        <f>IFERROR(__xludf.DUMMYFUNCTION("""COMPUTED_VALUE"""),9938780591)</f>
        <v>9938780591</v>
      </c>
      <c r="J2163" s="1"/>
      <c r="K2163" s="1" t="str">
        <f>IFERROR(__xludf.DUMMYFUNCTION("""COMPUTED_VALUE"""),"leanejoycebeltran31@gmail.com")</f>
        <v>leanejoycebeltran31@gmail.com</v>
      </c>
      <c r="L2163" s="1" t="str">
        <f>IFERROR(__xludf.DUMMYFUNCTION("""COMPUTED_VALUE"""),"563")</f>
        <v>563</v>
      </c>
      <c r="M2163" s="1" t="str">
        <f>IFERROR(__xludf.DUMMYFUNCTION("""COMPUTED_VALUE"""),"SITIO BUISAN ")</f>
        <v>SITIO BUISAN </v>
      </c>
      <c r="N2163" s="1"/>
      <c r="O2163" s="1" t="str">
        <f>IFERROR(__xludf.DUMMYFUNCTION("""COMPUTED_VALUE"""),"LANGKAAN II")</f>
        <v>LANGKAAN II</v>
      </c>
      <c r="P2163" s="1" t="str">
        <f>IFERROR(__xludf.DUMMYFUNCTION("""COMPUTED_VALUE"""),"DASMARINAS")</f>
        <v>DASMARINAS</v>
      </c>
      <c r="Q2163" s="1" t="str">
        <f>IFERROR(__xludf.DUMMYFUNCTION("""COMPUTED_VALUE"""),"CAVITE")</f>
        <v>CAVITE</v>
      </c>
      <c r="R2163" s="1" t="str">
        <f>IFERROR(__xludf.DUMMYFUNCTION("""COMPUTED_VALUE"""),"RED PLAN 1000")</f>
        <v>RED PLAN 1000</v>
      </c>
      <c r="S2163" s="1" t="str">
        <f>IFERROR(__xludf.DUMMYFUNCTION("""COMPUTED_VALUE"""),"APPROVED")</f>
        <v>APPROVED</v>
      </c>
      <c r="T2163" s="1" t="str">
        <f>IFERROR(__xludf.DUMMYFUNCTION("""COMPUTED_VALUE"""),"PAID")</f>
        <v>PAID</v>
      </c>
      <c r="U2163" s="1" t="str">
        <f>IFERROR(__xludf.DUMMYFUNCTION("""COMPUTED_VALUE"""),"POSTED")</f>
        <v>POSTED</v>
      </c>
      <c r="V2163" s="1"/>
      <c r="W2163" s="1"/>
    </row>
    <row r="2164" customHeight="1" spans="1:23">
      <c r="A2164" s="3">
        <f>IFERROR(__xludf.DUMMYFUNCTION("""COMPUTED_VALUE"""),46191)</f>
        <v>46191</v>
      </c>
      <c r="B2164" s="1" t="str">
        <f>IFERROR(__xludf.DUMMYFUNCTION("""COMPUTED_VALUE"""),"MAGDARAOG, KENNETH")</f>
        <v>MAGDARAOG, KENNETH</v>
      </c>
      <c r="C2164" s="1" t="str">
        <f>IFERROR(__xludf.DUMMYFUNCTION("""COMPUTED_VALUE"""),"ORGANIC")</f>
        <v>ORGANIC</v>
      </c>
      <c r="D2164" s="1" t="str">
        <f>IFERROR(__xludf.DUMMYFUNCTION("""COMPUTED_VALUE"""),"REMOLLO LEA")</f>
        <v>REMOLLO LEA</v>
      </c>
      <c r="E2164" s="1" t="str">
        <f>IFERROR(__xludf.DUMMYFUNCTION("""COMPUTED_VALUE"""),"PLDT / H2H")</f>
        <v>PLDT / H2H</v>
      </c>
      <c r="F2164" s="1">
        <f>IFERROR(__xludf.DUMMYFUNCTION("""COMPUTED_VALUE"""),2310300691)</f>
        <v>2310300691</v>
      </c>
      <c r="G2164" s="1"/>
      <c r="H2164" s="1" t="str">
        <f>IFERROR(__xludf.DUMMYFUNCTION("""COMPUTED_VALUE"""),"RENY BANDOL BUNAO")</f>
        <v>RENY BANDOL BUNAO</v>
      </c>
      <c r="I2164" s="1">
        <f>IFERROR(__xludf.DUMMYFUNCTION("""COMPUTED_VALUE"""),9549961727)</f>
        <v>9549961727</v>
      </c>
      <c r="J2164" s="1"/>
      <c r="K2164" s="1" t="str">
        <f>IFERROR(__xludf.DUMMYFUNCTION("""COMPUTED_VALUE"""),"renybunao4@gmail.com")</f>
        <v>renybunao4@gmail.com</v>
      </c>
      <c r="L2164" s="1" t="str">
        <f>IFERROR(__xludf.DUMMYFUNCTION("""COMPUTED_VALUE"""),"48")</f>
        <v>48</v>
      </c>
      <c r="M2164" s="1" t="str">
        <f>IFERROR(__xludf.DUMMYFUNCTION("""COMPUTED_VALUE"""),"LITA BAY")</f>
        <v>LITA BAY</v>
      </c>
      <c r="N2164" s="1"/>
      <c r="O2164" s="1" t="str">
        <f>IFERROR(__xludf.DUMMYFUNCTION("""COMPUTED_VALUE"""),"PANUNGYAN I")</f>
        <v>PANUNGYAN I</v>
      </c>
      <c r="P2164" s="1" t="str">
        <f>IFERROR(__xludf.DUMMYFUNCTION("""COMPUTED_VALUE"""),"MENDEZ")</f>
        <v>MENDEZ</v>
      </c>
      <c r="Q2164" s="1" t="str">
        <f>IFERROR(__xludf.DUMMYFUNCTION("""COMPUTED_VALUE"""),"CAVITE")</f>
        <v>CAVITE</v>
      </c>
      <c r="R2164" s="1" t="str">
        <f>IFERROR(__xludf.DUMMYFUNCTION("""COMPUTED_VALUE"""),"FIBR UNLI ALL PLAN 1399")</f>
        <v>FIBR UNLI ALL PLAN 1399</v>
      </c>
      <c r="S2164" s="1" t="str">
        <f>IFERROR(__xludf.DUMMYFUNCTION("""COMPUTED_VALUE"""),"APPROVED")</f>
        <v>APPROVED</v>
      </c>
      <c r="T2164" s="1" t="str">
        <f>IFERROR(__xludf.DUMMYFUNCTION("""COMPUTED_VALUE"""),"#N/A")</f>
        <v>#N/A</v>
      </c>
      <c r="U2164" s="1" t="str">
        <f>IFERROR(__xludf.DUMMYFUNCTION("""COMPUTED_VALUE"""),"POSTED")</f>
        <v>POSTED</v>
      </c>
      <c r="V2164" s="1"/>
      <c r="W2164" s="1"/>
    </row>
    <row r="2165" customHeight="1" spans="1:23">
      <c r="A2165" s="3">
        <f>IFERROR(__xludf.DUMMYFUNCTION("""COMPUTED_VALUE"""),46191)</f>
        <v>46191</v>
      </c>
      <c r="B2165" s="1" t="str">
        <f>IFERROR(__xludf.DUMMYFUNCTION("""COMPUTED_VALUE"""),"DELACRUZ, AMARA")</f>
        <v>DELACRUZ, AMARA</v>
      </c>
      <c r="C2165" s="1" t="str">
        <f>IFERROR(__xludf.DUMMYFUNCTION("""COMPUTED_VALUE"""),"ORGANIC")</f>
        <v>ORGANIC</v>
      </c>
      <c r="D2165" s="1" t="str">
        <f>IFERROR(__xludf.DUMMYFUNCTION("""COMPUTED_VALUE"""),"REMOLLO LEA")</f>
        <v>REMOLLO LEA</v>
      </c>
      <c r="E2165" s="1" t="str">
        <f>IFERROR(__xludf.DUMMYFUNCTION("""COMPUTED_VALUE"""),"PLDT / H2H")</f>
        <v>PLDT / H2H</v>
      </c>
      <c r="F2165" s="1">
        <f>IFERROR(__xludf.DUMMYFUNCTION("""COMPUTED_VALUE"""),2310400995)</f>
        <v>2310400995</v>
      </c>
      <c r="G2165" s="1">
        <f>IFERROR(__xludf.DUMMYFUNCTION("""COMPUTED_VALUE"""),459662356004)</f>
        <v>459662356004</v>
      </c>
      <c r="H2165" s="1" t="str">
        <f>IFERROR(__xludf.DUMMYFUNCTION("""COMPUTED_VALUE"""),"MAE CASONA SANCHEZ")</f>
        <v>MAE CASONA SANCHEZ</v>
      </c>
      <c r="I2165" s="1">
        <f>IFERROR(__xludf.DUMMYFUNCTION("""COMPUTED_VALUE"""),9971794425)</f>
        <v>9971794425</v>
      </c>
      <c r="J2165" s="1">
        <f>IFERROR(__xludf.DUMMYFUNCTION("""COMPUTED_VALUE"""),9216717720)</f>
        <v>9216717720</v>
      </c>
      <c r="K2165" s="1" t="str">
        <f>IFERROR(__xludf.DUMMYFUNCTION("""COMPUTED_VALUE"""),"mayosanchez1212@gmail.com")</f>
        <v>mayosanchez1212@gmail.com</v>
      </c>
      <c r="L2165" s="1" t="str">
        <f>IFERROR(__xludf.DUMMYFUNCTION("""COMPUTED_VALUE"""),"29")</f>
        <v>29</v>
      </c>
      <c r="M2165" s="1" t="str">
        <f>IFERROR(__xludf.DUMMYFUNCTION("""COMPUTED_VALUE"""),"ALTAREZ")</f>
        <v>ALTAREZ</v>
      </c>
      <c r="N2165" s="1"/>
      <c r="O2165" s="1" t="str">
        <f>IFERROR(__xludf.DUMMYFUNCTION("""COMPUTED_VALUE"""),"MADUYA")</f>
        <v>MADUYA</v>
      </c>
      <c r="P2165" s="1" t="str">
        <f>IFERROR(__xludf.DUMMYFUNCTION("""COMPUTED_VALUE"""),"CARMONA")</f>
        <v>CARMONA</v>
      </c>
      <c r="Q2165" s="1" t="str">
        <f>IFERROR(__xludf.DUMMYFUNCTION("""COMPUTED_VALUE"""),"CAVITE")</f>
        <v>CAVITE</v>
      </c>
      <c r="R2165" s="1" t="str">
        <f>IFERROR(__xludf.DUMMYFUNCTION("""COMPUTED_VALUE"""),"FIBR NETFLIX PLAN 1599")</f>
        <v>FIBR NETFLIX PLAN 1599</v>
      </c>
      <c r="S2165" s="1" t="str">
        <f>IFERROR(__xludf.DUMMYFUNCTION("""COMPUTED_VALUE"""),"APPROVED")</f>
        <v>APPROVED</v>
      </c>
      <c r="T2165" s="1" t="str">
        <f>IFERROR(__xludf.DUMMYFUNCTION("""COMPUTED_VALUE"""),"#N/A")</f>
        <v>#N/A</v>
      </c>
      <c r="U2165" s="1" t="str">
        <f>IFERROR(__xludf.DUMMYFUNCTION("""COMPUTED_VALUE"""),"ENCODED 6/22/2026")</f>
        <v>ENCODED 6/22/2026</v>
      </c>
      <c r="V2165" s="1"/>
      <c r="W2165" s="1"/>
    </row>
    <row r="2166" customHeight="1" spans="1:23">
      <c r="A2166" s="3">
        <f>IFERROR(__xludf.DUMMYFUNCTION("""COMPUTED_VALUE"""),46191)</f>
        <v>46191</v>
      </c>
      <c r="B2166" s="1" t="str">
        <f>IFERROR(__xludf.DUMMYFUNCTION("""COMPUTED_VALUE"""),"ESCARCHA, MA ALMA  ESCOTO")</f>
        <v>ESCARCHA, MA ALMA  ESCOTO</v>
      </c>
      <c r="C2166" s="1" t="str">
        <f>IFERROR(__xludf.DUMMYFUNCTION("""COMPUTED_VALUE"""),"ORGANIC")</f>
        <v>ORGANIC</v>
      </c>
      <c r="D2166" s="1" t="str">
        <f>IFERROR(__xludf.DUMMYFUNCTION("""COMPUTED_VALUE"""),"REMOLLO LEA")</f>
        <v>REMOLLO LEA</v>
      </c>
      <c r="E2166" s="1" t="str">
        <f>IFERROR(__xludf.DUMMYFUNCTION("""COMPUTED_VALUE"""),"PLDT / H2H")</f>
        <v>PLDT / H2H</v>
      </c>
      <c r="F2166" s="1"/>
      <c r="G2166" s="1"/>
      <c r="H2166" s="1" t="str">
        <f>IFERROR(__xludf.DUMMYFUNCTION("""COMPUTED_VALUE"""),"EDWARD PALITA FELISILDA")</f>
        <v>EDWARD PALITA FELISILDA</v>
      </c>
      <c r="I2166" s="1">
        <f>IFERROR(__xludf.DUMMYFUNCTION("""COMPUTED_VALUE"""),9185311269)</f>
        <v>9185311269</v>
      </c>
      <c r="J2166" s="1"/>
      <c r="K2166" s="1" t="str">
        <f>IFERROR(__xludf.DUMMYFUNCTION("""COMPUTED_VALUE"""),"chenfelisilda@gmail.com")</f>
        <v>chenfelisilda@gmail.com</v>
      </c>
      <c r="L2166" s="1" t="str">
        <f>IFERROR(__xludf.DUMMYFUNCTION("""COMPUTED_VALUE"""),"232")</f>
        <v>232</v>
      </c>
      <c r="M2166" s="1" t="str">
        <f>IFERROR(__xludf.DUMMYFUNCTION("""COMPUTED_VALUE"""),"ILOCOS")</f>
        <v>ILOCOS</v>
      </c>
      <c r="N2166" s="1"/>
      <c r="O2166" s="1" t="str">
        <f>IFERROR(__xludf.DUMMYFUNCTION("""COMPUTED_VALUE"""),"GAVINO MADERAN")</f>
        <v>GAVINO MADERAN</v>
      </c>
      <c r="P2166" s="1" t="str">
        <f>IFERROR(__xludf.DUMMYFUNCTION("""COMPUTED_VALUE"""),"GEN MARIANO ALVAREZ")</f>
        <v>GEN MARIANO ALVAREZ</v>
      </c>
      <c r="Q2166" s="1" t="str">
        <f>IFERROR(__xludf.DUMMYFUNCTION("""COMPUTED_VALUE"""),"CAVITE")</f>
        <v>CAVITE</v>
      </c>
      <c r="R2166" s="1" t="str">
        <f>IFERROR(__xludf.DUMMYFUNCTION("""COMPUTED_VALUE"""),"FIBR UNLI ALL PLAN 999")</f>
        <v>FIBR UNLI ALL PLAN 999</v>
      </c>
      <c r="S2166" s="1" t="str">
        <f>IFERROR(__xludf.DUMMYFUNCTION("""COMPUTED_VALUE"""),"HOLD")</f>
        <v>HOLD</v>
      </c>
      <c r="T2166" s="1" t="str">
        <f>IFERROR(__xludf.DUMMYFUNCTION("""COMPUTED_VALUE"""),"#N/A")</f>
        <v>#N/A</v>
      </c>
      <c r="U2166" s="1"/>
      <c r="V2166" s="1"/>
      <c r="W2166" s="1"/>
    </row>
    <row r="2167" customHeight="1" spans="1:23">
      <c r="A2167" s="3">
        <f>IFERROR(__xludf.DUMMYFUNCTION("""COMPUTED_VALUE"""),46191)</f>
        <v>46191</v>
      </c>
      <c r="B2167" s="1" t="str">
        <f>IFERROR(__xludf.DUMMYFUNCTION("""COMPUTED_VALUE"""),"AYON MANUEL")</f>
        <v>AYON MANUEL</v>
      </c>
      <c r="C2167" s="1" t="str">
        <f>IFERROR(__xludf.DUMMYFUNCTION("""COMPUTED_VALUE"""),"FLA")</f>
        <v>FLA</v>
      </c>
      <c r="D2167" s="1" t="str">
        <f>IFERROR(__xludf.DUMMYFUNCTION("""COMPUTED_VALUE"""),"JERIC NAVARRO")</f>
        <v>JERIC NAVARRO</v>
      </c>
      <c r="E2167" s="1" t="str">
        <f>IFERROR(__xludf.DUMMYFUNCTION("""COMPUTED_VALUE"""),"PLDT / H2H")</f>
        <v>PLDT / H2H</v>
      </c>
      <c r="F2167" s="1">
        <f>IFERROR(__xludf.DUMMYFUNCTION("""COMPUTED_VALUE"""),2310308813)</f>
        <v>2310308813</v>
      </c>
      <c r="G2167" s="1"/>
      <c r="H2167" s="1" t="str">
        <f>IFERROR(__xludf.DUMMYFUNCTION("""COMPUTED_VALUE"""),"CRIZALDY JOHN ALVAREZ BAYACAL")</f>
        <v>CRIZALDY JOHN ALVAREZ BAYACAL</v>
      </c>
      <c r="I2167" s="1">
        <f>IFERROR(__xludf.DUMMYFUNCTION("""COMPUTED_VALUE"""),9051239991)</f>
        <v>9051239991</v>
      </c>
      <c r="J2167" s="1">
        <f>IFERROR(__xludf.DUMMYFUNCTION("""COMPUTED_VALUE"""),9151167671)</f>
        <v>9151167671</v>
      </c>
      <c r="K2167" s="1" t="str">
        <f>IFERROR(__xludf.DUMMYFUNCTION("""COMPUTED_VALUE"""),"cjbayacal000@gmail.com")</f>
        <v>cjbayacal000@gmail.com</v>
      </c>
      <c r="L2167" s="1" t="str">
        <f>IFERROR(__xludf.DUMMYFUNCTION("""COMPUTED_VALUE"""),"9007")</f>
        <v>9007</v>
      </c>
      <c r="M2167" s="1" t="str">
        <f>IFERROR(__xludf.DUMMYFUNCTION("""COMPUTED_VALUE"""),"PUNGOL RD")</f>
        <v>PUNGOL RD</v>
      </c>
      <c r="N2167" s="1"/>
      <c r="O2167" s="1" t="str">
        <f>IFERROR(__xludf.DUMMYFUNCTION("""COMPUTED_VALUE"""),"PATUTONG MALAKI NORTH")</f>
        <v>PATUTONG MALAKI NORTH</v>
      </c>
      <c r="P2167" s="1" t="str">
        <f>IFERROR(__xludf.DUMMYFUNCTION("""COMPUTED_VALUE"""),"TAGAYTAY")</f>
        <v>TAGAYTAY</v>
      </c>
      <c r="Q2167" s="1" t="str">
        <f>IFERROR(__xludf.DUMMYFUNCTION("""COMPUTED_VALUE"""),"CAVITE")</f>
        <v>CAVITE</v>
      </c>
      <c r="R2167" s="1" t="str">
        <f>IFERROR(__xludf.DUMMYFUNCTION("""COMPUTED_VALUE"""),"FIBR PLAN 1299")</f>
        <v>FIBR PLAN 1299</v>
      </c>
      <c r="S2167" s="1" t="str">
        <f>IFERROR(__xludf.DUMMYFUNCTION("""COMPUTED_VALUE"""),"APPROVED")</f>
        <v>APPROVED</v>
      </c>
      <c r="T2167" s="1" t="str">
        <f>IFERROR(__xludf.DUMMYFUNCTION("""COMPUTED_VALUE"""),"#N/A")</f>
        <v>#N/A</v>
      </c>
      <c r="U2167" s="1"/>
      <c r="V2167" s="1"/>
      <c r="W2167" s="1"/>
    </row>
    <row r="2168" customHeight="1" spans="1:23">
      <c r="A2168" s="3">
        <f>IFERROR(__xludf.DUMMYFUNCTION("""COMPUTED_VALUE"""),46191)</f>
        <v>46191</v>
      </c>
      <c r="B2168" s="1" t="str">
        <f>IFERROR(__xludf.DUMMYFUNCTION("""COMPUTED_VALUE"""),"RIVERA, AIRIZH JOY")</f>
        <v>RIVERA, AIRIZH JOY</v>
      </c>
      <c r="C2168" s="1" t="str">
        <f>IFERROR(__xludf.DUMMYFUNCTION("""COMPUTED_VALUE"""),"ORGANIC")</f>
        <v>ORGANIC</v>
      </c>
      <c r="D2168" s="1" t="str">
        <f>IFERROR(__xludf.DUMMYFUNCTION("""COMPUTED_VALUE"""),"REMOLLO LEA")</f>
        <v>REMOLLO LEA</v>
      </c>
      <c r="E2168" s="1" t="str">
        <f>IFERROR(__xludf.DUMMYFUNCTION("""COMPUTED_VALUE"""),"PLDT / ONLINE")</f>
        <v>PLDT / ONLINE</v>
      </c>
      <c r="F2168" s="1"/>
      <c r="G2168" s="1"/>
      <c r="H2168" s="1" t="str">
        <f>IFERROR(__xludf.DUMMYFUNCTION("""COMPUTED_VALUE"""),"MARICEL QUINONES BAYACAL")</f>
        <v>MARICEL QUINONES BAYACAL</v>
      </c>
      <c r="I2168" s="1">
        <f>IFERROR(__xludf.DUMMYFUNCTION("""COMPUTED_VALUE"""),9279896846)</f>
        <v>9279896846</v>
      </c>
      <c r="J2168" s="1"/>
      <c r="K2168" s="1" t="str">
        <f>IFERROR(__xludf.DUMMYFUNCTION("""COMPUTED_VALUE"""),"maricelmetchaca6@gmail.com")</f>
        <v>maricelmetchaca6@gmail.com</v>
      </c>
      <c r="L2168" s="1" t="str">
        <f>IFERROR(__xludf.DUMMYFUNCTION("""COMPUTED_VALUE"""),"413")</f>
        <v>413</v>
      </c>
      <c r="M2168" s="1" t="str">
        <f>IFERROR(__xludf.DUMMYFUNCTION("""COMPUTED_VALUE"""),"GARCIA COMPOUND")</f>
        <v>GARCIA COMPOUND</v>
      </c>
      <c r="N2168" s="1"/>
      <c r="O2168" s="1" t="str">
        <f>IFERROR(__xludf.DUMMYFUNCTION("""COMPUTED_VALUE"""),"SAMPALOC III")</f>
        <v>SAMPALOC III</v>
      </c>
      <c r="P2168" s="1" t="str">
        <f>IFERROR(__xludf.DUMMYFUNCTION("""COMPUTED_VALUE"""),"DASMARINAS")</f>
        <v>DASMARINAS</v>
      </c>
      <c r="Q2168" s="1" t="str">
        <f>IFERROR(__xludf.DUMMYFUNCTION("""COMPUTED_VALUE"""),"CAVITE")</f>
        <v>CAVITE</v>
      </c>
      <c r="R2168" s="1" t="str">
        <f>IFERROR(__xludf.DUMMYFUNCTION("""COMPUTED_VALUE"""),"FIBR UNLI ALL PLAN 1399")</f>
        <v>FIBR UNLI ALL PLAN 1399</v>
      </c>
      <c r="S2168" s="1" t="str">
        <f>IFERROR(__xludf.DUMMYFUNCTION("""COMPUTED_VALUE"""),"CANCELLED ")</f>
        <v>CANCELLED </v>
      </c>
      <c r="T2168" s="1" t="str">
        <f>IFERROR(__xludf.DUMMYFUNCTION("""COMPUTED_VALUE"""),"#N/A")</f>
        <v>#N/A</v>
      </c>
      <c r="U2168" s="1" t="str">
        <f>IFERROR(__xludf.DUMMYFUNCTION("""COMPUTED_VALUE"""),"AS PER SUBS KAKAUSAPIN DAW MUNA ANAK NYA REGARDING SA ADVANCE PAYMENT , ANAK NMAN DAW NYA KAUSAP NI AGENT/CANCELLED NALANG DAW SABE NG ANAK")</f>
        <v>AS PER SUBS KAKAUSAPIN DAW MUNA ANAK NYA REGARDING SA ADVANCE PAYMENT , ANAK NMAN DAW NYA KAUSAP NI AGENT/CANCELLED NALANG DAW SABE NG ANAK</v>
      </c>
      <c r="V2168" s="1"/>
      <c r="W2168" s="1"/>
    </row>
    <row r="2169" customHeight="1" spans="1:23">
      <c r="A2169" s="3">
        <f>IFERROR(__xludf.DUMMYFUNCTION("""COMPUTED_VALUE"""),46191)</f>
        <v>46191</v>
      </c>
      <c r="B2169" s="1" t="str">
        <f>IFERROR(__xludf.DUMMYFUNCTION("""COMPUTED_VALUE"""),"FRANCISCO , ROSELYN")</f>
        <v>FRANCISCO , ROSELYN</v>
      </c>
      <c r="C2169" s="1" t="str">
        <f>IFERROR(__xludf.DUMMYFUNCTION("""COMPUTED_VALUE"""),"ORGANIC")</f>
        <v>ORGANIC</v>
      </c>
      <c r="D2169" s="1" t="str">
        <f>IFERROR(__xludf.DUMMYFUNCTION("""COMPUTED_VALUE"""),"REMOLLO LEA")</f>
        <v>REMOLLO LEA</v>
      </c>
      <c r="E2169" s="1" t="str">
        <f>IFERROR(__xludf.DUMMYFUNCTION("""COMPUTED_VALUE"""),"PLDT / ONLINE")</f>
        <v>PLDT / ONLINE</v>
      </c>
      <c r="F2169" s="1">
        <f>IFERROR(__xludf.DUMMYFUNCTION("""COMPUTED_VALUE"""),2310307442)</f>
        <v>2310307442</v>
      </c>
      <c r="G2169" s="1"/>
      <c r="H2169" s="1" t="str">
        <f>IFERROR(__xludf.DUMMYFUNCTION("""COMPUTED_VALUE"""),"MAE ANN GARCIA GARADO")</f>
        <v>MAE ANN GARCIA GARADO</v>
      </c>
      <c r="I2169" s="1">
        <f>IFERROR(__xludf.DUMMYFUNCTION("""COMPUTED_VALUE"""),9073289444)</f>
        <v>9073289444</v>
      </c>
      <c r="J2169" s="1">
        <f>IFERROR(__xludf.DUMMYFUNCTION("""COMPUTED_VALUE"""),9929091536)</f>
        <v>9929091536</v>
      </c>
      <c r="K2169" s="1" t="str">
        <f>IFERROR(__xludf.DUMMYFUNCTION("""COMPUTED_VALUE"""),"maeanngarcialura@gmail.com")</f>
        <v>maeanngarcialura@gmail.com</v>
      </c>
      <c r="L2169" s="1" t="str">
        <f>IFERROR(__xludf.DUMMYFUNCTION("""COMPUTED_VALUE"""),"54")</f>
        <v>54</v>
      </c>
      <c r="M2169" s="1" t="str">
        <f>IFERROR(__xludf.DUMMYFUNCTION("""COMPUTED_VALUE"""),"OLD BULIHAN")</f>
        <v>OLD BULIHAN</v>
      </c>
      <c r="N2169" s="1"/>
      <c r="O2169" s="1" t="str">
        <f>IFERROR(__xludf.DUMMYFUNCTION("""COMPUTED_VALUE"""),"BULIHAN")</f>
        <v>BULIHAN</v>
      </c>
      <c r="P2169" s="1" t="str">
        <f>IFERROR(__xludf.DUMMYFUNCTION("""COMPUTED_VALUE"""),"SILANG")</f>
        <v>SILANG</v>
      </c>
      <c r="Q2169" s="1" t="str">
        <f>IFERROR(__xludf.DUMMYFUNCTION("""COMPUTED_VALUE"""),"CAVITE")</f>
        <v>CAVITE</v>
      </c>
      <c r="R2169" s="1" t="str">
        <f>IFERROR(__xludf.DUMMYFUNCTION("""COMPUTED_VALUE"""),"FIBR UNLI ALL PLAN 1399")</f>
        <v>FIBR UNLI ALL PLAN 1399</v>
      </c>
      <c r="S2169" s="1" t="str">
        <f>IFERROR(__xludf.DUMMYFUNCTION("""COMPUTED_VALUE"""),"APPROVED")</f>
        <v>APPROVED</v>
      </c>
      <c r="T2169" s="1" t="str">
        <f>IFERROR(__xludf.DUMMYFUNCTION("""COMPUTED_VALUE"""),"#N/A")</f>
        <v>#N/A</v>
      </c>
      <c r="U2169" s="1" t="str">
        <f>IFERROR(__xludf.DUMMYFUNCTION("""COMPUTED_VALUE"""),"POSTED")</f>
        <v>POSTED</v>
      </c>
      <c r="V2169" s="1"/>
      <c r="W2169" s="1"/>
    </row>
    <row r="2170" customHeight="1" spans="1:23">
      <c r="A2170" s="3">
        <f>IFERROR(__xludf.DUMMYFUNCTION("""COMPUTED_VALUE"""),46191)</f>
        <v>46191</v>
      </c>
      <c r="B2170" s="1" t="str">
        <f>IFERROR(__xludf.DUMMYFUNCTION("""COMPUTED_VALUE"""),"MAGDARAOG, KENNETH")</f>
        <v>MAGDARAOG, KENNETH</v>
      </c>
      <c r="C2170" s="1" t="str">
        <f>IFERROR(__xludf.DUMMYFUNCTION("""COMPUTED_VALUE"""),"ORGANIC")</f>
        <v>ORGANIC</v>
      </c>
      <c r="D2170" s="1" t="str">
        <f>IFERROR(__xludf.DUMMYFUNCTION("""COMPUTED_VALUE"""),"REMOLLO LEA")</f>
        <v>REMOLLO LEA</v>
      </c>
      <c r="E2170" s="1" t="str">
        <f>IFERROR(__xludf.DUMMYFUNCTION("""COMPUTED_VALUE"""),"PLDT / H2H")</f>
        <v>PLDT / H2H</v>
      </c>
      <c r="F2170" s="1">
        <f>IFERROR(__xludf.DUMMYFUNCTION("""COMPUTED_VALUE"""),2310310904)</f>
        <v>2310310904</v>
      </c>
      <c r="G2170" s="1"/>
      <c r="H2170" s="1" t="str">
        <f>IFERROR(__xludf.DUMMYFUNCTION("""COMPUTED_VALUE"""),"JERWIN LUPANGO BALAG")</f>
        <v>JERWIN LUPANGO BALAG</v>
      </c>
      <c r="I2170" s="1">
        <f>IFERROR(__xludf.DUMMYFUNCTION("""COMPUTED_VALUE"""),9553954561)</f>
        <v>9553954561</v>
      </c>
      <c r="J2170" s="1">
        <f>IFERROR(__xludf.DUMMYFUNCTION("""COMPUTED_VALUE"""),9757348582)</f>
        <v>9757348582</v>
      </c>
      <c r="K2170" s="1" t="str">
        <f>IFERROR(__xludf.DUMMYFUNCTION("""COMPUTED_VALUE"""),"gemmabalag@gmail.com")</f>
        <v>gemmabalag@gmail.com</v>
      </c>
      <c r="L2170" s="1" t="str">
        <f>IFERROR(__xludf.DUMMYFUNCTION("""COMPUTED_VALUE"""),"77")</f>
        <v>77</v>
      </c>
      <c r="M2170" s="1" t="str">
        <f>IFERROR(__xludf.DUMMYFUNCTION("""COMPUTED_VALUE"""),"GATPANDAN ")</f>
        <v>GATPANDAN </v>
      </c>
      <c r="N2170" s="1"/>
      <c r="O2170" s="1" t="str">
        <f>IFERROR(__xludf.DUMMYFUNCTION("""COMPUTED_VALUE"""),"ANULING CERCA II")</f>
        <v>ANULING CERCA II</v>
      </c>
      <c r="P2170" s="1" t="str">
        <f>IFERROR(__xludf.DUMMYFUNCTION("""COMPUTED_VALUE"""),"MENDEZ")</f>
        <v>MENDEZ</v>
      </c>
      <c r="Q2170" s="1" t="str">
        <f>IFERROR(__xludf.DUMMYFUNCTION("""COMPUTED_VALUE"""),"CAVITE")</f>
        <v>CAVITE</v>
      </c>
      <c r="R2170" s="1" t="str">
        <f>IFERROR(__xludf.DUMMYFUNCTION("""COMPUTED_VALUE"""),"FIBR UNLI ALL PLAN 999")</f>
        <v>FIBR UNLI ALL PLAN 999</v>
      </c>
      <c r="S2170" s="1" t="str">
        <f>IFERROR(__xludf.DUMMYFUNCTION("""COMPUTED_VALUE"""),"APPROVED")</f>
        <v>APPROVED</v>
      </c>
      <c r="T2170" s="1" t="str">
        <f>IFERROR(__xludf.DUMMYFUNCTION("""COMPUTED_VALUE"""),"#N/A")</f>
        <v>#N/A</v>
      </c>
      <c r="U2170" s="1" t="str">
        <f>IFERROR(__xludf.DUMMYFUNCTION("""COMPUTED_VALUE"""),"POSTED")</f>
        <v>POSTED</v>
      </c>
      <c r="V2170" s="1"/>
      <c r="W2170" s="1"/>
    </row>
    <row r="2171" customHeight="1" spans="1:23">
      <c r="A2171" s="3">
        <f>IFERROR(__xludf.DUMMYFUNCTION("""COMPUTED_VALUE"""),46191)</f>
        <v>46191</v>
      </c>
      <c r="B2171" s="1" t="str">
        <f>IFERROR(__xludf.DUMMYFUNCTION("""COMPUTED_VALUE"""),"ESCARCHA, MA ALMA  ESCOTO")</f>
        <v>ESCARCHA, MA ALMA  ESCOTO</v>
      </c>
      <c r="C2171" s="1" t="str">
        <f>IFERROR(__xludf.DUMMYFUNCTION("""COMPUTED_VALUE"""),"ORGANIC")</f>
        <v>ORGANIC</v>
      </c>
      <c r="D2171" s="1" t="str">
        <f>IFERROR(__xludf.DUMMYFUNCTION("""COMPUTED_VALUE"""),"REMOLLO LEA")</f>
        <v>REMOLLO LEA</v>
      </c>
      <c r="E2171" s="1" t="str">
        <f>IFERROR(__xludf.DUMMYFUNCTION("""COMPUTED_VALUE"""),"RED FIBER")</f>
        <v>RED FIBER</v>
      </c>
      <c r="F2171" s="1"/>
      <c r="G2171" s="1"/>
      <c r="H2171" s="1" t="str">
        <f>IFERROR(__xludf.DUMMYFUNCTION("""COMPUTED_VALUE"""),"JOVELYN MARTINEZ LOJERA")</f>
        <v>JOVELYN MARTINEZ LOJERA</v>
      </c>
      <c r="I2171" s="1">
        <f>IFERROR(__xludf.DUMMYFUNCTION("""COMPUTED_VALUE"""),9455225965)</f>
        <v>9455225965</v>
      </c>
      <c r="J2171" s="1"/>
      <c r="K2171" s="1" t="str">
        <f>IFERROR(__xludf.DUMMYFUNCTION("""COMPUTED_VALUE"""),"joviemartinez14@gmail.com")</f>
        <v>joviemartinez14@gmail.com</v>
      </c>
      <c r="L2171" s="1" t="str">
        <f>IFERROR(__xludf.DUMMYFUNCTION("""COMPUTED_VALUE"""),"672 a")</f>
        <v>672 a</v>
      </c>
      <c r="M2171" s="1" t="str">
        <f>IFERROR(__xludf.DUMMYFUNCTION("""COMPUTED_VALUE"""),"KALUBKOB")</f>
        <v>KALUBKOB</v>
      </c>
      <c r="N2171" s="1"/>
      <c r="O2171" s="1" t="str">
        <f>IFERROR(__xludf.DUMMYFUNCTION("""COMPUTED_VALUE"""),"ASIS I")</f>
        <v>ASIS I</v>
      </c>
      <c r="P2171" s="1" t="str">
        <f>IFERROR(__xludf.DUMMYFUNCTION("""COMPUTED_VALUE"""),"MENDEZ")</f>
        <v>MENDEZ</v>
      </c>
      <c r="Q2171" s="1" t="str">
        <f>IFERROR(__xludf.DUMMYFUNCTION("""COMPUTED_VALUE"""),"CAVITE")</f>
        <v>CAVITE</v>
      </c>
      <c r="R2171" s="1" t="str">
        <f>IFERROR(__xludf.DUMMYFUNCTION("""COMPUTED_VALUE"""),"RED PLAN 1000")</f>
        <v>RED PLAN 1000</v>
      </c>
      <c r="S2171" s="1" t="str">
        <f>IFERROR(__xludf.DUMMYFUNCTION("""COMPUTED_VALUE"""),"APPROVED")</f>
        <v>APPROVED</v>
      </c>
      <c r="T2171" s="1" t="str">
        <f>IFERROR(__xludf.DUMMYFUNCTION("""COMPUTED_VALUE"""),"#N/A")</f>
        <v>#N/A</v>
      </c>
      <c r="U2171" s="1"/>
      <c r="V2171" s="1"/>
      <c r="W2171" s="1"/>
    </row>
    <row r="2172" customHeight="1" spans="1:23">
      <c r="A2172" s="3">
        <f>IFERROR(__xludf.DUMMYFUNCTION("""COMPUTED_VALUE"""),46191)</f>
        <v>46191</v>
      </c>
      <c r="B2172" s="1" t="str">
        <f>IFERROR(__xludf.DUMMYFUNCTION("""COMPUTED_VALUE"""),"DELA ROSA, JENNELYN")</f>
        <v>DELA ROSA, JENNELYN</v>
      </c>
      <c r="C2172" s="1" t="str">
        <f>IFERROR(__xludf.DUMMYFUNCTION("""COMPUTED_VALUE"""),"ORGANIC")</f>
        <v>ORGANIC</v>
      </c>
      <c r="D2172" s="1" t="str">
        <f>IFERROR(__xludf.DUMMYFUNCTION("""COMPUTED_VALUE"""),"REMOLLO LEA")</f>
        <v>REMOLLO LEA</v>
      </c>
      <c r="E2172" s="1" t="str">
        <f>IFERROR(__xludf.DUMMYFUNCTION("""COMPUTED_VALUE"""),"PLDT / ONLINE")</f>
        <v>PLDT / ONLINE</v>
      </c>
      <c r="F2172" s="1"/>
      <c r="G2172" s="1"/>
      <c r="H2172" s="1" t="str">
        <f>IFERROR(__xludf.DUMMYFUNCTION("""COMPUTED_VALUE"""),"KIM JERIC GALADO")</f>
        <v>KIM JERIC GALADO</v>
      </c>
      <c r="I2172" s="1">
        <f>IFERROR(__xludf.DUMMYFUNCTION("""COMPUTED_VALUE"""),9776130737)</f>
        <v>9776130737</v>
      </c>
      <c r="J2172" s="1">
        <f>IFERROR(__xludf.DUMMYFUNCTION("""COMPUTED_VALUE"""),9384075044)</f>
        <v>9384075044</v>
      </c>
      <c r="K2172" s="1" t="str">
        <f>IFERROR(__xludf.DUMMYFUNCTION("""COMPUTED_VALUE"""),"icebangasx25@gmail.com")</f>
        <v>icebangasx25@gmail.com</v>
      </c>
      <c r="L2172" s="1" t="str">
        <f>IFERROR(__xludf.DUMMYFUNCTION("""COMPUTED_VALUE"""),"66")</f>
        <v>66</v>
      </c>
      <c r="M2172" s="1" t="str">
        <f>IFERROR(__xludf.DUMMYFUNCTION("""COMPUTED_VALUE"""),"EXCESS LOT")</f>
        <v>EXCESS LOT</v>
      </c>
      <c r="N2172" s="1"/>
      <c r="O2172" s="1" t="str">
        <f>IFERROR(__xludf.DUMMYFUNCTION("""COMPUTED_VALUE"""),"SANTA MARIA (BARANGAY 20)")</f>
        <v>SANTA MARIA (BARANGAY 20)</v>
      </c>
      <c r="P2172" s="1" t="str">
        <f>IFERROR(__xludf.DUMMYFUNCTION("""COMPUTED_VALUE"""),"DASMARINAS")</f>
        <v>DASMARINAS</v>
      </c>
      <c r="Q2172" s="1" t="str">
        <f>IFERROR(__xludf.DUMMYFUNCTION("""COMPUTED_VALUE"""),"CAVITE")</f>
        <v>CAVITE</v>
      </c>
      <c r="R2172" s="1" t="str">
        <f>IFERROR(__xludf.DUMMYFUNCTION("""COMPUTED_VALUE"""),"FIBR PLAN 1299")</f>
        <v>FIBR PLAN 1299</v>
      </c>
      <c r="S2172" s="1" t="str">
        <f>IFERROR(__xludf.DUMMYFUNCTION("""COMPUTED_VALUE"""),"CANCELLED ")</f>
        <v>CANCELLED </v>
      </c>
      <c r="T2172" s="1" t="str">
        <f>IFERROR(__xludf.DUMMYFUNCTION("""COMPUTED_VALUE"""),"#N/A")</f>
        <v>#N/A</v>
      </c>
      <c r="U2172" s="1" t="str">
        <f>IFERROR(__xludf.DUMMYFUNCTION("""COMPUTED_VALUE"""),"REAPPLY UNDER SUBS NAME MAICA MAE TAPIADOR")</f>
        <v>REAPPLY UNDER SUBS NAME MAICA MAE TAPIADOR</v>
      </c>
      <c r="V2172" s="1"/>
      <c r="W2172" s="1"/>
    </row>
    <row r="2173" customHeight="1" spans="1:23">
      <c r="A2173" s="3">
        <f>IFERROR(__xludf.DUMMYFUNCTION("""COMPUTED_VALUE"""),46191)</f>
        <v>46191</v>
      </c>
      <c r="B2173" s="1" t="str">
        <f>IFERROR(__xludf.DUMMYFUNCTION("""COMPUTED_VALUE"""),"MAGDARAOG, KENNETH")</f>
        <v>MAGDARAOG, KENNETH</v>
      </c>
      <c r="C2173" s="1" t="str">
        <f>IFERROR(__xludf.DUMMYFUNCTION("""COMPUTED_VALUE"""),"ORGANIC")</f>
        <v>ORGANIC</v>
      </c>
      <c r="D2173" s="1" t="str">
        <f>IFERROR(__xludf.DUMMYFUNCTION("""COMPUTED_VALUE"""),"REMOLLO LEA")</f>
        <v>REMOLLO LEA</v>
      </c>
      <c r="E2173" s="1" t="str">
        <f>IFERROR(__xludf.DUMMYFUNCTION("""COMPUTED_VALUE"""),"PLDT / H2H")</f>
        <v>PLDT / H2H</v>
      </c>
      <c r="F2173" s="1">
        <f>IFERROR(__xludf.DUMMYFUNCTION("""COMPUTED_VALUE"""),2310374586)</f>
        <v>2310374586</v>
      </c>
      <c r="G2173" s="1"/>
      <c r="H2173" s="1" t="str">
        <f>IFERROR(__xludf.DUMMYFUNCTION("""COMPUTED_VALUE"""),"MELINDA CATANGUI RABANES")</f>
        <v>MELINDA CATANGUI RABANES</v>
      </c>
      <c r="I2173" s="1">
        <f>IFERROR(__xludf.DUMMYFUNCTION("""COMPUTED_VALUE"""),9518449494)</f>
        <v>9518449494</v>
      </c>
      <c r="J2173" s="1">
        <f>IFERROR(__xludf.DUMMYFUNCTION("""COMPUTED_VALUE"""),9279037630)</f>
        <v>9279037630</v>
      </c>
      <c r="K2173" s="1" t="str">
        <f>IFERROR(__xludf.DUMMYFUNCTION("""COMPUTED_VALUE"""),"renzomelrabanes@gmail.com")</f>
        <v>renzomelrabanes@gmail.com</v>
      </c>
      <c r="L2173" s="1" t="str">
        <f>IFERROR(__xludf.DUMMYFUNCTION("""COMPUTED_VALUE"""),"51")</f>
        <v>51</v>
      </c>
      <c r="M2173" s="1" t="str">
        <f>IFERROR(__xludf.DUMMYFUNCTION("""COMPUTED_VALUE"""),"MAHARLIKA RD")</f>
        <v>MAHARLIKA RD</v>
      </c>
      <c r="N2173" s="1"/>
      <c r="O2173" s="1" t="str">
        <f>IFERROR(__xludf.DUMMYFUNCTION("""COMPUTED_VALUE"""),"MAHARLIKA WEST")</f>
        <v>MAHARLIKA WEST</v>
      </c>
      <c r="P2173" s="1" t="str">
        <f>IFERROR(__xludf.DUMMYFUNCTION("""COMPUTED_VALUE"""),"TAGAYTAY")</f>
        <v>TAGAYTAY</v>
      </c>
      <c r="Q2173" s="1" t="str">
        <f>IFERROR(__xludf.DUMMYFUNCTION("""COMPUTED_VALUE"""),"CAVITE")</f>
        <v>CAVITE</v>
      </c>
      <c r="R2173" s="1" t="str">
        <f>IFERROR(__xludf.DUMMYFUNCTION("""COMPUTED_VALUE"""),"FIBR UNLI ALL PLAN 999")</f>
        <v>FIBR UNLI ALL PLAN 999</v>
      </c>
      <c r="S2173" s="1" t="str">
        <f>IFERROR(__xludf.DUMMYFUNCTION("""COMPUTED_VALUE"""),"APPROVED")</f>
        <v>APPROVED</v>
      </c>
      <c r="T2173" s="1" t="str">
        <f>IFERROR(__xludf.DUMMYFUNCTION("""COMPUTED_VALUE"""),"#N/A")</f>
        <v>#N/A</v>
      </c>
      <c r="U2173" s="1" t="str">
        <f>IFERROR(__xludf.DUMMYFUNCTION("""COMPUTED_VALUE"""),"POSTED")</f>
        <v>POSTED</v>
      </c>
      <c r="V2173" s="1"/>
      <c r="W2173" s="1"/>
    </row>
    <row r="2174" customHeight="1" spans="1:23">
      <c r="A2174" s="3">
        <f>IFERROR(__xludf.DUMMYFUNCTION("""COMPUTED_VALUE"""),46192)</f>
        <v>46192</v>
      </c>
      <c r="B2174" s="1" t="str">
        <f>IFERROR(__xludf.DUMMYFUNCTION("""COMPUTED_VALUE"""),"MALIWAT MARK ELVIN")</f>
        <v>MALIWAT MARK ELVIN</v>
      </c>
      <c r="C2174" s="1" t="str">
        <f>IFERROR(__xludf.DUMMYFUNCTION("""COMPUTED_VALUE"""),"FLA")</f>
        <v>FLA</v>
      </c>
      <c r="D2174" s="1" t="str">
        <f>IFERROR(__xludf.DUMMYFUNCTION("""COMPUTED_VALUE"""),"JERIC NAVARRO")</f>
        <v>JERIC NAVARRO</v>
      </c>
      <c r="E2174" s="1" t="str">
        <f>IFERROR(__xludf.DUMMYFUNCTION("""COMPUTED_VALUE"""),"RED FIBER")</f>
        <v>RED FIBER</v>
      </c>
      <c r="F2174" s="1"/>
      <c r="G2174" s="1"/>
      <c r="H2174" s="1" t="str">
        <f>IFERROR(__xludf.DUMMYFUNCTION("""COMPUTED_VALUE"""),"SHIELA MAE GARNICA VELARDE")</f>
        <v>SHIELA MAE GARNICA VELARDE</v>
      </c>
      <c r="I2174" s="1">
        <f>IFERROR(__xludf.DUMMYFUNCTION("""COMPUTED_VALUE"""),9366179379)</f>
        <v>9366179379</v>
      </c>
      <c r="J2174" s="1">
        <f>IFERROR(__xludf.DUMMYFUNCTION("""COMPUTED_VALUE"""),9557398036)</f>
        <v>9557398036</v>
      </c>
      <c r="K2174" s="1" t="str">
        <f>IFERROR(__xludf.DUMMYFUNCTION("""COMPUTED_VALUE"""),"shielamae.velrde@gmail.com")</f>
        <v>shielamae.velrde@gmail.com</v>
      </c>
      <c r="L2174" s="1" t="str">
        <f>IFERROR(__xludf.DUMMYFUNCTION("""COMPUTED_VALUE"""),"BLK 12 LOT 22B ")</f>
        <v>BLK 12 LOT 22B </v>
      </c>
      <c r="M2174" s="1" t="str">
        <f>IFERROR(__xludf.DUMMYFUNCTION("""COMPUTED_VALUE"""),"ARELLANO ST")</f>
        <v>ARELLANO ST</v>
      </c>
      <c r="N2174" s="1" t="str">
        <f>IFERROR(__xludf.DUMMYFUNCTION("""COMPUTED_VALUE"""),"LESSANDRA HEIGHTS")</f>
        <v>LESSANDRA HEIGHTS</v>
      </c>
      <c r="O2174" s="1" t="str">
        <f>IFERROR(__xludf.DUMMYFUNCTION("""COMPUTED_VALUE"""),"MOLINO IV")</f>
        <v>MOLINO IV</v>
      </c>
      <c r="P2174" s="1" t="str">
        <f>IFERROR(__xludf.DUMMYFUNCTION("""COMPUTED_VALUE"""),"BACOOR")</f>
        <v>BACOOR</v>
      </c>
      <c r="Q2174" s="1" t="str">
        <f>IFERROR(__xludf.DUMMYFUNCTION("""COMPUTED_VALUE"""),"CAVITE")</f>
        <v>CAVITE</v>
      </c>
      <c r="R2174" s="1" t="str">
        <f>IFERROR(__xludf.DUMMYFUNCTION("""COMPUTED_VALUE"""),"RED PLAN 1000")</f>
        <v>RED PLAN 1000</v>
      </c>
      <c r="S2174" s="1" t="str">
        <f>IFERROR(__xludf.DUMMYFUNCTION("""COMPUTED_VALUE"""),"APPROVED")</f>
        <v>APPROVED</v>
      </c>
      <c r="T2174" s="1" t="str">
        <f>IFERROR(__xludf.DUMMYFUNCTION("""COMPUTED_VALUE"""),"PAID")</f>
        <v>PAID</v>
      </c>
      <c r="U2174" s="1" t="str">
        <f>IFERROR(__xludf.DUMMYFUNCTION("""COMPUTED_VALUE"""),"PAID VIA GCASH")</f>
        <v>PAID VIA GCASH</v>
      </c>
      <c r="V2174" s="1"/>
      <c r="W2174" s="1"/>
    </row>
    <row r="2175" customHeight="1" spans="1:23">
      <c r="A2175" s="3">
        <f>IFERROR(__xludf.DUMMYFUNCTION("""COMPUTED_VALUE"""),46192)</f>
        <v>46192</v>
      </c>
      <c r="B2175" s="1" t="str">
        <f>IFERROR(__xludf.DUMMYFUNCTION("""COMPUTED_VALUE"""),"ESCARCHA, MA ALMA  ESCOTO")</f>
        <v>ESCARCHA, MA ALMA  ESCOTO</v>
      </c>
      <c r="C2175" s="1" t="str">
        <f>IFERROR(__xludf.DUMMYFUNCTION("""COMPUTED_VALUE"""),"ORGANIC")</f>
        <v>ORGANIC</v>
      </c>
      <c r="D2175" s="1" t="str">
        <f>IFERROR(__xludf.DUMMYFUNCTION("""COMPUTED_VALUE"""),"REMOLLO LEA")</f>
        <v>REMOLLO LEA</v>
      </c>
      <c r="E2175" s="1" t="str">
        <f>IFERROR(__xludf.DUMMYFUNCTION("""COMPUTED_VALUE"""),"PLDT / ONLINE")</f>
        <v>PLDT / ONLINE</v>
      </c>
      <c r="F2175" s="1">
        <f>IFERROR(__xludf.DUMMYFUNCTION("""COMPUTED_VALUE"""),2310326913)</f>
        <v>2310326913</v>
      </c>
      <c r="G2175" s="1"/>
      <c r="H2175" s="1" t="str">
        <f>IFERROR(__xludf.DUMMYFUNCTION("""COMPUTED_VALUE"""),"JAY-AR ARRAS GUIANAN")</f>
        <v>JAY-AR ARRAS GUIANAN</v>
      </c>
      <c r="I2175" s="1">
        <f>IFERROR(__xludf.DUMMYFUNCTION("""COMPUTED_VALUE"""),9976611613)</f>
        <v>9976611613</v>
      </c>
      <c r="J2175" s="1">
        <f>IFERROR(__xludf.DUMMYFUNCTION("""COMPUTED_VALUE"""),9515471748)</f>
        <v>9515471748</v>
      </c>
      <c r="K2175" s="1" t="str">
        <f>IFERROR(__xludf.DUMMYFUNCTION("""COMPUTED_VALUE"""),"annelabitan80@gmail.com")</f>
        <v>annelabitan80@gmail.com</v>
      </c>
      <c r="L2175" s="1" t="str">
        <f>IFERROR(__xludf.DUMMYFUNCTION("""COMPUTED_VALUE"""),"BLK 33 LOT 13")</f>
        <v>BLK 33 LOT 13</v>
      </c>
      <c r="M2175" s="1" t="str">
        <f>IFERROR(__xludf.DUMMYFUNCTION("""COMPUTED_VALUE"""),"BUENAVISTA HILLS")</f>
        <v>BUENAVISTA HILLS</v>
      </c>
      <c r="N2175" s="1"/>
      <c r="O2175" s="1" t="str">
        <f>IFERROR(__xludf.DUMMYFUNCTION("""COMPUTED_VALUE"""),"TOLENTINO WEST")</f>
        <v>TOLENTINO WEST</v>
      </c>
      <c r="P2175" s="1" t="str">
        <f>IFERROR(__xludf.DUMMYFUNCTION("""COMPUTED_VALUE"""),"TAGAYTAY")</f>
        <v>TAGAYTAY</v>
      </c>
      <c r="Q2175" s="1" t="str">
        <f>IFERROR(__xludf.DUMMYFUNCTION("""COMPUTED_VALUE"""),"CAVITE")</f>
        <v>CAVITE</v>
      </c>
      <c r="R2175" s="1" t="str">
        <f>IFERROR(__xludf.DUMMYFUNCTION("""COMPUTED_VALUE"""),"FIBR PLAN 1699")</f>
        <v>FIBR PLAN 1699</v>
      </c>
      <c r="S2175" s="1" t="str">
        <f>IFERROR(__xludf.DUMMYFUNCTION("""COMPUTED_VALUE"""),"APPROVED")</f>
        <v>APPROVED</v>
      </c>
      <c r="T2175" s="1" t="str">
        <f>IFERROR(__xludf.DUMMYFUNCTION("""COMPUTED_VALUE"""),"#N/A")</f>
        <v>#N/A</v>
      </c>
      <c r="U2175" s="1"/>
      <c r="V2175" s="1"/>
      <c r="W2175" s="1"/>
    </row>
    <row r="2176" customHeight="1" spans="1:23">
      <c r="A2176" s="3">
        <f>IFERROR(__xludf.DUMMYFUNCTION("""COMPUTED_VALUE"""),46192)</f>
        <v>46192</v>
      </c>
      <c r="B2176" s="1" t="str">
        <f>IFERROR(__xludf.DUMMYFUNCTION("""COMPUTED_VALUE"""),"RIVERA, AIRIZH JOY")</f>
        <v>RIVERA, AIRIZH JOY</v>
      </c>
      <c r="C2176" s="1" t="str">
        <f>IFERROR(__xludf.DUMMYFUNCTION("""COMPUTED_VALUE"""),"ORGANIC")</f>
        <v>ORGANIC</v>
      </c>
      <c r="D2176" s="1" t="str">
        <f>IFERROR(__xludf.DUMMYFUNCTION("""COMPUTED_VALUE"""),"REMOLLO LEA")</f>
        <v>REMOLLO LEA</v>
      </c>
      <c r="E2176" s="1" t="str">
        <f>IFERROR(__xludf.DUMMYFUNCTION("""COMPUTED_VALUE"""),"PLDT / ONLINE")</f>
        <v>PLDT / ONLINE</v>
      </c>
      <c r="F2176" s="1">
        <f>IFERROR(__xludf.DUMMYFUNCTION("""COMPUTED_VALUE"""),2310328096)</f>
        <v>2310328096</v>
      </c>
      <c r="G2176" s="1"/>
      <c r="H2176" s="1" t="str">
        <f>IFERROR(__xludf.DUMMYFUNCTION("""COMPUTED_VALUE"""),"CRISLIN MORENO TIBAYAN")</f>
        <v>CRISLIN MORENO TIBAYAN</v>
      </c>
      <c r="I2176" s="1">
        <f>IFERROR(__xludf.DUMMYFUNCTION("""COMPUTED_VALUE"""),9383425308)</f>
        <v>9383425308</v>
      </c>
      <c r="J2176" s="1">
        <f>IFERROR(__xludf.DUMMYFUNCTION("""COMPUTED_VALUE"""),9389030512)</f>
        <v>9389030512</v>
      </c>
      <c r="K2176" s="1" t="str">
        <f>IFERROR(__xludf.DUMMYFUNCTION("""COMPUTED_VALUE"""),"crislintibayan0@gmail.com")</f>
        <v>crislintibayan0@gmail.com</v>
      </c>
      <c r="L2176" s="1" t="str">
        <f>IFERROR(__xludf.DUMMYFUNCTION("""COMPUTED_VALUE"""),"135")</f>
        <v>135</v>
      </c>
      <c r="M2176" s="1" t="str">
        <f>IFERROR(__xludf.DUMMYFUNCTION("""COMPUTED_VALUE"""),"PUROK 4")</f>
        <v>PUROK 4</v>
      </c>
      <c r="N2176" s="1"/>
      <c r="O2176" s="1" t="str">
        <f>IFERROR(__xludf.DUMMYFUNCTION("""COMPUTED_VALUE"""),"BUCAL")</f>
        <v>BUCAL</v>
      </c>
      <c r="P2176" s="1" t="str">
        <f>IFERROR(__xludf.DUMMYFUNCTION("""COMPUTED_VALUE"""),"AMADEO")</f>
        <v>AMADEO</v>
      </c>
      <c r="Q2176" s="1" t="str">
        <f>IFERROR(__xludf.DUMMYFUNCTION("""COMPUTED_VALUE"""),"CAVITE")</f>
        <v>CAVITE</v>
      </c>
      <c r="R2176" s="1" t="str">
        <f>IFERROR(__xludf.DUMMYFUNCTION("""COMPUTED_VALUE"""),"FIBR PLAN 1299")</f>
        <v>FIBR PLAN 1299</v>
      </c>
      <c r="S2176" s="1" t="str">
        <f>IFERROR(__xludf.DUMMYFUNCTION("""COMPUTED_VALUE"""),"APPROVED")</f>
        <v>APPROVED</v>
      </c>
      <c r="T2176" s="1" t="str">
        <f>IFERROR(__xludf.DUMMYFUNCTION("""COMPUTED_VALUE"""),"#N/A")</f>
        <v>#N/A</v>
      </c>
      <c r="U2176" s="1" t="str">
        <f>IFERROR(__xludf.DUMMYFUNCTION("""COMPUTED_VALUE"""),"JAN 20 OR 21 MAG SETTLE")</f>
        <v>JAN 20 OR 21 MAG SETTLE</v>
      </c>
      <c r="V2176" s="1"/>
      <c r="W2176" s="1"/>
    </row>
    <row r="2177" customHeight="1" spans="1:23">
      <c r="A2177" s="3">
        <f>IFERROR(__xludf.DUMMYFUNCTION("""COMPUTED_VALUE"""),46192)</f>
        <v>46192</v>
      </c>
      <c r="B2177" s="1" t="str">
        <f>IFERROR(__xludf.DUMMYFUNCTION("""COMPUTED_VALUE"""),"DELA ROSA, JENNELYN")</f>
        <v>DELA ROSA, JENNELYN</v>
      </c>
      <c r="C2177" s="1" t="str">
        <f>IFERROR(__xludf.DUMMYFUNCTION("""COMPUTED_VALUE"""),"ORGANIC")</f>
        <v>ORGANIC</v>
      </c>
      <c r="D2177" s="1" t="str">
        <f>IFERROR(__xludf.DUMMYFUNCTION("""COMPUTED_VALUE"""),"REMOLLO LEA")</f>
        <v>REMOLLO LEA</v>
      </c>
      <c r="E2177" s="1" t="str">
        <f>IFERROR(__xludf.DUMMYFUNCTION("""COMPUTED_VALUE"""),"PLDT / ONLINE")</f>
        <v>PLDT / ONLINE</v>
      </c>
      <c r="F2177" s="1"/>
      <c r="G2177" s="1"/>
      <c r="H2177" s="1" t="str">
        <f>IFERROR(__xludf.DUMMYFUNCTION("""COMPUTED_VALUE"""),"MARISTHEL UBAS REMEGIO")</f>
        <v>MARISTHEL UBAS REMEGIO</v>
      </c>
      <c r="I2177" s="1">
        <f>IFERROR(__xludf.DUMMYFUNCTION("""COMPUTED_VALUE"""),9564754310)</f>
        <v>9564754310</v>
      </c>
      <c r="J2177" s="1"/>
      <c r="K2177" s="1" t="str">
        <f>IFERROR(__xludf.DUMMYFUNCTION("""COMPUTED_VALUE"""),"maristhelremegio@gmail.com")</f>
        <v>maristhelremegio@gmail.com</v>
      </c>
      <c r="L2177" s="1" t="str">
        <f>IFERROR(__xludf.DUMMYFUNCTION("""COMPUTED_VALUE"""),"BLK 6 LOT 4")</f>
        <v>BLK 6 LOT 4</v>
      </c>
      <c r="M2177" s="1" t="str">
        <f>IFERROR(__xludf.DUMMYFUNCTION("""COMPUTED_VALUE"""),"BUKLURAN 1")</f>
        <v>BUKLURAN 1</v>
      </c>
      <c r="N2177" s="1"/>
      <c r="O2177" s="1" t="str">
        <f>IFERROR(__xludf.DUMMYFUNCTION("""COMPUTED_VALUE"""),"BULIHAN")</f>
        <v>BULIHAN</v>
      </c>
      <c r="P2177" s="1" t="str">
        <f>IFERROR(__xludf.DUMMYFUNCTION("""COMPUTED_VALUE"""),"SILANG")</f>
        <v>SILANG</v>
      </c>
      <c r="Q2177" s="1" t="str">
        <f>IFERROR(__xludf.DUMMYFUNCTION("""COMPUTED_VALUE"""),"CAVITE")</f>
        <v>CAVITE</v>
      </c>
      <c r="R2177" s="1" t="str">
        <f>IFERROR(__xludf.DUMMYFUNCTION("""COMPUTED_VALUE"""),"FIBR UNLI ALL PLAN 999")</f>
        <v>FIBR UNLI ALL PLAN 999</v>
      </c>
      <c r="S2177" s="1" t="str">
        <f>IFERROR(__xludf.DUMMYFUNCTION("""COMPUTED_VALUE"""),"HOLD")</f>
        <v>HOLD</v>
      </c>
      <c r="T2177" s="1" t="str">
        <f>IFERROR(__xludf.DUMMYFUNCTION("""COMPUTED_VALUE"""),"#N/A")</f>
        <v>#N/A</v>
      </c>
      <c r="U2177" s="1"/>
      <c r="V2177" s="1"/>
      <c r="W2177" s="1"/>
    </row>
    <row r="2178" customHeight="1" spans="1:23">
      <c r="A2178" s="3">
        <f>IFERROR(__xludf.DUMMYFUNCTION("""COMPUTED_VALUE"""),46192)</f>
        <v>46192</v>
      </c>
      <c r="B2178" s="1" t="str">
        <f>IFERROR(__xludf.DUMMYFUNCTION("""COMPUTED_VALUE"""),"GABAY, MANUEL")</f>
        <v>GABAY, MANUEL</v>
      </c>
      <c r="C2178" s="1" t="str">
        <f>IFERROR(__xludf.DUMMYFUNCTION("""COMPUTED_VALUE"""),"FLA")</f>
        <v>FLA</v>
      </c>
      <c r="D2178" s="1" t="str">
        <f>IFERROR(__xludf.DUMMYFUNCTION("""COMPUTED_VALUE"""),"JERIC NAVARRO")</f>
        <v>JERIC NAVARRO</v>
      </c>
      <c r="E2178" s="1" t="str">
        <f>IFERROR(__xludf.DUMMYFUNCTION("""COMPUTED_VALUE"""),"PLDT / H2H")</f>
        <v>PLDT / H2H</v>
      </c>
      <c r="F2178" s="1">
        <f>IFERROR(__xludf.DUMMYFUNCTION("""COMPUTED_VALUE"""),2310329302)</f>
        <v>2310329302</v>
      </c>
      <c r="G2178" s="1"/>
      <c r="H2178" s="1" t="str">
        <f>IFERROR(__xludf.DUMMYFUNCTION("""COMPUTED_VALUE"""),"GLYDEL MAE ROTAIRO ROLLO")</f>
        <v>GLYDEL MAE ROTAIRO ROLLO</v>
      </c>
      <c r="I2178" s="1">
        <f>IFERROR(__xludf.DUMMYFUNCTION("""COMPUTED_VALUE"""),9760700883)</f>
        <v>9760700883</v>
      </c>
      <c r="J2178" s="1">
        <f>IFERROR(__xludf.DUMMYFUNCTION("""COMPUTED_VALUE"""),9760841357)</f>
        <v>9760841357</v>
      </c>
      <c r="K2178" s="1" t="str">
        <f>IFERROR(__xludf.DUMMYFUNCTION("""COMPUTED_VALUE"""),"rotairoglydel@gmail.com")</f>
        <v>rotairoglydel@gmail.com</v>
      </c>
      <c r="L2178" s="1" t="str">
        <f>IFERROR(__xludf.DUMMYFUNCTION("""COMPUTED_VALUE"""),"196")</f>
        <v>196</v>
      </c>
      <c r="M2178" s="1" t="str">
        <f>IFERROR(__xludf.DUMMYFUNCTION("""COMPUTED_VALUE"""),"KAYTITINGA III")</f>
        <v>KAYTITINGA III</v>
      </c>
      <c r="N2178" s="1"/>
      <c r="O2178" s="1" t="str">
        <f>IFERROR(__xludf.DUMMYFUNCTION("""COMPUTED_VALUE"""),"KAYTITINGA III")</f>
        <v>KAYTITINGA III</v>
      </c>
      <c r="P2178" s="1" t="str">
        <f>IFERROR(__xludf.DUMMYFUNCTION("""COMPUTED_VALUE"""),"ALFONSO")</f>
        <v>ALFONSO</v>
      </c>
      <c r="Q2178" s="1" t="str">
        <f>IFERROR(__xludf.DUMMYFUNCTION("""COMPUTED_VALUE"""),"CAVITE")</f>
        <v>CAVITE</v>
      </c>
      <c r="R2178" s="1" t="str">
        <f>IFERROR(__xludf.DUMMYFUNCTION("""COMPUTED_VALUE"""),"FIBR NETFLIX PLAN 1599")</f>
        <v>FIBR NETFLIX PLAN 1599</v>
      </c>
      <c r="S2178" s="1" t="str">
        <f>IFERROR(__xludf.DUMMYFUNCTION("""COMPUTED_VALUE"""),"APPROVED")</f>
        <v>APPROVED</v>
      </c>
      <c r="T2178" s="1" t="str">
        <f>IFERROR(__xludf.DUMMYFUNCTION("""COMPUTED_VALUE"""),"#N/A")</f>
        <v>#N/A</v>
      </c>
      <c r="U2178" s="1"/>
      <c r="V2178" s="1"/>
      <c r="W2178" s="1"/>
    </row>
    <row r="2179" customHeight="1" spans="1:23">
      <c r="A2179" s="3">
        <f>IFERROR(__xludf.DUMMYFUNCTION("""COMPUTED_VALUE"""),46192)</f>
        <v>46192</v>
      </c>
      <c r="B2179" s="1" t="str">
        <f>IFERROR(__xludf.DUMMYFUNCTION("""COMPUTED_VALUE"""),"FRONDEZ, JEDREFF")</f>
        <v>FRONDEZ, JEDREFF</v>
      </c>
      <c r="C2179" s="1" t="str">
        <f>IFERROR(__xludf.DUMMYFUNCTION("""COMPUTED_VALUE"""),"ORGANIC")</f>
        <v>ORGANIC</v>
      </c>
      <c r="D2179" s="1" t="str">
        <f>IFERROR(__xludf.DUMMYFUNCTION("""COMPUTED_VALUE"""),"REMOLLO LEA")</f>
        <v>REMOLLO LEA</v>
      </c>
      <c r="E2179" s="1" t="str">
        <f>IFERROR(__xludf.DUMMYFUNCTION("""COMPUTED_VALUE"""),"PLDT / H2H")</f>
        <v>PLDT / H2H</v>
      </c>
      <c r="F2179" s="1">
        <f>IFERROR(__xludf.DUMMYFUNCTION("""COMPUTED_VALUE"""),2310328867)</f>
        <v>2310328867</v>
      </c>
      <c r="G2179" s="1"/>
      <c r="H2179" s="1" t="str">
        <f>IFERROR(__xludf.DUMMYFUNCTION("""COMPUTED_VALUE"""),"MARLON DELA CRUZ LALAGUNA")</f>
        <v>MARLON DELA CRUZ LALAGUNA</v>
      </c>
      <c r="I2179" s="1">
        <f>IFERROR(__xludf.DUMMYFUNCTION("""COMPUTED_VALUE"""),9526249374)</f>
        <v>9526249374</v>
      </c>
      <c r="J2179" s="1">
        <f>IFERROR(__xludf.DUMMYFUNCTION("""COMPUTED_VALUE"""),9534379890)</f>
        <v>9534379890</v>
      </c>
      <c r="K2179" s="1" t="str">
        <f>IFERROR(__xludf.DUMMYFUNCTION("""COMPUTED_VALUE"""),"nelsiejordan@gmail.com")</f>
        <v>nelsiejordan@gmail.com</v>
      </c>
      <c r="L2179" s="1" t="str">
        <f>IFERROR(__xludf.DUMMYFUNCTION("""COMPUTED_VALUE"""),"10")</f>
        <v>10</v>
      </c>
      <c r="M2179" s="1" t="str">
        <f>IFERROR(__xludf.DUMMYFUNCTION("""COMPUTED_VALUE"""),"GUYAM MUNTI RD")</f>
        <v>GUYAM MUNTI RD</v>
      </c>
      <c r="N2179" s="1"/>
      <c r="O2179" s="1" t="str">
        <f>IFERROR(__xludf.DUMMYFUNCTION("""COMPUTED_VALUE"""),"PALOCPOC II")</f>
        <v>PALOCPOC II</v>
      </c>
      <c r="P2179" s="1" t="str">
        <f>IFERROR(__xludf.DUMMYFUNCTION("""COMPUTED_VALUE"""),"MENDEZ")</f>
        <v>MENDEZ</v>
      </c>
      <c r="Q2179" s="1" t="str">
        <f>IFERROR(__xludf.DUMMYFUNCTION("""COMPUTED_VALUE"""),"CAVITE")</f>
        <v>CAVITE</v>
      </c>
      <c r="R2179" s="1" t="str">
        <f>IFERROR(__xludf.DUMMYFUNCTION("""COMPUTED_VALUE"""),"FIBR UNLI ALL PLAN 999")</f>
        <v>FIBR UNLI ALL PLAN 999</v>
      </c>
      <c r="S2179" s="1" t="str">
        <f>IFERROR(__xludf.DUMMYFUNCTION("""COMPUTED_VALUE"""),"APPROVED")</f>
        <v>APPROVED</v>
      </c>
      <c r="T2179" s="1" t="str">
        <f>IFERROR(__xludf.DUMMYFUNCTION("""COMPUTED_VALUE"""),"#N/A")</f>
        <v>#N/A</v>
      </c>
      <c r="U2179" s="1" t="str">
        <f>IFERROR(__xludf.DUMMYFUNCTION("""COMPUTED_VALUE"""),"FOR PAYROLL 22-28")</f>
        <v>FOR PAYROLL 22-28</v>
      </c>
      <c r="V2179" s="1"/>
      <c r="W2179" s="1"/>
    </row>
    <row r="2180" customHeight="1" spans="1:23">
      <c r="A2180" s="3">
        <f>IFERROR(__xludf.DUMMYFUNCTION("""COMPUTED_VALUE"""),46192)</f>
        <v>46192</v>
      </c>
      <c r="B2180" s="1" t="str">
        <f>IFERROR(__xludf.DUMMYFUNCTION("""COMPUTED_VALUE"""),"AYON MANUEL")</f>
        <v>AYON MANUEL</v>
      </c>
      <c r="C2180" s="1" t="str">
        <f>IFERROR(__xludf.DUMMYFUNCTION("""COMPUTED_VALUE"""),"FLA")</f>
        <v>FLA</v>
      </c>
      <c r="D2180" s="1" t="str">
        <f>IFERROR(__xludf.DUMMYFUNCTION("""COMPUTED_VALUE"""),"JERIC NAVARRO")</f>
        <v>JERIC NAVARRO</v>
      </c>
      <c r="E2180" s="1" t="str">
        <f>IFERROR(__xludf.DUMMYFUNCTION("""COMPUTED_VALUE"""),"PLDT / ONLINE")</f>
        <v>PLDT / ONLINE</v>
      </c>
      <c r="F2180" s="1">
        <f>IFERROR(__xludf.DUMMYFUNCTION("""COMPUTED_VALUE"""),2310327800)</f>
        <v>2310327800</v>
      </c>
      <c r="G2180" s="1"/>
      <c r="H2180" s="1" t="str">
        <f>IFERROR(__xludf.DUMMYFUNCTION("""COMPUTED_VALUE"""),"RENEROSE BELTRAN MORENO")</f>
        <v>RENEROSE BELTRAN MORENO</v>
      </c>
      <c r="I2180" s="1">
        <f>IFERROR(__xludf.DUMMYFUNCTION("""COMPUTED_VALUE"""),9940617161)</f>
        <v>9940617161</v>
      </c>
      <c r="J2180" s="1">
        <f>IFERROR(__xludf.DUMMYFUNCTION("""COMPUTED_VALUE"""),639648627153)</f>
        <v>639648627153</v>
      </c>
      <c r="K2180" s="1" t="str">
        <f>IFERROR(__xludf.DUMMYFUNCTION("""COMPUTED_VALUE"""),"beltranrenerose@gmail.com")</f>
        <v>beltranrenerose@gmail.com</v>
      </c>
      <c r="L2180" s="1" t="str">
        <f>IFERROR(__xludf.DUMMYFUNCTION("""COMPUTED_VALUE"""),"399")</f>
        <v>399</v>
      </c>
      <c r="M2180" s="1" t="str">
        <f>IFERROR(__xludf.DUMMYFUNCTION("""COMPUTED_VALUE"""),"C M DELOS REYES")</f>
        <v>C M DELOS REYES</v>
      </c>
      <c r="N2180" s="1"/>
      <c r="O2180" s="1" t="str">
        <f>IFERROR(__xludf.DUMMYFUNCTION("""COMPUTED_VALUE"""),"SALABAN")</f>
        <v>SALABAN</v>
      </c>
      <c r="P2180" s="1" t="str">
        <f>IFERROR(__xludf.DUMMYFUNCTION("""COMPUTED_VALUE"""),"AMADEO")</f>
        <v>AMADEO</v>
      </c>
      <c r="Q2180" s="1" t="str">
        <f>IFERROR(__xludf.DUMMYFUNCTION("""COMPUTED_VALUE"""),"CAVITE")</f>
        <v>CAVITE</v>
      </c>
      <c r="R2180" s="1" t="str">
        <f>IFERROR(__xludf.DUMMYFUNCTION("""COMPUTED_VALUE"""),"FIBR PLAN 1299")</f>
        <v>FIBR PLAN 1299</v>
      </c>
      <c r="S2180" s="1" t="str">
        <f>IFERROR(__xludf.DUMMYFUNCTION("""COMPUTED_VALUE"""),"APPROVED")</f>
        <v>APPROVED</v>
      </c>
      <c r="T2180" s="1" t="str">
        <f>IFERROR(__xludf.DUMMYFUNCTION("""COMPUTED_VALUE"""),"#N/A")</f>
        <v>#N/A</v>
      </c>
      <c r="U2180" s="1" t="str">
        <f>IFERROR(__xludf.DUMMYFUNCTION("""COMPUTED_VALUE"""),"POSTED")</f>
        <v>POSTED</v>
      </c>
      <c r="V2180" s="1"/>
      <c r="W2180" s="1"/>
    </row>
    <row r="2181" customHeight="1" spans="1:23">
      <c r="A2181" s="3">
        <f>IFERROR(__xludf.DUMMYFUNCTION("""COMPUTED_VALUE"""),46192)</f>
        <v>46192</v>
      </c>
      <c r="B2181" s="1" t="str">
        <f>IFERROR(__xludf.DUMMYFUNCTION("""COMPUTED_VALUE"""),"CASTILLEJOS, ARREL")</f>
        <v>CASTILLEJOS, ARREL</v>
      </c>
      <c r="C2181" s="1" t="str">
        <f>IFERROR(__xludf.DUMMYFUNCTION("""COMPUTED_VALUE"""),"ORGANIC")</f>
        <v>ORGANIC</v>
      </c>
      <c r="D2181" s="1" t="str">
        <f>IFERROR(__xludf.DUMMYFUNCTION("""COMPUTED_VALUE"""),"REMOLLO LEA")</f>
        <v>REMOLLO LEA</v>
      </c>
      <c r="E2181" s="1" t="str">
        <f>IFERROR(__xludf.DUMMYFUNCTION("""COMPUTED_VALUE"""),"PLDT / H2H")</f>
        <v>PLDT / H2H</v>
      </c>
      <c r="F2181" s="1">
        <f>IFERROR(__xludf.DUMMYFUNCTION("""COMPUTED_VALUE"""),2310331452)</f>
        <v>2310331452</v>
      </c>
      <c r="G2181" s="1"/>
      <c r="H2181" s="1" t="str">
        <f>IFERROR(__xludf.DUMMYFUNCTION("""COMPUTED_VALUE"""),"CELERINO JR CERNERO CASTANEDA")</f>
        <v>CELERINO JR CERNERO CASTANEDA</v>
      </c>
      <c r="I2181" s="1">
        <f>IFERROR(__xludf.DUMMYFUNCTION("""COMPUTED_VALUE"""),9458436774)</f>
        <v>9458436774</v>
      </c>
      <c r="J2181" s="1">
        <f>IFERROR(__xludf.DUMMYFUNCTION("""COMPUTED_VALUE"""),9974146836)</f>
        <v>9974146836</v>
      </c>
      <c r="K2181" s="1" t="str">
        <f>IFERROR(__xludf.DUMMYFUNCTION("""COMPUTED_VALUE"""),"ceejaycastamedacastaneda@gmail.com")</f>
        <v>ceejaycastamedacastaneda@gmail.com</v>
      </c>
      <c r="L2181" s="1" t="str">
        <f>IFERROR(__xludf.DUMMYFUNCTION("""COMPUTED_VALUE"""),"9")</f>
        <v>9</v>
      </c>
      <c r="M2181" s="1" t="str">
        <f>IFERROR(__xludf.DUMMYFUNCTION("""COMPUTED_VALUE"""),"GUYAM MUNTI RD")</f>
        <v>GUYAM MUNTI RD</v>
      </c>
      <c r="N2181" s="1"/>
      <c r="O2181" s="1" t="str">
        <f>IFERROR(__xludf.DUMMYFUNCTION("""COMPUTED_VALUE"""),"PALOCPOC II")</f>
        <v>PALOCPOC II</v>
      </c>
      <c r="P2181" s="1" t="str">
        <f>IFERROR(__xludf.DUMMYFUNCTION("""COMPUTED_VALUE"""),"MENDEZ")</f>
        <v>MENDEZ</v>
      </c>
      <c r="Q2181" s="1" t="str">
        <f>IFERROR(__xludf.DUMMYFUNCTION("""COMPUTED_VALUE"""),"CAVITE")</f>
        <v>CAVITE</v>
      </c>
      <c r="R2181" s="1" t="str">
        <f>IFERROR(__xludf.DUMMYFUNCTION("""COMPUTED_VALUE"""),"FIBR UNLI ALL PLAN 999")</f>
        <v>FIBR UNLI ALL PLAN 999</v>
      </c>
      <c r="S2181" s="1" t="str">
        <f>IFERROR(__xludf.DUMMYFUNCTION("""COMPUTED_VALUE"""),"APPROVED")</f>
        <v>APPROVED</v>
      </c>
      <c r="T2181" s="1" t="str">
        <f>IFERROR(__xludf.DUMMYFUNCTION("""COMPUTED_VALUE"""),"#N/A")</f>
        <v>#N/A</v>
      </c>
      <c r="U2181" s="1" t="str">
        <f>IFERROR(__xludf.DUMMYFUNCTION("""COMPUTED_VALUE"""),"POSTED")</f>
        <v>POSTED</v>
      </c>
      <c r="V2181" s="1"/>
      <c r="W2181" s="1"/>
    </row>
    <row r="2182" customHeight="1" spans="1:23">
      <c r="A2182" s="3">
        <f>IFERROR(__xludf.DUMMYFUNCTION("""COMPUTED_VALUE"""),46192)</f>
        <v>46192</v>
      </c>
      <c r="B2182" s="1" t="str">
        <f>IFERROR(__xludf.DUMMYFUNCTION("""COMPUTED_VALUE"""),"MANDUCDOC, MARIANE")</f>
        <v>MANDUCDOC, MARIANE</v>
      </c>
      <c r="C2182" s="1" t="str">
        <f>IFERROR(__xludf.DUMMYFUNCTION("""COMPUTED_VALUE"""),"ORGANIC")</f>
        <v>ORGANIC</v>
      </c>
      <c r="D2182" s="1" t="str">
        <f>IFERROR(__xludf.DUMMYFUNCTION("""COMPUTED_VALUE"""),"REMOLLO LEA")</f>
        <v>REMOLLO LEA</v>
      </c>
      <c r="E2182" s="1" t="str">
        <f>IFERROR(__xludf.DUMMYFUNCTION("""COMPUTED_VALUE"""),"PLDT / ONLINE")</f>
        <v>PLDT / ONLINE</v>
      </c>
      <c r="F2182" s="1">
        <f>IFERROR(__xludf.DUMMYFUNCTION("""COMPUTED_VALUE"""),2310332425)</f>
        <v>2310332425</v>
      </c>
      <c r="G2182" s="1"/>
      <c r="H2182" s="1" t="str">
        <f>IFERROR(__xludf.DUMMYFUNCTION("""COMPUTED_VALUE"""),"CHRIZTINE KAYE VILLAFLOR JOSE")</f>
        <v>CHRIZTINE KAYE VILLAFLOR JOSE</v>
      </c>
      <c r="I2182" s="1">
        <f>IFERROR(__xludf.DUMMYFUNCTION("""COMPUTED_VALUE"""),9760703258)</f>
        <v>9760703258</v>
      </c>
      <c r="J2182" s="1"/>
      <c r="K2182" s="1" t="str">
        <f>IFERROR(__xludf.DUMMYFUNCTION("""COMPUTED_VALUE"""),"ckvillaflor13@gmail.com")</f>
        <v>ckvillaflor13@gmail.com</v>
      </c>
      <c r="L2182" s="1" t="str">
        <f>IFERROR(__xludf.DUMMYFUNCTION("""COMPUTED_VALUE"""),"2727 D10")</f>
        <v>2727 D10</v>
      </c>
      <c r="M2182" s="1" t="str">
        <f>IFERROR(__xludf.DUMMYFUNCTION("""COMPUTED_VALUE"""),"PHASE 4")</f>
        <v>PHASE 4</v>
      </c>
      <c r="N2182" s="1"/>
      <c r="O2182" s="1" t="str">
        <f>IFERROR(__xludf.DUMMYFUNCTION("""COMPUTED_VALUE"""),"PANUNGYAN I")</f>
        <v>PANUNGYAN I</v>
      </c>
      <c r="P2182" s="1" t="str">
        <f>IFERROR(__xludf.DUMMYFUNCTION("""COMPUTED_VALUE"""),"MENDEZ")</f>
        <v>MENDEZ</v>
      </c>
      <c r="Q2182" s="1" t="str">
        <f>IFERROR(__xludf.DUMMYFUNCTION("""COMPUTED_VALUE"""),"CAVITE")</f>
        <v>CAVITE</v>
      </c>
      <c r="R2182" s="1" t="str">
        <f>IFERROR(__xludf.DUMMYFUNCTION("""COMPUTED_VALUE"""),"FIBR PLAN 1699")</f>
        <v>FIBR PLAN 1699</v>
      </c>
      <c r="S2182" s="1" t="str">
        <f>IFERROR(__xludf.DUMMYFUNCTION("""COMPUTED_VALUE"""),"APPROVED")</f>
        <v>APPROVED</v>
      </c>
      <c r="T2182" s="1" t="str">
        <f>IFERROR(__xludf.DUMMYFUNCTION("""COMPUTED_VALUE"""),"#N/A")</f>
        <v>#N/A</v>
      </c>
      <c r="U2182" s="1"/>
      <c r="V2182" s="1"/>
      <c r="W2182" s="1"/>
    </row>
    <row r="2183" customHeight="1" spans="1:23">
      <c r="A2183" s="3">
        <f>IFERROR(__xludf.DUMMYFUNCTION("""COMPUTED_VALUE"""),46192)</f>
        <v>46192</v>
      </c>
      <c r="B2183" s="1" t="str">
        <f>IFERROR(__xludf.DUMMYFUNCTION("""COMPUTED_VALUE"""),"ESCARCHA, MA ALMA  ESCOTO")</f>
        <v>ESCARCHA, MA ALMA  ESCOTO</v>
      </c>
      <c r="C2183" s="1" t="str">
        <f>IFERROR(__xludf.DUMMYFUNCTION("""COMPUTED_VALUE"""),"ORGANIC")</f>
        <v>ORGANIC</v>
      </c>
      <c r="D2183" s="1" t="str">
        <f>IFERROR(__xludf.DUMMYFUNCTION("""COMPUTED_VALUE"""),"REMOLLO LEA")</f>
        <v>REMOLLO LEA</v>
      </c>
      <c r="E2183" s="1" t="str">
        <f>IFERROR(__xludf.DUMMYFUNCTION("""COMPUTED_VALUE"""),"PLDT / H2H")</f>
        <v>PLDT / H2H</v>
      </c>
      <c r="F2183" s="1"/>
      <c r="G2183" s="1"/>
      <c r="H2183" s="1" t="str">
        <f>IFERROR(__xludf.DUMMYFUNCTION("""COMPUTED_VALUE"""),"ALLAN PERNIA DE BELEN")</f>
        <v>ALLAN PERNIA DE BELEN</v>
      </c>
      <c r="I2183" s="1">
        <f>IFERROR(__xludf.DUMMYFUNCTION("""COMPUTED_VALUE"""),9851141994)</f>
        <v>9851141994</v>
      </c>
      <c r="J2183" s="1"/>
      <c r="K2183" s="1" t="str">
        <f>IFERROR(__xludf.DUMMYFUNCTION("""COMPUTED_VALUE"""),"allandebelen991@gmail.com")</f>
        <v>allandebelen991@gmail.com</v>
      </c>
      <c r="L2183" s="1" t="str">
        <f>IFERROR(__xludf.DUMMYFUNCTION("""COMPUTED_VALUE"""),"163")</f>
        <v>163</v>
      </c>
      <c r="M2183" s="1" t="str">
        <f>IFERROR(__xludf.DUMMYFUNCTION("""COMPUTED_VALUE"""),"BAYUYUNGAN ST")</f>
        <v>BAYUYUNGAN ST</v>
      </c>
      <c r="N2183" s="1"/>
      <c r="O2183" s="1" t="str">
        <f>IFERROR(__xludf.DUMMYFUNCTION("""COMPUTED_VALUE"""),"KAYTITINGA III")</f>
        <v>KAYTITINGA III</v>
      </c>
      <c r="P2183" s="1" t="str">
        <f>IFERROR(__xludf.DUMMYFUNCTION("""COMPUTED_VALUE"""),"ALFONSO")</f>
        <v>ALFONSO</v>
      </c>
      <c r="Q2183" s="1" t="str">
        <f>IFERROR(__xludf.DUMMYFUNCTION("""COMPUTED_VALUE"""),"CAVITE")</f>
        <v>CAVITE</v>
      </c>
      <c r="R2183" s="1" t="str">
        <f>IFERROR(__xludf.DUMMYFUNCTION("""COMPUTED_VALUE"""),"FIBR UNLI ALL PLAN 999")</f>
        <v>FIBR UNLI ALL PLAN 999</v>
      </c>
      <c r="S2183" s="1" t="str">
        <f>IFERROR(__xludf.DUMMYFUNCTION("""COMPUTED_VALUE"""),"HOLD")</f>
        <v>HOLD</v>
      </c>
      <c r="T2183" s="1" t="str">
        <f>IFERROR(__xludf.DUMMYFUNCTION("""COMPUTED_VALUE"""),"#N/A")</f>
        <v>#N/A</v>
      </c>
      <c r="U2183" s="1"/>
      <c r="V2183" s="1"/>
      <c r="W2183" s="1"/>
    </row>
    <row r="2184" customHeight="1" spans="1:23">
      <c r="A2184" s="3">
        <f>IFERROR(__xludf.DUMMYFUNCTION("""COMPUTED_VALUE"""),46192)</f>
        <v>46192</v>
      </c>
      <c r="B2184" s="1" t="str">
        <f>IFERROR(__xludf.DUMMYFUNCTION("""COMPUTED_VALUE"""),"ESCARCHA, MA ALMA  ESCOTO")</f>
        <v>ESCARCHA, MA ALMA  ESCOTO</v>
      </c>
      <c r="C2184" s="1" t="str">
        <f>IFERROR(__xludf.DUMMYFUNCTION("""COMPUTED_VALUE"""),"ORGANIC")</f>
        <v>ORGANIC</v>
      </c>
      <c r="D2184" s="1" t="str">
        <f>IFERROR(__xludf.DUMMYFUNCTION("""COMPUTED_VALUE"""),"REMOLLO LEA")</f>
        <v>REMOLLO LEA</v>
      </c>
      <c r="E2184" s="1" t="str">
        <f>IFERROR(__xludf.DUMMYFUNCTION("""COMPUTED_VALUE"""),"PLDT / H2H")</f>
        <v>PLDT / H2H</v>
      </c>
      <c r="F2184" s="1">
        <f>IFERROR(__xludf.DUMMYFUNCTION("""COMPUTED_VALUE"""),2310335256)</f>
        <v>2310335256</v>
      </c>
      <c r="G2184" s="1"/>
      <c r="H2184" s="1" t="str">
        <f>IFERROR(__xludf.DUMMYFUNCTION("""COMPUTED_VALUE"""),"FELICIDAD MARASIGAN CASANOVA")</f>
        <v>FELICIDAD MARASIGAN CASANOVA</v>
      </c>
      <c r="I2184" s="1">
        <f>IFERROR(__xludf.DUMMYFUNCTION("""COMPUTED_VALUE"""),9915210910)</f>
        <v>9915210910</v>
      </c>
      <c r="J2184" s="1"/>
      <c r="K2184" s="1" t="str">
        <f>IFERROR(__xludf.DUMMYFUNCTION("""COMPUTED_VALUE"""),"cordanoarriane3@gmail.com")</f>
        <v>cordanoarriane3@gmail.com</v>
      </c>
      <c r="L2184" s="1" t="str">
        <f>IFERROR(__xludf.DUMMYFUNCTION("""COMPUTED_VALUE"""),"3")</f>
        <v>3</v>
      </c>
      <c r="M2184" s="1" t="str">
        <f>IFERROR(__xludf.DUMMYFUNCTION("""COMPUTED_VALUE"""),"BAYUYUNGAN ST")</f>
        <v>BAYUYUNGAN ST</v>
      </c>
      <c r="N2184" s="1"/>
      <c r="O2184" s="1" t="str">
        <f>IFERROR(__xludf.DUMMYFUNCTION("""COMPUTED_VALUE"""),"KAYTITINGA III")</f>
        <v>KAYTITINGA III</v>
      </c>
      <c r="P2184" s="1" t="str">
        <f>IFERROR(__xludf.DUMMYFUNCTION("""COMPUTED_VALUE"""),"ALFONSO")</f>
        <v>ALFONSO</v>
      </c>
      <c r="Q2184" s="1" t="str">
        <f>IFERROR(__xludf.DUMMYFUNCTION("""COMPUTED_VALUE"""),"CAVITE")</f>
        <v>CAVITE</v>
      </c>
      <c r="R2184" s="1" t="str">
        <f>IFERROR(__xludf.DUMMYFUNCTION("""COMPUTED_VALUE"""),"FIBR UNLI ALL PLAN 999")</f>
        <v>FIBR UNLI ALL PLAN 999</v>
      </c>
      <c r="S2184" s="1" t="str">
        <f>IFERROR(__xludf.DUMMYFUNCTION("""COMPUTED_VALUE"""),"APPROVED")</f>
        <v>APPROVED</v>
      </c>
      <c r="T2184" s="1" t="str">
        <f>IFERROR(__xludf.DUMMYFUNCTION("""COMPUTED_VALUE"""),"#N/A")</f>
        <v>#N/A</v>
      </c>
      <c r="U2184" s="1"/>
      <c r="V2184" s="1"/>
      <c r="W2184" s="1"/>
    </row>
    <row r="2185" customHeight="1" spans="1:23">
      <c r="A2185" s="3">
        <f>IFERROR(__xludf.DUMMYFUNCTION("""COMPUTED_VALUE"""),46192)</f>
        <v>46192</v>
      </c>
      <c r="B2185" s="1" t="str">
        <f>IFERROR(__xludf.DUMMYFUNCTION("""COMPUTED_VALUE"""),"ESCARCHA, MA ALMA  ESCOTO")</f>
        <v>ESCARCHA, MA ALMA  ESCOTO</v>
      </c>
      <c r="C2185" s="1" t="str">
        <f>IFERROR(__xludf.DUMMYFUNCTION("""COMPUTED_VALUE"""),"ORGANIC")</f>
        <v>ORGANIC</v>
      </c>
      <c r="D2185" s="1" t="str">
        <f>IFERROR(__xludf.DUMMYFUNCTION("""COMPUTED_VALUE"""),"REMOLLO LEA")</f>
        <v>REMOLLO LEA</v>
      </c>
      <c r="E2185" s="1" t="str">
        <f>IFERROR(__xludf.DUMMYFUNCTION("""COMPUTED_VALUE"""),"PLDT / H2H")</f>
        <v>PLDT / H2H</v>
      </c>
      <c r="F2185" s="1">
        <f>IFERROR(__xludf.DUMMYFUNCTION("""COMPUTED_VALUE"""),2310335887)</f>
        <v>2310335887</v>
      </c>
      <c r="G2185" s="1"/>
      <c r="H2185" s="1" t="str">
        <f>IFERROR(__xludf.DUMMYFUNCTION("""COMPUTED_VALUE"""),"MA SOTERA NAVARETTE AVINANTE")</f>
        <v>MA SOTERA NAVARETTE AVINANTE</v>
      </c>
      <c r="I2185" s="1">
        <f>IFERROR(__xludf.DUMMYFUNCTION("""COMPUTED_VALUE"""),9942553125)</f>
        <v>9942553125</v>
      </c>
      <c r="J2185" s="1"/>
      <c r="K2185" s="1" t="str">
        <f>IFERROR(__xludf.DUMMYFUNCTION("""COMPUTED_VALUE"""),"wawosanchez018@gmail.com")</f>
        <v>wawosanchez018@gmail.com</v>
      </c>
      <c r="L2185" s="1" t="str">
        <f>IFERROR(__xludf.DUMMYFUNCTION("""COMPUTED_VALUE"""),"165")</f>
        <v>165</v>
      </c>
      <c r="M2185" s="1" t="str">
        <f>IFERROR(__xludf.DUMMYFUNCTION("""COMPUTED_VALUE"""),"BAYUYUNGAN ST")</f>
        <v>BAYUYUNGAN ST</v>
      </c>
      <c r="N2185" s="1"/>
      <c r="O2185" s="1" t="str">
        <f>IFERROR(__xludf.DUMMYFUNCTION("""COMPUTED_VALUE"""),"KAYTITINGA III")</f>
        <v>KAYTITINGA III</v>
      </c>
      <c r="P2185" s="1" t="str">
        <f>IFERROR(__xludf.DUMMYFUNCTION("""COMPUTED_VALUE"""),"ALFONSO")</f>
        <v>ALFONSO</v>
      </c>
      <c r="Q2185" s="1" t="str">
        <f>IFERROR(__xludf.DUMMYFUNCTION("""COMPUTED_VALUE"""),"CAVITE")</f>
        <v>CAVITE</v>
      </c>
      <c r="R2185" s="1" t="str">
        <f>IFERROR(__xludf.DUMMYFUNCTION("""COMPUTED_VALUE"""),"FIBR UNLI ALL PLAN 999")</f>
        <v>FIBR UNLI ALL PLAN 999</v>
      </c>
      <c r="S2185" s="1" t="str">
        <f>IFERROR(__xludf.DUMMYFUNCTION("""COMPUTED_VALUE"""),"APPROVED")</f>
        <v>APPROVED</v>
      </c>
      <c r="T2185" s="1" t="str">
        <f>IFERROR(__xludf.DUMMYFUNCTION("""COMPUTED_VALUE"""),"#N/A")</f>
        <v>#N/A</v>
      </c>
      <c r="U2185" s="1" t="str">
        <f>IFERROR(__xludf.DUMMYFUNCTION("""COMPUTED_VALUE"""),"POSTED")</f>
        <v>POSTED</v>
      </c>
      <c r="V2185" s="1"/>
      <c r="W2185" s="1"/>
    </row>
    <row r="2186" customHeight="1" spans="1:23">
      <c r="A2186" s="3">
        <f>IFERROR(__xludf.DUMMYFUNCTION("""COMPUTED_VALUE"""),46192)</f>
        <v>46192</v>
      </c>
      <c r="B2186" s="1" t="str">
        <f>IFERROR(__xludf.DUMMYFUNCTION("""COMPUTED_VALUE"""),"ODY , CLARENCE")</f>
        <v>ODY , CLARENCE</v>
      </c>
      <c r="C2186" s="1" t="str">
        <f>IFERROR(__xludf.DUMMYFUNCTION("""COMPUTED_VALUE"""),"ORGANIC")</f>
        <v>ORGANIC</v>
      </c>
      <c r="D2186" s="1" t="str">
        <f>IFERROR(__xludf.DUMMYFUNCTION("""COMPUTED_VALUE"""),"REMOLLO LEA")</f>
        <v>REMOLLO LEA</v>
      </c>
      <c r="E2186" s="1" t="str">
        <f>IFERROR(__xludf.DUMMYFUNCTION("""COMPUTED_VALUE"""),"RED FIBER")</f>
        <v>RED FIBER</v>
      </c>
      <c r="F2186" s="1"/>
      <c r="G2186" s="1"/>
      <c r="H2186" s="1" t="str">
        <f>IFERROR(__xludf.DUMMYFUNCTION("""COMPUTED_VALUE"""),"JEWELYN VARIAS DIMAPILIS")</f>
        <v>JEWELYN VARIAS DIMAPILIS</v>
      </c>
      <c r="I2186" s="1">
        <f>IFERROR(__xludf.DUMMYFUNCTION("""COMPUTED_VALUE"""),9654115353)</f>
        <v>9654115353</v>
      </c>
      <c r="J2186" s="1">
        <f>IFERROR(__xludf.DUMMYFUNCTION("""COMPUTED_VALUE"""),9602053451)</f>
        <v>9602053451</v>
      </c>
      <c r="K2186" s="1" t="str">
        <f>IFERROR(__xludf.DUMMYFUNCTION("""COMPUTED_VALUE"""),"jewelvariasdimapilis@gmail.com")</f>
        <v>jewelvariasdimapilis@gmail.com</v>
      </c>
      <c r="L2186" s="1" t="str">
        <f>IFERROR(__xludf.DUMMYFUNCTION("""COMPUTED_VALUE"""),"UNIT 2")</f>
        <v>UNIT 2</v>
      </c>
      <c r="M2186" s="1" t="str">
        <f>IFERROR(__xludf.DUMMYFUNCTION("""COMPUTED_VALUE"""),"ZAMORA ST")</f>
        <v>ZAMORA ST</v>
      </c>
      <c r="N2186" s="1"/>
      <c r="O2186" s="1" t="str">
        <f>IFERROR(__xludf.DUMMYFUNCTION("""COMPUTED_VALUE"""),"ASIS I")</f>
        <v>ASIS I</v>
      </c>
      <c r="P2186" s="1" t="str">
        <f>IFERROR(__xludf.DUMMYFUNCTION("""COMPUTED_VALUE"""),"MENDEZ")</f>
        <v>MENDEZ</v>
      </c>
      <c r="Q2186" s="1" t="str">
        <f>IFERROR(__xludf.DUMMYFUNCTION("""COMPUTED_VALUE"""),"CAVITE")</f>
        <v>CAVITE</v>
      </c>
      <c r="R2186" s="1" t="str">
        <f>IFERROR(__xludf.DUMMYFUNCTION("""COMPUTED_VALUE"""),"RED PLAN 1400")</f>
        <v>RED PLAN 1400</v>
      </c>
      <c r="S2186" s="1" t="str">
        <f>IFERROR(__xludf.DUMMYFUNCTION("""COMPUTED_VALUE"""),"APPROVED")</f>
        <v>APPROVED</v>
      </c>
      <c r="T2186" s="1" t="str">
        <f>IFERROR(__xludf.DUMMYFUNCTION("""COMPUTED_VALUE"""),"PAID")</f>
        <v>PAID</v>
      </c>
      <c r="U2186" s="1" t="str">
        <f>IFERROR(__xludf.DUMMYFUNCTION("""COMPUTED_VALUE"""),"PAID VIA GCASH")</f>
        <v>PAID VIA GCASH</v>
      </c>
      <c r="V2186" s="1"/>
      <c r="W2186" s="1"/>
    </row>
    <row r="2187" customHeight="1" spans="1:23">
      <c r="A2187" s="3">
        <f>IFERROR(__xludf.DUMMYFUNCTION("""COMPUTED_VALUE"""),46192)</f>
        <v>46192</v>
      </c>
      <c r="B2187" s="1" t="str">
        <f>IFERROR(__xludf.DUMMYFUNCTION("""COMPUTED_VALUE"""),"AGUNOS, JHON AIRVIN")</f>
        <v>AGUNOS, JHON AIRVIN</v>
      </c>
      <c r="C2187" s="1" t="str">
        <f>IFERROR(__xludf.DUMMYFUNCTION("""COMPUTED_VALUE"""),"ORGANIC")</f>
        <v>ORGANIC</v>
      </c>
      <c r="D2187" s="1" t="str">
        <f>IFERROR(__xludf.DUMMYFUNCTION("""COMPUTED_VALUE"""),"REMOLLO LEA")</f>
        <v>REMOLLO LEA</v>
      </c>
      <c r="E2187" s="1" t="str">
        <f>IFERROR(__xludf.DUMMYFUNCTION("""COMPUTED_VALUE"""),"HOME BIZZ")</f>
        <v>HOME BIZZ</v>
      </c>
      <c r="F2187" s="1">
        <f>IFERROR(__xludf.DUMMYFUNCTION("""COMPUTED_VALUE"""),2310344607)</f>
        <v>2310344607</v>
      </c>
      <c r="G2187" s="1"/>
      <c r="H2187" s="1" t="str">
        <f>IFERROR(__xludf.DUMMYFUNCTION("""COMPUTED_VALUE"""),"MINES MASSAGE CLINIC")</f>
        <v>MINES MASSAGE CLINIC</v>
      </c>
      <c r="I2187" s="1">
        <f>IFERROR(__xludf.DUMMYFUNCTION("""COMPUTED_VALUE"""),9084104734)</f>
        <v>9084104734</v>
      </c>
      <c r="J2187" s="1"/>
      <c r="K2187" s="1" t="str">
        <f>IFERROR(__xludf.DUMMYFUNCTION("""COMPUTED_VALUE"""),"adriennejeanecompton@gmail.com")</f>
        <v>adriennejeanecompton@gmail.com</v>
      </c>
      <c r="L2187" s="1" t="str">
        <f>IFERROR(__xludf.DUMMYFUNCTION("""COMPUTED_VALUE"""),"9025")</f>
        <v>9025</v>
      </c>
      <c r="M2187" s="1" t="str">
        <f>IFERROR(__xludf.DUMMYFUNCTION("""COMPUTED_VALUE"""),"GEN E. AGUINALDO HWAY")</f>
        <v>GEN E. AGUINALDO HWAY</v>
      </c>
      <c r="N2187" s="1" t="str">
        <f>IFERROR(__xludf.DUMMYFUNCTION("""COMPUTED_VALUE"""),"PUROK 4")</f>
        <v>PUROK 4</v>
      </c>
      <c r="O2187" s="1" t="str">
        <f>IFERROR(__xludf.DUMMYFUNCTION("""COMPUTED_VALUE"""),"BIGA I")</f>
        <v>BIGA I</v>
      </c>
      <c r="P2187" s="1" t="str">
        <f>IFERROR(__xludf.DUMMYFUNCTION("""COMPUTED_VALUE"""),"SILANG")</f>
        <v>SILANG</v>
      </c>
      <c r="Q2187" s="1" t="str">
        <f>IFERROR(__xludf.DUMMYFUNCTION("""COMPUTED_VALUE"""),"CAVITE")</f>
        <v>CAVITE</v>
      </c>
      <c r="R2187" s="1" t="str">
        <f>IFERROR(__xludf.DUMMYFUNCTION("""COMPUTED_VALUE"""),"HOME BIZ PLAN 1299")</f>
        <v>HOME BIZ PLAN 1299</v>
      </c>
      <c r="S2187" s="1" t="str">
        <f>IFERROR(__xludf.DUMMYFUNCTION("""COMPUTED_VALUE"""),"APPROVED")</f>
        <v>APPROVED</v>
      </c>
      <c r="T2187" s="1" t="str">
        <f>IFERROR(__xludf.DUMMYFUNCTION("""COMPUTED_VALUE"""),"#N/A")</f>
        <v>#N/A</v>
      </c>
      <c r="U2187" s="1" t="str">
        <f>IFERROR(__xludf.DUMMYFUNCTION("""COMPUTED_VALUE"""),"POSTED")</f>
        <v>POSTED</v>
      </c>
      <c r="V2187" s="1"/>
      <c r="W2187" s="1"/>
    </row>
    <row r="2188" customHeight="1" spans="1:23">
      <c r="A2188" s="3">
        <f>IFERROR(__xludf.DUMMYFUNCTION("""COMPUTED_VALUE"""),46193)</f>
        <v>46193</v>
      </c>
      <c r="B2188" s="1" t="str">
        <f>IFERROR(__xludf.DUMMYFUNCTION("""COMPUTED_VALUE"""),"MALIWAT MARK ELVIN")</f>
        <v>MALIWAT MARK ELVIN</v>
      </c>
      <c r="C2188" s="1" t="str">
        <f>IFERROR(__xludf.DUMMYFUNCTION("""COMPUTED_VALUE"""),"FLA")</f>
        <v>FLA</v>
      </c>
      <c r="D2188" s="1" t="str">
        <f>IFERROR(__xludf.DUMMYFUNCTION("""COMPUTED_VALUE"""),"JERIC NAVARRO")</f>
        <v>JERIC NAVARRO</v>
      </c>
      <c r="E2188" s="1" t="str">
        <f>IFERROR(__xludf.DUMMYFUNCTION("""COMPUTED_VALUE"""),"PLDT / ONLINE")</f>
        <v>PLDT / ONLINE</v>
      </c>
      <c r="F2188" s="1"/>
      <c r="G2188" s="1"/>
      <c r="H2188" s="1" t="str">
        <f>IFERROR(__xludf.DUMMYFUNCTION("""COMPUTED_VALUE"""),"PAUL ALLIEN CORONADO SALAMAT")</f>
        <v>PAUL ALLIEN CORONADO SALAMAT</v>
      </c>
      <c r="I2188" s="1">
        <f>IFERROR(__xludf.DUMMYFUNCTION("""COMPUTED_VALUE"""),9164018858)</f>
        <v>9164018858</v>
      </c>
      <c r="J2188" s="1">
        <f>IFERROR(__xludf.DUMMYFUNCTION("""COMPUTED_VALUE"""),9066851043)</f>
        <v>9066851043</v>
      </c>
      <c r="K2188" s="1" t="str">
        <f>IFERROR(__xludf.DUMMYFUNCTION("""COMPUTED_VALUE"""),"rhena.crooc@gmail.com")</f>
        <v>rhena.crooc@gmail.com</v>
      </c>
      <c r="L2188" s="1" t="str">
        <f>IFERROR(__xludf.DUMMYFUNCTION("""COMPUTED_VALUE"""),"186")</f>
        <v>186</v>
      </c>
      <c r="M2188" s="1" t="str">
        <f>IFERROR(__xludf.DUMMYFUNCTION("""COMPUTED_VALUE"""),"VIRATA")</f>
        <v>VIRATA</v>
      </c>
      <c r="N2188" s="1"/>
      <c r="O2188" s="1" t="str">
        <f>IFERROR(__xludf.DUMMYFUNCTION("""COMPUTED_VALUE"""),"PAJO")</f>
        <v>PAJO</v>
      </c>
      <c r="P2188" s="1" t="str">
        <f>IFERROR(__xludf.DUMMYFUNCTION("""COMPUTED_VALUE"""),"ALFONSO")</f>
        <v>ALFONSO</v>
      </c>
      <c r="Q2188" s="1" t="str">
        <f>IFERROR(__xludf.DUMMYFUNCTION("""COMPUTED_VALUE"""),"CAVITE")</f>
        <v>CAVITE</v>
      </c>
      <c r="R2188" s="1" t="str">
        <f>IFERROR(__xludf.DUMMYFUNCTION("""COMPUTED_VALUE"""),"FIBR UNLI ALL PLAN 1399")</f>
        <v>FIBR UNLI ALL PLAN 1399</v>
      </c>
      <c r="S2188" s="1" t="str">
        <f>IFERROR(__xludf.DUMMYFUNCTION("""COMPUTED_VALUE"""),"APPROVED")</f>
        <v>APPROVED</v>
      </c>
      <c r="T2188" s="1" t="str">
        <f>IFERROR(__xludf.DUMMYFUNCTION("""COMPUTED_VALUE"""),"#N/A")</f>
        <v>#N/A</v>
      </c>
      <c r="U2188" s="1"/>
      <c r="V2188" s="1"/>
      <c r="W2188" s="1"/>
    </row>
    <row r="2189" customHeight="1" spans="1:23">
      <c r="A2189" s="3">
        <f>IFERROR(__xludf.DUMMYFUNCTION("""COMPUTED_VALUE"""),46193)</f>
        <v>46193</v>
      </c>
      <c r="B2189" s="1" t="str">
        <f>IFERROR(__xludf.DUMMYFUNCTION("""COMPUTED_VALUE"""),"FRANCISCO , ROSELYN")</f>
        <v>FRANCISCO , ROSELYN</v>
      </c>
      <c r="C2189" s="1" t="str">
        <f>IFERROR(__xludf.DUMMYFUNCTION("""COMPUTED_VALUE"""),"ORGANIC")</f>
        <v>ORGANIC</v>
      </c>
      <c r="D2189" s="1" t="str">
        <f>IFERROR(__xludf.DUMMYFUNCTION("""COMPUTED_VALUE"""),"REMOLLO LEA")</f>
        <v>REMOLLO LEA</v>
      </c>
      <c r="E2189" s="1" t="str">
        <f>IFERROR(__xludf.DUMMYFUNCTION("""COMPUTED_VALUE"""),"PLDT / ONLINE")</f>
        <v>PLDT / ONLINE</v>
      </c>
      <c r="F2189" s="1"/>
      <c r="G2189" s="1"/>
      <c r="H2189" s="1" t="str">
        <f>IFERROR(__xludf.DUMMYFUNCTION("""COMPUTED_VALUE"""),"IRENE BARTE ATIP")</f>
        <v>IRENE BARTE ATIP</v>
      </c>
      <c r="I2189" s="1">
        <f>IFERROR(__xludf.DUMMYFUNCTION("""COMPUTED_VALUE"""),9318607193)</f>
        <v>9318607193</v>
      </c>
      <c r="J2189" s="1"/>
      <c r="K2189" s="1" t="str">
        <f>IFERROR(__xludf.DUMMYFUNCTION("""COMPUTED_VALUE"""),"atipirene21@gmail.com")</f>
        <v>atipirene21@gmail.com</v>
      </c>
      <c r="L2189" s="1" t="str">
        <f>IFERROR(__xludf.DUMMYFUNCTION("""COMPUTED_VALUE"""),"BLK 23 LOT 4")</f>
        <v>BLK 23 LOT 4</v>
      </c>
      <c r="M2189" s="1" t="str">
        <f>IFERROR(__xludf.DUMMYFUNCTION("""COMPUTED_VALUE"""),"PHASE 2-A")</f>
        <v>PHASE 2-A</v>
      </c>
      <c r="N2189" s="1"/>
      <c r="O2189" s="1"/>
      <c r="P2189" s="1" t="str">
        <f>IFERROR(__xludf.DUMMYFUNCTION("""COMPUTED_VALUE"""),"TERNATE")</f>
        <v>TERNATE</v>
      </c>
      <c r="Q2189" s="1" t="str">
        <f>IFERROR(__xludf.DUMMYFUNCTION("""COMPUTED_VALUE"""),"CAVITE")</f>
        <v>CAVITE</v>
      </c>
      <c r="R2189" s="1" t="str">
        <f>IFERROR(__xludf.DUMMYFUNCTION("""COMPUTED_VALUE"""),"FIBR UNLI ALL PLAN 999")</f>
        <v>FIBR UNLI ALL PLAN 999</v>
      </c>
      <c r="S2189" s="1" t="str">
        <f>IFERROR(__xludf.DUMMYFUNCTION("""COMPUTED_VALUE"""),"CANCELLED ")</f>
        <v>CANCELLED </v>
      </c>
      <c r="T2189" s="1"/>
      <c r="U2189" s="1" t="str">
        <f>IFERROR(__xludf.DUMMYFUNCTION("""COMPUTED_VALUE"""),"AS PER SUBS OKAY NA DAW INTERNET NILA KAYA CANCELLED NALANG DAW PO")</f>
        <v>AS PER SUBS OKAY NA DAW INTERNET NILA KAYA CANCELLED NALANG DAW PO</v>
      </c>
      <c r="V2189" s="1"/>
      <c r="W2189" s="1"/>
    </row>
    <row r="2190" customHeight="1" spans="1:23">
      <c r="A2190" s="3">
        <f>IFERROR(__xludf.DUMMYFUNCTION("""COMPUTED_VALUE"""),46193)</f>
        <v>46193</v>
      </c>
      <c r="B2190" s="1" t="str">
        <f>IFERROR(__xludf.DUMMYFUNCTION("""COMPUTED_VALUE"""),"MALIWAT MARK ELVIN")</f>
        <v>MALIWAT MARK ELVIN</v>
      </c>
      <c r="C2190" s="1" t="str">
        <f>IFERROR(__xludf.DUMMYFUNCTION("""COMPUTED_VALUE"""),"FLA")</f>
        <v>FLA</v>
      </c>
      <c r="D2190" s="1" t="str">
        <f>IFERROR(__xludf.DUMMYFUNCTION("""COMPUTED_VALUE"""),"JERIC NAVARRO")</f>
        <v>JERIC NAVARRO</v>
      </c>
      <c r="E2190" s="1" t="str">
        <f>IFERROR(__xludf.DUMMYFUNCTION("""COMPUTED_VALUE"""),"RED FIBER")</f>
        <v>RED FIBER</v>
      </c>
      <c r="F2190" s="1"/>
      <c r="G2190" s="1"/>
      <c r="H2190" s="1" t="str">
        <f>IFERROR(__xludf.DUMMYFUNCTION("""COMPUTED_VALUE"""),"JESSIE ANN VILLAROSA PARADERO")</f>
        <v>JESSIE ANN VILLAROSA PARADERO</v>
      </c>
      <c r="I2190" s="1">
        <f>IFERROR(__xludf.DUMMYFUNCTION("""COMPUTED_VALUE"""),9637930789)</f>
        <v>9637930789</v>
      </c>
      <c r="J2190" s="1"/>
      <c r="K2190" s="1" t="str">
        <f>IFERROR(__xludf.DUMMYFUNCTION("""COMPUTED_VALUE"""),"jessieannparadero@gmail.com")</f>
        <v>jessieannparadero@gmail.com</v>
      </c>
      <c r="L2190" s="1" t="str">
        <f>IFERROR(__xludf.DUMMYFUNCTION("""COMPUTED_VALUE"""),"ROOM 1")</f>
        <v>ROOM 1</v>
      </c>
      <c r="M2190" s="1" t="str">
        <f>IFERROR(__xludf.DUMMYFUNCTION("""COMPUTED_VALUE"""),"LANGKAAN RD")</f>
        <v>LANGKAAN RD</v>
      </c>
      <c r="N2190" s="1"/>
      <c r="O2190" s="1" t="str">
        <f>IFERROR(__xludf.DUMMYFUNCTION("""COMPUTED_VALUE"""),"LANGKAAN I")</f>
        <v>LANGKAAN I</v>
      </c>
      <c r="P2190" s="1" t="str">
        <f>IFERROR(__xludf.DUMMYFUNCTION("""COMPUTED_VALUE"""),"DASMARINAS")</f>
        <v>DASMARINAS</v>
      </c>
      <c r="Q2190" s="1" t="str">
        <f>IFERROR(__xludf.DUMMYFUNCTION("""COMPUTED_VALUE"""),"CAVITE")</f>
        <v>CAVITE</v>
      </c>
      <c r="R2190" s="1" t="str">
        <f>IFERROR(__xludf.DUMMYFUNCTION("""COMPUTED_VALUE"""),"RED PLAN 1000")</f>
        <v>RED PLAN 1000</v>
      </c>
      <c r="S2190" s="1" t="str">
        <f>IFERROR(__xludf.DUMMYFUNCTION("""COMPUTED_VALUE"""),"APPROVED")</f>
        <v>APPROVED</v>
      </c>
      <c r="T2190" s="1" t="str">
        <f>IFERROR(__xludf.DUMMYFUNCTION("""COMPUTED_VALUE"""),"PAID")</f>
        <v>PAID</v>
      </c>
      <c r="U2190" s="1" t="str">
        <f>IFERROR(__xludf.DUMMYFUNCTION("""COMPUTED_VALUE"""),"PAID VIA GCASH")</f>
        <v>PAID VIA GCASH</v>
      </c>
      <c r="V2190" s="1"/>
      <c r="W2190" s="1"/>
    </row>
    <row r="2191" customHeight="1" spans="1:23">
      <c r="A2191" s="3">
        <f>IFERROR(__xludf.DUMMYFUNCTION("""COMPUTED_VALUE"""),46193)</f>
        <v>46193</v>
      </c>
      <c r="B2191" s="1" t="str">
        <f>IFERROR(__xludf.DUMMYFUNCTION("""COMPUTED_VALUE"""),"ESCARCHA, MA ALMA  ESCOTO")</f>
        <v>ESCARCHA, MA ALMA  ESCOTO</v>
      </c>
      <c r="C2191" s="1" t="str">
        <f>IFERROR(__xludf.DUMMYFUNCTION("""COMPUTED_VALUE"""),"ORGANIC")</f>
        <v>ORGANIC</v>
      </c>
      <c r="D2191" s="1" t="str">
        <f>IFERROR(__xludf.DUMMYFUNCTION("""COMPUTED_VALUE"""),"REMOLLO LEA")</f>
        <v>REMOLLO LEA</v>
      </c>
      <c r="E2191" s="1" t="str">
        <f>IFERROR(__xludf.DUMMYFUNCTION("""COMPUTED_VALUE"""),"PLDT / ONLINE")</f>
        <v>PLDT / ONLINE</v>
      </c>
      <c r="F2191" s="1">
        <f>IFERROR(__xludf.DUMMYFUNCTION("""COMPUTED_VALUE"""),2310353158)</f>
        <v>2310353158</v>
      </c>
      <c r="G2191" s="1"/>
      <c r="H2191" s="1" t="str">
        <f>IFERROR(__xludf.DUMMYFUNCTION("""COMPUTED_VALUE"""),"MARICEL BASILOY ANDALES")</f>
        <v>MARICEL BASILOY ANDALES</v>
      </c>
      <c r="I2191" s="1">
        <f>IFERROR(__xludf.DUMMYFUNCTION("""COMPUTED_VALUE"""),9153769332)</f>
        <v>9153769332</v>
      </c>
      <c r="J2191" s="1">
        <f>IFERROR(__xludf.DUMMYFUNCTION("""COMPUTED_VALUE"""),9241889282)</f>
        <v>9241889282</v>
      </c>
      <c r="K2191" s="1" t="str">
        <f>IFERROR(__xludf.DUMMYFUNCTION("""COMPUTED_VALUE"""),"andalesmaricelbasiloy@gmail.com")</f>
        <v>andalesmaricelbasiloy@gmail.com</v>
      </c>
      <c r="L2191" s="1" t="str">
        <f>IFERROR(__xludf.DUMMYFUNCTION("""COMPUTED_VALUE"""),"319")</f>
        <v>319</v>
      </c>
      <c r="M2191" s="1" t="str">
        <f>IFERROR(__xludf.DUMMYFUNCTION("""COMPUTED_VALUE"""),"PANUNGYAN RD")</f>
        <v>PANUNGYAN RD</v>
      </c>
      <c r="N2191" s="1"/>
      <c r="O2191" s="1" t="str">
        <f>IFERROR(__xludf.DUMMYFUNCTION("""COMPUTED_VALUE"""),"PANUNGYAN I")</f>
        <v>PANUNGYAN I</v>
      </c>
      <c r="P2191" s="1" t="str">
        <f>IFERROR(__xludf.DUMMYFUNCTION("""COMPUTED_VALUE"""),"MENDEZ")</f>
        <v>MENDEZ</v>
      </c>
      <c r="Q2191" s="1" t="str">
        <f>IFERROR(__xludf.DUMMYFUNCTION("""COMPUTED_VALUE"""),"CAVITE")</f>
        <v>CAVITE</v>
      </c>
      <c r="R2191" s="1" t="str">
        <f>IFERROR(__xludf.DUMMYFUNCTION("""COMPUTED_VALUE"""),"FIBR UNLI ALL PLAN 999")</f>
        <v>FIBR UNLI ALL PLAN 999</v>
      </c>
      <c r="S2191" s="1" t="str">
        <f>IFERROR(__xludf.DUMMYFUNCTION("""COMPUTED_VALUE"""),"APPROVED")</f>
        <v>APPROVED</v>
      </c>
      <c r="T2191" s="1" t="str">
        <f>IFERROR(__xludf.DUMMYFUNCTION("""COMPUTED_VALUE"""),"#N/A")</f>
        <v>#N/A</v>
      </c>
      <c r="U2191" s="1" t="str">
        <f>IFERROR(__xludf.DUMMYFUNCTION("""COMPUTED_VALUE"""),"POSTED")</f>
        <v>POSTED</v>
      </c>
      <c r="V2191" s="1"/>
      <c r="W2191" s="1"/>
    </row>
    <row r="2192" customHeight="1" spans="1:23">
      <c r="A2192" s="3">
        <f>IFERROR(__xludf.DUMMYFUNCTION("""COMPUTED_VALUE"""),46193)</f>
        <v>46193</v>
      </c>
      <c r="B2192" s="1" t="str">
        <f>IFERROR(__xludf.DUMMYFUNCTION("""COMPUTED_VALUE"""),"DELACRUZ, AMARA")</f>
        <v>DELACRUZ, AMARA</v>
      </c>
      <c r="C2192" s="1" t="str">
        <f>IFERROR(__xludf.DUMMYFUNCTION("""COMPUTED_VALUE"""),"ORGANIC")</f>
        <v>ORGANIC</v>
      </c>
      <c r="D2192" s="1" t="str">
        <f>IFERROR(__xludf.DUMMYFUNCTION("""COMPUTED_VALUE"""),"REMOLLO LEA")</f>
        <v>REMOLLO LEA</v>
      </c>
      <c r="E2192" s="1" t="str">
        <f>IFERROR(__xludf.DUMMYFUNCTION("""COMPUTED_VALUE"""),"PLDT / H2H")</f>
        <v>PLDT / H2H</v>
      </c>
      <c r="F2192" s="1"/>
      <c r="G2192" s="1"/>
      <c r="H2192" s="1" t="str">
        <f>IFERROR(__xludf.DUMMYFUNCTION("""COMPUTED_VALUE"""),"ZENAIDA MADINA LOYOLA")</f>
        <v>ZENAIDA MADINA LOYOLA</v>
      </c>
      <c r="I2192" s="1">
        <f>IFERROR(__xludf.DUMMYFUNCTION("""COMPUTED_VALUE"""),9161311630)</f>
        <v>9161311630</v>
      </c>
      <c r="J2192" s="1">
        <f>IFERROR(__xludf.DUMMYFUNCTION("""COMPUTED_VALUE"""),9175936872)</f>
        <v>9175936872</v>
      </c>
      <c r="K2192" s="1" t="str">
        <f>IFERROR(__xludf.DUMMYFUNCTION("""COMPUTED_VALUE"""),"riocabiganjr@gmail.com")</f>
        <v>riocabiganjr@gmail.com</v>
      </c>
      <c r="L2192" s="1" t="str">
        <f>IFERROR(__xludf.DUMMYFUNCTION("""COMPUTED_VALUE"""),"1121")</f>
        <v>1121</v>
      </c>
      <c r="M2192" s="1" t="str">
        <f>IFERROR(__xludf.DUMMYFUNCTION("""COMPUTED_VALUE"""),"LOYOLA")</f>
        <v>LOYOLA</v>
      </c>
      <c r="N2192" s="1"/>
      <c r="O2192" s="1" t="str">
        <f>IFERROR(__xludf.DUMMYFUNCTION("""COMPUTED_VALUE"""),"MABUHAY")</f>
        <v>MABUHAY</v>
      </c>
      <c r="P2192" s="1" t="str">
        <f>IFERROR(__xludf.DUMMYFUNCTION("""COMPUTED_VALUE"""),"CARMONA")</f>
        <v>CARMONA</v>
      </c>
      <c r="Q2192" s="1" t="str">
        <f>IFERROR(__xludf.DUMMYFUNCTION("""COMPUTED_VALUE"""),"CAVITE")</f>
        <v>CAVITE</v>
      </c>
      <c r="R2192" s="1" t="str">
        <f>IFERROR(__xludf.DUMMYFUNCTION("""COMPUTED_VALUE"""),"FIBR UNLI ALL PLAN 1399")</f>
        <v>FIBR UNLI ALL PLAN 1399</v>
      </c>
      <c r="S2192" s="1" t="str">
        <f>IFERROR(__xludf.DUMMYFUNCTION("""COMPUTED_VALUE"""),"HOLD")</f>
        <v>HOLD</v>
      </c>
      <c r="T2192" s="1" t="str">
        <f>IFERROR(__xludf.DUMMYFUNCTION("""COMPUTED_VALUE"""),"#N/A")</f>
        <v>#N/A</v>
      </c>
      <c r="U2192" s="1"/>
      <c r="V2192" s="1"/>
      <c r="W2192" s="1"/>
    </row>
    <row r="2193" customHeight="1" spans="1:23">
      <c r="A2193" s="3">
        <f>IFERROR(__xludf.DUMMYFUNCTION("""COMPUTED_VALUE"""),46193)</f>
        <v>46193</v>
      </c>
      <c r="B2193" s="1" t="str">
        <f>IFERROR(__xludf.DUMMYFUNCTION("""COMPUTED_VALUE"""),"FRONDEZ, JEDREFF")</f>
        <v>FRONDEZ, JEDREFF</v>
      </c>
      <c r="C2193" s="1" t="str">
        <f>IFERROR(__xludf.DUMMYFUNCTION("""COMPUTED_VALUE"""),"ORGANIC")</f>
        <v>ORGANIC</v>
      </c>
      <c r="D2193" s="1" t="str">
        <f>IFERROR(__xludf.DUMMYFUNCTION("""COMPUTED_VALUE"""),"REMOLLO LEA")</f>
        <v>REMOLLO LEA</v>
      </c>
      <c r="E2193" s="1" t="str">
        <f>IFERROR(__xludf.DUMMYFUNCTION("""COMPUTED_VALUE"""),"PLDT / H2H")</f>
        <v>PLDT / H2H</v>
      </c>
      <c r="F2193" s="1"/>
      <c r="G2193" s="1"/>
      <c r="H2193" s="1" t="str">
        <f>IFERROR(__xludf.DUMMYFUNCTION("""COMPUTED_VALUE"""),"CHRISIAN CUADRA DE VILLA")</f>
        <v>CHRISIAN CUADRA DE VILLA</v>
      </c>
      <c r="I2193" s="1">
        <f>IFERROR(__xludf.DUMMYFUNCTION("""COMPUTED_VALUE"""),9537824961)</f>
        <v>9537824961</v>
      </c>
      <c r="J2193" s="1">
        <f>IFERROR(__xludf.DUMMYFUNCTION("""COMPUTED_VALUE"""),9232855699)</f>
        <v>9232855699</v>
      </c>
      <c r="K2193" s="1" t="str">
        <f>IFERROR(__xludf.DUMMYFUNCTION("""COMPUTED_VALUE"""),"christiandevilla028@gmail.com")</f>
        <v>christiandevilla028@gmail.com</v>
      </c>
      <c r="L2193" s="1" t="str">
        <f>IFERROR(__xludf.DUMMYFUNCTION("""COMPUTED_VALUE"""),"63")</f>
        <v>63</v>
      </c>
      <c r="M2193" s="1" t="str">
        <f>IFERROR(__xludf.DUMMYFUNCTION("""COMPUTED_VALUE"""),"DIMAPILIS")</f>
        <v>DIMAPILIS</v>
      </c>
      <c r="N2193" s="1"/>
      <c r="O2193" s="1" t="str">
        <f>IFERROR(__xludf.DUMMYFUNCTION("""COMPUTED_VALUE"""),"ANULING LEJOS I (ANULING)")</f>
        <v>ANULING LEJOS I (ANULING)</v>
      </c>
      <c r="P2193" s="1" t="str">
        <f>IFERROR(__xludf.DUMMYFUNCTION("""COMPUTED_VALUE"""),"MENDEZ")</f>
        <v>MENDEZ</v>
      </c>
      <c r="Q2193" s="1" t="str">
        <f>IFERROR(__xludf.DUMMYFUNCTION("""COMPUTED_VALUE"""),"CAVITE")</f>
        <v>CAVITE</v>
      </c>
      <c r="R2193" s="1" t="str">
        <f>IFERROR(__xludf.DUMMYFUNCTION("""COMPUTED_VALUE"""),"FIBR UNLI ALL PLAN 999")</f>
        <v>FIBR UNLI ALL PLAN 999</v>
      </c>
      <c r="S2193" s="1" t="str">
        <f>IFERROR(__xludf.DUMMYFUNCTION("""COMPUTED_VALUE"""),"HOLD")</f>
        <v>HOLD</v>
      </c>
      <c r="T2193" s="1" t="str">
        <f>IFERROR(__xludf.DUMMYFUNCTION("""COMPUTED_VALUE"""),"#N/A")</f>
        <v>#N/A</v>
      </c>
      <c r="U2193" s="1"/>
      <c r="V2193" s="1"/>
      <c r="W2193" s="1"/>
    </row>
    <row r="2194" customHeight="1" spans="1:23">
      <c r="A2194" s="3">
        <f>IFERROR(__xludf.DUMMYFUNCTION("""COMPUTED_VALUE"""),46193)</f>
        <v>46193</v>
      </c>
      <c r="B2194" s="1" t="str">
        <f>IFERROR(__xludf.DUMMYFUNCTION("""COMPUTED_VALUE"""),"FRANCISCO , ROSELYN")</f>
        <v>FRANCISCO , ROSELYN</v>
      </c>
      <c r="C2194" s="1" t="str">
        <f>IFERROR(__xludf.DUMMYFUNCTION("""COMPUTED_VALUE"""),"ORGANIC")</f>
        <v>ORGANIC</v>
      </c>
      <c r="D2194" s="1" t="str">
        <f>IFERROR(__xludf.DUMMYFUNCTION("""COMPUTED_VALUE"""),"REMOLLO LEA")</f>
        <v>REMOLLO LEA</v>
      </c>
      <c r="E2194" s="1" t="str">
        <f>IFERROR(__xludf.DUMMYFUNCTION("""COMPUTED_VALUE"""),"PLDT / H2H")</f>
        <v>PLDT / H2H</v>
      </c>
      <c r="F2194" s="1">
        <f>IFERROR(__xludf.DUMMYFUNCTION("""COMPUTED_VALUE"""),2310355799)</f>
        <v>2310355799</v>
      </c>
      <c r="G2194" s="1"/>
      <c r="H2194" s="1" t="str">
        <f>IFERROR(__xludf.DUMMYFUNCTION("""COMPUTED_VALUE"""),"JOSE JR BANOGUA BEGINO")</f>
        <v>JOSE JR BANOGUA BEGINO</v>
      </c>
      <c r="I2194" s="1">
        <f>IFERROR(__xludf.DUMMYFUNCTION("""COMPUTED_VALUE"""),9055062917)</f>
        <v>9055062917</v>
      </c>
      <c r="J2194" s="1">
        <f>IFERROR(__xludf.DUMMYFUNCTION("""COMPUTED_VALUE"""),9928378700)</f>
        <v>9928378700</v>
      </c>
      <c r="K2194" s="1" t="str">
        <f>IFERROR(__xludf.DUMMYFUNCTION("""COMPUTED_VALUE"""),"josebeginojr7@gmail.com")</f>
        <v>josebeginojr7@gmail.com</v>
      </c>
      <c r="L2194" s="1" t="str">
        <f>IFERROR(__xludf.DUMMYFUNCTION("""COMPUTED_VALUE"""),"1011")</f>
        <v>1011</v>
      </c>
      <c r="M2194" s="1" t="str">
        <f>IFERROR(__xludf.DUMMYFUNCTION("""COMPUTED_VALUE"""),"ALFONSO RD")</f>
        <v>ALFONSO RD</v>
      </c>
      <c r="N2194" s="1"/>
      <c r="O2194" s="1" t="str">
        <f>IFERROR(__xludf.DUMMYFUNCTION("""COMPUTED_VALUE"""),"ANULING CERCA I")</f>
        <v>ANULING CERCA I</v>
      </c>
      <c r="P2194" s="1" t="str">
        <f>IFERROR(__xludf.DUMMYFUNCTION("""COMPUTED_VALUE"""),"MENDEZ")</f>
        <v>MENDEZ</v>
      </c>
      <c r="Q2194" s="1" t="str">
        <f>IFERROR(__xludf.DUMMYFUNCTION("""COMPUTED_VALUE"""),"CAVITE")</f>
        <v>CAVITE</v>
      </c>
      <c r="R2194" s="1" t="str">
        <f>IFERROR(__xludf.DUMMYFUNCTION("""COMPUTED_VALUE"""),"FIBR UNLI ALL PLAN 999")</f>
        <v>FIBR UNLI ALL PLAN 999</v>
      </c>
      <c r="S2194" s="1" t="str">
        <f>IFERROR(__xludf.DUMMYFUNCTION("""COMPUTED_VALUE"""),"APPROVED")</f>
        <v>APPROVED</v>
      </c>
      <c r="T2194" s="1" t="str">
        <f>IFERROR(__xludf.DUMMYFUNCTION("""COMPUTED_VALUE"""),"#N/A")</f>
        <v>#N/A</v>
      </c>
      <c r="U2194" s="1" t="str">
        <f>IFERROR(__xludf.DUMMYFUNCTION("""COMPUTED_VALUE"""),"POSTED")</f>
        <v>POSTED</v>
      </c>
      <c r="V2194" s="1"/>
      <c r="W2194" s="1"/>
    </row>
    <row r="2195" customHeight="1" spans="1:23">
      <c r="A2195" s="3">
        <f>IFERROR(__xludf.DUMMYFUNCTION("""COMPUTED_VALUE"""),46193)</f>
        <v>46193</v>
      </c>
      <c r="B2195" s="1" t="str">
        <f>IFERROR(__xludf.DUMMYFUNCTION("""COMPUTED_VALUE"""),"GABAY, MANUEL")</f>
        <v>GABAY, MANUEL</v>
      </c>
      <c r="C2195" s="1" t="str">
        <f>IFERROR(__xludf.DUMMYFUNCTION("""COMPUTED_VALUE"""),"FLA")</f>
        <v>FLA</v>
      </c>
      <c r="D2195" s="1" t="str">
        <f>IFERROR(__xludf.DUMMYFUNCTION("""COMPUTED_VALUE"""),"JERIC NAVARRO")</f>
        <v>JERIC NAVARRO</v>
      </c>
      <c r="E2195" s="1" t="str">
        <f>IFERROR(__xludf.DUMMYFUNCTION("""COMPUTED_VALUE"""),"PLDT / H2H")</f>
        <v>PLDT / H2H</v>
      </c>
      <c r="F2195" s="1">
        <f>IFERROR(__xludf.DUMMYFUNCTION("""COMPUTED_VALUE"""),2310356005)</f>
        <v>2310356005</v>
      </c>
      <c r="G2195" s="1"/>
      <c r="H2195" s="1" t="str">
        <f>IFERROR(__xludf.DUMMYFUNCTION("""COMPUTED_VALUE"""),"LIBRADA RODEROS PEJI")</f>
        <v>LIBRADA RODEROS PEJI</v>
      </c>
      <c r="I2195" s="1">
        <f>IFERROR(__xludf.DUMMYFUNCTION("""COMPUTED_VALUE"""),9168646683)</f>
        <v>9168646683</v>
      </c>
      <c r="J2195" s="1">
        <f>IFERROR(__xludf.DUMMYFUNCTION("""COMPUTED_VALUE"""),9168646678)</f>
        <v>9168646678</v>
      </c>
      <c r="K2195" s="1" t="str">
        <f>IFERROR(__xludf.DUMMYFUNCTION("""COMPUTED_VALUE"""),"arleneds.peji@gmail.com")</f>
        <v>arleneds.peji@gmail.com</v>
      </c>
      <c r="L2195" s="1" t="str">
        <f>IFERROR(__xludf.DUMMYFUNCTION("""COMPUTED_VALUE"""),"52")</f>
        <v>52</v>
      </c>
      <c r="M2195" s="1" t="str">
        <f>IFERROR(__xludf.DUMMYFUNCTION("""COMPUTED_VALUE"""),"PANUNGYAN RD")</f>
        <v>PANUNGYAN RD</v>
      </c>
      <c r="N2195" s="1"/>
      <c r="O2195" s="1" t="str">
        <f>IFERROR(__xludf.DUMMYFUNCTION("""COMPUTED_VALUE"""),"PANUNGYAN II")</f>
        <v>PANUNGYAN II</v>
      </c>
      <c r="P2195" s="1" t="str">
        <f>IFERROR(__xludf.DUMMYFUNCTION("""COMPUTED_VALUE"""),"MENDEZ")</f>
        <v>MENDEZ</v>
      </c>
      <c r="Q2195" s="1" t="str">
        <f>IFERROR(__xludf.DUMMYFUNCTION("""COMPUTED_VALUE"""),"CAVITE")</f>
        <v>CAVITE</v>
      </c>
      <c r="R2195" s="1" t="str">
        <f>IFERROR(__xludf.DUMMYFUNCTION("""COMPUTED_VALUE"""),"FIBR PLAN 1299")</f>
        <v>FIBR PLAN 1299</v>
      </c>
      <c r="S2195" s="1" t="str">
        <f>IFERROR(__xludf.DUMMYFUNCTION("""COMPUTED_VALUE"""),"APPROVED")</f>
        <v>APPROVED</v>
      </c>
      <c r="T2195" s="1" t="str">
        <f>IFERROR(__xludf.DUMMYFUNCTION("""COMPUTED_VALUE"""),"#N/A")</f>
        <v>#N/A</v>
      </c>
      <c r="U2195" s="1" t="str">
        <f>IFERROR(__xludf.DUMMYFUNCTION("""COMPUTED_VALUE"""),"POSTED")</f>
        <v>POSTED</v>
      </c>
      <c r="V2195" s="1"/>
      <c r="W2195" s="1"/>
    </row>
    <row r="2196" customHeight="1" spans="1:23">
      <c r="A2196" s="3">
        <f>IFERROR(__xludf.DUMMYFUNCTION("""COMPUTED_VALUE"""),46193)</f>
        <v>46193</v>
      </c>
      <c r="B2196" s="1" t="str">
        <f>IFERROR(__xludf.DUMMYFUNCTION("""COMPUTED_VALUE"""),"GABAY, MANUEL")</f>
        <v>GABAY, MANUEL</v>
      </c>
      <c r="C2196" s="1" t="str">
        <f>IFERROR(__xludf.DUMMYFUNCTION("""COMPUTED_VALUE"""),"FLA")</f>
        <v>FLA</v>
      </c>
      <c r="D2196" s="1" t="str">
        <f>IFERROR(__xludf.DUMMYFUNCTION("""COMPUTED_VALUE"""),"JERIC NAVARRO")</f>
        <v>JERIC NAVARRO</v>
      </c>
      <c r="E2196" s="1" t="str">
        <f>IFERROR(__xludf.DUMMYFUNCTION("""COMPUTED_VALUE"""),"PLDT / H2H")</f>
        <v>PLDT / H2H</v>
      </c>
      <c r="F2196" s="1">
        <f>IFERROR(__xludf.DUMMYFUNCTION("""COMPUTED_VALUE"""),2310360874)</f>
        <v>2310360874</v>
      </c>
      <c r="G2196" s="1"/>
      <c r="H2196" s="1" t="str">
        <f>IFERROR(__xludf.DUMMYFUNCTION("""COMPUTED_VALUE"""),"ARIEL DIGO CUADRA")</f>
        <v>ARIEL DIGO CUADRA</v>
      </c>
      <c r="I2196" s="1">
        <f>IFERROR(__xludf.DUMMYFUNCTION("""COMPUTED_VALUE"""),9360546262)</f>
        <v>9360546262</v>
      </c>
      <c r="J2196" s="1">
        <f>IFERROR(__xludf.DUMMYFUNCTION("""COMPUTED_VALUE"""),9360546262)</f>
        <v>9360546262</v>
      </c>
      <c r="K2196" s="1" t="str">
        <f>IFERROR(__xludf.DUMMYFUNCTION("""COMPUTED_VALUE"""),"imeyh29@gmail.com")</f>
        <v>imeyh29@gmail.com</v>
      </c>
      <c r="L2196" s="1" t="str">
        <f>IFERROR(__xludf.DUMMYFUNCTION("""COMPUTED_VALUE"""),"76a")</f>
        <v>76a</v>
      </c>
      <c r="M2196" s="1" t="str">
        <f>IFERROR(__xludf.DUMMYFUNCTION("""COMPUTED_VALUE"""),"SAINT JOSEPH")</f>
        <v>SAINT JOSEPH</v>
      </c>
      <c r="N2196" s="1"/>
      <c r="O2196" s="1" t="str">
        <f>IFERROR(__xludf.DUMMYFUNCTION("""COMPUTED_VALUE"""),"PANUNGYAN II")</f>
        <v>PANUNGYAN II</v>
      </c>
      <c r="P2196" s="1" t="str">
        <f>IFERROR(__xludf.DUMMYFUNCTION("""COMPUTED_VALUE"""),"MENDEZ")</f>
        <v>MENDEZ</v>
      </c>
      <c r="Q2196" s="1" t="str">
        <f>IFERROR(__xludf.DUMMYFUNCTION("""COMPUTED_VALUE"""),"CAVITE")</f>
        <v>CAVITE</v>
      </c>
      <c r="R2196" s="1" t="str">
        <f>IFERROR(__xludf.DUMMYFUNCTION("""COMPUTED_VALUE"""),"FIBR NETFLIX PLAN 1599")</f>
        <v>FIBR NETFLIX PLAN 1599</v>
      </c>
      <c r="S2196" s="1" t="str">
        <f>IFERROR(__xludf.DUMMYFUNCTION("""COMPUTED_VALUE"""),"APPROVED")</f>
        <v>APPROVED</v>
      </c>
      <c r="T2196" s="1" t="str">
        <f>IFERROR(__xludf.DUMMYFUNCTION("""COMPUTED_VALUE"""),"#N/A")</f>
        <v>#N/A</v>
      </c>
      <c r="U2196" s="1" t="str">
        <f>IFERROR(__xludf.DUMMYFUNCTION("""COMPUTED_VALUE"""),"POSTED")</f>
        <v>POSTED</v>
      </c>
      <c r="V2196" s="1"/>
      <c r="W2196" s="1"/>
    </row>
    <row r="2197" customHeight="1" spans="1:23">
      <c r="A2197" s="3">
        <f>IFERROR(__xludf.DUMMYFUNCTION("""COMPUTED_VALUE"""),46193)</f>
        <v>46193</v>
      </c>
      <c r="B2197" s="1" t="str">
        <f>IFERROR(__xludf.DUMMYFUNCTION("""COMPUTED_VALUE"""),"RIVERA, AIRIZH JOY")</f>
        <v>RIVERA, AIRIZH JOY</v>
      </c>
      <c r="C2197" s="1" t="str">
        <f>IFERROR(__xludf.DUMMYFUNCTION("""COMPUTED_VALUE"""),"ORGANIC")</f>
        <v>ORGANIC</v>
      </c>
      <c r="D2197" s="1" t="str">
        <f>IFERROR(__xludf.DUMMYFUNCTION("""COMPUTED_VALUE"""),"REMOLLO LEA")</f>
        <v>REMOLLO LEA</v>
      </c>
      <c r="E2197" s="1" t="str">
        <f>IFERROR(__xludf.DUMMYFUNCTION("""COMPUTED_VALUE"""),"PLDT / H2H")</f>
        <v>PLDT / H2H</v>
      </c>
      <c r="F2197" s="1">
        <f>IFERROR(__xludf.DUMMYFUNCTION("""COMPUTED_VALUE"""),2310356863)</f>
        <v>2310356863</v>
      </c>
      <c r="G2197" s="1"/>
      <c r="H2197" s="1" t="str">
        <f>IFERROR(__xludf.DUMMYFUNCTION("""COMPUTED_VALUE"""),"MARY CARMIE JOY GASPAR MIRANDA")</f>
        <v>MARY CARMIE JOY GASPAR MIRANDA</v>
      </c>
      <c r="I2197" s="1">
        <f>IFERROR(__xludf.DUMMYFUNCTION("""COMPUTED_VALUE"""),9102868805)</f>
        <v>9102868805</v>
      </c>
      <c r="J2197" s="1">
        <f>IFERROR(__xludf.DUMMYFUNCTION("""COMPUTED_VALUE"""),9383258552)</f>
        <v>9383258552</v>
      </c>
      <c r="K2197" s="1" t="str">
        <f>IFERROR(__xludf.DUMMYFUNCTION("""COMPUTED_VALUE"""),"charmmirandaaa@gmail.com")</f>
        <v>charmmirandaaa@gmail.com</v>
      </c>
      <c r="L2197" s="1" t="str">
        <f>IFERROR(__xludf.DUMMYFUNCTION("""COMPUTED_VALUE"""),"118")</f>
        <v>118</v>
      </c>
      <c r="M2197" s="1" t="str">
        <f>IFERROR(__xludf.DUMMYFUNCTION("""COMPUTED_VALUE"""),"ZAMORA ST")</f>
        <v>ZAMORA ST</v>
      </c>
      <c r="N2197" s="1"/>
      <c r="O2197" s="1" t="str">
        <f>IFERROR(__xludf.DUMMYFUNCTION("""COMPUTED_VALUE"""),"ASIS I")</f>
        <v>ASIS I</v>
      </c>
      <c r="P2197" s="1" t="str">
        <f>IFERROR(__xludf.DUMMYFUNCTION("""COMPUTED_VALUE"""),"MENDEZ")</f>
        <v>MENDEZ</v>
      </c>
      <c r="Q2197" s="1" t="str">
        <f>IFERROR(__xludf.DUMMYFUNCTION("""COMPUTED_VALUE"""),"CAVITE")</f>
        <v>CAVITE</v>
      </c>
      <c r="R2197" s="1" t="str">
        <f>IFERROR(__xludf.DUMMYFUNCTION("""COMPUTED_VALUE"""),"FIBR NETFLIX PLAN 1599")</f>
        <v>FIBR NETFLIX PLAN 1599</v>
      </c>
      <c r="S2197" s="1" t="str">
        <f>IFERROR(__xludf.DUMMYFUNCTION("""COMPUTED_VALUE"""),"APPROVED")</f>
        <v>APPROVED</v>
      </c>
      <c r="T2197" s="1" t="str">
        <f>IFERROR(__xludf.DUMMYFUNCTION("""COMPUTED_VALUE"""),"#N/A")</f>
        <v>#N/A</v>
      </c>
      <c r="U2197" s="1" t="str">
        <f>IFERROR(__xludf.DUMMYFUNCTION("""COMPUTED_VALUE"""),"POSTED")</f>
        <v>POSTED</v>
      </c>
      <c r="V2197" s="1"/>
      <c r="W2197" s="1"/>
    </row>
    <row r="2198" customHeight="1" spans="1:23">
      <c r="A2198" s="3">
        <f>IFERROR(__xludf.DUMMYFUNCTION("""COMPUTED_VALUE"""),46193)</f>
        <v>46193</v>
      </c>
      <c r="B2198" s="1" t="str">
        <f>IFERROR(__xludf.DUMMYFUNCTION("""COMPUTED_VALUE"""),"MALIWAT MARK ELVIN")</f>
        <v>MALIWAT MARK ELVIN</v>
      </c>
      <c r="C2198" s="1" t="str">
        <f>IFERROR(__xludf.DUMMYFUNCTION("""COMPUTED_VALUE"""),"FLA")</f>
        <v>FLA</v>
      </c>
      <c r="D2198" s="1" t="str">
        <f>IFERROR(__xludf.DUMMYFUNCTION("""COMPUTED_VALUE"""),"JERIC NAVARRO")</f>
        <v>JERIC NAVARRO</v>
      </c>
      <c r="E2198" s="1" t="str">
        <f>IFERROR(__xludf.DUMMYFUNCTION("""COMPUTED_VALUE"""),"PLDT / ONLINE")</f>
        <v>PLDT / ONLINE</v>
      </c>
      <c r="F2198" s="1">
        <f>IFERROR(__xludf.DUMMYFUNCTION("""COMPUTED_VALUE"""),2310357813)</f>
        <v>2310357813</v>
      </c>
      <c r="G2198" s="1"/>
      <c r="H2198" s="1" t="str">
        <f>IFERROR(__xludf.DUMMYFUNCTION("""COMPUTED_VALUE"""),"DANTE ACEDO ASTORGA")</f>
        <v>DANTE ACEDO ASTORGA</v>
      </c>
      <c r="I2198" s="1">
        <f>IFERROR(__xludf.DUMMYFUNCTION("""COMPUTED_VALUE"""),9656728925)</f>
        <v>9656728925</v>
      </c>
      <c r="J2198" s="1"/>
      <c r="K2198" s="1" t="str">
        <f>IFERROR(__xludf.DUMMYFUNCTION("""COMPUTED_VALUE"""),"astorga.dante@gmail.com")</f>
        <v>astorga.dante@gmail.com</v>
      </c>
      <c r="L2198" s="1" t="str">
        <f>IFERROR(__xludf.DUMMYFUNCTION("""COMPUTED_VALUE"""),"BLK 30")</f>
        <v>BLK 30</v>
      </c>
      <c r="M2198" s="1" t="str">
        <f>IFERROR(__xludf.DUMMYFUNCTION("""COMPUTED_VALUE"""),"EXCESS LOT")</f>
        <v>EXCESS LOT</v>
      </c>
      <c r="N2198" s="1"/>
      <c r="O2198" s="1" t="str">
        <f>IFERROR(__xludf.DUMMYFUNCTION("""COMPUTED_VALUE"""),"FATIMA II")</f>
        <v>FATIMA II</v>
      </c>
      <c r="P2198" s="1" t="str">
        <f>IFERROR(__xludf.DUMMYFUNCTION("""COMPUTED_VALUE"""),"DASMARINAS")</f>
        <v>DASMARINAS</v>
      </c>
      <c r="Q2198" s="1" t="str">
        <f>IFERROR(__xludf.DUMMYFUNCTION("""COMPUTED_VALUE"""),"CAVITE")</f>
        <v>CAVITE</v>
      </c>
      <c r="R2198" s="1" t="str">
        <f>IFERROR(__xludf.DUMMYFUNCTION("""COMPUTED_VALUE"""),"FIBR UNLI ALL PLAN 1399")</f>
        <v>FIBR UNLI ALL PLAN 1399</v>
      </c>
      <c r="S2198" s="1" t="str">
        <f>IFERROR(__xludf.DUMMYFUNCTION("""COMPUTED_VALUE"""),"APPROVED")</f>
        <v>APPROVED</v>
      </c>
      <c r="T2198" s="1" t="str">
        <f>IFERROR(__xludf.DUMMYFUNCTION("""COMPUTED_VALUE"""),"#N/A")</f>
        <v>#N/A</v>
      </c>
      <c r="U2198" s="1" t="str">
        <f>IFERROR(__xludf.DUMMYFUNCTION("""COMPUTED_VALUE"""),"POSTED")</f>
        <v>POSTED</v>
      </c>
      <c r="V2198" s="1"/>
      <c r="W2198" s="1"/>
    </row>
    <row r="2199" customHeight="1" spans="1:23">
      <c r="A2199" s="3">
        <f>IFERROR(__xludf.DUMMYFUNCTION("""COMPUTED_VALUE"""),46193)</f>
        <v>46193</v>
      </c>
      <c r="B2199" s="1" t="str">
        <f>IFERROR(__xludf.DUMMYFUNCTION("""COMPUTED_VALUE"""),"ACOSTA. ZAIRUS")</f>
        <v>ACOSTA. ZAIRUS</v>
      </c>
      <c r="C2199" s="1" t="str">
        <f>IFERROR(__xludf.DUMMYFUNCTION("""COMPUTED_VALUE"""),"ORGANIC")</f>
        <v>ORGANIC</v>
      </c>
      <c r="D2199" s="1" t="str">
        <f>IFERROR(__xludf.DUMMYFUNCTION("""COMPUTED_VALUE"""),"REMOLLO LEA")</f>
        <v>REMOLLO LEA</v>
      </c>
      <c r="E2199" s="1" t="str">
        <f>IFERROR(__xludf.DUMMYFUNCTION("""COMPUTED_VALUE"""),"PLDT / H2H")</f>
        <v>PLDT / H2H</v>
      </c>
      <c r="F2199" s="1">
        <f>IFERROR(__xludf.DUMMYFUNCTION("""COMPUTED_VALUE"""),2310358778)</f>
        <v>2310358778</v>
      </c>
      <c r="G2199" s="1"/>
      <c r="H2199" s="1" t="str">
        <f>IFERROR(__xludf.DUMMYFUNCTION("""COMPUTED_VALUE"""),"CARMENCITA ANDOY ECUBIN")</f>
        <v>CARMENCITA ANDOY ECUBIN</v>
      </c>
      <c r="I2199" s="1">
        <f>IFERROR(__xludf.DUMMYFUNCTION("""COMPUTED_VALUE"""),9092694838)</f>
        <v>9092694838</v>
      </c>
      <c r="J2199" s="1"/>
      <c r="K2199" s="1" t="str">
        <f>IFERROR(__xludf.DUMMYFUNCTION("""COMPUTED_VALUE"""),"catibogangela8@gmail.com")</f>
        <v>catibogangela8@gmail.com</v>
      </c>
      <c r="L2199" s="1" t="str">
        <f>IFERROR(__xludf.DUMMYFUNCTION("""COMPUTED_VALUE"""),"6975")</f>
        <v>6975</v>
      </c>
      <c r="M2199" s="1" t="str">
        <f>IFERROR(__xludf.DUMMYFUNCTION("""COMPUTED_VALUE"""),"MORGAN ST")</f>
        <v>MORGAN ST</v>
      </c>
      <c r="N2199" s="1" t="str">
        <f>IFERROR(__xludf.DUMMYFUNCTION("""COMPUTED_VALUE"""),"RODEO")</f>
        <v>RODEO</v>
      </c>
      <c r="O2199" s="1" t="str">
        <f>IFERROR(__xludf.DUMMYFUNCTION("""COMPUTED_VALUE"""),"BUCK ESTATE")</f>
        <v>BUCK ESTATE</v>
      </c>
      <c r="P2199" s="1" t="str">
        <f>IFERROR(__xludf.DUMMYFUNCTION("""COMPUTED_VALUE"""),"ALFONSO")</f>
        <v>ALFONSO</v>
      </c>
      <c r="Q2199" s="1" t="str">
        <f>IFERROR(__xludf.DUMMYFUNCTION("""COMPUTED_VALUE"""),"CAVITE")</f>
        <v>CAVITE</v>
      </c>
      <c r="R2199" s="1" t="str">
        <f>IFERROR(__xludf.DUMMYFUNCTION("""COMPUTED_VALUE"""),"FIBR UNLI ALL PLAN 999")</f>
        <v>FIBR UNLI ALL PLAN 999</v>
      </c>
      <c r="S2199" s="1" t="str">
        <f>IFERROR(__xludf.DUMMYFUNCTION("""COMPUTED_VALUE"""),"APPROVED")</f>
        <v>APPROVED</v>
      </c>
      <c r="T2199" s="1" t="str">
        <f>IFERROR(__xludf.DUMMYFUNCTION("""COMPUTED_VALUE"""),"#N/A")</f>
        <v>#N/A</v>
      </c>
      <c r="U2199" s="1" t="str">
        <f>IFERROR(__xludf.DUMMYFUNCTION("""COMPUTED_VALUE"""),"POSTED")</f>
        <v>POSTED</v>
      </c>
      <c r="V2199" s="1"/>
      <c r="W2199" s="1"/>
    </row>
    <row r="2200" customHeight="1" spans="1:23">
      <c r="A2200" s="3">
        <f>IFERROR(__xludf.DUMMYFUNCTION("""COMPUTED_VALUE"""),46193)</f>
        <v>46193</v>
      </c>
      <c r="B2200" s="1" t="str">
        <f>IFERROR(__xludf.DUMMYFUNCTION("""COMPUTED_VALUE"""),"FRANCISCO , ROSELYN")</f>
        <v>FRANCISCO , ROSELYN</v>
      </c>
      <c r="C2200" s="1" t="str">
        <f>IFERROR(__xludf.DUMMYFUNCTION("""COMPUTED_VALUE"""),"ORGANIC")</f>
        <v>ORGANIC</v>
      </c>
      <c r="D2200" s="1" t="str">
        <f>IFERROR(__xludf.DUMMYFUNCTION("""COMPUTED_VALUE"""),"REMOLLO LEA")</f>
        <v>REMOLLO LEA</v>
      </c>
      <c r="E2200" s="1" t="str">
        <f>IFERROR(__xludf.DUMMYFUNCTION("""COMPUTED_VALUE"""),"PLDT / ONLINE")</f>
        <v>PLDT / ONLINE</v>
      </c>
      <c r="F2200" s="1"/>
      <c r="G2200" s="1"/>
      <c r="H2200" s="1" t="str">
        <f>IFERROR(__xludf.DUMMYFUNCTION("""COMPUTED_VALUE"""),"TRISTAN NICOLE STA ROSA DAVA")</f>
        <v>TRISTAN NICOLE STA ROSA DAVA</v>
      </c>
      <c r="I2200" s="1">
        <f>IFERROR(__xludf.DUMMYFUNCTION("""COMPUTED_VALUE"""),9121277189)</f>
        <v>9121277189</v>
      </c>
      <c r="J2200" s="1"/>
      <c r="K2200" s="1" t="str">
        <f>IFERROR(__xludf.DUMMYFUNCTION("""COMPUTED_VALUE"""),"tristannicole41@gmail.com")</f>
        <v>tristannicole41@gmail.com</v>
      </c>
      <c r="L2200" s="1" t="str">
        <f>IFERROR(__xludf.DUMMYFUNCTION("""COMPUTED_VALUE"""),"557")</f>
        <v>557</v>
      </c>
      <c r="M2200" s="1" t="str">
        <f>IFERROR(__xludf.DUMMYFUNCTION("""COMPUTED_VALUE"""),"SITIO SILANGAN")</f>
        <v>SITIO SILANGAN</v>
      </c>
      <c r="N2200" s="1"/>
      <c r="O2200" s="1"/>
      <c r="P2200" s="1"/>
      <c r="Q2200" s="1" t="str">
        <f>IFERROR(__xludf.DUMMYFUNCTION("""COMPUTED_VALUE"""),"BATANGAS")</f>
        <v>BATANGAS</v>
      </c>
      <c r="R2200" s="1" t="str">
        <f>IFERROR(__xludf.DUMMYFUNCTION("""COMPUTED_VALUE"""),"FIBR PLAN 1299")</f>
        <v>FIBR PLAN 1299</v>
      </c>
      <c r="S2200" s="1" t="str">
        <f>IFERROR(__xludf.DUMMYFUNCTION("""COMPUTED_VALUE"""),"APPROVED")</f>
        <v>APPROVED</v>
      </c>
      <c r="T2200" s="1" t="str">
        <f>IFERROR(__xludf.DUMMYFUNCTION("""COMPUTED_VALUE"""),"#N/A")</f>
        <v>#N/A</v>
      </c>
      <c r="U2200" s="1" t="str">
        <f>IFERROR(__xludf.DUMMYFUNCTION("""COMPUTED_VALUE"""),"ENDORSED TO BATANGAS")</f>
        <v>ENDORSED TO BATANGAS</v>
      </c>
      <c r="V2200" s="1"/>
      <c r="W2200" s="1"/>
    </row>
    <row r="2201" customHeight="1" spans="1:23">
      <c r="A2201" s="3">
        <f>IFERROR(__xludf.DUMMYFUNCTION("""COMPUTED_VALUE"""),46193)</f>
        <v>46193</v>
      </c>
      <c r="B2201" s="1" t="str">
        <f>IFERROR(__xludf.DUMMYFUNCTION("""COMPUTED_VALUE"""),"PHILIP, DRIVER")</f>
        <v>PHILIP, DRIVER</v>
      </c>
      <c r="C2201" s="1" t="str">
        <f>IFERROR(__xludf.DUMMYFUNCTION("""COMPUTED_VALUE"""),"FLA")</f>
        <v>FLA</v>
      </c>
      <c r="D2201" s="1" t="str">
        <f>IFERROR(__xludf.DUMMYFUNCTION("""COMPUTED_VALUE"""),"JERIC NAVARRO")</f>
        <v>JERIC NAVARRO</v>
      </c>
      <c r="E2201" s="1" t="str">
        <f>IFERROR(__xludf.DUMMYFUNCTION("""COMPUTED_VALUE"""),"PLDT / ONLINE")</f>
        <v>PLDT / ONLINE</v>
      </c>
      <c r="F2201" s="1">
        <f>IFERROR(__xludf.DUMMYFUNCTION("""COMPUTED_VALUE"""),2310395858)</f>
        <v>2310395858</v>
      </c>
      <c r="G2201" s="1">
        <f>IFERROR(__xludf.DUMMYFUNCTION("""COMPUTED_VALUE"""),459662446004)</f>
        <v>459662446004</v>
      </c>
      <c r="H2201" s="1" t="str">
        <f>IFERROR(__xludf.DUMMYFUNCTION("""COMPUTED_VALUE"""),"RENALYN QUIBIO TORRES")</f>
        <v>RENALYN QUIBIO TORRES</v>
      </c>
      <c r="I2201" s="1">
        <f>IFERROR(__xludf.DUMMYFUNCTION("""COMPUTED_VALUE"""),9628476987)</f>
        <v>9628476987</v>
      </c>
      <c r="J2201" s="1">
        <f>IFERROR(__xludf.DUMMYFUNCTION("""COMPUTED_VALUE"""),9615204182)</f>
        <v>9615204182</v>
      </c>
      <c r="K2201" s="1" t="str">
        <f>IFERROR(__xludf.DUMMYFUNCTION("""COMPUTED_VALUE"""),"torresrenalyn05@gmail.com")</f>
        <v>torresrenalyn05@gmail.com</v>
      </c>
      <c r="L2201" s="1" t="str">
        <f>IFERROR(__xludf.DUMMYFUNCTION("""COMPUTED_VALUE"""),"110")</f>
        <v>110</v>
      </c>
      <c r="M2201" s="1" t="str">
        <f>IFERROR(__xludf.DUMMYFUNCTION("""COMPUTED_VALUE"""),"BUHO RD")</f>
        <v>BUHO RD</v>
      </c>
      <c r="N2201" s="1"/>
      <c r="O2201" s="1" t="str">
        <f>IFERROR(__xludf.DUMMYFUNCTION("""COMPUTED_VALUE"""),"BUHO")</f>
        <v>BUHO</v>
      </c>
      <c r="P2201" s="1" t="str">
        <f>IFERROR(__xludf.DUMMYFUNCTION("""COMPUTED_VALUE"""),"SILANG")</f>
        <v>SILANG</v>
      </c>
      <c r="Q2201" s="1" t="str">
        <f>IFERROR(__xludf.DUMMYFUNCTION("""COMPUTED_VALUE"""),"CAVITE")</f>
        <v>CAVITE</v>
      </c>
      <c r="R2201" s="1" t="str">
        <f>IFERROR(__xludf.DUMMYFUNCTION("""COMPUTED_VALUE"""),"FIBR PLAN 2099")</f>
        <v>FIBR PLAN 2099</v>
      </c>
      <c r="S2201" s="1" t="str">
        <f>IFERROR(__xludf.DUMMYFUNCTION("""COMPUTED_VALUE"""),"APPROVED")</f>
        <v>APPROVED</v>
      </c>
      <c r="T2201" s="1" t="str">
        <f>IFERROR(__xludf.DUMMYFUNCTION("""COMPUTED_VALUE"""),"REENCODED 6/22/2026")</f>
        <v>REENCODED 6/22/2026</v>
      </c>
      <c r="U2201" s="1"/>
      <c r="V2201" s="1"/>
      <c r="W2201" s="1"/>
    </row>
    <row r="2202" customHeight="1" spans="1:23">
      <c r="A2202" s="3">
        <f>IFERROR(__xludf.DUMMYFUNCTION("""COMPUTED_VALUE"""),46193)</f>
        <v>46193</v>
      </c>
      <c r="B2202" s="1" t="str">
        <f>IFERROR(__xludf.DUMMYFUNCTION("""COMPUTED_VALUE"""),"FRANCISCO , ROSELYN")</f>
        <v>FRANCISCO , ROSELYN</v>
      </c>
      <c r="C2202" s="1" t="str">
        <f>IFERROR(__xludf.DUMMYFUNCTION("""COMPUTED_VALUE"""),"ORGANIC")</f>
        <v>ORGANIC</v>
      </c>
      <c r="D2202" s="1" t="str">
        <f>IFERROR(__xludf.DUMMYFUNCTION("""COMPUTED_VALUE"""),"REMOLLO LEA")</f>
        <v>REMOLLO LEA</v>
      </c>
      <c r="E2202" s="1" t="str">
        <f>IFERROR(__xludf.DUMMYFUNCTION("""COMPUTED_VALUE"""),"PLDT / H2H")</f>
        <v>PLDT / H2H</v>
      </c>
      <c r="F2202" s="1">
        <f>IFERROR(__xludf.DUMMYFUNCTION("""COMPUTED_VALUE"""),2310420202)</f>
        <v>2310420202</v>
      </c>
      <c r="G2202" s="1">
        <f>IFERROR(__xludf.DUMMYFUNCTION("""COMPUTED_VALUE"""),459777756004)</f>
        <v>459777756004</v>
      </c>
      <c r="H2202" s="1" t="str">
        <f>IFERROR(__xludf.DUMMYFUNCTION("""COMPUTED_VALUE"""),"ALMA SALABIT VERADOR")</f>
        <v>ALMA SALABIT VERADOR</v>
      </c>
      <c r="I2202" s="1">
        <f>IFERROR(__xludf.DUMMYFUNCTION("""COMPUTED_VALUE"""),9984948074)</f>
        <v>9984948074</v>
      </c>
      <c r="J2202" s="1"/>
      <c r="K2202" s="1" t="str">
        <f>IFERROR(__xludf.DUMMYFUNCTION("""COMPUTED_VALUE"""),"din1live2love@gmail.com")</f>
        <v>din1live2love@gmail.com</v>
      </c>
      <c r="L2202" s="1" t="str">
        <f>IFERROR(__xludf.DUMMYFUNCTION("""COMPUTED_VALUE"""),"BLK 38 LOT 9")</f>
        <v>BLK 38 LOT 9</v>
      </c>
      <c r="M2202" s="1" t="str">
        <f>IFERROR(__xludf.DUMMYFUNCTION("""COMPUTED_VALUE"""),"PHASE 1A")</f>
        <v>PHASE 1A</v>
      </c>
      <c r="N2202" s="1" t="str">
        <f>IFERROR(__xludf.DUMMYFUNCTION("""COMPUTED_VALUE"""),"ALTA TIERA ")</f>
        <v>ALTA TIERA </v>
      </c>
      <c r="O2202" s="1" t="str">
        <f>IFERROR(__xludf.DUMMYFUNCTION("""COMPUTED_VALUE"""),"ALDIANO OLAES")</f>
        <v>ALDIANO OLAES</v>
      </c>
      <c r="P2202" s="1" t="str">
        <f>IFERROR(__xludf.DUMMYFUNCTION("""COMPUTED_VALUE"""),"GEN MARIANO ALVAREZ")</f>
        <v>GEN MARIANO ALVAREZ</v>
      </c>
      <c r="Q2202" s="1" t="str">
        <f>IFERROR(__xludf.DUMMYFUNCTION("""COMPUTED_VALUE"""),"CAVITE")</f>
        <v>CAVITE</v>
      </c>
      <c r="R2202" s="1" t="str">
        <f>IFERROR(__xludf.DUMMYFUNCTION("""COMPUTED_VALUE"""),"SWITCH FIBER 1699")</f>
        <v>SWITCH FIBER 1699</v>
      </c>
      <c r="S2202" s="1" t="str">
        <f>IFERROR(__xludf.DUMMYFUNCTION("""COMPUTED_VALUE"""),"APPROVED")</f>
        <v>APPROVED</v>
      </c>
      <c r="T2202" s="1" t="str">
        <f>IFERROR(__xludf.DUMMYFUNCTION("""COMPUTED_VALUE"""),"#N/A")</f>
        <v>#N/A</v>
      </c>
      <c r="U2202" s="1" t="str">
        <f>IFERROR(__xludf.DUMMYFUNCTION("""COMPUTED_VALUE"""),"POSTED")</f>
        <v>POSTED</v>
      </c>
      <c r="V2202" s="1"/>
      <c r="W2202" s="1"/>
    </row>
    <row r="2203" customHeight="1" spans="1:23">
      <c r="A2203" s="3">
        <f>IFERROR(__xludf.DUMMYFUNCTION("""COMPUTED_VALUE"""),46194)</f>
        <v>46194</v>
      </c>
      <c r="B2203" s="1" t="str">
        <f>IFERROR(__xludf.DUMMYFUNCTION("""COMPUTED_VALUE"""),"FRANCISCO , ROSELYN")</f>
        <v>FRANCISCO , ROSELYN</v>
      </c>
      <c r="C2203" s="1" t="str">
        <f>IFERROR(__xludf.DUMMYFUNCTION("""COMPUTED_VALUE"""),"ORGANIC")</f>
        <v>ORGANIC</v>
      </c>
      <c r="D2203" s="1" t="str">
        <f>IFERROR(__xludf.DUMMYFUNCTION("""COMPUTED_VALUE"""),"REMOLLO LEA")</f>
        <v>REMOLLO LEA</v>
      </c>
      <c r="E2203" s="1" t="str">
        <f>IFERROR(__xludf.DUMMYFUNCTION("""COMPUTED_VALUE"""),"PLDT / ONLINE")</f>
        <v>PLDT / ONLINE</v>
      </c>
      <c r="F2203" s="1">
        <f>IFERROR(__xludf.DUMMYFUNCTION("""COMPUTED_VALUE"""),2310372598)</f>
        <v>2310372598</v>
      </c>
      <c r="G2203" s="1"/>
      <c r="H2203" s="1" t="str">
        <f>IFERROR(__xludf.DUMMYFUNCTION("""COMPUTED_VALUE"""),"EUNISE ANNE FERADELLA UBALDE")</f>
        <v>EUNISE ANNE FERADELLA UBALDE</v>
      </c>
      <c r="I2203" s="1">
        <f>IFERROR(__xludf.DUMMYFUNCTION("""COMPUTED_VALUE"""),9634605908)</f>
        <v>9634605908</v>
      </c>
      <c r="J2203" s="1"/>
      <c r="K2203" s="1" t="str">
        <f>IFERROR(__xludf.DUMMYFUNCTION("""COMPUTED_VALUE"""),"ubaldeeuniceanne@gmail.com")</f>
        <v>ubaldeeuniceanne@gmail.com</v>
      </c>
      <c r="L2203" s="1" t="str">
        <f>IFERROR(__xludf.DUMMYFUNCTION("""COMPUTED_VALUE"""),"BLK 22A")</f>
        <v>BLK 22A</v>
      </c>
      <c r="M2203" s="1" t="str">
        <f>IFERROR(__xludf.DUMMYFUNCTION("""COMPUTED_VALUE"""),"EXTENSION")</f>
        <v>EXTENSION</v>
      </c>
      <c r="N2203" s="1" t="str">
        <f>IFERROR(__xludf.DUMMYFUNCTION("""COMPUTED_VALUE"""),"STRAWBERRT")</f>
        <v>STRAWBERRT</v>
      </c>
      <c r="O2203" s="1" t="str">
        <f>IFERROR(__xludf.DUMMYFUNCTION("""COMPUTED_VALUE"""),"FRANCISCO REYES")</f>
        <v>FRANCISCO REYES</v>
      </c>
      <c r="P2203" s="1" t="str">
        <f>IFERROR(__xludf.DUMMYFUNCTION("""COMPUTED_VALUE"""),"GENERAL EMILIO AGUINALDO")</f>
        <v>GENERAL EMILIO AGUINALDO</v>
      </c>
      <c r="Q2203" s="1" t="str">
        <f>IFERROR(__xludf.DUMMYFUNCTION("""COMPUTED_VALUE"""),"CAVITE")</f>
        <v>CAVITE</v>
      </c>
      <c r="R2203" s="1" t="str">
        <f>IFERROR(__xludf.DUMMYFUNCTION("""COMPUTED_VALUE"""),"FIBR UNLI ALL PLAN 999")</f>
        <v>FIBR UNLI ALL PLAN 999</v>
      </c>
      <c r="S2203" s="1" t="str">
        <f>IFERROR(__xludf.DUMMYFUNCTION("""COMPUTED_VALUE"""),"APPROVED")</f>
        <v>APPROVED</v>
      </c>
      <c r="T2203" s="1" t="str">
        <f>IFERROR(__xludf.DUMMYFUNCTION("""COMPUTED_VALUE"""),"CLOSED")</f>
        <v>CLOSED</v>
      </c>
      <c r="U2203" s="1" t="str">
        <f>IFERROR(__xludf.DUMMYFUNCTION("""COMPUTED_VALUE"""),"POSTED")</f>
        <v>POSTED</v>
      </c>
      <c r="V2203" s="1"/>
      <c r="W2203" s="1"/>
    </row>
    <row r="2204" customHeight="1" spans="1:23">
      <c r="A2204" s="3">
        <f>IFERROR(__xludf.DUMMYFUNCTION("""COMPUTED_VALUE"""),46194)</f>
        <v>46194</v>
      </c>
      <c r="B2204" s="1" t="str">
        <f>IFERROR(__xludf.DUMMYFUNCTION("""COMPUTED_VALUE"""),"ESCARCHA, MA ALMA  ESCOTO")</f>
        <v>ESCARCHA, MA ALMA  ESCOTO</v>
      </c>
      <c r="C2204" s="1" t="str">
        <f>IFERROR(__xludf.DUMMYFUNCTION("""COMPUTED_VALUE"""),"ORGANIC")</f>
        <v>ORGANIC</v>
      </c>
      <c r="D2204" s="1" t="str">
        <f>IFERROR(__xludf.DUMMYFUNCTION("""COMPUTED_VALUE"""),"REMOLLO LEA")</f>
        <v>REMOLLO LEA</v>
      </c>
      <c r="E2204" s="1" t="str">
        <f>IFERROR(__xludf.DUMMYFUNCTION("""COMPUTED_VALUE"""),"PLDT / ONLINE")</f>
        <v>PLDT / ONLINE</v>
      </c>
      <c r="F2204" s="1"/>
      <c r="G2204" s="1"/>
      <c r="H2204" s="1" t="str">
        <f>IFERROR(__xludf.DUMMYFUNCTION("""COMPUTED_VALUE"""),"ARNEL BOBIS ORTEGO")</f>
        <v>ARNEL BOBIS ORTEGO</v>
      </c>
      <c r="I2204" s="1">
        <f>IFERROR(__xludf.DUMMYFUNCTION("""COMPUTED_VALUE"""),9278935765)</f>
        <v>9278935765</v>
      </c>
      <c r="J2204" s="1"/>
      <c r="K2204" s="1" t="str">
        <f>IFERROR(__xludf.DUMMYFUNCTION("""COMPUTED_VALUE"""),"ortegoarnel4@gmail.com")</f>
        <v>ortegoarnel4@gmail.com</v>
      </c>
      <c r="L2204" s="1" t="str">
        <f>IFERROR(__xludf.DUMMYFUNCTION("""COMPUTED_VALUE"""),"3")</f>
        <v>3</v>
      </c>
      <c r="M2204" s="1" t="str">
        <f>IFERROR(__xludf.DUMMYFUNCTION("""COMPUTED_VALUE"""),"PUROK 7")</f>
        <v>PUROK 7</v>
      </c>
      <c r="N2204" s="1"/>
      <c r="O2204" s="1" t="str">
        <f>IFERROR(__xludf.DUMMYFUNCTION("""COMPUTED_VALUE"""),"BUCAL")</f>
        <v>BUCAL</v>
      </c>
      <c r="P2204" s="1" t="str">
        <f>IFERROR(__xludf.DUMMYFUNCTION("""COMPUTED_VALUE"""),"AMADEO")</f>
        <v>AMADEO</v>
      </c>
      <c r="Q2204" s="1" t="str">
        <f>IFERROR(__xludf.DUMMYFUNCTION("""COMPUTED_VALUE"""),"CAVITE")</f>
        <v>CAVITE</v>
      </c>
      <c r="R2204" s="1" t="str">
        <f>IFERROR(__xludf.DUMMYFUNCTION("""COMPUTED_VALUE"""),"FIBR UNLI ALL PLAN 999")</f>
        <v>FIBR UNLI ALL PLAN 999</v>
      </c>
      <c r="S2204" s="1" t="str">
        <f>IFERROR(__xludf.DUMMYFUNCTION("""COMPUTED_VALUE"""),"HOLD")</f>
        <v>HOLD</v>
      </c>
      <c r="T2204" s="1" t="str">
        <f>IFERROR(__xludf.DUMMYFUNCTION("""COMPUTED_VALUE"""),"#N/A")</f>
        <v>#N/A</v>
      </c>
      <c r="U2204" s="1"/>
      <c r="V2204" s="1"/>
      <c r="W2204" s="1"/>
    </row>
    <row r="2205" customHeight="1" spans="1:23">
      <c r="A2205" s="3">
        <f>IFERROR(__xludf.DUMMYFUNCTION("""COMPUTED_VALUE"""),46194)</f>
        <v>46194</v>
      </c>
      <c r="B2205" s="1" t="str">
        <f>IFERROR(__xludf.DUMMYFUNCTION("""COMPUTED_VALUE"""),"MAGDARAOG, KENNETH")</f>
        <v>MAGDARAOG, KENNETH</v>
      </c>
      <c r="C2205" s="1" t="str">
        <f>IFERROR(__xludf.DUMMYFUNCTION("""COMPUTED_VALUE"""),"ORGANIC")</f>
        <v>ORGANIC</v>
      </c>
      <c r="D2205" s="1" t="str">
        <f>IFERROR(__xludf.DUMMYFUNCTION("""COMPUTED_VALUE"""),"REMOLLO LEA")</f>
        <v>REMOLLO LEA</v>
      </c>
      <c r="E2205" s="1" t="str">
        <f>IFERROR(__xludf.DUMMYFUNCTION("""COMPUTED_VALUE"""),"PLDT / H2H")</f>
        <v>PLDT / H2H</v>
      </c>
      <c r="F2205" s="1">
        <f>IFERROR(__xludf.DUMMYFUNCTION("""COMPUTED_VALUE"""),2310377187)</f>
        <v>2310377187</v>
      </c>
      <c r="G2205" s="1"/>
      <c r="H2205" s="1" t="str">
        <f>IFERROR(__xludf.DUMMYFUNCTION("""COMPUTED_VALUE"""),"HERMINIA GAZA PENALES")</f>
        <v>HERMINIA GAZA PENALES</v>
      </c>
      <c r="I2205" s="1">
        <f>IFERROR(__xludf.DUMMYFUNCTION("""COMPUTED_VALUE"""),9385926071)</f>
        <v>9385926071</v>
      </c>
      <c r="J2205" s="1">
        <f>IFERROR(__xludf.DUMMYFUNCTION("""COMPUTED_VALUE"""),9309924426)</f>
        <v>9309924426</v>
      </c>
      <c r="K2205" s="1" t="str">
        <f>IFERROR(__xludf.DUMMYFUNCTION("""COMPUTED_VALUE"""),"silvaengardo3@gmail.com")</f>
        <v>silvaengardo3@gmail.com</v>
      </c>
      <c r="L2205" s="1" t="str">
        <f>IFERROR(__xludf.DUMMYFUNCTION("""COMPUTED_VALUE"""),"59")</f>
        <v>59</v>
      </c>
      <c r="M2205" s="1" t="str">
        <f>IFERROR(__xludf.DUMMYFUNCTION("""COMPUTED_VALUE"""),"GATPANDAN ")</f>
        <v>GATPANDAN </v>
      </c>
      <c r="N2205" s="1"/>
      <c r="O2205" s="1" t="str">
        <f>IFERROR(__xludf.DUMMYFUNCTION("""COMPUTED_VALUE"""),"ANULING CERCA II")</f>
        <v>ANULING CERCA II</v>
      </c>
      <c r="P2205" s="1" t="str">
        <f>IFERROR(__xludf.DUMMYFUNCTION("""COMPUTED_VALUE"""),"MENDEZ")</f>
        <v>MENDEZ</v>
      </c>
      <c r="Q2205" s="1" t="str">
        <f>IFERROR(__xludf.DUMMYFUNCTION("""COMPUTED_VALUE"""),"CAVITE")</f>
        <v>CAVITE</v>
      </c>
      <c r="R2205" s="1" t="str">
        <f>IFERROR(__xludf.DUMMYFUNCTION("""COMPUTED_VALUE"""),"FIBR UNLI ALL PLAN 999")</f>
        <v>FIBR UNLI ALL PLAN 999</v>
      </c>
      <c r="S2205" s="1" t="str">
        <f>IFERROR(__xludf.DUMMYFUNCTION("""COMPUTED_VALUE"""),"APPROVED")</f>
        <v>APPROVED</v>
      </c>
      <c r="T2205" s="1" t="str">
        <f>IFERROR(__xludf.DUMMYFUNCTION("""COMPUTED_VALUE"""),"#N/A")</f>
        <v>#N/A</v>
      </c>
      <c r="U2205" s="1" t="str">
        <f>IFERROR(__xludf.DUMMYFUNCTION("""COMPUTED_VALUE"""),"POSTED")</f>
        <v>POSTED</v>
      </c>
      <c r="V2205" s="1"/>
      <c r="W2205" s="1"/>
    </row>
    <row r="2206" customHeight="1" spans="1:23">
      <c r="A2206" s="3">
        <f>IFERROR(__xludf.DUMMYFUNCTION("""COMPUTED_VALUE"""),46194)</f>
        <v>46194</v>
      </c>
      <c r="B2206" s="1" t="str">
        <f>IFERROR(__xludf.DUMMYFUNCTION("""COMPUTED_VALUE"""),"ESCARCHA, MA ALMA  ESCOTO")</f>
        <v>ESCARCHA, MA ALMA  ESCOTO</v>
      </c>
      <c r="C2206" s="1" t="str">
        <f>IFERROR(__xludf.DUMMYFUNCTION("""COMPUTED_VALUE"""),"ORGANIC")</f>
        <v>ORGANIC</v>
      </c>
      <c r="D2206" s="1" t="str">
        <f>IFERROR(__xludf.DUMMYFUNCTION("""COMPUTED_VALUE"""),"REMOLLO LEA")</f>
        <v>REMOLLO LEA</v>
      </c>
      <c r="E2206" s="1" t="str">
        <f>IFERROR(__xludf.DUMMYFUNCTION("""COMPUTED_VALUE"""),"PLDT / H2H")</f>
        <v>PLDT / H2H</v>
      </c>
      <c r="F2206" s="1">
        <f>IFERROR(__xludf.DUMMYFUNCTION("""COMPUTED_VALUE"""),2310374165)</f>
        <v>2310374165</v>
      </c>
      <c r="G2206" s="1"/>
      <c r="H2206" s="1" t="str">
        <f>IFERROR(__xludf.DUMMYFUNCTION("""COMPUTED_VALUE"""),"ADRIANO JR ROSAL MISOLES")</f>
        <v>ADRIANO JR ROSAL MISOLES</v>
      </c>
      <c r="I2206" s="1">
        <f>IFERROR(__xludf.DUMMYFUNCTION("""COMPUTED_VALUE"""),9936567971)</f>
        <v>9936567971</v>
      </c>
      <c r="J2206" s="1"/>
      <c r="K2206" s="1" t="str">
        <f>IFERROR(__xludf.DUMMYFUNCTION("""COMPUTED_VALUE"""),"bugsadriano2@gmail.com")</f>
        <v>bugsadriano2@gmail.com</v>
      </c>
      <c r="L2206" s="1" t="str">
        <f>IFERROR(__xludf.DUMMYFUNCTION("""COMPUTED_VALUE"""),"24")</f>
        <v>24</v>
      </c>
      <c r="M2206" s="1" t="str">
        <f>IFERROR(__xludf.DUMMYFUNCTION("""COMPUTED_VALUE"""),"PALIGAWAN ")</f>
        <v>PALIGAWAN </v>
      </c>
      <c r="N2206" s="1"/>
      <c r="O2206" s="1" t="str">
        <f>IFERROR(__xludf.DUMMYFUNCTION("""COMPUTED_VALUE"""),"LANTIC")</f>
        <v>LANTIC</v>
      </c>
      <c r="P2206" s="1" t="str">
        <f>IFERROR(__xludf.DUMMYFUNCTION("""COMPUTED_VALUE"""),"CARMONA")</f>
        <v>CARMONA</v>
      </c>
      <c r="Q2206" s="1" t="str">
        <f>IFERROR(__xludf.DUMMYFUNCTION("""COMPUTED_VALUE"""),"CAVITE")</f>
        <v>CAVITE</v>
      </c>
      <c r="R2206" s="1" t="str">
        <f>IFERROR(__xludf.DUMMYFUNCTION("""COMPUTED_VALUE"""),"FIBR UNLI ALL PLAN 999")</f>
        <v>FIBR UNLI ALL PLAN 999</v>
      </c>
      <c r="S2206" s="1" t="str">
        <f>IFERROR(__xludf.DUMMYFUNCTION("""COMPUTED_VALUE"""),"APPROVED")</f>
        <v>APPROVED</v>
      </c>
      <c r="T2206" s="1" t="str">
        <f>IFERROR(__xludf.DUMMYFUNCTION("""COMPUTED_VALUE"""),"#N/A")</f>
        <v>#N/A</v>
      </c>
      <c r="U2206" s="1" t="str">
        <f>IFERROR(__xludf.DUMMYFUNCTION("""COMPUTED_VALUE"""),"POSTED")</f>
        <v>POSTED</v>
      </c>
      <c r="V2206" s="1"/>
      <c r="W2206" s="1"/>
    </row>
    <row r="2207" customHeight="1" spans="1:23">
      <c r="A2207" s="3">
        <f>IFERROR(__xludf.DUMMYFUNCTION("""COMPUTED_VALUE"""),46194)</f>
        <v>46194</v>
      </c>
      <c r="B2207" s="1" t="str">
        <f>IFERROR(__xludf.DUMMYFUNCTION("""COMPUTED_VALUE"""),"DELA ROSA, JENNELYN")</f>
        <v>DELA ROSA, JENNELYN</v>
      </c>
      <c r="C2207" s="1" t="str">
        <f>IFERROR(__xludf.DUMMYFUNCTION("""COMPUTED_VALUE"""),"ORGANIC")</f>
        <v>ORGANIC</v>
      </c>
      <c r="D2207" s="1" t="str">
        <f>IFERROR(__xludf.DUMMYFUNCTION("""COMPUTED_VALUE"""),"REMOLLO LEA")</f>
        <v>REMOLLO LEA</v>
      </c>
      <c r="E2207" s="1" t="str">
        <f>IFERROR(__xludf.DUMMYFUNCTION("""COMPUTED_VALUE"""),"PLDT / H2H")</f>
        <v>PLDT / H2H</v>
      </c>
      <c r="F2207" s="1">
        <f>IFERROR(__xludf.DUMMYFUNCTION("""COMPUTED_VALUE"""),2310378306)</f>
        <v>2310378306</v>
      </c>
      <c r="G2207" s="1"/>
      <c r="H2207" s="1" t="str">
        <f>IFERROR(__xludf.DUMMYFUNCTION("""COMPUTED_VALUE"""),"ERIKA JOY AQUINO DETERA")</f>
        <v>ERIKA JOY AQUINO DETERA</v>
      </c>
      <c r="I2207" s="1">
        <f>IFERROR(__xludf.DUMMYFUNCTION("""COMPUTED_VALUE"""),9537827191)</f>
        <v>9537827191</v>
      </c>
      <c r="J2207" s="1"/>
      <c r="K2207" s="1" t="str">
        <f>IFERROR(__xludf.DUMMYFUNCTION("""COMPUTED_VALUE"""),"santosandreamarie@gmil.com")</f>
        <v>santosandreamarie@gmil.com</v>
      </c>
      <c r="L2207" s="1" t="str">
        <f>IFERROR(__xludf.DUMMYFUNCTION("""COMPUTED_VALUE"""),"130")</f>
        <v>130</v>
      </c>
      <c r="M2207" s="1" t="str">
        <f>IFERROR(__xludf.DUMMYFUNCTION("""COMPUTED_VALUE"""),"PUROK 5")</f>
        <v>PUROK 5</v>
      </c>
      <c r="N2207" s="1"/>
      <c r="O2207" s="1" t="str">
        <f>IFERROR(__xludf.DUMMYFUNCTION("""COMPUTED_VALUE"""),"LITLIT")</f>
        <v>LITLIT</v>
      </c>
      <c r="P2207" s="1" t="str">
        <f>IFERROR(__xludf.DUMMYFUNCTION("""COMPUTED_VALUE"""),"SILANG")</f>
        <v>SILANG</v>
      </c>
      <c r="Q2207" s="1" t="str">
        <f>IFERROR(__xludf.DUMMYFUNCTION("""COMPUTED_VALUE"""),"CAVITE")</f>
        <v>CAVITE</v>
      </c>
      <c r="R2207" s="1" t="str">
        <f>IFERROR(__xludf.DUMMYFUNCTION("""COMPUTED_VALUE"""),"FIBR UNLI ALL PLAN 999")</f>
        <v>FIBR UNLI ALL PLAN 999</v>
      </c>
      <c r="S2207" s="1" t="str">
        <f>IFERROR(__xludf.DUMMYFUNCTION("""COMPUTED_VALUE"""),"APPROVED")</f>
        <v>APPROVED</v>
      </c>
      <c r="T2207" s="1" t="str">
        <f>IFERROR(__xludf.DUMMYFUNCTION("""COMPUTED_VALUE"""),"#N/A")</f>
        <v>#N/A</v>
      </c>
      <c r="U2207" s="1" t="str">
        <f>IFERROR(__xludf.DUMMYFUNCTION("""COMPUTED_VALUE"""),"POSTED")</f>
        <v>POSTED</v>
      </c>
      <c r="V2207" s="1"/>
      <c r="W2207" s="1"/>
    </row>
    <row r="2208" customHeight="1" spans="1:23">
      <c r="A2208" s="3">
        <f>IFERROR(__xludf.DUMMYFUNCTION("""COMPUTED_VALUE"""),46194)</f>
        <v>46194</v>
      </c>
      <c r="B2208" s="1" t="str">
        <f>IFERROR(__xludf.DUMMYFUNCTION("""COMPUTED_VALUE"""),"RIVERA, AIRIZH JOY")</f>
        <v>RIVERA, AIRIZH JOY</v>
      </c>
      <c r="C2208" s="1" t="str">
        <f>IFERROR(__xludf.DUMMYFUNCTION("""COMPUTED_VALUE"""),"ORGANIC")</f>
        <v>ORGANIC</v>
      </c>
      <c r="D2208" s="1" t="str">
        <f>IFERROR(__xludf.DUMMYFUNCTION("""COMPUTED_VALUE"""),"REMOLLO LEA")</f>
        <v>REMOLLO LEA</v>
      </c>
      <c r="E2208" s="1" t="str">
        <f>IFERROR(__xludf.DUMMYFUNCTION("""COMPUTED_VALUE"""),"PLDT / ONLINE")</f>
        <v>PLDT / ONLINE</v>
      </c>
      <c r="F2208" s="1">
        <f>IFERROR(__xludf.DUMMYFUNCTION("""COMPUTED_VALUE"""),2310392302)</f>
        <v>2310392302</v>
      </c>
      <c r="G2208" s="1">
        <f>IFERROR(__xludf.DUMMYFUNCTION("""COMPUTED_VALUE"""),459647722004)</f>
        <v>459647722004</v>
      </c>
      <c r="H2208" s="1" t="str">
        <f>IFERROR(__xludf.DUMMYFUNCTION("""COMPUTED_VALUE"""),"DANILO III DELACRUZ BUENAFLOR")</f>
        <v>DANILO III DELACRUZ BUENAFLOR</v>
      </c>
      <c r="I2208" s="1">
        <f>IFERROR(__xludf.DUMMYFUNCTION("""COMPUTED_VALUE"""),9351552630)</f>
        <v>9351552630</v>
      </c>
      <c r="J2208" s="1">
        <f>IFERROR(__xludf.DUMMYFUNCTION("""COMPUTED_VALUE"""),9057708630)</f>
        <v>9057708630</v>
      </c>
      <c r="K2208" s="1" t="str">
        <f>IFERROR(__xludf.DUMMYFUNCTION("""COMPUTED_VALUE"""),"danilodelacruzbuenaflor@yahoo.com")</f>
        <v>danilodelacruzbuenaflor@yahoo.com</v>
      </c>
      <c r="L2208" s="1" t="str">
        <f>IFERROR(__xludf.DUMMYFUNCTION("""COMPUTED_VALUE"""),"809")</f>
        <v>809</v>
      </c>
      <c r="M2208" s="1" t="str">
        <f>IFERROR(__xludf.DUMMYFUNCTION("""COMPUTED_VALUE"""),"BASA ST")</f>
        <v>BASA ST</v>
      </c>
      <c r="N2208" s="1"/>
      <c r="O2208" s="1" t="str">
        <f>IFERROR(__xludf.DUMMYFUNCTION("""COMPUTED_VALUE"""),"BARANGAY 54 (PECHAY)")</f>
        <v>BARANGAY 54 (PECHAY)</v>
      </c>
      <c r="P2208" s="1" t="str">
        <f>IFERROR(__xludf.DUMMYFUNCTION("""COMPUTED_VALUE"""),"CAVITE CITY")</f>
        <v>CAVITE CITY</v>
      </c>
      <c r="Q2208" s="1" t="str">
        <f>IFERROR(__xludf.DUMMYFUNCTION("""COMPUTED_VALUE"""),"CAVITE")</f>
        <v>CAVITE</v>
      </c>
      <c r="R2208" s="1" t="str">
        <f>IFERROR(__xludf.DUMMYFUNCTION("""COMPUTED_VALUE"""),"FIBR NETFLIX PLAN 1599")</f>
        <v>FIBR NETFLIX PLAN 1599</v>
      </c>
      <c r="S2208" s="1" t="str">
        <f>IFERROR(__xludf.DUMMYFUNCTION("""COMPUTED_VALUE"""),"APPROVED")</f>
        <v>APPROVED</v>
      </c>
      <c r="T2208" s="1" t="str">
        <f>IFERROR(__xludf.DUMMYFUNCTION("""COMPUTED_VALUE"""),"#N/A")</f>
        <v>#N/A</v>
      </c>
      <c r="U2208" s="1"/>
      <c r="V2208" s="1"/>
      <c r="W2208" s="1"/>
    </row>
    <row r="2209" customHeight="1" spans="1:23">
      <c r="A2209" s="3">
        <f>IFERROR(__xludf.DUMMYFUNCTION("""COMPUTED_VALUE"""),46195)</f>
        <v>46195</v>
      </c>
      <c r="B2209" s="1" t="str">
        <f>IFERROR(__xludf.DUMMYFUNCTION("""COMPUTED_VALUE"""),"OPS JHONDEE")</f>
        <v>OPS JHONDEE</v>
      </c>
      <c r="C2209" s="1" t="str">
        <f>IFERROR(__xludf.DUMMYFUNCTION("""COMPUTED_VALUE"""),"LEADSTORE")</f>
        <v>LEADSTORE</v>
      </c>
      <c r="D2209" s="1" t="str">
        <f>IFERROR(__xludf.DUMMYFUNCTION("""COMPUTED_VALUE"""),"JERIC NAVARRO")</f>
        <v>JERIC NAVARRO</v>
      </c>
      <c r="E2209" s="1" t="str">
        <f>IFERROR(__xludf.DUMMYFUNCTION("""COMPUTED_VALUE"""),"PLDT / ONLINE")</f>
        <v>PLDT / ONLINE</v>
      </c>
      <c r="F2209" s="1">
        <f>IFERROR(__xludf.DUMMYFUNCTION("""COMPUTED_VALUE"""),2310393997)</f>
        <v>2310393997</v>
      </c>
      <c r="G2209" s="1">
        <f>IFERROR(__xludf.DUMMYFUNCTION("""COMPUTED_VALUE"""),459656344004)</f>
        <v>459656344004</v>
      </c>
      <c r="H2209" s="1" t="str">
        <f>IFERROR(__xludf.DUMMYFUNCTION("""COMPUTED_VALUE"""),"KATRINA CAMILLE CANTAL VENZON")</f>
        <v>KATRINA CAMILLE CANTAL VENZON</v>
      </c>
      <c r="I2209" s="1">
        <f>IFERROR(__xludf.DUMMYFUNCTION("""COMPUTED_VALUE"""),639273856714)</f>
        <v>639273856714</v>
      </c>
      <c r="J2209" s="1"/>
      <c r="K2209" s="1" t="str">
        <f>IFERROR(__xludf.DUMMYFUNCTION("""COMPUTED_VALUE"""),"katrina_camille04@yahoo.com")</f>
        <v>katrina_camille04@yahoo.com</v>
      </c>
      <c r="L2209" s="1" t="str">
        <f>IFERROR(__xludf.DUMMYFUNCTION("""COMPUTED_VALUE"""),"9015")</f>
        <v>9015</v>
      </c>
      <c r="M2209" s="1" t="str">
        <f>IFERROR(__xludf.DUMMYFUNCTION("""COMPUTED_VALUE"""),"ANCIADO COMPOUND")</f>
        <v>ANCIADO COMPOUND</v>
      </c>
      <c r="N2209" s="1" t="str">
        <f>IFERROR(__xludf.DUMMYFUNCTION("""COMPUTED_VALUE"""),"PUROK 4")</f>
        <v>PUROK 4</v>
      </c>
      <c r="O2209" s="1" t="str">
        <f>IFERROR(__xludf.DUMMYFUNCTION("""COMPUTED_VALUE"""),"BALITE I")</f>
        <v>BALITE I</v>
      </c>
      <c r="P2209" s="1" t="str">
        <f>IFERROR(__xludf.DUMMYFUNCTION("""COMPUTED_VALUE"""),"SILANG")</f>
        <v>SILANG</v>
      </c>
      <c r="Q2209" s="1" t="str">
        <f>IFERROR(__xludf.DUMMYFUNCTION("""COMPUTED_VALUE"""),"CAVITE")</f>
        <v>CAVITE</v>
      </c>
      <c r="R2209" s="1" t="str">
        <f>IFERROR(__xludf.DUMMYFUNCTION("""COMPUTED_VALUE"""),"FIBR PLAN 1299")</f>
        <v>FIBR PLAN 1299</v>
      </c>
      <c r="S2209" s="1" t="str">
        <f>IFERROR(__xludf.DUMMYFUNCTION("""COMPUTED_VALUE"""),"APPROVED")</f>
        <v>APPROVED</v>
      </c>
      <c r="T2209" s="1" t="str">
        <f>IFERROR(__xludf.DUMMYFUNCTION("""COMPUTED_VALUE"""),"#N/A")</f>
        <v>#N/A</v>
      </c>
      <c r="U2209" s="1" t="str">
        <f>IFERROR(__xludf.DUMMYFUNCTION("""COMPUTED_VALUE"""),"POSTED")</f>
        <v>POSTED</v>
      </c>
      <c r="V2209" s="1"/>
      <c r="W2209" s="1"/>
    </row>
    <row r="2210" customHeight="1" spans="1:23">
      <c r="A2210" s="3">
        <f>IFERROR(__xludf.DUMMYFUNCTION("""COMPUTED_VALUE"""),46195)</f>
        <v>46195</v>
      </c>
      <c r="B2210" s="1" t="str">
        <f>IFERROR(__xludf.DUMMYFUNCTION("""COMPUTED_VALUE"""),"MALIWAT MARK ELVIN")</f>
        <v>MALIWAT MARK ELVIN</v>
      </c>
      <c r="C2210" s="1" t="str">
        <f>IFERROR(__xludf.DUMMYFUNCTION("""COMPUTED_VALUE"""),"FLA")</f>
        <v>FLA</v>
      </c>
      <c r="D2210" s="1" t="str">
        <f>IFERROR(__xludf.DUMMYFUNCTION("""COMPUTED_VALUE"""),"JERIC NAVARRO")</f>
        <v>JERIC NAVARRO</v>
      </c>
      <c r="E2210" s="1" t="str">
        <f>IFERROR(__xludf.DUMMYFUNCTION("""COMPUTED_VALUE"""),"PLDT / ONLINE")</f>
        <v>PLDT / ONLINE</v>
      </c>
      <c r="F2210" s="1">
        <f>IFERROR(__xludf.DUMMYFUNCTION("""COMPUTED_VALUE"""),2310394975)</f>
        <v>2310394975</v>
      </c>
      <c r="G2210" s="1">
        <f>IFERROR(__xludf.DUMMYFUNCTION("""COMPUTED_VALUE"""),459657821004)</f>
        <v>459657821004</v>
      </c>
      <c r="H2210" s="1" t="str">
        <f>IFERROR(__xludf.DUMMYFUNCTION("""COMPUTED_VALUE"""),"CHONA SOLOMON PARAISO")</f>
        <v>CHONA SOLOMON PARAISO</v>
      </c>
      <c r="I2210" s="1">
        <f>IFERROR(__xludf.DUMMYFUNCTION("""COMPUTED_VALUE"""),639175659540)</f>
        <v>639175659540</v>
      </c>
      <c r="J2210" s="1"/>
      <c r="K2210" s="1" t="str">
        <f>IFERROR(__xludf.DUMMYFUNCTION("""COMPUTED_VALUE"""),"paraisochcona@yahoo.com")</f>
        <v>paraisochcona@yahoo.com</v>
      </c>
      <c r="L2210" s="1" t="str">
        <f>IFERROR(__xludf.DUMMYFUNCTION("""COMPUTED_VALUE"""),"140")</f>
        <v>140</v>
      </c>
      <c r="M2210" s="1" t="str">
        <f>IFERROR(__xludf.DUMMYFUNCTION("""COMPUTED_VALUE"""),"PF ESPIRITU 4")</f>
        <v>PF ESPIRITU 4</v>
      </c>
      <c r="N2210" s="1"/>
      <c r="O2210" s="1" t="str">
        <f>IFERROR(__xludf.DUMMYFUNCTION("""COMPUTED_VALUE"""),"P.F. ESPIRITU IV")</f>
        <v>P.F. ESPIRITU IV</v>
      </c>
      <c r="P2210" s="1" t="str">
        <f>IFERROR(__xludf.DUMMYFUNCTION("""COMPUTED_VALUE"""),"BACOOR")</f>
        <v>BACOOR</v>
      </c>
      <c r="Q2210" s="1" t="str">
        <f>IFERROR(__xludf.DUMMYFUNCTION("""COMPUTED_VALUE"""),"CAVITE")</f>
        <v>CAVITE</v>
      </c>
      <c r="R2210" s="1" t="str">
        <f>IFERROR(__xludf.DUMMYFUNCTION("""COMPUTED_VALUE"""),"FIBR PLAN 1699")</f>
        <v>FIBR PLAN 1699</v>
      </c>
      <c r="S2210" s="1" t="str">
        <f>IFERROR(__xludf.DUMMYFUNCTION("""COMPUTED_VALUE"""),"APPROVED")</f>
        <v>APPROVED</v>
      </c>
      <c r="T2210" s="1" t="str">
        <f>IFERROR(__xludf.DUMMYFUNCTION("""COMPUTED_VALUE"""),"#N/A")</f>
        <v>#N/A</v>
      </c>
      <c r="U2210" s="1"/>
      <c r="V2210" s="1"/>
      <c r="W2210" s="1"/>
    </row>
    <row r="2211" customHeight="1" spans="1:23">
      <c r="A2211" s="3">
        <f>IFERROR(__xludf.DUMMYFUNCTION("""COMPUTED_VALUE"""),46195)</f>
        <v>46195</v>
      </c>
      <c r="B2211" s="1" t="str">
        <f>IFERROR(__xludf.DUMMYFUNCTION("""COMPUTED_VALUE"""),"REMOLLO, LEA")</f>
        <v>REMOLLO, LEA</v>
      </c>
      <c r="C2211" s="1" t="str">
        <f>IFERROR(__xludf.DUMMYFUNCTION("""COMPUTED_VALUE"""),"LEADSTORE")</f>
        <v>LEADSTORE</v>
      </c>
      <c r="D2211" s="1" t="str">
        <f>IFERROR(__xludf.DUMMYFUNCTION("""COMPUTED_VALUE"""),"JERIC NAVARRO")</f>
        <v>JERIC NAVARRO</v>
      </c>
      <c r="E2211" s="1" t="str">
        <f>IFERROR(__xludf.DUMMYFUNCTION("""COMPUTED_VALUE"""),"PLDT / ONLINE")</f>
        <v>PLDT / ONLINE</v>
      </c>
      <c r="F2211" s="1">
        <f>IFERROR(__xludf.DUMMYFUNCTION("""COMPUTED_VALUE"""),2310396277)</f>
        <v>2310396277</v>
      </c>
      <c r="G2211" s="1">
        <f>IFERROR(__xludf.DUMMYFUNCTION("""COMPUTED_VALUE"""),459659141004)</f>
        <v>459659141004</v>
      </c>
      <c r="H2211" s="1" t="str">
        <f>IFERROR(__xludf.DUMMYFUNCTION("""COMPUTED_VALUE"""),"DONALD MANALO PANGANIBAN")</f>
        <v>DONALD MANALO PANGANIBAN</v>
      </c>
      <c r="I2211" s="1">
        <f>IFERROR(__xludf.DUMMYFUNCTION("""COMPUTED_VALUE"""),639328432199)</f>
        <v>639328432199</v>
      </c>
      <c r="J2211" s="1"/>
      <c r="K2211" s="1" t="str">
        <f>IFERROR(__xludf.DUMMYFUNCTION("""COMPUTED_VALUE"""),"donaldpanganiban@gmail.com")</f>
        <v>donaldpanganiban@gmail.com</v>
      </c>
      <c r="L2211" s="1" t="str">
        <f>IFERROR(__xludf.DUMMYFUNCTION("""COMPUTED_VALUE"""),"9547")</f>
        <v>9547</v>
      </c>
      <c r="M2211" s="1" t="str">
        <f>IFERROR(__xludf.DUMMYFUNCTION("""COMPUTED_VALUE"""),"J P RIZAL")</f>
        <v>J P RIZAL</v>
      </c>
      <c r="N2211" s="1"/>
      <c r="O2211" s="1" t="str">
        <f>IFERROR(__xludf.DUMMYFUNCTION("""COMPUTED_VALUE"""),"BARANGAY 1 (POB.)")</f>
        <v>BARANGAY 1 (POB.)</v>
      </c>
      <c r="P2211" s="1" t="str">
        <f>IFERROR(__xludf.DUMMYFUNCTION("""COMPUTED_VALUE"""),"MENDEZ")</f>
        <v>MENDEZ</v>
      </c>
      <c r="Q2211" s="1" t="str">
        <f>IFERROR(__xludf.DUMMYFUNCTION("""COMPUTED_VALUE"""),"CAVITE")</f>
        <v>CAVITE</v>
      </c>
      <c r="R2211" s="1" t="str">
        <f>IFERROR(__xludf.DUMMYFUNCTION("""COMPUTED_VALUE"""),"FIBR PLAN 1299")</f>
        <v>FIBR PLAN 1299</v>
      </c>
      <c r="S2211" s="1" t="str">
        <f>IFERROR(__xludf.DUMMYFUNCTION("""COMPUTED_VALUE"""),"APPROVED")</f>
        <v>APPROVED</v>
      </c>
      <c r="T2211" s="1" t="str">
        <f>IFERROR(__xludf.DUMMYFUNCTION("""COMPUTED_VALUE"""),"#N/A")</f>
        <v>#N/A</v>
      </c>
      <c r="U2211" s="1" t="str">
        <f>IFERROR(__xludf.DUMMYFUNCTION("""COMPUTED_VALUE"""),"POSTED")</f>
        <v>POSTED</v>
      </c>
      <c r="V2211" s="1"/>
      <c r="W2211" s="1"/>
    </row>
    <row r="2212" customHeight="1" spans="1:23">
      <c r="A2212" s="3">
        <f>IFERROR(__xludf.DUMMYFUNCTION("""COMPUTED_VALUE"""),46195)</f>
        <v>46195</v>
      </c>
      <c r="B2212" s="1" t="str">
        <f>IFERROR(__xludf.DUMMYFUNCTION("""COMPUTED_VALUE"""),"MANARIN, PETER")</f>
        <v>MANARIN, PETER</v>
      </c>
      <c r="C2212" s="1" t="str">
        <f>IFERROR(__xludf.DUMMYFUNCTION("""COMPUTED_VALUE"""),"ORGANIC")</f>
        <v>ORGANIC</v>
      </c>
      <c r="D2212" s="1" t="str">
        <f>IFERROR(__xludf.DUMMYFUNCTION("""COMPUTED_VALUE"""),"REMOLLO LEA")</f>
        <v>REMOLLO LEA</v>
      </c>
      <c r="E2212" s="1" t="str">
        <f>IFERROR(__xludf.DUMMYFUNCTION("""COMPUTED_VALUE"""),"PLDT / H2H")</f>
        <v>PLDT / H2H</v>
      </c>
      <c r="F2212" s="1">
        <f>IFERROR(__xludf.DUMMYFUNCTION("""COMPUTED_VALUE"""),2310399787)</f>
        <v>2310399787</v>
      </c>
      <c r="G2212" s="1">
        <f>IFERROR(__xludf.DUMMYFUNCTION("""COMPUTED_VALUE"""),459661015004)</f>
        <v>459661015004</v>
      </c>
      <c r="H2212" s="1" t="str">
        <f>IFERROR(__xludf.DUMMYFUNCTION("""COMPUTED_VALUE"""),"LEONARDA GONZALES MOJICA")</f>
        <v>LEONARDA GONZALES MOJICA</v>
      </c>
      <c r="I2212" s="1">
        <f>IFERROR(__xludf.DUMMYFUNCTION("""COMPUTED_VALUE"""),9169169005)</f>
        <v>9169169005</v>
      </c>
      <c r="J2212" s="1">
        <f>IFERROR(__xludf.DUMMYFUNCTION("""COMPUTED_VALUE"""),9362739670)</f>
        <v>9362739670</v>
      </c>
      <c r="K2212" s="1" t="str">
        <f>IFERROR(__xludf.DUMMYFUNCTION("""COMPUTED_VALUE"""),"anagonzalezmojica15@gmail.com")</f>
        <v>anagonzalezmojica15@gmail.com</v>
      </c>
      <c r="L2212" s="1" t="str">
        <f>IFERROR(__xludf.DUMMYFUNCTION("""COMPUTED_VALUE"""),"915")</f>
        <v>915</v>
      </c>
      <c r="M2212" s="1" t="str">
        <f>IFERROR(__xludf.DUMMYFUNCTION("""COMPUTED_VALUE"""),"KAYSUYO RD")</f>
        <v>KAYSUYO RD</v>
      </c>
      <c r="N2212" s="1"/>
      <c r="O2212" s="1" t="str">
        <f>IFERROR(__xludf.DUMMYFUNCTION("""COMPUTED_VALUE"""),"KAYSUYO")</f>
        <v>KAYSUYO</v>
      </c>
      <c r="P2212" s="1" t="str">
        <f>IFERROR(__xludf.DUMMYFUNCTION("""COMPUTED_VALUE"""),"ALFONSO")</f>
        <v>ALFONSO</v>
      </c>
      <c r="Q2212" s="1" t="str">
        <f>IFERROR(__xludf.DUMMYFUNCTION("""COMPUTED_VALUE"""),"CAVITE")</f>
        <v>CAVITE</v>
      </c>
      <c r="R2212" s="1" t="str">
        <f>IFERROR(__xludf.DUMMYFUNCTION("""COMPUTED_VALUE"""),"FIBR UNLI ALL PLAN 999")</f>
        <v>FIBR UNLI ALL PLAN 999</v>
      </c>
      <c r="S2212" s="1" t="str">
        <f>IFERROR(__xludf.DUMMYFUNCTION("""COMPUTED_VALUE"""),"APPROVED")</f>
        <v>APPROVED</v>
      </c>
      <c r="T2212" s="1" t="str">
        <f>IFERROR(__xludf.DUMMYFUNCTION("""COMPUTED_VALUE"""),"#N/A")</f>
        <v>#N/A</v>
      </c>
      <c r="U2212" s="1" t="str">
        <f>IFERROR(__xludf.DUMMYFUNCTION("""COMPUTED_VALUE"""),"POSTED")</f>
        <v>POSTED</v>
      </c>
      <c r="V2212" s="1"/>
      <c r="W2212" s="1"/>
    </row>
    <row r="2213" customHeight="1" spans="1:23">
      <c r="A2213" s="3">
        <f>IFERROR(__xludf.DUMMYFUNCTION("""COMPUTED_VALUE"""),46195)</f>
        <v>46195</v>
      </c>
      <c r="B2213" s="1" t="str">
        <f>IFERROR(__xludf.DUMMYFUNCTION("""COMPUTED_VALUE"""),"CASTILLEJOS, ARREL")</f>
        <v>CASTILLEJOS, ARREL</v>
      </c>
      <c r="C2213" s="1" t="str">
        <f>IFERROR(__xludf.DUMMYFUNCTION("""COMPUTED_VALUE"""),"ORGANIC")</f>
        <v>ORGANIC</v>
      </c>
      <c r="D2213" s="1" t="str">
        <f>IFERROR(__xludf.DUMMYFUNCTION("""COMPUTED_VALUE"""),"REMOLLO LEA")</f>
        <v>REMOLLO LEA</v>
      </c>
      <c r="E2213" s="1" t="str">
        <f>IFERROR(__xludf.DUMMYFUNCTION("""COMPUTED_VALUE"""),"PLDT / H2H")</f>
        <v>PLDT / H2H</v>
      </c>
      <c r="F2213" s="1">
        <f>IFERROR(__xludf.DUMMYFUNCTION("""COMPUTED_VALUE"""),2310404190)</f>
        <v>2310404190</v>
      </c>
      <c r="G2213" s="1">
        <f>IFERROR(__xludf.DUMMYFUNCTION("""COMPUTED_VALUE"""),459665569004)</f>
        <v>459665569004</v>
      </c>
      <c r="H2213" s="1" t="str">
        <f>IFERROR(__xludf.DUMMYFUNCTION("""COMPUTED_VALUE"""),"RHEGINE AQUINO MORADA")</f>
        <v>RHEGINE AQUINO MORADA</v>
      </c>
      <c r="I2213" s="1">
        <f>IFERROR(__xludf.DUMMYFUNCTION("""COMPUTED_VALUE"""),9496718773)</f>
        <v>9496718773</v>
      </c>
      <c r="J2213" s="1"/>
      <c r="K2213" s="1" t="str">
        <f>IFERROR(__xludf.DUMMYFUNCTION("""COMPUTED_VALUE"""),"rheginemorada@gmail.com")</f>
        <v>rheginemorada@gmail.com</v>
      </c>
      <c r="L2213" s="1" t="str">
        <f>IFERROR(__xludf.DUMMYFUNCTION("""COMPUTED_VALUE"""),"22")</f>
        <v>22</v>
      </c>
      <c r="M2213" s="1" t="str">
        <f>IFERROR(__xludf.DUMMYFUNCTION("""COMPUTED_VALUE"""),"BY PASS RD")</f>
        <v>BY PASS RD</v>
      </c>
      <c r="N2213" s="1"/>
      <c r="O2213" s="1" t="str">
        <f>IFERROR(__xludf.DUMMYFUNCTION("""COMPUTED_VALUE"""),"BARANGAY 1 (POB.)")</f>
        <v>BARANGAY 1 (POB.)</v>
      </c>
      <c r="P2213" s="1" t="str">
        <f>IFERROR(__xludf.DUMMYFUNCTION("""COMPUTED_VALUE"""),"AMADEO")</f>
        <v>AMADEO</v>
      </c>
      <c r="Q2213" s="1" t="str">
        <f>IFERROR(__xludf.DUMMYFUNCTION("""COMPUTED_VALUE"""),"CAVITE")</f>
        <v>CAVITE</v>
      </c>
      <c r="R2213" s="1" t="str">
        <f>IFERROR(__xludf.DUMMYFUNCTION("""COMPUTED_VALUE"""),"FIBR PLAN 1299")</f>
        <v>FIBR PLAN 1299</v>
      </c>
      <c r="S2213" s="1" t="str">
        <f>IFERROR(__xludf.DUMMYFUNCTION("""COMPUTED_VALUE"""),"APPROVED")</f>
        <v>APPROVED</v>
      </c>
      <c r="T2213" s="1" t="str">
        <f>IFERROR(__xludf.DUMMYFUNCTION("""COMPUTED_VALUE"""),"#N/A")</f>
        <v>#N/A</v>
      </c>
      <c r="U2213" s="1" t="str">
        <f>IFERROR(__xludf.DUMMYFUNCTION("""COMPUTED_VALUE"""),"POSTED")</f>
        <v>POSTED</v>
      </c>
      <c r="V2213" s="1"/>
      <c r="W2213" s="1"/>
    </row>
    <row r="2214" customHeight="1" spans="1:23">
      <c r="A2214" s="3">
        <f>IFERROR(__xludf.DUMMYFUNCTION("""COMPUTED_VALUE"""),46195)</f>
        <v>46195</v>
      </c>
      <c r="B2214" s="1" t="str">
        <f>IFERROR(__xludf.DUMMYFUNCTION("""COMPUTED_VALUE"""),"DELACRUZ, AMARA")</f>
        <v>DELACRUZ, AMARA</v>
      </c>
      <c r="C2214" s="1" t="str">
        <f>IFERROR(__xludf.DUMMYFUNCTION("""COMPUTED_VALUE"""),"ORGANIC")</f>
        <v>ORGANIC</v>
      </c>
      <c r="D2214" s="1" t="str">
        <f>IFERROR(__xludf.DUMMYFUNCTION("""COMPUTED_VALUE"""),"REMOLLO LEA")</f>
        <v>REMOLLO LEA</v>
      </c>
      <c r="E2214" s="1" t="str">
        <f>IFERROR(__xludf.DUMMYFUNCTION("""COMPUTED_VALUE"""),"PLDT / H2H")</f>
        <v>PLDT / H2H</v>
      </c>
      <c r="F2214" s="1"/>
      <c r="G2214" s="1"/>
      <c r="H2214" s="1" t="str">
        <f>IFERROR(__xludf.DUMMYFUNCTION("""COMPUTED_VALUE"""),"CARYL ANNE PAGKALINAWAN ALIVIA")</f>
        <v>CARYL ANNE PAGKALINAWAN ALIVIA</v>
      </c>
      <c r="I2214" s="1">
        <f>IFERROR(__xludf.DUMMYFUNCTION("""COMPUTED_VALUE"""),9915765923)</f>
        <v>9915765923</v>
      </c>
      <c r="J2214" s="1">
        <f>IFERROR(__xludf.DUMMYFUNCTION("""COMPUTED_VALUE"""),9915765591)</f>
        <v>9915765591</v>
      </c>
      <c r="K2214" s="1" t="str">
        <f>IFERROR(__xludf.DUMMYFUNCTION("""COMPUTED_VALUE"""),"caryl1951@gmail.com")</f>
        <v>caryl1951@gmail.com</v>
      </c>
      <c r="L2214" s="1" t="str">
        <f>IFERROR(__xludf.DUMMYFUNCTION("""COMPUTED_VALUE"""),"BLK 1 LOT 40")</f>
        <v>BLK 1 LOT 40</v>
      </c>
      <c r="M2214" s="1" t="str">
        <f>IFERROR(__xludf.DUMMYFUNCTION("""COMPUTED_VALUE"""),"KAMAGONG ST")</f>
        <v>KAMAGONG ST</v>
      </c>
      <c r="N2214" s="1" t="str">
        <f>IFERROR(__xludf.DUMMYFUNCTION("""COMPUTED_VALUE"""),"PHASE 7A")</f>
        <v>PHASE 7A</v>
      </c>
      <c r="O2214" s="1" t="str">
        <f>IFERROR(__xludf.DUMMYFUNCTION("""COMPUTED_VALUE"""),"LANTIC")</f>
        <v>LANTIC</v>
      </c>
      <c r="P2214" s="1" t="str">
        <f>IFERROR(__xludf.DUMMYFUNCTION("""COMPUTED_VALUE"""),"CARMONA")</f>
        <v>CARMONA</v>
      </c>
      <c r="Q2214" s="1" t="str">
        <f>IFERROR(__xludf.DUMMYFUNCTION("""COMPUTED_VALUE"""),"CAVITE")</f>
        <v>CAVITE</v>
      </c>
      <c r="R2214" s="1" t="str">
        <f>IFERROR(__xludf.DUMMYFUNCTION("""COMPUTED_VALUE"""),"FIBR PLAN 1299")</f>
        <v>FIBR PLAN 1299</v>
      </c>
      <c r="S2214" s="1" t="str">
        <f>IFERROR(__xludf.DUMMYFUNCTION("""COMPUTED_VALUE"""),"HOLD")</f>
        <v>HOLD</v>
      </c>
      <c r="T2214" s="1" t="str">
        <f>IFERROR(__xludf.DUMMYFUNCTION("""COMPUTED_VALUE"""),"#N/A")</f>
        <v>#N/A</v>
      </c>
      <c r="U2214" s="1"/>
      <c r="V2214" s="1"/>
      <c r="W2214" s="1"/>
    </row>
    <row r="2215" customHeight="1" spans="1:23">
      <c r="A2215" s="3">
        <f>IFERROR(__xludf.DUMMYFUNCTION("""COMPUTED_VALUE"""),46195)</f>
        <v>46195</v>
      </c>
      <c r="B2215" s="1" t="str">
        <f>IFERROR(__xludf.DUMMYFUNCTION("""COMPUTED_VALUE"""),"ACOSTA. ZAIRUS")</f>
        <v>ACOSTA. ZAIRUS</v>
      </c>
      <c r="C2215" s="1" t="str">
        <f>IFERROR(__xludf.DUMMYFUNCTION("""COMPUTED_VALUE"""),"ORGANIC")</f>
        <v>ORGANIC</v>
      </c>
      <c r="D2215" s="1" t="str">
        <f>IFERROR(__xludf.DUMMYFUNCTION("""COMPUTED_VALUE"""),"REMOLLO LEA")</f>
        <v>REMOLLO LEA</v>
      </c>
      <c r="E2215" s="1" t="str">
        <f>IFERROR(__xludf.DUMMYFUNCTION("""COMPUTED_VALUE"""),"PLDT / H2H")</f>
        <v>PLDT / H2H</v>
      </c>
      <c r="F2215" s="1">
        <f>IFERROR(__xludf.DUMMYFUNCTION("""COMPUTED_VALUE"""),2310407265)</f>
        <v>2310407265</v>
      </c>
      <c r="G2215" s="1"/>
      <c r="H2215" s="1" t="str">
        <f>IFERROR(__xludf.DUMMYFUNCTION("""COMPUTED_VALUE"""),"CHABELITA CALLADA PASCUAL")</f>
        <v>CHABELITA CALLADA PASCUAL</v>
      </c>
      <c r="I2215" s="1">
        <f>IFERROR(__xludf.DUMMYFUNCTION("""COMPUTED_VALUE"""),9491848846)</f>
        <v>9491848846</v>
      </c>
      <c r="J2215" s="1">
        <f>IFERROR(__xludf.DUMMYFUNCTION("""COMPUTED_VALUE"""),9685856986)</f>
        <v>9685856986</v>
      </c>
      <c r="K2215" s="1" t="str">
        <f>IFERROR(__xludf.DUMMYFUNCTION("""COMPUTED_VALUE"""),"calladachabel01@gmail.com")</f>
        <v>calladachabel01@gmail.com</v>
      </c>
      <c r="L2215" s="1" t="str">
        <f>IFERROR(__xludf.DUMMYFUNCTION("""COMPUTED_VALUE"""),"62")</f>
        <v>62</v>
      </c>
      <c r="M2215" s="1" t="str">
        <f>IFERROR(__xludf.DUMMYFUNCTION("""COMPUTED_VALUE"""),"C DIMAPILIS ST")</f>
        <v>C DIMAPILIS ST</v>
      </c>
      <c r="N2215" s="1" t="str">
        <f>IFERROR(__xludf.DUMMYFUNCTION("""COMPUTED_VALUE"""),"SOTTO COMPOUND")</f>
        <v>SOTTO COMPOUND</v>
      </c>
      <c r="O2215" s="1" t="str">
        <f>IFERROR(__xludf.DUMMYFUNCTION("""COMPUTED_VALUE"""),"ANULING LEJOS I (ANULING)")</f>
        <v>ANULING LEJOS I (ANULING)</v>
      </c>
      <c r="P2215" s="1" t="str">
        <f>IFERROR(__xludf.DUMMYFUNCTION("""COMPUTED_VALUE"""),"MENDEZ")</f>
        <v>MENDEZ</v>
      </c>
      <c r="Q2215" s="1" t="str">
        <f>IFERROR(__xludf.DUMMYFUNCTION("""COMPUTED_VALUE"""),"CAVITE")</f>
        <v>CAVITE</v>
      </c>
      <c r="R2215" s="1" t="str">
        <f>IFERROR(__xludf.DUMMYFUNCTION("""COMPUTED_VALUE"""),"FIBR UNLI ALL PLAN 1399")</f>
        <v>FIBR UNLI ALL PLAN 1399</v>
      </c>
      <c r="S2215" s="1" t="str">
        <f>IFERROR(__xludf.DUMMYFUNCTION("""COMPUTED_VALUE"""),"APPROVED")</f>
        <v>APPROVED</v>
      </c>
      <c r="T2215" s="1" t="str">
        <f>IFERROR(__xludf.DUMMYFUNCTION("""COMPUTED_VALUE"""),"#N/A")</f>
        <v>#N/A</v>
      </c>
      <c r="U2215" s="1" t="str">
        <f>IFERROR(__xludf.DUMMYFUNCTION("""COMPUTED_VALUE"""),"POSTED")</f>
        <v>POSTED</v>
      </c>
      <c r="V2215" s="1"/>
      <c r="W2215" s="1"/>
    </row>
    <row r="2216" customHeight="1" spans="1:23">
      <c r="A2216" s="3">
        <f>IFERROR(__xludf.DUMMYFUNCTION("""COMPUTED_VALUE"""),46196)</f>
        <v>46196</v>
      </c>
      <c r="B2216" s="1" t="str">
        <f>IFERROR(__xludf.DUMMYFUNCTION("""COMPUTED_VALUE"""),"REMOLLO, LEA")</f>
        <v>REMOLLO, LEA</v>
      </c>
      <c r="C2216" s="1" t="str">
        <f>IFERROR(__xludf.DUMMYFUNCTION("""COMPUTED_VALUE"""),"FLA")</f>
        <v>FLA</v>
      </c>
      <c r="D2216" s="1" t="str">
        <f>IFERROR(__xludf.DUMMYFUNCTION("""COMPUTED_VALUE"""),"JERIC NAVARRO")</f>
        <v>JERIC NAVARRO</v>
      </c>
      <c r="E2216" s="1" t="str">
        <f>IFERROR(__xludf.DUMMYFUNCTION("""COMPUTED_VALUE"""),"RED FIBER")</f>
        <v>RED FIBER</v>
      </c>
      <c r="F2216" s="1"/>
      <c r="G2216" s="1"/>
      <c r="H2216" s="1" t="str">
        <f>IFERROR(__xludf.DUMMYFUNCTION("""COMPUTED_VALUE"""),"ADRIAN MONTANEZ AURE")</f>
        <v>ADRIAN MONTANEZ AURE</v>
      </c>
      <c r="I2216" s="1">
        <f>IFERROR(__xludf.DUMMYFUNCTION("""COMPUTED_VALUE"""),9069777852)</f>
        <v>9069777852</v>
      </c>
      <c r="J2216" s="1">
        <f>IFERROR(__xludf.DUMMYFUNCTION("""COMPUTED_VALUE"""),9853621953)</f>
        <v>9853621953</v>
      </c>
      <c r="K2216" s="1" t="str">
        <f>IFERROR(__xludf.DUMMYFUNCTION("""COMPUTED_VALUE"""),"buensalidomimife@gmail.com")</f>
        <v>buensalidomimife@gmail.com</v>
      </c>
      <c r="L2216" s="1" t="str">
        <f>IFERROR(__xludf.DUMMYFUNCTION("""COMPUTED_VALUE"""),"99")</f>
        <v>99</v>
      </c>
      <c r="M2216" s="1" t="str">
        <f>IFERROR(__xludf.DUMMYFUNCTION("""COMPUTED_VALUE"""),"MABINI")</f>
        <v>MABINI</v>
      </c>
      <c r="N2216" s="1"/>
      <c r="O2216" s="1" t="str">
        <f>IFERROR(__xludf.DUMMYFUNCTION("""COMPUTED_VALUE"""),"BARANGAY VI (POB.)")</f>
        <v>BARANGAY VI (POB.)</v>
      </c>
      <c r="P2216" s="1" t="str">
        <f>IFERROR(__xludf.DUMMYFUNCTION("""COMPUTED_VALUE"""),"MENDEZ")</f>
        <v>MENDEZ</v>
      </c>
      <c r="Q2216" s="1" t="str">
        <f>IFERROR(__xludf.DUMMYFUNCTION("""COMPUTED_VALUE"""),"CAVITE")</f>
        <v>CAVITE</v>
      </c>
      <c r="R2216" s="1" t="str">
        <f>IFERROR(__xludf.DUMMYFUNCTION("""COMPUTED_VALUE"""),"RED PLAN 1000")</f>
        <v>RED PLAN 1000</v>
      </c>
      <c r="S2216" s="1" t="str">
        <f>IFERROR(__xludf.DUMMYFUNCTION("""COMPUTED_VALUE"""),"APPROVED")</f>
        <v>APPROVED</v>
      </c>
      <c r="T2216" s="1" t="str">
        <f>IFERROR(__xludf.DUMMYFUNCTION("""COMPUTED_VALUE"""),"#N/A")</f>
        <v>#N/A</v>
      </c>
      <c r="U2216" s="1"/>
      <c r="V2216" s="1"/>
      <c r="W2216" s="1"/>
    </row>
    <row r="2217" customHeight="1" spans="1:23">
      <c r="A2217" s="3">
        <f>IFERROR(__xludf.DUMMYFUNCTION("""COMPUTED_VALUE"""),46196)</f>
        <v>46196</v>
      </c>
      <c r="B2217" s="1" t="str">
        <f>IFERROR(__xludf.DUMMYFUNCTION("""COMPUTED_VALUE"""),"DACALCAP RUBEN")</f>
        <v>DACALCAP RUBEN</v>
      </c>
      <c r="C2217" s="1" t="str">
        <f>IFERROR(__xludf.DUMMYFUNCTION("""COMPUTED_VALUE"""),"FLA")</f>
        <v>FLA</v>
      </c>
      <c r="D2217" s="1" t="str">
        <f>IFERROR(__xludf.DUMMYFUNCTION("""COMPUTED_VALUE"""),"JERIC NAVARRO")</f>
        <v>JERIC NAVARRO</v>
      </c>
      <c r="E2217" s="1" t="str">
        <f>IFERROR(__xludf.DUMMYFUNCTION("""COMPUTED_VALUE"""),"PLDT / ONLINE")</f>
        <v>PLDT / ONLINE</v>
      </c>
      <c r="F2217" s="1">
        <f>IFERROR(__xludf.DUMMYFUNCTION("""COMPUTED_VALUE"""),2310422747)</f>
        <v>2310422747</v>
      </c>
      <c r="G2217" s="1">
        <f>IFERROR(__xludf.DUMMYFUNCTION("""COMPUTED_VALUE"""),459780028004)</f>
        <v>459780028004</v>
      </c>
      <c r="H2217" s="1" t="str">
        <f>IFERROR(__xludf.DUMMYFUNCTION("""COMPUTED_VALUE"""),"JOVY RAMOS REGLOS")</f>
        <v>JOVY RAMOS REGLOS</v>
      </c>
      <c r="I2217" s="1">
        <f>IFERROR(__xludf.DUMMYFUNCTION("""COMPUTED_VALUE"""),9556227008)</f>
        <v>9556227008</v>
      </c>
      <c r="J2217" s="1">
        <f>IFERROR(__xludf.DUMMYFUNCTION("""COMPUTED_VALUE"""),9499223149)</f>
        <v>9499223149</v>
      </c>
      <c r="K2217" s="1" t="str">
        <f>IFERROR(__xludf.DUMMYFUNCTION("""COMPUTED_VALUE"""),"reglosjovy9@gmail.com")</f>
        <v>reglosjovy9@gmail.com</v>
      </c>
      <c r="L2217" s="1" t="str">
        <f>IFERROR(__xludf.DUMMYFUNCTION("""COMPUTED_VALUE"""),"BLK 10 LOT 47")</f>
        <v>BLK 10 LOT 47</v>
      </c>
      <c r="M2217" s="1" t="str">
        <f>IFERROR(__xludf.DUMMYFUNCTION("""COMPUTED_VALUE"""),"EXTENTION 2")</f>
        <v>EXTENTION 2</v>
      </c>
      <c r="N2217" s="1"/>
      <c r="O2217" s="1" t="str">
        <f>IFERROR(__xludf.DUMMYFUNCTION("""COMPUTED_VALUE"""),"SANTA FE")</f>
        <v>SANTA FE</v>
      </c>
      <c r="P2217" s="1" t="str">
        <f>IFERROR(__xludf.DUMMYFUNCTION("""COMPUTED_VALUE"""),"DASMARINAS")</f>
        <v>DASMARINAS</v>
      </c>
      <c r="Q2217" s="1" t="str">
        <f>IFERROR(__xludf.DUMMYFUNCTION("""COMPUTED_VALUE"""),"CAVITE")</f>
        <v>CAVITE</v>
      </c>
      <c r="R2217" s="1" t="str">
        <f>IFERROR(__xludf.DUMMYFUNCTION("""COMPUTED_VALUE"""),"FIBR PLAN 1299")</f>
        <v>FIBR PLAN 1299</v>
      </c>
      <c r="S2217" s="1" t="str">
        <f>IFERROR(__xludf.DUMMYFUNCTION("""COMPUTED_VALUE"""),"APPROVED")</f>
        <v>APPROVED</v>
      </c>
      <c r="T2217" s="1" t="str">
        <f>IFERROR(__xludf.DUMMYFUNCTION("""COMPUTED_VALUE"""),"#N/A")</f>
        <v>#N/A</v>
      </c>
      <c r="U2217" s="1" t="str">
        <f>IFERROR(__xludf.DUMMYFUNCTION("""COMPUTED_VALUE"""),"POSTED")</f>
        <v>POSTED</v>
      </c>
      <c r="V2217" s="1"/>
      <c r="W2217" s="1"/>
    </row>
    <row r="2218" customHeight="1" spans="1:23">
      <c r="A2218" s="3">
        <f>IFERROR(__xludf.DUMMYFUNCTION("""COMPUTED_VALUE"""),46196)</f>
        <v>46196</v>
      </c>
      <c r="B2218" s="1" t="str">
        <f>IFERROR(__xludf.DUMMYFUNCTION("""COMPUTED_VALUE"""),"GABAY, MANUEL")</f>
        <v>GABAY, MANUEL</v>
      </c>
      <c r="C2218" s="1" t="str">
        <f>IFERROR(__xludf.DUMMYFUNCTION("""COMPUTED_VALUE"""),"FLA")</f>
        <v>FLA</v>
      </c>
      <c r="D2218" s="1" t="str">
        <f>IFERROR(__xludf.DUMMYFUNCTION("""COMPUTED_VALUE"""),"JERIC NAVARRO")</f>
        <v>JERIC NAVARRO</v>
      </c>
      <c r="E2218" s="1" t="str">
        <f>IFERROR(__xludf.DUMMYFUNCTION("""COMPUTED_VALUE"""),"PLDT / H2H")</f>
        <v>PLDT / H2H</v>
      </c>
      <c r="F2218" s="1">
        <f>IFERROR(__xludf.DUMMYFUNCTION("""COMPUTED_VALUE"""),2310424262)</f>
        <v>2310424262</v>
      </c>
      <c r="G2218" s="1">
        <f>IFERROR(__xludf.DUMMYFUNCTION("""COMPUTED_VALUE"""),459780996004)</f>
        <v>459780996004</v>
      </c>
      <c r="H2218" s="1" t="str">
        <f>IFERROR(__xludf.DUMMYFUNCTION("""COMPUTED_VALUE"""),"FRANCIS ROMWEL VIDA HERSANDO")</f>
        <v>FRANCIS ROMWEL VIDA HERSANDO</v>
      </c>
      <c r="I2218" s="1">
        <f>IFERROR(__xludf.DUMMYFUNCTION("""COMPUTED_VALUE"""),9763553375)</f>
        <v>9763553375</v>
      </c>
      <c r="J2218" s="1">
        <f>IFERROR(__xludf.DUMMYFUNCTION("""COMPUTED_VALUE"""),9919566525)</f>
        <v>9919566525</v>
      </c>
      <c r="K2218" s="1" t="str">
        <f>IFERROR(__xludf.DUMMYFUNCTION("""COMPUTED_VALUE"""),"francisace625@gmail.com")</f>
        <v>francisace625@gmail.com</v>
      </c>
      <c r="L2218" s="1" t="str">
        <f>IFERROR(__xludf.DUMMYFUNCTION("""COMPUTED_VALUE"""),"576")</f>
        <v>576</v>
      </c>
      <c r="M2218" s="1" t="str">
        <f>IFERROR(__xludf.DUMMYFUNCTION("""COMPUTED_VALUE"""),"LLAMADO ST")</f>
        <v>LLAMADO ST</v>
      </c>
      <c r="N2218" s="1"/>
      <c r="O2218" s="1" t="str">
        <f>IFERROR(__xludf.DUMMYFUNCTION("""COMPUTED_VALUE"""),"ASIS I")</f>
        <v>ASIS I</v>
      </c>
      <c r="P2218" s="1" t="str">
        <f>IFERROR(__xludf.DUMMYFUNCTION("""COMPUTED_VALUE"""),"MENDEZ")</f>
        <v>MENDEZ</v>
      </c>
      <c r="Q2218" s="1" t="str">
        <f>IFERROR(__xludf.DUMMYFUNCTION("""COMPUTED_VALUE"""),"CAVITE")</f>
        <v>CAVITE</v>
      </c>
      <c r="R2218" s="1" t="str">
        <f>IFERROR(__xludf.DUMMYFUNCTION("""COMPUTED_VALUE"""),"FIBR NETFLIX PLAN 1599")</f>
        <v>FIBR NETFLIX PLAN 1599</v>
      </c>
      <c r="S2218" s="1" t="str">
        <f>IFERROR(__xludf.DUMMYFUNCTION("""COMPUTED_VALUE"""),"APPROVED")</f>
        <v>APPROVED</v>
      </c>
      <c r="T2218" s="1" t="str">
        <f>IFERROR(__xludf.DUMMYFUNCTION("""COMPUTED_VALUE"""),"#N/A")</f>
        <v>#N/A</v>
      </c>
      <c r="U2218" s="1" t="str">
        <f>IFERROR(__xludf.DUMMYFUNCTION("""COMPUTED_VALUE"""),"POSTED")</f>
        <v>POSTED</v>
      </c>
      <c r="V2218" s="1"/>
      <c r="W2218" s="1"/>
    </row>
    <row r="2219" customHeight="1" spans="1:23">
      <c r="A2219" s="3">
        <f>IFERROR(__xludf.DUMMYFUNCTION("""COMPUTED_VALUE"""),46196)</f>
        <v>46196</v>
      </c>
      <c r="B2219" s="1" t="str">
        <f>IFERROR(__xludf.DUMMYFUNCTION("""COMPUTED_VALUE"""),"FRANCISCO , ROSELYN")</f>
        <v>FRANCISCO , ROSELYN</v>
      </c>
      <c r="C2219" s="1" t="str">
        <f>IFERROR(__xludf.DUMMYFUNCTION("""COMPUTED_VALUE"""),"ORGANIC")</f>
        <v>ORGANIC</v>
      </c>
      <c r="D2219" s="1" t="str">
        <f>IFERROR(__xludf.DUMMYFUNCTION("""COMPUTED_VALUE"""),"REMOLLO LEA")</f>
        <v>REMOLLO LEA</v>
      </c>
      <c r="E2219" s="1" t="str">
        <f>IFERROR(__xludf.DUMMYFUNCTION("""COMPUTED_VALUE"""),"PLDT / H2H")</f>
        <v>PLDT / H2H</v>
      </c>
      <c r="F2219" s="1">
        <f>IFERROR(__xludf.DUMMYFUNCTION("""COMPUTED_VALUE"""),2310424640)</f>
        <v>2310424640</v>
      </c>
      <c r="G2219" s="1"/>
      <c r="H2219" s="1" t="str">
        <f>IFERROR(__xludf.DUMMYFUNCTION("""COMPUTED_VALUE"""),"MARIFE CRUZADA TAMONTE")</f>
        <v>MARIFE CRUZADA TAMONTE</v>
      </c>
      <c r="I2219" s="1">
        <f>IFERROR(__xludf.DUMMYFUNCTION("""COMPUTED_VALUE"""),9704669288)</f>
        <v>9704669288</v>
      </c>
      <c r="J2219" s="1">
        <f>IFERROR(__xludf.DUMMYFUNCTION("""COMPUTED_VALUE"""),9999457501)</f>
        <v>9999457501</v>
      </c>
      <c r="K2219" s="1" t="str">
        <f>IFERROR(__xludf.DUMMYFUNCTION("""COMPUTED_VALUE"""),"pepaytamonte0927@gmail.com")</f>
        <v>pepaytamonte0927@gmail.com</v>
      </c>
      <c r="L2219" s="1" t="str">
        <f>IFERROR(__xludf.DUMMYFUNCTION("""COMPUTED_VALUE"""),"277")</f>
        <v>277</v>
      </c>
      <c r="M2219" s="1" t="str">
        <f>IFERROR(__xludf.DUMMYFUNCTION("""COMPUTED_VALUE"""),"KALYE ONSE")</f>
        <v>KALYE ONSE</v>
      </c>
      <c r="N2219" s="1"/>
      <c r="O2219" s="1" t="str">
        <f>IFERROR(__xludf.DUMMYFUNCTION("""COMPUTED_VALUE"""),"PAJO")</f>
        <v>PAJO</v>
      </c>
      <c r="P2219" s="1" t="str">
        <f>IFERROR(__xludf.DUMMYFUNCTION("""COMPUTED_VALUE"""),"ALFONSO")</f>
        <v>ALFONSO</v>
      </c>
      <c r="Q2219" s="1" t="str">
        <f>IFERROR(__xludf.DUMMYFUNCTION("""COMPUTED_VALUE"""),"CAVITE")</f>
        <v>CAVITE</v>
      </c>
      <c r="R2219" s="1" t="str">
        <f>IFERROR(__xludf.DUMMYFUNCTION("""COMPUTED_VALUE"""),"FIBR UNLI ALL PLAN 999")</f>
        <v>FIBR UNLI ALL PLAN 999</v>
      </c>
      <c r="S2219" s="1" t="str">
        <f>IFERROR(__xludf.DUMMYFUNCTION("""COMPUTED_VALUE"""),"APPROVED")</f>
        <v>APPROVED</v>
      </c>
      <c r="T2219" s="1" t="str">
        <f>IFERROR(__xludf.DUMMYFUNCTION("""COMPUTED_VALUE"""),"#N/A")</f>
        <v>#N/A</v>
      </c>
      <c r="U2219" s="1" t="str">
        <f>IFERROR(__xludf.DUMMYFUNCTION("""COMPUTED_VALUE"""),"PAID VIA GCASH JUNE 25")</f>
        <v>PAID VIA GCASH JUNE 25</v>
      </c>
      <c r="V2219" s="1"/>
      <c r="W2219" s="1"/>
    </row>
    <row r="2220" customHeight="1" spans="1:23">
      <c r="A2220" s="3">
        <f>IFERROR(__xludf.DUMMYFUNCTION("""COMPUTED_VALUE"""),46196)</f>
        <v>46196</v>
      </c>
      <c r="B2220" s="1" t="str">
        <f>IFERROR(__xludf.DUMMYFUNCTION("""COMPUTED_VALUE"""),"MALIWAT MARK ELVIN")</f>
        <v>MALIWAT MARK ELVIN</v>
      </c>
      <c r="C2220" s="1" t="str">
        <f>IFERROR(__xludf.DUMMYFUNCTION("""COMPUTED_VALUE"""),"FLA")</f>
        <v>FLA</v>
      </c>
      <c r="D2220" s="1" t="str">
        <f>IFERROR(__xludf.DUMMYFUNCTION("""COMPUTED_VALUE"""),"JERIC NAVARRO")</f>
        <v>JERIC NAVARRO</v>
      </c>
      <c r="E2220" s="1" t="str">
        <f>IFERROR(__xludf.DUMMYFUNCTION("""COMPUTED_VALUE"""),"PLDT / ONLINE")</f>
        <v>PLDT / ONLINE</v>
      </c>
      <c r="F2220" s="1">
        <f>IFERROR(__xludf.DUMMYFUNCTION("""COMPUTED_VALUE"""),2310426669)</f>
        <v>2310426669</v>
      </c>
      <c r="G2220" s="1"/>
      <c r="H2220" s="1" t="str">
        <f>IFERROR(__xludf.DUMMYFUNCTION("""COMPUTED_VALUE"""),"JAYSON LAGORAS ALIGACION")</f>
        <v>JAYSON LAGORAS ALIGACION</v>
      </c>
      <c r="I2220" s="1">
        <f>IFERROR(__xludf.DUMMYFUNCTION("""COMPUTED_VALUE"""),9675818828)</f>
        <v>9675818828</v>
      </c>
      <c r="J2220" s="1"/>
      <c r="K2220" s="1" t="str">
        <f>IFERROR(__xludf.DUMMYFUNCTION("""COMPUTED_VALUE"""),"iamjaysonaligacion@gmail.com")</f>
        <v>iamjaysonaligacion@gmail.com</v>
      </c>
      <c r="L2220" s="1" t="str">
        <f>IFERROR(__xludf.DUMMYFUNCTION("""COMPUTED_VALUE"""),"396")</f>
        <v>396</v>
      </c>
      <c r="M2220" s="1" t="str">
        <f>IFERROR(__xludf.DUMMYFUNCTION("""COMPUTED_VALUE"""),"PUROK 4")</f>
        <v>PUROK 4</v>
      </c>
      <c r="N2220" s="1"/>
      <c r="O2220" s="1" t="str">
        <f>IFERROR(__xludf.DUMMYFUNCTION("""COMPUTED_VALUE"""),"ADLAS")</f>
        <v>ADLAS</v>
      </c>
      <c r="P2220" s="1" t="str">
        <f>IFERROR(__xludf.DUMMYFUNCTION("""COMPUTED_VALUE"""),"SILANG")</f>
        <v>SILANG</v>
      </c>
      <c r="Q2220" s="1" t="str">
        <f>IFERROR(__xludf.DUMMYFUNCTION("""COMPUTED_VALUE"""),"CAVITE")</f>
        <v>CAVITE</v>
      </c>
      <c r="R2220" s="1" t="str">
        <f>IFERROR(__xludf.DUMMYFUNCTION("""COMPUTED_VALUE"""),"FIBR UNLI ALL PLAN 999")</f>
        <v>FIBR UNLI ALL PLAN 999</v>
      </c>
      <c r="S2220" s="1" t="str">
        <f>IFERROR(__xludf.DUMMYFUNCTION("""COMPUTED_VALUE"""),"APPROVED")</f>
        <v>APPROVED</v>
      </c>
      <c r="T2220" s="1" t="str">
        <f>IFERROR(__xludf.DUMMYFUNCTION("""COMPUTED_VALUE"""),"#N/A")</f>
        <v>#N/A</v>
      </c>
      <c r="U2220" s="1"/>
      <c r="V2220" s="1"/>
      <c r="W2220" s="1"/>
    </row>
    <row r="2221" customHeight="1" spans="1:23">
      <c r="A2221" s="3">
        <f>IFERROR(__xludf.DUMMYFUNCTION("""COMPUTED_VALUE"""),46196)</f>
        <v>46196</v>
      </c>
      <c r="B2221" s="1" t="str">
        <f>IFERROR(__xludf.DUMMYFUNCTION("""COMPUTED_VALUE"""),"ESCARCHA, MA ALMA  ESCOTO")</f>
        <v>ESCARCHA, MA ALMA  ESCOTO</v>
      </c>
      <c r="C2221" s="1" t="str">
        <f>IFERROR(__xludf.DUMMYFUNCTION("""COMPUTED_VALUE"""),"ORGANIC")</f>
        <v>ORGANIC</v>
      </c>
      <c r="D2221" s="1" t="str">
        <f>IFERROR(__xludf.DUMMYFUNCTION("""COMPUTED_VALUE"""),"REMOLLO LEA")</f>
        <v>REMOLLO LEA</v>
      </c>
      <c r="E2221" s="1" t="str">
        <f>IFERROR(__xludf.DUMMYFUNCTION("""COMPUTED_VALUE"""),"PLDT / H2H")</f>
        <v>PLDT / H2H</v>
      </c>
      <c r="F2221" s="1"/>
      <c r="G2221" s="1"/>
      <c r="H2221" s="1" t="str">
        <f>IFERROR(__xludf.DUMMYFUNCTION("""COMPUTED_VALUE"""),"ELMER MIJARES ALCARAZ")</f>
        <v>ELMER MIJARES ALCARAZ</v>
      </c>
      <c r="I2221" s="1">
        <f>IFERROR(__xludf.DUMMYFUNCTION("""COMPUTED_VALUE"""),9052321911)</f>
        <v>9052321911</v>
      </c>
      <c r="J2221" s="1"/>
      <c r="K2221" s="1" t="str">
        <f>IFERROR(__xludf.DUMMYFUNCTION("""COMPUTED_VALUE"""),"elmeralcaraz10@gmail.com")</f>
        <v>elmeralcaraz10@gmail.com</v>
      </c>
      <c r="L2221" s="1" t="str">
        <f>IFERROR(__xludf.DUMMYFUNCTION("""COMPUTED_VALUE"""),"197")</f>
        <v>197</v>
      </c>
      <c r="M2221" s="1" t="str">
        <f>IFERROR(__xludf.DUMMYFUNCTION("""COMPUTED_VALUE"""),"KALYE ONSE")</f>
        <v>KALYE ONSE</v>
      </c>
      <c r="N2221" s="1"/>
      <c r="O2221" s="1" t="str">
        <f>IFERROR(__xludf.DUMMYFUNCTION("""COMPUTED_VALUE"""),"PAJO")</f>
        <v>PAJO</v>
      </c>
      <c r="P2221" s="1" t="str">
        <f>IFERROR(__xludf.DUMMYFUNCTION("""COMPUTED_VALUE"""),"ALFONSO")</f>
        <v>ALFONSO</v>
      </c>
      <c r="Q2221" s="1" t="str">
        <f>IFERROR(__xludf.DUMMYFUNCTION("""COMPUTED_VALUE"""),"CAVITE")</f>
        <v>CAVITE</v>
      </c>
      <c r="R2221" s="1" t="str">
        <f>IFERROR(__xludf.DUMMYFUNCTION("""COMPUTED_VALUE"""),"FIBR UNLI ALL PLAN 999")</f>
        <v>FIBR UNLI ALL PLAN 999</v>
      </c>
      <c r="S2221" s="1" t="str">
        <f>IFERROR(__xludf.DUMMYFUNCTION("""COMPUTED_VALUE"""),"HOLD")</f>
        <v>HOLD</v>
      </c>
      <c r="T2221" s="1" t="str">
        <f>IFERROR(__xludf.DUMMYFUNCTION("""COMPUTED_VALUE"""),"#N/A")</f>
        <v>#N/A</v>
      </c>
      <c r="U2221" s="1"/>
      <c r="V2221" s="1"/>
      <c r="W2221" s="1"/>
    </row>
    <row r="2222" customHeight="1" spans="1:23">
      <c r="A2222" s="3">
        <f>IFERROR(__xludf.DUMMYFUNCTION("""COMPUTED_VALUE"""),46196)</f>
        <v>46196</v>
      </c>
      <c r="B2222" s="1" t="str">
        <f>IFERROR(__xludf.DUMMYFUNCTION("""COMPUTED_VALUE"""),"FARO, REFRANTA")</f>
        <v>FARO, REFRANTA</v>
      </c>
      <c r="C2222" s="1" t="str">
        <f>IFERROR(__xludf.DUMMYFUNCTION("""COMPUTED_VALUE"""),"ORGANIC")</f>
        <v>ORGANIC</v>
      </c>
      <c r="D2222" s="1" t="str">
        <f>IFERROR(__xludf.DUMMYFUNCTION("""COMPUTED_VALUE"""),"REMOLLO LEA")</f>
        <v>REMOLLO LEA</v>
      </c>
      <c r="E2222" s="1" t="str">
        <f>IFERROR(__xludf.DUMMYFUNCTION("""COMPUTED_VALUE"""),"PLDT / H2H")</f>
        <v>PLDT / H2H</v>
      </c>
      <c r="F2222" s="1">
        <f>IFERROR(__xludf.DUMMYFUNCTION("""COMPUTED_VALUE"""),2310426679)</f>
        <v>2310426679</v>
      </c>
      <c r="G2222" s="1"/>
      <c r="H2222" s="1" t="str">
        <f>IFERROR(__xludf.DUMMYFUNCTION("""COMPUTED_VALUE"""),"RODOLFO DEL ROSARIO RODIS")</f>
        <v>RODOLFO DEL ROSARIO RODIS</v>
      </c>
      <c r="I2222" s="1">
        <f>IFERROR(__xludf.DUMMYFUNCTION("""COMPUTED_VALUE"""),9989894489)</f>
        <v>9989894489</v>
      </c>
      <c r="J2222" s="1"/>
      <c r="K2222" s="1" t="str">
        <f>IFERROR(__xludf.DUMMYFUNCTION("""COMPUTED_VALUE"""),"rodisrodolfo7@gmail.com")</f>
        <v>rodisrodolfo7@gmail.com</v>
      </c>
      <c r="L2222" s="1" t="str">
        <f>IFERROR(__xludf.DUMMYFUNCTION("""COMPUTED_VALUE"""),"8")</f>
        <v>8</v>
      </c>
      <c r="M2222" s="1" t="str">
        <f>IFERROR(__xludf.DUMMYFUNCTION("""COMPUTED_VALUE"""),"CAMERINO")</f>
        <v>CAMERINO</v>
      </c>
      <c r="N2222" s="1"/>
      <c r="O2222" s="1" t="str">
        <f>IFERROR(__xludf.DUMMYFUNCTION("""COMPUTED_VALUE"""),"PAJO")</f>
        <v>PAJO</v>
      </c>
      <c r="P2222" s="1" t="str">
        <f>IFERROR(__xludf.DUMMYFUNCTION("""COMPUTED_VALUE"""),"ALFONSO")</f>
        <v>ALFONSO</v>
      </c>
      <c r="Q2222" s="1" t="str">
        <f>IFERROR(__xludf.DUMMYFUNCTION("""COMPUTED_VALUE"""),"CAVITE")</f>
        <v>CAVITE</v>
      </c>
      <c r="R2222" s="1" t="str">
        <f>IFERROR(__xludf.DUMMYFUNCTION("""COMPUTED_VALUE"""),"FIBR UNLI ALL PLAN 1399")</f>
        <v>FIBR UNLI ALL PLAN 1399</v>
      </c>
      <c r="S2222" s="1" t="str">
        <f>IFERROR(__xludf.DUMMYFUNCTION("""COMPUTED_VALUE"""),"APPROVED")</f>
        <v>APPROVED</v>
      </c>
      <c r="T2222" s="1" t="str">
        <f>IFERROR(__xludf.DUMMYFUNCTION("""COMPUTED_VALUE"""),"#N/A")</f>
        <v>#N/A</v>
      </c>
      <c r="U2222" s="1"/>
      <c r="V2222" s="1"/>
      <c r="W2222" s="1"/>
    </row>
    <row r="2223" customHeight="1" spans="1:23">
      <c r="A2223" s="3">
        <f>IFERROR(__xludf.DUMMYFUNCTION("""COMPUTED_VALUE"""),46196)</f>
        <v>46196</v>
      </c>
      <c r="B2223" s="1" t="str">
        <f>IFERROR(__xludf.DUMMYFUNCTION("""COMPUTED_VALUE"""),"LEADSTORE - ILANO, LIANDRO TEJAS")</f>
        <v>LEADSTORE - ILANO, LIANDRO TEJAS</v>
      </c>
      <c r="C2223" s="1" t="str">
        <f>IFERROR(__xludf.DUMMYFUNCTION("""COMPUTED_VALUE"""),"LEADSTORE")</f>
        <v>LEADSTORE</v>
      </c>
      <c r="D2223" s="1" t="str">
        <f>IFERROR(__xludf.DUMMYFUNCTION("""COMPUTED_VALUE"""),"JERIC NAVARRO")</f>
        <v>JERIC NAVARRO</v>
      </c>
      <c r="E2223" s="1" t="str">
        <f>IFERROR(__xludf.DUMMYFUNCTION("""COMPUTED_VALUE"""),"PLDT / H2H")</f>
        <v>PLDT / H2H</v>
      </c>
      <c r="F2223" s="1">
        <f>IFERROR(__xludf.DUMMYFUNCTION("""COMPUTED_VALUE"""),2310427532)</f>
        <v>2310427532</v>
      </c>
      <c r="G2223" s="1"/>
      <c r="H2223" s="1" t="str">
        <f>IFERROR(__xludf.DUMMYFUNCTION("""COMPUTED_VALUE"""),"ANGELINA CONCEPTION SUPERABLE")</f>
        <v>ANGELINA CONCEPTION SUPERABLE</v>
      </c>
      <c r="I2223" s="1">
        <f>IFERROR(__xludf.DUMMYFUNCTION("""COMPUTED_VALUE"""),9167988621)</f>
        <v>9167988621</v>
      </c>
      <c r="J2223" s="1"/>
      <c r="K2223" s="1" t="str">
        <f>IFERROR(__xludf.DUMMYFUNCTION("""COMPUTED_VALUE"""),"dennissuperable@gmail.com")</f>
        <v>dennissuperable@gmail.com</v>
      </c>
      <c r="L2223" s="1" t="str">
        <f>IFERROR(__xludf.DUMMYFUNCTION("""COMPUTED_VALUE"""),"42")</f>
        <v>42</v>
      </c>
      <c r="M2223" s="1" t="str">
        <f>IFERROR(__xludf.DUMMYFUNCTION("""COMPUTED_VALUE"""),"KAYTITINGA")</f>
        <v>KAYTITINGA</v>
      </c>
      <c r="N2223" s="1"/>
      <c r="O2223" s="1" t="str">
        <f>IFERROR(__xludf.DUMMYFUNCTION("""COMPUTED_VALUE"""),"KAYTITINGA III")</f>
        <v>KAYTITINGA III</v>
      </c>
      <c r="P2223" s="1" t="str">
        <f>IFERROR(__xludf.DUMMYFUNCTION("""COMPUTED_VALUE"""),"ALFONSO")</f>
        <v>ALFONSO</v>
      </c>
      <c r="Q2223" s="1" t="str">
        <f>IFERROR(__xludf.DUMMYFUNCTION("""COMPUTED_VALUE"""),"CAVITE")</f>
        <v>CAVITE</v>
      </c>
      <c r="R2223" s="1" t="str">
        <f>IFERROR(__xludf.DUMMYFUNCTION("""COMPUTED_VALUE"""),"FIBR PLAN 1299")</f>
        <v>FIBR PLAN 1299</v>
      </c>
      <c r="S2223" s="1" t="str">
        <f>IFERROR(__xludf.DUMMYFUNCTION("""COMPUTED_VALUE"""),"APPROVED")</f>
        <v>APPROVED</v>
      </c>
      <c r="T2223" s="1" t="str">
        <f>IFERROR(__xludf.DUMMYFUNCTION("""COMPUTED_VALUE"""),"#N/A")</f>
        <v>#N/A</v>
      </c>
      <c r="U2223" s="1" t="str">
        <f>IFERROR(__xludf.DUMMYFUNCTION("""COMPUTED_VALUE"""),"POSTED")</f>
        <v>POSTED</v>
      </c>
      <c r="V2223" s="1"/>
      <c r="W2223" s="1"/>
    </row>
    <row r="2224" customHeight="1" spans="1:23">
      <c r="A2224" s="3">
        <f>IFERROR(__xludf.DUMMYFUNCTION("""COMPUTED_VALUE"""),46196)</f>
        <v>46196</v>
      </c>
      <c r="B2224" s="1" t="str">
        <f>IFERROR(__xludf.DUMMYFUNCTION("""COMPUTED_VALUE"""),"ESCARCHA, MA ALMA  ESCOTO")</f>
        <v>ESCARCHA, MA ALMA  ESCOTO</v>
      </c>
      <c r="C2224" s="1" t="str">
        <f>IFERROR(__xludf.DUMMYFUNCTION("""COMPUTED_VALUE"""),"ORGANIC")</f>
        <v>ORGANIC</v>
      </c>
      <c r="D2224" s="1" t="str">
        <f>IFERROR(__xludf.DUMMYFUNCTION("""COMPUTED_VALUE"""),"REMOLLO LEA")</f>
        <v>REMOLLO LEA</v>
      </c>
      <c r="E2224" s="1" t="str">
        <f>IFERROR(__xludf.DUMMYFUNCTION("""COMPUTED_VALUE"""),"PLDT / H2H")</f>
        <v>PLDT / H2H</v>
      </c>
      <c r="F2224" s="1">
        <f>IFERROR(__xludf.DUMMYFUNCTION("""COMPUTED_VALUE"""),2310427998)</f>
        <v>2310427998</v>
      </c>
      <c r="G2224" s="1"/>
      <c r="H2224" s="1" t="str">
        <f>IFERROR(__xludf.DUMMYFUNCTION("""COMPUTED_VALUE"""),"WILFREDO ABELLA CORDANO")</f>
        <v>WILFREDO ABELLA CORDANO</v>
      </c>
      <c r="I2224" s="1">
        <f>IFERROR(__xludf.DUMMYFUNCTION("""COMPUTED_VALUE"""),9606547726)</f>
        <v>9606547726</v>
      </c>
      <c r="J2224" s="1"/>
      <c r="K2224" s="1" t="str">
        <f>IFERROR(__xludf.DUMMYFUNCTION("""COMPUTED_VALUE"""),"maybelynnaron6@gmail.com")</f>
        <v>maybelynnaron6@gmail.com</v>
      </c>
      <c r="L2224" s="1" t="str">
        <f>IFERROR(__xludf.DUMMYFUNCTION("""COMPUTED_VALUE"""),"2033")</f>
        <v>2033</v>
      </c>
      <c r="M2224" s="1" t="str">
        <f>IFERROR(__xludf.DUMMYFUNCTION("""COMPUTED_VALUE"""),"BAYUGAN")</f>
        <v>BAYUGAN</v>
      </c>
      <c r="N2224" s="1"/>
      <c r="O2224" s="1" t="str">
        <f>IFERROR(__xludf.DUMMYFUNCTION("""COMPUTED_VALUE"""),"KAYTITINGA III")</f>
        <v>KAYTITINGA III</v>
      </c>
      <c r="P2224" s="1" t="str">
        <f>IFERROR(__xludf.DUMMYFUNCTION("""COMPUTED_VALUE"""),"ALFONSO")</f>
        <v>ALFONSO</v>
      </c>
      <c r="Q2224" s="1" t="str">
        <f>IFERROR(__xludf.DUMMYFUNCTION("""COMPUTED_VALUE"""),"CAVITE")</f>
        <v>CAVITE</v>
      </c>
      <c r="R2224" s="1" t="str">
        <f>IFERROR(__xludf.DUMMYFUNCTION("""COMPUTED_VALUE"""),"FIBR UNLI ALL PLAN 999")</f>
        <v>FIBR UNLI ALL PLAN 999</v>
      </c>
      <c r="S2224" s="1" t="str">
        <f>IFERROR(__xludf.DUMMYFUNCTION("""COMPUTED_VALUE"""),"APPROVED")</f>
        <v>APPROVED</v>
      </c>
      <c r="T2224" s="1" t="str">
        <f>IFERROR(__xludf.DUMMYFUNCTION("""COMPUTED_VALUE"""),"#N/A")</f>
        <v>#N/A</v>
      </c>
      <c r="U2224" s="1" t="str">
        <f>IFERROR(__xludf.DUMMYFUNCTION("""COMPUTED_VALUE"""),"POSTED")</f>
        <v>POSTED</v>
      </c>
      <c r="V2224" s="1"/>
      <c r="W2224" s="1"/>
    </row>
    <row r="2225" customHeight="1" spans="1:23">
      <c r="A2225" s="3">
        <f>IFERROR(__xludf.DUMMYFUNCTION("""COMPUTED_VALUE"""),46196)</f>
        <v>46196</v>
      </c>
      <c r="B2225" s="1" t="str">
        <f>IFERROR(__xludf.DUMMYFUNCTION("""COMPUTED_VALUE"""),"MALIWAT MARK ELVIN")</f>
        <v>MALIWAT MARK ELVIN</v>
      </c>
      <c r="C2225" s="1" t="str">
        <f>IFERROR(__xludf.DUMMYFUNCTION("""COMPUTED_VALUE"""),"FLA")</f>
        <v>FLA</v>
      </c>
      <c r="D2225" s="1" t="str">
        <f>IFERROR(__xludf.DUMMYFUNCTION("""COMPUTED_VALUE"""),"JERIC NAVARRO")</f>
        <v>JERIC NAVARRO</v>
      </c>
      <c r="E2225" s="1" t="str">
        <f>IFERROR(__xludf.DUMMYFUNCTION("""COMPUTED_VALUE"""),"PLDT / ONLINE")</f>
        <v>PLDT / ONLINE</v>
      </c>
      <c r="F2225" s="1">
        <f>IFERROR(__xludf.DUMMYFUNCTION("""COMPUTED_VALUE"""),2310429432)</f>
        <v>2310429432</v>
      </c>
      <c r="G2225" s="1"/>
      <c r="H2225" s="1" t="str">
        <f>IFERROR(__xludf.DUMMYFUNCTION("""COMPUTED_VALUE"""),"ANA LYGA FLORES ILAGAN")</f>
        <v>ANA LYGA FLORES ILAGAN</v>
      </c>
      <c r="I2225" s="1">
        <f>IFERROR(__xludf.DUMMYFUNCTION("""COMPUTED_VALUE"""),9153773933)</f>
        <v>9153773933</v>
      </c>
      <c r="J2225" s="1">
        <f>IFERROR(__xludf.DUMMYFUNCTION("""COMPUTED_VALUE"""),9543718309)</f>
        <v>9543718309</v>
      </c>
      <c r="K2225" s="1" t="str">
        <f>IFERROR(__xludf.DUMMYFUNCTION("""COMPUTED_VALUE"""),"analyga@gmail.com")</f>
        <v>analyga@gmail.com</v>
      </c>
      <c r="L2225" s="1" t="str">
        <f>IFERROR(__xludf.DUMMYFUNCTION("""COMPUTED_VALUE"""),"269")</f>
        <v>269</v>
      </c>
      <c r="M2225" s="1" t="str">
        <f>IFERROR(__xludf.DUMMYFUNCTION("""COMPUTED_VALUE"""),"LUKSUHIN MANGAS ")</f>
        <v>LUKSUHIN MANGAS </v>
      </c>
      <c r="N2225" s="1"/>
      <c r="O2225" s="1" t="str">
        <f>IFERROR(__xludf.DUMMYFUNCTION("""COMPUTED_VALUE"""),"MANGAS I")</f>
        <v>MANGAS I</v>
      </c>
      <c r="P2225" s="1" t="str">
        <f>IFERROR(__xludf.DUMMYFUNCTION("""COMPUTED_VALUE"""),"ALFONSO")</f>
        <v>ALFONSO</v>
      </c>
      <c r="Q2225" s="1" t="str">
        <f>IFERROR(__xludf.DUMMYFUNCTION("""COMPUTED_VALUE"""),"CAVITE")</f>
        <v>CAVITE</v>
      </c>
      <c r="R2225" s="1" t="str">
        <f>IFERROR(__xludf.DUMMYFUNCTION("""COMPUTED_VALUE"""),"FIBR PLAN 1299")</f>
        <v>FIBR PLAN 1299</v>
      </c>
      <c r="S2225" s="1" t="str">
        <f>IFERROR(__xludf.DUMMYFUNCTION("""COMPUTED_VALUE"""),"APPROVED")</f>
        <v>APPROVED</v>
      </c>
      <c r="T2225" s="1" t="str">
        <f>IFERROR(__xludf.DUMMYFUNCTION("""COMPUTED_VALUE"""),"#N/A")</f>
        <v>#N/A</v>
      </c>
      <c r="U2225" s="1" t="str">
        <f>IFERROR(__xludf.DUMMYFUNCTION("""COMPUTED_VALUE"""),"POSTED")</f>
        <v>POSTED</v>
      </c>
      <c r="V2225" s="1"/>
      <c r="W2225" s="1"/>
    </row>
    <row r="2226" customHeight="1" spans="1:23">
      <c r="A2226" s="3">
        <f>IFERROR(__xludf.DUMMYFUNCTION("""COMPUTED_VALUE"""),46196)</f>
        <v>46196</v>
      </c>
      <c r="B2226" s="1" t="str">
        <f>IFERROR(__xludf.DUMMYFUNCTION("""COMPUTED_VALUE"""),"MALIWAT MARK ELVIN")</f>
        <v>MALIWAT MARK ELVIN</v>
      </c>
      <c r="C2226" s="1" t="str">
        <f>IFERROR(__xludf.DUMMYFUNCTION("""COMPUTED_VALUE"""),"FLA")</f>
        <v>FLA</v>
      </c>
      <c r="D2226" s="1" t="str">
        <f>IFERROR(__xludf.DUMMYFUNCTION("""COMPUTED_VALUE"""),"JERIC NAVARRO")</f>
        <v>JERIC NAVARRO</v>
      </c>
      <c r="E2226" s="1" t="str">
        <f>IFERROR(__xludf.DUMMYFUNCTION("""COMPUTED_VALUE"""),"PLDT / ONLINE")</f>
        <v>PLDT / ONLINE</v>
      </c>
      <c r="F2226" s="1">
        <f>IFERROR(__xludf.DUMMYFUNCTION("""COMPUTED_VALUE"""),2310434063)</f>
        <v>2310434063</v>
      </c>
      <c r="G2226" s="1"/>
      <c r="H2226" s="1" t="str">
        <f>IFERROR(__xludf.DUMMYFUNCTION("""COMPUTED_VALUE"""),"MARY GRACE BUENAAGUA PEQUENA")</f>
        <v>MARY GRACE BUENAAGUA PEQUENA</v>
      </c>
      <c r="I2226" s="1">
        <f>IFERROR(__xludf.DUMMYFUNCTION("""COMPUTED_VALUE"""),9302772119)</f>
        <v>9302772119</v>
      </c>
      <c r="J2226" s="1">
        <f>IFERROR(__xludf.DUMMYFUNCTION("""COMPUTED_VALUE"""),9979826168)</f>
        <v>9979826168</v>
      </c>
      <c r="K2226" s="1" t="str">
        <f>IFERROR(__xludf.DUMMYFUNCTION("""COMPUTED_VALUE"""),"marygracepequena@gmail.com")</f>
        <v>marygracepequena@gmail.com</v>
      </c>
      <c r="L2226" s="1" t="str">
        <f>IFERROR(__xludf.DUMMYFUNCTION("""COMPUTED_VALUE"""),"BLK 15 LOT 3")</f>
        <v>BLK 15 LOT 3</v>
      </c>
      <c r="M2226" s="1" t="str">
        <f>IFERROR(__xludf.DUMMYFUNCTION("""COMPUTED_VALUE"""),"CONGRESSIONAL RD")</f>
        <v>CONGRESSIONAL RD</v>
      </c>
      <c r="N2226" s="1"/>
      <c r="O2226" s="1" t="str">
        <f>IFERROR(__xludf.DUMMYFUNCTION("""COMPUTED_VALUE"""),"SAN GABRIEL (AREA K)")</f>
        <v>SAN GABRIEL (AREA K)</v>
      </c>
      <c r="P2226" s="1" t="str">
        <f>IFERROR(__xludf.DUMMYFUNCTION("""COMPUTED_VALUE"""),"GEN MARIANO ALVAREZ")</f>
        <v>GEN MARIANO ALVAREZ</v>
      </c>
      <c r="Q2226" s="1" t="str">
        <f>IFERROR(__xludf.DUMMYFUNCTION("""COMPUTED_VALUE"""),"CAVITE")</f>
        <v>CAVITE</v>
      </c>
      <c r="R2226" s="1" t="str">
        <f>IFERROR(__xludf.DUMMYFUNCTION("""COMPUTED_VALUE"""),"FIBR UNLI ALL PLAN 1399")</f>
        <v>FIBR UNLI ALL PLAN 1399</v>
      </c>
      <c r="S2226" s="1" t="str">
        <f>IFERROR(__xludf.DUMMYFUNCTION("""COMPUTED_VALUE"""),"APPROVED")</f>
        <v>APPROVED</v>
      </c>
      <c r="T2226" s="1" t="str">
        <f>IFERROR(__xludf.DUMMYFUNCTION("""COMPUTED_VALUE"""),"#N/A")</f>
        <v>#N/A</v>
      </c>
      <c r="U2226" s="1" t="str">
        <f>IFERROR(__xludf.DUMMYFUNCTION("""COMPUTED_VALUE"""),"POSTED")</f>
        <v>POSTED</v>
      </c>
      <c r="V2226" s="1"/>
      <c r="W2226" s="1"/>
    </row>
    <row r="2227" customHeight="1" spans="1:23">
      <c r="A2227" s="3">
        <f>IFERROR(__xludf.DUMMYFUNCTION("""COMPUTED_VALUE"""),46196)</f>
        <v>46196</v>
      </c>
      <c r="B2227" s="1" t="str">
        <f>IFERROR(__xludf.DUMMYFUNCTION("""COMPUTED_VALUE"""),"GABAY, MANUEL")</f>
        <v>GABAY, MANUEL</v>
      </c>
      <c r="C2227" s="1" t="str">
        <f>IFERROR(__xludf.DUMMYFUNCTION("""COMPUTED_VALUE"""),"FLA")</f>
        <v>FLA</v>
      </c>
      <c r="D2227" s="1" t="str">
        <f>IFERROR(__xludf.DUMMYFUNCTION("""COMPUTED_VALUE"""),"JERIC NAVARRO")</f>
        <v>JERIC NAVARRO</v>
      </c>
      <c r="E2227" s="1" t="str">
        <f>IFERROR(__xludf.DUMMYFUNCTION("""COMPUTED_VALUE"""),"PLDT / H2H")</f>
        <v>PLDT / H2H</v>
      </c>
      <c r="F2227" s="1">
        <f>IFERROR(__xludf.DUMMYFUNCTION("""COMPUTED_VALUE"""),2310429819)</f>
        <v>2310429819</v>
      </c>
      <c r="G2227" s="1"/>
      <c r="H2227" s="1" t="str">
        <f>IFERROR(__xludf.DUMMYFUNCTION("""COMPUTED_VALUE"""),"ANGELYN ALEGRE SANTOS")</f>
        <v>ANGELYN ALEGRE SANTOS</v>
      </c>
      <c r="I2227" s="1">
        <f>IFERROR(__xludf.DUMMYFUNCTION("""COMPUTED_VALUE"""),9632366586)</f>
        <v>9632366586</v>
      </c>
      <c r="J2227" s="1">
        <f>IFERROR(__xludf.DUMMYFUNCTION("""COMPUTED_VALUE"""),9696221271)</f>
        <v>9696221271</v>
      </c>
      <c r="K2227" s="1" t="str">
        <f>IFERROR(__xludf.DUMMYFUNCTION("""COMPUTED_VALUE"""),"mhineskyler@gmail.com")</f>
        <v>mhineskyler@gmail.com</v>
      </c>
      <c r="L2227" s="1" t="str">
        <f>IFERROR(__xludf.DUMMYFUNCTION("""COMPUTED_VALUE"""),"150")</f>
        <v>150</v>
      </c>
      <c r="M2227" s="1" t="str">
        <f>IFERROR(__xludf.DUMMYFUNCTION("""COMPUTED_VALUE"""),"LLAMADO ST")</f>
        <v>LLAMADO ST</v>
      </c>
      <c r="N2227" s="1"/>
      <c r="O2227" s="1" t="str">
        <f>IFERROR(__xludf.DUMMYFUNCTION("""COMPUTED_VALUE"""),"ASIS I")</f>
        <v>ASIS I</v>
      </c>
      <c r="P2227" s="1" t="str">
        <f>IFERROR(__xludf.DUMMYFUNCTION("""COMPUTED_VALUE"""),"MENDEZ")</f>
        <v>MENDEZ</v>
      </c>
      <c r="Q2227" s="1" t="str">
        <f>IFERROR(__xludf.DUMMYFUNCTION("""COMPUTED_VALUE"""),"CAVITE")</f>
        <v>CAVITE</v>
      </c>
      <c r="R2227" s="1" t="str">
        <f>IFERROR(__xludf.DUMMYFUNCTION("""COMPUTED_VALUE"""),"FIBR UNLI ALL PLAN 1399")</f>
        <v>FIBR UNLI ALL PLAN 1399</v>
      </c>
      <c r="S2227" s="1" t="str">
        <f>IFERROR(__xludf.DUMMYFUNCTION("""COMPUTED_VALUE"""),"APPROVED")</f>
        <v>APPROVED</v>
      </c>
      <c r="T2227" s="1" t="str">
        <f>IFERROR(__xludf.DUMMYFUNCTION("""COMPUTED_VALUE"""),"#N/A")</f>
        <v>#N/A</v>
      </c>
      <c r="U2227" s="1" t="str">
        <f>IFERROR(__xludf.DUMMYFUNCTION("""COMPUTED_VALUE"""),"POSTED")</f>
        <v>POSTED</v>
      </c>
      <c r="V2227" s="1"/>
      <c r="W2227" s="1"/>
    </row>
    <row r="2228" customHeight="1" spans="1:23">
      <c r="A2228" s="3">
        <f>IFERROR(__xludf.DUMMYFUNCTION("""COMPUTED_VALUE"""),46196)</f>
        <v>46196</v>
      </c>
      <c r="B2228" s="1" t="str">
        <f>IFERROR(__xludf.DUMMYFUNCTION("""COMPUTED_VALUE"""),"AYON MANUEL")</f>
        <v>AYON MANUEL</v>
      </c>
      <c r="C2228" s="1" t="str">
        <f>IFERROR(__xludf.DUMMYFUNCTION("""COMPUTED_VALUE"""),"FLA")</f>
        <v>FLA</v>
      </c>
      <c r="D2228" s="1" t="str">
        <f>IFERROR(__xludf.DUMMYFUNCTION("""COMPUTED_VALUE"""),"JERIC NAVARRO")</f>
        <v>JERIC NAVARRO</v>
      </c>
      <c r="E2228" s="1" t="str">
        <f>IFERROR(__xludf.DUMMYFUNCTION("""COMPUTED_VALUE"""),"PLDT / H2H")</f>
        <v>PLDT / H2H</v>
      </c>
      <c r="F2228" s="1">
        <f>IFERROR(__xludf.DUMMYFUNCTION("""COMPUTED_VALUE"""),2310430066)</f>
        <v>2310430066</v>
      </c>
      <c r="G2228" s="1"/>
      <c r="H2228" s="1" t="str">
        <f>IFERROR(__xludf.DUMMYFUNCTION("""COMPUTED_VALUE"""),"CRIZALDY JOHN ALVAREZ BAYACAL")</f>
        <v>CRIZALDY JOHN ALVAREZ BAYACAL</v>
      </c>
      <c r="I2228" s="1">
        <f>IFERROR(__xludf.DUMMYFUNCTION("""COMPUTED_VALUE"""),9051239991)</f>
        <v>9051239991</v>
      </c>
      <c r="J2228" s="1">
        <f>IFERROR(__xludf.DUMMYFUNCTION("""COMPUTED_VALUE"""),9151167671)</f>
        <v>9151167671</v>
      </c>
      <c r="K2228" s="1" t="str">
        <f>IFERROR(__xludf.DUMMYFUNCTION("""COMPUTED_VALUE"""),"cjbayacal000@gmail.com")</f>
        <v>cjbayacal000@gmail.com</v>
      </c>
      <c r="L2228" s="1" t="str">
        <f>IFERROR(__xludf.DUMMYFUNCTION("""COMPUTED_VALUE"""),"9007")</f>
        <v>9007</v>
      </c>
      <c r="M2228" s="1" t="str">
        <f>IFERROR(__xludf.DUMMYFUNCTION("""COMPUTED_VALUE"""),"PUNGOL RD")</f>
        <v>PUNGOL RD</v>
      </c>
      <c r="N2228" s="1"/>
      <c r="O2228" s="1" t="str">
        <f>IFERROR(__xludf.DUMMYFUNCTION("""COMPUTED_VALUE"""),"PATUTONG MALAKI NORTH")</f>
        <v>PATUTONG MALAKI NORTH</v>
      </c>
      <c r="P2228" s="1" t="str">
        <f>IFERROR(__xludf.DUMMYFUNCTION("""COMPUTED_VALUE"""),"TAGAYTAY")</f>
        <v>TAGAYTAY</v>
      </c>
      <c r="Q2228" s="1" t="str">
        <f>IFERROR(__xludf.DUMMYFUNCTION("""COMPUTED_VALUE"""),"CAVITE")</f>
        <v>CAVITE</v>
      </c>
      <c r="R2228" s="1" t="str">
        <f>IFERROR(__xludf.DUMMYFUNCTION("""COMPUTED_VALUE"""),"FIBR PLAN 1699")</f>
        <v>FIBR PLAN 1699</v>
      </c>
      <c r="S2228" s="1" t="str">
        <f>IFERROR(__xludf.DUMMYFUNCTION("""COMPUTED_VALUE"""),"APPROVED")</f>
        <v>APPROVED</v>
      </c>
      <c r="T2228" s="1" t="str">
        <f>IFERROR(__xludf.DUMMYFUNCTION("""COMPUTED_VALUE"""),"#N/A")</f>
        <v>#N/A</v>
      </c>
      <c r="U2228" s="1"/>
      <c r="V2228" s="1"/>
      <c r="W2228" s="1"/>
    </row>
    <row r="2229" customHeight="1" spans="1:23">
      <c r="A2229" s="3">
        <f>IFERROR(__xludf.DUMMYFUNCTION("""COMPUTED_VALUE"""),46196)</f>
        <v>46196</v>
      </c>
      <c r="B2229" s="1" t="str">
        <f>IFERROR(__xludf.DUMMYFUNCTION("""COMPUTED_VALUE"""),"FRONDEZ, JEDREFF")</f>
        <v>FRONDEZ, JEDREFF</v>
      </c>
      <c r="C2229" s="1" t="str">
        <f>IFERROR(__xludf.DUMMYFUNCTION("""COMPUTED_VALUE"""),"ORGANIC")</f>
        <v>ORGANIC</v>
      </c>
      <c r="D2229" s="1" t="str">
        <f>IFERROR(__xludf.DUMMYFUNCTION("""COMPUTED_VALUE"""),"REMOLLO LEA")</f>
        <v>REMOLLO LEA</v>
      </c>
      <c r="E2229" s="1" t="str">
        <f>IFERROR(__xludf.DUMMYFUNCTION("""COMPUTED_VALUE"""),"PLDT / H2H")</f>
        <v>PLDT / H2H</v>
      </c>
      <c r="F2229" s="1">
        <f>IFERROR(__xludf.DUMMYFUNCTION("""COMPUTED_VALUE"""),2310434153)</f>
        <v>2310434153</v>
      </c>
      <c r="G2229" s="1"/>
      <c r="H2229" s="1" t="str">
        <f>IFERROR(__xludf.DUMMYFUNCTION("""COMPUTED_VALUE"""),"LIEZL MULINGBAYAN DEL MUNDO")</f>
        <v>LIEZL MULINGBAYAN DEL MUNDO</v>
      </c>
      <c r="I2229" s="1">
        <f>IFERROR(__xludf.DUMMYFUNCTION("""COMPUTED_VALUE"""),9302902453)</f>
        <v>9302902453</v>
      </c>
      <c r="J2229" s="1">
        <f>IFERROR(__xludf.DUMMYFUNCTION("""COMPUTED_VALUE"""),9468221939)</f>
        <v>9468221939</v>
      </c>
      <c r="K2229" s="1" t="str">
        <f>IFERROR(__xludf.DUMMYFUNCTION("""COMPUTED_VALUE"""),"lyzeldelmundo39@gmail.com")</f>
        <v>lyzeldelmundo39@gmail.com</v>
      </c>
      <c r="L2229" s="1" t="str">
        <f>IFERROR(__xludf.DUMMYFUNCTION("""COMPUTED_VALUE"""),"3080")</f>
        <v>3080</v>
      </c>
      <c r="M2229" s="1" t="str">
        <f>IFERROR(__xludf.DUMMYFUNCTION("""COMPUTED_VALUE"""),"KAYTITINGA-SINALIN RD")</f>
        <v>KAYTITINGA-SINALIN RD</v>
      </c>
      <c r="N2229" s="1"/>
      <c r="O2229" s="1" t="str">
        <f>IFERROR(__xludf.DUMMYFUNCTION("""COMPUTED_VALUE"""),"KAYTITINGA I")</f>
        <v>KAYTITINGA I</v>
      </c>
      <c r="P2229" s="1" t="str">
        <f>IFERROR(__xludf.DUMMYFUNCTION("""COMPUTED_VALUE"""),"ALFONSO")</f>
        <v>ALFONSO</v>
      </c>
      <c r="Q2229" s="1" t="str">
        <f>IFERROR(__xludf.DUMMYFUNCTION("""COMPUTED_VALUE"""),"CAVITE")</f>
        <v>CAVITE</v>
      </c>
      <c r="R2229" s="1" t="str">
        <f>IFERROR(__xludf.DUMMYFUNCTION("""COMPUTED_VALUE"""),"FIBR UNLI ALL PLAN 999")</f>
        <v>FIBR UNLI ALL PLAN 999</v>
      </c>
      <c r="S2229" s="1" t="str">
        <f>IFERROR(__xludf.DUMMYFUNCTION("""COMPUTED_VALUE"""),"APPROVED")</f>
        <v>APPROVED</v>
      </c>
      <c r="T2229" s="1" t="str">
        <f>IFERROR(__xludf.DUMMYFUNCTION("""COMPUTED_VALUE"""),"#N/A")</f>
        <v>#N/A</v>
      </c>
      <c r="U2229" s="1"/>
      <c r="V2229" s="1"/>
      <c r="W2229" s="1"/>
    </row>
    <row r="2230" customHeight="1" spans="1:23">
      <c r="A2230" s="3">
        <f>IFERROR(__xludf.DUMMYFUNCTION("""COMPUTED_VALUE"""),46196)</f>
        <v>46196</v>
      </c>
      <c r="B2230" s="1" t="str">
        <f>IFERROR(__xludf.DUMMYFUNCTION("""COMPUTED_VALUE"""),"ESCARCHA, MA ALMA  ESCOTO")</f>
        <v>ESCARCHA, MA ALMA  ESCOTO</v>
      </c>
      <c r="C2230" s="1" t="str">
        <f>IFERROR(__xludf.DUMMYFUNCTION("""COMPUTED_VALUE"""),"ORGANIC")</f>
        <v>ORGANIC</v>
      </c>
      <c r="D2230" s="1" t="str">
        <f>IFERROR(__xludf.DUMMYFUNCTION("""COMPUTED_VALUE"""),"REMOLLO LEA")</f>
        <v>REMOLLO LEA</v>
      </c>
      <c r="E2230" s="1" t="str">
        <f>IFERROR(__xludf.DUMMYFUNCTION("""COMPUTED_VALUE"""),"PLDT / H2H")</f>
        <v>PLDT / H2H</v>
      </c>
      <c r="F2230" s="1">
        <f>IFERROR(__xludf.DUMMYFUNCTION("""COMPUTED_VALUE"""),2310432460)</f>
        <v>2310432460</v>
      </c>
      <c r="G2230" s="1"/>
      <c r="H2230" s="1" t="str">
        <f>IFERROR(__xludf.DUMMYFUNCTION("""COMPUTED_VALUE"""),"ERLINDA CAMBAL TUBANG ")</f>
        <v>ERLINDA CAMBAL TUBANG </v>
      </c>
      <c r="I2230" s="1">
        <f>IFERROR(__xludf.DUMMYFUNCTION("""COMPUTED_VALUE"""),9360353538)</f>
        <v>9360353538</v>
      </c>
      <c r="J2230" s="1"/>
      <c r="K2230" s="1" t="str">
        <f>IFERROR(__xludf.DUMMYFUNCTION("""COMPUTED_VALUE"""),"zeniyahliana@gmail.com")</f>
        <v>zeniyahliana@gmail.com</v>
      </c>
      <c r="L2230" s="1" t="str">
        <f>IFERROR(__xludf.DUMMYFUNCTION("""COMPUTED_VALUE"""),"7")</f>
        <v>7</v>
      </c>
      <c r="M2230" s="1" t="str">
        <f>IFERROR(__xludf.DUMMYFUNCTION("""COMPUTED_VALUE"""),"PUROK 7")</f>
        <v>PUROK 7</v>
      </c>
      <c r="N2230" s="1"/>
      <c r="O2230" s="1" t="str">
        <f>IFERROR(__xludf.DUMMYFUNCTION("""COMPUTED_VALUE"""),"BUCAL")</f>
        <v>BUCAL</v>
      </c>
      <c r="P2230" s="1" t="str">
        <f>IFERROR(__xludf.DUMMYFUNCTION("""COMPUTED_VALUE"""),"AMADEO")</f>
        <v>AMADEO</v>
      </c>
      <c r="Q2230" s="1" t="str">
        <f>IFERROR(__xludf.DUMMYFUNCTION("""COMPUTED_VALUE"""),"CAVITE")</f>
        <v>CAVITE</v>
      </c>
      <c r="R2230" s="1" t="str">
        <f>IFERROR(__xludf.DUMMYFUNCTION("""COMPUTED_VALUE"""),"FIBR PLAN 1299")</f>
        <v>FIBR PLAN 1299</v>
      </c>
      <c r="S2230" s="1" t="str">
        <f>IFERROR(__xludf.DUMMYFUNCTION("""COMPUTED_VALUE"""),"APPROVED")</f>
        <v>APPROVED</v>
      </c>
      <c r="T2230" s="1" t="str">
        <f>IFERROR(__xludf.DUMMYFUNCTION("""COMPUTED_VALUE"""),"#N/A")</f>
        <v>#N/A</v>
      </c>
      <c r="U2230" s="1"/>
      <c r="V2230" s="1"/>
      <c r="W2230" s="1"/>
    </row>
    <row r="2231" customHeight="1" spans="1:23">
      <c r="A2231" s="3">
        <f>IFERROR(__xludf.DUMMYFUNCTION("""COMPUTED_VALUE"""),46196)</f>
        <v>46196</v>
      </c>
      <c r="B2231" s="1" t="str">
        <f>IFERROR(__xludf.DUMMYFUNCTION("""COMPUTED_VALUE"""),"AGUNOS, JHON AIRVIN")</f>
        <v>AGUNOS, JHON AIRVIN</v>
      </c>
      <c r="C2231" s="1" t="str">
        <f>IFERROR(__xludf.DUMMYFUNCTION("""COMPUTED_VALUE"""),"FLA")</f>
        <v>FLA</v>
      </c>
      <c r="D2231" s="1" t="str">
        <f>IFERROR(__xludf.DUMMYFUNCTION("""COMPUTED_VALUE"""),"JERIC NAVARRO")</f>
        <v>JERIC NAVARRO</v>
      </c>
      <c r="E2231" s="1" t="str">
        <f>IFERROR(__xludf.DUMMYFUNCTION("""COMPUTED_VALUE"""),"PLDT / ONLINE")</f>
        <v>PLDT / ONLINE</v>
      </c>
      <c r="F2231" s="1">
        <f>IFERROR(__xludf.DUMMYFUNCTION("""COMPUTED_VALUE"""),2310444880)</f>
        <v>2310444880</v>
      </c>
      <c r="G2231" s="1"/>
      <c r="H2231" s="1" t="str">
        <f>IFERROR(__xludf.DUMMYFUNCTION("""COMPUTED_VALUE"""),"LINA MAE IBARRA COJENA")</f>
        <v>LINA MAE IBARRA COJENA</v>
      </c>
      <c r="I2231" s="1">
        <f>IFERROR(__xludf.DUMMYFUNCTION("""COMPUTED_VALUE"""),9653676769)</f>
        <v>9653676769</v>
      </c>
      <c r="J2231" s="1">
        <f>IFERROR(__xludf.DUMMYFUNCTION("""COMPUTED_VALUE"""),9359688806)</f>
        <v>9359688806</v>
      </c>
      <c r="K2231" s="1" t="str">
        <f>IFERROR(__xludf.DUMMYFUNCTION("""COMPUTED_VALUE"""),"icojena23@gmail.com")</f>
        <v>icojena23@gmail.com</v>
      </c>
      <c r="L2231" s="1" t="str">
        <f>IFERROR(__xludf.DUMMYFUNCTION("""COMPUTED_VALUE"""),"7200")</f>
        <v>7200</v>
      </c>
      <c r="M2231" s="1" t="str">
        <f>IFERROR(__xludf.DUMMYFUNCTION("""COMPUTED_VALUE"""),"DULO")</f>
        <v>DULO</v>
      </c>
      <c r="N2231" s="1"/>
      <c r="O2231" s="1" t="str">
        <f>IFERROR(__xludf.DUMMYFUNCTION("""COMPUTED_VALUE"""),"TARTARIA")</f>
        <v>TARTARIA</v>
      </c>
      <c r="P2231" s="1" t="str">
        <f>IFERROR(__xludf.DUMMYFUNCTION("""COMPUTED_VALUE"""),"SILANG")</f>
        <v>SILANG</v>
      </c>
      <c r="Q2231" s="1" t="str">
        <f>IFERROR(__xludf.DUMMYFUNCTION("""COMPUTED_VALUE"""),"CAVITE")</f>
        <v>CAVITE</v>
      </c>
      <c r="R2231" s="1" t="str">
        <f>IFERROR(__xludf.DUMMYFUNCTION("""COMPUTED_VALUE"""),"FIBR UNLI ALL PLAN 1399")</f>
        <v>FIBR UNLI ALL PLAN 1399</v>
      </c>
      <c r="S2231" s="1" t="str">
        <f>IFERROR(__xludf.DUMMYFUNCTION("""COMPUTED_VALUE"""),"APPROVED")</f>
        <v>APPROVED</v>
      </c>
      <c r="T2231" s="1" t="str">
        <f>IFERROR(__xludf.DUMMYFUNCTION("""COMPUTED_VALUE"""),"#N/A")</f>
        <v>#N/A</v>
      </c>
      <c r="U2231" s="1"/>
      <c r="V2231" s="1"/>
      <c r="W2231" s="1"/>
    </row>
    <row r="2232" customHeight="1" spans="1:23">
      <c r="A2232" s="3">
        <f>IFERROR(__xludf.DUMMYFUNCTION("""COMPUTED_VALUE"""),46196)</f>
        <v>46196</v>
      </c>
      <c r="B2232" s="1" t="str">
        <f>IFERROR(__xludf.DUMMYFUNCTION("""COMPUTED_VALUE"""),"FRANCISCO , ROSELYN")</f>
        <v>FRANCISCO , ROSELYN</v>
      </c>
      <c r="C2232" s="1" t="str">
        <f>IFERROR(__xludf.DUMMYFUNCTION("""COMPUTED_VALUE"""),"ORGANIC")</f>
        <v>ORGANIC</v>
      </c>
      <c r="D2232" s="1" t="str">
        <f>IFERROR(__xludf.DUMMYFUNCTION("""COMPUTED_VALUE"""),"REMOLLO LEA")</f>
        <v>REMOLLO LEA</v>
      </c>
      <c r="E2232" s="1" t="str">
        <f>IFERROR(__xludf.DUMMYFUNCTION("""COMPUTED_VALUE"""),"PLDT / H2H")</f>
        <v>PLDT / H2H</v>
      </c>
      <c r="F2232" s="1">
        <f>IFERROR(__xludf.DUMMYFUNCTION("""COMPUTED_VALUE"""),2310432365)</f>
        <v>2310432365</v>
      </c>
      <c r="G2232" s="1"/>
      <c r="H2232" s="1" t="str">
        <f>IFERROR(__xludf.DUMMYFUNCTION("""COMPUTED_VALUE"""),"JUNE PAUL RIVERA DE OCAMPO")</f>
        <v>JUNE PAUL RIVERA DE OCAMPO</v>
      </c>
      <c r="I2232" s="1">
        <f>IFERROR(__xludf.DUMMYFUNCTION("""COMPUTED_VALUE"""),9954792783)</f>
        <v>9954792783</v>
      </c>
      <c r="J2232" s="1">
        <f>IFERROR(__xludf.DUMMYFUNCTION("""COMPUTED_VALUE"""),9814585850)</f>
        <v>9814585850</v>
      </c>
      <c r="K2232" s="1" t="str">
        <f>IFERROR(__xludf.DUMMYFUNCTION("""COMPUTED_VALUE"""),"deocampojunepaul@gmail.com")</f>
        <v>deocampojunepaul@gmail.com</v>
      </c>
      <c r="L2232" s="1" t="str">
        <f>IFERROR(__xludf.DUMMYFUNCTION("""COMPUTED_VALUE"""),"1-b")</f>
        <v>1-b</v>
      </c>
      <c r="M2232" s="1" t="str">
        <f>IFERROR(__xludf.DUMMYFUNCTION("""COMPUTED_VALUE"""),"PUROK 1")</f>
        <v>PUROK 1</v>
      </c>
      <c r="N2232" s="1"/>
      <c r="O2232" s="1" t="str">
        <f>IFERROR(__xludf.DUMMYFUNCTION("""COMPUTED_VALUE"""),"MAYMANGGA")</f>
        <v>MAYMANGGA</v>
      </c>
      <c r="P2232" s="1" t="str">
        <f>IFERROR(__xludf.DUMMYFUNCTION("""COMPUTED_VALUE"""),"AMADEO")</f>
        <v>AMADEO</v>
      </c>
      <c r="Q2232" s="1" t="str">
        <f>IFERROR(__xludf.DUMMYFUNCTION("""COMPUTED_VALUE"""),"CAVITE")</f>
        <v>CAVITE</v>
      </c>
      <c r="R2232" s="1" t="str">
        <f>IFERROR(__xludf.DUMMYFUNCTION("""COMPUTED_VALUE"""),"FIBR UNLI ALL PLAN 1399")</f>
        <v>FIBR UNLI ALL PLAN 1399</v>
      </c>
      <c r="S2232" s="1" t="str">
        <f>IFERROR(__xludf.DUMMYFUNCTION("""COMPUTED_VALUE"""),"APPROVED")</f>
        <v>APPROVED</v>
      </c>
      <c r="T2232" s="1" t="str">
        <f>IFERROR(__xludf.DUMMYFUNCTION("""COMPUTED_VALUE"""),"#N/A")</f>
        <v>#N/A</v>
      </c>
      <c r="U2232" s="1" t="str">
        <f>IFERROR(__xludf.DUMMYFUNCTION("""COMPUTED_VALUE"""),"POSTED")</f>
        <v>POSTED</v>
      </c>
      <c r="V2232" s="1"/>
      <c r="W2232" s="1"/>
    </row>
    <row r="2233" customHeight="1" spans="1:23">
      <c r="A2233" s="3">
        <f>IFERROR(__xludf.DUMMYFUNCTION("""COMPUTED_VALUE"""),46196)</f>
        <v>46196</v>
      </c>
      <c r="B2233" s="1" t="str">
        <f>IFERROR(__xludf.DUMMYFUNCTION("""COMPUTED_VALUE"""),"MAGDARAOG, KENNETH")</f>
        <v>MAGDARAOG, KENNETH</v>
      </c>
      <c r="C2233" s="1" t="str">
        <f>IFERROR(__xludf.DUMMYFUNCTION("""COMPUTED_VALUE"""),"ORGANIC")</f>
        <v>ORGANIC</v>
      </c>
      <c r="D2233" s="1" t="str">
        <f>IFERROR(__xludf.DUMMYFUNCTION("""COMPUTED_VALUE"""),"REMOLLO LEA")</f>
        <v>REMOLLO LEA</v>
      </c>
      <c r="E2233" s="1" t="str">
        <f>IFERROR(__xludf.DUMMYFUNCTION("""COMPUTED_VALUE"""),"PLDT / H2H")</f>
        <v>PLDT / H2H</v>
      </c>
      <c r="F2233" s="1">
        <f>IFERROR(__xludf.DUMMYFUNCTION("""COMPUTED_VALUE"""),2310433221)</f>
        <v>2310433221</v>
      </c>
      <c r="G2233" s="1"/>
      <c r="H2233" s="1" t="str">
        <f>IFERROR(__xludf.DUMMYFUNCTION("""COMPUTED_VALUE"""),"ROCHELLE CASIL")</f>
        <v>ROCHELLE CASIL</v>
      </c>
      <c r="I2233" s="1">
        <f>IFERROR(__xludf.DUMMYFUNCTION("""COMPUTED_VALUE"""),9454112448)</f>
        <v>9454112448</v>
      </c>
      <c r="J2233" s="1"/>
      <c r="K2233" s="1" t="str">
        <f>IFERROR(__xludf.DUMMYFUNCTION("""COMPUTED_VALUE"""),"ellechor017@gmail.com")</f>
        <v>ellechor017@gmail.com</v>
      </c>
      <c r="L2233" s="1" t="str">
        <f>IFERROR(__xludf.DUMMYFUNCTION("""COMPUTED_VALUE"""),"29")</f>
        <v>29</v>
      </c>
      <c r="M2233" s="1" t="str">
        <f>IFERROR(__xludf.DUMMYFUNCTION("""COMPUTED_VALUE"""),"PUROK 4")</f>
        <v>PUROK 4</v>
      </c>
      <c r="N2233" s="1"/>
      <c r="O2233" s="1" t="str">
        <f>IFERROR(__xludf.DUMMYFUNCTION("""COMPUTED_VALUE"""),"BUCAL")</f>
        <v>BUCAL</v>
      </c>
      <c r="P2233" s="1" t="str">
        <f>IFERROR(__xludf.DUMMYFUNCTION("""COMPUTED_VALUE"""),"AMADEO")</f>
        <v>AMADEO</v>
      </c>
      <c r="Q2233" s="1" t="str">
        <f>IFERROR(__xludf.DUMMYFUNCTION("""COMPUTED_VALUE"""),"CAVITE")</f>
        <v>CAVITE</v>
      </c>
      <c r="R2233" s="1" t="str">
        <f>IFERROR(__xludf.DUMMYFUNCTION("""COMPUTED_VALUE"""),"FIBR UNLI ALL PLAN 999")</f>
        <v>FIBR UNLI ALL PLAN 999</v>
      </c>
      <c r="S2233" s="1" t="str">
        <f>IFERROR(__xludf.DUMMYFUNCTION("""COMPUTED_VALUE"""),"APPROVED")</f>
        <v>APPROVED</v>
      </c>
      <c r="T2233" s="1" t="str">
        <f>IFERROR(__xludf.DUMMYFUNCTION("""COMPUTED_VALUE"""),"#N/A")</f>
        <v>#N/A</v>
      </c>
      <c r="U2233" s="1" t="str">
        <f>IFERROR(__xludf.DUMMYFUNCTION("""COMPUTED_VALUE"""),"POSTED")</f>
        <v>POSTED</v>
      </c>
      <c r="V2233" s="1"/>
      <c r="W2233" s="1"/>
    </row>
    <row r="2234" customHeight="1" spans="1:23">
      <c r="A2234" s="3">
        <f>IFERROR(__xludf.DUMMYFUNCTION("""COMPUTED_VALUE"""),46196)</f>
        <v>46196</v>
      </c>
      <c r="B2234" s="1" t="str">
        <f>IFERROR(__xludf.DUMMYFUNCTION("""COMPUTED_VALUE"""),"AYON MANUEL")</f>
        <v>AYON MANUEL</v>
      </c>
      <c r="C2234" s="1" t="str">
        <f>IFERROR(__xludf.DUMMYFUNCTION("""COMPUTED_VALUE"""),"FLA")</f>
        <v>FLA</v>
      </c>
      <c r="D2234" s="1" t="str">
        <f>IFERROR(__xludf.DUMMYFUNCTION("""COMPUTED_VALUE"""),"JERIC NAVARRO")</f>
        <v>JERIC NAVARRO</v>
      </c>
      <c r="E2234" s="1" t="str">
        <f>IFERROR(__xludf.DUMMYFUNCTION("""COMPUTED_VALUE"""),"PLDT / H2H")</f>
        <v>PLDT / H2H</v>
      </c>
      <c r="F2234" s="1"/>
      <c r="G2234" s="1"/>
      <c r="H2234" s="1" t="str">
        <f>IFERROR(__xludf.DUMMYFUNCTION("""COMPUTED_VALUE"""),"MARVIN RED RACAN RIVERA")</f>
        <v>MARVIN RED RACAN RIVERA</v>
      </c>
      <c r="I2234" s="1">
        <f>IFERROR(__xludf.DUMMYFUNCTION("""COMPUTED_VALUE"""),9770114064)</f>
        <v>9770114064</v>
      </c>
      <c r="J2234" s="1"/>
      <c r="K2234" s="1" t="str">
        <f>IFERROR(__xludf.DUMMYFUNCTION("""COMPUTED_VALUE"""),"riveraredmarvin@gmail.com")</f>
        <v>riveraredmarvin@gmail.com</v>
      </c>
      <c r="L2234" s="1" t="str">
        <f>IFERROR(__xludf.DUMMYFUNCTION("""COMPUTED_VALUE"""),"10352")</f>
        <v>10352</v>
      </c>
      <c r="M2234" s="1" t="str">
        <f>IFERROR(__xludf.DUMMYFUNCTION("""COMPUTED_VALUE"""),"SAN PABLO")</f>
        <v>SAN PABLO</v>
      </c>
      <c r="N2234" s="1"/>
      <c r="O2234" s="1" t="str">
        <f>IFERROR(__xludf.DUMMYFUNCTION("""COMPUTED_VALUE"""),"CABILANG BAYBAY")</f>
        <v>CABILANG BAYBAY</v>
      </c>
      <c r="P2234" s="1" t="str">
        <f>IFERROR(__xludf.DUMMYFUNCTION("""COMPUTED_VALUE"""),"CARMONA")</f>
        <v>CARMONA</v>
      </c>
      <c r="Q2234" s="1" t="str">
        <f>IFERROR(__xludf.DUMMYFUNCTION("""COMPUTED_VALUE"""),"CAVITE")</f>
        <v>CAVITE</v>
      </c>
      <c r="R2234" s="1" t="str">
        <f>IFERROR(__xludf.DUMMYFUNCTION("""COMPUTED_VALUE"""),"FIBR UNLI ALL PLAN 1399")</f>
        <v>FIBR UNLI ALL PLAN 1399</v>
      </c>
      <c r="S2234" s="1" t="str">
        <f>IFERROR(__xludf.DUMMYFUNCTION("""COMPUTED_VALUE"""),"CANCELLED ")</f>
        <v>CANCELLED </v>
      </c>
      <c r="T2234" s="1" t="str">
        <f>IFERROR(__xludf.DUMMYFUNCTION("""COMPUTED_VALUE"""),"#N/A")</f>
        <v>#N/A</v>
      </c>
      <c r="U2234" s="1" t="str">
        <f>IFERROR(__xludf.DUMMYFUNCTION("""COMPUTED_VALUE"""),"WITH EXISTING SR")</f>
        <v>WITH EXISTING SR</v>
      </c>
      <c r="V2234" s="1"/>
      <c r="W2234" s="1"/>
    </row>
    <row r="2235" customHeight="1" spans="1:23">
      <c r="A2235" s="3">
        <f>IFERROR(__xludf.DUMMYFUNCTION("""COMPUTED_VALUE"""),46196)</f>
        <v>46196</v>
      </c>
      <c r="B2235" s="1" t="str">
        <f>IFERROR(__xludf.DUMMYFUNCTION("""COMPUTED_VALUE"""),"MANDUCDOC, MARIANE")</f>
        <v>MANDUCDOC, MARIANE</v>
      </c>
      <c r="C2235" s="1" t="str">
        <f>IFERROR(__xludf.DUMMYFUNCTION("""COMPUTED_VALUE"""),"ORGANIC")</f>
        <v>ORGANIC</v>
      </c>
      <c r="D2235" s="1" t="str">
        <f>IFERROR(__xludf.DUMMYFUNCTION("""COMPUTED_VALUE"""),"REMOLLO LEA")</f>
        <v>REMOLLO LEA</v>
      </c>
      <c r="E2235" s="1" t="str">
        <f>IFERROR(__xludf.DUMMYFUNCTION("""COMPUTED_VALUE"""),"PLDT / H2H")</f>
        <v>PLDT / H2H</v>
      </c>
      <c r="F2235" s="1">
        <f>IFERROR(__xludf.DUMMYFUNCTION("""COMPUTED_VALUE"""),2310451895)</f>
        <v>2310451895</v>
      </c>
      <c r="G2235" s="1"/>
      <c r="H2235" s="1" t="str">
        <f>IFERROR(__xludf.DUMMYFUNCTION("""COMPUTED_VALUE"""),"JUVILYN DIMAILIG DIAZ")</f>
        <v>JUVILYN DIMAILIG DIAZ</v>
      </c>
      <c r="I2235" s="1">
        <f>IFERROR(__xludf.DUMMYFUNCTION("""COMPUTED_VALUE"""),9701783264)</f>
        <v>9701783264</v>
      </c>
      <c r="J2235" s="1"/>
      <c r="K2235" s="1" t="str">
        <f>IFERROR(__xludf.DUMMYFUNCTION("""COMPUTED_VALUE"""),"juvilyndiaz09@gmail.com")</f>
        <v>juvilyndiaz09@gmail.com</v>
      </c>
      <c r="L2235" s="1" t="str">
        <f>IFERROR(__xludf.DUMMYFUNCTION("""COMPUTED_VALUE"""),"BLK 2 LOT 13")</f>
        <v>BLK 2 LOT 13</v>
      </c>
      <c r="M2235" s="1" t="str">
        <f>IFERROR(__xludf.DUMMYFUNCTION("""COMPUTED_VALUE"""),"PHASE 2")</f>
        <v>PHASE 2</v>
      </c>
      <c r="N2235" s="1"/>
      <c r="O2235" s="1" t="str">
        <f>IFERROR(__xludf.DUMMYFUNCTION("""COMPUTED_VALUE"""),"ANAHAW I")</f>
        <v>ANAHAW I</v>
      </c>
      <c r="P2235" s="1" t="str">
        <f>IFERROR(__xludf.DUMMYFUNCTION("""COMPUTED_VALUE"""),"SILANG")</f>
        <v>SILANG</v>
      </c>
      <c r="Q2235" s="1" t="str">
        <f>IFERROR(__xludf.DUMMYFUNCTION("""COMPUTED_VALUE"""),"CAVITE")</f>
        <v>CAVITE</v>
      </c>
      <c r="R2235" s="1" t="str">
        <f>IFERROR(__xludf.DUMMYFUNCTION("""COMPUTED_VALUE"""),"FIBR UNLI ALL PLAN 999")</f>
        <v>FIBR UNLI ALL PLAN 999</v>
      </c>
      <c r="S2235" s="1" t="str">
        <f>IFERROR(__xludf.DUMMYFUNCTION("""COMPUTED_VALUE"""),"APPROVED")</f>
        <v>APPROVED</v>
      </c>
      <c r="T2235" s="1" t="str">
        <f>IFERROR(__xludf.DUMMYFUNCTION("""COMPUTED_VALUE"""),"#N/A")</f>
        <v>#N/A</v>
      </c>
      <c r="U2235" s="1"/>
      <c r="V2235" s="1"/>
      <c r="W2235" s="1"/>
    </row>
    <row r="2236" customHeight="1" spans="1:23">
      <c r="A2236" s="3">
        <f>IFERROR(__xludf.DUMMYFUNCTION("""COMPUTED_VALUE"""),46197)</f>
        <v>46197</v>
      </c>
      <c r="B2236" s="1" t="str">
        <f>IFERROR(__xludf.DUMMYFUNCTION("""COMPUTED_VALUE"""),"OPS IAN SUMILANG")</f>
        <v>OPS IAN SUMILANG</v>
      </c>
      <c r="C2236" s="1" t="str">
        <f>IFERROR(__xludf.DUMMYFUNCTION("""COMPUTED_VALUE"""),"LEADSTORE")</f>
        <v>LEADSTORE</v>
      </c>
      <c r="D2236" s="1" t="str">
        <f>IFERROR(__xludf.DUMMYFUNCTION("""COMPUTED_VALUE"""),"JERIC NAVARRO")</f>
        <v>JERIC NAVARRO</v>
      </c>
      <c r="E2236" s="1" t="str">
        <f>IFERROR(__xludf.DUMMYFUNCTION("""COMPUTED_VALUE"""),"PLDT / ONLINE")</f>
        <v>PLDT / ONLINE</v>
      </c>
      <c r="F2236" s="1">
        <f>IFERROR(__xludf.DUMMYFUNCTION("""COMPUTED_VALUE"""),2310447606)</f>
        <v>2310447606</v>
      </c>
      <c r="G2236" s="1"/>
      <c r="H2236" s="1" t="str">
        <f>IFERROR(__xludf.DUMMYFUNCTION("""COMPUTED_VALUE"""),"MARICEL SORTIJAS VERGARA")</f>
        <v>MARICEL SORTIJAS VERGARA</v>
      </c>
      <c r="I2236" s="1">
        <f>IFERROR(__xludf.DUMMYFUNCTION("""COMPUTED_VALUE"""),9173170273)</f>
        <v>9173170273</v>
      </c>
      <c r="J2236" s="1">
        <f>IFERROR(__xludf.DUMMYFUNCTION("""COMPUTED_VALUE"""),9178180733)</f>
        <v>9178180733</v>
      </c>
      <c r="K2236" s="1" t="str">
        <f>IFERROR(__xludf.DUMMYFUNCTION("""COMPUTED_VALUE"""),"cheyvergara28@gmail.com")</f>
        <v>cheyvergara28@gmail.com</v>
      </c>
      <c r="L2236" s="1" t="str">
        <f>IFERROR(__xludf.DUMMYFUNCTION("""COMPUTED_VALUE"""),"BLK 20 LOT 10")</f>
        <v>BLK 20 LOT 10</v>
      </c>
      <c r="M2236" s="1" t="str">
        <f>IFERROR(__xludf.DUMMYFUNCTION("""COMPUTED_VALUE"""),"SUMMERPHINE")</f>
        <v>SUMMERPHINE</v>
      </c>
      <c r="N2236" s="1"/>
      <c r="O2236" s="1" t="str">
        <f>IFERROR(__xludf.DUMMYFUNCTION("""COMPUTED_VALUE"""),"SAN JOSE I")</f>
        <v>SAN JOSE I</v>
      </c>
      <c r="P2236" s="1" t="str">
        <f>IFERROR(__xludf.DUMMYFUNCTION("""COMPUTED_VALUE"""),"NOVELETA")</f>
        <v>NOVELETA</v>
      </c>
      <c r="Q2236" s="1" t="str">
        <f>IFERROR(__xludf.DUMMYFUNCTION("""COMPUTED_VALUE"""),"CAVITE")</f>
        <v>CAVITE</v>
      </c>
      <c r="R2236" s="1" t="str">
        <f>IFERROR(__xludf.DUMMYFUNCTION("""COMPUTED_VALUE"""),"SWITCH FIBER 1699")</f>
        <v>SWITCH FIBER 1699</v>
      </c>
      <c r="S2236" s="1" t="str">
        <f>IFERROR(__xludf.DUMMYFUNCTION("""COMPUTED_VALUE"""),"APPROVED")</f>
        <v>APPROVED</v>
      </c>
      <c r="T2236" s="1" t="str">
        <f>IFERROR(__xludf.DUMMYFUNCTION("""COMPUTED_VALUE"""),"#N/A")</f>
        <v>#N/A</v>
      </c>
      <c r="U2236" s="1" t="str">
        <f>IFERROR(__xludf.DUMMYFUNCTION("""COMPUTED_VALUE"""),"POSTED")</f>
        <v>POSTED</v>
      </c>
      <c r="V2236" s="1"/>
      <c r="W2236" s="1"/>
    </row>
    <row r="2237" customHeight="1" spans="1:23">
      <c r="A2237" s="3">
        <f>IFERROR(__xludf.DUMMYFUNCTION("""COMPUTED_VALUE"""),46197)</f>
        <v>46197</v>
      </c>
      <c r="B2237" s="1" t="str">
        <f>IFERROR(__xludf.DUMMYFUNCTION("""COMPUTED_VALUE"""),"GABAY, MANUEL")</f>
        <v>GABAY, MANUEL</v>
      </c>
      <c r="C2237" s="1" t="str">
        <f>IFERROR(__xludf.DUMMYFUNCTION("""COMPUTED_VALUE"""),"FLA")</f>
        <v>FLA</v>
      </c>
      <c r="D2237" s="1" t="str">
        <f>IFERROR(__xludf.DUMMYFUNCTION("""COMPUTED_VALUE"""),"JERIC NAVARRO")</f>
        <v>JERIC NAVARRO</v>
      </c>
      <c r="E2237" s="1" t="str">
        <f>IFERROR(__xludf.DUMMYFUNCTION("""COMPUTED_VALUE"""),"PLDT / H2H")</f>
        <v>PLDT / H2H</v>
      </c>
      <c r="F2237" s="1">
        <f>IFERROR(__xludf.DUMMYFUNCTION("""COMPUTED_VALUE"""),2310450430)</f>
        <v>2310450430</v>
      </c>
      <c r="G2237" s="1"/>
      <c r="H2237" s="1" t="str">
        <f>IFERROR(__xludf.DUMMYFUNCTION("""COMPUTED_VALUE"""),"WENDIELENE VIDENA MALIMBAN")</f>
        <v>WENDIELENE VIDENA MALIMBAN</v>
      </c>
      <c r="I2237" s="1">
        <f>IFERROR(__xludf.DUMMYFUNCTION("""COMPUTED_VALUE"""),9150068639)</f>
        <v>9150068639</v>
      </c>
      <c r="J2237" s="1">
        <f>IFERROR(__xludf.DUMMYFUNCTION("""COMPUTED_VALUE"""),9273324926)</f>
        <v>9273324926</v>
      </c>
      <c r="K2237" s="1" t="str">
        <f>IFERROR(__xludf.DUMMYFUNCTION("""COMPUTED_VALUE"""),"wendiemalimban14@gmial.com")</f>
        <v>wendiemalimban14@gmial.com</v>
      </c>
      <c r="L2237" s="1" t="str">
        <f>IFERROR(__xludf.DUMMYFUNCTION("""COMPUTED_VALUE"""),"274")</f>
        <v>274</v>
      </c>
      <c r="M2237" s="1" t="str">
        <f>IFERROR(__xludf.DUMMYFUNCTION("""COMPUTED_VALUE"""),"POOC")</f>
        <v>POOC</v>
      </c>
      <c r="N2237" s="1"/>
      <c r="O2237" s="1" t="str">
        <f>IFERROR(__xludf.DUMMYFUNCTION("""COMPUTED_VALUE"""),"POOC II")</f>
        <v>POOC II</v>
      </c>
      <c r="P2237" s="1" t="str">
        <f>IFERROR(__xludf.DUMMYFUNCTION("""COMPUTED_VALUE"""),"SILANG")</f>
        <v>SILANG</v>
      </c>
      <c r="Q2237" s="1" t="str">
        <f>IFERROR(__xludf.DUMMYFUNCTION("""COMPUTED_VALUE"""),"CAVITE")</f>
        <v>CAVITE</v>
      </c>
      <c r="R2237" s="1" t="str">
        <f>IFERROR(__xludf.DUMMYFUNCTION("""COMPUTED_VALUE"""),"FIBR UNLI ALL PLAN 1399")</f>
        <v>FIBR UNLI ALL PLAN 1399</v>
      </c>
      <c r="S2237" s="1" t="str">
        <f>IFERROR(__xludf.DUMMYFUNCTION("""COMPUTED_VALUE"""),"APPROVED")</f>
        <v>APPROVED</v>
      </c>
      <c r="T2237" s="1" t="str">
        <f>IFERROR(__xludf.DUMMYFUNCTION("""COMPUTED_VALUE"""),"#N/A")</f>
        <v>#N/A</v>
      </c>
      <c r="U2237" s="1"/>
      <c r="V2237" s="1"/>
      <c r="W2237" s="1"/>
    </row>
    <row r="2238" customHeight="1" spans="1:23">
      <c r="A2238" s="3">
        <f>IFERROR(__xludf.DUMMYFUNCTION("""COMPUTED_VALUE"""),46197)</f>
        <v>46197</v>
      </c>
      <c r="B2238" s="1" t="str">
        <f>IFERROR(__xludf.DUMMYFUNCTION("""COMPUTED_VALUE"""),"AYON MANUEL")</f>
        <v>AYON MANUEL</v>
      </c>
      <c r="C2238" s="1" t="str">
        <f>IFERROR(__xludf.DUMMYFUNCTION("""COMPUTED_VALUE"""),"FLA")</f>
        <v>FLA</v>
      </c>
      <c r="D2238" s="1" t="str">
        <f>IFERROR(__xludf.DUMMYFUNCTION("""COMPUTED_VALUE"""),"JERIC NAVARRO")</f>
        <v>JERIC NAVARRO</v>
      </c>
      <c r="E2238" s="1" t="str">
        <f>IFERROR(__xludf.DUMMYFUNCTION("""COMPUTED_VALUE"""),"HOME BIZZ")</f>
        <v>HOME BIZZ</v>
      </c>
      <c r="F2238" s="1">
        <f>IFERROR(__xludf.DUMMYFUNCTION("""COMPUTED_VALUE"""),2310449800)</f>
        <v>2310449800</v>
      </c>
      <c r="G2238" s="1"/>
      <c r="H2238" s="1" t="str">
        <f>IFERROR(__xludf.DUMMYFUNCTION("""COMPUTED_VALUE"""),"M.POLO CONSTRACTION SUPPLY")</f>
        <v>M.POLO CONSTRACTION SUPPLY</v>
      </c>
      <c r="I2238" s="1">
        <f>IFERROR(__xludf.DUMMYFUNCTION("""COMPUTED_VALUE"""),9178810535)</f>
        <v>9178810535</v>
      </c>
      <c r="J2238" s="1">
        <f>IFERROR(__xludf.DUMMYFUNCTION("""COMPUTED_VALUE"""),9354926388)</f>
        <v>9354926388</v>
      </c>
      <c r="K2238" s="1" t="str">
        <f>IFERROR(__xludf.DUMMYFUNCTION("""COMPUTED_VALUE"""),"raloyola@m.polo.com")</f>
        <v>raloyola@m.polo.com</v>
      </c>
      <c r="L2238" s="1" t="str">
        <f>IFERROR(__xludf.DUMMYFUNCTION("""COMPUTED_VALUE"""),"724a")</f>
        <v>724a</v>
      </c>
      <c r="M2238" s="1" t="str">
        <f>IFERROR(__xludf.DUMMYFUNCTION("""COMPUTED_VALUE"""),"SUGAR RD")</f>
        <v>SUGAR RD</v>
      </c>
      <c r="N2238" s="1" t="str">
        <f>IFERROR(__xludf.DUMMYFUNCTION("""COMPUTED_VALUE"""),"CITYLAND")</f>
        <v>CITYLAND</v>
      </c>
      <c r="O2238" s="1" t="str">
        <f>IFERROR(__xludf.DUMMYFUNCTION("""COMPUTED_VALUE"""),"MABUHAY")</f>
        <v>MABUHAY</v>
      </c>
      <c r="P2238" s="1" t="str">
        <f>IFERROR(__xludf.DUMMYFUNCTION("""COMPUTED_VALUE"""),"CARMONA")</f>
        <v>CARMONA</v>
      </c>
      <c r="Q2238" s="1" t="str">
        <f>IFERROR(__xludf.DUMMYFUNCTION("""COMPUTED_VALUE"""),"CAVITE")</f>
        <v>CAVITE</v>
      </c>
      <c r="R2238" s="1" t="str">
        <f>IFERROR(__xludf.DUMMYFUNCTION("""COMPUTED_VALUE"""),"HOME BIZ PLAN 1699")</f>
        <v>HOME BIZ PLAN 1699</v>
      </c>
      <c r="S2238" s="1" t="str">
        <f>IFERROR(__xludf.DUMMYFUNCTION("""COMPUTED_VALUE"""),"APPROVED")</f>
        <v>APPROVED</v>
      </c>
      <c r="T2238" s="1" t="str">
        <f>IFERROR(__xludf.DUMMYFUNCTION("""COMPUTED_VALUE"""),"#N/A")</f>
        <v>#N/A</v>
      </c>
      <c r="U2238" s="1"/>
      <c r="V2238" s="1"/>
      <c r="W2238" s="1"/>
    </row>
    <row r="2239" customHeight="1" spans="1:23">
      <c r="A2239" s="3">
        <f>IFERROR(__xludf.DUMMYFUNCTION("""COMPUTED_VALUE"""),46197)</f>
        <v>46197</v>
      </c>
      <c r="B2239" s="1" t="str">
        <f>IFERROR(__xludf.DUMMYFUNCTION("""COMPUTED_VALUE"""),"MALIWAT MARK ELVIN")</f>
        <v>MALIWAT MARK ELVIN</v>
      </c>
      <c r="C2239" s="1" t="str">
        <f>IFERROR(__xludf.DUMMYFUNCTION("""COMPUTED_VALUE"""),"FLA")</f>
        <v>FLA</v>
      </c>
      <c r="D2239" s="1" t="str">
        <f>IFERROR(__xludf.DUMMYFUNCTION("""COMPUTED_VALUE"""),"JERIC NAVARRO")</f>
        <v>JERIC NAVARRO</v>
      </c>
      <c r="E2239" s="1" t="str">
        <f>IFERROR(__xludf.DUMMYFUNCTION("""COMPUTED_VALUE"""),"PLDT / ONLINE")</f>
        <v>PLDT / ONLINE</v>
      </c>
      <c r="F2239" s="1">
        <f>IFERROR(__xludf.DUMMYFUNCTION("""COMPUTED_VALUE"""),2310448762)</f>
        <v>2310448762</v>
      </c>
      <c r="G2239" s="1"/>
      <c r="H2239" s="1" t="str">
        <f>IFERROR(__xludf.DUMMYFUNCTION("""COMPUTED_VALUE"""),"CAITLIN PEARL BELLEN")</f>
        <v>CAITLIN PEARL BELLEN</v>
      </c>
      <c r="I2239" s="1">
        <f>IFERROR(__xludf.DUMMYFUNCTION("""COMPUTED_VALUE"""),9560596476)</f>
        <v>9560596476</v>
      </c>
      <c r="J2239" s="1"/>
      <c r="K2239" s="1" t="str">
        <f>IFERROR(__xludf.DUMMYFUNCTION("""COMPUTED_VALUE"""),"kaitee14pearl@gmail.com")</f>
        <v>kaitee14pearl@gmail.com</v>
      </c>
      <c r="L2239" s="1" t="str">
        <f>IFERROR(__xludf.DUMMYFUNCTION("""COMPUTED_VALUE"""),"431")</f>
        <v>431</v>
      </c>
      <c r="M2239" s="1" t="str">
        <f>IFERROR(__xludf.DUMMYFUNCTION("""COMPUTED_VALUE"""),"SITIO IBABA")</f>
        <v>SITIO IBABA</v>
      </c>
      <c r="N2239" s="1"/>
      <c r="O2239" s="1" t="str">
        <f>IFERROR(__xludf.DUMMYFUNCTION("""COMPUTED_VALUE"""),"MAGUYAM")</f>
        <v>MAGUYAM</v>
      </c>
      <c r="P2239" s="1" t="str">
        <f>IFERROR(__xludf.DUMMYFUNCTION("""COMPUTED_VALUE"""),"SILANG")</f>
        <v>SILANG</v>
      </c>
      <c r="Q2239" s="1" t="str">
        <f>IFERROR(__xludf.DUMMYFUNCTION("""COMPUTED_VALUE"""),"CAVITE")</f>
        <v>CAVITE</v>
      </c>
      <c r="R2239" s="1" t="str">
        <f>IFERROR(__xludf.DUMMYFUNCTION("""COMPUTED_VALUE"""),"FIBR UNLI ALL PLAN 999")</f>
        <v>FIBR UNLI ALL PLAN 999</v>
      </c>
      <c r="S2239" s="1" t="str">
        <f>IFERROR(__xludf.DUMMYFUNCTION("""COMPUTED_VALUE"""),"APPROVED")</f>
        <v>APPROVED</v>
      </c>
      <c r="T2239" s="1" t="str">
        <f>IFERROR(__xludf.DUMMYFUNCTION("""COMPUTED_VALUE"""),"#N/A")</f>
        <v>#N/A</v>
      </c>
      <c r="U2239" s="1" t="str">
        <f>IFERROR(__xludf.DUMMYFUNCTION("""COMPUTED_VALUE"""),"POSTED")</f>
        <v>POSTED</v>
      </c>
      <c r="V2239" s="1"/>
      <c r="W2239" s="1"/>
    </row>
    <row r="2240" customHeight="1" spans="1:23">
      <c r="A2240" s="3">
        <f>IFERROR(__xludf.DUMMYFUNCTION("""COMPUTED_VALUE"""),46197)</f>
        <v>46197</v>
      </c>
      <c r="B2240" s="1" t="str">
        <f>IFERROR(__xludf.DUMMYFUNCTION("""COMPUTED_VALUE"""),"ESCARCHA, MA ALMA  ESCOTO")</f>
        <v>ESCARCHA, MA ALMA  ESCOTO</v>
      </c>
      <c r="C2240" s="1" t="str">
        <f>IFERROR(__xludf.DUMMYFUNCTION("""COMPUTED_VALUE"""),"ORGANIC")</f>
        <v>ORGANIC</v>
      </c>
      <c r="D2240" s="1" t="str">
        <f>IFERROR(__xludf.DUMMYFUNCTION("""COMPUTED_VALUE"""),"REMOLLO LEA")</f>
        <v>REMOLLO LEA</v>
      </c>
      <c r="E2240" s="1" t="str">
        <f>IFERROR(__xludf.DUMMYFUNCTION("""COMPUTED_VALUE"""),"PLDT / H2H")</f>
        <v>PLDT / H2H</v>
      </c>
      <c r="F2240" s="1">
        <f>IFERROR(__xludf.DUMMYFUNCTION("""COMPUTED_VALUE"""),2310453342)</f>
        <v>2310453342</v>
      </c>
      <c r="G2240" s="1"/>
      <c r="H2240" s="1" t="str">
        <f>IFERROR(__xludf.DUMMYFUNCTION("""COMPUTED_VALUE"""),"MARY JANE DUMALAGAN MARBEBE")</f>
        <v>MARY JANE DUMALAGAN MARBEBE</v>
      </c>
      <c r="I2240" s="1">
        <f>IFERROR(__xludf.DUMMYFUNCTION("""COMPUTED_VALUE"""),9534090226)</f>
        <v>9534090226</v>
      </c>
      <c r="J2240" s="1">
        <f>IFERROR(__xludf.DUMMYFUNCTION("""COMPUTED_VALUE"""),9555892033)</f>
        <v>9555892033</v>
      </c>
      <c r="K2240" s="1" t="str">
        <f>IFERROR(__xludf.DUMMYFUNCTION("""COMPUTED_VALUE"""),"mjanemarbebe35@gmail.com")</f>
        <v>mjanemarbebe35@gmail.com</v>
      </c>
      <c r="L2240" s="1" t="str">
        <f>IFERROR(__xludf.DUMMYFUNCTION("""COMPUTED_VALUE"""),"225")</f>
        <v>225</v>
      </c>
      <c r="M2240" s="1" t="str">
        <f>IFERROR(__xludf.DUMMYFUNCTION("""COMPUTED_VALUE"""),"PUROK 7")</f>
        <v>PUROK 7</v>
      </c>
      <c r="N2240" s="1"/>
      <c r="O2240" s="1" t="str">
        <f>IFERROR(__xludf.DUMMYFUNCTION("""COMPUTED_VALUE"""),"BUCAL")</f>
        <v>BUCAL</v>
      </c>
      <c r="P2240" s="1" t="str">
        <f>IFERROR(__xludf.DUMMYFUNCTION("""COMPUTED_VALUE"""),"AMADEO")</f>
        <v>AMADEO</v>
      </c>
      <c r="Q2240" s="1" t="str">
        <f>IFERROR(__xludf.DUMMYFUNCTION("""COMPUTED_VALUE"""),"CAVITE")</f>
        <v>CAVITE</v>
      </c>
      <c r="R2240" s="1" t="str">
        <f>IFERROR(__xludf.DUMMYFUNCTION("""COMPUTED_VALUE"""),"FIBR PLAN 1299")</f>
        <v>FIBR PLAN 1299</v>
      </c>
      <c r="S2240" s="1" t="str">
        <f>IFERROR(__xludf.DUMMYFUNCTION("""COMPUTED_VALUE"""),"APPROVED")</f>
        <v>APPROVED</v>
      </c>
      <c r="T2240" s="1" t="str">
        <f>IFERROR(__xludf.DUMMYFUNCTION("""COMPUTED_VALUE"""),"#N/A")</f>
        <v>#N/A</v>
      </c>
      <c r="U2240" s="1" t="str">
        <f>IFERROR(__xludf.DUMMYFUNCTION("""COMPUTED_VALUE"""),"POSTED")</f>
        <v>POSTED</v>
      </c>
      <c r="V2240" s="1"/>
      <c r="W2240" s="1"/>
    </row>
    <row r="2241" customHeight="1" spans="1:23">
      <c r="A2241" s="3">
        <f>IFERROR(__xludf.DUMMYFUNCTION("""COMPUTED_VALUE"""),46197)</f>
        <v>46197</v>
      </c>
      <c r="B2241" s="1" t="str">
        <f>IFERROR(__xludf.DUMMYFUNCTION("""COMPUTED_VALUE"""),"FARO, REFRANTA")</f>
        <v>FARO, REFRANTA</v>
      </c>
      <c r="C2241" s="1" t="str">
        <f>IFERROR(__xludf.DUMMYFUNCTION("""COMPUTED_VALUE"""),"ORGANIC")</f>
        <v>ORGANIC</v>
      </c>
      <c r="D2241" s="1" t="str">
        <f>IFERROR(__xludf.DUMMYFUNCTION("""COMPUTED_VALUE"""),"REMOLLO LEA")</f>
        <v>REMOLLO LEA</v>
      </c>
      <c r="E2241" s="1" t="str">
        <f>IFERROR(__xludf.DUMMYFUNCTION("""COMPUTED_VALUE"""),"PLDT / H2H")</f>
        <v>PLDT / H2H</v>
      </c>
      <c r="F2241" s="1">
        <f>IFERROR(__xludf.DUMMYFUNCTION("""COMPUTED_VALUE"""),2310454253)</f>
        <v>2310454253</v>
      </c>
      <c r="G2241" s="1"/>
      <c r="H2241" s="1" t="str">
        <f>IFERROR(__xludf.DUMMYFUNCTION("""COMPUTED_VALUE"""),"WENDY MONTEZA")</f>
        <v>WENDY MONTEZA</v>
      </c>
      <c r="I2241" s="1">
        <f>IFERROR(__xludf.DUMMYFUNCTION("""COMPUTED_VALUE"""),9644862560)</f>
        <v>9644862560</v>
      </c>
      <c r="J2241" s="1"/>
      <c r="K2241" s="1" t="str">
        <f>IFERROR(__xludf.DUMMYFUNCTION("""COMPUTED_VALUE"""),"wendymonteza@gmail.com")</f>
        <v>wendymonteza@gmail.com</v>
      </c>
      <c r="L2241" s="1" t="str">
        <f>IFERROR(__xludf.DUMMYFUNCTION("""COMPUTED_VALUE"""),"232")</f>
        <v>232</v>
      </c>
      <c r="M2241" s="1" t="str">
        <f>IFERROR(__xludf.DUMMYFUNCTION("""COMPUTED_VALUE"""),"PUROK 1")</f>
        <v>PUROK 1</v>
      </c>
      <c r="N2241" s="1"/>
      <c r="O2241" s="1" t="str">
        <f>IFERROR(__xludf.DUMMYFUNCTION("""COMPUTED_VALUE"""),"POOC I")</f>
        <v>POOC I</v>
      </c>
      <c r="P2241" s="1" t="str">
        <f>IFERROR(__xludf.DUMMYFUNCTION("""COMPUTED_VALUE"""),"SILANG")</f>
        <v>SILANG</v>
      </c>
      <c r="Q2241" s="1" t="str">
        <f>IFERROR(__xludf.DUMMYFUNCTION("""COMPUTED_VALUE"""),"CAVITE")</f>
        <v>CAVITE</v>
      </c>
      <c r="R2241" s="1" t="str">
        <f>IFERROR(__xludf.DUMMYFUNCTION("""COMPUTED_VALUE"""),"FIBR PLAN 1299")</f>
        <v>FIBR PLAN 1299</v>
      </c>
      <c r="S2241" s="1" t="str">
        <f>IFERROR(__xludf.DUMMYFUNCTION("""COMPUTED_VALUE"""),"APPROVED")</f>
        <v>APPROVED</v>
      </c>
      <c r="T2241" s="1" t="str">
        <f>IFERROR(__xludf.DUMMYFUNCTION("""COMPUTED_VALUE"""),"#N/A")</f>
        <v>#N/A</v>
      </c>
      <c r="U2241" s="1"/>
      <c r="V2241" s="1"/>
      <c r="W2241" s="1"/>
    </row>
    <row r="2242" customHeight="1" spans="1:23">
      <c r="A2242" s="3">
        <f>IFERROR(__xludf.DUMMYFUNCTION("""COMPUTED_VALUE"""),46197)</f>
        <v>46197</v>
      </c>
      <c r="B2242" s="1" t="str">
        <f>IFERROR(__xludf.DUMMYFUNCTION("""COMPUTED_VALUE"""),"ESCARCHA, MA ALMA  ESCOTO")</f>
        <v>ESCARCHA, MA ALMA  ESCOTO</v>
      </c>
      <c r="C2242" s="1" t="str">
        <f>IFERROR(__xludf.DUMMYFUNCTION("""COMPUTED_VALUE"""),"ORGANIC")</f>
        <v>ORGANIC</v>
      </c>
      <c r="D2242" s="1" t="str">
        <f>IFERROR(__xludf.DUMMYFUNCTION("""COMPUTED_VALUE"""),"REMOLLO LEA")</f>
        <v>REMOLLO LEA</v>
      </c>
      <c r="E2242" s="1" t="str">
        <f>IFERROR(__xludf.DUMMYFUNCTION("""COMPUTED_VALUE"""),"PLDT / H2H")</f>
        <v>PLDT / H2H</v>
      </c>
      <c r="F2242" s="1">
        <f>IFERROR(__xludf.DUMMYFUNCTION("""COMPUTED_VALUE"""),2310454846)</f>
        <v>2310454846</v>
      </c>
      <c r="G2242" s="1"/>
      <c r="H2242" s="1" t="str">
        <f>IFERROR(__xludf.DUMMYFUNCTION("""COMPUTED_VALUE"""),"JUAN JR. ORTAZO ROLOYAN")</f>
        <v>JUAN JR. ORTAZO ROLOYAN</v>
      </c>
      <c r="I2242" s="1">
        <f>IFERROR(__xludf.DUMMYFUNCTION("""COMPUTED_VALUE"""),9204478352)</f>
        <v>9204478352</v>
      </c>
      <c r="J2242" s="1"/>
      <c r="K2242" s="1" t="str">
        <f>IFERROR(__xludf.DUMMYFUNCTION("""COMPUTED_VALUE"""),"juanroloyan1@gmail.com")</f>
        <v>juanroloyan1@gmail.com</v>
      </c>
      <c r="L2242" s="1" t="str">
        <f>IFERROR(__xludf.DUMMYFUNCTION("""COMPUTED_VALUE"""),"220")</f>
        <v>220</v>
      </c>
      <c r="M2242" s="1" t="str">
        <f>IFERROR(__xludf.DUMMYFUNCTION("""COMPUTED_VALUE"""),"PUROK 7")</f>
        <v>PUROK 7</v>
      </c>
      <c r="N2242" s="1"/>
      <c r="O2242" s="1" t="str">
        <f>IFERROR(__xludf.DUMMYFUNCTION("""COMPUTED_VALUE"""),"BUCAL")</f>
        <v>BUCAL</v>
      </c>
      <c r="P2242" s="1" t="str">
        <f>IFERROR(__xludf.DUMMYFUNCTION("""COMPUTED_VALUE"""),"AMADEO")</f>
        <v>AMADEO</v>
      </c>
      <c r="Q2242" s="1" t="str">
        <f>IFERROR(__xludf.DUMMYFUNCTION("""COMPUTED_VALUE"""),"CAVITE")</f>
        <v>CAVITE</v>
      </c>
      <c r="R2242" s="1" t="str">
        <f>IFERROR(__xludf.DUMMYFUNCTION("""COMPUTED_VALUE"""),"FIBR PLAN 1299")</f>
        <v>FIBR PLAN 1299</v>
      </c>
      <c r="S2242" s="1" t="str">
        <f>IFERROR(__xludf.DUMMYFUNCTION("""COMPUTED_VALUE"""),"APPROVED")</f>
        <v>APPROVED</v>
      </c>
      <c r="T2242" s="1" t="str">
        <f>IFERROR(__xludf.DUMMYFUNCTION("""COMPUTED_VALUE"""),"#N/A")</f>
        <v>#N/A</v>
      </c>
      <c r="U2242" s="1" t="str">
        <f>IFERROR(__xludf.DUMMYFUNCTION("""COMPUTED_VALUE"""),"POSTED")</f>
        <v>POSTED</v>
      </c>
      <c r="V2242" s="1"/>
      <c r="W2242" s="1"/>
    </row>
    <row r="2243" customHeight="1" spans="1:23">
      <c r="A2243" s="3">
        <f>IFERROR(__xludf.DUMMYFUNCTION("""COMPUTED_VALUE"""),46197)</f>
        <v>46197</v>
      </c>
      <c r="B2243" s="1" t="str">
        <f>IFERROR(__xludf.DUMMYFUNCTION("""COMPUTED_VALUE"""),"MALIWAT MARK ELVIN")</f>
        <v>MALIWAT MARK ELVIN</v>
      </c>
      <c r="C2243" s="1" t="str">
        <f>IFERROR(__xludf.DUMMYFUNCTION("""COMPUTED_VALUE"""),"FLA")</f>
        <v>FLA</v>
      </c>
      <c r="D2243" s="1" t="str">
        <f>IFERROR(__xludf.DUMMYFUNCTION("""COMPUTED_VALUE"""),"JERIC NAVARRO")</f>
        <v>JERIC NAVARRO</v>
      </c>
      <c r="E2243" s="1" t="str">
        <f>IFERROR(__xludf.DUMMYFUNCTION("""COMPUTED_VALUE"""),"PLDT / H2H")</f>
        <v>PLDT / H2H</v>
      </c>
      <c r="F2243" s="1">
        <f>IFERROR(__xludf.DUMMYFUNCTION("""COMPUTED_VALUE"""),2310455531)</f>
        <v>2310455531</v>
      </c>
      <c r="G2243" s="1"/>
      <c r="H2243" s="1" t="str">
        <f>IFERROR(__xludf.DUMMYFUNCTION("""COMPUTED_VALUE"""),"LEONIDA LAGORAS ALIGACION")</f>
        <v>LEONIDA LAGORAS ALIGACION</v>
      </c>
      <c r="I2243" s="1">
        <f>IFERROR(__xludf.DUMMYFUNCTION("""COMPUTED_VALUE"""),9918839289)</f>
        <v>9918839289</v>
      </c>
      <c r="J2243" s="1"/>
      <c r="K2243" s="1" t="str">
        <f>IFERROR(__xludf.DUMMYFUNCTION("""COMPUTED_VALUE"""),"jayzaligacion@gmail.com")</f>
        <v>jayzaligacion@gmail.com</v>
      </c>
      <c r="L2243" s="1" t="str">
        <f>IFERROR(__xludf.DUMMYFUNCTION("""COMPUTED_VALUE"""),"396")</f>
        <v>396</v>
      </c>
      <c r="M2243" s="1" t="str">
        <f>IFERROR(__xludf.DUMMYFUNCTION("""COMPUTED_VALUE"""),"PUROK 4")</f>
        <v>PUROK 4</v>
      </c>
      <c r="N2243" s="1"/>
      <c r="O2243" s="1" t="str">
        <f>IFERROR(__xludf.DUMMYFUNCTION("""COMPUTED_VALUE"""),"ADLAS")</f>
        <v>ADLAS</v>
      </c>
      <c r="P2243" s="1" t="str">
        <f>IFERROR(__xludf.DUMMYFUNCTION("""COMPUTED_VALUE"""),"SILANG")</f>
        <v>SILANG</v>
      </c>
      <c r="Q2243" s="1" t="str">
        <f>IFERROR(__xludf.DUMMYFUNCTION("""COMPUTED_VALUE"""),"CAVITE")</f>
        <v>CAVITE</v>
      </c>
      <c r="R2243" s="1" t="str">
        <f>IFERROR(__xludf.DUMMYFUNCTION("""COMPUTED_VALUE"""),"FIBR UNLI ALL PLAN 999")</f>
        <v>FIBR UNLI ALL PLAN 999</v>
      </c>
      <c r="S2243" s="1" t="str">
        <f>IFERROR(__xludf.DUMMYFUNCTION("""COMPUTED_VALUE"""),"APPROVED")</f>
        <v>APPROVED</v>
      </c>
      <c r="T2243" s="1" t="str">
        <f>IFERROR(__xludf.DUMMYFUNCTION("""COMPUTED_VALUE"""),"#N/A")</f>
        <v>#N/A</v>
      </c>
      <c r="U2243" s="1" t="str">
        <f>IFERROR(__xludf.DUMMYFUNCTION("""COMPUTED_VALUE"""),"POSTED")</f>
        <v>POSTED</v>
      </c>
      <c r="V2243" s="1"/>
      <c r="W2243" s="1"/>
    </row>
    <row r="2244" customHeight="1" spans="1:23">
      <c r="A2244" s="3">
        <f>IFERROR(__xludf.DUMMYFUNCTION("""COMPUTED_VALUE"""),46197)</f>
        <v>46197</v>
      </c>
      <c r="B2244" s="1" t="str">
        <f>IFERROR(__xludf.DUMMYFUNCTION("""COMPUTED_VALUE"""),"FRONDEZ, JEDREFF")</f>
        <v>FRONDEZ, JEDREFF</v>
      </c>
      <c r="C2244" s="1" t="str">
        <f>IFERROR(__xludf.DUMMYFUNCTION("""COMPUTED_VALUE"""),"ORGANIC")</f>
        <v>ORGANIC</v>
      </c>
      <c r="D2244" s="1" t="str">
        <f>IFERROR(__xludf.DUMMYFUNCTION("""COMPUTED_VALUE"""),"REMOLLO LEA")</f>
        <v>REMOLLO LEA</v>
      </c>
      <c r="E2244" s="1" t="str">
        <f>IFERROR(__xludf.DUMMYFUNCTION("""COMPUTED_VALUE"""),"PLDT / H2H")</f>
        <v>PLDT / H2H</v>
      </c>
      <c r="F2244" s="1">
        <f>IFERROR(__xludf.DUMMYFUNCTION("""COMPUTED_VALUE"""),2310456100)</f>
        <v>2310456100</v>
      </c>
      <c r="G2244" s="1"/>
      <c r="H2244" s="1" t="str">
        <f>IFERROR(__xludf.DUMMYFUNCTION("""COMPUTED_VALUE"""),"GEMMALYN VASQUEZ GENERAL")</f>
        <v>GEMMALYN VASQUEZ GENERAL</v>
      </c>
      <c r="I2244" s="1">
        <f>IFERROR(__xludf.DUMMYFUNCTION("""COMPUTED_VALUE"""),9171836242)</f>
        <v>9171836242</v>
      </c>
      <c r="J2244" s="1">
        <f>IFERROR(__xludf.DUMMYFUNCTION("""COMPUTED_VALUE"""),9165692416)</f>
        <v>9165692416</v>
      </c>
      <c r="K2244" s="1" t="str">
        <f>IFERROR(__xludf.DUMMYFUNCTION("""COMPUTED_VALUE"""),"danielageneral07@gmail.com")</f>
        <v>danielageneral07@gmail.com</v>
      </c>
      <c r="L2244" s="1" t="str">
        <f>IFERROR(__xludf.DUMMYFUNCTION("""COMPUTED_VALUE"""),"69")</f>
        <v>69</v>
      </c>
      <c r="M2244" s="1" t="str">
        <f>IFERROR(__xludf.DUMMYFUNCTION("""COMPUTED_VALUE"""),"PUROK 2")</f>
        <v>PUROK 2</v>
      </c>
      <c r="N2244" s="1"/>
      <c r="O2244" s="1" t="str">
        <f>IFERROR(__xludf.DUMMYFUNCTION("""COMPUTED_VALUE"""),"ESPERANZA ILAYA")</f>
        <v>ESPERANZA ILAYA</v>
      </c>
      <c r="P2244" s="1" t="str">
        <f>IFERROR(__xludf.DUMMYFUNCTION("""COMPUTED_VALUE"""),"ALFONSO")</f>
        <v>ALFONSO</v>
      </c>
      <c r="Q2244" s="1" t="str">
        <f>IFERROR(__xludf.DUMMYFUNCTION("""COMPUTED_VALUE"""),"CAVITE")</f>
        <v>CAVITE</v>
      </c>
      <c r="R2244" s="1" t="str">
        <f>IFERROR(__xludf.DUMMYFUNCTION("""COMPUTED_VALUE"""),"FIBR UNLI ALL PLAN 1399")</f>
        <v>FIBR UNLI ALL PLAN 1399</v>
      </c>
      <c r="S2244" s="1" t="str">
        <f>IFERROR(__xludf.DUMMYFUNCTION("""COMPUTED_VALUE"""),"APPROVED")</f>
        <v>APPROVED</v>
      </c>
      <c r="T2244" s="1" t="str">
        <f>IFERROR(__xludf.DUMMYFUNCTION("""COMPUTED_VALUE"""),"#N/A")</f>
        <v>#N/A</v>
      </c>
      <c r="U2244" s="1"/>
      <c r="V2244" s="1"/>
      <c r="W2244" s="1"/>
    </row>
    <row r="2245" customHeight="1" spans="1:23">
      <c r="A2245" s="3">
        <f>IFERROR(__xludf.DUMMYFUNCTION("""COMPUTED_VALUE"""),46197)</f>
        <v>46197</v>
      </c>
      <c r="B2245" s="1" t="str">
        <f>IFERROR(__xludf.DUMMYFUNCTION("""COMPUTED_VALUE"""),"FRANCISCO , ROSELYN")</f>
        <v>FRANCISCO , ROSELYN</v>
      </c>
      <c r="C2245" s="1" t="str">
        <f>IFERROR(__xludf.DUMMYFUNCTION("""COMPUTED_VALUE"""),"ORGANIC")</f>
        <v>ORGANIC</v>
      </c>
      <c r="D2245" s="1" t="str">
        <f>IFERROR(__xludf.DUMMYFUNCTION("""COMPUTED_VALUE"""),"REMOLLO LEA")</f>
        <v>REMOLLO LEA</v>
      </c>
      <c r="E2245" s="1" t="str">
        <f>IFERROR(__xludf.DUMMYFUNCTION("""COMPUTED_VALUE"""),"PLDT / ONLINE")</f>
        <v>PLDT / ONLINE</v>
      </c>
      <c r="F2245" s="1">
        <f>IFERROR(__xludf.DUMMYFUNCTION("""COMPUTED_VALUE"""),2310456974)</f>
        <v>2310456974</v>
      </c>
      <c r="G2245" s="1"/>
      <c r="H2245" s="1" t="str">
        <f>IFERROR(__xludf.DUMMYFUNCTION("""COMPUTED_VALUE"""),"ALLAN ALVIN CAO ALVERIO")</f>
        <v>ALLAN ALVIN CAO ALVERIO</v>
      </c>
      <c r="I2245" s="1">
        <f>IFERROR(__xludf.DUMMYFUNCTION("""COMPUTED_VALUE"""),9947693440)</f>
        <v>9947693440</v>
      </c>
      <c r="J2245" s="1">
        <f>IFERROR(__xludf.DUMMYFUNCTION("""COMPUTED_VALUE"""),9925796579)</f>
        <v>9925796579</v>
      </c>
      <c r="K2245" s="1" t="str">
        <f>IFERROR(__xludf.DUMMYFUNCTION("""COMPUTED_VALUE"""),"alverioallanalvin@gmail.com")</f>
        <v>alverioallanalvin@gmail.com</v>
      </c>
      <c r="L2245" s="1" t="str">
        <f>IFERROR(__xludf.DUMMYFUNCTION("""COMPUTED_VALUE"""),"BLK 22 LOT 00")</f>
        <v>BLK 22 LOT 00</v>
      </c>
      <c r="M2245" s="1" t="str">
        <f>IFERROR(__xludf.DUMMYFUNCTION("""COMPUTED_VALUE"""),"STRAWBERRY")</f>
        <v>STRAWBERRY</v>
      </c>
      <c r="N2245" s="1"/>
      <c r="O2245" s="1" t="str">
        <f>IFERROR(__xludf.DUMMYFUNCTION("""COMPUTED_VALUE"""),"FRANCISCO REYES")</f>
        <v>FRANCISCO REYES</v>
      </c>
      <c r="P2245" s="1" t="str">
        <f>IFERROR(__xludf.DUMMYFUNCTION("""COMPUTED_VALUE"""),"GEN MARIANO ALVAREZ")</f>
        <v>GEN MARIANO ALVAREZ</v>
      </c>
      <c r="Q2245" s="1" t="str">
        <f>IFERROR(__xludf.DUMMYFUNCTION("""COMPUTED_VALUE"""),"CAVITE")</f>
        <v>CAVITE</v>
      </c>
      <c r="R2245" s="1" t="str">
        <f>IFERROR(__xludf.DUMMYFUNCTION("""COMPUTED_VALUE"""),"FIBR UNLI ALL PLAN 1399")</f>
        <v>FIBR UNLI ALL PLAN 1399</v>
      </c>
      <c r="S2245" s="1" t="str">
        <f>IFERROR(__xludf.DUMMYFUNCTION("""COMPUTED_VALUE"""),"APPROVED")</f>
        <v>APPROVED</v>
      </c>
      <c r="T2245" s="1" t="str">
        <f>IFERROR(__xludf.DUMMYFUNCTION("""COMPUTED_VALUE"""),"#N/A")</f>
        <v>#N/A</v>
      </c>
      <c r="U2245" s="1"/>
      <c r="V2245" s="1"/>
      <c r="W2245" s="1"/>
    </row>
    <row r="2246" customHeight="1" spans="1:23">
      <c r="A2246" s="3">
        <f>IFERROR(__xludf.DUMMYFUNCTION("""COMPUTED_VALUE"""),46197)</f>
        <v>46197</v>
      </c>
      <c r="B2246" s="1" t="str">
        <f>IFERROR(__xludf.DUMMYFUNCTION("""COMPUTED_VALUE"""),"AYON MANUEL")</f>
        <v>AYON MANUEL</v>
      </c>
      <c r="C2246" s="1" t="str">
        <f>IFERROR(__xludf.DUMMYFUNCTION("""COMPUTED_VALUE"""),"FLA")</f>
        <v>FLA</v>
      </c>
      <c r="D2246" s="1" t="str">
        <f>IFERROR(__xludf.DUMMYFUNCTION("""COMPUTED_VALUE"""),"JERIC NAVARRO")</f>
        <v>JERIC NAVARRO</v>
      </c>
      <c r="E2246" s="1" t="str">
        <f>IFERROR(__xludf.DUMMYFUNCTION("""COMPUTED_VALUE"""),"PLDT / H2H")</f>
        <v>PLDT / H2H</v>
      </c>
      <c r="F2246" s="1">
        <f>IFERROR(__xludf.DUMMYFUNCTION("""COMPUTED_VALUE"""),2310456616)</f>
        <v>2310456616</v>
      </c>
      <c r="G2246" s="1"/>
      <c r="H2246" s="1" t="str">
        <f>IFERROR(__xludf.DUMMYFUNCTION("""COMPUTED_VALUE"""),"MARICEL BORLASA GANJE")</f>
        <v>MARICEL BORLASA GANJE</v>
      </c>
      <c r="I2246" s="1">
        <f>IFERROR(__xludf.DUMMYFUNCTION("""COMPUTED_VALUE"""),9757351886)</f>
        <v>9757351886</v>
      </c>
      <c r="J2246" s="1">
        <f>IFERROR(__xludf.DUMMYFUNCTION("""COMPUTED_VALUE"""),9974472746)</f>
        <v>9974472746</v>
      </c>
      <c r="K2246" s="1" t="str">
        <f>IFERROR(__xludf.DUMMYFUNCTION("""COMPUTED_VALUE"""),"celmine030922@gmail.com")</f>
        <v>celmine030922@gmail.com</v>
      </c>
      <c r="L2246" s="1" t="str">
        <f>IFERROR(__xludf.DUMMYFUNCTION("""COMPUTED_VALUE"""),"9478")</f>
        <v>9478</v>
      </c>
      <c r="M2246" s="1" t="str">
        <f>IFERROR(__xludf.DUMMYFUNCTION("""COMPUTED_VALUE"""),"IBAYONG ILAT")</f>
        <v>IBAYONG ILAT</v>
      </c>
      <c r="N2246" s="1"/>
      <c r="O2246" s="1" t="str">
        <f>IFERROR(__xludf.DUMMYFUNCTION("""COMPUTED_VALUE"""),"KAONG")</f>
        <v>KAONG</v>
      </c>
      <c r="P2246" s="1" t="str">
        <f>IFERROR(__xludf.DUMMYFUNCTION("""COMPUTED_VALUE"""),"SILANG")</f>
        <v>SILANG</v>
      </c>
      <c r="Q2246" s="1" t="str">
        <f>IFERROR(__xludf.DUMMYFUNCTION("""COMPUTED_VALUE"""),"CAVITE")</f>
        <v>CAVITE</v>
      </c>
      <c r="R2246" s="1" t="str">
        <f>IFERROR(__xludf.DUMMYFUNCTION("""COMPUTED_VALUE"""),"FIBR UNLI ALL PLAN 999")</f>
        <v>FIBR UNLI ALL PLAN 999</v>
      </c>
      <c r="S2246" s="1" t="str">
        <f>IFERROR(__xludf.DUMMYFUNCTION("""COMPUTED_VALUE"""),"APPROVED")</f>
        <v>APPROVED</v>
      </c>
      <c r="T2246" s="1" t="str">
        <f>IFERROR(__xludf.DUMMYFUNCTION("""COMPUTED_VALUE"""),"#N/A")</f>
        <v>#N/A</v>
      </c>
      <c r="U2246" s="1" t="str">
        <f>IFERROR(__xludf.DUMMYFUNCTION("""COMPUTED_VALUE"""),"POSTED")</f>
        <v>POSTED</v>
      </c>
      <c r="V2246" s="1"/>
      <c r="W2246" s="1"/>
    </row>
    <row r="2247" customHeight="1" spans="1:23">
      <c r="A2247" s="3">
        <f>IFERROR(__xludf.DUMMYFUNCTION("""COMPUTED_VALUE"""),46197)</f>
        <v>46197</v>
      </c>
      <c r="B2247" s="1" t="str">
        <f>IFERROR(__xludf.DUMMYFUNCTION("""COMPUTED_VALUE"""),"FRONDEZ, JEDREFF")</f>
        <v>FRONDEZ, JEDREFF</v>
      </c>
      <c r="C2247" s="1" t="str">
        <f>IFERROR(__xludf.DUMMYFUNCTION("""COMPUTED_VALUE"""),"ORGANIC")</f>
        <v>ORGANIC</v>
      </c>
      <c r="D2247" s="1" t="str">
        <f>IFERROR(__xludf.DUMMYFUNCTION("""COMPUTED_VALUE"""),"REMOLLO LEA")</f>
        <v>REMOLLO LEA</v>
      </c>
      <c r="E2247" s="1" t="str">
        <f>IFERROR(__xludf.DUMMYFUNCTION("""COMPUTED_VALUE"""),"PLDT / H2H")</f>
        <v>PLDT / H2H</v>
      </c>
      <c r="F2247" s="1">
        <f>IFERROR(__xludf.DUMMYFUNCTION("""COMPUTED_VALUE"""),2310457600)</f>
        <v>2310457600</v>
      </c>
      <c r="G2247" s="1"/>
      <c r="H2247" s="1" t="str">
        <f>IFERROR(__xludf.DUMMYFUNCTION("""COMPUTED_VALUE"""),"EMERSON JIMENO LANDICHO")</f>
        <v>EMERSON JIMENO LANDICHO</v>
      </c>
      <c r="I2247" s="1">
        <f>IFERROR(__xludf.DUMMYFUNCTION("""COMPUTED_VALUE"""),9166845235)</f>
        <v>9166845235</v>
      </c>
      <c r="J2247" s="1">
        <f>IFERROR(__xludf.DUMMYFUNCTION("""COMPUTED_VALUE"""),9563208504)</f>
        <v>9563208504</v>
      </c>
      <c r="K2247" s="1" t="str">
        <f>IFERROR(__xludf.DUMMYFUNCTION("""COMPUTED_VALUE"""),"landichoemerson99@gmail.com")</f>
        <v>landichoemerson99@gmail.com</v>
      </c>
      <c r="L2247" s="1" t="str">
        <f>IFERROR(__xludf.DUMMYFUNCTION("""COMPUTED_VALUE"""),"37")</f>
        <v>37</v>
      </c>
      <c r="M2247" s="1" t="str">
        <f>IFERROR(__xludf.DUMMYFUNCTION("""COMPUTED_VALUE"""),"MONTENEGRO")</f>
        <v>MONTENEGRO</v>
      </c>
      <c r="N2247" s="1"/>
      <c r="O2247" s="1" t="str">
        <f>IFERROR(__xludf.DUMMYFUNCTION("""COMPUTED_VALUE"""),"PAJO")</f>
        <v>PAJO</v>
      </c>
      <c r="P2247" s="1" t="str">
        <f>IFERROR(__xludf.DUMMYFUNCTION("""COMPUTED_VALUE"""),"ALFONSO")</f>
        <v>ALFONSO</v>
      </c>
      <c r="Q2247" s="1" t="str">
        <f>IFERROR(__xludf.DUMMYFUNCTION("""COMPUTED_VALUE"""),"CAVITE")</f>
        <v>CAVITE</v>
      </c>
      <c r="R2247" s="1" t="str">
        <f>IFERROR(__xludf.DUMMYFUNCTION("""COMPUTED_VALUE"""),"FIBR UNLI ALL PLAN 999")</f>
        <v>FIBR UNLI ALL PLAN 999</v>
      </c>
      <c r="S2247" s="1" t="str">
        <f>IFERROR(__xludf.DUMMYFUNCTION("""COMPUTED_VALUE"""),"APPROVED")</f>
        <v>APPROVED</v>
      </c>
      <c r="T2247" s="1" t="str">
        <f>IFERROR(__xludf.DUMMYFUNCTION("""COMPUTED_VALUE"""),"#N/A")</f>
        <v>#N/A</v>
      </c>
      <c r="U2247" s="1" t="str">
        <f>IFERROR(__xludf.DUMMYFUNCTION("""COMPUTED_VALUE"""),"POSTED")</f>
        <v>POSTED</v>
      </c>
      <c r="V2247" s="1"/>
      <c r="W2247" s="1"/>
    </row>
    <row r="2248" customHeight="1" spans="1:23">
      <c r="A2248" s="3">
        <f>IFERROR(__xludf.DUMMYFUNCTION("""COMPUTED_VALUE"""),46197)</f>
        <v>46197</v>
      </c>
      <c r="B2248" s="1" t="str">
        <f>IFERROR(__xludf.DUMMYFUNCTION("""COMPUTED_VALUE"""),"FARO, REFRANTA")</f>
        <v>FARO, REFRANTA</v>
      </c>
      <c r="C2248" s="1" t="str">
        <f>IFERROR(__xludf.DUMMYFUNCTION("""COMPUTED_VALUE"""),"ORGANIC")</f>
        <v>ORGANIC</v>
      </c>
      <c r="D2248" s="1" t="str">
        <f>IFERROR(__xludf.DUMMYFUNCTION("""COMPUTED_VALUE"""),"REMOLLO LEA")</f>
        <v>REMOLLO LEA</v>
      </c>
      <c r="E2248" s="1" t="str">
        <f>IFERROR(__xludf.DUMMYFUNCTION("""COMPUTED_VALUE"""),"PLDT / H2H")</f>
        <v>PLDT / H2H</v>
      </c>
      <c r="F2248" s="1"/>
      <c r="G2248" s="1"/>
      <c r="H2248" s="1" t="str">
        <f>IFERROR(__xludf.DUMMYFUNCTION("""COMPUTED_VALUE"""),"MARY GRACE BARSAGA BARLIZO")</f>
        <v>MARY GRACE BARSAGA BARLIZO</v>
      </c>
      <c r="I2248" s="1">
        <f>IFERROR(__xludf.DUMMYFUNCTION("""COMPUTED_VALUE"""),9648636294)</f>
        <v>9648636294</v>
      </c>
      <c r="J2248" s="1"/>
      <c r="K2248" s="1" t="str">
        <f>IFERROR(__xludf.DUMMYFUNCTION("""COMPUTED_VALUE"""),"almasamaryjoy@gmail.com")</f>
        <v>almasamaryjoy@gmail.com</v>
      </c>
      <c r="L2248" s="1" t="str">
        <f>IFERROR(__xludf.DUMMYFUNCTION("""COMPUTED_VALUE"""),"12")</f>
        <v>12</v>
      </c>
      <c r="M2248" s="1" t="str">
        <f>IFERROR(__xludf.DUMMYFUNCTION("""COMPUTED_VALUE"""),"PAJO")</f>
        <v>PAJO</v>
      </c>
      <c r="N2248" s="1"/>
      <c r="O2248" s="1" t="str">
        <f>IFERROR(__xludf.DUMMYFUNCTION("""COMPUTED_VALUE"""),"PAJO")</f>
        <v>PAJO</v>
      </c>
      <c r="P2248" s="1" t="str">
        <f>IFERROR(__xludf.DUMMYFUNCTION("""COMPUTED_VALUE"""),"ALFONSO")</f>
        <v>ALFONSO</v>
      </c>
      <c r="Q2248" s="1" t="str">
        <f>IFERROR(__xludf.DUMMYFUNCTION("""COMPUTED_VALUE"""),"CAVITE")</f>
        <v>CAVITE</v>
      </c>
      <c r="R2248" s="1" t="str">
        <f>IFERROR(__xludf.DUMMYFUNCTION("""COMPUTED_VALUE"""),"FIBR PLAN 1299")</f>
        <v>FIBR PLAN 1299</v>
      </c>
      <c r="S2248" s="1" t="str">
        <f>IFERROR(__xludf.DUMMYFUNCTION("""COMPUTED_VALUE"""),"HOLD")</f>
        <v>HOLD</v>
      </c>
      <c r="T2248" s="1" t="str">
        <f>IFERROR(__xludf.DUMMYFUNCTION("""COMPUTED_VALUE"""),"#N/A")</f>
        <v>#N/A</v>
      </c>
      <c r="U2248" s="1"/>
      <c r="V2248" s="1"/>
      <c r="W2248" s="1"/>
    </row>
    <row r="2249" customHeight="1" spans="1:23">
      <c r="A2249" s="3">
        <f>IFERROR(__xludf.DUMMYFUNCTION("""COMPUTED_VALUE"""),46197)</f>
        <v>46197</v>
      </c>
      <c r="B2249" s="1" t="str">
        <f>IFERROR(__xludf.DUMMYFUNCTION("""COMPUTED_VALUE"""),"DELA ROSA, JENNELYN")</f>
        <v>DELA ROSA, JENNELYN</v>
      </c>
      <c r="C2249" s="1" t="str">
        <f>IFERROR(__xludf.DUMMYFUNCTION("""COMPUTED_VALUE"""),"ORGANIC")</f>
        <v>ORGANIC</v>
      </c>
      <c r="D2249" s="1" t="str">
        <f>IFERROR(__xludf.DUMMYFUNCTION("""COMPUTED_VALUE"""),"REMOLLO LEA")</f>
        <v>REMOLLO LEA</v>
      </c>
      <c r="E2249" s="1" t="str">
        <f>IFERROR(__xludf.DUMMYFUNCTION("""COMPUTED_VALUE"""),"PLDT / H2H")</f>
        <v>PLDT / H2H</v>
      </c>
      <c r="F2249" s="1">
        <f>IFERROR(__xludf.DUMMYFUNCTION("""COMPUTED_VALUE"""),2310458108)</f>
        <v>2310458108</v>
      </c>
      <c r="G2249" s="1"/>
      <c r="H2249" s="1" t="str">
        <f>IFERROR(__xludf.DUMMYFUNCTION("""COMPUTED_VALUE"""),"KIEN JUFFIETS SOBREMISANA YAMPO")</f>
        <v>KIEN JUFFIETS SOBREMISANA YAMPO</v>
      </c>
      <c r="I2249" s="1">
        <f>IFERROR(__xludf.DUMMYFUNCTION("""COMPUTED_VALUE"""),9302458448)</f>
        <v>9302458448</v>
      </c>
      <c r="J2249" s="1">
        <f>IFERROR(__xludf.DUMMYFUNCTION("""COMPUTED_VALUE"""),9497118372)</f>
        <v>9497118372</v>
      </c>
      <c r="K2249" s="1" t="str">
        <f>IFERROR(__xludf.DUMMYFUNCTION("""COMPUTED_VALUE"""),"iruanmaglalang15@gmail.com")</f>
        <v>iruanmaglalang15@gmail.com</v>
      </c>
      <c r="L2249" s="1" t="str">
        <f>IFERROR(__xludf.DUMMYFUNCTION("""COMPUTED_VALUE"""),"8685")</f>
        <v>8685</v>
      </c>
      <c r="M2249" s="1" t="str">
        <f>IFERROR(__xludf.DUMMYFUNCTION("""COMPUTED_VALUE"""),"BALUBAD")</f>
        <v>BALUBAD</v>
      </c>
      <c r="N2249" s="1"/>
      <c r="O2249" s="1" t="str">
        <f>IFERROR(__xludf.DUMMYFUNCTION("""COMPUTED_VALUE"""),"MARAHAN II")</f>
        <v>MARAHAN II</v>
      </c>
      <c r="P2249" s="1" t="str">
        <f>IFERROR(__xludf.DUMMYFUNCTION("""COMPUTED_VALUE"""),"ALFONSO")</f>
        <v>ALFONSO</v>
      </c>
      <c r="Q2249" s="1" t="str">
        <f>IFERROR(__xludf.DUMMYFUNCTION("""COMPUTED_VALUE"""),"CAVITE")</f>
        <v>CAVITE</v>
      </c>
      <c r="R2249" s="1" t="str">
        <f>IFERROR(__xludf.DUMMYFUNCTION("""COMPUTED_VALUE"""),"FIBR PLAN 1299")</f>
        <v>FIBR PLAN 1299</v>
      </c>
      <c r="S2249" s="1" t="str">
        <f>IFERROR(__xludf.DUMMYFUNCTION("""COMPUTED_VALUE"""),"APPROVED")</f>
        <v>APPROVED</v>
      </c>
      <c r="T2249" s="1" t="str">
        <f>IFERROR(__xludf.DUMMYFUNCTION("""COMPUTED_VALUE"""),"#N/A")</f>
        <v>#N/A</v>
      </c>
      <c r="U2249" s="1"/>
      <c r="V2249" s="1"/>
      <c r="W2249" s="1"/>
    </row>
    <row r="2250" customHeight="1" spans="1:23">
      <c r="A2250" s="3">
        <f>IFERROR(__xludf.DUMMYFUNCTION("""COMPUTED_VALUE"""),46197)</f>
        <v>46197</v>
      </c>
      <c r="B2250" s="1" t="str">
        <f>IFERROR(__xludf.DUMMYFUNCTION("""COMPUTED_VALUE"""),"CASTILLEJOS, ARREL")</f>
        <v>CASTILLEJOS, ARREL</v>
      </c>
      <c r="C2250" s="1" t="str">
        <f>IFERROR(__xludf.DUMMYFUNCTION("""COMPUTED_VALUE"""),"ORGANIC")</f>
        <v>ORGANIC</v>
      </c>
      <c r="D2250" s="1" t="str">
        <f>IFERROR(__xludf.DUMMYFUNCTION("""COMPUTED_VALUE"""),"REMOLLO LEA")</f>
        <v>REMOLLO LEA</v>
      </c>
      <c r="E2250" s="1" t="str">
        <f>IFERROR(__xludf.DUMMYFUNCTION("""COMPUTED_VALUE"""),"PLDT / ONLINE")</f>
        <v>PLDT / ONLINE</v>
      </c>
      <c r="F2250" s="1">
        <f>IFERROR(__xludf.DUMMYFUNCTION("""COMPUTED_VALUE"""),2310458451)</f>
        <v>2310458451</v>
      </c>
      <c r="G2250" s="1"/>
      <c r="H2250" s="1" t="str">
        <f>IFERROR(__xludf.DUMMYFUNCTION("""COMPUTED_VALUE"""),"EDGAR JR. ESGUERRA ALVAREZ")</f>
        <v>EDGAR JR. ESGUERRA ALVAREZ</v>
      </c>
      <c r="I2250" s="1">
        <f>IFERROR(__xludf.DUMMYFUNCTION("""COMPUTED_VALUE"""),9943563080)</f>
        <v>9943563080</v>
      </c>
      <c r="J2250" s="1">
        <f>IFERROR(__xludf.DUMMYFUNCTION("""COMPUTED_VALUE"""),9955805098)</f>
        <v>9955805098</v>
      </c>
      <c r="K2250" s="1" t="str">
        <f>IFERROR(__xludf.DUMMYFUNCTION("""COMPUTED_VALUE"""),"bon.edgar.alvarez@gmail.com")</f>
        <v>bon.edgar.alvarez@gmail.com</v>
      </c>
      <c r="L2250" s="1" t="str">
        <f>IFERROR(__xludf.DUMMYFUNCTION("""COMPUTED_VALUE"""),"BLK 43 LOT 7")</f>
        <v>BLK 43 LOT 7</v>
      </c>
      <c r="M2250" s="1" t="str">
        <f>IFERROR(__xludf.DUMMYFUNCTION("""COMPUTED_VALUE"""),"PHASE 2")</f>
        <v>PHASE 2</v>
      </c>
      <c r="N2250" s="1" t="str">
        <f>IFERROR(__xludf.DUMMYFUNCTION("""COMPUTED_VALUE"""),"WORKERSVILLE")</f>
        <v>WORKERSVILLE</v>
      </c>
      <c r="O2250" s="1" t="str">
        <f>IFERROR(__xludf.DUMMYFUNCTION("""COMPUTED_VALUE"""),"PUNTA I")</f>
        <v>PUNTA I</v>
      </c>
      <c r="P2250" s="1" t="str">
        <f>IFERROR(__xludf.DUMMYFUNCTION("""COMPUTED_VALUE"""),"TANZA")</f>
        <v>TANZA</v>
      </c>
      <c r="Q2250" s="1" t="str">
        <f>IFERROR(__xludf.DUMMYFUNCTION("""COMPUTED_VALUE"""),"CAVITE")</f>
        <v>CAVITE</v>
      </c>
      <c r="R2250" s="1" t="str">
        <f>IFERROR(__xludf.DUMMYFUNCTION("""COMPUTED_VALUE"""),"FIBR UNLI ALL PLAN 1399")</f>
        <v>FIBR UNLI ALL PLAN 1399</v>
      </c>
      <c r="S2250" s="1" t="str">
        <f>IFERROR(__xludf.DUMMYFUNCTION("""COMPUTED_VALUE"""),"APPROVED")</f>
        <v>APPROVED</v>
      </c>
      <c r="T2250" s="1" t="str">
        <f>IFERROR(__xludf.DUMMYFUNCTION("""COMPUTED_VALUE"""),"#N/A")</f>
        <v>#N/A</v>
      </c>
      <c r="U2250" s="1"/>
      <c r="V2250" s="1"/>
      <c r="W2250" s="1"/>
    </row>
    <row r="2251" customHeight="1" spans="1:23">
      <c r="A2251" s="3">
        <f>IFERROR(__xludf.DUMMYFUNCTION("""COMPUTED_VALUE"""),46198)</f>
        <v>46198</v>
      </c>
      <c r="B2251" s="1" t="str">
        <f>IFERROR(__xludf.DUMMYFUNCTION("""COMPUTED_VALUE"""),"FRANCISCO , ROSELYN")</f>
        <v>FRANCISCO , ROSELYN</v>
      </c>
      <c r="C2251" s="1" t="str">
        <f>IFERROR(__xludf.DUMMYFUNCTION("""COMPUTED_VALUE"""),"ORGANIC")</f>
        <v>ORGANIC</v>
      </c>
      <c r="D2251" s="1" t="str">
        <f>IFERROR(__xludf.DUMMYFUNCTION("""COMPUTED_VALUE"""),"REMOLLO LEA")</f>
        <v>REMOLLO LEA</v>
      </c>
      <c r="E2251" s="1" t="str">
        <f>IFERROR(__xludf.DUMMYFUNCTION("""COMPUTED_VALUE"""),"PLDT / ONLINE")</f>
        <v>PLDT / ONLINE</v>
      </c>
      <c r="F2251" s="1">
        <f>IFERROR(__xludf.DUMMYFUNCTION("""COMPUTED_VALUE"""),2310474033)</f>
        <v>2310474033</v>
      </c>
      <c r="G2251" s="1"/>
      <c r="H2251" s="1" t="str">
        <f>IFERROR(__xludf.DUMMYFUNCTION("""COMPUTED_VALUE"""),"RHEALYN PEROS MONREAL")</f>
        <v>RHEALYN PEROS MONREAL</v>
      </c>
      <c r="I2251" s="1">
        <f>IFERROR(__xludf.DUMMYFUNCTION("""COMPUTED_VALUE"""),9656642720)</f>
        <v>9656642720</v>
      </c>
      <c r="J2251" s="1">
        <f>IFERROR(__xludf.DUMMYFUNCTION("""COMPUTED_VALUE"""),9762356796)</f>
        <v>9762356796</v>
      </c>
      <c r="K2251" s="1" t="str">
        <f>IFERROR(__xludf.DUMMYFUNCTION("""COMPUTED_VALUE"""),"chiakikasuda@gmail.com")</f>
        <v>chiakikasuda@gmail.com</v>
      </c>
      <c r="L2251" s="1" t="str">
        <f>IFERROR(__xludf.DUMMYFUNCTION("""COMPUTED_VALUE"""),"BLK 64 LOT 38")</f>
        <v>BLK 64 LOT 38</v>
      </c>
      <c r="M2251" s="1" t="str">
        <f>IFERROR(__xludf.DUMMYFUNCTION("""COMPUTED_VALUE"""),"PHASE 4")</f>
        <v>PHASE 4</v>
      </c>
      <c r="N2251" s="1" t="str">
        <f>IFERROR(__xludf.DUMMYFUNCTION("""COMPUTED_VALUE"""),"MABUHAY CITY")</f>
        <v>MABUHAY CITY</v>
      </c>
      <c r="O2251" s="1" t="str">
        <f>IFERROR(__xludf.DUMMYFUNCTION("""COMPUTED_VALUE"""),"PALIPARAN III")</f>
        <v>PALIPARAN III</v>
      </c>
      <c r="P2251" s="1" t="str">
        <f>IFERROR(__xludf.DUMMYFUNCTION("""COMPUTED_VALUE"""),"DASMARINAS")</f>
        <v>DASMARINAS</v>
      </c>
      <c r="Q2251" s="1" t="str">
        <f>IFERROR(__xludf.DUMMYFUNCTION("""COMPUTED_VALUE"""),"CAVITE")</f>
        <v>CAVITE</v>
      </c>
      <c r="R2251" s="1" t="str">
        <f>IFERROR(__xludf.DUMMYFUNCTION("""COMPUTED_VALUE"""),"FIBR PLAN 1299")</f>
        <v>FIBR PLAN 1299</v>
      </c>
      <c r="S2251" s="1" t="str">
        <f>IFERROR(__xludf.DUMMYFUNCTION("""COMPUTED_VALUE"""),"APPROVED")</f>
        <v>APPROVED</v>
      </c>
      <c r="T2251" s="1" t="str">
        <f>IFERROR(__xludf.DUMMYFUNCTION("""COMPUTED_VALUE"""),"#N/A")</f>
        <v>#N/A</v>
      </c>
      <c r="U2251" s="1" t="str">
        <f>IFERROR(__xludf.DUMMYFUNCTION("""COMPUTED_VALUE"""),"POSTED")</f>
        <v>POSTED</v>
      </c>
      <c r="V2251" s="1"/>
      <c r="W2251" s="1"/>
    </row>
    <row r="2252" customHeight="1" spans="1:23">
      <c r="A2252" s="3">
        <f>IFERROR(__xludf.DUMMYFUNCTION("""COMPUTED_VALUE"""),46198)</f>
        <v>46198</v>
      </c>
      <c r="B2252" s="1" t="str">
        <f>IFERROR(__xludf.DUMMYFUNCTION("""COMPUTED_VALUE"""),"REMOLLO, LEA")</f>
        <v>REMOLLO, LEA</v>
      </c>
      <c r="C2252" s="1" t="str">
        <f>IFERROR(__xludf.DUMMYFUNCTION("""COMPUTED_VALUE"""),"LEADSTORE")</f>
        <v>LEADSTORE</v>
      </c>
      <c r="D2252" s="1" t="str">
        <f>IFERROR(__xludf.DUMMYFUNCTION("""COMPUTED_VALUE"""),"JERIC NAVARRO")</f>
        <v>JERIC NAVARRO</v>
      </c>
      <c r="E2252" s="1" t="str">
        <f>IFERROR(__xludf.DUMMYFUNCTION("""COMPUTED_VALUE"""),"PLDT / ONLINE")</f>
        <v>PLDT / ONLINE</v>
      </c>
      <c r="F2252" s="1">
        <f>IFERROR(__xludf.DUMMYFUNCTION("""COMPUTED_VALUE"""),2310471823)</f>
        <v>2310471823</v>
      </c>
      <c r="G2252" s="1"/>
      <c r="H2252" s="1" t="str">
        <f>IFERROR(__xludf.DUMMYFUNCTION("""COMPUTED_VALUE"""),"BEATRIZ SANTIAGO AGUSTIN")</f>
        <v>BEATRIZ SANTIAGO AGUSTIN</v>
      </c>
      <c r="I2252" s="1">
        <f>IFERROR(__xludf.DUMMYFUNCTION("""COMPUTED_VALUE"""),9624357992)</f>
        <v>9624357992</v>
      </c>
      <c r="J2252" s="1"/>
      <c r="K2252" s="1" t="str">
        <f>IFERROR(__xludf.DUMMYFUNCTION("""COMPUTED_VALUE"""),"beagstn@gmail.com")</f>
        <v>beagstn@gmail.com</v>
      </c>
      <c r="L2252" s="1" t="str">
        <f>IFERROR(__xludf.DUMMYFUNCTION("""COMPUTED_VALUE"""),"BLK 14 LOT 38")</f>
        <v>BLK 14 LOT 38</v>
      </c>
      <c r="M2252" s="1" t="str">
        <f>IFERROR(__xludf.DUMMYFUNCTION("""COMPUTED_VALUE"""),"PHASE 1")</f>
        <v>PHASE 1</v>
      </c>
      <c r="N2252" s="1" t="str">
        <f>IFERROR(__xludf.DUMMYFUNCTION("""COMPUTED_VALUE"""),"VERONA")</f>
        <v>VERONA</v>
      </c>
      <c r="O2252" s="1" t="str">
        <f>IFERROR(__xludf.DUMMYFUNCTION("""COMPUTED_VALUE"""),"HOYO")</f>
        <v>HOYO</v>
      </c>
      <c r="P2252" s="1" t="str">
        <f>IFERROR(__xludf.DUMMYFUNCTION("""COMPUTED_VALUE"""),"SILANG")</f>
        <v>SILANG</v>
      </c>
      <c r="Q2252" s="1" t="str">
        <f>IFERROR(__xludf.DUMMYFUNCTION("""COMPUTED_VALUE"""),"CAVITE")</f>
        <v>CAVITE</v>
      </c>
      <c r="R2252" s="1" t="str">
        <f>IFERROR(__xludf.DUMMYFUNCTION("""COMPUTED_VALUE"""),"FIBR UNLI ALL PLAN 2499")</f>
        <v>FIBR UNLI ALL PLAN 2499</v>
      </c>
      <c r="S2252" s="1" t="str">
        <f>IFERROR(__xludf.DUMMYFUNCTION("""COMPUTED_VALUE"""),"APPROVED")</f>
        <v>APPROVED</v>
      </c>
      <c r="T2252" s="1" t="str">
        <f>IFERROR(__xludf.DUMMYFUNCTION("""COMPUTED_VALUE"""),"#N/A")</f>
        <v>#N/A</v>
      </c>
      <c r="U2252" s="1"/>
      <c r="V2252" s="1"/>
      <c r="W2252" s="1"/>
    </row>
    <row r="2253" customHeight="1" spans="1:23">
      <c r="A2253" s="3">
        <f>IFERROR(__xludf.DUMMYFUNCTION("""COMPUTED_VALUE"""),46198)</f>
        <v>46198</v>
      </c>
      <c r="B2253" s="1" t="str">
        <f>IFERROR(__xludf.DUMMYFUNCTION("""COMPUTED_VALUE"""),"RIVERA, AIRIZH JOY")</f>
        <v>RIVERA, AIRIZH JOY</v>
      </c>
      <c r="C2253" s="1" t="str">
        <f>IFERROR(__xludf.DUMMYFUNCTION("""COMPUTED_VALUE"""),"ORGANIC")</f>
        <v>ORGANIC</v>
      </c>
      <c r="D2253" s="1" t="str">
        <f>IFERROR(__xludf.DUMMYFUNCTION("""COMPUTED_VALUE"""),"REMOLLO LEA")</f>
        <v>REMOLLO LEA</v>
      </c>
      <c r="E2253" s="1" t="str">
        <f>IFERROR(__xludf.DUMMYFUNCTION("""COMPUTED_VALUE"""),"PLDT / H2H")</f>
        <v>PLDT / H2H</v>
      </c>
      <c r="F2253" s="1">
        <f>IFERROR(__xludf.DUMMYFUNCTION("""COMPUTED_VALUE"""),2310474835)</f>
        <v>2310474835</v>
      </c>
      <c r="G2253" s="1"/>
      <c r="H2253" s="1" t="str">
        <f>IFERROR(__xludf.DUMMYFUNCTION("""COMPUTED_VALUE"""),"BRIAN IGLICIA VELARDE")</f>
        <v>BRIAN IGLICIA VELARDE</v>
      </c>
      <c r="I2253" s="1">
        <f>IFERROR(__xludf.DUMMYFUNCTION("""COMPUTED_VALUE"""),9461580586)</f>
        <v>9461580586</v>
      </c>
      <c r="J2253" s="1"/>
      <c r="K2253" s="1" t="str">
        <f>IFERROR(__xludf.DUMMYFUNCTION("""COMPUTED_VALUE"""),"brianvelarde27@gmail.com")</f>
        <v>brianvelarde27@gmail.com</v>
      </c>
      <c r="L2253" s="1" t="str">
        <f>IFERROR(__xludf.DUMMYFUNCTION("""COMPUTED_VALUE"""),"BLK 25 LOT 17")</f>
        <v>BLK 25 LOT 17</v>
      </c>
      <c r="M2253" s="1" t="str">
        <f>IFERROR(__xludf.DUMMYFUNCTION("""COMPUTED_VALUE"""),"HONDURAS")</f>
        <v>HONDURAS</v>
      </c>
      <c r="N2253" s="1" t="str">
        <f>IFERROR(__xludf.DUMMYFUNCTION("""COMPUTED_VALUE"""),"CASA MONTEVERDE")</f>
        <v>CASA MONTEVERDE</v>
      </c>
      <c r="O2253" s="1" t="str">
        <f>IFERROR(__xludf.DUMMYFUNCTION("""COMPUTED_VALUE"""),"FRANCISCO DE CASTRO (SUNSHINE VILL.)")</f>
        <v>FRANCISCO DE CASTRO (SUNSHINE VILL.)</v>
      </c>
      <c r="P2253" s="1" t="str">
        <f>IFERROR(__xludf.DUMMYFUNCTION("""COMPUTED_VALUE"""),"GEN MARIANO ALVAREZ")</f>
        <v>GEN MARIANO ALVAREZ</v>
      </c>
      <c r="Q2253" s="1" t="str">
        <f>IFERROR(__xludf.DUMMYFUNCTION("""COMPUTED_VALUE"""),"CAVITE")</f>
        <v>CAVITE</v>
      </c>
      <c r="R2253" s="1" t="str">
        <f>IFERROR(__xludf.DUMMYFUNCTION("""COMPUTED_VALUE"""),"FIBR UNLI ALL PLAN 1399")</f>
        <v>FIBR UNLI ALL PLAN 1399</v>
      </c>
      <c r="S2253" s="1" t="str">
        <f>IFERROR(__xludf.DUMMYFUNCTION("""COMPUTED_VALUE"""),"APPROVED")</f>
        <v>APPROVED</v>
      </c>
      <c r="T2253" s="1" t="str">
        <f>IFERROR(__xludf.DUMMYFUNCTION("""COMPUTED_VALUE"""),"#N/A")</f>
        <v>#N/A</v>
      </c>
      <c r="U2253" s="1" t="str">
        <f>IFERROR(__xludf.DUMMYFUNCTION("""COMPUTED_VALUE"""),"PAID VIA GCASH REF 322358201 JUNE 25")</f>
        <v>PAID VIA GCASH REF 322358201 JUNE 25</v>
      </c>
      <c r="V2253" s="1"/>
      <c r="W2253" s="1"/>
    </row>
    <row r="2254" customHeight="1" spans="1:23">
      <c r="A2254" s="3">
        <f>IFERROR(__xludf.DUMMYFUNCTION("""COMPUTED_VALUE"""),46198)</f>
        <v>46198</v>
      </c>
      <c r="B2254" s="1" t="str">
        <f>IFERROR(__xludf.DUMMYFUNCTION("""COMPUTED_VALUE"""),"MALIWAT MARK ELVIN")</f>
        <v>MALIWAT MARK ELVIN</v>
      </c>
      <c r="C2254" s="1" t="str">
        <f>IFERROR(__xludf.DUMMYFUNCTION("""COMPUTED_VALUE"""),"FLA")</f>
        <v>FLA</v>
      </c>
      <c r="D2254" s="1" t="str">
        <f>IFERROR(__xludf.DUMMYFUNCTION("""COMPUTED_VALUE"""),"JERIC NAVARRO")</f>
        <v>JERIC NAVARRO</v>
      </c>
      <c r="E2254" s="1" t="str">
        <f>IFERROR(__xludf.DUMMYFUNCTION("""COMPUTED_VALUE"""),"PLDT / ONLINE")</f>
        <v>PLDT / ONLINE</v>
      </c>
      <c r="F2254" s="1">
        <f>IFERROR(__xludf.DUMMYFUNCTION("""COMPUTED_VALUE"""),2310475468)</f>
        <v>2310475468</v>
      </c>
      <c r="G2254" s="1"/>
      <c r="H2254" s="1" t="str">
        <f>IFERROR(__xludf.DUMMYFUNCTION("""COMPUTED_VALUE"""),"JOHANNA BERNALES")</f>
        <v>JOHANNA BERNALES</v>
      </c>
      <c r="I2254" s="1">
        <f>IFERROR(__xludf.DUMMYFUNCTION("""COMPUTED_VALUE"""),9454502232)</f>
        <v>9454502232</v>
      </c>
      <c r="J2254" s="1"/>
      <c r="K2254" s="1" t="str">
        <f>IFERROR(__xludf.DUMMYFUNCTION("""COMPUTED_VALUE"""),"johannabernales4@gmail.com")</f>
        <v>johannabernales4@gmail.com</v>
      </c>
      <c r="L2254" s="1" t="str">
        <f>IFERROR(__xludf.DUMMYFUNCTION("""COMPUTED_VALUE"""),"4")</f>
        <v>4</v>
      </c>
      <c r="M2254" s="1" t="str">
        <f>IFERROR(__xludf.DUMMYFUNCTION("""COMPUTED_VALUE"""),"PUROK 5")</f>
        <v>PUROK 5</v>
      </c>
      <c r="N2254" s="1" t="str">
        <f>IFERROR(__xludf.DUMMYFUNCTION("""COMPUTED_VALUE"""),"TOMMY APRATMENT")</f>
        <v>TOMMY APRATMENT</v>
      </c>
      <c r="O2254" s="1" t="str">
        <f>IFERROR(__xludf.DUMMYFUNCTION("""COMPUTED_VALUE"""),"LUMIL")</f>
        <v>LUMIL</v>
      </c>
      <c r="P2254" s="1" t="str">
        <f>IFERROR(__xludf.DUMMYFUNCTION("""COMPUTED_VALUE"""),"SILANG")</f>
        <v>SILANG</v>
      </c>
      <c r="Q2254" s="1" t="str">
        <f>IFERROR(__xludf.DUMMYFUNCTION("""COMPUTED_VALUE"""),"CAVITE")</f>
        <v>CAVITE</v>
      </c>
      <c r="R2254" s="1" t="str">
        <f>IFERROR(__xludf.DUMMYFUNCTION("""COMPUTED_VALUE"""),"FIBR NETFLIX PLAN 1599")</f>
        <v>FIBR NETFLIX PLAN 1599</v>
      </c>
      <c r="S2254" s="1" t="str">
        <f>IFERROR(__xludf.DUMMYFUNCTION("""COMPUTED_VALUE"""),"APPROVED")</f>
        <v>APPROVED</v>
      </c>
      <c r="T2254" s="1" t="str">
        <f>IFERROR(__xludf.DUMMYFUNCTION("""COMPUTED_VALUE"""),"#N/A")</f>
        <v>#N/A</v>
      </c>
      <c r="U2254" s="1" t="str">
        <f>IFERROR(__xludf.DUMMYFUNCTION("""COMPUTED_VALUE"""),"POSTED")</f>
        <v>POSTED</v>
      </c>
      <c r="V2254" s="1"/>
      <c r="W2254" s="1"/>
    </row>
    <row r="2255" customHeight="1" spans="1:23">
      <c r="A2255" s="3">
        <f>IFERROR(__xludf.DUMMYFUNCTION("""COMPUTED_VALUE"""),46198)</f>
        <v>46198</v>
      </c>
      <c r="B2255" s="1" t="str">
        <f>IFERROR(__xludf.DUMMYFUNCTION("""COMPUTED_VALUE"""),"MALIWAT MARK ELVIN")</f>
        <v>MALIWAT MARK ELVIN</v>
      </c>
      <c r="C2255" s="1" t="str">
        <f>IFERROR(__xludf.DUMMYFUNCTION("""COMPUTED_VALUE"""),"FLA")</f>
        <v>FLA</v>
      </c>
      <c r="D2255" s="1" t="str">
        <f>IFERROR(__xludf.DUMMYFUNCTION("""COMPUTED_VALUE"""),"JERIC NAVARRO")</f>
        <v>JERIC NAVARRO</v>
      </c>
      <c r="E2255" s="1" t="str">
        <f>IFERROR(__xludf.DUMMYFUNCTION("""COMPUTED_VALUE"""),"RED FIBER")</f>
        <v>RED FIBER</v>
      </c>
      <c r="F2255" s="1"/>
      <c r="G2255" s="1"/>
      <c r="H2255" s="1" t="str">
        <f>IFERROR(__xludf.DUMMYFUNCTION("""COMPUTED_VALUE"""),"MARVIN DOMINGO ENCECILLA")</f>
        <v>MARVIN DOMINGO ENCECILLA</v>
      </c>
      <c r="I2255" s="1">
        <f>IFERROR(__xludf.DUMMYFUNCTION("""COMPUTED_VALUE"""),9480749619)</f>
        <v>9480749619</v>
      </c>
      <c r="J2255" s="1">
        <f>IFERROR(__xludf.DUMMYFUNCTION("""COMPUTED_VALUE"""),9852664699)</f>
        <v>9852664699</v>
      </c>
      <c r="K2255" s="1" t="str">
        <f>IFERROR(__xludf.DUMMYFUNCTION("""COMPUTED_VALUE"""),"marvin8937enecilla@gmail.com")</f>
        <v>marvin8937enecilla@gmail.com</v>
      </c>
      <c r="L2255" s="1" t="str">
        <f>IFERROR(__xludf.DUMMYFUNCTION("""COMPUTED_VALUE"""),"LOT 1321")</f>
        <v>LOT 1321</v>
      </c>
      <c r="M2255" s="1" t="str">
        <f>IFERROR(__xludf.DUMMYFUNCTION("""COMPUTED_VALUE"""),"MENDEZ ALFONSO RD")</f>
        <v>MENDEZ ALFONSO RD</v>
      </c>
      <c r="N2255" s="1"/>
      <c r="O2255" s="1" t="str">
        <f>IFERROR(__xludf.DUMMYFUNCTION("""COMPUTED_VALUE"""),"GALICIA II")</f>
        <v>GALICIA II</v>
      </c>
      <c r="P2255" s="1" t="str">
        <f>IFERROR(__xludf.DUMMYFUNCTION("""COMPUTED_VALUE"""),"MENDEZ")</f>
        <v>MENDEZ</v>
      </c>
      <c r="Q2255" s="1" t="str">
        <f>IFERROR(__xludf.DUMMYFUNCTION("""COMPUTED_VALUE"""),"CAVITE")</f>
        <v>CAVITE</v>
      </c>
      <c r="R2255" s="1" t="str">
        <f>IFERROR(__xludf.DUMMYFUNCTION("""COMPUTED_VALUE"""),"RED PLAN 1000")</f>
        <v>RED PLAN 1000</v>
      </c>
      <c r="S2255" s="1" t="str">
        <f>IFERROR(__xludf.DUMMYFUNCTION("""COMPUTED_VALUE"""),"APPROVED")</f>
        <v>APPROVED</v>
      </c>
      <c r="T2255" s="1" t="str">
        <f>IFERROR(__xludf.DUMMYFUNCTION("""COMPUTED_VALUE"""),"CLOSED")</f>
        <v>CLOSED</v>
      </c>
      <c r="U2255" s="1" t="str">
        <f>IFERROR(__xludf.DUMMYFUNCTION("""COMPUTED_VALUE"""),"POSTED")</f>
        <v>POSTED</v>
      </c>
      <c r="V2255" s="1"/>
      <c r="W2255" s="1"/>
    </row>
    <row r="2256" customHeight="1" spans="1:23">
      <c r="A2256" s="3">
        <f>IFERROR(__xludf.DUMMYFUNCTION("""COMPUTED_VALUE"""),46198)</f>
        <v>46198</v>
      </c>
      <c r="B2256" s="1" t="str">
        <f>IFERROR(__xludf.DUMMYFUNCTION("""COMPUTED_VALUE"""),"DELA ROSA, JENNELYN")</f>
        <v>DELA ROSA, JENNELYN</v>
      </c>
      <c r="C2256" s="1" t="str">
        <f>IFERROR(__xludf.DUMMYFUNCTION("""COMPUTED_VALUE"""),"ORGANIC")</f>
        <v>ORGANIC</v>
      </c>
      <c r="D2256" s="1" t="str">
        <f>IFERROR(__xludf.DUMMYFUNCTION("""COMPUTED_VALUE"""),"REMOLLO LEA")</f>
        <v>REMOLLO LEA</v>
      </c>
      <c r="E2256" s="1" t="str">
        <f>IFERROR(__xludf.DUMMYFUNCTION("""COMPUTED_VALUE"""),"RED FIBER")</f>
        <v>RED FIBER</v>
      </c>
      <c r="F2256" s="1"/>
      <c r="G2256" s="1"/>
      <c r="H2256" s="1" t="str">
        <f>IFERROR(__xludf.DUMMYFUNCTION("""COMPUTED_VALUE"""),"GENALYN ROGACION POBLETE")</f>
        <v>GENALYN ROGACION POBLETE</v>
      </c>
      <c r="I2256" s="1">
        <f>IFERROR(__xludf.DUMMYFUNCTION("""COMPUTED_VALUE"""),9989153199)</f>
        <v>9989153199</v>
      </c>
      <c r="J2256" s="1"/>
      <c r="K2256" s="1" t="str">
        <f>IFERROR(__xludf.DUMMYFUNCTION("""COMPUTED_VALUE"""),"genalynpoblete39@gmail.com")</f>
        <v>genalynpoblete39@gmail.com</v>
      </c>
      <c r="L2256" s="1" t="str">
        <f>IFERROR(__xludf.DUMMYFUNCTION("""COMPUTED_VALUE"""),"1445")</f>
        <v>1445</v>
      </c>
      <c r="M2256" s="1" t="str">
        <f>IFERROR(__xludf.DUMMYFUNCTION("""COMPUTED_VALUE"""),"BUHO RD")</f>
        <v>BUHO RD</v>
      </c>
      <c r="N2256" s="1"/>
      <c r="O2256" s="1" t="str">
        <f>IFERROR(__xludf.DUMMYFUNCTION("""COMPUTED_VALUE"""),"BUHO")</f>
        <v>BUHO</v>
      </c>
      <c r="P2256" s="1" t="str">
        <f>IFERROR(__xludf.DUMMYFUNCTION("""COMPUTED_VALUE"""),"SILANG")</f>
        <v>SILANG</v>
      </c>
      <c r="Q2256" s="1" t="str">
        <f>IFERROR(__xludf.DUMMYFUNCTION("""COMPUTED_VALUE"""),"CAVITE")</f>
        <v>CAVITE</v>
      </c>
      <c r="R2256" s="1" t="str">
        <f>IFERROR(__xludf.DUMMYFUNCTION("""COMPUTED_VALUE"""),"RED PLAN 1000")</f>
        <v>RED PLAN 1000</v>
      </c>
      <c r="S2256" s="1" t="str">
        <f>IFERROR(__xludf.DUMMYFUNCTION("""COMPUTED_VALUE"""),"APPROVED")</f>
        <v>APPROVED</v>
      </c>
      <c r="T2256" s="1" t="str">
        <f>IFERROR(__xludf.DUMMYFUNCTION("""COMPUTED_VALUE"""),"CLOSED")</f>
        <v>CLOSED</v>
      </c>
      <c r="U2256" s="1" t="str">
        <f>IFERROR(__xludf.DUMMYFUNCTION("""COMPUTED_VALUE"""),"POSTED")</f>
        <v>POSTED</v>
      </c>
      <c r="V2256" s="1"/>
      <c r="W2256" s="1"/>
    </row>
    <row r="2257" customHeight="1" spans="1:23">
      <c r="A2257" s="3">
        <f>IFERROR(__xludf.DUMMYFUNCTION("""COMPUTED_VALUE"""),46198)</f>
        <v>46198</v>
      </c>
      <c r="B2257" s="1" t="str">
        <f>IFERROR(__xludf.DUMMYFUNCTION("""COMPUTED_VALUE"""),"IVNO, RAZZEL")</f>
        <v>IVNO, RAZZEL</v>
      </c>
      <c r="C2257" s="1" t="str">
        <f>IFERROR(__xludf.DUMMYFUNCTION("""COMPUTED_VALUE"""),"FLA")</f>
        <v>FLA</v>
      </c>
      <c r="D2257" s="1" t="str">
        <f>IFERROR(__xludf.DUMMYFUNCTION("""COMPUTED_VALUE"""),"JERIC NAVARRO")</f>
        <v>JERIC NAVARRO</v>
      </c>
      <c r="E2257" s="1" t="str">
        <f>IFERROR(__xludf.DUMMYFUNCTION("""COMPUTED_VALUE"""),"PLDT / ONLINE")</f>
        <v>PLDT / ONLINE</v>
      </c>
      <c r="F2257" s="1">
        <f>IFERROR(__xludf.DUMMYFUNCTION("""COMPUTED_VALUE"""),2310480270)</f>
        <v>2310480270</v>
      </c>
      <c r="G2257" s="1"/>
      <c r="H2257" s="1" t="str">
        <f>IFERROR(__xludf.DUMMYFUNCTION("""COMPUTED_VALUE"""),"ROSE ANN LIBELO GARCIA")</f>
        <v>ROSE ANN LIBELO GARCIA</v>
      </c>
      <c r="I2257" s="1">
        <f>IFERROR(__xludf.DUMMYFUNCTION("""COMPUTED_VALUE"""),9260541968)</f>
        <v>9260541968</v>
      </c>
      <c r="J2257" s="1"/>
      <c r="K2257" s="1" t="str">
        <f>IFERROR(__xludf.DUMMYFUNCTION("""COMPUTED_VALUE"""),"rosing061631@gmail.com")</f>
        <v>rosing061631@gmail.com</v>
      </c>
      <c r="L2257" s="1" t="str">
        <f>IFERROR(__xludf.DUMMYFUNCTION("""COMPUTED_VALUE"""),"BLK 5 LOT 6")</f>
        <v>BLK 5 LOT 6</v>
      </c>
      <c r="M2257" s="1" t="str">
        <f>IFERROR(__xludf.DUMMYFUNCTION("""COMPUTED_VALUE"""),"PABAHAY")</f>
        <v>PABAHAY</v>
      </c>
      <c r="N2257" s="1"/>
      <c r="O2257" s="1" t="str">
        <f>IFERROR(__xludf.DUMMYFUNCTION("""COMPUTED_VALUE"""),"ZAMBAL")</f>
        <v>ZAMBAL</v>
      </c>
      <c r="P2257" s="1" t="str">
        <f>IFERROR(__xludf.DUMMYFUNCTION("""COMPUTED_VALUE"""),"TAGAYTAY")</f>
        <v>TAGAYTAY</v>
      </c>
      <c r="Q2257" s="1" t="str">
        <f>IFERROR(__xludf.DUMMYFUNCTION("""COMPUTED_VALUE"""),"CAVITE")</f>
        <v>CAVITE</v>
      </c>
      <c r="R2257" s="1" t="str">
        <f>IFERROR(__xludf.DUMMYFUNCTION("""COMPUTED_VALUE"""),"FIBR UNLI ALL PLAN 999")</f>
        <v>FIBR UNLI ALL PLAN 999</v>
      </c>
      <c r="S2257" s="1" t="str">
        <f>IFERROR(__xludf.DUMMYFUNCTION("""COMPUTED_VALUE"""),"APPROVED")</f>
        <v>APPROVED</v>
      </c>
      <c r="T2257" s="1" t="str">
        <f>IFERROR(__xludf.DUMMYFUNCTION("""COMPUTED_VALUE"""),"#N/A")</f>
        <v>#N/A</v>
      </c>
      <c r="U2257" s="1"/>
      <c r="V2257" s="1"/>
      <c r="W2257" s="1"/>
    </row>
    <row r="2258" customHeight="1" spans="1:23">
      <c r="A2258" s="3">
        <f>IFERROR(__xludf.DUMMYFUNCTION("""COMPUTED_VALUE"""),46198)</f>
        <v>46198</v>
      </c>
      <c r="B2258" s="1" t="str">
        <f>IFERROR(__xludf.DUMMYFUNCTION("""COMPUTED_VALUE"""),"ESCARCHA, MA ALMA  ESCOTO")</f>
        <v>ESCARCHA, MA ALMA  ESCOTO</v>
      </c>
      <c r="C2258" s="1" t="str">
        <f>IFERROR(__xludf.DUMMYFUNCTION("""COMPUTED_VALUE"""),"ORGANIC")</f>
        <v>ORGANIC</v>
      </c>
      <c r="D2258" s="1" t="str">
        <f>IFERROR(__xludf.DUMMYFUNCTION("""COMPUTED_VALUE"""),"REMOLLO LEA")</f>
        <v>REMOLLO LEA</v>
      </c>
      <c r="E2258" s="1" t="str">
        <f>IFERROR(__xludf.DUMMYFUNCTION("""COMPUTED_VALUE"""),"PLDT / H2H")</f>
        <v>PLDT / H2H</v>
      </c>
      <c r="F2258" s="1">
        <f>IFERROR(__xludf.DUMMYFUNCTION("""COMPUTED_VALUE"""),2310481362)</f>
        <v>2310481362</v>
      </c>
      <c r="G2258" s="1"/>
      <c r="H2258" s="1" t="str">
        <f>IFERROR(__xludf.DUMMYFUNCTION("""COMPUTED_VALUE"""),"JUVELYN MARTINEZ LOJERA")</f>
        <v>JUVELYN MARTINEZ LOJERA</v>
      </c>
      <c r="I2258" s="1">
        <f>IFERROR(__xludf.DUMMYFUNCTION("""COMPUTED_VALUE"""),9455225965)</f>
        <v>9455225965</v>
      </c>
      <c r="J2258" s="1"/>
      <c r="K2258" s="1" t="str">
        <f>IFERROR(__xludf.DUMMYFUNCTION("""COMPUTED_VALUE"""),"juvemartinez14@gmail.com")</f>
        <v>juvemartinez14@gmail.com</v>
      </c>
      <c r="L2258" s="1" t="str">
        <f>IFERROR(__xludf.DUMMYFUNCTION("""COMPUTED_VALUE"""),"29a")</f>
        <v>29a</v>
      </c>
      <c r="M2258" s="1" t="str">
        <f>IFERROR(__xludf.DUMMYFUNCTION("""COMPUTED_VALUE"""),"KALUBKOB ST")</f>
        <v>KALUBKOB ST</v>
      </c>
      <c r="N2258" s="1"/>
      <c r="O2258" s="1" t="str">
        <f>IFERROR(__xludf.DUMMYFUNCTION("""COMPUTED_VALUE"""),"ASIS I")</f>
        <v>ASIS I</v>
      </c>
      <c r="P2258" s="1" t="str">
        <f>IFERROR(__xludf.DUMMYFUNCTION("""COMPUTED_VALUE"""),"MENDEZ")</f>
        <v>MENDEZ</v>
      </c>
      <c r="Q2258" s="1" t="str">
        <f>IFERROR(__xludf.DUMMYFUNCTION("""COMPUTED_VALUE"""),"CAVITE")</f>
        <v>CAVITE</v>
      </c>
      <c r="R2258" s="1" t="str">
        <f>IFERROR(__xludf.DUMMYFUNCTION("""COMPUTED_VALUE"""),"FIBR UNLI ALL PLAN 999")</f>
        <v>FIBR UNLI ALL PLAN 999</v>
      </c>
      <c r="S2258" s="1" t="str">
        <f>IFERROR(__xludf.DUMMYFUNCTION("""COMPUTED_VALUE"""),"APPROVED")</f>
        <v>APPROVED</v>
      </c>
      <c r="T2258" s="1" t="str">
        <f>IFERROR(__xludf.DUMMYFUNCTION("""COMPUTED_VALUE"""),"#N/A")</f>
        <v>#N/A</v>
      </c>
      <c r="U2258" s="1"/>
      <c r="V2258" s="1"/>
      <c r="W2258" s="1"/>
    </row>
    <row r="2259" customHeight="1" spans="1:23">
      <c r="A2259" s="3">
        <f>IFERROR(__xludf.DUMMYFUNCTION("""COMPUTED_VALUE"""),46198)</f>
        <v>46198</v>
      </c>
      <c r="B2259" s="1" t="str">
        <f>IFERROR(__xludf.DUMMYFUNCTION("""COMPUTED_VALUE"""),"FRONDEZ, JEDREFF")</f>
        <v>FRONDEZ, JEDREFF</v>
      </c>
      <c r="C2259" s="1" t="str">
        <f>IFERROR(__xludf.DUMMYFUNCTION("""COMPUTED_VALUE"""),"ORGANIC")</f>
        <v>ORGANIC</v>
      </c>
      <c r="D2259" s="1" t="str">
        <f>IFERROR(__xludf.DUMMYFUNCTION("""COMPUTED_VALUE"""),"REMOLLO LEA")</f>
        <v>REMOLLO LEA</v>
      </c>
      <c r="E2259" s="1" t="str">
        <f>IFERROR(__xludf.DUMMYFUNCTION("""COMPUTED_VALUE"""),"PLDT / H2H")</f>
        <v>PLDT / H2H</v>
      </c>
      <c r="F2259" s="1">
        <f>IFERROR(__xludf.DUMMYFUNCTION("""COMPUTED_VALUE"""),2310482876)</f>
        <v>2310482876</v>
      </c>
      <c r="G2259" s="1"/>
      <c r="H2259" s="1" t="str">
        <f>IFERROR(__xludf.DUMMYFUNCTION("""COMPUTED_VALUE"""),"GERALD OGATIA CABALLEGAN")</f>
        <v>GERALD OGATIA CABALLEGAN</v>
      </c>
      <c r="I2259" s="1">
        <f>IFERROR(__xludf.DUMMYFUNCTION("""COMPUTED_VALUE"""),9368956210)</f>
        <v>9368956210</v>
      </c>
      <c r="J2259" s="1">
        <f>IFERROR(__xludf.DUMMYFUNCTION("""COMPUTED_VALUE"""),9366902086)</f>
        <v>9366902086</v>
      </c>
      <c r="K2259" s="1" t="str">
        <f>IFERROR(__xludf.DUMMYFUNCTION("""COMPUTED_VALUE"""),"geraldcaballegan09@gmail.com")</f>
        <v>geraldcaballegan09@gmail.com</v>
      </c>
      <c r="L2259" s="1" t="str">
        <f>IFERROR(__xludf.DUMMYFUNCTION("""COMPUTED_VALUE"""),"262")</f>
        <v>262</v>
      </c>
      <c r="M2259" s="1" t="str">
        <f>IFERROR(__xludf.DUMMYFUNCTION("""COMPUTED_VALUE"""),"KANLURAN RD")</f>
        <v>KANLURAN RD</v>
      </c>
      <c r="N2259" s="1" t="str">
        <f>IFERROR(__xludf.DUMMYFUNCTION("""COMPUTED_VALUE"""),"RUBEN APARTMENT")</f>
        <v>RUBEN APARTMENT</v>
      </c>
      <c r="O2259" s="1" t="str">
        <f>IFERROR(__xludf.DUMMYFUNCTION("""COMPUTED_VALUE"""),"MANGAS I")</f>
        <v>MANGAS I</v>
      </c>
      <c r="P2259" s="1" t="str">
        <f>IFERROR(__xludf.DUMMYFUNCTION("""COMPUTED_VALUE"""),"ALFONSO")</f>
        <v>ALFONSO</v>
      </c>
      <c r="Q2259" s="1" t="str">
        <f>IFERROR(__xludf.DUMMYFUNCTION("""COMPUTED_VALUE"""),"CAVITE")</f>
        <v>CAVITE</v>
      </c>
      <c r="R2259" s="1" t="str">
        <f>IFERROR(__xludf.DUMMYFUNCTION("""COMPUTED_VALUE"""),"FIBR UNLI ALL PLAN 999")</f>
        <v>FIBR UNLI ALL PLAN 999</v>
      </c>
      <c r="S2259" s="1" t="str">
        <f>IFERROR(__xludf.DUMMYFUNCTION("""COMPUTED_VALUE"""),"APPROVED")</f>
        <v>APPROVED</v>
      </c>
      <c r="T2259" s="1" t="str">
        <f>IFERROR(__xludf.DUMMYFUNCTION("""COMPUTED_VALUE"""),"#N/A")</f>
        <v>#N/A</v>
      </c>
      <c r="U2259" s="1" t="str">
        <f>IFERROR(__xludf.DUMMYFUNCTION("""COMPUTED_VALUE"""),"POSTED")</f>
        <v>POSTED</v>
      </c>
      <c r="V2259" s="1"/>
      <c r="W2259" s="1"/>
    </row>
    <row r="2260" customHeight="1" spans="1:23">
      <c r="A2260" s="3">
        <f>IFERROR(__xludf.DUMMYFUNCTION("""COMPUTED_VALUE"""),46198)</f>
        <v>46198</v>
      </c>
      <c r="B2260" s="1" t="str">
        <f>IFERROR(__xludf.DUMMYFUNCTION("""COMPUTED_VALUE"""),"DELA ROSA, JENNELYN")</f>
        <v>DELA ROSA, JENNELYN</v>
      </c>
      <c r="C2260" s="1" t="str">
        <f>IFERROR(__xludf.DUMMYFUNCTION("""COMPUTED_VALUE"""),"ORGANIC")</f>
        <v>ORGANIC</v>
      </c>
      <c r="D2260" s="1" t="str">
        <f>IFERROR(__xludf.DUMMYFUNCTION("""COMPUTED_VALUE"""),"REMOLLO LEA")</f>
        <v>REMOLLO LEA</v>
      </c>
      <c r="E2260" s="1" t="str">
        <f>IFERROR(__xludf.DUMMYFUNCTION("""COMPUTED_VALUE"""),"PLDT / H2H")</f>
        <v>PLDT / H2H</v>
      </c>
      <c r="F2260" s="1">
        <f>IFERROR(__xludf.DUMMYFUNCTION("""COMPUTED_VALUE"""),2310484301)</f>
        <v>2310484301</v>
      </c>
      <c r="G2260" s="1"/>
      <c r="H2260" s="1" t="str">
        <f>IFERROR(__xludf.DUMMYFUNCTION("""COMPUTED_VALUE"""),"REYNOLD PINANGANG ABENDANTE")</f>
        <v>REYNOLD PINANGANG ABENDANTE</v>
      </c>
      <c r="I2260" s="1">
        <f>IFERROR(__xludf.DUMMYFUNCTION("""COMPUTED_VALUE"""),9338570054)</f>
        <v>9338570054</v>
      </c>
      <c r="J2260" s="1"/>
      <c r="K2260" s="1" t="str">
        <f>IFERROR(__xludf.DUMMYFUNCTION("""COMPUTED_VALUE"""),"reynoldabendante7@gmail.com")</f>
        <v>reynoldabendante7@gmail.com</v>
      </c>
      <c r="L2260" s="1" t="str">
        <f>IFERROR(__xludf.DUMMYFUNCTION("""COMPUTED_VALUE"""),"2220")</f>
        <v>2220</v>
      </c>
      <c r="M2260" s="1" t="str">
        <f>IFERROR(__xludf.DUMMYFUNCTION("""COMPUTED_VALUE"""),"LUKSUHIN MANGAS ")</f>
        <v>LUKSUHIN MANGAS </v>
      </c>
      <c r="N2260" s="1"/>
      <c r="O2260" s="1" t="str">
        <f>IFERROR(__xludf.DUMMYFUNCTION("""COMPUTED_VALUE"""),"LUKSUHIN")</f>
        <v>LUKSUHIN</v>
      </c>
      <c r="P2260" s="1" t="str">
        <f>IFERROR(__xludf.DUMMYFUNCTION("""COMPUTED_VALUE"""),"ALFONSO")</f>
        <v>ALFONSO</v>
      </c>
      <c r="Q2260" s="1" t="str">
        <f>IFERROR(__xludf.DUMMYFUNCTION("""COMPUTED_VALUE"""),"CAVITE")</f>
        <v>CAVITE</v>
      </c>
      <c r="R2260" s="1" t="str">
        <f>IFERROR(__xludf.DUMMYFUNCTION("""COMPUTED_VALUE"""),"FIBR PLAN 1299")</f>
        <v>FIBR PLAN 1299</v>
      </c>
      <c r="S2260" s="1" t="str">
        <f>IFERROR(__xludf.DUMMYFUNCTION("""COMPUTED_VALUE"""),"APPROVED")</f>
        <v>APPROVED</v>
      </c>
      <c r="T2260" s="1" t="str">
        <f>IFERROR(__xludf.DUMMYFUNCTION("""COMPUTED_VALUE"""),"#N/A")</f>
        <v>#N/A</v>
      </c>
      <c r="U2260" s="1"/>
      <c r="V2260" s="1"/>
      <c r="W2260" s="1"/>
    </row>
    <row r="2261" customHeight="1" spans="1:23">
      <c r="A2261" s="3">
        <f>IFERROR(__xludf.DUMMYFUNCTION("""COMPUTED_VALUE"""),46198)</f>
        <v>46198</v>
      </c>
      <c r="B2261" s="1" t="str">
        <f>IFERROR(__xludf.DUMMYFUNCTION("""COMPUTED_VALUE"""),"CASTILLEJOS, ARREL")</f>
        <v>CASTILLEJOS, ARREL</v>
      </c>
      <c r="C2261" s="1" t="str">
        <f>IFERROR(__xludf.DUMMYFUNCTION("""COMPUTED_VALUE"""),"ORGANIC")</f>
        <v>ORGANIC</v>
      </c>
      <c r="D2261" s="1" t="str">
        <f>IFERROR(__xludf.DUMMYFUNCTION("""COMPUTED_VALUE"""),"REMOLLO LEA")</f>
        <v>REMOLLO LEA</v>
      </c>
      <c r="E2261" s="1" t="str">
        <f>IFERROR(__xludf.DUMMYFUNCTION("""COMPUTED_VALUE"""),"PLDT / H2H")</f>
        <v>PLDT / H2H</v>
      </c>
      <c r="F2261" s="1">
        <f>IFERROR(__xludf.DUMMYFUNCTION("""COMPUTED_VALUE"""),2310483798)</f>
        <v>2310483798</v>
      </c>
      <c r="G2261" s="1"/>
      <c r="H2261" s="1" t="str">
        <f>IFERROR(__xludf.DUMMYFUNCTION("""COMPUTED_VALUE"""),"ANTONETTE ADORA EMBUSCADO")</f>
        <v>ANTONETTE ADORA EMBUSCADO</v>
      </c>
      <c r="I2261" s="1">
        <f>IFERROR(__xludf.DUMMYFUNCTION("""COMPUTED_VALUE"""),9622847730)</f>
        <v>9622847730</v>
      </c>
      <c r="J2261" s="1">
        <f>IFERROR(__xludf.DUMMYFUNCTION("""COMPUTED_VALUE"""),9058248948)</f>
        <v>9058248948</v>
      </c>
      <c r="K2261" s="1" t="str">
        <f>IFERROR(__xludf.DUMMYFUNCTION("""COMPUTED_VALUE"""),"marygracesacramento@gmail.com")</f>
        <v>marygracesacramento@gmail.com</v>
      </c>
      <c r="L2261" s="1" t="str">
        <f>IFERROR(__xludf.DUMMYFUNCTION("""COMPUTED_VALUE"""),"BLK 6 LOT 2")</f>
        <v>BLK 6 LOT 2</v>
      </c>
      <c r="M2261" s="1" t="str">
        <f>IFERROR(__xludf.DUMMYFUNCTION("""COMPUTED_VALUE"""),"ZONE 7")</f>
        <v>ZONE 7</v>
      </c>
      <c r="N2261" s="1" t="str">
        <f>IFERROR(__xludf.DUMMYFUNCTION("""COMPUTED_VALUE"""),"AFP HOUSING")</f>
        <v>AFP HOUSING</v>
      </c>
      <c r="O2261" s="1" t="str">
        <f>IFERROR(__xludf.DUMMYFUNCTION("""COMPUTED_VALUE"""),"BULIHAN")</f>
        <v>BULIHAN</v>
      </c>
      <c r="P2261" s="1" t="str">
        <f>IFERROR(__xludf.DUMMYFUNCTION("""COMPUTED_VALUE"""),"SILANG")</f>
        <v>SILANG</v>
      </c>
      <c r="Q2261" s="1" t="str">
        <f>IFERROR(__xludf.DUMMYFUNCTION("""COMPUTED_VALUE"""),"CAVITE")</f>
        <v>CAVITE</v>
      </c>
      <c r="R2261" s="1" t="str">
        <f>IFERROR(__xludf.DUMMYFUNCTION("""COMPUTED_VALUE"""),"FIBR UNLI ALL PLAN 999")</f>
        <v>FIBR UNLI ALL PLAN 999</v>
      </c>
      <c r="S2261" s="1" t="str">
        <f>IFERROR(__xludf.DUMMYFUNCTION("""COMPUTED_VALUE"""),"APPROVED")</f>
        <v>APPROVED</v>
      </c>
      <c r="T2261" s="1" t="str">
        <f>IFERROR(__xludf.DUMMYFUNCTION("""COMPUTED_VALUE"""),"#N/A")</f>
        <v>#N/A</v>
      </c>
      <c r="U2261" s="1"/>
      <c r="V2261" s="1"/>
      <c r="W2261" s="1"/>
    </row>
    <row r="2262" customHeight="1" spans="1:23">
      <c r="A2262" s="3">
        <f>IFERROR(__xludf.DUMMYFUNCTION("""COMPUTED_VALUE"""),46198)</f>
        <v>46198</v>
      </c>
      <c r="B2262" s="1" t="str">
        <f>IFERROR(__xludf.DUMMYFUNCTION("""COMPUTED_VALUE"""),"FRANCISCO , ROSELYN")</f>
        <v>FRANCISCO , ROSELYN</v>
      </c>
      <c r="C2262" s="1" t="str">
        <f>IFERROR(__xludf.DUMMYFUNCTION("""COMPUTED_VALUE"""),"ORGANIC")</f>
        <v>ORGANIC</v>
      </c>
      <c r="D2262" s="1" t="str">
        <f>IFERROR(__xludf.DUMMYFUNCTION("""COMPUTED_VALUE"""),"REMOLLO LEA")</f>
        <v>REMOLLO LEA</v>
      </c>
      <c r="E2262" s="1" t="str">
        <f>IFERROR(__xludf.DUMMYFUNCTION("""COMPUTED_VALUE"""),"RED FIBER")</f>
        <v>RED FIBER</v>
      </c>
      <c r="F2262" s="1"/>
      <c r="G2262" s="1"/>
      <c r="H2262" s="1" t="str">
        <f>IFERROR(__xludf.DUMMYFUNCTION("""COMPUTED_VALUE"""),"JULIE ANN RONIO RAMOS")</f>
        <v>JULIE ANN RONIO RAMOS</v>
      </c>
      <c r="I2262" s="1">
        <f>IFERROR(__xludf.DUMMYFUNCTION("""COMPUTED_VALUE"""),9651972812)</f>
        <v>9651972812</v>
      </c>
      <c r="J2262" s="1"/>
      <c r="K2262" s="1" t="str">
        <f>IFERROR(__xludf.DUMMYFUNCTION("""COMPUTED_VALUE"""),"rachelannramos867@gmail.com")</f>
        <v>rachelannramos867@gmail.com</v>
      </c>
      <c r="L2262" s="1" t="str">
        <f>IFERROR(__xludf.DUMMYFUNCTION("""COMPUTED_VALUE"""),"26")</f>
        <v>26</v>
      </c>
      <c r="M2262" s="1" t="str">
        <f>IFERROR(__xludf.DUMMYFUNCTION("""COMPUTED_VALUE"""),"ZAMORA")</f>
        <v>ZAMORA</v>
      </c>
      <c r="N2262" s="1"/>
      <c r="O2262" s="1" t="str">
        <f>IFERROR(__xludf.DUMMYFUNCTION("""COMPUTED_VALUE"""),"ASIS I")</f>
        <v>ASIS I</v>
      </c>
      <c r="P2262" s="1" t="str">
        <f>IFERROR(__xludf.DUMMYFUNCTION("""COMPUTED_VALUE"""),"MENDEZ")</f>
        <v>MENDEZ</v>
      </c>
      <c r="Q2262" s="1" t="str">
        <f>IFERROR(__xludf.DUMMYFUNCTION("""COMPUTED_VALUE"""),"CAVITE")</f>
        <v>CAVITE</v>
      </c>
      <c r="R2262" s="1" t="str">
        <f>IFERROR(__xludf.DUMMYFUNCTION("""COMPUTED_VALUE"""),"RED PLAN 1000")</f>
        <v>RED PLAN 1000</v>
      </c>
      <c r="S2262" s="1" t="str">
        <f>IFERROR(__xludf.DUMMYFUNCTION("""COMPUTED_VALUE"""),"APPROVED")</f>
        <v>APPROVED</v>
      </c>
      <c r="T2262" s="1" t="str">
        <f>IFERROR(__xludf.DUMMYFUNCTION("""COMPUTED_VALUE"""),"CLOSED")</f>
        <v>CLOSED</v>
      </c>
      <c r="U2262" s="1" t="str">
        <f>IFERROR(__xludf.DUMMYFUNCTION("""COMPUTED_VALUE"""),"POSTED")</f>
        <v>POSTED</v>
      </c>
      <c r="V2262" s="1"/>
      <c r="W2262" s="1"/>
    </row>
    <row r="2263" customHeight="1" spans="1:23">
      <c r="A2263" s="3">
        <f>IFERROR(__xludf.DUMMYFUNCTION("""COMPUTED_VALUE"""),46198)</f>
        <v>46198</v>
      </c>
      <c r="B2263" s="1" t="str">
        <f>IFERROR(__xludf.DUMMYFUNCTION("""COMPUTED_VALUE"""),"FRANCISCO , ROSELYN")</f>
        <v>FRANCISCO , ROSELYN</v>
      </c>
      <c r="C2263" s="1" t="str">
        <f>IFERROR(__xludf.DUMMYFUNCTION("""COMPUTED_VALUE"""),"ORGANIC")</f>
        <v>ORGANIC</v>
      </c>
      <c r="D2263" s="1" t="str">
        <f>IFERROR(__xludf.DUMMYFUNCTION("""COMPUTED_VALUE"""),"REMOLLO LEA")</f>
        <v>REMOLLO LEA</v>
      </c>
      <c r="E2263" s="1" t="str">
        <f>IFERROR(__xludf.DUMMYFUNCTION("""COMPUTED_VALUE"""),"PLDT / ONLINE")</f>
        <v>PLDT / ONLINE</v>
      </c>
      <c r="F2263" s="1">
        <f>IFERROR(__xludf.DUMMYFUNCTION("""COMPUTED_VALUE"""),2310500513)</f>
        <v>2310500513</v>
      </c>
      <c r="G2263" s="1">
        <f>IFERROR(__xludf.DUMMYFUNCTION("""COMPUTED_VALUE"""),460137639004)</f>
        <v>460137639004</v>
      </c>
      <c r="H2263" s="1" t="str">
        <f>IFERROR(__xludf.DUMMYFUNCTION("""COMPUTED_VALUE"""),"JAYVEE REALIZA LADINES")</f>
        <v>JAYVEE REALIZA LADINES</v>
      </c>
      <c r="I2263" s="1">
        <f>IFERROR(__xludf.DUMMYFUNCTION("""COMPUTED_VALUE"""),9929895703)</f>
        <v>9929895703</v>
      </c>
      <c r="J2263" s="1">
        <f>IFERROR(__xludf.DUMMYFUNCTION("""COMPUTED_VALUE"""),9934388288)</f>
        <v>9934388288</v>
      </c>
      <c r="K2263" s="1" t="str">
        <f>IFERROR(__xludf.DUMMYFUNCTION("""COMPUTED_VALUE"""),"rodriguezmaica13@gmail.com")</f>
        <v>rodriguezmaica13@gmail.com</v>
      </c>
      <c r="L2263" s="1" t="str">
        <f>IFERROR(__xludf.DUMMYFUNCTION("""COMPUTED_VALUE"""),"BLK 15 LOT 4")</f>
        <v>BLK 15 LOT 4</v>
      </c>
      <c r="M2263" s="1" t="str">
        <f>IFERROR(__xludf.DUMMYFUNCTION("""COMPUTED_VALUE"""),"APITONG")</f>
        <v>APITONG</v>
      </c>
      <c r="N2263" s="1" t="str">
        <f>IFERROR(__xludf.DUMMYFUNCTION("""COMPUTED_VALUE"""),"COSTALWOODS")</f>
        <v>COSTALWOODS</v>
      </c>
      <c r="O2263" s="1" t="str">
        <f>IFERROR(__xludf.DUMMYFUNCTION("""COMPUTED_VALUE"""),"LIGAS I")</f>
        <v>LIGAS I</v>
      </c>
      <c r="P2263" s="1" t="str">
        <f>IFERROR(__xludf.DUMMYFUNCTION("""COMPUTED_VALUE"""),"BACOOR")</f>
        <v>BACOOR</v>
      </c>
      <c r="Q2263" s="1" t="str">
        <f>IFERROR(__xludf.DUMMYFUNCTION("""COMPUTED_VALUE"""),"CAVITE")</f>
        <v>CAVITE</v>
      </c>
      <c r="R2263" s="1" t="str">
        <f>IFERROR(__xludf.DUMMYFUNCTION("""COMPUTED_VALUE"""),"FIBR UNLI ALL PLAN 1399")</f>
        <v>FIBR UNLI ALL PLAN 1399</v>
      </c>
      <c r="S2263" s="1" t="str">
        <f>IFERROR(__xludf.DUMMYFUNCTION("""COMPUTED_VALUE"""),"APPROVED")</f>
        <v>APPROVED</v>
      </c>
      <c r="T2263" s="1" t="str">
        <f>IFERROR(__xludf.DUMMYFUNCTION("""COMPUTED_VALUE"""),"#N/A")</f>
        <v>#N/A</v>
      </c>
      <c r="U2263" s="1"/>
      <c r="V2263" s="1"/>
      <c r="W2263" s="1"/>
    </row>
    <row r="2264" customHeight="1" spans="1:23">
      <c r="A2264" s="3">
        <f>IFERROR(__xludf.DUMMYFUNCTION("""COMPUTED_VALUE"""),46198)</f>
        <v>46198</v>
      </c>
      <c r="B2264" s="1" t="str">
        <f>IFERROR(__xludf.DUMMYFUNCTION("""COMPUTED_VALUE"""),"RIVERA, AIRIZH JOY")</f>
        <v>RIVERA, AIRIZH JOY</v>
      </c>
      <c r="C2264" s="1" t="str">
        <f>IFERROR(__xludf.DUMMYFUNCTION("""COMPUTED_VALUE"""),"ORGANIC")</f>
        <v>ORGANIC</v>
      </c>
      <c r="D2264" s="1" t="str">
        <f>IFERROR(__xludf.DUMMYFUNCTION("""COMPUTED_VALUE"""),"REMOLLO LEA")</f>
        <v>REMOLLO LEA</v>
      </c>
      <c r="E2264" s="1" t="str">
        <f>IFERROR(__xludf.DUMMYFUNCTION("""COMPUTED_VALUE"""),"PLDT / ONLINE")</f>
        <v>PLDT / ONLINE</v>
      </c>
      <c r="F2264" s="1">
        <f>IFERROR(__xludf.DUMMYFUNCTION("""COMPUTED_VALUE"""),2310501277)</f>
        <v>2310501277</v>
      </c>
      <c r="G2264" s="1">
        <f>IFERROR(__xludf.DUMMYFUNCTION("""COMPUTED_VALUE"""),460137723004)</f>
        <v>460137723004</v>
      </c>
      <c r="H2264" s="1" t="str">
        <f>IFERROR(__xludf.DUMMYFUNCTION("""COMPUTED_VALUE"""),"MA. THERESA PARDINAS NAVARRO")</f>
        <v>MA. THERESA PARDINAS NAVARRO</v>
      </c>
      <c r="I2264" s="1">
        <f>IFERROR(__xludf.DUMMYFUNCTION("""COMPUTED_VALUE"""),9929322852)</f>
        <v>9929322852</v>
      </c>
      <c r="J2264" s="1">
        <f>IFERROR(__xludf.DUMMYFUNCTION("""COMPUTED_VALUE"""),9922394901)</f>
        <v>9922394901</v>
      </c>
      <c r="K2264" s="1" t="str">
        <f>IFERROR(__xludf.DUMMYFUNCTION("""COMPUTED_VALUE"""),"matheresanavarro0@gmail.com")</f>
        <v>matheresanavarro0@gmail.com</v>
      </c>
      <c r="L2264" s="1" t="str">
        <f>IFERROR(__xludf.DUMMYFUNCTION("""COMPUTED_VALUE"""),"BLK 8 LOT 47")</f>
        <v>BLK 8 LOT 47</v>
      </c>
      <c r="M2264" s="1" t="str">
        <f>IFERROR(__xludf.DUMMYFUNCTION("""COMPUTED_VALUE"""),"POBLACION RD")</f>
        <v>POBLACION RD</v>
      </c>
      <c r="N2264" s="1"/>
      <c r="O2264" s="1" t="str">
        <f>IFERROR(__xludf.DUMMYFUNCTION("""COMPUTED_VALUE"""),"BARANGAY 5 POBLACION")</f>
        <v>BARANGAY 5 POBLACION</v>
      </c>
      <c r="P2264" s="1" t="str">
        <f>IFERROR(__xludf.DUMMYFUNCTION("""COMPUTED_VALUE"""),"GEN MARIANO ALVAREZ")</f>
        <v>GEN MARIANO ALVAREZ</v>
      </c>
      <c r="Q2264" s="1" t="str">
        <f>IFERROR(__xludf.DUMMYFUNCTION("""COMPUTED_VALUE"""),"CAVITE")</f>
        <v>CAVITE</v>
      </c>
      <c r="R2264" s="1" t="str">
        <f>IFERROR(__xludf.DUMMYFUNCTION("""COMPUTED_VALUE"""),"FIBR UNLI ALL PLAN 999")</f>
        <v>FIBR UNLI ALL PLAN 999</v>
      </c>
      <c r="S2264" s="1" t="str">
        <f>IFERROR(__xludf.DUMMYFUNCTION("""COMPUTED_VALUE"""),"APPROVED")</f>
        <v>APPROVED</v>
      </c>
      <c r="T2264" s="1" t="str">
        <f>IFERROR(__xludf.DUMMYFUNCTION("""COMPUTED_VALUE"""),"#N/A")</f>
        <v>#N/A</v>
      </c>
      <c r="U2264" s="1"/>
      <c r="V2264" s="1"/>
      <c r="W2264" s="1"/>
    </row>
    <row r="2265" customHeight="1" spans="1:23">
      <c r="A2265" s="3">
        <f>IFERROR(__xludf.DUMMYFUNCTION("""COMPUTED_VALUE"""),46199)</f>
        <v>46199</v>
      </c>
      <c r="B2265" s="1" t="str">
        <f>IFERROR(__xludf.DUMMYFUNCTION("""COMPUTED_VALUE"""),"FARO, REFRANTA")</f>
        <v>FARO, REFRANTA</v>
      </c>
      <c r="C2265" s="1" t="str">
        <f>IFERROR(__xludf.DUMMYFUNCTION("""COMPUTED_VALUE"""),"ORGANIC")</f>
        <v>ORGANIC</v>
      </c>
      <c r="D2265" s="1" t="str">
        <f>IFERROR(__xludf.DUMMYFUNCTION("""COMPUTED_VALUE"""),"REMOLLO LEA")</f>
        <v>REMOLLO LEA</v>
      </c>
      <c r="E2265" s="1" t="str">
        <f>IFERROR(__xludf.DUMMYFUNCTION("""COMPUTED_VALUE"""),"PLDT / H2H")</f>
        <v>PLDT / H2H</v>
      </c>
      <c r="F2265" s="1">
        <f>IFERROR(__xludf.DUMMYFUNCTION("""COMPUTED_VALUE"""),2310511363)</f>
        <v>2310511363</v>
      </c>
      <c r="G2265" s="1"/>
      <c r="H2265" s="1" t="str">
        <f>IFERROR(__xludf.DUMMYFUNCTION("""COMPUTED_VALUE"""),"SUSANA CABRAL DEL PRADO")</f>
        <v>SUSANA CABRAL DEL PRADO</v>
      </c>
      <c r="I2265" s="1">
        <f>IFERROR(__xludf.DUMMYFUNCTION("""COMPUTED_VALUE"""),9109293124)</f>
        <v>9109293124</v>
      </c>
      <c r="J2265" s="1"/>
      <c r="K2265" s="1" t="str">
        <f>IFERROR(__xludf.DUMMYFUNCTION("""COMPUTED_VALUE"""),"susandelprado5@gmail.com")</f>
        <v>susandelprado5@gmail.com</v>
      </c>
      <c r="L2265" s="1" t="str">
        <f>IFERROR(__xludf.DUMMYFUNCTION("""COMPUTED_VALUE"""),"BLK 10 LOT 4")</f>
        <v>BLK 10 LOT 4</v>
      </c>
      <c r="M2265" s="1" t="str">
        <f>IFERROR(__xludf.DUMMYFUNCTION("""COMPUTED_VALUE"""),"GRANADOS")</f>
        <v>GRANADOS</v>
      </c>
      <c r="N2265" s="1"/>
      <c r="O2265" s="1" t="str">
        <f>IFERROR(__xludf.DUMMYFUNCTION("""COMPUTED_VALUE"""),"PANTALEON GRANADOS (AREA G)")</f>
        <v>PANTALEON GRANADOS (AREA G)</v>
      </c>
      <c r="P2265" s="1" t="str">
        <f>IFERROR(__xludf.DUMMYFUNCTION("""COMPUTED_VALUE"""),"GEN MARIANO ALVAREZ")</f>
        <v>GEN MARIANO ALVAREZ</v>
      </c>
      <c r="Q2265" s="1" t="str">
        <f>IFERROR(__xludf.DUMMYFUNCTION("""COMPUTED_VALUE"""),"CAVITE")</f>
        <v>CAVITE</v>
      </c>
      <c r="R2265" s="1" t="str">
        <f>IFERROR(__xludf.DUMMYFUNCTION("""COMPUTED_VALUE"""),"FIBR UNLI ALL PLAN 1399")</f>
        <v>FIBR UNLI ALL PLAN 1399</v>
      </c>
      <c r="S2265" s="1" t="str">
        <f>IFERROR(__xludf.DUMMYFUNCTION("""COMPUTED_VALUE"""),"APPROVED")</f>
        <v>APPROVED</v>
      </c>
      <c r="T2265" s="1" t="str">
        <f>IFERROR(__xludf.DUMMYFUNCTION("""COMPUTED_VALUE"""),"#N/A")</f>
        <v>#N/A</v>
      </c>
      <c r="U2265" s="1" t="str">
        <f>IFERROR(__xludf.DUMMYFUNCTION("""COMPUTED_VALUE"""),"POSTED")</f>
        <v>POSTED</v>
      </c>
      <c r="V2265" s="1"/>
      <c r="W2265" s="1"/>
    </row>
    <row r="2266" customHeight="1" spans="1:23">
      <c r="A2266" s="3">
        <f>IFERROR(__xludf.DUMMYFUNCTION("""COMPUTED_VALUE"""),46199)</f>
        <v>46199</v>
      </c>
      <c r="B2266" s="1" t="str">
        <f>IFERROR(__xludf.DUMMYFUNCTION("""COMPUTED_VALUE"""),"MALIWAT MARK ELVIN")</f>
        <v>MALIWAT MARK ELVIN</v>
      </c>
      <c r="C2266" s="1" t="str">
        <f>IFERROR(__xludf.DUMMYFUNCTION("""COMPUTED_VALUE"""),"FLA")</f>
        <v>FLA</v>
      </c>
      <c r="D2266" s="1" t="str">
        <f>IFERROR(__xludf.DUMMYFUNCTION("""COMPUTED_VALUE"""),"JERIC NAVARRO")</f>
        <v>JERIC NAVARRO</v>
      </c>
      <c r="E2266" s="1" t="str">
        <f>IFERROR(__xludf.DUMMYFUNCTION("""COMPUTED_VALUE"""),"PLDT / H2H")</f>
        <v>PLDT / H2H</v>
      </c>
      <c r="F2266" s="1">
        <f>IFERROR(__xludf.DUMMYFUNCTION("""COMPUTED_VALUE"""),2310499032)</f>
        <v>2310499032</v>
      </c>
      <c r="G2266" s="1">
        <f>IFERROR(__xludf.DUMMYFUNCTION("""COMPUTED_VALUE"""),460137695004)</f>
        <v>460137695004</v>
      </c>
      <c r="H2266" s="1" t="str">
        <f>IFERROR(__xludf.DUMMYFUNCTION("""COMPUTED_VALUE"""),"ARNEL VALENCIA CUNANAN")</f>
        <v>ARNEL VALENCIA CUNANAN</v>
      </c>
      <c r="I2266" s="1">
        <f>IFERROR(__xludf.DUMMYFUNCTION("""COMPUTED_VALUE"""),9985792251)</f>
        <v>9985792251</v>
      </c>
      <c r="J2266" s="1"/>
      <c r="K2266" s="1" t="str">
        <f>IFERROR(__xludf.DUMMYFUNCTION("""COMPUTED_VALUE"""),"karseykaiye@gmail.com")</f>
        <v>karseykaiye@gmail.com</v>
      </c>
      <c r="L2266" s="1" t="str">
        <f>IFERROR(__xludf.DUMMYFUNCTION("""COMPUTED_VALUE"""),"BLK 47 LOT 2")</f>
        <v>BLK 47 LOT 2</v>
      </c>
      <c r="M2266" s="1" t="str">
        <f>IFERROR(__xludf.DUMMYFUNCTION("""COMPUTED_VALUE"""),"VARESE ")</f>
        <v>VARESE </v>
      </c>
      <c r="N2266" s="1" t="str">
        <f>IFERROR(__xludf.DUMMYFUNCTION("""COMPUTED_VALUE"""),"CLUSTER 2 BELLA VISTA")</f>
        <v>CLUSTER 2 BELLA VISTA</v>
      </c>
      <c r="O2266" s="1" t="str">
        <f>IFERROR(__xludf.DUMMYFUNCTION("""COMPUTED_VALUE"""),"SANTIAGO")</f>
        <v>SANTIAGO</v>
      </c>
      <c r="P2266" s="1" t="str">
        <f>IFERROR(__xludf.DUMMYFUNCTION("""COMPUTED_VALUE"""),"GENERAL TRIAS")</f>
        <v>GENERAL TRIAS</v>
      </c>
      <c r="Q2266" s="1" t="str">
        <f>IFERROR(__xludf.DUMMYFUNCTION("""COMPUTED_VALUE"""),"CAVITE")</f>
        <v>CAVITE</v>
      </c>
      <c r="R2266" s="1" t="str">
        <f>IFERROR(__xludf.DUMMYFUNCTION("""COMPUTED_VALUE"""),"FIBR UNLI ALL PLAN 1399")</f>
        <v>FIBR UNLI ALL PLAN 1399</v>
      </c>
      <c r="S2266" s="1" t="str">
        <f>IFERROR(__xludf.DUMMYFUNCTION("""COMPUTED_VALUE"""),"APPROVED")</f>
        <v>APPROVED</v>
      </c>
      <c r="T2266" s="1" t="str">
        <f>IFERROR(__xludf.DUMMYFUNCTION("""COMPUTED_VALUE"""),"#N/A")</f>
        <v>#N/A</v>
      </c>
      <c r="U2266" s="1" t="str">
        <f>IFERROR(__xludf.DUMMYFUNCTION("""COMPUTED_VALUE"""),"POSTED")</f>
        <v>POSTED</v>
      </c>
      <c r="V2266" s="1"/>
      <c r="W2266" s="1"/>
    </row>
    <row r="2267" customHeight="1" spans="1:23">
      <c r="A2267" s="3">
        <f>IFERROR(__xludf.DUMMYFUNCTION("""COMPUTED_VALUE"""),46199)</f>
        <v>46199</v>
      </c>
      <c r="B2267" s="1" t="str">
        <f>IFERROR(__xludf.DUMMYFUNCTION("""COMPUTED_VALUE"""),"DELA ROSA, JENNELYN")</f>
        <v>DELA ROSA, JENNELYN</v>
      </c>
      <c r="C2267" s="1" t="str">
        <f>IFERROR(__xludf.DUMMYFUNCTION("""COMPUTED_VALUE"""),"ORGANIC")</f>
        <v>ORGANIC</v>
      </c>
      <c r="D2267" s="1" t="str">
        <f>IFERROR(__xludf.DUMMYFUNCTION("""COMPUTED_VALUE"""),"REMOLLO LEA")</f>
        <v>REMOLLO LEA</v>
      </c>
      <c r="E2267" s="1" t="str">
        <f>IFERROR(__xludf.DUMMYFUNCTION("""COMPUTED_VALUE"""),"RED FIBER")</f>
        <v>RED FIBER</v>
      </c>
      <c r="F2267" s="1"/>
      <c r="G2267" s="1"/>
      <c r="H2267" s="1" t="str">
        <f>IFERROR(__xludf.DUMMYFUNCTION("""COMPUTED_VALUE"""),"KRYSTEL JOY ISUMAGUI MANGILIN")</f>
        <v>KRYSTEL JOY ISUMAGUI MANGILIN</v>
      </c>
      <c r="I2267" s="1">
        <f>IFERROR(__xludf.DUMMYFUNCTION("""COMPUTED_VALUE"""),9859749194)</f>
        <v>9859749194</v>
      </c>
      <c r="J2267" s="1"/>
      <c r="K2267" s="1" t="str">
        <f>IFERROR(__xludf.DUMMYFUNCTION("""COMPUTED_VALUE"""),"christianmasuganda01@gmail.com")</f>
        <v>christianmasuganda01@gmail.com</v>
      </c>
      <c r="L2267" s="1" t="str">
        <f>IFERROR(__xludf.DUMMYFUNCTION("""COMPUTED_VALUE"""),"9215")</f>
        <v>9215</v>
      </c>
      <c r="M2267" s="1" t="str">
        <f>IFERROR(__xludf.DUMMYFUNCTION("""COMPUTED_VALUE"""),"PUROK 5")</f>
        <v>PUROK 5</v>
      </c>
      <c r="N2267" s="1"/>
      <c r="O2267" s="1" t="str">
        <f>IFERROR(__xludf.DUMMYFUNCTION("""COMPUTED_VALUE"""),"ULAT")</f>
        <v>ULAT</v>
      </c>
      <c r="P2267" s="1" t="str">
        <f>IFERROR(__xludf.DUMMYFUNCTION("""COMPUTED_VALUE"""),"SILANG")</f>
        <v>SILANG</v>
      </c>
      <c r="Q2267" s="1" t="str">
        <f>IFERROR(__xludf.DUMMYFUNCTION("""COMPUTED_VALUE"""),"CAVITE")</f>
        <v>CAVITE</v>
      </c>
      <c r="R2267" s="1" t="str">
        <f>IFERROR(__xludf.DUMMYFUNCTION("""COMPUTED_VALUE"""),"RED PLAN 1000")</f>
        <v>RED PLAN 1000</v>
      </c>
      <c r="S2267" s="1" t="str">
        <f>IFERROR(__xludf.DUMMYFUNCTION("""COMPUTED_VALUE"""),"APPROVED")</f>
        <v>APPROVED</v>
      </c>
      <c r="T2267" s="1" t="str">
        <f>IFERROR(__xludf.DUMMYFUNCTION("""COMPUTED_VALUE"""),"CLOSED")</f>
        <v>CLOSED</v>
      </c>
      <c r="U2267" s="1" t="str">
        <f>IFERROR(__xludf.DUMMYFUNCTION("""COMPUTED_VALUE"""),"POSTED")</f>
        <v>POSTED</v>
      </c>
      <c r="V2267" s="1"/>
      <c r="W2267" s="1"/>
    </row>
    <row r="2268" customHeight="1" spans="1:23">
      <c r="A2268" s="3">
        <f>IFERROR(__xludf.DUMMYFUNCTION("""COMPUTED_VALUE"""),46199)</f>
        <v>46199</v>
      </c>
      <c r="B2268" s="1" t="str">
        <f>IFERROR(__xludf.DUMMYFUNCTION("""COMPUTED_VALUE"""),"MAGDARAOG, KENNETH")</f>
        <v>MAGDARAOG, KENNETH</v>
      </c>
      <c r="C2268" s="1" t="str">
        <f>IFERROR(__xludf.DUMMYFUNCTION("""COMPUTED_VALUE"""),"ORGANIC")</f>
        <v>ORGANIC</v>
      </c>
      <c r="D2268" s="1" t="str">
        <f>IFERROR(__xludf.DUMMYFUNCTION("""COMPUTED_VALUE"""),"REMOLLO LEA")</f>
        <v>REMOLLO LEA</v>
      </c>
      <c r="E2268" s="1" t="str">
        <f>IFERROR(__xludf.DUMMYFUNCTION("""COMPUTED_VALUE"""),"PLDT / H2H")</f>
        <v>PLDT / H2H</v>
      </c>
      <c r="F2268" s="1"/>
      <c r="G2268" s="1"/>
      <c r="H2268" s="1" t="str">
        <f>IFERROR(__xludf.DUMMYFUNCTION("""COMPUTED_VALUE"""),"ALMA MANLAPAZ PEJI ")</f>
        <v>ALMA MANLAPAZ PEJI </v>
      </c>
      <c r="I2268" s="1">
        <f>IFERROR(__xludf.DUMMYFUNCTION("""COMPUTED_VALUE"""),9566854516)</f>
        <v>9566854516</v>
      </c>
      <c r="J2268" s="1">
        <f>IFERROR(__xludf.DUMMYFUNCTION("""COMPUTED_VALUE"""),9630106734)</f>
        <v>9630106734</v>
      </c>
      <c r="K2268" s="1" t="str">
        <f>IFERROR(__xludf.DUMMYFUNCTION("""COMPUTED_VALUE"""),"pejialma30@gmail.com")</f>
        <v>pejialma30@gmail.com</v>
      </c>
      <c r="L2268" s="1" t="str">
        <f>IFERROR(__xludf.DUMMYFUNCTION("""COMPUTED_VALUE"""),"923")</f>
        <v>923</v>
      </c>
      <c r="M2268" s="1" t="str">
        <f>IFERROR(__xludf.DUMMYFUNCTION("""COMPUTED_VALUE"""),"ZAMARA")</f>
        <v>ZAMARA</v>
      </c>
      <c r="N2268" s="1"/>
      <c r="O2268" s="1" t="str">
        <f>IFERROR(__xludf.DUMMYFUNCTION("""COMPUTED_VALUE"""),"ASISAN")</f>
        <v>ASISAN</v>
      </c>
      <c r="P2268" s="1" t="str">
        <f>IFERROR(__xludf.DUMMYFUNCTION("""COMPUTED_VALUE"""),"MENDEZ")</f>
        <v>MENDEZ</v>
      </c>
      <c r="Q2268" s="1" t="str">
        <f>IFERROR(__xludf.DUMMYFUNCTION("""COMPUTED_VALUE"""),"CAVITE")</f>
        <v>CAVITE</v>
      </c>
      <c r="R2268" s="1" t="str">
        <f>IFERROR(__xludf.DUMMYFUNCTION("""COMPUTED_VALUE"""),"FIBR UNLI ALL PLAN 999")</f>
        <v>FIBR UNLI ALL PLAN 999</v>
      </c>
      <c r="S2268" s="1" t="str">
        <f>IFERROR(__xludf.DUMMYFUNCTION("""COMPUTED_VALUE"""),"HOLD")</f>
        <v>HOLD</v>
      </c>
      <c r="T2268" s="1" t="str">
        <f>IFERROR(__xludf.DUMMYFUNCTION("""COMPUTED_VALUE"""),"#N/A")</f>
        <v>#N/A</v>
      </c>
      <c r="U2268" s="1"/>
      <c r="V2268" s="1"/>
      <c r="W2268" s="1"/>
    </row>
    <row r="2269" customHeight="1" spans="1:23">
      <c r="A2269" s="3">
        <f>IFERROR(__xludf.DUMMYFUNCTION("""COMPUTED_VALUE"""),46199)</f>
        <v>46199</v>
      </c>
      <c r="B2269" s="1" t="str">
        <f>IFERROR(__xludf.DUMMYFUNCTION("""COMPUTED_VALUE"""),"GABAY, MANUEL")</f>
        <v>GABAY, MANUEL</v>
      </c>
      <c r="C2269" s="1" t="str">
        <f>IFERROR(__xludf.DUMMYFUNCTION("""COMPUTED_VALUE"""),"FLA")</f>
        <v>FLA</v>
      </c>
      <c r="D2269" s="1" t="str">
        <f>IFERROR(__xludf.DUMMYFUNCTION("""COMPUTED_VALUE"""),"JERIC NAVARRO")</f>
        <v>JERIC NAVARRO</v>
      </c>
      <c r="E2269" s="1" t="str">
        <f>IFERROR(__xludf.DUMMYFUNCTION("""COMPUTED_VALUE"""),"PLDT / H2H")</f>
        <v>PLDT / H2H</v>
      </c>
      <c r="F2269" s="1">
        <f>IFERROR(__xludf.DUMMYFUNCTION("""COMPUTED_VALUE"""),2310502349)</f>
        <v>2310502349</v>
      </c>
      <c r="G2269" s="1">
        <f>IFERROR(__xludf.DUMMYFUNCTION("""COMPUTED_VALUE"""),460136320004)</f>
        <v>460136320004</v>
      </c>
      <c r="H2269" s="1" t="str">
        <f>IFERROR(__xludf.DUMMYFUNCTION("""COMPUTED_VALUE"""),"DANILO ATIENZA BULASAG")</f>
        <v>DANILO ATIENZA BULASAG</v>
      </c>
      <c r="I2269" s="1">
        <f>IFERROR(__xludf.DUMMYFUNCTION("""COMPUTED_VALUE"""),9318754167)</f>
        <v>9318754167</v>
      </c>
      <c r="J2269" s="1">
        <f>IFERROR(__xludf.DUMMYFUNCTION("""COMPUTED_VALUE"""),97018787476)</f>
        <v>97018787476</v>
      </c>
      <c r="K2269" s="1" t="str">
        <f>IFERROR(__xludf.DUMMYFUNCTION("""COMPUTED_VALUE"""),"reabulasag@ph.com")</f>
        <v>reabulasag@ph.com</v>
      </c>
      <c r="L2269" s="1" t="str">
        <f>IFERROR(__xludf.DUMMYFUNCTION("""COMPUTED_VALUE"""),"2744")</f>
        <v>2744</v>
      </c>
      <c r="M2269" s="1" t="str">
        <f>IFERROR(__xludf.DUMMYFUNCTION("""COMPUTED_VALUE"""),"LITTLE ANGEL")</f>
        <v>LITTLE ANGEL</v>
      </c>
      <c r="N2269" s="1"/>
      <c r="O2269" s="1" t="str">
        <f>IFERROR(__xludf.DUMMYFUNCTION("""COMPUTED_VALUE"""),"PANUNGYAN I")</f>
        <v>PANUNGYAN I</v>
      </c>
      <c r="P2269" s="1" t="str">
        <f>IFERROR(__xludf.DUMMYFUNCTION("""COMPUTED_VALUE"""),"MENDEZ")</f>
        <v>MENDEZ</v>
      </c>
      <c r="Q2269" s="1" t="str">
        <f>IFERROR(__xludf.DUMMYFUNCTION("""COMPUTED_VALUE"""),"CAVITE")</f>
        <v>CAVITE</v>
      </c>
      <c r="R2269" s="1" t="str">
        <f>IFERROR(__xludf.DUMMYFUNCTION("""COMPUTED_VALUE"""),"FIBR UNLI ALL PLAN 1399")</f>
        <v>FIBR UNLI ALL PLAN 1399</v>
      </c>
      <c r="S2269" s="1" t="str">
        <f>IFERROR(__xludf.DUMMYFUNCTION("""COMPUTED_VALUE"""),"APPROVED")</f>
        <v>APPROVED</v>
      </c>
      <c r="T2269" s="1" t="str">
        <f>IFERROR(__xludf.DUMMYFUNCTION("""COMPUTED_VALUE"""),"#N/A")</f>
        <v>#N/A</v>
      </c>
      <c r="U2269" s="1" t="str">
        <f>IFERROR(__xludf.DUMMYFUNCTION("""COMPUTED_VALUE"""),"POSTED")</f>
        <v>POSTED</v>
      </c>
      <c r="V2269" s="1"/>
      <c r="W2269" s="1"/>
    </row>
    <row r="2270" customHeight="1" spans="1:23">
      <c r="A2270" s="3">
        <f>IFERROR(__xludf.DUMMYFUNCTION("""COMPUTED_VALUE"""),46199)</f>
        <v>46199</v>
      </c>
      <c r="B2270" s="1" t="str">
        <f>IFERROR(__xludf.DUMMYFUNCTION("""COMPUTED_VALUE"""),"FARO, REFRANTA")</f>
        <v>FARO, REFRANTA</v>
      </c>
      <c r="C2270" s="1" t="str">
        <f>IFERROR(__xludf.DUMMYFUNCTION("""COMPUTED_VALUE"""),"ORGANIC")</f>
        <v>ORGANIC</v>
      </c>
      <c r="D2270" s="1" t="str">
        <f>IFERROR(__xludf.DUMMYFUNCTION("""COMPUTED_VALUE"""),"REMOLLO LEA")</f>
        <v>REMOLLO LEA</v>
      </c>
      <c r="E2270" s="1" t="str">
        <f>IFERROR(__xludf.DUMMYFUNCTION("""COMPUTED_VALUE"""),"PLDT / H2H")</f>
        <v>PLDT / H2H</v>
      </c>
      <c r="F2270" s="1">
        <f>IFERROR(__xludf.DUMMYFUNCTION("""COMPUTED_VALUE"""),2310508292)</f>
        <v>2310508292</v>
      </c>
      <c r="G2270" s="1">
        <f>IFERROR(__xludf.DUMMYFUNCTION("""COMPUTED_VALUE"""),460142262004)</f>
        <v>460142262004</v>
      </c>
      <c r="H2270" s="1" t="str">
        <f>IFERROR(__xludf.DUMMYFUNCTION("""COMPUTED_VALUE"""),"MA LORETA AUSTRIA DE LAS ALAS")</f>
        <v>MA LORETA AUSTRIA DE LAS ALAS</v>
      </c>
      <c r="I2270" s="1">
        <f>IFERROR(__xludf.DUMMYFUNCTION("""COMPUTED_VALUE"""),9995302750)</f>
        <v>9995302750</v>
      </c>
      <c r="J2270" s="1"/>
      <c r="K2270" s="1" t="str">
        <f>IFERROR(__xludf.DUMMYFUNCTION("""COMPUTED_VALUE"""),"rene_delas_alas@yahoo.com")</f>
        <v>rene_delas_alas@yahoo.com</v>
      </c>
      <c r="L2270" s="1" t="str">
        <f>IFERROR(__xludf.DUMMYFUNCTION("""COMPUTED_VALUE"""),"2047")</f>
        <v>2047</v>
      </c>
      <c r="M2270" s="1" t="str">
        <f>IFERROR(__xludf.DUMMYFUNCTION("""COMPUTED_VALUE"""),"ELEVE HOMES")</f>
        <v>ELEVE HOMES</v>
      </c>
      <c r="N2270" s="1" t="str">
        <f>IFERROR(__xludf.DUMMYFUNCTION("""COMPUTED_VALUE"""),"ELEVE HOMES")</f>
        <v>ELEVE HOMES</v>
      </c>
      <c r="O2270" s="1" t="str">
        <f>IFERROR(__xludf.DUMMYFUNCTION("""COMPUTED_VALUE"""),"MAHARLIKA WEST")</f>
        <v>MAHARLIKA WEST</v>
      </c>
      <c r="P2270" s="1" t="str">
        <f>IFERROR(__xludf.DUMMYFUNCTION("""COMPUTED_VALUE"""),"MENDEZ")</f>
        <v>MENDEZ</v>
      </c>
      <c r="Q2270" s="1" t="str">
        <f>IFERROR(__xludf.DUMMYFUNCTION("""COMPUTED_VALUE"""),"CAVITE")</f>
        <v>CAVITE</v>
      </c>
      <c r="R2270" s="1" t="str">
        <f>IFERROR(__xludf.DUMMYFUNCTION("""COMPUTED_VALUE"""),"FIBR NETFLIX PLAN 1599")</f>
        <v>FIBR NETFLIX PLAN 1599</v>
      </c>
      <c r="S2270" s="1" t="str">
        <f>IFERROR(__xludf.DUMMYFUNCTION("""COMPUTED_VALUE"""),"APPROVED")</f>
        <v>APPROVED</v>
      </c>
      <c r="T2270" s="1" t="str">
        <f>IFERROR(__xludf.DUMMYFUNCTION("""COMPUTED_VALUE"""),"#N/A")</f>
        <v>#N/A</v>
      </c>
      <c r="U2270" s="1" t="str">
        <f>IFERROR(__xludf.DUMMYFUNCTION("""COMPUTED_VALUE"""),"PAID THRU PLDT KIOSK 030702PLDC")</f>
        <v>PAID THRU PLDT KIOSK 030702PLDC</v>
      </c>
      <c r="V2270" s="1"/>
      <c r="W2270" s="1"/>
    </row>
    <row r="2271" customHeight="1" spans="1:23">
      <c r="A2271" s="3">
        <f>IFERROR(__xludf.DUMMYFUNCTION("""COMPUTED_VALUE"""),46199)</f>
        <v>46199</v>
      </c>
      <c r="B2271" s="1" t="str">
        <f>IFERROR(__xludf.DUMMYFUNCTION("""COMPUTED_VALUE"""),"RIVERA, AIRIZH JOY")</f>
        <v>RIVERA, AIRIZH JOY</v>
      </c>
      <c r="C2271" s="1" t="str">
        <f>IFERROR(__xludf.DUMMYFUNCTION("""COMPUTED_VALUE"""),"ORGANIC")</f>
        <v>ORGANIC</v>
      </c>
      <c r="D2271" s="1" t="str">
        <f>IFERROR(__xludf.DUMMYFUNCTION("""COMPUTED_VALUE"""),"REMOLLO LEA")</f>
        <v>REMOLLO LEA</v>
      </c>
      <c r="E2271" s="1" t="str">
        <f>IFERROR(__xludf.DUMMYFUNCTION("""COMPUTED_VALUE"""),"PLDT / H2H")</f>
        <v>PLDT / H2H</v>
      </c>
      <c r="F2271" s="1">
        <f>IFERROR(__xludf.DUMMYFUNCTION("""COMPUTED_VALUE"""),2310509925)</f>
        <v>2310509925</v>
      </c>
      <c r="G2271" s="1">
        <f>IFERROR(__xludf.DUMMYFUNCTION("""COMPUTED_VALUE"""),460144266004)</f>
        <v>460144266004</v>
      </c>
      <c r="H2271" s="1" t="str">
        <f>IFERROR(__xludf.DUMMYFUNCTION("""COMPUTED_VALUE"""),"MARK DARREL MILAGROSO CALAZARA")</f>
        <v>MARK DARREL MILAGROSO CALAZARA</v>
      </c>
      <c r="I2271" s="1">
        <f>IFERROR(__xludf.DUMMYFUNCTION("""COMPUTED_VALUE"""),9186944745)</f>
        <v>9186944745</v>
      </c>
      <c r="J2271" s="1">
        <f>IFERROR(__xludf.DUMMYFUNCTION("""COMPUTED_VALUE"""),9099869141)</f>
        <v>9099869141</v>
      </c>
      <c r="K2271" s="1" t="str">
        <f>IFERROR(__xludf.DUMMYFUNCTION("""COMPUTED_VALUE"""),"markdarrel1375@gmail.com")</f>
        <v>markdarrel1375@gmail.com</v>
      </c>
      <c r="L2271" s="1" t="str">
        <f>IFERROR(__xludf.DUMMYFUNCTION("""COMPUTED_VALUE"""),"194")</f>
        <v>194</v>
      </c>
      <c r="M2271" s="1" t="str">
        <f>IFERROR(__xludf.DUMMYFUNCTION("""COMPUTED_VALUE"""),"PILI ")</f>
        <v>PILI </v>
      </c>
      <c r="N2271" s="1"/>
      <c r="O2271" s="1" t="str">
        <f>IFERROR(__xludf.DUMMYFUNCTION("""COMPUTED_VALUE"""),"BARANGAY 3 (POB.)")</f>
        <v>BARANGAY 3 (POB.)</v>
      </c>
      <c r="P2271" s="1" t="str">
        <f>IFERROR(__xludf.DUMMYFUNCTION("""COMPUTED_VALUE"""),"GEN MARIANO ALVAREZ")</f>
        <v>GEN MARIANO ALVAREZ</v>
      </c>
      <c r="Q2271" s="1" t="str">
        <f>IFERROR(__xludf.DUMMYFUNCTION("""COMPUTED_VALUE"""),"CAVITE")</f>
        <v>CAVITE</v>
      </c>
      <c r="R2271" s="1" t="str">
        <f>IFERROR(__xludf.DUMMYFUNCTION("""COMPUTED_VALUE"""),"FIBR UNLI ALL PLAN 999")</f>
        <v>FIBR UNLI ALL PLAN 999</v>
      </c>
      <c r="S2271" s="1" t="str">
        <f>IFERROR(__xludf.DUMMYFUNCTION("""COMPUTED_VALUE"""),"APPROVED")</f>
        <v>APPROVED</v>
      </c>
      <c r="T2271" s="1" t="str">
        <f>IFERROR(__xludf.DUMMYFUNCTION("""COMPUTED_VALUE"""),"#N/A")</f>
        <v>#N/A</v>
      </c>
      <c r="U2271" s="1"/>
      <c r="V2271" s="1"/>
      <c r="W2271" s="1"/>
    </row>
    <row r="2272" customHeight="1" spans="1:23">
      <c r="A2272" s="3">
        <f>IFERROR(__xludf.DUMMYFUNCTION("""COMPUTED_VALUE"""),46199)</f>
        <v>46199</v>
      </c>
      <c r="B2272" s="1" t="str">
        <f>IFERROR(__xludf.DUMMYFUNCTION("""COMPUTED_VALUE"""),"OPS WESLY")</f>
        <v>OPS WESLY</v>
      </c>
      <c r="C2272" s="1" t="str">
        <f>IFERROR(__xludf.DUMMYFUNCTION("""COMPUTED_VALUE"""),"FLA")</f>
        <v>FLA</v>
      </c>
      <c r="D2272" s="1" t="str">
        <f>IFERROR(__xludf.DUMMYFUNCTION("""COMPUTED_VALUE"""),"JERIC NAVARRO")</f>
        <v>JERIC NAVARRO</v>
      </c>
      <c r="E2272" s="1" t="str">
        <f>IFERROR(__xludf.DUMMYFUNCTION("""COMPUTED_VALUE"""),"PLDT / H2H")</f>
        <v>PLDT / H2H</v>
      </c>
      <c r="F2272" s="1">
        <f>IFERROR(__xludf.DUMMYFUNCTION("""COMPUTED_VALUE"""),2310513313)</f>
        <v>2310513313</v>
      </c>
      <c r="G2272" s="1">
        <f>IFERROR(__xludf.DUMMYFUNCTION("""COMPUTED_VALUE"""),460155597004)</f>
        <v>460155597004</v>
      </c>
      <c r="H2272" s="1" t="str">
        <f>IFERROR(__xludf.DUMMYFUNCTION("""COMPUTED_VALUE"""),"BENAIAH CALEB ATIENZA DESINGANO")</f>
        <v>BENAIAH CALEB ATIENZA DESINGANO</v>
      </c>
      <c r="I2272" s="1">
        <f>IFERROR(__xludf.DUMMYFUNCTION("""COMPUTED_VALUE"""),9398266192)</f>
        <v>9398266192</v>
      </c>
      <c r="J2272" s="1">
        <f>IFERROR(__xludf.DUMMYFUNCTION("""COMPUTED_VALUE"""),9524803149)</f>
        <v>9524803149</v>
      </c>
      <c r="K2272" s="1" t="str">
        <f>IFERROR(__xludf.DUMMYFUNCTION("""COMPUTED_VALUE"""),"benaiahcalebdesigngano@gmail.com")</f>
        <v>benaiahcalebdesigngano@gmail.com</v>
      </c>
      <c r="L2272" s="1" t="str">
        <f>IFERROR(__xludf.DUMMYFUNCTION("""COMPUTED_VALUE"""),"LOT 7A1")</f>
        <v>LOT 7A1</v>
      </c>
      <c r="M2272" s="1" t="str">
        <f>IFERROR(__xludf.DUMMYFUNCTION("""COMPUTED_VALUE"""),"MAITIM 2ND EAST")</f>
        <v>MAITIM 2ND EAST</v>
      </c>
      <c r="N2272" s="1"/>
      <c r="O2272" s="1" t="str">
        <f>IFERROR(__xludf.DUMMYFUNCTION("""COMPUTED_VALUE"""),"MAITIM 2ND EAST")</f>
        <v>MAITIM 2ND EAST</v>
      </c>
      <c r="P2272" s="1" t="str">
        <f>IFERROR(__xludf.DUMMYFUNCTION("""COMPUTED_VALUE"""),"TAGAYTAY")</f>
        <v>TAGAYTAY</v>
      </c>
      <c r="Q2272" s="1" t="str">
        <f>IFERROR(__xludf.DUMMYFUNCTION("""COMPUTED_VALUE"""),"CAVITE")</f>
        <v>CAVITE</v>
      </c>
      <c r="R2272" s="1" t="str">
        <f>IFERROR(__xludf.DUMMYFUNCTION("""COMPUTED_VALUE"""),"FIBR UNLI ALL PLAN 1399")</f>
        <v>FIBR UNLI ALL PLAN 1399</v>
      </c>
      <c r="S2272" s="1" t="str">
        <f>IFERROR(__xludf.DUMMYFUNCTION("""COMPUTED_VALUE"""),"APPROVED")</f>
        <v>APPROVED</v>
      </c>
      <c r="T2272" s="1" t="str">
        <f>IFERROR(__xludf.DUMMYFUNCTION("""COMPUTED_VALUE"""),"#N/A")</f>
        <v>#N/A</v>
      </c>
      <c r="U2272" s="1"/>
      <c r="V2272" s="1"/>
      <c r="W2272" s="1"/>
    </row>
    <row r="2273" customHeight="1" spans="1:23">
      <c r="A2273" s="3">
        <f>IFERROR(__xludf.DUMMYFUNCTION("""COMPUTED_VALUE"""),46200)</f>
        <v>46200</v>
      </c>
      <c r="B2273" s="1" t="str">
        <f>IFERROR(__xludf.DUMMYFUNCTION("""COMPUTED_VALUE"""),"ESCARCHA, MA ALMA  ESCOTO")</f>
        <v>ESCARCHA, MA ALMA  ESCOTO</v>
      </c>
      <c r="C2273" s="1" t="str">
        <f>IFERROR(__xludf.DUMMYFUNCTION("""COMPUTED_VALUE"""),"ORGANIC")</f>
        <v>ORGANIC</v>
      </c>
      <c r="D2273" s="1" t="str">
        <f>IFERROR(__xludf.DUMMYFUNCTION("""COMPUTED_VALUE"""),"REMOLLO LEA")</f>
        <v>REMOLLO LEA</v>
      </c>
      <c r="E2273" s="1" t="str">
        <f>IFERROR(__xludf.DUMMYFUNCTION("""COMPUTED_VALUE"""),"PLDT / H2H")</f>
        <v>PLDT / H2H</v>
      </c>
      <c r="F2273" s="1">
        <f>IFERROR(__xludf.DUMMYFUNCTION("""COMPUTED_VALUE"""),2310532499)</f>
        <v>2310532499</v>
      </c>
      <c r="G2273" s="1"/>
      <c r="H2273" s="1" t="str">
        <f>IFERROR(__xludf.DUMMYFUNCTION("""COMPUTED_VALUE"""),"ALBERT NERO ABIOG")</f>
        <v>ALBERT NERO ABIOG</v>
      </c>
      <c r="I2273" s="1">
        <f>IFERROR(__xludf.DUMMYFUNCTION("""COMPUTED_VALUE"""),9073496837)</f>
        <v>9073496837</v>
      </c>
      <c r="J2273" s="1"/>
      <c r="K2273" s="1" t="str">
        <f>IFERROR(__xludf.DUMMYFUNCTION("""COMPUTED_VALUE"""),"abiogalbert34@gmail.com")</f>
        <v>abiogalbert34@gmail.com</v>
      </c>
      <c r="L2273" s="1" t="str">
        <f>IFERROR(__xludf.DUMMYFUNCTION("""COMPUTED_VALUE"""),"029C")</f>
        <v>029C</v>
      </c>
      <c r="M2273" s="1" t="str">
        <f>IFERROR(__xludf.DUMMYFUNCTION("""COMPUTED_VALUE"""),"KALUBKOB ST")</f>
        <v>KALUBKOB ST</v>
      </c>
      <c r="N2273" s="1"/>
      <c r="O2273" s="1" t="str">
        <f>IFERROR(__xludf.DUMMYFUNCTION("""COMPUTED_VALUE"""),"ASIS I")</f>
        <v>ASIS I</v>
      </c>
      <c r="P2273" s="1" t="str">
        <f>IFERROR(__xludf.DUMMYFUNCTION("""COMPUTED_VALUE"""),"MENDEZ")</f>
        <v>MENDEZ</v>
      </c>
      <c r="Q2273" s="1" t="str">
        <f>IFERROR(__xludf.DUMMYFUNCTION("""COMPUTED_VALUE"""),"CAVITE")</f>
        <v>CAVITE</v>
      </c>
      <c r="R2273" s="1" t="str">
        <f>IFERROR(__xludf.DUMMYFUNCTION("""COMPUTED_VALUE"""),"FIBR UNLI ALL PLAN 999")</f>
        <v>FIBR UNLI ALL PLAN 999</v>
      </c>
      <c r="S2273" s="1" t="str">
        <f>IFERROR(__xludf.DUMMYFUNCTION("""COMPUTED_VALUE"""),"APPROVED")</f>
        <v>APPROVED</v>
      </c>
      <c r="T2273" s="1" t="str">
        <f>IFERROR(__xludf.DUMMYFUNCTION("""COMPUTED_VALUE"""),"#N/A")</f>
        <v>#N/A</v>
      </c>
      <c r="U2273" s="1" t="str">
        <f>IFERROR(__xludf.DUMMYFUNCTION("""COMPUTED_VALUE"""),"POSTED")</f>
        <v>POSTED</v>
      </c>
      <c r="V2273" s="1"/>
      <c r="W2273" s="1"/>
    </row>
    <row r="2274" customHeight="1" spans="1:23">
      <c r="A2274" s="3">
        <f>IFERROR(__xludf.DUMMYFUNCTION("""COMPUTED_VALUE"""),46200)</f>
        <v>46200</v>
      </c>
      <c r="B2274" s="1" t="str">
        <f>IFERROR(__xludf.DUMMYFUNCTION("""COMPUTED_VALUE"""),"ESCARCHA, MA ALMA  ESCOTO")</f>
        <v>ESCARCHA, MA ALMA  ESCOTO</v>
      </c>
      <c r="C2274" s="1" t="str">
        <f>IFERROR(__xludf.DUMMYFUNCTION("""COMPUTED_VALUE"""),"ORGANIC")</f>
        <v>ORGANIC</v>
      </c>
      <c r="D2274" s="1" t="str">
        <f>IFERROR(__xludf.DUMMYFUNCTION("""COMPUTED_VALUE"""),"REMOLLO LEA")</f>
        <v>REMOLLO LEA</v>
      </c>
      <c r="E2274" s="1" t="str">
        <f>IFERROR(__xludf.DUMMYFUNCTION("""COMPUTED_VALUE"""),"PLDT / ONLINE")</f>
        <v>PLDT / ONLINE</v>
      </c>
      <c r="F2274" s="1"/>
      <c r="G2274" s="1"/>
      <c r="H2274" s="1" t="str">
        <f>IFERROR(__xludf.DUMMYFUNCTION("""COMPUTED_VALUE"""),"PATRICK POL DE PAZ FADOL")</f>
        <v>PATRICK POL DE PAZ FADOL</v>
      </c>
      <c r="I2274" s="1">
        <f>IFERROR(__xludf.DUMMYFUNCTION("""COMPUTED_VALUE"""),9947693440)</f>
        <v>9947693440</v>
      </c>
      <c r="J2274" s="1">
        <f>IFERROR(__xludf.DUMMYFUNCTION("""COMPUTED_VALUE"""),9925796579)</f>
        <v>9925796579</v>
      </c>
      <c r="K2274" s="1" t="str">
        <f>IFERROR(__xludf.DUMMYFUNCTION("""COMPUTED_VALUE"""),"mailaalverio80@gmail.com")</f>
        <v>mailaalverio80@gmail.com</v>
      </c>
      <c r="L2274" s="1" t="str">
        <f>IFERROR(__xludf.DUMMYFUNCTION("""COMPUTED_VALUE""")," BLK 22  LOT 000")</f>
        <v> BLK 22  LOT 000</v>
      </c>
      <c r="M2274" s="1" t="str">
        <f>IFERROR(__xludf.DUMMYFUNCTION("""COMPUTED_VALUE""")," STRAWBERRY HILLS")</f>
        <v> STRAWBERRY HILLS</v>
      </c>
      <c r="N2274" s="1" t="str">
        <f>IFERROR(__xludf.DUMMYFUNCTION("""COMPUTED_VALUE""")," STRAWBERRY HILLS")</f>
        <v> STRAWBERRY HILLS</v>
      </c>
      <c r="O2274" s="1" t="str">
        <f>IFERROR(__xludf.DUMMYFUNCTION("""COMPUTED_VALUE"""),"FRANCISCO REYES")</f>
        <v>FRANCISCO REYES</v>
      </c>
      <c r="P2274" s="1" t="str">
        <f>IFERROR(__xludf.DUMMYFUNCTION("""COMPUTED_VALUE"""),"GEN MARIANO ALVAREZ")</f>
        <v>GEN MARIANO ALVAREZ</v>
      </c>
      <c r="Q2274" s="1" t="str">
        <f>IFERROR(__xludf.DUMMYFUNCTION("""COMPUTED_VALUE"""),"CAVITE")</f>
        <v>CAVITE</v>
      </c>
      <c r="R2274" s="1" t="str">
        <f>IFERROR(__xludf.DUMMYFUNCTION("""COMPUTED_VALUE"""),"FIBR UNLI ALL PLAN 1399")</f>
        <v>FIBR UNLI ALL PLAN 1399</v>
      </c>
      <c r="S2274" s="1" t="str">
        <f>IFERROR(__xludf.DUMMYFUNCTION("""COMPUTED_VALUE"""),"HOLD")</f>
        <v>HOLD</v>
      </c>
      <c r="T2274" s="1" t="str">
        <f>IFERROR(__xludf.DUMMYFUNCTION("""COMPUTED_VALUE"""),"#N/A")</f>
        <v>#N/A</v>
      </c>
      <c r="U2274" s="1"/>
      <c r="V2274" s="1"/>
      <c r="W2274" s="1"/>
    </row>
    <row r="2275" customHeight="1" spans="1:23">
      <c r="A2275" s="3">
        <f>IFERROR(__xludf.DUMMYFUNCTION("""COMPUTED_VALUE"""),46200)</f>
        <v>46200</v>
      </c>
      <c r="B2275" s="1" t="str">
        <f>IFERROR(__xludf.DUMMYFUNCTION("""COMPUTED_VALUE"""),"OPS IAN SUMILANG")</f>
        <v>OPS IAN SUMILANG</v>
      </c>
      <c r="C2275" s="1" t="str">
        <f>IFERROR(__xludf.DUMMYFUNCTION("""COMPUTED_VALUE"""),"FLA")</f>
        <v>FLA</v>
      </c>
      <c r="D2275" s="1" t="str">
        <f>IFERROR(__xludf.DUMMYFUNCTION("""COMPUTED_VALUE"""),"JERIC NAVARRO")</f>
        <v>JERIC NAVARRO</v>
      </c>
      <c r="E2275" s="1" t="str">
        <f>IFERROR(__xludf.DUMMYFUNCTION("""COMPUTED_VALUE"""),"PLDT / ONLINE")</f>
        <v>PLDT / ONLINE</v>
      </c>
      <c r="F2275" s="1">
        <f>IFERROR(__xludf.DUMMYFUNCTION("""COMPUTED_VALUE"""),2310527165)</f>
        <v>2310527165</v>
      </c>
      <c r="G2275" s="1">
        <f>IFERROR(__xludf.DUMMYFUNCTION("""COMPUTED_VALUE"""),460265206004)</f>
        <v>460265206004</v>
      </c>
      <c r="H2275" s="1" t="str">
        <f>IFERROR(__xludf.DUMMYFUNCTION("""COMPUTED_VALUE"""),"ANNA CHRISTINA GUILLERMO SUGIURA")</f>
        <v>ANNA CHRISTINA GUILLERMO SUGIURA</v>
      </c>
      <c r="I2275" s="1">
        <f>IFERROR(__xludf.DUMMYFUNCTION("""COMPUTED_VALUE"""),9478677629)</f>
        <v>9478677629</v>
      </c>
      <c r="J2275" s="1">
        <f>IFERROR(__xludf.DUMMYFUNCTION("""COMPUTED_VALUE"""),9150461642)</f>
        <v>9150461642</v>
      </c>
      <c r="K2275" s="1" t="str">
        <f>IFERROR(__xludf.DUMMYFUNCTION("""COMPUTED_VALUE"""),"christinatambong012@gmail.com")</f>
        <v>christinatambong012@gmail.com</v>
      </c>
      <c r="L2275" s="1" t="str">
        <f>IFERROR(__xludf.DUMMYFUNCTION("""COMPUTED_VALUE"""),"BLK 2 LOT 51")</f>
        <v>BLK 2 LOT 51</v>
      </c>
      <c r="M2275" s="1" t="str">
        <f>IFERROR(__xludf.DUMMYFUNCTION("""COMPUTED_VALUE"""),"G DE JESUS RD")</f>
        <v>G DE JESUS RD</v>
      </c>
      <c r="N2275" s="1"/>
      <c r="O2275" s="1" t="str">
        <f>IFERROR(__xludf.DUMMYFUNCTION("""COMPUTED_VALUE"""),"GREGORIA DE JESUS")</f>
        <v>GREGORIA DE JESUS</v>
      </c>
      <c r="P2275" s="1" t="str">
        <f>IFERROR(__xludf.DUMMYFUNCTION("""COMPUTED_VALUE"""),"GEN MARIANO ALVAREZ")</f>
        <v>GEN MARIANO ALVAREZ</v>
      </c>
      <c r="Q2275" s="1" t="str">
        <f>IFERROR(__xludf.DUMMYFUNCTION("""COMPUTED_VALUE"""),"CAVITE")</f>
        <v>CAVITE</v>
      </c>
      <c r="R2275" s="1" t="str">
        <f>IFERROR(__xludf.DUMMYFUNCTION("""COMPUTED_VALUE"""),"FIBR UNLI ALL PLAN 2499")</f>
        <v>FIBR UNLI ALL PLAN 2499</v>
      </c>
      <c r="S2275" s="1" t="str">
        <f>IFERROR(__xludf.DUMMYFUNCTION("""COMPUTED_VALUE"""),"APPROVED")</f>
        <v>APPROVED</v>
      </c>
      <c r="T2275" s="1" t="str">
        <f>IFERROR(__xludf.DUMMYFUNCTION("""COMPUTED_VALUE"""),"#N/A")</f>
        <v>#N/A</v>
      </c>
      <c r="U2275" s="1" t="str">
        <f>IFERROR(__xludf.DUMMYFUNCTION("""COMPUTED_VALUE"""),"POSTED")</f>
        <v>POSTED</v>
      </c>
      <c r="V2275" s="1"/>
      <c r="W2275" s="1"/>
    </row>
    <row r="2276" customHeight="1" spans="1:23">
      <c r="A2276" s="3">
        <f>IFERROR(__xludf.DUMMYFUNCTION("""COMPUTED_VALUE"""),46200)</f>
        <v>46200</v>
      </c>
      <c r="B2276" s="1" t="str">
        <f>IFERROR(__xludf.DUMMYFUNCTION("""COMPUTED_VALUE"""),"FRANCISCO , ROSELYN")</f>
        <v>FRANCISCO , ROSELYN</v>
      </c>
      <c r="C2276" s="1" t="str">
        <f>IFERROR(__xludf.DUMMYFUNCTION("""COMPUTED_VALUE"""),"ORGANIC")</f>
        <v>ORGANIC</v>
      </c>
      <c r="D2276" s="1" t="str">
        <f>IFERROR(__xludf.DUMMYFUNCTION("""COMPUTED_VALUE"""),"REMOLLO LEA")</f>
        <v>REMOLLO LEA</v>
      </c>
      <c r="E2276" s="1" t="str">
        <f>IFERROR(__xludf.DUMMYFUNCTION("""COMPUTED_VALUE"""),"PLDT / ONLINE")</f>
        <v>PLDT / ONLINE</v>
      </c>
      <c r="F2276" s="1">
        <f>IFERROR(__xludf.DUMMYFUNCTION("""COMPUTED_VALUE"""),2310528456)</f>
        <v>2310528456</v>
      </c>
      <c r="G2276" s="1">
        <f>IFERROR(__xludf.DUMMYFUNCTION("""COMPUTED_VALUE"""),460259985004)</f>
        <v>460259985004</v>
      </c>
      <c r="H2276" s="1" t="str">
        <f>IFERROR(__xludf.DUMMYFUNCTION("""COMPUTED_VALUE"""),"RABELLA ALTHEA PARADERO PERGIS")</f>
        <v>RABELLA ALTHEA PARADERO PERGIS</v>
      </c>
      <c r="I2276" s="1">
        <f>IFERROR(__xludf.DUMMYFUNCTION("""COMPUTED_VALUE"""),9064154229)</f>
        <v>9064154229</v>
      </c>
      <c r="J2276" s="1">
        <f>IFERROR(__xludf.DUMMYFUNCTION("""COMPUTED_VALUE"""),9611609609)</f>
        <v>9611609609</v>
      </c>
      <c r="K2276" s="1" t="str">
        <f>IFERROR(__xludf.DUMMYFUNCTION("""COMPUTED_VALUE"""),"altheapergis@gmail.com")</f>
        <v>altheapergis@gmail.com</v>
      </c>
      <c r="L2276" s="1" t="str">
        <f>IFERROR(__xludf.DUMMYFUNCTION("""COMPUTED_VALUE"""),"BLK 8 LOT 35")</f>
        <v>BLK 8 LOT 35</v>
      </c>
      <c r="M2276" s="1" t="str">
        <f>IFERROR(__xludf.DUMMYFUNCTION("""COMPUTED_VALUE"""),"NAZARETH ST")</f>
        <v>NAZARETH ST</v>
      </c>
      <c r="N2276" s="1" t="str">
        <f>IFERROR(__xludf.DUMMYFUNCTION("""COMPUTED_VALUE"""),"TOWN AND COUNTRY PHASE 1 / PERGIS APARTMENT UNIT 2")</f>
        <v>TOWN AND COUNTRY PHASE 1 / PERGIS APARTMENT UNIT 2</v>
      </c>
      <c r="O2276" s="1" t="str">
        <f>IFERROR(__xludf.DUMMYFUNCTION("""COMPUTED_VALUE"""),"BUROL I")</f>
        <v>BUROL I</v>
      </c>
      <c r="P2276" s="1" t="str">
        <f>IFERROR(__xludf.DUMMYFUNCTION("""COMPUTED_VALUE"""),"DASMARINAS")</f>
        <v>DASMARINAS</v>
      </c>
      <c r="Q2276" s="1" t="str">
        <f>IFERROR(__xludf.DUMMYFUNCTION("""COMPUTED_VALUE"""),"CAVITE")</f>
        <v>CAVITE</v>
      </c>
      <c r="R2276" s="1" t="str">
        <f>IFERROR(__xludf.DUMMYFUNCTION("""COMPUTED_VALUE"""),"FIBR UNLI ALL PLAN 1399")</f>
        <v>FIBR UNLI ALL PLAN 1399</v>
      </c>
      <c r="S2276" s="1" t="str">
        <f>IFERROR(__xludf.DUMMYFUNCTION("""COMPUTED_VALUE"""),"APPROVED")</f>
        <v>APPROVED</v>
      </c>
      <c r="T2276" s="1" t="str">
        <f>IFERROR(__xludf.DUMMYFUNCTION("""COMPUTED_VALUE"""),"#N/A")</f>
        <v>#N/A</v>
      </c>
      <c r="U2276" s="1" t="str">
        <f>IFERROR(__xludf.DUMMYFUNCTION("""COMPUTED_VALUE"""),"POSTED")</f>
        <v>POSTED</v>
      </c>
      <c r="V2276" s="1"/>
      <c r="W2276" s="1"/>
    </row>
    <row r="2277" customHeight="1" spans="1:23">
      <c r="A2277" s="3">
        <f>IFERROR(__xludf.DUMMYFUNCTION("""COMPUTED_VALUE"""),46200)</f>
        <v>46200</v>
      </c>
      <c r="B2277" s="1" t="str">
        <f>IFERROR(__xludf.DUMMYFUNCTION("""COMPUTED_VALUE"""),"FRANCISCO , ROSELYN")</f>
        <v>FRANCISCO , ROSELYN</v>
      </c>
      <c r="C2277" s="1" t="str">
        <f>IFERROR(__xludf.DUMMYFUNCTION("""COMPUTED_VALUE"""),"ORGANIC")</f>
        <v>ORGANIC</v>
      </c>
      <c r="D2277" s="1" t="str">
        <f>IFERROR(__xludf.DUMMYFUNCTION("""COMPUTED_VALUE"""),"REMOLLO LEA")</f>
        <v>REMOLLO LEA</v>
      </c>
      <c r="E2277" s="1" t="str">
        <f>IFERROR(__xludf.DUMMYFUNCTION("""COMPUTED_VALUE"""),"PLDT / H2H")</f>
        <v>PLDT / H2H</v>
      </c>
      <c r="F2277" s="1">
        <f>IFERROR(__xludf.DUMMYFUNCTION("""COMPUTED_VALUE"""),2310530455)</f>
        <v>2310530455</v>
      </c>
      <c r="G2277" s="1">
        <f>IFERROR(__xludf.DUMMYFUNCTION("""COMPUTED_VALUE"""),460263021004)</f>
        <v>460263021004</v>
      </c>
      <c r="H2277" s="1" t="str">
        <f>IFERROR(__xludf.DUMMYFUNCTION("""COMPUTED_VALUE"""),"AEROSS VINCENT DELA TORRE CREENCIA")</f>
        <v>AEROSS VINCENT DELA TORRE CREENCIA</v>
      </c>
      <c r="I2277" s="1">
        <f>IFERROR(__xludf.DUMMYFUNCTION("""COMPUTED_VALUE"""),9334776653)</f>
        <v>9334776653</v>
      </c>
      <c r="J2277" s="1">
        <f>IFERROR(__xludf.DUMMYFUNCTION("""COMPUTED_VALUE"""),9663010715)</f>
        <v>9663010715</v>
      </c>
      <c r="K2277" s="1" t="str">
        <f>IFERROR(__xludf.DUMMYFUNCTION("""COMPUTED_VALUE"""),"aerosscreencia07@gmail.com")</f>
        <v>aerosscreencia07@gmail.com</v>
      </c>
      <c r="L2277" s="1" t="str">
        <f>IFERROR(__xludf.DUMMYFUNCTION("""COMPUTED_VALUE"""),"274B")</f>
        <v>274B</v>
      </c>
      <c r="M2277" s="1" t="str">
        <f>IFERROR(__xludf.DUMMYFUNCTION("""COMPUTED_VALUE"""),"VIRATA")</f>
        <v>VIRATA</v>
      </c>
      <c r="N2277" s="1"/>
      <c r="O2277" s="1" t="str">
        <f>IFERROR(__xludf.DUMMYFUNCTION("""COMPUTED_VALUE"""),"PAJO")</f>
        <v>PAJO</v>
      </c>
      <c r="P2277" s="1" t="str">
        <f>IFERROR(__xludf.DUMMYFUNCTION("""COMPUTED_VALUE"""),"ALFONSO")</f>
        <v>ALFONSO</v>
      </c>
      <c r="Q2277" s="1" t="str">
        <f>IFERROR(__xludf.DUMMYFUNCTION("""COMPUTED_VALUE"""),"CAVITE")</f>
        <v>CAVITE</v>
      </c>
      <c r="R2277" s="1" t="str">
        <f>IFERROR(__xludf.DUMMYFUNCTION("""COMPUTED_VALUE"""),"FIBR UNLI ALL PLAN 1399")</f>
        <v>FIBR UNLI ALL PLAN 1399</v>
      </c>
      <c r="S2277" s="1" t="str">
        <f>IFERROR(__xludf.DUMMYFUNCTION("""COMPUTED_VALUE"""),"APPROVED")</f>
        <v>APPROVED</v>
      </c>
      <c r="T2277" s="1" t="str">
        <f>IFERROR(__xludf.DUMMYFUNCTION("""COMPUTED_VALUE"""),"#N/A")</f>
        <v>#N/A</v>
      </c>
      <c r="U2277" s="1" t="str">
        <f>IFERROR(__xludf.DUMMYFUNCTION("""COMPUTED_VALUE"""),"POSTED")</f>
        <v>POSTED</v>
      </c>
      <c r="V2277" s="1"/>
      <c r="W2277" s="1"/>
    </row>
    <row r="2278" customHeight="1" spans="1:23">
      <c r="A2278" s="3">
        <f>IFERROR(__xludf.DUMMYFUNCTION("""COMPUTED_VALUE"""),46200)</f>
        <v>46200</v>
      </c>
      <c r="B2278" s="1" t="str">
        <f>IFERROR(__xludf.DUMMYFUNCTION("""COMPUTED_VALUE"""),"RIVERA, AIRIZH JOY")</f>
        <v>RIVERA, AIRIZH JOY</v>
      </c>
      <c r="C2278" s="1" t="str">
        <f>IFERROR(__xludf.DUMMYFUNCTION("""COMPUTED_VALUE"""),"ORGANIC")</f>
        <v>ORGANIC</v>
      </c>
      <c r="D2278" s="1" t="str">
        <f>IFERROR(__xludf.DUMMYFUNCTION("""COMPUTED_VALUE"""),"REMOLLO LEA")</f>
        <v>REMOLLO LEA</v>
      </c>
      <c r="E2278" s="1" t="str">
        <f>IFERROR(__xludf.DUMMYFUNCTION("""COMPUTED_VALUE"""),"PLDT / H2H")</f>
        <v>PLDT / H2H</v>
      </c>
      <c r="F2278" s="1">
        <f>IFERROR(__xludf.DUMMYFUNCTION("""COMPUTED_VALUE"""),2310531133)</f>
        <v>2310531133</v>
      </c>
      <c r="G2278" s="1">
        <f>IFERROR(__xludf.DUMMYFUNCTION("""COMPUTED_VALUE"""),460264754004)</f>
        <v>460264754004</v>
      </c>
      <c r="H2278" s="1" t="str">
        <f>IFERROR(__xludf.DUMMYFUNCTION("""COMPUTED_VALUE"""),"SALOME PERIL HERMINO")</f>
        <v>SALOME PERIL HERMINO</v>
      </c>
      <c r="I2278" s="1">
        <f>IFERROR(__xludf.DUMMYFUNCTION("""COMPUTED_VALUE"""),9360541324)</f>
        <v>9360541324</v>
      </c>
      <c r="J2278" s="1">
        <f>IFERROR(__xludf.DUMMYFUNCTION("""COMPUTED_VALUE"""),9360541324)</f>
        <v>9360541324</v>
      </c>
      <c r="K2278" s="1" t="str">
        <f>IFERROR(__xludf.DUMMYFUNCTION("""COMPUTED_VALUE"""),"airenepel7@gmail.com")</f>
        <v>airenepel7@gmail.com</v>
      </c>
      <c r="L2278" s="1" t="str">
        <f>IFERROR(__xludf.DUMMYFUNCTION("""COMPUTED_VALUE"""),"89")</f>
        <v>89</v>
      </c>
      <c r="M2278" s="1" t="str">
        <f>IFERROR(__xludf.DUMMYFUNCTION("""COMPUTED_VALUE"""),"VIRATA")</f>
        <v>VIRATA</v>
      </c>
      <c r="N2278" s="1"/>
      <c r="O2278" s="1" t="str">
        <f>IFERROR(__xludf.DUMMYFUNCTION("""COMPUTED_VALUE"""),"PAJO")</f>
        <v>PAJO</v>
      </c>
      <c r="P2278" s="1" t="str">
        <f>IFERROR(__xludf.DUMMYFUNCTION("""COMPUTED_VALUE"""),"ALFONSO")</f>
        <v>ALFONSO</v>
      </c>
      <c r="Q2278" s="1" t="str">
        <f>IFERROR(__xludf.DUMMYFUNCTION("""COMPUTED_VALUE"""),"CAVITE")</f>
        <v>CAVITE</v>
      </c>
      <c r="R2278" s="1" t="str">
        <f>IFERROR(__xludf.DUMMYFUNCTION("""COMPUTED_VALUE"""),"FIBR UNLI ALL PLAN 999")</f>
        <v>FIBR UNLI ALL PLAN 999</v>
      </c>
      <c r="S2278" s="1" t="str">
        <f>IFERROR(__xludf.DUMMYFUNCTION("""COMPUTED_VALUE"""),"APPROVED")</f>
        <v>APPROVED</v>
      </c>
      <c r="T2278" s="1" t="str">
        <f>IFERROR(__xludf.DUMMYFUNCTION("""COMPUTED_VALUE"""),"#N/A")</f>
        <v>#N/A</v>
      </c>
      <c r="U2278" s="1"/>
      <c r="V2278" s="1"/>
      <c r="W2278" s="1"/>
    </row>
    <row r="2279" customHeight="1" spans="1:23">
      <c r="A2279" s="3">
        <f>IFERROR(__xludf.DUMMYFUNCTION("""COMPUTED_VALUE"""),46200)</f>
        <v>46200</v>
      </c>
      <c r="B2279" s="1" t="str">
        <f>IFERROR(__xludf.DUMMYFUNCTION("""COMPUTED_VALUE"""),"FRANCISCO , ROSELYN")</f>
        <v>FRANCISCO , ROSELYN</v>
      </c>
      <c r="C2279" s="1" t="str">
        <f>IFERROR(__xludf.DUMMYFUNCTION("""COMPUTED_VALUE"""),"ORGANIC")</f>
        <v>ORGANIC</v>
      </c>
      <c r="D2279" s="1" t="str">
        <f>IFERROR(__xludf.DUMMYFUNCTION("""COMPUTED_VALUE"""),"REMOLLO LEA")</f>
        <v>REMOLLO LEA</v>
      </c>
      <c r="E2279" s="1" t="str">
        <f>IFERROR(__xludf.DUMMYFUNCTION("""COMPUTED_VALUE"""),"PLDT / H2H")</f>
        <v>PLDT / H2H</v>
      </c>
      <c r="F2279" s="1">
        <f>IFERROR(__xludf.DUMMYFUNCTION("""COMPUTED_VALUE"""),2310530644)</f>
        <v>2310530644</v>
      </c>
      <c r="G2279" s="1">
        <f>IFERROR(__xludf.DUMMYFUNCTION("""COMPUTED_VALUE"""),460522109004)</f>
        <v>460522109004</v>
      </c>
      <c r="H2279" s="1" t="str">
        <f>IFERROR(__xludf.DUMMYFUNCTION("""COMPUTED_VALUE"""),"KRISTINE JOY PEL SALONGA")</f>
        <v>KRISTINE JOY PEL SALONGA</v>
      </c>
      <c r="I2279" s="1">
        <f>IFERROR(__xludf.DUMMYFUNCTION("""COMPUTED_VALUE"""),9507402699)</f>
        <v>9507402699</v>
      </c>
      <c r="J2279" s="1"/>
      <c r="K2279" s="1" t="str">
        <f>IFERROR(__xludf.DUMMYFUNCTION("""COMPUTED_VALUE"""),"pelkristine8@gmail.com")</f>
        <v>pelkristine8@gmail.com</v>
      </c>
      <c r="L2279" s="1" t="str">
        <f>IFERROR(__xludf.DUMMYFUNCTION("""COMPUTED_VALUE"""),"312")</f>
        <v>312</v>
      </c>
      <c r="M2279" s="1" t="str">
        <f>IFERROR(__xludf.DUMMYFUNCTION("""COMPUTED_VALUE"""),"CALLE ONCE")</f>
        <v>CALLE ONCE</v>
      </c>
      <c r="N2279" s="1"/>
      <c r="O2279" s="1" t="str">
        <f>IFERROR(__xludf.DUMMYFUNCTION("""COMPUTED_VALUE"""),"PAJO")</f>
        <v>PAJO</v>
      </c>
      <c r="P2279" s="1" t="str">
        <f>IFERROR(__xludf.DUMMYFUNCTION("""COMPUTED_VALUE"""),"ALFONSO")</f>
        <v>ALFONSO</v>
      </c>
      <c r="Q2279" s="1" t="str">
        <f>IFERROR(__xludf.DUMMYFUNCTION("""COMPUTED_VALUE"""),"CAVITE")</f>
        <v>CAVITE</v>
      </c>
      <c r="R2279" s="1" t="str">
        <f>IFERROR(__xludf.DUMMYFUNCTION("""COMPUTED_VALUE"""),"FIBR UNLI ALL PLAN 1399")</f>
        <v>FIBR UNLI ALL PLAN 1399</v>
      </c>
      <c r="S2279" s="1" t="str">
        <f>IFERROR(__xludf.DUMMYFUNCTION("""COMPUTED_VALUE"""),"APPROVED")</f>
        <v>APPROVED</v>
      </c>
      <c r="T2279" s="1" t="str">
        <f>IFERROR(__xludf.DUMMYFUNCTION("""COMPUTED_VALUE"""),"#N/A")</f>
        <v>#N/A</v>
      </c>
      <c r="U2279" s="1" t="str">
        <f>IFERROR(__xludf.DUMMYFUNCTION("""COMPUTED_VALUE"""),"PAID VIA GCASH JUNE 29")</f>
        <v>PAID VIA GCASH JUNE 29</v>
      </c>
      <c r="V2279" s="1"/>
      <c r="W2279" s="1"/>
    </row>
    <row r="2280" customHeight="1" spans="1:23">
      <c r="A2280" s="3">
        <f>IFERROR(__xludf.DUMMYFUNCTION("""COMPUTED_VALUE"""),46200)</f>
        <v>46200</v>
      </c>
      <c r="B2280" s="1" t="str">
        <f>IFERROR(__xludf.DUMMYFUNCTION("""COMPUTED_VALUE"""),"FRANCISCO , ROSELYN")</f>
        <v>FRANCISCO , ROSELYN</v>
      </c>
      <c r="C2280" s="1" t="str">
        <f>IFERROR(__xludf.DUMMYFUNCTION("""COMPUTED_VALUE"""),"ORGANIC")</f>
        <v>ORGANIC</v>
      </c>
      <c r="D2280" s="1" t="str">
        <f>IFERROR(__xludf.DUMMYFUNCTION("""COMPUTED_VALUE"""),"REMOLLO LEA")</f>
        <v>REMOLLO LEA</v>
      </c>
      <c r="E2280" s="1" t="str">
        <f>IFERROR(__xludf.DUMMYFUNCTION("""COMPUTED_VALUE"""),"PLDT / ONLINE")</f>
        <v>PLDT / ONLINE</v>
      </c>
      <c r="F2280" s="1">
        <f>IFERROR(__xludf.DUMMYFUNCTION("""COMPUTED_VALUE"""),2310531370)</f>
        <v>2310531370</v>
      </c>
      <c r="G2280" s="1">
        <f>IFERROR(__xludf.DUMMYFUNCTION("""COMPUTED_VALUE"""),460277082004)</f>
        <v>460277082004</v>
      </c>
      <c r="H2280" s="1" t="str">
        <f>IFERROR(__xludf.DUMMYFUNCTION("""COMPUTED_VALUE"""),"ALLISON ANTIVO ATILLO")</f>
        <v>ALLISON ANTIVO ATILLO</v>
      </c>
      <c r="I2280" s="1">
        <f>IFERROR(__xludf.DUMMYFUNCTION("""COMPUTED_VALUE"""),9095005477)</f>
        <v>9095005477</v>
      </c>
      <c r="J2280" s="1">
        <f>IFERROR(__xludf.DUMMYFUNCTION("""COMPUTED_VALUE"""),9602903494)</f>
        <v>9602903494</v>
      </c>
      <c r="K2280" s="1" t="str">
        <f>IFERROR(__xludf.DUMMYFUNCTION("""COMPUTED_VALUE"""),"atillo.allison21@gmail.com")</f>
        <v>atillo.allison21@gmail.com</v>
      </c>
      <c r="L2280" s="1" t="str">
        <f>IFERROR(__xludf.DUMMYFUNCTION("""COMPUTED_VALUE"""),"BLK N5 LOT 15")</f>
        <v>BLK N5 LOT 15</v>
      </c>
      <c r="M2280" s="1" t="str">
        <f>IFERROR(__xludf.DUMMYFUNCTION("""COMPUTED_VALUE"""),"EMANNUEL 1 ")</f>
        <v>EMANNUEL 1 </v>
      </c>
      <c r="N2280" s="1"/>
      <c r="O2280" s="1" t="str">
        <f>IFERROR(__xludf.DUMMYFUNCTION("""COMPUTED_VALUE"""),"EMMANUEL BERGADO I")</f>
        <v>EMMANUEL BERGADO I</v>
      </c>
      <c r="P2280" s="1" t="str">
        <f>IFERROR(__xludf.DUMMYFUNCTION("""COMPUTED_VALUE"""),"DASMARINAS")</f>
        <v>DASMARINAS</v>
      </c>
      <c r="Q2280" s="1" t="str">
        <f>IFERROR(__xludf.DUMMYFUNCTION("""COMPUTED_VALUE"""),"CAVITE")</f>
        <v>CAVITE</v>
      </c>
      <c r="R2280" s="1" t="str">
        <f>IFERROR(__xludf.DUMMYFUNCTION("""COMPUTED_VALUE"""),"FIBR UNLI ALL PLAN 1399")</f>
        <v>FIBR UNLI ALL PLAN 1399</v>
      </c>
      <c r="S2280" s="1" t="str">
        <f>IFERROR(__xludf.DUMMYFUNCTION("""COMPUTED_VALUE"""),"APPROVED")</f>
        <v>APPROVED</v>
      </c>
      <c r="T2280" s="1" t="str">
        <f>IFERROR(__xludf.DUMMYFUNCTION("""COMPUTED_VALUE"""),"#N/A")</f>
        <v>#N/A</v>
      </c>
      <c r="U2280" s="1"/>
      <c r="V2280" s="1"/>
      <c r="W2280" s="1"/>
    </row>
    <row r="2281" customHeight="1" spans="1:23">
      <c r="A2281" s="3">
        <f>IFERROR(__xludf.DUMMYFUNCTION("""COMPUTED_VALUE"""),46200)</f>
        <v>46200</v>
      </c>
      <c r="B2281" s="1" t="str">
        <f>IFERROR(__xludf.DUMMYFUNCTION("""COMPUTED_VALUE"""),"GABAY, MANUEL")</f>
        <v>GABAY, MANUEL</v>
      </c>
      <c r="C2281" s="1" t="str">
        <f>IFERROR(__xludf.DUMMYFUNCTION("""COMPUTED_VALUE"""),"FLA")</f>
        <v>FLA</v>
      </c>
      <c r="D2281" s="1" t="str">
        <f>IFERROR(__xludf.DUMMYFUNCTION("""COMPUTED_VALUE"""),"JERIC NAVARRO")</f>
        <v>JERIC NAVARRO</v>
      </c>
      <c r="E2281" s="1" t="str">
        <f>IFERROR(__xludf.DUMMYFUNCTION("""COMPUTED_VALUE"""),"PLDT / H2H")</f>
        <v>PLDT / H2H</v>
      </c>
      <c r="F2281" s="1">
        <f>IFERROR(__xludf.DUMMYFUNCTION("""COMPUTED_VALUE"""),2310532936)</f>
        <v>2310532936</v>
      </c>
      <c r="G2281" s="1">
        <f>IFERROR(__xludf.DUMMYFUNCTION("""COMPUTED_VALUE"""),460266395004)</f>
        <v>460266395004</v>
      </c>
      <c r="H2281" s="1" t="str">
        <f>IFERROR(__xludf.DUMMYFUNCTION("""COMPUTED_VALUE"""),"AIZA GOPOLE GUARINO")</f>
        <v>AIZA GOPOLE GUARINO</v>
      </c>
      <c r="I2281" s="1">
        <f>IFERROR(__xludf.DUMMYFUNCTION("""COMPUTED_VALUE"""),9512207934)</f>
        <v>9512207934</v>
      </c>
      <c r="J2281" s="1">
        <f>IFERROR(__xludf.DUMMYFUNCTION("""COMPUTED_VALUE"""),9194497657)</f>
        <v>9194497657</v>
      </c>
      <c r="K2281" s="1" t="str">
        <f>IFERROR(__xludf.DUMMYFUNCTION("""COMPUTED_VALUE"""),"gopoaiza155@gmail.com")</f>
        <v>gopoaiza155@gmail.com</v>
      </c>
      <c r="L2281" s="1" t="str">
        <f>IFERROR(__xludf.DUMMYFUNCTION("""COMPUTED_VALUE"""),"9139B")</f>
        <v>9139B</v>
      </c>
      <c r="M2281" s="1" t="str">
        <f>IFERROR(__xludf.DUMMYFUNCTION("""COMPUTED_VALUE"""),"PAYAPA SUBD RD")</f>
        <v>PAYAPA SUBD RD</v>
      </c>
      <c r="N2281" s="1" t="str">
        <f>IFERROR(__xludf.DUMMYFUNCTION("""COMPUTED_VALUE"""),"PAYAPA SUBDIVISION")</f>
        <v>PAYAPA SUBDIVISION</v>
      </c>
      <c r="O2281" s="1" t="str">
        <f>IFERROR(__xludf.DUMMYFUNCTION("""COMPUTED_VALUE"""),"GALICIA III")</f>
        <v>GALICIA III</v>
      </c>
      <c r="P2281" s="1" t="str">
        <f>IFERROR(__xludf.DUMMYFUNCTION("""COMPUTED_VALUE"""),"MENDEZ")</f>
        <v>MENDEZ</v>
      </c>
      <c r="Q2281" s="1" t="str">
        <f>IFERROR(__xludf.DUMMYFUNCTION("""COMPUTED_VALUE"""),"CAVITE")</f>
        <v>CAVITE</v>
      </c>
      <c r="R2281" s="1" t="str">
        <f>IFERROR(__xludf.DUMMYFUNCTION("""COMPUTED_VALUE"""),"FIBR UNLI ALL PLAN 999")</f>
        <v>FIBR UNLI ALL PLAN 999</v>
      </c>
      <c r="S2281" s="1" t="str">
        <f>IFERROR(__xludf.DUMMYFUNCTION("""COMPUTED_VALUE"""),"APPROVED")</f>
        <v>APPROVED</v>
      </c>
      <c r="T2281" s="1" t="str">
        <f>IFERROR(__xludf.DUMMYFUNCTION("""COMPUTED_VALUE"""),"#N/A")</f>
        <v>#N/A</v>
      </c>
      <c r="U2281" s="1"/>
      <c r="V2281" s="1"/>
      <c r="W2281" s="1"/>
    </row>
    <row r="2282" customHeight="1" spans="1:23">
      <c r="A2282" s="3">
        <f>IFERROR(__xludf.DUMMYFUNCTION("""COMPUTED_VALUE"""),46200)</f>
        <v>46200</v>
      </c>
      <c r="B2282" s="1" t="str">
        <f>IFERROR(__xludf.DUMMYFUNCTION("""COMPUTED_VALUE"""),"GABAY, MANUEL")</f>
        <v>GABAY, MANUEL</v>
      </c>
      <c r="C2282" s="1" t="str">
        <f>IFERROR(__xludf.DUMMYFUNCTION("""COMPUTED_VALUE"""),"FLA")</f>
        <v>FLA</v>
      </c>
      <c r="D2282" s="1" t="str">
        <f>IFERROR(__xludf.DUMMYFUNCTION("""COMPUTED_VALUE"""),"JERIC NAVARRO")</f>
        <v>JERIC NAVARRO</v>
      </c>
      <c r="E2282" s="1" t="str">
        <f>IFERROR(__xludf.DUMMYFUNCTION("""COMPUTED_VALUE"""),"PLDT / ONLINE")</f>
        <v>PLDT / ONLINE</v>
      </c>
      <c r="F2282" s="1">
        <f>IFERROR(__xludf.DUMMYFUNCTION("""COMPUTED_VALUE"""),2310533557)</f>
        <v>2310533557</v>
      </c>
      <c r="G2282" s="1">
        <f>IFERROR(__xludf.DUMMYFUNCTION("""COMPUTED_VALUE"""),460266710004)</f>
        <v>460266710004</v>
      </c>
      <c r="H2282" s="1" t="str">
        <f>IFERROR(__xludf.DUMMYFUNCTION("""COMPUTED_VALUE"""),"JERLENE TUBANG SABRINE")</f>
        <v>JERLENE TUBANG SABRINE</v>
      </c>
      <c r="I2282" s="1">
        <f>IFERROR(__xludf.DUMMYFUNCTION("""COMPUTED_VALUE"""),9694758584)</f>
        <v>9694758584</v>
      </c>
      <c r="J2282" s="1"/>
      <c r="K2282" s="1" t="str">
        <f>IFERROR(__xludf.DUMMYFUNCTION("""COMPUTED_VALUE"""),"jerlenesabrine11@gmail.com")</f>
        <v>jerlenesabrine11@gmail.com</v>
      </c>
      <c r="L2282" s="1" t="str">
        <f>IFERROR(__xludf.DUMMYFUNCTION("""COMPUTED_VALUE"""),"BLK 15 LOT 29")</f>
        <v>BLK 15 LOT 29</v>
      </c>
      <c r="M2282" s="1" t="str">
        <f>IFERROR(__xludf.DUMMYFUNCTION("""COMPUTED_VALUE"""),"GRANT ST")</f>
        <v>GRANT ST</v>
      </c>
      <c r="N2282" s="1" t="str">
        <f>IFERROR(__xludf.DUMMYFUNCTION("""COMPUTED_VALUE"""),"ROYALE TAGAYTAY ESTATES")</f>
        <v>ROYALE TAGAYTAY ESTATES</v>
      </c>
      <c r="O2282" s="1" t="str">
        <f>IFERROR(__xludf.DUMMYFUNCTION("""COMPUTED_VALUE"""),"UPLI")</f>
        <v>UPLI</v>
      </c>
      <c r="P2282" s="1" t="str">
        <f>IFERROR(__xludf.DUMMYFUNCTION("""COMPUTED_VALUE"""),"ALFONSO")</f>
        <v>ALFONSO</v>
      </c>
      <c r="Q2282" s="1" t="str">
        <f>IFERROR(__xludf.DUMMYFUNCTION("""COMPUTED_VALUE"""),"CAVITE")</f>
        <v>CAVITE</v>
      </c>
      <c r="R2282" s="1" t="str">
        <f>IFERROR(__xludf.DUMMYFUNCTION("""COMPUTED_VALUE"""),"FIBR UNLI ALL PLAN 2499")</f>
        <v>FIBR UNLI ALL PLAN 2499</v>
      </c>
      <c r="S2282" s="1" t="str">
        <f>IFERROR(__xludf.DUMMYFUNCTION("""COMPUTED_VALUE"""),"APPROVED")</f>
        <v>APPROVED</v>
      </c>
      <c r="T2282" s="1" t="str">
        <f>IFERROR(__xludf.DUMMYFUNCTION("""COMPUTED_VALUE"""),"#N/A")</f>
        <v>#N/A</v>
      </c>
      <c r="U2282" s="1"/>
      <c r="V2282" s="1"/>
      <c r="W2282" s="1"/>
    </row>
    <row r="2283" customHeight="1" spans="1:23">
      <c r="A2283" s="3">
        <f>IFERROR(__xludf.DUMMYFUNCTION("""COMPUTED_VALUE"""),46200)</f>
        <v>46200</v>
      </c>
      <c r="B2283" s="1" t="str">
        <f>IFERROR(__xludf.DUMMYFUNCTION("""COMPUTED_VALUE"""),"MALIWAT MARK ELVIN")</f>
        <v>MALIWAT MARK ELVIN</v>
      </c>
      <c r="C2283" s="1" t="str">
        <f>IFERROR(__xludf.DUMMYFUNCTION("""COMPUTED_VALUE"""),"FLA")</f>
        <v>FLA</v>
      </c>
      <c r="D2283" s="1" t="str">
        <f>IFERROR(__xludf.DUMMYFUNCTION("""COMPUTED_VALUE"""),"JERIC NAVARRO")</f>
        <v>JERIC NAVARRO</v>
      </c>
      <c r="E2283" s="1" t="str">
        <f>IFERROR(__xludf.DUMMYFUNCTION("""COMPUTED_VALUE"""),"PLDT / ONLINE")</f>
        <v>PLDT / ONLINE</v>
      </c>
      <c r="F2283" s="1">
        <f>IFERROR(__xludf.DUMMYFUNCTION("""COMPUTED_VALUE"""),2310533982)</f>
        <v>2310533982</v>
      </c>
      <c r="G2283" s="1"/>
      <c r="H2283" s="1" t="str">
        <f>IFERROR(__xludf.DUMMYFUNCTION("""COMPUTED_VALUE"""),"CHARISH JOY BATUIGAS PADASAS")</f>
        <v>CHARISH JOY BATUIGAS PADASAS</v>
      </c>
      <c r="I2283" s="1">
        <f>IFERROR(__xludf.DUMMYFUNCTION("""COMPUTED_VALUE"""),9214088088)</f>
        <v>9214088088</v>
      </c>
      <c r="J2283" s="1"/>
      <c r="K2283" s="1" t="str">
        <f>IFERROR(__xludf.DUMMYFUNCTION("""COMPUTED_VALUE"""),"arnold.aguilar2011@yahoo.com")</f>
        <v>arnold.aguilar2011@yahoo.com</v>
      </c>
      <c r="L2283" s="1" t="str">
        <f>IFERROR(__xludf.DUMMYFUNCTION("""COMPUTED_VALUE"""),"BLK 22 LOT 7")</f>
        <v>BLK 22 LOT 7</v>
      </c>
      <c r="M2283" s="1" t="str">
        <f>IFERROR(__xludf.DUMMYFUNCTION("""COMPUTED_VALUE"""),"WEST AVE")</f>
        <v>WEST AVE</v>
      </c>
      <c r="N2283" s="1" t="str">
        <f>IFERROR(__xludf.DUMMYFUNCTION("""COMPUTED_VALUE"""),"ANYANA VILLAGE")</f>
        <v>ANYANA VILLAGE</v>
      </c>
      <c r="O2283" s="1" t="str">
        <f>IFERROR(__xludf.DUMMYFUNCTION("""COMPUTED_VALUE"""),"SANJA MAYOR")</f>
        <v>SANJA MAYOR</v>
      </c>
      <c r="P2283" s="1" t="str">
        <f>IFERROR(__xludf.DUMMYFUNCTION("""COMPUTED_VALUE"""),"TANZA")</f>
        <v>TANZA</v>
      </c>
      <c r="Q2283" s="1" t="str">
        <f>IFERROR(__xludf.DUMMYFUNCTION("""COMPUTED_VALUE"""),"CAVITE")</f>
        <v>CAVITE</v>
      </c>
      <c r="R2283" s="1" t="str">
        <f>IFERROR(__xludf.DUMMYFUNCTION("""COMPUTED_VALUE"""),"FIBR NETFLIX PLAN 1599")</f>
        <v>FIBR NETFLIX PLAN 1599</v>
      </c>
      <c r="S2283" s="1" t="str">
        <f>IFERROR(__xludf.DUMMYFUNCTION("""COMPUTED_VALUE"""),"APPROVED")</f>
        <v>APPROVED</v>
      </c>
      <c r="T2283" s="1" t="str">
        <f>IFERROR(__xludf.DUMMYFUNCTION("""COMPUTED_VALUE"""),"#N/A")</f>
        <v>#N/A</v>
      </c>
      <c r="U2283" s="1" t="str">
        <f>IFERROR(__xludf.DUMMYFUNCTION("""COMPUTED_VALUE"""),"POSTED")</f>
        <v>POSTED</v>
      </c>
      <c r="V2283" s="1"/>
      <c r="W2283" s="1"/>
    </row>
    <row r="2284" customHeight="1" spans="1:23">
      <c r="A2284" s="3">
        <f>IFERROR(__xludf.DUMMYFUNCTION("""COMPUTED_VALUE"""),46200)</f>
        <v>46200</v>
      </c>
      <c r="B2284" s="1" t="str">
        <f>IFERROR(__xludf.DUMMYFUNCTION("""COMPUTED_VALUE"""),"AYON MANUEL")</f>
        <v>AYON MANUEL</v>
      </c>
      <c r="C2284" s="1" t="str">
        <f>IFERROR(__xludf.DUMMYFUNCTION("""COMPUTED_VALUE"""),"FLA")</f>
        <v>FLA</v>
      </c>
      <c r="D2284" s="1" t="str">
        <f>IFERROR(__xludf.DUMMYFUNCTION("""COMPUTED_VALUE"""),"JERIC NAVARRO")</f>
        <v>JERIC NAVARRO</v>
      </c>
      <c r="E2284" s="1" t="str">
        <f>IFERROR(__xludf.DUMMYFUNCTION("""COMPUTED_VALUE"""),"PLDT / ONLINE")</f>
        <v>PLDT / ONLINE</v>
      </c>
      <c r="F2284" s="1">
        <f>IFERROR(__xludf.DUMMYFUNCTION("""COMPUTED_VALUE"""),2310534545)</f>
        <v>2310534545</v>
      </c>
      <c r="G2284" s="1"/>
      <c r="H2284" s="1" t="str">
        <f>IFERROR(__xludf.DUMMYFUNCTION("""COMPUTED_VALUE""")," LILIBETH VARGAS FETIZANAN")</f>
        <v> LILIBETH VARGAS FETIZANAN</v>
      </c>
      <c r="I2284" s="1">
        <f>IFERROR(__xludf.DUMMYFUNCTION("""COMPUTED_VALUE"""),9487223349)</f>
        <v>9487223349</v>
      </c>
      <c r="J2284" s="1">
        <f>IFERROR(__xludf.DUMMYFUNCTION("""COMPUTED_VALUE"""),9277420283)</f>
        <v>9277420283</v>
      </c>
      <c r="K2284" s="1" t="str">
        <f>IFERROR(__xludf.DUMMYFUNCTION("""COMPUTED_VALUE"""),"fetizananchay@gmail.com")</f>
        <v>fetizananchay@gmail.com</v>
      </c>
      <c r="L2284" s="1" t="str">
        <f>IFERROR(__xludf.DUMMYFUNCTION("""COMPUTED_VALUE"""),"AREA E BLK 1 LOT 11")</f>
        <v>AREA E BLK 1 LOT 11</v>
      </c>
      <c r="M2284" s="1" t="str">
        <f>IFERROR(__xludf.DUMMYFUNCTION("""COMPUTED_VALUE"""),"AREA E")</f>
        <v>AREA E</v>
      </c>
      <c r="N2284" s="1"/>
      <c r="O2284" s="1" t="str">
        <f>IFERROR(__xludf.DUMMYFUNCTION("""COMPUTED_VALUE"""),"KORONEL JOSE P. ELISES (AREA E)")</f>
        <v>KORONEL JOSE P. ELISES (AREA E)</v>
      </c>
      <c r="P2284" s="1" t="str">
        <f>IFERROR(__xludf.DUMMYFUNCTION("""COMPUTED_VALUE"""),"GEN MARIANO ALVAREZ")</f>
        <v>GEN MARIANO ALVAREZ</v>
      </c>
      <c r="Q2284" s="1" t="str">
        <f>IFERROR(__xludf.DUMMYFUNCTION("""COMPUTED_VALUE"""),"CAVITE")</f>
        <v>CAVITE</v>
      </c>
      <c r="R2284" s="1" t="str">
        <f>IFERROR(__xludf.DUMMYFUNCTION("""COMPUTED_VALUE"""),"FIBR UNLI ALL PLAN 1399")</f>
        <v>FIBR UNLI ALL PLAN 1399</v>
      </c>
      <c r="S2284" s="1" t="str">
        <f>IFERROR(__xludf.DUMMYFUNCTION("""COMPUTED_VALUE"""),"APPROVED")</f>
        <v>APPROVED</v>
      </c>
      <c r="T2284" s="1" t="str">
        <f>IFERROR(__xludf.DUMMYFUNCTION("""COMPUTED_VALUE"""),"#N/A")</f>
        <v>#N/A</v>
      </c>
      <c r="U2284" s="1"/>
      <c r="V2284" s="1"/>
      <c r="W2284" s="1"/>
    </row>
    <row r="2285" customHeight="1" spans="1:23">
      <c r="A2285" s="3">
        <f>IFERROR(__xludf.DUMMYFUNCTION("""COMPUTED_VALUE"""),46200)</f>
        <v>46200</v>
      </c>
      <c r="B2285" s="1" t="str">
        <f>IFERROR(__xludf.DUMMYFUNCTION("""COMPUTED_VALUE"""),"FRONDEZ, JEDREFF")</f>
        <v>FRONDEZ, JEDREFF</v>
      </c>
      <c r="C2285" s="1" t="str">
        <f>IFERROR(__xludf.DUMMYFUNCTION("""COMPUTED_VALUE"""),"ORGANIC")</f>
        <v>ORGANIC</v>
      </c>
      <c r="D2285" s="1" t="str">
        <f>IFERROR(__xludf.DUMMYFUNCTION("""COMPUTED_VALUE"""),"REMOLLO LEA")</f>
        <v>REMOLLO LEA</v>
      </c>
      <c r="E2285" s="1" t="str">
        <f>IFERROR(__xludf.DUMMYFUNCTION("""COMPUTED_VALUE"""),"PLDT / H2H")</f>
        <v>PLDT / H2H</v>
      </c>
      <c r="F2285" s="1">
        <f>IFERROR(__xludf.DUMMYFUNCTION("""COMPUTED_VALUE"""),2310536185)</f>
        <v>2310536185</v>
      </c>
      <c r="G2285" s="1"/>
      <c r="H2285" s="1" t="str">
        <f>IFERROR(__xludf.DUMMYFUNCTION("""COMPUTED_VALUE"""),"JAMES WILLI DELA CRUZ APDUA")</f>
        <v>JAMES WILLI DELA CRUZ APDUA</v>
      </c>
      <c r="I2285" s="1">
        <f>IFERROR(__xludf.DUMMYFUNCTION("""COMPUTED_VALUE"""),9939517704)</f>
        <v>9939517704</v>
      </c>
      <c r="J2285" s="1">
        <f>IFERROR(__xludf.DUMMYFUNCTION("""COMPUTED_VALUE"""),9171504252)</f>
        <v>9171504252</v>
      </c>
      <c r="K2285" s="1" t="str">
        <f>IFERROR(__xludf.DUMMYFUNCTION("""COMPUTED_VALUE"""),"apduajames@gmail.com")</f>
        <v>apduajames@gmail.com</v>
      </c>
      <c r="L2285" s="1" t="str">
        <f>IFERROR(__xludf.DUMMYFUNCTION("""COMPUTED_VALUE"""),"BLK 74 LOT 1")</f>
        <v>BLK 74 LOT 1</v>
      </c>
      <c r="M2285" s="1" t="str">
        <f>IFERROR(__xludf.DUMMYFUNCTION("""COMPUTED_VALUE"""),"ZONE 5")</f>
        <v>ZONE 5</v>
      </c>
      <c r="N2285" s="1"/>
      <c r="O2285" s="1" t="str">
        <f>IFERROR(__xludf.DUMMYFUNCTION("""COMPUTED_VALUE"""),"BULIHAN")</f>
        <v>BULIHAN</v>
      </c>
      <c r="P2285" s="1" t="str">
        <f>IFERROR(__xludf.DUMMYFUNCTION("""COMPUTED_VALUE"""),"SILANG")</f>
        <v>SILANG</v>
      </c>
      <c r="Q2285" s="1" t="str">
        <f>IFERROR(__xludf.DUMMYFUNCTION("""COMPUTED_VALUE"""),"CAVITE")</f>
        <v>CAVITE</v>
      </c>
      <c r="R2285" s="1" t="str">
        <f>IFERROR(__xludf.DUMMYFUNCTION("""COMPUTED_VALUE"""),"FIBR UNLI ALL PLAN 999")</f>
        <v>FIBR UNLI ALL PLAN 999</v>
      </c>
      <c r="S2285" s="1" t="str">
        <f>IFERROR(__xludf.DUMMYFUNCTION("""COMPUTED_VALUE"""),"APPROVED")</f>
        <v>APPROVED</v>
      </c>
      <c r="T2285" s="1" t="str">
        <f>IFERROR(__xludf.DUMMYFUNCTION("""COMPUTED_VALUE"""),"#N/A")</f>
        <v>#N/A</v>
      </c>
      <c r="U2285" s="1" t="str">
        <f>IFERROR(__xludf.DUMMYFUNCTION("""COMPUTED_VALUE"""),"POSTED")</f>
        <v>POSTED</v>
      </c>
      <c r="V2285" s="1"/>
      <c r="W2285" s="1"/>
    </row>
    <row r="2286" customHeight="1" spans="1:23">
      <c r="A2286" s="3">
        <f>IFERROR(__xludf.DUMMYFUNCTION("""COMPUTED_VALUE"""),46200)</f>
        <v>46200</v>
      </c>
      <c r="B2286" s="1" t="str">
        <f>IFERROR(__xludf.DUMMYFUNCTION("""COMPUTED_VALUE"""),"FARO, REFRANTA")</f>
        <v>FARO, REFRANTA</v>
      </c>
      <c r="C2286" s="1" t="str">
        <f>IFERROR(__xludf.DUMMYFUNCTION("""COMPUTED_VALUE"""),"ORGANIC")</f>
        <v>ORGANIC</v>
      </c>
      <c r="D2286" s="1" t="str">
        <f>IFERROR(__xludf.DUMMYFUNCTION("""COMPUTED_VALUE"""),"REMOLLO LEA")</f>
        <v>REMOLLO LEA</v>
      </c>
      <c r="E2286" s="1" t="str">
        <f>IFERROR(__xludf.DUMMYFUNCTION("""COMPUTED_VALUE"""),"PLDT / H2H")</f>
        <v>PLDT / H2H</v>
      </c>
      <c r="F2286" s="1">
        <f>IFERROR(__xludf.DUMMYFUNCTION("""COMPUTED_VALUE"""),2310536468)</f>
        <v>2310536468</v>
      </c>
      <c r="G2286" s="1"/>
      <c r="H2286" s="1" t="str">
        <f>IFERROR(__xludf.DUMMYFUNCTION("""COMPUTED_VALUE"""),"GIAN ROBI GUMBAN APID")</f>
        <v>GIAN ROBI GUMBAN APID</v>
      </c>
      <c r="I2286" s="1">
        <f>IFERROR(__xludf.DUMMYFUNCTION("""COMPUTED_VALUE"""),9991546268)</f>
        <v>9991546268</v>
      </c>
      <c r="J2286" s="1">
        <f>IFERROR(__xludf.DUMMYFUNCTION("""COMPUTED_VALUE"""),9272056811)</f>
        <v>9272056811</v>
      </c>
      <c r="K2286" s="1" t="str">
        <f>IFERROR(__xludf.DUMMYFUNCTION("""COMPUTED_VALUE"""),"gianapid@gmail.com")</f>
        <v>gianapid@gmail.com</v>
      </c>
      <c r="L2286" s="1" t="str">
        <f>IFERROR(__xludf.DUMMYFUNCTION("""COMPUTED_VALUE"""),"BLK 15 LOT 4")</f>
        <v>BLK 15 LOT 4</v>
      </c>
      <c r="M2286" s="1" t="str">
        <f>IFERROR(__xludf.DUMMYFUNCTION("""COMPUTED_VALUE"""),"YAKAL RD")</f>
        <v>YAKAL RD</v>
      </c>
      <c r="N2286" s="1"/>
      <c r="O2286" s="1" t="str">
        <f>IFERROR(__xludf.DUMMYFUNCTION("""COMPUTED_VALUE"""),"YAKAL")</f>
        <v>YAKAL</v>
      </c>
      <c r="P2286" s="1" t="str">
        <f>IFERROR(__xludf.DUMMYFUNCTION("""COMPUTED_VALUE"""),"SILANG")</f>
        <v>SILANG</v>
      </c>
      <c r="Q2286" s="1" t="str">
        <f>IFERROR(__xludf.DUMMYFUNCTION("""COMPUTED_VALUE"""),"CAVITE")</f>
        <v>CAVITE</v>
      </c>
      <c r="R2286" s="1" t="str">
        <f>IFERROR(__xludf.DUMMYFUNCTION("""COMPUTED_VALUE"""),"FIBR NETFLIX PLAN 1599")</f>
        <v>FIBR NETFLIX PLAN 1599</v>
      </c>
      <c r="S2286" s="1" t="str">
        <f>IFERROR(__xludf.DUMMYFUNCTION("""COMPUTED_VALUE"""),"APPROVED")</f>
        <v>APPROVED</v>
      </c>
      <c r="T2286" s="1" t="str">
        <f>IFERROR(__xludf.DUMMYFUNCTION("""COMPUTED_VALUE"""),"#N/A")</f>
        <v>#N/A</v>
      </c>
      <c r="U2286" s="1"/>
      <c r="V2286" s="1"/>
      <c r="W2286" s="1"/>
    </row>
    <row r="2287" customHeight="1" spans="1:23">
      <c r="A2287" s="3">
        <f>IFERROR(__xludf.DUMMYFUNCTION("""COMPUTED_VALUE"""),46201)</f>
        <v>46201</v>
      </c>
      <c r="B2287" s="1" t="str">
        <f>IFERROR(__xludf.DUMMYFUNCTION("""COMPUTED_VALUE"""),"MALIWAT MARK ELVIN")</f>
        <v>MALIWAT MARK ELVIN</v>
      </c>
      <c r="C2287" s="1" t="str">
        <f>IFERROR(__xludf.DUMMYFUNCTION("""COMPUTED_VALUE"""),"FLA")</f>
        <v>FLA</v>
      </c>
      <c r="D2287" s="1" t="str">
        <f>IFERROR(__xludf.DUMMYFUNCTION("""COMPUTED_VALUE"""),"JERIC NAVARRO")</f>
        <v>JERIC NAVARRO</v>
      </c>
      <c r="E2287" s="1" t="str">
        <f>IFERROR(__xludf.DUMMYFUNCTION("""COMPUTED_VALUE"""),"PLDT / ONLINE")</f>
        <v>PLDT / ONLINE</v>
      </c>
      <c r="F2287" s="1">
        <f>IFERROR(__xludf.DUMMYFUNCTION("""COMPUTED_VALUE"""),2310546482)</f>
        <v>2310546482</v>
      </c>
      <c r="G2287" s="1"/>
      <c r="H2287" s="1" t="str">
        <f>IFERROR(__xludf.DUMMYFUNCTION("""COMPUTED_VALUE"""),"MA. MELISSA SALCEDO NAKPIL")</f>
        <v>MA. MELISSA SALCEDO NAKPIL</v>
      </c>
      <c r="I2287" s="1">
        <f>IFERROR(__xludf.DUMMYFUNCTION("""COMPUTED_VALUE"""),9552360050)</f>
        <v>9552360050</v>
      </c>
      <c r="J2287" s="1">
        <f>IFERROR(__xludf.DUMMYFUNCTION("""COMPUTED_VALUE"""),9759284362)</f>
        <v>9759284362</v>
      </c>
      <c r="K2287" s="1" t="str">
        <f>IFERROR(__xludf.DUMMYFUNCTION("""COMPUTED_VALUE"""),"melissa_nakpil@yahoo.com")</f>
        <v>melissa_nakpil@yahoo.com</v>
      </c>
      <c r="L2287" s="1" t="str">
        <f>IFERROR(__xludf.DUMMYFUNCTION("""COMPUTED_VALUE"""),"9014")</f>
        <v>9014</v>
      </c>
      <c r="M2287" s="1" t="str">
        <f>IFERROR(__xludf.DUMMYFUNCTION("""COMPUTED_VALUE"""),"SITIO MATAAS")</f>
        <v>SITIO MATAAS</v>
      </c>
      <c r="N2287" s="1"/>
      <c r="O2287" s="1" t="str">
        <f>IFERROR(__xludf.DUMMYFUNCTION("""COMPUTED_VALUE"""),"LUKSUHIN ILAYA")</f>
        <v>LUKSUHIN ILAYA</v>
      </c>
      <c r="P2287" s="1" t="str">
        <f>IFERROR(__xludf.DUMMYFUNCTION("""COMPUTED_VALUE"""),"ALFONSO")</f>
        <v>ALFONSO</v>
      </c>
      <c r="Q2287" s="1" t="str">
        <f>IFERROR(__xludf.DUMMYFUNCTION("""COMPUTED_VALUE"""),"CAVITE")</f>
        <v>CAVITE</v>
      </c>
      <c r="R2287" s="1" t="str">
        <f>IFERROR(__xludf.DUMMYFUNCTION("""COMPUTED_VALUE"""),"FIBR PLAN 1299")</f>
        <v>FIBR PLAN 1299</v>
      </c>
      <c r="S2287" s="1" t="str">
        <f>IFERROR(__xludf.DUMMYFUNCTION("""COMPUTED_VALUE"""),"APPROVED")</f>
        <v>APPROVED</v>
      </c>
      <c r="T2287" s="1" t="str">
        <f>IFERROR(__xludf.DUMMYFUNCTION("""COMPUTED_VALUE"""),"#N/A")</f>
        <v>#N/A</v>
      </c>
      <c r="U2287" s="1"/>
      <c r="V2287" s="1"/>
      <c r="W2287" s="1"/>
    </row>
    <row r="2288" customHeight="1" spans="1:23">
      <c r="A2288" s="3">
        <f>IFERROR(__xludf.DUMMYFUNCTION("""COMPUTED_VALUE"""),46201)</f>
        <v>46201</v>
      </c>
      <c r="B2288" s="1" t="str">
        <f>IFERROR(__xludf.DUMMYFUNCTION("""COMPUTED_VALUE"""),"GABAY, MANUEL")</f>
        <v>GABAY, MANUEL</v>
      </c>
      <c r="C2288" s="1" t="str">
        <f>IFERROR(__xludf.DUMMYFUNCTION("""COMPUTED_VALUE"""),"FLA")</f>
        <v>FLA</v>
      </c>
      <c r="D2288" s="1" t="str">
        <f>IFERROR(__xludf.DUMMYFUNCTION("""COMPUTED_VALUE"""),"JERIC NAVARRO")</f>
        <v>JERIC NAVARRO</v>
      </c>
      <c r="E2288" s="1" t="str">
        <f>IFERROR(__xludf.DUMMYFUNCTION("""COMPUTED_VALUE"""),"PLDT / ONLINE")</f>
        <v>PLDT / ONLINE</v>
      </c>
      <c r="F2288" s="1">
        <f>IFERROR(__xludf.DUMMYFUNCTION("""COMPUTED_VALUE"""),2310550949)</f>
        <v>2310550949</v>
      </c>
      <c r="G2288" s="1"/>
      <c r="H2288" s="1" t="str">
        <f>IFERROR(__xludf.DUMMYFUNCTION("""COMPUTED_VALUE"""),"FEE-JAY LORILLA MAGDARAOG")</f>
        <v>FEE-JAY LORILLA MAGDARAOG</v>
      </c>
      <c r="I2288" s="1">
        <f>IFERROR(__xludf.DUMMYFUNCTION("""COMPUTED_VALUE"""),9945960803)</f>
        <v>9945960803</v>
      </c>
      <c r="J2288" s="1">
        <f>IFERROR(__xludf.DUMMYFUNCTION("""COMPUTED_VALUE"""),9705279489)</f>
        <v>9705279489</v>
      </c>
      <c r="K2288" s="1" t="str">
        <f>IFERROR(__xludf.DUMMYFUNCTION("""COMPUTED_VALUE"""),"lorillafeejay@gmail.com")</f>
        <v>lorillafeejay@gmail.com</v>
      </c>
      <c r="L2288" s="1" t="str">
        <f>IFERROR(__xludf.DUMMYFUNCTION("""COMPUTED_VALUE"""),"9040")</f>
        <v>9040</v>
      </c>
      <c r="M2288" s="1" t="str">
        <f>IFERROR(__xludf.DUMMYFUNCTION("""COMPUTED_VALUE"""),"PAPAYA SUBS")</f>
        <v>PAPAYA SUBS</v>
      </c>
      <c r="N2288" s="1"/>
      <c r="O2288" s="1" t="str">
        <f>IFERROR(__xludf.DUMMYFUNCTION("""COMPUTED_VALUE"""),"GALICIA III")</f>
        <v>GALICIA III</v>
      </c>
      <c r="P2288" s="1" t="str">
        <f>IFERROR(__xludf.DUMMYFUNCTION("""COMPUTED_VALUE"""),"MENDEZ")</f>
        <v>MENDEZ</v>
      </c>
      <c r="Q2288" s="1" t="str">
        <f>IFERROR(__xludf.DUMMYFUNCTION("""COMPUTED_VALUE"""),"CAVITE")</f>
        <v>CAVITE</v>
      </c>
      <c r="R2288" s="1" t="str">
        <f>IFERROR(__xludf.DUMMYFUNCTION("""COMPUTED_VALUE"""),"FIBR UNLI ALL PLAN 1399")</f>
        <v>FIBR UNLI ALL PLAN 1399</v>
      </c>
      <c r="S2288" s="1" t="str">
        <f>IFERROR(__xludf.DUMMYFUNCTION("""COMPUTED_VALUE"""),"APPROVED")</f>
        <v>APPROVED</v>
      </c>
      <c r="T2288" s="1" t="str">
        <f>IFERROR(__xludf.DUMMYFUNCTION("""COMPUTED_VALUE"""),"#N/A")</f>
        <v>#N/A</v>
      </c>
      <c r="U2288" s="1" t="str">
        <f>IFERROR(__xludf.DUMMYFUNCTION("""COMPUTED_VALUE"""),"POSTED")</f>
        <v>POSTED</v>
      </c>
      <c r="V2288" s="1"/>
      <c r="W2288" s="1"/>
    </row>
    <row r="2289" customHeight="1" spans="1:23">
      <c r="A2289" s="3">
        <f>IFERROR(__xludf.DUMMYFUNCTION("""COMPUTED_VALUE"""),46201)</f>
        <v>46201</v>
      </c>
      <c r="B2289" s="1" t="str">
        <f>IFERROR(__xludf.DUMMYFUNCTION("""COMPUTED_VALUE"""),"FRANCISCO , ROSELYN")</f>
        <v>FRANCISCO , ROSELYN</v>
      </c>
      <c r="C2289" s="1" t="str">
        <f>IFERROR(__xludf.DUMMYFUNCTION("""COMPUTED_VALUE"""),"ORGANIC")</f>
        <v>ORGANIC</v>
      </c>
      <c r="D2289" s="1" t="str">
        <f>IFERROR(__xludf.DUMMYFUNCTION("""COMPUTED_VALUE"""),"REMOLLO LEA")</f>
        <v>REMOLLO LEA</v>
      </c>
      <c r="E2289" s="1" t="str">
        <f>IFERROR(__xludf.DUMMYFUNCTION("""COMPUTED_VALUE"""),"PLDT / H2H")</f>
        <v>PLDT / H2H</v>
      </c>
      <c r="F2289" s="1">
        <f>IFERROR(__xludf.DUMMYFUNCTION("""COMPUTED_VALUE"""),2310549176)</f>
        <v>2310549176</v>
      </c>
      <c r="G2289" s="1">
        <f>IFERROR(__xludf.DUMMYFUNCTION("""COMPUTED_VALUE"""),460524487004)</f>
        <v>460524487004</v>
      </c>
      <c r="H2289" s="1" t="str">
        <f>IFERROR(__xludf.DUMMYFUNCTION("""COMPUTED_VALUE"""),"REN MICAELAH FENOL FALLER0")</f>
        <v>REN MICAELAH FENOL FALLER0</v>
      </c>
      <c r="I2289" s="1">
        <f>IFERROR(__xludf.DUMMYFUNCTION("""COMPUTED_VALUE"""),9278967935)</f>
        <v>9278967935</v>
      </c>
      <c r="J2289" s="1">
        <f>IFERROR(__xludf.DUMMYFUNCTION("""COMPUTED_VALUE"""),9175521651)</f>
        <v>9175521651</v>
      </c>
      <c r="K2289" s="1" t="str">
        <f>IFERROR(__xludf.DUMMYFUNCTION("""COMPUTED_VALUE"""),"micaelah1999@gmail.com")</f>
        <v>micaelah1999@gmail.com</v>
      </c>
      <c r="L2289" s="1" t="str">
        <f>IFERROR(__xludf.DUMMYFUNCTION("""COMPUTED_VALUE"""),"85")</f>
        <v>85</v>
      </c>
      <c r="M2289" s="1" t="str">
        <f>IFERROR(__xludf.DUMMYFUNCTION("""COMPUTED_VALUE"""),"MANGAS RD")</f>
        <v>MANGAS RD</v>
      </c>
      <c r="N2289" s="1"/>
      <c r="O2289" s="1" t="str">
        <f>IFERROR(__xludf.DUMMYFUNCTION("""COMPUTED_VALUE"""),"MANGAS I")</f>
        <v>MANGAS I</v>
      </c>
      <c r="P2289" s="1" t="str">
        <f>IFERROR(__xludf.DUMMYFUNCTION("""COMPUTED_VALUE"""),"ALFONSO")</f>
        <v>ALFONSO</v>
      </c>
      <c r="Q2289" s="1" t="str">
        <f>IFERROR(__xludf.DUMMYFUNCTION("""COMPUTED_VALUE"""),"CAVITE")</f>
        <v>CAVITE</v>
      </c>
      <c r="R2289" s="1" t="str">
        <f>IFERROR(__xludf.DUMMYFUNCTION("""COMPUTED_VALUE"""),"FIBR UNLI ALL PLAN 999")</f>
        <v>FIBR UNLI ALL PLAN 999</v>
      </c>
      <c r="S2289" s="1" t="str">
        <f>IFERROR(__xludf.DUMMYFUNCTION("""COMPUTED_VALUE"""),"APPROVED")</f>
        <v>APPROVED</v>
      </c>
      <c r="T2289" s="1" t="str">
        <f>IFERROR(__xludf.DUMMYFUNCTION("""COMPUTED_VALUE"""),"#N/A")</f>
        <v>#N/A</v>
      </c>
      <c r="U2289" s="1" t="str">
        <f>IFERROR(__xludf.DUMMYFUNCTION("""COMPUTED_VALUE"""),"FOR PAYROL 29-5")</f>
        <v>FOR PAYROL 29-5</v>
      </c>
      <c r="V2289" s="1"/>
      <c r="W2289" s="1"/>
    </row>
    <row r="2290" customHeight="1" spans="1:23">
      <c r="A2290" s="3">
        <f>IFERROR(__xludf.DUMMYFUNCTION("""COMPUTED_VALUE"""),46201)</f>
        <v>46201</v>
      </c>
      <c r="B2290" s="1" t="str">
        <f>IFERROR(__xludf.DUMMYFUNCTION("""COMPUTED_VALUE"""),"AYON MANUEL")</f>
        <v>AYON MANUEL</v>
      </c>
      <c r="C2290" s="1" t="str">
        <f>IFERROR(__xludf.DUMMYFUNCTION("""COMPUTED_VALUE"""),"FLA")</f>
        <v>FLA</v>
      </c>
      <c r="D2290" s="1" t="str">
        <f>IFERROR(__xludf.DUMMYFUNCTION("""COMPUTED_VALUE"""),"JERIC NAVARRO")</f>
        <v>JERIC NAVARRO</v>
      </c>
      <c r="E2290" s="1" t="str">
        <f>IFERROR(__xludf.DUMMYFUNCTION("""COMPUTED_VALUE"""),"PLDT / H2H")</f>
        <v>PLDT / H2H</v>
      </c>
      <c r="F2290" s="1">
        <f>IFERROR(__xludf.DUMMYFUNCTION("""COMPUTED_VALUE"""),2310547525)</f>
        <v>2310547525</v>
      </c>
      <c r="G2290" s="1"/>
      <c r="H2290" s="1" t="str">
        <f>IFERROR(__xludf.DUMMYFUNCTION("""COMPUTED_VALUE"""),"DENNIS CARPIO VARGAS")</f>
        <v>DENNIS CARPIO VARGAS</v>
      </c>
      <c r="I2290" s="1">
        <f>IFERROR(__xludf.DUMMYFUNCTION("""COMPUTED_VALUE"""),9665835435)</f>
        <v>9665835435</v>
      </c>
      <c r="J2290" s="1">
        <f>IFERROR(__xludf.DUMMYFUNCTION("""COMPUTED_VALUE"""),9561844590)</f>
        <v>9561844590</v>
      </c>
      <c r="K2290" s="1" t="str">
        <f>IFERROR(__xludf.DUMMYFUNCTION("""COMPUTED_VALUE"""),"denniscarpiovargas@gmail.com")</f>
        <v>denniscarpiovargas@gmail.com</v>
      </c>
      <c r="L2290" s="1" t="str">
        <f>IFERROR(__xludf.DUMMYFUNCTION("""COMPUTED_VALUE"""),"191")</f>
        <v>191</v>
      </c>
      <c r="M2290" s="1" t="str">
        <f>IFERROR(__xludf.DUMMYFUNCTION("""COMPUTED_VALUE"""),"MT MAYON")</f>
        <v>MT MAYON</v>
      </c>
      <c r="N2290" s="1"/>
      <c r="O2290" s="1" t="str">
        <f>IFERROR(__xludf.DUMMYFUNCTION("""COMPUTED_VALUE"""),"KORONEL JOSE P. ELISES (AREA E)")</f>
        <v>KORONEL JOSE P. ELISES (AREA E)</v>
      </c>
      <c r="P2290" s="1" t="str">
        <f>IFERROR(__xludf.DUMMYFUNCTION("""COMPUTED_VALUE"""),"GEN MARIANO ALVAREZ")</f>
        <v>GEN MARIANO ALVAREZ</v>
      </c>
      <c r="Q2290" s="1" t="str">
        <f>IFERROR(__xludf.DUMMYFUNCTION("""COMPUTED_VALUE"""),"CAVITE")</f>
        <v>CAVITE</v>
      </c>
      <c r="R2290" s="1" t="str">
        <f>IFERROR(__xludf.DUMMYFUNCTION("""COMPUTED_VALUE"""),"FIBR UNLI ALL PLAN 1399")</f>
        <v>FIBR UNLI ALL PLAN 1399</v>
      </c>
      <c r="S2290" s="1" t="str">
        <f>IFERROR(__xludf.DUMMYFUNCTION("""COMPUTED_VALUE"""),"APPROVED")</f>
        <v>APPROVED</v>
      </c>
      <c r="T2290" s="1" t="str">
        <f>IFERROR(__xludf.DUMMYFUNCTION("""COMPUTED_VALUE"""),"#N/A")</f>
        <v>#N/A</v>
      </c>
      <c r="U2290" s="1"/>
      <c r="V2290" s="1"/>
      <c r="W2290" s="1"/>
    </row>
    <row r="2291" customHeight="1" spans="1:23">
      <c r="A2291" s="3">
        <f>IFERROR(__xludf.DUMMYFUNCTION("""COMPUTED_VALUE"""),46201)</f>
        <v>46201</v>
      </c>
      <c r="B2291" s="1" t="str">
        <f>IFERROR(__xludf.DUMMYFUNCTION("""COMPUTED_VALUE"""),"FRONDEZ, JEDREFF")</f>
        <v>FRONDEZ, JEDREFF</v>
      </c>
      <c r="C2291" s="1" t="str">
        <f>IFERROR(__xludf.DUMMYFUNCTION("""COMPUTED_VALUE"""),"ORGANIC")</f>
        <v>ORGANIC</v>
      </c>
      <c r="D2291" s="1" t="str">
        <f>IFERROR(__xludf.DUMMYFUNCTION("""COMPUTED_VALUE"""),"REMOLLO LEA")</f>
        <v>REMOLLO LEA</v>
      </c>
      <c r="E2291" s="1" t="str">
        <f>IFERROR(__xludf.DUMMYFUNCTION("""COMPUTED_VALUE"""),"PLDT / H2H")</f>
        <v>PLDT / H2H</v>
      </c>
      <c r="F2291" s="1">
        <f>IFERROR(__xludf.DUMMYFUNCTION("""COMPUTED_VALUE"""),2310551082)</f>
        <v>2310551082</v>
      </c>
      <c r="G2291" s="1"/>
      <c r="H2291" s="1" t="str">
        <f>IFERROR(__xludf.DUMMYFUNCTION("""COMPUTED_VALUE"""),"NIMFA CUADRA BURGOS")</f>
        <v>NIMFA CUADRA BURGOS</v>
      </c>
      <c r="I2291" s="1">
        <f>IFERROR(__xludf.DUMMYFUNCTION("""COMPUTED_VALUE"""),9454653370)</f>
        <v>9454653370</v>
      </c>
      <c r="J2291" s="1">
        <f>IFERROR(__xludf.DUMMYFUNCTION("""COMPUTED_VALUE"""),9150463169)</f>
        <v>9150463169</v>
      </c>
      <c r="K2291" s="1" t="str">
        <f>IFERROR(__xludf.DUMMYFUNCTION("""COMPUTED_VALUE"""),"nimfaburgus@gmail.com")</f>
        <v>nimfaburgus@gmail.com</v>
      </c>
      <c r="L2291" s="1" t="str">
        <f>IFERROR(__xludf.DUMMYFUNCTION("""COMPUTED_VALUE"""),"259")</f>
        <v>259</v>
      </c>
      <c r="M2291" s="1" t="str">
        <f>IFERROR(__xludf.DUMMYFUNCTION("""COMPUTED_VALUE"""),"PUROK 7")</f>
        <v>PUROK 7</v>
      </c>
      <c r="N2291" s="1"/>
      <c r="O2291" s="1" t="str">
        <f>IFERROR(__xludf.DUMMYFUNCTION("""COMPUTED_VALUE"""),"ESPERANZA ILAYA")</f>
        <v>ESPERANZA ILAYA</v>
      </c>
      <c r="P2291" s="1" t="str">
        <f>IFERROR(__xludf.DUMMYFUNCTION("""COMPUTED_VALUE"""),"ALFONSO")</f>
        <v>ALFONSO</v>
      </c>
      <c r="Q2291" s="1" t="str">
        <f>IFERROR(__xludf.DUMMYFUNCTION("""COMPUTED_VALUE"""),"CAVITE")</f>
        <v>CAVITE</v>
      </c>
      <c r="R2291" s="1" t="str">
        <f>IFERROR(__xludf.DUMMYFUNCTION("""COMPUTED_VALUE"""),"FIBR UNLI ALL PLAN 1399")</f>
        <v>FIBR UNLI ALL PLAN 1399</v>
      </c>
      <c r="S2291" s="1" t="str">
        <f>IFERROR(__xludf.DUMMYFUNCTION("""COMPUTED_VALUE"""),"APPROVED")</f>
        <v>APPROVED</v>
      </c>
      <c r="T2291" s="1" t="str">
        <f>IFERROR(__xludf.DUMMYFUNCTION("""COMPUTED_VALUE"""),"#N/A")</f>
        <v>#N/A</v>
      </c>
      <c r="U2291" s="1" t="str">
        <f>IFERROR(__xludf.DUMMYFUNCTION("""COMPUTED_VALUE"""),"PAID VIA GCASH")</f>
        <v>PAID VIA GCASH</v>
      </c>
      <c r="V2291" s="1"/>
      <c r="W2291" s="1"/>
    </row>
    <row r="2292" customHeight="1" spans="1:23">
      <c r="A2292" s="3">
        <f>IFERROR(__xludf.DUMMYFUNCTION("""COMPUTED_VALUE"""),46201)</f>
        <v>46201</v>
      </c>
      <c r="B2292" s="1" t="str">
        <f>IFERROR(__xludf.DUMMYFUNCTION("""COMPUTED_VALUE"""),"MALIWAT MARK ELVIN")</f>
        <v>MALIWAT MARK ELVIN</v>
      </c>
      <c r="C2292" s="1" t="str">
        <f>IFERROR(__xludf.DUMMYFUNCTION("""COMPUTED_VALUE"""),"FLA")</f>
        <v>FLA</v>
      </c>
      <c r="D2292" s="1" t="str">
        <f>IFERROR(__xludf.DUMMYFUNCTION("""COMPUTED_VALUE"""),"JERIC NAVARRO")</f>
        <v>JERIC NAVARRO</v>
      </c>
      <c r="E2292" s="1" t="str">
        <f>IFERROR(__xludf.DUMMYFUNCTION("""COMPUTED_VALUE"""),"PLDT / ONLINE")</f>
        <v>PLDT / ONLINE</v>
      </c>
      <c r="F2292" s="1">
        <f>IFERROR(__xludf.DUMMYFUNCTION("""COMPUTED_VALUE"""),2310552531)</f>
        <v>2310552531</v>
      </c>
      <c r="G2292" s="1"/>
      <c r="H2292" s="1" t="str">
        <f>IFERROR(__xludf.DUMMYFUNCTION("""COMPUTED_VALUE"""),"JUSTIN MANDAPAT MAGNO")</f>
        <v>JUSTIN MANDAPAT MAGNO</v>
      </c>
      <c r="I2292" s="1">
        <f>IFERROR(__xludf.DUMMYFUNCTION("""COMPUTED_VALUE"""),9664570494)</f>
        <v>9664570494</v>
      </c>
      <c r="J2292" s="1"/>
      <c r="K2292" s="1" t="str">
        <f>IFERROR(__xludf.DUMMYFUNCTION("""COMPUTED_VALUE"""),"justinmagno0206@gmail.com")</f>
        <v>justinmagno0206@gmail.com</v>
      </c>
      <c r="L2292" s="1" t="str">
        <f>IFERROR(__xludf.DUMMYFUNCTION("""COMPUTED_VALUE"""),"569")</f>
        <v>569</v>
      </c>
      <c r="M2292" s="1" t="str">
        <f>IFERROR(__xludf.DUMMYFUNCTION("""COMPUTED_VALUE"""),"SANTOLAN")</f>
        <v>SANTOLAN</v>
      </c>
      <c r="N2292" s="1"/>
      <c r="O2292" s="1" t="str">
        <f>IFERROR(__xludf.DUMMYFUNCTION("""COMPUTED_VALUE"""),"BARANGAY II (POB.)")</f>
        <v>BARANGAY II (POB.)</v>
      </c>
      <c r="P2292" s="1" t="str">
        <f>IFERROR(__xludf.DUMMYFUNCTION("""COMPUTED_VALUE"""),"GEN MARIANO ALVAREZ")</f>
        <v>GEN MARIANO ALVAREZ</v>
      </c>
      <c r="Q2292" s="1" t="str">
        <f>IFERROR(__xludf.DUMMYFUNCTION("""COMPUTED_VALUE"""),"CAVITE")</f>
        <v>CAVITE</v>
      </c>
      <c r="R2292" s="1" t="str">
        <f>IFERROR(__xludf.DUMMYFUNCTION("""COMPUTED_VALUE"""),"FIBR PLAN 1299")</f>
        <v>FIBR PLAN 1299</v>
      </c>
      <c r="S2292" s="1" t="str">
        <f>IFERROR(__xludf.DUMMYFUNCTION("""COMPUTED_VALUE"""),"APPROVED")</f>
        <v>APPROVED</v>
      </c>
      <c r="T2292" s="1" t="str">
        <f>IFERROR(__xludf.DUMMYFUNCTION("""COMPUTED_VALUE"""),"#N/A")</f>
        <v>#N/A</v>
      </c>
      <c r="U2292" s="1"/>
      <c r="V2292" s="1"/>
      <c r="W2292" s="1"/>
    </row>
    <row r="2293" customHeight="1" spans="1:23">
      <c r="A2293" s="3">
        <f>IFERROR(__xludf.DUMMYFUNCTION("""COMPUTED_VALUE"""),46201)</f>
        <v>46201</v>
      </c>
      <c r="B2293" s="1" t="str">
        <f>IFERROR(__xludf.DUMMYFUNCTION("""COMPUTED_VALUE"""),"RIVERA, AIRIZH JOY")</f>
        <v>RIVERA, AIRIZH JOY</v>
      </c>
      <c r="C2293" s="1" t="str">
        <f>IFERROR(__xludf.DUMMYFUNCTION("""COMPUTED_VALUE"""),"ORGANIC")</f>
        <v>ORGANIC</v>
      </c>
      <c r="D2293" s="1" t="str">
        <f>IFERROR(__xludf.DUMMYFUNCTION("""COMPUTED_VALUE"""),"REMOLLO LEA")</f>
        <v>REMOLLO LEA</v>
      </c>
      <c r="E2293" s="1" t="str">
        <f>IFERROR(__xludf.DUMMYFUNCTION("""COMPUTED_VALUE"""),"PLDT / H2H")</f>
        <v>PLDT / H2H</v>
      </c>
      <c r="F2293" s="1">
        <f>IFERROR(__xludf.DUMMYFUNCTION("""COMPUTED_VALUE"""),2310554514)</f>
        <v>2310554514</v>
      </c>
      <c r="G2293" s="1"/>
      <c r="H2293" s="1" t="str">
        <f>IFERROR(__xludf.DUMMYFUNCTION("""COMPUTED_VALUE"""),"SHANTAL REGNER AGUNDAY")</f>
        <v>SHANTAL REGNER AGUNDAY</v>
      </c>
      <c r="I2293" s="1">
        <f>IFERROR(__xludf.DUMMYFUNCTION("""COMPUTED_VALUE"""),9267533013)</f>
        <v>9267533013</v>
      </c>
      <c r="J2293" s="1">
        <f>IFERROR(__xludf.DUMMYFUNCTION("""COMPUTED_VALUE"""),9076407764)</f>
        <v>9076407764</v>
      </c>
      <c r="K2293" s="1" t="str">
        <f>IFERROR(__xludf.DUMMYFUNCTION("""COMPUTED_VALUE"""),"shantal.agunday.13@gmail.com")</f>
        <v>shantal.agunday.13@gmail.com</v>
      </c>
      <c r="L2293" s="1" t="str">
        <f>IFERROR(__xludf.DUMMYFUNCTION("""COMPUTED_VALUE"""),"BLK 42 LOT 18")</f>
        <v>BLK 42 LOT 18</v>
      </c>
      <c r="M2293" s="1" t="str">
        <f>IFERROR(__xludf.DUMMYFUNCTION("""COMPUTED_VALUE"""),"YAKAL")</f>
        <v>YAKAL</v>
      </c>
      <c r="N2293" s="1"/>
      <c r="O2293" s="1" t="str">
        <f>IFERROR(__xludf.DUMMYFUNCTION("""COMPUTED_VALUE"""),"YAKAL")</f>
        <v>YAKAL</v>
      </c>
      <c r="P2293" s="1" t="str">
        <f>IFERROR(__xludf.DUMMYFUNCTION("""COMPUTED_VALUE"""),"GEN MARIANO ALVAREZ")</f>
        <v>GEN MARIANO ALVAREZ</v>
      </c>
      <c r="Q2293" s="1" t="str">
        <f>IFERROR(__xludf.DUMMYFUNCTION("""COMPUTED_VALUE"""),"CAVITE")</f>
        <v>CAVITE</v>
      </c>
      <c r="R2293" s="1" t="str">
        <f>IFERROR(__xludf.DUMMYFUNCTION("""COMPUTED_VALUE"""),"FIBR UNLI ALL PLAN 1399")</f>
        <v>FIBR UNLI ALL PLAN 1399</v>
      </c>
      <c r="S2293" s="1" t="str">
        <f>IFERROR(__xludf.DUMMYFUNCTION("""COMPUTED_VALUE"""),"APPROVED")</f>
        <v>APPROVED</v>
      </c>
      <c r="T2293" s="1" t="str">
        <f>IFERROR(__xludf.DUMMYFUNCTION("""COMPUTED_VALUE"""),"#N/A")</f>
        <v>#N/A</v>
      </c>
      <c r="U2293" s="1"/>
      <c r="V2293" s="1"/>
      <c r="W2293" s="1"/>
    </row>
    <row r="2294" customHeight="1" spans="1:23">
      <c r="A2294" s="3">
        <f>IFERROR(__xludf.DUMMYFUNCTION("""COMPUTED_VALUE"""),46201)</f>
        <v>46201</v>
      </c>
      <c r="B2294" s="1" t="str">
        <f>IFERROR(__xludf.DUMMYFUNCTION("""COMPUTED_VALUE"""),"CASTILLEJOS, ARREL")</f>
        <v>CASTILLEJOS, ARREL</v>
      </c>
      <c r="C2294" s="1" t="str">
        <f>IFERROR(__xludf.DUMMYFUNCTION("""COMPUTED_VALUE"""),"ORGANIC")</f>
        <v>ORGANIC</v>
      </c>
      <c r="D2294" s="1" t="str">
        <f>IFERROR(__xludf.DUMMYFUNCTION("""COMPUTED_VALUE"""),"REMOLLO LEA")</f>
        <v>REMOLLO LEA</v>
      </c>
      <c r="E2294" s="1" t="str">
        <f>IFERROR(__xludf.DUMMYFUNCTION("""COMPUTED_VALUE"""),"PLDT / H2H")</f>
        <v>PLDT / H2H</v>
      </c>
      <c r="F2294" s="1">
        <f>IFERROR(__xludf.DUMMYFUNCTION("""COMPUTED_VALUE"""),2310555361)</f>
        <v>2310555361</v>
      </c>
      <c r="G2294" s="1"/>
      <c r="H2294" s="1" t="str">
        <f>IFERROR(__xludf.DUMMYFUNCTION("""COMPUTED_VALUE"""),"ROMIELYN MALANA ADAN")</f>
        <v>ROMIELYN MALANA ADAN</v>
      </c>
      <c r="I2294" s="1">
        <f>IFERROR(__xludf.DUMMYFUNCTION("""COMPUTED_VALUE"""),9632410355)</f>
        <v>9632410355</v>
      </c>
      <c r="J2294" s="1">
        <f>IFERROR(__xludf.DUMMYFUNCTION("""COMPUTED_VALUE"""),9660139164)</f>
        <v>9660139164</v>
      </c>
      <c r="K2294" s="1" t="str">
        <f>IFERROR(__xludf.DUMMYFUNCTION("""COMPUTED_VALUE"""),"lynkiesadan120@gmail.com")</f>
        <v>lynkiesadan120@gmail.com</v>
      </c>
      <c r="L2294" s="1" t="str">
        <f>IFERROR(__xludf.DUMMYFUNCTION("""COMPUTED_VALUE"""),"BLK 278 LOT 15")</f>
        <v>BLK 278 LOT 15</v>
      </c>
      <c r="M2294" s="1" t="str">
        <f>IFERROR(__xludf.DUMMYFUNCTION("""COMPUTED_VALUE"""),"ZONE 10")</f>
        <v>ZONE 10</v>
      </c>
      <c r="N2294" s="1" t="str">
        <f>IFERROR(__xludf.DUMMYFUNCTION("""COMPUTED_VALUE"""),"AFP")</f>
        <v>AFP</v>
      </c>
      <c r="O2294" s="1" t="str">
        <f>IFERROR(__xludf.DUMMYFUNCTION("""COMPUTED_VALUE"""),"BULIHAN")</f>
        <v>BULIHAN</v>
      </c>
      <c r="P2294" s="1" t="str">
        <f>IFERROR(__xludf.DUMMYFUNCTION("""COMPUTED_VALUE"""),"SILANG")</f>
        <v>SILANG</v>
      </c>
      <c r="Q2294" s="1" t="str">
        <f>IFERROR(__xludf.DUMMYFUNCTION("""COMPUTED_VALUE"""),"CAVITE")</f>
        <v>CAVITE</v>
      </c>
      <c r="R2294" s="1" t="str">
        <f>IFERROR(__xludf.DUMMYFUNCTION("""COMPUTED_VALUE"""),"FIBR UNLI ALL PLAN 1399")</f>
        <v>FIBR UNLI ALL PLAN 1399</v>
      </c>
      <c r="S2294" s="1" t="str">
        <f>IFERROR(__xludf.DUMMYFUNCTION("""COMPUTED_VALUE"""),"APPROVED")</f>
        <v>APPROVED</v>
      </c>
      <c r="T2294" s="1" t="str">
        <f>IFERROR(__xludf.DUMMYFUNCTION("""COMPUTED_VALUE"""),"#N/A")</f>
        <v>#N/A</v>
      </c>
      <c r="U2294" s="1"/>
      <c r="V2294" s="1"/>
      <c r="W2294" s="1"/>
    </row>
    <row r="2295" customHeight="1" spans="1:23">
      <c r="A2295" s="3">
        <f>IFERROR(__xludf.DUMMYFUNCTION("""COMPUTED_VALUE"""),46201)</f>
        <v>46201</v>
      </c>
      <c r="B2295" s="1" t="str">
        <f>IFERROR(__xludf.DUMMYFUNCTION("""COMPUTED_VALUE"""),"FARO, REFRANTA")</f>
        <v>FARO, REFRANTA</v>
      </c>
      <c r="C2295" s="1" t="str">
        <f>IFERROR(__xludf.DUMMYFUNCTION("""COMPUTED_VALUE"""),"ORGANIC")</f>
        <v>ORGANIC</v>
      </c>
      <c r="D2295" s="1" t="str">
        <f>IFERROR(__xludf.DUMMYFUNCTION("""COMPUTED_VALUE"""),"REMOLLO LEA")</f>
        <v>REMOLLO LEA</v>
      </c>
      <c r="E2295" s="1" t="str">
        <f>IFERROR(__xludf.DUMMYFUNCTION("""COMPUTED_VALUE"""),"PLDT / H2H")</f>
        <v>PLDT / H2H</v>
      </c>
      <c r="F2295" s="1">
        <f>IFERROR(__xludf.DUMMYFUNCTION("""COMPUTED_VALUE"""),2310555586)</f>
        <v>2310555586</v>
      </c>
      <c r="G2295" s="1"/>
      <c r="H2295" s="1" t="str">
        <f>IFERROR(__xludf.DUMMYFUNCTION("""COMPUTED_VALUE"""),"ALLEN DRED CABALTERA MAGALLONES")</f>
        <v>ALLEN DRED CABALTERA MAGALLONES</v>
      </c>
      <c r="I2295" s="1">
        <f>IFERROR(__xludf.DUMMYFUNCTION("""COMPUTED_VALUE"""),9756666475)</f>
        <v>9756666475</v>
      </c>
      <c r="J2295" s="1"/>
      <c r="K2295" s="1" t="str">
        <f>IFERROR(__xludf.DUMMYFUNCTION("""COMPUTED_VALUE"""),"tintin24.len@gmail.com")</f>
        <v>tintin24.len@gmail.com</v>
      </c>
      <c r="L2295" s="1" t="str">
        <f>IFERROR(__xludf.DUMMYFUNCTION("""COMPUTED_VALUE"""),"BLK 47 LOT 6")</f>
        <v>BLK 47 LOT 6</v>
      </c>
      <c r="M2295" s="1" t="str">
        <f>IFERROR(__xludf.DUMMYFUNCTION("""COMPUTED_VALUE"""),"ZONE 3")</f>
        <v>ZONE 3</v>
      </c>
      <c r="N2295" s="1" t="str">
        <f>IFERROR(__xludf.DUMMYFUNCTION("""COMPUTED_VALUE"""),"AFP")</f>
        <v>AFP</v>
      </c>
      <c r="O2295" s="1" t="str">
        <f>IFERROR(__xludf.DUMMYFUNCTION("""COMPUTED_VALUE"""),"BULIHAN")</f>
        <v>BULIHAN</v>
      </c>
      <c r="P2295" s="1" t="str">
        <f>IFERROR(__xludf.DUMMYFUNCTION("""COMPUTED_VALUE"""),"SILANG")</f>
        <v>SILANG</v>
      </c>
      <c r="Q2295" s="1" t="str">
        <f>IFERROR(__xludf.DUMMYFUNCTION("""COMPUTED_VALUE"""),"CAVITE")</f>
        <v>CAVITE</v>
      </c>
      <c r="R2295" s="1" t="str">
        <f>IFERROR(__xludf.DUMMYFUNCTION("""COMPUTED_VALUE"""),"FIBR UNLI ALL PLAN 1399")</f>
        <v>FIBR UNLI ALL PLAN 1399</v>
      </c>
      <c r="S2295" s="1" t="str">
        <f>IFERROR(__xludf.DUMMYFUNCTION("""COMPUTED_VALUE"""),"APPROVED")</f>
        <v>APPROVED</v>
      </c>
      <c r="T2295" s="1" t="str">
        <f>IFERROR(__xludf.DUMMYFUNCTION("""COMPUTED_VALUE"""),"#N/A")</f>
        <v>#N/A</v>
      </c>
      <c r="U2295" s="1" t="str">
        <f>IFERROR(__xludf.DUMMYFUNCTION("""COMPUTED_VALUE"""),"POSTED")</f>
        <v>POSTED</v>
      </c>
      <c r="V2295" s="1"/>
      <c r="W2295" s="1"/>
    </row>
    <row r="2296" customHeight="1" spans="1:23">
      <c r="A2296" s="3">
        <f>IFERROR(__xludf.DUMMYFUNCTION("""COMPUTED_VALUE"""),46201)</f>
        <v>46201</v>
      </c>
      <c r="B2296" s="1" t="str">
        <f>IFERROR(__xludf.DUMMYFUNCTION("""COMPUTED_VALUE"""),"MAGDARAOG, KENNETH")</f>
        <v>MAGDARAOG, KENNETH</v>
      </c>
      <c r="C2296" s="1" t="str">
        <f>IFERROR(__xludf.DUMMYFUNCTION("""COMPUTED_VALUE"""),"ORGANIC")</f>
        <v>ORGANIC</v>
      </c>
      <c r="D2296" s="1" t="str">
        <f>IFERROR(__xludf.DUMMYFUNCTION("""COMPUTED_VALUE"""),"REMOLLO LEA")</f>
        <v>REMOLLO LEA</v>
      </c>
      <c r="E2296" s="1" t="str">
        <f>IFERROR(__xludf.DUMMYFUNCTION("""COMPUTED_VALUE"""),"PLDT / H2H")</f>
        <v>PLDT / H2H</v>
      </c>
      <c r="F2296" s="1">
        <f>IFERROR(__xludf.DUMMYFUNCTION("""COMPUTED_VALUE"""),2310555799)</f>
        <v>2310555799</v>
      </c>
      <c r="G2296" s="1"/>
      <c r="H2296" s="1" t="str">
        <f>IFERROR(__xludf.DUMMYFUNCTION("""COMPUTED_VALUE"""),"JULIANA MAY MONTES DIONSON")</f>
        <v>JULIANA MAY MONTES DIONSON</v>
      </c>
      <c r="I2296" s="1">
        <f>IFERROR(__xludf.DUMMYFUNCTION("""COMPUTED_VALUE"""),9205361385)</f>
        <v>9205361385</v>
      </c>
      <c r="J2296" s="1">
        <f>IFERROR(__xludf.DUMMYFUNCTION("""COMPUTED_VALUE"""),9634186820)</f>
        <v>9634186820</v>
      </c>
      <c r="K2296" s="1" t="str">
        <f>IFERROR(__xludf.DUMMYFUNCTION("""COMPUTED_VALUE"""),"jullianamaydionson63@gmail.com")</f>
        <v>jullianamaydionson63@gmail.com</v>
      </c>
      <c r="L2296" s="1" t="str">
        <f>IFERROR(__xludf.DUMMYFUNCTION("""COMPUTED_VALUE"""),"9089")</f>
        <v>9089</v>
      </c>
      <c r="M2296" s="1" t="str">
        <f>IFERROR(__xludf.DUMMYFUNCTION("""COMPUTED_VALUE"""),"OLD BULIHAN")</f>
        <v>OLD BULIHAN</v>
      </c>
      <c r="N2296" s="1"/>
      <c r="O2296" s="1" t="str">
        <f>IFERROR(__xludf.DUMMYFUNCTION("""COMPUTED_VALUE"""),"BULIHAN")</f>
        <v>BULIHAN</v>
      </c>
      <c r="P2296" s="1" t="str">
        <f>IFERROR(__xludf.DUMMYFUNCTION("""COMPUTED_VALUE"""),"SILANG")</f>
        <v>SILANG</v>
      </c>
      <c r="Q2296" s="1" t="str">
        <f>IFERROR(__xludf.DUMMYFUNCTION("""COMPUTED_VALUE"""),"CAVITE")</f>
        <v>CAVITE</v>
      </c>
      <c r="R2296" s="1" t="str">
        <f>IFERROR(__xludf.DUMMYFUNCTION("""COMPUTED_VALUE"""),"FIBR UNLI ALL PLAN 999")</f>
        <v>FIBR UNLI ALL PLAN 999</v>
      </c>
      <c r="S2296" s="1" t="str">
        <f>IFERROR(__xludf.DUMMYFUNCTION("""COMPUTED_VALUE"""),"APPROVED")</f>
        <v>APPROVED</v>
      </c>
      <c r="T2296" s="1" t="str">
        <f>IFERROR(__xludf.DUMMYFUNCTION("""COMPUTED_VALUE"""),"#N/A")</f>
        <v>#N/A</v>
      </c>
      <c r="U2296" s="1"/>
      <c r="V2296" s="1"/>
      <c r="W2296" s="1"/>
    </row>
    <row r="2297" customHeight="1" spans="1:23">
      <c r="A2297" s="3">
        <f>IFERROR(__xludf.DUMMYFUNCTION("""COMPUTED_VALUE"""),46201)</f>
        <v>46201</v>
      </c>
      <c r="B2297" s="1" t="str">
        <f>IFERROR(__xludf.DUMMYFUNCTION("""COMPUTED_VALUE"""),"DELA ROSA, JENNELYN")</f>
        <v>DELA ROSA, JENNELYN</v>
      </c>
      <c r="C2297" s="1" t="str">
        <f>IFERROR(__xludf.DUMMYFUNCTION("""COMPUTED_VALUE"""),"ORGANIC")</f>
        <v>ORGANIC</v>
      </c>
      <c r="D2297" s="1" t="str">
        <f>IFERROR(__xludf.DUMMYFUNCTION("""COMPUTED_VALUE"""),"REMOLLO LEA")</f>
        <v>REMOLLO LEA</v>
      </c>
      <c r="E2297" s="1" t="str">
        <f>IFERROR(__xludf.DUMMYFUNCTION("""COMPUTED_VALUE"""),"PLDT / ONLINE")</f>
        <v>PLDT / ONLINE</v>
      </c>
      <c r="F2297" s="1">
        <f>IFERROR(__xludf.DUMMYFUNCTION("""COMPUTED_VALUE"""),2310555961)</f>
        <v>2310555961</v>
      </c>
      <c r="G2297" s="1"/>
      <c r="H2297" s="1" t="str">
        <f>IFERROR(__xludf.DUMMYFUNCTION("""COMPUTED_VALUE"""),"JOCELLE CASTRO RIOLO")</f>
        <v>JOCELLE CASTRO RIOLO</v>
      </c>
      <c r="I2297" s="1">
        <f>IFERROR(__xludf.DUMMYFUNCTION("""COMPUTED_VALUE"""),9205426021)</f>
        <v>9205426021</v>
      </c>
      <c r="J2297" s="1"/>
      <c r="K2297" s="1" t="str">
        <f>IFERROR(__xludf.DUMMYFUNCTION("""COMPUTED_VALUE"""),"jocelleriolo19@gmail.com")</f>
        <v>jocelleriolo19@gmail.com</v>
      </c>
      <c r="L2297" s="1" t="str">
        <f>IFERROR(__xludf.DUMMYFUNCTION("""COMPUTED_VALUE"""),"BLK 16 LOT 1")</f>
        <v>BLK 16 LOT 1</v>
      </c>
      <c r="M2297" s="1" t="str">
        <f>IFERROR(__xludf.DUMMYFUNCTION("""COMPUTED_VALUE"""),"GERMAN")</f>
        <v>GERMAN</v>
      </c>
      <c r="N2297" s="1"/>
      <c r="O2297" s="1" t="str">
        <f>IFERROR(__xludf.DUMMYFUNCTION("""COMPUTED_VALUE"""),"SAMPALOC III")</f>
        <v>SAMPALOC III</v>
      </c>
      <c r="P2297" s="1" t="str">
        <f>IFERROR(__xludf.DUMMYFUNCTION("""COMPUTED_VALUE"""),"DASMARINAS")</f>
        <v>DASMARINAS</v>
      </c>
      <c r="Q2297" s="1" t="str">
        <f>IFERROR(__xludf.DUMMYFUNCTION("""COMPUTED_VALUE"""),"CAVITE")</f>
        <v>CAVITE</v>
      </c>
      <c r="R2297" s="1" t="str">
        <f>IFERROR(__xludf.DUMMYFUNCTION("""COMPUTED_VALUE"""),"FIBR UNLI ALL PLAN 999")</f>
        <v>FIBR UNLI ALL PLAN 999</v>
      </c>
      <c r="S2297" s="1" t="str">
        <f>IFERROR(__xludf.DUMMYFUNCTION("""COMPUTED_VALUE"""),"APPROVED")</f>
        <v>APPROVED</v>
      </c>
      <c r="T2297" s="1" t="str">
        <f>IFERROR(__xludf.DUMMYFUNCTION("""COMPUTED_VALUE"""),"#N/A")</f>
        <v>#N/A</v>
      </c>
      <c r="U2297" s="1"/>
      <c r="V2297" s="1"/>
      <c r="W2297" s="1"/>
    </row>
    <row r="2298" customHeight="1" spans="1:23">
      <c r="A2298" s="3">
        <f>IFERROR(__xludf.DUMMYFUNCTION("""COMPUTED_VALUE"""),46202)</f>
        <v>46202</v>
      </c>
      <c r="B2298" s="1" t="str">
        <f>IFERROR(__xludf.DUMMYFUNCTION("""COMPUTED_VALUE"""),"MALIWAT MARK ELVIN")</f>
        <v>MALIWAT MARK ELVIN</v>
      </c>
      <c r="C2298" s="1" t="str">
        <f>IFERROR(__xludf.DUMMYFUNCTION("""COMPUTED_VALUE"""),"FLA")</f>
        <v>FLA</v>
      </c>
      <c r="D2298" s="1" t="str">
        <f>IFERROR(__xludf.DUMMYFUNCTION("""COMPUTED_VALUE"""),"JERIC NAVARRO")</f>
        <v>JERIC NAVARRO</v>
      </c>
      <c r="E2298" s="1" t="str">
        <f>IFERROR(__xludf.DUMMYFUNCTION("""COMPUTED_VALUE"""),"PLDT / H2H")</f>
        <v>PLDT / H2H</v>
      </c>
      <c r="F2298" s="1">
        <f>IFERROR(__xludf.DUMMYFUNCTION("""COMPUTED_VALUE"""),2310570252)</f>
        <v>2310570252</v>
      </c>
      <c r="G2298" s="1">
        <f>IFERROR(__xludf.DUMMYFUNCTION("""COMPUTED_VALUE"""),460526578004)</f>
        <v>460526578004</v>
      </c>
      <c r="H2298" s="1" t="str">
        <f>IFERROR(__xludf.DUMMYFUNCTION("""COMPUTED_VALUE"""),"MARVIN ATENTO ATENTO")</f>
        <v>MARVIN ATENTO ATENTO</v>
      </c>
      <c r="I2298" s="1">
        <f>IFERROR(__xludf.DUMMYFUNCTION("""COMPUTED_VALUE"""),9911475868)</f>
        <v>9911475868</v>
      </c>
      <c r="J2298" s="1">
        <f>IFERROR(__xludf.DUMMYFUNCTION("""COMPUTED_VALUE"""),9691301160)</f>
        <v>9691301160</v>
      </c>
      <c r="K2298" s="1"/>
      <c r="L2298" s="1" t="str">
        <f>IFERROR(__xludf.DUMMYFUNCTION("""COMPUTED_VALUE"""),"004-BL-24B")</f>
        <v>004-BL-24B</v>
      </c>
      <c r="M2298" s="1" t="str">
        <f>IFERROR(__xludf.DUMMYFUNCTION("""COMPUTED_VALUE"""),"CEDAR")</f>
        <v>CEDAR</v>
      </c>
      <c r="N2298" s="1" t="str">
        <f>IFERROR(__xludf.DUMMYFUNCTION("""COMPUTED_VALUE"""),"GREENBREEZE VILLAGE 1")</f>
        <v>GREENBREEZE VILLAGE 1</v>
      </c>
      <c r="O2298" s="1" t="str">
        <f>IFERROR(__xludf.DUMMYFUNCTION("""COMPUTED_VALUE"""),"LANGKAAN I")</f>
        <v>LANGKAAN I</v>
      </c>
      <c r="P2298" s="1" t="str">
        <f>IFERROR(__xludf.DUMMYFUNCTION("""COMPUTED_VALUE"""),"DASMARINAS")</f>
        <v>DASMARINAS</v>
      </c>
      <c r="Q2298" s="1" t="str">
        <f>IFERROR(__xludf.DUMMYFUNCTION("""COMPUTED_VALUE"""),"CAVITE")</f>
        <v>CAVITE</v>
      </c>
      <c r="R2298" s="1" t="str">
        <f>IFERROR(__xludf.DUMMYFUNCTION("""COMPUTED_VALUE"""),"FIBR UNLI ALL PLAN 999")</f>
        <v>FIBR UNLI ALL PLAN 999</v>
      </c>
      <c r="S2298" s="1" t="str">
        <f>IFERROR(__xludf.DUMMYFUNCTION("""COMPUTED_VALUE"""),"APPROVED")</f>
        <v>APPROVED</v>
      </c>
      <c r="T2298" s="1" t="str">
        <f>IFERROR(__xludf.DUMMYFUNCTION("""COMPUTED_VALUE"""),"CLOSED")</f>
        <v>CLOSED</v>
      </c>
      <c r="U2298" s="1" t="str">
        <f>IFERROR(__xludf.DUMMYFUNCTION("""COMPUTED_VALUE"""),"POSTED")</f>
        <v>POSTED</v>
      </c>
      <c r="V2298" s="1"/>
      <c r="W2298" s="1"/>
    </row>
    <row r="2299" customHeight="1" spans="1:23">
      <c r="A2299" s="3">
        <f>IFERROR(__xludf.DUMMYFUNCTION("""COMPUTED_VALUE"""),46202)</f>
        <v>46202</v>
      </c>
      <c r="B2299" s="1" t="str">
        <f>IFERROR(__xludf.DUMMYFUNCTION("""COMPUTED_VALUE"""),"MANDUCDOC, MARIANE")</f>
        <v>MANDUCDOC, MARIANE</v>
      </c>
      <c r="C2299" s="1" t="str">
        <f>IFERROR(__xludf.DUMMYFUNCTION("""COMPUTED_VALUE"""),"ORGANIC")</f>
        <v>ORGANIC</v>
      </c>
      <c r="D2299" s="1" t="str">
        <f>IFERROR(__xludf.DUMMYFUNCTION("""COMPUTED_VALUE"""),"REMOLLO LEA")</f>
        <v>REMOLLO LEA</v>
      </c>
      <c r="E2299" s="1" t="str">
        <f>IFERROR(__xludf.DUMMYFUNCTION("""COMPUTED_VALUE"""),"PLDT / H2H")</f>
        <v>PLDT / H2H</v>
      </c>
      <c r="F2299" s="1">
        <f>IFERROR(__xludf.DUMMYFUNCTION("""COMPUTED_VALUE"""),2310574225)</f>
        <v>2310574225</v>
      </c>
      <c r="G2299" s="1">
        <f>IFERROR(__xludf.DUMMYFUNCTION("""COMPUTED_VALUE"""),460531645004)</f>
        <v>460531645004</v>
      </c>
      <c r="H2299" s="1" t="str">
        <f>IFERROR(__xludf.DUMMYFUNCTION("""COMPUTED_VALUE"""),"JEREMIA FERNANDEZ ARRIOLA")</f>
        <v>JEREMIA FERNANDEZ ARRIOLA</v>
      </c>
      <c r="I2299" s="1">
        <f>IFERROR(__xludf.DUMMYFUNCTION("""COMPUTED_VALUE"""),9082002638)</f>
        <v>9082002638</v>
      </c>
      <c r="J2299" s="1"/>
      <c r="K2299" s="1" t="str">
        <f>IFERROR(__xludf.DUMMYFUNCTION("""COMPUTED_VALUE"""),"jemjemarriola@gmail.com")</f>
        <v>jemjemarriola@gmail.com</v>
      </c>
      <c r="L2299" s="1" t="str">
        <f>IFERROR(__xludf.DUMMYFUNCTION("""COMPUTED_VALUE"""),"        BLK 4 LOT 4")</f>
        <v>        BLK 4 LOT 4</v>
      </c>
      <c r="M2299" s="1" t="str">
        <f>IFERROR(__xludf.DUMMYFUNCTION("""COMPUTED_VALUE"""),"MADERAN")</f>
        <v>MADERAN</v>
      </c>
      <c r="N2299" s="1"/>
      <c r="O2299" s="1" t="str">
        <f>IFERROR(__xludf.DUMMYFUNCTION("""COMPUTED_VALUE"""),"GAVINO MADERAN")</f>
        <v>GAVINO MADERAN</v>
      </c>
      <c r="P2299" s="1" t="str">
        <f>IFERROR(__xludf.DUMMYFUNCTION("""COMPUTED_VALUE"""),"GEN MARIANO ALVAREZ")</f>
        <v>GEN MARIANO ALVAREZ</v>
      </c>
      <c r="Q2299" s="1" t="str">
        <f>IFERROR(__xludf.DUMMYFUNCTION("""COMPUTED_VALUE"""),"CAVITE")</f>
        <v>CAVITE</v>
      </c>
      <c r="R2299" s="1" t="str">
        <f>IFERROR(__xludf.DUMMYFUNCTION("""COMPUTED_VALUE"""),"FIBR UNLI ALL PLAN 999")</f>
        <v>FIBR UNLI ALL PLAN 999</v>
      </c>
      <c r="S2299" s="1" t="str">
        <f>IFERROR(__xludf.DUMMYFUNCTION("""COMPUTED_VALUE"""),"APPROVED")</f>
        <v>APPROVED</v>
      </c>
      <c r="T2299" s="1" t="str">
        <f>IFERROR(__xludf.DUMMYFUNCTION("""COMPUTED_VALUE"""),"CLOSED")</f>
        <v>CLOSED</v>
      </c>
      <c r="U2299" s="1" t="str">
        <f>IFERROR(__xludf.DUMMYFUNCTION("""COMPUTED_VALUE"""),"POSTED")</f>
        <v>POSTED</v>
      </c>
      <c r="V2299" s="1"/>
      <c r="W2299" s="1"/>
    </row>
    <row r="2300" customHeight="1" spans="1:23">
      <c r="A2300" s="3">
        <f>IFERROR(__xludf.DUMMYFUNCTION("""COMPUTED_VALUE"""),46202)</f>
        <v>46202</v>
      </c>
      <c r="B2300" s="1" t="str">
        <f>IFERROR(__xludf.DUMMYFUNCTION("""COMPUTED_VALUE"""),"DELA ROSA, JENNELYN")</f>
        <v>DELA ROSA, JENNELYN</v>
      </c>
      <c r="C2300" s="1" t="str">
        <f>IFERROR(__xludf.DUMMYFUNCTION("""COMPUTED_VALUE"""),"ORGANIC")</f>
        <v>ORGANIC</v>
      </c>
      <c r="D2300" s="1" t="str">
        <f>IFERROR(__xludf.DUMMYFUNCTION("""COMPUTED_VALUE"""),"REMOLLO LEA")</f>
        <v>REMOLLO LEA</v>
      </c>
      <c r="E2300" s="1" t="str">
        <f>IFERROR(__xludf.DUMMYFUNCTION("""COMPUTED_VALUE"""),"PLDT / H2H")</f>
        <v>PLDT / H2H</v>
      </c>
      <c r="F2300" s="1">
        <f>IFERROR(__xludf.DUMMYFUNCTION("""COMPUTED_VALUE"""),2310573451)</f>
        <v>2310573451</v>
      </c>
      <c r="G2300" s="1">
        <f>IFERROR(__xludf.DUMMYFUNCTION("""COMPUTED_VALUE"""),460530380004)</f>
        <v>460530380004</v>
      </c>
      <c r="H2300" s="1" t="str">
        <f>IFERROR(__xludf.DUMMYFUNCTION("""COMPUTED_VALUE"""),"FELY CURAY GARAY")</f>
        <v>FELY CURAY GARAY</v>
      </c>
      <c r="I2300" s="1">
        <f>IFERROR(__xludf.DUMMYFUNCTION("""COMPUTED_VALUE"""),9052541675)</f>
        <v>9052541675</v>
      </c>
      <c r="J2300" s="1">
        <f>IFERROR(__xludf.DUMMYFUNCTION("""COMPUTED_VALUE"""),9392903968)</f>
        <v>9392903968</v>
      </c>
      <c r="K2300" s="1" t="str">
        <f>IFERROR(__xludf.DUMMYFUNCTION("""COMPUTED_VALUE"""),"felfregaray@gmail.com")</f>
        <v>felfregaray@gmail.com</v>
      </c>
      <c r="L2300" s="1" t="str">
        <f>IFERROR(__xludf.DUMMYFUNCTION("""COMPUTED_VALUE"""),"109")</f>
        <v>109</v>
      </c>
      <c r="M2300" s="1" t="str">
        <f>IFERROR(__xludf.DUMMYFUNCTION("""COMPUTED_VALUE"""),"BANABA")</f>
        <v>BANABA</v>
      </c>
      <c r="N2300" s="1"/>
      <c r="O2300" s="1" t="str">
        <f>IFERROR(__xludf.DUMMYFUNCTION("""COMPUTED_VALUE"""),"BANABA")</f>
        <v>BANABA</v>
      </c>
      <c r="P2300" s="1" t="str">
        <f>IFERROR(__xludf.DUMMYFUNCTION("""COMPUTED_VALUE"""),"SILANG")</f>
        <v>SILANG</v>
      </c>
      <c r="Q2300" s="1" t="str">
        <f>IFERROR(__xludf.DUMMYFUNCTION("""COMPUTED_VALUE"""),"CAVITE")</f>
        <v>CAVITE</v>
      </c>
      <c r="R2300" s="1" t="str">
        <f>IFERROR(__xludf.DUMMYFUNCTION("""COMPUTED_VALUE"""),"FIBR NETFLIX PLAN 1599")</f>
        <v>FIBR NETFLIX PLAN 1599</v>
      </c>
      <c r="S2300" s="1" t="str">
        <f>IFERROR(__xludf.DUMMYFUNCTION("""COMPUTED_VALUE"""),"APPROVED")</f>
        <v>APPROVED</v>
      </c>
      <c r="T2300" s="1" t="str">
        <f>IFERROR(__xludf.DUMMYFUNCTION("""COMPUTED_VALUE"""),"CLOSED")</f>
        <v>CLOSED</v>
      </c>
      <c r="U2300" s="1" t="str">
        <f>IFERROR(__xludf.DUMMYFUNCTION("""COMPUTED_VALUE"""),"POSTED")</f>
        <v>POSTED</v>
      </c>
      <c r="V2300" s="1"/>
      <c r="W2300" s="1"/>
    </row>
    <row r="2301" customHeight="1" spans="1:23">
      <c r="A2301" s="3">
        <f>IFERROR(__xludf.DUMMYFUNCTION("""COMPUTED_VALUE"""),46202)</f>
        <v>46202</v>
      </c>
      <c r="B2301" s="1" t="str">
        <f>IFERROR(__xludf.DUMMYFUNCTION("""COMPUTED_VALUE"""),"MALIWAT MARK ELVIN")</f>
        <v>MALIWAT MARK ELVIN</v>
      </c>
      <c r="C2301" s="1" t="str">
        <f>IFERROR(__xludf.DUMMYFUNCTION("""COMPUTED_VALUE"""),"FLA")</f>
        <v>FLA</v>
      </c>
      <c r="D2301" s="1" t="str">
        <f>IFERROR(__xludf.DUMMYFUNCTION("""COMPUTED_VALUE"""),"JERIC NAVARRO")</f>
        <v>JERIC NAVARRO</v>
      </c>
      <c r="E2301" s="1" t="str">
        <f>IFERROR(__xludf.DUMMYFUNCTION("""COMPUTED_VALUE"""),"PLDT / H2H")</f>
        <v>PLDT / H2H</v>
      </c>
      <c r="F2301" s="1">
        <f>IFERROR(__xludf.DUMMYFUNCTION("""COMPUTED_VALUE"""),2310574636)</f>
        <v>2310574636</v>
      </c>
      <c r="G2301" s="1">
        <f>IFERROR(__xludf.DUMMYFUNCTION("""COMPUTED_VALUE"""),460531135004)</f>
        <v>460531135004</v>
      </c>
      <c r="H2301" s="1" t="str">
        <f>IFERROR(__xludf.DUMMYFUNCTION("""COMPUTED_VALUE"""),"PABLITO MORENO ROSE")</f>
        <v>PABLITO MORENO ROSE</v>
      </c>
      <c r="I2301" s="1">
        <f>IFERROR(__xludf.DUMMYFUNCTION("""COMPUTED_VALUE"""),9454500324)</f>
        <v>9454500324</v>
      </c>
      <c r="J2301" s="1">
        <f>IFERROR(__xludf.DUMMYFUNCTION("""COMPUTED_VALUE"""),9295405657)</f>
        <v>9295405657</v>
      </c>
      <c r="K2301" s="1" t="str">
        <f>IFERROR(__xludf.DUMMYFUNCTION("""COMPUTED_VALUE"""),"stayplease979@gmail.com")</f>
        <v>stayplease979@gmail.com</v>
      </c>
      <c r="L2301" s="1" t="str">
        <f>IFERROR(__xludf.DUMMYFUNCTION("""COMPUTED_VALUE"""),"        BLK 25 LOT 7")</f>
        <v>        BLK 25 LOT 7</v>
      </c>
      <c r="M2301" s="1" t="str">
        <f>IFERROR(__xludf.DUMMYFUNCTION("""COMPUTED_VALUE"""),"PHASE 6")</f>
        <v>PHASE 6</v>
      </c>
      <c r="N2301" s="1"/>
      <c r="O2301" s="1" t="str">
        <f>IFERROR(__xludf.DUMMYFUNCTION("""COMPUTED_VALUE"""),"BULIHAN")</f>
        <v>BULIHAN</v>
      </c>
      <c r="P2301" s="1" t="str">
        <f>IFERROR(__xludf.DUMMYFUNCTION("""COMPUTED_VALUE"""),"SILANG")</f>
        <v>SILANG</v>
      </c>
      <c r="Q2301" s="1" t="str">
        <f>IFERROR(__xludf.DUMMYFUNCTION("""COMPUTED_VALUE"""),"CAVITE")</f>
        <v>CAVITE</v>
      </c>
      <c r="R2301" s="1" t="str">
        <f>IFERROR(__xludf.DUMMYFUNCTION("""COMPUTED_VALUE"""),"FIBR NETFLIX PLAN 1599")</f>
        <v>FIBR NETFLIX PLAN 1599</v>
      </c>
      <c r="S2301" s="1" t="str">
        <f>IFERROR(__xludf.DUMMYFUNCTION("""COMPUTED_VALUE"""),"APPROVED")</f>
        <v>APPROVED</v>
      </c>
      <c r="T2301" s="1" t="str">
        <f>IFERROR(__xludf.DUMMYFUNCTION("""COMPUTED_VALUE"""),"CLOSED")</f>
        <v>CLOSED</v>
      </c>
      <c r="U2301" s="1" t="str">
        <f>IFERROR(__xludf.DUMMYFUNCTION("""COMPUTED_VALUE"""),"POSTED")</f>
        <v>POSTED</v>
      </c>
      <c r="V2301" s="1"/>
      <c r="W2301" s="1"/>
    </row>
    <row r="2302" customHeight="1" spans="1:23">
      <c r="A2302" s="3">
        <f>IFERROR(__xludf.DUMMYFUNCTION("""COMPUTED_VALUE"""),46202)</f>
        <v>46202</v>
      </c>
      <c r="B2302" s="1" t="str">
        <f>IFERROR(__xludf.DUMMYFUNCTION("""COMPUTED_VALUE"""),"ACOSTA. ZAIRUS")</f>
        <v>ACOSTA. ZAIRUS</v>
      </c>
      <c r="C2302" s="1" t="str">
        <f>IFERROR(__xludf.DUMMYFUNCTION("""COMPUTED_VALUE"""),"ORGANIC")</f>
        <v>ORGANIC</v>
      </c>
      <c r="D2302" s="1" t="str">
        <f>IFERROR(__xludf.DUMMYFUNCTION("""COMPUTED_VALUE"""),"REMOLLO LEA")</f>
        <v>REMOLLO LEA</v>
      </c>
      <c r="E2302" s="1" t="str">
        <f>IFERROR(__xludf.DUMMYFUNCTION("""COMPUTED_VALUE"""),"PLDT / H2H")</f>
        <v>PLDT / H2H</v>
      </c>
      <c r="F2302" s="1">
        <f>IFERROR(__xludf.DUMMYFUNCTION("""COMPUTED_VALUE"""),2310575031)</f>
        <v>2310575031</v>
      </c>
      <c r="G2302" s="1">
        <f>IFERROR(__xludf.DUMMYFUNCTION("""COMPUTED_VALUE"""),460531335004)</f>
        <v>460531335004</v>
      </c>
      <c r="H2302" s="1" t="str">
        <f>IFERROR(__xludf.DUMMYFUNCTION("""COMPUTED_VALUE"""),"LEO MAYO BALDEO")</f>
        <v>LEO MAYO BALDEO</v>
      </c>
      <c r="I2302" s="1">
        <f>IFERROR(__xludf.DUMMYFUNCTION("""COMPUTED_VALUE"""),9917787128)</f>
        <v>9917787128</v>
      </c>
      <c r="J2302" s="1">
        <f>IFERROR(__xludf.DUMMYFUNCTION("""COMPUTED_VALUE"""),9296934184)</f>
        <v>9296934184</v>
      </c>
      <c r="K2302" s="1" t="str">
        <f>IFERROR(__xludf.DUMMYFUNCTION("""COMPUTED_VALUE"""),"leo.baldeo16@gmail.com")</f>
        <v>leo.baldeo16@gmail.com</v>
      </c>
      <c r="L2302" s="1" t="str">
        <f>IFERROR(__xludf.DUMMYFUNCTION("""COMPUTED_VALUE"""),"918")</f>
        <v>918</v>
      </c>
      <c r="M2302" s="1" t="str">
        <f>IFERROR(__xludf.DUMMYFUNCTION("""COMPUTED_VALUE"""),"MAYSILI")</f>
        <v>MAYSILI</v>
      </c>
      <c r="N2302" s="1"/>
      <c r="O2302" s="1" t="str">
        <f>IFERROR(__xludf.DUMMYFUNCTION("""COMPUTED_VALUE"""),"ASIS III")</f>
        <v>ASIS III</v>
      </c>
      <c r="P2302" s="1" t="str">
        <f>IFERROR(__xludf.DUMMYFUNCTION("""COMPUTED_VALUE"""),"MENDEZ")</f>
        <v>MENDEZ</v>
      </c>
      <c r="Q2302" s="1" t="str">
        <f>IFERROR(__xludf.DUMMYFUNCTION("""COMPUTED_VALUE"""),"CAVITE")</f>
        <v>CAVITE</v>
      </c>
      <c r="R2302" s="1" t="str">
        <f>IFERROR(__xludf.DUMMYFUNCTION("""COMPUTED_VALUE"""),"FIBR UNLI ALL PLAN 1399")</f>
        <v>FIBR UNLI ALL PLAN 1399</v>
      </c>
      <c r="S2302" s="1" t="str">
        <f>IFERROR(__xludf.DUMMYFUNCTION("""COMPUTED_VALUE"""),"APPROVED")</f>
        <v>APPROVED</v>
      </c>
      <c r="T2302" s="1" t="str">
        <f>IFERROR(__xludf.DUMMYFUNCTION("""COMPUTED_VALUE"""),"CLOSED")</f>
        <v>CLOSED</v>
      </c>
      <c r="U2302" s="1" t="str">
        <f>IFERROR(__xludf.DUMMYFUNCTION("""COMPUTED_VALUE"""),"POSTED")</f>
        <v>POSTED</v>
      </c>
      <c r="V2302" s="1"/>
      <c r="W2302" s="1"/>
    </row>
    <row r="2303" customHeight="1" spans="1:23">
      <c r="A2303" s="3">
        <f>IFERROR(__xludf.DUMMYFUNCTION("""COMPUTED_VALUE"""),46202)</f>
        <v>46202</v>
      </c>
      <c r="B2303" s="1" t="str">
        <f>IFERROR(__xludf.DUMMYFUNCTION("""COMPUTED_VALUE"""),"AYON MANUEL")</f>
        <v>AYON MANUEL</v>
      </c>
      <c r="C2303" s="1" t="str">
        <f>IFERROR(__xludf.DUMMYFUNCTION("""COMPUTED_VALUE"""),"FLA")</f>
        <v>FLA</v>
      </c>
      <c r="D2303" s="1" t="str">
        <f>IFERROR(__xludf.DUMMYFUNCTION("""COMPUTED_VALUE"""),"JERIC NAVARRO")</f>
        <v>JERIC NAVARRO</v>
      </c>
      <c r="E2303" s="1" t="str">
        <f>IFERROR(__xludf.DUMMYFUNCTION("""COMPUTED_VALUE"""),"PLDT / H2H")</f>
        <v>PLDT / H2H</v>
      </c>
      <c r="F2303" s="1">
        <f>IFERROR(__xludf.DUMMYFUNCTION("""COMPUTED_VALUE"""),2310575552)</f>
        <v>2310575552</v>
      </c>
      <c r="G2303" s="1">
        <f>IFERROR(__xludf.DUMMYFUNCTION("""COMPUTED_VALUE"""),460532254004)</f>
        <v>460532254004</v>
      </c>
      <c r="H2303" s="1" t="str">
        <f>IFERROR(__xludf.DUMMYFUNCTION("""COMPUTED_VALUE"""),"ARVIN JASPER RODRIGUEZ ADAN")</f>
        <v>ARVIN JASPER RODRIGUEZ ADAN</v>
      </c>
      <c r="I2303" s="1">
        <f>IFERROR(__xludf.DUMMYFUNCTION("""COMPUTED_VALUE"""),9158644889)</f>
        <v>9158644889</v>
      </c>
      <c r="J2303" s="1">
        <f>IFERROR(__xludf.DUMMYFUNCTION("""COMPUTED_VALUE"""),9297340778)</f>
        <v>9297340778</v>
      </c>
      <c r="K2303" s="1" t="str">
        <f>IFERROR(__xludf.DUMMYFUNCTION("""COMPUTED_VALUE"""),"arvinadan22@yahoo.com")</f>
        <v>arvinadan22@yahoo.com</v>
      </c>
      <c r="L2303" s="1" t="str">
        <f>IFERROR(__xludf.DUMMYFUNCTION("""COMPUTED_VALUE"""),"BLK 19 LOT 7")</f>
        <v>BLK 19 LOT 7</v>
      </c>
      <c r="M2303" s="1" t="str">
        <f>IFERROR(__xludf.DUMMYFUNCTION("""COMPUTED_VALUE"""),"RANCHO IMPERIAL")</f>
        <v>RANCHO IMPERIAL</v>
      </c>
      <c r="N2303" s="1" t="str">
        <f>IFERROR(__xludf.DUMMYFUNCTION("""COMPUTED_VALUE"""),"RANCHO IMPERIAL")</f>
        <v>RANCHO IMPERIAL</v>
      </c>
      <c r="O2303" s="1" t="str">
        <f>IFERROR(__xludf.DUMMYFUNCTION("""COMPUTED_VALUE"""),"TARTARIA")</f>
        <v>TARTARIA</v>
      </c>
      <c r="P2303" s="1" t="str">
        <f>IFERROR(__xludf.DUMMYFUNCTION("""COMPUTED_VALUE"""),"SILANG")</f>
        <v>SILANG</v>
      </c>
      <c r="Q2303" s="1" t="str">
        <f>IFERROR(__xludf.DUMMYFUNCTION("""COMPUTED_VALUE"""),"CAVITE")</f>
        <v>CAVITE</v>
      </c>
      <c r="R2303" s="1" t="str">
        <f>IFERROR(__xludf.DUMMYFUNCTION("""COMPUTED_VALUE"""),"FIBR UNLI ALL PLAN 1399")</f>
        <v>FIBR UNLI ALL PLAN 1399</v>
      </c>
      <c r="S2303" s="1" t="str">
        <f>IFERROR(__xludf.DUMMYFUNCTION("""COMPUTED_VALUE"""),"APPROVED")</f>
        <v>APPROVED</v>
      </c>
      <c r="T2303" s="1" t="str">
        <f>IFERROR(__xludf.DUMMYFUNCTION("""COMPUTED_VALUE"""),"CLOSED")</f>
        <v>CLOSED</v>
      </c>
      <c r="U2303" s="1" t="str">
        <f>IFERROR(__xludf.DUMMYFUNCTION("""COMPUTED_VALUE"""),"POSTED")</f>
        <v>POSTED</v>
      </c>
      <c r="V2303" s="1"/>
      <c r="W2303" s="1"/>
    </row>
    <row r="2304" customHeight="1" spans="1:23">
      <c r="A2304" s="3">
        <f>IFERROR(__xludf.DUMMYFUNCTION("""COMPUTED_VALUE"""),46202)</f>
        <v>46202</v>
      </c>
      <c r="B2304" s="1" t="str">
        <f>IFERROR(__xludf.DUMMYFUNCTION("""COMPUTED_VALUE"""),"TAMAYO, MARY ROSE")</f>
        <v>TAMAYO, MARY ROSE</v>
      </c>
      <c r="C2304" s="1" t="str">
        <f>IFERROR(__xludf.DUMMYFUNCTION("""COMPUTED_VALUE"""),"ORGANIC")</f>
        <v>ORGANIC</v>
      </c>
      <c r="D2304" s="1" t="str">
        <f>IFERROR(__xludf.DUMMYFUNCTION("""COMPUTED_VALUE"""),"REMOLLO LEA")</f>
        <v>REMOLLO LEA</v>
      </c>
      <c r="E2304" s="1" t="str">
        <f>IFERROR(__xludf.DUMMYFUNCTION("""COMPUTED_VALUE"""),"PLDT / H2H")</f>
        <v>PLDT / H2H</v>
      </c>
      <c r="F2304" s="1">
        <f>IFERROR(__xludf.DUMMYFUNCTION("""COMPUTED_VALUE"""),2310576227)</f>
        <v>2310576227</v>
      </c>
      <c r="G2304" s="1">
        <f>IFERROR(__xludf.DUMMYFUNCTION("""COMPUTED_VALUE"""),460545017004)</f>
        <v>460545017004</v>
      </c>
      <c r="H2304" s="1" t="str">
        <f>IFERROR(__xludf.DUMMYFUNCTION("""COMPUTED_VALUE"""),"LYDIA CARINO CONOS")</f>
        <v>LYDIA CARINO CONOS</v>
      </c>
      <c r="I2304" s="1">
        <f>IFERROR(__xludf.DUMMYFUNCTION("""COMPUTED_VALUE"""),9499158992)</f>
        <v>9499158992</v>
      </c>
      <c r="J2304" s="1">
        <f>IFERROR(__xludf.DUMMYFUNCTION("""COMPUTED_VALUE"""),9687123469)</f>
        <v>9687123469</v>
      </c>
      <c r="K2304" s="1" t="str">
        <f>IFERROR(__xludf.DUMMYFUNCTION("""COMPUTED_VALUE"""),"franciscogamanaalivio@gmail.com")</f>
        <v>franciscogamanaalivio@gmail.com</v>
      </c>
      <c r="L2304" s="1" t="str">
        <f>IFERROR(__xludf.DUMMYFUNCTION("""COMPUTED_VALUE"""),"141")</f>
        <v>141</v>
      </c>
      <c r="M2304" s="1" t="str">
        <f>IFERROR(__xludf.DUMMYFUNCTION("""COMPUTED_VALUE"""),"G DE JESUS RD")</f>
        <v>G DE JESUS RD</v>
      </c>
      <c r="N2304" s="1"/>
      <c r="O2304" s="1" t="str">
        <f>IFERROR(__xludf.DUMMYFUNCTION("""COMPUTED_VALUE"""),"GREGORIA DE JESUS")</f>
        <v>GREGORIA DE JESUS</v>
      </c>
      <c r="P2304" s="1" t="str">
        <f>IFERROR(__xludf.DUMMYFUNCTION("""COMPUTED_VALUE"""),"GEN MARIANO ALVAREZ")</f>
        <v>GEN MARIANO ALVAREZ</v>
      </c>
      <c r="Q2304" s="1" t="str">
        <f>IFERROR(__xludf.DUMMYFUNCTION("""COMPUTED_VALUE"""),"CAVITE")</f>
        <v>CAVITE</v>
      </c>
      <c r="R2304" s="1" t="str">
        <f>IFERROR(__xludf.DUMMYFUNCTION("""COMPUTED_VALUE"""),"FIBR UNLI ALL PLAN 999")</f>
        <v>FIBR UNLI ALL PLAN 999</v>
      </c>
      <c r="S2304" s="1" t="str">
        <f>IFERROR(__xludf.DUMMYFUNCTION("""COMPUTED_VALUE"""),"APPROVED")</f>
        <v>APPROVED</v>
      </c>
      <c r="T2304" s="1" t="str">
        <f>IFERROR(__xludf.DUMMYFUNCTION("""COMPUTED_VALUE"""),"CLOSED")</f>
        <v>CLOSED</v>
      </c>
      <c r="U2304" s="1" t="str">
        <f>IFERROR(__xludf.DUMMYFUNCTION("""COMPUTED_VALUE"""),"POSTED")</f>
        <v>POSTED</v>
      </c>
      <c r="V2304" s="1"/>
      <c r="W2304" s="1"/>
    </row>
    <row r="2305" customHeight="1" spans="1:23">
      <c r="A2305" s="3">
        <f>IFERROR(__xludf.DUMMYFUNCTION("""COMPUTED_VALUE"""),46202)</f>
        <v>46202</v>
      </c>
      <c r="B2305" s="1" t="str">
        <f>IFERROR(__xludf.DUMMYFUNCTION("""COMPUTED_VALUE"""),"ESCARCHA, MA ALMA  ESCOTO")</f>
        <v>ESCARCHA, MA ALMA  ESCOTO</v>
      </c>
      <c r="C2305" s="1" t="str">
        <f>IFERROR(__xludf.DUMMYFUNCTION("""COMPUTED_VALUE"""),"ORGANIC")</f>
        <v>ORGANIC</v>
      </c>
      <c r="D2305" s="1" t="str">
        <f>IFERROR(__xludf.DUMMYFUNCTION("""COMPUTED_VALUE"""),"REMOLLO LEA")</f>
        <v>REMOLLO LEA</v>
      </c>
      <c r="E2305" s="1" t="str">
        <f>IFERROR(__xludf.DUMMYFUNCTION("""COMPUTED_VALUE"""),"PLDT / H2H")</f>
        <v>PLDT / H2H</v>
      </c>
      <c r="F2305" s="1"/>
      <c r="G2305" s="1"/>
      <c r="H2305" s="1" t="str">
        <f>IFERROR(__xludf.DUMMYFUNCTION("""COMPUTED_VALUE"""),"BERNARDO NAMORA ORPIADA")</f>
        <v>BERNARDO NAMORA ORPIADA</v>
      </c>
      <c r="I2305" s="1">
        <f>IFERROR(__xludf.DUMMYFUNCTION("""COMPUTED_VALUE"""),9056550525)</f>
        <v>9056550525</v>
      </c>
      <c r="J2305" s="1">
        <f>IFERROR(__xludf.DUMMYFUNCTION("""COMPUTED_VALUE"""),9652118770)</f>
        <v>9652118770</v>
      </c>
      <c r="K2305" s="1" t="str">
        <f>IFERROR(__xludf.DUMMYFUNCTION("""COMPUTED_VALUE"""),"bernardythoorpiada70@gmail.com")</f>
        <v>bernardythoorpiada70@gmail.com</v>
      </c>
      <c r="L2305" s="1" t="str">
        <f>IFERROR(__xludf.DUMMYFUNCTION("""COMPUTED_VALUE"""),"227")</f>
        <v>227</v>
      </c>
      <c r="M2305" s="1" t="str">
        <f>IFERROR(__xludf.DUMMYFUNCTION("""COMPUTED_VALUE"""),"KALYE PUTOL")</f>
        <v>KALYE PUTOL</v>
      </c>
      <c r="N2305" s="1"/>
      <c r="O2305" s="1" t="str">
        <f>IFERROR(__xludf.DUMMYFUNCTION("""COMPUTED_VALUE"""),"TIBIG")</f>
        <v>TIBIG</v>
      </c>
      <c r="P2305" s="1" t="str">
        <f>IFERROR(__xludf.DUMMYFUNCTION("""COMPUTED_VALUE"""),"SILANG")</f>
        <v>SILANG</v>
      </c>
      <c r="Q2305" s="1" t="str">
        <f>IFERROR(__xludf.DUMMYFUNCTION("""COMPUTED_VALUE"""),"CAVITE")</f>
        <v>CAVITE</v>
      </c>
      <c r="R2305" s="1" t="str">
        <f>IFERROR(__xludf.DUMMYFUNCTION("""COMPUTED_VALUE"""),"FIBR UNLI ALL PLAN 999")</f>
        <v>FIBR UNLI ALL PLAN 999</v>
      </c>
      <c r="S2305" s="1" t="str">
        <f>IFERROR(__xludf.DUMMYFUNCTION("""COMPUTED_VALUE"""),"CANCELLED ")</f>
        <v>CANCELLED </v>
      </c>
      <c r="T2305" s="1" t="str">
        <f>IFERROR(__xludf.DUMMYFUNCTION("""COMPUTED_VALUE"""),"#N/A")</f>
        <v>#N/A</v>
      </c>
      <c r="U2305" s="1" t="str">
        <f>IFERROR(__xludf.DUMMYFUNCTION("""COMPUTED_VALUE"""),"WITH EXISTING SR ")</f>
        <v>WITH EXISTING SR </v>
      </c>
      <c r="V2305" s="1"/>
      <c r="W2305" s="1"/>
    </row>
    <row r="2306" customHeight="1" spans="1:23">
      <c r="A2306" s="3">
        <f>IFERROR(__xludf.DUMMYFUNCTION("""COMPUTED_VALUE"""),46202)</f>
        <v>46202</v>
      </c>
      <c r="B2306" s="1" t="str">
        <f>IFERROR(__xludf.DUMMYFUNCTION("""COMPUTED_VALUE"""),"ACOSTA. ZAIRUS")</f>
        <v>ACOSTA. ZAIRUS</v>
      </c>
      <c r="C2306" s="1" t="str">
        <f>IFERROR(__xludf.DUMMYFUNCTION("""COMPUTED_VALUE"""),"ORGANIC")</f>
        <v>ORGANIC</v>
      </c>
      <c r="D2306" s="1" t="str">
        <f>IFERROR(__xludf.DUMMYFUNCTION("""COMPUTED_VALUE"""),"REMOLLO LEA")</f>
        <v>REMOLLO LEA</v>
      </c>
      <c r="E2306" s="1" t="str">
        <f>IFERROR(__xludf.DUMMYFUNCTION("""COMPUTED_VALUE"""),"PLDT / H2H")</f>
        <v>PLDT / H2H</v>
      </c>
      <c r="F2306" s="1">
        <f>IFERROR(__xludf.DUMMYFUNCTION("""COMPUTED_VALUE"""),2310577391)</f>
        <v>2310577391</v>
      </c>
      <c r="G2306" s="1">
        <f>IFERROR(__xludf.DUMMYFUNCTION("""COMPUTED_VALUE"""),460535674004)</f>
        <v>460535674004</v>
      </c>
      <c r="H2306" s="1" t="str">
        <f>IFERROR(__xludf.DUMMYFUNCTION("""COMPUTED_VALUE"""),"BLESSIE JOY CASTANEDA MILLEZA")</f>
        <v>BLESSIE JOY CASTANEDA MILLEZA</v>
      </c>
      <c r="I2306" s="1">
        <f>IFERROR(__xludf.DUMMYFUNCTION("""COMPUTED_VALUE"""),9108752374)</f>
        <v>9108752374</v>
      </c>
      <c r="J2306" s="1">
        <f>IFERROR(__xludf.DUMMYFUNCTION("""COMPUTED_VALUE"""),926142503)</f>
        <v>926142503</v>
      </c>
      <c r="K2306" s="1" t="str">
        <f>IFERROR(__xludf.DUMMYFUNCTION("""COMPUTED_VALUE"""),"bj.milleza@gmail.com")</f>
        <v>bj.milleza@gmail.com</v>
      </c>
      <c r="L2306" s="1" t="str">
        <f>IFERROR(__xludf.DUMMYFUNCTION("""COMPUTED_VALUE"""),"BLK 3B LOT 22")</f>
        <v>BLK 3B LOT 22</v>
      </c>
      <c r="M2306" s="1" t="str">
        <f>IFERROR(__xludf.DUMMYFUNCTION("""COMPUTED_VALUE"""),"G DE JESUS RD")</f>
        <v>G DE JESUS RD</v>
      </c>
      <c r="N2306" s="1"/>
      <c r="O2306" s="1" t="str">
        <f>IFERROR(__xludf.DUMMYFUNCTION("""COMPUTED_VALUE"""),"GREGORIA DE JESUS")</f>
        <v>GREGORIA DE JESUS</v>
      </c>
      <c r="P2306" s="1" t="str">
        <f>IFERROR(__xludf.DUMMYFUNCTION("""COMPUTED_VALUE"""),"GEN MARIANO ALVAREZ")</f>
        <v>GEN MARIANO ALVAREZ</v>
      </c>
      <c r="Q2306" s="1" t="str">
        <f>IFERROR(__xludf.DUMMYFUNCTION("""COMPUTED_VALUE"""),"CAVITE")</f>
        <v>CAVITE</v>
      </c>
      <c r="R2306" s="1" t="str">
        <f>IFERROR(__xludf.DUMMYFUNCTION("""COMPUTED_VALUE"""),"FIBR UNLI ALL PLAN 999")</f>
        <v>FIBR UNLI ALL PLAN 999</v>
      </c>
      <c r="S2306" s="1" t="str">
        <f>IFERROR(__xludf.DUMMYFUNCTION("""COMPUTED_VALUE"""),"APPROVED")</f>
        <v>APPROVED</v>
      </c>
      <c r="T2306" s="1" t="str">
        <f>IFERROR(__xludf.DUMMYFUNCTION("""COMPUTED_VALUE"""),"CLOSED")</f>
        <v>CLOSED</v>
      </c>
      <c r="U2306" s="1" t="str">
        <f>IFERROR(__xludf.DUMMYFUNCTION("""COMPUTED_VALUE"""),"POSTED")</f>
        <v>POSTED</v>
      </c>
      <c r="V2306" s="1"/>
      <c r="W2306" s="1"/>
    </row>
    <row r="2307" customHeight="1" spans="1:23">
      <c r="A2307" s="3">
        <f>IFERROR(__xludf.DUMMYFUNCTION("""COMPUTED_VALUE"""),46202)</f>
        <v>46202</v>
      </c>
      <c r="B2307" s="1" t="str">
        <f>IFERROR(__xludf.DUMMYFUNCTION("""COMPUTED_VALUE"""),"RIVERA, AIRIZH JOY")</f>
        <v>RIVERA, AIRIZH JOY</v>
      </c>
      <c r="C2307" s="1" t="str">
        <f>IFERROR(__xludf.DUMMYFUNCTION("""COMPUTED_VALUE"""),"ORGANIC")</f>
        <v>ORGANIC</v>
      </c>
      <c r="D2307" s="1" t="str">
        <f>IFERROR(__xludf.DUMMYFUNCTION("""COMPUTED_VALUE"""),"REMOLLO LEA")</f>
        <v>REMOLLO LEA</v>
      </c>
      <c r="E2307" s="1" t="str">
        <f>IFERROR(__xludf.DUMMYFUNCTION("""COMPUTED_VALUE"""),"PLDT / H2H")</f>
        <v>PLDT / H2H</v>
      </c>
      <c r="F2307" s="1">
        <f>IFERROR(__xludf.DUMMYFUNCTION("""COMPUTED_VALUE"""),2310600559)</f>
        <v>2310600559</v>
      </c>
      <c r="G2307" s="1"/>
      <c r="H2307" s="1" t="str">
        <f>IFERROR(__xludf.DUMMYFUNCTION("""COMPUTED_VALUE"""),"JOVILYN MORALES DIMAILIG")</f>
        <v>JOVILYN MORALES DIMAILIG</v>
      </c>
      <c r="I2307" s="1">
        <f>IFERROR(__xludf.DUMMYFUNCTION("""COMPUTED_VALUE"""),9950221612)</f>
        <v>9950221612</v>
      </c>
      <c r="J2307" s="1">
        <f>IFERROR(__xludf.DUMMYFUNCTION("""COMPUTED_VALUE"""),9853696675)</f>
        <v>9853696675</v>
      </c>
      <c r="K2307" s="1" t="str">
        <f>IFERROR(__xludf.DUMMYFUNCTION("""COMPUTED_VALUE"""),"mherryjoyceann@gmail.com")</f>
        <v>mherryjoyceann@gmail.com</v>
      </c>
      <c r="L2307" s="1" t="str">
        <f>IFERROR(__xludf.DUMMYFUNCTION("""COMPUTED_VALUE"""),"BLK 18 LOT 5")</f>
        <v>BLK 18 LOT 5</v>
      </c>
      <c r="M2307" s="1" t="str">
        <f>IFERROR(__xludf.DUMMYFUNCTION("""COMPUTED_VALUE"""),"BUKLURAN 2")</f>
        <v>BUKLURAN 2</v>
      </c>
      <c r="N2307" s="1"/>
      <c r="O2307" s="1" t="str">
        <f>IFERROR(__xludf.DUMMYFUNCTION("""COMPUTED_VALUE"""),"BULIHAN")</f>
        <v>BULIHAN</v>
      </c>
      <c r="P2307" s="1" t="str">
        <f>IFERROR(__xludf.DUMMYFUNCTION("""COMPUTED_VALUE"""),"SILANG")</f>
        <v>SILANG</v>
      </c>
      <c r="Q2307" s="1" t="str">
        <f>IFERROR(__xludf.DUMMYFUNCTION("""COMPUTED_VALUE"""),"CAVITE")</f>
        <v>CAVITE</v>
      </c>
      <c r="R2307" s="1" t="str">
        <f>IFERROR(__xludf.DUMMYFUNCTION("""COMPUTED_VALUE"""),"FIBR NETFLIX PLAN 1599")</f>
        <v>FIBR NETFLIX PLAN 1599</v>
      </c>
      <c r="S2307" s="1" t="str">
        <f>IFERROR(__xludf.DUMMYFUNCTION("""COMPUTED_VALUE"""),"APPROVED")</f>
        <v>APPROVED</v>
      </c>
      <c r="T2307" s="1" t="str">
        <f>IFERROR(__xludf.DUMMYFUNCTION("""COMPUTED_VALUE"""),"#N/A")</f>
        <v>#N/A</v>
      </c>
      <c r="U2307" s="1" t="str">
        <f>IFERROR(__xludf.DUMMYFUNCTION("""COMPUTED_VALUE"""),"FOR COMPLIANCE OF SOA WITH SELFIE")</f>
        <v>FOR COMPLIANCE OF SOA WITH SELFIE</v>
      </c>
      <c r="V2307" s="1"/>
      <c r="W2307" s="1"/>
    </row>
    <row r="2308" customHeight="1" spans="1:23">
      <c r="A2308" s="3">
        <f>IFERROR(__xludf.DUMMYFUNCTION("""COMPUTED_VALUE"""),46203)</f>
        <v>46203</v>
      </c>
      <c r="B2308" s="1" t="str">
        <f>IFERROR(__xludf.DUMMYFUNCTION("""COMPUTED_VALUE"""),"RIVERA, AIRIZH JOY")</f>
        <v>RIVERA, AIRIZH JOY</v>
      </c>
      <c r="C2308" s="1" t="str">
        <f>IFERROR(__xludf.DUMMYFUNCTION("""COMPUTED_VALUE"""),"ORGANIC")</f>
        <v>ORGANIC</v>
      </c>
      <c r="D2308" s="1" t="str">
        <f>IFERROR(__xludf.DUMMYFUNCTION("""COMPUTED_VALUE"""),"REMOLLO LEA")</f>
        <v>REMOLLO LEA</v>
      </c>
      <c r="E2308" s="1" t="str">
        <f>IFERROR(__xludf.DUMMYFUNCTION("""COMPUTED_VALUE"""),"PLDT / ONLINE")</f>
        <v>PLDT / ONLINE</v>
      </c>
      <c r="F2308" s="1">
        <f>IFERROR(__xludf.DUMMYFUNCTION("""COMPUTED_VALUE"""),2310602494)</f>
        <v>2310602494</v>
      </c>
      <c r="G2308" s="1">
        <f>IFERROR(__xludf.DUMMYFUNCTION("""COMPUTED_VALUE"""),460741145004)</f>
        <v>460741145004</v>
      </c>
      <c r="H2308" s="1" t="str">
        <f>IFERROR(__xludf.DUMMYFUNCTION("""COMPUTED_VALUE"""),"CHRISTIAN MAMING ESCAMILLAN")</f>
        <v>CHRISTIAN MAMING ESCAMILLAN</v>
      </c>
      <c r="I2308" s="1">
        <f>IFERROR(__xludf.DUMMYFUNCTION("""COMPUTED_VALUE"""),9651505550)</f>
        <v>9651505550</v>
      </c>
      <c r="J2308" s="1"/>
      <c r="K2308" s="1" t="str">
        <f>IFERROR(__xludf.DUMMYFUNCTION("""COMPUTED_VALUE"""),"gtrepairco@gmail.com")</f>
        <v>gtrepairco@gmail.com</v>
      </c>
      <c r="L2308" s="1" t="str">
        <f>IFERROR(__xludf.DUMMYFUNCTION("""COMPUTED_VALUE"""),"239")</f>
        <v>239</v>
      </c>
      <c r="M2308" s="1" t="str">
        <f>IFERROR(__xludf.DUMMYFUNCTION("""COMPUTED_VALUE"""),"MOLINO ST")</f>
        <v>MOLINO ST</v>
      </c>
      <c r="N2308" s="1"/>
      <c r="O2308" s="1" t="str">
        <f>IFERROR(__xludf.DUMMYFUNCTION("""COMPUTED_VALUE"""),"BARANGAY 57 (REPOLYO)")</f>
        <v>BARANGAY 57 (REPOLYO)</v>
      </c>
      <c r="P2308" s="1" t="str">
        <f>IFERROR(__xludf.DUMMYFUNCTION("""COMPUTED_VALUE"""),"CAVITE CITY")</f>
        <v>CAVITE CITY</v>
      </c>
      <c r="Q2308" s="1" t="str">
        <f>IFERROR(__xludf.DUMMYFUNCTION("""COMPUTED_VALUE"""),"CAVITE")</f>
        <v>CAVITE</v>
      </c>
      <c r="R2308" s="1" t="str">
        <f>IFERROR(__xludf.DUMMYFUNCTION("""COMPUTED_VALUE"""),"FIBR PLAN 1699")</f>
        <v>FIBR PLAN 1699</v>
      </c>
      <c r="S2308" s="1" t="str">
        <f>IFERROR(__xludf.DUMMYFUNCTION("""COMPUTED_VALUE"""),"APPROVED")</f>
        <v>APPROVED</v>
      </c>
      <c r="T2308" s="1" t="str">
        <f>IFERROR(__xludf.DUMMYFUNCTION("""COMPUTED_VALUE"""),"CLOSED")</f>
        <v>CLOSED</v>
      </c>
      <c r="U2308" s="1" t="str">
        <f>IFERROR(__xludf.DUMMYFUNCTION("""COMPUTED_VALUE"""),"POSTED")</f>
        <v>POSTED</v>
      </c>
      <c r="V2308" s="1"/>
      <c r="W2308" s="1"/>
    </row>
    <row r="2309" customHeight="1" spans="1:23">
      <c r="A2309" s="3">
        <f>IFERROR(__xludf.DUMMYFUNCTION("""COMPUTED_VALUE"""),46203)</f>
        <v>46203</v>
      </c>
      <c r="B2309" s="1" t="str">
        <f>IFERROR(__xludf.DUMMYFUNCTION("""COMPUTED_VALUE"""),"ACOSTA. ZAIRUS")</f>
        <v>ACOSTA. ZAIRUS</v>
      </c>
      <c r="C2309" s="1" t="str">
        <f>IFERROR(__xludf.DUMMYFUNCTION("""COMPUTED_VALUE"""),"ORGANIC")</f>
        <v>ORGANIC</v>
      </c>
      <c r="D2309" s="1" t="str">
        <f>IFERROR(__xludf.DUMMYFUNCTION("""COMPUTED_VALUE"""),"REMOLLO LEA")</f>
        <v>REMOLLO LEA</v>
      </c>
      <c r="E2309" s="1" t="str">
        <f>IFERROR(__xludf.DUMMYFUNCTION("""COMPUTED_VALUE"""),"PLDT / ONLINE")</f>
        <v>PLDT / ONLINE</v>
      </c>
      <c r="F2309" s="1">
        <f>IFERROR(__xludf.DUMMYFUNCTION("""COMPUTED_VALUE"""),2310600785)</f>
        <v>2310600785</v>
      </c>
      <c r="G2309" s="1">
        <f>IFERROR(__xludf.DUMMYFUNCTION("""COMPUTED_VALUE"""),460741714004)</f>
        <v>460741714004</v>
      </c>
      <c r="H2309" s="1" t="str">
        <f>IFERROR(__xludf.DUMMYFUNCTION("""COMPUTED_VALUE"""),"JOAN BANCOLITA VACUNAWA")</f>
        <v>JOAN BANCOLITA VACUNAWA</v>
      </c>
      <c r="I2309" s="1">
        <f>IFERROR(__xludf.DUMMYFUNCTION("""COMPUTED_VALUE"""),9460281940)</f>
        <v>9460281940</v>
      </c>
      <c r="J2309" s="1">
        <f>IFERROR(__xludf.DUMMYFUNCTION("""COMPUTED_VALUE"""),9554904506)</f>
        <v>9554904506</v>
      </c>
      <c r="K2309" s="1" t="str">
        <f>IFERROR(__xludf.DUMMYFUNCTION("""COMPUTED_VALUE"""),"celinesalas457@gmail.com")</f>
        <v>celinesalas457@gmail.com</v>
      </c>
      <c r="L2309" s="1" t="str">
        <f>IFERROR(__xludf.DUMMYFUNCTION("""COMPUTED_VALUE"""),"BLK 2 LOT 9")</f>
        <v>BLK 2 LOT 9</v>
      </c>
      <c r="M2309" s="1" t="str">
        <f>IFERROR(__xludf.DUMMYFUNCTION("""COMPUTED_VALUE"""),"ZONE 11")</f>
        <v>ZONE 11</v>
      </c>
      <c r="N2309" s="1"/>
      <c r="O2309" s="1" t="str">
        <f>IFERROR(__xludf.DUMMYFUNCTION("""COMPUTED_VALUE"""),"BULIHAN")</f>
        <v>BULIHAN</v>
      </c>
      <c r="P2309" s="1" t="str">
        <f>IFERROR(__xludf.DUMMYFUNCTION("""COMPUTED_VALUE"""),"SILANG")</f>
        <v>SILANG</v>
      </c>
      <c r="Q2309" s="1" t="str">
        <f>IFERROR(__xludf.DUMMYFUNCTION("""COMPUTED_VALUE"""),"CAVITE")</f>
        <v>CAVITE</v>
      </c>
      <c r="R2309" s="1" t="str">
        <f>IFERROR(__xludf.DUMMYFUNCTION("""COMPUTED_VALUE"""),"FIBR UNLI ALL PLAN 999")</f>
        <v>FIBR UNLI ALL PLAN 999</v>
      </c>
      <c r="S2309" s="1" t="str">
        <f>IFERROR(__xludf.DUMMYFUNCTION("""COMPUTED_VALUE"""),"APPROVED")</f>
        <v>APPROVED</v>
      </c>
      <c r="T2309" s="1" t="str">
        <f>IFERROR(__xludf.DUMMYFUNCTION("""COMPUTED_VALUE"""),"FOR PAYMENT")</f>
        <v>FOR PAYMENT</v>
      </c>
      <c r="U2309" s="1"/>
      <c r="V2309" s="1"/>
      <c r="W2309" s="1"/>
    </row>
    <row r="2310" customHeight="1" spans="1:23">
      <c r="A2310" s="3">
        <f>IFERROR(__xludf.DUMMYFUNCTION("""COMPUTED_VALUE"""),46203)</f>
        <v>46203</v>
      </c>
      <c r="B2310" s="1" t="str">
        <f>IFERROR(__xludf.DUMMYFUNCTION("""COMPUTED_VALUE"""),"FRANCISCO , ROSELYN")</f>
        <v>FRANCISCO , ROSELYN</v>
      </c>
      <c r="C2310" s="1" t="str">
        <f>IFERROR(__xludf.DUMMYFUNCTION("""COMPUTED_VALUE"""),"ORGANIC")</f>
        <v>ORGANIC</v>
      </c>
      <c r="D2310" s="1" t="str">
        <f>IFERROR(__xludf.DUMMYFUNCTION("""COMPUTED_VALUE"""),"REMOLLO LEA")</f>
        <v>REMOLLO LEA</v>
      </c>
      <c r="E2310" s="1" t="str">
        <f>IFERROR(__xludf.DUMMYFUNCTION("""COMPUTED_VALUE"""),"PLDT / ONLINE")</f>
        <v>PLDT / ONLINE</v>
      </c>
      <c r="F2310" s="1">
        <f>IFERROR(__xludf.DUMMYFUNCTION("""COMPUTED_VALUE"""),2310601331)</f>
        <v>2310601331</v>
      </c>
      <c r="G2310" s="1">
        <f>IFERROR(__xludf.DUMMYFUNCTION("""COMPUTED_VALUE"""),460743705004)</f>
        <v>460743705004</v>
      </c>
      <c r="H2310" s="1" t="str">
        <f>IFERROR(__xludf.DUMMYFUNCTION("""COMPUTED_VALUE"""),"MARIAN HERNANDO ROGANDO")</f>
        <v>MARIAN HERNANDO ROGANDO</v>
      </c>
      <c r="I2310" s="1">
        <f>IFERROR(__xludf.DUMMYFUNCTION("""COMPUTED_VALUE"""),9367482018)</f>
        <v>9367482018</v>
      </c>
      <c r="J2310" s="1">
        <f>IFERROR(__xludf.DUMMYFUNCTION("""COMPUTED_VALUE"""),9653146294)</f>
        <v>9653146294</v>
      </c>
      <c r="K2310" s="1" t="str">
        <f>IFERROR(__xludf.DUMMYFUNCTION("""COMPUTED_VALUE"""),"marianrogandohernando@gmail.com")</f>
        <v>marianrogandohernando@gmail.com</v>
      </c>
      <c r="L2310" s="1" t="str">
        <f>IFERROR(__xludf.DUMMYFUNCTION("""COMPUTED_VALUE"""),"291")</f>
        <v>291</v>
      </c>
      <c r="M2310" s="1" t="str">
        <f>IFERROR(__xludf.DUMMYFUNCTION("""COMPUTED_VALUE"""),"PILIPIT ")</f>
        <v>PILIPIT </v>
      </c>
      <c r="N2310" s="1"/>
      <c r="O2310" s="1" t="str">
        <f>IFERROR(__xludf.DUMMYFUNCTION("""COMPUTED_VALUE"""),"KAYTITINGA I")</f>
        <v>KAYTITINGA I</v>
      </c>
      <c r="P2310" s="1" t="str">
        <f>IFERROR(__xludf.DUMMYFUNCTION("""COMPUTED_VALUE"""),"ALFONSO")</f>
        <v>ALFONSO</v>
      </c>
      <c r="Q2310" s="1" t="str">
        <f>IFERROR(__xludf.DUMMYFUNCTION("""COMPUTED_VALUE"""),"CAVITE")</f>
        <v>CAVITE</v>
      </c>
      <c r="R2310" s="1" t="str">
        <f>IFERROR(__xludf.DUMMYFUNCTION("""COMPUTED_VALUE"""),"FIBR PLAN 1299")</f>
        <v>FIBR PLAN 1299</v>
      </c>
      <c r="S2310" s="1" t="str">
        <f>IFERROR(__xludf.DUMMYFUNCTION("""COMPUTED_VALUE"""),"APPROVED")</f>
        <v>APPROVED</v>
      </c>
      <c r="T2310" s="1" t="str">
        <f>IFERROR(__xludf.DUMMYFUNCTION("""COMPUTED_VALUE"""),"FOR PAYMENT")</f>
        <v>FOR PAYMENT</v>
      </c>
      <c r="U2310" s="1"/>
      <c r="V2310" s="1"/>
      <c r="W2310" s="1"/>
    </row>
    <row r="2311" customHeight="1" spans="1:23">
      <c r="A2311" s="3">
        <f>IFERROR(__xludf.DUMMYFUNCTION("""COMPUTED_VALUE"""),46203)</f>
        <v>46203</v>
      </c>
      <c r="B2311" s="1" t="str">
        <f>IFERROR(__xludf.DUMMYFUNCTION("""COMPUTED_VALUE"""),"FARO, REFRANTA")</f>
        <v>FARO, REFRANTA</v>
      </c>
      <c r="C2311" s="1" t="str">
        <f>IFERROR(__xludf.DUMMYFUNCTION("""COMPUTED_VALUE"""),"ORGANIC")</f>
        <v>ORGANIC</v>
      </c>
      <c r="D2311" s="1" t="str">
        <f>IFERROR(__xludf.DUMMYFUNCTION("""COMPUTED_VALUE"""),"REMOLLO LEA")</f>
        <v>REMOLLO LEA</v>
      </c>
      <c r="E2311" s="1" t="str">
        <f>IFERROR(__xludf.DUMMYFUNCTION("""COMPUTED_VALUE"""),"PLDT / ONLINE")</f>
        <v>PLDT / ONLINE</v>
      </c>
      <c r="F2311" s="1">
        <f>IFERROR(__xludf.DUMMYFUNCTION("""COMPUTED_VALUE"""),2310595438)</f>
        <v>2310595438</v>
      </c>
      <c r="G2311" s="1"/>
      <c r="H2311" s="1" t="str">
        <f>IFERROR(__xludf.DUMMYFUNCTION("""COMPUTED_VALUE"""),"ABEGAIL BUENAVENTURA FRANCISCO")</f>
        <v>ABEGAIL BUENAVENTURA FRANCISCO</v>
      </c>
      <c r="I2311" s="1">
        <f>IFERROR(__xludf.DUMMYFUNCTION("""COMPUTED_VALUE"""),9454103761)</f>
        <v>9454103761</v>
      </c>
      <c r="J2311" s="1">
        <f>IFERROR(__xludf.DUMMYFUNCTION("""COMPUTED_VALUE"""),9971277710)</f>
        <v>9971277710</v>
      </c>
      <c r="K2311" s="1" t="str">
        <f>IFERROR(__xludf.DUMMYFUNCTION("""COMPUTED_VALUE"""),"manilavictoriavilla@gmail.com")</f>
        <v>manilavictoriavilla@gmail.com</v>
      </c>
      <c r="L2311" s="1" t="str">
        <f>IFERROR(__xludf.DUMMYFUNCTION("""COMPUTED_VALUE"""),"LOT 2380")</f>
        <v>LOT 2380</v>
      </c>
      <c r="M2311" s="1" t="str">
        <f>IFERROR(__xludf.DUMMYFUNCTION("""COMPUTED_VALUE"""),"BALITE")</f>
        <v>BALITE</v>
      </c>
      <c r="N2311" s="1"/>
      <c r="O2311" s="1" t="str">
        <f>IFERROR(__xludf.DUMMYFUNCTION("""COMPUTED_VALUE"""),"BALITE II")</f>
        <v>BALITE II</v>
      </c>
      <c r="P2311" s="1" t="str">
        <f>IFERROR(__xludf.DUMMYFUNCTION("""COMPUTED_VALUE"""),"SILANG")</f>
        <v>SILANG</v>
      </c>
      <c r="Q2311" s="1" t="str">
        <f>IFERROR(__xludf.DUMMYFUNCTION("""COMPUTED_VALUE"""),"CAVITE")</f>
        <v>CAVITE</v>
      </c>
      <c r="R2311" s="1" t="str">
        <f>IFERROR(__xludf.DUMMYFUNCTION("""COMPUTED_VALUE"""),"FIBR NETFLIX PLAN 1599")</f>
        <v>FIBR NETFLIX PLAN 1599</v>
      </c>
      <c r="S2311" s="1" t="str">
        <f>IFERROR(__xludf.DUMMYFUNCTION("""COMPUTED_VALUE"""),"APPROVED")</f>
        <v>APPROVED</v>
      </c>
      <c r="T2311" s="1" t="str">
        <f>IFERROR(__xludf.DUMMYFUNCTION("""COMPUTED_VALUE"""),"#N/A")</f>
        <v>#N/A</v>
      </c>
      <c r="U2311" s="1"/>
      <c r="V2311" s="1"/>
      <c r="W2311" s="1"/>
    </row>
    <row r="2312" customHeight="1" spans="1:23">
      <c r="A2312" s="3">
        <f>IFERROR(__xludf.DUMMYFUNCTION("""COMPUTED_VALUE"""),46203)</f>
        <v>46203</v>
      </c>
      <c r="B2312" s="1" t="str">
        <f>IFERROR(__xludf.DUMMYFUNCTION("""COMPUTED_VALUE"""),"GABAY, MANUEL")</f>
        <v>GABAY, MANUEL</v>
      </c>
      <c r="C2312" s="1" t="str">
        <f>IFERROR(__xludf.DUMMYFUNCTION("""COMPUTED_VALUE"""),"FLA")</f>
        <v>FLA</v>
      </c>
      <c r="D2312" s="1" t="str">
        <f>IFERROR(__xludf.DUMMYFUNCTION("""COMPUTED_VALUE"""),"JERIC NAVARRO")</f>
        <v>JERIC NAVARRO</v>
      </c>
      <c r="E2312" s="1" t="str">
        <f>IFERROR(__xludf.DUMMYFUNCTION("""COMPUTED_VALUE"""),"PLDT / ONLINE")</f>
        <v>PLDT / ONLINE</v>
      </c>
      <c r="F2312" s="1">
        <f>IFERROR(__xludf.DUMMYFUNCTION("""COMPUTED_VALUE"""),2310600205)</f>
        <v>2310600205</v>
      </c>
      <c r="G2312" s="1">
        <f>IFERROR(__xludf.DUMMYFUNCTION("""COMPUTED_VALUE"""),460737186004)</f>
        <v>460737186004</v>
      </c>
      <c r="H2312" s="1" t="str">
        <f>IFERROR(__xludf.DUMMYFUNCTION("""COMPUTED_VALUE"""),"MARC DANIEL MABASA ESGUERA")</f>
        <v>MARC DANIEL MABASA ESGUERA</v>
      </c>
      <c r="I2312" s="1">
        <f>IFERROR(__xludf.DUMMYFUNCTION("""COMPUTED_VALUE"""),9567738909)</f>
        <v>9567738909</v>
      </c>
      <c r="J2312" s="1">
        <f>IFERROR(__xludf.DUMMYFUNCTION("""COMPUTED_VALUE"""),9278150210)</f>
        <v>9278150210</v>
      </c>
      <c r="K2312" s="1" t="str">
        <f>IFERROR(__xludf.DUMMYFUNCTION("""COMPUTED_VALUE"""),"esguerramarcdaniel19@gmail.com")</f>
        <v>esguerramarcdaniel19@gmail.com</v>
      </c>
      <c r="L2312" s="1" t="str">
        <f>IFERROR(__xludf.DUMMYFUNCTION("""COMPUTED_VALUE"""),"126")</f>
        <v>126</v>
      </c>
      <c r="M2312" s="1" t="str">
        <f>IFERROR(__xludf.DUMMYFUNCTION("""COMPUTED_VALUE"""),"LUNGON")</f>
        <v>LUNGON</v>
      </c>
      <c r="N2312" s="1"/>
      <c r="O2312" s="1" t="str">
        <f>IFERROR(__xludf.DUMMYFUNCTION("""COMPUTED_VALUE"""),"SAN MIGUEL II")</f>
        <v>SAN MIGUEL II</v>
      </c>
      <c r="P2312" s="1" t="str">
        <f>IFERROR(__xludf.DUMMYFUNCTION("""COMPUTED_VALUE"""),"SILANG")</f>
        <v>SILANG</v>
      </c>
      <c r="Q2312" s="1" t="str">
        <f>IFERROR(__xludf.DUMMYFUNCTION("""COMPUTED_VALUE"""),"CAVITE")</f>
        <v>CAVITE</v>
      </c>
      <c r="R2312" s="1" t="str">
        <f>IFERROR(__xludf.DUMMYFUNCTION("""COMPUTED_VALUE"""),"FIBR UNLI ALL PLAN 999")</f>
        <v>FIBR UNLI ALL PLAN 999</v>
      </c>
      <c r="S2312" s="1" t="str">
        <f>IFERROR(__xludf.DUMMYFUNCTION("""COMPUTED_VALUE"""),"APPROVED")</f>
        <v>APPROVED</v>
      </c>
      <c r="T2312" s="1" t="str">
        <f>IFERROR(__xludf.DUMMYFUNCTION("""COMPUTED_VALUE"""),"CLOSED")</f>
        <v>CLOSED</v>
      </c>
      <c r="U2312" s="1" t="str">
        <f>IFERROR(__xludf.DUMMYFUNCTION("""COMPUTED_VALUE"""),"POSTED")</f>
        <v>POSTED</v>
      </c>
      <c r="V2312" s="1"/>
      <c r="W2312" s="1"/>
    </row>
    <row r="2313" customHeight="1" spans="1:23">
      <c r="A2313" s="3">
        <f>IFERROR(__xludf.DUMMYFUNCTION("""COMPUTED_VALUE"""),46203)</f>
        <v>46203</v>
      </c>
      <c r="B2313" s="1" t="str">
        <f>IFERROR(__xludf.DUMMYFUNCTION("""COMPUTED_VALUE"""),"SIR JHONDEE")</f>
        <v>SIR JHONDEE</v>
      </c>
      <c r="C2313" s="1" t="str">
        <f>IFERROR(__xludf.DUMMYFUNCTION("""COMPUTED_VALUE"""),"LEADSTORE")</f>
        <v>LEADSTORE</v>
      </c>
      <c r="D2313" s="1" t="str">
        <f>IFERROR(__xludf.DUMMYFUNCTION("""COMPUTED_VALUE"""),"JERIC NAVARRO")</f>
        <v>JERIC NAVARRO</v>
      </c>
      <c r="E2313" s="1" t="str">
        <f>IFERROR(__xludf.DUMMYFUNCTION("""COMPUTED_VALUE"""),"PLDT / ONLINE")</f>
        <v>PLDT / ONLINE</v>
      </c>
      <c r="F2313" s="1">
        <f>IFERROR(__xludf.DUMMYFUNCTION("""COMPUTED_VALUE"""),2310603226)</f>
        <v>2310603226</v>
      </c>
      <c r="G2313" s="1">
        <f>IFERROR(__xludf.DUMMYFUNCTION("""COMPUTED_VALUE"""),460739202004)</f>
        <v>460739202004</v>
      </c>
      <c r="H2313" s="1" t="str">
        <f>IFERROR(__xludf.DUMMYFUNCTION("""COMPUTED_VALUE"""),"CARMELO JR BRIONES RICO")</f>
        <v>CARMELO JR BRIONES RICO</v>
      </c>
      <c r="I2313" s="1">
        <f>IFERROR(__xludf.DUMMYFUNCTION("""COMPUTED_VALUE"""),9615184517)</f>
        <v>9615184517</v>
      </c>
      <c r="J2313" s="1">
        <f>IFERROR(__xludf.DUMMYFUNCTION("""COMPUTED_VALUE"""),9617069307)</f>
        <v>9617069307</v>
      </c>
      <c r="K2313" s="1" t="str">
        <f>IFERROR(__xludf.DUMMYFUNCTION("""COMPUTED_VALUE"""),"kharmellohricojr@gmail.com")</f>
        <v>kharmellohricojr@gmail.com</v>
      </c>
      <c r="L2313" s="1" t="str">
        <f>IFERROR(__xludf.DUMMYFUNCTION("""COMPUTED_VALUE"""),"169")</f>
        <v>169</v>
      </c>
      <c r="M2313" s="1" t="str">
        <f>IFERROR(__xludf.DUMMYFUNCTION("""COMPUTED_VALUE"""),"MONTAYA")</f>
        <v>MONTAYA</v>
      </c>
      <c r="N2313" s="1"/>
      <c r="O2313" s="1" t="str">
        <f>IFERROR(__xludf.DUMMYFUNCTION("""COMPUTED_VALUE"""),"SAN MIGUEL I")</f>
        <v>SAN MIGUEL I</v>
      </c>
      <c r="P2313" s="1" t="str">
        <f>IFERROR(__xludf.DUMMYFUNCTION("""COMPUTED_VALUE"""),"SILANG")</f>
        <v>SILANG</v>
      </c>
      <c r="Q2313" s="1" t="str">
        <f>IFERROR(__xludf.DUMMYFUNCTION("""COMPUTED_VALUE"""),"CAVITE")</f>
        <v>CAVITE</v>
      </c>
      <c r="R2313" s="1" t="str">
        <f>IFERROR(__xludf.DUMMYFUNCTION("""COMPUTED_VALUE"""),"FIBR UNLI ALL PLAN 1399")</f>
        <v>FIBR UNLI ALL PLAN 1399</v>
      </c>
      <c r="S2313" s="1" t="str">
        <f>IFERROR(__xludf.DUMMYFUNCTION("""COMPUTED_VALUE"""),"APPROVED")</f>
        <v>APPROVED</v>
      </c>
      <c r="T2313" s="1" t="str">
        <f>IFERROR(__xludf.DUMMYFUNCTION("""COMPUTED_VALUE"""),"CLOSED")</f>
        <v>CLOSED</v>
      </c>
      <c r="U2313" s="1" t="str">
        <f>IFERROR(__xludf.DUMMYFUNCTION("""COMPUTED_VALUE"""),"POSTED")</f>
        <v>POSTED</v>
      </c>
      <c r="V2313" s="1"/>
      <c r="W2313" s="1"/>
    </row>
    <row r="2314" customHeight="1" spans="1:23">
      <c r="A2314" s="3">
        <f>IFERROR(__xludf.DUMMYFUNCTION("""COMPUTED_VALUE"""),46203)</f>
        <v>46203</v>
      </c>
      <c r="B2314" s="1" t="str">
        <f>IFERROR(__xludf.DUMMYFUNCTION("""COMPUTED_VALUE"""),"MALIWAT MARK ELVIN")</f>
        <v>MALIWAT MARK ELVIN</v>
      </c>
      <c r="C2314" s="1" t="str">
        <f>IFERROR(__xludf.DUMMYFUNCTION("""COMPUTED_VALUE"""),"FLA")</f>
        <v>FLA</v>
      </c>
      <c r="D2314" s="1" t="str">
        <f>IFERROR(__xludf.DUMMYFUNCTION("""COMPUTED_VALUE"""),"JERIC NAVARRO")</f>
        <v>JERIC NAVARRO</v>
      </c>
      <c r="E2314" s="1" t="str">
        <f>IFERROR(__xludf.DUMMYFUNCTION("""COMPUTED_VALUE"""),"PLDT / ONLINE")</f>
        <v>PLDT / ONLINE</v>
      </c>
      <c r="F2314" s="1">
        <f>IFERROR(__xludf.DUMMYFUNCTION("""COMPUTED_VALUE"""),2310602939)</f>
        <v>2310602939</v>
      </c>
      <c r="G2314" s="1"/>
      <c r="H2314" s="1" t="str">
        <f>IFERROR(__xludf.DUMMYFUNCTION("""COMPUTED_VALUE"""),"KEVIN ROY PECHO LOZANO")</f>
        <v>KEVIN ROY PECHO LOZANO</v>
      </c>
      <c r="I2314" s="1">
        <f>IFERROR(__xludf.DUMMYFUNCTION("""COMPUTED_VALUE"""),9688522909)</f>
        <v>9688522909</v>
      </c>
      <c r="J2314" s="1">
        <f>IFERROR(__xludf.DUMMYFUNCTION("""COMPUTED_VALUE"""),9151032230)</f>
        <v>9151032230</v>
      </c>
      <c r="K2314" s="1" t="str">
        <f>IFERROR(__xludf.DUMMYFUNCTION("""COMPUTED_VALUE"""),"kevinroylozano1@gmail.com")</f>
        <v>kevinroylozano1@gmail.com</v>
      </c>
      <c r="L2314" s="1" t="str">
        <f>IFERROR(__xludf.DUMMYFUNCTION("""COMPUTED_VALUE"""),"1906")</f>
        <v>1906</v>
      </c>
      <c r="M2314" s="1" t="str">
        <f>IFERROR(__xludf.DUMMYFUNCTION("""COMPUTED_VALUE"""),"TOWER 5")</f>
        <v>TOWER 5</v>
      </c>
      <c r="N2314" s="1" t="str">
        <f>IFERROR(__xludf.DUMMYFUNCTION("""COMPUTED_VALUE"""),"SMDC")</f>
        <v>SMDC</v>
      </c>
      <c r="O2314" s="1" t="str">
        <f>IFERROR(__xludf.DUMMYFUNCTION("""COMPUTED_VALUE"""),"MAHARLIKA WEST")</f>
        <v>MAHARLIKA WEST</v>
      </c>
      <c r="P2314" s="1" t="str">
        <f>IFERROR(__xludf.DUMMYFUNCTION("""COMPUTED_VALUE"""),"TAGAYTAY")</f>
        <v>TAGAYTAY</v>
      </c>
      <c r="Q2314" s="1" t="str">
        <f>IFERROR(__xludf.DUMMYFUNCTION("""COMPUTED_VALUE"""),"CAVITE")</f>
        <v>CAVITE</v>
      </c>
      <c r="R2314" s="1" t="str">
        <f>IFERROR(__xludf.DUMMYFUNCTION("""COMPUTED_VALUE"""),"FIBR UNLI ALL PLAN 1399")</f>
        <v>FIBR UNLI ALL PLAN 1399</v>
      </c>
      <c r="S2314" s="1" t="str">
        <f>IFERROR(__xludf.DUMMYFUNCTION("""COMPUTED_VALUE"""),"APPROVED")</f>
        <v>APPROVED</v>
      </c>
      <c r="T2314" s="1" t="str">
        <f>IFERROR(__xludf.DUMMYFUNCTION("""COMPUTED_VALUE"""),"#N/A")</f>
        <v>#N/A</v>
      </c>
      <c r="U2314" s="1"/>
      <c r="V2314" s="1"/>
      <c r="W2314" s="1"/>
    </row>
    <row r="2315" customHeight="1" spans="1:23">
      <c r="A2315" s="3">
        <f>IFERROR(__xludf.DUMMYFUNCTION("""COMPUTED_VALUE"""),46203)</f>
        <v>46203</v>
      </c>
      <c r="B2315" s="1" t="str">
        <f>IFERROR(__xludf.DUMMYFUNCTION("""COMPUTED_VALUE"""),"RIVERA, AIRIZH JOY")</f>
        <v>RIVERA, AIRIZH JOY</v>
      </c>
      <c r="C2315" s="1" t="str">
        <f>IFERROR(__xludf.DUMMYFUNCTION("""COMPUTED_VALUE"""),"ORGANIC")</f>
        <v>ORGANIC</v>
      </c>
      <c r="D2315" s="1" t="str">
        <f>IFERROR(__xludf.DUMMYFUNCTION("""COMPUTED_VALUE"""),"REMOLLO LEA")</f>
        <v>REMOLLO LEA</v>
      </c>
      <c r="E2315" s="1" t="str">
        <f>IFERROR(__xludf.DUMMYFUNCTION("""COMPUTED_VALUE"""),"PLDT / ONLINE")</f>
        <v>PLDT / ONLINE</v>
      </c>
      <c r="F2315" s="1">
        <f>IFERROR(__xludf.DUMMYFUNCTION("""COMPUTED_VALUE"""),2310603887)</f>
        <v>2310603887</v>
      </c>
      <c r="G2315" s="1">
        <f>IFERROR(__xludf.DUMMYFUNCTION("""COMPUTED_VALUE"""),460741017004)</f>
        <v>460741017004</v>
      </c>
      <c r="H2315" s="1" t="str">
        <f>IFERROR(__xludf.DUMMYFUNCTION("""COMPUTED_VALUE"""),"JESSICA MARIE ADAYO")</f>
        <v>JESSICA MARIE ADAYO</v>
      </c>
      <c r="I2315" s="1">
        <f>IFERROR(__xludf.DUMMYFUNCTION("""COMPUTED_VALUE"""),9261516717)</f>
        <v>9261516717</v>
      </c>
      <c r="J2315" s="1"/>
      <c r="K2315" s="1" t="str">
        <f>IFERROR(__xludf.DUMMYFUNCTION("""COMPUTED_VALUE"""),"adayojessicamarie8@gmail.com")</f>
        <v>adayojessicamarie8@gmail.com</v>
      </c>
      <c r="L2315" s="1" t="str">
        <f>IFERROR(__xludf.DUMMYFUNCTION("""COMPUTED_VALUE"""),"451")</f>
        <v>451</v>
      </c>
      <c r="M2315" s="1" t="str">
        <f>IFERROR(__xludf.DUMMYFUNCTION("""COMPUTED_VALUE"""),"SAN ANTONIO")</f>
        <v>SAN ANTONIO</v>
      </c>
      <c r="N2315" s="1"/>
      <c r="O2315" s="1" t="str">
        <f>IFERROR(__xludf.DUMMYFUNCTION("""COMPUTED_VALUE"""),"BARANGAY 47-A (PAGKAKAISA A)")</f>
        <v>BARANGAY 47-A (PAGKAKAISA A)</v>
      </c>
      <c r="P2315" s="1" t="str">
        <f>IFERROR(__xludf.DUMMYFUNCTION("""COMPUTED_VALUE"""),"CAVITE CITY")</f>
        <v>CAVITE CITY</v>
      </c>
      <c r="Q2315" s="1" t="str">
        <f>IFERROR(__xludf.DUMMYFUNCTION("""COMPUTED_VALUE"""),"CAVITE")</f>
        <v>CAVITE</v>
      </c>
      <c r="R2315" s="1" t="str">
        <f>IFERROR(__xludf.DUMMYFUNCTION("""COMPUTED_VALUE"""),"FIBR PLAN 1299")</f>
        <v>FIBR PLAN 1299</v>
      </c>
      <c r="S2315" s="1" t="str">
        <f>IFERROR(__xludf.DUMMYFUNCTION("""COMPUTED_VALUE"""),"APPROVED")</f>
        <v>APPROVED</v>
      </c>
      <c r="T2315" s="1" t="str">
        <f>IFERROR(__xludf.DUMMYFUNCTION("""COMPUTED_VALUE"""),"CLOSED")</f>
        <v>CLOSED</v>
      </c>
      <c r="U2315" s="1" t="str">
        <f>IFERROR(__xludf.DUMMYFUNCTION("""COMPUTED_VALUE"""),"POSTED")</f>
        <v>POSTED</v>
      </c>
      <c r="V2315" s="1"/>
      <c r="W2315" s="1"/>
    </row>
    <row r="2316" customHeight="1" spans="1:23">
      <c r="A2316" s="3">
        <f>IFERROR(__xludf.DUMMYFUNCTION("""COMPUTED_VALUE"""),46203)</f>
        <v>46203</v>
      </c>
      <c r="B2316" s="1" t="str">
        <f>IFERROR(__xludf.DUMMYFUNCTION("""COMPUTED_VALUE"""),"MALIWAT MARK ELVIN")</f>
        <v>MALIWAT MARK ELVIN</v>
      </c>
      <c r="C2316" s="1" t="str">
        <f>IFERROR(__xludf.DUMMYFUNCTION("""COMPUTED_VALUE"""),"FLA")</f>
        <v>FLA</v>
      </c>
      <c r="D2316" s="1" t="str">
        <f>IFERROR(__xludf.DUMMYFUNCTION("""COMPUTED_VALUE"""),"JERIC NAVARRO")</f>
        <v>JERIC NAVARRO</v>
      </c>
      <c r="E2316" s="1" t="str">
        <f>IFERROR(__xludf.DUMMYFUNCTION("""COMPUTED_VALUE"""),"PLDT / ONLINE")</f>
        <v>PLDT / ONLINE</v>
      </c>
      <c r="F2316" s="1">
        <f>IFERROR(__xludf.DUMMYFUNCTION("""COMPUTED_VALUE"""),2310603430)</f>
        <v>2310603430</v>
      </c>
      <c r="G2316" s="1">
        <f>IFERROR(__xludf.DUMMYFUNCTION("""COMPUTED_VALUE"""),460766059004)</f>
        <v>460766059004</v>
      </c>
      <c r="H2316" s="1" t="str">
        <f>IFERROR(__xludf.DUMMYFUNCTION("""COMPUTED_VALUE"""),"LORNA PALMA MENDOZA")</f>
        <v>LORNA PALMA MENDOZA</v>
      </c>
      <c r="I2316" s="1">
        <f>IFERROR(__xludf.DUMMYFUNCTION("""COMPUTED_VALUE"""),9451558075)</f>
        <v>9451558075</v>
      </c>
      <c r="J2316" s="1">
        <f>IFERROR(__xludf.DUMMYFUNCTION("""COMPUTED_VALUE"""),9912528966)</f>
        <v>9912528966</v>
      </c>
      <c r="K2316" s="1" t="str">
        <f>IFERROR(__xludf.DUMMYFUNCTION("""COMPUTED_VALUE"""),"lornapalma616@gmail.com")</f>
        <v>lornapalma616@gmail.com</v>
      </c>
      <c r="L2316" s="1" t="str">
        <f>IFERROR(__xludf.DUMMYFUNCTION("""COMPUTED_VALUE"""),"BLK 13 LOT 18")</f>
        <v>BLK 13 LOT 18</v>
      </c>
      <c r="M2316" s="1" t="str">
        <f>IFERROR(__xludf.DUMMYFUNCTION("""COMPUTED_VALUE"""),"TEACHERS VILLAGE")</f>
        <v>TEACHERS VILLAGE</v>
      </c>
      <c r="N2316" s="1"/>
      <c r="O2316" s="1" t="str">
        <f>IFERROR(__xludf.DUMMYFUNCTION("""COMPUTED_VALUE"""),"SAN GABRIEL (AREA K)")</f>
        <v>SAN GABRIEL (AREA K)</v>
      </c>
      <c r="P2316" s="1" t="str">
        <f>IFERROR(__xludf.DUMMYFUNCTION("""COMPUTED_VALUE"""),"GEN MARIANO ALVAREZ")</f>
        <v>GEN MARIANO ALVAREZ</v>
      </c>
      <c r="Q2316" s="1" t="str">
        <f>IFERROR(__xludf.DUMMYFUNCTION("""COMPUTED_VALUE"""),"CAVITE")</f>
        <v>CAVITE</v>
      </c>
      <c r="R2316" s="1" t="str">
        <f>IFERROR(__xludf.DUMMYFUNCTION("""COMPUTED_VALUE"""),"FIBR PLAN 1299")</f>
        <v>FIBR PLAN 1299</v>
      </c>
      <c r="S2316" s="1" t="str">
        <f>IFERROR(__xludf.DUMMYFUNCTION("""COMPUTED_VALUE"""),"APPROVED")</f>
        <v>APPROVED</v>
      </c>
      <c r="T2316" s="1" t="str">
        <f>IFERROR(__xludf.DUMMYFUNCTION("""COMPUTED_VALUE"""),"CLOSED")</f>
        <v>CLOSED</v>
      </c>
      <c r="U2316" s="1" t="str">
        <f>IFERROR(__xludf.DUMMYFUNCTION("""COMPUTED_VALUE"""),"POSTED")</f>
        <v>POSTED</v>
      </c>
      <c r="V2316" s="1"/>
      <c r="W2316" s="1"/>
    </row>
    <row r="2317" customHeight="1" spans="1:23">
      <c r="A2317" s="3">
        <f>IFERROR(__xludf.DUMMYFUNCTION("""COMPUTED_VALUE"""),46204)</f>
        <v>46204</v>
      </c>
      <c r="B2317" s="1" t="str">
        <f>IFERROR(__xludf.DUMMYFUNCTION("""COMPUTED_VALUE"""),"MALIWAT MARK ELVIN")</f>
        <v>MALIWAT MARK ELVIN</v>
      </c>
      <c r="C2317" s="1" t="str">
        <f>IFERROR(__xludf.DUMMYFUNCTION("""COMPUTED_VALUE"""),"FLA")</f>
        <v>FLA</v>
      </c>
      <c r="D2317" s="1" t="str">
        <f>IFERROR(__xludf.DUMMYFUNCTION("""COMPUTED_VALUE"""),"JERIC NAVARRO")</f>
        <v>JERIC NAVARRO</v>
      </c>
      <c r="E2317" s="1" t="str">
        <f>IFERROR(__xludf.DUMMYFUNCTION("""COMPUTED_VALUE"""),"PLDT / ONLINE")</f>
        <v>PLDT / ONLINE</v>
      </c>
      <c r="F2317" s="1">
        <f>IFERROR(__xludf.DUMMYFUNCTION("""COMPUTED_VALUE"""),2310621733)</f>
        <v>2310621733</v>
      </c>
      <c r="G2317" s="1">
        <f>IFERROR(__xludf.DUMMYFUNCTION("""COMPUTED_VALUE"""),460871999004)</f>
        <v>460871999004</v>
      </c>
      <c r="H2317" s="1" t="str">
        <f>IFERROR(__xludf.DUMMYFUNCTION("""COMPUTED_VALUE"""),"MICHELLE MANGABAT MAGAT")</f>
        <v>MICHELLE MANGABAT MAGAT</v>
      </c>
      <c r="I2317" s="1">
        <f>IFERROR(__xludf.DUMMYFUNCTION("""COMPUTED_VALUE"""),9184555042)</f>
        <v>9184555042</v>
      </c>
      <c r="J2317" s="1"/>
      <c r="K2317" s="1" t="str">
        <f>IFERROR(__xludf.DUMMYFUNCTION("""COMPUTED_VALUE"""),"mitsmagat@gmail.com")</f>
        <v>mitsmagat@gmail.com</v>
      </c>
      <c r="L2317" s="1" t="str">
        <f>IFERROR(__xludf.DUMMYFUNCTION("""COMPUTED_VALUE"""),"BLK 1 LOT 24")</f>
        <v>BLK 1 LOT 24</v>
      </c>
      <c r="M2317" s="1" t="str">
        <f>IFERROR(__xludf.DUMMYFUNCTION("""COMPUTED_VALUE"""),"LANCASTER NEW CITY")</f>
        <v>LANCASTER NEW CITY</v>
      </c>
      <c r="N2317" s="1"/>
      <c r="O2317" s="1" t="str">
        <f>IFERROR(__xludf.DUMMYFUNCTION("""COMPUTED_VALUE"""),"NAVARRO")</f>
        <v>NAVARRO</v>
      </c>
      <c r="P2317" s="1" t="str">
        <f>IFERROR(__xludf.DUMMYFUNCTION("""COMPUTED_VALUE"""),"GENERAL TRIAS")</f>
        <v>GENERAL TRIAS</v>
      </c>
      <c r="Q2317" s="1" t="str">
        <f>IFERROR(__xludf.DUMMYFUNCTION("""COMPUTED_VALUE"""),"CAVITE")</f>
        <v>CAVITE</v>
      </c>
      <c r="R2317" s="1" t="str">
        <f>IFERROR(__xludf.DUMMYFUNCTION("""COMPUTED_VALUE"""),"FIBR UNLI ALL PLAN 1799")</f>
        <v>FIBR UNLI ALL PLAN 1799</v>
      </c>
      <c r="S2317" s="1" t="str">
        <f>IFERROR(__xludf.DUMMYFUNCTION("""COMPUTED_VALUE"""),"APPROVED")</f>
        <v>APPROVED</v>
      </c>
      <c r="T2317" s="1" t="str">
        <f>IFERROR(__xludf.DUMMYFUNCTION("""COMPUTED_VALUE"""),"CLOSED")</f>
        <v>CLOSED</v>
      </c>
      <c r="U2317" s="1" t="str">
        <f>IFERROR(__xludf.DUMMYFUNCTION("""COMPUTED_VALUE"""),"POSTED")</f>
        <v>POSTED</v>
      </c>
      <c r="V2317" s="1"/>
      <c r="W2317" s="1"/>
    </row>
    <row r="2318" customHeight="1" spans="1:23">
      <c r="A2318" s="3">
        <f>IFERROR(__xludf.DUMMYFUNCTION("""COMPUTED_VALUE"""),46204)</f>
        <v>46204</v>
      </c>
      <c r="B2318" s="1" t="str">
        <f>IFERROR(__xludf.DUMMYFUNCTION("""COMPUTED_VALUE"""),"FARO, REFRANTA")</f>
        <v>FARO, REFRANTA</v>
      </c>
      <c r="C2318" s="1" t="str">
        <f>IFERROR(__xludf.DUMMYFUNCTION("""COMPUTED_VALUE"""),"ORGANIC")</f>
        <v>ORGANIC</v>
      </c>
      <c r="D2318" s="1" t="str">
        <f>IFERROR(__xludf.DUMMYFUNCTION("""COMPUTED_VALUE"""),"REMOLLO LEA")</f>
        <v>REMOLLO LEA</v>
      </c>
      <c r="E2318" s="1" t="str">
        <f>IFERROR(__xludf.DUMMYFUNCTION("""COMPUTED_VALUE"""),"PLDT / H2H")</f>
        <v>PLDT / H2H</v>
      </c>
      <c r="F2318" s="1">
        <f>IFERROR(__xludf.DUMMYFUNCTION("""COMPUTED_VALUE"""),2310623915)</f>
        <v>2310623915</v>
      </c>
      <c r="G2318" s="1">
        <f>IFERROR(__xludf.DUMMYFUNCTION("""COMPUTED_VALUE"""),460872829004)</f>
        <v>460872829004</v>
      </c>
      <c r="H2318" s="1" t="str">
        <f>IFERROR(__xludf.DUMMYFUNCTION("""COMPUTED_VALUE"""),"KARRYL AIRA AUSTRIA DELAS ALAS")</f>
        <v>KARRYL AIRA AUSTRIA DELAS ALAS</v>
      </c>
      <c r="I2318" s="1">
        <f>IFERROR(__xludf.DUMMYFUNCTION("""COMPUTED_VALUE"""),9615823080)</f>
        <v>9615823080</v>
      </c>
      <c r="J2318" s="1">
        <f>IFERROR(__xludf.DUMMYFUNCTION("""COMPUTED_VALUE"""),9661948730)</f>
        <v>9661948730</v>
      </c>
      <c r="K2318" s="1" t="str">
        <f>IFERROR(__xludf.DUMMYFUNCTION("""COMPUTED_VALUE"""),"_rene_delas_alas@yahoo.com")</f>
        <v>_rene_delas_alas@yahoo.com</v>
      </c>
      <c r="L2318" s="1" t="str">
        <f>IFERROR(__xludf.DUMMYFUNCTION("""COMPUTED_VALUE"""),"2085")</f>
        <v>2085</v>
      </c>
      <c r="M2318" s="1" t="str">
        <f>IFERROR(__xludf.DUMMYFUNCTION("""COMPUTED_VALUE"""),"ELEVE HOMES")</f>
        <v>ELEVE HOMES</v>
      </c>
      <c r="N2318" s="1"/>
      <c r="O2318" s="1" t="str">
        <f>IFERROR(__xludf.DUMMYFUNCTION("""COMPUTED_VALUE"""),"MAHARLIKA WEST")</f>
        <v>MAHARLIKA WEST</v>
      </c>
      <c r="P2318" s="1" t="str">
        <f>IFERROR(__xludf.DUMMYFUNCTION("""COMPUTED_VALUE"""),"TAGAYTAY")</f>
        <v>TAGAYTAY</v>
      </c>
      <c r="Q2318" s="1" t="str">
        <f>IFERROR(__xludf.DUMMYFUNCTION("""COMPUTED_VALUE"""),"CAVITE")</f>
        <v>CAVITE</v>
      </c>
      <c r="R2318" s="1" t="str">
        <f>IFERROR(__xludf.DUMMYFUNCTION("""COMPUTED_VALUE"""),"FIBR NETFLIX PLAN 1599")</f>
        <v>FIBR NETFLIX PLAN 1599</v>
      </c>
      <c r="S2318" s="1" t="str">
        <f>IFERROR(__xludf.DUMMYFUNCTION("""COMPUTED_VALUE"""),"APPROVED")</f>
        <v>APPROVED</v>
      </c>
      <c r="T2318" s="1" t="str">
        <f>IFERROR(__xludf.DUMMYFUNCTION("""COMPUTED_VALUE"""),"CLOSED")</f>
        <v>CLOSED</v>
      </c>
      <c r="U2318" s="1" t="str">
        <f>IFERROR(__xludf.DUMMYFUNCTION("""COMPUTED_VALUE"""),"POSTED")</f>
        <v>POSTED</v>
      </c>
      <c r="V2318" s="1"/>
      <c r="W2318" s="1"/>
    </row>
    <row r="2319" customHeight="1" spans="1:23">
      <c r="A2319" s="3">
        <f>IFERROR(__xludf.DUMMYFUNCTION("""COMPUTED_VALUE"""),46204)</f>
        <v>46204</v>
      </c>
      <c r="B2319" s="1" t="str">
        <f>IFERROR(__xludf.DUMMYFUNCTION("""COMPUTED_VALUE"""),"FRANCISCO , ROSELYN")</f>
        <v>FRANCISCO , ROSELYN</v>
      </c>
      <c r="C2319" s="1" t="str">
        <f>IFERROR(__xludf.DUMMYFUNCTION("""COMPUTED_VALUE"""),"ORGANIC")</f>
        <v>ORGANIC</v>
      </c>
      <c r="D2319" s="1" t="str">
        <f>IFERROR(__xludf.DUMMYFUNCTION("""COMPUTED_VALUE"""),"REMOLLO LEA")</f>
        <v>REMOLLO LEA</v>
      </c>
      <c r="E2319" s="1" t="str">
        <f>IFERROR(__xludf.DUMMYFUNCTION("""COMPUTED_VALUE"""),"RED FIBER")</f>
        <v>RED FIBER</v>
      </c>
      <c r="F2319" s="1"/>
      <c r="G2319" s="1"/>
      <c r="H2319" s="1" t="str">
        <f>IFERROR(__xludf.DUMMYFUNCTION("""COMPUTED_VALUE"""),"CATHERENE CASALME ASA")</f>
        <v>CATHERENE CASALME ASA</v>
      </c>
      <c r="I2319" s="1">
        <f>IFERROR(__xludf.DUMMYFUNCTION("""COMPUTED_VALUE"""),9858105326)</f>
        <v>9858105326</v>
      </c>
      <c r="J2319" s="1">
        <f>IFERROR(__xludf.DUMMYFUNCTION("""COMPUTED_VALUE"""),9515782843)</f>
        <v>9515782843</v>
      </c>
      <c r="K2319" s="1" t="str">
        <f>IFERROR(__xludf.DUMMYFUNCTION("""COMPUTED_VALUE"""),"cathcasalmeasa@gmail.com")</f>
        <v>cathcasalmeasa@gmail.com</v>
      </c>
      <c r="L2319" s="1" t="str">
        <f>IFERROR(__xludf.DUMMYFUNCTION("""COMPUTED_VALUE"""),"097-B")</f>
        <v>097-B</v>
      </c>
      <c r="M2319" s="1" t="str">
        <f>IFERROR(__xludf.DUMMYFUNCTION("""COMPUTED_VALUE"""),"C BAYAS")</f>
        <v>C BAYAS</v>
      </c>
      <c r="N2319" s="1"/>
      <c r="O2319" s="1" t="str">
        <f>IFERROR(__xludf.DUMMYFUNCTION("""COMPUTED_VALUE"""),"POBLACION II")</f>
        <v>POBLACION II</v>
      </c>
      <c r="P2319" s="1" t="str">
        <f>IFERROR(__xludf.DUMMYFUNCTION("""COMPUTED_VALUE"""),"AMADEO")</f>
        <v>AMADEO</v>
      </c>
      <c r="Q2319" s="1" t="str">
        <f>IFERROR(__xludf.DUMMYFUNCTION("""COMPUTED_VALUE"""),"CAVITE")</f>
        <v>CAVITE</v>
      </c>
      <c r="R2319" s="1" t="str">
        <f>IFERROR(__xludf.DUMMYFUNCTION("""COMPUTED_VALUE"""),"RED PLAN 1000")</f>
        <v>RED PLAN 1000</v>
      </c>
      <c r="S2319" s="1" t="str">
        <f>IFERROR(__xludf.DUMMYFUNCTION("""COMPUTED_VALUE"""),"APPROVED")</f>
        <v>APPROVED</v>
      </c>
      <c r="T2319" s="1" t="str">
        <f>IFERROR(__xludf.DUMMYFUNCTION("""COMPUTED_VALUE"""),"#N/A")</f>
        <v>#N/A</v>
      </c>
      <c r="U2319" s="1"/>
      <c r="V2319" s="1"/>
      <c r="W2319" s="1"/>
    </row>
    <row r="2320" customHeight="1" spans="1:23">
      <c r="A2320" s="3">
        <f>IFERROR(__xludf.DUMMYFUNCTION("""COMPUTED_VALUE"""),46204)</f>
        <v>46204</v>
      </c>
      <c r="B2320" s="1" t="str">
        <f>IFERROR(__xludf.DUMMYFUNCTION("""COMPUTED_VALUE"""),"AYON MANUEL")</f>
        <v>AYON MANUEL</v>
      </c>
      <c r="C2320" s="1" t="str">
        <f>IFERROR(__xludf.DUMMYFUNCTION("""COMPUTED_VALUE"""),"FLA")</f>
        <v>FLA</v>
      </c>
      <c r="D2320" s="1" t="str">
        <f>IFERROR(__xludf.DUMMYFUNCTION("""COMPUTED_VALUE"""),"JERIC NAVARRO")</f>
        <v>JERIC NAVARRO</v>
      </c>
      <c r="E2320" s="1" t="str">
        <f>IFERROR(__xludf.DUMMYFUNCTION("""COMPUTED_VALUE"""),"PLDT / H2H")</f>
        <v>PLDT / H2H</v>
      </c>
      <c r="F2320" s="1">
        <f>IFERROR(__xludf.DUMMYFUNCTION("""COMPUTED_VALUE"""),2310625260)</f>
        <v>2310625260</v>
      </c>
      <c r="G2320" s="1">
        <f>IFERROR(__xludf.DUMMYFUNCTION("""COMPUTED_VALUE"""),460877513004)</f>
        <v>460877513004</v>
      </c>
      <c r="H2320" s="1" t="str">
        <f>IFERROR(__xludf.DUMMYFUNCTION("""COMPUTED_VALUE"""),"JULIUS PADILLA BIBAY")</f>
        <v>JULIUS PADILLA BIBAY</v>
      </c>
      <c r="I2320" s="1">
        <f>IFERROR(__xludf.DUMMYFUNCTION("""COMPUTED_VALUE"""),9171784498)</f>
        <v>9171784498</v>
      </c>
      <c r="J2320" s="1">
        <f>IFERROR(__xludf.DUMMYFUNCTION("""COMPUTED_VALUE"""),9569615624)</f>
        <v>9569615624</v>
      </c>
      <c r="K2320" s="1" t="str">
        <f>IFERROR(__xludf.DUMMYFUNCTION("""COMPUTED_VALUE"""),"juliusbibay@yahoo.com")</f>
        <v>juliusbibay@yahoo.com</v>
      </c>
      <c r="L2320" s="1" t="str">
        <f>IFERROR(__xludf.DUMMYFUNCTION("""COMPUTED_VALUE"""),"BLK 16 LOT 14")</f>
        <v>BLK 16 LOT 14</v>
      </c>
      <c r="M2320" s="1" t="str">
        <f>IFERROR(__xludf.DUMMYFUNCTION("""COMPUTED_VALUE"""),"PHASE 5")</f>
        <v>PHASE 5</v>
      </c>
      <c r="N2320" s="1" t="str">
        <f>IFERROR(__xludf.DUMMYFUNCTION("""COMPUTED_VALUE"""),"TERRAVERDE")</f>
        <v>TERRAVERDE</v>
      </c>
      <c r="O2320" s="1" t="str">
        <f>IFERROR(__xludf.DUMMYFUNCTION("""COMPUTED_VALUE"""),"BANCAL")</f>
        <v>BANCAL</v>
      </c>
      <c r="P2320" s="1" t="str">
        <f>IFERROR(__xludf.DUMMYFUNCTION("""COMPUTED_VALUE"""),"CARMONA")</f>
        <v>CARMONA</v>
      </c>
      <c r="Q2320" s="1" t="str">
        <f>IFERROR(__xludf.DUMMYFUNCTION("""COMPUTED_VALUE"""),"CAVITE")</f>
        <v>CAVITE</v>
      </c>
      <c r="R2320" s="1" t="str">
        <f>IFERROR(__xludf.DUMMYFUNCTION("""COMPUTED_VALUE"""),"FIBR PLAN 2099")</f>
        <v>FIBR PLAN 2099</v>
      </c>
      <c r="S2320" s="1" t="str">
        <f>IFERROR(__xludf.DUMMYFUNCTION("""COMPUTED_VALUE"""),"APPROVED")</f>
        <v>APPROVED</v>
      </c>
      <c r="T2320" s="1" t="str">
        <f>IFERROR(__xludf.DUMMYFUNCTION("""COMPUTED_VALUE"""),"CLOSED")</f>
        <v>CLOSED</v>
      </c>
      <c r="U2320" s="1" t="str">
        <f>IFERROR(__xludf.DUMMYFUNCTION("""COMPUTED_VALUE"""),"POSTED")</f>
        <v>POSTED</v>
      </c>
      <c r="V2320" s="1"/>
      <c r="W2320" s="1"/>
    </row>
    <row r="2321" customHeight="1" spans="1:23">
      <c r="A2321" s="3">
        <f>IFERROR(__xludf.DUMMYFUNCTION("""COMPUTED_VALUE"""),46204)</f>
        <v>46204</v>
      </c>
      <c r="B2321" s="1" t="str">
        <f>IFERROR(__xludf.DUMMYFUNCTION("""COMPUTED_VALUE"""),"CASTILLEJOS, ARREL")</f>
        <v>CASTILLEJOS, ARREL</v>
      </c>
      <c r="C2321" s="1" t="str">
        <f>IFERROR(__xludf.DUMMYFUNCTION("""COMPUTED_VALUE"""),"ORGANIC")</f>
        <v>ORGANIC</v>
      </c>
      <c r="D2321" s="1" t="str">
        <f>IFERROR(__xludf.DUMMYFUNCTION("""COMPUTED_VALUE"""),"REMOLLO LEA")</f>
        <v>REMOLLO LEA</v>
      </c>
      <c r="E2321" s="1" t="str">
        <f>IFERROR(__xludf.DUMMYFUNCTION("""COMPUTED_VALUE"""),"PLDT / H2H")</f>
        <v>PLDT / H2H</v>
      </c>
      <c r="F2321" s="1">
        <f>IFERROR(__xludf.DUMMYFUNCTION("""COMPUTED_VALUE"""),2310627981)</f>
        <v>2310627981</v>
      </c>
      <c r="G2321" s="1">
        <f>IFERROR(__xludf.DUMMYFUNCTION("""COMPUTED_VALUE"""),460882652004)</f>
        <v>460882652004</v>
      </c>
      <c r="H2321" s="1" t="str">
        <f>IFERROR(__xludf.DUMMYFUNCTION("""COMPUTED_VALUE"""),"ALLEN KAYE ALCAZAR ESGUERRA")</f>
        <v>ALLEN KAYE ALCAZAR ESGUERRA</v>
      </c>
      <c r="I2321" s="1">
        <f>IFERROR(__xludf.DUMMYFUNCTION("""COMPUTED_VALUE"""),9777080835)</f>
        <v>9777080835</v>
      </c>
      <c r="J2321" s="1">
        <f>IFERROR(__xludf.DUMMYFUNCTION("""COMPUTED_VALUE"""),9952420548)</f>
        <v>9952420548</v>
      </c>
      <c r="K2321" s="1" t="str">
        <f>IFERROR(__xludf.DUMMYFUNCTION("""COMPUTED_VALUE"""),"sunnyviray1015@gmail.com")</f>
        <v>sunnyviray1015@gmail.com</v>
      </c>
      <c r="L2321" s="1" t="str">
        <f>IFERROR(__xludf.DUMMYFUNCTION("""COMPUTED_VALUE"""),"BLK 8B LOT 11")</f>
        <v>BLK 8B LOT 11</v>
      </c>
      <c r="M2321" s="1" t="str">
        <f>IFERROR(__xludf.DUMMYFUNCTION("""COMPUTED_VALUE"""),"TAAL CRYSTAL ESTATE")</f>
        <v>TAAL CRYSTAL ESTATE</v>
      </c>
      <c r="N2321" s="1"/>
      <c r="O2321" s="1" t="str">
        <f>IFERROR(__xludf.DUMMYFUNCTION("""COMPUTED_VALUE"""),"LUKSUHIN ILAYA")</f>
        <v>LUKSUHIN ILAYA</v>
      </c>
      <c r="P2321" s="1" t="str">
        <f>IFERROR(__xludf.DUMMYFUNCTION("""COMPUTED_VALUE"""),"ALFONSO")</f>
        <v>ALFONSO</v>
      </c>
      <c r="Q2321" s="1" t="str">
        <f>IFERROR(__xludf.DUMMYFUNCTION("""COMPUTED_VALUE"""),"CAVITE")</f>
        <v>CAVITE</v>
      </c>
      <c r="R2321" s="1" t="str">
        <f>IFERROR(__xludf.DUMMYFUNCTION("""COMPUTED_VALUE"""),"FIBR NETFLIX PLAN 1599")</f>
        <v>FIBR NETFLIX PLAN 1599</v>
      </c>
      <c r="S2321" s="1" t="str">
        <f>IFERROR(__xludf.DUMMYFUNCTION("""COMPUTED_VALUE"""),"APPROVED")</f>
        <v>APPROVED</v>
      </c>
      <c r="T2321" s="1" t="str">
        <f>IFERROR(__xludf.DUMMYFUNCTION("""COMPUTED_VALUE"""),"CLOSED")</f>
        <v>CLOSED</v>
      </c>
      <c r="U2321" s="1" t="str">
        <f>IFERROR(__xludf.DUMMYFUNCTION("""COMPUTED_VALUE"""),"POSTED")</f>
        <v>POSTED</v>
      </c>
      <c r="V2321" s="1"/>
      <c r="W2321" s="1"/>
    </row>
    <row r="2322" customHeight="1" spans="1:23">
      <c r="A2322" s="3">
        <f>IFERROR(__xludf.DUMMYFUNCTION("""COMPUTED_VALUE"""),46204)</f>
        <v>46204</v>
      </c>
      <c r="B2322" s="1" t="str">
        <f>IFERROR(__xludf.DUMMYFUNCTION("""COMPUTED_VALUE"""),"RIVERA, AIRIZH JOY")</f>
        <v>RIVERA, AIRIZH JOY</v>
      </c>
      <c r="C2322" s="1" t="str">
        <f>IFERROR(__xludf.DUMMYFUNCTION("""COMPUTED_VALUE"""),"ORGANIC")</f>
        <v>ORGANIC</v>
      </c>
      <c r="D2322" s="1" t="str">
        <f>IFERROR(__xludf.DUMMYFUNCTION("""COMPUTED_VALUE"""),"REMOLLO LEA")</f>
        <v>REMOLLO LEA</v>
      </c>
      <c r="E2322" s="1" t="str">
        <f>IFERROR(__xludf.DUMMYFUNCTION("""COMPUTED_VALUE"""),"PLDT / H2H")</f>
        <v>PLDT / H2H</v>
      </c>
      <c r="F2322" s="1">
        <f>IFERROR(__xludf.DUMMYFUNCTION("""COMPUTED_VALUE"""),2310628827)</f>
        <v>2310628827</v>
      </c>
      <c r="G2322" s="1">
        <f>IFERROR(__xludf.DUMMYFUNCTION("""COMPUTED_VALUE"""),460882101004)</f>
        <v>460882101004</v>
      </c>
      <c r="H2322" s="1" t="str">
        <f>IFERROR(__xludf.DUMMYFUNCTION("""COMPUTED_VALUE"""),"ARMANDO JR MORAUDA LONGAZA")</f>
        <v>ARMANDO JR MORAUDA LONGAZA</v>
      </c>
      <c r="I2322" s="1">
        <f>IFERROR(__xludf.DUMMYFUNCTION("""COMPUTED_VALUE"""),9071968288)</f>
        <v>9071968288</v>
      </c>
      <c r="J2322" s="1">
        <f>IFERROR(__xludf.DUMMYFUNCTION("""COMPUTED_VALUE"""),9942053600)</f>
        <v>9942053600</v>
      </c>
      <c r="K2322" s="1" t="str">
        <f>IFERROR(__xludf.DUMMYFUNCTION("""COMPUTED_VALUE"""),"longazaarman286@gmail.com")</f>
        <v>longazaarman286@gmail.com</v>
      </c>
      <c r="L2322" s="1" t="str">
        <f>IFERROR(__xludf.DUMMYFUNCTION("""COMPUTED_VALUE"""),"LOT 5628K")</f>
        <v>LOT 5628K</v>
      </c>
      <c r="M2322" s="1" t="str">
        <f>IFERROR(__xludf.DUMMYFUNCTION("""COMPUTED_VALUE"""),"TABING ILOG ")</f>
        <v>TABING ILOG </v>
      </c>
      <c r="N2322" s="1"/>
      <c r="O2322" s="1" t="str">
        <f>IFERROR(__xludf.DUMMYFUNCTION("""COMPUTED_VALUE"""),"PASONG BUAYA II")</f>
        <v>PASONG BUAYA II</v>
      </c>
      <c r="P2322" s="1" t="str">
        <f>IFERROR(__xludf.DUMMYFUNCTION("""COMPUTED_VALUE"""),"IMUS")</f>
        <v>IMUS</v>
      </c>
      <c r="Q2322" s="1" t="str">
        <f>IFERROR(__xludf.DUMMYFUNCTION("""COMPUTED_VALUE"""),"CAVITE")</f>
        <v>CAVITE</v>
      </c>
      <c r="R2322" s="1" t="str">
        <f>IFERROR(__xludf.DUMMYFUNCTION("""COMPUTED_VALUE"""),"FIBR NETFLIX PLAN 1599")</f>
        <v>FIBR NETFLIX PLAN 1599</v>
      </c>
      <c r="S2322" s="1" t="str">
        <f>IFERROR(__xludf.DUMMYFUNCTION("""COMPUTED_VALUE"""),"APPROVED")</f>
        <v>APPROVED</v>
      </c>
      <c r="T2322" s="1" t="str">
        <f>IFERROR(__xludf.DUMMYFUNCTION("""COMPUTED_VALUE"""),"RPR")</f>
        <v>RPR</v>
      </c>
      <c r="U2322" s="1" t="str">
        <f>IFERROR(__xludf.DUMMYFUNCTION("""COMPUTED_VALUE"""),"PAID VIA GOTYM JULY 1")</f>
        <v>PAID VIA GOTYM JULY 1</v>
      </c>
      <c r="V2322" s="1"/>
      <c r="W2322" s="1"/>
    </row>
    <row r="2323" customHeight="1" spans="1:23">
      <c r="A2323" s="3">
        <f>IFERROR(__xludf.DUMMYFUNCTION("""COMPUTED_VALUE"""),46204)</f>
        <v>46204</v>
      </c>
      <c r="B2323" s="1" t="str">
        <f>IFERROR(__xludf.DUMMYFUNCTION("""COMPUTED_VALUE"""),"TAMAYO, MARY ROSE")</f>
        <v>TAMAYO, MARY ROSE</v>
      </c>
      <c r="C2323" s="1" t="str">
        <f>IFERROR(__xludf.DUMMYFUNCTION("""COMPUTED_VALUE"""),"ORGANIC")</f>
        <v>ORGANIC</v>
      </c>
      <c r="D2323" s="1" t="str">
        <f>IFERROR(__xludf.DUMMYFUNCTION("""COMPUTED_VALUE"""),"REMOLLO LEA")</f>
        <v>REMOLLO LEA</v>
      </c>
      <c r="E2323" s="1" t="str">
        <f>IFERROR(__xludf.DUMMYFUNCTION("""COMPUTED_VALUE"""),"PLDT / H2H")</f>
        <v>PLDT / H2H</v>
      </c>
      <c r="F2323" s="1">
        <f>IFERROR(__xludf.DUMMYFUNCTION("""COMPUTED_VALUE"""),2310630937)</f>
        <v>2310630937</v>
      </c>
      <c r="G2323" s="1">
        <f>IFERROR(__xludf.DUMMYFUNCTION("""COMPUTED_VALUE"""),460887812004)</f>
        <v>460887812004</v>
      </c>
      <c r="H2323" s="1" t="str">
        <f>IFERROR(__xludf.DUMMYFUNCTION("""COMPUTED_VALUE"""),"ALDRIN RAMOS SURBANO")</f>
        <v>ALDRIN RAMOS SURBANO</v>
      </c>
      <c r="I2323" s="1">
        <f>IFERROR(__xludf.DUMMYFUNCTION("""COMPUTED_VALUE"""),9634316276)</f>
        <v>9634316276</v>
      </c>
      <c r="J2323" s="1">
        <f>IFERROR(__xludf.DUMMYFUNCTION("""COMPUTED_VALUE"""),9397812796)</f>
        <v>9397812796</v>
      </c>
      <c r="K2323" s="1" t="str">
        <f>IFERROR(__xludf.DUMMYFUNCTION("""COMPUTED_VALUE"""),"surbano26@gmail.com")</f>
        <v>surbano26@gmail.com</v>
      </c>
      <c r="L2323" s="1" t="str">
        <f>IFERROR(__xludf.DUMMYFUNCTION("""COMPUTED_VALUE"""),"C5")</f>
        <v>C5</v>
      </c>
      <c r="M2323" s="1" t="str">
        <f>IFERROR(__xludf.DUMMYFUNCTION("""COMPUTED_VALUE"""),"LUKSUHIN")</f>
        <v>LUKSUHIN</v>
      </c>
      <c r="N2323" s="1"/>
      <c r="O2323" s="1" t="str">
        <f>IFERROR(__xludf.DUMMYFUNCTION("""COMPUTED_VALUE"""),"LUCSUHIN")</f>
        <v>LUCSUHIN</v>
      </c>
      <c r="P2323" s="1" t="str">
        <f>IFERROR(__xludf.DUMMYFUNCTION("""COMPUTED_VALUE"""),"ALFONSO")</f>
        <v>ALFONSO</v>
      </c>
      <c r="Q2323" s="1" t="str">
        <f>IFERROR(__xludf.DUMMYFUNCTION("""COMPUTED_VALUE"""),"CAVITE")</f>
        <v>CAVITE</v>
      </c>
      <c r="R2323" s="1" t="str">
        <f>IFERROR(__xludf.DUMMYFUNCTION("""COMPUTED_VALUE"""),"FIBR UNLI ALL PLAN 999")</f>
        <v>FIBR UNLI ALL PLAN 999</v>
      </c>
      <c r="S2323" s="1" t="str">
        <f>IFERROR(__xludf.DUMMYFUNCTION("""COMPUTED_VALUE"""),"APPROVED")</f>
        <v>APPROVED</v>
      </c>
      <c r="T2323" s="1" t="str">
        <f>IFERROR(__xludf.DUMMYFUNCTION("""COMPUTED_VALUE"""),"CLOSED")</f>
        <v>CLOSED</v>
      </c>
      <c r="U2323" s="1" t="str">
        <f>IFERROR(__xludf.DUMMYFUNCTION("""COMPUTED_VALUE"""),"POSTED")</f>
        <v>POSTED</v>
      </c>
      <c r="V2323" s="1"/>
      <c r="W2323" s="1"/>
    </row>
    <row r="2324" customHeight="1" spans="1:23">
      <c r="A2324" s="3">
        <f>IFERROR(__xludf.DUMMYFUNCTION("""COMPUTED_VALUE"""),46204)</f>
        <v>46204</v>
      </c>
      <c r="B2324" s="1" t="str">
        <f>IFERROR(__xludf.DUMMYFUNCTION("""COMPUTED_VALUE"""),"ESCARCHA, MA ALMA  ESCOTO")</f>
        <v>ESCARCHA, MA ALMA  ESCOTO</v>
      </c>
      <c r="C2324" s="1" t="str">
        <f>IFERROR(__xludf.DUMMYFUNCTION("""COMPUTED_VALUE"""),"ORGANIC")</f>
        <v>ORGANIC</v>
      </c>
      <c r="D2324" s="1" t="str">
        <f>IFERROR(__xludf.DUMMYFUNCTION("""COMPUTED_VALUE"""),"REMOLLO LEA")</f>
        <v>REMOLLO LEA</v>
      </c>
      <c r="E2324" s="1" t="str">
        <f>IFERROR(__xludf.DUMMYFUNCTION("""COMPUTED_VALUE"""),"PLDT / H2H")</f>
        <v>PLDT / H2H</v>
      </c>
      <c r="F2324" s="1">
        <f>IFERROR(__xludf.DUMMYFUNCTION("""COMPUTED_VALUE"""),2310629480)</f>
        <v>2310629480</v>
      </c>
      <c r="G2324" s="1">
        <f>IFERROR(__xludf.DUMMYFUNCTION("""COMPUTED_VALUE"""),460884525004)</f>
        <v>460884525004</v>
      </c>
      <c r="H2324" s="1" t="str">
        <f>IFERROR(__xludf.DUMMYFUNCTION("""COMPUTED_VALUE"""),"JECEL RUIZ CORDOVA")</f>
        <v>JECEL RUIZ CORDOVA</v>
      </c>
      <c r="I2324" s="1">
        <f>IFERROR(__xludf.DUMMYFUNCTION("""COMPUTED_VALUE"""),9568216024)</f>
        <v>9568216024</v>
      </c>
      <c r="J2324" s="1">
        <f>IFERROR(__xludf.DUMMYFUNCTION("""COMPUTED_VALUE"""),9956411529)</f>
        <v>9956411529</v>
      </c>
      <c r="K2324" s="1" t="str">
        <f>IFERROR(__xludf.DUMMYFUNCTION("""COMPUTED_VALUE"""),"jocelcordova99@gmail.com")</f>
        <v>jocelcordova99@gmail.com</v>
      </c>
      <c r="L2324" s="1" t="str">
        <f>IFERROR(__xludf.DUMMYFUNCTION("""COMPUTED_VALUE"""),"333")</f>
        <v>333</v>
      </c>
      <c r="M2324" s="1" t="str">
        <f>IFERROR(__xludf.DUMMYFUNCTION("""COMPUTED_VALUE"""),"LUKSUHIN")</f>
        <v>LUKSUHIN</v>
      </c>
      <c r="N2324" s="1"/>
      <c r="O2324" s="1" t="str">
        <f>IFERROR(__xludf.DUMMYFUNCTION("""COMPUTED_VALUE"""),"LUKSUHIN")</f>
        <v>LUKSUHIN</v>
      </c>
      <c r="P2324" s="1" t="str">
        <f>IFERROR(__xludf.DUMMYFUNCTION("""COMPUTED_VALUE"""),"ALFONSO")</f>
        <v>ALFONSO</v>
      </c>
      <c r="Q2324" s="1" t="str">
        <f>IFERROR(__xludf.DUMMYFUNCTION("""COMPUTED_VALUE"""),"CAVITE")</f>
        <v>CAVITE</v>
      </c>
      <c r="R2324" s="1" t="str">
        <f>IFERROR(__xludf.DUMMYFUNCTION("""COMPUTED_VALUE"""),"FIBR UNLI ALL PLAN 999")</f>
        <v>FIBR UNLI ALL PLAN 999</v>
      </c>
      <c r="S2324" s="1" t="str">
        <f>IFERROR(__xludf.DUMMYFUNCTION("""COMPUTED_VALUE"""),"APPROVED")</f>
        <v>APPROVED</v>
      </c>
      <c r="T2324" s="1" t="str">
        <f>IFERROR(__xludf.DUMMYFUNCTION("""COMPUTED_VALUE"""),"RPR")</f>
        <v>RPR</v>
      </c>
      <c r="U2324" s="1"/>
      <c r="V2324" s="1"/>
      <c r="W2324" s="1"/>
    </row>
    <row r="2325" customHeight="1" spans="1:23">
      <c r="A2325" s="3">
        <f>IFERROR(__xludf.DUMMYFUNCTION("""COMPUTED_VALUE"""),46204)</f>
        <v>46204</v>
      </c>
      <c r="B2325" s="1" t="str">
        <f>IFERROR(__xludf.DUMMYFUNCTION("""COMPUTED_VALUE"""),"AYON MANUEL")</f>
        <v>AYON MANUEL</v>
      </c>
      <c r="C2325" s="1" t="str">
        <f>IFERROR(__xludf.DUMMYFUNCTION("""COMPUTED_VALUE"""),"FLA")</f>
        <v>FLA</v>
      </c>
      <c r="D2325" s="1" t="str">
        <f>IFERROR(__xludf.DUMMYFUNCTION("""COMPUTED_VALUE"""),"JERIC NAVARRO")</f>
        <v>JERIC NAVARRO</v>
      </c>
      <c r="E2325" s="1" t="str">
        <f>IFERROR(__xludf.DUMMYFUNCTION("""COMPUTED_VALUE"""),"PLDT / ONLINE")</f>
        <v>PLDT / ONLINE</v>
      </c>
      <c r="F2325" s="1">
        <f>IFERROR(__xludf.DUMMYFUNCTION("""COMPUTED_VALUE"""),2310630269)</f>
        <v>2310630269</v>
      </c>
      <c r="G2325" s="1">
        <f>IFERROR(__xludf.DUMMYFUNCTION("""COMPUTED_VALUE"""),460887710004)</f>
        <v>460887710004</v>
      </c>
      <c r="H2325" s="1" t="str">
        <f>IFERROR(__xludf.DUMMYFUNCTION("""COMPUTED_VALUE"""),"JOANAMARIE ESTEBAN HONRA")</f>
        <v>JOANAMARIE ESTEBAN HONRA</v>
      </c>
      <c r="I2325" s="1">
        <f>IFERROR(__xludf.DUMMYFUNCTION("""COMPUTED_VALUE"""),9564663692)</f>
        <v>9564663692</v>
      </c>
      <c r="J2325" s="1">
        <f>IFERROR(__xludf.DUMMYFUNCTION("""COMPUTED_VALUE"""),9691753533)</f>
        <v>9691753533</v>
      </c>
      <c r="K2325" s="1" t="str">
        <f>IFERROR(__xludf.DUMMYFUNCTION("""COMPUTED_VALUE"""),"joanamariehonra@gmail.com")</f>
        <v>joanamariehonra@gmail.com</v>
      </c>
      <c r="L2325" s="1" t="str">
        <f>IFERROR(__xludf.DUMMYFUNCTION("""COMPUTED_VALUE"""),"404")</f>
        <v>404</v>
      </c>
      <c r="M2325" s="1" t="str">
        <f>IFERROR(__xludf.DUMMYFUNCTION("""COMPUTED_VALUE"""),"SOUTWOODS AVE")</f>
        <v>SOUTWOODS AVE</v>
      </c>
      <c r="N2325" s="1" t="str">
        <f>IFERROR(__xludf.DUMMYFUNCTION("""COMPUTED_VALUE"""),"SOUTHWOODS")</f>
        <v>SOUTHWOODS</v>
      </c>
      <c r="O2325" s="1" t="str">
        <f>IFERROR(__xludf.DUMMYFUNCTION("""COMPUTED_VALUE"""),"CABILANG BAYBAY")</f>
        <v>CABILANG BAYBAY</v>
      </c>
      <c r="P2325" s="1" t="str">
        <f>IFERROR(__xludf.DUMMYFUNCTION("""COMPUTED_VALUE"""),"CARMONA")</f>
        <v>CARMONA</v>
      </c>
      <c r="Q2325" s="1" t="str">
        <f>IFERROR(__xludf.DUMMYFUNCTION("""COMPUTED_VALUE"""),"CAVITE")</f>
        <v>CAVITE</v>
      </c>
      <c r="R2325" s="1" t="str">
        <f>IFERROR(__xludf.DUMMYFUNCTION("""COMPUTED_VALUE"""),"FIBR NETFLIX PLAN 1599")</f>
        <v>FIBR NETFLIX PLAN 1599</v>
      </c>
      <c r="S2325" s="1" t="str">
        <f>IFERROR(__xludf.DUMMYFUNCTION("""COMPUTED_VALUE"""),"APPROVED")</f>
        <v>APPROVED</v>
      </c>
      <c r="T2325" s="1" t="str">
        <f>IFERROR(__xludf.DUMMYFUNCTION("""COMPUTED_VALUE"""),"CLOSED")</f>
        <v>CLOSED</v>
      </c>
      <c r="U2325" s="1" t="str">
        <f>IFERROR(__xludf.DUMMYFUNCTION("""COMPUTED_VALUE"""),"POSTED")</f>
        <v>POSTED</v>
      </c>
      <c r="V2325" s="1"/>
      <c r="W2325" s="1"/>
    </row>
    <row r="2326" customHeight="1" spans="1:23">
      <c r="A2326" s="3">
        <f>IFERROR(__xludf.DUMMYFUNCTION("""COMPUTED_VALUE"""),46204)</f>
        <v>46204</v>
      </c>
      <c r="B2326" s="1" t="str">
        <f>IFERROR(__xludf.DUMMYFUNCTION("""COMPUTED_VALUE"""),"FRONDEZ, JEDREFF")</f>
        <v>FRONDEZ, JEDREFF</v>
      </c>
      <c r="C2326" s="1" t="str">
        <f>IFERROR(__xludf.DUMMYFUNCTION("""COMPUTED_VALUE"""),"ORGANIC")</f>
        <v>ORGANIC</v>
      </c>
      <c r="D2326" s="1" t="str">
        <f>IFERROR(__xludf.DUMMYFUNCTION("""COMPUTED_VALUE"""),"REMOLLO LEA")</f>
        <v>REMOLLO LEA</v>
      </c>
      <c r="E2326" s="1" t="str">
        <f>IFERROR(__xludf.DUMMYFUNCTION("""COMPUTED_VALUE"""),"PLDT / H2H")</f>
        <v>PLDT / H2H</v>
      </c>
      <c r="F2326" s="1">
        <f>IFERROR(__xludf.DUMMYFUNCTION("""COMPUTED_VALUE"""),2310635943)</f>
        <v>2310635943</v>
      </c>
      <c r="G2326" s="1">
        <f>IFERROR(__xludf.DUMMYFUNCTION("""COMPUTED_VALUE"""),461000105004)</f>
        <v>461000105004</v>
      </c>
      <c r="H2326" s="1" t="str">
        <f>IFERROR(__xludf.DUMMYFUNCTION("""COMPUTED_VALUE"""),"ERNINA GA-AS CABINGAN")</f>
        <v>ERNINA GA-AS CABINGAN</v>
      </c>
      <c r="I2326" s="1">
        <f>IFERROR(__xludf.DUMMYFUNCTION("""COMPUTED_VALUE"""),9958277782)</f>
        <v>9958277782</v>
      </c>
      <c r="J2326" s="1">
        <f>IFERROR(__xludf.DUMMYFUNCTION("""COMPUTED_VALUE"""),9270727018)</f>
        <v>9270727018</v>
      </c>
      <c r="K2326" s="1" t="str">
        <f>IFERROR(__xludf.DUMMYFUNCTION("""COMPUTED_VALUE"""),"erninagcabingan15@gmail.com")</f>
        <v>erninagcabingan15@gmail.com</v>
      </c>
      <c r="L2326" s="1" t="str">
        <f>IFERROR(__xludf.DUMMYFUNCTION("""COMPUTED_VALUE"""),"9076B")</f>
        <v>9076B</v>
      </c>
      <c r="M2326" s="1" t="str">
        <f>IFERROR(__xludf.DUMMYFUNCTION("""COMPUTED_VALUE"""),"C5")</f>
        <v>C5</v>
      </c>
      <c r="N2326" s="1"/>
      <c r="O2326" s="1" t="str">
        <f>IFERROR(__xludf.DUMMYFUNCTION("""COMPUTED_VALUE"""),"LUKSUHIN ILAYA")</f>
        <v>LUKSUHIN ILAYA</v>
      </c>
      <c r="P2326" s="1" t="str">
        <f>IFERROR(__xludf.DUMMYFUNCTION("""COMPUTED_VALUE"""),"ALFONSO")</f>
        <v>ALFONSO</v>
      </c>
      <c r="Q2326" s="1" t="str">
        <f>IFERROR(__xludf.DUMMYFUNCTION("""COMPUTED_VALUE"""),"CAVITE")</f>
        <v>CAVITE</v>
      </c>
      <c r="R2326" s="1" t="str">
        <f>IFERROR(__xludf.DUMMYFUNCTION("""COMPUTED_VALUE"""),"FIBR UNLI ALL PLAN 999")</f>
        <v>FIBR UNLI ALL PLAN 999</v>
      </c>
      <c r="S2326" s="1" t="str">
        <f>IFERROR(__xludf.DUMMYFUNCTION("""COMPUTED_VALUE"""),"APPROVED")</f>
        <v>APPROVED</v>
      </c>
      <c r="T2326" s="1" t="str">
        <f>IFERROR(__xludf.DUMMYFUNCTION("""COMPUTED_VALUE"""),"CANCELLED")</f>
        <v>CANCELLED</v>
      </c>
      <c r="U2326" s="1"/>
      <c r="V2326" s="1"/>
      <c r="W2326" s="1"/>
    </row>
    <row r="2327" customHeight="1" spans="1:23">
      <c r="A2327" s="3">
        <f>IFERROR(__xludf.DUMMYFUNCTION("""COMPUTED_VALUE"""),46204)</f>
        <v>46204</v>
      </c>
      <c r="B2327" s="1" t="str">
        <f>IFERROR(__xludf.DUMMYFUNCTION("""COMPUTED_VALUE"""),"DELA ROSA, JENNELYN")</f>
        <v>DELA ROSA, JENNELYN</v>
      </c>
      <c r="C2327" s="1" t="str">
        <f>IFERROR(__xludf.DUMMYFUNCTION("""COMPUTED_VALUE"""),"ORGANIC")</f>
        <v>ORGANIC</v>
      </c>
      <c r="D2327" s="1" t="str">
        <f>IFERROR(__xludf.DUMMYFUNCTION("""COMPUTED_VALUE"""),"REMOLLO LEA")</f>
        <v>REMOLLO LEA</v>
      </c>
      <c r="E2327" s="1" t="str">
        <f>IFERROR(__xludf.DUMMYFUNCTION("""COMPUTED_VALUE"""),"PLDT / H2H")</f>
        <v>PLDT / H2H</v>
      </c>
      <c r="F2327" s="1">
        <f>IFERROR(__xludf.DUMMYFUNCTION("""COMPUTED_VALUE"""),2310631458)</f>
        <v>2310631458</v>
      </c>
      <c r="G2327" s="1">
        <f>IFERROR(__xludf.DUMMYFUNCTION("""COMPUTED_VALUE"""),460887431004)</f>
        <v>460887431004</v>
      </c>
      <c r="H2327" s="1" t="str">
        <f>IFERROR(__xludf.DUMMYFUNCTION("""COMPUTED_VALUE"""),"ROSE JEAN RAGAO BONDOY")</f>
        <v>ROSE JEAN RAGAO BONDOY</v>
      </c>
      <c r="I2327" s="1">
        <f>IFERROR(__xludf.DUMMYFUNCTION("""COMPUTED_VALUE"""),9562070956)</f>
        <v>9562070956</v>
      </c>
      <c r="J2327" s="1">
        <f>IFERROR(__xludf.DUMMYFUNCTION("""COMPUTED_VALUE"""),9953012646)</f>
        <v>9953012646</v>
      </c>
      <c r="K2327" s="1" t="str">
        <f>IFERROR(__xludf.DUMMYFUNCTION("""COMPUTED_VALUE"""),"rosejeanragabondoy@gmail.com")</f>
        <v>rosejeanragabondoy@gmail.com</v>
      </c>
      <c r="L2327" s="1" t="str">
        <f>IFERROR(__xludf.DUMMYFUNCTION("""COMPUTED_VALUE"""),"15")</f>
        <v>15</v>
      </c>
      <c r="M2327" s="1" t="str">
        <f>IFERROR(__xludf.DUMMYFUNCTION("""COMPUTED_VALUE"""),"SAN PEDRO")</f>
        <v>SAN PEDRO</v>
      </c>
      <c r="N2327" s="1"/>
      <c r="O2327" s="1" t="str">
        <f>IFERROR(__xludf.DUMMYFUNCTION("""COMPUTED_VALUE"""),"BUKAL")</f>
        <v>BUKAL</v>
      </c>
      <c r="P2327" s="1" t="str">
        <f>IFERROR(__xludf.DUMMYFUNCTION("""COMPUTED_VALUE"""),"MENDEZ")</f>
        <v>MENDEZ</v>
      </c>
      <c r="Q2327" s="1" t="str">
        <f>IFERROR(__xludf.DUMMYFUNCTION("""COMPUTED_VALUE"""),"CAVITE")</f>
        <v>CAVITE</v>
      </c>
      <c r="R2327" s="1" t="str">
        <f>IFERROR(__xludf.DUMMYFUNCTION("""COMPUTED_VALUE"""),"FIBR PLAN 1299")</f>
        <v>FIBR PLAN 1299</v>
      </c>
      <c r="S2327" s="1" t="str">
        <f>IFERROR(__xludf.DUMMYFUNCTION("""COMPUTED_VALUE"""),"APPROVED")</f>
        <v>APPROVED</v>
      </c>
      <c r="T2327" s="1" t="str">
        <f>IFERROR(__xludf.DUMMYFUNCTION("""COMPUTED_VALUE"""),"RPR")</f>
        <v>RPR</v>
      </c>
      <c r="U2327" s="1"/>
      <c r="V2327" s="1"/>
      <c r="W2327" s="1"/>
    </row>
    <row r="2328" customHeight="1" spans="1:23">
      <c r="A2328" s="3">
        <f>IFERROR(__xludf.DUMMYFUNCTION("""COMPUTED_VALUE"""),46204)</f>
        <v>46204</v>
      </c>
      <c r="B2328" s="1" t="str">
        <f>IFERROR(__xludf.DUMMYFUNCTION("""COMPUTED_VALUE"""),"MAGDARAOG, KENNETH")</f>
        <v>MAGDARAOG, KENNETH</v>
      </c>
      <c r="C2328" s="1" t="str">
        <f>IFERROR(__xludf.DUMMYFUNCTION("""COMPUTED_VALUE"""),"ORGANIC")</f>
        <v>ORGANIC</v>
      </c>
      <c r="D2328" s="1" t="str">
        <f>IFERROR(__xludf.DUMMYFUNCTION("""COMPUTED_VALUE"""),"REMOLLO LEA")</f>
        <v>REMOLLO LEA</v>
      </c>
      <c r="E2328" s="1" t="str">
        <f>IFERROR(__xludf.DUMMYFUNCTION("""COMPUTED_VALUE"""),"PLDT / H2H")</f>
        <v>PLDT / H2H</v>
      </c>
      <c r="F2328" s="1">
        <f>IFERROR(__xludf.DUMMYFUNCTION("""COMPUTED_VALUE"""),2310634269)</f>
        <v>2310634269</v>
      </c>
      <c r="G2328" s="1">
        <f>IFERROR(__xludf.DUMMYFUNCTION("""COMPUTED_VALUE"""),460891135004)</f>
        <v>460891135004</v>
      </c>
      <c r="H2328" s="1" t="str">
        <f>IFERROR(__xludf.DUMMYFUNCTION("""COMPUTED_VALUE"""),"ALEXA LOU BANTANG LORENO")</f>
        <v>ALEXA LOU BANTANG LORENO</v>
      </c>
      <c r="I2328" s="1">
        <f>IFERROR(__xludf.DUMMYFUNCTION("""COMPUTED_VALUE"""),9323453747)</f>
        <v>9323453747</v>
      </c>
      <c r="J2328" s="1">
        <f>IFERROR(__xludf.DUMMYFUNCTION("""COMPUTED_VALUE"""),9438985978)</f>
        <v>9438985978</v>
      </c>
      <c r="K2328" s="1" t="str">
        <f>IFERROR(__xludf.DUMMYFUNCTION("""COMPUTED_VALUE"""),"catherineloreno@gmail.com")</f>
        <v>catherineloreno@gmail.com</v>
      </c>
      <c r="L2328" s="1" t="str">
        <f>IFERROR(__xludf.DUMMYFUNCTION("""COMPUTED_VALUE"""),"49")</f>
        <v>49</v>
      </c>
      <c r="M2328" s="1" t="str">
        <f>IFERROR(__xludf.DUMMYFUNCTION("""COMPUTED_VALUE"""),"MINANTOK")</f>
        <v>MINANTOK</v>
      </c>
      <c r="N2328" s="1"/>
      <c r="O2328" s="1" t="str">
        <f>IFERROR(__xludf.DUMMYFUNCTION("""COMPUTED_VALUE"""),"MINANTOK KANLURAN")</f>
        <v>MINANTOK KANLURAN</v>
      </c>
      <c r="P2328" s="1" t="str">
        <f>IFERROR(__xludf.DUMMYFUNCTION("""COMPUTED_VALUE"""),"AMADEO")</f>
        <v>AMADEO</v>
      </c>
      <c r="Q2328" s="1" t="str">
        <f>IFERROR(__xludf.DUMMYFUNCTION("""COMPUTED_VALUE"""),"CAVITE")</f>
        <v>CAVITE</v>
      </c>
      <c r="R2328" s="1" t="str">
        <f>IFERROR(__xludf.DUMMYFUNCTION("""COMPUTED_VALUE"""),"FIBR PLAN 1299")</f>
        <v>FIBR PLAN 1299</v>
      </c>
      <c r="S2328" s="1" t="str">
        <f>IFERROR(__xludf.DUMMYFUNCTION("""COMPUTED_VALUE"""),"APPROVED")</f>
        <v>APPROVED</v>
      </c>
      <c r="T2328" s="1" t="str">
        <f>IFERROR(__xludf.DUMMYFUNCTION("""COMPUTED_VALUE"""),"FOR CANCELLATION")</f>
        <v>FOR CANCELLATION</v>
      </c>
      <c r="U2328" s="1"/>
      <c r="V2328" s="1"/>
      <c r="W2328" s="1"/>
    </row>
    <row r="2329" customHeight="1" spans="1:23">
      <c r="A2329" s="3">
        <f>IFERROR(__xludf.DUMMYFUNCTION("""COMPUTED_VALUE"""),46204)</f>
        <v>46204</v>
      </c>
      <c r="B2329" s="1" t="str">
        <f>IFERROR(__xludf.DUMMYFUNCTION("""COMPUTED_VALUE"""),"ALINGARO, CINDY")</f>
        <v>ALINGARO, CINDY</v>
      </c>
      <c r="C2329" s="1" t="str">
        <f>IFERROR(__xludf.DUMMYFUNCTION("""COMPUTED_VALUE"""),"FLA")</f>
        <v>FLA</v>
      </c>
      <c r="D2329" s="1" t="str">
        <f>IFERROR(__xludf.DUMMYFUNCTION("""COMPUTED_VALUE"""),"JERIC NAVARRO")</f>
        <v>JERIC NAVARRO</v>
      </c>
      <c r="E2329" s="1" t="str">
        <f>IFERROR(__xludf.DUMMYFUNCTION("""COMPUTED_VALUE"""),"PLDT / H2H")</f>
        <v>PLDT / H2H</v>
      </c>
      <c r="F2329" s="1">
        <f>IFERROR(__xludf.DUMMYFUNCTION("""COMPUTED_VALUE"""),2310634746)</f>
        <v>2310634746</v>
      </c>
      <c r="G2329" s="1">
        <f>IFERROR(__xludf.DUMMYFUNCTION("""COMPUTED_VALUE"""),460893124004)</f>
        <v>460893124004</v>
      </c>
      <c r="H2329" s="1" t="str">
        <f>IFERROR(__xludf.DUMMYFUNCTION("""COMPUTED_VALUE"""),"JUNGIE MORENO LOBRIQUE")</f>
        <v>JUNGIE MORENO LOBRIQUE</v>
      </c>
      <c r="I2329" s="1">
        <f>IFERROR(__xludf.DUMMYFUNCTION("""COMPUTED_VALUE"""),9567749163)</f>
        <v>9567749163</v>
      </c>
      <c r="J2329" s="1"/>
      <c r="K2329" s="1" t="str">
        <f>IFERROR(__xludf.DUMMYFUNCTION("""COMPUTED_VALUE"""),"jungie_lobrique@yahoo.com")</f>
        <v>jungie_lobrique@yahoo.com</v>
      </c>
      <c r="L2329" s="1" t="str">
        <f>IFERROR(__xludf.DUMMYFUNCTION("""COMPUTED_VALUE"""),"BLK 1 LOT 19920")</f>
        <v>BLK 1 LOT 19920</v>
      </c>
      <c r="M2329" s="1" t="str">
        <f>IFERROR(__xludf.DUMMYFUNCTION("""COMPUTED_VALUE"""),"PULONAN RD")</f>
        <v>PULONAN RD</v>
      </c>
      <c r="N2329" s="1"/>
      <c r="O2329" s="1" t="str">
        <f>IFERROR(__xludf.DUMMYFUNCTION("""COMPUTED_VALUE"""),"DAGATAN")</f>
        <v>DAGATAN</v>
      </c>
      <c r="P2329" s="1" t="str">
        <f>IFERROR(__xludf.DUMMYFUNCTION("""COMPUTED_VALUE"""),"AMADEO")</f>
        <v>AMADEO</v>
      </c>
      <c r="Q2329" s="1" t="str">
        <f>IFERROR(__xludf.DUMMYFUNCTION("""COMPUTED_VALUE"""),"CAVITE")</f>
        <v>CAVITE</v>
      </c>
      <c r="R2329" s="1" t="str">
        <f>IFERROR(__xludf.DUMMYFUNCTION("""COMPUTED_VALUE"""),"FIBR UNLI ALL PLAN 2499")</f>
        <v>FIBR UNLI ALL PLAN 2499</v>
      </c>
      <c r="S2329" s="1" t="str">
        <f>IFERROR(__xludf.DUMMYFUNCTION("""COMPUTED_VALUE"""),"APPROVED")</f>
        <v>APPROVED</v>
      </c>
      <c r="T2329" s="1" t="str">
        <f>IFERROR(__xludf.DUMMYFUNCTION("""COMPUTED_VALUE"""),"CLOSED")</f>
        <v>CLOSED</v>
      </c>
      <c r="U2329" s="1" t="str">
        <f>IFERROR(__xludf.DUMMYFUNCTION("""COMPUTED_VALUE"""),"POSTED")</f>
        <v>POSTED</v>
      </c>
      <c r="V2329" s="1"/>
      <c r="W2329" s="1"/>
    </row>
    <row r="2330" customHeight="1" spans="1:23">
      <c r="A2330" s="3">
        <f>IFERROR(__xludf.DUMMYFUNCTION("""COMPUTED_VALUE"""),46204)</f>
        <v>46204</v>
      </c>
      <c r="B2330" s="1" t="str">
        <f>IFERROR(__xludf.DUMMYFUNCTION("""COMPUTED_VALUE"""),"MANDUCDOC, MARIANE")</f>
        <v>MANDUCDOC, MARIANE</v>
      </c>
      <c r="C2330" s="1" t="str">
        <f>IFERROR(__xludf.DUMMYFUNCTION("""COMPUTED_VALUE"""),"ORGANIC")</f>
        <v>ORGANIC</v>
      </c>
      <c r="D2330" s="1" t="str">
        <f>IFERROR(__xludf.DUMMYFUNCTION("""COMPUTED_VALUE"""),"REMOLLO LEA")</f>
        <v>REMOLLO LEA</v>
      </c>
      <c r="E2330" s="1" t="str">
        <f>IFERROR(__xludf.DUMMYFUNCTION("""COMPUTED_VALUE"""),"PLDT / H2H")</f>
        <v>PLDT / H2H</v>
      </c>
      <c r="F2330" s="1">
        <f>IFERROR(__xludf.DUMMYFUNCTION("""COMPUTED_VALUE"""),2310635540)</f>
        <v>2310635540</v>
      </c>
      <c r="G2330" s="1">
        <f>IFERROR(__xludf.DUMMYFUNCTION("""COMPUTED_VALUE"""),460892739004)</f>
        <v>460892739004</v>
      </c>
      <c r="H2330" s="1" t="str">
        <f>IFERROR(__xludf.DUMMYFUNCTION("""COMPUTED_VALUE"""),"ARIEL BALAT BENAMER")</f>
        <v>ARIEL BALAT BENAMER</v>
      </c>
      <c r="I2330" s="1">
        <f>IFERROR(__xludf.DUMMYFUNCTION("""COMPUTED_VALUE"""),9091844479)</f>
        <v>9091844479</v>
      </c>
      <c r="J2330" s="1"/>
      <c r="K2330" s="1" t="str">
        <f>IFERROR(__xludf.DUMMYFUNCTION("""COMPUTED_VALUE"""),"nicolas.aguilos8@gmail.com")</f>
        <v>nicolas.aguilos8@gmail.com</v>
      </c>
      <c r="L2330" s="1" t="str">
        <f>IFERROR(__xludf.DUMMYFUNCTION("""COMPUTED_VALUE"""),"42")</f>
        <v>42</v>
      </c>
      <c r="M2330" s="1" t="str">
        <f>IFERROR(__xludf.DUMMYFUNCTION("""COMPUTED_VALUE"""),"MINANTOK")</f>
        <v>MINANTOK</v>
      </c>
      <c r="N2330" s="1"/>
      <c r="O2330" s="1" t="str">
        <f>IFERROR(__xludf.DUMMYFUNCTION("""COMPUTED_VALUE"""),"MINANTOK KANLURAN")</f>
        <v>MINANTOK KANLURAN</v>
      </c>
      <c r="P2330" s="1" t="str">
        <f>IFERROR(__xludf.DUMMYFUNCTION("""COMPUTED_VALUE"""),"AMADEO")</f>
        <v>AMADEO</v>
      </c>
      <c r="Q2330" s="1" t="str">
        <f>IFERROR(__xludf.DUMMYFUNCTION("""COMPUTED_VALUE"""),"CAVITE")</f>
        <v>CAVITE</v>
      </c>
      <c r="R2330" s="1" t="str">
        <f>IFERROR(__xludf.DUMMYFUNCTION("""COMPUTED_VALUE"""),"FIBR UNLI ALL PLAN 1399")</f>
        <v>FIBR UNLI ALL PLAN 1399</v>
      </c>
      <c r="S2330" s="1" t="str">
        <f>IFERROR(__xludf.DUMMYFUNCTION("""COMPUTED_VALUE"""),"APPROVED")</f>
        <v>APPROVED</v>
      </c>
      <c r="T2330" s="1" t="str">
        <f>IFERROR(__xludf.DUMMYFUNCTION("""COMPUTED_VALUE"""),"CLOSED")</f>
        <v>CLOSED</v>
      </c>
      <c r="U2330" s="1" t="str">
        <f>IFERROR(__xludf.DUMMYFUNCTION("""COMPUTED_VALUE"""),"POSTED")</f>
        <v>POSTED</v>
      </c>
      <c r="V2330" s="1"/>
      <c r="W2330" s="1"/>
    </row>
    <row r="2331" customHeight="1" spans="1:23">
      <c r="A2331" s="3">
        <f>IFERROR(__xludf.DUMMYFUNCTION("""COMPUTED_VALUE"""),46205)</f>
        <v>46205</v>
      </c>
      <c r="B2331" s="1" t="str">
        <f>IFERROR(__xludf.DUMMYFUNCTION("""COMPUTED_VALUE"""),"MALIWAT MARK ELVIN")</f>
        <v>MALIWAT MARK ELVIN</v>
      </c>
      <c r="C2331" s="1" t="str">
        <f>IFERROR(__xludf.DUMMYFUNCTION("""COMPUTED_VALUE"""),"FLA")</f>
        <v>FLA</v>
      </c>
      <c r="D2331" s="1" t="str">
        <f>IFERROR(__xludf.DUMMYFUNCTION("""COMPUTED_VALUE"""),"JERIC NAVARRO")</f>
        <v>JERIC NAVARRO</v>
      </c>
      <c r="E2331" s="1" t="str">
        <f>IFERROR(__xludf.DUMMYFUNCTION("""COMPUTED_VALUE"""),"PLDT / ONLINE")</f>
        <v>PLDT / ONLINE</v>
      </c>
      <c r="F2331" s="1">
        <f>IFERROR(__xludf.DUMMYFUNCTION("""COMPUTED_VALUE"""),2310651470)</f>
        <v>2310651470</v>
      </c>
      <c r="G2331" s="1">
        <f>IFERROR(__xludf.DUMMYFUNCTION("""COMPUTED_VALUE"""),461001242004)</f>
        <v>461001242004</v>
      </c>
      <c r="H2331" s="1" t="str">
        <f>IFERROR(__xludf.DUMMYFUNCTION("""COMPUTED_VALUE"""),"PHILIP ALCANTARA GONZAGA")</f>
        <v>PHILIP ALCANTARA GONZAGA</v>
      </c>
      <c r="I2331" s="1">
        <f>IFERROR(__xludf.DUMMYFUNCTION("""COMPUTED_VALUE"""),9293035222)</f>
        <v>9293035222</v>
      </c>
      <c r="J2331" s="1">
        <f>IFERROR(__xludf.DUMMYFUNCTION("""COMPUTED_VALUE"""),9455044759)</f>
        <v>9455044759</v>
      </c>
      <c r="K2331" s="1" t="str">
        <f>IFERROR(__xludf.DUMMYFUNCTION("""COMPUTED_VALUE"""),"philipgonzaga0924@gmail.com")</f>
        <v>philipgonzaga0924@gmail.com</v>
      </c>
      <c r="L2331" s="1" t="str">
        <f>IFERROR(__xludf.DUMMYFUNCTION("""COMPUTED_VALUE"""),"BLK 8 LOT 26")</f>
        <v>BLK 8 LOT 26</v>
      </c>
      <c r="M2331" s="1" t="str">
        <f>IFERROR(__xludf.DUMMYFUNCTION("""COMPUTED_VALUE"""),"ONYX PHASE 4")</f>
        <v>ONYX PHASE 4</v>
      </c>
      <c r="N2331" s="1" t="str">
        <f>IFERROR(__xludf.DUMMYFUNCTION("""COMPUTED_VALUE"""),"CHRV")</f>
        <v>CHRV</v>
      </c>
      <c r="O2331" s="1" t="str">
        <f>IFERROR(__xludf.DUMMYFUNCTION("""COMPUTED_VALUE"""),"LANGKAAN II")</f>
        <v>LANGKAAN II</v>
      </c>
      <c r="P2331" s="1" t="str">
        <f>IFERROR(__xludf.DUMMYFUNCTION("""COMPUTED_VALUE"""),"DASMARINAS")</f>
        <v>DASMARINAS</v>
      </c>
      <c r="Q2331" s="1" t="str">
        <f>IFERROR(__xludf.DUMMYFUNCTION("""COMPUTED_VALUE"""),"CAVITE")</f>
        <v>CAVITE</v>
      </c>
      <c r="R2331" s="1" t="str">
        <f>IFERROR(__xludf.DUMMYFUNCTION("""COMPUTED_VALUE"""),"SWITCH FIBER NETFLIX PLAN 1599")</f>
        <v>SWITCH FIBER NETFLIX PLAN 1599</v>
      </c>
      <c r="S2331" s="1" t="str">
        <f>IFERROR(__xludf.DUMMYFUNCTION("""COMPUTED_VALUE"""),"APPROVED")</f>
        <v>APPROVED</v>
      </c>
      <c r="T2331" s="1" t="str">
        <f>IFERROR(__xludf.DUMMYFUNCTION("""COMPUTED_VALUE"""),"CLOSED")</f>
        <v>CLOSED</v>
      </c>
      <c r="U2331" s="1" t="str">
        <f>IFERROR(__xludf.DUMMYFUNCTION("""COMPUTED_VALUE"""),"POSTED")</f>
        <v>POSTED</v>
      </c>
      <c r="V2331" s="1"/>
      <c r="W2331" s="1"/>
    </row>
    <row r="2332" customHeight="1" spans="1:23">
      <c r="A2332" s="3">
        <f>IFERROR(__xludf.DUMMYFUNCTION("""COMPUTED_VALUE"""),46205)</f>
        <v>46205</v>
      </c>
      <c r="B2332" s="1" t="str">
        <f>IFERROR(__xludf.DUMMYFUNCTION("""COMPUTED_VALUE"""),"MALIWAT MARK ELVIN")</f>
        <v>MALIWAT MARK ELVIN</v>
      </c>
      <c r="C2332" s="1" t="str">
        <f>IFERROR(__xludf.DUMMYFUNCTION("""COMPUTED_VALUE"""),"FLA")</f>
        <v>FLA</v>
      </c>
      <c r="D2332" s="1" t="str">
        <f>IFERROR(__xludf.DUMMYFUNCTION("""COMPUTED_VALUE"""),"JERIC NAVARRO")</f>
        <v>JERIC NAVARRO</v>
      </c>
      <c r="E2332" s="1" t="str">
        <f>IFERROR(__xludf.DUMMYFUNCTION("""COMPUTED_VALUE"""),"PLDT / ONLINE")</f>
        <v>PLDT / ONLINE</v>
      </c>
      <c r="F2332" s="1">
        <f>IFERROR(__xludf.DUMMYFUNCTION("""COMPUTED_VALUE"""),2310649222)</f>
        <v>2310649222</v>
      </c>
      <c r="G2332" s="1">
        <f>IFERROR(__xludf.DUMMYFUNCTION("""COMPUTED_VALUE"""),461003512004)</f>
        <v>461003512004</v>
      </c>
      <c r="H2332" s="1" t="str">
        <f>IFERROR(__xludf.DUMMYFUNCTION("""COMPUTED_VALUE"""),"ZERLYN PALLINGAYAN ADVINCULA")</f>
        <v>ZERLYN PALLINGAYAN ADVINCULA</v>
      </c>
      <c r="I2332" s="1">
        <f>IFERROR(__xludf.DUMMYFUNCTION("""COMPUTED_VALUE"""),9656071432)</f>
        <v>9656071432</v>
      </c>
      <c r="J2332" s="1">
        <f>IFERROR(__xludf.DUMMYFUNCTION("""COMPUTED_VALUE"""),9764573736)</f>
        <v>9764573736</v>
      </c>
      <c r="K2332" s="1" t="str">
        <f>IFERROR(__xludf.DUMMYFUNCTION("""COMPUTED_VALUE"""),"zerlynadvincula30@gmail.com")</f>
        <v>zerlynadvincula30@gmail.com</v>
      </c>
      <c r="L2332" s="1" t="str">
        <f>IFERROR(__xludf.DUMMYFUNCTION("""COMPUTED_VALUE"""),"BLK 68 LOT 3")</f>
        <v>BLK 68 LOT 3</v>
      </c>
      <c r="M2332" s="1" t="str">
        <f>IFERROR(__xludf.DUMMYFUNCTION("""COMPUTED_VALUE"""),"CKUSTER 5")</f>
        <v>CKUSTER 5</v>
      </c>
      <c r="N2332" s="1" t="str">
        <f>IFERROR(__xludf.DUMMYFUNCTION("""COMPUTED_VALUE"""),"BELLA VISTA")</f>
        <v>BELLA VISTA</v>
      </c>
      <c r="O2332" s="1" t="str">
        <f>IFERROR(__xludf.DUMMYFUNCTION("""COMPUTED_VALUE"""),"SANTIAGO")</f>
        <v>SANTIAGO</v>
      </c>
      <c r="P2332" s="1" t="str">
        <f>IFERROR(__xludf.DUMMYFUNCTION("""COMPUTED_VALUE"""),"GENERAL TRIAS")</f>
        <v>GENERAL TRIAS</v>
      </c>
      <c r="Q2332" s="1" t="str">
        <f>IFERROR(__xludf.DUMMYFUNCTION("""COMPUTED_VALUE"""),"CAVITE")</f>
        <v>CAVITE</v>
      </c>
      <c r="R2332" s="1" t="str">
        <f>IFERROR(__xludf.DUMMYFUNCTION("""COMPUTED_VALUE"""),"FIBR NETFLIX PLAN 1599")</f>
        <v>FIBR NETFLIX PLAN 1599</v>
      </c>
      <c r="S2332" s="1" t="str">
        <f>IFERROR(__xludf.DUMMYFUNCTION("""COMPUTED_VALUE"""),"APPROVED")</f>
        <v>APPROVED</v>
      </c>
      <c r="T2332" s="1" t="str">
        <f>IFERROR(__xludf.DUMMYFUNCTION("""COMPUTED_VALUE"""),"CLOSED")</f>
        <v>CLOSED</v>
      </c>
      <c r="U2332" s="1" t="str">
        <f>IFERROR(__xludf.DUMMYFUNCTION("""COMPUTED_VALUE"""),"POSTED")</f>
        <v>POSTED</v>
      </c>
      <c r="V2332" s="1"/>
      <c r="W2332" s="1"/>
    </row>
    <row r="2333" customHeight="1" spans="1:23">
      <c r="A2333" s="3">
        <f>IFERROR(__xludf.DUMMYFUNCTION("""COMPUTED_VALUE"""),46205)</f>
        <v>46205</v>
      </c>
      <c r="B2333" s="1" t="str">
        <f>IFERROR(__xludf.DUMMYFUNCTION("""COMPUTED_VALUE"""),"FARO, REFRANTA")</f>
        <v>FARO, REFRANTA</v>
      </c>
      <c r="C2333" s="1" t="str">
        <f>IFERROR(__xludf.DUMMYFUNCTION("""COMPUTED_VALUE"""),"ORGANIC")</f>
        <v>ORGANIC</v>
      </c>
      <c r="D2333" s="1" t="str">
        <f>IFERROR(__xludf.DUMMYFUNCTION("""COMPUTED_VALUE"""),"REMOLLO LEA")</f>
        <v>REMOLLO LEA</v>
      </c>
      <c r="E2333" s="1" t="str">
        <f>IFERROR(__xludf.DUMMYFUNCTION("""COMPUTED_VALUE"""),"PLDT / ONLINE")</f>
        <v>PLDT / ONLINE</v>
      </c>
      <c r="F2333" s="1">
        <f>IFERROR(__xludf.DUMMYFUNCTION("""COMPUTED_VALUE"""),2310648895)</f>
        <v>2310648895</v>
      </c>
      <c r="G2333" s="1">
        <f>IFERROR(__xludf.DUMMYFUNCTION("""COMPUTED_VALUE"""),460993517004)</f>
        <v>460993517004</v>
      </c>
      <c r="H2333" s="1" t="str">
        <f>IFERROR(__xludf.DUMMYFUNCTION("""COMPUTED_VALUE"""),"MARY MARGARET ROSIL IRAL")</f>
        <v>MARY MARGARET ROSIL IRAL</v>
      </c>
      <c r="I2333" s="1">
        <f>IFERROR(__xludf.DUMMYFUNCTION("""COMPUTED_VALUE"""),9054412029)</f>
        <v>9054412029</v>
      </c>
      <c r="J2333" s="1"/>
      <c r="K2333" s="1" t="str">
        <f>IFERROR(__xludf.DUMMYFUNCTION("""COMPUTED_VALUE"""),"emsiral02@gmail.com")</f>
        <v>emsiral02@gmail.com</v>
      </c>
      <c r="L2333" s="1" t="str">
        <f>IFERROR(__xludf.DUMMYFUNCTION("""COMPUTED_VALUE"""),"2028")</f>
        <v>2028</v>
      </c>
      <c r="M2333" s="1" t="str">
        <f>IFERROR(__xludf.DUMMYFUNCTION("""COMPUTED_VALUE"""),"CRUZ HERRERA")</f>
        <v>CRUZ HERRERA</v>
      </c>
      <c r="N2333" s="1" t="str">
        <f>IFERROR(__xludf.DUMMYFUNCTION("""COMPUTED_VALUE"""),"ELEVE")</f>
        <v>ELEVE</v>
      </c>
      <c r="O2333" s="1" t="str">
        <f>IFERROR(__xludf.DUMMYFUNCTION("""COMPUTED_VALUE"""),"MAHARLIKA WEST")</f>
        <v>MAHARLIKA WEST</v>
      </c>
      <c r="P2333" s="1" t="str">
        <f>IFERROR(__xludf.DUMMYFUNCTION("""COMPUTED_VALUE"""),"TAGAYTAY")</f>
        <v>TAGAYTAY</v>
      </c>
      <c r="Q2333" s="1" t="str">
        <f>IFERROR(__xludf.DUMMYFUNCTION("""COMPUTED_VALUE"""),"CAVITE")</f>
        <v>CAVITE</v>
      </c>
      <c r="R2333" s="1" t="str">
        <f>IFERROR(__xludf.DUMMYFUNCTION("""COMPUTED_VALUE"""),"FIBR NETFLIX PLAN 1599")</f>
        <v>FIBR NETFLIX PLAN 1599</v>
      </c>
      <c r="S2333" s="1" t="str">
        <f>IFERROR(__xludf.DUMMYFUNCTION("""COMPUTED_VALUE"""),"APPROVED")</f>
        <v>APPROVED</v>
      </c>
      <c r="T2333" s="1" t="str">
        <f>IFERROR(__xludf.DUMMYFUNCTION("""COMPUTED_VALUE"""),"CLOSED")</f>
        <v>CLOSED</v>
      </c>
      <c r="U2333" s="1" t="str">
        <f>IFERROR(__xludf.DUMMYFUNCTION("""COMPUTED_VALUE"""),"POSTED")</f>
        <v>POSTED</v>
      </c>
      <c r="V2333" s="1"/>
      <c r="W2333" s="1"/>
    </row>
    <row r="2334" customHeight="1" spans="1:23">
      <c r="A2334" s="3">
        <f>IFERROR(__xludf.DUMMYFUNCTION("""COMPUTED_VALUE"""),46205)</f>
        <v>46205</v>
      </c>
      <c r="B2334" s="1" t="str">
        <f>IFERROR(__xludf.DUMMYFUNCTION("""COMPUTED_VALUE"""),"CASTILLEJOS, ARREL")</f>
        <v>CASTILLEJOS, ARREL</v>
      </c>
      <c r="C2334" s="1" t="str">
        <f>IFERROR(__xludf.DUMMYFUNCTION("""COMPUTED_VALUE"""),"ORGANIC")</f>
        <v>ORGANIC</v>
      </c>
      <c r="D2334" s="1" t="str">
        <f>IFERROR(__xludf.DUMMYFUNCTION("""COMPUTED_VALUE"""),"REMOLLO LEA")</f>
        <v>REMOLLO LEA</v>
      </c>
      <c r="E2334" s="1" t="str">
        <f>IFERROR(__xludf.DUMMYFUNCTION("""COMPUTED_VALUE"""),"PLDT / H2H")</f>
        <v>PLDT / H2H</v>
      </c>
      <c r="F2334" s="1">
        <f>IFERROR(__xludf.DUMMYFUNCTION("""COMPUTED_VALUE"""),2310658300)</f>
        <v>2310658300</v>
      </c>
      <c r="G2334" s="1">
        <f>IFERROR(__xludf.DUMMYFUNCTION("""COMPUTED_VALUE"""),461012882004)</f>
        <v>461012882004</v>
      </c>
      <c r="H2334" s="1" t="str">
        <f>IFERROR(__xludf.DUMMYFUNCTION("""COMPUTED_VALUE"""),"MARIAPAZ GUSTILO DOMASAIN")</f>
        <v>MARIAPAZ GUSTILO DOMASAIN</v>
      </c>
      <c r="I2334" s="1">
        <f>IFERROR(__xludf.DUMMYFUNCTION("""COMPUTED_VALUE"""),9300370129)</f>
        <v>9300370129</v>
      </c>
      <c r="J2334" s="1">
        <f>IFERROR(__xludf.DUMMYFUNCTION("""COMPUTED_VALUE"""),9958432517)</f>
        <v>9958432517</v>
      </c>
      <c r="K2334" s="1" t="str">
        <f>IFERROR(__xludf.DUMMYFUNCTION("""COMPUTED_VALUE"""),"arjaydumacian@gmail.com")</f>
        <v>arjaydumacian@gmail.com</v>
      </c>
      <c r="L2334" s="1" t="str">
        <f>IFERROR(__xludf.DUMMYFUNCTION("""COMPUTED_VALUE"""),"BLK 2 LOT 10")</f>
        <v>BLK 2 LOT 10</v>
      </c>
      <c r="M2334" s="1" t="str">
        <f>IFERROR(__xludf.DUMMYFUNCTION("""COMPUTED_VALUE"""),"ACACIA ")</f>
        <v>ACACIA </v>
      </c>
      <c r="N2334" s="1" t="str">
        <f>IFERROR(__xludf.DUMMYFUNCTION("""COMPUTED_VALUE"""),"LASBRIAS")</f>
        <v>LASBRIAS</v>
      </c>
      <c r="O2334" s="1" t="str">
        <f>IFERROR(__xludf.DUMMYFUNCTION("""COMPUTED_VALUE"""),"MENDEZ CROSSING WEST")</f>
        <v>MENDEZ CROSSING WEST</v>
      </c>
      <c r="P2334" s="1" t="str">
        <f>IFERROR(__xludf.DUMMYFUNCTION("""COMPUTED_VALUE"""),"TAGAYTAY")</f>
        <v>TAGAYTAY</v>
      </c>
      <c r="Q2334" s="1" t="str">
        <f>IFERROR(__xludf.DUMMYFUNCTION("""COMPUTED_VALUE"""),"CAVITE")</f>
        <v>CAVITE</v>
      </c>
      <c r="R2334" s="1" t="str">
        <f>IFERROR(__xludf.DUMMYFUNCTION("""COMPUTED_VALUE"""),"FIBR UNLI ALL PLAN 999")</f>
        <v>FIBR UNLI ALL PLAN 999</v>
      </c>
      <c r="S2334" s="1" t="str">
        <f>IFERROR(__xludf.DUMMYFUNCTION("""COMPUTED_VALUE"""),"APPROVED")</f>
        <v>APPROVED</v>
      </c>
      <c r="T2334" s="1" t="str">
        <f>IFERROR(__xludf.DUMMYFUNCTION("""COMPUTED_VALUE"""),"CANCELLED")</f>
        <v>CANCELLED</v>
      </c>
      <c r="U2334" s="1"/>
      <c r="V2334" s="1"/>
      <c r="W2334" s="1"/>
    </row>
    <row r="2335" customHeight="1" spans="1:23">
      <c r="A2335" s="3">
        <f>IFERROR(__xludf.DUMMYFUNCTION("""COMPUTED_VALUE"""),46205)</f>
        <v>46205</v>
      </c>
      <c r="B2335" s="1" t="str">
        <f>IFERROR(__xludf.DUMMYFUNCTION("""COMPUTED_VALUE"""),"ESCARCHA, MA ALMA  ESCOTO")</f>
        <v>ESCARCHA, MA ALMA  ESCOTO</v>
      </c>
      <c r="C2335" s="1" t="str">
        <f>IFERROR(__xludf.DUMMYFUNCTION("""COMPUTED_VALUE"""),"ORGANIC")</f>
        <v>ORGANIC</v>
      </c>
      <c r="D2335" s="1" t="str">
        <f>IFERROR(__xludf.DUMMYFUNCTION("""COMPUTED_VALUE"""),"REMOLLO LEA")</f>
        <v>REMOLLO LEA</v>
      </c>
      <c r="E2335" s="1" t="str">
        <f>IFERROR(__xludf.DUMMYFUNCTION("""COMPUTED_VALUE"""),"PLDT / H2H")</f>
        <v>PLDT / H2H</v>
      </c>
      <c r="F2335" s="1">
        <f>IFERROR(__xludf.DUMMYFUNCTION("""COMPUTED_VALUE"""),2310658921)</f>
        <v>2310658921</v>
      </c>
      <c r="G2335" s="1">
        <f>IFERROR(__xludf.DUMMYFUNCTION("""COMPUTED_VALUE"""),461024633004)</f>
        <v>461024633004</v>
      </c>
      <c r="H2335" s="1" t="str">
        <f>IFERROR(__xludf.DUMMYFUNCTION("""COMPUTED_VALUE"""),"PRINCESS CHARMI MALANO ABIOG")</f>
        <v>PRINCESS CHARMI MALANO ABIOG</v>
      </c>
      <c r="I2335" s="1">
        <f>IFERROR(__xludf.DUMMYFUNCTION("""COMPUTED_VALUE"""),9659335824)</f>
        <v>9659335824</v>
      </c>
      <c r="J2335" s="1"/>
      <c r="K2335" s="1" t="str">
        <f>IFERROR(__xludf.DUMMYFUNCTION("""COMPUTED_VALUE"""),"princesscharmimalano@gmail.com")</f>
        <v>princesscharmimalano@gmail.com</v>
      </c>
      <c r="L2335" s="1" t="str">
        <f>IFERROR(__xludf.DUMMYFUNCTION("""COMPUTED_VALUE"""),"113")</f>
        <v>113</v>
      </c>
      <c r="M2335" s="1" t="str">
        <f>IFERROR(__xludf.DUMMYFUNCTION("""COMPUTED_VALUE"""),"ZAMORA")</f>
        <v>ZAMORA</v>
      </c>
      <c r="N2335" s="1"/>
      <c r="O2335" s="1" t="str">
        <f>IFERROR(__xludf.DUMMYFUNCTION("""COMPUTED_VALUE"""),"ASIS I")</f>
        <v>ASIS I</v>
      </c>
      <c r="P2335" s="1" t="str">
        <f>IFERROR(__xludf.DUMMYFUNCTION("""COMPUTED_VALUE"""),"MENDEZ")</f>
        <v>MENDEZ</v>
      </c>
      <c r="Q2335" s="1" t="str">
        <f>IFERROR(__xludf.DUMMYFUNCTION("""COMPUTED_VALUE"""),"CAVITE")</f>
        <v>CAVITE</v>
      </c>
      <c r="R2335" s="1" t="str">
        <f>IFERROR(__xludf.DUMMYFUNCTION("""COMPUTED_VALUE"""),"FIBR UNLI ALL PLAN 999")</f>
        <v>FIBR UNLI ALL PLAN 999</v>
      </c>
      <c r="S2335" s="1" t="str">
        <f>IFERROR(__xludf.DUMMYFUNCTION("""COMPUTED_VALUE"""),"APPROVED")</f>
        <v>APPROVED</v>
      </c>
      <c r="T2335" s="1" t="str">
        <f>IFERROR(__xludf.DUMMYFUNCTION("""COMPUTED_VALUE"""),"RPR")</f>
        <v>RPR</v>
      </c>
      <c r="U2335" s="1"/>
      <c r="V2335" s="1"/>
      <c r="W2335" s="1"/>
    </row>
    <row r="2336" customHeight="1" spans="1:23">
      <c r="A2336" s="3">
        <f>IFERROR(__xludf.DUMMYFUNCTION("""COMPUTED_VALUE"""),46205)</f>
        <v>46205</v>
      </c>
      <c r="B2336" s="1" t="str">
        <f>IFERROR(__xludf.DUMMYFUNCTION("""COMPUTED_VALUE"""),"DELA ROSA, JENNELYN")</f>
        <v>DELA ROSA, JENNELYN</v>
      </c>
      <c r="C2336" s="1" t="str">
        <f>IFERROR(__xludf.DUMMYFUNCTION("""COMPUTED_VALUE"""),"ORGANIC")</f>
        <v>ORGANIC</v>
      </c>
      <c r="D2336" s="1" t="str">
        <f>IFERROR(__xludf.DUMMYFUNCTION("""COMPUTED_VALUE"""),"REMOLLO LEA")</f>
        <v>REMOLLO LEA</v>
      </c>
      <c r="E2336" s="1" t="str">
        <f>IFERROR(__xludf.DUMMYFUNCTION("""COMPUTED_VALUE"""),"PLDT / H2H")</f>
        <v>PLDT / H2H</v>
      </c>
      <c r="F2336" s="1">
        <f>IFERROR(__xludf.DUMMYFUNCTION("""COMPUTED_VALUE"""),2310662548)</f>
        <v>2310662548</v>
      </c>
      <c r="G2336" s="1">
        <f>IFERROR(__xludf.DUMMYFUNCTION("""COMPUTED_VALUE"""),461042817004)</f>
        <v>461042817004</v>
      </c>
      <c r="H2336" s="1" t="str">
        <f>IFERROR(__xludf.DUMMYFUNCTION("""COMPUTED_VALUE"""),"JUANITA MOJICA MARAAN")</f>
        <v>JUANITA MOJICA MARAAN</v>
      </c>
      <c r="I2336" s="1">
        <f>IFERROR(__xludf.DUMMYFUNCTION("""COMPUTED_VALUE"""),9959632853)</f>
        <v>9959632853</v>
      </c>
      <c r="J2336" s="1">
        <f>IFERROR(__xludf.DUMMYFUNCTION("""COMPUTED_VALUE"""),9062574495)</f>
        <v>9062574495</v>
      </c>
      <c r="K2336" s="1" t="str">
        <f>IFERROR(__xludf.DUMMYFUNCTION("""COMPUTED_VALUE"""),"littlemaraan@yahoo.com")</f>
        <v>littlemaraan@yahoo.com</v>
      </c>
      <c r="L2336" s="1" t="str">
        <f>IFERROR(__xludf.DUMMYFUNCTION("""COMPUTED_VALUE"""),"92b")</f>
        <v>92b</v>
      </c>
      <c r="M2336" s="1" t="str">
        <f>IFERROR(__xludf.DUMMYFUNCTION("""COMPUTED_VALUE"""),"ZAMORA")</f>
        <v>ZAMORA</v>
      </c>
      <c r="N2336" s="1"/>
      <c r="O2336" s="1" t="str">
        <f>IFERROR(__xludf.DUMMYFUNCTION("""COMPUTED_VALUE"""),"ASIS I")</f>
        <v>ASIS I</v>
      </c>
      <c r="P2336" s="1" t="str">
        <f>IFERROR(__xludf.DUMMYFUNCTION("""COMPUTED_VALUE"""),"MENDEZ")</f>
        <v>MENDEZ</v>
      </c>
      <c r="Q2336" s="1" t="str">
        <f>IFERROR(__xludf.DUMMYFUNCTION("""COMPUTED_VALUE"""),"CAVITE")</f>
        <v>CAVITE</v>
      </c>
      <c r="R2336" s="1" t="str">
        <f>IFERROR(__xludf.DUMMYFUNCTION("""COMPUTED_VALUE"""),"FIBR NETFLIX PLAN 1599")</f>
        <v>FIBR NETFLIX PLAN 1599</v>
      </c>
      <c r="S2336" s="1" t="str">
        <f>IFERROR(__xludf.DUMMYFUNCTION("""COMPUTED_VALUE"""),"APPROVED")</f>
        <v>APPROVED</v>
      </c>
      <c r="T2336" s="1" t="str">
        <f>IFERROR(__xludf.DUMMYFUNCTION("""COMPUTED_VALUE"""),"CLOSED")</f>
        <v>CLOSED</v>
      </c>
      <c r="U2336" s="1" t="str">
        <f>IFERROR(__xludf.DUMMYFUNCTION("""COMPUTED_VALUE"""),"POSTED")</f>
        <v>POSTED</v>
      </c>
      <c r="V2336" s="1"/>
      <c r="W2336" s="1"/>
    </row>
    <row r="2337" customHeight="1" spans="1:23">
      <c r="A2337" s="3">
        <f>IFERROR(__xludf.DUMMYFUNCTION("""COMPUTED_VALUE"""),46205)</f>
        <v>46205</v>
      </c>
      <c r="B2337" s="1" t="str">
        <f>IFERROR(__xludf.DUMMYFUNCTION("""COMPUTED_VALUE"""),"MALIWAT MARK ELVIN")</f>
        <v>MALIWAT MARK ELVIN</v>
      </c>
      <c r="C2337" s="1" t="str">
        <f>IFERROR(__xludf.DUMMYFUNCTION("""COMPUTED_VALUE"""),"FLA")</f>
        <v>FLA</v>
      </c>
      <c r="D2337" s="1" t="str">
        <f>IFERROR(__xludf.DUMMYFUNCTION("""COMPUTED_VALUE"""),"JERIC NAVARRO")</f>
        <v>JERIC NAVARRO</v>
      </c>
      <c r="E2337" s="1" t="str">
        <f>IFERROR(__xludf.DUMMYFUNCTION("""COMPUTED_VALUE"""),"PLDT / ONLINE")</f>
        <v>PLDT / ONLINE</v>
      </c>
      <c r="F2337" s="1">
        <f>IFERROR(__xludf.DUMMYFUNCTION("""COMPUTED_VALUE"""),2310663084)</f>
        <v>2310663084</v>
      </c>
      <c r="G2337" s="1">
        <f>IFERROR(__xludf.DUMMYFUNCTION("""COMPUTED_VALUE"""),461017245004)</f>
        <v>461017245004</v>
      </c>
      <c r="H2337" s="1" t="str">
        <f>IFERROR(__xludf.DUMMYFUNCTION("""COMPUTED_VALUE"""),"JOHNMARK AYEN REBULADO")</f>
        <v>JOHNMARK AYEN REBULADO</v>
      </c>
      <c r="I2337" s="1">
        <f>IFERROR(__xludf.DUMMYFUNCTION("""COMPUTED_VALUE"""),9083661125)</f>
        <v>9083661125</v>
      </c>
      <c r="J2337" s="1">
        <f>IFERROR(__xludf.DUMMYFUNCTION("""COMPUTED_VALUE"""),9618064230)</f>
        <v>9618064230</v>
      </c>
      <c r="K2337" s="1" t="str">
        <f>IFERROR(__xludf.DUMMYFUNCTION("""COMPUTED_VALUE"""),"jerich060126@gmail.com")</f>
        <v>jerich060126@gmail.com</v>
      </c>
      <c r="L2337" s="1" t="str">
        <f>IFERROR(__xludf.DUMMYFUNCTION("""COMPUTED_VALUE"""),"1906")</f>
        <v>1906</v>
      </c>
      <c r="M2337" s="1" t="str">
        <f>IFERROR(__xludf.DUMMYFUNCTION("""COMPUTED_VALUE"""),"TOWER 5")</f>
        <v>TOWER 5</v>
      </c>
      <c r="N2337" s="1" t="str">
        <f>IFERROR(__xludf.DUMMYFUNCTION("""COMPUTED_VALUE"""),"SMDC")</f>
        <v>SMDC</v>
      </c>
      <c r="O2337" s="1" t="str">
        <f>IFERROR(__xludf.DUMMYFUNCTION("""COMPUTED_VALUE"""),"MAHARLIKA WEST")</f>
        <v>MAHARLIKA WEST</v>
      </c>
      <c r="P2337" s="1" t="str">
        <f>IFERROR(__xludf.DUMMYFUNCTION("""COMPUTED_VALUE"""),"TAGAYTAY")</f>
        <v>TAGAYTAY</v>
      </c>
      <c r="Q2337" s="1" t="str">
        <f>IFERROR(__xludf.DUMMYFUNCTION("""COMPUTED_VALUE"""),"CAVITE")</f>
        <v>CAVITE</v>
      </c>
      <c r="R2337" s="1" t="str">
        <f>IFERROR(__xludf.DUMMYFUNCTION("""COMPUTED_VALUE"""),"FIBR UNLI ALL PLAN 1399")</f>
        <v>FIBR UNLI ALL PLAN 1399</v>
      </c>
      <c r="S2337" s="1" t="str">
        <f>IFERROR(__xludf.DUMMYFUNCTION("""COMPUTED_VALUE"""),"APPROVED")</f>
        <v>APPROVED</v>
      </c>
      <c r="T2337" s="1" t="str">
        <f>IFERROR(__xludf.DUMMYFUNCTION("""COMPUTED_VALUE"""),"CLOSED")</f>
        <v>CLOSED</v>
      </c>
      <c r="U2337" s="1" t="str">
        <f>IFERROR(__xludf.DUMMYFUNCTION("""COMPUTED_VALUE"""),"POSTED")</f>
        <v>POSTED</v>
      </c>
      <c r="V2337" s="1"/>
      <c r="W2337" s="1"/>
    </row>
    <row r="2338" customHeight="1" spans="1:23">
      <c r="A2338" s="3">
        <f>IFERROR(__xludf.DUMMYFUNCTION("""COMPUTED_VALUE"""),46205)</f>
        <v>46205</v>
      </c>
      <c r="B2338" s="1" t="str">
        <f>IFERROR(__xludf.DUMMYFUNCTION("""COMPUTED_VALUE"""),"MALIWAT MARK ELVIN")</f>
        <v>MALIWAT MARK ELVIN</v>
      </c>
      <c r="C2338" s="1" t="str">
        <f>IFERROR(__xludf.DUMMYFUNCTION("""COMPUTED_VALUE"""),"FLA")</f>
        <v>FLA</v>
      </c>
      <c r="D2338" s="1" t="str">
        <f>IFERROR(__xludf.DUMMYFUNCTION("""COMPUTED_VALUE"""),"JERIC NAVARRO")</f>
        <v>JERIC NAVARRO</v>
      </c>
      <c r="E2338" s="1" t="str">
        <f>IFERROR(__xludf.DUMMYFUNCTION("""COMPUTED_VALUE"""),"PLDT / ONLINE")</f>
        <v>PLDT / ONLINE</v>
      </c>
      <c r="F2338" s="1">
        <f>IFERROR(__xludf.DUMMYFUNCTION("""COMPUTED_VALUE"""),2310663579)</f>
        <v>2310663579</v>
      </c>
      <c r="G2338" s="1">
        <f>IFERROR(__xludf.DUMMYFUNCTION("""COMPUTED_VALUE"""),461027235004)</f>
        <v>461027235004</v>
      </c>
      <c r="H2338" s="1" t="str">
        <f>IFERROR(__xludf.DUMMYFUNCTION("""COMPUTED_VALUE"""),"RICHARD PANGILINAN GONZALVO")</f>
        <v>RICHARD PANGILINAN GONZALVO</v>
      </c>
      <c r="I2338" s="1">
        <f>IFERROR(__xludf.DUMMYFUNCTION("""COMPUTED_VALUE"""),9382514663)</f>
        <v>9382514663</v>
      </c>
      <c r="J2338" s="1">
        <f>IFERROR(__xludf.DUMMYFUNCTION("""COMPUTED_VALUE"""),9288063612)</f>
        <v>9288063612</v>
      </c>
      <c r="K2338" s="1" t="str">
        <f>IFERROR(__xludf.DUMMYFUNCTION("""COMPUTED_VALUE"""),"mylaramirez21@gmail.com")</f>
        <v>mylaramirez21@gmail.com</v>
      </c>
      <c r="L2338" s="1" t="str">
        <f>IFERROR(__xludf.DUMMYFUNCTION("""COMPUTED_VALUE"""),"BLK 42 LOT 3")</f>
        <v>BLK 42 LOT 3</v>
      </c>
      <c r="M2338" s="1" t="str">
        <f>IFERROR(__xludf.DUMMYFUNCTION("""COMPUTED_VALUE"""),"ZONE 6")</f>
        <v>ZONE 6</v>
      </c>
      <c r="N2338" s="1" t="str">
        <f>IFERROR(__xludf.DUMMYFUNCTION("""COMPUTED_VALUE"""),"MABUHAY HOMES 2000")</f>
        <v>MABUHAY HOMES 2000</v>
      </c>
      <c r="O2338" s="1" t="str">
        <f>IFERROR(__xludf.DUMMYFUNCTION("""COMPUTED_VALUE"""),"PALIPARAN II")</f>
        <v>PALIPARAN II</v>
      </c>
      <c r="P2338" s="1" t="str">
        <f>IFERROR(__xludf.DUMMYFUNCTION("""COMPUTED_VALUE"""),"DASMARINAS")</f>
        <v>DASMARINAS</v>
      </c>
      <c r="Q2338" s="1" t="str">
        <f>IFERROR(__xludf.DUMMYFUNCTION("""COMPUTED_VALUE"""),"CAVITE")</f>
        <v>CAVITE</v>
      </c>
      <c r="R2338" s="1" t="str">
        <f>IFERROR(__xludf.DUMMYFUNCTION("""COMPUTED_VALUE"""),"FIBR PLAN 1299")</f>
        <v>FIBR PLAN 1299</v>
      </c>
      <c r="S2338" s="1" t="str">
        <f>IFERROR(__xludf.DUMMYFUNCTION("""COMPUTED_VALUE"""),"APPROVED")</f>
        <v>APPROVED</v>
      </c>
      <c r="T2338" s="1" t="str">
        <f>IFERROR(__xludf.DUMMYFUNCTION("""COMPUTED_VALUE"""),"CLOSED")</f>
        <v>CLOSED</v>
      </c>
      <c r="U2338" s="1" t="str">
        <f>IFERROR(__xludf.DUMMYFUNCTION("""COMPUTED_VALUE"""),"POSTED")</f>
        <v>POSTED</v>
      </c>
      <c r="V2338" s="1"/>
      <c r="W2338" s="1"/>
    </row>
    <row r="2339" customHeight="1" spans="1:23">
      <c r="A2339" s="3">
        <f>IFERROR(__xludf.DUMMYFUNCTION("""COMPUTED_VALUE"""),46205)</f>
        <v>46205</v>
      </c>
      <c r="B2339" s="1" t="str">
        <f>IFERROR(__xludf.DUMMYFUNCTION("""COMPUTED_VALUE"""),"MALIWAT MARK ELVIN")</f>
        <v>MALIWAT MARK ELVIN</v>
      </c>
      <c r="C2339" s="1" t="str">
        <f>IFERROR(__xludf.DUMMYFUNCTION("""COMPUTED_VALUE"""),"FLA")</f>
        <v>FLA</v>
      </c>
      <c r="D2339" s="1" t="str">
        <f>IFERROR(__xludf.DUMMYFUNCTION("""COMPUTED_VALUE"""),"JERIC NAVARRO")</f>
        <v>JERIC NAVARRO</v>
      </c>
      <c r="E2339" s="1" t="str">
        <f>IFERROR(__xludf.DUMMYFUNCTION("""COMPUTED_VALUE"""),"PLDT / ONLINE")</f>
        <v>PLDT / ONLINE</v>
      </c>
      <c r="F2339" s="1">
        <f>IFERROR(__xludf.DUMMYFUNCTION("""COMPUTED_VALUE"""),2310663811)</f>
        <v>2310663811</v>
      </c>
      <c r="G2339" s="1"/>
      <c r="H2339" s="1" t="str">
        <f>IFERROR(__xludf.DUMMYFUNCTION("""COMPUTED_VALUE"""),"MARY GRACE SAMONTE")</f>
        <v>MARY GRACE SAMONTE</v>
      </c>
      <c r="I2339" s="1">
        <f>IFERROR(__xludf.DUMMYFUNCTION("""COMPUTED_VALUE"""),9930509347)</f>
        <v>9930509347</v>
      </c>
      <c r="J2339" s="1"/>
      <c r="K2339" s="1" t="str">
        <f>IFERROR(__xludf.DUMMYFUNCTION("""COMPUTED_VALUE"""),"samonte070@gmail.com")</f>
        <v>samonte070@gmail.com</v>
      </c>
      <c r="L2339" s="1" t="str">
        <f>IFERROR(__xludf.DUMMYFUNCTION("""COMPUTED_VALUE"""),"UNIT D")</f>
        <v>UNIT D</v>
      </c>
      <c r="M2339" s="1" t="str">
        <f>IFERROR(__xludf.DUMMYFUNCTION("""COMPUTED_VALUE"""),"MONTENEGRO")</f>
        <v>MONTENEGRO</v>
      </c>
      <c r="N2339" s="1"/>
      <c r="O2339" s="1" t="str">
        <f>IFERROR(__xludf.DUMMYFUNCTION("""COMPUTED_VALUE"""),"BARANGAY 5 POBLACION")</f>
        <v>BARANGAY 5 POBLACION</v>
      </c>
      <c r="P2339" s="1" t="str">
        <f>IFERROR(__xludf.DUMMYFUNCTION("""COMPUTED_VALUE"""),"ALFONSO")</f>
        <v>ALFONSO</v>
      </c>
      <c r="Q2339" s="1" t="str">
        <f>IFERROR(__xludf.DUMMYFUNCTION("""COMPUTED_VALUE"""),"CAVITE")</f>
        <v>CAVITE</v>
      </c>
      <c r="R2339" s="1" t="str">
        <f>IFERROR(__xludf.DUMMYFUNCTION("""COMPUTED_VALUE"""),"FIBR UNLI ALL PLAN 999")</f>
        <v>FIBR UNLI ALL PLAN 999</v>
      </c>
      <c r="S2339" s="1" t="str">
        <f>IFERROR(__xludf.DUMMYFUNCTION("""COMPUTED_VALUE"""),"APPROVED")</f>
        <v>APPROVED</v>
      </c>
      <c r="T2339" s="1" t="str">
        <f>IFERROR(__xludf.DUMMYFUNCTION("""COMPUTED_VALUE"""),"RCM DISAPPROVED")</f>
        <v>RCM DISAPPROVED</v>
      </c>
      <c r="U2339" s="1"/>
      <c r="V2339" s="1"/>
      <c r="W2339" s="1"/>
    </row>
    <row r="2340" customHeight="1" spans="1:23">
      <c r="A2340" s="3">
        <f>IFERROR(__xludf.DUMMYFUNCTION("""COMPUTED_VALUE"""),46205)</f>
        <v>46205</v>
      </c>
      <c r="B2340" s="1" t="str">
        <f>IFERROR(__xludf.DUMMYFUNCTION("""COMPUTED_VALUE"""),"ALINGARO, CINDY")</f>
        <v>ALINGARO, CINDY</v>
      </c>
      <c r="C2340" s="1" t="str">
        <f>IFERROR(__xludf.DUMMYFUNCTION("""COMPUTED_VALUE"""),"FLA")</f>
        <v>FLA</v>
      </c>
      <c r="D2340" s="1" t="str">
        <f>IFERROR(__xludf.DUMMYFUNCTION("""COMPUTED_VALUE"""),"JERIC NAVARRO")</f>
        <v>JERIC NAVARRO</v>
      </c>
      <c r="E2340" s="1" t="str">
        <f>IFERROR(__xludf.DUMMYFUNCTION("""COMPUTED_VALUE"""),"PLDT / ONLINE")</f>
        <v>PLDT / ONLINE</v>
      </c>
      <c r="F2340" s="1">
        <f>IFERROR(__xludf.DUMMYFUNCTION("""COMPUTED_VALUE"""),2310664169)</f>
        <v>2310664169</v>
      </c>
      <c r="G2340" s="1">
        <f>IFERROR(__xludf.DUMMYFUNCTION("""COMPUTED_VALUE"""),461034092004)</f>
        <v>461034092004</v>
      </c>
      <c r="H2340" s="1" t="str">
        <f>IFERROR(__xludf.DUMMYFUNCTION("""COMPUTED_VALUE"""),"PAUL RYAN PENE FAMISARAN")</f>
        <v>PAUL RYAN PENE FAMISARAN</v>
      </c>
      <c r="I2340" s="1">
        <f>IFERROR(__xludf.DUMMYFUNCTION("""COMPUTED_VALUE"""),9920586896)</f>
        <v>9920586896</v>
      </c>
      <c r="J2340" s="1">
        <f>IFERROR(__xludf.DUMMYFUNCTION("""COMPUTED_VALUE"""),9707538108)</f>
        <v>9707538108</v>
      </c>
      <c r="K2340" s="1" t="str">
        <f>IFERROR(__xludf.DUMMYFUNCTION("""COMPUTED_VALUE"""),"ezekiel942014@gmail.com")</f>
        <v>ezekiel942014@gmail.com</v>
      </c>
      <c r="L2340" s="1" t="str">
        <f>IFERROR(__xludf.DUMMYFUNCTION("""COMPUTED_VALUE"""),"BLK 121 LOT 11")</f>
        <v>BLK 121 LOT 11</v>
      </c>
      <c r="M2340" s="1" t="str">
        <f>IFERROR(__xludf.DUMMYFUNCTION("""COMPUTED_VALUE"""),"PHASE 3")</f>
        <v>PHASE 3</v>
      </c>
      <c r="N2340" s="1"/>
      <c r="O2340" s="1" t="str">
        <f>IFERROR(__xludf.DUMMYFUNCTION("""COMPUTED_VALUE"""),"PALIPARAN III")</f>
        <v>PALIPARAN III</v>
      </c>
      <c r="P2340" s="1" t="str">
        <f>IFERROR(__xludf.DUMMYFUNCTION("""COMPUTED_VALUE"""),"DASMARINAS")</f>
        <v>DASMARINAS</v>
      </c>
      <c r="Q2340" s="1" t="str">
        <f>IFERROR(__xludf.DUMMYFUNCTION("""COMPUTED_VALUE"""),"CAVITE")</f>
        <v>CAVITE</v>
      </c>
      <c r="R2340" s="1" t="str">
        <f>IFERROR(__xludf.DUMMYFUNCTION("""COMPUTED_VALUE"""),"FIBR UNLI ALL PLAN 1399")</f>
        <v>FIBR UNLI ALL PLAN 1399</v>
      </c>
      <c r="S2340" s="1" t="str">
        <f>IFERROR(__xludf.DUMMYFUNCTION("""COMPUTED_VALUE"""),"APPROVED")</f>
        <v>APPROVED</v>
      </c>
      <c r="T2340" s="1" t="str">
        <f>IFERROR(__xludf.DUMMYFUNCTION("""COMPUTED_VALUE"""),"CANCELLED")</f>
        <v>CANCELLED</v>
      </c>
      <c r="U2340" s="1"/>
      <c r="V2340" s="1"/>
      <c r="W2340" s="1"/>
    </row>
    <row r="2341" customHeight="1" spans="1:23">
      <c r="A2341" s="3">
        <f>IFERROR(__xludf.DUMMYFUNCTION("""COMPUTED_VALUE"""),46205)</f>
        <v>46205</v>
      </c>
      <c r="B2341" s="1" t="str">
        <f>IFERROR(__xludf.DUMMYFUNCTION("""COMPUTED_VALUE"""),"FRANCISCO , ROSELYN")</f>
        <v>FRANCISCO , ROSELYN</v>
      </c>
      <c r="C2341" s="1" t="str">
        <f>IFERROR(__xludf.DUMMYFUNCTION("""COMPUTED_VALUE"""),"ORGANIC")</f>
        <v>ORGANIC</v>
      </c>
      <c r="D2341" s="1" t="str">
        <f>IFERROR(__xludf.DUMMYFUNCTION("""COMPUTED_VALUE"""),"REMOLLO LEA")</f>
        <v>REMOLLO LEA</v>
      </c>
      <c r="E2341" s="1" t="str">
        <f>IFERROR(__xludf.DUMMYFUNCTION("""COMPUTED_VALUE"""),"PLDT / H2H")</f>
        <v>PLDT / H2H</v>
      </c>
      <c r="F2341" s="1">
        <f>IFERROR(__xludf.DUMMYFUNCTION("""COMPUTED_VALUE"""),2310664458)</f>
        <v>2310664458</v>
      </c>
      <c r="G2341" s="1">
        <f>IFERROR(__xludf.DUMMYFUNCTION("""COMPUTED_VALUE"""),461026221004)</f>
        <v>461026221004</v>
      </c>
      <c r="H2341" s="1" t="str">
        <f>IFERROR(__xludf.DUMMYFUNCTION("""COMPUTED_VALUE"""),"JOHN LEXTER TRIBDINO PONCIANO")</f>
        <v>JOHN LEXTER TRIBDINO PONCIANO</v>
      </c>
      <c r="I2341" s="1">
        <f>IFERROR(__xludf.DUMMYFUNCTION("""COMPUTED_VALUE"""),9947693440)</f>
        <v>9947693440</v>
      </c>
      <c r="J2341" s="1">
        <f>IFERROR(__xludf.DUMMYFUNCTION("""COMPUTED_VALUE"""),9925796579)</f>
        <v>9925796579</v>
      </c>
      <c r="K2341" s="1" t="str">
        <f>IFERROR(__xludf.DUMMYFUNCTION("""COMPUTED_VALUE"""),"Aalverioallanalvin@gmail.com")</f>
        <v>Aalverioallanalvin@gmail.com</v>
      </c>
      <c r="L2341" s="1" t="str">
        <f>IFERROR(__xludf.DUMMYFUNCTION("""COMPUTED_VALUE"""),"BLK 22 LOT 0")</f>
        <v>BLK 22 LOT 0</v>
      </c>
      <c r="M2341" s="1" t="str">
        <f>IFERROR(__xludf.DUMMYFUNCTION("""COMPUTED_VALUE"""),"STRAWBERRY HILLS")</f>
        <v>STRAWBERRY HILLS</v>
      </c>
      <c r="N2341" s="1"/>
      <c r="O2341" s="1" t="str">
        <f>IFERROR(__xludf.DUMMYFUNCTION("""COMPUTED_VALUE"""),"FRANCISCO REYES")</f>
        <v>FRANCISCO REYES</v>
      </c>
      <c r="P2341" s="1" t="str">
        <f>IFERROR(__xludf.DUMMYFUNCTION("""COMPUTED_VALUE"""),"GEN MARIANO ALVAREZ")</f>
        <v>GEN MARIANO ALVAREZ</v>
      </c>
      <c r="Q2341" s="1" t="str">
        <f>IFERROR(__xludf.DUMMYFUNCTION("""COMPUTED_VALUE"""),"CAVITE")</f>
        <v>CAVITE</v>
      </c>
      <c r="R2341" s="1" t="str">
        <f>IFERROR(__xludf.DUMMYFUNCTION("""COMPUTED_VALUE"""),"FIBR UNLI ALL PLAN 1399")</f>
        <v>FIBR UNLI ALL PLAN 1399</v>
      </c>
      <c r="S2341" s="1" t="str">
        <f>IFERROR(__xludf.DUMMYFUNCTION("""COMPUTED_VALUE"""),"APPROVED")</f>
        <v>APPROVED</v>
      </c>
      <c r="T2341" s="1" t="str">
        <f>IFERROR(__xludf.DUMMYFUNCTION("""COMPUTED_VALUE"""),"CLOSED")</f>
        <v>CLOSED</v>
      </c>
      <c r="U2341" s="1" t="str">
        <f>IFERROR(__xludf.DUMMYFUNCTION("""COMPUTED_VALUE"""),"POSTED")</f>
        <v>POSTED</v>
      </c>
      <c r="V2341" s="1"/>
      <c r="W2341" s="1"/>
    </row>
    <row r="2342" customHeight="1" spans="1:23">
      <c r="A2342" s="3">
        <f>IFERROR(__xludf.DUMMYFUNCTION("""COMPUTED_VALUE"""),46205)</f>
        <v>46205</v>
      </c>
      <c r="B2342" s="1" t="str">
        <f>IFERROR(__xludf.DUMMYFUNCTION("""COMPUTED_VALUE"""),"FRONDEZ, JEDREFF")</f>
        <v>FRONDEZ, JEDREFF</v>
      </c>
      <c r="C2342" s="1" t="str">
        <f>IFERROR(__xludf.DUMMYFUNCTION("""COMPUTED_VALUE"""),"ORGANIC")</f>
        <v>ORGANIC</v>
      </c>
      <c r="D2342" s="1" t="str">
        <f>IFERROR(__xludf.DUMMYFUNCTION("""COMPUTED_VALUE"""),"REMOLLO LEA")</f>
        <v>REMOLLO LEA</v>
      </c>
      <c r="E2342" s="1" t="str">
        <f>IFERROR(__xludf.DUMMYFUNCTION("""COMPUTED_VALUE"""),"PLDT / H2H")</f>
        <v>PLDT / H2H</v>
      </c>
      <c r="F2342" s="1">
        <f>IFERROR(__xludf.DUMMYFUNCTION("""COMPUTED_VALUE"""),2310659545)</f>
        <v>2310659545</v>
      </c>
      <c r="G2342" s="1">
        <f>IFERROR(__xludf.DUMMYFUNCTION("""COMPUTED_VALUE"""),461016388004)</f>
        <v>461016388004</v>
      </c>
      <c r="H2342" s="1" t="str">
        <f>IFERROR(__xludf.DUMMYFUNCTION("""COMPUTED_VALUE"""),"FRANZ ERNEST MOJICA DIMARANAN")</f>
        <v>FRANZ ERNEST MOJICA DIMARANAN</v>
      </c>
      <c r="I2342" s="1">
        <f>IFERROR(__xludf.DUMMYFUNCTION("""COMPUTED_VALUE"""),9173047464)</f>
        <v>9173047464</v>
      </c>
      <c r="J2342" s="1">
        <f>IFERROR(__xludf.DUMMYFUNCTION("""COMPUTED_VALUE"""),9753879731)</f>
        <v>9753879731</v>
      </c>
      <c r="K2342" s="1" t="str">
        <f>IFERROR(__xludf.DUMMYFUNCTION("""COMPUTED_VALUE"""),"franznojica@gmail.com")</f>
        <v>franznojica@gmail.com</v>
      </c>
      <c r="L2342" s="1" t="str">
        <f>IFERROR(__xludf.DUMMYFUNCTION("""COMPUTED_VALUE"""),"92")</f>
        <v>92</v>
      </c>
      <c r="M2342" s="1" t="str">
        <f>IFERROR(__xludf.DUMMYFUNCTION("""COMPUTED_VALUE"""),"ZAMORA")</f>
        <v>ZAMORA</v>
      </c>
      <c r="N2342" s="1"/>
      <c r="O2342" s="1" t="str">
        <f>IFERROR(__xludf.DUMMYFUNCTION("""COMPUTED_VALUE"""),"ASIS I")</f>
        <v>ASIS I</v>
      </c>
      <c r="P2342" s="1" t="str">
        <f>IFERROR(__xludf.DUMMYFUNCTION("""COMPUTED_VALUE"""),"MENDEZ")</f>
        <v>MENDEZ</v>
      </c>
      <c r="Q2342" s="1" t="str">
        <f>IFERROR(__xludf.DUMMYFUNCTION("""COMPUTED_VALUE"""),"CAVITE")</f>
        <v>CAVITE</v>
      </c>
      <c r="R2342" s="1" t="str">
        <f>IFERROR(__xludf.DUMMYFUNCTION("""COMPUTED_VALUE"""),"FIBR UNLI ALL PLAN 1399")</f>
        <v>FIBR UNLI ALL PLAN 1399</v>
      </c>
      <c r="S2342" s="1" t="str">
        <f>IFERROR(__xludf.DUMMYFUNCTION("""COMPUTED_VALUE"""),"APPROVED")</f>
        <v>APPROVED</v>
      </c>
      <c r="T2342" s="1" t="str">
        <f>IFERROR(__xludf.DUMMYFUNCTION("""COMPUTED_VALUE"""),"CLOSED")</f>
        <v>CLOSED</v>
      </c>
      <c r="U2342" s="1" t="str">
        <f>IFERROR(__xludf.DUMMYFUNCTION("""COMPUTED_VALUE"""),"POSTED")</f>
        <v>POSTED</v>
      </c>
      <c r="V2342" s="1"/>
      <c r="W2342" s="1"/>
    </row>
    <row r="2343" customHeight="1" spans="1:23">
      <c r="A2343" s="3">
        <f>IFERROR(__xludf.DUMMYFUNCTION("""COMPUTED_VALUE"""),46205)</f>
        <v>46205</v>
      </c>
      <c r="B2343" s="1" t="str">
        <f>IFERROR(__xludf.DUMMYFUNCTION("""COMPUTED_VALUE"""),"ACOSTA. ZAIRUS")</f>
        <v>ACOSTA. ZAIRUS</v>
      </c>
      <c r="C2343" s="1" t="str">
        <f>IFERROR(__xludf.DUMMYFUNCTION("""COMPUTED_VALUE"""),"ORGANIC")</f>
        <v>ORGANIC</v>
      </c>
      <c r="D2343" s="1" t="str">
        <f>IFERROR(__xludf.DUMMYFUNCTION("""COMPUTED_VALUE"""),"REMOLLO LEA")</f>
        <v>REMOLLO LEA</v>
      </c>
      <c r="E2343" s="1" t="str">
        <f>IFERROR(__xludf.DUMMYFUNCTION("""COMPUTED_VALUE"""),"PLDT / H2H")</f>
        <v>PLDT / H2H</v>
      </c>
      <c r="F2343" s="1">
        <f>IFERROR(__xludf.DUMMYFUNCTION("""COMPUTED_VALUE"""),2310664767)</f>
        <v>2310664767</v>
      </c>
      <c r="G2343" s="1">
        <f>IFERROR(__xludf.DUMMYFUNCTION("""COMPUTED_VALUE"""),461021797004)</f>
        <v>461021797004</v>
      </c>
      <c r="H2343" s="1" t="str">
        <f>IFERROR(__xludf.DUMMYFUNCTION("""COMPUTED_VALUE"""),"REYNANTE RONIE BALDEO")</f>
        <v>REYNANTE RONIE BALDEO</v>
      </c>
      <c r="I2343" s="1">
        <f>IFERROR(__xludf.DUMMYFUNCTION("""COMPUTED_VALUE"""),9770942420)</f>
        <v>9770942420</v>
      </c>
      <c r="J2343" s="1"/>
      <c r="K2343" s="1" t="str">
        <f>IFERROR(__xludf.DUMMYFUNCTION("""COMPUTED_VALUE"""),"reynantebaldeo@gmail.com")</f>
        <v>reynantebaldeo@gmail.com</v>
      </c>
      <c r="L2343" s="1" t="str">
        <f>IFERROR(__xludf.DUMMYFUNCTION("""COMPUTED_VALUE"""),"BLK 278 LOT 16")</f>
        <v>BLK 278 LOT 16</v>
      </c>
      <c r="M2343" s="1" t="str">
        <f>IFERROR(__xludf.DUMMYFUNCTION("""COMPUTED_VALUE"""),"ZONE 10")</f>
        <v>ZONE 10</v>
      </c>
      <c r="N2343" s="1" t="str">
        <f>IFERROR(__xludf.DUMMYFUNCTION("""COMPUTED_VALUE"""),"AFP HOUSING")</f>
        <v>AFP HOUSING</v>
      </c>
      <c r="O2343" s="1" t="str">
        <f>IFERROR(__xludf.DUMMYFUNCTION("""COMPUTED_VALUE"""),"BULIHAN")</f>
        <v>BULIHAN</v>
      </c>
      <c r="P2343" s="1" t="str">
        <f>IFERROR(__xludf.DUMMYFUNCTION("""COMPUTED_VALUE"""),"SILANG")</f>
        <v>SILANG</v>
      </c>
      <c r="Q2343" s="1" t="str">
        <f>IFERROR(__xludf.DUMMYFUNCTION("""COMPUTED_VALUE"""),"CAVITE")</f>
        <v>CAVITE</v>
      </c>
      <c r="R2343" s="1" t="str">
        <f>IFERROR(__xludf.DUMMYFUNCTION("""COMPUTED_VALUE"""),"FIBR UNLI ALL PLAN 1399")</f>
        <v>FIBR UNLI ALL PLAN 1399</v>
      </c>
      <c r="S2343" s="1" t="str">
        <f>IFERROR(__xludf.DUMMYFUNCTION("""COMPUTED_VALUE"""),"APPROVED")</f>
        <v>APPROVED</v>
      </c>
      <c r="T2343" s="1" t="str">
        <f>IFERROR(__xludf.DUMMYFUNCTION("""COMPUTED_VALUE"""),"CLOSED")</f>
        <v>CLOSED</v>
      </c>
      <c r="U2343" s="1" t="str">
        <f>IFERROR(__xludf.DUMMYFUNCTION("""COMPUTED_VALUE"""),"POSTED")</f>
        <v>POSTED</v>
      </c>
      <c r="V2343" s="1"/>
      <c r="W2343" s="1"/>
    </row>
    <row r="2344" customHeight="1" spans="1:23">
      <c r="A2344" s="3">
        <f>IFERROR(__xludf.DUMMYFUNCTION("""COMPUTED_VALUE"""),46206)</f>
        <v>46206</v>
      </c>
      <c r="B2344" s="1" t="str">
        <f>IFERROR(__xludf.DUMMYFUNCTION("""COMPUTED_VALUE"""),"OPS JHONDEE")</f>
        <v>OPS JHONDEE</v>
      </c>
      <c r="C2344" s="1" t="str">
        <f>IFERROR(__xludf.DUMMYFUNCTION("""COMPUTED_VALUE"""),"LEADSTORE")</f>
        <v>LEADSTORE</v>
      </c>
      <c r="D2344" s="1" t="str">
        <f>IFERROR(__xludf.DUMMYFUNCTION("""COMPUTED_VALUE"""),"JERIC NAVARRO")</f>
        <v>JERIC NAVARRO</v>
      </c>
      <c r="E2344" s="1" t="str">
        <f>IFERROR(__xludf.DUMMYFUNCTION("""COMPUTED_VALUE"""),"PLDT / ONLINE")</f>
        <v>PLDT / ONLINE</v>
      </c>
      <c r="F2344" s="1">
        <f>IFERROR(__xludf.DUMMYFUNCTION("""COMPUTED_VALUE"""),2310674938)</f>
        <v>2310674938</v>
      </c>
      <c r="G2344" s="1"/>
      <c r="H2344" s="1" t="str">
        <f>IFERROR(__xludf.DUMMYFUNCTION("""COMPUTED_VALUE"""),"YANCY JAY FERRER HORTINELA")</f>
        <v>YANCY JAY FERRER HORTINELA</v>
      </c>
      <c r="I2344" s="1">
        <f>IFERROR(__xludf.DUMMYFUNCTION("""COMPUTED_VALUE"""),9610771030)</f>
        <v>9610771030</v>
      </c>
      <c r="J2344" s="1"/>
      <c r="K2344" s="1" t="str">
        <f>IFERROR(__xludf.DUMMYFUNCTION("""COMPUTED_VALUE"""),"kg24yancy@yahoo.com")</f>
        <v>kg24yancy@yahoo.com</v>
      </c>
      <c r="L2344" s="1" t="str">
        <f>IFERROR(__xludf.DUMMYFUNCTION("""COMPUTED_VALUE"""),"25")</f>
        <v>25</v>
      </c>
      <c r="M2344" s="1" t="str">
        <f>IFERROR(__xludf.DUMMYFUNCTION("""COMPUTED_VALUE""")," P. MONTOYA ST.")</f>
        <v> P. MONTOYA ST.</v>
      </c>
      <c r="N2344" s="1"/>
      <c r="O2344" s="1" t="str">
        <f>IFERROR(__xludf.DUMMYFUNCTION("""COMPUTED_VALUE"""),"POBLACION IV (BARANGAY IV)")</f>
        <v>POBLACION IV (BARANGAY IV)</v>
      </c>
      <c r="P2344" s="1" t="str">
        <f>IFERROR(__xludf.DUMMYFUNCTION("""COMPUTED_VALUE"""),"SILANG")</f>
        <v>SILANG</v>
      </c>
      <c r="Q2344" s="1" t="str">
        <f>IFERROR(__xludf.DUMMYFUNCTION("""COMPUTED_VALUE"""),"CAVITE")</f>
        <v>CAVITE</v>
      </c>
      <c r="R2344" s="1" t="str">
        <f>IFERROR(__xludf.DUMMYFUNCTION("""COMPUTED_VALUE"""),"FIBR UNLI ALL PLAN 1799")</f>
        <v>FIBR UNLI ALL PLAN 1799</v>
      </c>
      <c r="S2344" s="1" t="str">
        <f>IFERROR(__xludf.DUMMYFUNCTION("""COMPUTED_VALUE"""),"APPROVED")</f>
        <v>APPROVED</v>
      </c>
      <c r="T2344" s="1" t="str">
        <f>IFERROR(__xludf.DUMMYFUNCTION("""COMPUTED_VALUE"""),"CANCELLED")</f>
        <v>CANCELLED</v>
      </c>
      <c r="U2344" s="1" t="str">
        <f>IFERROR(__xludf.DUMMYFUNCTION("""COMPUTED_VALUE"""),"CANCELLED - NAINSTALLAN NA NI GLOBE")</f>
        <v>CANCELLED - NAINSTALLAN NA NI GLOBE</v>
      </c>
      <c r="V2344" s="1"/>
      <c r="W2344" s="1"/>
    </row>
    <row r="2345" customHeight="1" spans="1:23">
      <c r="A2345" s="3">
        <f>IFERROR(__xludf.DUMMYFUNCTION("""COMPUTED_VALUE"""),46206)</f>
        <v>46206</v>
      </c>
      <c r="B2345" s="1" t="str">
        <f>IFERROR(__xludf.DUMMYFUNCTION("""COMPUTED_VALUE"""),"ESCARCHA, MA ALMA  ESCOTO")</f>
        <v>ESCARCHA, MA ALMA  ESCOTO</v>
      </c>
      <c r="C2345" s="1" t="str">
        <f>IFERROR(__xludf.DUMMYFUNCTION("""COMPUTED_VALUE"""),"ORGANIC")</f>
        <v>ORGANIC</v>
      </c>
      <c r="D2345" s="1" t="str">
        <f>IFERROR(__xludf.DUMMYFUNCTION("""COMPUTED_VALUE"""),"REMOLLO LEA")</f>
        <v>REMOLLO LEA</v>
      </c>
      <c r="E2345" s="1" t="str">
        <f>IFERROR(__xludf.DUMMYFUNCTION("""COMPUTED_VALUE"""),"PLDT / H2H")</f>
        <v>PLDT / H2H</v>
      </c>
      <c r="F2345" s="1">
        <f>IFERROR(__xludf.DUMMYFUNCTION("""COMPUTED_VALUE"""),2310676421)</f>
        <v>2310676421</v>
      </c>
      <c r="G2345" s="1">
        <f>IFERROR(__xludf.DUMMYFUNCTION("""COMPUTED_VALUE"""),461101029004)</f>
        <v>461101029004</v>
      </c>
      <c r="H2345" s="1" t="str">
        <f>IFERROR(__xludf.DUMMYFUNCTION("""COMPUTED_VALUE"""),"JOEY DAVID GABITO")</f>
        <v>JOEY DAVID GABITO</v>
      </c>
      <c r="I2345" s="1">
        <f>IFERROR(__xludf.DUMMYFUNCTION("""COMPUTED_VALUE"""),9103387059)</f>
        <v>9103387059</v>
      </c>
      <c r="J2345" s="1">
        <f>IFERROR(__xludf.DUMMYFUNCTION("""COMPUTED_VALUE"""),9562997373)</f>
        <v>9562997373</v>
      </c>
      <c r="K2345" s="1" t="str">
        <f>IFERROR(__xludf.DUMMYFUNCTION("""COMPUTED_VALUE"""),"jhoeyboy_1118@yahoo.com")</f>
        <v>jhoeyboy_1118@yahoo.com</v>
      </c>
      <c r="L2345" s="1" t="str">
        <f>IFERROR(__xludf.DUMMYFUNCTION("""COMPUTED_VALUE"""),"BLK 28 LOT 12")</f>
        <v>BLK 28 LOT 12</v>
      </c>
      <c r="M2345" s="1" t="str">
        <f>IFERROR(__xludf.DUMMYFUNCTION("""COMPUTED_VALUE"""),"ANAHAW RD")</f>
        <v>ANAHAW RD</v>
      </c>
      <c r="N2345" s="1"/>
      <c r="O2345" s="1" t="str">
        <f>IFERROR(__xludf.DUMMYFUNCTION("""COMPUTED_VALUE"""),"ANAHAW II")</f>
        <v>ANAHAW II</v>
      </c>
      <c r="P2345" s="1" t="str">
        <f>IFERROR(__xludf.DUMMYFUNCTION("""COMPUTED_VALUE"""),"SILANG")</f>
        <v>SILANG</v>
      </c>
      <c r="Q2345" s="1" t="str">
        <f>IFERROR(__xludf.DUMMYFUNCTION("""COMPUTED_VALUE"""),"CAVITE")</f>
        <v>CAVITE</v>
      </c>
      <c r="R2345" s="1" t="str">
        <f>IFERROR(__xludf.DUMMYFUNCTION("""COMPUTED_VALUE"""),"FIBR PLAN 1299")</f>
        <v>FIBR PLAN 1299</v>
      </c>
      <c r="S2345" s="1" t="str">
        <f>IFERROR(__xludf.DUMMYFUNCTION("""COMPUTED_VALUE"""),"APPROVED")</f>
        <v>APPROVED</v>
      </c>
      <c r="T2345" s="1" t="str">
        <f>IFERROR(__xludf.DUMMYFUNCTION("""COMPUTED_VALUE"""),"RPR")</f>
        <v>RPR</v>
      </c>
      <c r="U2345" s="1"/>
      <c r="V2345" s="1"/>
      <c r="W2345" s="1"/>
    </row>
    <row r="2346" customHeight="1" spans="1:23">
      <c r="A2346" s="3">
        <f>IFERROR(__xludf.DUMMYFUNCTION("""COMPUTED_VALUE"""),46206)</f>
        <v>46206</v>
      </c>
      <c r="B2346" s="1" t="str">
        <f>IFERROR(__xludf.DUMMYFUNCTION("""COMPUTED_VALUE"""),"MALIWAT MARK ELVIN")</f>
        <v>MALIWAT MARK ELVIN</v>
      </c>
      <c r="C2346" s="1" t="str">
        <f>IFERROR(__xludf.DUMMYFUNCTION("""COMPUTED_VALUE"""),"FLA")</f>
        <v>FLA</v>
      </c>
      <c r="D2346" s="1" t="str">
        <f>IFERROR(__xludf.DUMMYFUNCTION("""COMPUTED_VALUE"""),"JERIC NAVARRO")</f>
        <v>JERIC NAVARRO</v>
      </c>
      <c r="E2346" s="1" t="str">
        <f>IFERROR(__xludf.DUMMYFUNCTION("""COMPUTED_VALUE"""),"PLDT / ONLINE")</f>
        <v>PLDT / ONLINE</v>
      </c>
      <c r="F2346" s="1">
        <f>IFERROR(__xludf.DUMMYFUNCTION("""COMPUTED_VALUE"""),2310677689)</f>
        <v>2310677689</v>
      </c>
      <c r="G2346" s="1">
        <f>IFERROR(__xludf.DUMMYFUNCTION("""COMPUTED_VALUE"""),461108003004)</f>
        <v>461108003004</v>
      </c>
      <c r="H2346" s="1" t="str">
        <f>IFERROR(__xludf.DUMMYFUNCTION("""COMPUTED_VALUE"""),"NEAL IRVIN ANAS ROSARIO")</f>
        <v>NEAL IRVIN ANAS ROSARIO</v>
      </c>
      <c r="I2346" s="1">
        <f>IFERROR(__xludf.DUMMYFUNCTION("""COMPUTED_VALUE"""),9772533426)</f>
        <v>9772533426</v>
      </c>
      <c r="J2346" s="1"/>
      <c r="K2346" s="1" t="str">
        <f>IFERROR(__xludf.DUMMYFUNCTION("""COMPUTED_VALUE"""),"nealirvinrosario@yahoo.com")</f>
        <v>nealirvinrosario@yahoo.com</v>
      </c>
      <c r="L2346" s="1" t="str">
        <f>IFERROR(__xludf.DUMMYFUNCTION("""COMPUTED_VALUE"""),"BLK 42 LOT 36")</f>
        <v>BLK 42 LOT 36</v>
      </c>
      <c r="M2346" s="1" t="str">
        <f>IFERROR(__xludf.DUMMYFUNCTION("""COMPUTED_VALUE"""),"GRANDE ST")</f>
        <v>GRANDE ST</v>
      </c>
      <c r="N2346" s="1" t="str">
        <f>IFERROR(__xludf.DUMMYFUNCTION("""COMPUTED_VALUE"""),"CITY HOMES RESORTVILLE PHASE 2")</f>
        <v>CITY HOMES RESORTVILLE PHASE 2</v>
      </c>
      <c r="O2346" s="1" t="str">
        <f>IFERROR(__xludf.DUMMYFUNCTION("""COMPUTED_VALUE"""),"LANGKAAN II")</f>
        <v>LANGKAAN II</v>
      </c>
      <c r="P2346" s="1" t="str">
        <f>IFERROR(__xludf.DUMMYFUNCTION("""COMPUTED_VALUE"""),"DASMARINAS")</f>
        <v>DASMARINAS</v>
      </c>
      <c r="Q2346" s="1" t="str">
        <f>IFERROR(__xludf.DUMMYFUNCTION("""COMPUTED_VALUE"""),"CAVITE")</f>
        <v>CAVITE</v>
      </c>
      <c r="R2346" s="1" t="str">
        <f>IFERROR(__xludf.DUMMYFUNCTION("""COMPUTED_VALUE"""),"PREPAID FIBER UNLI")</f>
        <v>PREPAID FIBER UNLI</v>
      </c>
      <c r="S2346" s="1" t="str">
        <f>IFERROR(__xludf.DUMMYFUNCTION("""COMPUTED_VALUE"""),"APPROVED")</f>
        <v>APPROVED</v>
      </c>
      <c r="T2346" s="1" t="str">
        <f>IFERROR(__xludf.DUMMYFUNCTION("""COMPUTED_VALUE"""),"CLOSED")</f>
        <v>CLOSED</v>
      </c>
      <c r="U2346" s="1" t="str">
        <f>IFERROR(__xludf.DUMMYFUNCTION("""COMPUTED_VALUE"""),"POSTED")</f>
        <v>POSTED</v>
      </c>
      <c r="V2346" s="1"/>
      <c r="W2346" s="1"/>
    </row>
    <row r="2347" customHeight="1" spans="1:23">
      <c r="A2347" s="3">
        <f>IFERROR(__xludf.DUMMYFUNCTION("""COMPUTED_VALUE"""),46206)</f>
        <v>46206</v>
      </c>
      <c r="B2347" s="1" t="str">
        <f>IFERROR(__xludf.DUMMYFUNCTION("""COMPUTED_VALUE"""),"MALIWAT MARK ELVIN")</f>
        <v>MALIWAT MARK ELVIN</v>
      </c>
      <c r="C2347" s="1" t="str">
        <f>IFERROR(__xludf.DUMMYFUNCTION("""COMPUTED_VALUE"""),"FLA")</f>
        <v>FLA</v>
      </c>
      <c r="D2347" s="1" t="str">
        <f>IFERROR(__xludf.DUMMYFUNCTION("""COMPUTED_VALUE"""),"JERIC NAVARRO")</f>
        <v>JERIC NAVARRO</v>
      </c>
      <c r="E2347" s="1" t="str">
        <f>IFERROR(__xludf.DUMMYFUNCTION("""COMPUTED_VALUE"""),"PLDT / ONLINE")</f>
        <v>PLDT / ONLINE</v>
      </c>
      <c r="F2347" s="1">
        <f>IFERROR(__xludf.DUMMYFUNCTION("""COMPUTED_VALUE"""),2310678126)</f>
        <v>2310678126</v>
      </c>
      <c r="G2347" s="1">
        <f>IFERROR(__xludf.DUMMYFUNCTION("""COMPUTED_VALUE"""),461133711004)</f>
        <v>461133711004</v>
      </c>
      <c r="H2347" s="1" t="str">
        <f>IFERROR(__xludf.DUMMYFUNCTION("""COMPUTED_VALUE"""),"ALBERT SAN NICOLAS LANUZAGA")</f>
        <v>ALBERT SAN NICOLAS LANUZAGA</v>
      </c>
      <c r="I2347" s="1">
        <f>IFERROR(__xludf.DUMMYFUNCTION("""COMPUTED_VALUE"""),9279500644)</f>
        <v>9279500644</v>
      </c>
      <c r="J2347" s="1">
        <f>IFERROR(__xludf.DUMMYFUNCTION("""COMPUTED_VALUE"""),9339995169)</f>
        <v>9339995169</v>
      </c>
      <c r="K2347" s="1" t="str">
        <f>IFERROR(__xludf.DUMMYFUNCTION("""COMPUTED_VALUE"""),"albertlanuzga28@gmail.com")</f>
        <v>albertlanuzga28@gmail.com</v>
      </c>
      <c r="L2347" s="1" t="str">
        <f>IFERROR(__xludf.DUMMYFUNCTION("""COMPUTED_VALUE"""),"BLK 25 LOT 20")</f>
        <v>BLK 25 LOT 20</v>
      </c>
      <c r="M2347" s="1" t="str">
        <f>IFERROR(__xludf.DUMMYFUNCTION("""COMPUTED_VALUE"""),"BAHRAIN ST")</f>
        <v>BAHRAIN ST</v>
      </c>
      <c r="N2347" s="1" t="str">
        <f>IFERROR(__xludf.DUMMYFUNCTION("""COMPUTED_VALUE"""),"CIUDAD ADELINA")</f>
        <v>CIUDAD ADELINA</v>
      </c>
      <c r="O2347" s="1" t="str">
        <f>IFERROR(__xludf.DUMMYFUNCTION("""COMPUTED_VALUE"""),"CONCHU (LAGUNDIAN)")</f>
        <v>CONCHU (LAGUNDIAN)</v>
      </c>
      <c r="P2347" s="1" t="str">
        <f>IFERROR(__xludf.DUMMYFUNCTION("""COMPUTED_VALUE"""),"TRECE MARTIRES")</f>
        <v>TRECE MARTIRES</v>
      </c>
      <c r="Q2347" s="1" t="str">
        <f>IFERROR(__xludf.DUMMYFUNCTION("""COMPUTED_VALUE"""),"CAVITE")</f>
        <v>CAVITE</v>
      </c>
      <c r="R2347" s="1" t="str">
        <f>IFERROR(__xludf.DUMMYFUNCTION("""COMPUTED_VALUE"""),"FIBR PLAN 1699")</f>
        <v>FIBR PLAN 1699</v>
      </c>
      <c r="S2347" s="1" t="str">
        <f>IFERROR(__xludf.DUMMYFUNCTION("""COMPUTED_VALUE"""),"APPROVED")</f>
        <v>APPROVED</v>
      </c>
      <c r="T2347" s="1" t="str">
        <f>IFERROR(__xludf.DUMMYFUNCTION("""COMPUTED_VALUE"""),"CLOSED")</f>
        <v>CLOSED</v>
      </c>
      <c r="U2347" s="1" t="str">
        <f>IFERROR(__xludf.DUMMYFUNCTION("""COMPUTED_VALUE"""),"POSTED")</f>
        <v>POSTED</v>
      </c>
      <c r="V2347" s="1"/>
      <c r="W2347" s="1"/>
    </row>
    <row r="2348" customHeight="1" spans="1:23">
      <c r="A2348" s="3">
        <f>IFERROR(__xludf.DUMMYFUNCTION("""COMPUTED_VALUE"""),46206)</f>
        <v>46206</v>
      </c>
      <c r="B2348" s="1" t="str">
        <f>IFERROR(__xludf.DUMMYFUNCTION("""COMPUTED_VALUE"""),"MALIWAT MARK ELVIN")</f>
        <v>MALIWAT MARK ELVIN</v>
      </c>
      <c r="C2348" s="1" t="str">
        <f>IFERROR(__xludf.DUMMYFUNCTION("""COMPUTED_VALUE"""),"FLA")</f>
        <v>FLA</v>
      </c>
      <c r="D2348" s="1" t="str">
        <f>IFERROR(__xludf.DUMMYFUNCTION("""COMPUTED_VALUE"""),"JERIC NAVARRO")</f>
        <v>JERIC NAVARRO</v>
      </c>
      <c r="E2348" s="1" t="str">
        <f>IFERROR(__xludf.DUMMYFUNCTION("""COMPUTED_VALUE"""),"PLDT / ONLINE")</f>
        <v>PLDT / ONLINE</v>
      </c>
      <c r="F2348" s="1">
        <f>IFERROR(__xludf.DUMMYFUNCTION("""COMPUTED_VALUE"""),2310678646)</f>
        <v>2310678646</v>
      </c>
      <c r="G2348" s="1">
        <f>IFERROR(__xludf.DUMMYFUNCTION("""COMPUTED_VALUE"""),461150843004)</f>
        <v>461150843004</v>
      </c>
      <c r="H2348" s="1" t="str">
        <f>IFERROR(__xludf.DUMMYFUNCTION("""COMPUTED_VALUE"""),"CECILIA TARIPE MERIN")</f>
        <v>CECILIA TARIPE MERIN</v>
      </c>
      <c r="I2348" s="1">
        <f>IFERROR(__xludf.DUMMYFUNCTION("""COMPUTED_VALUE"""),9946064800)</f>
        <v>9946064800</v>
      </c>
      <c r="J2348" s="1"/>
      <c r="K2348" s="1" t="str">
        <f>IFERROR(__xludf.DUMMYFUNCTION("""COMPUTED_VALUE"""),"avanmerin23@gmail.com")</f>
        <v>avanmerin23@gmail.com</v>
      </c>
      <c r="L2348" s="1" t="str">
        <f>IFERROR(__xludf.DUMMYFUNCTION("""COMPUTED_VALUE"""),"BLK 68 LOT 17")</f>
        <v>BLK 68 LOT 17</v>
      </c>
      <c r="M2348" s="1" t="str">
        <f>IFERROR(__xludf.DUMMYFUNCTION("""COMPUTED_VALUE"""),"WELLINGTON PLACE PH11A")</f>
        <v>WELLINGTON PLACE PH11A</v>
      </c>
      <c r="N2348" s="1" t="str">
        <f>IFERROR(__xludf.DUMMYFUNCTION("""COMPUTED_VALUE"""),"WELLINGTON PLACE PH11A")</f>
        <v>WELLINGTON PLACE PH11A</v>
      </c>
      <c r="O2348" s="1" t="str">
        <f>IFERROR(__xludf.DUMMYFUNCTION("""COMPUTED_VALUE"""),"PASONG CAMACHILE II")</f>
        <v>PASONG CAMACHILE II</v>
      </c>
      <c r="P2348" s="1" t="str">
        <f>IFERROR(__xludf.DUMMYFUNCTION("""COMPUTED_VALUE"""),"GENERAL TRIAS")</f>
        <v>GENERAL TRIAS</v>
      </c>
      <c r="Q2348" s="1" t="str">
        <f>IFERROR(__xludf.DUMMYFUNCTION("""COMPUTED_VALUE"""),"CAVITE")</f>
        <v>CAVITE</v>
      </c>
      <c r="R2348" s="1" t="str">
        <f>IFERROR(__xludf.DUMMYFUNCTION("""COMPUTED_VALUE"""),"FIBR UNLI ALL PLAN 999")</f>
        <v>FIBR UNLI ALL PLAN 999</v>
      </c>
      <c r="S2348" s="1" t="str">
        <f>IFERROR(__xludf.DUMMYFUNCTION("""COMPUTED_VALUE"""),"APPROVED")</f>
        <v>APPROVED</v>
      </c>
      <c r="T2348" s="1" t="str">
        <f>IFERROR(__xludf.DUMMYFUNCTION("""COMPUTED_VALUE"""),"CLOSED")</f>
        <v>CLOSED</v>
      </c>
      <c r="U2348" s="1" t="str">
        <f>IFERROR(__xludf.DUMMYFUNCTION("""COMPUTED_VALUE"""),"POSTED")</f>
        <v>POSTED</v>
      </c>
      <c r="V2348" s="1"/>
      <c r="W2348" s="1"/>
    </row>
    <row r="2349" customHeight="1" spans="1:23">
      <c r="A2349" s="3">
        <f>IFERROR(__xludf.DUMMYFUNCTION("""COMPUTED_VALUE"""),46206)</f>
        <v>46206</v>
      </c>
      <c r="B2349" s="1" t="str">
        <f>IFERROR(__xludf.DUMMYFUNCTION("""COMPUTED_VALUE"""),"GABAY, MANUEL")</f>
        <v>GABAY, MANUEL</v>
      </c>
      <c r="C2349" s="1" t="str">
        <f>IFERROR(__xludf.DUMMYFUNCTION("""COMPUTED_VALUE"""),"FLA")</f>
        <v>FLA</v>
      </c>
      <c r="D2349" s="1" t="str">
        <f>IFERROR(__xludf.DUMMYFUNCTION("""COMPUTED_VALUE"""),"JERIC NAVARRO")</f>
        <v>JERIC NAVARRO</v>
      </c>
      <c r="E2349" s="1" t="str">
        <f>IFERROR(__xludf.DUMMYFUNCTION("""COMPUTED_VALUE"""),"PLDT / ONLINE")</f>
        <v>PLDT / ONLINE</v>
      </c>
      <c r="F2349" s="1">
        <f>IFERROR(__xludf.DUMMYFUNCTION("""COMPUTED_VALUE"""),2310680446)</f>
        <v>2310680446</v>
      </c>
      <c r="G2349" s="1">
        <f>IFERROR(__xludf.DUMMYFUNCTION("""COMPUTED_VALUE"""),461131047004)</f>
        <v>461131047004</v>
      </c>
      <c r="H2349" s="1" t="str">
        <f>IFERROR(__xludf.DUMMYFUNCTION("""COMPUTED_VALUE"""),"SAMSON ALCARIA LANGOMEZ")</f>
        <v>SAMSON ALCARIA LANGOMEZ</v>
      </c>
      <c r="I2349" s="1">
        <f>IFERROR(__xludf.DUMMYFUNCTION("""COMPUTED_VALUE"""),639217721557)</f>
        <v>639217721557</v>
      </c>
      <c r="J2349" s="1">
        <f>IFERROR(__xludf.DUMMYFUNCTION("""COMPUTED_VALUE"""),639543341738)</f>
        <v>639543341738</v>
      </c>
      <c r="K2349" s="1" t="str">
        <f>IFERROR(__xludf.DUMMYFUNCTION("""COMPUTED_VALUE"""),"heavensangel881@gmail.com")</f>
        <v>heavensangel881@gmail.com</v>
      </c>
      <c r="L2349" s="1" t="str">
        <f>IFERROR(__xludf.DUMMYFUNCTION("""COMPUTED_VALUE"""),"UNIT F")</f>
        <v>UNIT F</v>
      </c>
      <c r="M2349" s="1" t="str">
        <f>IFERROR(__xludf.DUMMYFUNCTION("""COMPUTED_VALUE"""),"PUROK 38")</f>
        <v>PUROK 38</v>
      </c>
      <c r="N2349" s="1" t="str">
        <f>IFERROR(__xludf.DUMMYFUNCTION("""COMPUTED_VALUE"""),"GONZALES APARTMENT")</f>
        <v>GONZALES APARTMENT</v>
      </c>
      <c r="O2349" s="1" t="str">
        <f>IFERROR(__xludf.DUMMYFUNCTION("""COMPUTED_VALUE"""),"GUINHAWA SOUTH")</f>
        <v>GUINHAWA SOUTH</v>
      </c>
      <c r="P2349" s="1" t="str">
        <f>IFERROR(__xludf.DUMMYFUNCTION("""COMPUTED_VALUE"""),"TAGAYTAY")</f>
        <v>TAGAYTAY</v>
      </c>
      <c r="Q2349" s="1" t="str">
        <f>IFERROR(__xludf.DUMMYFUNCTION("""COMPUTED_VALUE"""),"CAVITE")</f>
        <v>CAVITE</v>
      </c>
      <c r="R2349" s="1" t="str">
        <f>IFERROR(__xludf.DUMMYFUNCTION("""COMPUTED_VALUE"""),"FIBR NETFLIX PLAN 1599")</f>
        <v>FIBR NETFLIX PLAN 1599</v>
      </c>
      <c r="S2349" s="1" t="str">
        <f>IFERROR(__xludf.DUMMYFUNCTION("""COMPUTED_VALUE"""),"APPROVED")</f>
        <v>APPROVED</v>
      </c>
      <c r="T2349" s="1" t="str">
        <f>IFERROR(__xludf.DUMMYFUNCTION("""COMPUTED_VALUE"""),"RPR")</f>
        <v>RPR</v>
      </c>
      <c r="U2349" s="1"/>
      <c r="V2349" s="1"/>
      <c r="W2349" s="1"/>
    </row>
    <row r="2350" customHeight="1" spans="1:23">
      <c r="A2350" s="3">
        <f>IFERROR(__xludf.DUMMYFUNCTION("""COMPUTED_VALUE"""),46206)</f>
        <v>46206</v>
      </c>
      <c r="B2350" s="1" t="str">
        <f>IFERROR(__xludf.DUMMYFUNCTION("""COMPUTED_VALUE"""),"TAMAYO, MARY ROSE")</f>
        <v>TAMAYO, MARY ROSE</v>
      </c>
      <c r="C2350" s="1" t="str">
        <f>IFERROR(__xludf.DUMMYFUNCTION("""COMPUTED_VALUE"""),"ORGANIC")</f>
        <v>ORGANIC</v>
      </c>
      <c r="D2350" s="1" t="str">
        <f>IFERROR(__xludf.DUMMYFUNCTION("""COMPUTED_VALUE"""),"REMOLLO LEA")</f>
        <v>REMOLLO LEA</v>
      </c>
      <c r="E2350" s="1" t="str">
        <f>IFERROR(__xludf.DUMMYFUNCTION("""COMPUTED_VALUE"""),"PLDT / H2H")</f>
        <v>PLDT / H2H</v>
      </c>
      <c r="F2350" s="1">
        <f>IFERROR(__xludf.DUMMYFUNCTION("""COMPUTED_VALUE"""),2310682850)</f>
        <v>2310682850</v>
      </c>
      <c r="G2350" s="1">
        <f>IFERROR(__xludf.DUMMYFUNCTION("""COMPUTED_VALUE"""),461141501004)</f>
        <v>461141501004</v>
      </c>
      <c r="H2350" s="1" t="str">
        <f>IFERROR(__xludf.DUMMYFUNCTION("""COMPUTED_VALUE"""),"MARJORIE BUELLA CABANA")</f>
        <v>MARJORIE BUELLA CABANA</v>
      </c>
      <c r="I2350" s="1">
        <f>IFERROR(__xludf.DUMMYFUNCTION("""COMPUTED_VALUE"""),639452962469)</f>
        <v>639452962469</v>
      </c>
      <c r="J2350" s="1"/>
      <c r="K2350" s="1" t="str">
        <f>IFERROR(__xludf.DUMMYFUNCTION("""COMPUTED_VALUE"""),"maxrjay2505@gmail.com")</f>
        <v>maxrjay2505@gmail.com</v>
      </c>
      <c r="L2350" s="1" t="str">
        <f>IFERROR(__xludf.DUMMYFUNCTION("""COMPUTED_VALUE"""),"002-BL-007")</f>
        <v>002-BL-007</v>
      </c>
      <c r="M2350" s="1" t="str">
        <f>IFERROR(__xludf.DUMMYFUNCTION("""COMPUTED_VALUE"""),"PHASE 2")</f>
        <v>PHASE 2</v>
      </c>
      <c r="N2350" s="1" t="str">
        <f>IFERROR(__xludf.DUMMYFUNCTION("""COMPUTED_VALUE"""),"PABAHAY")</f>
        <v>PABAHAY</v>
      </c>
      <c r="O2350" s="1" t="str">
        <f>IFERROR(__xludf.DUMMYFUNCTION("""COMPUTED_VALUE"""),"ZAMBAL")</f>
        <v>ZAMBAL</v>
      </c>
      <c r="P2350" s="1" t="str">
        <f>IFERROR(__xludf.DUMMYFUNCTION("""COMPUTED_VALUE"""),"TAGAYTAY")</f>
        <v>TAGAYTAY</v>
      </c>
      <c r="Q2350" s="1" t="str">
        <f>IFERROR(__xludf.DUMMYFUNCTION("""COMPUTED_VALUE"""),"CAVITE")</f>
        <v>CAVITE</v>
      </c>
      <c r="R2350" s="1" t="str">
        <f>IFERROR(__xludf.DUMMYFUNCTION("""COMPUTED_VALUE"""),"FIBR UNLI ALL PLAN 999")</f>
        <v>FIBR UNLI ALL PLAN 999</v>
      </c>
      <c r="S2350" s="1" t="str">
        <f>IFERROR(__xludf.DUMMYFUNCTION("""COMPUTED_VALUE"""),"APPROVED")</f>
        <v>APPROVED</v>
      </c>
      <c r="T2350" s="1" t="str">
        <f>IFERROR(__xludf.DUMMYFUNCTION("""COMPUTED_VALUE"""),"CLOSED")</f>
        <v>CLOSED</v>
      </c>
      <c r="U2350" s="1" t="str">
        <f>IFERROR(__xludf.DUMMYFUNCTION("""COMPUTED_VALUE"""),"POSTED")</f>
        <v>POSTED</v>
      </c>
      <c r="V2350" s="1"/>
      <c r="W2350" s="1"/>
    </row>
    <row r="2351" customHeight="1" spans="1:23">
      <c r="A2351" s="3">
        <f>IFERROR(__xludf.DUMMYFUNCTION("""COMPUTED_VALUE"""),46206)</f>
        <v>46206</v>
      </c>
      <c r="B2351" s="1" t="str">
        <f>IFERROR(__xludf.DUMMYFUNCTION("""COMPUTED_VALUE"""),"MAGDARAOG, KENNETH")</f>
        <v>MAGDARAOG, KENNETH</v>
      </c>
      <c r="C2351" s="1" t="str">
        <f>IFERROR(__xludf.DUMMYFUNCTION("""COMPUTED_VALUE"""),"ORGANIC")</f>
        <v>ORGANIC</v>
      </c>
      <c r="D2351" s="1" t="str">
        <f>IFERROR(__xludf.DUMMYFUNCTION("""COMPUTED_VALUE"""),"REMOLLO LEA")</f>
        <v>REMOLLO LEA</v>
      </c>
      <c r="E2351" s="1" t="str">
        <f>IFERROR(__xludf.DUMMYFUNCTION("""COMPUTED_VALUE"""),"PLDT / H2H")</f>
        <v>PLDT / H2H</v>
      </c>
      <c r="F2351" s="1">
        <f>IFERROR(__xludf.DUMMYFUNCTION("""COMPUTED_VALUE"""),2310683436)</f>
        <v>2310683436</v>
      </c>
      <c r="G2351" s="1">
        <f>IFERROR(__xludf.DUMMYFUNCTION("""COMPUTED_VALUE"""),461149128004)</f>
        <v>461149128004</v>
      </c>
      <c r="H2351" s="1" t="str">
        <f>IFERROR(__xludf.DUMMYFUNCTION("""COMPUTED_VALUE"""),"EDRIAN LORELLA LOCERIAGA")</f>
        <v>EDRIAN LORELLA LOCERIAGA</v>
      </c>
      <c r="I2351" s="1">
        <f>IFERROR(__xludf.DUMMYFUNCTION("""COMPUTED_VALUE"""),639633181009)</f>
        <v>639633181009</v>
      </c>
      <c r="J2351" s="1"/>
      <c r="K2351" s="1" t="str">
        <f>IFERROR(__xludf.DUMMYFUNCTION("""COMPUTED_VALUE"""),"keisharosepepito18@gmail.com")</f>
        <v>keisharosepepito18@gmail.com</v>
      </c>
      <c r="L2351" s="1" t="str">
        <f>IFERROR(__xludf.DUMMYFUNCTION("""COMPUTED_VALUE"""),"004-BL-001")</f>
        <v>004-BL-001</v>
      </c>
      <c r="M2351" s="1" t="str">
        <f>IFERROR(__xludf.DUMMYFUNCTION("""COMPUTED_VALUE"""),"PABAHAY")</f>
        <v>PABAHAY</v>
      </c>
      <c r="N2351" s="1" t="str">
        <f>IFERROR(__xludf.DUMMYFUNCTION("""COMPUTED_VALUE"""),"PABAHAY")</f>
        <v>PABAHAY</v>
      </c>
      <c r="O2351" s="1" t="str">
        <f>IFERROR(__xludf.DUMMYFUNCTION("""COMPUTED_VALUE"""),"ZAMBAL")</f>
        <v>ZAMBAL</v>
      </c>
      <c r="P2351" s="1" t="str">
        <f>IFERROR(__xludf.DUMMYFUNCTION("""COMPUTED_VALUE"""),"TAGAYTAY")</f>
        <v>TAGAYTAY</v>
      </c>
      <c r="Q2351" s="1" t="str">
        <f>IFERROR(__xludf.DUMMYFUNCTION("""COMPUTED_VALUE"""),"CAVITE")</f>
        <v>CAVITE</v>
      </c>
      <c r="R2351" s="1" t="str">
        <f>IFERROR(__xludf.DUMMYFUNCTION("""COMPUTED_VALUE"""),"FIBR UNLI ALL PLAN 999")</f>
        <v>FIBR UNLI ALL PLAN 999</v>
      </c>
      <c r="S2351" s="1" t="str">
        <f>IFERROR(__xludf.DUMMYFUNCTION("""COMPUTED_VALUE"""),"APPROVED")</f>
        <v>APPROVED</v>
      </c>
      <c r="T2351" s="1" t="str">
        <f>IFERROR(__xludf.DUMMYFUNCTION("""COMPUTED_VALUE"""),"CLOSED")</f>
        <v>CLOSED</v>
      </c>
      <c r="U2351" s="1" t="str">
        <f>IFERROR(__xludf.DUMMYFUNCTION("""COMPUTED_VALUE"""),"POSTED")</f>
        <v>POSTED</v>
      </c>
      <c r="V2351" s="1"/>
      <c r="W2351" s="1"/>
    </row>
    <row r="2352" customHeight="1" spans="1:23">
      <c r="A2352" s="3">
        <f>IFERROR(__xludf.DUMMYFUNCTION("""COMPUTED_VALUE"""),46206)</f>
        <v>46206</v>
      </c>
      <c r="B2352" s="1" t="str">
        <f>IFERROR(__xludf.DUMMYFUNCTION("""COMPUTED_VALUE"""),"DACALCAP RUBEN")</f>
        <v>DACALCAP RUBEN</v>
      </c>
      <c r="C2352" s="1" t="str">
        <f>IFERROR(__xludf.DUMMYFUNCTION("""COMPUTED_VALUE"""),"FLA")</f>
        <v>FLA</v>
      </c>
      <c r="D2352" s="1" t="str">
        <f>IFERROR(__xludf.DUMMYFUNCTION("""COMPUTED_VALUE"""),"JERIC NAVARRO")</f>
        <v>JERIC NAVARRO</v>
      </c>
      <c r="E2352" s="1" t="str">
        <f>IFERROR(__xludf.DUMMYFUNCTION("""COMPUTED_VALUE"""),"PLDT / ONLINE")</f>
        <v>PLDT / ONLINE</v>
      </c>
      <c r="F2352" s="1">
        <f>IFERROR(__xludf.DUMMYFUNCTION("""COMPUTED_VALUE"""),2310683936)</f>
        <v>2310683936</v>
      </c>
      <c r="G2352" s="1">
        <f>IFERROR(__xludf.DUMMYFUNCTION("""COMPUTED_VALUE"""),461159583004)</f>
        <v>461159583004</v>
      </c>
      <c r="H2352" s="1" t="str">
        <f>IFERROR(__xludf.DUMMYFUNCTION("""COMPUTED_VALUE"""),"JOVEN MALLARI PAGAY")</f>
        <v>JOVEN MALLARI PAGAY</v>
      </c>
      <c r="I2352" s="1">
        <f>IFERROR(__xludf.DUMMYFUNCTION("""COMPUTED_VALUE"""),639195044111)</f>
        <v>639195044111</v>
      </c>
      <c r="J2352" s="1">
        <f>IFERROR(__xludf.DUMMYFUNCTION("""COMPUTED_VALUE"""),639171193020)</f>
        <v>639171193020</v>
      </c>
      <c r="K2352" s="1" t="str">
        <f>IFERROR(__xludf.DUMMYFUNCTION("""COMPUTED_VALUE"""),"jovenpagay@gmail.com")</f>
        <v>jovenpagay@gmail.com</v>
      </c>
      <c r="L2352" s="1" t="str">
        <f>IFERROR(__xludf.DUMMYFUNCTION("""COMPUTED_VALUE"""),"067-BL-009")</f>
        <v>067-BL-009</v>
      </c>
      <c r="M2352" s="1" t="str">
        <f>IFERROR(__xludf.DUMMYFUNCTION("""COMPUTED_VALUE"""),"NIPA")</f>
        <v>NIPA</v>
      </c>
      <c r="N2352" s="1" t="str">
        <f>IFERROR(__xludf.DUMMYFUNCTION("""COMPUTED_VALUE"""),"BEL ALDEA")</f>
        <v>BEL ALDEA</v>
      </c>
      <c r="O2352" s="1" t="str">
        <f>IFERROR(__xludf.DUMMYFUNCTION("""COMPUTED_VALUE"""),"FRANCISCO (SAN FRANCISCO)")</f>
        <v>FRANCISCO (SAN FRANCISCO)</v>
      </c>
      <c r="P2352" s="1" t="str">
        <f>IFERROR(__xludf.DUMMYFUNCTION("""COMPUTED_VALUE"""),"GENERAL TRIAS")</f>
        <v>GENERAL TRIAS</v>
      </c>
      <c r="Q2352" s="1" t="str">
        <f>IFERROR(__xludf.DUMMYFUNCTION("""COMPUTED_VALUE"""),"CAVITE")</f>
        <v>CAVITE</v>
      </c>
      <c r="R2352" s="1" t="str">
        <f>IFERROR(__xludf.DUMMYFUNCTION("""COMPUTED_VALUE"""),"FIBR PLAN 1299")</f>
        <v>FIBR PLAN 1299</v>
      </c>
      <c r="S2352" s="1" t="str">
        <f>IFERROR(__xludf.DUMMYFUNCTION("""COMPUTED_VALUE"""),"APPROVED")</f>
        <v>APPROVED</v>
      </c>
      <c r="T2352" s="1" t="str">
        <f>IFERROR(__xludf.DUMMYFUNCTION("""COMPUTED_VALUE"""),"RESERVED FACILITY")</f>
        <v>RESERVED FACILITY</v>
      </c>
      <c r="U2352" s="1"/>
      <c r="V2352" s="1"/>
      <c r="W2352" s="1"/>
    </row>
    <row r="2353" customHeight="1" spans="1:23">
      <c r="A2353" s="3">
        <f>IFERROR(__xludf.DUMMYFUNCTION("""COMPUTED_VALUE"""),46206)</f>
        <v>46206</v>
      </c>
      <c r="B2353" s="1" t="str">
        <f>IFERROR(__xludf.DUMMYFUNCTION("""COMPUTED_VALUE"""),"LEADSTORE - ILANO, LIANDRO TEJAS")</f>
        <v>LEADSTORE - ILANO, LIANDRO TEJAS</v>
      </c>
      <c r="C2353" s="1" t="str">
        <f>IFERROR(__xludf.DUMMYFUNCTION("""COMPUTED_VALUE"""),"LEADSTORE")</f>
        <v>LEADSTORE</v>
      </c>
      <c r="D2353" s="1" t="str">
        <f>IFERROR(__xludf.DUMMYFUNCTION("""COMPUTED_VALUE"""),"JERIC NAVARRO")</f>
        <v>JERIC NAVARRO</v>
      </c>
      <c r="E2353" s="1" t="str">
        <f>IFERROR(__xludf.DUMMYFUNCTION("""COMPUTED_VALUE"""),"PLDT / ONLINE")</f>
        <v>PLDT / ONLINE</v>
      </c>
      <c r="F2353" s="1">
        <f>IFERROR(__xludf.DUMMYFUNCTION("""COMPUTED_VALUE"""),2310684953)</f>
        <v>2310684953</v>
      </c>
      <c r="G2353" s="1">
        <f>IFERROR(__xludf.DUMMYFUNCTION("""COMPUTED_VALUE"""),461142736004)</f>
        <v>461142736004</v>
      </c>
      <c r="H2353" s="1" t="str">
        <f>IFERROR(__xludf.DUMMYFUNCTION("""COMPUTED_VALUE"""),"CHRISTINE SALAMAT CARDENO")</f>
        <v>CHRISTINE SALAMAT CARDENO</v>
      </c>
      <c r="I2353" s="1">
        <f>IFERROR(__xludf.DUMMYFUNCTION("""COMPUTED_VALUE"""),639544925379)</f>
        <v>639544925379</v>
      </c>
      <c r="J2353" s="1"/>
      <c r="K2353" s="1" t="str">
        <f>IFERROR(__xludf.DUMMYFUNCTION("""COMPUTED_VALUE"""),"cardenochristines@gmail.com")</f>
        <v>cardenochristines@gmail.com</v>
      </c>
      <c r="L2353" s="1" t="str">
        <f>IFERROR(__xludf.DUMMYFUNCTION("""COMPUTED_VALUE"""),"21")</f>
        <v>21</v>
      </c>
      <c r="M2353" s="1" t="str">
        <f>IFERROR(__xludf.DUMMYFUNCTION("""COMPUTED_VALUE"""),"JOSE ABAD SANTOS")</f>
        <v>JOSE ABAD SANTOS</v>
      </c>
      <c r="N2353" s="1"/>
      <c r="O2353" s="1" t="str">
        <f>IFERROR(__xludf.DUMMYFUNCTION("""COMPUTED_VALUE"""),"SALAWAG")</f>
        <v>SALAWAG</v>
      </c>
      <c r="P2353" s="1" t="str">
        <f>IFERROR(__xludf.DUMMYFUNCTION("""COMPUTED_VALUE"""),"DASMARINAS")</f>
        <v>DASMARINAS</v>
      </c>
      <c r="Q2353" s="1" t="str">
        <f>IFERROR(__xludf.DUMMYFUNCTION("""COMPUTED_VALUE"""),"CAVITE")</f>
        <v>CAVITE</v>
      </c>
      <c r="R2353" s="1" t="str">
        <f>IFERROR(__xludf.DUMMYFUNCTION("""COMPUTED_VALUE"""),"FIBR UNLI ALL PLAN 1399")</f>
        <v>FIBR UNLI ALL PLAN 1399</v>
      </c>
      <c r="S2353" s="1" t="str">
        <f>IFERROR(__xludf.DUMMYFUNCTION("""COMPUTED_VALUE"""),"APPROVED")</f>
        <v>APPROVED</v>
      </c>
      <c r="T2353" s="1" t="str">
        <f>IFERROR(__xludf.DUMMYFUNCTION("""COMPUTED_VALUE"""),"CLOSED")</f>
        <v>CLOSED</v>
      </c>
      <c r="U2353" s="1" t="str">
        <f>IFERROR(__xludf.DUMMYFUNCTION("""COMPUTED_VALUE"""),"POSTED")</f>
        <v>POSTED</v>
      </c>
      <c r="V2353" s="1"/>
      <c r="W2353" s="1"/>
    </row>
    <row r="2354" customHeight="1" spans="1:23">
      <c r="A2354" s="3">
        <f>IFERROR(__xludf.DUMMYFUNCTION("""COMPUTED_VALUE"""),46206)</f>
        <v>46206</v>
      </c>
      <c r="B2354" s="1" t="str">
        <f>IFERROR(__xludf.DUMMYFUNCTION("""COMPUTED_VALUE"""),"FRANCISCO , ROSELYN")</f>
        <v>FRANCISCO , ROSELYN</v>
      </c>
      <c r="C2354" s="1" t="str">
        <f>IFERROR(__xludf.DUMMYFUNCTION("""COMPUTED_VALUE"""),"ORGANIC")</f>
        <v>ORGANIC</v>
      </c>
      <c r="D2354" s="1" t="str">
        <f>IFERROR(__xludf.DUMMYFUNCTION("""COMPUTED_VALUE"""),"REMOLLO LEA")</f>
        <v>REMOLLO LEA</v>
      </c>
      <c r="E2354" s="1" t="str">
        <f>IFERROR(__xludf.DUMMYFUNCTION("""COMPUTED_VALUE"""),"PLDT / ONLINE")</f>
        <v>PLDT / ONLINE</v>
      </c>
      <c r="F2354" s="1">
        <f>IFERROR(__xludf.DUMMYFUNCTION("""COMPUTED_VALUE"""),2310685473)</f>
        <v>2310685473</v>
      </c>
      <c r="G2354" s="1">
        <f>IFERROR(__xludf.DUMMYFUNCTION("""COMPUTED_VALUE"""),461143981004)</f>
        <v>461143981004</v>
      </c>
      <c r="H2354" s="1" t="str">
        <f>IFERROR(__xludf.DUMMYFUNCTION("""COMPUTED_VALUE"""),"SUZAINE CUISIA MONTEALEGRE")</f>
        <v>SUZAINE CUISIA MONTEALEGRE</v>
      </c>
      <c r="I2354" s="1">
        <f>IFERROR(__xludf.DUMMYFUNCTION("""COMPUTED_VALUE"""),639669340272)</f>
        <v>639669340272</v>
      </c>
      <c r="J2354" s="1">
        <f>IFERROR(__xludf.DUMMYFUNCTION("""COMPUTED_VALUE"""),639537827466)</f>
        <v>639537827466</v>
      </c>
      <c r="K2354" s="1" t="str">
        <f>IFERROR(__xludf.DUMMYFUNCTION("""COMPUTED_VALUE"""),"montealegresuzaine@gmail.com")</f>
        <v>montealegresuzaine@gmail.com</v>
      </c>
      <c r="L2354" s="1" t="str">
        <f>IFERROR(__xludf.DUMMYFUNCTION("""COMPUTED_VALUE"""),"220")</f>
        <v>220</v>
      </c>
      <c r="M2354" s="1" t="str">
        <f>IFERROR(__xludf.DUMMYFUNCTION("""COMPUTED_VALUE"""),"PAGKAKAISA")</f>
        <v>PAGKAKAISA</v>
      </c>
      <c r="N2354" s="1"/>
      <c r="O2354" s="1" t="str">
        <f>IFERROR(__xludf.DUMMYFUNCTION("""COMPUTED_VALUE"""),"ANABU I-A")</f>
        <v>ANABU I-A</v>
      </c>
      <c r="P2354" s="1" t="str">
        <f>IFERROR(__xludf.DUMMYFUNCTION("""COMPUTED_VALUE"""),"IMUS")</f>
        <v>IMUS</v>
      </c>
      <c r="Q2354" s="1" t="str">
        <f>IFERROR(__xludf.DUMMYFUNCTION("""COMPUTED_VALUE"""),"CAVITE")</f>
        <v>CAVITE</v>
      </c>
      <c r="R2354" s="1" t="str">
        <f>IFERROR(__xludf.DUMMYFUNCTION("""COMPUTED_VALUE"""),"FIBR PLAN 1299")</f>
        <v>FIBR PLAN 1299</v>
      </c>
      <c r="S2354" s="1" t="str">
        <f>IFERROR(__xludf.DUMMYFUNCTION("""COMPUTED_VALUE"""),"APPROVED")</f>
        <v>APPROVED</v>
      </c>
      <c r="T2354" s="1" t="str">
        <f>IFERROR(__xludf.DUMMYFUNCTION("""COMPUTED_VALUE"""),"RPR")</f>
        <v>RPR</v>
      </c>
      <c r="U2354" s="1"/>
      <c r="V2354" s="1"/>
      <c r="W2354" s="1"/>
    </row>
    <row r="2355" customHeight="1" spans="1:23">
      <c r="A2355" s="3">
        <f>IFERROR(__xludf.DUMMYFUNCTION("""COMPUTED_VALUE"""),46206)</f>
        <v>46206</v>
      </c>
      <c r="B2355" s="1" t="str">
        <f>IFERROR(__xludf.DUMMYFUNCTION("""COMPUTED_VALUE"""),"FRANCISCO , ROSELYN")</f>
        <v>FRANCISCO , ROSELYN</v>
      </c>
      <c r="C2355" s="1" t="str">
        <f>IFERROR(__xludf.DUMMYFUNCTION("""COMPUTED_VALUE"""),"ORGANIC")</f>
        <v>ORGANIC</v>
      </c>
      <c r="D2355" s="1" t="str">
        <f>IFERROR(__xludf.DUMMYFUNCTION("""COMPUTED_VALUE"""),"REMOLLO LEA")</f>
        <v>REMOLLO LEA</v>
      </c>
      <c r="E2355" s="1" t="str">
        <f>IFERROR(__xludf.DUMMYFUNCTION("""COMPUTED_VALUE"""),"PLDT / ONLINE")</f>
        <v>PLDT / ONLINE</v>
      </c>
      <c r="F2355" s="1">
        <f>IFERROR(__xludf.DUMMYFUNCTION("""COMPUTED_VALUE"""),2310685929)</f>
        <v>2310685929</v>
      </c>
      <c r="G2355" s="1">
        <f>IFERROR(__xludf.DUMMYFUNCTION("""COMPUTED_VALUE"""),461157646004)</f>
        <v>461157646004</v>
      </c>
      <c r="H2355" s="1" t="str">
        <f>IFERROR(__xludf.DUMMYFUNCTION("""COMPUTED_VALUE"""),"REYMARK CANDIDO CARLOS")</f>
        <v>REYMARK CANDIDO CARLOS</v>
      </c>
      <c r="I2355" s="1">
        <f>IFERROR(__xludf.DUMMYFUNCTION("""COMPUTED_VALUE"""),639648305695)</f>
        <v>639648305695</v>
      </c>
      <c r="J2355" s="1">
        <f>IFERROR(__xludf.DUMMYFUNCTION("""COMPUTED_VALUE"""),639772304331)</f>
        <v>639772304331</v>
      </c>
      <c r="K2355" s="1" t="str">
        <f>IFERROR(__xludf.DUMMYFUNCTION("""COMPUTED_VALUE"""),"panganibanjudyanne64@gmail.com")</f>
        <v>panganibanjudyanne64@gmail.com</v>
      </c>
      <c r="L2355" s="1" t="str">
        <f>IFERROR(__xludf.DUMMYFUNCTION("""COMPUTED_VALUE"""),"017-BL-012")</f>
        <v>017-BL-012</v>
      </c>
      <c r="M2355" s="1" t="str">
        <f>IFERROR(__xludf.DUMMYFUNCTION("""COMPUTED_VALUE"""),"STA FE")</f>
        <v>STA FE</v>
      </c>
      <c r="N2355" s="1"/>
      <c r="O2355" s="1" t="str">
        <f>IFERROR(__xludf.DUMMYFUNCTION("""COMPUTED_VALUE"""),"SANTA FE")</f>
        <v>SANTA FE</v>
      </c>
      <c r="P2355" s="1" t="str">
        <f>IFERROR(__xludf.DUMMYFUNCTION("""COMPUTED_VALUE"""),"DASMARINAS")</f>
        <v>DASMARINAS</v>
      </c>
      <c r="Q2355" s="1" t="str">
        <f>IFERROR(__xludf.DUMMYFUNCTION("""COMPUTED_VALUE"""),"CAVITE")</f>
        <v>CAVITE</v>
      </c>
      <c r="R2355" s="1" t="str">
        <f>IFERROR(__xludf.DUMMYFUNCTION("""COMPUTED_VALUE"""),"FIBR PLAN 1299")</f>
        <v>FIBR PLAN 1299</v>
      </c>
      <c r="S2355" s="1" t="str">
        <f>IFERROR(__xludf.DUMMYFUNCTION("""COMPUTED_VALUE"""),"APPROVED")</f>
        <v>APPROVED</v>
      </c>
      <c r="T2355" s="1" t="str">
        <f>IFERROR(__xludf.DUMMYFUNCTION("""COMPUTED_VALUE"""),"CLOSED")</f>
        <v>CLOSED</v>
      </c>
      <c r="U2355" s="1" t="str">
        <f>IFERROR(__xludf.DUMMYFUNCTION("""COMPUTED_VALUE"""),"POSTED")</f>
        <v>POSTED</v>
      </c>
      <c r="V2355" s="1"/>
      <c r="W2355" s="1"/>
    </row>
    <row r="2356" customHeight="1" spans="1:23">
      <c r="A2356" s="3">
        <f>IFERROR(__xludf.DUMMYFUNCTION("""COMPUTED_VALUE"""),46206)</f>
        <v>46206</v>
      </c>
      <c r="B2356" s="1" t="str">
        <f>IFERROR(__xludf.DUMMYFUNCTION("""COMPUTED_VALUE"""),"ALINGARO, CINDY")</f>
        <v>ALINGARO, CINDY</v>
      </c>
      <c r="C2356" s="1" t="str">
        <f>IFERROR(__xludf.DUMMYFUNCTION("""COMPUTED_VALUE"""),"FLA")</f>
        <v>FLA</v>
      </c>
      <c r="D2356" s="1" t="str">
        <f>IFERROR(__xludf.DUMMYFUNCTION("""COMPUTED_VALUE"""),"JERIC NAVARRO")</f>
        <v>JERIC NAVARRO</v>
      </c>
      <c r="E2356" s="1" t="str">
        <f>IFERROR(__xludf.DUMMYFUNCTION("""COMPUTED_VALUE"""),"PLDT / H2H")</f>
        <v>PLDT / H2H</v>
      </c>
      <c r="F2356" s="1">
        <f>IFERROR(__xludf.DUMMYFUNCTION("""COMPUTED_VALUE"""),2310686566)</f>
        <v>2310686566</v>
      </c>
      <c r="G2356" s="1"/>
      <c r="H2356" s="1" t="str">
        <f>IFERROR(__xludf.DUMMYFUNCTION("""COMPUTED_VALUE"""),"MA LIZA ESCOBAR PEREZ")</f>
        <v>MA LIZA ESCOBAR PEREZ</v>
      </c>
      <c r="I2356" s="1">
        <f>IFERROR(__xludf.DUMMYFUNCTION("""COMPUTED_VALUE"""),639209059550)</f>
        <v>639209059550</v>
      </c>
      <c r="J2356" s="1">
        <f>IFERROR(__xludf.DUMMYFUNCTION("""COMPUTED_VALUE"""),639479947731)</f>
        <v>639479947731</v>
      </c>
      <c r="K2356" s="1" t="str">
        <f>IFERROR(__xludf.DUMMYFUNCTION("""COMPUTED_VALUE"""),"malizprez@gmail.com")</f>
        <v>malizprez@gmail.com</v>
      </c>
      <c r="L2356" s="1" t="str">
        <f>IFERROR(__xludf.DUMMYFUNCTION("""COMPUTED_VALUE"""),"025-BL-19B")</f>
        <v>025-BL-19B</v>
      </c>
      <c r="M2356" s="1" t="str">
        <f>IFERROR(__xludf.DUMMYFUNCTION("""COMPUTED_VALUE"""),"ACACIA")</f>
        <v>ACACIA</v>
      </c>
      <c r="N2356" s="1" t="str">
        <f>IFERROR(__xludf.DUMMYFUNCTION("""COMPUTED_VALUE"""),"LAS BRISAS SUBD")</f>
        <v>LAS BRISAS SUBD</v>
      </c>
      <c r="O2356" s="1" t="str">
        <f>IFERROR(__xludf.DUMMYFUNCTION("""COMPUTED_VALUE"""),"MENDEZ CROSSING WEST")</f>
        <v>MENDEZ CROSSING WEST</v>
      </c>
      <c r="P2356" s="1" t="str">
        <f>IFERROR(__xludf.DUMMYFUNCTION("""COMPUTED_VALUE"""),"TAGAYTAY")</f>
        <v>TAGAYTAY</v>
      </c>
      <c r="Q2356" s="1" t="str">
        <f>IFERROR(__xludf.DUMMYFUNCTION("""COMPUTED_VALUE"""),"CAVITE")</f>
        <v>CAVITE</v>
      </c>
      <c r="R2356" s="1" t="str">
        <f>IFERROR(__xludf.DUMMYFUNCTION("""COMPUTED_VALUE"""),"FIBR NETFLIX PLAN 1599")</f>
        <v>FIBR NETFLIX PLAN 1599</v>
      </c>
      <c r="S2356" s="1" t="str">
        <f>IFERROR(__xludf.DUMMYFUNCTION("""COMPUTED_VALUE"""),"APPROVED")</f>
        <v>APPROVED</v>
      </c>
      <c r="T2356" s="1" t="str">
        <f>IFERROR(__xludf.DUMMYFUNCTION("""COMPUTED_VALUE"""),"CANCELLED")</f>
        <v>CANCELLED</v>
      </c>
      <c r="U2356" s="1" t="str">
        <f>IFERROR(__xludf.DUMMYFUNCTION("""COMPUTED_VALUE"""),"CANCELLED - WITH OB")</f>
        <v>CANCELLED - WITH OB</v>
      </c>
      <c r="V2356" s="1"/>
      <c r="W2356" s="1"/>
    </row>
    <row r="2357" customHeight="1" spans="1:23">
      <c r="A2357" s="3">
        <f>IFERROR(__xludf.DUMMYFUNCTION("""COMPUTED_VALUE"""),46206)</f>
        <v>46206</v>
      </c>
      <c r="B2357" s="1" t="str">
        <f>IFERROR(__xludf.DUMMYFUNCTION("""COMPUTED_VALUE"""),"CASTILLEJOS, ARREL")</f>
        <v>CASTILLEJOS, ARREL</v>
      </c>
      <c r="C2357" s="1" t="str">
        <f>IFERROR(__xludf.DUMMYFUNCTION("""COMPUTED_VALUE"""),"ORGANIC")</f>
        <v>ORGANIC</v>
      </c>
      <c r="D2357" s="1" t="str">
        <f>IFERROR(__xludf.DUMMYFUNCTION("""COMPUTED_VALUE"""),"REMOLLO LEA")</f>
        <v>REMOLLO LEA</v>
      </c>
      <c r="E2357" s="1" t="str">
        <f>IFERROR(__xludf.DUMMYFUNCTION("""COMPUTED_VALUE"""),"PLDT / H2H")</f>
        <v>PLDT / H2H</v>
      </c>
      <c r="F2357" s="1">
        <f>IFERROR(__xludf.DUMMYFUNCTION("""COMPUTED_VALUE"""),2310687046)</f>
        <v>2310687046</v>
      </c>
      <c r="G2357" s="1">
        <f>IFERROR(__xludf.DUMMYFUNCTION("""COMPUTED_VALUE"""),461275155004)</f>
        <v>461275155004</v>
      </c>
      <c r="H2357" s="1" t="str">
        <f>IFERROR(__xludf.DUMMYFUNCTION("""COMPUTED_VALUE"""),"REYANN CUENCO DESTURA")</f>
        <v>REYANN CUENCO DESTURA</v>
      </c>
      <c r="I2357" s="1">
        <f>IFERROR(__xludf.DUMMYFUNCTION("""COMPUTED_VALUE"""),639516003108)</f>
        <v>639516003108</v>
      </c>
      <c r="J2357" s="1">
        <f>IFERROR(__xludf.DUMMYFUNCTION("""COMPUTED_VALUE"""),639615279138)</f>
        <v>639615279138</v>
      </c>
      <c r="K2357" s="1" t="str">
        <f>IFERROR(__xludf.DUMMYFUNCTION("""COMPUTED_VALUE"""),"reyanncuenco39@gmail.com")</f>
        <v>reyanncuenco39@gmail.com</v>
      </c>
      <c r="L2357" s="1" t="str">
        <f>IFERROR(__xludf.DUMMYFUNCTION("""COMPUTED_VALUE"""),"134")</f>
        <v>134</v>
      </c>
      <c r="M2357" s="1" t="str">
        <f>IFERROR(__xludf.DUMMYFUNCTION("""COMPUTED_VALUE"""),"ZAMORA")</f>
        <v>ZAMORA</v>
      </c>
      <c r="N2357" s="1"/>
      <c r="O2357" s="1" t="str">
        <f>IFERROR(__xludf.DUMMYFUNCTION("""COMPUTED_VALUE"""),"ASIS I")</f>
        <v>ASIS I</v>
      </c>
      <c r="P2357" s="1" t="str">
        <f>IFERROR(__xludf.DUMMYFUNCTION("""COMPUTED_VALUE"""),"MENDEZ")</f>
        <v>MENDEZ</v>
      </c>
      <c r="Q2357" s="1" t="str">
        <f>IFERROR(__xludf.DUMMYFUNCTION("""COMPUTED_VALUE"""),"CAVITE")</f>
        <v>CAVITE</v>
      </c>
      <c r="R2357" s="1" t="str">
        <f>IFERROR(__xludf.DUMMYFUNCTION("""COMPUTED_VALUE"""),"FIBR UNLI ALL PLAN 999")</f>
        <v>FIBR UNLI ALL PLAN 999</v>
      </c>
      <c r="S2357" s="1" t="str">
        <f>IFERROR(__xludf.DUMMYFUNCTION("""COMPUTED_VALUE"""),"APPROVED")</f>
        <v>APPROVED</v>
      </c>
      <c r="T2357" s="1" t="str">
        <f>IFERROR(__xludf.DUMMYFUNCTION("""COMPUTED_VALUE"""),"CLOSED")</f>
        <v>CLOSED</v>
      </c>
      <c r="U2357" s="1" t="str">
        <f>IFERROR(__xludf.DUMMYFUNCTION("""COMPUTED_VALUE"""),"POSTED")</f>
        <v>POSTED</v>
      </c>
      <c r="V2357" s="1"/>
      <c r="W2357" s="1"/>
    </row>
    <row r="2358" customHeight="1" spans="1:23">
      <c r="A2358" s="3">
        <f>IFERROR(__xludf.DUMMYFUNCTION("""COMPUTED_VALUE"""),46206)</f>
        <v>46206</v>
      </c>
      <c r="B2358" s="1" t="str">
        <f>IFERROR(__xludf.DUMMYFUNCTION("""COMPUTED_VALUE"""),"MALIWAT MARK ELVIN")</f>
        <v>MALIWAT MARK ELVIN</v>
      </c>
      <c r="C2358" s="1" t="str">
        <f>IFERROR(__xludf.DUMMYFUNCTION("""COMPUTED_VALUE"""),"FLA")</f>
        <v>FLA</v>
      </c>
      <c r="D2358" s="1" t="str">
        <f>IFERROR(__xludf.DUMMYFUNCTION("""COMPUTED_VALUE"""),"JERIC NAVARRO")</f>
        <v>JERIC NAVARRO</v>
      </c>
      <c r="E2358" s="1" t="str">
        <f>IFERROR(__xludf.DUMMYFUNCTION("""COMPUTED_VALUE"""),"PLDT / ONLINE")</f>
        <v>PLDT / ONLINE</v>
      </c>
      <c r="F2358" s="1">
        <f>IFERROR(__xludf.DUMMYFUNCTION("""COMPUTED_VALUE"""),2310687524)</f>
        <v>2310687524</v>
      </c>
      <c r="G2358" s="1">
        <f>IFERROR(__xludf.DUMMYFUNCTION("""COMPUTED_VALUE"""),461179145004)</f>
        <v>461179145004</v>
      </c>
      <c r="H2358" s="1" t="str">
        <f>IFERROR(__xludf.DUMMYFUNCTION("""COMPUTED_VALUE"""),"HILDA BEDUYA REJUSO")</f>
        <v>HILDA BEDUYA REJUSO</v>
      </c>
      <c r="I2358" s="1">
        <f>IFERROR(__xludf.DUMMYFUNCTION("""COMPUTED_VALUE"""),639125755348)</f>
        <v>639125755348</v>
      </c>
      <c r="J2358" s="1"/>
      <c r="K2358" s="1" t="str">
        <f>IFERROR(__xludf.DUMMYFUNCTION("""COMPUTED_VALUE"""),"hrbeduya18@gmail.com")</f>
        <v>hrbeduya18@gmail.com</v>
      </c>
      <c r="L2358" s="1" t="str">
        <f>IFERROR(__xludf.DUMMYFUNCTION("""COMPUTED_VALUE"""),"008-BL-030")</f>
        <v>008-BL-030</v>
      </c>
      <c r="M2358" s="1" t="str">
        <f>IFERROR(__xludf.DUMMYFUNCTION("""COMPUTED_VALUE"""),"PASONG CAMACHILE 1")</f>
        <v>PASONG CAMACHILE 1</v>
      </c>
      <c r="N2358" s="1"/>
      <c r="O2358" s="1" t="str">
        <f>IFERROR(__xludf.DUMMYFUNCTION("""COMPUTED_VALUE"""),"PASONG CAMACHILE I")</f>
        <v>PASONG CAMACHILE I</v>
      </c>
      <c r="P2358" s="1" t="str">
        <f>IFERROR(__xludf.DUMMYFUNCTION("""COMPUTED_VALUE"""),"GENERAL TRIAS")</f>
        <v>GENERAL TRIAS</v>
      </c>
      <c r="Q2358" s="1" t="str">
        <f>IFERROR(__xludf.DUMMYFUNCTION("""COMPUTED_VALUE"""),"CAVITE")</f>
        <v>CAVITE</v>
      </c>
      <c r="R2358" s="1" t="str">
        <f>IFERROR(__xludf.DUMMYFUNCTION("""COMPUTED_VALUE"""),"FIBR PLAN 2099")</f>
        <v>FIBR PLAN 2099</v>
      </c>
      <c r="S2358" s="1" t="str">
        <f>IFERROR(__xludf.DUMMYFUNCTION("""COMPUTED_VALUE"""),"APPROVED")</f>
        <v>APPROVED</v>
      </c>
      <c r="T2358" s="1" t="str">
        <f>IFERROR(__xludf.DUMMYFUNCTION("""COMPUTED_VALUE"""),"CANCELLED")</f>
        <v>CANCELLED</v>
      </c>
      <c r="U2358" s="1" t="str">
        <f>IFERROR(__xludf.DUMMYFUNCTION("""COMPUTED_VALUE"""),"PAID VIA CSP")</f>
        <v>PAID VIA CSP</v>
      </c>
      <c r="V2358" s="1"/>
      <c r="W2358" s="1"/>
    </row>
    <row r="2359" customHeight="1" spans="1:23">
      <c r="A2359" s="3">
        <f>IFERROR(__xludf.DUMMYFUNCTION("""COMPUTED_VALUE"""),46206)</f>
        <v>46206</v>
      </c>
      <c r="B2359" s="1" t="str">
        <f>IFERROR(__xludf.DUMMYFUNCTION("""COMPUTED_VALUE"""),"LEADSTORE - ILANO, LIANDRO TEJAS")</f>
        <v>LEADSTORE - ILANO, LIANDRO TEJAS</v>
      </c>
      <c r="C2359" s="1" t="str">
        <f>IFERROR(__xludf.DUMMYFUNCTION("""COMPUTED_VALUE"""),"LEADSTORE")</f>
        <v>LEADSTORE</v>
      </c>
      <c r="D2359" s="1" t="str">
        <f>IFERROR(__xludf.DUMMYFUNCTION("""COMPUTED_VALUE"""),"JERIC NAVARRO")</f>
        <v>JERIC NAVARRO</v>
      </c>
      <c r="E2359" s="1" t="str">
        <f>IFERROR(__xludf.DUMMYFUNCTION("""COMPUTED_VALUE"""),"PLDT / ONLINE")</f>
        <v>PLDT / ONLINE</v>
      </c>
      <c r="F2359" s="1">
        <f>IFERROR(__xludf.DUMMYFUNCTION("""COMPUTED_VALUE"""),2310690832)</f>
        <v>2310690832</v>
      </c>
      <c r="G2359" s="1">
        <f>IFERROR(__xludf.DUMMYFUNCTION("""COMPUTED_VALUE"""),461193512004)</f>
        <v>461193512004</v>
      </c>
      <c r="H2359" s="1" t="str">
        <f>IFERROR(__xludf.DUMMYFUNCTION("""COMPUTED_VALUE"""),"JAY MARK MAH NUGUID")</f>
        <v>JAY MARK MAH NUGUID</v>
      </c>
      <c r="I2359" s="1">
        <f>IFERROR(__xludf.DUMMYFUNCTION("""COMPUTED_VALUE"""),9682846367)</f>
        <v>9682846367</v>
      </c>
      <c r="J2359" s="1">
        <f>IFERROR(__xludf.DUMMYFUNCTION("""COMPUTED_VALUE"""),9452895673)</f>
        <v>9452895673</v>
      </c>
      <c r="K2359" s="1" t="str">
        <f>IFERROR(__xludf.DUMMYFUNCTION("""COMPUTED_VALUE""")," jaymarknuguid498@gmail.com")</f>
        <v> jaymarknuguid498@gmail.com</v>
      </c>
      <c r="L2359" s="1" t="str">
        <f>IFERROR(__xludf.DUMMYFUNCTION("""COMPUTED_VALUE"""),"BLK 15 LOT 37")</f>
        <v>BLK 15 LOT 37</v>
      </c>
      <c r="M2359" s="1" t="str">
        <f>IFERROR(__xludf.DUMMYFUNCTION("""COMPUTED_VALUE"""),"15TH ST")</f>
        <v>15TH ST</v>
      </c>
      <c r="N2359" s="1" t="str">
        <f>IFERROR(__xludf.DUMMYFUNCTION("""COMPUTED_VALUE"""),"PEARL RESIDENCES PHASE A")</f>
        <v>PEARL RESIDENCES PHASE A</v>
      </c>
      <c r="O2359" s="1" t="str">
        <f>IFERROR(__xludf.DUMMYFUNCTION("""COMPUTED_VALUE"""),"CAPIPISA")</f>
        <v>CAPIPISA</v>
      </c>
      <c r="P2359" s="1" t="str">
        <f>IFERROR(__xludf.DUMMYFUNCTION("""COMPUTED_VALUE"""),"TANZA")</f>
        <v>TANZA</v>
      </c>
      <c r="Q2359" s="1" t="str">
        <f>IFERROR(__xludf.DUMMYFUNCTION("""COMPUTED_VALUE"""),"CAVITE")</f>
        <v>CAVITE</v>
      </c>
      <c r="R2359" s="1" t="str">
        <f>IFERROR(__xludf.DUMMYFUNCTION("""COMPUTED_VALUE"""),"FIBR PLAN 1699")</f>
        <v>FIBR PLAN 1699</v>
      </c>
      <c r="S2359" s="1" t="str">
        <f>IFERROR(__xludf.DUMMYFUNCTION("""COMPUTED_VALUE"""),"APPROVED")</f>
        <v>APPROVED</v>
      </c>
      <c r="T2359" s="1" t="str">
        <f>IFERROR(__xludf.DUMMYFUNCTION("""COMPUTED_VALUE"""),"RPR")</f>
        <v>RPR</v>
      </c>
      <c r="U2359" s="1" t="str">
        <f>IFERROR(__xludf.DUMMYFUNCTION("""COMPUTED_VALUE"""),"PAID VIA GCASH JULY 4")</f>
        <v>PAID VIA GCASH JULY 4</v>
      </c>
      <c r="V2359" s="1"/>
      <c r="W2359" s="1"/>
    </row>
    <row r="2360" customHeight="1" spans="1:23">
      <c r="A2360" s="3">
        <f>IFERROR(__xludf.DUMMYFUNCTION("""COMPUTED_VALUE"""),46206)</f>
        <v>46206</v>
      </c>
      <c r="B2360" s="1" t="str">
        <f>IFERROR(__xludf.DUMMYFUNCTION("""COMPUTED_VALUE"""),"AYON MANUEL")</f>
        <v>AYON MANUEL</v>
      </c>
      <c r="C2360" s="1" t="str">
        <f>IFERROR(__xludf.DUMMYFUNCTION("""COMPUTED_VALUE"""),"FLA")</f>
        <v>FLA</v>
      </c>
      <c r="D2360" s="1" t="str">
        <f>IFERROR(__xludf.DUMMYFUNCTION("""COMPUTED_VALUE"""),"JERIC NAVARRO")</f>
        <v>JERIC NAVARRO</v>
      </c>
      <c r="E2360" s="1" t="str">
        <f>IFERROR(__xludf.DUMMYFUNCTION("""COMPUTED_VALUE"""),"PLDT / H2H")</f>
        <v>PLDT / H2H</v>
      </c>
      <c r="F2360" s="1">
        <f>IFERROR(__xludf.DUMMYFUNCTION("""COMPUTED_VALUE"""),2310687944)</f>
        <v>2310687944</v>
      </c>
      <c r="G2360" s="1"/>
      <c r="H2360" s="1" t="str">
        <f>IFERROR(__xludf.DUMMYFUNCTION("""COMPUTED_VALUE"""),"RAYMUND ORCALES ATON")</f>
        <v>RAYMUND ORCALES ATON</v>
      </c>
      <c r="I2360" s="1"/>
      <c r="J2360" s="1"/>
      <c r="K2360" s="1" t="str">
        <f>IFERROR(__xludf.DUMMYFUNCTION("""COMPUTED_VALUE"""),"aziarzaira@gmail.com")</f>
        <v>aziarzaira@gmail.com</v>
      </c>
      <c r="L2360" s="1" t="str">
        <f>IFERROR(__xludf.DUMMYFUNCTION("""COMPUTED_VALUE"""),"5932")</f>
        <v>5932</v>
      </c>
      <c r="M2360" s="1" t="str">
        <f>IFERROR(__xludf.DUMMYFUNCTION("""COMPUTED_VALUE"""),"PUROK 38")</f>
        <v>PUROK 38</v>
      </c>
      <c r="N2360" s="1" t="str">
        <f>IFERROR(__xludf.DUMMYFUNCTION("""COMPUTED_VALUE"""),"APARTMENT 1")</f>
        <v>APARTMENT 1</v>
      </c>
      <c r="O2360" s="1" t="str">
        <f>IFERROR(__xludf.DUMMYFUNCTION("""COMPUTED_VALUE"""),"BUCAL")</f>
        <v>BUCAL</v>
      </c>
      <c r="P2360" s="1" t="str">
        <f>IFERROR(__xludf.DUMMYFUNCTION("""COMPUTED_VALUE"""),"SILANG")</f>
        <v>SILANG</v>
      </c>
      <c r="Q2360" s="1" t="str">
        <f>IFERROR(__xludf.DUMMYFUNCTION("""COMPUTED_VALUE"""),"CAVITE")</f>
        <v>CAVITE</v>
      </c>
      <c r="R2360" s="1" t="str">
        <f>IFERROR(__xludf.DUMMYFUNCTION("""COMPUTED_VALUE"""),"FIBR UNLI ALL PLAN 999")</f>
        <v>FIBR UNLI ALL PLAN 999</v>
      </c>
      <c r="S2360" s="1" t="str">
        <f>IFERROR(__xludf.DUMMYFUNCTION("""COMPUTED_VALUE"""),"APPROVED")</f>
        <v>APPROVED</v>
      </c>
      <c r="T2360" s="1" t="str">
        <f>IFERROR(__xludf.DUMMYFUNCTION("""COMPUTED_VALUE"""),"CANCELLED")</f>
        <v>CANCELLED</v>
      </c>
      <c r="U2360" s="1"/>
      <c r="V2360" s="1"/>
      <c r="W2360" s="1"/>
    </row>
    <row r="2361" customHeight="1" spans="1:23">
      <c r="A2361" s="3">
        <f>IFERROR(__xludf.DUMMYFUNCTION("""COMPUTED_VALUE"""),46206)</f>
        <v>46206</v>
      </c>
      <c r="B2361" s="1" t="str">
        <f>IFERROR(__xludf.DUMMYFUNCTION("""COMPUTED_VALUE"""),"AYON MANUEL")</f>
        <v>AYON MANUEL</v>
      </c>
      <c r="C2361" s="1" t="str">
        <f>IFERROR(__xludf.DUMMYFUNCTION("""COMPUTED_VALUE"""),"FLA")</f>
        <v>FLA</v>
      </c>
      <c r="D2361" s="1" t="str">
        <f>IFERROR(__xludf.DUMMYFUNCTION("""COMPUTED_VALUE"""),"JERIC NAVARRO")</f>
        <v>JERIC NAVARRO</v>
      </c>
      <c r="E2361" s="1" t="str">
        <f>IFERROR(__xludf.DUMMYFUNCTION("""COMPUTED_VALUE"""),"RED FIBER")</f>
        <v>RED FIBER</v>
      </c>
      <c r="F2361" s="1"/>
      <c r="G2361" s="1"/>
      <c r="H2361" s="1" t="str">
        <f>IFERROR(__xludf.DUMMYFUNCTION("""COMPUTED_VALUE"""),"MA. CHONA MALASIBAS LAPINIG")</f>
        <v>MA. CHONA MALASIBAS LAPINIG</v>
      </c>
      <c r="I2361" s="1">
        <f>IFERROR(__xludf.DUMMYFUNCTION("""COMPUTED_VALUE"""),9614613326)</f>
        <v>9614613326</v>
      </c>
      <c r="J2361" s="1">
        <f>IFERROR(__xludf.DUMMYFUNCTION("""COMPUTED_VALUE"""),9369962966)</f>
        <v>9369962966</v>
      </c>
      <c r="K2361" s="1" t="str">
        <f>IFERROR(__xludf.DUMMYFUNCTION("""COMPUTED_VALUE"""),"cho580776@gmail.com")</f>
        <v>cho580776@gmail.com</v>
      </c>
      <c r="L2361" s="1" t="str">
        <f>IFERROR(__xludf.DUMMYFUNCTION("""COMPUTED_VALUE"""),"92")</f>
        <v>92</v>
      </c>
      <c r="M2361" s="1" t="str">
        <f>IFERROR(__xludf.DUMMYFUNCTION("""COMPUTED_VALUE"""),"PANSOL ST")</f>
        <v>PANSOL ST</v>
      </c>
      <c r="N2361" s="1"/>
      <c r="O2361" s="1" t="str">
        <f>IFERROR(__xludf.DUMMYFUNCTION("""COMPUTED_VALUE"""),"TOLEDO")</f>
        <v>TOLEDO</v>
      </c>
      <c r="P2361" s="1" t="str">
        <f>IFERROR(__xludf.DUMMYFUNCTION("""COMPUTED_VALUE"""),"SILANG")</f>
        <v>SILANG</v>
      </c>
      <c r="Q2361" s="1" t="str">
        <f>IFERROR(__xludf.DUMMYFUNCTION("""COMPUTED_VALUE"""),"CAVITE")</f>
        <v>CAVITE</v>
      </c>
      <c r="R2361" s="1" t="str">
        <f>IFERROR(__xludf.DUMMYFUNCTION("""COMPUTED_VALUE"""),"RED PLAN 1000")</f>
        <v>RED PLAN 1000</v>
      </c>
      <c r="S2361" s="1" t="str">
        <f>IFERROR(__xludf.DUMMYFUNCTION("""COMPUTED_VALUE"""),"APPROVED")</f>
        <v>APPROVED</v>
      </c>
      <c r="T2361" s="1" t="str">
        <f>IFERROR(__xludf.DUMMYFUNCTION("""COMPUTED_VALUE"""),"#N/A")</f>
        <v>#N/A</v>
      </c>
      <c r="U2361" s="1"/>
      <c r="V2361" s="1"/>
      <c r="W2361" s="1"/>
    </row>
    <row r="2362" customHeight="1" spans="1:23">
      <c r="A2362" s="3">
        <f>IFERROR(__xludf.DUMMYFUNCTION("""COMPUTED_VALUE"""),46206)</f>
        <v>46206</v>
      </c>
      <c r="B2362" s="1" t="str">
        <f>IFERROR(__xludf.DUMMYFUNCTION("""COMPUTED_VALUE"""),"RIVERA, AIRIZH JOY")</f>
        <v>RIVERA, AIRIZH JOY</v>
      </c>
      <c r="C2362" s="1" t="str">
        <f>IFERROR(__xludf.DUMMYFUNCTION("""COMPUTED_VALUE"""),"ORGANIC")</f>
        <v>ORGANIC</v>
      </c>
      <c r="D2362" s="1" t="str">
        <f>IFERROR(__xludf.DUMMYFUNCTION("""COMPUTED_VALUE"""),"REMOLLO LEA")</f>
        <v>REMOLLO LEA</v>
      </c>
      <c r="E2362" s="1" t="str">
        <f>IFERROR(__xludf.DUMMYFUNCTION("""COMPUTED_VALUE"""),"PLDT / H2H")</f>
        <v>PLDT / H2H</v>
      </c>
      <c r="F2362" s="1">
        <f>IFERROR(__xludf.DUMMYFUNCTION("""COMPUTED_VALUE"""),2310704112)</f>
        <v>2310704112</v>
      </c>
      <c r="G2362" s="1">
        <f>IFERROR(__xludf.DUMMYFUNCTION("""COMPUTED_VALUE"""),461272334004)</f>
        <v>461272334004</v>
      </c>
      <c r="H2362" s="1" t="str">
        <f>IFERROR(__xludf.DUMMYFUNCTION("""COMPUTED_VALUE"""),"MARICRIS PENALOZA COMODA")</f>
        <v>MARICRIS PENALOZA COMODA</v>
      </c>
      <c r="I2362" s="1">
        <f>IFERROR(__xludf.DUMMYFUNCTION("""COMPUTED_VALUE"""),9518544513)</f>
        <v>9518544513</v>
      </c>
      <c r="J2362" s="1"/>
      <c r="K2362" s="1" t="str">
        <f>IFERROR(__xludf.DUMMYFUNCTION("""COMPUTED_VALUE"""),"crisbeng30@gmail.com")</f>
        <v>crisbeng30@gmail.com</v>
      </c>
      <c r="L2362" s="1" t="str">
        <f>IFERROR(__xludf.DUMMYFUNCTION("""COMPUTED_VALUE"""),"BLK 29 LOT 19")</f>
        <v>BLK 29 LOT 19</v>
      </c>
      <c r="M2362" s="1" t="str">
        <f>IFERROR(__xludf.DUMMYFUNCTION("""COMPUTED_VALUE"""),"PLATINUM ST")</f>
        <v>PLATINUM ST</v>
      </c>
      <c r="N2362" s="1"/>
      <c r="O2362" s="1" t="str">
        <f>IFERROR(__xludf.DUMMYFUNCTION("""COMPUTED_VALUE"""),"EPIFANIO MALIA")</f>
        <v>EPIFANIO MALIA</v>
      </c>
      <c r="P2362" s="1" t="str">
        <f>IFERROR(__xludf.DUMMYFUNCTION("""COMPUTED_VALUE"""),"GEN MARIANO ALVAREZ")</f>
        <v>GEN MARIANO ALVAREZ</v>
      </c>
      <c r="Q2362" s="1" t="str">
        <f>IFERROR(__xludf.DUMMYFUNCTION("""COMPUTED_VALUE"""),"CAVITE")</f>
        <v>CAVITE</v>
      </c>
      <c r="R2362" s="1" t="str">
        <f>IFERROR(__xludf.DUMMYFUNCTION("""COMPUTED_VALUE"""),"FIBR PLAN 1299")</f>
        <v>FIBR PLAN 1299</v>
      </c>
      <c r="S2362" s="1" t="str">
        <f>IFERROR(__xludf.DUMMYFUNCTION("""COMPUTED_VALUE"""),"APPROVED")</f>
        <v>APPROVED</v>
      </c>
      <c r="T2362" s="1" t="str">
        <f>IFERROR(__xludf.DUMMYFUNCTION("""COMPUTED_VALUE"""),"CLOSED")</f>
        <v>CLOSED</v>
      </c>
      <c r="U2362" s="1" t="str">
        <f>IFERROR(__xludf.DUMMYFUNCTION("""COMPUTED_VALUE"""),"POSTED")</f>
        <v>POSTED</v>
      </c>
      <c r="V2362" s="1"/>
      <c r="W2362" s="1"/>
    </row>
    <row r="2363" customHeight="1" spans="1:23">
      <c r="A2363" s="3">
        <f>IFERROR(__xludf.DUMMYFUNCTION("""COMPUTED_VALUE"""),46207)</f>
        <v>46207</v>
      </c>
      <c r="B2363" s="1" t="str">
        <f>IFERROR(__xludf.DUMMYFUNCTION("""COMPUTED_VALUE"""),"OPS IAN SUMILANG")</f>
        <v>OPS IAN SUMILANG</v>
      </c>
      <c r="C2363" s="1" t="str">
        <f>IFERROR(__xludf.DUMMYFUNCTION("""COMPUTED_VALUE"""),"LEADSTORE")</f>
        <v>LEADSTORE</v>
      </c>
      <c r="D2363" s="1" t="str">
        <f>IFERROR(__xludf.DUMMYFUNCTION("""COMPUTED_VALUE"""),"JERIC NAVARRO")</f>
        <v>JERIC NAVARRO</v>
      </c>
      <c r="E2363" s="1" t="str">
        <f>IFERROR(__xludf.DUMMYFUNCTION("""COMPUTED_VALUE"""),"HOME BIZZ")</f>
        <v>HOME BIZZ</v>
      </c>
      <c r="F2363" s="1">
        <f>IFERROR(__xludf.DUMMYFUNCTION("""COMPUTED_VALUE"""),2310704173)</f>
        <v>2310704173</v>
      </c>
      <c r="G2363" s="1">
        <f>IFERROR(__xludf.DUMMYFUNCTION("""COMPUTED_VALUE"""),461271663004)</f>
        <v>461271663004</v>
      </c>
      <c r="H2363" s="1" t="str">
        <f>IFERROR(__xludf.DUMMYFUNCTION("""COMPUTED_VALUE"""),"NOVEL COMPETENCIES INSTITUTE INC")</f>
        <v>NOVEL COMPETENCIES INSTITUTE INC</v>
      </c>
      <c r="I2363" s="1">
        <f>IFERROR(__xludf.DUMMYFUNCTION("""COMPUTED_VALUE"""),9173081424)</f>
        <v>9173081424</v>
      </c>
      <c r="J2363" s="1">
        <f>IFERROR(__xludf.DUMMYFUNCTION("""COMPUTED_VALUE"""),9278201068)</f>
        <v>9278201068</v>
      </c>
      <c r="K2363" s="1" t="str">
        <f>IFERROR(__xludf.DUMMYFUNCTION("""COMPUTED_VALUE"""),"irmaventolina@gmail.com")</f>
        <v>irmaventolina@gmail.com</v>
      </c>
      <c r="L2363" s="1" t="str">
        <f>IFERROR(__xludf.DUMMYFUNCTION("""COMPUTED_VALUE"""),"216")</f>
        <v>216</v>
      </c>
      <c r="M2363" s="1" t="str">
        <f>IFERROR(__xludf.DUMMYFUNCTION("""COMPUTED_VALUE"""),"AGUINALDO HIGHWAY")</f>
        <v>AGUINALDO HIGHWAY</v>
      </c>
      <c r="N2363" s="1"/>
      <c r="O2363" s="1" t="str">
        <f>IFERROR(__xludf.DUMMYFUNCTION("""COMPUTED_VALUE"""),"BIGA II")</f>
        <v>BIGA II</v>
      </c>
      <c r="P2363" s="1" t="str">
        <f>IFERROR(__xludf.DUMMYFUNCTION("""COMPUTED_VALUE"""),"SILANG")</f>
        <v>SILANG</v>
      </c>
      <c r="Q2363" s="1" t="str">
        <f>IFERROR(__xludf.DUMMYFUNCTION("""COMPUTED_VALUE"""),"CAVITE")</f>
        <v>CAVITE</v>
      </c>
      <c r="R2363" s="1" t="str">
        <f>IFERROR(__xludf.DUMMYFUNCTION("""COMPUTED_VALUE"""),"FIBR UNLI ALL PLAN 1399")</f>
        <v>FIBR UNLI ALL PLAN 1399</v>
      </c>
      <c r="S2363" s="1" t="str">
        <f>IFERROR(__xludf.DUMMYFUNCTION("""COMPUTED_VALUE"""),"APPROVED")</f>
        <v>APPROVED</v>
      </c>
      <c r="T2363" s="1" t="str">
        <f>IFERROR(__xludf.DUMMYFUNCTION("""COMPUTED_VALUE"""),"CANCELLED")</f>
        <v>CANCELLED</v>
      </c>
      <c r="U2363" s="1"/>
      <c r="V2363" s="1"/>
      <c r="W2363" s="1"/>
    </row>
    <row r="2364" customHeight="1" spans="1:23">
      <c r="A2364" s="3">
        <f>IFERROR(__xludf.DUMMYFUNCTION("""COMPUTED_VALUE"""),46207)</f>
        <v>46207</v>
      </c>
      <c r="B2364" s="1" t="str">
        <f>IFERROR(__xludf.DUMMYFUNCTION("""COMPUTED_VALUE"""),"MALIWAT MARK ELVIN")</f>
        <v>MALIWAT MARK ELVIN</v>
      </c>
      <c r="C2364" s="1" t="str">
        <f>IFERROR(__xludf.DUMMYFUNCTION("""COMPUTED_VALUE"""),"FLA")</f>
        <v>FLA</v>
      </c>
      <c r="D2364" s="1" t="str">
        <f>IFERROR(__xludf.DUMMYFUNCTION("""COMPUTED_VALUE"""),"JERIC NAVARRO")</f>
        <v>JERIC NAVARRO</v>
      </c>
      <c r="E2364" s="1" t="str">
        <f>IFERROR(__xludf.DUMMYFUNCTION("""COMPUTED_VALUE"""),"PLDT / ONLINE")</f>
        <v>PLDT / ONLINE</v>
      </c>
      <c r="F2364" s="1">
        <f>IFERROR(__xludf.DUMMYFUNCTION("""COMPUTED_VALUE"""),2310703244)</f>
        <v>2310703244</v>
      </c>
      <c r="G2364" s="1">
        <f>IFERROR(__xludf.DUMMYFUNCTION("""COMPUTED_VALUE"""),461269370004)</f>
        <v>461269370004</v>
      </c>
      <c r="H2364" s="1" t="str">
        <f>IFERROR(__xludf.DUMMYFUNCTION("""COMPUTED_VALUE"""),"GLENDA MAE DUENO BALDOMERO")</f>
        <v>GLENDA MAE DUENO BALDOMERO</v>
      </c>
      <c r="I2364" s="1">
        <f>IFERROR(__xludf.DUMMYFUNCTION("""COMPUTED_VALUE"""),9260188790)</f>
        <v>9260188790</v>
      </c>
      <c r="J2364" s="1">
        <f>IFERROR(__xludf.DUMMYFUNCTION("""COMPUTED_VALUE"""),9398146118)</f>
        <v>9398146118</v>
      </c>
      <c r="K2364" s="1" t="str">
        <f>IFERROR(__xludf.DUMMYFUNCTION("""COMPUTED_VALUE"""),"glendamaebaldomero@gmail.com")</f>
        <v>glendamaebaldomero@gmail.com</v>
      </c>
      <c r="L2364" s="1" t="str">
        <f>IFERROR(__xludf.DUMMYFUNCTION("""COMPUTED_VALUE"""),"BLK 46 LOT 13")</f>
        <v>BLK 46 LOT 13</v>
      </c>
      <c r="M2364" s="1" t="str">
        <f>IFERROR(__xludf.DUMMYFUNCTION("""COMPUTED_VALUE"""),"AMARYLIES")</f>
        <v>AMARYLIES</v>
      </c>
      <c r="N2364" s="1" t="str">
        <f>IFERROR(__xludf.DUMMYFUNCTION("""COMPUTED_VALUE"""),"CAPITOL HILLS")</f>
        <v>CAPITOL HILLS</v>
      </c>
      <c r="O2364" s="1" t="str">
        <f>IFERROR(__xludf.DUMMYFUNCTION("""COMPUTED_VALUE"""),"LAPIDARIO (BAYOG)")</f>
        <v>LAPIDARIO (BAYOG)</v>
      </c>
      <c r="P2364" s="1" t="str">
        <f>IFERROR(__xludf.DUMMYFUNCTION("""COMPUTED_VALUE"""),"TRECE MARTIRES")</f>
        <v>TRECE MARTIRES</v>
      </c>
      <c r="Q2364" s="1" t="str">
        <f>IFERROR(__xludf.DUMMYFUNCTION("""COMPUTED_VALUE"""),"CAVITE")</f>
        <v>CAVITE</v>
      </c>
      <c r="R2364" s="1" t="str">
        <f>IFERROR(__xludf.DUMMYFUNCTION("""COMPUTED_VALUE"""),"SWITCH FIBER NETFLIX PLAN 1599")</f>
        <v>SWITCH FIBER NETFLIX PLAN 1599</v>
      </c>
      <c r="S2364" s="1" t="str">
        <f>IFERROR(__xludf.DUMMYFUNCTION("""COMPUTED_VALUE"""),"APPROVED")</f>
        <v>APPROVED</v>
      </c>
      <c r="T2364" s="1" t="str">
        <f>IFERROR(__xludf.DUMMYFUNCTION("""COMPUTED_VALUE"""),"CLOSED")</f>
        <v>CLOSED</v>
      </c>
      <c r="U2364" s="1" t="str">
        <f>IFERROR(__xludf.DUMMYFUNCTION("""COMPUTED_VALUE"""),"POSTED")</f>
        <v>POSTED</v>
      </c>
      <c r="V2364" s="1"/>
      <c r="W2364" s="1"/>
    </row>
    <row r="2365" customHeight="1" spans="1:23">
      <c r="A2365" s="3">
        <f>IFERROR(__xludf.DUMMYFUNCTION("""COMPUTED_VALUE"""),46207)</f>
        <v>46207</v>
      </c>
      <c r="B2365" s="1" t="str">
        <f>IFERROR(__xludf.DUMMYFUNCTION("""COMPUTED_VALUE"""),"CASTILLEJOS, ARREL")</f>
        <v>CASTILLEJOS, ARREL</v>
      </c>
      <c r="C2365" s="1" t="str">
        <f>IFERROR(__xludf.DUMMYFUNCTION("""COMPUTED_VALUE"""),"ORGANIC")</f>
        <v>ORGANIC</v>
      </c>
      <c r="D2365" s="1" t="str">
        <f>IFERROR(__xludf.DUMMYFUNCTION("""COMPUTED_VALUE"""),"REMOLLO LEA")</f>
        <v>REMOLLO LEA</v>
      </c>
      <c r="E2365" s="1" t="str">
        <f>IFERROR(__xludf.DUMMYFUNCTION("""COMPUTED_VALUE"""),"PLDT / H2H")</f>
        <v>PLDT / H2H</v>
      </c>
      <c r="F2365" s="1">
        <f>IFERROR(__xludf.DUMMYFUNCTION("""COMPUTED_VALUE"""),2310706023)</f>
        <v>2310706023</v>
      </c>
      <c r="G2365" s="1">
        <f>IFERROR(__xludf.DUMMYFUNCTION("""COMPUTED_VALUE"""),461272958004)</f>
        <v>461272958004</v>
      </c>
      <c r="H2365" s="1" t="str">
        <f>IFERROR(__xludf.DUMMYFUNCTION("""COMPUTED_VALUE"""),"CRISANTO DAYMIEL GIO")</f>
        <v>CRISANTO DAYMIEL GIO</v>
      </c>
      <c r="I2365" s="1">
        <f>IFERROR(__xludf.DUMMYFUNCTION("""COMPUTED_VALUE"""),9300030802)</f>
        <v>9300030802</v>
      </c>
      <c r="J2365" s="1">
        <f>IFERROR(__xludf.DUMMYFUNCTION("""COMPUTED_VALUE"""),9123771722)</f>
        <v>9123771722</v>
      </c>
      <c r="K2365" s="1" t="str">
        <f>IFERROR(__xludf.DUMMYFUNCTION("""COMPUTED_VALUE"""),"maricelgio630@gmail.com")</f>
        <v>maricelgio630@gmail.com</v>
      </c>
      <c r="L2365" s="1" t="str">
        <f>IFERROR(__xludf.DUMMYFUNCTION("""COMPUTED_VALUE"""),"BLK 11 LOT 11")</f>
        <v>BLK 11 LOT 11</v>
      </c>
      <c r="M2365" s="1" t="str">
        <f>IFERROR(__xludf.DUMMYFUNCTION("""COMPUTED_VALUE"""),"PABAHAY")</f>
        <v>PABAHAY</v>
      </c>
      <c r="N2365" s="1"/>
      <c r="O2365" s="1" t="str">
        <f>IFERROR(__xludf.DUMMYFUNCTION("""COMPUTED_VALUE"""),"ZAMBAL")</f>
        <v>ZAMBAL</v>
      </c>
      <c r="P2365" s="1" t="str">
        <f>IFERROR(__xludf.DUMMYFUNCTION("""COMPUTED_VALUE"""),"TAGAYTAY")</f>
        <v>TAGAYTAY</v>
      </c>
      <c r="Q2365" s="1" t="str">
        <f>IFERROR(__xludf.DUMMYFUNCTION("""COMPUTED_VALUE"""),"CAVITE")</f>
        <v>CAVITE</v>
      </c>
      <c r="R2365" s="1" t="str">
        <f>IFERROR(__xludf.DUMMYFUNCTION("""COMPUTED_VALUE"""),"FIBR UNLI ALL PLAN 999")</f>
        <v>FIBR UNLI ALL PLAN 999</v>
      </c>
      <c r="S2365" s="1" t="str">
        <f>IFERROR(__xludf.DUMMYFUNCTION("""COMPUTED_VALUE"""),"APPROVED")</f>
        <v>APPROVED</v>
      </c>
      <c r="T2365" s="1" t="str">
        <f>IFERROR(__xludf.DUMMYFUNCTION("""COMPUTED_VALUE"""),"CLOSED")</f>
        <v>CLOSED</v>
      </c>
      <c r="U2365" s="1" t="str">
        <f>IFERROR(__xludf.DUMMYFUNCTION("""COMPUTED_VALUE"""),"POSTED")</f>
        <v>POSTED</v>
      </c>
      <c r="V2365" s="1"/>
      <c r="W2365" s="1"/>
    </row>
    <row r="2366" customHeight="1" spans="1:23">
      <c r="A2366" s="3">
        <f>IFERROR(__xludf.DUMMYFUNCTION("""COMPUTED_VALUE"""),46207)</f>
        <v>46207</v>
      </c>
      <c r="B2366" s="1" t="str">
        <f>IFERROR(__xludf.DUMMYFUNCTION("""COMPUTED_VALUE"""),"MAGDARAOG, KENNETH")</f>
        <v>MAGDARAOG, KENNETH</v>
      </c>
      <c r="C2366" s="1" t="str">
        <f>IFERROR(__xludf.DUMMYFUNCTION("""COMPUTED_VALUE"""),"ORGANIC")</f>
        <v>ORGANIC</v>
      </c>
      <c r="D2366" s="1" t="str">
        <f>IFERROR(__xludf.DUMMYFUNCTION("""COMPUTED_VALUE"""),"REMOLLO LEA")</f>
        <v>REMOLLO LEA</v>
      </c>
      <c r="E2366" s="1" t="str">
        <f>IFERROR(__xludf.DUMMYFUNCTION("""COMPUTED_VALUE"""),"RED FIBER")</f>
        <v>RED FIBER</v>
      </c>
      <c r="F2366" s="1"/>
      <c r="G2366" s="1"/>
      <c r="H2366" s="1" t="str">
        <f>IFERROR(__xludf.DUMMYFUNCTION("""COMPUTED_VALUE"""),"LUCIA BELEGANIO BILLONES")</f>
        <v>LUCIA BELEGANIO BILLONES</v>
      </c>
      <c r="I2366" s="1">
        <f>IFERROR(__xludf.DUMMYFUNCTION("""COMPUTED_VALUE"""),9679315828)</f>
        <v>9679315828</v>
      </c>
      <c r="J2366" s="1">
        <f>IFERROR(__xludf.DUMMYFUNCTION("""COMPUTED_VALUE"""),9758450174)</f>
        <v>9758450174</v>
      </c>
      <c r="K2366" s="1" t="str">
        <f>IFERROR(__xludf.DUMMYFUNCTION("""COMPUTED_VALUE"""),"billonesglaydelle6@gmail.com")</f>
        <v>billonesglaydelle6@gmail.com</v>
      </c>
      <c r="L2366" s="1" t="str">
        <f>IFERROR(__xludf.DUMMYFUNCTION("""COMPUTED_VALUE"""),"51")</f>
        <v>51</v>
      </c>
      <c r="M2366" s="1" t="str">
        <f>IFERROR(__xludf.DUMMYFUNCTION("""COMPUTED_VALUE"""),"USTING")</f>
        <v>USTING</v>
      </c>
      <c r="N2366" s="1"/>
      <c r="O2366" s="1" t="str">
        <f>IFERROR(__xludf.DUMMYFUNCTION("""COMPUTED_VALUE"""),"LUKSUHIN")</f>
        <v>LUKSUHIN</v>
      </c>
      <c r="P2366" s="1" t="str">
        <f>IFERROR(__xludf.DUMMYFUNCTION("""COMPUTED_VALUE"""),"ALFONSO")</f>
        <v>ALFONSO</v>
      </c>
      <c r="Q2366" s="1" t="str">
        <f>IFERROR(__xludf.DUMMYFUNCTION("""COMPUTED_VALUE"""),"CAVITE")</f>
        <v>CAVITE</v>
      </c>
      <c r="R2366" s="1" t="str">
        <f>IFERROR(__xludf.DUMMYFUNCTION("""COMPUTED_VALUE"""),"RED PLAN 1000")</f>
        <v>RED PLAN 1000</v>
      </c>
      <c r="S2366" s="1" t="str">
        <f>IFERROR(__xludf.DUMMYFUNCTION("""COMPUTED_VALUE"""),"APPROVED")</f>
        <v>APPROVED</v>
      </c>
      <c r="T2366" s="1" t="str">
        <f>IFERROR(__xludf.DUMMYFUNCTION("""COMPUTED_VALUE"""),"#N/A")</f>
        <v>#N/A</v>
      </c>
      <c r="U2366" s="1"/>
      <c r="V2366" s="1"/>
      <c r="W2366" s="1"/>
    </row>
    <row r="2367" customHeight="1" spans="1:23">
      <c r="A2367" s="3">
        <f>IFERROR(__xludf.DUMMYFUNCTION("""COMPUTED_VALUE"""),46207)</f>
        <v>46207</v>
      </c>
      <c r="B2367" s="1" t="str">
        <f>IFERROR(__xludf.DUMMYFUNCTION("""COMPUTED_VALUE"""),"RIVERA, AIRIZH JOY")</f>
        <v>RIVERA, AIRIZH JOY</v>
      </c>
      <c r="C2367" s="1" t="str">
        <f>IFERROR(__xludf.DUMMYFUNCTION("""COMPUTED_VALUE"""),"ORGANIC")</f>
        <v>ORGANIC</v>
      </c>
      <c r="D2367" s="1" t="str">
        <f>IFERROR(__xludf.DUMMYFUNCTION("""COMPUTED_VALUE"""),"REMOLLO LEA")</f>
        <v>REMOLLO LEA</v>
      </c>
      <c r="E2367" s="1" t="str">
        <f>IFERROR(__xludf.DUMMYFUNCTION("""COMPUTED_VALUE"""),"PLDT / H2H")</f>
        <v>PLDT / H2H</v>
      </c>
      <c r="F2367" s="1">
        <f>IFERROR(__xludf.DUMMYFUNCTION("""COMPUTED_VALUE"""),2310708546)</f>
        <v>2310708546</v>
      </c>
      <c r="G2367" s="1">
        <f>IFERROR(__xludf.DUMMYFUNCTION("""COMPUTED_VALUE"""),461275190004)</f>
        <v>461275190004</v>
      </c>
      <c r="H2367" s="1" t="str">
        <f>IFERROR(__xludf.DUMMYFUNCTION("""COMPUTED_VALUE"""),"LESLIE MAE ALOBIN GIO")</f>
        <v>LESLIE MAE ALOBIN GIO</v>
      </c>
      <c r="I2367" s="1">
        <f>IFERROR(__xludf.DUMMYFUNCTION("""COMPUTED_VALUE"""),9070727265)</f>
        <v>9070727265</v>
      </c>
      <c r="J2367" s="1"/>
      <c r="K2367" s="1" t="str">
        <f>IFERROR(__xludf.DUMMYFUNCTION("""COMPUTED_VALUE"""),"lesliemaegio@gmail.com")</f>
        <v>lesliemaegio@gmail.com</v>
      </c>
      <c r="L2367" s="1" t="str">
        <f>IFERROR(__xludf.DUMMYFUNCTION("""COMPUTED_VALUE"""),"BLK 10 LOT 3")</f>
        <v>BLK 10 LOT 3</v>
      </c>
      <c r="M2367" s="1" t="str">
        <f>IFERROR(__xludf.DUMMYFUNCTION("""COMPUTED_VALUE"""),"PABAHAY")</f>
        <v>PABAHAY</v>
      </c>
      <c r="N2367" s="1"/>
      <c r="O2367" s="1" t="str">
        <f>IFERROR(__xludf.DUMMYFUNCTION("""COMPUTED_VALUE"""),"ZAMBAL")</f>
        <v>ZAMBAL</v>
      </c>
      <c r="P2367" s="1" t="str">
        <f>IFERROR(__xludf.DUMMYFUNCTION("""COMPUTED_VALUE"""),"TAGAYTAY")</f>
        <v>TAGAYTAY</v>
      </c>
      <c r="Q2367" s="1" t="str">
        <f>IFERROR(__xludf.DUMMYFUNCTION("""COMPUTED_VALUE"""),"CAVITE")</f>
        <v>CAVITE</v>
      </c>
      <c r="R2367" s="1" t="str">
        <f>IFERROR(__xludf.DUMMYFUNCTION("""COMPUTED_VALUE"""),"FIBR UNLI ALL PLAN 999")</f>
        <v>FIBR UNLI ALL PLAN 999</v>
      </c>
      <c r="S2367" s="1" t="str">
        <f>IFERROR(__xludf.DUMMYFUNCTION("""COMPUTED_VALUE"""),"APPROVED")</f>
        <v>APPROVED</v>
      </c>
      <c r="T2367" s="1" t="str">
        <f>IFERROR(__xludf.DUMMYFUNCTION("""COMPUTED_VALUE"""),"CLOSED")</f>
        <v>CLOSED</v>
      </c>
      <c r="U2367" s="1" t="str">
        <f>IFERROR(__xludf.DUMMYFUNCTION("""COMPUTED_VALUE"""),"POSTED")</f>
        <v>POSTED</v>
      </c>
      <c r="V2367" s="1"/>
      <c r="W2367" s="1"/>
    </row>
    <row r="2368" customHeight="1" spans="1:23">
      <c r="A2368" s="3">
        <f>IFERROR(__xludf.DUMMYFUNCTION("""COMPUTED_VALUE"""),46207)</f>
        <v>46207</v>
      </c>
      <c r="B2368" s="1" t="str">
        <f>IFERROR(__xludf.DUMMYFUNCTION("""COMPUTED_VALUE"""),"DELA ROSA, JENNELYN")</f>
        <v>DELA ROSA, JENNELYN</v>
      </c>
      <c r="C2368" s="1" t="str">
        <f>IFERROR(__xludf.DUMMYFUNCTION("""COMPUTED_VALUE"""),"ORGANIC")</f>
        <v>ORGANIC</v>
      </c>
      <c r="D2368" s="1" t="str">
        <f>IFERROR(__xludf.DUMMYFUNCTION("""COMPUTED_VALUE"""),"REMOLLO LEA")</f>
        <v>REMOLLO LEA</v>
      </c>
      <c r="E2368" s="1" t="str">
        <f>IFERROR(__xludf.DUMMYFUNCTION("""COMPUTED_VALUE"""),"PLDT / ONLINE")</f>
        <v>PLDT / ONLINE</v>
      </c>
      <c r="F2368" s="1"/>
      <c r="G2368" s="1"/>
      <c r="H2368" s="1" t="str">
        <f>IFERROR(__xludf.DUMMYFUNCTION("""COMPUTED_VALUE"""),"ENGGELBERT RIVERA DELA PENA")</f>
        <v>ENGGELBERT RIVERA DELA PENA</v>
      </c>
      <c r="I2368" s="1">
        <f>IFERROR(__xludf.DUMMYFUNCTION("""COMPUTED_VALUE"""),9976503454)</f>
        <v>9976503454</v>
      </c>
      <c r="J2368" s="1">
        <f>IFERROR(__xludf.DUMMYFUNCTION("""COMPUTED_VALUE"""),9517826869)</f>
        <v>9517826869</v>
      </c>
      <c r="K2368" s="1" t="str">
        <f>IFERROR(__xludf.DUMMYFUNCTION("""COMPUTED_VALUE"""),"kozuek77@gmail.com")</f>
        <v>kozuek77@gmail.com</v>
      </c>
      <c r="L2368" s="1" t="str">
        <f>IFERROR(__xludf.DUMMYFUNCTION("""COMPUTED_VALUE"""),"BLK 27 LOT 10")</f>
        <v>BLK 27 LOT 10</v>
      </c>
      <c r="M2368" s="1" t="str">
        <f>IFERROR(__xludf.DUMMYFUNCTION("""COMPUTED_VALUE"""),"PHASE 2")</f>
        <v>PHASE 2</v>
      </c>
      <c r="N2368" s="1" t="str">
        <f>IFERROR(__xludf.DUMMYFUNCTION("""COMPUTED_VALUE"""),"MABUHAY HOMES")</f>
        <v>MABUHAY HOMES</v>
      </c>
      <c r="O2368" s="1" t="str">
        <f>IFERROR(__xludf.DUMMYFUNCTION("""COMPUTED_VALUE"""),"PALIPARAN III")</f>
        <v>PALIPARAN III</v>
      </c>
      <c r="P2368" s="1" t="str">
        <f>IFERROR(__xludf.DUMMYFUNCTION("""COMPUTED_VALUE"""),"DASMARINAS")</f>
        <v>DASMARINAS</v>
      </c>
      <c r="Q2368" s="1" t="str">
        <f>IFERROR(__xludf.DUMMYFUNCTION("""COMPUTED_VALUE"""),"CAVITE")</f>
        <v>CAVITE</v>
      </c>
      <c r="R2368" s="1" t="str">
        <f>IFERROR(__xludf.DUMMYFUNCTION("""COMPUTED_VALUE"""),"FIBR UNLI ALL PLAN 1399")</f>
        <v>FIBR UNLI ALL PLAN 1399</v>
      </c>
      <c r="S2368" s="1" t="str">
        <f>IFERROR(__xludf.DUMMYFUNCTION("""COMPUTED_VALUE"""),"CANCELLED ")</f>
        <v>CANCELLED </v>
      </c>
      <c r="T2368" s="1" t="str">
        <f>IFERROR(__xludf.DUMMYFUNCTION("""COMPUTED_VALUE"""),"#N/A")</f>
        <v>#N/A</v>
      </c>
      <c r="U2368" s="1" t="str">
        <f>IFERROR(__xludf.DUMMYFUNCTION("""COMPUTED_VALUE"""),"AS PER SUBS CANCELLED NA DAW ITO SABE DAW KASI NI AGENT NO CASH OUT")</f>
        <v>AS PER SUBS CANCELLED NA DAW ITO SABE DAW KASI NI AGENT NO CASH OUT</v>
      </c>
      <c r="V2368" s="1"/>
      <c r="W2368" s="1"/>
    </row>
    <row r="2369" customHeight="1" spans="1:23">
      <c r="A2369" s="3">
        <f>IFERROR(__xludf.DUMMYFUNCTION("""COMPUTED_VALUE"""),46207)</f>
        <v>46207</v>
      </c>
      <c r="B2369" s="1" t="str">
        <f>IFERROR(__xludf.DUMMYFUNCTION("""COMPUTED_VALUE"""),"ESCARCHA, MA ALMA  ESCOTO")</f>
        <v>ESCARCHA, MA ALMA  ESCOTO</v>
      </c>
      <c r="C2369" s="1" t="str">
        <f>IFERROR(__xludf.DUMMYFUNCTION("""COMPUTED_VALUE"""),"ORGANIC")</f>
        <v>ORGANIC</v>
      </c>
      <c r="D2369" s="1" t="str">
        <f>IFERROR(__xludf.DUMMYFUNCTION("""COMPUTED_VALUE"""),"REMOLLO LEA")</f>
        <v>REMOLLO LEA</v>
      </c>
      <c r="E2369" s="1" t="str">
        <f>IFERROR(__xludf.DUMMYFUNCTION("""COMPUTED_VALUE"""),"PLDT / H2H")</f>
        <v>PLDT / H2H</v>
      </c>
      <c r="F2369" s="1">
        <f>IFERROR(__xludf.DUMMYFUNCTION("""COMPUTED_VALUE"""),2310708497)</f>
        <v>2310708497</v>
      </c>
      <c r="G2369" s="1">
        <f>IFERROR(__xludf.DUMMYFUNCTION("""COMPUTED_VALUE"""),461275227004)</f>
        <v>461275227004</v>
      </c>
      <c r="H2369" s="1" t="str">
        <f>IFERROR(__xludf.DUMMYFUNCTION("""COMPUTED_VALUE"""),"MA.IRA JOYLYN DESTURA SARDINOLA")</f>
        <v>MA.IRA JOYLYN DESTURA SARDINOLA</v>
      </c>
      <c r="I2369" s="1">
        <f>IFERROR(__xludf.DUMMYFUNCTION("""COMPUTED_VALUE"""),9666773509)</f>
        <v>9666773509</v>
      </c>
      <c r="J2369" s="1">
        <f>IFERROR(__xludf.DUMMYFUNCTION("""COMPUTED_VALUE"""),9483678646)</f>
        <v>9483678646</v>
      </c>
      <c r="K2369" s="1" t="str">
        <f>IFERROR(__xludf.DUMMYFUNCTION("""COMPUTED_VALUE"""),"mairajoylyn@gmail.com")</f>
        <v>mairajoylyn@gmail.com</v>
      </c>
      <c r="L2369" s="1" t="str">
        <f>IFERROR(__xludf.DUMMYFUNCTION("""COMPUTED_VALUE"""),"BLK 7 LOT 25")</f>
        <v>BLK 7 LOT 25</v>
      </c>
      <c r="M2369" s="1" t="str">
        <f>IFERROR(__xludf.DUMMYFUNCTION("""COMPUTED_VALUE"""),"LAS BRSAS")</f>
        <v>LAS BRSAS</v>
      </c>
      <c r="N2369" s="1"/>
      <c r="O2369" s="1" t="str">
        <f>IFERROR(__xludf.DUMMYFUNCTION("""COMPUTED_VALUE"""),"MENDEZ CROSSING WEST")</f>
        <v>MENDEZ CROSSING WEST</v>
      </c>
      <c r="P2369" s="1" t="str">
        <f>IFERROR(__xludf.DUMMYFUNCTION("""COMPUTED_VALUE"""),"TAGAYTAY")</f>
        <v>TAGAYTAY</v>
      </c>
      <c r="Q2369" s="1" t="str">
        <f>IFERROR(__xludf.DUMMYFUNCTION("""COMPUTED_VALUE"""),"CAVITE")</f>
        <v>CAVITE</v>
      </c>
      <c r="R2369" s="1" t="str">
        <f>IFERROR(__xludf.DUMMYFUNCTION("""COMPUTED_VALUE"""),"FIBR PLAN 1299")</f>
        <v>FIBR PLAN 1299</v>
      </c>
      <c r="S2369" s="1" t="str">
        <f>IFERROR(__xludf.DUMMYFUNCTION("""COMPUTED_VALUE"""),"APPROVED")</f>
        <v>APPROVED</v>
      </c>
      <c r="T2369" s="1" t="str">
        <f>IFERROR(__xludf.DUMMYFUNCTION("""COMPUTED_VALUE"""),"AFD")</f>
        <v>AFD</v>
      </c>
      <c r="U2369" s="1" t="str">
        <f>IFERROR(__xludf.DUMMYFUNCTION("""COMPUTED_VALUE"""),"PAID VIA CSP")</f>
        <v>PAID VIA CSP</v>
      </c>
      <c r="V2369" s="1"/>
      <c r="W2369" s="1"/>
    </row>
    <row r="2370" customHeight="1" spans="1:23">
      <c r="A2370" s="3">
        <f>IFERROR(__xludf.DUMMYFUNCTION("""COMPUTED_VALUE"""),46207)</f>
        <v>46207</v>
      </c>
      <c r="B2370" s="1" t="str">
        <f>IFERROR(__xludf.DUMMYFUNCTION("""COMPUTED_VALUE"""),"FRANCISCO , ROSELYN")</f>
        <v>FRANCISCO , ROSELYN</v>
      </c>
      <c r="C2370" s="1" t="str">
        <f>IFERROR(__xludf.DUMMYFUNCTION("""COMPUTED_VALUE"""),"ORGANIC")</f>
        <v>ORGANIC</v>
      </c>
      <c r="D2370" s="1" t="str">
        <f>IFERROR(__xludf.DUMMYFUNCTION("""COMPUTED_VALUE"""),"REMOLLO LEA")</f>
        <v>REMOLLO LEA</v>
      </c>
      <c r="E2370" s="1" t="str">
        <f>IFERROR(__xludf.DUMMYFUNCTION("""COMPUTED_VALUE"""),"PLDT / ONLINE")</f>
        <v>PLDT / ONLINE</v>
      </c>
      <c r="F2370" s="1">
        <f>IFERROR(__xludf.DUMMYFUNCTION("""COMPUTED_VALUE"""),2310709183)</f>
        <v>2310709183</v>
      </c>
      <c r="G2370" s="1">
        <f>IFERROR(__xludf.DUMMYFUNCTION("""COMPUTED_VALUE"""),461280779004)</f>
        <v>461280779004</v>
      </c>
      <c r="H2370" s="1" t="str">
        <f>IFERROR(__xludf.DUMMYFUNCTION("""COMPUTED_VALUE"""),"ARNEL NOVIO FLORENTINO JR")</f>
        <v>ARNEL NOVIO FLORENTINO JR</v>
      </c>
      <c r="I2370" s="1">
        <f>IFERROR(__xludf.DUMMYFUNCTION("""COMPUTED_VALUE"""),9550793000)</f>
        <v>9550793000</v>
      </c>
      <c r="J2370" s="1">
        <f>IFERROR(__xludf.DUMMYFUNCTION("""COMPUTED_VALUE"""),9676043703)</f>
        <v>9676043703</v>
      </c>
      <c r="K2370" s="1" t="str">
        <f>IFERROR(__xludf.DUMMYFUNCTION("""COMPUTED_VALUE"""),"arnelshiena@gmail.com")</f>
        <v>arnelshiena@gmail.com</v>
      </c>
      <c r="L2370" s="1" t="str">
        <f>IFERROR(__xludf.DUMMYFUNCTION("""COMPUTED_VALUE"""),"BLK 53 LOT 3")</f>
        <v>BLK 53 LOT 3</v>
      </c>
      <c r="M2370" s="1" t="str">
        <f>IFERROR(__xludf.DUMMYFUNCTION("""COMPUTED_VALUE"""),"PHASE 2 SITE")</f>
        <v>PHASE 2 SITE</v>
      </c>
      <c r="N2370" s="1"/>
      <c r="O2370" s="1" t="str">
        <f>IFERROR(__xludf.DUMMYFUNCTION("""COMPUTED_VALUE"""),"PALIPARAN III")</f>
        <v>PALIPARAN III</v>
      </c>
      <c r="P2370" s="1" t="str">
        <f>IFERROR(__xludf.DUMMYFUNCTION("""COMPUTED_VALUE"""),"DASMARINAS")</f>
        <v>DASMARINAS</v>
      </c>
      <c r="Q2370" s="1" t="str">
        <f>IFERROR(__xludf.DUMMYFUNCTION("""COMPUTED_VALUE"""),"CAVITE")</f>
        <v>CAVITE</v>
      </c>
      <c r="R2370" s="1" t="str">
        <f>IFERROR(__xludf.DUMMYFUNCTION("""COMPUTED_VALUE"""),"FIBR UNLI ALL PLAN 1399")</f>
        <v>FIBR UNLI ALL PLAN 1399</v>
      </c>
      <c r="S2370" s="1" t="str">
        <f>IFERROR(__xludf.DUMMYFUNCTION("""COMPUTED_VALUE"""),"APPROVED")</f>
        <v>APPROVED</v>
      </c>
      <c r="T2370" s="1" t="str">
        <f>IFERROR(__xludf.DUMMYFUNCTION("""COMPUTED_VALUE"""),"CLOSED")</f>
        <v>CLOSED</v>
      </c>
      <c r="U2370" s="1" t="str">
        <f>IFERROR(__xludf.DUMMYFUNCTION("""COMPUTED_VALUE"""),"POSTED")</f>
        <v>POSTED</v>
      </c>
      <c r="V2370" s="1"/>
      <c r="W2370" s="1"/>
    </row>
    <row r="2371" customHeight="1" spans="1:23">
      <c r="A2371" s="3">
        <f>IFERROR(__xludf.DUMMYFUNCTION("""COMPUTED_VALUE"""),46207)</f>
        <v>46207</v>
      </c>
      <c r="B2371" s="1" t="str">
        <f>IFERROR(__xludf.DUMMYFUNCTION("""COMPUTED_VALUE"""),"FRONDEZ, JEDREFF")</f>
        <v>FRONDEZ, JEDREFF</v>
      </c>
      <c r="C2371" s="1" t="str">
        <f>IFERROR(__xludf.DUMMYFUNCTION("""COMPUTED_VALUE"""),"ORGANIC")</f>
        <v>ORGANIC</v>
      </c>
      <c r="D2371" s="1" t="str">
        <f>IFERROR(__xludf.DUMMYFUNCTION("""COMPUTED_VALUE"""),"REMOLLO LEA")</f>
        <v>REMOLLO LEA</v>
      </c>
      <c r="E2371" s="1" t="str">
        <f>IFERROR(__xludf.DUMMYFUNCTION("""COMPUTED_VALUE"""),"PLDT / ONLINE")</f>
        <v>PLDT / ONLINE</v>
      </c>
      <c r="F2371" s="1">
        <f>IFERROR(__xludf.DUMMYFUNCTION("""COMPUTED_VALUE"""),2310716503)</f>
        <v>2310716503</v>
      </c>
      <c r="G2371" s="1">
        <f>IFERROR(__xludf.DUMMYFUNCTION("""COMPUTED_VALUE"""),461311726004)</f>
        <v>461311726004</v>
      </c>
      <c r="H2371" s="1" t="str">
        <f>IFERROR(__xludf.DUMMYFUNCTION("""COMPUTED_VALUE"""),"ANNABEL JIMENO FRANCISCO")</f>
        <v>ANNABEL JIMENO FRANCISCO</v>
      </c>
      <c r="I2371" s="1">
        <f>IFERROR(__xludf.DUMMYFUNCTION("""COMPUTED_VALUE"""),9770942251)</f>
        <v>9770942251</v>
      </c>
      <c r="J2371" s="1">
        <f>IFERROR(__xludf.DUMMYFUNCTION("""COMPUTED_VALUE"""),9273841208)</f>
        <v>9273841208</v>
      </c>
      <c r="K2371" s="1" t="str">
        <f>IFERROR(__xludf.DUMMYFUNCTION("""COMPUTED_VALUE"""),"shenakyla@gmail.com")</f>
        <v>shenakyla@gmail.com</v>
      </c>
      <c r="L2371" s="1" t="str">
        <f>IFERROR(__xludf.DUMMYFUNCTION("""COMPUTED_VALUE"""),"2361")</f>
        <v>2361</v>
      </c>
      <c r="M2371" s="1" t="str">
        <f>IFERROR(__xludf.DUMMYFUNCTION("""COMPUTED_VALUE"""),"GOV REMULLA")</f>
        <v>GOV REMULLA</v>
      </c>
      <c r="N2371" s="1"/>
      <c r="O2371" s="1" t="str">
        <f>IFERROR(__xludf.DUMMYFUNCTION("""COMPUTED_VALUE"""),"PAJO")</f>
        <v>PAJO</v>
      </c>
      <c r="P2371" s="1" t="str">
        <f>IFERROR(__xludf.DUMMYFUNCTION("""COMPUTED_VALUE"""),"ALFONSO")</f>
        <v>ALFONSO</v>
      </c>
      <c r="Q2371" s="1" t="str">
        <f>IFERROR(__xludf.DUMMYFUNCTION("""COMPUTED_VALUE"""),"CAVITE")</f>
        <v>CAVITE</v>
      </c>
      <c r="R2371" s="1" t="str">
        <f>IFERROR(__xludf.DUMMYFUNCTION("""COMPUTED_VALUE"""),"FIBR UNLI ALL PLAN 1399")</f>
        <v>FIBR UNLI ALL PLAN 1399</v>
      </c>
      <c r="S2371" s="1" t="str">
        <f>IFERROR(__xludf.DUMMYFUNCTION("""COMPUTED_VALUE"""),"APPROVED")</f>
        <v>APPROVED</v>
      </c>
      <c r="T2371" s="1" t="str">
        <f>IFERROR(__xludf.DUMMYFUNCTION("""COMPUTED_VALUE"""),"CLOSED")</f>
        <v>CLOSED</v>
      </c>
      <c r="U2371" s="1" t="str">
        <f>IFERROR(__xludf.DUMMYFUNCTION("""COMPUTED_VALUE"""),"POSTED")</f>
        <v>POSTED</v>
      </c>
      <c r="V2371" s="1"/>
      <c r="W2371" s="1"/>
    </row>
    <row r="2372" customHeight="1" spans="1:23">
      <c r="A2372" s="3">
        <f>IFERROR(__xludf.DUMMYFUNCTION("""COMPUTED_VALUE"""),46207)</f>
        <v>46207</v>
      </c>
      <c r="B2372" s="1" t="str">
        <f>IFERROR(__xludf.DUMMYFUNCTION("""COMPUTED_VALUE"""),"MAGDARAOG, KENNETH")</f>
        <v>MAGDARAOG, KENNETH</v>
      </c>
      <c r="C2372" s="1" t="str">
        <f>IFERROR(__xludf.DUMMYFUNCTION("""COMPUTED_VALUE"""),"ORGANIC")</f>
        <v>ORGANIC</v>
      </c>
      <c r="D2372" s="1" t="str">
        <f>IFERROR(__xludf.DUMMYFUNCTION("""COMPUTED_VALUE"""),"REMOLLO LEA")</f>
        <v>REMOLLO LEA</v>
      </c>
      <c r="E2372" s="1" t="str">
        <f>IFERROR(__xludf.DUMMYFUNCTION("""COMPUTED_VALUE"""),"PLDT / H2H")</f>
        <v>PLDT / H2H</v>
      </c>
      <c r="F2372" s="1">
        <f>IFERROR(__xludf.DUMMYFUNCTION("""COMPUTED_VALUE"""),2310717003)</f>
        <v>2310717003</v>
      </c>
      <c r="G2372" s="1">
        <f>IFERROR(__xludf.DUMMYFUNCTION("""COMPUTED_VALUE"""),461305551004)</f>
        <v>461305551004</v>
      </c>
      <c r="H2372" s="1" t="str">
        <f>IFERROR(__xludf.DUMMYFUNCTION("""COMPUTED_VALUE"""),"BERNARD SARENO LINDA")</f>
        <v>BERNARD SARENO LINDA</v>
      </c>
      <c r="I2372" s="1">
        <f>IFERROR(__xludf.DUMMYFUNCTION("""COMPUTED_VALUE"""),9975331574)</f>
        <v>9975331574</v>
      </c>
      <c r="J2372" s="1">
        <f>IFERROR(__xludf.DUMMYFUNCTION("""COMPUTED_VALUE"""),9278154842)</f>
        <v>9278154842</v>
      </c>
      <c r="K2372" s="1" t="str">
        <f>IFERROR(__xludf.DUMMYFUNCTION("""COMPUTED_VALUE"""),"bernardlinda21@gmail.com")</f>
        <v>bernardlinda21@gmail.com</v>
      </c>
      <c r="L2372" s="1" t="str">
        <f>IFERROR(__xludf.DUMMYFUNCTION("""COMPUTED_VALUE"""),"141")</f>
        <v>141</v>
      </c>
      <c r="M2372" s="1" t="str">
        <f>IFERROR(__xludf.DUMMYFUNCTION("""COMPUTED_VALUE"""),"CM DELOS REYES")</f>
        <v>CM DELOS REYES</v>
      </c>
      <c r="N2372" s="1"/>
      <c r="O2372" s="1" t="str">
        <f>IFERROR(__xludf.DUMMYFUNCTION("""COMPUTED_VALUE"""),"DAGATAN")</f>
        <v>DAGATAN</v>
      </c>
      <c r="P2372" s="1" t="str">
        <f>IFERROR(__xludf.DUMMYFUNCTION("""COMPUTED_VALUE"""),"AMADEO")</f>
        <v>AMADEO</v>
      </c>
      <c r="Q2372" s="1" t="str">
        <f>IFERROR(__xludf.DUMMYFUNCTION("""COMPUTED_VALUE"""),"CAVITE")</f>
        <v>CAVITE</v>
      </c>
      <c r="R2372" s="1" t="str">
        <f>IFERROR(__xludf.DUMMYFUNCTION("""COMPUTED_VALUE"""),"FIBR PLAN 1699")</f>
        <v>FIBR PLAN 1699</v>
      </c>
      <c r="S2372" s="1" t="str">
        <f>IFERROR(__xludf.DUMMYFUNCTION("""COMPUTED_VALUE"""),"APPROVED")</f>
        <v>APPROVED</v>
      </c>
      <c r="T2372" s="1" t="str">
        <f>IFERROR(__xludf.DUMMYFUNCTION("""COMPUTED_VALUE"""),"CLOSED")</f>
        <v>CLOSED</v>
      </c>
      <c r="U2372" s="1" t="str">
        <f>IFERROR(__xludf.DUMMYFUNCTION("""COMPUTED_VALUE"""),"POSTED")</f>
        <v>POSTED</v>
      </c>
      <c r="V2372" s="1"/>
      <c r="W2372" s="1"/>
    </row>
    <row r="2373" customHeight="1" spans="1:23">
      <c r="A2373" s="3">
        <f>IFERROR(__xludf.DUMMYFUNCTION("""COMPUTED_VALUE"""),46207)</f>
        <v>46207</v>
      </c>
      <c r="B2373" s="1" t="str">
        <f>IFERROR(__xludf.DUMMYFUNCTION("""COMPUTED_VALUE"""),"TAMAYO, MARY ROSE")</f>
        <v>TAMAYO, MARY ROSE</v>
      </c>
      <c r="C2373" s="1" t="str">
        <f>IFERROR(__xludf.DUMMYFUNCTION("""COMPUTED_VALUE"""),"ORGANIC")</f>
        <v>ORGANIC</v>
      </c>
      <c r="D2373" s="1" t="str">
        <f>IFERROR(__xludf.DUMMYFUNCTION("""COMPUTED_VALUE"""),"REMOLLO LEA")</f>
        <v>REMOLLO LEA</v>
      </c>
      <c r="E2373" s="1" t="str">
        <f>IFERROR(__xludf.DUMMYFUNCTION("""COMPUTED_VALUE"""),"PLDT / ONLINE")</f>
        <v>PLDT / ONLINE</v>
      </c>
      <c r="F2373" s="1"/>
      <c r="G2373" s="1"/>
      <c r="H2373" s="1" t="str">
        <f>IFERROR(__xludf.DUMMYFUNCTION("""COMPUTED_VALUE"""),"MIKEE CAMILLE ALAMAG TENORIO")</f>
        <v>MIKEE CAMILLE ALAMAG TENORIO</v>
      </c>
      <c r="I2373" s="1">
        <f>IFERROR(__xludf.DUMMYFUNCTION("""COMPUTED_VALUE"""),9534566072)</f>
        <v>9534566072</v>
      </c>
      <c r="J2373" s="1">
        <f>IFERROR(__xludf.DUMMYFUNCTION("""COMPUTED_VALUE"""),9086762514)</f>
        <v>9086762514</v>
      </c>
      <c r="K2373" s="1" t="str">
        <f>IFERROR(__xludf.DUMMYFUNCTION("""COMPUTED_VALUE"""),"camilletenorio489@gmail.com")</f>
        <v>camilletenorio489@gmail.com</v>
      </c>
      <c r="L2373" s="1" t="str">
        <f>IFERROR(__xludf.DUMMYFUNCTION("""COMPUTED_VALUE"""),"20")</f>
        <v>20</v>
      </c>
      <c r="M2373" s="1" t="str">
        <f>IFERROR(__xludf.DUMMYFUNCTION("""COMPUTED_VALUE"""),"BATANGAS")</f>
        <v>BATANGAS</v>
      </c>
      <c r="N2373" s="1"/>
      <c r="O2373" s="1"/>
      <c r="P2373" s="1"/>
      <c r="Q2373" s="1" t="str">
        <f>IFERROR(__xludf.DUMMYFUNCTION("""COMPUTED_VALUE"""),"BATANGAS")</f>
        <v>BATANGAS</v>
      </c>
      <c r="R2373" s="1" t="str">
        <f>IFERROR(__xludf.DUMMYFUNCTION("""COMPUTED_VALUE"""),"FIBR PLAN 1699")</f>
        <v>FIBR PLAN 1699</v>
      </c>
      <c r="S2373" s="1" t="str">
        <f>IFERROR(__xludf.DUMMYFUNCTION("""COMPUTED_VALUE"""),"APPROVED")</f>
        <v>APPROVED</v>
      </c>
      <c r="T2373" s="1" t="str">
        <f>IFERROR(__xludf.DUMMYFUNCTION("""COMPUTED_VALUE"""),"CLOSED")</f>
        <v>CLOSED</v>
      </c>
      <c r="U2373" s="1" t="str">
        <f>IFERROR(__xludf.DUMMYFUNCTION("""COMPUTED_VALUE"""),"POSTED")</f>
        <v>POSTED</v>
      </c>
      <c r="V2373" s="1"/>
      <c r="W2373" s="1"/>
    </row>
    <row r="2374" customHeight="1" spans="1:23">
      <c r="A2374" s="3">
        <f>IFERROR(__xludf.DUMMYFUNCTION("""COMPUTED_VALUE"""),46207)</f>
        <v>46207</v>
      </c>
      <c r="B2374" s="1" t="str">
        <f>IFERROR(__xludf.DUMMYFUNCTION("""COMPUTED_VALUE"""),"DELA ROSA, JENNELYN")</f>
        <v>DELA ROSA, JENNELYN</v>
      </c>
      <c r="C2374" s="1" t="str">
        <f>IFERROR(__xludf.DUMMYFUNCTION("""COMPUTED_VALUE"""),"ORGANIC")</f>
        <v>ORGANIC</v>
      </c>
      <c r="D2374" s="1" t="str">
        <f>IFERROR(__xludf.DUMMYFUNCTION("""COMPUTED_VALUE"""),"REMOLLO LEA")</f>
        <v>REMOLLO LEA</v>
      </c>
      <c r="E2374" s="1" t="str">
        <f>IFERROR(__xludf.DUMMYFUNCTION("""COMPUTED_VALUE"""),"RED FIBER")</f>
        <v>RED FIBER</v>
      </c>
      <c r="F2374" s="1"/>
      <c r="G2374" s="1"/>
      <c r="H2374" s="1" t="str">
        <f>IFERROR(__xludf.DUMMYFUNCTION("""COMPUTED_VALUE"""),"JANNETH RANGUE MARANGUIT")</f>
        <v>JANNETH RANGUE MARANGUIT</v>
      </c>
      <c r="I2374" s="1">
        <f>IFERROR(__xludf.DUMMYFUNCTION("""COMPUTED_VALUE"""),9606577349)</f>
        <v>9606577349</v>
      </c>
      <c r="J2374" s="1">
        <f>IFERROR(__xludf.DUMMYFUNCTION("""COMPUTED_VALUE"""),9475666996)</f>
        <v>9475666996</v>
      </c>
      <c r="K2374" s="1" t="str">
        <f>IFERROR(__xludf.DUMMYFUNCTION("""COMPUTED_VALUE"""),"janetmaranguit@gmail.com")</f>
        <v>janetmaranguit@gmail.com</v>
      </c>
      <c r="L2374" s="1" t="str">
        <f>IFERROR(__xludf.DUMMYFUNCTION("""COMPUTED_VALUE"""),"BLK 29 LOT 17")</f>
        <v>BLK 29 LOT 17</v>
      </c>
      <c r="M2374" s="1" t="str">
        <f>IFERROR(__xludf.DUMMYFUNCTION("""COMPUTED_VALUE"""),"PHASE 2")</f>
        <v>PHASE 2</v>
      </c>
      <c r="N2374" s="1" t="str">
        <f>IFERROR(__xludf.DUMMYFUNCTION("""COMPUTED_VALUE"""),"TERRA VERDE")</f>
        <v>TERRA VERDE</v>
      </c>
      <c r="O2374" s="1" t="str">
        <f>IFERROR(__xludf.DUMMYFUNCTION("""COMPUTED_VALUE"""),"BANCAL")</f>
        <v>BANCAL</v>
      </c>
      <c r="P2374" s="1" t="str">
        <f>IFERROR(__xludf.DUMMYFUNCTION("""COMPUTED_VALUE"""),"CARMONA")</f>
        <v>CARMONA</v>
      </c>
      <c r="Q2374" s="1" t="str">
        <f>IFERROR(__xludf.DUMMYFUNCTION("""COMPUTED_VALUE"""),"CAVITE")</f>
        <v>CAVITE</v>
      </c>
      <c r="R2374" s="1" t="str">
        <f>IFERROR(__xludf.DUMMYFUNCTION("""COMPUTED_VALUE"""),"RED PLAN 1400")</f>
        <v>RED PLAN 1400</v>
      </c>
      <c r="S2374" s="1" t="str">
        <f>IFERROR(__xludf.DUMMYFUNCTION("""COMPUTED_VALUE"""),"APPROVED")</f>
        <v>APPROVED</v>
      </c>
      <c r="T2374" s="1" t="str">
        <f>IFERROR(__xludf.DUMMYFUNCTION("""COMPUTED_VALUE"""),"#N/A")</f>
        <v>#N/A</v>
      </c>
      <c r="U2374" s="1" t="str">
        <f>IFERROR(__xludf.DUMMYFUNCTION("""COMPUTED_VALUE"""),"FOR CAFAC SURVEY")</f>
        <v>FOR CAFAC SURVEY</v>
      </c>
      <c r="V2374" s="1"/>
      <c r="W2374" s="1"/>
    </row>
    <row r="2375" customHeight="1" spans="1:23">
      <c r="A2375" s="3">
        <f>IFERROR(__xludf.DUMMYFUNCTION("""COMPUTED_VALUE"""),46208)</f>
        <v>46208</v>
      </c>
      <c r="B2375" s="1" t="str">
        <f>IFERROR(__xludf.DUMMYFUNCTION("""COMPUTED_VALUE"""),"MALIWAT MARK ELVIN")</f>
        <v>MALIWAT MARK ELVIN</v>
      </c>
      <c r="C2375" s="1" t="str">
        <f>IFERROR(__xludf.DUMMYFUNCTION("""COMPUTED_VALUE"""),"FLA")</f>
        <v>FLA</v>
      </c>
      <c r="D2375" s="1" t="str">
        <f>IFERROR(__xludf.DUMMYFUNCTION("""COMPUTED_VALUE"""),"JERIC NAVARRO")</f>
        <v>JERIC NAVARRO</v>
      </c>
      <c r="E2375" s="1" t="str">
        <f>IFERROR(__xludf.DUMMYFUNCTION("""COMPUTED_VALUE"""),"PLDT / ONLINE")</f>
        <v>PLDT / ONLINE</v>
      </c>
      <c r="F2375" s="1">
        <f>IFERROR(__xludf.DUMMYFUNCTION("""COMPUTED_VALUE"""),2310725297)</f>
        <v>2310725297</v>
      </c>
      <c r="G2375" s="1"/>
      <c r="H2375" s="1" t="str">
        <f>IFERROR(__xludf.DUMMYFUNCTION("""COMPUTED_VALUE"""),"AMOR HILARIO EDMA")</f>
        <v>AMOR HILARIO EDMA</v>
      </c>
      <c r="I2375" s="1">
        <f>IFERROR(__xludf.DUMMYFUNCTION("""COMPUTED_VALUE"""),9998659724)</f>
        <v>9998659724</v>
      </c>
      <c r="J2375" s="1">
        <f>IFERROR(__xludf.DUMMYFUNCTION("""COMPUTED_VALUE"""),9917330789)</f>
        <v>9917330789</v>
      </c>
      <c r="K2375" s="1" t="str">
        <f>IFERROR(__xludf.DUMMYFUNCTION("""COMPUTED_VALUE"""),"amordema.19@gmail.com")</f>
        <v>amordema.19@gmail.com</v>
      </c>
      <c r="L2375" s="1" t="str">
        <f>IFERROR(__xludf.DUMMYFUNCTION("""COMPUTED_VALUE"""),"BLK 1 LOT 48")</f>
        <v>BLK 1 LOT 48</v>
      </c>
      <c r="M2375" s="1" t="str">
        <f>IFERROR(__xludf.DUMMYFUNCTION("""COMPUTED_VALUE"""),"LANCASTER NEW CITY")</f>
        <v>LANCASTER NEW CITY</v>
      </c>
      <c r="N2375" s="1"/>
      <c r="O2375" s="1" t="str">
        <f>IFERROR(__xludf.DUMMYFUNCTION("""COMPUTED_VALUE"""),"NAVARRO")</f>
        <v>NAVARRO</v>
      </c>
      <c r="P2375" s="1" t="str">
        <f>IFERROR(__xludf.DUMMYFUNCTION("""COMPUTED_VALUE"""),"GENERAL TRIAS")</f>
        <v>GENERAL TRIAS</v>
      </c>
      <c r="Q2375" s="1" t="str">
        <f>IFERROR(__xludf.DUMMYFUNCTION("""COMPUTED_VALUE"""),"CAVITE")</f>
        <v>CAVITE</v>
      </c>
      <c r="R2375" s="1" t="str">
        <f>IFERROR(__xludf.DUMMYFUNCTION("""COMPUTED_VALUE"""),"FIBR UNLI ALL PLAN 1399")</f>
        <v>FIBR UNLI ALL PLAN 1399</v>
      </c>
      <c r="S2375" s="1" t="str">
        <f>IFERROR(__xludf.DUMMYFUNCTION("""COMPUTED_VALUE"""),"APPROVED")</f>
        <v>APPROVED</v>
      </c>
      <c r="T2375" s="1" t="str">
        <f>IFERROR(__xludf.DUMMYFUNCTION("""COMPUTED_VALUE"""),"CANCELLED")</f>
        <v>CANCELLED</v>
      </c>
      <c r="U2375" s="1"/>
      <c r="V2375" s="1"/>
      <c r="W2375" s="1"/>
    </row>
    <row r="2376" customHeight="1" spans="1:23">
      <c r="A2376" s="3">
        <f>IFERROR(__xludf.DUMMYFUNCTION("""COMPUTED_VALUE"""),46208)</f>
        <v>46208</v>
      </c>
      <c r="B2376" s="1" t="str">
        <f>IFERROR(__xludf.DUMMYFUNCTION("""COMPUTED_VALUE"""),"MALIWAT MARK ELVIN")</f>
        <v>MALIWAT MARK ELVIN</v>
      </c>
      <c r="C2376" s="1" t="str">
        <f>IFERROR(__xludf.DUMMYFUNCTION("""COMPUTED_VALUE"""),"ORGANIC")</f>
        <v>ORGANIC</v>
      </c>
      <c r="D2376" s="1" t="str">
        <f>IFERROR(__xludf.DUMMYFUNCTION("""COMPUTED_VALUE"""),"REMOLLO LEA")</f>
        <v>REMOLLO LEA</v>
      </c>
      <c r="E2376" s="1" t="str">
        <f>IFERROR(__xludf.DUMMYFUNCTION("""COMPUTED_VALUE"""),"PLDT / ONLINE")</f>
        <v>PLDT / ONLINE</v>
      </c>
      <c r="F2376" s="1">
        <f>IFERROR(__xludf.DUMMYFUNCTION("""COMPUTED_VALUE"""),2310727920)</f>
        <v>2310727920</v>
      </c>
      <c r="G2376" s="1">
        <f>IFERROR(__xludf.DUMMYFUNCTION("""COMPUTED_VALUE"""),461396384004)</f>
        <v>461396384004</v>
      </c>
      <c r="H2376" s="1" t="str">
        <f>IFERROR(__xludf.DUMMYFUNCTION("""COMPUTED_VALUE"""),"JHEA MARIE REYES EMPERADOR")</f>
        <v>JHEA MARIE REYES EMPERADOR</v>
      </c>
      <c r="I2376" s="1">
        <f>IFERROR(__xludf.DUMMYFUNCTION("""COMPUTED_VALUE"""),9325850776)</f>
        <v>9325850776</v>
      </c>
      <c r="J2376" s="1"/>
      <c r="K2376" s="1" t="str">
        <f>IFERROR(__xludf.DUMMYFUNCTION("""COMPUTED_VALUE"""),"vanemperador07@gmail.com")</f>
        <v>vanemperador07@gmail.com</v>
      </c>
      <c r="L2376" s="1" t="str">
        <f>IFERROR(__xludf.DUMMYFUNCTION("""COMPUTED_VALUE"""),"4286")</f>
        <v>4286</v>
      </c>
      <c r="M2376" s="1" t="str">
        <f>IFERROR(__xludf.DUMMYFUNCTION("""COMPUTED_VALUE"""),"BORROMEO")</f>
        <v>BORROMEO</v>
      </c>
      <c r="N2376" s="1"/>
      <c r="O2376" s="1" t="str">
        <f>IFERROR(__xludf.DUMMYFUNCTION("""COMPUTED_VALUE"""),"BILUSO")</f>
        <v>BILUSO</v>
      </c>
      <c r="P2376" s="1" t="str">
        <f>IFERROR(__xludf.DUMMYFUNCTION("""COMPUTED_VALUE"""),"SILANG")</f>
        <v>SILANG</v>
      </c>
      <c r="Q2376" s="1" t="str">
        <f>IFERROR(__xludf.DUMMYFUNCTION("""COMPUTED_VALUE"""),"CAVITE")</f>
        <v>CAVITE</v>
      </c>
      <c r="R2376" s="1" t="str">
        <f>IFERROR(__xludf.DUMMYFUNCTION("""COMPUTED_VALUE"""),"FIBR PLAN 1299")</f>
        <v>FIBR PLAN 1299</v>
      </c>
      <c r="S2376" s="1" t="str">
        <f>IFERROR(__xludf.DUMMYFUNCTION("""COMPUTED_VALUE"""),"APPROVED")</f>
        <v>APPROVED</v>
      </c>
      <c r="T2376" s="1" t="str">
        <f>IFERROR(__xludf.DUMMYFUNCTION("""COMPUTED_VALUE"""),"CLOSED")</f>
        <v>CLOSED</v>
      </c>
      <c r="U2376" s="1" t="str">
        <f>IFERROR(__xludf.DUMMYFUNCTION("""COMPUTED_VALUE"""),"POSTED")</f>
        <v>POSTED</v>
      </c>
      <c r="V2376" s="1"/>
      <c r="W2376" s="1"/>
    </row>
    <row r="2377" customHeight="1" spans="1:23">
      <c r="A2377" s="3">
        <f>IFERROR(__xludf.DUMMYFUNCTION("""COMPUTED_VALUE"""),46208)</f>
        <v>46208</v>
      </c>
      <c r="B2377" s="1" t="str">
        <f>IFERROR(__xludf.DUMMYFUNCTION("""COMPUTED_VALUE"""),"FRONDEZ, JEDREFF")</f>
        <v>FRONDEZ, JEDREFF</v>
      </c>
      <c r="C2377" s="1" t="str">
        <f>IFERROR(__xludf.DUMMYFUNCTION("""COMPUTED_VALUE"""),"ORGANIC")</f>
        <v>ORGANIC</v>
      </c>
      <c r="D2377" s="1" t="str">
        <f>IFERROR(__xludf.DUMMYFUNCTION("""COMPUTED_VALUE"""),"REMOLLO LEA")</f>
        <v>REMOLLO LEA</v>
      </c>
      <c r="E2377" s="1" t="str">
        <f>IFERROR(__xludf.DUMMYFUNCTION("""COMPUTED_VALUE"""),"PLDT / H2H")</f>
        <v>PLDT / H2H</v>
      </c>
      <c r="F2377" s="1">
        <f>IFERROR(__xludf.DUMMYFUNCTION("""COMPUTED_VALUE"""),2310727460)</f>
        <v>2310727460</v>
      </c>
      <c r="G2377" s="1">
        <f>IFERROR(__xludf.DUMMYFUNCTION("""COMPUTED_VALUE"""),461395524004)</f>
        <v>461395524004</v>
      </c>
      <c r="H2377" s="1" t="str">
        <f>IFERROR(__xludf.DUMMYFUNCTION("""COMPUTED_VALUE"""),"DIODY DAYANAN TODOCIO")</f>
        <v>DIODY DAYANAN TODOCIO</v>
      </c>
      <c r="I2377" s="1">
        <f>IFERROR(__xludf.DUMMYFUNCTION("""COMPUTED_VALUE"""),9705500795)</f>
        <v>9705500795</v>
      </c>
      <c r="J2377" s="1">
        <f>IFERROR(__xludf.DUMMYFUNCTION("""COMPUTED_VALUE"""),9121966407)</f>
        <v>9121966407</v>
      </c>
      <c r="K2377" s="1" t="str">
        <f>IFERROR(__xludf.DUMMYFUNCTION("""COMPUTED_VALUE"""),"micaelairediano@gmail.com")</f>
        <v>micaelairediano@gmail.com</v>
      </c>
      <c r="L2377" s="1" t="str">
        <f>IFERROR(__xludf.DUMMYFUNCTION("""COMPUTED_VALUE"""),"333")</f>
        <v>333</v>
      </c>
      <c r="M2377" s="1" t="str">
        <f>IFERROR(__xludf.DUMMYFUNCTION("""COMPUTED_VALUE"""),"C5")</f>
        <v>C5</v>
      </c>
      <c r="N2377" s="1"/>
      <c r="O2377" s="1" t="str">
        <f>IFERROR(__xludf.DUMMYFUNCTION("""COMPUTED_VALUE"""),"LUKSUHIN")</f>
        <v>LUKSUHIN</v>
      </c>
      <c r="P2377" s="1" t="str">
        <f>IFERROR(__xludf.DUMMYFUNCTION("""COMPUTED_VALUE"""),"ALFONSO")</f>
        <v>ALFONSO</v>
      </c>
      <c r="Q2377" s="1" t="str">
        <f>IFERROR(__xludf.DUMMYFUNCTION("""COMPUTED_VALUE"""),"CAVITE")</f>
        <v>CAVITE</v>
      </c>
      <c r="R2377" s="1" t="str">
        <f>IFERROR(__xludf.DUMMYFUNCTION("""COMPUTED_VALUE"""),"FIBR UNLI ALL PLAN 999")</f>
        <v>FIBR UNLI ALL PLAN 999</v>
      </c>
      <c r="S2377" s="1" t="str">
        <f>IFERROR(__xludf.DUMMYFUNCTION("""COMPUTED_VALUE"""),"APPROVED")</f>
        <v>APPROVED</v>
      </c>
      <c r="T2377" s="1" t="str">
        <f>IFERROR(__xludf.DUMMYFUNCTION("""COMPUTED_VALUE"""),"CLOSED")</f>
        <v>CLOSED</v>
      </c>
      <c r="U2377" s="1" t="str">
        <f>IFERROR(__xludf.DUMMYFUNCTION("""COMPUTED_VALUE"""),"POSTED")</f>
        <v>POSTED</v>
      </c>
      <c r="V2377" s="1"/>
      <c r="W2377" s="1"/>
    </row>
    <row r="2378" customHeight="1" spans="1:23">
      <c r="A2378" s="3">
        <f>IFERROR(__xludf.DUMMYFUNCTION("""COMPUTED_VALUE"""),46208)</f>
        <v>46208</v>
      </c>
      <c r="B2378" s="1" t="str">
        <f>IFERROR(__xludf.DUMMYFUNCTION("""COMPUTED_VALUE"""),"FRANCISCO , ROSELYN")</f>
        <v>FRANCISCO , ROSELYN</v>
      </c>
      <c r="C2378" s="1" t="str">
        <f>IFERROR(__xludf.DUMMYFUNCTION("""COMPUTED_VALUE"""),"ORGANIC")</f>
        <v>ORGANIC</v>
      </c>
      <c r="D2378" s="1" t="str">
        <f>IFERROR(__xludf.DUMMYFUNCTION("""COMPUTED_VALUE"""),"REMOLLO LEA")</f>
        <v>REMOLLO LEA</v>
      </c>
      <c r="E2378" s="1" t="str">
        <f>IFERROR(__xludf.DUMMYFUNCTION("""COMPUTED_VALUE"""),"PLDT / ONLINE")</f>
        <v>PLDT / ONLINE</v>
      </c>
      <c r="F2378" s="1"/>
      <c r="G2378" s="1"/>
      <c r="H2378" s="1" t="str">
        <f>IFERROR(__xludf.DUMMYFUNCTION("""COMPUTED_VALUE"""),"JACOB OLICIA SIQUTE")</f>
        <v>JACOB OLICIA SIQUTE</v>
      </c>
      <c r="I2378" s="1">
        <f>IFERROR(__xludf.DUMMYFUNCTION("""COMPUTED_VALUE"""),9670412670)</f>
        <v>9670412670</v>
      </c>
      <c r="J2378" s="1">
        <f>IFERROR(__xludf.DUMMYFUNCTION("""COMPUTED_VALUE"""),9267816873)</f>
        <v>9267816873</v>
      </c>
      <c r="K2378" s="1" t="str">
        <f>IFERROR(__xludf.DUMMYFUNCTION("""COMPUTED_VALUE"""),"cherillejacobsaquite@gmail.com")</f>
        <v>cherillejacobsaquite@gmail.com</v>
      </c>
      <c r="L2378" s="1" t="str">
        <f>IFERROR(__xludf.DUMMYFUNCTION("""COMPUTED_VALUE"""),"236")</f>
        <v>236</v>
      </c>
      <c r="M2378" s="1" t="str">
        <f>IFERROR(__xludf.DUMMYFUNCTION("""COMPUTED_VALUE"""),"PAGKAISA")</f>
        <v>PAGKAISA</v>
      </c>
      <c r="N2378" s="1"/>
      <c r="O2378" s="1" t="str">
        <f>IFERROR(__xludf.DUMMYFUNCTION("""COMPUTED_VALUE"""),"BANCAAN")</f>
        <v>BANCAAN</v>
      </c>
      <c r="P2378" s="1" t="str">
        <f>IFERROR(__xludf.DUMMYFUNCTION("""COMPUTED_VALUE"""),"NAIC")</f>
        <v>NAIC</v>
      </c>
      <c r="Q2378" s="1" t="str">
        <f>IFERROR(__xludf.DUMMYFUNCTION("""COMPUTED_VALUE"""),"CAVITE")</f>
        <v>CAVITE</v>
      </c>
      <c r="R2378" s="1" t="str">
        <f>IFERROR(__xludf.DUMMYFUNCTION("""COMPUTED_VALUE"""),"FIBR NETFLIX PLAN 1599")</f>
        <v>FIBR NETFLIX PLAN 1599</v>
      </c>
      <c r="S2378" s="1" t="str">
        <f>IFERROR(__xludf.DUMMYFUNCTION("""COMPUTED_VALUE"""),"HOLD")</f>
        <v>HOLD</v>
      </c>
      <c r="T2378" s="1" t="str">
        <f>IFERROR(__xludf.DUMMYFUNCTION("""COMPUTED_VALUE"""),"#N/A")</f>
        <v>#N/A</v>
      </c>
      <c r="U2378" s="1" t="str">
        <f>IFERROR(__xludf.DUMMYFUNCTION("""COMPUTED_VALUE"""),"NO FFTH")</f>
        <v>NO FFTH</v>
      </c>
      <c r="V2378" s="1"/>
      <c r="W2378" s="1"/>
    </row>
    <row r="2379" customHeight="1" spans="1:23">
      <c r="A2379" s="3">
        <f>IFERROR(__xludf.DUMMYFUNCTION("""COMPUTED_VALUE"""),46208)</f>
        <v>46208</v>
      </c>
      <c r="B2379" s="1" t="str">
        <f>IFERROR(__xludf.DUMMYFUNCTION("""COMPUTED_VALUE"""),"AYON MANUEL")</f>
        <v>AYON MANUEL</v>
      </c>
      <c r="C2379" s="1" t="str">
        <f>IFERROR(__xludf.DUMMYFUNCTION("""COMPUTED_VALUE"""),"FLA")</f>
        <v>FLA</v>
      </c>
      <c r="D2379" s="1" t="str">
        <f>IFERROR(__xludf.DUMMYFUNCTION("""COMPUTED_VALUE"""),"JERIC NAVARRO")</f>
        <v>JERIC NAVARRO</v>
      </c>
      <c r="E2379" s="1" t="str">
        <f>IFERROR(__xludf.DUMMYFUNCTION("""COMPUTED_VALUE"""),"PLDT / ONLINE")</f>
        <v>PLDT / ONLINE</v>
      </c>
      <c r="F2379" s="1">
        <f>IFERROR(__xludf.DUMMYFUNCTION("""COMPUTED_VALUE"""),2310730374)</f>
        <v>2310730374</v>
      </c>
      <c r="G2379" s="1">
        <f>IFERROR(__xludf.DUMMYFUNCTION("""COMPUTED_VALUE"""),461401903004)</f>
        <v>461401903004</v>
      </c>
      <c r="H2379" s="1" t="str">
        <f>IFERROR(__xludf.DUMMYFUNCTION("""COMPUTED_VALUE"""),"CHERRY DEL ESPIRITU MARCOSO")</f>
        <v>CHERRY DEL ESPIRITU MARCOSO</v>
      </c>
      <c r="I2379" s="1">
        <f>IFERROR(__xludf.DUMMYFUNCTION("""COMPUTED_VALUE"""),9568823116)</f>
        <v>9568823116</v>
      </c>
      <c r="J2379" s="1"/>
      <c r="K2379" s="1" t="str">
        <f>IFERROR(__xludf.DUMMYFUNCTION("""COMPUTED_VALUE"""),"cherrydelmarcoso@gmail.com")</f>
        <v>cherrydelmarcoso@gmail.com</v>
      </c>
      <c r="L2379" s="1" t="str">
        <f>IFERROR(__xludf.DUMMYFUNCTION("""COMPUTED_VALUE"""),"BLK 44 LOT 9")</f>
        <v>BLK 44 LOT 9</v>
      </c>
      <c r="M2379" s="1" t="str">
        <f>IFERROR(__xludf.DUMMYFUNCTION("""COMPUTED_VALUE"""),"SAINT JEROME")</f>
        <v>SAINT JEROME</v>
      </c>
      <c r="N2379" s="1" t="str">
        <f>IFERROR(__xludf.DUMMYFUNCTION("""COMPUTED_VALUE"""),"WINDWARD")</f>
        <v>WINDWARD</v>
      </c>
      <c r="O2379" s="1" t="str">
        <f>IFERROR(__xludf.DUMMYFUNCTION("""COMPUTED_VALUE"""),"BUROL I")</f>
        <v>BUROL I</v>
      </c>
      <c r="P2379" s="1" t="str">
        <f>IFERROR(__xludf.DUMMYFUNCTION("""COMPUTED_VALUE"""),"DASMARINAS")</f>
        <v>DASMARINAS</v>
      </c>
      <c r="Q2379" s="1" t="str">
        <f>IFERROR(__xludf.DUMMYFUNCTION("""COMPUTED_VALUE"""),"CAVITE")</f>
        <v>CAVITE</v>
      </c>
      <c r="R2379" s="1" t="str">
        <f>IFERROR(__xludf.DUMMYFUNCTION("""COMPUTED_VALUE"""),"FIBR PLAN 1299")</f>
        <v>FIBR PLAN 1299</v>
      </c>
      <c r="S2379" s="1" t="str">
        <f>IFERROR(__xludf.DUMMYFUNCTION("""COMPUTED_VALUE"""),"APPROVED")</f>
        <v>APPROVED</v>
      </c>
      <c r="T2379" s="1" t="str">
        <f>IFERROR(__xludf.DUMMYFUNCTION("""COMPUTED_VALUE"""),"CLOSED")</f>
        <v>CLOSED</v>
      </c>
      <c r="U2379" s="1" t="str">
        <f>IFERROR(__xludf.DUMMYFUNCTION("""COMPUTED_VALUE"""),"POSTED")</f>
        <v>POSTED</v>
      </c>
      <c r="V2379" s="1"/>
      <c r="W2379" s="1"/>
    </row>
    <row r="2380" customHeight="1" spans="1:23">
      <c r="A2380" s="3">
        <f>IFERROR(__xludf.DUMMYFUNCTION("""COMPUTED_VALUE"""),46208)</f>
        <v>46208</v>
      </c>
      <c r="B2380" s="1" t="str">
        <f>IFERROR(__xludf.DUMMYFUNCTION("""COMPUTED_VALUE"""),"FRANCISCO , ROSELYN")</f>
        <v>FRANCISCO , ROSELYN</v>
      </c>
      <c r="C2380" s="1" t="str">
        <f>IFERROR(__xludf.DUMMYFUNCTION("""COMPUTED_VALUE"""),"ORGANIC")</f>
        <v>ORGANIC</v>
      </c>
      <c r="D2380" s="1" t="str">
        <f>IFERROR(__xludf.DUMMYFUNCTION("""COMPUTED_VALUE"""),"REMOLLO LEA")</f>
        <v>REMOLLO LEA</v>
      </c>
      <c r="E2380" s="1" t="str">
        <f>IFERROR(__xludf.DUMMYFUNCTION("""COMPUTED_VALUE"""),"PLDT / H2H")</f>
        <v>PLDT / H2H</v>
      </c>
      <c r="F2380" s="1">
        <f>IFERROR(__xludf.DUMMYFUNCTION("""COMPUTED_VALUE"""),2310733008)</f>
        <v>2310733008</v>
      </c>
      <c r="G2380" s="1">
        <f>IFERROR(__xludf.DUMMYFUNCTION("""COMPUTED_VALUE"""),461402837004)</f>
        <v>461402837004</v>
      </c>
      <c r="H2380" s="1" t="str">
        <f>IFERROR(__xludf.DUMMYFUNCTION("""COMPUTED_VALUE"""),"RENATO LUDOVICO DIONISIO")</f>
        <v>RENATO LUDOVICO DIONISIO</v>
      </c>
      <c r="I2380" s="1">
        <f>IFERROR(__xludf.DUMMYFUNCTION("""COMPUTED_VALUE"""),9702023747)</f>
        <v>9702023747</v>
      </c>
      <c r="J2380" s="1">
        <f>IFERROR(__xludf.DUMMYFUNCTION("""COMPUTED_VALUE"""),9389386317)</f>
        <v>9389386317</v>
      </c>
      <c r="K2380" s="1" t="str">
        <f>IFERROR(__xludf.DUMMYFUNCTION("""COMPUTED_VALUE"""),"nathaliebaguna@gmail.com")</f>
        <v>nathaliebaguna@gmail.com</v>
      </c>
      <c r="L2380" s="1" t="str">
        <f>IFERROR(__xludf.DUMMYFUNCTION("""COMPUTED_VALUE"""),"BLK 9 LOT 102P")</f>
        <v>BLK 9 LOT 102P</v>
      </c>
      <c r="M2380" s="1" t="str">
        <f>IFERROR(__xludf.DUMMYFUNCTION("""COMPUTED_VALUE"""),"GARCIA")</f>
        <v>GARCIA</v>
      </c>
      <c r="N2380" s="1"/>
      <c r="O2380" s="1" t="str">
        <f>IFERROR(__xludf.DUMMYFUNCTION("""COMPUTED_VALUE"""),"PANTALEON GRANADOS (AREA G)")</f>
        <v>PANTALEON GRANADOS (AREA G)</v>
      </c>
      <c r="P2380" s="1" t="str">
        <f>IFERROR(__xludf.DUMMYFUNCTION("""COMPUTED_VALUE"""),"GENERAL EMILIO AGUINALDO")</f>
        <v>GENERAL EMILIO AGUINALDO</v>
      </c>
      <c r="Q2380" s="1" t="str">
        <f>IFERROR(__xludf.DUMMYFUNCTION("""COMPUTED_VALUE"""),"CAVITE")</f>
        <v>CAVITE</v>
      </c>
      <c r="R2380" s="1" t="str">
        <f>IFERROR(__xludf.DUMMYFUNCTION("""COMPUTED_VALUE"""),"FIBR PLAN 1299")</f>
        <v>FIBR PLAN 1299</v>
      </c>
      <c r="S2380" s="1" t="str">
        <f>IFERROR(__xludf.DUMMYFUNCTION("""COMPUTED_VALUE"""),"APPROVED")</f>
        <v>APPROVED</v>
      </c>
      <c r="T2380" s="1" t="str">
        <f>IFERROR(__xludf.DUMMYFUNCTION("""COMPUTED_VALUE"""),"CANCELLED")</f>
        <v>CANCELLED</v>
      </c>
      <c r="U2380" s="1"/>
      <c r="V2380" s="1"/>
      <c r="W2380" s="1"/>
    </row>
    <row r="2381" customHeight="1" spans="1:23">
      <c r="A2381" s="3">
        <f>IFERROR(__xludf.DUMMYFUNCTION("""COMPUTED_VALUE"""),46208)</f>
        <v>46208</v>
      </c>
      <c r="B2381" s="1" t="str">
        <f>IFERROR(__xludf.DUMMYFUNCTION("""COMPUTED_VALUE"""),"TAMAYO, MARY ROSE")</f>
        <v>TAMAYO, MARY ROSE</v>
      </c>
      <c r="C2381" s="1" t="str">
        <f>IFERROR(__xludf.DUMMYFUNCTION("""COMPUTED_VALUE"""),"ORGANIC")</f>
        <v>ORGANIC</v>
      </c>
      <c r="D2381" s="1" t="str">
        <f>IFERROR(__xludf.DUMMYFUNCTION("""COMPUTED_VALUE"""),"REMOLLO LEA")</f>
        <v>REMOLLO LEA</v>
      </c>
      <c r="E2381" s="1" t="str">
        <f>IFERROR(__xludf.DUMMYFUNCTION("""COMPUTED_VALUE"""),"PLDT / H2H")</f>
        <v>PLDT / H2H</v>
      </c>
      <c r="F2381" s="1"/>
      <c r="G2381" s="1"/>
      <c r="H2381" s="1" t="str">
        <f>IFERROR(__xludf.DUMMYFUNCTION("""COMPUTED_VALUE"""),"JOVEL PONCE TUBIERON ")</f>
        <v>JOVEL PONCE TUBIERON </v>
      </c>
      <c r="I2381" s="1">
        <f>IFERROR(__xludf.DUMMYFUNCTION("""COMPUTED_VALUE"""),9511802161)</f>
        <v>9511802161</v>
      </c>
      <c r="J2381" s="1">
        <f>IFERROR(__xludf.DUMMYFUNCTION("""COMPUTED_VALUE"""),9568117725)</f>
        <v>9568117725</v>
      </c>
      <c r="K2381" s="1" t="str">
        <f>IFERROR(__xludf.DUMMYFUNCTION("""COMPUTED_VALUE"""),"tubieronjovel3@gmail.com")</f>
        <v>tubieronjovel3@gmail.com</v>
      </c>
      <c r="L2381" s="1" t="str">
        <f>IFERROR(__xludf.DUMMYFUNCTION("""COMPUTED_VALUE"""),"BLK 13 LOT 2")</f>
        <v>BLK 13 LOT 2</v>
      </c>
      <c r="M2381" s="1" t="str">
        <f>IFERROR(__xludf.DUMMYFUNCTION("""COMPUTED_VALUE"""),"BULIHAN")</f>
        <v>BULIHAN</v>
      </c>
      <c r="N2381" s="1"/>
      <c r="O2381" s="1" t="str">
        <f>IFERROR(__xludf.DUMMYFUNCTION("""COMPUTED_VALUE"""),"BULIHAN")</f>
        <v>BULIHAN</v>
      </c>
      <c r="P2381" s="1" t="str">
        <f>IFERROR(__xludf.DUMMYFUNCTION("""COMPUTED_VALUE"""),"SILANG")</f>
        <v>SILANG</v>
      </c>
      <c r="Q2381" s="1" t="str">
        <f>IFERROR(__xludf.DUMMYFUNCTION("""COMPUTED_VALUE"""),"CAVITE")</f>
        <v>CAVITE</v>
      </c>
      <c r="R2381" s="1" t="str">
        <f>IFERROR(__xludf.DUMMYFUNCTION("""COMPUTED_VALUE"""),"FIBR PLAN 1299")</f>
        <v>FIBR PLAN 1299</v>
      </c>
      <c r="S2381" s="1" t="str">
        <f>IFERROR(__xludf.DUMMYFUNCTION("""COMPUTED_VALUE"""),"HOLD")</f>
        <v>HOLD</v>
      </c>
      <c r="T2381" s="1" t="str">
        <f>IFERROR(__xludf.DUMMYFUNCTION("""COMPUTED_VALUE"""),"#N/A")</f>
        <v>#N/A</v>
      </c>
      <c r="U2381" s="1" t="str">
        <f>IFERROR(__xludf.DUMMYFUNCTION("""COMPUTED_VALUE"""),"NAP FULL")</f>
        <v>NAP FULL</v>
      </c>
      <c r="V2381" s="1"/>
      <c r="W2381" s="1"/>
    </row>
    <row r="2382" customHeight="1" spans="1:23">
      <c r="A2382" s="3">
        <f>IFERROR(__xludf.DUMMYFUNCTION("""COMPUTED_VALUE"""),46208)</f>
        <v>46208</v>
      </c>
      <c r="B2382" s="1" t="str">
        <f>IFERROR(__xludf.DUMMYFUNCTION("""COMPUTED_VALUE"""),"MAGDARAOG, KENNETH")</f>
        <v>MAGDARAOG, KENNETH</v>
      </c>
      <c r="C2382" s="1" t="str">
        <f>IFERROR(__xludf.DUMMYFUNCTION("""COMPUTED_VALUE"""),"ORGANIC")</f>
        <v>ORGANIC</v>
      </c>
      <c r="D2382" s="1" t="str">
        <f>IFERROR(__xludf.DUMMYFUNCTION("""COMPUTED_VALUE"""),"REMOLLO LEA")</f>
        <v>REMOLLO LEA</v>
      </c>
      <c r="E2382" s="1" t="str">
        <f>IFERROR(__xludf.DUMMYFUNCTION("""COMPUTED_VALUE"""),"PLDT / H2H")</f>
        <v>PLDT / H2H</v>
      </c>
      <c r="F2382" s="1">
        <f>IFERROR(__xludf.DUMMYFUNCTION("""COMPUTED_VALUE"""),2310734136)</f>
        <v>2310734136</v>
      </c>
      <c r="G2382" s="1">
        <f>IFERROR(__xludf.DUMMYFUNCTION("""COMPUTED_VALUE"""),461403044004)</f>
        <v>461403044004</v>
      </c>
      <c r="H2382" s="1" t="str">
        <f>IFERROR(__xludf.DUMMYFUNCTION("""COMPUTED_VALUE"""),"IRDAN RAY BAULWAG NEBRIA")</f>
        <v>IRDAN RAY BAULWAG NEBRIA</v>
      </c>
      <c r="I2382" s="1">
        <f>IFERROR(__xludf.DUMMYFUNCTION("""COMPUTED_VALUE"""),9317927315)</f>
        <v>9317927315</v>
      </c>
      <c r="J2382" s="1"/>
      <c r="K2382" s="1" t="str">
        <f>IFERROR(__xludf.DUMMYFUNCTION("""COMPUTED_VALUE"""),"kit20506.in@gmail.com")</f>
        <v>kit20506.in@gmail.com</v>
      </c>
      <c r="L2382" s="1" t="str">
        <f>IFERROR(__xludf.DUMMYFUNCTION("""COMPUTED_VALUE"""),"BLK 1 LOT 37")</f>
        <v>BLK 1 LOT 37</v>
      </c>
      <c r="M2382" s="1" t="str">
        <f>IFERROR(__xludf.DUMMYFUNCTION("""COMPUTED_VALUE"""),"BAMBOO SIDE")</f>
        <v>BAMBOO SIDE</v>
      </c>
      <c r="N2382" s="1"/>
      <c r="O2382" s="1" t="str">
        <f>IFERROR(__xludf.DUMMYFUNCTION("""COMPUTED_VALUE"""),"BULIHAN")</f>
        <v>BULIHAN</v>
      </c>
      <c r="P2382" s="1" t="str">
        <f>IFERROR(__xludf.DUMMYFUNCTION("""COMPUTED_VALUE"""),"SILANG")</f>
        <v>SILANG</v>
      </c>
      <c r="Q2382" s="1" t="str">
        <f>IFERROR(__xludf.DUMMYFUNCTION("""COMPUTED_VALUE"""),"CAVITE")</f>
        <v>CAVITE</v>
      </c>
      <c r="R2382" s="1" t="str">
        <f>IFERROR(__xludf.DUMMYFUNCTION("""COMPUTED_VALUE"""),"FIBR UNLI ALL PLAN 999")</f>
        <v>FIBR UNLI ALL PLAN 999</v>
      </c>
      <c r="S2382" s="1" t="str">
        <f>IFERROR(__xludf.DUMMYFUNCTION("""COMPUTED_VALUE"""),"APPROVED")</f>
        <v>APPROVED</v>
      </c>
      <c r="T2382" s="1" t="str">
        <f>IFERROR(__xludf.DUMMYFUNCTION("""COMPUTED_VALUE"""),"CLOSED")</f>
        <v>CLOSED</v>
      </c>
      <c r="U2382" s="1" t="str">
        <f>IFERROR(__xludf.DUMMYFUNCTION("""COMPUTED_VALUE"""),"POSTED")</f>
        <v>POSTED</v>
      </c>
      <c r="V2382" s="1"/>
      <c r="W2382" s="1"/>
    </row>
    <row r="2383" customHeight="1" spans="1:23">
      <c r="A2383" s="3">
        <f>IFERROR(__xludf.DUMMYFUNCTION("""COMPUTED_VALUE"""),46208)</f>
        <v>46208</v>
      </c>
      <c r="B2383" s="1" t="str">
        <f>IFERROR(__xludf.DUMMYFUNCTION("""COMPUTED_VALUE"""),"MANDUCDOC, MARIANE")</f>
        <v>MANDUCDOC, MARIANE</v>
      </c>
      <c r="C2383" s="1" t="str">
        <f>IFERROR(__xludf.DUMMYFUNCTION("""COMPUTED_VALUE"""),"ORGANIC")</f>
        <v>ORGANIC</v>
      </c>
      <c r="D2383" s="1" t="str">
        <f>IFERROR(__xludf.DUMMYFUNCTION("""COMPUTED_VALUE"""),"REMOLLO LEA")</f>
        <v>REMOLLO LEA</v>
      </c>
      <c r="E2383" s="1" t="str">
        <f>IFERROR(__xludf.DUMMYFUNCTION("""COMPUTED_VALUE"""),"PLDT / H2H")</f>
        <v>PLDT / H2H</v>
      </c>
      <c r="F2383" s="1">
        <f>IFERROR(__xludf.DUMMYFUNCTION("""COMPUTED_VALUE"""),2310757829)</f>
        <v>2310757829</v>
      </c>
      <c r="G2383" s="1">
        <f>IFERROR(__xludf.DUMMYFUNCTION("""COMPUTED_VALUE"""),461559159004)</f>
        <v>461559159004</v>
      </c>
      <c r="H2383" s="1" t="str">
        <f>IFERROR(__xludf.DUMMYFUNCTION("""COMPUTED_VALUE"""),"ELYSON NAMOC CARIAZO")</f>
        <v>ELYSON NAMOC CARIAZO</v>
      </c>
      <c r="I2383" s="1">
        <f>IFERROR(__xludf.DUMMYFUNCTION("""COMPUTED_VALUE"""),9657001596)</f>
        <v>9657001596</v>
      </c>
      <c r="J2383" s="1"/>
      <c r="K2383" s="1" t="str">
        <f>IFERROR(__xludf.DUMMYFUNCTION("""COMPUTED_VALUE"""),"galoelyson@gmail.com")</f>
        <v>galoelyson@gmail.com</v>
      </c>
      <c r="L2383" s="1" t="str">
        <f>IFERROR(__xludf.DUMMYFUNCTION("""COMPUTED_VALUE"""),"BLK 9 LOT 3")</f>
        <v>BLK 9 LOT 3</v>
      </c>
      <c r="M2383" s="1" t="str">
        <f>IFERROR(__xludf.DUMMYFUNCTION("""COMPUTED_VALUE"""),"PHASE 1A")</f>
        <v>PHASE 1A</v>
      </c>
      <c r="N2383" s="1"/>
      <c r="O2383" s="1" t="str">
        <f>IFERROR(__xludf.DUMMYFUNCTION("""COMPUTED_VALUE"""),"ACACIA")</f>
        <v>ACACIA</v>
      </c>
      <c r="P2383" s="1" t="str">
        <f>IFERROR(__xludf.DUMMYFUNCTION("""COMPUTED_VALUE"""),"SILANG")</f>
        <v>SILANG</v>
      </c>
      <c r="Q2383" s="1" t="str">
        <f>IFERROR(__xludf.DUMMYFUNCTION("""COMPUTED_VALUE"""),"CAVITE")</f>
        <v>CAVITE</v>
      </c>
      <c r="R2383" s="1" t="str">
        <f>IFERROR(__xludf.DUMMYFUNCTION("""COMPUTED_VALUE"""),"FIBR UNLI ALL PLAN 999")</f>
        <v>FIBR UNLI ALL PLAN 999</v>
      </c>
      <c r="S2383" s="1" t="str">
        <f>IFERROR(__xludf.DUMMYFUNCTION("""COMPUTED_VALUE"""),"APPROVED")</f>
        <v>APPROVED</v>
      </c>
      <c r="T2383" s="1" t="str">
        <f>IFERROR(__xludf.DUMMYFUNCTION("""COMPUTED_VALUE"""),"CLOSED")</f>
        <v>CLOSED</v>
      </c>
      <c r="U2383" s="1" t="str">
        <f>IFERROR(__xludf.DUMMYFUNCTION("""COMPUTED_VALUE"""),"POSTED")</f>
        <v>POSTED</v>
      </c>
      <c r="V2383" s="1"/>
      <c r="W2383" s="1"/>
    </row>
    <row r="2384" customHeight="1" spans="1:23">
      <c r="A2384" s="3">
        <f>IFERROR(__xludf.DUMMYFUNCTION("""COMPUTED_VALUE"""),46209)</f>
        <v>46209</v>
      </c>
      <c r="B2384" s="1" t="str">
        <f>IFERROR(__xludf.DUMMYFUNCTION("""COMPUTED_VALUE"""),"MALIWAT MARK ELVIN")</f>
        <v>MALIWAT MARK ELVIN</v>
      </c>
      <c r="C2384" s="1" t="str">
        <f>IFERROR(__xludf.DUMMYFUNCTION("""COMPUTED_VALUE"""),"FLA")</f>
        <v>FLA</v>
      </c>
      <c r="D2384" s="1" t="str">
        <f>IFERROR(__xludf.DUMMYFUNCTION("""COMPUTED_VALUE"""),"JERIC NAVARRO")</f>
        <v>JERIC NAVARRO</v>
      </c>
      <c r="E2384" s="1" t="str">
        <f>IFERROR(__xludf.DUMMYFUNCTION("""COMPUTED_VALUE"""),"PLDT / ONLINE")</f>
        <v>PLDT / ONLINE</v>
      </c>
      <c r="F2384" s="1">
        <f>IFERROR(__xludf.DUMMYFUNCTION("""COMPUTED_VALUE"""),2310746585)</f>
        <v>2310746585</v>
      </c>
      <c r="G2384" s="1">
        <f>IFERROR(__xludf.DUMMYFUNCTION("""COMPUTED_VALUE"""),461546101004)</f>
        <v>461546101004</v>
      </c>
      <c r="H2384" s="1" t="str">
        <f>IFERROR(__xludf.DUMMYFUNCTION("""COMPUTED_VALUE"""),"GILMOR RICARDO HILARIO BAESA")</f>
        <v>GILMOR RICARDO HILARIO BAESA</v>
      </c>
      <c r="I2384" s="1">
        <f>IFERROR(__xludf.DUMMYFUNCTION("""COMPUTED_VALUE"""),9478618059)</f>
        <v>9478618059</v>
      </c>
      <c r="J2384" s="1">
        <f>IFERROR(__xludf.DUMMYFUNCTION("""COMPUTED_VALUE"""),9939246939)</f>
        <v>9939246939</v>
      </c>
      <c r="K2384" s="1" t="str">
        <f>IFERROR(__xludf.DUMMYFUNCTION("""COMPUTED_VALUE"""),"girleeedma.133@gmail.com")</f>
        <v>girleeedma.133@gmail.com</v>
      </c>
      <c r="L2384" s="1" t="str">
        <f>IFERROR(__xludf.DUMMYFUNCTION("""COMPUTED_VALUE"""),"BLK 1 LOT 48")</f>
        <v>BLK 1 LOT 48</v>
      </c>
      <c r="M2384" s="1" t="str">
        <f>IFERROR(__xludf.DUMMYFUNCTION("""COMPUTED_VALUE"""),"LANCASTER NEW CITY")</f>
        <v>LANCASTER NEW CITY</v>
      </c>
      <c r="N2384" s="1"/>
      <c r="O2384" s="1" t="str">
        <f>IFERROR(__xludf.DUMMYFUNCTION("""COMPUTED_VALUE"""),"NAVARRO")</f>
        <v>NAVARRO</v>
      </c>
      <c r="P2384" s="1" t="str">
        <f>IFERROR(__xludf.DUMMYFUNCTION("""COMPUTED_VALUE"""),"GENERAL TRIAS")</f>
        <v>GENERAL TRIAS</v>
      </c>
      <c r="Q2384" s="1" t="str">
        <f>IFERROR(__xludf.DUMMYFUNCTION("""COMPUTED_VALUE"""),"CAVITE")</f>
        <v>CAVITE</v>
      </c>
      <c r="R2384" s="1" t="str">
        <f>IFERROR(__xludf.DUMMYFUNCTION("""COMPUTED_VALUE"""),"FIBR UNLI ALL PLAN 1399")</f>
        <v>FIBR UNLI ALL PLAN 1399</v>
      </c>
      <c r="S2384" s="1" t="str">
        <f>IFERROR(__xludf.DUMMYFUNCTION("""COMPUTED_VALUE"""),"APPROVED")</f>
        <v>APPROVED</v>
      </c>
      <c r="T2384" s="1" t="str">
        <f>IFERROR(__xludf.DUMMYFUNCTION("""COMPUTED_VALUE"""),"CLOSED")</f>
        <v>CLOSED</v>
      </c>
      <c r="U2384" s="1" t="str">
        <f>IFERROR(__xludf.DUMMYFUNCTION("""COMPUTED_VALUE"""),"POSTED")</f>
        <v>POSTED</v>
      </c>
      <c r="V2384" s="1"/>
      <c r="W2384" s="1"/>
    </row>
    <row r="2385" customHeight="1" spans="1:23">
      <c r="A2385" s="3">
        <f>IFERROR(__xludf.DUMMYFUNCTION("""COMPUTED_VALUE"""),46209)</f>
        <v>46209</v>
      </c>
      <c r="B2385" s="1" t="str">
        <f>IFERROR(__xludf.DUMMYFUNCTION("""COMPUTED_VALUE"""),"TAMAYO, MARY ROSE")</f>
        <v>TAMAYO, MARY ROSE</v>
      </c>
      <c r="C2385" s="1" t="str">
        <f>IFERROR(__xludf.DUMMYFUNCTION("""COMPUTED_VALUE"""),"ORGANIC")</f>
        <v>ORGANIC</v>
      </c>
      <c r="D2385" s="1" t="str">
        <f>IFERROR(__xludf.DUMMYFUNCTION("""COMPUTED_VALUE"""),"REMOLLO LEA")</f>
        <v>REMOLLO LEA</v>
      </c>
      <c r="E2385" s="1" t="str">
        <f>IFERROR(__xludf.DUMMYFUNCTION("""COMPUTED_VALUE"""),"PLDT / H2H")</f>
        <v>PLDT / H2H</v>
      </c>
      <c r="F2385" s="1">
        <f>IFERROR(__xludf.DUMMYFUNCTION("""COMPUTED_VALUE"""),2310748990)</f>
        <v>2310748990</v>
      </c>
      <c r="G2385" s="1">
        <f>IFERROR(__xludf.DUMMYFUNCTION("""COMPUTED_VALUE"""),461553917004)</f>
        <v>461553917004</v>
      </c>
      <c r="H2385" s="1" t="str">
        <f>IFERROR(__xludf.DUMMYFUNCTION("""COMPUTED_VALUE"""),"ROMEL MERCADO ROSALES")</f>
        <v>ROMEL MERCADO ROSALES</v>
      </c>
      <c r="I2385" s="1">
        <f>IFERROR(__xludf.DUMMYFUNCTION("""COMPUTED_VALUE"""),9628570523)</f>
        <v>9628570523</v>
      </c>
      <c r="J2385" s="1">
        <f>IFERROR(__xludf.DUMMYFUNCTION("""COMPUTED_VALUE"""),9916753398)</f>
        <v>9916753398</v>
      </c>
      <c r="K2385" s="1" t="str">
        <f>IFERROR(__xludf.DUMMYFUNCTION("""COMPUTED_VALUE"""),"romel041993@gmail.com")</f>
        <v>romel041993@gmail.com</v>
      </c>
      <c r="L2385" s="1" t="str">
        <f>IFERROR(__xludf.DUMMYFUNCTION("""COMPUTED_VALUE"""),"9088")</f>
        <v>9088</v>
      </c>
      <c r="M2385" s="1" t="str">
        <f>IFERROR(__xludf.DUMMYFUNCTION("""COMPUTED_VALUE"""),"PUROK 2")</f>
        <v>PUROK 2</v>
      </c>
      <c r="N2385" s="1"/>
      <c r="O2385" s="1" t="str">
        <f>IFERROR(__xludf.DUMMYFUNCTION("""COMPUTED_VALUE"""),"CABANGAAN")</f>
        <v>CABANGAAN</v>
      </c>
      <c r="P2385" s="1" t="str">
        <f>IFERROR(__xludf.DUMMYFUNCTION("""COMPUTED_VALUE"""),"SILANG")</f>
        <v>SILANG</v>
      </c>
      <c r="Q2385" s="1" t="str">
        <f>IFERROR(__xludf.DUMMYFUNCTION("""COMPUTED_VALUE"""),"CAVITE")</f>
        <v>CAVITE</v>
      </c>
      <c r="R2385" s="1" t="str">
        <f>IFERROR(__xludf.DUMMYFUNCTION("""COMPUTED_VALUE"""),"FIBR UNLI ALL PLAN 999")</f>
        <v>FIBR UNLI ALL PLAN 999</v>
      </c>
      <c r="S2385" s="1" t="str">
        <f>IFERROR(__xludf.DUMMYFUNCTION("""COMPUTED_VALUE"""),"APPROVED")</f>
        <v>APPROVED</v>
      </c>
      <c r="T2385" s="1" t="str">
        <f>IFERROR(__xludf.DUMMYFUNCTION("""COMPUTED_VALUE"""),"CLOSED")</f>
        <v>CLOSED</v>
      </c>
      <c r="U2385" s="1" t="str">
        <f>IFERROR(__xludf.DUMMYFUNCTION("""COMPUTED_VALUE"""),"POSTED")</f>
        <v>POSTED</v>
      </c>
      <c r="V2385" s="1"/>
      <c r="W2385" s="1"/>
    </row>
    <row r="2386" customHeight="1" spans="1:23">
      <c r="A2386" s="3">
        <f>IFERROR(__xludf.DUMMYFUNCTION("""COMPUTED_VALUE"""),46209)</f>
        <v>46209</v>
      </c>
      <c r="B2386" s="1" t="str">
        <f>IFERROR(__xludf.DUMMYFUNCTION("""COMPUTED_VALUE"""),"GABAY, MANUEL")</f>
        <v>GABAY, MANUEL</v>
      </c>
      <c r="C2386" s="1" t="str">
        <f>IFERROR(__xludf.DUMMYFUNCTION("""COMPUTED_VALUE"""),"FLA")</f>
        <v>FLA</v>
      </c>
      <c r="D2386" s="1" t="str">
        <f>IFERROR(__xludf.DUMMYFUNCTION("""COMPUTED_VALUE"""),"JERIC NAVARRO")</f>
        <v>JERIC NAVARRO</v>
      </c>
      <c r="E2386" s="1" t="str">
        <f>IFERROR(__xludf.DUMMYFUNCTION("""COMPUTED_VALUE"""),"PLDT / H2H")</f>
        <v>PLDT / H2H</v>
      </c>
      <c r="F2386" s="1">
        <f>IFERROR(__xludf.DUMMYFUNCTION("""COMPUTED_VALUE"""),2310752139)</f>
        <v>2310752139</v>
      </c>
      <c r="G2386" s="1">
        <f>IFERROR(__xludf.DUMMYFUNCTION("""COMPUTED_VALUE"""),461554917004)</f>
        <v>461554917004</v>
      </c>
      <c r="H2386" s="1" t="str">
        <f>IFERROR(__xludf.DUMMYFUNCTION("""COMPUTED_VALUE"""),"NELSON YBANEZ DUCA")</f>
        <v>NELSON YBANEZ DUCA</v>
      </c>
      <c r="I2386" s="1">
        <f>IFERROR(__xludf.DUMMYFUNCTION("""COMPUTED_VALUE"""),9634037557)</f>
        <v>9634037557</v>
      </c>
      <c r="J2386" s="1">
        <f>IFERROR(__xludf.DUMMYFUNCTION("""COMPUTED_VALUE"""),9614836127)</f>
        <v>9614836127</v>
      </c>
      <c r="K2386" s="1" t="str">
        <f>IFERROR(__xludf.DUMMYFUNCTION("""COMPUTED_VALUE"""),"maryruthtodongbanua18@gmail.com")</f>
        <v>maryruthtodongbanua18@gmail.com</v>
      </c>
      <c r="L2386" s="1" t="str">
        <f>IFERROR(__xludf.DUMMYFUNCTION("""COMPUTED_VALUE"""),"6650")</f>
        <v>6650</v>
      </c>
      <c r="M2386" s="1" t="str">
        <f>IFERROR(__xludf.DUMMYFUNCTION("""COMPUTED_VALUE"""),"PUROK 43")</f>
        <v>PUROK 43</v>
      </c>
      <c r="N2386" s="1"/>
      <c r="O2386" s="1" t="str">
        <f>IFERROR(__xludf.DUMMYFUNCTION("""COMPUTED_VALUE"""),"IRUHIN WEST")</f>
        <v>IRUHIN WEST</v>
      </c>
      <c r="P2386" s="1" t="str">
        <f>IFERROR(__xludf.DUMMYFUNCTION("""COMPUTED_VALUE"""),"TAGAYTAY")</f>
        <v>TAGAYTAY</v>
      </c>
      <c r="Q2386" s="1" t="str">
        <f>IFERROR(__xludf.DUMMYFUNCTION("""COMPUTED_VALUE"""),"CAVITE")</f>
        <v>CAVITE</v>
      </c>
      <c r="R2386" s="1" t="str">
        <f>IFERROR(__xludf.DUMMYFUNCTION("""COMPUTED_VALUE"""),"FIBR UNLI ALL PLAN 1399")</f>
        <v>FIBR UNLI ALL PLAN 1399</v>
      </c>
      <c r="S2386" s="1" t="str">
        <f>IFERROR(__xludf.DUMMYFUNCTION("""COMPUTED_VALUE"""),"APPROVED")</f>
        <v>APPROVED</v>
      </c>
      <c r="T2386" s="1" t="str">
        <f>IFERROR(__xludf.DUMMYFUNCTION("""COMPUTED_VALUE"""),"CLOSED")</f>
        <v>CLOSED</v>
      </c>
      <c r="U2386" s="1" t="str">
        <f>IFERROR(__xludf.DUMMYFUNCTION("""COMPUTED_VALUE"""),"POSTED")</f>
        <v>POSTED</v>
      </c>
      <c r="V2386" s="1"/>
      <c r="W2386" s="1"/>
    </row>
    <row r="2387" customHeight="1" spans="1:23">
      <c r="A2387" s="3">
        <f>IFERROR(__xludf.DUMMYFUNCTION("""COMPUTED_VALUE"""),46209)</f>
        <v>46209</v>
      </c>
      <c r="B2387" s="1" t="str">
        <f>IFERROR(__xludf.DUMMYFUNCTION("""COMPUTED_VALUE"""),"GABAY, MANUEL")</f>
        <v>GABAY, MANUEL</v>
      </c>
      <c r="C2387" s="1" t="str">
        <f>IFERROR(__xludf.DUMMYFUNCTION("""COMPUTED_VALUE"""),"FLA")</f>
        <v>FLA</v>
      </c>
      <c r="D2387" s="1" t="str">
        <f>IFERROR(__xludf.DUMMYFUNCTION("""COMPUTED_VALUE"""),"JERIC NAVARRO")</f>
        <v>JERIC NAVARRO</v>
      </c>
      <c r="E2387" s="1" t="str">
        <f>IFERROR(__xludf.DUMMYFUNCTION("""COMPUTED_VALUE"""),"PLDT / H2H")</f>
        <v>PLDT / H2H</v>
      </c>
      <c r="F2387" s="1">
        <f>IFERROR(__xludf.DUMMYFUNCTION("""COMPUTED_VALUE"""),2310752790)</f>
        <v>2310752790</v>
      </c>
      <c r="G2387" s="1">
        <f>IFERROR(__xludf.DUMMYFUNCTION("""COMPUTED_VALUE"""),461553104004)</f>
        <v>461553104004</v>
      </c>
      <c r="H2387" s="1" t="str">
        <f>IFERROR(__xludf.DUMMYFUNCTION("""COMPUTED_VALUE"""),"ARIEL MANJARES BALAYO")</f>
        <v>ARIEL MANJARES BALAYO</v>
      </c>
      <c r="I2387" s="1">
        <f>IFERROR(__xludf.DUMMYFUNCTION("""COMPUTED_VALUE"""),9668803916)</f>
        <v>9668803916</v>
      </c>
      <c r="J2387" s="1">
        <f>IFERROR(__xludf.DUMMYFUNCTION("""COMPUTED_VALUE"""),9940187046)</f>
        <v>9940187046</v>
      </c>
      <c r="K2387" s="1" t="str">
        <f>IFERROR(__xludf.DUMMYFUNCTION("""COMPUTED_VALUE"""),"balayoariel9@gmail.com")</f>
        <v>balayoariel9@gmail.com</v>
      </c>
      <c r="L2387" s="1" t="str">
        <f>IFERROR(__xludf.DUMMYFUNCTION("""COMPUTED_VALUE"""),"9081")</f>
        <v>9081</v>
      </c>
      <c r="M2387" s="1" t="str">
        <f>IFERROR(__xludf.DUMMYFUNCTION("""COMPUTED_VALUE"""),"PUROK 2")</f>
        <v>PUROK 2</v>
      </c>
      <c r="N2387" s="1"/>
      <c r="O2387" s="1" t="str">
        <f>IFERROR(__xludf.DUMMYFUNCTION("""COMPUTED_VALUE"""),"CABANGAAN")</f>
        <v>CABANGAAN</v>
      </c>
      <c r="P2387" s="1" t="str">
        <f>IFERROR(__xludf.DUMMYFUNCTION("""COMPUTED_VALUE"""),"SILANG")</f>
        <v>SILANG</v>
      </c>
      <c r="Q2387" s="1" t="str">
        <f>IFERROR(__xludf.DUMMYFUNCTION("""COMPUTED_VALUE"""),"CAVITE")</f>
        <v>CAVITE</v>
      </c>
      <c r="R2387" s="1" t="str">
        <f>IFERROR(__xludf.DUMMYFUNCTION("""COMPUTED_VALUE"""),"FIBR UNLI ALL PLAN 999")</f>
        <v>FIBR UNLI ALL PLAN 999</v>
      </c>
      <c r="S2387" s="1" t="str">
        <f>IFERROR(__xludf.DUMMYFUNCTION("""COMPUTED_VALUE"""),"APPROVED")</f>
        <v>APPROVED</v>
      </c>
      <c r="T2387" s="1" t="str">
        <f>IFERROR(__xludf.DUMMYFUNCTION("""COMPUTED_VALUE"""),"CLOSED")</f>
        <v>CLOSED</v>
      </c>
      <c r="U2387" s="1" t="str">
        <f>IFERROR(__xludf.DUMMYFUNCTION("""COMPUTED_VALUE"""),"POSTED")</f>
        <v>POSTED</v>
      </c>
      <c r="V2387" s="1"/>
      <c r="W2387" s="1"/>
    </row>
    <row r="2388" customHeight="1" spans="1:23">
      <c r="A2388" s="3">
        <f>IFERROR(__xludf.DUMMYFUNCTION("""COMPUTED_VALUE"""),46209)</f>
        <v>46209</v>
      </c>
      <c r="B2388" s="1" t="str">
        <f>IFERROR(__xludf.DUMMYFUNCTION("""COMPUTED_VALUE"""),"REMOLLO, LEA")</f>
        <v>REMOLLO, LEA</v>
      </c>
      <c r="C2388" s="1" t="str">
        <f>IFERROR(__xludf.DUMMYFUNCTION("""COMPUTED_VALUE"""),"FLA")</f>
        <v>FLA</v>
      </c>
      <c r="D2388" s="1" t="str">
        <f>IFERROR(__xludf.DUMMYFUNCTION("""COMPUTED_VALUE"""),"JERIC NAVARRO")</f>
        <v>JERIC NAVARRO</v>
      </c>
      <c r="E2388" s="1" t="str">
        <f>IFERROR(__xludf.DUMMYFUNCTION("""COMPUTED_VALUE"""),"PLDT / ONLINE")</f>
        <v>PLDT / ONLINE</v>
      </c>
      <c r="F2388" s="1">
        <f>IFERROR(__xludf.DUMMYFUNCTION("""COMPUTED_VALUE"""),2310756694)</f>
        <v>2310756694</v>
      </c>
      <c r="G2388" s="1">
        <f>IFERROR(__xludf.DUMMYFUNCTION("""COMPUTED_VALUE"""),461563034004)</f>
        <v>461563034004</v>
      </c>
      <c r="H2388" s="1" t="str">
        <f>IFERROR(__xludf.DUMMYFUNCTION("""COMPUTED_VALUE"""),"SUZETTE JUANGCO CALDERON")</f>
        <v>SUZETTE JUANGCO CALDERON</v>
      </c>
      <c r="I2388" s="1">
        <f>IFERROR(__xludf.DUMMYFUNCTION("""COMPUTED_VALUE"""),9456013194)</f>
        <v>9456013194</v>
      </c>
      <c r="J2388" s="1"/>
      <c r="K2388" s="1" t="str">
        <f>IFERROR(__xludf.DUMMYFUNCTION("""COMPUTED_VALUE"""),"suzettecalderon4487@gmail.com")</f>
        <v>suzettecalderon4487@gmail.com</v>
      </c>
      <c r="L2388" s="1" t="str">
        <f>IFERROR(__xludf.DUMMYFUNCTION("""COMPUTED_VALUE"""),"87")</f>
        <v>87</v>
      </c>
      <c r="M2388" s="1" t="str">
        <f>IFERROR(__xludf.DUMMYFUNCTION("""COMPUTED_VALUE"""),"PUROK 4")</f>
        <v>PUROK 4</v>
      </c>
      <c r="N2388" s="1"/>
      <c r="O2388" s="1" t="str">
        <f>IFERROR(__xludf.DUMMYFUNCTION("""COMPUTED_VALUE"""),"BALITE I")</f>
        <v>BALITE I</v>
      </c>
      <c r="P2388" s="1" t="str">
        <f>IFERROR(__xludf.DUMMYFUNCTION("""COMPUTED_VALUE"""),"SILANG")</f>
        <v>SILANG</v>
      </c>
      <c r="Q2388" s="1" t="str">
        <f>IFERROR(__xludf.DUMMYFUNCTION("""COMPUTED_VALUE"""),"CAVITE")</f>
        <v>CAVITE</v>
      </c>
      <c r="R2388" s="1" t="str">
        <f>IFERROR(__xludf.DUMMYFUNCTION("""COMPUTED_VALUE"""),"FIBR NETFLIX PLAN 1599")</f>
        <v>FIBR NETFLIX PLAN 1599</v>
      </c>
      <c r="S2388" s="1" t="str">
        <f>IFERROR(__xludf.DUMMYFUNCTION("""COMPUTED_VALUE"""),"APPROVED")</f>
        <v>APPROVED</v>
      </c>
      <c r="T2388" s="1" t="str">
        <f>IFERROR(__xludf.DUMMYFUNCTION("""COMPUTED_VALUE"""),"CLOSED")</f>
        <v>CLOSED</v>
      </c>
      <c r="U2388" s="1" t="str">
        <f>IFERROR(__xludf.DUMMYFUNCTION("""COMPUTED_VALUE"""),"POSTED")</f>
        <v>POSTED</v>
      </c>
      <c r="V2388" s="1"/>
      <c r="W2388" s="1"/>
    </row>
    <row r="2389" customHeight="1" spans="1:23">
      <c r="A2389" s="3">
        <f>IFERROR(__xludf.DUMMYFUNCTION("""COMPUTED_VALUE"""),46209)</f>
        <v>46209</v>
      </c>
      <c r="B2389" s="1" t="str">
        <f>IFERROR(__xludf.DUMMYFUNCTION("""COMPUTED_VALUE"""),"FRANCISCO , ROSELYN")</f>
        <v>FRANCISCO , ROSELYN</v>
      </c>
      <c r="C2389" s="1" t="str">
        <f>IFERROR(__xludf.DUMMYFUNCTION("""COMPUTED_VALUE"""),"ORGANIC")</f>
        <v>ORGANIC</v>
      </c>
      <c r="D2389" s="1" t="str">
        <f>IFERROR(__xludf.DUMMYFUNCTION("""COMPUTED_VALUE"""),"REMOLLO LEA")</f>
        <v>REMOLLO LEA</v>
      </c>
      <c r="E2389" s="1" t="str">
        <f>IFERROR(__xludf.DUMMYFUNCTION("""COMPUTED_VALUE"""),"PLDT / ONLINE")</f>
        <v>PLDT / ONLINE</v>
      </c>
      <c r="F2389" s="1">
        <f>IFERROR(__xludf.DUMMYFUNCTION("""COMPUTED_VALUE"""),2310758815)</f>
        <v>2310758815</v>
      </c>
      <c r="G2389" s="1">
        <f>IFERROR(__xludf.DUMMYFUNCTION("""COMPUTED_VALUE"""),461561764004)</f>
        <v>461561764004</v>
      </c>
      <c r="H2389" s="1" t="str">
        <f>IFERROR(__xludf.DUMMYFUNCTION("""COMPUTED_VALUE"""),"JULIE ANN GOMEZ SAN JUAN")</f>
        <v>JULIE ANN GOMEZ SAN JUAN</v>
      </c>
      <c r="I2389" s="1">
        <f>IFERROR(__xludf.DUMMYFUNCTION("""COMPUTED_VALUE"""),9175741023)</f>
        <v>9175741023</v>
      </c>
      <c r="J2389" s="1"/>
      <c r="K2389" s="1" t="str">
        <f>IFERROR(__xludf.DUMMYFUNCTION("""COMPUTED_VALUE"""),"micaloriraine102317@gmail.com")</f>
        <v>micaloriraine102317@gmail.com</v>
      </c>
      <c r="L2389" s="1" t="str">
        <f>IFERROR(__xludf.DUMMYFUNCTION("""COMPUTED_VALUE"""),"339")</f>
        <v>339</v>
      </c>
      <c r="M2389" s="1" t="str">
        <f>IFERROR(__xludf.DUMMYFUNCTION("""COMPUTED_VALUE"""),"PETRO BATHAN ")</f>
        <v>PETRO BATHAN </v>
      </c>
      <c r="N2389" s="1"/>
      <c r="O2389" s="1" t="str">
        <f>IFERROR(__xludf.DUMMYFUNCTION("""COMPUTED_VALUE"""),"TARTARIA")</f>
        <v>TARTARIA</v>
      </c>
      <c r="P2389" s="1" t="str">
        <f>IFERROR(__xludf.DUMMYFUNCTION("""COMPUTED_VALUE"""),"SILANG")</f>
        <v>SILANG</v>
      </c>
      <c r="Q2389" s="1" t="str">
        <f>IFERROR(__xludf.DUMMYFUNCTION("""COMPUTED_VALUE"""),"CAVITE")</f>
        <v>CAVITE</v>
      </c>
      <c r="R2389" s="1" t="str">
        <f>IFERROR(__xludf.DUMMYFUNCTION("""COMPUTED_VALUE"""),"FIBR UNLI ALL PLAN 999")</f>
        <v>FIBR UNLI ALL PLAN 999</v>
      </c>
      <c r="S2389" s="1" t="str">
        <f>IFERROR(__xludf.DUMMYFUNCTION("""COMPUTED_VALUE"""),"APPROVED")</f>
        <v>APPROVED</v>
      </c>
      <c r="T2389" s="1" t="str">
        <f>IFERROR(__xludf.DUMMYFUNCTION("""COMPUTED_VALUE"""),"RPR")</f>
        <v>RPR</v>
      </c>
      <c r="U2389" s="1"/>
      <c r="V2389" s="1"/>
      <c r="W2389" s="1"/>
    </row>
    <row r="2390" customHeight="1" spans="1:23">
      <c r="A2390" s="3">
        <f>IFERROR(__xludf.DUMMYFUNCTION("""COMPUTED_VALUE"""),46209)</f>
        <v>46209</v>
      </c>
      <c r="B2390" s="1" t="str">
        <f>IFERROR(__xludf.DUMMYFUNCTION("""COMPUTED_VALUE"""),"CARPIO, STEPHANIE NICOLE")</f>
        <v>CARPIO, STEPHANIE NICOLE</v>
      </c>
      <c r="C2390" s="1" t="str">
        <f>IFERROR(__xludf.DUMMYFUNCTION("""COMPUTED_VALUE"""),"FLA")</f>
        <v>FLA</v>
      </c>
      <c r="D2390" s="1" t="str">
        <f>IFERROR(__xludf.DUMMYFUNCTION("""COMPUTED_VALUE"""),"JERIC NAVARRO")</f>
        <v>JERIC NAVARRO</v>
      </c>
      <c r="E2390" s="1" t="str">
        <f>IFERROR(__xludf.DUMMYFUNCTION("""COMPUTED_VALUE"""),"PLDT / H2H")</f>
        <v>PLDT / H2H</v>
      </c>
      <c r="F2390" s="1">
        <f>IFERROR(__xludf.DUMMYFUNCTION("""COMPUTED_VALUE"""),2310760253)</f>
        <v>2310760253</v>
      </c>
      <c r="G2390" s="1">
        <f>IFERROR(__xludf.DUMMYFUNCTION("""COMPUTED_VALUE"""),461562508004)</f>
        <v>461562508004</v>
      </c>
      <c r="H2390" s="1" t="str">
        <f>IFERROR(__xludf.DUMMYFUNCTION("""COMPUTED_VALUE"""),"RONEL EIZZER AUSTRIA FRIOLO")</f>
        <v>RONEL EIZZER AUSTRIA FRIOLO</v>
      </c>
      <c r="I2390" s="1">
        <f>IFERROR(__xludf.DUMMYFUNCTION("""COMPUTED_VALUE"""),9959702709)</f>
        <v>9959702709</v>
      </c>
      <c r="J2390" s="1"/>
      <c r="K2390" s="1" t="str">
        <f>IFERROR(__xludf.DUMMYFUNCTION("""COMPUTED_VALUE"""),"eizzer13@gmail.com")</f>
        <v>eizzer13@gmail.com</v>
      </c>
      <c r="L2390" s="1" t="str">
        <f>IFERROR(__xludf.DUMMYFUNCTION("""COMPUTED_VALUE"""),"321")</f>
        <v>321</v>
      </c>
      <c r="M2390" s="1" t="str">
        <f>IFERROR(__xludf.DUMMYFUNCTION("""COMPUTED_VALUE"""),"BURGUS")</f>
        <v>BURGUS</v>
      </c>
      <c r="N2390" s="1"/>
      <c r="O2390" s="1" t="str">
        <f>IFERROR(__xludf.DUMMYFUNCTION("""COMPUTED_VALUE"""),"BARANGAY 31 (MAYA-MAYA)")</f>
        <v>BARANGAY 31 (MAYA-MAYA)</v>
      </c>
      <c r="P2390" s="1" t="str">
        <f>IFERROR(__xludf.DUMMYFUNCTION("""COMPUTED_VALUE"""),"CAVITE CITY")</f>
        <v>CAVITE CITY</v>
      </c>
      <c r="Q2390" s="1" t="str">
        <f>IFERROR(__xludf.DUMMYFUNCTION("""COMPUTED_VALUE"""),"CAVITE")</f>
        <v>CAVITE</v>
      </c>
      <c r="R2390" s="1" t="str">
        <f>IFERROR(__xludf.DUMMYFUNCTION("""COMPUTED_VALUE"""),"FIBR UNLI ALL PLAN 1799")</f>
        <v>FIBR UNLI ALL PLAN 1799</v>
      </c>
      <c r="S2390" s="1" t="str">
        <f>IFERROR(__xludf.DUMMYFUNCTION("""COMPUTED_VALUE"""),"APPROVED")</f>
        <v>APPROVED</v>
      </c>
      <c r="T2390" s="1" t="str">
        <f>IFERROR(__xludf.DUMMYFUNCTION("""COMPUTED_VALUE"""),"CLOSED")</f>
        <v>CLOSED</v>
      </c>
      <c r="U2390" s="1" t="str">
        <f>IFERROR(__xludf.DUMMYFUNCTION("""COMPUTED_VALUE"""),"POSTED")</f>
        <v>POSTED</v>
      </c>
      <c r="V2390" s="1"/>
      <c r="W2390" s="1"/>
    </row>
    <row r="2391" customHeight="1" spans="1:23">
      <c r="A2391" s="3">
        <f>IFERROR(__xludf.DUMMYFUNCTION("""COMPUTED_VALUE"""),46210)</f>
        <v>46210</v>
      </c>
      <c r="B2391" s="1" t="str">
        <f>IFERROR(__xludf.DUMMYFUNCTION("""COMPUTED_VALUE"""),"LEADSTORE - ILANO, LIANDRO TEJAS")</f>
        <v>LEADSTORE - ILANO, LIANDRO TEJAS</v>
      </c>
      <c r="C2391" s="1" t="str">
        <f>IFERROR(__xludf.DUMMYFUNCTION("""COMPUTED_VALUE"""),"FLA")</f>
        <v>FLA</v>
      </c>
      <c r="D2391" s="1" t="str">
        <f>IFERROR(__xludf.DUMMYFUNCTION("""COMPUTED_VALUE"""),"JERIC NAVARRO")</f>
        <v>JERIC NAVARRO</v>
      </c>
      <c r="E2391" s="1" t="str">
        <f>IFERROR(__xludf.DUMMYFUNCTION("""COMPUTED_VALUE"""),"PLDT / ONLINE")</f>
        <v>PLDT / ONLINE</v>
      </c>
      <c r="F2391" s="1">
        <f>IFERROR(__xludf.DUMMYFUNCTION("""COMPUTED_VALUE"""),2310772112)</f>
        <v>2310772112</v>
      </c>
      <c r="G2391" s="1">
        <f>IFERROR(__xludf.DUMMYFUNCTION("""COMPUTED_VALUE"""),461640176004)</f>
        <v>461640176004</v>
      </c>
      <c r="H2391" s="1" t="str">
        <f>IFERROR(__xludf.DUMMYFUNCTION("""COMPUTED_VALUE"""),"NOLI TEJAS ILANO")</f>
        <v>NOLI TEJAS ILANO</v>
      </c>
      <c r="I2391" s="1">
        <f>IFERROR(__xludf.DUMMYFUNCTION("""COMPUTED_VALUE"""),9816705330)</f>
        <v>9816705330</v>
      </c>
      <c r="J2391" s="1">
        <f>IFERROR(__xludf.DUMMYFUNCTION("""COMPUTED_VALUE"""),9932103899)</f>
        <v>9932103899</v>
      </c>
      <c r="K2391" s="1" t="str">
        <f>IFERROR(__xludf.DUMMYFUNCTION("""COMPUTED_VALUE"""),"notfoundtyrone@gmail.com")</f>
        <v>notfoundtyrone@gmail.com</v>
      </c>
      <c r="L2391" s="1" t="str">
        <f>IFERROR(__xludf.DUMMYFUNCTION("""COMPUTED_VALUE"""),"5075")</f>
        <v>5075</v>
      </c>
      <c r="M2391" s="1" t="str">
        <f>IFERROR(__xludf.DUMMYFUNCTION("""COMPUTED_VALUE"""),"VERSACE")</f>
        <v>VERSACE</v>
      </c>
      <c r="N2391" s="1"/>
      <c r="O2391" s="1" t="str">
        <f>IFERROR(__xludf.DUMMYFUNCTION("""COMPUTED_VALUE"""),"BUROL III")</f>
        <v>BUROL III</v>
      </c>
      <c r="P2391" s="1" t="str">
        <f>IFERROR(__xludf.DUMMYFUNCTION("""COMPUTED_VALUE"""),"DASMARINAS")</f>
        <v>DASMARINAS</v>
      </c>
      <c r="Q2391" s="1" t="str">
        <f>IFERROR(__xludf.DUMMYFUNCTION("""COMPUTED_VALUE"""),"CAVITE")</f>
        <v>CAVITE</v>
      </c>
      <c r="R2391" s="1" t="str">
        <f>IFERROR(__xludf.DUMMYFUNCTION("""COMPUTED_VALUE"""),"FIBR UNLI ALL PLAN 1399")</f>
        <v>FIBR UNLI ALL PLAN 1399</v>
      </c>
      <c r="S2391" s="1" t="str">
        <f>IFERROR(__xludf.DUMMYFUNCTION("""COMPUTED_VALUE"""),"APPROVED")</f>
        <v>APPROVED</v>
      </c>
      <c r="T2391" s="1" t="str">
        <f>IFERROR(__xludf.DUMMYFUNCTION("""COMPUTED_VALUE"""),"RPR")</f>
        <v>RPR</v>
      </c>
      <c r="U2391" s="1"/>
      <c r="V2391" s="1"/>
      <c r="W2391" s="1"/>
    </row>
    <row r="2392" customHeight="1" spans="1:23">
      <c r="A2392" s="3">
        <f>IFERROR(__xludf.DUMMYFUNCTION("""COMPUTED_VALUE"""),46210)</f>
        <v>46210</v>
      </c>
      <c r="B2392" s="1" t="str">
        <f>IFERROR(__xludf.DUMMYFUNCTION("""COMPUTED_VALUE"""),"FRANCISCO , ROSELYN")</f>
        <v>FRANCISCO , ROSELYN</v>
      </c>
      <c r="C2392" s="1" t="str">
        <f>IFERROR(__xludf.DUMMYFUNCTION("""COMPUTED_VALUE"""),"ORGANIC")</f>
        <v>ORGANIC</v>
      </c>
      <c r="D2392" s="1" t="str">
        <f>IFERROR(__xludf.DUMMYFUNCTION("""COMPUTED_VALUE"""),"REMOLLO LEA")</f>
        <v>REMOLLO LEA</v>
      </c>
      <c r="E2392" s="1" t="str">
        <f>IFERROR(__xludf.DUMMYFUNCTION("""COMPUTED_VALUE"""),"PLDT / ONLINE")</f>
        <v>PLDT / ONLINE</v>
      </c>
      <c r="F2392" s="1">
        <f>IFERROR(__xludf.DUMMYFUNCTION("""COMPUTED_VALUE"""),2310774383)</f>
        <v>2310774383</v>
      </c>
      <c r="G2392" s="1">
        <f>IFERROR(__xludf.DUMMYFUNCTION("""COMPUTED_VALUE"""),461659156004)</f>
        <v>461659156004</v>
      </c>
      <c r="H2392" s="1" t="str">
        <f>IFERROR(__xludf.DUMMYFUNCTION("""COMPUTED_VALUE"""),"EMILIA ALFONSO MOJICA")</f>
        <v>EMILIA ALFONSO MOJICA</v>
      </c>
      <c r="I2392" s="1">
        <f>IFERROR(__xludf.DUMMYFUNCTION("""COMPUTED_VALUE"""),9945167533)</f>
        <v>9945167533</v>
      </c>
      <c r="J2392" s="1">
        <f>IFERROR(__xludf.DUMMYFUNCTION("""COMPUTED_VALUE"""),9241889102)</f>
        <v>9241889102</v>
      </c>
      <c r="K2392" s="1" t="str">
        <f>IFERROR(__xludf.DUMMYFUNCTION("""COMPUTED_VALUE"""),"mercedangel090@gmail.com")</f>
        <v>mercedangel090@gmail.com</v>
      </c>
      <c r="L2392" s="1" t="str">
        <f>IFERROR(__xludf.DUMMYFUNCTION("""COMPUTED_VALUE"""),"199")</f>
        <v>199</v>
      </c>
      <c r="M2392" s="1" t="str">
        <f>IFERROR(__xludf.DUMMYFUNCTION("""COMPUTED_VALUE"""),"PUROK ILAYA")</f>
        <v>PUROK ILAYA</v>
      </c>
      <c r="N2392" s="1"/>
      <c r="O2392" s="1" t="str">
        <f>IFERROR(__xludf.DUMMYFUNCTION("""COMPUTED_VALUE"""),"GUYAM MALAKI")</f>
        <v>GUYAM MALAKI</v>
      </c>
      <c r="P2392" s="1" t="str">
        <f>IFERROR(__xludf.DUMMYFUNCTION("""COMPUTED_VALUE"""),"INDANG")</f>
        <v>INDANG</v>
      </c>
      <c r="Q2392" s="1" t="str">
        <f>IFERROR(__xludf.DUMMYFUNCTION("""COMPUTED_VALUE"""),"CAVITE")</f>
        <v>CAVITE</v>
      </c>
      <c r="R2392" s="1" t="str">
        <f>IFERROR(__xludf.DUMMYFUNCTION("""COMPUTED_VALUE"""),"FIBR UNLI ALL PLAN 999")</f>
        <v>FIBR UNLI ALL PLAN 999</v>
      </c>
      <c r="S2392" s="1" t="str">
        <f>IFERROR(__xludf.DUMMYFUNCTION("""COMPUTED_VALUE"""),"APPROVED")</f>
        <v>APPROVED</v>
      </c>
      <c r="T2392" s="1" t="str">
        <f>IFERROR(__xludf.DUMMYFUNCTION("""COMPUTED_VALUE"""),"CLOSED")</f>
        <v>CLOSED</v>
      </c>
      <c r="U2392" s="1" t="str">
        <f>IFERROR(__xludf.DUMMYFUNCTION("""COMPUTED_VALUE"""),"POSTED")</f>
        <v>POSTED</v>
      </c>
      <c r="V2392" s="1"/>
      <c r="W2392" s="1"/>
    </row>
    <row r="2393" customHeight="1" spans="1:23">
      <c r="A2393" s="3">
        <f>IFERROR(__xludf.DUMMYFUNCTION("""COMPUTED_VALUE"""),46210)</f>
        <v>46210</v>
      </c>
      <c r="B2393" s="1" t="str">
        <f>IFERROR(__xludf.DUMMYFUNCTION("""COMPUTED_VALUE"""),"FRANCISCO , ROSELYN")</f>
        <v>FRANCISCO , ROSELYN</v>
      </c>
      <c r="C2393" s="1" t="str">
        <f>IFERROR(__xludf.DUMMYFUNCTION("""COMPUTED_VALUE"""),"ORGANIC")</f>
        <v>ORGANIC</v>
      </c>
      <c r="D2393" s="1" t="str">
        <f>IFERROR(__xludf.DUMMYFUNCTION("""COMPUTED_VALUE"""),"REMOLLO LEA")</f>
        <v>REMOLLO LEA</v>
      </c>
      <c r="E2393" s="1" t="str">
        <f>IFERROR(__xludf.DUMMYFUNCTION("""COMPUTED_VALUE"""),"PLDT / ONLINE")</f>
        <v>PLDT / ONLINE</v>
      </c>
      <c r="F2393" s="1">
        <f>IFERROR(__xludf.DUMMYFUNCTION("""COMPUTED_VALUE"""),2310773653)</f>
        <v>2310773653</v>
      </c>
      <c r="G2393" s="1">
        <f>IFERROR(__xludf.DUMMYFUNCTION("""COMPUTED_VALUE"""),461647307004)</f>
        <v>461647307004</v>
      </c>
      <c r="H2393" s="1" t="str">
        <f>IFERROR(__xludf.DUMMYFUNCTION("""COMPUTED_VALUE"""),"RAMELYN VILLARIAS URBANO")</f>
        <v>RAMELYN VILLARIAS URBANO</v>
      </c>
      <c r="I2393" s="1">
        <f>IFERROR(__xludf.DUMMYFUNCTION("""COMPUTED_VALUE"""),9977842757)</f>
        <v>9977842757</v>
      </c>
      <c r="J2393" s="1">
        <f>IFERROR(__xludf.DUMMYFUNCTION("""COMPUTED_VALUE"""),9932191318)</f>
        <v>9932191318</v>
      </c>
      <c r="K2393" s="1" t="str">
        <f>IFERROR(__xludf.DUMMYFUNCTION("""COMPUTED_VALUE"""),"triplekprintz@gmail.com")</f>
        <v>triplekprintz@gmail.com</v>
      </c>
      <c r="L2393" s="1" t="str">
        <f>IFERROR(__xludf.DUMMYFUNCTION("""COMPUTED_VALUE"""),"9016")</f>
        <v>9016</v>
      </c>
      <c r="M2393" s="1" t="str">
        <f>IFERROR(__xludf.DUMMYFUNCTION("""COMPUTED_VALUE"""),"UNIT G")</f>
        <v>UNIT G</v>
      </c>
      <c r="N2393" s="1" t="str">
        <f>IFERROR(__xludf.DUMMYFUNCTION("""COMPUTED_VALUE"""),"SINALIW RD")</f>
        <v>SINALIW RD</v>
      </c>
      <c r="O2393" s="1" t="str">
        <f>IFERROR(__xludf.DUMMYFUNCTION("""COMPUTED_VALUE"""),"KAYTITINGA I")</f>
        <v>KAYTITINGA I</v>
      </c>
      <c r="P2393" s="1" t="str">
        <f>IFERROR(__xludf.DUMMYFUNCTION("""COMPUTED_VALUE"""),"ALFONSO")</f>
        <v>ALFONSO</v>
      </c>
      <c r="Q2393" s="1" t="str">
        <f>IFERROR(__xludf.DUMMYFUNCTION("""COMPUTED_VALUE"""),"CAVITE")</f>
        <v>CAVITE</v>
      </c>
      <c r="R2393" s="1" t="str">
        <f>IFERROR(__xludf.DUMMYFUNCTION("""COMPUTED_VALUE"""),"FIBR UNLI ALL PLAN 1399")</f>
        <v>FIBR UNLI ALL PLAN 1399</v>
      </c>
      <c r="S2393" s="1" t="str">
        <f>IFERROR(__xludf.DUMMYFUNCTION("""COMPUTED_VALUE"""),"APPROVED")</f>
        <v>APPROVED</v>
      </c>
      <c r="T2393" s="1" t="str">
        <f>IFERROR(__xludf.DUMMYFUNCTION("""COMPUTED_VALUE"""),"RPR")</f>
        <v>RPR</v>
      </c>
      <c r="U2393" s="1"/>
      <c r="V2393" s="1"/>
      <c r="W2393" s="1"/>
    </row>
    <row r="2394" customHeight="1" spans="1:23">
      <c r="A2394" s="3">
        <f>IFERROR(__xludf.DUMMYFUNCTION("""COMPUTED_VALUE"""),46210)</f>
        <v>46210</v>
      </c>
      <c r="B2394" s="1" t="str">
        <f>IFERROR(__xludf.DUMMYFUNCTION("""COMPUTED_VALUE"""),"FRANCISCO , ROSELYN")</f>
        <v>FRANCISCO , ROSELYN</v>
      </c>
      <c r="C2394" s="1" t="str">
        <f>IFERROR(__xludf.DUMMYFUNCTION("""COMPUTED_VALUE"""),"ORGANIC")</f>
        <v>ORGANIC</v>
      </c>
      <c r="D2394" s="1" t="str">
        <f>IFERROR(__xludf.DUMMYFUNCTION("""COMPUTED_VALUE"""),"REMOLLO LEA")</f>
        <v>REMOLLO LEA</v>
      </c>
      <c r="E2394" s="1" t="str">
        <f>IFERROR(__xludf.DUMMYFUNCTION("""COMPUTED_VALUE"""),"PLDT / ONLINE")</f>
        <v>PLDT / ONLINE</v>
      </c>
      <c r="F2394" s="1">
        <f>IFERROR(__xludf.DUMMYFUNCTION("""COMPUTED_VALUE"""),2310772367)</f>
        <v>2310772367</v>
      </c>
      <c r="G2394" s="1">
        <f>IFERROR(__xludf.DUMMYFUNCTION("""COMPUTED_VALUE"""),461646945004)</f>
        <v>461646945004</v>
      </c>
      <c r="H2394" s="1" t="str">
        <f>IFERROR(__xludf.DUMMYFUNCTION("""COMPUTED_VALUE"""),"JAMAICA SAMARRO INFANTE")</f>
        <v>JAMAICA SAMARRO INFANTE</v>
      </c>
      <c r="I2394" s="1">
        <f>IFERROR(__xludf.DUMMYFUNCTION("""COMPUTED_VALUE"""),9278503309)</f>
        <v>9278503309</v>
      </c>
      <c r="J2394" s="1">
        <f>IFERROR(__xludf.DUMMYFUNCTION("""COMPUTED_VALUE"""),9167363601)</f>
        <v>9167363601</v>
      </c>
      <c r="K2394" s="1" t="str">
        <f>IFERROR(__xludf.DUMMYFUNCTION("""COMPUTED_VALUE"""),"conventecaine@gmail.com")</f>
        <v>conventecaine@gmail.com</v>
      </c>
      <c r="L2394" s="1" t="str">
        <f>IFERROR(__xludf.DUMMYFUNCTION("""COMPUTED_VALUE"""),"BLK 81 LOT 4")</f>
        <v>BLK 81 LOT 4</v>
      </c>
      <c r="M2394" s="1" t="str">
        <f>IFERROR(__xludf.DUMMYFUNCTION("""COMPUTED_VALUE"""),"ZONE 9")</f>
        <v>ZONE 9</v>
      </c>
      <c r="N2394" s="1" t="str">
        <f>IFERROR(__xludf.DUMMYFUNCTION("""COMPUTED_VALUE"""),"MABUHAY HOMES 2000")</f>
        <v>MABUHAY HOMES 2000</v>
      </c>
      <c r="O2394" s="1" t="str">
        <f>IFERROR(__xludf.DUMMYFUNCTION("""COMPUTED_VALUE"""),"PALIPARAN II")</f>
        <v>PALIPARAN II</v>
      </c>
      <c r="P2394" s="1" t="str">
        <f>IFERROR(__xludf.DUMMYFUNCTION("""COMPUTED_VALUE"""),"DASMARINAS")</f>
        <v>DASMARINAS</v>
      </c>
      <c r="Q2394" s="1" t="str">
        <f>IFERROR(__xludf.DUMMYFUNCTION("""COMPUTED_VALUE"""),"CAVITE")</f>
        <v>CAVITE</v>
      </c>
      <c r="R2394" s="1" t="str">
        <f>IFERROR(__xludf.DUMMYFUNCTION("""COMPUTED_VALUE"""),"FIBR PLAN 1299")</f>
        <v>FIBR PLAN 1299</v>
      </c>
      <c r="S2394" s="1" t="str">
        <f>IFERROR(__xludf.DUMMYFUNCTION("""COMPUTED_VALUE"""),"APPROVED")</f>
        <v>APPROVED</v>
      </c>
      <c r="T2394" s="1" t="str">
        <f>IFERROR(__xludf.DUMMYFUNCTION("""COMPUTED_VALUE"""),"CLOSED")</f>
        <v>CLOSED</v>
      </c>
      <c r="U2394" s="1" t="str">
        <f>IFERROR(__xludf.DUMMYFUNCTION("""COMPUTED_VALUE"""),"POSTED")</f>
        <v>POSTED</v>
      </c>
      <c r="V2394" s="1"/>
      <c r="W2394" s="1"/>
    </row>
    <row r="2395" customHeight="1" spans="1:23">
      <c r="A2395" s="3">
        <f>IFERROR(__xludf.DUMMYFUNCTION("""COMPUTED_VALUE"""),46210)</f>
        <v>46210</v>
      </c>
      <c r="B2395" s="1" t="str">
        <f>IFERROR(__xludf.DUMMYFUNCTION("""COMPUTED_VALUE"""),"FRANCISCO , ROSELYN")</f>
        <v>FRANCISCO , ROSELYN</v>
      </c>
      <c r="C2395" s="1" t="str">
        <f>IFERROR(__xludf.DUMMYFUNCTION("""COMPUTED_VALUE"""),"ORGANIC")</f>
        <v>ORGANIC</v>
      </c>
      <c r="D2395" s="1" t="str">
        <f>IFERROR(__xludf.DUMMYFUNCTION("""COMPUTED_VALUE"""),"REMOLLO LEA")</f>
        <v>REMOLLO LEA</v>
      </c>
      <c r="E2395" s="1" t="str">
        <f>IFERROR(__xludf.DUMMYFUNCTION("""COMPUTED_VALUE"""),"PLDT / H2H")</f>
        <v>PLDT / H2H</v>
      </c>
      <c r="F2395" s="1">
        <f>IFERROR(__xludf.DUMMYFUNCTION("""COMPUTED_VALUE"""),2310777385)</f>
        <v>2310777385</v>
      </c>
      <c r="G2395" s="1">
        <f>IFERROR(__xludf.DUMMYFUNCTION("""COMPUTED_VALUE"""),461661800004)</f>
        <v>461661800004</v>
      </c>
      <c r="H2395" s="1" t="str">
        <f>IFERROR(__xludf.DUMMYFUNCTION("""COMPUTED_VALUE"""),"MARIA KHRSITINA TOLENTINO MAGSALIN")</f>
        <v>MARIA KHRSITINA TOLENTINO MAGSALIN</v>
      </c>
      <c r="I2395" s="1">
        <f>IFERROR(__xludf.DUMMYFUNCTION("""COMPUTED_VALUE"""),9274920285)</f>
        <v>9274920285</v>
      </c>
      <c r="J2395" s="1">
        <f>IFERROR(__xludf.DUMMYFUNCTION("""COMPUTED_VALUE"""),9164476914)</f>
        <v>9164476914</v>
      </c>
      <c r="K2395" s="1" t="str">
        <f>IFERROR(__xludf.DUMMYFUNCTION("""COMPUTED_VALUE"""),"mariakhristinamagsalin@gmail.com")</f>
        <v>mariakhristinamagsalin@gmail.com</v>
      </c>
      <c r="L2395" s="1" t="str">
        <f>IFERROR(__xludf.DUMMYFUNCTION("""COMPUTED_VALUE"""),"40")</f>
        <v>40</v>
      </c>
      <c r="M2395" s="1" t="str">
        <f>IFERROR(__xludf.DUMMYFUNCTION("""COMPUTED_VALUE"""),"PUROK 1")</f>
        <v>PUROK 1</v>
      </c>
      <c r="N2395" s="1"/>
      <c r="O2395" s="1" t="str">
        <f>IFERROR(__xludf.DUMMYFUNCTION("""COMPUTED_VALUE"""),"CABANGAAN")</f>
        <v>CABANGAAN</v>
      </c>
      <c r="P2395" s="1" t="str">
        <f>IFERROR(__xludf.DUMMYFUNCTION("""COMPUTED_VALUE"""),"SILANG")</f>
        <v>SILANG</v>
      </c>
      <c r="Q2395" s="1" t="str">
        <f>IFERROR(__xludf.DUMMYFUNCTION("""COMPUTED_VALUE"""),"CAVITE")</f>
        <v>CAVITE</v>
      </c>
      <c r="R2395" s="1" t="str">
        <f>IFERROR(__xludf.DUMMYFUNCTION("""COMPUTED_VALUE"""),"FIBR UNLI ALL PLAN 999")</f>
        <v>FIBR UNLI ALL PLAN 999</v>
      </c>
      <c r="S2395" s="1" t="str">
        <f>IFERROR(__xludf.DUMMYFUNCTION("""COMPUTED_VALUE"""),"APPROVED")</f>
        <v>APPROVED</v>
      </c>
      <c r="T2395" s="1" t="str">
        <f>IFERROR(__xludf.DUMMYFUNCTION("""COMPUTED_VALUE"""),"CANCELLED")</f>
        <v>CANCELLED</v>
      </c>
      <c r="U2395" s="1"/>
      <c r="V2395" s="1"/>
      <c r="W2395" s="1"/>
    </row>
    <row r="2396" customHeight="1" spans="1:23">
      <c r="A2396" s="3">
        <f>IFERROR(__xludf.DUMMYFUNCTION("""COMPUTED_VALUE"""),46210)</f>
        <v>46210</v>
      </c>
      <c r="B2396" s="1" t="str">
        <f>IFERROR(__xludf.DUMMYFUNCTION("""COMPUTED_VALUE"""),"BONZA, LEE")</f>
        <v>BONZA, LEE</v>
      </c>
      <c r="C2396" s="1" t="str">
        <f>IFERROR(__xludf.DUMMYFUNCTION("""COMPUTED_VALUE"""),"FLA")</f>
        <v>FLA</v>
      </c>
      <c r="D2396" s="1" t="str">
        <f>IFERROR(__xludf.DUMMYFUNCTION("""COMPUTED_VALUE"""),"JERIC NAVARRO")</f>
        <v>JERIC NAVARRO</v>
      </c>
      <c r="E2396" s="1" t="str">
        <f>IFERROR(__xludf.DUMMYFUNCTION("""COMPUTED_VALUE"""),"PLDT / ONLINE")</f>
        <v>PLDT / ONLINE</v>
      </c>
      <c r="F2396" s="1">
        <f>IFERROR(__xludf.DUMMYFUNCTION("""COMPUTED_VALUE"""),2310781927)</f>
        <v>2310781927</v>
      </c>
      <c r="G2396" s="1">
        <f>IFERROR(__xludf.DUMMYFUNCTION("""COMPUTED_VALUE"""),461670341004)</f>
        <v>461670341004</v>
      </c>
      <c r="H2396" s="1" t="str">
        <f>IFERROR(__xludf.DUMMYFUNCTION("""COMPUTED_VALUE"""),"JUSTIN HOSPICIA CALABIA LICAS")</f>
        <v>JUSTIN HOSPICIA CALABIA LICAS</v>
      </c>
      <c r="I2396" s="1">
        <f>IFERROR(__xludf.DUMMYFUNCTION("""COMPUTED_VALUE"""),9095814028)</f>
        <v>9095814028</v>
      </c>
      <c r="J2396" s="1">
        <f>IFERROR(__xludf.DUMMYFUNCTION("""COMPUTED_VALUE"""),9682024676)</f>
        <v>9682024676</v>
      </c>
      <c r="K2396" s="1" t="str">
        <f>IFERROR(__xludf.DUMMYFUNCTION("""COMPUTED_VALUE"""),"justinhospicia@gmail.com")</f>
        <v>justinhospicia@gmail.com</v>
      </c>
      <c r="L2396" s="1" t="str">
        <f>IFERROR(__xludf.DUMMYFUNCTION("""COMPUTED_VALUE"""),"BLK 11 LOT 18")</f>
        <v>BLK 11 LOT 18</v>
      </c>
      <c r="M2396" s="1" t="str">
        <f>IFERROR(__xludf.DUMMYFUNCTION("""COMPUTED_VALUE"""),"PHASE 2")</f>
        <v>PHASE 2</v>
      </c>
      <c r="N2396" s="1" t="str">
        <f>IFERROR(__xludf.DUMMYFUNCTION("""COMPUTED_VALUE"""),"SPRINGVILLE")</f>
        <v>SPRINGVILLE</v>
      </c>
      <c r="O2396" s="1" t="str">
        <f>IFERROR(__xludf.DUMMYFUNCTION("""COMPUTED_VALUE"""),"BUCAL")</f>
        <v>BUCAL</v>
      </c>
      <c r="P2396" s="1" t="str">
        <f>IFERROR(__xludf.DUMMYFUNCTION("""COMPUTED_VALUE"""),"TANZA")</f>
        <v>TANZA</v>
      </c>
      <c r="Q2396" s="1" t="str">
        <f>IFERROR(__xludf.DUMMYFUNCTION("""COMPUTED_VALUE"""),"CAVITE")</f>
        <v>CAVITE</v>
      </c>
      <c r="R2396" s="1" t="str">
        <f>IFERROR(__xludf.DUMMYFUNCTION("""COMPUTED_VALUE"""),"FIBR UNLI ALL PLAN 1399")</f>
        <v>FIBR UNLI ALL PLAN 1399</v>
      </c>
      <c r="S2396" s="1" t="str">
        <f>IFERROR(__xludf.DUMMYFUNCTION("""COMPUTED_VALUE"""),"APPROVED")</f>
        <v>APPROVED</v>
      </c>
      <c r="T2396" s="1" t="str">
        <f>IFERROR(__xludf.DUMMYFUNCTION("""COMPUTED_VALUE"""),"RPR")</f>
        <v>RPR</v>
      </c>
      <c r="U2396" s="1"/>
      <c r="V2396" s="1"/>
      <c r="W2396" s="1"/>
    </row>
    <row r="2397" customHeight="1" spans="1:23">
      <c r="A2397" s="3">
        <f>IFERROR(__xludf.DUMMYFUNCTION("""COMPUTED_VALUE"""),46210)</f>
        <v>46210</v>
      </c>
      <c r="B2397" s="1" t="str">
        <f>IFERROR(__xludf.DUMMYFUNCTION("""COMPUTED_VALUE"""),"CASTILLEJOS, ARREL")</f>
        <v>CASTILLEJOS, ARREL</v>
      </c>
      <c r="C2397" s="1" t="str">
        <f>IFERROR(__xludf.DUMMYFUNCTION("""COMPUTED_VALUE"""),"ORGANIC")</f>
        <v>ORGANIC</v>
      </c>
      <c r="D2397" s="1" t="str">
        <f>IFERROR(__xludf.DUMMYFUNCTION("""COMPUTED_VALUE"""),"REMOLLO LEA")</f>
        <v>REMOLLO LEA</v>
      </c>
      <c r="E2397" s="1" t="str">
        <f>IFERROR(__xludf.DUMMYFUNCTION("""COMPUTED_VALUE"""),"PLDT / H2H")</f>
        <v>PLDT / H2H</v>
      </c>
      <c r="F2397" s="1">
        <f>IFERROR(__xludf.DUMMYFUNCTION("""COMPUTED_VALUE"""),2310783964)</f>
        <v>2310783964</v>
      </c>
      <c r="G2397" s="1">
        <f>IFERROR(__xludf.DUMMYFUNCTION("""COMPUTED_VALUE"""),461667430004)</f>
        <v>461667430004</v>
      </c>
      <c r="H2397" s="1" t="str">
        <f>IFERROR(__xludf.DUMMYFUNCTION("""COMPUTED_VALUE"""),"JORRY JAVIER DE OCAMPO")</f>
        <v>JORRY JAVIER DE OCAMPO</v>
      </c>
      <c r="I2397" s="1">
        <f>IFERROR(__xludf.DUMMYFUNCTION("""COMPUTED_VALUE"""),9537707732)</f>
        <v>9537707732</v>
      </c>
      <c r="J2397" s="1"/>
      <c r="K2397" s="1" t="str">
        <f>IFERROR(__xludf.DUMMYFUNCTION("""COMPUTED_VALUE"""),"jorrydeocampo@gmail.com")</f>
        <v>jorrydeocampo@gmail.com</v>
      </c>
      <c r="L2397" s="1" t="str">
        <f>IFERROR(__xludf.DUMMYFUNCTION("""COMPUTED_VALUE"""),"24")</f>
        <v>24</v>
      </c>
      <c r="M2397" s="1" t="str">
        <f>IFERROR(__xludf.DUMMYFUNCTION("""COMPUTED_VALUE"""),"MANGAS")</f>
        <v>MANGAS</v>
      </c>
      <c r="N2397" s="1"/>
      <c r="O2397" s="1" t="str">
        <f>IFERROR(__xludf.DUMMYFUNCTION("""COMPUTED_VALUE"""),"MANGAS I")</f>
        <v>MANGAS I</v>
      </c>
      <c r="P2397" s="1" t="str">
        <f>IFERROR(__xludf.DUMMYFUNCTION("""COMPUTED_VALUE"""),"ALFONSO")</f>
        <v>ALFONSO</v>
      </c>
      <c r="Q2397" s="1" t="str">
        <f>IFERROR(__xludf.DUMMYFUNCTION("""COMPUTED_VALUE"""),"CAVITE")</f>
        <v>CAVITE</v>
      </c>
      <c r="R2397" s="1" t="str">
        <f>IFERROR(__xludf.DUMMYFUNCTION("""COMPUTED_VALUE"""),"PREPAID FIBER UNLI")</f>
        <v>PREPAID FIBER UNLI</v>
      </c>
      <c r="S2397" s="1" t="str">
        <f>IFERROR(__xludf.DUMMYFUNCTION("""COMPUTED_VALUE"""),"APPROVED")</f>
        <v>APPROVED</v>
      </c>
      <c r="T2397" s="1" t="str">
        <f>IFERROR(__xludf.DUMMYFUNCTION("""COMPUTED_VALUE"""),"CLOSED")</f>
        <v>CLOSED</v>
      </c>
      <c r="U2397" s="1" t="str">
        <f>IFERROR(__xludf.DUMMYFUNCTION("""COMPUTED_VALUE"""),"POSTED")</f>
        <v>POSTED</v>
      </c>
      <c r="V2397" s="1"/>
      <c r="W2397" s="1"/>
    </row>
    <row r="2398" customHeight="1" spans="1:23">
      <c r="A2398" s="3">
        <f>IFERROR(__xludf.DUMMYFUNCTION("""COMPUTED_VALUE"""),46210)</f>
        <v>46210</v>
      </c>
      <c r="B2398" s="1" t="str">
        <f>IFERROR(__xludf.DUMMYFUNCTION("""COMPUTED_VALUE"""),"FRANCISCO , ROSELYN")</f>
        <v>FRANCISCO , ROSELYN</v>
      </c>
      <c r="C2398" s="1" t="str">
        <f>IFERROR(__xludf.DUMMYFUNCTION("""COMPUTED_VALUE"""),"ORGANIC")</f>
        <v>ORGANIC</v>
      </c>
      <c r="D2398" s="1" t="str">
        <f>IFERROR(__xludf.DUMMYFUNCTION("""COMPUTED_VALUE"""),"REMOLLO LEA")</f>
        <v>REMOLLO LEA</v>
      </c>
      <c r="E2398" s="1" t="str">
        <f>IFERROR(__xludf.DUMMYFUNCTION("""COMPUTED_VALUE"""),"PLDT / H2H")</f>
        <v>PLDT / H2H</v>
      </c>
      <c r="F2398" s="1">
        <f>IFERROR(__xludf.DUMMYFUNCTION("""COMPUTED_VALUE"""),2310785280)</f>
        <v>2310785280</v>
      </c>
      <c r="G2398" s="1">
        <f>IFERROR(__xludf.DUMMYFUNCTION("""COMPUTED_VALUE"""),461668436004)</f>
        <v>461668436004</v>
      </c>
      <c r="H2398" s="1" t="str">
        <f>IFERROR(__xludf.DUMMYFUNCTION("""COMPUTED_VALUE"""),"SEAN ANDREI BELINA ARDENA")</f>
        <v>SEAN ANDREI BELINA ARDENA</v>
      </c>
      <c r="I2398" s="1">
        <f>IFERROR(__xludf.DUMMYFUNCTION("""COMPUTED_VALUE"""),9704601244)</f>
        <v>9704601244</v>
      </c>
      <c r="J2398" s="1"/>
      <c r="K2398" s="1" t="str">
        <f>IFERROR(__xludf.DUMMYFUNCTION("""COMPUTED_VALUE"""),"seanandreiardena24@gmail.com")</f>
        <v>seanandreiardena24@gmail.com</v>
      </c>
      <c r="L2398" s="1" t="str">
        <f>IFERROR(__xludf.DUMMYFUNCTION("""COMPUTED_VALUE"""),"110")</f>
        <v>110</v>
      </c>
      <c r="M2398" s="1" t="str">
        <f>IFERROR(__xludf.DUMMYFUNCTION("""COMPUTED_VALUE"""),"PUROK 5")</f>
        <v>PUROK 5</v>
      </c>
      <c r="N2398" s="1"/>
      <c r="O2398" s="1" t="str">
        <f>IFERROR(__xludf.DUMMYFUNCTION("""COMPUTED_VALUE"""),"DAGATAN")</f>
        <v>DAGATAN</v>
      </c>
      <c r="P2398" s="1" t="str">
        <f>IFERROR(__xludf.DUMMYFUNCTION("""COMPUTED_VALUE"""),"AMADEO")</f>
        <v>AMADEO</v>
      </c>
      <c r="Q2398" s="1" t="str">
        <f>IFERROR(__xludf.DUMMYFUNCTION("""COMPUTED_VALUE"""),"CAVITE")</f>
        <v>CAVITE</v>
      </c>
      <c r="R2398" s="1" t="str">
        <f>IFERROR(__xludf.DUMMYFUNCTION("""COMPUTED_VALUE"""),"FIBR NETFLIX PLAN 1599")</f>
        <v>FIBR NETFLIX PLAN 1599</v>
      </c>
      <c r="S2398" s="1" t="str">
        <f>IFERROR(__xludf.DUMMYFUNCTION("""COMPUTED_VALUE"""),"APPROVED")</f>
        <v>APPROVED</v>
      </c>
      <c r="T2398" s="1" t="str">
        <f>IFERROR(__xludf.DUMMYFUNCTION("""COMPUTED_VALUE"""),"CLOSED")</f>
        <v>CLOSED</v>
      </c>
      <c r="U2398" s="1" t="str">
        <f>IFERROR(__xludf.DUMMYFUNCTION("""COMPUTED_VALUE"""),"POSTED")</f>
        <v>POSTED</v>
      </c>
      <c r="V2398" s="1"/>
      <c r="W2398" s="1"/>
    </row>
    <row r="2399" customHeight="1" spans="1:23">
      <c r="A2399" s="3">
        <f>IFERROR(__xludf.DUMMYFUNCTION("""COMPUTED_VALUE"""),46210)</f>
        <v>46210</v>
      </c>
      <c r="B2399" s="1" t="str">
        <f>IFERROR(__xludf.DUMMYFUNCTION("""COMPUTED_VALUE"""),"ESCARCHA, MA ALMA  ESCOTO")</f>
        <v>ESCARCHA, MA ALMA  ESCOTO</v>
      </c>
      <c r="C2399" s="1" t="str">
        <f>IFERROR(__xludf.DUMMYFUNCTION("""COMPUTED_VALUE"""),"ORGANIC")</f>
        <v>ORGANIC</v>
      </c>
      <c r="D2399" s="1" t="str">
        <f>IFERROR(__xludf.DUMMYFUNCTION("""COMPUTED_VALUE"""),"REMOLLO LEA")</f>
        <v>REMOLLO LEA</v>
      </c>
      <c r="E2399" s="1" t="str">
        <f>IFERROR(__xludf.DUMMYFUNCTION("""COMPUTED_VALUE"""),"PLDT / H2H")</f>
        <v>PLDT / H2H</v>
      </c>
      <c r="F2399" s="1">
        <f>IFERROR(__xludf.DUMMYFUNCTION("""COMPUTED_VALUE"""),2310789733)</f>
        <v>2310789733</v>
      </c>
      <c r="G2399" s="1">
        <f>IFERROR(__xludf.DUMMYFUNCTION("""COMPUTED_VALUE"""),461672399004)</f>
        <v>461672399004</v>
      </c>
      <c r="H2399" s="1" t="str">
        <f>IFERROR(__xludf.DUMMYFUNCTION("""COMPUTED_VALUE"""),"NARIELLE VICTORIA DURANTE SANTIAGO")</f>
        <v>NARIELLE VICTORIA DURANTE SANTIAGO</v>
      </c>
      <c r="I2399" s="1">
        <f>IFERROR(__xludf.DUMMYFUNCTION("""COMPUTED_VALUE"""),9177611634)</f>
        <v>9177611634</v>
      </c>
      <c r="J2399" s="1">
        <f>IFERROR(__xludf.DUMMYFUNCTION("""COMPUTED_VALUE"""),9569928538)</f>
        <v>9569928538</v>
      </c>
      <c r="K2399" s="1" t="str">
        <f>IFERROR(__xludf.DUMMYFUNCTION("""COMPUTED_VALUE"""),"santiagomariellevictoria@gmail.com")</f>
        <v>santiagomariellevictoria@gmail.com</v>
      </c>
      <c r="L2399" s="1" t="str">
        <f>IFERROR(__xludf.DUMMYFUNCTION("""COMPUTED_VALUE"""),"BLK 28 LOT ")</f>
        <v>BLK 28 LOT </v>
      </c>
      <c r="M2399" s="1" t="str">
        <f>IFERROR(__xludf.DUMMYFUNCTION("""COMPUTED_VALUE"""),"ANAHAW RD")</f>
        <v>ANAHAW RD</v>
      </c>
      <c r="N2399" s="1"/>
      <c r="O2399" s="1" t="str">
        <f>IFERROR(__xludf.DUMMYFUNCTION("""COMPUTED_VALUE"""),"ANAHAW II")</f>
        <v>ANAHAW II</v>
      </c>
      <c r="P2399" s="1" t="str">
        <f>IFERROR(__xludf.DUMMYFUNCTION("""COMPUTED_VALUE"""),"SILANG")</f>
        <v>SILANG</v>
      </c>
      <c r="Q2399" s="1" t="str">
        <f>IFERROR(__xludf.DUMMYFUNCTION("""COMPUTED_VALUE"""),"CAVITE")</f>
        <v>CAVITE</v>
      </c>
      <c r="R2399" s="1" t="str">
        <f>IFERROR(__xludf.DUMMYFUNCTION("""COMPUTED_VALUE"""),"FIBR PLAN 1299")</f>
        <v>FIBR PLAN 1299</v>
      </c>
      <c r="S2399" s="1" t="str">
        <f>IFERROR(__xludf.DUMMYFUNCTION("""COMPUTED_VALUE"""),"APPROVED")</f>
        <v>APPROVED</v>
      </c>
      <c r="T2399" s="1" t="str">
        <f>IFERROR(__xludf.DUMMYFUNCTION("""COMPUTED_VALUE"""),"CLOSED")</f>
        <v>CLOSED</v>
      </c>
      <c r="U2399" s="1" t="str">
        <f>IFERROR(__xludf.DUMMYFUNCTION("""COMPUTED_VALUE"""),"POSTED")</f>
        <v>POSTED</v>
      </c>
      <c r="V2399" s="1"/>
      <c r="W2399" s="1"/>
    </row>
    <row r="2400" customHeight="1" spans="1:23">
      <c r="A2400" s="3">
        <f>IFERROR(__xludf.DUMMYFUNCTION("""COMPUTED_VALUE"""),46210)</f>
        <v>46210</v>
      </c>
      <c r="B2400" s="1" t="str">
        <f>IFERROR(__xludf.DUMMYFUNCTION("""COMPUTED_VALUE"""),"FRONDEZ, JEDREFF")</f>
        <v>FRONDEZ, JEDREFF</v>
      </c>
      <c r="C2400" s="1" t="str">
        <f>IFERROR(__xludf.DUMMYFUNCTION("""COMPUTED_VALUE"""),"ORGANIC")</f>
        <v>ORGANIC</v>
      </c>
      <c r="D2400" s="1" t="str">
        <f>IFERROR(__xludf.DUMMYFUNCTION("""COMPUTED_VALUE"""),"REMOLLO LEA")</f>
        <v>REMOLLO LEA</v>
      </c>
      <c r="E2400" s="1" t="str">
        <f>IFERROR(__xludf.DUMMYFUNCTION("""COMPUTED_VALUE"""),"PLDT / ONLINE")</f>
        <v>PLDT / ONLINE</v>
      </c>
      <c r="F2400" s="1">
        <f>IFERROR(__xludf.DUMMYFUNCTION("""COMPUTED_VALUE"""),2310787736)</f>
        <v>2310787736</v>
      </c>
      <c r="G2400" s="1">
        <f>IFERROR(__xludf.DUMMYFUNCTION("""COMPUTED_VALUE"""),461670372004)</f>
        <v>461670372004</v>
      </c>
      <c r="H2400" s="1" t="str">
        <f>IFERROR(__xludf.DUMMYFUNCTION("""COMPUTED_VALUE"""),"RYZA LORRAINE BENUS BILANGEL")</f>
        <v>RYZA LORRAINE BENUS BILANGEL</v>
      </c>
      <c r="I2400" s="1">
        <f>IFERROR(__xludf.DUMMYFUNCTION("""COMPUTED_VALUE"""),9567164049)</f>
        <v>9567164049</v>
      </c>
      <c r="J2400" s="1"/>
      <c r="K2400" s="1" t="str">
        <f>IFERROR(__xludf.DUMMYFUNCTION("""COMPUTED_VALUE"""),"paradeoofcostume@gmail.com")</f>
        <v>paradeoofcostume@gmail.com</v>
      </c>
      <c r="L2400" s="1" t="str">
        <f>IFERROR(__xludf.DUMMYFUNCTION("""COMPUTED_VALUE"""),"7363")</f>
        <v>7363</v>
      </c>
      <c r="M2400" s="1" t="str">
        <f>IFERROR(__xludf.DUMMYFUNCTION("""COMPUTED_VALUE"""),"BAYLA")</f>
        <v>BAYLA</v>
      </c>
      <c r="N2400" s="1"/>
      <c r="O2400" s="1" t="str">
        <f>IFERROR(__xludf.DUMMYFUNCTION("""COMPUTED_VALUE"""),"LUMIL")</f>
        <v>LUMIL</v>
      </c>
      <c r="P2400" s="1" t="str">
        <f>IFERROR(__xludf.DUMMYFUNCTION("""COMPUTED_VALUE"""),"SILANG")</f>
        <v>SILANG</v>
      </c>
      <c r="Q2400" s="1" t="str">
        <f>IFERROR(__xludf.DUMMYFUNCTION("""COMPUTED_VALUE"""),"CAVITE")</f>
        <v>CAVITE</v>
      </c>
      <c r="R2400" s="1" t="str">
        <f>IFERROR(__xludf.DUMMYFUNCTION("""COMPUTED_VALUE"""),"FIBR NETFLIX PLAN 1599")</f>
        <v>FIBR NETFLIX PLAN 1599</v>
      </c>
      <c r="S2400" s="1" t="str">
        <f>IFERROR(__xludf.DUMMYFUNCTION("""COMPUTED_VALUE"""),"APPROVED")</f>
        <v>APPROVED</v>
      </c>
      <c r="T2400" s="1" t="str">
        <f>IFERROR(__xludf.DUMMYFUNCTION("""COMPUTED_VALUE"""),"CLOSED")</f>
        <v>CLOSED</v>
      </c>
      <c r="U2400" s="1" t="str">
        <f>IFERROR(__xludf.DUMMYFUNCTION("""COMPUTED_VALUE"""),"POSTED")</f>
        <v>POSTED</v>
      </c>
      <c r="V2400" s="1"/>
      <c r="W2400" s="1"/>
    </row>
    <row r="2401" customHeight="1" spans="1:23">
      <c r="A2401" s="3">
        <f>IFERROR(__xludf.DUMMYFUNCTION("""COMPUTED_VALUE"""),46210)</f>
        <v>46210</v>
      </c>
      <c r="B2401" s="1" t="str">
        <f>IFERROR(__xludf.DUMMYFUNCTION("""COMPUTED_VALUE"""),"MAGDARAOG, KENNETH")</f>
        <v>MAGDARAOG, KENNETH</v>
      </c>
      <c r="C2401" s="1" t="str">
        <f>IFERROR(__xludf.DUMMYFUNCTION("""COMPUTED_VALUE"""),"ORGANIC")</f>
        <v>ORGANIC</v>
      </c>
      <c r="D2401" s="1" t="str">
        <f>IFERROR(__xludf.DUMMYFUNCTION("""COMPUTED_VALUE"""),"REMOLLO LEA")</f>
        <v>REMOLLO LEA</v>
      </c>
      <c r="E2401" s="1" t="str">
        <f>IFERROR(__xludf.DUMMYFUNCTION("""COMPUTED_VALUE"""),"PLDT / ONLINE")</f>
        <v>PLDT / ONLINE</v>
      </c>
      <c r="F2401" s="1">
        <f>IFERROR(__xludf.DUMMYFUNCTION("""COMPUTED_VALUE"""),2310789504)</f>
        <v>2310789504</v>
      </c>
      <c r="G2401" s="1">
        <f>IFERROR(__xludf.DUMMYFUNCTION("""COMPUTED_VALUE"""),461672250004)</f>
        <v>461672250004</v>
      </c>
      <c r="H2401" s="1" t="str">
        <f>IFERROR(__xludf.DUMMYFUNCTION("""COMPUTED_VALUE"""),"REINER MARTIN DIGNO DE GRANO")</f>
        <v>REINER MARTIN DIGNO DE GRANO</v>
      </c>
      <c r="I2401" s="1">
        <f>IFERROR(__xludf.DUMMYFUNCTION("""COMPUTED_VALUE"""),9171674736)</f>
        <v>9171674736</v>
      </c>
      <c r="J2401" s="1"/>
      <c r="K2401" s="1" t="str">
        <f>IFERROR(__xludf.DUMMYFUNCTION("""COMPUTED_VALUE"""),"rendegarno@yahoo.com")</f>
        <v>rendegarno@yahoo.com</v>
      </c>
      <c r="L2401" s="1" t="str">
        <f>IFERROR(__xludf.DUMMYFUNCTION("""COMPUTED_VALUE"""),"295")</f>
        <v>295</v>
      </c>
      <c r="M2401" s="1" t="str">
        <f>IFERROR(__xludf.DUMMYFUNCTION("""COMPUTED_VALUE"""),"c5 RD")</f>
        <v>c5 RD</v>
      </c>
      <c r="N2401" s="1"/>
      <c r="O2401" s="1" t="str">
        <f>IFERROR(__xludf.DUMMYFUNCTION("""COMPUTED_VALUE"""),"LUKSUHIN")</f>
        <v>LUKSUHIN</v>
      </c>
      <c r="P2401" s="1" t="str">
        <f>IFERROR(__xludf.DUMMYFUNCTION("""COMPUTED_VALUE"""),"ALFONSO")</f>
        <v>ALFONSO</v>
      </c>
      <c r="Q2401" s="1" t="str">
        <f>IFERROR(__xludf.DUMMYFUNCTION("""COMPUTED_VALUE"""),"CAVITE")</f>
        <v>CAVITE</v>
      </c>
      <c r="R2401" s="1" t="str">
        <f>IFERROR(__xludf.DUMMYFUNCTION("""COMPUTED_VALUE"""),"FIBR UNLI ALL PLAN 1399")</f>
        <v>FIBR UNLI ALL PLAN 1399</v>
      </c>
      <c r="S2401" s="1" t="str">
        <f>IFERROR(__xludf.DUMMYFUNCTION("""COMPUTED_VALUE"""),"APPROVED")</f>
        <v>APPROVED</v>
      </c>
      <c r="T2401" s="1" t="str">
        <f>IFERROR(__xludf.DUMMYFUNCTION("""COMPUTED_VALUE"""),"CLOSED")</f>
        <v>CLOSED</v>
      </c>
      <c r="U2401" s="1" t="str">
        <f>IFERROR(__xludf.DUMMYFUNCTION("""COMPUTED_VALUE"""),"POSTED")</f>
        <v>POSTED</v>
      </c>
      <c r="V2401" s="1"/>
      <c r="W2401" s="1"/>
    </row>
    <row r="2402" customHeight="1" spans="1:23">
      <c r="A2402" s="3">
        <f>IFERROR(__xludf.DUMMYFUNCTION("""COMPUTED_VALUE"""),46210)</f>
        <v>46210</v>
      </c>
      <c r="B2402" s="1" t="str">
        <f>IFERROR(__xludf.DUMMYFUNCTION("""COMPUTED_VALUE"""),"TAMAYO, MARY ROSE")</f>
        <v>TAMAYO, MARY ROSE</v>
      </c>
      <c r="C2402" s="1" t="str">
        <f>IFERROR(__xludf.DUMMYFUNCTION("""COMPUTED_VALUE"""),"ORGANIC")</f>
        <v>ORGANIC</v>
      </c>
      <c r="D2402" s="1" t="str">
        <f>IFERROR(__xludf.DUMMYFUNCTION("""COMPUTED_VALUE"""),"REMOLLO LEA")</f>
        <v>REMOLLO LEA</v>
      </c>
      <c r="E2402" s="1" t="str">
        <f>IFERROR(__xludf.DUMMYFUNCTION("""COMPUTED_VALUE"""),"PLDT / ONLINE")</f>
        <v>PLDT / ONLINE</v>
      </c>
      <c r="F2402" s="1">
        <f>IFERROR(__xludf.DUMMYFUNCTION("""COMPUTED_VALUE"""),2310788884)</f>
        <v>2310788884</v>
      </c>
      <c r="G2402" s="1">
        <f>IFERROR(__xludf.DUMMYFUNCTION("""COMPUTED_VALUE"""),461686282004)</f>
        <v>461686282004</v>
      </c>
      <c r="H2402" s="1" t="str">
        <f>IFERROR(__xludf.DUMMYFUNCTION("""COMPUTED_VALUE"""),"JANAH CRISTINE ESTRADA")</f>
        <v>JANAH CRISTINE ESTRADA</v>
      </c>
      <c r="I2402" s="1">
        <f>IFERROR(__xludf.DUMMYFUNCTION("""COMPUTED_VALUE"""),9455485946)</f>
        <v>9455485946</v>
      </c>
      <c r="J2402" s="1">
        <f>IFERROR(__xludf.DUMMYFUNCTION("""COMPUTED_VALUE"""),9624398511)</f>
        <v>9624398511</v>
      </c>
      <c r="K2402" s="1" t="str">
        <f>IFERROR(__xludf.DUMMYFUNCTION("""COMPUTED_VALUE"""),"janahchristineestrada@gmail.com")</f>
        <v>janahchristineestrada@gmail.com</v>
      </c>
      <c r="L2402" s="1" t="str">
        <f>IFERROR(__xludf.DUMMYFUNCTION("""COMPUTED_VALUE"""),"BLK 10 LOT 15")</f>
        <v>BLK 10 LOT 15</v>
      </c>
      <c r="M2402" s="1" t="str">
        <f>IFERROR(__xludf.DUMMYFUNCTION("""COMPUTED_VALUE"""),"NAPOLI")</f>
        <v>NAPOLI</v>
      </c>
      <c r="N2402" s="1"/>
      <c r="O2402" s="1" t="str">
        <f>IFERROR(__xludf.DUMMYFUNCTION("""COMPUTED_VALUE"""),"BUENAVISTA I")</f>
        <v>BUENAVISTA I</v>
      </c>
      <c r="P2402" s="1" t="str">
        <f>IFERROR(__xludf.DUMMYFUNCTION("""COMPUTED_VALUE"""),"GENERAL TRIAS")</f>
        <v>GENERAL TRIAS</v>
      </c>
      <c r="Q2402" s="1" t="str">
        <f>IFERROR(__xludf.DUMMYFUNCTION("""COMPUTED_VALUE"""),"CAVITE")</f>
        <v>CAVITE</v>
      </c>
      <c r="R2402" s="1" t="str">
        <f>IFERROR(__xludf.DUMMYFUNCTION("""COMPUTED_VALUE"""),"FIBR NETFLIX PLAN 1599")</f>
        <v>FIBR NETFLIX PLAN 1599</v>
      </c>
      <c r="S2402" s="1" t="str">
        <f>IFERROR(__xludf.DUMMYFUNCTION("""COMPUTED_VALUE"""),"APPROVED")</f>
        <v>APPROVED</v>
      </c>
      <c r="T2402" s="1" t="str">
        <f>IFERROR(__xludf.DUMMYFUNCTION("""COMPUTED_VALUE"""),"FOR CANCELLATION")</f>
        <v>FOR CANCELLATION</v>
      </c>
      <c r="U2402" s="1"/>
      <c r="V2402" s="1"/>
      <c r="W2402" s="1"/>
    </row>
    <row r="2403" customHeight="1" spans="1:23">
      <c r="A2403" s="3">
        <f>IFERROR(__xludf.DUMMYFUNCTION("""COMPUTED_VALUE"""),46211)</f>
        <v>46211</v>
      </c>
      <c r="B2403" s="1" t="str">
        <f>IFERROR(__xludf.DUMMYFUNCTION("""COMPUTED_VALUE"""),"MALIWAT MARK ELVIN")</f>
        <v>MALIWAT MARK ELVIN</v>
      </c>
      <c r="C2403" s="1" t="str">
        <f>IFERROR(__xludf.DUMMYFUNCTION("""COMPUTED_VALUE"""),"FLA")</f>
        <v>FLA</v>
      </c>
      <c r="D2403" s="1" t="str">
        <f>IFERROR(__xludf.DUMMYFUNCTION("""COMPUTED_VALUE"""),"JERIC NAVARRO")</f>
        <v>JERIC NAVARRO</v>
      </c>
      <c r="E2403" s="1" t="str">
        <f>IFERROR(__xludf.DUMMYFUNCTION("""COMPUTED_VALUE"""),"RED FIBER")</f>
        <v>RED FIBER</v>
      </c>
      <c r="F2403" s="1"/>
      <c r="G2403" s="1"/>
      <c r="H2403" s="1" t="str">
        <f>IFERROR(__xludf.DUMMYFUNCTION("""COMPUTED_VALUE"""),"ALEXANDER FRISTAN QUITORIANO SANTOS")</f>
        <v>ALEXANDER FRISTAN QUITORIANO SANTOS</v>
      </c>
      <c r="I2403" s="1">
        <f>IFERROR(__xludf.DUMMYFUNCTION("""COMPUTED_VALUE"""),9275163620)</f>
        <v>9275163620</v>
      </c>
      <c r="J2403" s="1">
        <f>IFERROR(__xludf.DUMMYFUNCTION("""COMPUTED_VALUE"""),9275164013)</f>
        <v>9275164013</v>
      </c>
      <c r="K2403" s="1" t="str">
        <f>IFERROR(__xludf.DUMMYFUNCTION("""COMPUTED_VALUE"""),"wampiptysantos@gmail.com")</f>
        <v>wampiptysantos@gmail.com</v>
      </c>
      <c r="L2403" s="1" t="str">
        <f>IFERROR(__xludf.DUMMYFUNCTION("""COMPUTED_VALUE"""),"48a")</f>
        <v>48a</v>
      </c>
      <c r="M2403" s="1" t="str">
        <f>IFERROR(__xludf.DUMMYFUNCTION("""COMPUTED_VALUE"""),"LLAMADO")</f>
        <v>LLAMADO</v>
      </c>
      <c r="N2403" s="1"/>
      <c r="O2403" s="1" t="str">
        <f>IFERROR(__xludf.DUMMYFUNCTION("""COMPUTED_VALUE"""),"POBLACION IV")</f>
        <v>POBLACION IV</v>
      </c>
      <c r="P2403" s="1" t="str">
        <f>IFERROR(__xludf.DUMMYFUNCTION("""COMPUTED_VALUE"""),"MENDEZ")</f>
        <v>MENDEZ</v>
      </c>
      <c r="Q2403" s="1" t="str">
        <f>IFERROR(__xludf.DUMMYFUNCTION("""COMPUTED_VALUE"""),"CAVITE")</f>
        <v>CAVITE</v>
      </c>
      <c r="R2403" s="1" t="str">
        <f>IFERROR(__xludf.DUMMYFUNCTION("""COMPUTED_VALUE"""),"RED PLAN 1000")</f>
        <v>RED PLAN 1000</v>
      </c>
      <c r="S2403" s="1" t="str">
        <f>IFERROR(__xludf.DUMMYFUNCTION("""COMPUTED_VALUE"""),"APPROVED")</f>
        <v>APPROVED</v>
      </c>
      <c r="T2403" s="1" t="str">
        <f>IFERROR(__xludf.DUMMYFUNCTION("""COMPUTED_VALUE"""),"#N/A")</f>
        <v>#N/A</v>
      </c>
      <c r="U2403" s="1"/>
      <c r="V2403" s="1"/>
      <c r="W2403" s="1"/>
    </row>
    <row r="2404" customHeight="1" spans="1:23">
      <c r="A2404" s="3">
        <f>IFERROR(__xludf.DUMMYFUNCTION("""COMPUTED_VALUE"""),46211)</f>
        <v>46211</v>
      </c>
      <c r="B2404" s="1" t="str">
        <f>IFERROR(__xludf.DUMMYFUNCTION("""COMPUTED_VALUE"""),"GABAY, MANUEL")</f>
        <v>GABAY, MANUEL</v>
      </c>
      <c r="C2404" s="1" t="str">
        <f>IFERROR(__xludf.DUMMYFUNCTION("""COMPUTED_VALUE"""),"FLA")</f>
        <v>FLA</v>
      </c>
      <c r="D2404" s="1" t="str">
        <f>IFERROR(__xludf.DUMMYFUNCTION("""COMPUTED_VALUE"""),"JERIC NAVARRO")</f>
        <v>JERIC NAVARRO</v>
      </c>
      <c r="E2404" s="1" t="str">
        <f>IFERROR(__xludf.DUMMYFUNCTION("""COMPUTED_VALUE"""),"PLDT / H2H")</f>
        <v>PLDT / H2H</v>
      </c>
      <c r="F2404" s="1">
        <f>IFERROR(__xludf.DUMMYFUNCTION("""COMPUTED_VALUE"""),2310805870)</f>
        <v>2310805870</v>
      </c>
      <c r="G2404" s="1">
        <f>IFERROR(__xludf.DUMMYFUNCTION("""COMPUTED_VALUE"""),461779924004)</f>
        <v>461779924004</v>
      </c>
      <c r="H2404" s="1" t="str">
        <f>IFERROR(__xludf.DUMMYFUNCTION("""COMPUTED_VALUE"""),"IVY BAYSANTOS SAPUTIL")</f>
        <v>IVY BAYSANTOS SAPUTIL</v>
      </c>
      <c r="I2404" s="1">
        <f>IFERROR(__xludf.DUMMYFUNCTION("""COMPUTED_VALUE"""),9461176727)</f>
        <v>9461176727</v>
      </c>
      <c r="J2404" s="1">
        <f>IFERROR(__xludf.DUMMYFUNCTION("""COMPUTED_VALUE"""),9511617322)</f>
        <v>9511617322</v>
      </c>
      <c r="K2404" s="1" t="str">
        <f>IFERROR(__xludf.DUMMYFUNCTION("""COMPUTED_VALUE"""),"ivysaputil1990@gmail.com")</f>
        <v>ivysaputil1990@gmail.com</v>
      </c>
      <c r="L2404" s="1" t="str">
        <f>IFERROR(__xludf.DUMMYFUNCTION("""COMPUTED_VALUE"""),"9678")</f>
        <v>9678</v>
      </c>
      <c r="M2404" s="1" t="str">
        <f>IFERROR(__xludf.DUMMYFUNCTION("""COMPUTED_VALUE"""),"PUROK3")</f>
        <v>PUROK3</v>
      </c>
      <c r="N2404" s="1"/>
      <c r="O2404" s="1" t="str">
        <f>IFERROR(__xludf.DUMMYFUNCTION("""COMPUTED_VALUE"""),"CABANGAAN")</f>
        <v>CABANGAAN</v>
      </c>
      <c r="P2404" s="1" t="str">
        <f>IFERROR(__xludf.DUMMYFUNCTION("""COMPUTED_VALUE"""),"SILANG")</f>
        <v>SILANG</v>
      </c>
      <c r="Q2404" s="1" t="str">
        <f>IFERROR(__xludf.DUMMYFUNCTION("""COMPUTED_VALUE"""),"CAVITE")</f>
        <v>CAVITE</v>
      </c>
      <c r="R2404" s="1" t="str">
        <f>IFERROR(__xludf.DUMMYFUNCTION("""COMPUTED_VALUE"""),"FIBR NETFLIX PLAN 1599")</f>
        <v>FIBR NETFLIX PLAN 1599</v>
      </c>
      <c r="S2404" s="1" t="str">
        <f>IFERROR(__xludf.DUMMYFUNCTION("""COMPUTED_VALUE"""),"APPROVED")</f>
        <v>APPROVED</v>
      </c>
      <c r="T2404" s="1" t="str">
        <f>IFERROR(__xludf.DUMMYFUNCTION("""COMPUTED_VALUE"""),"CANCELLED")</f>
        <v>CANCELLED</v>
      </c>
      <c r="U2404" s="1"/>
      <c r="V2404" s="1"/>
      <c r="W2404" s="1"/>
    </row>
    <row r="2405" customHeight="1" spans="1:23">
      <c r="A2405" s="3">
        <f>IFERROR(__xludf.DUMMYFUNCTION("""COMPUTED_VALUE"""),46211)</f>
        <v>46211</v>
      </c>
      <c r="B2405" s="1" t="str">
        <f>IFERROR(__xludf.DUMMYFUNCTION("""COMPUTED_VALUE"""),"FRANCISCO , ROSELYN")</f>
        <v>FRANCISCO , ROSELYN</v>
      </c>
      <c r="C2405" s="1" t="str">
        <f>IFERROR(__xludf.DUMMYFUNCTION("""COMPUTED_VALUE"""),"ORGANIC")</f>
        <v>ORGANIC</v>
      </c>
      <c r="D2405" s="1" t="str">
        <f>IFERROR(__xludf.DUMMYFUNCTION("""COMPUTED_VALUE"""),"REMOLLO LEA")</f>
        <v>REMOLLO LEA</v>
      </c>
      <c r="E2405" s="1" t="str">
        <f>IFERROR(__xludf.DUMMYFUNCTION("""COMPUTED_VALUE"""),"PLDT / ONLINE")</f>
        <v>PLDT / ONLINE</v>
      </c>
      <c r="F2405" s="1">
        <f>IFERROR(__xludf.DUMMYFUNCTION("""COMPUTED_VALUE"""),2310812882)</f>
        <v>2310812882</v>
      </c>
      <c r="G2405" s="1"/>
      <c r="H2405" s="1" t="str">
        <f>IFERROR(__xludf.DUMMYFUNCTION("""COMPUTED_VALUE"""),"VICTOR PANIAMOGAN CLARIN")</f>
        <v>VICTOR PANIAMOGAN CLARIN</v>
      </c>
      <c r="I2405" s="1">
        <f>IFERROR(__xludf.DUMMYFUNCTION("""COMPUTED_VALUE"""),9637707553)</f>
        <v>9637707553</v>
      </c>
      <c r="J2405" s="1">
        <f>IFERROR(__xludf.DUMMYFUNCTION("""COMPUTED_VALUE"""),9624734004)</f>
        <v>9624734004</v>
      </c>
      <c r="K2405" s="1" t="str">
        <f>IFERROR(__xludf.DUMMYFUNCTION("""COMPUTED_VALUE"""),"ambulowena91@gmail.com")</f>
        <v>ambulowena91@gmail.com</v>
      </c>
      <c r="L2405" s="1" t="str">
        <f>IFERROR(__xludf.DUMMYFUNCTION("""COMPUTED_VALUE"""),"BLK 66")</f>
        <v>BLK 66</v>
      </c>
      <c r="M2405" s="1" t="str">
        <f>IFERROR(__xludf.DUMMYFUNCTION("""COMPUTED_VALUE"""),"PHASE 1A")</f>
        <v>PHASE 1A</v>
      </c>
      <c r="N2405" s="1" t="str">
        <f>IFERROR(__xludf.DUMMYFUNCTION("""COMPUTED_VALUE"""),"MABUHAY HOMES 2000")</f>
        <v>MABUHAY HOMES 2000</v>
      </c>
      <c r="O2405" s="1" t="str">
        <f>IFERROR(__xludf.DUMMYFUNCTION("""COMPUTED_VALUE"""),"PALIPARAN II")</f>
        <v>PALIPARAN II</v>
      </c>
      <c r="P2405" s="1" t="str">
        <f>IFERROR(__xludf.DUMMYFUNCTION("""COMPUTED_VALUE"""),"DASMARINAS")</f>
        <v>DASMARINAS</v>
      </c>
      <c r="Q2405" s="1" t="str">
        <f>IFERROR(__xludf.DUMMYFUNCTION("""COMPUTED_VALUE"""),"CAVITE")</f>
        <v>CAVITE</v>
      </c>
      <c r="R2405" s="1" t="str">
        <f>IFERROR(__xludf.DUMMYFUNCTION("""COMPUTED_VALUE"""),"FIBR PLAN 1299")</f>
        <v>FIBR PLAN 1299</v>
      </c>
      <c r="S2405" s="1" t="str">
        <f>IFERROR(__xludf.DUMMYFUNCTION("""COMPUTED_VALUE"""),"APPROVED")</f>
        <v>APPROVED</v>
      </c>
      <c r="T2405" s="1" t="str">
        <f>IFERROR(__xludf.DUMMYFUNCTION("""COMPUTED_VALUE"""),"CANCELLED")</f>
        <v>CANCELLED</v>
      </c>
      <c r="U2405" s="1"/>
      <c r="V2405" s="1"/>
      <c r="W2405" s="1"/>
    </row>
    <row r="2406" customHeight="1" spans="1:23">
      <c r="A2406" s="3">
        <f>IFERROR(__xludf.DUMMYFUNCTION("""COMPUTED_VALUE"""),46211)</f>
        <v>46211</v>
      </c>
      <c r="B2406" s="1" t="str">
        <f>IFERROR(__xludf.DUMMYFUNCTION("""COMPUTED_VALUE"""),"FRANCISCO , ROSELYN")</f>
        <v>FRANCISCO , ROSELYN</v>
      </c>
      <c r="C2406" s="1" t="str">
        <f>IFERROR(__xludf.DUMMYFUNCTION("""COMPUTED_VALUE"""),"ORGANIC")</f>
        <v>ORGANIC</v>
      </c>
      <c r="D2406" s="1" t="str">
        <f>IFERROR(__xludf.DUMMYFUNCTION("""COMPUTED_VALUE"""),"REMOLLO LEA")</f>
        <v>REMOLLO LEA</v>
      </c>
      <c r="E2406" s="1" t="str">
        <f>IFERROR(__xludf.DUMMYFUNCTION("""COMPUTED_VALUE"""),"PLDT / H2H")</f>
        <v>PLDT / H2H</v>
      </c>
      <c r="F2406" s="1">
        <f>IFERROR(__xludf.DUMMYFUNCTION("""COMPUTED_VALUE"""),2310804588)</f>
        <v>2310804588</v>
      </c>
      <c r="G2406" s="1">
        <f>IFERROR(__xludf.DUMMYFUNCTION("""COMPUTED_VALUE"""),461778995004)</f>
        <v>461778995004</v>
      </c>
      <c r="H2406" s="1" t="str">
        <f>IFERROR(__xludf.DUMMYFUNCTION("""COMPUTED_VALUE"""),"MARJORIE TACOLOY OBINA")</f>
        <v>MARJORIE TACOLOY OBINA</v>
      </c>
      <c r="I2406" s="1">
        <f>IFERROR(__xludf.DUMMYFUNCTION("""COMPUTED_VALUE"""),9494483097)</f>
        <v>9494483097</v>
      </c>
      <c r="J2406" s="1">
        <f>IFERROR(__xludf.DUMMYFUNCTION("""COMPUTED_VALUE"""),9624663247)</f>
        <v>9624663247</v>
      </c>
      <c r="K2406" s="1" t="str">
        <f>IFERROR(__xludf.DUMMYFUNCTION("""COMPUTED_VALUE"""),"liambarlaw@gmail.com")</f>
        <v>liambarlaw@gmail.com</v>
      </c>
      <c r="L2406" s="1" t="str">
        <f>IFERROR(__xludf.DUMMYFUNCTION("""COMPUTED_VALUE"""),"126")</f>
        <v>126</v>
      </c>
      <c r="M2406" s="1" t="str">
        <f>IFERROR(__xludf.DUMMYFUNCTION("""COMPUTED_VALUE"""),"PUROK 212")</f>
        <v>PUROK 212</v>
      </c>
      <c r="N2406" s="1" t="str">
        <f>IFERROR(__xludf.DUMMYFUNCTION("""COMPUTED_VALUE"""),"PABAHAY")</f>
        <v>PABAHAY</v>
      </c>
      <c r="O2406" s="1" t="str">
        <f>IFERROR(__xludf.DUMMYFUNCTION("""COMPUTED_VALUE"""),"ZAMBAL")</f>
        <v>ZAMBAL</v>
      </c>
      <c r="P2406" s="1" t="str">
        <f>IFERROR(__xludf.DUMMYFUNCTION("""COMPUTED_VALUE"""),"TAGAYTAY")</f>
        <v>TAGAYTAY</v>
      </c>
      <c r="Q2406" s="1" t="str">
        <f>IFERROR(__xludf.DUMMYFUNCTION("""COMPUTED_VALUE"""),"CAVITE")</f>
        <v>CAVITE</v>
      </c>
      <c r="R2406" s="1" t="str">
        <f>IFERROR(__xludf.DUMMYFUNCTION("""COMPUTED_VALUE"""),"FIBR UNLI ALL PLAN 999")</f>
        <v>FIBR UNLI ALL PLAN 999</v>
      </c>
      <c r="S2406" s="1" t="str">
        <f>IFERROR(__xludf.DUMMYFUNCTION("""COMPUTED_VALUE"""),"APPROVED")</f>
        <v>APPROVED</v>
      </c>
      <c r="T2406" s="1" t="str">
        <f>IFERROR(__xludf.DUMMYFUNCTION("""COMPUTED_VALUE"""),"CLOSED")</f>
        <v>CLOSED</v>
      </c>
      <c r="U2406" s="1" t="str">
        <f>IFERROR(__xludf.DUMMYFUNCTION("""COMPUTED_VALUE"""),"POSTED")</f>
        <v>POSTED</v>
      </c>
      <c r="V2406" s="1"/>
      <c r="W2406" s="1"/>
    </row>
    <row r="2407" customHeight="1" spans="1:23">
      <c r="A2407" s="3">
        <f>IFERROR(__xludf.DUMMYFUNCTION("""COMPUTED_VALUE"""),46211)</f>
        <v>46211</v>
      </c>
      <c r="B2407" s="1" t="str">
        <f>IFERROR(__xludf.DUMMYFUNCTION("""COMPUTED_VALUE"""),"FRONDEZ, JEDREFF")</f>
        <v>FRONDEZ, JEDREFF</v>
      </c>
      <c r="C2407" s="1" t="str">
        <f>IFERROR(__xludf.DUMMYFUNCTION("""COMPUTED_VALUE"""),"ORGANIC")</f>
        <v>ORGANIC</v>
      </c>
      <c r="D2407" s="1" t="str">
        <f>IFERROR(__xludf.DUMMYFUNCTION("""COMPUTED_VALUE"""),"REMOLLO LEA")</f>
        <v>REMOLLO LEA</v>
      </c>
      <c r="E2407" s="1" t="str">
        <f>IFERROR(__xludf.DUMMYFUNCTION("""COMPUTED_VALUE"""),"PLDT / H2H")</f>
        <v>PLDT / H2H</v>
      </c>
      <c r="F2407" s="1">
        <f>IFERROR(__xludf.DUMMYFUNCTION("""COMPUTED_VALUE"""),2310814228)</f>
        <v>2310814228</v>
      </c>
      <c r="G2407" s="1">
        <f>IFERROR(__xludf.DUMMYFUNCTION("""COMPUTED_VALUE"""),461785855004)</f>
        <v>461785855004</v>
      </c>
      <c r="H2407" s="1" t="str">
        <f>IFERROR(__xludf.DUMMYFUNCTION("""COMPUTED_VALUE"""),"JHON APOLOG DELGADO")</f>
        <v>JHON APOLOG DELGADO</v>
      </c>
      <c r="I2407" s="1">
        <f>IFERROR(__xludf.DUMMYFUNCTION("""COMPUTED_VALUE"""),9556544966)</f>
        <v>9556544966</v>
      </c>
      <c r="J2407" s="1">
        <f>IFERROR(__xludf.DUMMYFUNCTION("""COMPUTED_VALUE"""),9278396214)</f>
        <v>9278396214</v>
      </c>
      <c r="K2407" s="1" t="str">
        <f>IFERROR(__xludf.DUMMYFUNCTION("""COMPUTED_VALUE"""),"delgadojonjon23@gmail.com")</f>
        <v>delgadojonjon23@gmail.com</v>
      </c>
      <c r="L2407" s="1" t="str">
        <f>IFERROR(__xludf.DUMMYFUNCTION("""COMPUTED_VALUE"""),"445")</f>
        <v>445</v>
      </c>
      <c r="M2407" s="1" t="str">
        <f>IFERROR(__xludf.DUMMYFUNCTION("""COMPUTED_VALUE"""),"YAKAL ")</f>
        <v>YAKAL </v>
      </c>
      <c r="N2407" s="1"/>
      <c r="O2407" s="1" t="str">
        <f>IFERROR(__xludf.DUMMYFUNCTION("""COMPUTED_VALUE"""),"KAYBAGAL EAST")</f>
        <v>KAYBAGAL EAST</v>
      </c>
      <c r="P2407" s="1" t="str">
        <f>IFERROR(__xludf.DUMMYFUNCTION("""COMPUTED_VALUE"""),"TAGAYTAY")</f>
        <v>TAGAYTAY</v>
      </c>
      <c r="Q2407" s="1" t="str">
        <f>IFERROR(__xludf.DUMMYFUNCTION("""COMPUTED_VALUE"""),"CAVITE")</f>
        <v>CAVITE</v>
      </c>
      <c r="R2407" s="1" t="str">
        <f>IFERROR(__xludf.DUMMYFUNCTION("""COMPUTED_VALUE"""),"FIBR UNLI ALL PLAN 999")</f>
        <v>FIBR UNLI ALL PLAN 999</v>
      </c>
      <c r="S2407" s="1" t="str">
        <f>IFERROR(__xludf.DUMMYFUNCTION("""COMPUTED_VALUE"""),"APPROVED")</f>
        <v>APPROVED</v>
      </c>
      <c r="T2407" s="1" t="str">
        <f>IFERROR(__xludf.DUMMYFUNCTION("""COMPUTED_VALUE"""),"CANCELLED")</f>
        <v>CANCELLED</v>
      </c>
      <c r="U2407" s="1"/>
      <c r="V2407" s="1"/>
      <c r="W2407" s="1"/>
    </row>
    <row r="2408" customHeight="1" spans="1:23">
      <c r="A2408" s="3">
        <f>IFERROR(__xludf.DUMMYFUNCTION("""COMPUTED_VALUE"""),46211)</f>
        <v>46211</v>
      </c>
      <c r="B2408" s="1" t="str">
        <f>IFERROR(__xludf.DUMMYFUNCTION("""COMPUTED_VALUE"""),"GABAY, MANUEL")</f>
        <v>GABAY, MANUEL</v>
      </c>
      <c r="C2408" s="1" t="str">
        <f>IFERROR(__xludf.DUMMYFUNCTION("""COMPUTED_VALUE"""),"FLA")</f>
        <v>FLA</v>
      </c>
      <c r="D2408" s="1" t="str">
        <f>IFERROR(__xludf.DUMMYFUNCTION("""COMPUTED_VALUE"""),"JERIC NAVARRO")</f>
        <v>JERIC NAVARRO</v>
      </c>
      <c r="E2408" s="1" t="str">
        <f>IFERROR(__xludf.DUMMYFUNCTION("""COMPUTED_VALUE"""),"PLDT / H2H")</f>
        <v>PLDT / H2H</v>
      </c>
      <c r="F2408" s="1">
        <f>IFERROR(__xludf.DUMMYFUNCTION("""COMPUTED_VALUE"""),2310813546)</f>
        <v>2310813546</v>
      </c>
      <c r="G2408" s="1">
        <f>IFERROR(__xludf.DUMMYFUNCTION("""COMPUTED_VALUE"""),461785379004)</f>
        <v>461785379004</v>
      </c>
      <c r="H2408" s="1" t="str">
        <f>IFERROR(__xludf.DUMMYFUNCTION("""COMPUTED_VALUE"""),"NOEL MORILLO YAMAT")</f>
        <v>NOEL MORILLO YAMAT</v>
      </c>
      <c r="I2408" s="1">
        <f>IFERROR(__xludf.DUMMYFUNCTION("""COMPUTED_VALUE"""),9208355323)</f>
        <v>9208355323</v>
      </c>
      <c r="J2408" s="1">
        <f>IFERROR(__xludf.DUMMYFUNCTION("""COMPUTED_VALUE"""),9177314777)</f>
        <v>9177314777</v>
      </c>
      <c r="K2408" s="1" t="str">
        <f>IFERROR(__xludf.DUMMYFUNCTION("""COMPUTED_VALUE"""),"nmy31469@gmail.com")</f>
        <v>nmy31469@gmail.com</v>
      </c>
      <c r="L2408" s="1" t="str">
        <f>IFERROR(__xludf.DUMMYFUNCTION("""COMPUTED_VALUE"""),"380")</f>
        <v>380</v>
      </c>
      <c r="M2408" s="1" t="str">
        <f>IFERROR(__xludf.DUMMYFUNCTION("""COMPUTED_VALUE"""),"COR HOUSE")</f>
        <v>COR HOUSE</v>
      </c>
      <c r="N2408" s="1"/>
      <c r="O2408" s="1" t="str">
        <f>IFERROR(__xludf.DUMMYFUNCTION("""COMPUTED_VALUE"""),"KAYBAGAL EAST")</f>
        <v>KAYBAGAL EAST</v>
      </c>
      <c r="P2408" s="1" t="str">
        <f>IFERROR(__xludf.DUMMYFUNCTION("""COMPUTED_VALUE"""),"TAGAYTAY")</f>
        <v>TAGAYTAY</v>
      </c>
      <c r="Q2408" s="1" t="str">
        <f>IFERROR(__xludf.DUMMYFUNCTION("""COMPUTED_VALUE"""),"CAVITE")</f>
        <v>CAVITE</v>
      </c>
      <c r="R2408" s="1" t="str">
        <f>IFERROR(__xludf.DUMMYFUNCTION("""COMPUTED_VALUE"""),"FIBR NETFLIX PLAN 1599")</f>
        <v>FIBR NETFLIX PLAN 1599</v>
      </c>
      <c r="S2408" s="1" t="str">
        <f>IFERROR(__xludf.DUMMYFUNCTION("""COMPUTED_VALUE"""),"APPROVED")</f>
        <v>APPROVED</v>
      </c>
      <c r="T2408" s="1" t="str">
        <f>IFERROR(__xludf.DUMMYFUNCTION("""COMPUTED_VALUE"""),"CLOSED")</f>
        <v>CLOSED</v>
      </c>
      <c r="U2408" s="1" t="str">
        <f>IFERROR(__xludf.DUMMYFUNCTION("""COMPUTED_VALUE"""),"POSTED")</f>
        <v>POSTED</v>
      </c>
      <c r="V2408" s="1"/>
      <c r="W2408" s="1"/>
    </row>
    <row r="2409" customHeight="1" spans="1:23">
      <c r="A2409" s="3">
        <f>IFERROR(__xludf.DUMMYFUNCTION("""COMPUTED_VALUE"""),46211)</f>
        <v>46211</v>
      </c>
      <c r="B2409" s="1" t="str">
        <f>IFERROR(__xludf.DUMMYFUNCTION("""COMPUTED_VALUE"""),"TAMAYO, MARY ROSE")</f>
        <v>TAMAYO, MARY ROSE</v>
      </c>
      <c r="C2409" s="1" t="str">
        <f>IFERROR(__xludf.DUMMYFUNCTION("""COMPUTED_VALUE"""),"ORGANIC")</f>
        <v>ORGANIC</v>
      </c>
      <c r="D2409" s="1" t="str">
        <f>IFERROR(__xludf.DUMMYFUNCTION("""COMPUTED_VALUE"""),"REMOLLO LEA")</f>
        <v>REMOLLO LEA</v>
      </c>
      <c r="E2409" s="1" t="str">
        <f>IFERROR(__xludf.DUMMYFUNCTION("""COMPUTED_VALUE"""),"PLDT / ONLINE")</f>
        <v>PLDT / ONLINE</v>
      </c>
      <c r="F2409" s="1">
        <f>IFERROR(__xludf.DUMMYFUNCTION("""COMPUTED_VALUE"""),2310814822)</f>
        <v>2310814822</v>
      </c>
      <c r="G2409" s="1">
        <f>IFERROR(__xludf.DUMMYFUNCTION("""COMPUTED_VALUE"""),461818527004)</f>
        <v>461818527004</v>
      </c>
      <c r="H2409" s="1" t="str">
        <f>IFERROR(__xludf.DUMMYFUNCTION("""COMPUTED_VALUE"""),"KAREN JOY ANDERSON BATUIGAS")</f>
        <v>KAREN JOY ANDERSON BATUIGAS</v>
      </c>
      <c r="I2409" s="1">
        <f>IFERROR(__xludf.DUMMYFUNCTION("""COMPUTED_VALUE"""),9923933644)</f>
        <v>9923933644</v>
      </c>
      <c r="J2409" s="1">
        <f>IFERROR(__xludf.DUMMYFUNCTION("""COMPUTED_VALUE"""),9818015048)</f>
        <v>9818015048</v>
      </c>
      <c r="K2409" s="1" t="str">
        <f>IFERROR(__xludf.DUMMYFUNCTION("""COMPUTED_VALUE"""),"karenjoybatuigas82@gmail.com")</f>
        <v>karenjoybatuigas82@gmail.com</v>
      </c>
      <c r="L2409" s="1" t="str">
        <f>IFERROR(__xludf.DUMMYFUNCTION("""COMPUTED_VALUE"""),"BLK 65 LOT 1")</f>
        <v>BLK 65 LOT 1</v>
      </c>
      <c r="M2409" s="1" t="str">
        <f>IFERROR(__xludf.DUMMYFUNCTION("""COMPUTED_VALUE"""),"SAGING ")</f>
        <v>SAGING </v>
      </c>
      <c r="N2409" s="1"/>
      <c r="O2409" s="1" t="str">
        <f>IFERROR(__xludf.DUMMYFUNCTION("""COMPUTED_VALUE"""),"SAN JUAN (SAN JUAN I)")</f>
        <v>SAN JUAN (SAN JUAN I)</v>
      </c>
      <c r="P2409" s="1" t="str">
        <f>IFERROR(__xludf.DUMMYFUNCTION("""COMPUTED_VALUE"""),"DASMARINAS")</f>
        <v>DASMARINAS</v>
      </c>
      <c r="Q2409" s="1" t="str">
        <f>IFERROR(__xludf.DUMMYFUNCTION("""COMPUTED_VALUE"""),"CAVITE")</f>
        <v>CAVITE</v>
      </c>
      <c r="R2409" s="1" t="str">
        <f>IFERROR(__xludf.DUMMYFUNCTION("""COMPUTED_VALUE"""),"FIBR PLAN 1299")</f>
        <v>FIBR PLAN 1299</v>
      </c>
      <c r="S2409" s="1" t="str">
        <f>IFERROR(__xludf.DUMMYFUNCTION("""COMPUTED_VALUE"""),"APPROVED")</f>
        <v>APPROVED</v>
      </c>
      <c r="T2409" s="1" t="str">
        <f>IFERROR(__xludf.DUMMYFUNCTION("""COMPUTED_VALUE"""),"CLOSED")</f>
        <v>CLOSED</v>
      </c>
      <c r="U2409" s="1" t="str">
        <f>IFERROR(__xludf.DUMMYFUNCTION("""COMPUTED_VALUE"""),"POSTED")</f>
        <v>POSTED</v>
      </c>
      <c r="V2409" s="1"/>
      <c r="W2409" s="1"/>
    </row>
    <row r="2410" customHeight="1" spans="1:23">
      <c r="A2410" s="3">
        <f>IFERROR(__xludf.DUMMYFUNCTION("""COMPUTED_VALUE"""),46211)</f>
        <v>46211</v>
      </c>
      <c r="B2410" s="1" t="str">
        <f>IFERROR(__xludf.DUMMYFUNCTION("""COMPUTED_VALUE"""),"FRANCISCO , ROSELYN")</f>
        <v>FRANCISCO , ROSELYN</v>
      </c>
      <c r="C2410" s="1" t="str">
        <f>IFERROR(__xludf.DUMMYFUNCTION("""COMPUTED_VALUE"""),"ORGANIC")</f>
        <v>ORGANIC</v>
      </c>
      <c r="D2410" s="1" t="str">
        <f>IFERROR(__xludf.DUMMYFUNCTION("""COMPUTED_VALUE"""),"REMOLLO LEA")</f>
        <v>REMOLLO LEA</v>
      </c>
      <c r="E2410" s="1" t="str">
        <f>IFERROR(__xludf.DUMMYFUNCTION("""COMPUTED_VALUE"""),"PLDT / H2H")</f>
        <v>PLDT / H2H</v>
      </c>
      <c r="F2410" s="1">
        <f>IFERROR(__xludf.DUMMYFUNCTION("""COMPUTED_VALUE"""),2310816308)</f>
        <v>2310816308</v>
      </c>
      <c r="G2410" s="1">
        <f>IFERROR(__xludf.DUMMYFUNCTION("""COMPUTED_VALUE"""),461792651004)</f>
        <v>461792651004</v>
      </c>
      <c r="H2410" s="1" t="str">
        <f>IFERROR(__xludf.DUMMYFUNCTION("""COMPUTED_VALUE"""),"JOHN CARLO APORA DIVINA")</f>
        <v>JOHN CARLO APORA DIVINA</v>
      </c>
      <c r="I2410" s="1">
        <f>IFERROR(__xludf.DUMMYFUNCTION("""COMPUTED_VALUE"""),9053283970)</f>
        <v>9053283970</v>
      </c>
      <c r="J2410" s="1"/>
      <c r="K2410" s="1" t="str">
        <f>IFERROR(__xludf.DUMMYFUNCTION("""COMPUTED_VALUE"""),"divinajohncarlo13@gmail.com")</f>
        <v>divinajohncarlo13@gmail.com</v>
      </c>
      <c r="L2410" s="1" t="str">
        <f>IFERROR(__xludf.DUMMYFUNCTION("""COMPUTED_VALUE"""),"9010")</f>
        <v>9010</v>
      </c>
      <c r="M2410" s="1" t="str">
        <f>IFERROR(__xludf.DUMMYFUNCTION("""COMPUTED_VALUE"""),"MAITIM")</f>
        <v>MAITIM</v>
      </c>
      <c r="N2410" s="1"/>
      <c r="O2410" s="1" t="str">
        <f>IFERROR(__xludf.DUMMYFUNCTION("""COMPUTED_VALUE"""),"MAITIM I")</f>
        <v>MAITIM I</v>
      </c>
      <c r="P2410" s="1" t="str">
        <f>IFERROR(__xludf.DUMMYFUNCTION("""COMPUTED_VALUE"""),"AMADEO")</f>
        <v>AMADEO</v>
      </c>
      <c r="Q2410" s="1" t="str">
        <f>IFERROR(__xludf.DUMMYFUNCTION("""COMPUTED_VALUE"""),"CAVITE")</f>
        <v>CAVITE</v>
      </c>
      <c r="R2410" s="1" t="str">
        <f>IFERROR(__xludf.DUMMYFUNCTION("""COMPUTED_VALUE"""),"FIBR PLAN 1299")</f>
        <v>FIBR PLAN 1299</v>
      </c>
      <c r="S2410" s="1" t="str">
        <f>IFERROR(__xludf.DUMMYFUNCTION("""COMPUTED_VALUE"""),"APPROVED")</f>
        <v>APPROVED</v>
      </c>
      <c r="T2410" s="1" t="str">
        <f>IFERROR(__xludf.DUMMYFUNCTION("""COMPUTED_VALUE"""),"CLOSED")</f>
        <v>CLOSED</v>
      </c>
      <c r="U2410" s="1" t="str">
        <f>IFERROR(__xludf.DUMMYFUNCTION("""COMPUTED_VALUE"""),"POSTED")</f>
        <v>POSTED</v>
      </c>
      <c r="V2410" s="1"/>
      <c r="W2410" s="1"/>
    </row>
    <row r="2411" customHeight="1" spans="1:23">
      <c r="A2411" s="3">
        <f>IFERROR(__xludf.DUMMYFUNCTION("""COMPUTED_VALUE"""),46211)</f>
        <v>46211</v>
      </c>
      <c r="B2411" s="1" t="str">
        <f>IFERROR(__xludf.DUMMYFUNCTION("""COMPUTED_VALUE"""),"GABAY, MANUEL")</f>
        <v>GABAY, MANUEL</v>
      </c>
      <c r="C2411" s="1" t="str">
        <f>IFERROR(__xludf.DUMMYFUNCTION("""COMPUTED_VALUE"""),"FLA")</f>
        <v>FLA</v>
      </c>
      <c r="D2411" s="1" t="str">
        <f>IFERROR(__xludf.DUMMYFUNCTION("""COMPUTED_VALUE"""),"JERIC NAVARRO")</f>
        <v>JERIC NAVARRO</v>
      </c>
      <c r="E2411" s="1" t="str">
        <f>IFERROR(__xludf.DUMMYFUNCTION("""COMPUTED_VALUE"""),"PLDT / ONLINE")</f>
        <v>PLDT / ONLINE</v>
      </c>
      <c r="F2411" s="1">
        <f>IFERROR(__xludf.DUMMYFUNCTION("""COMPUTED_VALUE"""),2310819468)</f>
        <v>2310819468</v>
      </c>
      <c r="G2411" s="1">
        <f>IFERROR(__xludf.DUMMYFUNCTION("""COMPUTED_VALUE"""),461937054004)</f>
        <v>461937054004</v>
      </c>
      <c r="H2411" s="1" t="str">
        <f>IFERROR(__xludf.DUMMYFUNCTION("""COMPUTED_VALUE"""),"MONOLITO MATURAN ALBORES")</f>
        <v>MONOLITO MATURAN ALBORES</v>
      </c>
      <c r="I2411" s="1">
        <f>IFERROR(__xludf.DUMMYFUNCTION("""COMPUTED_VALUE"""),9970955516)</f>
        <v>9970955516</v>
      </c>
      <c r="J2411" s="1"/>
      <c r="K2411" s="1" t="str">
        <f>IFERROR(__xludf.DUMMYFUNCTION("""COMPUTED_VALUE"""),"condeargie022@gmail.com")</f>
        <v>condeargie022@gmail.com</v>
      </c>
      <c r="L2411" s="1" t="str">
        <f>IFERROR(__xludf.DUMMYFUNCTION("""COMPUTED_VALUE"""),"BLK 4 LOT 2")</f>
        <v>BLK 4 LOT 2</v>
      </c>
      <c r="M2411" s="1" t="str">
        <f>IFERROR(__xludf.DUMMYFUNCTION("""COMPUTED_VALUE"""),"CONGRESIONAL RD")</f>
        <v>CONGRESIONAL RD</v>
      </c>
      <c r="N2411" s="1"/>
      <c r="O2411" s="1" t="str">
        <f>IFERROR(__xludf.DUMMYFUNCTION("""COMPUTED_VALUE"""),"FIORELLO CALIMAG (AREA C)")</f>
        <v>FIORELLO CALIMAG (AREA C)</v>
      </c>
      <c r="P2411" s="1" t="str">
        <f>IFERROR(__xludf.DUMMYFUNCTION("""COMPUTED_VALUE"""),"GEN MARIANO ALVAREZ")</f>
        <v>GEN MARIANO ALVAREZ</v>
      </c>
      <c r="Q2411" s="1" t="str">
        <f>IFERROR(__xludf.DUMMYFUNCTION("""COMPUTED_VALUE"""),"CAVITE")</f>
        <v>CAVITE</v>
      </c>
      <c r="R2411" s="1" t="str">
        <f>IFERROR(__xludf.DUMMYFUNCTION("""COMPUTED_VALUE"""),"FIBR UNLI ALL PLAN 999")</f>
        <v>FIBR UNLI ALL PLAN 999</v>
      </c>
      <c r="S2411" s="1" t="str">
        <f>IFERROR(__xludf.DUMMYFUNCTION("""COMPUTED_VALUE"""),"APPROVED")</f>
        <v>APPROVED</v>
      </c>
      <c r="T2411" s="1" t="str">
        <f>IFERROR(__xludf.DUMMYFUNCTION("""COMPUTED_VALUE"""),"CLOSED")</f>
        <v>CLOSED</v>
      </c>
      <c r="U2411" s="1" t="str">
        <f>IFERROR(__xludf.DUMMYFUNCTION("""COMPUTED_VALUE"""),"POSTED")</f>
        <v>POSTED</v>
      </c>
      <c r="V2411" s="1"/>
      <c r="W2411" s="1"/>
    </row>
    <row r="2412" customHeight="1" spans="1:23">
      <c r="A2412" s="3">
        <f>IFERROR(__xludf.DUMMYFUNCTION("""COMPUTED_VALUE"""),46211)</f>
        <v>46211</v>
      </c>
      <c r="B2412" s="1" t="str">
        <f>IFERROR(__xludf.DUMMYFUNCTION("""COMPUTED_VALUE"""),"MAGDARAOG, KENNETH")</f>
        <v>MAGDARAOG, KENNETH</v>
      </c>
      <c r="C2412" s="1" t="str">
        <f>IFERROR(__xludf.DUMMYFUNCTION("""COMPUTED_VALUE"""),"ORGANIC")</f>
        <v>ORGANIC</v>
      </c>
      <c r="D2412" s="1" t="str">
        <f>IFERROR(__xludf.DUMMYFUNCTION("""COMPUTED_VALUE"""),"REMOLLO LEA")</f>
        <v>REMOLLO LEA</v>
      </c>
      <c r="E2412" s="1" t="str">
        <f>IFERROR(__xludf.DUMMYFUNCTION("""COMPUTED_VALUE"""),"PLDT / H2H")</f>
        <v>PLDT / H2H</v>
      </c>
      <c r="F2412" s="1">
        <f>IFERROR(__xludf.DUMMYFUNCTION("""COMPUTED_VALUE"""),2310817173)</f>
        <v>2310817173</v>
      </c>
      <c r="G2412" s="1">
        <f>IFERROR(__xludf.DUMMYFUNCTION("""COMPUTED_VALUE"""),461790232004)</f>
        <v>461790232004</v>
      </c>
      <c r="H2412" s="1" t="str">
        <f>IFERROR(__xludf.DUMMYFUNCTION("""COMPUTED_VALUE"""),"JULITA MORTEL MORANTE")</f>
        <v>JULITA MORTEL MORANTE</v>
      </c>
      <c r="I2412" s="1">
        <f>IFERROR(__xludf.DUMMYFUNCTION("""COMPUTED_VALUE"""),9565626598)</f>
        <v>9565626598</v>
      </c>
      <c r="J2412" s="1">
        <f>IFERROR(__xludf.DUMMYFUNCTION("""COMPUTED_VALUE"""),9565664360)</f>
        <v>9565664360</v>
      </c>
      <c r="K2412" s="1" t="str">
        <f>IFERROR(__xludf.DUMMYFUNCTION("""COMPUTED_VALUE"""),"julitamorante5@gmail.com")</f>
        <v>julitamorante5@gmail.com</v>
      </c>
      <c r="L2412" s="1" t="str">
        <f>IFERROR(__xludf.DUMMYFUNCTION("""COMPUTED_VALUE"""),"49")</f>
        <v>49</v>
      </c>
      <c r="M2412" s="1" t="str">
        <f>IFERROR(__xludf.DUMMYFUNCTION("""COMPUTED_VALUE"""),"PUROK 5")</f>
        <v>PUROK 5</v>
      </c>
      <c r="N2412" s="1"/>
      <c r="O2412" s="1" t="str">
        <f>IFERROR(__xludf.DUMMYFUNCTION("""COMPUTED_VALUE"""),"PANGIL")</f>
        <v>PANGIL</v>
      </c>
      <c r="P2412" s="1" t="str">
        <f>IFERROR(__xludf.DUMMYFUNCTION("""COMPUTED_VALUE"""),"AMADEO")</f>
        <v>AMADEO</v>
      </c>
      <c r="Q2412" s="1" t="str">
        <f>IFERROR(__xludf.DUMMYFUNCTION("""COMPUTED_VALUE"""),"CAVITE")</f>
        <v>CAVITE</v>
      </c>
      <c r="R2412" s="1" t="str">
        <f>IFERROR(__xludf.DUMMYFUNCTION("""COMPUTED_VALUE"""),"FIBR UNLI ALL PLAN 999")</f>
        <v>FIBR UNLI ALL PLAN 999</v>
      </c>
      <c r="S2412" s="1" t="str">
        <f>IFERROR(__xludf.DUMMYFUNCTION("""COMPUTED_VALUE"""),"APPROVED")</f>
        <v>APPROVED</v>
      </c>
      <c r="T2412" s="1" t="str">
        <f>IFERROR(__xludf.DUMMYFUNCTION("""COMPUTED_VALUE"""),"CLOSED")</f>
        <v>CLOSED</v>
      </c>
      <c r="U2412" s="1" t="str">
        <f>IFERROR(__xludf.DUMMYFUNCTION("""COMPUTED_VALUE"""),"POSTED")</f>
        <v>POSTED</v>
      </c>
      <c r="V2412" s="1"/>
      <c r="W2412" s="1"/>
    </row>
    <row r="2413" customHeight="1" spans="1:23">
      <c r="A2413" s="3">
        <f>IFERROR(__xludf.DUMMYFUNCTION("""COMPUTED_VALUE"""),46211)</f>
        <v>46211</v>
      </c>
      <c r="B2413" s="1" t="str">
        <f>IFERROR(__xludf.DUMMYFUNCTION("""COMPUTED_VALUE"""),"CARPIO, STEPHANIE NICOLE")</f>
        <v>CARPIO, STEPHANIE NICOLE</v>
      </c>
      <c r="C2413" s="1" t="str">
        <f>IFERROR(__xludf.DUMMYFUNCTION("""COMPUTED_VALUE"""),"FLA")</f>
        <v>FLA</v>
      </c>
      <c r="D2413" s="1" t="str">
        <f>IFERROR(__xludf.DUMMYFUNCTION("""COMPUTED_VALUE"""),"JERIC NAVARRO")</f>
        <v>JERIC NAVARRO</v>
      </c>
      <c r="E2413" s="1" t="str">
        <f>IFERROR(__xludf.DUMMYFUNCTION("""COMPUTED_VALUE"""),"PLDT / H2H")</f>
        <v>PLDT / H2H</v>
      </c>
      <c r="F2413" s="1">
        <f>IFERROR(__xludf.DUMMYFUNCTION("""COMPUTED_VALUE"""),2310820325)</f>
        <v>2310820325</v>
      </c>
      <c r="G2413" s="1">
        <f>IFERROR(__xludf.DUMMYFUNCTION("""COMPUTED_VALUE"""),461808732004)</f>
        <v>461808732004</v>
      </c>
      <c r="H2413" s="1" t="str">
        <f>IFERROR(__xludf.DUMMYFUNCTION("""COMPUTED_VALUE"""),"SEAN DAVE DAYSON SOLANO")</f>
        <v>SEAN DAVE DAYSON SOLANO</v>
      </c>
      <c r="I2413" s="1">
        <f>IFERROR(__xludf.DUMMYFUNCTION("""COMPUTED_VALUE"""),9641522316)</f>
        <v>9641522316</v>
      </c>
      <c r="J2413" s="1"/>
      <c r="K2413" s="1" t="str">
        <f>IFERROR(__xludf.DUMMYFUNCTION("""COMPUTED_VALUE"""),"salandoseandave@gmail.com")</f>
        <v>salandoseandave@gmail.com</v>
      </c>
      <c r="L2413" s="1" t="str">
        <f>IFERROR(__xludf.DUMMYFUNCTION("""COMPUTED_VALUE"""),"BLK 21 LOT 27")</f>
        <v>BLK 21 LOT 27</v>
      </c>
      <c r="M2413" s="1" t="str">
        <f>IFERROR(__xludf.DUMMYFUNCTION("""COMPUTED_VALUE"""),"IRIS")</f>
        <v>IRIS</v>
      </c>
      <c r="N2413" s="1" t="str">
        <f>IFERROR(__xludf.DUMMYFUNCTION("""COMPUTED_VALUE"""),"PARKVILLE")</f>
        <v>PARKVILLE</v>
      </c>
      <c r="O2413" s="1" t="str">
        <f>IFERROR(__xludf.DUMMYFUNCTION("""COMPUTED_VALUE"""),"ALAPAN II-A")</f>
        <v>ALAPAN II-A</v>
      </c>
      <c r="P2413" s="1" t="str">
        <f>IFERROR(__xludf.DUMMYFUNCTION("""COMPUTED_VALUE"""),"IMUS")</f>
        <v>IMUS</v>
      </c>
      <c r="Q2413" s="1" t="str">
        <f>IFERROR(__xludf.DUMMYFUNCTION("""COMPUTED_VALUE"""),"CAVITE")</f>
        <v>CAVITE</v>
      </c>
      <c r="R2413" s="1" t="str">
        <f>IFERROR(__xludf.DUMMYFUNCTION("""COMPUTED_VALUE"""),"FIBR PLAN 1699")</f>
        <v>FIBR PLAN 1699</v>
      </c>
      <c r="S2413" s="1" t="str">
        <f>IFERROR(__xludf.DUMMYFUNCTION("""COMPUTED_VALUE"""),"APPROVED")</f>
        <v>APPROVED</v>
      </c>
      <c r="T2413" s="1" t="str">
        <f>IFERROR(__xludf.DUMMYFUNCTION("""COMPUTED_VALUE"""),"RPR")</f>
        <v>RPR</v>
      </c>
      <c r="U2413" s="1"/>
      <c r="V2413" s="1"/>
      <c r="W2413" s="1"/>
    </row>
    <row r="2414" customHeight="1" spans="1:23">
      <c r="A2414" s="3">
        <f>IFERROR(__xludf.DUMMYFUNCTION("""COMPUTED_VALUE"""),46212)</f>
        <v>46212</v>
      </c>
      <c r="B2414" s="1" t="str">
        <f>IFERROR(__xludf.DUMMYFUNCTION("""COMPUTED_VALUE"""),"RIVERA, AIRIZH JOY")</f>
        <v>RIVERA, AIRIZH JOY</v>
      </c>
      <c r="C2414" s="1" t="str">
        <f>IFERROR(__xludf.DUMMYFUNCTION("""COMPUTED_VALUE"""),"ORGANIC")</f>
        <v>ORGANIC</v>
      </c>
      <c r="D2414" s="1" t="str">
        <f>IFERROR(__xludf.DUMMYFUNCTION("""COMPUTED_VALUE"""),"REMOLLO LEA")</f>
        <v>REMOLLO LEA</v>
      </c>
      <c r="E2414" s="1" t="str">
        <f>IFERROR(__xludf.DUMMYFUNCTION("""COMPUTED_VALUE"""),"PLDT / H2H")</f>
        <v>PLDT / H2H</v>
      </c>
      <c r="F2414" s="1">
        <f>IFERROR(__xludf.DUMMYFUNCTION("""COMPUTED_VALUE"""),2310835107)</f>
        <v>2310835107</v>
      </c>
      <c r="G2414" s="1">
        <f>IFERROR(__xludf.DUMMYFUNCTION("""COMPUTED_VALUE"""),461926361004)</f>
        <v>461926361004</v>
      </c>
      <c r="H2414" s="1" t="str">
        <f>IFERROR(__xludf.DUMMYFUNCTION("""COMPUTED_VALUE"""),"KELLIE LORAIN BUSANTE TALAG")</f>
        <v>KELLIE LORAIN BUSANTE TALAG</v>
      </c>
      <c r="I2414" s="1">
        <f>IFERROR(__xludf.DUMMYFUNCTION("""COMPUTED_VALUE"""),9951930521)</f>
        <v>9951930521</v>
      </c>
      <c r="J2414" s="1"/>
      <c r="K2414" s="1" t="str">
        <f>IFERROR(__xludf.DUMMYFUNCTION("""COMPUTED_VALUE"""),"talagkellie11@gmail.com")</f>
        <v>talagkellie11@gmail.com</v>
      </c>
      <c r="L2414" s="1" t="str">
        <f>IFERROR(__xludf.DUMMYFUNCTION("""COMPUTED_VALUE"""),"BLK 44 LOT 5")</f>
        <v>BLK 44 LOT 5</v>
      </c>
      <c r="M2414" s="1" t="str">
        <f>IFERROR(__xludf.DUMMYFUNCTION("""COMPUTED_VALUE"""),"PHASE 6")</f>
        <v>PHASE 6</v>
      </c>
      <c r="N2414" s="1"/>
      <c r="O2414" s="1" t="str">
        <f>IFERROR(__xludf.DUMMYFUNCTION("""COMPUTED_VALUE"""),"BANABA")</f>
        <v>BANABA</v>
      </c>
      <c r="P2414" s="1" t="str">
        <f>IFERROR(__xludf.DUMMYFUNCTION("""COMPUTED_VALUE"""),"SILANG")</f>
        <v>SILANG</v>
      </c>
      <c r="Q2414" s="1" t="str">
        <f>IFERROR(__xludf.DUMMYFUNCTION("""COMPUTED_VALUE"""),"CAVITE")</f>
        <v>CAVITE</v>
      </c>
      <c r="R2414" s="1" t="str">
        <f>IFERROR(__xludf.DUMMYFUNCTION("""COMPUTED_VALUE"""),"FIBR UNLI ALL PLAN 999")</f>
        <v>FIBR UNLI ALL PLAN 999</v>
      </c>
      <c r="S2414" s="1" t="str">
        <f>IFERROR(__xludf.DUMMYFUNCTION("""COMPUTED_VALUE"""),"APPROVED")</f>
        <v>APPROVED</v>
      </c>
      <c r="T2414" s="1" t="str">
        <f>IFERROR(__xludf.DUMMYFUNCTION("""COMPUTED_VALUE"""),"CANCELLED")</f>
        <v>CANCELLED</v>
      </c>
      <c r="U2414" s="1"/>
      <c r="V2414" s="1"/>
      <c r="W2414" s="1"/>
    </row>
    <row r="2415" customHeight="1" spans="1:23">
      <c r="A2415" s="3">
        <f>IFERROR(__xludf.DUMMYFUNCTION("""COMPUTED_VALUE"""),46212)</f>
        <v>46212</v>
      </c>
      <c r="B2415" s="1" t="str">
        <f>IFERROR(__xludf.DUMMYFUNCTION("""COMPUTED_VALUE"""),"CASTILLEJOS, ARREL")</f>
        <v>CASTILLEJOS, ARREL</v>
      </c>
      <c r="C2415" s="1" t="str">
        <f>IFERROR(__xludf.DUMMYFUNCTION("""COMPUTED_VALUE"""),"ORGANIC")</f>
        <v>ORGANIC</v>
      </c>
      <c r="D2415" s="1" t="str">
        <f>IFERROR(__xludf.DUMMYFUNCTION("""COMPUTED_VALUE"""),"REMOLLO LEA")</f>
        <v>REMOLLO LEA</v>
      </c>
      <c r="E2415" s="1" t="str">
        <f>IFERROR(__xludf.DUMMYFUNCTION("""COMPUTED_VALUE"""),"PLDT / H2H")</f>
        <v>PLDT / H2H</v>
      </c>
      <c r="F2415" s="1">
        <f>IFERROR(__xludf.DUMMYFUNCTION("""COMPUTED_VALUE"""),2310836161)</f>
        <v>2310836161</v>
      </c>
      <c r="G2415" s="1">
        <f>IFERROR(__xludf.DUMMYFUNCTION("""COMPUTED_VALUE"""),461927927004)</f>
        <v>461927927004</v>
      </c>
      <c r="H2415" s="1" t="str">
        <f>IFERROR(__xludf.DUMMYFUNCTION("""COMPUTED_VALUE"""),"GERARDO PASTE PINPIN")</f>
        <v>GERARDO PASTE PINPIN</v>
      </c>
      <c r="I2415" s="1">
        <f>IFERROR(__xludf.DUMMYFUNCTION("""COMPUTED_VALUE"""),9164767788)</f>
        <v>9164767788</v>
      </c>
      <c r="J2415" s="1">
        <f>IFERROR(__xludf.DUMMYFUNCTION("""COMPUTED_VALUE"""),9271294680)</f>
        <v>9271294680</v>
      </c>
      <c r="K2415" s="1" t="str">
        <f>IFERROR(__xludf.DUMMYFUNCTION("""COMPUTED_VALUE"""),"jerrypinpin08@gmail.com")</f>
        <v>jerrypinpin08@gmail.com</v>
      </c>
      <c r="L2415" s="1" t="str">
        <f>IFERROR(__xludf.DUMMYFUNCTION("""COMPUTED_VALUE"""),"34")</f>
        <v>34</v>
      </c>
      <c r="M2415" s="1" t="str">
        <f>IFERROR(__xludf.DUMMYFUNCTION("""COMPUTED_VALUE"""),"BULIHAN")</f>
        <v>BULIHAN</v>
      </c>
      <c r="N2415" s="1"/>
      <c r="O2415" s="1" t="str">
        <f>IFERROR(__xludf.DUMMYFUNCTION("""COMPUTED_VALUE"""),"BULIHAN")</f>
        <v>BULIHAN</v>
      </c>
      <c r="P2415" s="1" t="str">
        <f>IFERROR(__xludf.DUMMYFUNCTION("""COMPUTED_VALUE"""),"SILANG")</f>
        <v>SILANG</v>
      </c>
      <c r="Q2415" s="1" t="str">
        <f>IFERROR(__xludf.DUMMYFUNCTION("""COMPUTED_VALUE"""),"CAVITE")</f>
        <v>CAVITE</v>
      </c>
      <c r="R2415" s="1" t="str">
        <f>IFERROR(__xludf.DUMMYFUNCTION("""COMPUTED_VALUE"""),"FIBR PLAN 1299")</f>
        <v>FIBR PLAN 1299</v>
      </c>
      <c r="S2415" s="1" t="str">
        <f>IFERROR(__xludf.DUMMYFUNCTION("""COMPUTED_VALUE"""),"APPROVED")</f>
        <v>APPROVED</v>
      </c>
      <c r="T2415" s="1" t="str">
        <f>IFERROR(__xludf.DUMMYFUNCTION("""COMPUTED_VALUE"""),"CLOSED")</f>
        <v>CLOSED</v>
      </c>
      <c r="U2415" s="1" t="str">
        <f>IFERROR(__xludf.DUMMYFUNCTION("""COMPUTED_VALUE"""),"POSTED")</f>
        <v>POSTED</v>
      </c>
      <c r="V2415" s="1"/>
      <c r="W2415" s="1"/>
    </row>
    <row r="2416" customHeight="1" spans="1:23">
      <c r="A2416" s="3">
        <f>IFERROR(__xludf.DUMMYFUNCTION("""COMPUTED_VALUE"""),46212)</f>
        <v>46212</v>
      </c>
      <c r="B2416" s="1" t="str">
        <f>IFERROR(__xludf.DUMMYFUNCTION("""COMPUTED_VALUE"""),"ACOSTA. ZAIRUS")</f>
        <v>ACOSTA. ZAIRUS</v>
      </c>
      <c r="C2416" s="1" t="str">
        <f>IFERROR(__xludf.DUMMYFUNCTION("""COMPUTED_VALUE"""),"ORGANIC")</f>
        <v>ORGANIC</v>
      </c>
      <c r="D2416" s="1" t="str">
        <f>IFERROR(__xludf.DUMMYFUNCTION("""COMPUTED_VALUE"""),"REMOLLO LEA")</f>
        <v>REMOLLO LEA</v>
      </c>
      <c r="E2416" s="1" t="str">
        <f>IFERROR(__xludf.DUMMYFUNCTION("""COMPUTED_VALUE"""),"PLDT / H2H")</f>
        <v>PLDT / H2H</v>
      </c>
      <c r="F2416" s="1">
        <f>IFERROR(__xludf.DUMMYFUNCTION("""COMPUTED_VALUE"""),2310836773)</f>
        <v>2310836773</v>
      </c>
      <c r="G2416" s="1">
        <f>IFERROR(__xludf.DUMMYFUNCTION("""COMPUTED_VALUE"""),461927409004)</f>
        <v>461927409004</v>
      </c>
      <c r="H2416" s="1" t="str">
        <f>IFERROR(__xludf.DUMMYFUNCTION("""COMPUTED_VALUE"""),"JHOCRES GUILLERMO SURMIEDA")</f>
        <v>JHOCRES GUILLERMO SURMIEDA</v>
      </c>
      <c r="I2416" s="1">
        <f>IFERROR(__xludf.DUMMYFUNCTION("""COMPUTED_VALUE"""),9934320156)</f>
        <v>9934320156</v>
      </c>
      <c r="J2416" s="1">
        <f>IFERROR(__xludf.DUMMYFUNCTION("""COMPUTED_VALUE"""),9166836906)</f>
        <v>9166836906</v>
      </c>
      <c r="K2416" s="1" t="str">
        <f>IFERROR(__xludf.DUMMYFUNCTION("""COMPUTED_VALUE"""),"junielarosea@gmail.com")</f>
        <v>junielarosea@gmail.com</v>
      </c>
      <c r="L2416" s="1" t="str">
        <f>IFERROR(__xludf.DUMMYFUNCTION("""COMPUTED_VALUE"""),"BLK 3 LOT 1")</f>
        <v>BLK 3 LOT 1</v>
      </c>
      <c r="M2416" s="1" t="str">
        <f>IFERROR(__xludf.DUMMYFUNCTION("""COMPUTED_VALUE"""),"BUKLRAN 3")</f>
        <v>BUKLRAN 3</v>
      </c>
      <c r="N2416" s="1"/>
      <c r="O2416" s="1" t="str">
        <f>IFERROR(__xludf.DUMMYFUNCTION("""COMPUTED_VALUE"""),"BULIHAN")</f>
        <v>BULIHAN</v>
      </c>
      <c r="P2416" s="1" t="str">
        <f>IFERROR(__xludf.DUMMYFUNCTION("""COMPUTED_VALUE"""),"SILANG")</f>
        <v>SILANG</v>
      </c>
      <c r="Q2416" s="1" t="str">
        <f>IFERROR(__xludf.DUMMYFUNCTION("""COMPUTED_VALUE"""),"CAVITE")</f>
        <v>CAVITE</v>
      </c>
      <c r="R2416" s="1" t="str">
        <f>IFERROR(__xludf.DUMMYFUNCTION("""COMPUTED_VALUE"""),"FIBR UNLI ALL PLAN 999")</f>
        <v>FIBR UNLI ALL PLAN 999</v>
      </c>
      <c r="S2416" s="1" t="str">
        <f>IFERROR(__xludf.DUMMYFUNCTION("""COMPUTED_VALUE"""),"APPROVED")</f>
        <v>APPROVED</v>
      </c>
      <c r="T2416" s="1" t="str">
        <f>IFERROR(__xludf.DUMMYFUNCTION("""COMPUTED_VALUE"""),"RPR")</f>
        <v>RPR</v>
      </c>
      <c r="U2416" s="1"/>
      <c r="V2416" s="1"/>
      <c r="W2416" s="1"/>
    </row>
    <row r="2417" customHeight="1" spans="1:23">
      <c r="A2417" s="3">
        <f>IFERROR(__xludf.DUMMYFUNCTION("""COMPUTED_VALUE"""),46212)</f>
        <v>46212</v>
      </c>
      <c r="B2417" s="1" t="str">
        <f>IFERROR(__xludf.DUMMYFUNCTION("""COMPUTED_VALUE"""),"FRANCISCO , ROSELYN")</f>
        <v>FRANCISCO , ROSELYN</v>
      </c>
      <c r="C2417" s="1" t="str">
        <f>IFERROR(__xludf.DUMMYFUNCTION("""COMPUTED_VALUE"""),"ORGANIC")</f>
        <v>ORGANIC</v>
      </c>
      <c r="D2417" s="1" t="str">
        <f>IFERROR(__xludf.DUMMYFUNCTION("""COMPUTED_VALUE"""),"REMOLLO LEA")</f>
        <v>REMOLLO LEA</v>
      </c>
      <c r="E2417" s="1" t="str">
        <f>IFERROR(__xludf.DUMMYFUNCTION("""COMPUTED_VALUE"""),"PLDT / ONLINE")</f>
        <v>PLDT / ONLINE</v>
      </c>
      <c r="F2417" s="1">
        <f>IFERROR(__xludf.DUMMYFUNCTION("""COMPUTED_VALUE"""),2310834589)</f>
        <v>2310834589</v>
      </c>
      <c r="G2417" s="1">
        <f>IFERROR(__xludf.DUMMYFUNCTION("""COMPUTED_VALUE"""),461926934004)</f>
        <v>461926934004</v>
      </c>
      <c r="H2417" s="1" t="str">
        <f>IFERROR(__xludf.DUMMYFUNCTION("""COMPUTED_VALUE"""),"BIEN ALBEZA GANDIA")</f>
        <v>BIEN ALBEZA GANDIA</v>
      </c>
      <c r="I2417" s="1">
        <f>IFERROR(__xludf.DUMMYFUNCTION("""COMPUTED_VALUE"""),9669332075)</f>
        <v>9669332075</v>
      </c>
      <c r="J2417" s="1">
        <f>IFERROR(__xludf.DUMMYFUNCTION("""COMPUTED_VALUE"""),9564316288)</f>
        <v>9564316288</v>
      </c>
      <c r="K2417" s="1" t="str">
        <f>IFERROR(__xludf.DUMMYFUNCTION("""COMPUTED_VALUE"""),"biengandia77@gmail.com")</f>
        <v>biengandia77@gmail.com</v>
      </c>
      <c r="L2417" s="1" t="str">
        <f>IFERROR(__xludf.DUMMYFUNCTION("""COMPUTED_VALUE"""),"9778")</f>
        <v>9778</v>
      </c>
      <c r="M2417" s="1" t="str">
        <f>IFERROR(__xludf.DUMMYFUNCTION("""COMPUTED_VALUE"""),"LUKSUHIN RD")</f>
        <v>LUKSUHIN RD</v>
      </c>
      <c r="N2417" s="1"/>
      <c r="O2417" s="1" t="str">
        <f>IFERROR(__xludf.DUMMYFUNCTION("""COMPUTED_VALUE"""),"SIKAT")</f>
        <v>SIKAT</v>
      </c>
      <c r="P2417" s="1" t="str">
        <f>IFERROR(__xludf.DUMMYFUNCTION("""COMPUTED_VALUE"""),"ALFONSO")</f>
        <v>ALFONSO</v>
      </c>
      <c r="Q2417" s="1" t="str">
        <f>IFERROR(__xludf.DUMMYFUNCTION("""COMPUTED_VALUE"""),"CAVITE")</f>
        <v>CAVITE</v>
      </c>
      <c r="R2417" s="1" t="str">
        <f>IFERROR(__xludf.DUMMYFUNCTION("""COMPUTED_VALUE"""),"FIBR NETFLIX PLAN 1599")</f>
        <v>FIBR NETFLIX PLAN 1599</v>
      </c>
      <c r="S2417" s="1" t="str">
        <f>IFERROR(__xludf.DUMMYFUNCTION("""COMPUTED_VALUE"""),"APPROVED")</f>
        <v>APPROVED</v>
      </c>
      <c r="T2417" s="1" t="str">
        <f>IFERROR(__xludf.DUMMYFUNCTION("""COMPUTED_VALUE"""),"RPR")</f>
        <v>RPR</v>
      </c>
      <c r="U2417" s="1"/>
      <c r="V2417" s="1"/>
      <c r="W2417" s="1"/>
    </row>
    <row r="2418" customHeight="1" spans="1:23">
      <c r="A2418" s="3">
        <f>IFERROR(__xludf.DUMMYFUNCTION("""COMPUTED_VALUE"""),46212)</f>
        <v>46212</v>
      </c>
      <c r="B2418" s="1" t="str">
        <f>IFERROR(__xludf.DUMMYFUNCTION("""COMPUTED_VALUE"""),"AYON MANUEL")</f>
        <v>AYON MANUEL</v>
      </c>
      <c r="C2418" s="1" t="str">
        <f>IFERROR(__xludf.DUMMYFUNCTION("""COMPUTED_VALUE"""),"FLA")</f>
        <v>FLA</v>
      </c>
      <c r="D2418" s="1" t="str">
        <f>IFERROR(__xludf.DUMMYFUNCTION("""COMPUTED_VALUE"""),"JERIC NAVARRO")</f>
        <v>JERIC NAVARRO</v>
      </c>
      <c r="E2418" s="1" t="str">
        <f>IFERROR(__xludf.DUMMYFUNCTION("""COMPUTED_VALUE"""),"PLDT / ONLINE")</f>
        <v>PLDT / ONLINE</v>
      </c>
      <c r="F2418" s="1">
        <f>IFERROR(__xludf.DUMMYFUNCTION("""COMPUTED_VALUE"""),2310833903)</f>
        <v>2310833903</v>
      </c>
      <c r="G2418" s="1">
        <f>IFERROR(__xludf.DUMMYFUNCTION("""COMPUTED_VALUE"""),461927807004)</f>
        <v>461927807004</v>
      </c>
      <c r="H2418" s="1" t="str">
        <f>IFERROR(__xludf.DUMMYFUNCTION("""COMPUTED_VALUE"""),"MARIAN SANCHEZ CABEZUDO")</f>
        <v>MARIAN SANCHEZ CABEZUDO</v>
      </c>
      <c r="I2418" s="1">
        <f>IFERROR(__xludf.DUMMYFUNCTION("""COMPUTED_VALUE"""),9488795960)</f>
        <v>9488795960</v>
      </c>
      <c r="J2418" s="1">
        <f>IFERROR(__xludf.DUMMYFUNCTION("""COMPUTED_VALUE"""),9930948418)</f>
        <v>9930948418</v>
      </c>
      <c r="K2418" s="1" t="str">
        <f>IFERROR(__xludf.DUMMYFUNCTION("""COMPUTED_VALUE"""),"marioncabezudo@gmail.com")</f>
        <v>marioncabezudo@gmail.com</v>
      </c>
      <c r="L2418" s="1" t="str">
        <f>IFERROR(__xludf.DUMMYFUNCTION("""COMPUTED_VALUE"""),"BLK 8 LOT 2")</f>
        <v>BLK 8 LOT 2</v>
      </c>
      <c r="M2418" s="1" t="str">
        <f>IFERROR(__xludf.DUMMYFUNCTION("""COMPUTED_VALUE"""),"VILLA PATRICIA")</f>
        <v>VILLA PATRICIA</v>
      </c>
      <c r="N2418" s="1"/>
      <c r="O2418" s="1" t="str">
        <f>IFERROR(__xludf.DUMMYFUNCTION("""COMPUTED_VALUE"""),"ASIS I")</f>
        <v>ASIS I</v>
      </c>
      <c r="P2418" s="1" t="str">
        <f>IFERROR(__xludf.DUMMYFUNCTION("""COMPUTED_VALUE"""),"MENDEZ")</f>
        <v>MENDEZ</v>
      </c>
      <c r="Q2418" s="1" t="str">
        <f>IFERROR(__xludf.DUMMYFUNCTION("""COMPUTED_VALUE"""),"CAVITE")</f>
        <v>CAVITE</v>
      </c>
      <c r="R2418" s="1" t="str">
        <f>IFERROR(__xludf.DUMMYFUNCTION("""COMPUTED_VALUE"""),"FIBR UNLI ALL PLAN 1399")</f>
        <v>FIBR UNLI ALL PLAN 1399</v>
      </c>
      <c r="S2418" s="1" t="str">
        <f>IFERROR(__xludf.DUMMYFUNCTION("""COMPUTED_VALUE"""),"APPROVED")</f>
        <v>APPROVED</v>
      </c>
      <c r="T2418" s="1" t="str">
        <f>IFERROR(__xludf.DUMMYFUNCTION("""COMPUTED_VALUE"""),"CLOSED")</f>
        <v>CLOSED</v>
      </c>
      <c r="U2418" s="1" t="str">
        <f>IFERROR(__xludf.DUMMYFUNCTION("""COMPUTED_VALUE"""),"POSTED")</f>
        <v>POSTED</v>
      </c>
      <c r="V2418" s="1"/>
      <c r="W2418" s="1"/>
    </row>
    <row r="2419" customHeight="1" spans="1:23">
      <c r="A2419" s="3">
        <f>IFERROR(__xludf.DUMMYFUNCTION("""COMPUTED_VALUE"""),46212)</f>
        <v>46212</v>
      </c>
      <c r="B2419" s="1" t="str">
        <f>IFERROR(__xludf.DUMMYFUNCTION("""COMPUTED_VALUE"""),"LISACA, KRISEL")</f>
        <v>LISACA, KRISEL</v>
      </c>
      <c r="C2419" s="1" t="str">
        <f>IFERROR(__xludf.DUMMYFUNCTION("""COMPUTED_VALUE"""),"ORGANIC")</f>
        <v>ORGANIC</v>
      </c>
      <c r="D2419" s="1" t="str">
        <f>IFERROR(__xludf.DUMMYFUNCTION("""COMPUTED_VALUE"""),"REMOLLO LEA")</f>
        <v>REMOLLO LEA</v>
      </c>
      <c r="E2419" s="1" t="str">
        <f>IFERROR(__xludf.DUMMYFUNCTION("""COMPUTED_VALUE"""),"PLDT / H2H")</f>
        <v>PLDT / H2H</v>
      </c>
      <c r="F2419" s="1"/>
      <c r="G2419" s="1"/>
      <c r="H2419" s="1" t="str">
        <f>IFERROR(__xludf.DUMMYFUNCTION("""COMPUTED_VALUE"""),"ELORDE ASIGNACION VALBAREZ")</f>
        <v>ELORDE ASIGNACION VALBAREZ</v>
      </c>
      <c r="I2419" s="1">
        <f>IFERROR(__xludf.DUMMYFUNCTION("""COMPUTED_VALUE"""),9456184004)</f>
        <v>9456184004</v>
      </c>
      <c r="J2419" s="1"/>
      <c r="K2419" s="1" t="str">
        <f>IFERROR(__xludf.DUMMYFUNCTION("""COMPUTED_VALUE"""),"elordevalbarez5@gmail.com")</f>
        <v>elordevalbarez5@gmail.com</v>
      </c>
      <c r="L2419" s="1" t="str">
        <f>IFERROR(__xludf.DUMMYFUNCTION("""COMPUTED_VALUE"""),"BLK 22 LO 4")</f>
        <v>BLK 22 LO 4</v>
      </c>
      <c r="M2419" s="1" t="str">
        <f>IFERROR(__xludf.DUMMYFUNCTION("""COMPUTED_VALUE"""),"ZONE 1")</f>
        <v>ZONE 1</v>
      </c>
      <c r="N2419" s="1" t="str">
        <f>IFERROR(__xludf.DUMMYFUNCTION("""COMPUTED_VALUE"""),"AFP")</f>
        <v>AFP</v>
      </c>
      <c r="O2419" s="1" t="str">
        <f>IFERROR(__xludf.DUMMYFUNCTION("""COMPUTED_VALUE"""),"BULIHAN")</f>
        <v>BULIHAN</v>
      </c>
      <c r="P2419" s="1" t="str">
        <f>IFERROR(__xludf.DUMMYFUNCTION("""COMPUTED_VALUE"""),"SILANG")</f>
        <v>SILANG</v>
      </c>
      <c r="Q2419" s="1" t="str">
        <f>IFERROR(__xludf.DUMMYFUNCTION("""COMPUTED_VALUE"""),"CAVITE")</f>
        <v>CAVITE</v>
      </c>
      <c r="R2419" s="1" t="str">
        <f>IFERROR(__xludf.DUMMYFUNCTION("""COMPUTED_VALUE"""),"FIBR UNLI ALL PLAN 999")</f>
        <v>FIBR UNLI ALL PLAN 999</v>
      </c>
      <c r="S2419" s="1" t="str">
        <f>IFERROR(__xludf.DUMMYFUNCTION("""COMPUTED_VALUE"""),"HOLD")</f>
        <v>HOLD</v>
      </c>
      <c r="T2419" s="1" t="str">
        <f>IFERROR(__xludf.DUMMYFUNCTION("""COMPUTED_VALUE"""),"#N/A")</f>
        <v>#N/A</v>
      </c>
      <c r="U2419" s="1" t="str">
        <f>IFERROR(__xludf.DUMMYFUNCTION("""COMPUTED_VALUE"""),"PLS PROVIDE ID WITH SAME SIGNATURE")</f>
        <v>PLS PROVIDE ID WITH SAME SIGNATURE</v>
      </c>
      <c r="V2419" s="1"/>
      <c r="W2419" s="1"/>
    </row>
    <row r="2420" customHeight="1" spans="1:23">
      <c r="A2420" s="3">
        <f>IFERROR(__xludf.DUMMYFUNCTION("""COMPUTED_VALUE"""),46212)</f>
        <v>46212</v>
      </c>
      <c r="B2420" s="1" t="str">
        <f>IFERROR(__xludf.DUMMYFUNCTION("""COMPUTED_VALUE"""),"MALIWAT MARK ELVIN")</f>
        <v>MALIWAT MARK ELVIN</v>
      </c>
      <c r="C2420" s="1" t="str">
        <f>IFERROR(__xludf.DUMMYFUNCTION("""COMPUTED_VALUE"""),"FLA")</f>
        <v>FLA</v>
      </c>
      <c r="D2420" s="1" t="str">
        <f>IFERROR(__xludf.DUMMYFUNCTION("""COMPUTED_VALUE"""),"JERIC NAVARRO")</f>
        <v>JERIC NAVARRO</v>
      </c>
      <c r="E2420" s="1" t="str">
        <f>IFERROR(__xludf.DUMMYFUNCTION("""COMPUTED_VALUE"""),"PLDT / ONLINE")</f>
        <v>PLDT / ONLINE</v>
      </c>
      <c r="F2420" s="1">
        <f>IFERROR(__xludf.DUMMYFUNCTION("""COMPUTED_VALUE"""),2310837740)</f>
        <v>2310837740</v>
      </c>
      <c r="G2420" s="1">
        <f>IFERROR(__xludf.DUMMYFUNCTION("""COMPUTED_VALUE"""),461961211004)</f>
        <v>461961211004</v>
      </c>
      <c r="H2420" s="1" t="str">
        <f>IFERROR(__xludf.DUMMYFUNCTION("""COMPUTED_VALUE"""),"JOHN REY MERANO MARIN")</f>
        <v>JOHN REY MERANO MARIN</v>
      </c>
      <c r="I2420" s="1">
        <f>IFERROR(__xludf.DUMMYFUNCTION("""COMPUTED_VALUE"""),9275729515)</f>
        <v>9275729515</v>
      </c>
      <c r="J2420" s="1">
        <f>IFERROR(__xludf.DUMMYFUNCTION("""COMPUTED_VALUE"""),9275729515)</f>
        <v>9275729515</v>
      </c>
      <c r="K2420" s="1" t="str">
        <f>IFERROR(__xludf.DUMMYFUNCTION("""COMPUTED_VALUE"""),"yanzo0320@gmail.com")</f>
        <v>yanzo0320@gmail.com</v>
      </c>
      <c r="L2420" s="1" t="str">
        <f>IFERROR(__xludf.DUMMYFUNCTION("""COMPUTED_VALUE"""),"9061")</f>
        <v>9061</v>
      </c>
      <c r="M2420" s="1" t="str">
        <f>IFERROR(__xludf.DUMMYFUNCTION("""COMPUTED_VALUE"""),"IBAYONG ILAT")</f>
        <v>IBAYONG ILAT</v>
      </c>
      <c r="N2420" s="1"/>
      <c r="O2420" s="1" t="str">
        <f>IFERROR(__xludf.DUMMYFUNCTION("""COMPUTED_VALUE"""),"KAONG")</f>
        <v>KAONG</v>
      </c>
      <c r="P2420" s="1" t="str">
        <f>IFERROR(__xludf.DUMMYFUNCTION("""COMPUTED_VALUE"""),"SILANG")</f>
        <v>SILANG</v>
      </c>
      <c r="Q2420" s="1" t="str">
        <f>IFERROR(__xludf.DUMMYFUNCTION("""COMPUTED_VALUE"""),"CAVITE")</f>
        <v>CAVITE</v>
      </c>
      <c r="R2420" s="1" t="str">
        <f>IFERROR(__xludf.DUMMYFUNCTION("""COMPUTED_VALUE"""),"FIBR UNLI ALL PLAN 999")</f>
        <v>FIBR UNLI ALL PLAN 999</v>
      </c>
      <c r="S2420" s="1" t="str">
        <f>IFERROR(__xludf.DUMMYFUNCTION("""COMPUTED_VALUE"""),"APPROVED")</f>
        <v>APPROVED</v>
      </c>
      <c r="T2420" s="1" t="str">
        <f>IFERROR(__xludf.DUMMYFUNCTION("""COMPUTED_VALUE"""),"FOR CANCELLATION")</f>
        <v>FOR CANCELLATION</v>
      </c>
      <c r="U2420" s="1"/>
      <c r="V2420" s="1"/>
      <c r="W2420" s="1"/>
    </row>
    <row r="2421" customHeight="1" spans="1:23">
      <c r="A2421" s="3">
        <f>IFERROR(__xludf.DUMMYFUNCTION("""COMPUTED_VALUE"""),46212)</f>
        <v>46212</v>
      </c>
      <c r="B2421" s="1" t="str">
        <f>IFERROR(__xludf.DUMMYFUNCTION("""COMPUTED_VALUE"""),"FRANCISCO , ROSELYN")</f>
        <v>FRANCISCO , ROSELYN</v>
      </c>
      <c r="C2421" s="1" t="str">
        <f>IFERROR(__xludf.DUMMYFUNCTION("""COMPUTED_VALUE"""),"ORGANIC")</f>
        <v>ORGANIC</v>
      </c>
      <c r="D2421" s="1" t="str">
        <f>IFERROR(__xludf.DUMMYFUNCTION("""COMPUTED_VALUE"""),"REMOLLO LEA")</f>
        <v>REMOLLO LEA</v>
      </c>
      <c r="E2421" s="1" t="str">
        <f>IFERROR(__xludf.DUMMYFUNCTION("""COMPUTED_VALUE"""),"PLDT / ONLINE")</f>
        <v>PLDT / ONLINE</v>
      </c>
      <c r="F2421" s="1">
        <f>IFERROR(__xludf.DUMMYFUNCTION("""COMPUTED_VALUE"""),2310838883)</f>
        <v>2310838883</v>
      </c>
      <c r="G2421" s="1">
        <f>IFERROR(__xludf.DUMMYFUNCTION("""COMPUTED_VALUE"""),461931673004)</f>
        <v>461931673004</v>
      </c>
      <c r="H2421" s="1" t="str">
        <f>IFERROR(__xludf.DUMMYFUNCTION("""COMPUTED_VALUE"""),"JEROME MENDOZA PERLAS")</f>
        <v>JEROME MENDOZA PERLAS</v>
      </c>
      <c r="I2421" s="1">
        <f>IFERROR(__xludf.DUMMYFUNCTION("""COMPUTED_VALUE"""),9771221204)</f>
        <v>9771221204</v>
      </c>
      <c r="J2421" s="1">
        <f>IFERROR(__xludf.DUMMYFUNCTION("""COMPUTED_VALUE"""),9070616323)</f>
        <v>9070616323</v>
      </c>
      <c r="K2421" s="1" t="str">
        <f>IFERROR(__xludf.DUMMYFUNCTION("""COMPUTED_VALUE"""),"jperlas082@gmail.com")</f>
        <v>jperlas082@gmail.com</v>
      </c>
      <c r="L2421" s="1" t="str">
        <f>IFERROR(__xludf.DUMMYFUNCTION("""COMPUTED_VALUE"""),"47")</f>
        <v>47</v>
      </c>
      <c r="M2421" s="1" t="str">
        <f>IFERROR(__xludf.DUMMYFUNCTION("""COMPUTED_VALUE"""),"PUROK 3")</f>
        <v>PUROK 3</v>
      </c>
      <c r="N2421" s="1"/>
      <c r="O2421" s="1" t="str">
        <f>IFERROR(__xludf.DUMMYFUNCTION("""COMPUTED_VALUE"""),"TAMBO BALAGBAG")</f>
        <v>TAMBO BALAGBAG</v>
      </c>
      <c r="P2421" s="1" t="str">
        <f>IFERROR(__xludf.DUMMYFUNCTION("""COMPUTED_VALUE"""),"INDANG")</f>
        <v>INDANG</v>
      </c>
      <c r="Q2421" s="1" t="str">
        <f>IFERROR(__xludf.DUMMYFUNCTION("""COMPUTED_VALUE"""),"CAVITE")</f>
        <v>CAVITE</v>
      </c>
      <c r="R2421" s="1" t="str">
        <f>IFERROR(__xludf.DUMMYFUNCTION("""COMPUTED_VALUE"""),"FIBR NETFLIX PLAN 1599")</f>
        <v>FIBR NETFLIX PLAN 1599</v>
      </c>
      <c r="S2421" s="1" t="str">
        <f>IFERROR(__xludf.DUMMYFUNCTION("""COMPUTED_VALUE"""),"APPROVED")</f>
        <v>APPROVED</v>
      </c>
      <c r="T2421" s="1" t="str">
        <f>IFERROR(__xludf.DUMMYFUNCTION("""COMPUTED_VALUE"""),"CLOSED")</f>
        <v>CLOSED</v>
      </c>
      <c r="U2421" s="1" t="str">
        <f>IFERROR(__xludf.DUMMYFUNCTION("""COMPUTED_VALUE"""),"POSTED")</f>
        <v>POSTED</v>
      </c>
      <c r="V2421" s="1"/>
      <c r="W2421" s="1"/>
    </row>
    <row r="2422" customHeight="1" spans="1:23">
      <c r="A2422" s="3">
        <f>IFERROR(__xludf.DUMMYFUNCTION("""COMPUTED_VALUE"""),46212)</f>
        <v>46212</v>
      </c>
      <c r="B2422" s="1" t="str">
        <f>IFERROR(__xludf.DUMMYFUNCTION("""COMPUTED_VALUE"""),"MALIWAT MARK ELVIN")</f>
        <v>MALIWAT MARK ELVIN</v>
      </c>
      <c r="C2422" s="1" t="str">
        <f>IFERROR(__xludf.DUMMYFUNCTION("""COMPUTED_VALUE"""),"FLA")</f>
        <v>FLA</v>
      </c>
      <c r="D2422" s="1" t="str">
        <f>IFERROR(__xludf.DUMMYFUNCTION("""COMPUTED_VALUE"""),"JERIC NAVARRO")</f>
        <v>JERIC NAVARRO</v>
      </c>
      <c r="E2422" s="1" t="str">
        <f>IFERROR(__xludf.DUMMYFUNCTION("""COMPUTED_VALUE"""),"PLDT / ONLINE")</f>
        <v>PLDT / ONLINE</v>
      </c>
      <c r="F2422" s="1">
        <f>IFERROR(__xludf.DUMMYFUNCTION("""COMPUTED_VALUE"""),2310838511)</f>
        <v>2310838511</v>
      </c>
      <c r="G2422" s="1">
        <f>IFERROR(__xludf.DUMMYFUNCTION("""COMPUTED_VALUE"""),461930886004)</f>
        <v>461930886004</v>
      </c>
      <c r="H2422" s="1" t="str">
        <f>IFERROR(__xludf.DUMMYFUNCTION("""COMPUTED_VALUE"""),"JOHN CARL CARDINO GRACILLA")</f>
        <v>JOHN CARL CARDINO GRACILLA</v>
      </c>
      <c r="I2422" s="1">
        <f>IFERROR(__xludf.DUMMYFUNCTION("""COMPUTED_VALUE"""),9928762360)</f>
        <v>9928762360</v>
      </c>
      <c r="J2422" s="1">
        <f>IFERROR(__xludf.DUMMYFUNCTION("""COMPUTED_VALUE"""),9928762299)</f>
        <v>9928762299</v>
      </c>
      <c r="K2422" s="1" t="str">
        <f>IFERROR(__xludf.DUMMYFUNCTION("""COMPUTED_VALUE"""),"gracillajhoncarl22@gmail.com")</f>
        <v>gracillajhoncarl22@gmail.com</v>
      </c>
      <c r="L2422" s="1" t="str">
        <f>IFERROR(__xludf.DUMMYFUNCTION("""COMPUTED_VALUE"""),"BLK 02 LOT 18")</f>
        <v>BLK 02 LOT 18</v>
      </c>
      <c r="M2422" s="1" t="str">
        <f>IFERROR(__xludf.DUMMYFUNCTION("""COMPUTED_VALUE"""),"PHASE 1A")</f>
        <v>PHASE 1A</v>
      </c>
      <c r="N2422" s="1" t="str">
        <f>IFERROR(__xludf.DUMMYFUNCTION("""COMPUTED_VALUE"""),"CIUDAD NUEVO")</f>
        <v>CIUDAD NUEVO</v>
      </c>
      <c r="O2422" s="1" t="str">
        <f>IFERROR(__xludf.DUMMYFUNCTION("""COMPUTED_VALUE"""),"SABANG")</f>
        <v>SABANG</v>
      </c>
      <c r="P2422" s="1" t="str">
        <f>IFERROR(__xludf.DUMMYFUNCTION("""COMPUTED_VALUE"""),"NAIC")</f>
        <v>NAIC</v>
      </c>
      <c r="Q2422" s="1" t="str">
        <f>IFERROR(__xludf.DUMMYFUNCTION("""COMPUTED_VALUE"""),"CAVITE")</f>
        <v>CAVITE</v>
      </c>
      <c r="R2422" s="1" t="str">
        <f>IFERROR(__xludf.DUMMYFUNCTION("""COMPUTED_VALUE"""),"FIBR UNLI ALL PLAN 1399")</f>
        <v>FIBR UNLI ALL PLAN 1399</v>
      </c>
      <c r="S2422" s="1" t="str">
        <f>IFERROR(__xludf.DUMMYFUNCTION("""COMPUTED_VALUE"""),"APPROVED")</f>
        <v>APPROVED</v>
      </c>
      <c r="T2422" s="1" t="str">
        <f>IFERROR(__xludf.DUMMYFUNCTION("""COMPUTED_VALUE"""),"RPR")</f>
        <v>RPR</v>
      </c>
      <c r="U2422" s="1"/>
      <c r="V2422" s="1"/>
      <c r="W2422" s="1"/>
    </row>
    <row r="2423" customHeight="1" spans="1:23">
      <c r="A2423" s="3">
        <f>IFERROR(__xludf.DUMMYFUNCTION("""COMPUTED_VALUE"""),46212)</f>
        <v>46212</v>
      </c>
      <c r="B2423" s="1" t="str">
        <f>IFERROR(__xludf.DUMMYFUNCTION("""COMPUTED_VALUE"""),"REMOLLO, LEA")</f>
        <v>REMOLLO, LEA</v>
      </c>
      <c r="C2423" s="1" t="str">
        <f>IFERROR(__xludf.DUMMYFUNCTION("""COMPUTED_VALUE"""),"FLA")</f>
        <v>FLA</v>
      </c>
      <c r="D2423" s="1" t="str">
        <f>IFERROR(__xludf.DUMMYFUNCTION("""COMPUTED_VALUE"""),"JERIC NAVARRO")</f>
        <v>JERIC NAVARRO</v>
      </c>
      <c r="E2423" s="1" t="str">
        <f>IFERROR(__xludf.DUMMYFUNCTION("""COMPUTED_VALUE"""),"PLDT / ONLINE")</f>
        <v>PLDT / ONLINE</v>
      </c>
      <c r="F2423" s="1">
        <f>IFERROR(__xludf.DUMMYFUNCTION("""COMPUTED_VALUE"""),2310838178)</f>
        <v>2310838178</v>
      </c>
      <c r="G2423" s="1">
        <f>IFERROR(__xludf.DUMMYFUNCTION("""COMPUTED_VALUE"""),461930921004)</f>
        <v>461930921004</v>
      </c>
      <c r="H2423" s="1" t="str">
        <f>IFERROR(__xludf.DUMMYFUNCTION("""COMPUTED_VALUE"""),"GLENN PAUL CANCEJO SORIANO")</f>
        <v>GLENN PAUL CANCEJO SORIANO</v>
      </c>
      <c r="I2423" s="1">
        <f>IFERROR(__xludf.DUMMYFUNCTION("""COMPUTED_VALUE"""),9293278752)</f>
        <v>9293278752</v>
      </c>
      <c r="J2423" s="1"/>
      <c r="K2423" s="1" t="str">
        <f>IFERROR(__xludf.DUMMYFUNCTION("""COMPUTED_VALUE"""),"sorianoglennpaulc@yahoo.com")</f>
        <v>sorianoglennpaulc@yahoo.com</v>
      </c>
      <c r="L2423" s="1" t="str">
        <f>IFERROR(__xludf.DUMMYFUNCTION("""COMPUTED_VALUE"""),"BLK 13 LOT 10")</f>
        <v>BLK 13 LOT 10</v>
      </c>
      <c r="M2423" s="1" t="str">
        <f>IFERROR(__xludf.DUMMYFUNCTION("""COMPUTED_VALUE"""),"PHASE 1  ")</f>
        <v>PHASE 1  </v>
      </c>
      <c r="N2423" s="1" t="str">
        <f>IFERROR(__xludf.DUMMYFUNCTION("""COMPUTED_VALUE"""),"MALLORCA VILLAS")</f>
        <v>MALLORCA VILLAS</v>
      </c>
      <c r="O2423" s="1" t="str">
        <f>IFERROR(__xludf.DUMMYFUNCTION("""COMPUTED_VALUE"""),"MAGUYAM")</f>
        <v>MAGUYAM</v>
      </c>
      <c r="P2423" s="1" t="str">
        <f>IFERROR(__xludf.DUMMYFUNCTION("""COMPUTED_VALUE"""),"SILANG")</f>
        <v>SILANG</v>
      </c>
      <c r="Q2423" s="1" t="str">
        <f>IFERROR(__xludf.DUMMYFUNCTION("""COMPUTED_VALUE"""),"CAVITE")</f>
        <v>CAVITE</v>
      </c>
      <c r="R2423" s="1" t="str">
        <f>IFERROR(__xludf.DUMMYFUNCTION("""COMPUTED_VALUE"""),"FIBR UNLI ALL PLAN 1399")</f>
        <v>FIBR UNLI ALL PLAN 1399</v>
      </c>
      <c r="S2423" s="1" t="str">
        <f>IFERROR(__xludf.DUMMYFUNCTION("""COMPUTED_VALUE"""),"APPROVED")</f>
        <v>APPROVED</v>
      </c>
      <c r="T2423" s="1" t="str">
        <f>IFERROR(__xludf.DUMMYFUNCTION("""COMPUTED_VALUE"""),"CLOSED")</f>
        <v>CLOSED</v>
      </c>
      <c r="U2423" s="1" t="str">
        <f>IFERROR(__xludf.DUMMYFUNCTION("""COMPUTED_VALUE"""),"POSTED")</f>
        <v>POSTED</v>
      </c>
      <c r="V2423" s="1"/>
      <c r="W2423" s="1"/>
    </row>
    <row r="2424" customHeight="1" spans="1:23">
      <c r="A2424" s="3">
        <f>IFERROR(__xludf.DUMMYFUNCTION("""COMPUTED_VALUE"""),46212)</f>
        <v>46212</v>
      </c>
      <c r="B2424" s="1" t="str">
        <f>IFERROR(__xludf.DUMMYFUNCTION("""COMPUTED_VALUE"""),"CASTILLEJOS, ARREL")</f>
        <v>CASTILLEJOS, ARREL</v>
      </c>
      <c r="C2424" s="1" t="str">
        <f>IFERROR(__xludf.DUMMYFUNCTION("""COMPUTED_VALUE"""),"ORGANIC")</f>
        <v>ORGANIC</v>
      </c>
      <c r="D2424" s="1" t="str">
        <f>IFERROR(__xludf.DUMMYFUNCTION("""COMPUTED_VALUE"""),"REMOLLO LEA")</f>
        <v>REMOLLO LEA</v>
      </c>
      <c r="E2424" s="1" t="str">
        <f>IFERROR(__xludf.DUMMYFUNCTION("""COMPUTED_VALUE"""),"PLDT / H2H")</f>
        <v>PLDT / H2H</v>
      </c>
      <c r="F2424" s="1"/>
      <c r="G2424" s="1"/>
      <c r="H2424" s="1" t="str">
        <f>IFERROR(__xludf.DUMMYFUNCTION("""COMPUTED_VALUE"""),"ROMA LORENIO LATONERO")</f>
        <v>ROMA LORENIO LATONERO</v>
      </c>
      <c r="I2424" s="1">
        <f>IFERROR(__xludf.DUMMYFUNCTION("""COMPUTED_VALUE"""),9488927195)</f>
        <v>9488927195</v>
      </c>
      <c r="J2424" s="1"/>
      <c r="K2424" s="1" t="str">
        <f>IFERROR(__xludf.DUMMYFUNCTION("""COMPUTED_VALUE"""),"latonero1996@gmail.com")</f>
        <v>latonero1996@gmail.com</v>
      </c>
      <c r="L2424" s="1" t="str">
        <f>IFERROR(__xludf.DUMMYFUNCTION("""COMPUTED_VALUE"""),"BLK 8 LOT 12")</f>
        <v>BLK 8 LOT 12</v>
      </c>
      <c r="M2424" s="1" t="str">
        <f>IFERROR(__xludf.DUMMYFUNCTION("""COMPUTED_VALUE"""),"MACOPA")</f>
        <v>MACOPA</v>
      </c>
      <c r="N2424" s="1"/>
      <c r="O2424" s="1" t="str">
        <f>IFERROR(__xludf.DUMMYFUNCTION("""COMPUTED_VALUE"""),"POBLACION II")</f>
        <v>POBLACION II</v>
      </c>
      <c r="P2424" s="1" t="str">
        <f>IFERROR(__xludf.DUMMYFUNCTION("""COMPUTED_VALUE"""),"GEN MARIANO ALVAREZ")</f>
        <v>GEN MARIANO ALVAREZ</v>
      </c>
      <c r="Q2424" s="1" t="str">
        <f>IFERROR(__xludf.DUMMYFUNCTION("""COMPUTED_VALUE"""),"CAVITE")</f>
        <v>CAVITE</v>
      </c>
      <c r="R2424" s="1" t="str">
        <f>IFERROR(__xludf.DUMMYFUNCTION("""COMPUTED_VALUE"""),"FIBR UNLI ALL PLAN 999")</f>
        <v>FIBR UNLI ALL PLAN 999</v>
      </c>
      <c r="S2424" s="1" t="str">
        <f>IFERROR(__xludf.DUMMYFUNCTION("""COMPUTED_VALUE"""),"HOLD")</f>
        <v>HOLD</v>
      </c>
      <c r="T2424" s="1" t="str">
        <f>IFERROR(__xludf.DUMMYFUNCTION("""COMPUTED_VALUE"""),"#N/A")</f>
        <v>#N/A</v>
      </c>
      <c r="U2424" s="1" t="str">
        <f>IFERROR(__xludf.DUMMYFUNCTION("""COMPUTED_VALUE"""),"AS PER SUBS AKALA DAW NYA NEXT MONTH PA BAYAD")</f>
        <v>AS PER SUBS AKALA DAW NYA NEXT MONTH PA BAYAD</v>
      </c>
      <c r="V2424" s="1"/>
      <c r="W2424" s="1"/>
    </row>
    <row r="2425" customHeight="1" spans="1:23">
      <c r="A2425" s="3">
        <f>IFERROR(__xludf.DUMMYFUNCTION("""COMPUTED_VALUE"""),46212)</f>
        <v>46212</v>
      </c>
      <c r="B2425" s="1" t="str">
        <f>IFERROR(__xludf.DUMMYFUNCTION("""COMPUTED_VALUE"""),"DELA ROSA, JENNELYN")</f>
        <v>DELA ROSA, JENNELYN</v>
      </c>
      <c r="C2425" s="1" t="str">
        <f>IFERROR(__xludf.DUMMYFUNCTION("""COMPUTED_VALUE"""),"ORGANIC")</f>
        <v>ORGANIC</v>
      </c>
      <c r="D2425" s="1" t="str">
        <f>IFERROR(__xludf.DUMMYFUNCTION("""COMPUTED_VALUE"""),"REMOLLO LEA")</f>
        <v>REMOLLO LEA</v>
      </c>
      <c r="E2425" s="1" t="str">
        <f>IFERROR(__xludf.DUMMYFUNCTION("""COMPUTED_VALUE"""),"PLDT / H2H")</f>
        <v>PLDT / H2H</v>
      </c>
      <c r="F2425" s="1"/>
      <c r="G2425" s="1"/>
      <c r="H2425" s="1" t="str">
        <f>IFERROR(__xludf.DUMMYFUNCTION("""COMPUTED_VALUE"""),"RALPH GREGOR BRIONES DINGLASAN")</f>
        <v>RALPH GREGOR BRIONES DINGLASAN</v>
      </c>
      <c r="I2425" s="1">
        <f>IFERROR(__xludf.DUMMYFUNCTION("""COMPUTED_VALUE"""),9501477947)</f>
        <v>9501477947</v>
      </c>
      <c r="J2425" s="1">
        <f>IFERROR(__xludf.DUMMYFUNCTION("""COMPUTED_VALUE"""),9534501680)</f>
        <v>9534501680</v>
      </c>
      <c r="K2425" s="1"/>
      <c r="L2425" s="1" t="str">
        <f>IFERROR(__xludf.DUMMYFUNCTION("""COMPUTED_VALUE"""),"6f")</f>
        <v>6f</v>
      </c>
      <c r="M2425" s="1" t="str">
        <f>IFERROR(__xludf.DUMMYFUNCTION("""COMPUTED_VALUE"""),"TOWER 1")</f>
        <v>TOWER 1</v>
      </c>
      <c r="N2425" s="1"/>
      <c r="O2425" s="1" t="str">
        <f>IFERROR(__xludf.DUMMYFUNCTION("""COMPUTED_VALUE"""),"MENDEZ CROSSING EAST")</f>
        <v>MENDEZ CROSSING EAST</v>
      </c>
      <c r="P2425" s="1" t="str">
        <f>IFERROR(__xludf.DUMMYFUNCTION("""COMPUTED_VALUE"""),"TAGAYTAY")</f>
        <v>TAGAYTAY</v>
      </c>
      <c r="Q2425" s="1" t="str">
        <f>IFERROR(__xludf.DUMMYFUNCTION("""COMPUTED_VALUE"""),"CAVITE")</f>
        <v>CAVITE</v>
      </c>
      <c r="R2425" s="1" t="str">
        <f>IFERROR(__xludf.DUMMYFUNCTION("""COMPUTED_VALUE"""),"FIBR PLAN 1299")</f>
        <v>FIBR PLAN 1299</v>
      </c>
      <c r="S2425" s="1" t="str">
        <f>IFERROR(__xludf.DUMMYFUNCTION("""COMPUTED_VALUE"""),"HOLD")</f>
        <v>HOLD</v>
      </c>
      <c r="T2425" s="1" t="str">
        <f>IFERROR(__xludf.DUMMYFUNCTION("""COMPUTED_VALUE"""),"#N/A")</f>
        <v>#N/A</v>
      </c>
      <c r="U2425" s="1" t="str">
        <f>IFERROR(__xludf.DUMMYFUNCTION("""COMPUTED_VALUE"""),"CBR RINGING DROP CALLS")</f>
        <v>CBR RINGING DROP CALLS</v>
      </c>
      <c r="V2425" s="1"/>
      <c r="W2425" s="1"/>
    </row>
    <row r="2426" customHeight="1" spans="1:23">
      <c r="A2426" s="3">
        <f>IFERROR(__xludf.DUMMYFUNCTION("""COMPUTED_VALUE"""),46212)</f>
        <v>46212</v>
      </c>
      <c r="B2426" s="1" t="str">
        <f>IFERROR(__xludf.DUMMYFUNCTION("""COMPUTED_VALUE"""),"ESCARCHA, MA ALMA  ESCOTO")</f>
        <v>ESCARCHA, MA ALMA  ESCOTO</v>
      </c>
      <c r="C2426" s="1" t="str">
        <f>IFERROR(__xludf.DUMMYFUNCTION("""COMPUTED_VALUE"""),"ORGANIC")</f>
        <v>ORGANIC</v>
      </c>
      <c r="D2426" s="1" t="str">
        <f>IFERROR(__xludf.DUMMYFUNCTION("""COMPUTED_VALUE"""),"REMOLLO LEA")</f>
        <v>REMOLLO LEA</v>
      </c>
      <c r="E2426" s="1" t="str">
        <f>IFERROR(__xludf.DUMMYFUNCTION("""COMPUTED_VALUE"""),"PLDT / H2H")</f>
        <v>PLDT / H2H</v>
      </c>
      <c r="F2426" s="1"/>
      <c r="G2426" s="1"/>
      <c r="H2426" s="1" t="str">
        <f>IFERROR(__xludf.DUMMYFUNCTION("""COMPUTED_VALUE"""),"ROSELYN MENDOZA CRUZ")</f>
        <v>ROSELYN MENDOZA CRUZ</v>
      </c>
      <c r="I2426" s="1">
        <f>IFERROR(__xludf.DUMMYFUNCTION("""COMPUTED_VALUE"""),9852818542)</f>
        <v>9852818542</v>
      </c>
      <c r="J2426" s="1">
        <f>IFERROR(__xludf.DUMMYFUNCTION("""COMPUTED_VALUE"""),9754842058)</f>
        <v>9754842058</v>
      </c>
      <c r="K2426" s="1" t="str">
        <f>IFERROR(__xludf.DUMMYFUNCTION("""COMPUTED_VALUE"""),"mendozaroselyn91@gmail.com")</f>
        <v>mendozaroselyn91@gmail.com</v>
      </c>
      <c r="L2426" s="1" t="str">
        <f>IFERROR(__xludf.DUMMYFUNCTION("""COMPUTED_VALUE"""),"LOT 26")</f>
        <v>LOT 26</v>
      </c>
      <c r="M2426" s="1" t="str">
        <f>IFERROR(__xludf.DUMMYFUNCTION("""COMPUTED_VALUE"""),"PUROK 118")</f>
        <v>PUROK 118</v>
      </c>
      <c r="N2426" s="1" t="str">
        <f>IFERROR(__xludf.DUMMYFUNCTION("""COMPUTED_VALUE"""),"PABAHAY")</f>
        <v>PABAHAY</v>
      </c>
      <c r="O2426" s="1" t="str">
        <f>IFERROR(__xludf.DUMMYFUNCTION("""COMPUTED_VALUE"""),"MENDEZ CROSSING EAST")</f>
        <v>MENDEZ CROSSING EAST</v>
      </c>
      <c r="P2426" s="1" t="str">
        <f>IFERROR(__xludf.DUMMYFUNCTION("""COMPUTED_VALUE"""),"TAGAYTAY")</f>
        <v>TAGAYTAY</v>
      </c>
      <c r="Q2426" s="1" t="str">
        <f>IFERROR(__xludf.DUMMYFUNCTION("""COMPUTED_VALUE"""),"CAVITE")</f>
        <v>CAVITE</v>
      </c>
      <c r="R2426" s="1" t="str">
        <f>IFERROR(__xludf.DUMMYFUNCTION("""COMPUTED_VALUE"""),"FIBR UNLI ALL PLAN 999")</f>
        <v>FIBR UNLI ALL PLAN 999</v>
      </c>
      <c r="S2426" s="1" t="str">
        <f>IFERROR(__xludf.DUMMYFUNCTION("""COMPUTED_VALUE"""),"HOLD")</f>
        <v>HOLD</v>
      </c>
      <c r="T2426" s="1" t="str">
        <f>IFERROR(__xludf.DUMMYFUNCTION("""COMPUTED_VALUE"""),"#N/A")</f>
        <v>#N/A</v>
      </c>
      <c r="U2426" s="1" t="str">
        <f>IFERROR(__xludf.DUMMYFUNCTION("""COMPUTED_VALUE"""),"AS PER SUBS AKALA DAW NYA NEXT MONTH PA BAYAD")</f>
        <v>AS PER SUBS AKALA DAW NYA NEXT MONTH PA BAYAD</v>
      </c>
      <c r="V2426" s="1"/>
      <c r="W2426" s="1"/>
    </row>
    <row r="2427" customHeight="1" spans="1:23">
      <c r="A2427" s="3">
        <f>IFERROR(__xludf.DUMMYFUNCTION("""COMPUTED_VALUE"""),46212)</f>
        <v>46212</v>
      </c>
      <c r="B2427" s="1" t="str">
        <f>IFERROR(__xludf.DUMMYFUNCTION("""COMPUTED_VALUE"""),"MALIWAT MARK ELVIN")</f>
        <v>MALIWAT MARK ELVIN</v>
      </c>
      <c r="C2427" s="1" t="str">
        <f>IFERROR(__xludf.DUMMYFUNCTION("""COMPUTED_VALUE"""),"FLA")</f>
        <v>FLA</v>
      </c>
      <c r="D2427" s="1" t="str">
        <f>IFERROR(__xludf.DUMMYFUNCTION("""COMPUTED_VALUE"""),"JERIC NAVARRO")</f>
        <v>JERIC NAVARRO</v>
      </c>
      <c r="E2427" s="1" t="str">
        <f>IFERROR(__xludf.DUMMYFUNCTION("""COMPUTED_VALUE"""),"HOME BIZZ")</f>
        <v>HOME BIZZ</v>
      </c>
      <c r="F2427" s="1">
        <f>IFERROR(__xludf.DUMMYFUNCTION("""COMPUTED_VALUE"""),2310842257)</f>
        <v>2310842257</v>
      </c>
      <c r="G2427" s="1">
        <f>IFERROR(__xludf.DUMMYFUNCTION("""COMPUTED_VALUE"""),461938232004)</f>
        <v>461938232004</v>
      </c>
      <c r="H2427" s="1" t="str">
        <f>IFERROR(__xludf.DUMMYFUNCTION("""COMPUTED_VALUE"""),"GMA ENTERPISES CORP")</f>
        <v>GMA ENTERPISES CORP</v>
      </c>
      <c r="I2427" s="1">
        <f>IFERROR(__xludf.DUMMYFUNCTION("""COMPUTED_VALUE"""),9524270031)</f>
        <v>9524270031</v>
      </c>
      <c r="J2427" s="1"/>
      <c r="K2427" s="1" t="str">
        <f>IFERROR(__xludf.DUMMYFUNCTION("""COMPUTED_VALUE"""),"joseph@villegasgroup.ca")</f>
        <v>joseph@villegasgroup.ca</v>
      </c>
      <c r="L2427" s="1" t="str">
        <f>IFERROR(__xludf.DUMMYFUNCTION("""COMPUTED_VALUE"""),"BLK 1 LOT 17")</f>
        <v>BLK 1 LOT 17</v>
      </c>
      <c r="M2427" s="1" t="str">
        <f>IFERROR(__xludf.DUMMYFUNCTION("""COMPUTED_VALUE"""),"VALENCIA DRIVE")</f>
        <v>VALENCIA DRIVE</v>
      </c>
      <c r="N2427" s="1"/>
      <c r="O2427" s="1" t="str">
        <f>IFERROR(__xludf.DUMMYFUNCTION("""COMPUTED_VALUE"""),"INCHICAN")</f>
        <v>INCHICAN</v>
      </c>
      <c r="P2427" s="1" t="str">
        <f>IFERROR(__xludf.DUMMYFUNCTION("""COMPUTED_VALUE"""),"SILANG")</f>
        <v>SILANG</v>
      </c>
      <c r="Q2427" s="1" t="str">
        <f>IFERROR(__xludf.DUMMYFUNCTION("""COMPUTED_VALUE"""),"CAVITE")</f>
        <v>CAVITE</v>
      </c>
      <c r="R2427" s="1" t="str">
        <f>IFERROR(__xludf.DUMMYFUNCTION("""COMPUTED_VALUE"""),"HOME BIZ PLAN 1299")</f>
        <v>HOME BIZ PLAN 1299</v>
      </c>
      <c r="S2427" s="1" t="str">
        <f>IFERROR(__xludf.DUMMYFUNCTION("""COMPUTED_VALUE"""),"APPROVED")</f>
        <v>APPROVED</v>
      </c>
      <c r="T2427" s="1" t="str">
        <f>IFERROR(__xludf.DUMMYFUNCTION("""COMPUTED_VALUE"""),"REENCODED")</f>
        <v>REENCODED</v>
      </c>
      <c r="U2427" s="1"/>
      <c r="V2427" s="1"/>
      <c r="W2427" s="1"/>
    </row>
    <row r="2428" customHeight="1" spans="1:23">
      <c r="A2428" s="3">
        <f>IFERROR(__xludf.DUMMYFUNCTION("""COMPUTED_VALUE"""),46212)</f>
        <v>46212</v>
      </c>
      <c r="B2428" s="1" t="str">
        <f>IFERROR(__xludf.DUMMYFUNCTION("""COMPUTED_VALUE"""),"TAMAYO, MARY ROSE")</f>
        <v>TAMAYO, MARY ROSE</v>
      </c>
      <c r="C2428" s="1" t="str">
        <f>IFERROR(__xludf.DUMMYFUNCTION("""COMPUTED_VALUE"""),"ORGANIC")</f>
        <v>ORGANIC</v>
      </c>
      <c r="D2428" s="1" t="str">
        <f>IFERROR(__xludf.DUMMYFUNCTION("""COMPUTED_VALUE"""),"REMOLLO LEA")</f>
        <v>REMOLLO LEA</v>
      </c>
      <c r="E2428" s="1" t="str">
        <f>IFERROR(__xludf.DUMMYFUNCTION("""COMPUTED_VALUE"""),"PLDT / ONLINE")</f>
        <v>PLDT / ONLINE</v>
      </c>
      <c r="F2428" s="1">
        <f>IFERROR(__xludf.DUMMYFUNCTION("""COMPUTED_VALUE"""),2310847348)</f>
        <v>2310847348</v>
      </c>
      <c r="G2428" s="1">
        <f>IFERROR(__xludf.DUMMYFUNCTION("""COMPUTED_VALUE"""),461945198004)</f>
        <v>461945198004</v>
      </c>
      <c r="H2428" s="1" t="str">
        <f>IFERROR(__xludf.DUMMYFUNCTION("""COMPUTED_VALUE"""),"ELIYANAS MASSAGE AND SPA")</f>
        <v>ELIYANAS MASSAGE AND SPA</v>
      </c>
      <c r="I2428" s="1">
        <f>IFERROR(__xludf.DUMMYFUNCTION("""COMPUTED_VALUE"""),9095054252)</f>
        <v>9095054252</v>
      </c>
      <c r="J2428" s="1"/>
      <c r="K2428" s="1" t="str">
        <f>IFERROR(__xludf.DUMMYFUNCTION("""COMPUTED_VALUE"""),"erzon25bombeo@gmail.com")</f>
        <v>erzon25bombeo@gmail.com</v>
      </c>
      <c r="L2428" s="1" t="str">
        <f>IFERROR(__xludf.DUMMYFUNCTION("""COMPUTED_VALUE"""),"9027")</f>
        <v>9027</v>
      </c>
      <c r="M2428" s="1" t="str">
        <f>IFERROR(__xludf.DUMMYFUNCTION("""COMPUTED_VALUE"""),"TIRONA")</f>
        <v>TIRONA</v>
      </c>
      <c r="N2428" s="1"/>
      <c r="O2428" s="1" t="str">
        <f>IFERROR(__xludf.DUMMYFUNCTION("""COMPUTED_VALUE"""),"HABAY I")</f>
        <v>HABAY I</v>
      </c>
      <c r="P2428" s="1" t="str">
        <f>IFERROR(__xludf.DUMMYFUNCTION("""COMPUTED_VALUE"""),"BACOOR")</f>
        <v>BACOOR</v>
      </c>
      <c r="Q2428" s="1" t="str">
        <f>IFERROR(__xludf.DUMMYFUNCTION("""COMPUTED_VALUE"""),"CAVITE")</f>
        <v>CAVITE</v>
      </c>
      <c r="R2428" s="1" t="str">
        <f>IFERROR(__xludf.DUMMYFUNCTION("""COMPUTED_VALUE"""),"FIBR UNLI ALL PLAN 1399")</f>
        <v>FIBR UNLI ALL PLAN 1399</v>
      </c>
      <c r="S2428" s="1" t="str">
        <f>IFERROR(__xludf.DUMMYFUNCTION("""COMPUTED_VALUE"""),"APPROVED")</f>
        <v>APPROVED</v>
      </c>
      <c r="T2428" s="1" t="str">
        <f>IFERROR(__xludf.DUMMYFUNCTION("""COMPUTED_VALUE"""),"RPR")</f>
        <v>RPR</v>
      </c>
      <c r="U2428" s="1" t="str">
        <f>IFERROR(__xludf.DUMMYFUNCTION("""COMPUTED_VALUE"""),"PAID VIA GCASH")</f>
        <v>PAID VIA GCASH</v>
      </c>
      <c r="V2428" s="1"/>
      <c r="W2428" s="1"/>
    </row>
    <row r="2429" customHeight="1" spans="1:23">
      <c r="A2429" s="3">
        <f>IFERROR(__xludf.DUMMYFUNCTION("""COMPUTED_VALUE"""),46212)</f>
        <v>46212</v>
      </c>
      <c r="B2429" s="1" t="str">
        <f>IFERROR(__xludf.DUMMYFUNCTION("""COMPUTED_VALUE"""),"FRONDEZ, JEDREFF")</f>
        <v>FRONDEZ, JEDREFF</v>
      </c>
      <c r="C2429" s="1" t="str">
        <f>IFERROR(__xludf.DUMMYFUNCTION("""COMPUTED_VALUE"""),"ORGANIC")</f>
        <v>ORGANIC</v>
      </c>
      <c r="D2429" s="1" t="str">
        <f>IFERROR(__xludf.DUMMYFUNCTION("""COMPUTED_VALUE"""),"REMOLLO LEA")</f>
        <v>REMOLLO LEA</v>
      </c>
      <c r="E2429" s="1" t="str">
        <f>IFERROR(__xludf.DUMMYFUNCTION("""COMPUTED_VALUE"""),"PLDT / H2H")</f>
        <v>PLDT / H2H</v>
      </c>
      <c r="F2429" s="1"/>
      <c r="G2429" s="1"/>
      <c r="H2429" s="1" t="str">
        <f>IFERROR(__xludf.DUMMYFUNCTION("""COMPUTED_VALUE"""),"JESSABEL PAGUIRAN BUSANTE")</f>
        <v>JESSABEL PAGUIRAN BUSANTE</v>
      </c>
      <c r="I2429" s="1">
        <f>IFERROR(__xludf.DUMMYFUNCTION("""COMPUTED_VALUE"""),9166883330)</f>
        <v>9166883330</v>
      </c>
      <c r="J2429" s="1">
        <f>IFERROR(__xludf.DUMMYFUNCTION("""COMPUTED_VALUE"""),9951930521)</f>
        <v>9951930521</v>
      </c>
      <c r="K2429" s="1" t="str">
        <f>IFERROR(__xludf.DUMMYFUNCTION("""COMPUTED_VALUE"""),"jessbusante01@gmail.com")</f>
        <v>jessbusante01@gmail.com</v>
      </c>
      <c r="L2429" s="1" t="str">
        <f>IFERROR(__xludf.DUMMYFUNCTION("""COMPUTED_VALUE"""),"BLK 44 LOT 5")</f>
        <v>BLK 44 LOT 5</v>
      </c>
      <c r="M2429" s="1" t="str">
        <f>IFERROR(__xludf.DUMMYFUNCTION("""COMPUTED_VALUE"""),"UNIT B")</f>
        <v>UNIT B</v>
      </c>
      <c r="N2429" s="1"/>
      <c r="O2429" s="1" t="str">
        <f>IFERROR(__xludf.DUMMYFUNCTION("""COMPUTED_VALUE"""),"BANABA")</f>
        <v>BANABA</v>
      </c>
      <c r="P2429" s="1" t="str">
        <f>IFERROR(__xludf.DUMMYFUNCTION("""COMPUTED_VALUE"""),"SILANG")</f>
        <v>SILANG</v>
      </c>
      <c r="Q2429" s="1" t="str">
        <f>IFERROR(__xludf.DUMMYFUNCTION("""COMPUTED_VALUE"""),"CAVITE")</f>
        <v>CAVITE</v>
      </c>
      <c r="R2429" s="1" t="str">
        <f>IFERROR(__xludf.DUMMYFUNCTION("""COMPUTED_VALUE"""),"FIBR UNLI ALL PLAN 999")</f>
        <v>FIBR UNLI ALL PLAN 999</v>
      </c>
      <c r="S2429" s="1" t="str">
        <f>IFERROR(__xludf.DUMMYFUNCTION("""COMPUTED_VALUE"""),"HOLD")</f>
        <v>HOLD</v>
      </c>
      <c r="T2429" s="1" t="str">
        <f>IFERROR(__xludf.DUMMYFUNCTION("""COMPUTED_VALUE"""),"#N/A")</f>
        <v>#N/A</v>
      </c>
      <c r="U2429" s="1"/>
      <c r="V2429" s="1"/>
      <c r="W2429" s="1"/>
    </row>
    <row r="2430" customHeight="1" spans="1:23">
      <c r="A2430" s="3">
        <f>IFERROR(__xludf.DUMMYFUNCTION("""COMPUTED_VALUE"""),46213)</f>
        <v>46213</v>
      </c>
      <c r="B2430" s="1" t="str">
        <f>IFERROR(__xludf.DUMMYFUNCTION("""COMPUTED_VALUE"""),"REMOLLO, LEA")</f>
        <v>REMOLLO, LEA</v>
      </c>
      <c r="C2430" s="1" t="str">
        <f>IFERROR(__xludf.DUMMYFUNCTION("""COMPUTED_VALUE"""),"FLA")</f>
        <v>FLA</v>
      </c>
      <c r="D2430" s="1" t="str">
        <f>IFERROR(__xludf.DUMMYFUNCTION("""COMPUTED_VALUE"""),"JERIC NAVARRO")</f>
        <v>JERIC NAVARRO</v>
      </c>
      <c r="E2430" s="1" t="str">
        <f>IFERROR(__xludf.DUMMYFUNCTION("""COMPUTED_VALUE"""),"PLDT / H2H")</f>
        <v>PLDT / H2H</v>
      </c>
      <c r="F2430" s="1">
        <f>IFERROR(__xludf.DUMMYFUNCTION("""COMPUTED_VALUE"""),2310861276)</f>
        <v>2310861276</v>
      </c>
      <c r="G2430" s="1">
        <f>IFERROR(__xludf.DUMMYFUNCTION("""COMPUTED_VALUE"""),462037692004)</f>
        <v>462037692004</v>
      </c>
      <c r="H2430" s="1" t="str">
        <f>IFERROR(__xludf.DUMMYFUNCTION("""COMPUTED_VALUE"""),"KATHLEEN JOY FELICIS BUCAO")</f>
        <v>KATHLEEN JOY FELICIS BUCAO</v>
      </c>
      <c r="I2430" s="1">
        <f>IFERROR(__xludf.DUMMYFUNCTION("""COMPUTED_VALUE"""),9615130809)</f>
        <v>9615130809</v>
      </c>
      <c r="J2430" s="1"/>
      <c r="K2430" s="1" t="str">
        <f>IFERROR(__xludf.DUMMYFUNCTION("""COMPUTED_VALUE"""),"kathleenbucxz251@gmail.com")</f>
        <v>kathleenbucxz251@gmail.com</v>
      </c>
      <c r="L2430" s="1" t="str">
        <f>IFERROR(__xludf.DUMMYFUNCTION("""COMPUTED_VALUE"""),"2001")</f>
        <v>2001</v>
      </c>
      <c r="M2430" s="1" t="str">
        <f>IFERROR(__xludf.DUMMYFUNCTION("""COMPUTED_VALUE"""),"POOC 1")</f>
        <v>POOC 1</v>
      </c>
      <c r="N2430" s="1"/>
      <c r="O2430" s="1" t="str">
        <f>IFERROR(__xludf.DUMMYFUNCTION("""COMPUTED_VALUE"""),"POOC I")</f>
        <v>POOC I</v>
      </c>
      <c r="P2430" s="1" t="str">
        <f>IFERROR(__xludf.DUMMYFUNCTION("""COMPUTED_VALUE"""),"SILANG")</f>
        <v>SILANG</v>
      </c>
      <c r="Q2430" s="1" t="str">
        <f>IFERROR(__xludf.DUMMYFUNCTION("""COMPUTED_VALUE"""),"CAVITE")</f>
        <v>CAVITE</v>
      </c>
      <c r="R2430" s="1" t="str">
        <f>IFERROR(__xludf.DUMMYFUNCTION("""COMPUTED_VALUE"""),"FIBR NETFLIX PLAN 1599")</f>
        <v>FIBR NETFLIX PLAN 1599</v>
      </c>
      <c r="S2430" s="1" t="str">
        <f>IFERROR(__xludf.DUMMYFUNCTION("""COMPUTED_VALUE"""),"APPROVED")</f>
        <v>APPROVED</v>
      </c>
      <c r="T2430" s="1" t="str">
        <f>IFERROR(__xludf.DUMMYFUNCTION("""COMPUTED_VALUE"""),"CLOSED")</f>
        <v>CLOSED</v>
      </c>
      <c r="U2430" s="1" t="str">
        <f>IFERROR(__xludf.DUMMYFUNCTION("""COMPUTED_VALUE"""),"POSTED")</f>
        <v>POSTED</v>
      </c>
      <c r="V2430" s="1"/>
      <c r="W2430" s="1"/>
    </row>
    <row r="2431" customHeight="1" spans="1:23">
      <c r="A2431" s="3">
        <f>IFERROR(__xludf.DUMMYFUNCTION("""COMPUTED_VALUE"""),46213)</f>
        <v>46213</v>
      </c>
      <c r="B2431" s="1" t="str">
        <f>IFERROR(__xludf.DUMMYFUNCTION("""COMPUTED_VALUE"""),"REMOLLO, LEA")</f>
        <v>REMOLLO, LEA</v>
      </c>
      <c r="C2431" s="1" t="str">
        <f>IFERROR(__xludf.DUMMYFUNCTION("""COMPUTED_VALUE"""),"FLA")</f>
        <v>FLA</v>
      </c>
      <c r="D2431" s="1" t="str">
        <f>IFERROR(__xludf.DUMMYFUNCTION("""COMPUTED_VALUE"""),"JERIC NAVARRO")</f>
        <v>JERIC NAVARRO</v>
      </c>
      <c r="E2431" s="1" t="str">
        <f>IFERROR(__xludf.DUMMYFUNCTION("""COMPUTED_VALUE"""),"PLDT / H2H")</f>
        <v>PLDT / H2H</v>
      </c>
      <c r="F2431" s="1">
        <f>IFERROR(__xludf.DUMMYFUNCTION("""COMPUTED_VALUE"""),2310870755)</f>
        <v>2310870755</v>
      </c>
      <c r="G2431" s="1">
        <f>IFERROR(__xludf.DUMMYFUNCTION("""COMPUTED_VALUE"""),462051527004)</f>
        <v>462051527004</v>
      </c>
      <c r="H2431" s="1" t="str">
        <f>IFERROR(__xludf.DUMMYFUNCTION("""COMPUTED_VALUE"""),"RODELIO LIBIRIAN MARTINEZ")</f>
        <v>RODELIO LIBIRIAN MARTINEZ</v>
      </c>
      <c r="I2431" s="1">
        <f>IFERROR(__xludf.DUMMYFUNCTION("""COMPUTED_VALUE"""),9569079849)</f>
        <v>9569079849</v>
      </c>
      <c r="J2431" s="1"/>
      <c r="K2431" s="1" t="str">
        <f>IFERROR(__xludf.DUMMYFUNCTION("""COMPUTED_VALUE"""),"rdlmrtnz1986@gmail.com")</f>
        <v>rdlmrtnz1986@gmail.com</v>
      </c>
      <c r="L2431" s="1" t="str">
        <f>IFERROR(__xludf.DUMMYFUNCTION("""COMPUTED_VALUE"""),"BLK 45 LOT 1")</f>
        <v>BLK 45 LOT 1</v>
      </c>
      <c r="M2431" s="1" t="str">
        <f>IFERROR(__xludf.DUMMYFUNCTION("""COMPUTED_VALUE"""),"PHASE 33")</f>
        <v>PHASE 33</v>
      </c>
      <c r="N2431" s="1" t="str">
        <f>IFERROR(__xludf.DUMMYFUNCTION("""COMPUTED_VALUE"""),"SUNTRUST VERONA")</f>
        <v>SUNTRUST VERONA</v>
      </c>
      <c r="O2431" s="1" t="str">
        <f>IFERROR(__xludf.DUMMYFUNCTION("""COMPUTED_VALUE"""),"HOYO")</f>
        <v>HOYO</v>
      </c>
      <c r="P2431" s="1" t="str">
        <f>IFERROR(__xludf.DUMMYFUNCTION("""COMPUTED_VALUE"""),"SILANG")</f>
        <v>SILANG</v>
      </c>
      <c r="Q2431" s="1" t="str">
        <f>IFERROR(__xludf.DUMMYFUNCTION("""COMPUTED_VALUE"""),"CAVITE")</f>
        <v>CAVITE</v>
      </c>
      <c r="R2431" s="1" t="str">
        <f>IFERROR(__xludf.DUMMYFUNCTION("""COMPUTED_VALUE"""),"FIBR UNLI ALL PLAN 1799")</f>
        <v>FIBR UNLI ALL PLAN 1799</v>
      </c>
      <c r="S2431" s="1" t="str">
        <f>IFERROR(__xludf.DUMMYFUNCTION("""COMPUTED_VALUE"""),"APPROVED")</f>
        <v>APPROVED</v>
      </c>
      <c r="T2431" s="1" t="str">
        <f>IFERROR(__xludf.DUMMYFUNCTION("""COMPUTED_VALUE"""),"CLOSED")</f>
        <v>CLOSED</v>
      </c>
      <c r="U2431" s="1" t="str">
        <f>IFERROR(__xludf.DUMMYFUNCTION("""COMPUTED_VALUE"""),"POSTED")</f>
        <v>POSTED</v>
      </c>
      <c r="V2431" s="1"/>
      <c r="W2431" s="1"/>
    </row>
    <row r="2432" customHeight="1" spans="1:23">
      <c r="A2432" s="3">
        <f>IFERROR(__xludf.DUMMYFUNCTION("""COMPUTED_VALUE"""),46213)</f>
        <v>46213</v>
      </c>
      <c r="B2432" s="1" t="str">
        <f>IFERROR(__xludf.DUMMYFUNCTION("""COMPUTED_VALUE"""),"MALIWAT MARK ELVIN")</f>
        <v>MALIWAT MARK ELVIN</v>
      </c>
      <c r="C2432" s="1" t="str">
        <f>IFERROR(__xludf.DUMMYFUNCTION("""COMPUTED_VALUE"""),"FLA")</f>
        <v>FLA</v>
      </c>
      <c r="D2432" s="1" t="str">
        <f>IFERROR(__xludf.DUMMYFUNCTION("""COMPUTED_VALUE"""),"JERIC NAVARRO")</f>
        <v>JERIC NAVARRO</v>
      </c>
      <c r="E2432" s="1" t="str">
        <f>IFERROR(__xludf.DUMMYFUNCTION("""COMPUTED_VALUE"""),"PLDT / ONLINE")</f>
        <v>PLDT / ONLINE</v>
      </c>
      <c r="F2432" s="1">
        <f>IFERROR(__xludf.DUMMYFUNCTION("""COMPUTED_VALUE"""),2310872573)</f>
        <v>2310872573</v>
      </c>
      <c r="G2432" s="1">
        <f>IFERROR(__xludf.DUMMYFUNCTION("""COMPUTED_VALUE"""),462051533004)</f>
        <v>462051533004</v>
      </c>
      <c r="H2432" s="1" t="str">
        <f>IFERROR(__xludf.DUMMYFUNCTION("""COMPUTED_VALUE"""),"VILLEGAS GROUP INC")</f>
        <v>VILLEGAS GROUP INC</v>
      </c>
      <c r="I2432" s="1">
        <f>IFERROR(__xludf.DUMMYFUNCTION("""COMPUTED_VALUE"""),9928762360)</f>
        <v>9928762360</v>
      </c>
      <c r="J2432" s="1">
        <f>IFERROR(__xludf.DUMMYFUNCTION("""COMPUTED_VALUE"""),9928762299)</f>
        <v>9928762299</v>
      </c>
      <c r="K2432" s="1" t="str">
        <f>IFERROR(__xludf.DUMMYFUNCTION("""COMPUTED_VALUE"""),"gracillajhoncarl22@gmail.com")</f>
        <v>gracillajhoncarl22@gmail.com</v>
      </c>
      <c r="L2432" s="1" t="str">
        <f>IFERROR(__xludf.DUMMYFUNCTION("""COMPUTED_VALUE"""),"BLK 02 LOT 18")</f>
        <v>BLK 02 LOT 18</v>
      </c>
      <c r="M2432" s="1" t="str">
        <f>IFERROR(__xludf.DUMMYFUNCTION("""COMPUTED_VALUE"""),"PHASE 1A")</f>
        <v>PHASE 1A</v>
      </c>
      <c r="N2432" s="1" t="str">
        <f>IFERROR(__xludf.DUMMYFUNCTION("""COMPUTED_VALUE"""),"CIUDAD NUEVO")</f>
        <v>CIUDAD NUEVO</v>
      </c>
      <c r="O2432" s="1" t="str">
        <f>IFERROR(__xludf.DUMMYFUNCTION("""COMPUTED_VALUE"""),"SABANG")</f>
        <v>SABANG</v>
      </c>
      <c r="P2432" s="1" t="str">
        <f>IFERROR(__xludf.DUMMYFUNCTION("""COMPUTED_VALUE"""),"NAIC")</f>
        <v>NAIC</v>
      </c>
      <c r="Q2432" s="1" t="str">
        <f>IFERROR(__xludf.DUMMYFUNCTION("""COMPUTED_VALUE"""),"CAVITE")</f>
        <v>CAVITE</v>
      </c>
      <c r="R2432" s="1" t="str">
        <f>IFERROR(__xludf.DUMMYFUNCTION("""COMPUTED_VALUE"""),"FIBR UNLI ALL PLAN 1399")</f>
        <v>FIBR UNLI ALL PLAN 1399</v>
      </c>
      <c r="S2432" s="1" t="str">
        <f>IFERROR(__xludf.DUMMYFUNCTION("""COMPUTED_VALUE"""),"APPROVED")</f>
        <v>APPROVED</v>
      </c>
      <c r="T2432" s="1" t="str">
        <f>IFERROR(__xludf.DUMMYFUNCTION("""COMPUTED_VALUE"""),"FOR CANCELLATION")</f>
        <v>FOR CANCELLATION</v>
      </c>
      <c r="U2432" s="1"/>
      <c r="V2432" s="1"/>
      <c r="W2432" s="1"/>
    </row>
    <row r="2433" customHeight="1" spans="1:23">
      <c r="A2433" s="3">
        <f>IFERROR(__xludf.DUMMYFUNCTION("""COMPUTED_VALUE"""),46213)</f>
        <v>46213</v>
      </c>
      <c r="B2433" s="1" t="str">
        <f>IFERROR(__xludf.DUMMYFUNCTION("""COMPUTED_VALUE"""),"ALINGARO, CINDY")</f>
        <v>ALINGARO, CINDY</v>
      </c>
      <c r="C2433" s="1" t="str">
        <f>IFERROR(__xludf.DUMMYFUNCTION("""COMPUTED_VALUE"""),"FLA")</f>
        <v>FLA</v>
      </c>
      <c r="D2433" s="1" t="str">
        <f>IFERROR(__xludf.DUMMYFUNCTION("""COMPUTED_VALUE"""),"JERIC NAVARRO")</f>
        <v>JERIC NAVARRO</v>
      </c>
      <c r="E2433" s="1" t="str">
        <f>IFERROR(__xludf.DUMMYFUNCTION("""COMPUTED_VALUE"""),"PLDT / H2H")</f>
        <v>PLDT / H2H</v>
      </c>
      <c r="F2433" s="1">
        <f>IFERROR(__xludf.DUMMYFUNCTION("""COMPUTED_VALUE"""),2310873130)</f>
        <v>2310873130</v>
      </c>
      <c r="G2433" s="1">
        <f>IFERROR(__xludf.DUMMYFUNCTION("""COMPUTED_VALUE"""),462054649004)</f>
        <v>462054649004</v>
      </c>
      <c r="H2433" s="1" t="str">
        <f>IFERROR(__xludf.DUMMYFUNCTION("""COMPUTED_VALUE"""),"JULLIEANNE SABIO GUIMALAN")</f>
        <v>JULLIEANNE SABIO GUIMALAN</v>
      </c>
      <c r="I2433" s="1">
        <f>IFERROR(__xludf.DUMMYFUNCTION("""COMPUTED_VALUE"""),9610079359)</f>
        <v>9610079359</v>
      </c>
      <c r="J2433" s="1"/>
      <c r="K2433" s="1" t="str">
        <f>IFERROR(__xludf.DUMMYFUNCTION("""COMPUTED_VALUE"""),"jullianne7@gmail.com")</f>
        <v>jullianne7@gmail.com</v>
      </c>
      <c r="L2433" s="1" t="str">
        <f>IFERROR(__xludf.DUMMYFUNCTION("""COMPUTED_VALUE"""),"42")</f>
        <v>42</v>
      </c>
      <c r="M2433" s="1" t="str">
        <f>IFERROR(__xludf.DUMMYFUNCTION("""COMPUTED_VALUE"""),"ANULING CERCA 1")</f>
        <v>ANULING CERCA 1</v>
      </c>
      <c r="N2433" s="1"/>
      <c r="O2433" s="1" t="str">
        <f>IFERROR(__xludf.DUMMYFUNCTION("""COMPUTED_VALUE"""),"ANULING CERCA I")</f>
        <v>ANULING CERCA I</v>
      </c>
      <c r="P2433" s="1" t="str">
        <f>IFERROR(__xludf.DUMMYFUNCTION("""COMPUTED_VALUE"""),"MENDEZ")</f>
        <v>MENDEZ</v>
      </c>
      <c r="Q2433" s="1" t="str">
        <f>IFERROR(__xludf.DUMMYFUNCTION("""COMPUTED_VALUE"""),"CAVITE")</f>
        <v>CAVITE</v>
      </c>
      <c r="R2433" s="1" t="str">
        <f>IFERROR(__xludf.DUMMYFUNCTION("""COMPUTED_VALUE"""),"FIBR UNLI ALL PLAN 999")</f>
        <v>FIBR UNLI ALL PLAN 999</v>
      </c>
      <c r="S2433" s="1" t="str">
        <f>IFERROR(__xludf.DUMMYFUNCTION("""COMPUTED_VALUE"""),"APPROVED")</f>
        <v>APPROVED</v>
      </c>
      <c r="T2433" s="1" t="str">
        <f>IFERROR(__xludf.DUMMYFUNCTION("""COMPUTED_VALUE"""),"CLOSED")</f>
        <v>CLOSED</v>
      </c>
      <c r="U2433" s="1" t="str">
        <f>IFERROR(__xludf.DUMMYFUNCTION("""COMPUTED_VALUE"""),"POSTED")</f>
        <v>POSTED</v>
      </c>
      <c r="V2433" s="1"/>
      <c r="W2433" s="1"/>
    </row>
    <row r="2434" customHeight="1" spans="1:23">
      <c r="A2434" s="3">
        <f>IFERROR(__xludf.DUMMYFUNCTION("""COMPUTED_VALUE"""),46213)</f>
        <v>46213</v>
      </c>
      <c r="B2434" s="1" t="str">
        <f>IFERROR(__xludf.DUMMYFUNCTION("""COMPUTED_VALUE"""),"AYON MANUEL")</f>
        <v>AYON MANUEL</v>
      </c>
      <c r="C2434" s="1" t="str">
        <f>IFERROR(__xludf.DUMMYFUNCTION("""COMPUTED_VALUE"""),"FLA")</f>
        <v>FLA</v>
      </c>
      <c r="D2434" s="1" t="str">
        <f>IFERROR(__xludf.DUMMYFUNCTION("""COMPUTED_VALUE"""),"JERIC NAVARRO")</f>
        <v>JERIC NAVARRO</v>
      </c>
      <c r="E2434" s="1" t="str">
        <f>IFERROR(__xludf.DUMMYFUNCTION("""COMPUTED_VALUE"""),"PLDT / H2H")</f>
        <v>PLDT / H2H</v>
      </c>
      <c r="F2434" s="1">
        <f>IFERROR(__xludf.DUMMYFUNCTION("""COMPUTED_VALUE"""),2310874682)</f>
        <v>2310874682</v>
      </c>
      <c r="G2434" s="1">
        <f>IFERROR(__xludf.DUMMYFUNCTION("""COMPUTED_VALUE"""),462053919004)</f>
        <v>462053919004</v>
      </c>
      <c r="H2434" s="1" t="str">
        <f>IFERROR(__xludf.DUMMYFUNCTION("""COMPUTED_VALUE"""),"RAYMOND DELROY KERR")</f>
        <v>RAYMOND DELROY KERR</v>
      </c>
      <c r="I2434" s="1">
        <f>IFERROR(__xludf.DUMMYFUNCTION("""COMPUTED_VALUE"""),9205456174)</f>
        <v>9205456174</v>
      </c>
      <c r="J2434" s="1">
        <f>IFERROR(__xludf.DUMMYFUNCTION("""COMPUTED_VALUE"""),9460725219)</f>
        <v>9460725219</v>
      </c>
      <c r="K2434" s="1" t="str">
        <f>IFERROR(__xludf.DUMMYFUNCTION("""COMPUTED_VALUE"""),"roughrider0006@hotmail.com")</f>
        <v>roughrider0006@hotmail.com</v>
      </c>
      <c r="L2434" s="1" t="str">
        <f>IFERROR(__xludf.DUMMYFUNCTION("""COMPUTED_VALUE"""),"BLK 12 LOT 31")</f>
        <v>BLK 12 LOT 31</v>
      </c>
      <c r="M2434" s="1" t="str">
        <f>IFERROR(__xludf.DUMMYFUNCTION("""COMPUTED_VALUE"""),"SPRINGHOMES")</f>
        <v>SPRINGHOMES</v>
      </c>
      <c r="N2434" s="1"/>
      <c r="O2434" s="1" t="str">
        <f>IFERROR(__xludf.DUMMYFUNCTION("""COMPUTED_VALUE"""),"MAGUYAM")</f>
        <v>MAGUYAM</v>
      </c>
      <c r="P2434" s="1" t="str">
        <f>IFERROR(__xludf.DUMMYFUNCTION("""COMPUTED_VALUE"""),"SILANG")</f>
        <v>SILANG</v>
      </c>
      <c r="Q2434" s="1" t="str">
        <f>IFERROR(__xludf.DUMMYFUNCTION("""COMPUTED_VALUE"""),"CAVITE")</f>
        <v>CAVITE</v>
      </c>
      <c r="R2434" s="1" t="str">
        <f>IFERROR(__xludf.DUMMYFUNCTION("""COMPUTED_VALUE"""),"PREPAID FIBER UNLI")</f>
        <v>PREPAID FIBER UNLI</v>
      </c>
      <c r="S2434" s="1" t="str">
        <f>IFERROR(__xludf.DUMMYFUNCTION("""COMPUTED_VALUE"""),"APPROVED")</f>
        <v>APPROVED</v>
      </c>
      <c r="T2434" s="1" t="str">
        <f>IFERROR(__xludf.DUMMYFUNCTION("""COMPUTED_VALUE"""),"CLOSED")</f>
        <v>CLOSED</v>
      </c>
      <c r="U2434" s="1" t="str">
        <f>IFERROR(__xludf.DUMMYFUNCTION("""COMPUTED_VALUE"""),"POSTED")</f>
        <v>POSTED</v>
      </c>
      <c r="V2434" s="1"/>
      <c r="W2434" s="1"/>
    </row>
    <row r="2435" customHeight="1" spans="1:23">
      <c r="A2435" s="3">
        <f>IFERROR(__xludf.DUMMYFUNCTION("""COMPUTED_VALUE"""),46213)</f>
        <v>46213</v>
      </c>
      <c r="B2435" s="1" t="str">
        <f>IFERROR(__xludf.DUMMYFUNCTION("""COMPUTED_VALUE"""),"TAMAYO, MARY ROSE")</f>
        <v>TAMAYO, MARY ROSE</v>
      </c>
      <c r="C2435" s="1" t="str">
        <f>IFERROR(__xludf.DUMMYFUNCTION("""COMPUTED_VALUE"""),"ORGANIC")</f>
        <v>ORGANIC</v>
      </c>
      <c r="D2435" s="1" t="str">
        <f>IFERROR(__xludf.DUMMYFUNCTION("""COMPUTED_VALUE"""),"REMOLLO LEA")</f>
        <v>REMOLLO LEA</v>
      </c>
      <c r="E2435" s="1" t="str">
        <f>IFERROR(__xludf.DUMMYFUNCTION("""COMPUTED_VALUE"""),"PLDT / H2H")</f>
        <v>PLDT / H2H</v>
      </c>
      <c r="F2435" s="1">
        <f>IFERROR(__xludf.DUMMYFUNCTION("""COMPUTED_VALUE"""),2310876702)</f>
        <v>2310876702</v>
      </c>
      <c r="G2435" s="1">
        <f>IFERROR(__xludf.DUMMYFUNCTION("""COMPUTED_VALUE"""),462062872004)</f>
        <v>462062872004</v>
      </c>
      <c r="H2435" s="1" t="str">
        <f>IFERROR(__xludf.DUMMYFUNCTION("""COMPUTED_VALUE"""),"GHIEWIL ANNE ADVINCULA MAYUGA")</f>
        <v>GHIEWIL ANNE ADVINCULA MAYUGA</v>
      </c>
      <c r="I2435" s="1">
        <f>IFERROR(__xludf.DUMMYFUNCTION("""COMPUTED_VALUE"""),9623256909)</f>
        <v>9623256909</v>
      </c>
      <c r="J2435" s="1">
        <f>IFERROR(__xludf.DUMMYFUNCTION("""COMPUTED_VALUE"""),9255200979)</f>
        <v>9255200979</v>
      </c>
      <c r="K2435" s="1" t="str">
        <f>IFERROR(__xludf.DUMMYFUNCTION("""COMPUTED_VALUE"""),"gwilannboyco@gmail.com")</f>
        <v>gwilannboyco@gmail.com</v>
      </c>
      <c r="L2435" s="1" t="str">
        <f>IFERROR(__xludf.DUMMYFUNCTION("""COMPUTED_VALUE"""),"182")</f>
        <v>182</v>
      </c>
      <c r="M2435" s="1" t="str">
        <f>IFERROR(__xludf.DUMMYFUNCTION("""COMPUTED_VALUE"""),"RAMOS BLDG")</f>
        <v>RAMOS BLDG</v>
      </c>
      <c r="N2435" s="1"/>
      <c r="O2435" s="1" t="str">
        <f>IFERROR(__xludf.DUMMYFUNCTION("""COMPUTED_VALUE"""),"SAMPALOC I")</f>
        <v>SAMPALOC I</v>
      </c>
      <c r="P2435" s="1" t="str">
        <f>IFERROR(__xludf.DUMMYFUNCTION("""COMPUTED_VALUE"""),"DASMARINAS")</f>
        <v>DASMARINAS</v>
      </c>
      <c r="Q2435" s="1" t="str">
        <f>IFERROR(__xludf.DUMMYFUNCTION("""COMPUTED_VALUE"""),"CAVITE")</f>
        <v>CAVITE</v>
      </c>
      <c r="R2435" s="1" t="str">
        <f>IFERROR(__xludf.DUMMYFUNCTION("""COMPUTED_VALUE"""),"FIBR PLAN 1299")</f>
        <v>FIBR PLAN 1299</v>
      </c>
      <c r="S2435" s="1" t="str">
        <f>IFERROR(__xludf.DUMMYFUNCTION("""COMPUTED_VALUE"""),"APPROVED")</f>
        <v>APPROVED</v>
      </c>
      <c r="T2435" s="1" t="str">
        <f>IFERROR(__xludf.DUMMYFUNCTION("""COMPUTED_VALUE"""),"CLOSED")</f>
        <v>CLOSED</v>
      </c>
      <c r="U2435" s="1" t="str">
        <f>IFERROR(__xludf.DUMMYFUNCTION("""COMPUTED_VALUE"""),"POSTED")</f>
        <v>POSTED</v>
      </c>
      <c r="V2435" s="1"/>
      <c r="W2435" s="1"/>
    </row>
    <row r="2436" customHeight="1" spans="1:23">
      <c r="A2436" s="3">
        <f>IFERROR(__xludf.DUMMYFUNCTION("""COMPUTED_VALUE"""),46214)</f>
        <v>46214</v>
      </c>
      <c r="B2436" s="1" t="str">
        <f>IFERROR(__xludf.DUMMYFUNCTION("""COMPUTED_VALUE"""),"AYON MANUEL")</f>
        <v>AYON MANUEL</v>
      </c>
      <c r="C2436" s="1" t="str">
        <f>IFERROR(__xludf.DUMMYFUNCTION("""COMPUTED_VALUE"""),"FLA")</f>
        <v>FLA</v>
      </c>
      <c r="D2436" s="1" t="str">
        <f>IFERROR(__xludf.DUMMYFUNCTION("""COMPUTED_VALUE"""),"JERIC NAVARRO")</f>
        <v>JERIC NAVARRO</v>
      </c>
      <c r="E2436" s="1" t="str">
        <f>IFERROR(__xludf.DUMMYFUNCTION("""COMPUTED_VALUE"""),"PLDT / ONLINE")</f>
        <v>PLDT / ONLINE</v>
      </c>
      <c r="F2436" s="1">
        <f>IFERROR(__xludf.DUMMYFUNCTION("""COMPUTED_VALUE"""),2310896270)</f>
        <v>2310896270</v>
      </c>
      <c r="G2436" s="1"/>
      <c r="H2436" s="1" t="str">
        <f>IFERROR(__xludf.DUMMYFUNCTION("""COMPUTED_VALUE"""),"ANNAMARIE PANIS MANGLICMOT")</f>
        <v>ANNAMARIE PANIS MANGLICMOT</v>
      </c>
      <c r="I2436" s="1">
        <f>IFERROR(__xludf.DUMMYFUNCTION("""COMPUTED_VALUE"""),9162036317)</f>
        <v>9162036317</v>
      </c>
      <c r="J2436" s="1">
        <f>IFERROR(__xludf.DUMMYFUNCTION("""COMPUTED_VALUE"""),9164676005)</f>
        <v>9164676005</v>
      </c>
      <c r="K2436" s="1" t="str">
        <f>IFERROR(__xludf.DUMMYFUNCTION("""COMPUTED_VALUE"""),"manglicmotanannamrie@gmail.com")</f>
        <v>manglicmotanannamrie@gmail.com</v>
      </c>
      <c r="L2436" s="1" t="str">
        <f>IFERROR(__xludf.DUMMYFUNCTION("""COMPUTED_VALUE"""),"BLK 1B LOT 13")</f>
        <v>BLK 1B LOT 13</v>
      </c>
      <c r="M2436" s="1" t="str">
        <f>IFERROR(__xludf.DUMMYFUNCTION("""COMPUTED_VALUE"""),"PAHSE 2")</f>
        <v>PAHSE 2</v>
      </c>
      <c r="N2436" s="1" t="str">
        <f>IFERROR(__xludf.DUMMYFUNCTION("""COMPUTED_VALUE"""),"RANCHO IMPERIAL")</f>
        <v>RANCHO IMPERIAL</v>
      </c>
      <c r="O2436" s="1" t="str">
        <f>IFERROR(__xludf.DUMMYFUNCTION("""COMPUTED_VALUE"""),"TARTARIA")</f>
        <v>TARTARIA</v>
      </c>
      <c r="P2436" s="1" t="str">
        <f>IFERROR(__xludf.DUMMYFUNCTION("""COMPUTED_VALUE"""),"SILANG")</f>
        <v>SILANG</v>
      </c>
      <c r="Q2436" s="1" t="str">
        <f>IFERROR(__xludf.DUMMYFUNCTION("""COMPUTED_VALUE"""),"CAVITE")</f>
        <v>CAVITE</v>
      </c>
      <c r="R2436" s="1" t="str">
        <f>IFERROR(__xludf.DUMMYFUNCTION("""COMPUTED_VALUE"""),"FIBR UNLI ALL PLAN 2499")</f>
        <v>FIBR UNLI ALL PLAN 2499</v>
      </c>
      <c r="S2436" s="1" t="str">
        <f>IFERROR(__xludf.DUMMYFUNCTION("""COMPUTED_VALUE"""),"APPROVED")</f>
        <v>APPROVED</v>
      </c>
      <c r="T2436" s="1" t="str">
        <f>IFERROR(__xludf.DUMMYFUNCTION("""COMPUTED_VALUE"""),"CANCELLED")</f>
        <v>CANCELLED</v>
      </c>
      <c r="U2436" s="1"/>
      <c r="V2436" s="1"/>
      <c r="W2436" s="1"/>
    </row>
    <row r="2437" customHeight="1" spans="1:23">
      <c r="A2437" s="3">
        <f>IFERROR(__xludf.DUMMYFUNCTION("""COMPUTED_VALUE"""),46214)</f>
        <v>46214</v>
      </c>
      <c r="B2437" s="1" t="str">
        <f>IFERROR(__xludf.DUMMYFUNCTION("""COMPUTED_VALUE"""),"MALIWAT MARK ELVIN")</f>
        <v>MALIWAT MARK ELVIN</v>
      </c>
      <c r="C2437" s="1" t="str">
        <f>IFERROR(__xludf.DUMMYFUNCTION("""COMPUTED_VALUE"""),"FLA")</f>
        <v>FLA</v>
      </c>
      <c r="D2437" s="1" t="str">
        <f>IFERROR(__xludf.DUMMYFUNCTION("""COMPUTED_VALUE"""),"JERIC NAVARRO")</f>
        <v>JERIC NAVARRO</v>
      </c>
      <c r="E2437" s="1" t="str">
        <f>IFERROR(__xludf.DUMMYFUNCTION("""COMPUTED_VALUE"""),"PLDT / ONLINE")</f>
        <v>PLDT / ONLINE</v>
      </c>
      <c r="F2437" s="1">
        <f>IFERROR(__xludf.DUMMYFUNCTION("""COMPUTED_VALUE"""),2310893904)</f>
        <v>2310893904</v>
      </c>
      <c r="G2437" s="1">
        <f>IFERROR(__xludf.DUMMYFUNCTION("""COMPUTED_VALUE"""),462149162004)</f>
        <v>462149162004</v>
      </c>
      <c r="H2437" s="1" t="str">
        <f>IFERROR(__xludf.DUMMYFUNCTION("""COMPUTED_VALUE"""),"CHRISTINE EXSOR BERNALES")</f>
        <v>CHRISTINE EXSOR BERNALES</v>
      </c>
      <c r="I2437" s="1">
        <f>IFERROR(__xludf.DUMMYFUNCTION("""COMPUTED_VALUE"""),9926137622)</f>
        <v>9926137622</v>
      </c>
      <c r="J2437" s="1">
        <f>IFERROR(__xludf.DUMMYFUNCTION("""COMPUTED_VALUE"""),9948670523)</f>
        <v>9948670523</v>
      </c>
      <c r="K2437" s="1" t="str">
        <f>IFERROR(__xludf.DUMMYFUNCTION("""COMPUTED_VALUE"""),"bernaleschristine82@gail.com")</f>
        <v>bernaleschristine82@gail.com</v>
      </c>
      <c r="L2437" s="1" t="str">
        <f>IFERROR(__xludf.DUMMYFUNCTION("""COMPUTED_VALUE"""),"86")</f>
        <v>86</v>
      </c>
      <c r="M2437" s="1" t="str">
        <f>IFERROR(__xludf.DUMMYFUNCTION("""COMPUTED_VALUE"""),"EXCESS LOT")</f>
        <v>EXCESS LOT</v>
      </c>
      <c r="N2437" s="1"/>
      <c r="O2437" s="1" t="str">
        <f>IFERROR(__xludf.DUMMYFUNCTION("""COMPUTED_VALUE"""),"SAN SEBASTIAN")</f>
        <v>SAN SEBASTIAN</v>
      </c>
      <c r="P2437" s="1" t="str">
        <f>IFERROR(__xludf.DUMMYFUNCTION("""COMPUTED_VALUE"""),"GEN MARIANO ALVAREZ")</f>
        <v>GEN MARIANO ALVAREZ</v>
      </c>
      <c r="Q2437" s="1" t="str">
        <f>IFERROR(__xludf.DUMMYFUNCTION("""COMPUTED_VALUE"""),"CAVITE")</f>
        <v>CAVITE</v>
      </c>
      <c r="R2437" s="1" t="str">
        <f>IFERROR(__xludf.DUMMYFUNCTION("""COMPUTED_VALUE"""),"FIBR UNLI ALL PLAN 999")</f>
        <v>FIBR UNLI ALL PLAN 999</v>
      </c>
      <c r="S2437" s="1" t="str">
        <f>IFERROR(__xludf.DUMMYFUNCTION("""COMPUTED_VALUE"""),"APPROVED")</f>
        <v>APPROVED</v>
      </c>
      <c r="T2437" s="1" t="str">
        <f>IFERROR(__xludf.DUMMYFUNCTION("""COMPUTED_VALUE"""),"CLOSED")</f>
        <v>CLOSED</v>
      </c>
      <c r="U2437" s="1" t="str">
        <f>IFERROR(__xludf.DUMMYFUNCTION("""COMPUTED_VALUE"""),"POSTED")</f>
        <v>POSTED</v>
      </c>
      <c r="V2437" s="1"/>
      <c r="W2437" s="1"/>
    </row>
    <row r="2438" customHeight="1" spans="1:23">
      <c r="A2438" s="3">
        <f>IFERROR(__xludf.DUMMYFUNCTION("""COMPUTED_VALUE"""),46214)</f>
        <v>46214</v>
      </c>
      <c r="B2438" s="1" t="str">
        <f>IFERROR(__xludf.DUMMYFUNCTION("""COMPUTED_VALUE"""),"REMOLLO, LEA")</f>
        <v>REMOLLO, LEA</v>
      </c>
      <c r="C2438" s="1" t="str">
        <f>IFERROR(__xludf.DUMMYFUNCTION("""COMPUTED_VALUE"""),"FLA")</f>
        <v>FLA</v>
      </c>
      <c r="D2438" s="1" t="str">
        <f>IFERROR(__xludf.DUMMYFUNCTION("""COMPUTED_VALUE"""),"JERIC NAVARRO")</f>
        <v>JERIC NAVARRO</v>
      </c>
      <c r="E2438" s="1" t="str">
        <f>IFERROR(__xludf.DUMMYFUNCTION("""COMPUTED_VALUE"""),"PLDT / ONLINE")</f>
        <v>PLDT / ONLINE</v>
      </c>
      <c r="F2438" s="1">
        <f>IFERROR(__xludf.DUMMYFUNCTION("""COMPUTED_VALUE"""),2310887804)</f>
        <v>2310887804</v>
      </c>
      <c r="G2438" s="1">
        <f>IFERROR(__xludf.DUMMYFUNCTION("""COMPUTED_VALUE"""),462139968004)</f>
        <v>462139968004</v>
      </c>
      <c r="H2438" s="1" t="str">
        <f>IFERROR(__xludf.DUMMYFUNCTION("""COMPUTED_VALUE"""),"CARL LAURENZ SANTILLAN PETALYO")</f>
        <v>CARL LAURENZ SANTILLAN PETALYO</v>
      </c>
      <c r="I2438" s="1">
        <f>IFERROR(__xludf.DUMMYFUNCTION("""COMPUTED_VALUE"""),9060897341)</f>
        <v>9060897341</v>
      </c>
      <c r="J2438" s="1"/>
      <c r="K2438" s="1" t="str">
        <f>IFERROR(__xludf.DUMMYFUNCTION("""COMPUTED_VALUE"""),"petalvocarl@gmail.com")</f>
        <v>petalvocarl@gmail.com</v>
      </c>
      <c r="L2438" s="1" t="str">
        <f>IFERROR(__xludf.DUMMYFUNCTION("""COMPUTED_VALUE"""),"66")</f>
        <v>66</v>
      </c>
      <c r="M2438" s="1" t="str">
        <f>IFERROR(__xludf.DUMMYFUNCTION("""COMPUTED_VALUE"""),"GEN AGUILNALDO HIGHWAY")</f>
        <v>GEN AGUILNALDO HIGHWAY</v>
      </c>
      <c r="N2438" s="1"/>
      <c r="O2438" s="1" t="str">
        <f>IFERROR(__xludf.DUMMYFUNCTION("""COMPUTED_VALUE"""),"MENDEZ CROSSING EAST")</f>
        <v>MENDEZ CROSSING EAST</v>
      </c>
      <c r="P2438" s="1" t="str">
        <f>IFERROR(__xludf.DUMMYFUNCTION("""COMPUTED_VALUE"""),"TAGAYTAY")</f>
        <v>TAGAYTAY</v>
      </c>
      <c r="Q2438" s="1" t="str">
        <f>IFERROR(__xludf.DUMMYFUNCTION("""COMPUTED_VALUE"""),"CAVITE")</f>
        <v>CAVITE</v>
      </c>
      <c r="R2438" s="1" t="str">
        <f>IFERROR(__xludf.DUMMYFUNCTION("""COMPUTED_VALUE"""),"FIBR UNLI ALL PLAN 1799")</f>
        <v>FIBR UNLI ALL PLAN 1799</v>
      </c>
      <c r="S2438" s="1" t="str">
        <f>IFERROR(__xludf.DUMMYFUNCTION("""COMPUTED_VALUE"""),"APPROVED")</f>
        <v>APPROVED</v>
      </c>
      <c r="T2438" s="1" t="str">
        <f>IFERROR(__xludf.DUMMYFUNCTION("""COMPUTED_VALUE"""),"CLOSED")</f>
        <v>CLOSED</v>
      </c>
      <c r="U2438" s="1" t="str">
        <f>IFERROR(__xludf.DUMMYFUNCTION("""COMPUTED_VALUE"""),"POSTED")</f>
        <v>POSTED</v>
      </c>
      <c r="V2438" s="1"/>
      <c r="W2438" s="1"/>
    </row>
    <row r="2439" customHeight="1" spans="1:23">
      <c r="A2439" s="3">
        <f>IFERROR(__xludf.DUMMYFUNCTION("""COMPUTED_VALUE"""),46214)</f>
        <v>46214</v>
      </c>
      <c r="B2439" s="1" t="str">
        <f>IFERROR(__xludf.DUMMYFUNCTION("""COMPUTED_VALUE"""),"LEADSTORE - ILANO, LIANDRO TEJAS")</f>
        <v>LEADSTORE - ILANO, LIANDRO TEJAS</v>
      </c>
      <c r="C2439" s="1" t="str">
        <f>IFERROR(__xludf.DUMMYFUNCTION("""COMPUTED_VALUE"""),"FLA")</f>
        <v>FLA</v>
      </c>
      <c r="D2439" s="1" t="str">
        <f>IFERROR(__xludf.DUMMYFUNCTION("""COMPUTED_VALUE"""),"JERIC NAVARRO")</f>
        <v>JERIC NAVARRO</v>
      </c>
      <c r="E2439" s="1" t="str">
        <f>IFERROR(__xludf.DUMMYFUNCTION("""COMPUTED_VALUE"""),"PLDT / ONLINE")</f>
        <v>PLDT / ONLINE</v>
      </c>
      <c r="F2439" s="1">
        <f>IFERROR(__xludf.DUMMYFUNCTION("""COMPUTED_VALUE"""),2310897060)</f>
        <v>2310897060</v>
      </c>
      <c r="G2439" s="1">
        <f>IFERROR(__xludf.DUMMYFUNCTION("""COMPUTED_VALUE"""),462151347004)</f>
        <v>462151347004</v>
      </c>
      <c r="H2439" s="1" t="str">
        <f>IFERROR(__xludf.DUMMYFUNCTION("""COMPUTED_VALUE"""),"KIMBERLY ROSE SALUD LANUZA")</f>
        <v>KIMBERLY ROSE SALUD LANUZA</v>
      </c>
      <c r="I2439" s="1">
        <f>IFERROR(__xludf.DUMMYFUNCTION("""COMPUTED_VALUE"""),9295748323)</f>
        <v>9295748323</v>
      </c>
      <c r="J2439" s="1">
        <f>IFERROR(__xludf.DUMMYFUNCTION("""COMPUTED_VALUE"""),9275834362)</f>
        <v>9275834362</v>
      </c>
      <c r="K2439" s="1" t="str">
        <f>IFERROR(__xludf.DUMMYFUNCTION("""COMPUTED_VALUE"""),"kimberlylanuzo@yahoo.com")</f>
        <v>kimberlylanuzo@yahoo.com</v>
      </c>
      <c r="L2439" s="1" t="str">
        <f>IFERROR(__xludf.DUMMYFUNCTION("""COMPUTED_VALUE"""),"BLK 37 LOT 12")</f>
        <v>BLK 37 LOT 12</v>
      </c>
      <c r="M2439" s="1" t="str">
        <f>IFERROR(__xludf.DUMMYFUNCTION("""COMPUTED_VALUE"""),"PLUM")</f>
        <v>PLUM</v>
      </c>
      <c r="N2439" s="1" t="str">
        <f>IFERROR(__xludf.DUMMYFUNCTION("""COMPUTED_VALUE"""),"TIERA VISTA PHASE 2")</f>
        <v>TIERA VISTA PHASE 2</v>
      </c>
      <c r="O2439" s="1" t="str">
        <f>IFERROR(__xludf.DUMMYFUNCTION("""COMPUTED_VALUE"""),"SANTIAGO")</f>
        <v>SANTIAGO</v>
      </c>
      <c r="P2439" s="1" t="str">
        <f>IFERROR(__xludf.DUMMYFUNCTION("""COMPUTED_VALUE"""),"GENERAL TRIAS")</f>
        <v>GENERAL TRIAS</v>
      </c>
      <c r="Q2439" s="1" t="str">
        <f>IFERROR(__xludf.DUMMYFUNCTION("""COMPUTED_VALUE"""),"CAVITE")</f>
        <v>CAVITE</v>
      </c>
      <c r="R2439" s="1" t="str">
        <f>IFERROR(__xludf.DUMMYFUNCTION("""COMPUTED_VALUE"""),"FIBR UNLI ALL PLAN 1799")</f>
        <v>FIBR UNLI ALL PLAN 1799</v>
      </c>
      <c r="S2439" s="1" t="str">
        <f>IFERROR(__xludf.DUMMYFUNCTION("""COMPUTED_VALUE"""),"APPROVED")</f>
        <v>APPROVED</v>
      </c>
      <c r="T2439" s="1" t="str">
        <f>IFERROR(__xludf.DUMMYFUNCTION("""COMPUTED_VALUE"""),"RPR")</f>
        <v>RPR</v>
      </c>
      <c r="U2439" s="1"/>
      <c r="V2439" s="1"/>
      <c r="W2439" s="1"/>
    </row>
    <row r="2440" customHeight="1" spans="1:23">
      <c r="A2440" s="3">
        <f>IFERROR(__xludf.DUMMYFUNCTION("""COMPUTED_VALUE"""),46214)</f>
        <v>46214</v>
      </c>
      <c r="B2440" s="1" t="str">
        <f>IFERROR(__xludf.DUMMYFUNCTION("""COMPUTED_VALUE"""),"MALIWAT MARK ELVIN")</f>
        <v>MALIWAT MARK ELVIN</v>
      </c>
      <c r="C2440" s="1" t="str">
        <f>IFERROR(__xludf.DUMMYFUNCTION("""COMPUTED_VALUE"""),"FLA")</f>
        <v>FLA</v>
      </c>
      <c r="D2440" s="1" t="str">
        <f>IFERROR(__xludf.DUMMYFUNCTION("""COMPUTED_VALUE"""),"JERIC NAVARRO")</f>
        <v>JERIC NAVARRO</v>
      </c>
      <c r="E2440" s="1" t="str">
        <f>IFERROR(__xludf.DUMMYFUNCTION("""COMPUTED_VALUE"""),"PLDT / ONLINE")</f>
        <v>PLDT / ONLINE</v>
      </c>
      <c r="F2440" s="1">
        <f>IFERROR(__xludf.DUMMYFUNCTION("""COMPUTED_VALUE"""),2310900749)</f>
        <v>2310900749</v>
      </c>
      <c r="G2440" s="1">
        <f>IFERROR(__xludf.DUMMYFUNCTION("""COMPUTED_VALUE"""),462178831004)</f>
        <v>462178831004</v>
      </c>
      <c r="H2440" s="1" t="str">
        <f>IFERROR(__xludf.DUMMYFUNCTION("""COMPUTED_VALUE"""),"JAYSON HERNAN SALAZAR")</f>
        <v>JAYSON HERNAN SALAZAR</v>
      </c>
      <c r="I2440" s="1">
        <f>IFERROR(__xludf.DUMMYFUNCTION("""COMPUTED_VALUE"""),9297292443)</f>
        <v>9297292443</v>
      </c>
      <c r="J2440" s="1">
        <f>IFERROR(__xludf.DUMMYFUNCTION("""COMPUTED_VALUE"""),9985492684)</f>
        <v>9985492684</v>
      </c>
      <c r="K2440" s="1" t="str">
        <f>IFERROR(__xludf.DUMMYFUNCTION("""COMPUTED_VALUE"""),"jheihsalazar@gmail.com")</f>
        <v>jheihsalazar@gmail.com</v>
      </c>
      <c r="L2440" s="1" t="str">
        <f>IFERROR(__xludf.DUMMYFUNCTION("""COMPUTED_VALUE"""),"187")</f>
        <v>187</v>
      </c>
      <c r="M2440" s="1" t="str">
        <f>IFERROR(__xludf.DUMMYFUNCTION("""COMPUTED_VALUE"""),"MATAGBAK RD")</f>
        <v>MATAGBAK RD</v>
      </c>
      <c r="N2440" s="1"/>
      <c r="O2440" s="1" t="str">
        <f>IFERROR(__xludf.DUMMYFUNCTION("""COMPUTED_VALUE"""),"MATAGBAK I")</f>
        <v>MATAGBAK I</v>
      </c>
      <c r="P2440" s="1" t="str">
        <f>IFERROR(__xludf.DUMMYFUNCTION("""COMPUTED_VALUE"""),"ALFONSO")</f>
        <v>ALFONSO</v>
      </c>
      <c r="Q2440" s="1" t="str">
        <f>IFERROR(__xludf.DUMMYFUNCTION("""COMPUTED_VALUE"""),"CAVITE")</f>
        <v>CAVITE</v>
      </c>
      <c r="R2440" s="1" t="str">
        <f>IFERROR(__xludf.DUMMYFUNCTION("""COMPUTED_VALUE"""),"FIBR UNLI ALL PLAN 1399")</f>
        <v>FIBR UNLI ALL PLAN 1399</v>
      </c>
      <c r="S2440" s="1" t="str">
        <f>IFERROR(__xludf.DUMMYFUNCTION("""COMPUTED_VALUE"""),"APPROVED")</f>
        <v>APPROVED</v>
      </c>
      <c r="T2440" s="1" t="str">
        <f>IFERROR(__xludf.DUMMYFUNCTION("""COMPUTED_VALUE"""),"CLOSED")</f>
        <v>CLOSED</v>
      </c>
      <c r="U2440" s="1" t="str">
        <f>IFERROR(__xludf.DUMMYFUNCTION("""COMPUTED_VALUE"""),"POSTED")</f>
        <v>POSTED</v>
      </c>
      <c r="V2440" s="1"/>
      <c r="W2440" s="1"/>
    </row>
    <row r="2441" customHeight="1" spans="1:23">
      <c r="A2441" s="3">
        <f>IFERROR(__xludf.DUMMYFUNCTION("""COMPUTED_VALUE"""),46215)</f>
        <v>46215</v>
      </c>
      <c r="B2441" s="1" t="str">
        <f>IFERROR(__xludf.DUMMYFUNCTION("""COMPUTED_VALUE"""),"AYON MANUEL")</f>
        <v>AYON MANUEL</v>
      </c>
      <c r="C2441" s="1" t="str">
        <f>IFERROR(__xludf.DUMMYFUNCTION("""COMPUTED_VALUE"""),"FLA")</f>
        <v>FLA</v>
      </c>
      <c r="D2441" s="1" t="str">
        <f>IFERROR(__xludf.DUMMYFUNCTION("""COMPUTED_VALUE"""),"JERIC NAVARRO")</f>
        <v>JERIC NAVARRO</v>
      </c>
      <c r="E2441" s="1" t="str">
        <f>IFERROR(__xludf.DUMMYFUNCTION("""COMPUTED_VALUE"""),"PLDT / ONLINE")</f>
        <v>PLDT / ONLINE</v>
      </c>
      <c r="F2441" s="1">
        <f>IFERROR(__xludf.DUMMYFUNCTION("""COMPUTED_VALUE"""),2310914548)</f>
        <v>2310914548</v>
      </c>
      <c r="G2441" s="1">
        <f>IFERROR(__xludf.DUMMYFUNCTION("""COMPUTED_VALUE"""),462299307004)</f>
        <v>462299307004</v>
      </c>
      <c r="H2441" s="1" t="str">
        <f>IFERROR(__xludf.DUMMYFUNCTION("""COMPUTED_VALUE"""),"ALLAN ROMERO CUBIO")</f>
        <v>ALLAN ROMERO CUBIO</v>
      </c>
      <c r="I2441" s="1">
        <f>IFERROR(__xludf.DUMMYFUNCTION("""COMPUTED_VALUE"""),9392883921)</f>
        <v>9392883921</v>
      </c>
      <c r="J2441" s="1"/>
      <c r="K2441" s="1" t="str">
        <f>IFERROR(__xludf.DUMMYFUNCTION("""COMPUTED_VALUE"""),"allanromerocubio@gmail.com")</f>
        <v>allanromerocubio@gmail.com</v>
      </c>
      <c r="L2441" s="1" t="str">
        <f>IFERROR(__xludf.DUMMYFUNCTION("""COMPUTED_VALUE"""),"9040")</f>
        <v>9040</v>
      </c>
      <c r="M2441" s="1" t="str">
        <f>IFERROR(__xludf.DUMMYFUNCTION("""COMPUTED_VALUE"""),"MUZON RD")</f>
        <v>MUZON RD</v>
      </c>
      <c r="N2441" s="1"/>
      <c r="O2441" s="1" t="str">
        <f>IFERROR(__xludf.DUMMYFUNCTION("""COMPUTED_VALUE"""),"ASIS I")</f>
        <v>ASIS I</v>
      </c>
      <c r="P2441" s="1" t="str">
        <f>IFERROR(__xludf.DUMMYFUNCTION("""COMPUTED_VALUE"""),"MENDEZ")</f>
        <v>MENDEZ</v>
      </c>
      <c r="Q2441" s="1" t="str">
        <f>IFERROR(__xludf.DUMMYFUNCTION("""COMPUTED_VALUE"""),"CAVITE")</f>
        <v>CAVITE</v>
      </c>
      <c r="R2441" s="1" t="str">
        <f>IFERROR(__xludf.DUMMYFUNCTION("""COMPUTED_VALUE"""),"FIBR UNLI ALL PLAN 1399")</f>
        <v>FIBR UNLI ALL PLAN 1399</v>
      </c>
      <c r="S2441" s="1" t="str">
        <f>IFERROR(__xludf.DUMMYFUNCTION("""COMPUTED_VALUE"""),"APPROVED")</f>
        <v>APPROVED</v>
      </c>
      <c r="T2441" s="1" t="str">
        <f>IFERROR(__xludf.DUMMYFUNCTION("""COMPUTED_VALUE"""),"CLOSED")</f>
        <v>CLOSED</v>
      </c>
      <c r="U2441" s="1" t="str">
        <f>IFERROR(__xludf.DUMMYFUNCTION("""COMPUTED_VALUE"""),"POSTED")</f>
        <v>POSTED</v>
      </c>
      <c r="V2441" s="1"/>
      <c r="W2441" s="1"/>
    </row>
    <row r="2442" customHeight="1" spans="1:23">
      <c r="A2442" s="3">
        <f>IFERROR(__xludf.DUMMYFUNCTION("""COMPUTED_VALUE"""),46215)</f>
        <v>46215</v>
      </c>
      <c r="B2442" s="1" t="str">
        <f>IFERROR(__xludf.DUMMYFUNCTION("""COMPUTED_VALUE"""),"MALIWAT MARK ELVIN")</f>
        <v>MALIWAT MARK ELVIN</v>
      </c>
      <c r="C2442" s="1" t="str">
        <f>IFERROR(__xludf.DUMMYFUNCTION("""COMPUTED_VALUE"""),"FLA")</f>
        <v>FLA</v>
      </c>
      <c r="D2442" s="1" t="str">
        <f>IFERROR(__xludf.DUMMYFUNCTION("""COMPUTED_VALUE"""),"JERIC NAVARRO")</f>
        <v>JERIC NAVARRO</v>
      </c>
      <c r="E2442" s="1" t="str">
        <f>IFERROR(__xludf.DUMMYFUNCTION("""COMPUTED_VALUE"""),"PLDT / ONLINE")</f>
        <v>PLDT / ONLINE</v>
      </c>
      <c r="F2442" s="1">
        <f>IFERROR(__xludf.DUMMYFUNCTION("""COMPUTED_VALUE"""),2310913924)</f>
        <v>2310913924</v>
      </c>
      <c r="G2442" s="1">
        <f>IFERROR(__xludf.DUMMYFUNCTION("""COMPUTED_VALUE"""),462284676004)</f>
        <v>462284676004</v>
      </c>
      <c r="H2442" s="1" t="str">
        <f>IFERROR(__xludf.DUMMYFUNCTION("""COMPUTED_VALUE"""),"CHRISTINE JOY DIALINO RED")</f>
        <v>CHRISTINE JOY DIALINO RED</v>
      </c>
      <c r="I2442" s="1">
        <f>IFERROR(__xludf.DUMMYFUNCTION("""COMPUTED_VALUE"""),9912830499)</f>
        <v>9912830499</v>
      </c>
      <c r="J2442" s="1">
        <f>IFERROR(__xludf.DUMMYFUNCTION("""COMPUTED_VALUE"""),9108786404)</f>
        <v>9108786404</v>
      </c>
      <c r="K2442" s="1" t="str">
        <f>IFERROR(__xludf.DUMMYFUNCTION("""COMPUTED_VALUE"""),"christinejoyred1@gmail.com")</f>
        <v>christinejoyred1@gmail.com</v>
      </c>
      <c r="L2442" s="1" t="str">
        <f>IFERROR(__xludf.DUMMYFUNCTION("""COMPUTED_VALUE"""),"BLK 2 LOT 17")</f>
        <v>BLK 2 LOT 17</v>
      </c>
      <c r="M2442" s="1" t="str">
        <f>IFERROR(__xludf.DUMMYFUNCTION("""COMPUTED_VALUE"""),"BANABA")</f>
        <v>BANABA</v>
      </c>
      <c r="N2442" s="1" t="str">
        <f>IFERROR(__xludf.DUMMYFUNCTION("""COMPUTED_VALUE"""),"PHASE 1A CIUDAD NUEVO")</f>
        <v>PHASE 1A CIUDAD NUEVO</v>
      </c>
      <c r="O2442" s="1" t="str">
        <f>IFERROR(__xludf.DUMMYFUNCTION("""COMPUTED_VALUE"""),"SABANG")</f>
        <v>SABANG</v>
      </c>
      <c r="P2442" s="1" t="str">
        <f>IFERROR(__xludf.DUMMYFUNCTION("""COMPUTED_VALUE"""),"NAIC")</f>
        <v>NAIC</v>
      </c>
      <c r="Q2442" s="1" t="str">
        <f>IFERROR(__xludf.DUMMYFUNCTION("""COMPUTED_VALUE"""),"CAVITE")</f>
        <v>CAVITE</v>
      </c>
      <c r="R2442" s="1" t="str">
        <f>IFERROR(__xludf.DUMMYFUNCTION("""COMPUTED_VALUE"""),"FIBR UNLI ALL PLAN 1399")</f>
        <v>FIBR UNLI ALL PLAN 1399</v>
      </c>
      <c r="S2442" s="1" t="str">
        <f>IFERROR(__xludf.DUMMYFUNCTION("""COMPUTED_VALUE"""),"APPROVED")</f>
        <v>APPROVED</v>
      </c>
      <c r="T2442" s="1" t="str">
        <f>IFERROR(__xludf.DUMMYFUNCTION("""COMPUTED_VALUE"""),"CLOSED")</f>
        <v>CLOSED</v>
      </c>
      <c r="U2442" s="1" t="str">
        <f>IFERROR(__xludf.DUMMYFUNCTION("""COMPUTED_VALUE"""),"POSTED")</f>
        <v>POSTED</v>
      </c>
      <c r="V2442" s="1"/>
      <c r="W2442" s="1"/>
    </row>
    <row r="2443" customHeight="1" spans="1:23">
      <c r="A2443" s="3">
        <f>IFERROR(__xludf.DUMMYFUNCTION("""COMPUTED_VALUE"""),46215)</f>
        <v>46215</v>
      </c>
      <c r="B2443" s="1" t="str">
        <f>IFERROR(__xludf.DUMMYFUNCTION("""COMPUTED_VALUE"""),"DACALCAP RUBEN")</f>
        <v>DACALCAP RUBEN</v>
      </c>
      <c r="C2443" s="1" t="str">
        <f>IFERROR(__xludf.DUMMYFUNCTION("""COMPUTED_VALUE"""),"FLA")</f>
        <v>FLA</v>
      </c>
      <c r="D2443" s="1" t="str">
        <f>IFERROR(__xludf.DUMMYFUNCTION("""COMPUTED_VALUE"""),"JERIC NAVARRO")</f>
        <v>JERIC NAVARRO</v>
      </c>
      <c r="E2443" s="1" t="str">
        <f>IFERROR(__xludf.DUMMYFUNCTION("""COMPUTED_VALUE"""),"PLDT / ONLINE")</f>
        <v>PLDT / ONLINE</v>
      </c>
      <c r="F2443" s="1">
        <f>IFERROR(__xludf.DUMMYFUNCTION("""COMPUTED_VALUE"""),2310913323)</f>
        <v>2310913323</v>
      </c>
      <c r="G2443" s="1">
        <f>IFERROR(__xludf.DUMMYFUNCTION("""COMPUTED_VALUE"""),462285969004)</f>
        <v>462285969004</v>
      </c>
      <c r="H2443" s="1" t="str">
        <f>IFERROR(__xludf.DUMMYFUNCTION("""COMPUTED_VALUE"""),"JENEVEIVE BOCO AMIDA")</f>
        <v>JENEVEIVE BOCO AMIDA</v>
      </c>
      <c r="I2443" s="1">
        <f>IFERROR(__xludf.DUMMYFUNCTION("""COMPUTED_VALUE"""),9273446035)</f>
        <v>9273446035</v>
      </c>
      <c r="J2443" s="1">
        <f>IFERROR(__xludf.DUMMYFUNCTION("""COMPUTED_VALUE"""),9613402614)</f>
        <v>9613402614</v>
      </c>
      <c r="K2443" s="1" t="str">
        <f>IFERROR(__xludf.DUMMYFUNCTION("""COMPUTED_VALUE"""),"mateobarn@gmail.com")</f>
        <v>mateobarn@gmail.com</v>
      </c>
      <c r="L2443" s="1" t="str">
        <f>IFERROR(__xludf.DUMMYFUNCTION("""COMPUTED_VALUE"""),"BLK 47 LOT 5")</f>
        <v>BLK 47 LOT 5</v>
      </c>
      <c r="M2443" s="1" t="str">
        <f>IFERROR(__xludf.DUMMYFUNCTION("""COMPUTED_VALUE"""),"PHASE 4")</f>
        <v>PHASE 4</v>
      </c>
      <c r="N2443" s="1" t="str">
        <f>IFERROR(__xludf.DUMMYFUNCTION("""COMPUTED_VALUE"""),"MABUHAY HOMES 2000")</f>
        <v>MABUHAY HOMES 2000</v>
      </c>
      <c r="O2443" s="1" t="str">
        <f>IFERROR(__xludf.DUMMYFUNCTION("""COMPUTED_VALUE"""),"PALIPARAN II")</f>
        <v>PALIPARAN II</v>
      </c>
      <c r="P2443" s="1" t="str">
        <f>IFERROR(__xludf.DUMMYFUNCTION("""COMPUTED_VALUE"""),"DASMARINAS")</f>
        <v>DASMARINAS</v>
      </c>
      <c r="Q2443" s="1" t="str">
        <f>IFERROR(__xludf.DUMMYFUNCTION("""COMPUTED_VALUE"""),"CAVITE")</f>
        <v>CAVITE</v>
      </c>
      <c r="R2443" s="1" t="str">
        <f>IFERROR(__xludf.DUMMYFUNCTION("""COMPUTED_VALUE"""),"FIBR PLAN 1299")</f>
        <v>FIBR PLAN 1299</v>
      </c>
      <c r="S2443" s="1" t="str">
        <f>IFERROR(__xludf.DUMMYFUNCTION("""COMPUTED_VALUE"""),"APPROVED")</f>
        <v>APPROVED</v>
      </c>
      <c r="T2443" s="1" t="str">
        <f>IFERROR(__xludf.DUMMYFUNCTION("""COMPUTED_VALUE"""),"CLOSED")</f>
        <v>CLOSED</v>
      </c>
      <c r="U2443" s="1" t="str">
        <f>IFERROR(__xludf.DUMMYFUNCTION("""COMPUTED_VALUE"""),"POSTED")</f>
        <v>POSTED</v>
      </c>
      <c r="V2443" s="1"/>
      <c r="W2443" s="1"/>
    </row>
    <row r="2444" customHeight="1" spans="1:23">
      <c r="A2444" s="3">
        <f>IFERROR(__xludf.DUMMYFUNCTION("""COMPUTED_VALUE"""),46215)</f>
        <v>46215</v>
      </c>
      <c r="B2444" s="1" t="str">
        <f>IFERROR(__xludf.DUMMYFUNCTION("""COMPUTED_VALUE"""),"RIVERA, AIRIZH JOY")</f>
        <v>RIVERA, AIRIZH JOY</v>
      </c>
      <c r="C2444" s="1" t="str">
        <f>IFERROR(__xludf.DUMMYFUNCTION("""COMPUTED_VALUE"""),"ORGANIC")</f>
        <v>ORGANIC</v>
      </c>
      <c r="D2444" s="1" t="str">
        <f>IFERROR(__xludf.DUMMYFUNCTION("""COMPUTED_VALUE"""),"REMOLLO LEA")</f>
        <v>REMOLLO LEA</v>
      </c>
      <c r="E2444" s="1" t="str">
        <f>IFERROR(__xludf.DUMMYFUNCTION("""COMPUTED_VALUE"""),"PLDT / ONLINE")</f>
        <v>PLDT / ONLINE</v>
      </c>
      <c r="F2444" s="1">
        <f>IFERROR(__xludf.DUMMYFUNCTION("""COMPUTED_VALUE"""),2310912902)</f>
        <v>2310912902</v>
      </c>
      <c r="G2444" s="1">
        <f>IFERROR(__xludf.DUMMYFUNCTION("""COMPUTED_VALUE"""),462299307004)</f>
        <v>462299307004</v>
      </c>
      <c r="H2444" s="1" t="str">
        <f>IFERROR(__xludf.DUMMYFUNCTION("""COMPUTED_VALUE"""),"NOEL NIKKO BAYOT CAGURANGAN")</f>
        <v>NOEL NIKKO BAYOT CAGURANGAN</v>
      </c>
      <c r="I2444" s="1">
        <f>IFERROR(__xludf.DUMMYFUNCTION("""COMPUTED_VALUE"""),9611604663)</f>
        <v>9611604663</v>
      </c>
      <c r="J2444" s="1">
        <f>IFERROR(__xludf.DUMMYFUNCTION("""COMPUTED_VALUE"""),9178713724)</f>
        <v>9178713724</v>
      </c>
      <c r="K2444" s="1" t="str">
        <f>IFERROR(__xludf.DUMMYFUNCTION("""COMPUTED_VALUE"""),"cagurangannoelnikko@gmail.com")</f>
        <v>cagurangannoelnikko@gmail.com</v>
      </c>
      <c r="L2444" s="1" t="str">
        <f>IFERROR(__xludf.DUMMYFUNCTION("""COMPUTED_VALUE"""),"BLK 16 LOT 1")</f>
        <v>BLK 16 LOT 1</v>
      </c>
      <c r="M2444" s="1" t="str">
        <f>IFERROR(__xludf.DUMMYFUNCTION("""COMPUTED_VALUE"""),"SANTOL ")</f>
        <v>SANTOL </v>
      </c>
      <c r="N2444" s="1"/>
      <c r="O2444" s="1" t="str">
        <f>IFERROR(__xludf.DUMMYFUNCTION("""COMPUTED_VALUE"""),"PASONG BUAYA II")</f>
        <v>PASONG BUAYA II</v>
      </c>
      <c r="P2444" s="1" t="str">
        <f>IFERROR(__xludf.DUMMYFUNCTION("""COMPUTED_VALUE"""),"IMUS")</f>
        <v>IMUS</v>
      </c>
      <c r="Q2444" s="1" t="str">
        <f>IFERROR(__xludf.DUMMYFUNCTION("""COMPUTED_VALUE"""),"CAVITE")</f>
        <v>CAVITE</v>
      </c>
      <c r="R2444" s="1" t="str">
        <f>IFERROR(__xludf.DUMMYFUNCTION("""COMPUTED_VALUE"""),"FIBR UNLI ALL PLAN 1399")</f>
        <v>FIBR UNLI ALL PLAN 1399</v>
      </c>
      <c r="S2444" s="1" t="str">
        <f>IFERROR(__xludf.DUMMYFUNCTION("""COMPUTED_VALUE"""),"APPROVED")</f>
        <v>APPROVED</v>
      </c>
      <c r="T2444" s="1" t="str">
        <f>IFERROR(__xludf.DUMMYFUNCTION("""COMPUTED_VALUE"""),"CLOSED")</f>
        <v>CLOSED</v>
      </c>
      <c r="U2444" s="1" t="str">
        <f>IFERROR(__xludf.DUMMYFUNCTION("""COMPUTED_VALUE"""),"POSTED")</f>
        <v>POSTED</v>
      </c>
      <c r="V2444" s="1"/>
      <c r="W2444" s="1"/>
    </row>
    <row r="2445" customHeight="1" spans="1:23">
      <c r="A2445" s="3">
        <f>IFERROR(__xludf.DUMMYFUNCTION("""COMPUTED_VALUE"""),46215)</f>
        <v>46215</v>
      </c>
      <c r="B2445" s="1" t="str">
        <f>IFERROR(__xludf.DUMMYFUNCTION("""COMPUTED_VALUE"""),"AYON MANUEL")</f>
        <v>AYON MANUEL</v>
      </c>
      <c r="C2445" s="1" t="str">
        <f>IFERROR(__xludf.DUMMYFUNCTION("""COMPUTED_VALUE"""),"FLA")</f>
        <v>FLA</v>
      </c>
      <c r="D2445" s="1" t="str">
        <f>IFERROR(__xludf.DUMMYFUNCTION("""COMPUTED_VALUE"""),"JERIC NAVARRO")</f>
        <v>JERIC NAVARRO</v>
      </c>
      <c r="E2445" s="1" t="str">
        <f>IFERROR(__xludf.DUMMYFUNCTION("""COMPUTED_VALUE"""),"PLDT / ONLINE")</f>
        <v>PLDT / ONLINE</v>
      </c>
      <c r="F2445" s="1">
        <f>IFERROR(__xludf.DUMMYFUNCTION("""COMPUTED_VALUE"""),2310915283)</f>
        <v>2310915283</v>
      </c>
      <c r="G2445" s="1">
        <f>IFERROR(__xludf.DUMMYFUNCTION("""COMPUTED_VALUE"""),462287644004)</f>
        <v>462287644004</v>
      </c>
      <c r="H2445" s="1" t="str">
        <f>IFERROR(__xludf.DUMMYFUNCTION("""COMPUTED_VALUE"""),"SALVADOR JR ANGULINA ABARIENTOS")</f>
        <v>SALVADOR JR ANGULINA ABARIENTOS</v>
      </c>
      <c r="I2445" s="1">
        <f>IFERROR(__xludf.DUMMYFUNCTION("""COMPUTED_VALUE"""),9162036317)</f>
        <v>9162036317</v>
      </c>
      <c r="J2445" s="1">
        <f>IFERROR(__xludf.DUMMYFUNCTION("""COMPUTED_VALUE"""),9164676005)</f>
        <v>9164676005</v>
      </c>
      <c r="K2445" s="1" t="str">
        <f>IFERROR(__xludf.DUMMYFUNCTION("""COMPUTED_VALUE"""),"manglicmotanannamrie@gmail.com")</f>
        <v>manglicmotanannamrie@gmail.com</v>
      </c>
      <c r="L2445" s="1" t="str">
        <f>IFERROR(__xludf.DUMMYFUNCTION("""COMPUTED_VALUE"""),"BLK 1B LOT 13")</f>
        <v>BLK 1B LOT 13</v>
      </c>
      <c r="M2445" s="1" t="str">
        <f>IFERROR(__xludf.DUMMYFUNCTION("""COMPUTED_VALUE"""),"PHASE 2")</f>
        <v>PHASE 2</v>
      </c>
      <c r="N2445" s="1" t="str">
        <f>IFERROR(__xludf.DUMMYFUNCTION("""COMPUTED_VALUE"""),"RANCHO IMPERIAL")</f>
        <v>RANCHO IMPERIAL</v>
      </c>
      <c r="O2445" s="1" t="str">
        <f>IFERROR(__xludf.DUMMYFUNCTION("""COMPUTED_VALUE"""),"TARTARIA")</f>
        <v>TARTARIA</v>
      </c>
      <c r="P2445" s="1" t="str">
        <f>IFERROR(__xludf.DUMMYFUNCTION("""COMPUTED_VALUE"""),"SILANG")</f>
        <v>SILANG</v>
      </c>
      <c r="Q2445" s="1" t="str">
        <f>IFERROR(__xludf.DUMMYFUNCTION("""COMPUTED_VALUE"""),"CAVITE")</f>
        <v>CAVITE</v>
      </c>
      <c r="R2445" s="1" t="str">
        <f>IFERROR(__xludf.DUMMYFUNCTION("""COMPUTED_VALUE"""),"FIBR UNLI ALL PLAN 2499")</f>
        <v>FIBR UNLI ALL PLAN 2499</v>
      </c>
      <c r="S2445" s="1" t="str">
        <f>IFERROR(__xludf.DUMMYFUNCTION("""COMPUTED_VALUE"""),"APPROVED")</f>
        <v>APPROVED</v>
      </c>
      <c r="T2445" s="1" t="str">
        <f>IFERROR(__xludf.DUMMYFUNCTION("""COMPUTED_VALUE"""),"CLOSED")</f>
        <v>CLOSED</v>
      </c>
      <c r="U2445" s="1" t="str">
        <f>IFERROR(__xludf.DUMMYFUNCTION("""COMPUTED_VALUE"""),"POSTED")</f>
        <v>POSTED</v>
      </c>
      <c r="V2445" s="1"/>
      <c r="W2445" s="1"/>
    </row>
    <row r="2446" customHeight="1" spans="1:23">
      <c r="A2446" s="3">
        <f>IFERROR(__xludf.DUMMYFUNCTION("""COMPUTED_VALUE"""),46215)</f>
        <v>46215</v>
      </c>
      <c r="B2446" s="1" t="str">
        <f>IFERROR(__xludf.DUMMYFUNCTION("""COMPUTED_VALUE"""),"AYON MANUEL")</f>
        <v>AYON MANUEL</v>
      </c>
      <c r="C2446" s="1" t="str">
        <f>IFERROR(__xludf.DUMMYFUNCTION("""COMPUTED_VALUE"""),"FLA")</f>
        <v>FLA</v>
      </c>
      <c r="D2446" s="1" t="str">
        <f>IFERROR(__xludf.DUMMYFUNCTION("""COMPUTED_VALUE"""),"JERIC NAVARRO")</f>
        <v>JERIC NAVARRO</v>
      </c>
      <c r="E2446" s="1" t="str">
        <f>IFERROR(__xludf.DUMMYFUNCTION("""COMPUTED_VALUE"""),"PLDT / ONLINE")</f>
        <v>PLDT / ONLINE</v>
      </c>
      <c r="F2446" s="1">
        <f>IFERROR(__xludf.DUMMYFUNCTION("""COMPUTED_VALUE"""),2310917212)</f>
        <v>2310917212</v>
      </c>
      <c r="G2446" s="1">
        <f>IFERROR(__xludf.DUMMYFUNCTION("""COMPUTED_VALUE"""),462291446004)</f>
        <v>462291446004</v>
      </c>
      <c r="H2446" s="1" t="str">
        <f>IFERROR(__xludf.DUMMYFUNCTION("""COMPUTED_VALUE"""),"FAMELA BERJUEGA TALORONG")</f>
        <v>FAMELA BERJUEGA TALORONG</v>
      </c>
      <c r="I2446" s="1">
        <f>IFERROR(__xludf.DUMMYFUNCTION("""COMPUTED_VALUE"""),9624942575)</f>
        <v>9624942575</v>
      </c>
      <c r="J2446" s="1">
        <f>IFERROR(__xludf.DUMMYFUNCTION("""COMPUTED_VALUE"""),9610246229)</f>
        <v>9610246229</v>
      </c>
      <c r="K2446" s="1" t="str">
        <f>IFERROR(__xludf.DUMMYFUNCTION("""COMPUTED_VALUE"""),"famelatalorong1104@gmail.com")</f>
        <v>famelatalorong1104@gmail.com</v>
      </c>
      <c r="L2446" s="1" t="str">
        <f>IFERROR(__xludf.DUMMYFUNCTION("""COMPUTED_VALUE"""),"9542")</f>
        <v>9542</v>
      </c>
      <c r="M2446" s="1" t="str">
        <f>IFERROR(__xludf.DUMMYFUNCTION("""COMPUTED_VALUE"""),"IST ")</f>
        <v>IST </v>
      </c>
      <c r="N2446" s="1" t="str">
        <f>IFERROR(__xludf.DUMMYFUNCTION("""COMPUTED_VALUE"""),"COREHOUSE")</f>
        <v>COREHOUSE</v>
      </c>
      <c r="O2446" s="1" t="str">
        <f>IFERROR(__xludf.DUMMYFUNCTION("""COMPUTED_VALUE"""),"BANCAL")</f>
        <v>BANCAL</v>
      </c>
      <c r="P2446" s="1" t="str">
        <f>IFERROR(__xludf.DUMMYFUNCTION("""COMPUTED_VALUE"""),"CARMONA")</f>
        <v>CARMONA</v>
      </c>
      <c r="Q2446" s="1" t="str">
        <f>IFERROR(__xludf.DUMMYFUNCTION("""COMPUTED_VALUE"""),"CAVITE")</f>
        <v>CAVITE</v>
      </c>
      <c r="R2446" s="1" t="str">
        <f>IFERROR(__xludf.DUMMYFUNCTION("""COMPUTED_VALUE"""),"FIBR NETFLIX PLAN 1599")</f>
        <v>FIBR NETFLIX PLAN 1599</v>
      </c>
      <c r="S2446" s="1" t="str">
        <f>IFERROR(__xludf.DUMMYFUNCTION("""COMPUTED_VALUE"""),"APPROVED")</f>
        <v>APPROVED</v>
      </c>
      <c r="T2446" s="1" t="str">
        <f>IFERROR(__xludf.DUMMYFUNCTION("""COMPUTED_VALUE"""),"RPR")</f>
        <v>RPR</v>
      </c>
      <c r="U2446" s="1"/>
      <c r="V2446" s="1"/>
      <c r="W2446" s="1"/>
    </row>
    <row r="2447" customHeight="1" spans="1:23">
      <c r="A2447" s="3">
        <f>IFERROR(__xludf.DUMMYFUNCTION("""COMPUTED_VALUE"""),46215)</f>
        <v>46215</v>
      </c>
      <c r="B2447" s="1" t="str">
        <f>IFERROR(__xludf.DUMMYFUNCTION("""COMPUTED_VALUE"""),"CASTILLEJOS, ARREL")</f>
        <v>CASTILLEJOS, ARREL</v>
      </c>
      <c r="C2447" s="1" t="str">
        <f>IFERROR(__xludf.DUMMYFUNCTION("""COMPUTED_VALUE"""),"ORGANIC")</f>
        <v>ORGANIC</v>
      </c>
      <c r="D2447" s="1" t="str">
        <f>IFERROR(__xludf.DUMMYFUNCTION("""COMPUTED_VALUE"""),"REMOLLO LEA")</f>
        <v>REMOLLO LEA</v>
      </c>
      <c r="E2447" s="1" t="str">
        <f>IFERROR(__xludf.DUMMYFUNCTION("""COMPUTED_VALUE"""),"PLDT / ONLINE")</f>
        <v>PLDT / ONLINE</v>
      </c>
      <c r="F2447" s="1">
        <f>IFERROR(__xludf.DUMMYFUNCTION("""COMPUTED_VALUE"""),2310918337)</f>
        <v>2310918337</v>
      </c>
      <c r="G2447" s="1">
        <f>IFERROR(__xludf.DUMMYFUNCTION("""COMPUTED_VALUE"""),462295332004)</f>
        <v>462295332004</v>
      </c>
      <c r="H2447" s="1" t="str">
        <f>IFERROR(__xludf.DUMMYFUNCTION("""COMPUTED_VALUE"""),"VERONICA TENOSO MEJICA")</f>
        <v>VERONICA TENOSO MEJICA</v>
      </c>
      <c r="I2447" s="1">
        <f>IFERROR(__xludf.DUMMYFUNCTION("""COMPUTED_VALUE"""),9301670652)</f>
        <v>9301670652</v>
      </c>
      <c r="J2447" s="1">
        <f>IFERROR(__xludf.DUMMYFUNCTION("""COMPUTED_VALUE"""),9489229134)</f>
        <v>9489229134</v>
      </c>
      <c r="K2447" s="1" t="str">
        <f>IFERROR(__xludf.DUMMYFUNCTION("""COMPUTED_VALUE"""),"veroninicamejica0113@gmail.com")</f>
        <v>veroninicamejica0113@gmail.com</v>
      </c>
      <c r="L2447" s="1" t="str">
        <f>IFERROR(__xludf.DUMMYFUNCTION("""COMPUTED_VALUE"""),"BLK L17")</f>
        <v>BLK L17</v>
      </c>
      <c r="M2447" s="1" t="str">
        <f>IFERROR(__xludf.DUMMYFUNCTION("""COMPUTED_VALUE"""),"EXCESS LOT")</f>
        <v>EXCESS LOT</v>
      </c>
      <c r="N2447" s="1"/>
      <c r="O2447" s="1" t="str">
        <f>IFERROR(__xludf.DUMMYFUNCTION("""COMPUTED_VALUE"""),"EMMANUEL BERGADO I")</f>
        <v>EMMANUEL BERGADO I</v>
      </c>
      <c r="P2447" s="1" t="str">
        <f>IFERROR(__xludf.DUMMYFUNCTION("""COMPUTED_VALUE"""),"DASMARINAS")</f>
        <v>DASMARINAS</v>
      </c>
      <c r="Q2447" s="1" t="str">
        <f>IFERROR(__xludf.DUMMYFUNCTION("""COMPUTED_VALUE"""),"CAVITE")</f>
        <v>CAVITE</v>
      </c>
      <c r="R2447" s="1" t="str">
        <f>IFERROR(__xludf.DUMMYFUNCTION("""COMPUTED_VALUE"""),"FIBR PLAN 1299")</f>
        <v>FIBR PLAN 1299</v>
      </c>
      <c r="S2447" s="1" t="str">
        <f>IFERROR(__xludf.DUMMYFUNCTION("""COMPUTED_VALUE"""),"APPROVED")</f>
        <v>APPROVED</v>
      </c>
      <c r="T2447" s="1" t="str">
        <f>IFERROR(__xludf.DUMMYFUNCTION("""COMPUTED_VALUE"""),"CANCELLED")</f>
        <v>CANCELLED</v>
      </c>
      <c r="U2447" s="1"/>
      <c r="V2447" s="1"/>
      <c r="W2447" s="1"/>
    </row>
    <row r="2448" customHeight="1" spans="1:23">
      <c r="A2448" s="3">
        <f>IFERROR(__xludf.DUMMYFUNCTION("""COMPUTED_VALUE"""),46215)</f>
        <v>46215</v>
      </c>
      <c r="B2448" s="1" t="str">
        <f>IFERROR(__xludf.DUMMYFUNCTION("""COMPUTED_VALUE"""),"DELA ROSA, JENNELYN")</f>
        <v>DELA ROSA, JENNELYN</v>
      </c>
      <c r="C2448" s="1" t="str">
        <f>IFERROR(__xludf.DUMMYFUNCTION("""COMPUTED_VALUE"""),"ORGANIC")</f>
        <v>ORGANIC</v>
      </c>
      <c r="D2448" s="1" t="str">
        <f>IFERROR(__xludf.DUMMYFUNCTION("""COMPUTED_VALUE"""),"REMOLLO LEA")</f>
        <v>REMOLLO LEA</v>
      </c>
      <c r="E2448" s="1" t="str">
        <f>IFERROR(__xludf.DUMMYFUNCTION("""COMPUTED_VALUE"""),"PLDT / ONLINE")</f>
        <v>PLDT / ONLINE</v>
      </c>
      <c r="F2448" s="1">
        <f>IFERROR(__xludf.DUMMYFUNCTION("""COMPUTED_VALUE"""),2310918093)</f>
        <v>2310918093</v>
      </c>
      <c r="G2448" s="1">
        <f>IFERROR(__xludf.DUMMYFUNCTION("""COMPUTED_VALUE"""),462293169004)</f>
        <v>462293169004</v>
      </c>
      <c r="H2448" s="1" t="str">
        <f>IFERROR(__xludf.DUMMYFUNCTION("""COMPUTED_VALUE"""),"REGGIE BORROMEO VEGA")</f>
        <v>REGGIE BORROMEO VEGA</v>
      </c>
      <c r="I2448" s="1">
        <f>IFERROR(__xludf.DUMMYFUNCTION("""COMPUTED_VALUE"""),9271744983)</f>
        <v>9271744983</v>
      </c>
      <c r="J2448" s="1">
        <f>IFERROR(__xludf.DUMMYFUNCTION("""COMPUTED_VALUE"""),9762443572)</f>
        <v>9762443572</v>
      </c>
      <c r="K2448" s="1" t="str">
        <f>IFERROR(__xludf.DUMMYFUNCTION("""COMPUTED_VALUE"""),"vegareika@gmail.com")</f>
        <v>vegareika@gmail.com</v>
      </c>
      <c r="L2448" s="1" t="str">
        <f>IFERROR(__xludf.DUMMYFUNCTION("""COMPUTED_VALUE"""),"115")</f>
        <v>115</v>
      </c>
      <c r="M2448" s="1" t="str">
        <f>IFERROR(__xludf.DUMMYFUNCTION("""COMPUTED_VALUE"""),"ALFONSO ")</f>
        <v>ALFONSO </v>
      </c>
      <c r="N2448" s="1"/>
      <c r="O2448" s="1" t="str">
        <f>IFERROR(__xludf.DUMMYFUNCTION("""COMPUTED_VALUE"""),"GALICIA II")</f>
        <v>GALICIA II</v>
      </c>
      <c r="P2448" s="1" t="str">
        <f>IFERROR(__xludf.DUMMYFUNCTION("""COMPUTED_VALUE"""),"MENDEZ")</f>
        <v>MENDEZ</v>
      </c>
      <c r="Q2448" s="1" t="str">
        <f>IFERROR(__xludf.DUMMYFUNCTION("""COMPUTED_VALUE"""),"CAVITE")</f>
        <v>CAVITE</v>
      </c>
      <c r="R2448" s="1" t="str">
        <f>IFERROR(__xludf.DUMMYFUNCTION("""COMPUTED_VALUE"""),"FIBR UNLI ALL PLAN 1399")</f>
        <v>FIBR UNLI ALL PLAN 1399</v>
      </c>
      <c r="S2448" s="1" t="str">
        <f>IFERROR(__xludf.DUMMYFUNCTION("""COMPUTED_VALUE"""),"APPROVED")</f>
        <v>APPROVED</v>
      </c>
      <c r="T2448" s="1" t="str">
        <f>IFERROR(__xludf.DUMMYFUNCTION("""COMPUTED_VALUE"""),"CLOSED")</f>
        <v>CLOSED</v>
      </c>
      <c r="U2448" s="1" t="str">
        <f>IFERROR(__xludf.DUMMYFUNCTION("""COMPUTED_VALUE"""),"POSTED")</f>
        <v>POSTED</v>
      </c>
      <c r="V2448" s="1"/>
      <c r="W2448" s="1"/>
    </row>
    <row r="2449" customHeight="1" spans="1:23">
      <c r="A2449" s="3">
        <f>IFERROR(__xludf.DUMMYFUNCTION("""COMPUTED_VALUE"""),46215)</f>
        <v>46215</v>
      </c>
      <c r="B2449" s="1" t="str">
        <f>IFERROR(__xludf.DUMMYFUNCTION("""COMPUTED_VALUE"""),"FRANCISCO , ROSELYN")</f>
        <v>FRANCISCO , ROSELYN</v>
      </c>
      <c r="C2449" s="1" t="str">
        <f>IFERROR(__xludf.DUMMYFUNCTION("""COMPUTED_VALUE"""),"ORGANIC")</f>
        <v>ORGANIC</v>
      </c>
      <c r="D2449" s="1" t="str">
        <f>IFERROR(__xludf.DUMMYFUNCTION("""COMPUTED_VALUE"""),"REMOLLO LEA")</f>
        <v>REMOLLO LEA</v>
      </c>
      <c r="E2449" s="1" t="str">
        <f>IFERROR(__xludf.DUMMYFUNCTION("""COMPUTED_VALUE"""),"PLDT / ONLINE")</f>
        <v>PLDT / ONLINE</v>
      </c>
      <c r="F2449" s="1">
        <f>IFERROR(__xludf.DUMMYFUNCTION("""COMPUTED_VALUE"""),2310917565)</f>
        <v>2310917565</v>
      </c>
      <c r="G2449" s="1">
        <f>IFERROR(__xludf.DUMMYFUNCTION("""COMPUTED_VALUE"""),462292314004)</f>
        <v>462292314004</v>
      </c>
      <c r="H2449" s="1" t="str">
        <f>IFERROR(__xludf.DUMMYFUNCTION("""COMPUTED_VALUE"""),"STEPHEN CHLAY FHORD ROSALES GARCIA")</f>
        <v>STEPHEN CHLAY FHORD ROSALES GARCIA</v>
      </c>
      <c r="I2449" s="1">
        <f>IFERROR(__xludf.DUMMYFUNCTION("""COMPUTED_VALUE"""),9095894430)</f>
        <v>9095894430</v>
      </c>
      <c r="J2449" s="1">
        <f>IFERROR(__xludf.DUMMYFUNCTION("""COMPUTED_VALUE"""),9459719931)</f>
        <v>9459719931</v>
      </c>
      <c r="K2449" s="1" t="str">
        <f>IFERROR(__xludf.DUMMYFUNCTION("""COMPUTED_VALUE"""),"zacariasnicole4@gmail.com")</f>
        <v>zacariasnicole4@gmail.com</v>
      </c>
      <c r="L2449" s="1" t="str">
        <f>IFERROR(__xludf.DUMMYFUNCTION("""COMPUTED_VALUE"""),"9687")</f>
        <v>9687</v>
      </c>
      <c r="M2449" s="1" t="str">
        <f>IFERROR(__xludf.DUMMYFUNCTION("""COMPUTED_VALUE"""),"STA ROSA RD")</f>
        <v>STA ROSA RD</v>
      </c>
      <c r="N2449" s="1"/>
      <c r="O2449" s="1" t="str">
        <f>IFERROR(__xludf.DUMMYFUNCTION("""COMPUTED_VALUE"""),"LUMIL")</f>
        <v>LUMIL</v>
      </c>
      <c r="P2449" s="1" t="str">
        <f>IFERROR(__xludf.DUMMYFUNCTION("""COMPUTED_VALUE"""),"SILANG")</f>
        <v>SILANG</v>
      </c>
      <c r="Q2449" s="1" t="str">
        <f>IFERROR(__xludf.DUMMYFUNCTION("""COMPUTED_VALUE"""),"CAVITE")</f>
        <v>CAVITE</v>
      </c>
      <c r="R2449" s="1" t="str">
        <f>IFERROR(__xludf.DUMMYFUNCTION("""COMPUTED_VALUE"""),"FIBR UNLI ALL PLAN 999")</f>
        <v>FIBR UNLI ALL PLAN 999</v>
      </c>
      <c r="S2449" s="1" t="str">
        <f>IFERROR(__xludf.DUMMYFUNCTION("""COMPUTED_VALUE"""),"APPROVED")</f>
        <v>APPROVED</v>
      </c>
      <c r="T2449" s="1" t="str">
        <f>IFERROR(__xludf.DUMMYFUNCTION("""COMPUTED_VALUE"""),"RPR")</f>
        <v>RPR</v>
      </c>
      <c r="U2449" s="1"/>
      <c r="V2449" s="1"/>
      <c r="W2449" s="1"/>
    </row>
    <row r="2450" customHeight="1" spans="1:23">
      <c r="A2450" s="3">
        <f>IFERROR(__xludf.DUMMYFUNCTION("""COMPUTED_VALUE"""),46215)</f>
        <v>46215</v>
      </c>
      <c r="B2450" s="1" t="str">
        <f>IFERROR(__xludf.DUMMYFUNCTION("""COMPUTED_VALUE"""),"RIVERA, AIRIZH JOY")</f>
        <v>RIVERA, AIRIZH JOY</v>
      </c>
      <c r="C2450" s="1" t="str">
        <f>IFERROR(__xludf.DUMMYFUNCTION("""COMPUTED_VALUE"""),"ORGANIC")</f>
        <v>ORGANIC</v>
      </c>
      <c r="D2450" s="1" t="str">
        <f>IFERROR(__xludf.DUMMYFUNCTION("""COMPUTED_VALUE"""),"REMOLLO LEA")</f>
        <v>REMOLLO LEA</v>
      </c>
      <c r="E2450" s="1" t="str">
        <f>IFERROR(__xludf.DUMMYFUNCTION("""COMPUTED_VALUE"""),"PLDT / ONLINE")</f>
        <v>PLDT / ONLINE</v>
      </c>
      <c r="F2450" s="1">
        <f>IFERROR(__xludf.DUMMYFUNCTION("""COMPUTED_VALUE"""),2310918815)</f>
        <v>2310918815</v>
      </c>
      <c r="G2450" s="1">
        <f>IFERROR(__xludf.DUMMYFUNCTION("""COMPUTED_VALUE"""),462294508004)</f>
        <v>462294508004</v>
      </c>
      <c r="H2450" s="1" t="str">
        <f>IFERROR(__xludf.DUMMYFUNCTION("""COMPUTED_VALUE"""),"ZMED RICK ABESIA INTING")</f>
        <v>ZMED RICK ABESIA INTING</v>
      </c>
      <c r="I2450" s="1">
        <f>IFERROR(__xludf.DUMMYFUNCTION("""COMPUTED_VALUE"""),9929146205)</f>
        <v>9929146205</v>
      </c>
      <c r="J2450" s="1"/>
      <c r="K2450" s="1" t="str">
        <f>IFERROR(__xludf.DUMMYFUNCTION("""COMPUTED_VALUE"""),"kaejianna@gmail.com")</f>
        <v>kaejianna@gmail.com</v>
      </c>
      <c r="L2450" s="1" t="str">
        <f>IFERROR(__xludf.DUMMYFUNCTION("""COMPUTED_VALUE"""),"BLK 5 LOT 21")</f>
        <v>BLK 5 LOT 21</v>
      </c>
      <c r="M2450" s="1" t="str">
        <f>IFERROR(__xludf.DUMMYFUNCTION("""COMPUTED_VALUE"""),"GENEVA")</f>
        <v>GENEVA</v>
      </c>
      <c r="N2450" s="1"/>
      <c r="O2450" s="1" t="str">
        <f>IFERROR(__xludf.DUMMYFUNCTION("""COMPUTED_VALUE"""),"SALAWAG")</f>
        <v>SALAWAG</v>
      </c>
      <c r="P2450" s="1" t="str">
        <f>IFERROR(__xludf.DUMMYFUNCTION("""COMPUTED_VALUE"""),"DASMARINAS")</f>
        <v>DASMARINAS</v>
      </c>
      <c r="Q2450" s="1" t="str">
        <f>IFERROR(__xludf.DUMMYFUNCTION("""COMPUTED_VALUE"""),"CAVITE")</f>
        <v>CAVITE</v>
      </c>
      <c r="R2450" s="1" t="str">
        <f>IFERROR(__xludf.DUMMYFUNCTION("""COMPUTED_VALUE"""),"FIBR NETFLIX PLAN 1599")</f>
        <v>FIBR NETFLIX PLAN 1599</v>
      </c>
      <c r="S2450" s="1" t="str">
        <f>IFERROR(__xludf.DUMMYFUNCTION("""COMPUTED_VALUE"""),"APPROVED")</f>
        <v>APPROVED</v>
      </c>
      <c r="T2450" s="1" t="str">
        <f>IFERROR(__xludf.DUMMYFUNCTION("""COMPUTED_VALUE"""),"CANCELLED")</f>
        <v>CANCELLED</v>
      </c>
      <c r="U2450" s="1"/>
      <c r="V2450" s="1"/>
      <c r="W2450" s="1"/>
    </row>
    <row r="2451" customHeight="1" spans="1:23">
      <c r="A2451" s="3">
        <f>IFERROR(__xludf.DUMMYFUNCTION("""COMPUTED_VALUE"""),46215)</f>
        <v>46215</v>
      </c>
      <c r="B2451" s="1" t="str">
        <f>IFERROR(__xludf.DUMMYFUNCTION("""COMPUTED_VALUE"""),"FRANCISCO , ROSELYN")</f>
        <v>FRANCISCO , ROSELYN</v>
      </c>
      <c r="C2451" s="1" t="str">
        <f>IFERROR(__xludf.DUMMYFUNCTION("""COMPUTED_VALUE"""),"ORGANIC")</f>
        <v>ORGANIC</v>
      </c>
      <c r="D2451" s="1" t="str">
        <f>IFERROR(__xludf.DUMMYFUNCTION("""COMPUTED_VALUE"""),"REMOLLO LEA")</f>
        <v>REMOLLO LEA</v>
      </c>
      <c r="E2451" s="1" t="str">
        <f>IFERROR(__xludf.DUMMYFUNCTION("""COMPUTED_VALUE"""),"PLDT / H2H")</f>
        <v>PLDT / H2H</v>
      </c>
      <c r="F2451" s="1">
        <f>IFERROR(__xludf.DUMMYFUNCTION("""COMPUTED_VALUE"""),2310922581)</f>
        <v>2310922581</v>
      </c>
      <c r="G2451" s="1">
        <f>IFERROR(__xludf.DUMMYFUNCTION("""COMPUTED_VALUE"""),462299382004)</f>
        <v>462299382004</v>
      </c>
      <c r="H2451" s="1" t="str">
        <f>IFERROR(__xludf.DUMMYFUNCTION("""COMPUTED_VALUE"""),"RICA LEANO LORENIO")</f>
        <v>RICA LEANO LORENIO</v>
      </c>
      <c r="I2451" s="1">
        <f>IFERROR(__xludf.DUMMYFUNCTION("""COMPUTED_VALUE"""),9957206322)</f>
        <v>9957206322</v>
      </c>
      <c r="J2451" s="1"/>
      <c r="K2451" s="1" t="str">
        <f>IFERROR(__xludf.DUMMYFUNCTION("""COMPUTED_VALUE"""),"ricalorenio3@gmail.com")</f>
        <v>ricalorenio3@gmail.com</v>
      </c>
      <c r="L2451" s="1" t="str">
        <f>IFERROR(__xludf.DUMMYFUNCTION("""COMPUTED_VALUE"""),"97")</f>
        <v>97</v>
      </c>
      <c r="M2451" s="1" t="str">
        <f>IFERROR(__xludf.DUMMYFUNCTION("""COMPUTED_VALUE"""),"MACOPA")</f>
        <v>MACOPA</v>
      </c>
      <c r="N2451" s="1"/>
      <c r="O2451" s="1" t="str">
        <f>IFERROR(__xludf.DUMMYFUNCTION("""COMPUTED_VALUE"""),"BARANGAY 2 POBLACION")</f>
        <v>BARANGAY 2 POBLACION</v>
      </c>
      <c r="P2451" s="1" t="str">
        <f>IFERROR(__xludf.DUMMYFUNCTION("""COMPUTED_VALUE"""),"GEN MARIANO ALVAREZ")</f>
        <v>GEN MARIANO ALVAREZ</v>
      </c>
      <c r="Q2451" s="1" t="str">
        <f>IFERROR(__xludf.DUMMYFUNCTION("""COMPUTED_VALUE"""),"CAVITE")</f>
        <v>CAVITE</v>
      </c>
      <c r="R2451" s="1" t="str">
        <f>IFERROR(__xludf.DUMMYFUNCTION("""COMPUTED_VALUE"""),"FIBR UNLI ALL PLAN 999")</f>
        <v>FIBR UNLI ALL PLAN 999</v>
      </c>
      <c r="S2451" s="1" t="str">
        <f>IFERROR(__xludf.DUMMYFUNCTION("""COMPUTED_VALUE"""),"APPROVED")</f>
        <v>APPROVED</v>
      </c>
      <c r="T2451" s="1" t="str">
        <f>IFERROR(__xludf.DUMMYFUNCTION("""COMPUTED_VALUE"""),"CLOSED")</f>
        <v>CLOSED</v>
      </c>
      <c r="U2451" s="1" t="str">
        <f>IFERROR(__xludf.DUMMYFUNCTION("""COMPUTED_VALUE"""),"POSTED")</f>
        <v>POSTED</v>
      </c>
      <c r="V2451" s="1"/>
      <c r="W2451" s="1"/>
    </row>
    <row r="2452" customHeight="1" spans="1:23">
      <c r="A2452" s="3">
        <f>IFERROR(__xludf.DUMMYFUNCTION("""COMPUTED_VALUE"""),46215)</f>
        <v>46215</v>
      </c>
      <c r="B2452" s="1" t="str">
        <f>IFERROR(__xludf.DUMMYFUNCTION("""COMPUTED_VALUE"""),"RIVERA, AIRIZH JOY")</f>
        <v>RIVERA, AIRIZH JOY</v>
      </c>
      <c r="C2452" s="1" t="str">
        <f>IFERROR(__xludf.DUMMYFUNCTION("""COMPUTED_VALUE"""),"ORGANIC")</f>
        <v>ORGANIC</v>
      </c>
      <c r="D2452" s="1" t="str">
        <f>IFERROR(__xludf.DUMMYFUNCTION("""COMPUTED_VALUE"""),"REMOLLO LEA")</f>
        <v>REMOLLO LEA</v>
      </c>
      <c r="E2452" s="1" t="str">
        <f>IFERROR(__xludf.DUMMYFUNCTION("""COMPUTED_VALUE"""),"PLDT / H2H")</f>
        <v>PLDT / H2H</v>
      </c>
      <c r="F2452" s="1">
        <f>IFERROR(__xludf.DUMMYFUNCTION("""COMPUTED_VALUE"""),2310922986)</f>
        <v>2310922986</v>
      </c>
      <c r="G2452" s="1"/>
      <c r="H2452" s="1" t="str">
        <f>IFERROR(__xludf.DUMMYFUNCTION("""COMPUTED_VALUE"""),"MARY GRACE JUBELEA ANARETA")</f>
        <v>MARY GRACE JUBELEA ANARETA</v>
      </c>
      <c r="I2452" s="1">
        <f>IFERROR(__xludf.DUMMYFUNCTION("""COMPUTED_VALUE"""),9922109843)</f>
        <v>9922109843</v>
      </c>
      <c r="J2452" s="1"/>
      <c r="K2452" s="1" t="str">
        <f>IFERROR(__xludf.DUMMYFUNCTION("""COMPUTED_VALUE"""),"marygraceanareta@yahoo.com")</f>
        <v>marygraceanareta@yahoo.com</v>
      </c>
      <c r="L2452" s="1" t="str">
        <f>IFERROR(__xludf.DUMMYFUNCTION("""COMPUTED_VALUE"""),"BLK 15 LOT 17")</f>
        <v>BLK 15 LOT 17</v>
      </c>
      <c r="M2452" s="1" t="str">
        <f>IFERROR(__xludf.DUMMYFUNCTION("""COMPUTED_VALUE"""),"ILO ILO")</f>
        <v>ILO ILO</v>
      </c>
      <c r="N2452" s="1"/>
      <c r="O2452" s="1" t="str">
        <f>IFERROR(__xludf.DUMMYFUNCTION("""COMPUTED_VALUE"""),"FRANCISCO REYES")</f>
        <v>FRANCISCO REYES</v>
      </c>
      <c r="P2452" s="1" t="str">
        <f>IFERROR(__xludf.DUMMYFUNCTION("""COMPUTED_VALUE"""),"GEN MARIANO ALVAREZ")</f>
        <v>GEN MARIANO ALVAREZ</v>
      </c>
      <c r="Q2452" s="1" t="str">
        <f>IFERROR(__xludf.DUMMYFUNCTION("""COMPUTED_VALUE"""),"CAVITE")</f>
        <v>CAVITE</v>
      </c>
      <c r="R2452" s="1" t="str">
        <f>IFERROR(__xludf.DUMMYFUNCTION("""COMPUTED_VALUE"""),"FIBR UNLI ALL PLAN 999")</f>
        <v>FIBR UNLI ALL PLAN 999</v>
      </c>
      <c r="S2452" s="1" t="str">
        <f>IFERROR(__xludf.DUMMYFUNCTION("""COMPUTED_VALUE"""),"APPROVED")</f>
        <v>APPROVED</v>
      </c>
      <c r="T2452" s="1" t="str">
        <f>IFERROR(__xludf.DUMMYFUNCTION("""COMPUTED_VALUE"""),"CANCELLED")</f>
        <v>CANCELLED</v>
      </c>
      <c r="U2452" s="1"/>
      <c r="V2452" s="1"/>
      <c r="W2452" s="1"/>
    </row>
    <row r="2453" customHeight="1" spans="1:23">
      <c r="A2453" s="3">
        <f>IFERROR(__xludf.DUMMYFUNCTION("""COMPUTED_VALUE"""),46216)</f>
        <v>46216</v>
      </c>
      <c r="B2453" s="1" t="str">
        <f>IFERROR(__xludf.DUMMYFUNCTION("""COMPUTED_VALUE"""),"MALIWAT MARK ELVIN")</f>
        <v>MALIWAT MARK ELVIN</v>
      </c>
      <c r="C2453" s="1" t="str">
        <f>IFERROR(__xludf.DUMMYFUNCTION("""COMPUTED_VALUE"""),"FLA")</f>
        <v>FLA</v>
      </c>
      <c r="D2453" s="1" t="str">
        <f>IFERROR(__xludf.DUMMYFUNCTION("""COMPUTED_VALUE"""),"JERIC NAVARRO")</f>
        <v>JERIC NAVARRO</v>
      </c>
      <c r="E2453" s="1" t="str">
        <f>IFERROR(__xludf.DUMMYFUNCTION("""COMPUTED_VALUE"""),"PLDT / ONLINE")</f>
        <v>PLDT / ONLINE</v>
      </c>
      <c r="F2453" s="1">
        <f>IFERROR(__xludf.DUMMYFUNCTION("""COMPUTED_VALUE"""),2310935762)</f>
        <v>2310935762</v>
      </c>
      <c r="G2453" s="1">
        <f>IFERROR(__xludf.DUMMYFUNCTION("""COMPUTED_VALUE"""),462407903004)</f>
        <v>462407903004</v>
      </c>
      <c r="H2453" s="1" t="str">
        <f>IFERROR(__xludf.DUMMYFUNCTION("""COMPUTED_VALUE"""),"ARLIZ SALDARIGA LUIB")</f>
        <v>ARLIZ SALDARIGA LUIB</v>
      </c>
      <c r="I2453" s="1">
        <f>IFERROR(__xludf.DUMMYFUNCTION("""COMPUTED_VALUE"""),9946163352)</f>
        <v>9946163352</v>
      </c>
      <c r="J2453" s="1">
        <f>IFERROR(__xludf.DUMMYFUNCTION("""COMPUTED_VALUE"""),9613991335)</f>
        <v>9613991335</v>
      </c>
      <c r="K2453" s="1" t="str">
        <f>IFERROR(__xludf.DUMMYFUNCTION("""COMPUTED_VALUE"""),"arlizluib63@gmail.com")</f>
        <v>arlizluib63@gmail.com</v>
      </c>
      <c r="L2453" s="1" t="str">
        <f>IFERROR(__xludf.DUMMYFUNCTION("""COMPUTED_VALUE"""),"942-22")</f>
        <v>942-22</v>
      </c>
      <c r="M2453" s="1" t="str">
        <f>IFERROR(__xludf.DUMMYFUNCTION("""COMPUTED_VALUE"""),"SAN AGUSTIN ")</f>
        <v>SAN AGUSTIN </v>
      </c>
      <c r="N2453" s="1"/>
      <c r="O2453" s="1" t="str">
        <f>IFERROR(__xludf.DUMMYFUNCTION("""COMPUTED_VALUE"""),"BIWAS")</f>
        <v>BIWAS</v>
      </c>
      <c r="P2453" s="1" t="str">
        <f>IFERROR(__xludf.DUMMYFUNCTION("""COMPUTED_VALUE"""),"TANZA")</f>
        <v>TANZA</v>
      </c>
      <c r="Q2453" s="1" t="str">
        <f>IFERROR(__xludf.DUMMYFUNCTION("""COMPUTED_VALUE"""),"CAVITE")</f>
        <v>CAVITE</v>
      </c>
      <c r="R2453" s="1" t="str">
        <f>IFERROR(__xludf.DUMMYFUNCTION("""COMPUTED_VALUE"""),"FIBR UNLI ALL PLAN 1399")</f>
        <v>FIBR UNLI ALL PLAN 1399</v>
      </c>
      <c r="S2453" s="1" t="str">
        <f>IFERROR(__xludf.DUMMYFUNCTION("""COMPUTED_VALUE"""),"APPROVED")</f>
        <v>APPROVED</v>
      </c>
      <c r="T2453" s="1" t="str">
        <f>IFERROR(__xludf.DUMMYFUNCTION("""COMPUTED_VALUE"""),"CLOSED")</f>
        <v>CLOSED</v>
      </c>
      <c r="U2453" s="1" t="str">
        <f>IFERROR(__xludf.DUMMYFUNCTION("""COMPUTED_VALUE"""),"POSTED")</f>
        <v>POSTED</v>
      </c>
      <c r="V2453" s="1"/>
      <c r="W2453" s="1"/>
    </row>
    <row r="2454" customHeight="1" spans="1:23">
      <c r="A2454" s="3">
        <f>IFERROR(__xludf.DUMMYFUNCTION("""COMPUTED_VALUE"""),46216)</f>
        <v>46216</v>
      </c>
      <c r="B2454" s="1" t="str">
        <f>IFERROR(__xludf.DUMMYFUNCTION("""COMPUTED_VALUE"""),"REMOLLO, LEA")</f>
        <v>REMOLLO, LEA</v>
      </c>
      <c r="C2454" s="1" t="str">
        <f>IFERROR(__xludf.DUMMYFUNCTION("""COMPUTED_VALUE"""),"FLA")</f>
        <v>FLA</v>
      </c>
      <c r="D2454" s="1" t="str">
        <f>IFERROR(__xludf.DUMMYFUNCTION("""COMPUTED_VALUE"""),"JERIC NAVARRO")</f>
        <v>JERIC NAVARRO</v>
      </c>
      <c r="E2454" s="1" t="str">
        <f>IFERROR(__xludf.DUMMYFUNCTION("""COMPUTED_VALUE"""),"PLDT / ONLINE")</f>
        <v>PLDT / ONLINE</v>
      </c>
      <c r="F2454" s="1">
        <f>IFERROR(__xludf.DUMMYFUNCTION("""COMPUTED_VALUE"""),2310937463)</f>
        <v>2310937463</v>
      </c>
      <c r="G2454" s="1">
        <f>IFERROR(__xludf.DUMMYFUNCTION("""COMPUTED_VALUE"""),462409248004)</f>
        <v>462409248004</v>
      </c>
      <c r="H2454" s="1" t="str">
        <f>IFERROR(__xludf.DUMMYFUNCTION("""COMPUTED_VALUE"""),"NORAEMA H SALIC BARAACAL")</f>
        <v>NORAEMA H SALIC BARAACAL</v>
      </c>
      <c r="I2454" s="1">
        <f>IFERROR(__xludf.DUMMYFUNCTION("""COMPUTED_VALUE"""),9465607416)</f>
        <v>9465607416</v>
      </c>
      <c r="J2454" s="1"/>
      <c r="K2454" s="1" t="str">
        <f>IFERROR(__xludf.DUMMYFUNCTION("""COMPUTED_VALUE"""),"noraemabaraacal05@gmail.com")</f>
        <v>noraemabaraacal05@gmail.com</v>
      </c>
      <c r="L2454" s="1" t="str">
        <f>IFERROR(__xludf.DUMMYFUNCTION("""COMPUTED_VALUE"""),"64")</f>
        <v>64</v>
      </c>
      <c r="M2454" s="1" t="str">
        <f>IFERROR(__xludf.DUMMYFUNCTION("""COMPUTED_VALUE"""),"ZONE 7")</f>
        <v>ZONE 7</v>
      </c>
      <c r="N2454" s="1"/>
      <c r="O2454" s="1" t="str">
        <f>IFERROR(__xludf.DUMMYFUNCTION("""COMPUTED_VALUE"""),"BULIHAN")</f>
        <v>BULIHAN</v>
      </c>
      <c r="P2454" s="1" t="str">
        <f>IFERROR(__xludf.DUMMYFUNCTION("""COMPUTED_VALUE"""),"SILANG")</f>
        <v>SILANG</v>
      </c>
      <c r="Q2454" s="1" t="str">
        <f>IFERROR(__xludf.DUMMYFUNCTION("""COMPUTED_VALUE"""),"CAVITE")</f>
        <v>CAVITE</v>
      </c>
      <c r="R2454" s="1" t="str">
        <f>IFERROR(__xludf.DUMMYFUNCTION("""COMPUTED_VALUE"""),"FIBR UNLI ALL PLAN 1399")</f>
        <v>FIBR UNLI ALL PLAN 1399</v>
      </c>
      <c r="S2454" s="1" t="str">
        <f>IFERROR(__xludf.DUMMYFUNCTION("""COMPUTED_VALUE"""),"APPROVED")</f>
        <v>APPROVED</v>
      </c>
      <c r="T2454" s="1" t="str">
        <f>IFERROR(__xludf.DUMMYFUNCTION("""COMPUTED_VALUE"""),"CLOSED")</f>
        <v>CLOSED</v>
      </c>
      <c r="U2454" s="1" t="str">
        <f>IFERROR(__xludf.DUMMYFUNCTION("""COMPUTED_VALUE"""),"POSTED")</f>
        <v>POSTED</v>
      </c>
      <c r="V2454" s="1"/>
      <c r="W2454" s="1"/>
    </row>
    <row r="2455" customHeight="1" spans="1:23">
      <c r="A2455" s="3">
        <f>IFERROR(__xludf.DUMMYFUNCTION("""COMPUTED_VALUE"""),46216)</f>
        <v>46216</v>
      </c>
      <c r="B2455" s="1" t="str">
        <f>IFERROR(__xludf.DUMMYFUNCTION("""COMPUTED_VALUE"""),"MALIWAT MARK ELVIN")</f>
        <v>MALIWAT MARK ELVIN</v>
      </c>
      <c r="C2455" s="1" t="str">
        <f>IFERROR(__xludf.DUMMYFUNCTION("""COMPUTED_VALUE"""),"FLA")</f>
        <v>FLA</v>
      </c>
      <c r="D2455" s="1" t="str">
        <f>IFERROR(__xludf.DUMMYFUNCTION("""COMPUTED_VALUE"""),"JERIC NAVARRO")</f>
        <v>JERIC NAVARRO</v>
      </c>
      <c r="E2455" s="1" t="str">
        <f>IFERROR(__xludf.DUMMYFUNCTION("""COMPUTED_VALUE"""),"PLDT / ONLINE")</f>
        <v>PLDT / ONLINE</v>
      </c>
      <c r="F2455" s="1">
        <f>IFERROR(__xludf.DUMMYFUNCTION("""COMPUTED_VALUE"""),2310934748)</f>
        <v>2310934748</v>
      </c>
      <c r="G2455" s="1">
        <f>IFERROR(__xludf.DUMMYFUNCTION("""COMPUTED_VALUE"""),462407882004)</f>
        <v>462407882004</v>
      </c>
      <c r="H2455" s="1" t="str">
        <f>IFERROR(__xludf.DUMMYFUNCTION("""COMPUTED_VALUE"""),"EUNICE ROBIATO ARCIAGA")</f>
        <v>EUNICE ROBIATO ARCIAGA</v>
      </c>
      <c r="I2455" s="1">
        <f>IFERROR(__xludf.DUMMYFUNCTION("""COMPUTED_VALUE"""),9685558893)</f>
        <v>9685558893</v>
      </c>
      <c r="J2455" s="1"/>
      <c r="K2455" s="1" t="str">
        <f>IFERROR(__xludf.DUMMYFUNCTION("""COMPUTED_VALUE"""),"euroarciaga@gmail.com")</f>
        <v>euroarciaga@gmail.com</v>
      </c>
      <c r="L2455" s="1" t="str">
        <f>IFERROR(__xludf.DUMMYFUNCTION("""COMPUTED_VALUE"""),"BLK 3 LOT 6")</f>
        <v>BLK 3 LOT 6</v>
      </c>
      <c r="M2455" s="1" t="str">
        <f>IFERROR(__xludf.DUMMYFUNCTION("""COMPUTED_VALUE"""),"BUKLURAN 1")</f>
        <v>BUKLURAN 1</v>
      </c>
      <c r="N2455" s="1"/>
      <c r="O2455" s="1" t="str">
        <f>IFERROR(__xludf.DUMMYFUNCTION("""COMPUTED_VALUE"""),"BULIHAN")</f>
        <v>BULIHAN</v>
      </c>
      <c r="P2455" s="1" t="str">
        <f>IFERROR(__xludf.DUMMYFUNCTION("""COMPUTED_VALUE"""),"SILANG")</f>
        <v>SILANG</v>
      </c>
      <c r="Q2455" s="1" t="str">
        <f>IFERROR(__xludf.DUMMYFUNCTION("""COMPUTED_VALUE"""),"CAVITE")</f>
        <v>CAVITE</v>
      </c>
      <c r="R2455" s="1" t="str">
        <f>IFERROR(__xludf.DUMMYFUNCTION("""COMPUTED_VALUE"""),"FIBR UNLI ALL PLAN 1399")</f>
        <v>FIBR UNLI ALL PLAN 1399</v>
      </c>
      <c r="S2455" s="1" t="str">
        <f>IFERROR(__xludf.DUMMYFUNCTION("""COMPUTED_VALUE"""),"APPROVED")</f>
        <v>APPROVED</v>
      </c>
      <c r="T2455" s="1" t="str">
        <f>IFERROR(__xludf.DUMMYFUNCTION("""COMPUTED_VALUE"""),"CLOSED")</f>
        <v>CLOSED</v>
      </c>
      <c r="U2455" s="1" t="str">
        <f>IFERROR(__xludf.DUMMYFUNCTION("""COMPUTED_VALUE"""),"POSTED")</f>
        <v>POSTED</v>
      </c>
      <c r="V2455" s="1"/>
      <c r="W2455" s="1"/>
    </row>
    <row r="2456" customHeight="1" spans="1:23">
      <c r="A2456" s="3">
        <f>IFERROR(__xludf.DUMMYFUNCTION("""COMPUTED_VALUE"""),46216)</f>
        <v>46216</v>
      </c>
      <c r="B2456" s="1" t="str">
        <f>IFERROR(__xludf.DUMMYFUNCTION("""COMPUTED_VALUE"""),"LEADSTORE - ILANO, LIANDRO TEJAS")</f>
        <v>LEADSTORE - ILANO, LIANDRO TEJAS</v>
      </c>
      <c r="C2456" s="1" t="str">
        <f>IFERROR(__xludf.DUMMYFUNCTION("""COMPUTED_VALUE"""),"FLA")</f>
        <v>FLA</v>
      </c>
      <c r="D2456" s="1" t="str">
        <f>IFERROR(__xludf.DUMMYFUNCTION("""COMPUTED_VALUE"""),"JERIC NAVARRO")</f>
        <v>JERIC NAVARRO</v>
      </c>
      <c r="E2456" s="1" t="str">
        <f>IFERROR(__xludf.DUMMYFUNCTION("""COMPUTED_VALUE"""),"PLDT / ONLINE")</f>
        <v>PLDT / ONLINE</v>
      </c>
      <c r="F2456" s="1">
        <f>IFERROR(__xludf.DUMMYFUNCTION("""COMPUTED_VALUE"""),2310933407)</f>
        <v>2310933407</v>
      </c>
      <c r="G2456" s="1"/>
      <c r="H2456" s="1" t="str">
        <f>IFERROR(__xludf.DUMMYFUNCTION("""COMPUTED_VALUE"""),"ALLIAH MAE SARIMOS MENDOZA")</f>
        <v>ALLIAH MAE SARIMOS MENDOZA</v>
      </c>
      <c r="I2456" s="1">
        <f>IFERROR(__xludf.DUMMYFUNCTION("""COMPUTED_VALUE"""),9184710638)</f>
        <v>9184710638</v>
      </c>
      <c r="J2456" s="1">
        <f>IFERROR(__xludf.DUMMYFUNCTION("""COMPUTED_VALUE"""),9184710638)</f>
        <v>9184710638</v>
      </c>
      <c r="K2456" s="1" t="str">
        <f>IFERROR(__xludf.DUMMYFUNCTION("""COMPUTED_VALUE"""),"alliahmae0528@gmail.com")</f>
        <v>alliahmae0528@gmail.com</v>
      </c>
      <c r="L2456" s="1" t="str">
        <f>IFERROR(__xludf.DUMMYFUNCTION("""COMPUTED_VALUE"""),"79")</f>
        <v>79</v>
      </c>
      <c r="M2456" s="1" t="str">
        <f>IFERROR(__xludf.DUMMYFUNCTION("""COMPUTED_VALUE"""),"DON PLACIDO CAMPOS")</f>
        <v>DON PLACIDO CAMPOS</v>
      </c>
      <c r="N2456" s="1"/>
      <c r="O2456" s="1" t="str">
        <f>IFERROR(__xludf.DUMMYFUNCTION("""COMPUTED_VALUE"""),"ZONE III (POB.)")</f>
        <v>ZONE III (POB.)</v>
      </c>
      <c r="P2456" s="1" t="str">
        <f>IFERROR(__xludf.DUMMYFUNCTION("""COMPUTED_VALUE"""),"DASMARINAS")</f>
        <v>DASMARINAS</v>
      </c>
      <c r="Q2456" s="1" t="str">
        <f>IFERROR(__xludf.DUMMYFUNCTION("""COMPUTED_VALUE"""),"CAVITE")</f>
        <v>CAVITE</v>
      </c>
      <c r="R2456" s="1" t="str">
        <f>IFERROR(__xludf.DUMMYFUNCTION("""COMPUTED_VALUE"""),"FIBR PLAN 1699")</f>
        <v>FIBR PLAN 1699</v>
      </c>
      <c r="S2456" s="1" t="str">
        <f>IFERROR(__xludf.DUMMYFUNCTION("""COMPUTED_VALUE"""),"APPROVED")</f>
        <v>APPROVED</v>
      </c>
      <c r="T2456" s="1" t="str">
        <f>IFERROR(__xludf.DUMMYFUNCTION("""COMPUTED_VALUE"""),"CANCELLED")</f>
        <v>CANCELLED</v>
      </c>
      <c r="U2456" s="1"/>
      <c r="V2456" s="1"/>
      <c r="W2456" s="1"/>
    </row>
    <row r="2457" customHeight="1" spans="1:23">
      <c r="A2457" s="3">
        <f>IFERROR(__xludf.DUMMYFUNCTION("""COMPUTED_VALUE"""),46216)</f>
        <v>46216</v>
      </c>
      <c r="B2457" s="1" t="str">
        <f>IFERROR(__xludf.DUMMYFUNCTION("""COMPUTED_VALUE"""),"FRANCISCO , ROSELYN")</f>
        <v>FRANCISCO , ROSELYN</v>
      </c>
      <c r="C2457" s="1" t="str">
        <f>IFERROR(__xludf.DUMMYFUNCTION("""COMPUTED_VALUE"""),"ORGANIC")</f>
        <v>ORGANIC</v>
      </c>
      <c r="D2457" s="1" t="str">
        <f>IFERROR(__xludf.DUMMYFUNCTION("""COMPUTED_VALUE"""),"REMOLLO LEA")</f>
        <v>REMOLLO LEA</v>
      </c>
      <c r="E2457" s="1" t="str">
        <f>IFERROR(__xludf.DUMMYFUNCTION("""COMPUTED_VALUE"""),"PLDT / ONLINE")</f>
        <v>PLDT / ONLINE</v>
      </c>
      <c r="F2457" s="1">
        <f>IFERROR(__xludf.DUMMYFUNCTION("""COMPUTED_VALUE"""),2310936534)</f>
        <v>2310936534</v>
      </c>
      <c r="G2457" s="1"/>
      <c r="H2457" s="1" t="str">
        <f>IFERROR(__xludf.DUMMYFUNCTION("""COMPUTED_VALUE"""),"JOSE RAMIL ANCERO SINANGOTE")</f>
        <v>JOSE RAMIL ANCERO SINANGOTE</v>
      </c>
      <c r="I2457" s="1">
        <f>IFERROR(__xludf.DUMMYFUNCTION("""COMPUTED_VALUE"""),9983083600)</f>
        <v>9983083600</v>
      </c>
      <c r="J2457" s="1">
        <f>IFERROR(__xludf.DUMMYFUNCTION("""COMPUTED_VALUE"""),9206762442)</f>
        <v>9206762442</v>
      </c>
      <c r="K2457" s="1" t="str">
        <f>IFERROR(__xludf.DUMMYFUNCTION("""COMPUTED_VALUE"""),"solayaorriza41@gmail.com")</f>
        <v>solayaorriza41@gmail.com</v>
      </c>
      <c r="L2457" s="1" t="str">
        <f>IFERROR(__xludf.DUMMYFUNCTION("""COMPUTED_VALUE"""),"BLK 183 LOT 28")</f>
        <v>BLK 183 LOT 28</v>
      </c>
      <c r="M2457" s="1" t="str">
        <f>IFERROR(__xludf.DUMMYFUNCTION("""COMPUTED_VALUE"""),"PHASE 1")</f>
        <v>PHASE 1</v>
      </c>
      <c r="N2457" s="1" t="str">
        <f>IFERROR(__xludf.DUMMYFUNCTION("""COMPUTED_VALUE"""),"MABUHAY CITY")</f>
        <v>MABUHAY CITY</v>
      </c>
      <c r="O2457" s="1" t="str">
        <f>IFERROR(__xludf.DUMMYFUNCTION("""COMPUTED_VALUE"""),"PALIPARAN III")</f>
        <v>PALIPARAN III</v>
      </c>
      <c r="P2457" s="1" t="str">
        <f>IFERROR(__xludf.DUMMYFUNCTION("""COMPUTED_VALUE"""),"DASMARINAS")</f>
        <v>DASMARINAS</v>
      </c>
      <c r="Q2457" s="1" t="str">
        <f>IFERROR(__xludf.DUMMYFUNCTION("""COMPUTED_VALUE"""),"CAVITE")</f>
        <v>CAVITE</v>
      </c>
      <c r="R2457" s="1" t="str">
        <f>IFERROR(__xludf.DUMMYFUNCTION("""COMPUTED_VALUE"""),"FIBR UNLI ALL PLAN 1399")</f>
        <v>FIBR UNLI ALL PLAN 1399</v>
      </c>
      <c r="S2457" s="1" t="str">
        <f>IFERROR(__xludf.DUMMYFUNCTION("""COMPUTED_VALUE"""),"APPROVED")</f>
        <v>APPROVED</v>
      </c>
      <c r="T2457" s="1" t="str">
        <f>IFERROR(__xludf.DUMMYFUNCTION("""COMPUTED_VALUE"""),"DISAPPROVED")</f>
        <v>DISAPPROVED</v>
      </c>
      <c r="U2457" s="1"/>
      <c r="V2457" s="1"/>
      <c r="W2457" s="1"/>
    </row>
    <row r="2458" customHeight="1" spans="1:23">
      <c r="A2458" s="3">
        <f>IFERROR(__xludf.DUMMYFUNCTION("""COMPUTED_VALUE"""),46216)</f>
        <v>46216</v>
      </c>
      <c r="B2458" s="1" t="str">
        <f>IFERROR(__xludf.DUMMYFUNCTION("""COMPUTED_VALUE"""),"DELA ROSA, JENNELYN")</f>
        <v>DELA ROSA, JENNELYN</v>
      </c>
      <c r="C2458" s="1" t="str">
        <f>IFERROR(__xludf.DUMMYFUNCTION("""COMPUTED_VALUE"""),"ORGANIC")</f>
        <v>ORGANIC</v>
      </c>
      <c r="D2458" s="1" t="str">
        <f>IFERROR(__xludf.DUMMYFUNCTION("""COMPUTED_VALUE"""),"REMOLLO LEA")</f>
        <v>REMOLLO LEA</v>
      </c>
      <c r="E2458" s="1" t="str">
        <f>IFERROR(__xludf.DUMMYFUNCTION("""COMPUTED_VALUE"""),"PLDT / H2H")</f>
        <v>PLDT / H2H</v>
      </c>
      <c r="F2458" s="1">
        <f>IFERROR(__xludf.DUMMYFUNCTION("""COMPUTED_VALUE"""),2310944603)</f>
        <v>2310944603</v>
      </c>
      <c r="G2458" s="1">
        <f>IFERROR(__xludf.DUMMYFUNCTION("""COMPUTED_VALUE"""),462428125004)</f>
        <v>462428125004</v>
      </c>
      <c r="H2458" s="1" t="str">
        <f>IFERROR(__xludf.DUMMYFUNCTION("""COMPUTED_VALUE"""),"RYAN PAUL CORNEJO JARDELEZA")</f>
        <v>RYAN PAUL CORNEJO JARDELEZA</v>
      </c>
      <c r="I2458" s="1">
        <f>IFERROR(__xludf.DUMMYFUNCTION("""COMPUTED_VALUE"""),9274335766)</f>
        <v>9274335766</v>
      </c>
      <c r="J2458" s="1">
        <f>IFERROR(__xludf.DUMMYFUNCTION("""COMPUTED_VALUE"""),9278297002)</f>
        <v>9278297002</v>
      </c>
      <c r="K2458" s="1" t="str">
        <f>IFERROR(__xludf.DUMMYFUNCTION("""COMPUTED_VALUE"""),"dcaptainstable09@gmail.com")</f>
        <v>dcaptainstable09@gmail.com</v>
      </c>
      <c r="L2458" s="1" t="str">
        <f>IFERROR(__xludf.DUMMYFUNCTION("""COMPUTED_VALUE"""),"103")</f>
        <v>103</v>
      </c>
      <c r="M2458" s="1" t="str">
        <f>IFERROR(__xludf.DUMMYFUNCTION("""COMPUTED_VALUE"""),"M.H DEL PILAR")</f>
        <v>M.H DEL PILAR</v>
      </c>
      <c r="N2458" s="1"/>
      <c r="O2458" s="1" t="str">
        <f>IFERROR(__xludf.DUMMYFUNCTION("""COMPUTED_VALUE"""),"POBLACION III")</f>
        <v>POBLACION III</v>
      </c>
      <c r="P2458" s="1" t="str">
        <f>IFERROR(__xludf.DUMMYFUNCTION("""COMPUTED_VALUE"""),"SILANG")</f>
        <v>SILANG</v>
      </c>
      <c r="Q2458" s="1" t="str">
        <f>IFERROR(__xludf.DUMMYFUNCTION("""COMPUTED_VALUE"""),"CAVITE")</f>
        <v>CAVITE</v>
      </c>
      <c r="R2458" s="1" t="str">
        <f>IFERROR(__xludf.DUMMYFUNCTION("""COMPUTED_VALUE"""),"FIBR UNLI ALL PLAN 999")</f>
        <v>FIBR UNLI ALL PLAN 999</v>
      </c>
      <c r="S2458" s="1" t="str">
        <f>IFERROR(__xludf.DUMMYFUNCTION("""COMPUTED_VALUE"""),"APPROVED")</f>
        <v>APPROVED</v>
      </c>
      <c r="T2458" s="1" t="str">
        <f>IFERROR(__xludf.DUMMYFUNCTION("""COMPUTED_VALUE"""),"CLOSED")</f>
        <v>CLOSED</v>
      </c>
      <c r="U2458" s="1" t="str">
        <f>IFERROR(__xludf.DUMMYFUNCTION("""COMPUTED_VALUE"""),"POSTED")</f>
        <v>POSTED</v>
      </c>
      <c r="V2458" s="1"/>
      <c r="W2458" s="1"/>
    </row>
    <row r="2459" customHeight="1" spans="1:23">
      <c r="A2459" s="3">
        <f>IFERROR(__xludf.DUMMYFUNCTION("""COMPUTED_VALUE"""),46216)</f>
        <v>46216</v>
      </c>
      <c r="B2459" s="1" t="str">
        <f>IFERROR(__xludf.DUMMYFUNCTION("""COMPUTED_VALUE"""),"FRONDEZ, JEDREFF")</f>
        <v>FRONDEZ, JEDREFF</v>
      </c>
      <c r="C2459" s="1" t="str">
        <f>IFERROR(__xludf.DUMMYFUNCTION("""COMPUTED_VALUE"""),"ORGANIC")</f>
        <v>ORGANIC</v>
      </c>
      <c r="D2459" s="1" t="str">
        <f>IFERROR(__xludf.DUMMYFUNCTION("""COMPUTED_VALUE"""),"REMOLLO LEA")</f>
        <v>REMOLLO LEA</v>
      </c>
      <c r="E2459" s="1" t="str">
        <f>IFERROR(__xludf.DUMMYFUNCTION("""COMPUTED_VALUE"""),"PLDT / H2H")</f>
        <v>PLDT / H2H</v>
      </c>
      <c r="F2459" s="1"/>
      <c r="G2459" s="1"/>
      <c r="H2459" s="1" t="str">
        <f>IFERROR(__xludf.DUMMYFUNCTION("""COMPUTED_VALUE"""),"SHEINARI AMBOJIA JARDELEZA")</f>
        <v>SHEINARI AMBOJIA JARDELEZA</v>
      </c>
      <c r="I2459" s="1">
        <f>IFERROR(__xludf.DUMMYFUNCTION("""COMPUTED_VALUE"""),9278297002)</f>
        <v>9278297002</v>
      </c>
      <c r="J2459" s="1">
        <f>IFERROR(__xludf.DUMMYFUNCTION("""COMPUTED_VALUE"""),9274335766)</f>
        <v>9274335766</v>
      </c>
      <c r="K2459" s="1" t="str">
        <f>IFERROR(__xludf.DUMMYFUNCTION("""COMPUTED_VALUE"""),"sheinariambojiajardeleza@gmail.com")</f>
        <v>sheinariambojiajardeleza@gmail.com</v>
      </c>
      <c r="L2459" s="1" t="str">
        <f>IFERROR(__xludf.DUMMYFUNCTION("""COMPUTED_VALUE"""),"111")</f>
        <v>111</v>
      </c>
      <c r="M2459" s="1" t="str">
        <f>IFERROR(__xludf.DUMMYFUNCTION("""COMPUTED_VALUE"""),"PUROK 4")</f>
        <v>PUROK 4</v>
      </c>
      <c r="N2459" s="1"/>
      <c r="O2459" s="1" t="str">
        <f>IFERROR(__xludf.DUMMYFUNCTION("""COMPUTED_VALUE"""),"PULONG SAGING")</f>
        <v>PULONG SAGING</v>
      </c>
      <c r="P2459" s="1" t="str">
        <f>IFERROR(__xludf.DUMMYFUNCTION("""COMPUTED_VALUE"""),"SILANG")</f>
        <v>SILANG</v>
      </c>
      <c r="Q2459" s="1" t="str">
        <f>IFERROR(__xludf.DUMMYFUNCTION("""COMPUTED_VALUE"""),"CAVITE")</f>
        <v>CAVITE</v>
      </c>
      <c r="R2459" s="1" t="str">
        <f>IFERROR(__xludf.DUMMYFUNCTION("""COMPUTED_VALUE"""),"FIBR UNLI ALL PLAN 999")</f>
        <v>FIBR UNLI ALL PLAN 999</v>
      </c>
      <c r="S2459" s="1" t="str">
        <f>IFERROR(__xludf.DUMMYFUNCTION("""COMPUTED_VALUE"""),"APPROVED")</f>
        <v>APPROVED</v>
      </c>
      <c r="T2459" s="1" t="str">
        <f>IFERROR(__xludf.DUMMYFUNCTION("""COMPUTED_VALUE"""),"#N/A")</f>
        <v>#N/A</v>
      </c>
      <c r="U2459" s="1" t="str">
        <f>IFERROR(__xludf.DUMMYFUNCTION("""COMPUTED_VALUE"""),"NAP FULL")</f>
        <v>NAP FULL</v>
      </c>
      <c r="V2459" s="1"/>
      <c r="W2459" s="1"/>
    </row>
    <row r="2460" customHeight="1" spans="1:23">
      <c r="A2460" s="3">
        <f>IFERROR(__xludf.DUMMYFUNCTION("""COMPUTED_VALUE"""),46216)</f>
        <v>46216</v>
      </c>
      <c r="B2460" s="1" t="str">
        <f>IFERROR(__xludf.DUMMYFUNCTION("""COMPUTED_VALUE"""),"CASTILLEJOS, ARREL")</f>
        <v>CASTILLEJOS, ARREL</v>
      </c>
      <c r="C2460" s="1" t="str">
        <f>IFERROR(__xludf.DUMMYFUNCTION("""COMPUTED_VALUE"""),"ORGANIC")</f>
        <v>ORGANIC</v>
      </c>
      <c r="D2460" s="1" t="str">
        <f>IFERROR(__xludf.DUMMYFUNCTION("""COMPUTED_VALUE"""),"REMOLLO LEA")</f>
        <v>REMOLLO LEA</v>
      </c>
      <c r="E2460" s="1" t="str">
        <f>IFERROR(__xludf.DUMMYFUNCTION("""COMPUTED_VALUE"""),"PLDT / ONLINE")</f>
        <v>PLDT / ONLINE</v>
      </c>
      <c r="F2460" s="1">
        <f>IFERROR(__xludf.DUMMYFUNCTION("""COMPUTED_VALUE"""),2310972016)</f>
        <v>2310972016</v>
      </c>
      <c r="G2460" s="1">
        <f>IFERROR(__xludf.DUMMYFUNCTION("""COMPUTED_VALUE"""),462543461004)</f>
        <v>462543461004</v>
      </c>
      <c r="H2460" s="1" t="str">
        <f>IFERROR(__xludf.DUMMYFUNCTION("""COMPUTED_VALUE"""),"JOVANE ELERIA RAGAS")</f>
        <v>JOVANE ELERIA RAGAS</v>
      </c>
      <c r="I2460" s="1">
        <f>IFERROR(__xludf.DUMMYFUNCTION("""COMPUTED_VALUE"""),9929742531)</f>
        <v>9929742531</v>
      </c>
      <c r="J2460" s="1">
        <f>IFERROR(__xludf.DUMMYFUNCTION("""COMPUTED_VALUE"""),9554038811)</f>
        <v>9554038811</v>
      </c>
      <c r="K2460" s="1" t="str">
        <f>IFERROR(__xludf.DUMMYFUNCTION("""COMPUTED_VALUE"""),"melodyloberiano314@gmiail.com")</f>
        <v>melodyloberiano314@gmiail.com</v>
      </c>
      <c r="L2460" s="1" t="str">
        <f>IFERROR(__xludf.DUMMYFUNCTION("""COMPUTED_VALUE"""),"11ab")</f>
        <v>11ab</v>
      </c>
      <c r="M2460" s="1" t="str">
        <f>IFERROR(__xludf.DUMMYFUNCTION("""COMPUTED_VALUE"""),"MORALES ")</f>
        <v>MORALES </v>
      </c>
      <c r="N2460" s="1"/>
      <c r="O2460" s="1" t="str">
        <f>IFERROR(__xludf.DUMMYFUNCTION("""COMPUTED_VALUE"""),"NIOG III")</f>
        <v>NIOG III</v>
      </c>
      <c r="P2460" s="1" t="str">
        <f>IFERROR(__xludf.DUMMYFUNCTION("""COMPUTED_VALUE"""),"BACOOR")</f>
        <v>BACOOR</v>
      </c>
      <c r="Q2460" s="1" t="str">
        <f>IFERROR(__xludf.DUMMYFUNCTION("""COMPUTED_VALUE"""),"CAVITE")</f>
        <v>CAVITE</v>
      </c>
      <c r="R2460" s="1" t="str">
        <f>IFERROR(__xludf.DUMMYFUNCTION("""COMPUTED_VALUE"""),"FIBR UNLI ALL PLAN 999")</f>
        <v>FIBR UNLI ALL PLAN 999</v>
      </c>
      <c r="S2460" s="1" t="str">
        <f>IFERROR(__xludf.DUMMYFUNCTION("""COMPUTED_VALUE"""),"APPROVED")</f>
        <v>APPROVED</v>
      </c>
      <c r="T2460" s="1" t="str">
        <f>IFERROR(__xludf.DUMMYFUNCTION("""COMPUTED_VALUE"""),"RPR")</f>
        <v>RPR</v>
      </c>
      <c r="U2460" s="1" t="str">
        <f>IFERROR(__xludf.DUMMYFUNCTION("""COMPUTED_VALUE"""),"PAID VIA GCASH REF JULY I8")</f>
        <v>PAID VIA GCASH REF JULY I8</v>
      </c>
      <c r="V2460" s="1"/>
      <c r="W2460" s="1"/>
    </row>
    <row r="2461" customHeight="1" spans="1:23">
      <c r="A2461" s="3">
        <f>IFERROR(__xludf.DUMMYFUNCTION("""COMPUTED_VALUE"""),46216)</f>
        <v>46216</v>
      </c>
      <c r="B2461" s="1" t="str">
        <f>IFERROR(__xludf.DUMMYFUNCTION("""COMPUTED_VALUE"""),"TAMAYO, MARY ROSE")</f>
        <v>TAMAYO, MARY ROSE</v>
      </c>
      <c r="C2461" s="1" t="str">
        <f>IFERROR(__xludf.DUMMYFUNCTION("""COMPUTED_VALUE"""),"ORGANIC")</f>
        <v>ORGANIC</v>
      </c>
      <c r="D2461" s="1" t="str">
        <f>IFERROR(__xludf.DUMMYFUNCTION("""COMPUTED_VALUE"""),"REMOLLO LEA")</f>
        <v>REMOLLO LEA</v>
      </c>
      <c r="E2461" s="1" t="str">
        <f>IFERROR(__xludf.DUMMYFUNCTION("""COMPUTED_VALUE"""),"PLDT / H2H")</f>
        <v>PLDT / H2H</v>
      </c>
      <c r="F2461" s="1">
        <f>IFERROR(__xludf.DUMMYFUNCTION("""COMPUTED_VALUE"""),2310948145)</f>
        <v>2310948145</v>
      </c>
      <c r="G2461" s="1"/>
      <c r="H2461" s="1" t="str">
        <f>IFERROR(__xludf.DUMMYFUNCTION("""COMPUTED_VALUE"""),"JAME KAVEN GALVE LEGASPI")</f>
        <v>JAME KAVEN GALVE LEGASPI</v>
      </c>
      <c r="I2461" s="1">
        <f>IFERROR(__xludf.DUMMYFUNCTION("""COMPUTED_VALUE"""),9930211404)</f>
        <v>9930211404</v>
      </c>
      <c r="J2461" s="1"/>
      <c r="K2461" s="1" t="str">
        <f>IFERROR(__xludf.DUMMYFUNCTION("""COMPUTED_VALUE"""),"mylenatlan1@gmail.com")</f>
        <v>mylenatlan1@gmail.com</v>
      </c>
      <c r="L2461" s="1" t="str">
        <f>IFERROR(__xludf.DUMMYFUNCTION("""COMPUTED_VALUE"""),"BLK 9B LOT 85")</f>
        <v>BLK 9B LOT 85</v>
      </c>
      <c r="M2461" s="1" t="str">
        <f>IFERROR(__xludf.DUMMYFUNCTION("""COMPUTED_VALUE"""),"SAN JOSE")</f>
        <v>SAN JOSE</v>
      </c>
      <c r="N2461" s="1"/>
      <c r="O2461" s="1" t="str">
        <f>IFERROR(__xludf.DUMMYFUNCTION("""COMPUTED_VALUE"""),"SAN JOSE")</f>
        <v>SAN JOSE</v>
      </c>
      <c r="P2461" s="1" t="str">
        <f>IFERROR(__xludf.DUMMYFUNCTION("""COMPUTED_VALUE"""),"GEN MARIANO ALVAREZ")</f>
        <v>GEN MARIANO ALVAREZ</v>
      </c>
      <c r="Q2461" s="1" t="str">
        <f>IFERROR(__xludf.DUMMYFUNCTION("""COMPUTED_VALUE"""),"CAVITE")</f>
        <v>CAVITE</v>
      </c>
      <c r="R2461" s="1" t="str">
        <f>IFERROR(__xludf.DUMMYFUNCTION("""COMPUTED_VALUE"""),"FIBR NETFLIX PLAN 1599")</f>
        <v>FIBR NETFLIX PLAN 1599</v>
      </c>
      <c r="S2461" s="1" t="str">
        <f>IFERROR(__xludf.DUMMYFUNCTION("""COMPUTED_VALUE"""),"APPROVED")</f>
        <v>APPROVED</v>
      </c>
      <c r="T2461" s="1" t="str">
        <f>IFERROR(__xludf.DUMMYFUNCTION("""COMPUTED_VALUE"""),"CANCELLED")</f>
        <v>CANCELLED</v>
      </c>
      <c r="U2461" s="1"/>
      <c r="V2461" s="1"/>
      <c r="W2461" s="1"/>
    </row>
    <row r="2462" customHeight="1" spans="1:23">
      <c r="A2462" s="3">
        <f>IFERROR(__xludf.DUMMYFUNCTION("""COMPUTED_VALUE"""),46216)</f>
        <v>46216</v>
      </c>
      <c r="B2462" s="1" t="str">
        <f>IFERROR(__xludf.DUMMYFUNCTION("""COMPUTED_VALUE"""),"AYON MANUEL")</f>
        <v>AYON MANUEL</v>
      </c>
      <c r="C2462" s="1" t="str">
        <f>IFERROR(__xludf.DUMMYFUNCTION("""COMPUTED_VALUE"""),"FLA")</f>
        <v>FLA</v>
      </c>
      <c r="D2462" s="1" t="str">
        <f>IFERROR(__xludf.DUMMYFUNCTION("""COMPUTED_VALUE"""),"JERIC NAVARRO")</f>
        <v>JERIC NAVARRO</v>
      </c>
      <c r="E2462" s="1" t="str">
        <f>IFERROR(__xludf.DUMMYFUNCTION("""COMPUTED_VALUE"""),"RED FIBER")</f>
        <v>RED FIBER</v>
      </c>
      <c r="F2462" s="1"/>
      <c r="G2462" s="1"/>
      <c r="H2462" s="1" t="str">
        <f>IFERROR(__xludf.DUMMYFUNCTION("""COMPUTED_VALUE"""),"MARISABEL CORDOVA DE PADUA")</f>
        <v>MARISABEL CORDOVA DE PADUA</v>
      </c>
      <c r="I2462" s="1">
        <f>IFERROR(__xludf.DUMMYFUNCTION("""COMPUTED_VALUE"""),9276871479)</f>
        <v>9276871479</v>
      </c>
      <c r="J2462" s="1">
        <f>IFERROR(__xludf.DUMMYFUNCTION("""COMPUTED_VALUE"""),9677794629)</f>
        <v>9677794629</v>
      </c>
      <c r="K2462" s="1" t="str">
        <f>IFERROR(__xludf.DUMMYFUNCTION("""COMPUTED_VALUE"""),"depaduamarisabel1222@gmail.com")</f>
        <v>depaduamarisabel1222@gmail.com</v>
      </c>
      <c r="L2462" s="1" t="str">
        <f>IFERROR(__xludf.DUMMYFUNCTION("""COMPUTED_VALUE"""),"64")</f>
        <v>64</v>
      </c>
      <c r="M2462" s="1" t="str">
        <f>IFERROR(__xludf.DUMMYFUNCTION("""COMPUTED_VALUE"""),"PANSOL ST")</f>
        <v>PANSOL ST</v>
      </c>
      <c r="N2462" s="1"/>
      <c r="O2462" s="1" t="str">
        <f>IFERROR(__xludf.DUMMYFUNCTION("""COMPUTED_VALUE"""),"TOLEDO")</f>
        <v>TOLEDO</v>
      </c>
      <c r="P2462" s="1" t="str">
        <f>IFERROR(__xludf.DUMMYFUNCTION("""COMPUTED_VALUE"""),"SILANG")</f>
        <v>SILANG</v>
      </c>
      <c r="Q2462" s="1" t="str">
        <f>IFERROR(__xludf.DUMMYFUNCTION("""COMPUTED_VALUE"""),"CAVITE")</f>
        <v>CAVITE</v>
      </c>
      <c r="R2462" s="1" t="str">
        <f>IFERROR(__xludf.DUMMYFUNCTION("""COMPUTED_VALUE"""),"RED PLAN 1000")</f>
        <v>RED PLAN 1000</v>
      </c>
      <c r="S2462" s="1" t="str">
        <f>IFERROR(__xludf.DUMMYFUNCTION("""COMPUTED_VALUE"""),"APPROVED")</f>
        <v>APPROVED</v>
      </c>
      <c r="T2462" s="1" t="str">
        <f>IFERROR(__xludf.DUMMYFUNCTION("""COMPUTED_VALUE"""),"#N/A")</f>
        <v>#N/A</v>
      </c>
      <c r="U2462" s="1"/>
      <c r="V2462" s="1"/>
      <c r="W2462" s="1"/>
    </row>
    <row r="2463" customHeight="1" spans="1:23">
      <c r="A2463" s="3">
        <f>IFERROR(__xludf.DUMMYFUNCTION("""COMPUTED_VALUE"""),46217)</f>
        <v>46217</v>
      </c>
      <c r="B2463" s="1" t="str">
        <f>IFERROR(__xludf.DUMMYFUNCTION("""COMPUTED_VALUE"""),"FRANCISCO , ROSELYN")</f>
        <v>FRANCISCO , ROSELYN</v>
      </c>
      <c r="C2463" s="1" t="str">
        <f>IFERROR(__xludf.DUMMYFUNCTION("""COMPUTED_VALUE"""),"ORGANIC")</f>
        <v>ORGANIC</v>
      </c>
      <c r="D2463" s="1" t="str">
        <f>IFERROR(__xludf.DUMMYFUNCTION("""COMPUTED_VALUE"""),"REMOLLO LEA")</f>
        <v>REMOLLO LEA</v>
      </c>
      <c r="E2463" s="1" t="str">
        <f>IFERROR(__xludf.DUMMYFUNCTION("""COMPUTED_VALUE"""),"PLDT / ONLINE")</f>
        <v>PLDT / ONLINE</v>
      </c>
      <c r="F2463" s="1">
        <f>IFERROR(__xludf.DUMMYFUNCTION("""COMPUTED_VALUE"""),2310963474)</f>
        <v>2310963474</v>
      </c>
      <c r="G2463" s="1">
        <f>IFERROR(__xludf.DUMMYFUNCTION("""COMPUTED_VALUE"""),462528042004)</f>
        <v>462528042004</v>
      </c>
      <c r="H2463" s="1" t="str">
        <f>IFERROR(__xludf.DUMMYFUNCTION("""COMPUTED_VALUE"""),"RAFAEL PACIENCIA TALDE")</f>
        <v>RAFAEL PACIENCIA TALDE</v>
      </c>
      <c r="I2463" s="1">
        <f>IFERROR(__xludf.DUMMYFUNCTION("""COMPUTED_VALUE"""),9187494154)</f>
        <v>9187494154</v>
      </c>
      <c r="J2463" s="1">
        <f>IFERROR(__xludf.DUMMYFUNCTION("""COMPUTED_VALUE"""),9948839223)</f>
        <v>9948839223</v>
      </c>
      <c r="K2463" s="1" t="str">
        <f>IFERROR(__xludf.DUMMYFUNCTION("""COMPUTED_VALUE"""),"bologadennis1@gmail.com")</f>
        <v>bologadennis1@gmail.com</v>
      </c>
      <c r="L2463" s="1" t="str">
        <f>IFERROR(__xludf.DUMMYFUNCTION("""COMPUTED_VALUE"""),"7001")</f>
        <v>7001</v>
      </c>
      <c r="M2463" s="1" t="str">
        <f>IFERROR(__xludf.DUMMYFUNCTION("""COMPUTED_VALUE"""),"SABANG")</f>
        <v>SABANG</v>
      </c>
      <c r="N2463" s="1"/>
      <c r="O2463" s="1" t="str">
        <f>IFERROR(__xludf.DUMMYFUNCTION("""COMPUTED_VALUE"""),"SABANG")</f>
        <v>SABANG</v>
      </c>
      <c r="P2463" s="1" t="str">
        <f>IFERROR(__xludf.DUMMYFUNCTION("""COMPUTED_VALUE"""),"NAIC")</f>
        <v>NAIC</v>
      </c>
      <c r="Q2463" s="1" t="str">
        <f>IFERROR(__xludf.DUMMYFUNCTION("""COMPUTED_VALUE"""),"CAVITE")</f>
        <v>CAVITE</v>
      </c>
      <c r="R2463" s="1" t="str">
        <f>IFERROR(__xludf.DUMMYFUNCTION("""COMPUTED_VALUE"""),"FIBR UNLI ALL PLAN 1399")</f>
        <v>FIBR UNLI ALL PLAN 1399</v>
      </c>
      <c r="S2463" s="1" t="str">
        <f>IFERROR(__xludf.DUMMYFUNCTION("""COMPUTED_VALUE"""),"APPROVED")</f>
        <v>APPROVED</v>
      </c>
      <c r="T2463" s="1" t="str">
        <f>IFERROR(__xludf.DUMMYFUNCTION("""COMPUTED_VALUE"""),"CANCELLED")</f>
        <v>CANCELLED</v>
      </c>
      <c r="U2463" s="1"/>
      <c r="V2463" s="1"/>
      <c r="W2463" s="1"/>
    </row>
    <row r="2464" customHeight="1" spans="1:23">
      <c r="A2464" s="3">
        <f>IFERROR(__xludf.DUMMYFUNCTION("""COMPUTED_VALUE"""),46217)</f>
        <v>46217</v>
      </c>
      <c r="B2464" s="1" t="str">
        <f>IFERROR(__xludf.DUMMYFUNCTION("""COMPUTED_VALUE"""),"CARPIO, STEPHANIE NICOLE")</f>
        <v>CARPIO, STEPHANIE NICOLE</v>
      </c>
      <c r="C2464" s="1" t="str">
        <f>IFERROR(__xludf.DUMMYFUNCTION("""COMPUTED_VALUE"""),"FLA")</f>
        <v>FLA</v>
      </c>
      <c r="D2464" s="1" t="str">
        <f>IFERROR(__xludf.DUMMYFUNCTION("""COMPUTED_VALUE"""),"JERIC NAVARRO")</f>
        <v>JERIC NAVARRO</v>
      </c>
      <c r="E2464" s="1" t="str">
        <f>IFERROR(__xludf.DUMMYFUNCTION("""COMPUTED_VALUE"""),"PLDT / H2H")</f>
        <v>PLDT / H2H</v>
      </c>
      <c r="F2464" s="1">
        <f>IFERROR(__xludf.DUMMYFUNCTION("""COMPUTED_VALUE"""),2310975078)</f>
        <v>2310975078</v>
      </c>
      <c r="G2464" s="1">
        <f>IFERROR(__xludf.DUMMYFUNCTION("""COMPUTED_VALUE"""),462567232004)</f>
        <v>462567232004</v>
      </c>
      <c r="H2464" s="1" t="str">
        <f>IFERROR(__xludf.DUMMYFUNCTION("""COMPUTED_VALUE"""),"JOANNA ROSE CUIVILLAS TICA")</f>
        <v>JOANNA ROSE CUIVILLAS TICA</v>
      </c>
      <c r="I2464" s="1">
        <f>IFERROR(__xludf.DUMMYFUNCTION("""COMPUTED_VALUE"""),9676287628)</f>
        <v>9676287628</v>
      </c>
      <c r="J2464" s="1"/>
      <c r="K2464" s="1" t="str">
        <f>IFERROR(__xludf.DUMMYFUNCTION("""COMPUTED_VALUE"""),"ticajoannarose2@gmail.com")</f>
        <v>ticajoannarose2@gmail.com</v>
      </c>
      <c r="L2464" s="1" t="str">
        <f>IFERROR(__xludf.DUMMYFUNCTION("""COMPUTED_VALUE"""),"BLK 29 LOT 12")</f>
        <v>BLK 29 LOT 12</v>
      </c>
      <c r="M2464" s="1" t="str">
        <f>IFERROR(__xludf.DUMMYFUNCTION("""COMPUTED_VALUE"""),"PHASE 2A")</f>
        <v>PHASE 2A</v>
      </c>
      <c r="N2464" s="1" t="str">
        <f>IFERROR(__xludf.DUMMYFUNCTION("""COMPUTED_VALUE"""),"GRAND RIVERSIDE")</f>
        <v>GRAND RIVERSIDE</v>
      </c>
      <c r="O2464" s="1" t="str">
        <f>IFERROR(__xludf.DUMMYFUNCTION("""COMPUTED_VALUE"""),"PASONG CAMACHILE I")</f>
        <v>PASONG CAMACHILE I</v>
      </c>
      <c r="P2464" s="1" t="str">
        <f>IFERROR(__xludf.DUMMYFUNCTION("""COMPUTED_VALUE"""),"GENERAL TRIAS")</f>
        <v>GENERAL TRIAS</v>
      </c>
      <c r="Q2464" s="1" t="str">
        <f>IFERROR(__xludf.DUMMYFUNCTION("""COMPUTED_VALUE"""),"CAVITE")</f>
        <v>CAVITE</v>
      </c>
      <c r="R2464" s="1" t="str">
        <f>IFERROR(__xludf.DUMMYFUNCTION("""COMPUTED_VALUE"""),"FIBR UNLI ALL PLAN 1399")</f>
        <v>FIBR UNLI ALL PLAN 1399</v>
      </c>
      <c r="S2464" s="1" t="str">
        <f>IFERROR(__xludf.DUMMYFUNCTION("""COMPUTED_VALUE"""),"APPROVED")</f>
        <v>APPROVED</v>
      </c>
      <c r="T2464" s="1" t="str">
        <f>IFERROR(__xludf.DUMMYFUNCTION("""COMPUTED_VALUE"""),"CLOSED")</f>
        <v>CLOSED</v>
      </c>
      <c r="U2464" s="1" t="str">
        <f>IFERROR(__xludf.DUMMYFUNCTION("""COMPUTED_VALUE"""),"POSTED")</f>
        <v>POSTED</v>
      </c>
      <c r="V2464" s="1"/>
      <c r="W2464" s="1"/>
    </row>
    <row r="2465" customHeight="1" spans="1:23">
      <c r="A2465" s="3">
        <f>IFERROR(__xludf.DUMMYFUNCTION("""COMPUTED_VALUE"""),46217)</f>
        <v>46217</v>
      </c>
      <c r="B2465" s="1" t="str">
        <f>IFERROR(__xludf.DUMMYFUNCTION("""COMPUTED_VALUE"""),"LEADSTORE - ILANO, LIANDRO TEJAS")</f>
        <v>LEADSTORE - ILANO, LIANDRO TEJAS</v>
      </c>
      <c r="C2465" s="1" t="str">
        <f>IFERROR(__xludf.DUMMYFUNCTION("""COMPUTED_VALUE"""),"FLA")</f>
        <v>FLA</v>
      </c>
      <c r="D2465" s="1" t="str">
        <f>IFERROR(__xludf.DUMMYFUNCTION("""COMPUTED_VALUE"""),"JERIC NAVARRO")</f>
        <v>JERIC NAVARRO</v>
      </c>
      <c r="E2465" s="1" t="str">
        <f>IFERROR(__xludf.DUMMYFUNCTION("""COMPUTED_VALUE"""),"PLDT / ONLINE")</f>
        <v>PLDT / ONLINE</v>
      </c>
      <c r="F2465" s="1">
        <f>IFERROR(__xludf.DUMMYFUNCTION("""COMPUTED_VALUE"""),2310967031)</f>
        <v>2310967031</v>
      </c>
      <c r="G2465" s="1">
        <f>IFERROR(__xludf.DUMMYFUNCTION("""COMPUTED_VALUE"""),462538430004)</f>
        <v>462538430004</v>
      </c>
      <c r="H2465" s="1" t="str">
        <f>IFERROR(__xludf.DUMMYFUNCTION("""COMPUTED_VALUE"""),"ME ANNE FRANCISCO HERNANDEZ")</f>
        <v>ME ANNE FRANCISCO HERNANDEZ</v>
      </c>
      <c r="I2465" s="1">
        <f>IFERROR(__xludf.DUMMYFUNCTION("""COMPUTED_VALUE"""),9941236614)</f>
        <v>9941236614</v>
      </c>
      <c r="J2465" s="1">
        <f>IFERROR(__xludf.DUMMYFUNCTION("""COMPUTED_VALUE"""),9617181915)</f>
        <v>9617181915</v>
      </c>
      <c r="K2465" s="1" t="str">
        <f>IFERROR(__xludf.DUMMYFUNCTION("""COMPUTED_VALUE"""),"menannehernamdez29@gmail.com")</f>
        <v>menannehernamdez29@gmail.com</v>
      </c>
      <c r="L2465" s="1" t="str">
        <f>IFERROR(__xludf.DUMMYFUNCTION("""COMPUTED_VALUE"""),"BLK 8 LOT 27")</f>
        <v>BLK 8 LOT 27</v>
      </c>
      <c r="M2465" s="1" t="str">
        <f>IFERROR(__xludf.DUMMYFUNCTION("""COMPUTED_VALUE"""),"SANTOL ")</f>
        <v>SANTOL </v>
      </c>
      <c r="N2465" s="1" t="str">
        <f>IFERROR(__xludf.DUMMYFUNCTION("""COMPUTED_VALUE"""),"HEART FOUNDATION")</f>
        <v>HEART FOUNDATION</v>
      </c>
      <c r="O2465" s="1" t="str">
        <f>IFERROR(__xludf.DUMMYFUNCTION("""COMPUTED_VALUE"""),"SANTOL")</f>
        <v>SANTOL</v>
      </c>
      <c r="P2465" s="1" t="str">
        <f>IFERROR(__xludf.DUMMYFUNCTION("""COMPUTED_VALUE"""),"TANZA")</f>
        <v>TANZA</v>
      </c>
      <c r="Q2465" s="1" t="str">
        <f>IFERROR(__xludf.DUMMYFUNCTION("""COMPUTED_VALUE"""),"CAVITE")</f>
        <v>CAVITE</v>
      </c>
      <c r="R2465" s="1" t="str">
        <f>IFERROR(__xludf.DUMMYFUNCTION("""COMPUTED_VALUE"""),"FIBR NETFLIX PLAN 1599")</f>
        <v>FIBR NETFLIX PLAN 1599</v>
      </c>
      <c r="S2465" s="1" t="str">
        <f>IFERROR(__xludf.DUMMYFUNCTION("""COMPUTED_VALUE"""),"APPROVED")</f>
        <v>APPROVED</v>
      </c>
      <c r="T2465" s="1" t="str">
        <f>IFERROR(__xludf.DUMMYFUNCTION("""COMPUTED_VALUE"""),"CANCELLED")</f>
        <v>CANCELLED</v>
      </c>
      <c r="U2465" s="1"/>
      <c r="V2465" s="1"/>
      <c r="W2465" s="1"/>
    </row>
    <row r="2466" customHeight="1" spans="1:23">
      <c r="A2466" s="3">
        <f>IFERROR(__xludf.DUMMYFUNCTION("""COMPUTED_VALUE"""),46217)</f>
        <v>46217</v>
      </c>
      <c r="B2466" s="1" t="str">
        <f>IFERROR(__xludf.DUMMYFUNCTION("""COMPUTED_VALUE"""),"LEADSTORE - ILANO, LIANDRO TEJAS")</f>
        <v>LEADSTORE - ILANO, LIANDRO TEJAS</v>
      </c>
      <c r="C2466" s="1" t="str">
        <f>IFERROR(__xludf.DUMMYFUNCTION("""COMPUTED_VALUE"""),"FLA")</f>
        <v>FLA</v>
      </c>
      <c r="D2466" s="1" t="str">
        <f>IFERROR(__xludf.DUMMYFUNCTION("""COMPUTED_VALUE"""),"JERIC NAVARRO")</f>
        <v>JERIC NAVARRO</v>
      </c>
      <c r="E2466" s="1" t="str">
        <f>IFERROR(__xludf.DUMMYFUNCTION("""COMPUTED_VALUE"""),"PLDT / ONLINE")</f>
        <v>PLDT / ONLINE</v>
      </c>
      <c r="F2466" s="1">
        <f>IFERROR(__xludf.DUMMYFUNCTION("""COMPUTED_VALUE"""),2310965320)</f>
        <v>2310965320</v>
      </c>
      <c r="G2466" s="1"/>
      <c r="H2466" s="1" t="str">
        <f>IFERROR(__xludf.DUMMYFUNCTION("""COMPUTED_VALUE"""),"GLENDYSH ROCOMA")</f>
        <v>GLENDYSH ROCOMA</v>
      </c>
      <c r="I2466" s="1">
        <f>IFERROR(__xludf.DUMMYFUNCTION("""COMPUTED_VALUE"""),9764935216)</f>
        <v>9764935216</v>
      </c>
      <c r="J2466" s="1">
        <f>IFERROR(__xludf.DUMMYFUNCTION("""COMPUTED_VALUE"""),9171866732)</f>
        <v>9171866732</v>
      </c>
      <c r="K2466" s="1" t="str">
        <f>IFERROR(__xludf.DUMMYFUNCTION("""COMPUTED_VALUE"""),"ishiiyuri22@gmail.com")</f>
        <v>ishiiyuri22@gmail.com</v>
      </c>
      <c r="L2466" s="1" t="str">
        <f>IFERROR(__xludf.DUMMYFUNCTION("""COMPUTED_VALUE"""),"UNIT 110")</f>
        <v>UNIT 110</v>
      </c>
      <c r="M2466" s="1" t="str">
        <f>IFERROR(__xludf.DUMMYFUNCTION("""COMPUTED_VALUE"""),"STANFORD SUITES")</f>
        <v>STANFORD SUITES</v>
      </c>
      <c r="N2466" s="1" t="str">
        <f>IFERROR(__xludf.DUMMYFUNCTION("""COMPUTED_VALUE"""),"SOUTH BLVD")</f>
        <v>SOUTH BLVD</v>
      </c>
      <c r="O2466" s="1" t="str">
        <f>IFERROR(__xludf.DUMMYFUNCTION("""COMPUTED_VALUE"""),"INCHICAN")</f>
        <v>INCHICAN</v>
      </c>
      <c r="P2466" s="1" t="str">
        <f>IFERROR(__xludf.DUMMYFUNCTION("""COMPUTED_VALUE"""),"SILANG")</f>
        <v>SILANG</v>
      </c>
      <c r="Q2466" s="1" t="str">
        <f>IFERROR(__xludf.DUMMYFUNCTION("""COMPUTED_VALUE"""),"CAVITE")</f>
        <v>CAVITE</v>
      </c>
      <c r="R2466" s="1" t="str">
        <f>IFERROR(__xludf.DUMMYFUNCTION("""COMPUTED_VALUE"""),"FIBR UNLI ALL PLAN 1399")</f>
        <v>FIBR UNLI ALL PLAN 1399</v>
      </c>
      <c r="S2466" s="1" t="str">
        <f>IFERROR(__xludf.DUMMYFUNCTION("""COMPUTED_VALUE"""),"APPROVED")</f>
        <v>APPROVED</v>
      </c>
      <c r="T2466" s="1" t="str">
        <f>IFERROR(__xludf.DUMMYFUNCTION("""COMPUTED_VALUE"""),"CANCELLED")</f>
        <v>CANCELLED</v>
      </c>
      <c r="U2466" s="1"/>
      <c r="V2466" s="1"/>
      <c r="W2466" s="1"/>
    </row>
    <row r="2467" customHeight="1" spans="1:23">
      <c r="A2467" s="3">
        <f>IFERROR(__xludf.DUMMYFUNCTION("""COMPUTED_VALUE"""),46217)</f>
        <v>46217</v>
      </c>
      <c r="B2467" s="1" t="str">
        <f>IFERROR(__xludf.DUMMYFUNCTION("""COMPUTED_VALUE"""),"AYON MANUEL")</f>
        <v>AYON MANUEL</v>
      </c>
      <c r="C2467" s="1" t="str">
        <f>IFERROR(__xludf.DUMMYFUNCTION("""COMPUTED_VALUE"""),"FLA")</f>
        <v>FLA</v>
      </c>
      <c r="D2467" s="1" t="str">
        <f>IFERROR(__xludf.DUMMYFUNCTION("""COMPUTED_VALUE"""),"JERIC NAVARRO")</f>
        <v>JERIC NAVARRO</v>
      </c>
      <c r="E2467" s="1" t="str">
        <f>IFERROR(__xludf.DUMMYFUNCTION("""COMPUTED_VALUE"""),"HOME BIZZ")</f>
        <v>HOME BIZZ</v>
      </c>
      <c r="F2467" s="1">
        <f>IFERROR(__xludf.DUMMYFUNCTION("""COMPUTED_VALUE"""),2310974105)</f>
        <v>2310974105</v>
      </c>
      <c r="G2467" s="1">
        <f>IFERROR(__xludf.DUMMYFUNCTION("""COMPUTED_VALUE"""),462545286004)</f>
        <v>462545286004</v>
      </c>
      <c r="H2467" s="1" t="str">
        <f>IFERROR(__xludf.DUMMYFUNCTION("""COMPUTED_VALUE"""),"ELEMENOPI ARTS AD PRINT")</f>
        <v>ELEMENOPI ARTS AD PRINT</v>
      </c>
      <c r="I2467" s="1">
        <f>IFERROR(__xludf.DUMMYFUNCTION("""COMPUTED_VALUE"""),9759271423)</f>
        <v>9759271423</v>
      </c>
      <c r="J2467" s="1">
        <f>IFERROR(__xludf.DUMMYFUNCTION("""COMPUTED_VALUE"""),9759271426)</f>
        <v>9759271426</v>
      </c>
      <c r="K2467" s="1" t="str">
        <f>IFERROR(__xludf.DUMMYFUNCTION("""COMPUTED_VALUE"""),"rabelan.elem@gmail.com")</f>
        <v>rabelan.elem@gmail.com</v>
      </c>
      <c r="L2467" s="1" t="str">
        <f>IFERROR(__xludf.DUMMYFUNCTION("""COMPUTED_VALUE"""),"68")</f>
        <v>68</v>
      </c>
      <c r="M2467" s="1" t="str">
        <f>IFERROR(__xludf.DUMMYFUNCTION("""COMPUTED_VALUE"""),"MAGUYAM RD")</f>
        <v>MAGUYAM RD</v>
      </c>
      <c r="N2467" s="1"/>
      <c r="O2467" s="1" t="str">
        <f>IFERROR(__xludf.DUMMYFUNCTION("""COMPUTED_VALUE"""),"MAGUYAM")</f>
        <v>MAGUYAM</v>
      </c>
      <c r="P2467" s="1" t="str">
        <f>IFERROR(__xludf.DUMMYFUNCTION("""COMPUTED_VALUE"""),"SILANG")</f>
        <v>SILANG</v>
      </c>
      <c r="Q2467" s="1" t="str">
        <f>IFERROR(__xludf.DUMMYFUNCTION("""COMPUTED_VALUE"""),"CAVITE")</f>
        <v>CAVITE</v>
      </c>
      <c r="R2467" s="1" t="str">
        <f>IFERROR(__xludf.DUMMYFUNCTION("""COMPUTED_VALUE"""),"FIBR PLAN 1699")</f>
        <v>FIBR PLAN 1699</v>
      </c>
      <c r="S2467" s="1" t="str">
        <f>IFERROR(__xludf.DUMMYFUNCTION("""COMPUTED_VALUE"""),"APPROVED")</f>
        <v>APPROVED</v>
      </c>
      <c r="T2467" s="1" t="str">
        <f>IFERROR(__xludf.DUMMYFUNCTION("""COMPUTED_VALUE"""),"CANCELLED")</f>
        <v>CANCELLED</v>
      </c>
      <c r="U2467" s="1"/>
      <c r="V2467" s="1"/>
      <c r="W2467" s="1"/>
    </row>
    <row r="2468" customHeight="1" spans="1:23">
      <c r="A2468" s="3">
        <f>IFERROR(__xludf.DUMMYFUNCTION("""COMPUTED_VALUE"""),46217)</f>
        <v>46217</v>
      </c>
      <c r="B2468" s="1" t="str">
        <f>IFERROR(__xludf.DUMMYFUNCTION("""COMPUTED_VALUE"""),"LABRA, LIEZEL")</f>
        <v>LABRA, LIEZEL</v>
      </c>
      <c r="C2468" s="1" t="str">
        <f>IFERROR(__xludf.DUMMYFUNCTION("""COMPUTED_VALUE"""),"ORGANIC")</f>
        <v>ORGANIC</v>
      </c>
      <c r="D2468" s="1" t="str">
        <f>IFERROR(__xludf.DUMMYFUNCTION("""COMPUTED_VALUE"""),"REMOLLO LEA")</f>
        <v>REMOLLO LEA</v>
      </c>
      <c r="E2468" s="1" t="str">
        <f>IFERROR(__xludf.DUMMYFUNCTION("""COMPUTED_VALUE"""),"PLDT / H2H")</f>
        <v>PLDT / H2H</v>
      </c>
      <c r="F2468" s="1">
        <f>IFERROR(__xludf.DUMMYFUNCTION("""COMPUTED_VALUE"""),2310969195)</f>
        <v>2310969195</v>
      </c>
      <c r="G2468" s="1">
        <f>IFERROR(__xludf.DUMMYFUNCTION("""COMPUTED_VALUE"""),462545569004)</f>
        <v>462545569004</v>
      </c>
      <c r="H2468" s="1" t="str">
        <f>IFERROR(__xludf.DUMMYFUNCTION("""COMPUTED_VALUE"""),"ARIEL ANTONIO RIVERA")</f>
        <v>ARIEL ANTONIO RIVERA</v>
      </c>
      <c r="I2468" s="1">
        <f>IFERROR(__xludf.DUMMYFUNCTION("""COMPUTED_VALUE"""),9621430589)</f>
        <v>9621430589</v>
      </c>
      <c r="J2468" s="1">
        <f>IFERROR(__xludf.DUMMYFUNCTION("""COMPUTED_VALUE"""),9753063121)</f>
        <v>9753063121</v>
      </c>
      <c r="K2468" s="1" t="str">
        <f>IFERROR(__xludf.DUMMYFUNCTION("""COMPUTED_VALUE"""),"riveraariel900@gmai.com")</f>
        <v>riveraariel900@gmai.com</v>
      </c>
      <c r="L2468" s="1" t="str">
        <f>IFERROR(__xludf.DUMMYFUNCTION("""COMPUTED_VALUE"""),"BLK 28 LOT 40")</f>
        <v>BLK 28 LOT 40</v>
      </c>
      <c r="M2468" s="1" t="str">
        <f>IFERROR(__xludf.DUMMYFUNCTION("""COMPUTED_VALUE"""),"PAGSINAG PLACE")</f>
        <v>PAGSINAG PLACE</v>
      </c>
      <c r="N2468" s="1"/>
      <c r="O2468" s="1" t="str">
        <f>IFERROR(__xludf.DUMMYFUNCTION("""COMPUTED_VALUE"""),"TIMALAN BALSAHAN")</f>
        <v>TIMALAN BALSAHAN</v>
      </c>
      <c r="P2468" s="1" t="str">
        <f>IFERROR(__xludf.DUMMYFUNCTION("""COMPUTED_VALUE"""),"NAIC")</f>
        <v>NAIC</v>
      </c>
      <c r="Q2468" s="1" t="str">
        <f>IFERROR(__xludf.DUMMYFUNCTION("""COMPUTED_VALUE"""),"CAVITE")</f>
        <v>CAVITE</v>
      </c>
      <c r="R2468" s="1" t="str">
        <f>IFERROR(__xludf.DUMMYFUNCTION("""COMPUTED_VALUE"""),"FIBR PLAN 1299")</f>
        <v>FIBR PLAN 1299</v>
      </c>
      <c r="S2468" s="1" t="str">
        <f>IFERROR(__xludf.DUMMYFUNCTION("""COMPUTED_VALUE"""),"APPROVED")</f>
        <v>APPROVED</v>
      </c>
      <c r="T2468" s="1" t="str">
        <f>IFERROR(__xludf.DUMMYFUNCTION("""COMPUTED_VALUE"""),"CANCELLED")</f>
        <v>CANCELLED</v>
      </c>
      <c r="U2468" s="1"/>
      <c r="V2468" s="1"/>
      <c r="W2468" s="1"/>
    </row>
    <row r="2469" customHeight="1" spans="1:23">
      <c r="A2469" s="3">
        <f>IFERROR(__xludf.DUMMYFUNCTION("""COMPUTED_VALUE"""),46217)</f>
        <v>46217</v>
      </c>
      <c r="B2469" s="1" t="str">
        <f>IFERROR(__xludf.DUMMYFUNCTION("""COMPUTED_VALUE"""),"TORALBA NENZ")</f>
        <v>TORALBA NENZ</v>
      </c>
      <c r="C2469" s="1" t="str">
        <f>IFERROR(__xludf.DUMMYFUNCTION("""COMPUTED_VALUE"""),"ORGANIC")</f>
        <v>ORGANIC</v>
      </c>
      <c r="D2469" s="1" t="str">
        <f>IFERROR(__xludf.DUMMYFUNCTION("""COMPUTED_VALUE"""),"REMOLLO LEA")</f>
        <v>REMOLLO LEA</v>
      </c>
      <c r="E2469" s="1" t="str">
        <f>IFERROR(__xludf.DUMMYFUNCTION("""COMPUTED_VALUE"""),"PLDT / H2H")</f>
        <v>PLDT / H2H</v>
      </c>
      <c r="F2469" s="1">
        <f>IFERROR(__xludf.DUMMYFUNCTION("""COMPUTED_VALUE"""),2310978535)</f>
        <v>2310978535</v>
      </c>
      <c r="G2469" s="1"/>
      <c r="H2469" s="1" t="str">
        <f>IFERROR(__xludf.DUMMYFUNCTION("""COMPUTED_VALUE"""),"JHULIE ANN MONCERA TONDENG")</f>
        <v>JHULIE ANN MONCERA TONDENG</v>
      </c>
      <c r="I2469" s="1">
        <f>IFERROR(__xludf.DUMMYFUNCTION("""COMPUTED_VALUE"""),9560074034)</f>
        <v>9560074034</v>
      </c>
      <c r="J2469" s="1"/>
      <c r="K2469" s="1" t="str">
        <f>IFERROR(__xludf.DUMMYFUNCTION("""COMPUTED_VALUE"""),"alyannaowseca@gmail.com")</f>
        <v>alyannaowseca@gmail.com</v>
      </c>
      <c r="L2469" s="1" t="str">
        <f>IFERROR(__xludf.DUMMYFUNCTION("""COMPUTED_VALUE"""),"BLK 158 LOT 6")</f>
        <v>BLK 158 LOT 6</v>
      </c>
      <c r="M2469" s="1" t="str">
        <f>IFERROR(__xludf.DUMMYFUNCTION("""COMPUTED_VALUE"""),"PHASE 4")</f>
        <v>PHASE 4</v>
      </c>
      <c r="N2469" s="1"/>
      <c r="O2469" s="1" t="str">
        <f>IFERROR(__xludf.DUMMYFUNCTION("""COMPUTED_VALUE"""),"PALIPARAN III")</f>
        <v>PALIPARAN III</v>
      </c>
      <c r="P2469" s="1" t="str">
        <f>IFERROR(__xludf.DUMMYFUNCTION("""COMPUTED_VALUE"""),"DASMARINAS")</f>
        <v>DASMARINAS</v>
      </c>
      <c r="Q2469" s="1" t="str">
        <f>IFERROR(__xludf.DUMMYFUNCTION("""COMPUTED_VALUE"""),"CAVITE")</f>
        <v>CAVITE</v>
      </c>
      <c r="R2469" s="1" t="str">
        <f>IFERROR(__xludf.DUMMYFUNCTION("""COMPUTED_VALUE"""),"FIBR PLAN 1299")</f>
        <v>FIBR PLAN 1299</v>
      </c>
      <c r="S2469" s="1" t="str">
        <f>IFERROR(__xludf.DUMMYFUNCTION("""COMPUTED_VALUE"""),"APPROVED")</f>
        <v>APPROVED</v>
      </c>
      <c r="T2469" s="1" t="str">
        <f>IFERROR(__xludf.DUMMYFUNCTION("""COMPUTED_VALUE"""),"CANCELLED")</f>
        <v>CANCELLED</v>
      </c>
      <c r="U2469" s="1"/>
      <c r="V2469" s="1"/>
      <c r="W2469" s="1"/>
    </row>
    <row r="2470" customHeight="1" spans="1:23">
      <c r="A2470" s="3">
        <f>IFERROR(__xludf.DUMMYFUNCTION("""COMPUTED_VALUE"""),46217)</f>
        <v>46217</v>
      </c>
      <c r="B2470" s="1" t="str">
        <f>IFERROR(__xludf.DUMMYFUNCTION("""COMPUTED_VALUE"""),"SANTOS, MART")</f>
        <v>SANTOS, MART</v>
      </c>
      <c r="C2470" s="1" t="str">
        <f>IFERROR(__xludf.DUMMYFUNCTION("""COMPUTED_VALUE"""),"ORGANIC")</f>
        <v>ORGANIC</v>
      </c>
      <c r="D2470" s="1" t="str">
        <f>IFERROR(__xludf.DUMMYFUNCTION("""COMPUTED_VALUE"""),"REMOLLO LEA")</f>
        <v>REMOLLO LEA</v>
      </c>
      <c r="E2470" s="1" t="str">
        <f>IFERROR(__xludf.DUMMYFUNCTION("""COMPUTED_VALUE"""),"PLDT / H2H")</f>
        <v>PLDT / H2H</v>
      </c>
      <c r="F2470" s="1">
        <f>IFERROR(__xludf.DUMMYFUNCTION("""COMPUTED_VALUE"""),2310979076)</f>
        <v>2310979076</v>
      </c>
      <c r="G2470" s="1"/>
      <c r="H2470" s="1" t="str">
        <f>IFERROR(__xludf.DUMMYFUNCTION("""COMPUTED_VALUE"""),"JHON CARLO BAGORIO MIOMIO")</f>
        <v>JHON CARLO BAGORIO MIOMIO</v>
      </c>
      <c r="I2470" s="1">
        <f>IFERROR(__xludf.DUMMYFUNCTION("""COMPUTED_VALUE"""),9658168783)</f>
        <v>9658168783</v>
      </c>
      <c r="J2470" s="1"/>
      <c r="K2470" s="1" t="str">
        <f>IFERROR(__xludf.DUMMYFUNCTION("""COMPUTED_VALUE"""),"cutiesabelle@gmail.com")</f>
        <v>cutiesabelle@gmail.com</v>
      </c>
      <c r="L2470" s="1" t="str">
        <f>IFERROR(__xludf.DUMMYFUNCTION("""COMPUTED_VALUE"""),"418")</f>
        <v>418</v>
      </c>
      <c r="M2470" s="1" t="str">
        <f>IFERROR(__xludf.DUMMYFUNCTION("""COMPUTED_VALUE"""),"EVANGELISTA ")</f>
        <v>EVANGELISTA </v>
      </c>
      <c r="N2470" s="1"/>
      <c r="O2470" s="1" t="str">
        <f>IFERROR(__xludf.DUMMYFUNCTION("""COMPUTED_VALUE"""),"MUZON I")</f>
        <v>MUZON I</v>
      </c>
      <c r="P2470" s="1" t="str">
        <f>IFERROR(__xludf.DUMMYFUNCTION("""COMPUTED_VALUE"""),"ROSARIO")</f>
        <v>ROSARIO</v>
      </c>
      <c r="Q2470" s="1" t="str">
        <f>IFERROR(__xludf.DUMMYFUNCTION("""COMPUTED_VALUE"""),"CAVITE")</f>
        <v>CAVITE</v>
      </c>
      <c r="R2470" s="1" t="str">
        <f>IFERROR(__xludf.DUMMYFUNCTION("""COMPUTED_VALUE"""),"FIBR PLAN 1299")</f>
        <v>FIBR PLAN 1299</v>
      </c>
      <c r="S2470" s="1" t="str">
        <f>IFERROR(__xludf.DUMMYFUNCTION("""COMPUTED_VALUE"""),"APPROVED")</f>
        <v>APPROVED</v>
      </c>
      <c r="T2470" s="1" t="str">
        <f>IFERROR(__xludf.DUMMYFUNCTION("""COMPUTED_VALUE"""),"SUBS CANCELLED ")</f>
        <v>SUBS CANCELLED </v>
      </c>
      <c r="U2470" s="1"/>
      <c r="V2470" s="1"/>
      <c r="W2470" s="1"/>
    </row>
    <row r="2471" customHeight="1" spans="1:23">
      <c r="A2471" s="3">
        <f>IFERROR(__xludf.DUMMYFUNCTION("""COMPUTED_VALUE"""),46217)</f>
        <v>46217</v>
      </c>
      <c r="B2471" s="1" t="str">
        <f>IFERROR(__xludf.DUMMYFUNCTION("""COMPUTED_VALUE"""),"GENARILLO. EDILWISE")</f>
        <v>GENARILLO. EDILWISE</v>
      </c>
      <c r="C2471" s="1" t="str">
        <f>IFERROR(__xludf.DUMMYFUNCTION("""COMPUTED_VALUE"""),"ORGANIC")</f>
        <v>ORGANIC</v>
      </c>
      <c r="D2471" s="1" t="str">
        <f>IFERROR(__xludf.DUMMYFUNCTION("""COMPUTED_VALUE"""),"REMOLLO LEA")</f>
        <v>REMOLLO LEA</v>
      </c>
      <c r="E2471" s="1" t="str">
        <f>IFERROR(__xludf.DUMMYFUNCTION("""COMPUTED_VALUE"""),"PLDT / H2H")</f>
        <v>PLDT / H2H</v>
      </c>
      <c r="F2471" s="1">
        <f>IFERROR(__xludf.DUMMYFUNCTION("""COMPUTED_VALUE"""),2310978698)</f>
        <v>2310978698</v>
      </c>
      <c r="G2471" s="1"/>
      <c r="H2471" s="1" t="str">
        <f>IFERROR(__xludf.DUMMYFUNCTION("""COMPUTED_VALUE"""),"JOSELITO GULELA TABUDLONG")</f>
        <v>JOSELITO GULELA TABUDLONG</v>
      </c>
      <c r="I2471" s="1">
        <f>IFERROR(__xludf.DUMMYFUNCTION("""COMPUTED_VALUE"""),9224858248)</f>
        <v>9224858248</v>
      </c>
      <c r="J2471" s="1"/>
      <c r="K2471" s="1" t="str">
        <f>IFERROR(__xludf.DUMMYFUNCTION("""COMPUTED_VALUE"""),"quinzie49@gmail.com")</f>
        <v>quinzie49@gmail.com</v>
      </c>
      <c r="L2471" s="1" t="str">
        <f>IFERROR(__xludf.DUMMYFUNCTION("""COMPUTED_VALUE"""),"BLK 29 LOT 13")</f>
        <v>BLK 29 LOT 13</v>
      </c>
      <c r="M2471" s="1" t="str">
        <f>IFERROR(__xludf.DUMMYFUNCTION("""COMPUTED_VALUE"""),"PUROK 2")</f>
        <v>PUROK 2</v>
      </c>
      <c r="N2471" s="1"/>
      <c r="O2471" s="1" t="str">
        <f>IFERROR(__xludf.DUMMYFUNCTION("""COMPUTED_VALUE"""),"VICTORIA REYES")</f>
        <v>VICTORIA REYES</v>
      </c>
      <c r="P2471" s="1" t="str">
        <f>IFERROR(__xludf.DUMMYFUNCTION("""COMPUTED_VALUE"""),"DASMARINAS")</f>
        <v>DASMARINAS</v>
      </c>
      <c r="Q2471" s="1" t="str">
        <f>IFERROR(__xludf.DUMMYFUNCTION("""COMPUTED_VALUE"""),"CAVITE")</f>
        <v>CAVITE</v>
      </c>
      <c r="R2471" s="1" t="str">
        <f>IFERROR(__xludf.DUMMYFUNCTION("""COMPUTED_VALUE"""),"FIBR UNLI ALL PLAN 1399")</f>
        <v>FIBR UNLI ALL PLAN 1399</v>
      </c>
      <c r="S2471" s="1" t="str">
        <f>IFERROR(__xludf.DUMMYFUNCTION("""COMPUTED_VALUE"""),"APPROVED")</f>
        <v>APPROVED</v>
      </c>
      <c r="T2471" s="1" t="str">
        <f>IFERROR(__xludf.DUMMYFUNCTION("""COMPUTED_VALUE"""),"SUBS CANCELLED ")</f>
        <v>SUBS CANCELLED </v>
      </c>
      <c r="U2471" s="1"/>
      <c r="V2471" s="1"/>
      <c r="W2471" s="1"/>
    </row>
    <row r="2472" customHeight="1" spans="1:23">
      <c r="A2472" s="3">
        <f>IFERROR(__xludf.DUMMYFUNCTION("""COMPUTED_VALUE"""),46217)</f>
        <v>46217</v>
      </c>
      <c r="B2472" s="1" t="str">
        <f>IFERROR(__xludf.DUMMYFUNCTION("""COMPUTED_VALUE"""),"FRANCISCO , ROSELYN")</f>
        <v>FRANCISCO , ROSELYN</v>
      </c>
      <c r="C2472" s="1" t="str">
        <f>IFERROR(__xludf.DUMMYFUNCTION("""COMPUTED_VALUE"""),"ORGANIC")</f>
        <v>ORGANIC</v>
      </c>
      <c r="D2472" s="1" t="str">
        <f>IFERROR(__xludf.DUMMYFUNCTION("""COMPUTED_VALUE"""),"REMOLLO LEA")</f>
        <v>REMOLLO LEA</v>
      </c>
      <c r="E2472" s="1" t="str">
        <f>IFERROR(__xludf.DUMMYFUNCTION("""COMPUTED_VALUE"""),"PLDT / ONLINE")</f>
        <v>PLDT / ONLINE</v>
      </c>
      <c r="F2472" s="1">
        <f>IFERROR(__xludf.DUMMYFUNCTION("""COMPUTED_VALUE"""),2310967898)</f>
        <v>2310967898</v>
      </c>
      <c r="G2472" s="1">
        <f>IFERROR(__xludf.DUMMYFUNCTION("""COMPUTED_VALUE"""),462538435004)</f>
        <v>462538435004</v>
      </c>
      <c r="H2472" s="1" t="str">
        <f>IFERROR(__xludf.DUMMYFUNCTION("""COMPUTED_VALUE"""),"AYASHA PAULINE UBALDE")</f>
        <v>AYASHA PAULINE UBALDE</v>
      </c>
      <c r="I2472" s="1">
        <f>IFERROR(__xludf.DUMMYFUNCTION("""COMPUTED_VALUE"""),9306396743)</f>
        <v>9306396743</v>
      </c>
      <c r="J2472" s="1">
        <f>IFERROR(__xludf.DUMMYFUNCTION("""COMPUTED_VALUE"""),9632909523)</f>
        <v>9632909523</v>
      </c>
      <c r="K2472" s="1" t="str">
        <f>IFERROR(__xludf.DUMMYFUNCTION("""COMPUTED_VALUE"""),"allen10ubalde@gmail.com")</f>
        <v>allen10ubalde@gmail.com</v>
      </c>
      <c r="L2472" s="1" t="str">
        <f>IFERROR(__xludf.DUMMYFUNCTION("""COMPUTED_VALUE"""),"BLK 6 LOT 7")</f>
        <v>BLK 6 LOT 7</v>
      </c>
      <c r="M2472" s="1" t="str">
        <f>IFERROR(__xludf.DUMMYFUNCTION("""COMPUTED_VALUE"""),"PINK")</f>
        <v>PINK</v>
      </c>
      <c r="N2472" s="1"/>
      <c r="O2472" s="1" t="str">
        <f>IFERROR(__xludf.DUMMYFUNCTION("""COMPUTED_VALUE"""),"TINIENTE TIAGO")</f>
        <v>TINIENTE TIAGO</v>
      </c>
      <c r="P2472" s="1" t="str">
        <f>IFERROR(__xludf.DUMMYFUNCTION("""COMPUTED_VALUE"""),"GEN MARIANO ALVAREZ")</f>
        <v>GEN MARIANO ALVAREZ</v>
      </c>
      <c r="Q2472" s="1" t="str">
        <f>IFERROR(__xludf.DUMMYFUNCTION("""COMPUTED_VALUE"""),"CAVITE")</f>
        <v>CAVITE</v>
      </c>
      <c r="R2472" s="1" t="str">
        <f>IFERROR(__xludf.DUMMYFUNCTION("""COMPUTED_VALUE"""),"FIBR UNLI ALL PLAN 1399")</f>
        <v>FIBR UNLI ALL PLAN 1399</v>
      </c>
      <c r="S2472" s="1" t="str">
        <f>IFERROR(__xludf.DUMMYFUNCTION("""COMPUTED_VALUE"""),"APPROVED")</f>
        <v>APPROVED</v>
      </c>
      <c r="T2472" s="1" t="str">
        <f>IFERROR(__xludf.DUMMYFUNCTION("""COMPUTED_VALUE"""),"CLOSED")</f>
        <v>CLOSED</v>
      </c>
      <c r="U2472" s="1" t="str">
        <f>IFERROR(__xludf.DUMMYFUNCTION("""COMPUTED_VALUE"""),"POSTED")</f>
        <v>POSTED</v>
      </c>
      <c r="V2472" s="1"/>
      <c r="W2472" s="1"/>
    </row>
    <row r="2473" customHeight="1" spans="1:23">
      <c r="A2473" s="3">
        <f>IFERROR(__xludf.DUMMYFUNCTION("""COMPUTED_VALUE"""),46218)</f>
        <v>46218</v>
      </c>
      <c r="B2473" s="1" t="str">
        <f>IFERROR(__xludf.DUMMYFUNCTION("""COMPUTED_VALUE"""),"ESCARCHA, MA ALMA  ESCOTO")</f>
        <v>ESCARCHA, MA ALMA  ESCOTO</v>
      </c>
      <c r="C2473" s="1" t="str">
        <f>IFERROR(__xludf.DUMMYFUNCTION("""COMPUTED_VALUE"""),"ORGANIC")</f>
        <v>ORGANIC</v>
      </c>
      <c r="D2473" s="1" t="str">
        <f>IFERROR(__xludf.DUMMYFUNCTION("""COMPUTED_VALUE"""),"REMOLLO LEA")</f>
        <v>REMOLLO LEA</v>
      </c>
      <c r="E2473" s="1" t="str">
        <f>IFERROR(__xludf.DUMMYFUNCTION("""COMPUTED_VALUE"""),"PLDT / ONLINE")</f>
        <v>PLDT / ONLINE</v>
      </c>
      <c r="F2473" s="1">
        <f>IFERROR(__xludf.DUMMYFUNCTION("""COMPUTED_VALUE"""),2310992199)</f>
        <v>2310992199</v>
      </c>
      <c r="G2473" s="1">
        <f>IFERROR(__xludf.DUMMYFUNCTION("""COMPUTED_VALUE"""),462731266004)</f>
        <v>462731266004</v>
      </c>
      <c r="H2473" s="1" t="str">
        <f>IFERROR(__xludf.DUMMYFUNCTION("""COMPUTED_VALUE"""),"MARVIN LORIA SEBOC")</f>
        <v>MARVIN LORIA SEBOC</v>
      </c>
      <c r="I2473" s="1">
        <f>IFERROR(__xludf.DUMMYFUNCTION("""COMPUTED_VALUE"""),9278253347)</f>
        <v>9278253347</v>
      </c>
      <c r="J2473" s="1">
        <f>IFERROR(__xludf.DUMMYFUNCTION("""COMPUTED_VALUE"""),9083076753)</f>
        <v>9083076753</v>
      </c>
      <c r="K2473" s="1" t="str">
        <f>IFERROR(__xludf.DUMMYFUNCTION("""COMPUTED_VALUE"""),"mseboc1@gmail.com")</f>
        <v>mseboc1@gmail.com</v>
      </c>
      <c r="L2473" s="1" t="str">
        <f>IFERROR(__xludf.DUMMYFUNCTION("""COMPUTED_VALUE"""),"UNIT 821")</f>
        <v>UNIT 821</v>
      </c>
      <c r="M2473" s="1" t="str">
        <f>IFERROR(__xludf.DUMMYFUNCTION("""COMPUTED_VALUE"""),"A")</f>
        <v>A</v>
      </c>
      <c r="N2473" s="1" t="str">
        <f>IFERROR(__xludf.DUMMYFUNCTION("""COMPUTED_VALUE"""),"SMDC")</f>
        <v>SMDC</v>
      </c>
      <c r="O2473" s="1" t="str">
        <f>IFERROR(__xludf.DUMMYFUNCTION("""COMPUTED_VALUE"""),"MAHARLIKA WEST")</f>
        <v>MAHARLIKA WEST</v>
      </c>
      <c r="P2473" s="1" t="str">
        <f>IFERROR(__xludf.DUMMYFUNCTION("""COMPUTED_VALUE"""),"TAGAYTAY")</f>
        <v>TAGAYTAY</v>
      </c>
      <c r="Q2473" s="1" t="str">
        <f>IFERROR(__xludf.DUMMYFUNCTION("""COMPUTED_VALUE"""),"CAVITE")</f>
        <v>CAVITE</v>
      </c>
      <c r="R2473" s="1" t="str">
        <f>IFERROR(__xludf.DUMMYFUNCTION("""COMPUTED_VALUE"""),"FIBR PLAN 1699")</f>
        <v>FIBR PLAN 1699</v>
      </c>
      <c r="S2473" s="1" t="str">
        <f>IFERROR(__xludf.DUMMYFUNCTION("""COMPUTED_VALUE"""),"APPROVED")</f>
        <v>APPROVED</v>
      </c>
      <c r="T2473" s="1" t="str">
        <f>IFERROR(__xludf.DUMMYFUNCTION("""COMPUTED_VALUE"""),"RPR")</f>
        <v>RPR</v>
      </c>
      <c r="U2473" s="1" t="str">
        <f>IFERROR(__xludf.DUMMYFUNCTION("""COMPUTED_VALUE"""),"CANCELLED NA DAW ITO AYAW NA NG MAY ARI NG UNIT AS PER AGENT")</f>
        <v>CANCELLED NA DAW ITO AYAW NA NG MAY ARI NG UNIT AS PER AGENT</v>
      </c>
      <c r="V2473" s="1"/>
      <c r="W2473" s="1"/>
    </row>
    <row r="2474" customHeight="1" spans="1:23">
      <c r="A2474" s="3">
        <f>IFERROR(__xludf.DUMMYFUNCTION("""COMPUTED_VALUE"""),46218)</f>
        <v>46218</v>
      </c>
      <c r="B2474" s="1" t="str">
        <f>IFERROR(__xludf.DUMMYFUNCTION("""COMPUTED_VALUE"""),"OPS JHONDEE")</f>
        <v>OPS JHONDEE</v>
      </c>
      <c r="C2474" s="1" t="str">
        <f>IFERROR(__xludf.DUMMYFUNCTION("""COMPUTED_VALUE"""),"LEADSTORE")</f>
        <v>LEADSTORE</v>
      </c>
      <c r="D2474" s="1" t="str">
        <f>IFERROR(__xludf.DUMMYFUNCTION("""COMPUTED_VALUE"""),"JERIC NAVARRO")</f>
        <v>JERIC NAVARRO</v>
      </c>
      <c r="E2474" s="1" t="str">
        <f>IFERROR(__xludf.DUMMYFUNCTION("""COMPUTED_VALUE"""),"PLDT / ONLINE")</f>
        <v>PLDT / ONLINE</v>
      </c>
      <c r="F2474" s="1">
        <f>IFERROR(__xludf.DUMMYFUNCTION("""COMPUTED_VALUE"""),2310990953)</f>
        <v>2310990953</v>
      </c>
      <c r="G2474" s="1">
        <f>IFERROR(__xludf.DUMMYFUNCTION("""COMPUTED_VALUE"""),462696716004)</f>
        <v>462696716004</v>
      </c>
      <c r="H2474" s="1" t="str">
        <f>IFERROR(__xludf.DUMMYFUNCTION("""COMPUTED_VALUE"""),"AIRA MAE CARLOS MERCADO")</f>
        <v>AIRA MAE CARLOS MERCADO</v>
      </c>
      <c r="I2474" s="1">
        <f>IFERROR(__xludf.DUMMYFUNCTION("""COMPUTED_VALUE"""),9926552918)</f>
        <v>9926552918</v>
      </c>
      <c r="J2474" s="1">
        <f>IFERROR(__xludf.DUMMYFUNCTION("""COMPUTED_VALUE"""),9511626636)</f>
        <v>9511626636</v>
      </c>
      <c r="K2474" s="1" t="str">
        <f>IFERROR(__xludf.DUMMYFUNCTION("""COMPUTED_VALUE"""),"mercadoairamae2@gmail.com")</f>
        <v>mercadoairamae2@gmail.com</v>
      </c>
      <c r="L2474" s="1" t="str">
        <f>IFERROR(__xludf.DUMMYFUNCTION("""COMPUTED_VALUE"""),"LOT 4296")</f>
        <v>LOT 4296</v>
      </c>
      <c r="M2474" s="1" t="str">
        <f>IFERROR(__xludf.DUMMYFUNCTION("""COMPUTED_VALUE"""),"KAP PEPE")</f>
        <v>KAP PEPE</v>
      </c>
      <c r="N2474" s="1"/>
      <c r="O2474" s="1" t="str">
        <f>IFERROR(__xludf.DUMMYFUNCTION("""COMPUTED_VALUE"""),"TUBUAN III")</f>
        <v>TUBUAN III</v>
      </c>
      <c r="P2474" s="1" t="str">
        <f>IFERROR(__xludf.DUMMYFUNCTION("""COMPUTED_VALUE"""),"SILANG")</f>
        <v>SILANG</v>
      </c>
      <c r="Q2474" s="1" t="str">
        <f>IFERROR(__xludf.DUMMYFUNCTION("""COMPUTED_VALUE"""),"CAVITE")</f>
        <v>CAVITE</v>
      </c>
      <c r="R2474" s="1" t="str">
        <f>IFERROR(__xludf.DUMMYFUNCTION("""COMPUTED_VALUE"""),"FIBR PLAN 1299")</f>
        <v>FIBR PLAN 1299</v>
      </c>
      <c r="S2474" s="1" t="str">
        <f>IFERROR(__xludf.DUMMYFUNCTION("""COMPUTED_VALUE"""),"APPROVED")</f>
        <v>APPROVED</v>
      </c>
      <c r="T2474" s="1" t="str">
        <f>IFERROR(__xludf.DUMMYFUNCTION("""COMPUTED_VALUE"""),"CLOSED")</f>
        <v>CLOSED</v>
      </c>
      <c r="U2474" s="1" t="str">
        <f>IFERROR(__xludf.DUMMYFUNCTION("""COMPUTED_VALUE"""),"POSTED")</f>
        <v>POSTED</v>
      </c>
      <c r="V2474" s="1"/>
      <c r="W2474" s="1"/>
    </row>
    <row r="2475" customHeight="1" spans="1:23">
      <c r="A2475" s="3">
        <f>IFERROR(__xludf.DUMMYFUNCTION("""COMPUTED_VALUE"""),46218)</f>
        <v>46218</v>
      </c>
      <c r="B2475" s="1" t="str">
        <f>IFERROR(__xludf.DUMMYFUNCTION("""COMPUTED_VALUE"""),"MALIWAT MARK ELVIN")</f>
        <v>MALIWAT MARK ELVIN</v>
      </c>
      <c r="C2475" s="1" t="str">
        <f>IFERROR(__xludf.DUMMYFUNCTION("""COMPUTED_VALUE"""),"FLA")</f>
        <v>FLA</v>
      </c>
      <c r="D2475" s="1" t="str">
        <f>IFERROR(__xludf.DUMMYFUNCTION("""COMPUTED_VALUE"""),"JERIC NAVARRO")</f>
        <v>JERIC NAVARRO</v>
      </c>
      <c r="E2475" s="1" t="str">
        <f>IFERROR(__xludf.DUMMYFUNCTION("""COMPUTED_VALUE"""),"PLDT / ONLINE")</f>
        <v>PLDT / ONLINE</v>
      </c>
      <c r="F2475" s="1">
        <f>IFERROR(__xludf.DUMMYFUNCTION("""COMPUTED_VALUE"""),2311051403)</f>
        <v>2311051403</v>
      </c>
      <c r="G2475" s="1">
        <f>IFERROR(__xludf.DUMMYFUNCTION("""COMPUTED_VALUE"""),462950586004)</f>
        <v>462950586004</v>
      </c>
      <c r="H2475" s="1" t="str">
        <f>IFERROR(__xludf.DUMMYFUNCTION("""COMPUTED_VALUE"""),"LEAH MAY ABENIA MANTUANO")</f>
        <v>LEAH MAY ABENIA MANTUANO</v>
      </c>
      <c r="I2475" s="1">
        <f>IFERROR(__xludf.DUMMYFUNCTION("""COMPUTED_VALUE"""),9491619276)</f>
        <v>9491619276</v>
      </c>
      <c r="J2475" s="1">
        <f>IFERROR(__xludf.DUMMYFUNCTION("""COMPUTED_VALUE"""),9996919752)</f>
        <v>9996919752</v>
      </c>
      <c r="K2475" s="1" t="str">
        <f>IFERROR(__xludf.DUMMYFUNCTION("""COMPUTED_VALUE"""),"liyamimi06@gmial.com")</f>
        <v>liyamimi06@gmial.com</v>
      </c>
      <c r="L2475" s="1" t="str">
        <f>IFERROR(__xludf.DUMMYFUNCTION("""COMPUTED_VALUE"""),"BLK 6 LOT 7")</f>
        <v>BLK 6 LOT 7</v>
      </c>
      <c r="M2475" s="1" t="str">
        <f>IFERROR(__xludf.DUMMYFUNCTION("""COMPUTED_VALUE"""),"KS1")</f>
        <v>KS1</v>
      </c>
      <c r="N2475" s="1" t="str">
        <f>IFERROR(__xludf.DUMMYFUNCTION("""COMPUTED_VALUE"""),"LANCASTER")</f>
        <v>LANCASTER</v>
      </c>
      <c r="O2475" s="1" t="str">
        <f>IFERROR(__xludf.DUMMYFUNCTION("""COMPUTED_VALUE"""),"NAVARRO")</f>
        <v>NAVARRO</v>
      </c>
      <c r="P2475" s="1" t="str">
        <f>IFERROR(__xludf.DUMMYFUNCTION("""COMPUTED_VALUE"""),"GENERAL TRIAS")</f>
        <v>GENERAL TRIAS</v>
      </c>
      <c r="Q2475" s="1" t="str">
        <f>IFERROR(__xludf.DUMMYFUNCTION("""COMPUTED_VALUE"""),"CAVITE")</f>
        <v>CAVITE</v>
      </c>
      <c r="R2475" s="1" t="str">
        <f>IFERROR(__xludf.DUMMYFUNCTION("""COMPUTED_VALUE"""),"FIBR PLAN 1699")</f>
        <v>FIBR PLAN 1699</v>
      </c>
      <c r="S2475" s="1" t="str">
        <f>IFERROR(__xludf.DUMMYFUNCTION("""COMPUTED_VALUE"""),"APPROVED")</f>
        <v>APPROVED</v>
      </c>
      <c r="T2475" s="1" t="str">
        <f>IFERROR(__xludf.DUMMYFUNCTION("""COMPUTED_VALUE"""),"CLOSED")</f>
        <v>CLOSED</v>
      </c>
      <c r="U2475" s="1" t="str">
        <f>IFERROR(__xludf.DUMMYFUNCTION("""COMPUTED_VALUE"""),"POSTED")</f>
        <v>POSTED</v>
      </c>
      <c r="V2475" s="1"/>
      <c r="W2475" s="1"/>
    </row>
    <row r="2476" customHeight="1" spans="1:23">
      <c r="A2476" s="3">
        <f>IFERROR(__xludf.DUMMYFUNCTION("""COMPUTED_VALUE"""),46218)</f>
        <v>46218</v>
      </c>
      <c r="B2476" s="1" t="str">
        <f>IFERROR(__xludf.DUMMYFUNCTION("""COMPUTED_VALUE"""),"MALIWAT MARK ELVIN")</f>
        <v>MALIWAT MARK ELVIN</v>
      </c>
      <c r="C2476" s="1" t="str">
        <f>IFERROR(__xludf.DUMMYFUNCTION("""COMPUTED_VALUE"""),"FLA")</f>
        <v>FLA</v>
      </c>
      <c r="D2476" s="1" t="str">
        <f>IFERROR(__xludf.DUMMYFUNCTION("""COMPUTED_VALUE"""),"JERIC NAVARRO")</f>
        <v>JERIC NAVARRO</v>
      </c>
      <c r="E2476" s="1" t="str">
        <f>IFERROR(__xludf.DUMMYFUNCTION("""COMPUTED_VALUE"""),"PLDT / ONLINE")</f>
        <v>PLDT / ONLINE</v>
      </c>
      <c r="F2476" s="1">
        <f>IFERROR(__xludf.DUMMYFUNCTION("""COMPUTED_VALUE"""),2310994723)</f>
        <v>2310994723</v>
      </c>
      <c r="G2476" s="1">
        <f>IFERROR(__xludf.DUMMYFUNCTION("""COMPUTED_VALUE"""),462698254004)</f>
        <v>462698254004</v>
      </c>
      <c r="H2476" s="1" t="str">
        <f>IFERROR(__xludf.DUMMYFUNCTION("""COMPUTED_VALUE"""),"CLARICE ANN CAJUCOM FROMANES")</f>
        <v>CLARICE ANN CAJUCOM FROMANES</v>
      </c>
      <c r="I2476" s="1">
        <f>IFERROR(__xludf.DUMMYFUNCTION("""COMPUTED_VALUE"""),9058003920)</f>
        <v>9058003920</v>
      </c>
      <c r="J2476" s="1">
        <f>IFERROR(__xludf.DUMMYFUNCTION("""COMPUTED_VALUE"""),9307338982)</f>
        <v>9307338982</v>
      </c>
      <c r="K2476" s="1" t="str">
        <f>IFERROR(__xludf.DUMMYFUNCTION("""COMPUTED_VALUE"""),"clariceannvertudes@gmail.com")</f>
        <v>clariceannvertudes@gmail.com</v>
      </c>
      <c r="L2476" s="1" t="str">
        <f>IFERROR(__xludf.DUMMYFUNCTION("""COMPUTED_VALUE"""),"BLK 22 LOT 20")</f>
        <v>BLK 22 LOT 20</v>
      </c>
      <c r="M2476" s="1" t="str">
        <f>IFERROR(__xludf.DUMMYFUNCTION("""COMPUTED_VALUE"""),"MASAYAHIN ST")</f>
        <v>MASAYAHIN ST</v>
      </c>
      <c r="N2476" s="1"/>
      <c r="O2476" s="1" t="str">
        <f>IFERROR(__xludf.DUMMYFUNCTION("""COMPUTED_VALUE"""),"PASONG KAWAYAN II")</f>
        <v>PASONG KAWAYAN II</v>
      </c>
      <c r="P2476" s="1" t="str">
        <f>IFERROR(__xludf.DUMMYFUNCTION("""COMPUTED_VALUE"""),"GENERAL TRIAS")</f>
        <v>GENERAL TRIAS</v>
      </c>
      <c r="Q2476" s="1" t="str">
        <f>IFERROR(__xludf.DUMMYFUNCTION("""COMPUTED_VALUE"""),"CAVITE")</f>
        <v>CAVITE</v>
      </c>
      <c r="R2476" s="1" t="str">
        <f>IFERROR(__xludf.DUMMYFUNCTION("""COMPUTED_VALUE"""),"FIBR UNLI ALL PLAN 1399")</f>
        <v>FIBR UNLI ALL PLAN 1399</v>
      </c>
      <c r="S2476" s="1" t="str">
        <f>IFERROR(__xludf.DUMMYFUNCTION("""COMPUTED_VALUE"""),"APPROVED")</f>
        <v>APPROVED</v>
      </c>
      <c r="T2476" s="1" t="str">
        <f>IFERROR(__xludf.DUMMYFUNCTION("""COMPUTED_VALUE"""),"CLOSED")</f>
        <v>CLOSED</v>
      </c>
      <c r="U2476" s="1" t="str">
        <f>IFERROR(__xludf.DUMMYFUNCTION("""COMPUTED_VALUE"""),"POSTED")</f>
        <v>POSTED</v>
      </c>
      <c r="V2476" s="1"/>
      <c r="W2476" s="1"/>
    </row>
    <row r="2477" customHeight="1" spans="1:23">
      <c r="A2477" s="3">
        <f>IFERROR(__xludf.DUMMYFUNCTION("""COMPUTED_VALUE"""),46218)</f>
        <v>46218</v>
      </c>
      <c r="B2477" s="1" t="str">
        <f>IFERROR(__xludf.DUMMYFUNCTION("""COMPUTED_VALUE"""),"GABAY, MANUEL")</f>
        <v>GABAY, MANUEL</v>
      </c>
      <c r="C2477" s="1" t="str">
        <f>IFERROR(__xludf.DUMMYFUNCTION("""COMPUTED_VALUE"""),"FLA")</f>
        <v>FLA</v>
      </c>
      <c r="D2477" s="1" t="str">
        <f>IFERROR(__xludf.DUMMYFUNCTION("""COMPUTED_VALUE"""),"JERIC NAVARRO")</f>
        <v>JERIC NAVARRO</v>
      </c>
      <c r="E2477" s="1" t="str">
        <f>IFERROR(__xludf.DUMMYFUNCTION("""COMPUTED_VALUE"""),"PLDT / ONLINE")</f>
        <v>PLDT / ONLINE</v>
      </c>
      <c r="F2477" s="1">
        <f>IFERROR(__xludf.DUMMYFUNCTION("""COMPUTED_VALUE"""),2310995225)</f>
        <v>2310995225</v>
      </c>
      <c r="G2477" s="1">
        <f>IFERROR(__xludf.DUMMYFUNCTION("""COMPUTED_VALUE"""),462698585004)</f>
        <v>462698585004</v>
      </c>
      <c r="H2477" s="1" t="str">
        <f>IFERROR(__xludf.DUMMYFUNCTION("""COMPUTED_VALUE"""),"MODESTO VILLAR SAQUILABON")</f>
        <v>MODESTO VILLAR SAQUILABON</v>
      </c>
      <c r="I2477" s="1">
        <f>IFERROR(__xludf.DUMMYFUNCTION("""COMPUTED_VALUE"""),9268685036)</f>
        <v>9268685036</v>
      </c>
      <c r="J2477" s="1"/>
      <c r="K2477" s="1" t="str">
        <f>IFERROR(__xludf.DUMMYFUNCTION("""COMPUTED_VALUE"""),"modestosaqauilabon12@gmail.com")</f>
        <v>modestosaqauilabon12@gmail.com</v>
      </c>
      <c r="L2477" s="1" t="str">
        <f>IFERROR(__xludf.DUMMYFUNCTION("""COMPUTED_VALUE"""),"LOT 8441")</f>
        <v>LOT 8441</v>
      </c>
      <c r="M2477" s="1" t="str">
        <f>IFERROR(__xludf.DUMMYFUNCTION("""COMPUTED_VALUE"""),"NEOGAN")</f>
        <v>NEOGAN</v>
      </c>
      <c r="N2477" s="1"/>
      <c r="O2477" s="1" t="str">
        <f>IFERROR(__xludf.DUMMYFUNCTION("""COMPUTED_VALUE"""),"NEOGAN")</f>
        <v>NEOGAN</v>
      </c>
      <c r="P2477" s="1" t="str">
        <f>IFERROR(__xludf.DUMMYFUNCTION("""COMPUTED_VALUE"""),"TAGAYTAY")</f>
        <v>TAGAYTAY</v>
      </c>
      <c r="Q2477" s="1" t="str">
        <f>IFERROR(__xludf.DUMMYFUNCTION("""COMPUTED_VALUE"""),"CAVITE")</f>
        <v>CAVITE</v>
      </c>
      <c r="R2477" s="1" t="str">
        <f>IFERROR(__xludf.DUMMYFUNCTION("""COMPUTED_VALUE"""),"FIBR UNLI ALL PLAN 1399")</f>
        <v>FIBR UNLI ALL PLAN 1399</v>
      </c>
      <c r="S2477" s="1" t="str">
        <f>IFERROR(__xludf.DUMMYFUNCTION("""COMPUTED_VALUE"""),"APPROVED")</f>
        <v>APPROVED</v>
      </c>
      <c r="T2477" s="1" t="str">
        <f>IFERROR(__xludf.DUMMYFUNCTION("""COMPUTED_VALUE"""),"CLOSED")</f>
        <v>CLOSED</v>
      </c>
      <c r="U2477" s="1" t="str">
        <f>IFERROR(__xludf.DUMMYFUNCTION("""COMPUTED_VALUE"""),"POSTED")</f>
        <v>POSTED</v>
      </c>
      <c r="V2477" s="1"/>
      <c r="W2477" s="1"/>
    </row>
    <row r="2478" customHeight="1" spans="1:23">
      <c r="A2478" s="3">
        <f>IFERROR(__xludf.DUMMYFUNCTION("""COMPUTED_VALUE"""),46218)</f>
        <v>46218</v>
      </c>
      <c r="B2478" s="1" t="str">
        <f>IFERROR(__xludf.DUMMYFUNCTION("""COMPUTED_VALUE"""),"MAGDARAOG, KENNETH")</f>
        <v>MAGDARAOG, KENNETH</v>
      </c>
      <c r="C2478" s="1" t="str">
        <f>IFERROR(__xludf.DUMMYFUNCTION("""COMPUTED_VALUE"""),"ORGANIC")</f>
        <v>ORGANIC</v>
      </c>
      <c r="D2478" s="1" t="str">
        <f>IFERROR(__xludf.DUMMYFUNCTION("""COMPUTED_VALUE"""),"REMOLLO LEA")</f>
        <v>REMOLLO LEA</v>
      </c>
      <c r="E2478" s="1" t="str">
        <f>IFERROR(__xludf.DUMMYFUNCTION("""COMPUTED_VALUE"""),"PLDT / H2H")</f>
        <v>PLDT / H2H</v>
      </c>
      <c r="F2478" s="1">
        <f>IFERROR(__xludf.DUMMYFUNCTION("""COMPUTED_VALUE"""),2311000849)</f>
        <v>2311000849</v>
      </c>
      <c r="G2478" s="1">
        <f>IFERROR(__xludf.DUMMYFUNCTION("""COMPUTED_VALUE"""),462718010004)</f>
        <v>462718010004</v>
      </c>
      <c r="H2478" s="1" t="str">
        <f>IFERROR(__xludf.DUMMYFUNCTION("""COMPUTED_VALUE"""),"NELVIN RAGINIG MALAQUENO")</f>
        <v>NELVIN RAGINIG MALAQUENO</v>
      </c>
      <c r="I2478" s="1">
        <f>IFERROR(__xludf.DUMMYFUNCTION("""COMPUTED_VALUE"""),9264686423)</f>
        <v>9264686423</v>
      </c>
      <c r="J2478" s="1"/>
      <c r="K2478" s="1" t="str">
        <f>IFERROR(__xludf.DUMMYFUNCTION("""COMPUTED_VALUE"""),"akdcvin01@gmail.com")</f>
        <v>akdcvin01@gmail.com</v>
      </c>
      <c r="L2478" s="1" t="str">
        <f>IFERROR(__xludf.DUMMYFUNCTION("""COMPUTED_VALUE"""),"49")</f>
        <v>49</v>
      </c>
      <c r="M2478" s="1" t="str">
        <f>IFERROR(__xludf.DUMMYFUNCTION("""COMPUTED_VALUE"""),"INDANG RD")</f>
        <v>INDANG RD</v>
      </c>
      <c r="N2478" s="1"/>
      <c r="O2478" s="1" t="str">
        <f>IFERROR(__xludf.DUMMYFUNCTION("""COMPUTED_VALUE"""),"BANAYAD")</f>
        <v>BANAYAD</v>
      </c>
      <c r="P2478" s="1" t="str">
        <f>IFERROR(__xludf.DUMMYFUNCTION("""COMPUTED_VALUE"""),"MENDEZ")</f>
        <v>MENDEZ</v>
      </c>
      <c r="Q2478" s="1" t="str">
        <f>IFERROR(__xludf.DUMMYFUNCTION("""COMPUTED_VALUE"""),"CAVITE")</f>
        <v>CAVITE</v>
      </c>
      <c r="R2478" s="1" t="str">
        <f>IFERROR(__xludf.DUMMYFUNCTION("""COMPUTED_VALUE"""),"FIBR NETFLIX PLAN 1599")</f>
        <v>FIBR NETFLIX PLAN 1599</v>
      </c>
      <c r="S2478" s="1" t="str">
        <f>IFERROR(__xludf.DUMMYFUNCTION("""COMPUTED_VALUE"""),"APPROVED")</f>
        <v>APPROVED</v>
      </c>
      <c r="T2478" s="1" t="str">
        <f>IFERROR(__xludf.DUMMYFUNCTION("""COMPUTED_VALUE"""),"CLOSED")</f>
        <v>CLOSED</v>
      </c>
      <c r="U2478" s="1" t="str">
        <f>IFERROR(__xludf.DUMMYFUNCTION("""COMPUTED_VALUE"""),"POSTED")</f>
        <v>POSTED</v>
      </c>
      <c r="V2478" s="1"/>
      <c r="W2478" s="1"/>
    </row>
    <row r="2479" customHeight="1" spans="1:23">
      <c r="A2479" s="3">
        <f>IFERROR(__xludf.DUMMYFUNCTION("""COMPUTED_VALUE"""),46218)</f>
        <v>46218</v>
      </c>
      <c r="B2479" s="1" t="str">
        <f>IFERROR(__xludf.DUMMYFUNCTION("""COMPUTED_VALUE"""),"AYON MANUEL")</f>
        <v>AYON MANUEL</v>
      </c>
      <c r="C2479" s="1" t="str">
        <f>IFERROR(__xludf.DUMMYFUNCTION("""COMPUTED_VALUE"""),"FLA")</f>
        <v>FLA</v>
      </c>
      <c r="D2479" s="1" t="str">
        <f>IFERROR(__xludf.DUMMYFUNCTION("""COMPUTED_VALUE"""),"JERIC NAVARRO")</f>
        <v>JERIC NAVARRO</v>
      </c>
      <c r="E2479" s="1" t="str">
        <f>IFERROR(__xludf.DUMMYFUNCTION("""COMPUTED_VALUE"""),"PLDT / ONLINE")</f>
        <v>PLDT / ONLINE</v>
      </c>
      <c r="F2479" s="1">
        <f>IFERROR(__xludf.DUMMYFUNCTION("""COMPUTED_VALUE"""),2311001571)</f>
        <v>2311001571</v>
      </c>
      <c r="G2479" s="1">
        <f>IFERROR(__xludf.DUMMYFUNCTION("""COMPUTED_VALUE"""),462701965004)</f>
        <v>462701965004</v>
      </c>
      <c r="H2479" s="1" t="str">
        <f>IFERROR(__xludf.DUMMYFUNCTION("""COMPUTED_VALUE"""),"MARTY TAPIA AMADURE")</f>
        <v>MARTY TAPIA AMADURE</v>
      </c>
      <c r="I2479" s="1">
        <f>IFERROR(__xludf.DUMMYFUNCTION("""COMPUTED_VALUE"""),9606650414)</f>
        <v>9606650414</v>
      </c>
      <c r="J2479" s="1">
        <f>IFERROR(__xludf.DUMMYFUNCTION("""COMPUTED_VALUE"""),9393282697)</f>
        <v>9393282697</v>
      </c>
      <c r="K2479" s="1" t="str">
        <f>IFERROR(__xludf.DUMMYFUNCTION("""COMPUTED_VALUE"""),"k.amadure@gmail.com")</f>
        <v>k.amadure@gmail.com</v>
      </c>
      <c r="L2479" s="1" t="str">
        <f>IFERROR(__xludf.DUMMYFUNCTION("""COMPUTED_VALUE"""),"LOT 1045")</f>
        <v>LOT 1045</v>
      </c>
      <c r="M2479" s="1" t="str">
        <f>IFERROR(__xludf.DUMMYFUNCTION("""COMPUTED_VALUE"""),"LOMA")</f>
        <v>LOMA</v>
      </c>
      <c r="N2479" s="1"/>
      <c r="O2479" s="1" t="str">
        <f>IFERROR(__xludf.DUMMYFUNCTION("""COMPUTED_VALUE"""),"LOMA")</f>
        <v>LOMA</v>
      </c>
      <c r="P2479" s="1" t="str">
        <f>IFERROR(__xludf.DUMMYFUNCTION("""COMPUTED_VALUE"""),"AMADEO")</f>
        <v>AMADEO</v>
      </c>
      <c r="Q2479" s="1" t="str">
        <f>IFERROR(__xludf.DUMMYFUNCTION("""COMPUTED_VALUE"""),"CAVITE")</f>
        <v>CAVITE</v>
      </c>
      <c r="R2479" s="1" t="str">
        <f>IFERROR(__xludf.DUMMYFUNCTION("""COMPUTED_VALUE"""),"FIBR NETFLIX PLAN 1599")</f>
        <v>FIBR NETFLIX PLAN 1599</v>
      </c>
      <c r="S2479" s="1" t="str">
        <f>IFERROR(__xludf.DUMMYFUNCTION("""COMPUTED_VALUE"""),"APPROVED")</f>
        <v>APPROVED</v>
      </c>
      <c r="T2479" s="1" t="str">
        <f>IFERROR(__xludf.DUMMYFUNCTION("""COMPUTED_VALUE"""),"CLOSED")</f>
        <v>CLOSED</v>
      </c>
      <c r="U2479" s="1" t="str">
        <f>IFERROR(__xludf.DUMMYFUNCTION("""COMPUTED_VALUE"""),"POSTED")</f>
        <v>POSTED</v>
      </c>
      <c r="V2479" s="1"/>
      <c r="W2479" s="1"/>
    </row>
    <row r="2480" customHeight="1" spans="1:23">
      <c r="A2480" s="3">
        <f>IFERROR(__xludf.DUMMYFUNCTION("""COMPUTED_VALUE"""),46218)</f>
        <v>46218</v>
      </c>
      <c r="B2480" s="1" t="str">
        <f>IFERROR(__xludf.DUMMYFUNCTION("""COMPUTED_VALUE"""),"FRONDEZ, JEDREFF")</f>
        <v>FRONDEZ, JEDREFF</v>
      </c>
      <c r="C2480" s="1" t="str">
        <f>IFERROR(__xludf.DUMMYFUNCTION("""COMPUTED_VALUE"""),"ORGANIC")</f>
        <v>ORGANIC</v>
      </c>
      <c r="D2480" s="1" t="str">
        <f>IFERROR(__xludf.DUMMYFUNCTION("""COMPUTED_VALUE"""),"REMOLLO LEA")</f>
        <v>REMOLLO LEA</v>
      </c>
      <c r="E2480" s="1" t="str">
        <f>IFERROR(__xludf.DUMMYFUNCTION("""COMPUTED_VALUE"""),"PLDT / H2H")</f>
        <v>PLDT / H2H</v>
      </c>
      <c r="F2480" s="1">
        <f>IFERROR(__xludf.DUMMYFUNCTION("""COMPUTED_VALUE"""),2311002118)</f>
        <v>2311002118</v>
      </c>
      <c r="G2480" s="1">
        <f>IFERROR(__xludf.DUMMYFUNCTION("""COMPUTED_VALUE"""),462702283004)</f>
        <v>462702283004</v>
      </c>
      <c r="H2480" s="1" t="str">
        <f>IFERROR(__xludf.DUMMYFUNCTION("""COMPUTED_VALUE"""),"LAWRENZ ANDAY LANDICHO")</f>
        <v>LAWRENZ ANDAY LANDICHO</v>
      </c>
      <c r="I2480" s="1">
        <f>IFERROR(__xludf.DUMMYFUNCTION("""COMPUTED_VALUE"""),9499836544)</f>
        <v>9499836544</v>
      </c>
      <c r="J2480" s="1">
        <f>IFERROR(__xludf.DUMMYFUNCTION("""COMPUTED_VALUE"""),9684132121)</f>
        <v>9684132121</v>
      </c>
      <c r="K2480" s="1" t="str">
        <f>IFERROR(__xludf.DUMMYFUNCTION("""COMPUTED_VALUE"""),"lawrenzlandicho100@gmail.com")</f>
        <v>lawrenzlandicho100@gmail.com</v>
      </c>
      <c r="L2480" s="1" t="str">
        <f>IFERROR(__xludf.DUMMYFUNCTION("""COMPUTED_VALUE"""),"164a")</f>
        <v>164a</v>
      </c>
      <c r="M2480" s="1" t="str">
        <f>IFERROR(__xludf.DUMMYFUNCTION("""COMPUTED_VALUE"""),"INDANG RD")</f>
        <v>INDANG RD</v>
      </c>
      <c r="N2480" s="1"/>
      <c r="O2480" s="1" t="str">
        <f>IFERROR(__xludf.DUMMYFUNCTION("""COMPUTED_VALUE"""),"BUKAL")</f>
        <v>BUKAL</v>
      </c>
      <c r="P2480" s="1" t="str">
        <f>IFERROR(__xludf.DUMMYFUNCTION("""COMPUTED_VALUE"""),"MENDEZ")</f>
        <v>MENDEZ</v>
      </c>
      <c r="Q2480" s="1" t="str">
        <f>IFERROR(__xludf.DUMMYFUNCTION("""COMPUTED_VALUE"""),"CAVITE")</f>
        <v>CAVITE</v>
      </c>
      <c r="R2480" s="1" t="str">
        <f>IFERROR(__xludf.DUMMYFUNCTION("""COMPUTED_VALUE"""),"FIBR UNLI ALL PLAN 999")</f>
        <v>FIBR UNLI ALL PLAN 999</v>
      </c>
      <c r="S2480" s="1" t="str">
        <f>IFERROR(__xludf.DUMMYFUNCTION("""COMPUTED_VALUE"""),"APPROVED")</f>
        <v>APPROVED</v>
      </c>
      <c r="T2480" s="1" t="str">
        <f>IFERROR(__xludf.DUMMYFUNCTION("""COMPUTED_VALUE"""),"CANCELLED")</f>
        <v>CANCELLED</v>
      </c>
      <c r="U2480" s="1"/>
      <c r="V2480" s="1"/>
      <c r="W2480" s="1"/>
    </row>
    <row r="2481" customHeight="1" spans="1:23">
      <c r="A2481" s="3">
        <f>IFERROR(__xludf.DUMMYFUNCTION("""COMPUTED_VALUE"""),46218)</f>
        <v>46218</v>
      </c>
      <c r="B2481" s="1" t="str">
        <f>IFERROR(__xludf.DUMMYFUNCTION("""COMPUTED_VALUE"""),"AYON MANUEL")</f>
        <v>AYON MANUEL</v>
      </c>
      <c r="C2481" s="1" t="str">
        <f>IFERROR(__xludf.DUMMYFUNCTION("""COMPUTED_VALUE"""),"FLA")</f>
        <v>FLA</v>
      </c>
      <c r="D2481" s="1" t="str">
        <f>IFERROR(__xludf.DUMMYFUNCTION("""COMPUTED_VALUE"""),"JERIC NAVARRO")</f>
        <v>JERIC NAVARRO</v>
      </c>
      <c r="E2481" s="1" t="str">
        <f>IFERROR(__xludf.DUMMYFUNCTION("""COMPUTED_VALUE"""),"RED FIBER")</f>
        <v>RED FIBER</v>
      </c>
      <c r="F2481" s="1"/>
      <c r="G2481" s="1"/>
      <c r="H2481" s="1" t="str">
        <f>IFERROR(__xludf.DUMMYFUNCTION("""COMPUTED_VALUE"""),"ROXANNE DELA REA RODRIGUEZ")</f>
        <v>ROXANNE DELA REA RODRIGUEZ</v>
      </c>
      <c r="I2481" s="1">
        <f>IFERROR(__xludf.DUMMYFUNCTION("""COMPUTED_VALUE"""),9304456364)</f>
        <v>9304456364</v>
      </c>
      <c r="J2481" s="1">
        <f>IFERROR(__xludf.DUMMYFUNCTION("""COMPUTED_VALUE"""),9813818754)</f>
        <v>9813818754</v>
      </c>
      <c r="K2481" s="1" t="str">
        <f>IFERROR(__xludf.DUMMYFUNCTION("""COMPUTED_VALUE"""),"roxannerodriguez100@gmail.com")</f>
        <v>roxannerodriguez100@gmail.com</v>
      </c>
      <c r="L2481" s="1" t="str">
        <f>IFERROR(__xludf.DUMMYFUNCTION("""COMPUTED_VALUE"""),"9001")</f>
        <v>9001</v>
      </c>
      <c r="M2481" s="1" t="str">
        <f>IFERROR(__xludf.DUMMYFUNCTION("""COMPUTED_VALUE"""),"PUROK 3")</f>
        <v>PUROK 3</v>
      </c>
      <c r="N2481" s="1"/>
      <c r="O2481" s="1" t="str">
        <f>IFERROR(__xludf.DUMMYFUNCTION("""COMPUTED_VALUE"""),"BUHO")</f>
        <v>BUHO</v>
      </c>
      <c r="P2481" s="1" t="str">
        <f>IFERROR(__xludf.DUMMYFUNCTION("""COMPUTED_VALUE"""),"SILANG")</f>
        <v>SILANG</v>
      </c>
      <c r="Q2481" s="1" t="str">
        <f>IFERROR(__xludf.DUMMYFUNCTION("""COMPUTED_VALUE"""),"CAVITE")</f>
        <v>CAVITE</v>
      </c>
      <c r="R2481" s="1" t="str">
        <f>IFERROR(__xludf.DUMMYFUNCTION("""COMPUTED_VALUE"""),"RED PLAN 1000")</f>
        <v>RED PLAN 1000</v>
      </c>
      <c r="S2481" s="1" t="str">
        <f>IFERROR(__xludf.DUMMYFUNCTION("""COMPUTED_VALUE"""),"APPROVED")</f>
        <v>APPROVED</v>
      </c>
      <c r="T2481" s="1" t="str">
        <f>IFERROR(__xludf.DUMMYFUNCTION("""COMPUTED_VALUE"""),"#N/A")</f>
        <v>#N/A</v>
      </c>
      <c r="U2481" s="1"/>
      <c r="V2481" s="1"/>
      <c r="W2481" s="1"/>
    </row>
    <row r="2482" customHeight="1" spans="1:23">
      <c r="A2482" s="3">
        <f>IFERROR(__xludf.DUMMYFUNCTION("""COMPUTED_VALUE"""),46218)</f>
        <v>46218</v>
      </c>
      <c r="B2482" s="1" t="str">
        <f>IFERROR(__xludf.DUMMYFUNCTION("""COMPUTED_VALUE"""),"FRANCISCO , ROSELYN")</f>
        <v>FRANCISCO , ROSELYN</v>
      </c>
      <c r="C2482" s="1" t="str">
        <f>IFERROR(__xludf.DUMMYFUNCTION("""COMPUTED_VALUE"""),"ORGANIC")</f>
        <v>ORGANIC</v>
      </c>
      <c r="D2482" s="1" t="str">
        <f>IFERROR(__xludf.DUMMYFUNCTION("""COMPUTED_VALUE"""),"REMOLLO LEA")</f>
        <v>REMOLLO LEA</v>
      </c>
      <c r="E2482" s="1" t="str">
        <f>IFERROR(__xludf.DUMMYFUNCTION("""COMPUTED_VALUE"""),"PLDT / ONLINE")</f>
        <v>PLDT / ONLINE</v>
      </c>
      <c r="F2482" s="1">
        <f>IFERROR(__xludf.DUMMYFUNCTION("""COMPUTED_VALUE"""),2311004074)</f>
        <v>2311004074</v>
      </c>
      <c r="G2482" s="1">
        <f>IFERROR(__xludf.DUMMYFUNCTION("""COMPUTED_VALUE"""),462706911004)</f>
        <v>462706911004</v>
      </c>
      <c r="H2482" s="1" t="str">
        <f>IFERROR(__xludf.DUMMYFUNCTION("""COMPUTED_VALUE"""),"ACEL GREGORIO MONTANO")</f>
        <v>ACEL GREGORIO MONTANO</v>
      </c>
      <c r="I2482" s="1">
        <f>IFERROR(__xludf.DUMMYFUNCTION("""COMPUTED_VALUE"""),9975316521)</f>
        <v>9975316521</v>
      </c>
      <c r="J2482" s="1">
        <f>IFERROR(__xludf.DUMMYFUNCTION("""COMPUTED_VALUE"""),9063896047)</f>
        <v>9063896047</v>
      </c>
      <c r="K2482" s="1" t="str">
        <f>IFERROR(__xludf.DUMMYFUNCTION("""COMPUTED_VALUE"""),"ggm671102@gmail.com")</f>
        <v>ggm671102@gmail.com</v>
      </c>
      <c r="L2482" s="1" t="str">
        <f>IFERROR(__xludf.DUMMYFUNCTION("""COMPUTED_VALUE"""),"233")</f>
        <v>233</v>
      </c>
      <c r="M2482" s="1" t="str">
        <f>IFERROR(__xludf.DUMMYFUNCTION("""COMPUTED_VALUE"""),"CAPTIAN B")</f>
        <v>CAPTIAN B</v>
      </c>
      <c r="N2482" s="1"/>
      <c r="O2482" s="1" t="str">
        <f>IFERROR(__xludf.DUMMYFUNCTION("""COMPUTED_VALUE"""),"POBLACION I A")</f>
        <v>POBLACION I A</v>
      </c>
      <c r="P2482" s="1" t="str">
        <f>IFERROR(__xludf.DUMMYFUNCTION("""COMPUTED_VALUE"""),"IMUS")</f>
        <v>IMUS</v>
      </c>
      <c r="Q2482" s="1" t="str">
        <f>IFERROR(__xludf.DUMMYFUNCTION("""COMPUTED_VALUE"""),"CAVITE")</f>
        <v>CAVITE</v>
      </c>
      <c r="R2482" s="1" t="str">
        <f>IFERROR(__xludf.DUMMYFUNCTION("""COMPUTED_VALUE"""),"FIBR PLAN 1699")</f>
        <v>FIBR PLAN 1699</v>
      </c>
      <c r="S2482" s="1" t="str">
        <f>IFERROR(__xludf.DUMMYFUNCTION("""COMPUTED_VALUE"""),"APPROVED")</f>
        <v>APPROVED</v>
      </c>
      <c r="T2482" s="1" t="str">
        <f>IFERROR(__xludf.DUMMYFUNCTION("""COMPUTED_VALUE"""),"CLOSED")</f>
        <v>CLOSED</v>
      </c>
      <c r="U2482" s="1" t="str">
        <f>IFERROR(__xludf.DUMMYFUNCTION("""COMPUTED_VALUE"""),"POSTED")</f>
        <v>POSTED</v>
      </c>
      <c r="V2482" s="1"/>
      <c r="W2482" s="1"/>
    </row>
    <row r="2483" customHeight="1" spans="1:23">
      <c r="A2483" s="3">
        <f>IFERROR(__xludf.DUMMYFUNCTION("""COMPUTED_VALUE"""),46218)</f>
        <v>46218</v>
      </c>
      <c r="B2483" s="1" t="str">
        <f>IFERROR(__xludf.DUMMYFUNCTION("""COMPUTED_VALUE"""),"CASTILLEJOS, ARREL")</f>
        <v>CASTILLEJOS, ARREL</v>
      </c>
      <c r="C2483" s="1" t="str">
        <f>IFERROR(__xludf.DUMMYFUNCTION("""COMPUTED_VALUE"""),"ORGANIC")</f>
        <v>ORGANIC</v>
      </c>
      <c r="D2483" s="1" t="str">
        <f>IFERROR(__xludf.DUMMYFUNCTION("""COMPUTED_VALUE"""),"REMOLLO LEA")</f>
        <v>REMOLLO LEA</v>
      </c>
      <c r="E2483" s="1" t="str">
        <f>IFERROR(__xludf.DUMMYFUNCTION("""COMPUTED_VALUE"""),"PLDT / ONLINE")</f>
        <v>PLDT / ONLINE</v>
      </c>
      <c r="F2483" s="1">
        <f>IFERROR(__xludf.DUMMYFUNCTION("""COMPUTED_VALUE"""),2311004484)</f>
        <v>2311004484</v>
      </c>
      <c r="G2483" s="1">
        <f>IFERROR(__xludf.DUMMYFUNCTION("""COMPUTED_VALUE"""),462707680004)</f>
        <v>462707680004</v>
      </c>
      <c r="H2483" s="1" t="str">
        <f>IFERROR(__xludf.DUMMYFUNCTION("""COMPUTED_VALUE"""),"ERICA FATIMA FAUNI DE GUZMAN")</f>
        <v>ERICA FATIMA FAUNI DE GUZMAN</v>
      </c>
      <c r="I2483" s="1">
        <f>IFERROR(__xludf.DUMMYFUNCTION("""COMPUTED_VALUE"""),9164602166)</f>
        <v>9164602166</v>
      </c>
      <c r="J2483" s="1">
        <f>IFERROR(__xludf.DUMMYFUNCTION("""COMPUTED_VALUE"""),9458706770)</f>
        <v>9458706770</v>
      </c>
      <c r="K2483" s="1" t="str">
        <f>IFERROR(__xludf.DUMMYFUNCTION("""COMPUTED_VALUE"""),"genieva1224@gmail.com")</f>
        <v>genieva1224@gmail.com</v>
      </c>
      <c r="L2483" s="1" t="str">
        <f>IFERROR(__xludf.DUMMYFUNCTION("""COMPUTED_VALUE"""),"146")</f>
        <v>146</v>
      </c>
      <c r="M2483" s="1" t="str">
        <f>IFERROR(__xludf.DUMMYFUNCTION("""COMPUTED_VALUE"""),"SAN ANDRESS")</f>
        <v>SAN ANDRESS</v>
      </c>
      <c r="N2483" s="1"/>
      <c r="O2483" s="1" t="str">
        <f>IFERROR(__xludf.DUMMYFUNCTION("""COMPUTED_VALUE"""),"KALUBKOB")</f>
        <v>KALUBKOB</v>
      </c>
      <c r="P2483" s="1" t="str">
        <f>IFERROR(__xludf.DUMMYFUNCTION("""COMPUTED_VALUE"""),"SILANG")</f>
        <v>SILANG</v>
      </c>
      <c r="Q2483" s="1" t="str">
        <f>IFERROR(__xludf.DUMMYFUNCTION("""COMPUTED_VALUE"""),"CAVITE")</f>
        <v>CAVITE</v>
      </c>
      <c r="R2483" s="1" t="str">
        <f>IFERROR(__xludf.DUMMYFUNCTION("""COMPUTED_VALUE"""),"FIBR UNLI ALL PLAN 999")</f>
        <v>FIBR UNLI ALL PLAN 999</v>
      </c>
      <c r="S2483" s="1" t="str">
        <f>IFERROR(__xludf.DUMMYFUNCTION("""COMPUTED_VALUE"""),"APPROVED")</f>
        <v>APPROVED</v>
      </c>
      <c r="T2483" s="1" t="str">
        <f>IFERROR(__xludf.DUMMYFUNCTION("""COMPUTED_VALUE"""),"CLOSED")</f>
        <v>CLOSED</v>
      </c>
      <c r="U2483" s="1" t="str">
        <f>IFERROR(__xludf.DUMMYFUNCTION("""COMPUTED_VALUE"""),"POSTED")</f>
        <v>POSTED</v>
      </c>
      <c r="V2483" s="1"/>
      <c r="W2483" s="1"/>
    </row>
    <row r="2484" customHeight="1" spans="1:23">
      <c r="A2484" s="3">
        <f>IFERROR(__xludf.DUMMYFUNCTION("""COMPUTED_VALUE"""),46218)</f>
        <v>46218</v>
      </c>
      <c r="B2484" s="1" t="str">
        <f>IFERROR(__xludf.DUMMYFUNCTION("""COMPUTED_VALUE"""),"OPS WESLY")</f>
        <v>OPS WESLY</v>
      </c>
      <c r="C2484" s="1" t="str">
        <f>IFERROR(__xludf.DUMMYFUNCTION("""COMPUTED_VALUE"""),"LEADSTORE")</f>
        <v>LEADSTORE</v>
      </c>
      <c r="D2484" s="1" t="str">
        <f>IFERROR(__xludf.DUMMYFUNCTION("""COMPUTED_VALUE"""),"JERIC NAVARRO")</f>
        <v>JERIC NAVARRO</v>
      </c>
      <c r="E2484" s="1" t="str">
        <f>IFERROR(__xludf.DUMMYFUNCTION("""COMPUTED_VALUE"""),"PLDT / ONLINE")</f>
        <v>PLDT / ONLINE</v>
      </c>
      <c r="F2484" s="1">
        <f>IFERROR(__xludf.DUMMYFUNCTION("""COMPUTED_VALUE"""),2311004930)</f>
        <v>2311004930</v>
      </c>
      <c r="G2484" s="1">
        <f>IFERROR(__xludf.DUMMYFUNCTION("""COMPUTED_VALUE"""),462708003004)</f>
        <v>462708003004</v>
      </c>
      <c r="H2484" s="1" t="str">
        <f>IFERROR(__xludf.DUMMYFUNCTION("""COMPUTED_VALUE"""),"JUNE ALFRED GUEVARRA ZAMORANOS")</f>
        <v>JUNE ALFRED GUEVARRA ZAMORANOS</v>
      </c>
      <c r="I2484" s="1">
        <f>IFERROR(__xludf.DUMMYFUNCTION("""COMPUTED_VALUE"""),9764935216)</f>
        <v>9764935216</v>
      </c>
      <c r="J2484" s="1">
        <f>IFERROR(__xludf.DUMMYFUNCTION("""COMPUTED_VALUE"""),9171866732)</f>
        <v>9171866732</v>
      </c>
      <c r="K2484" s="1" t="str">
        <f>IFERROR(__xludf.DUMMYFUNCTION("""COMPUTED_VALUE"""),"ishiiyuri22@gmail.com")</f>
        <v>ishiiyuri22@gmail.com</v>
      </c>
      <c r="L2484" s="1" t="str">
        <f>IFERROR(__xludf.DUMMYFUNCTION("""COMPUTED_VALUE"""),"UNIT 110")</f>
        <v>UNIT 110</v>
      </c>
      <c r="M2484" s="1" t="str">
        <f>IFERROR(__xludf.DUMMYFUNCTION("""COMPUTED_VALUE"""),"STANFORD SUITES")</f>
        <v>STANFORD SUITES</v>
      </c>
      <c r="N2484" s="1"/>
      <c r="O2484" s="1" t="str">
        <f>IFERROR(__xludf.DUMMYFUNCTION("""COMPUTED_VALUE"""),"INCHICAN")</f>
        <v>INCHICAN</v>
      </c>
      <c r="P2484" s="1" t="str">
        <f>IFERROR(__xludf.DUMMYFUNCTION("""COMPUTED_VALUE"""),"SILANG")</f>
        <v>SILANG</v>
      </c>
      <c r="Q2484" s="1" t="str">
        <f>IFERROR(__xludf.DUMMYFUNCTION("""COMPUTED_VALUE"""),"CAVITE")</f>
        <v>CAVITE</v>
      </c>
      <c r="R2484" s="1" t="str">
        <f>IFERROR(__xludf.DUMMYFUNCTION("""COMPUTED_VALUE"""),"FIBR UNLI ALL PLAN 1399")</f>
        <v>FIBR UNLI ALL PLAN 1399</v>
      </c>
      <c r="S2484" s="1" t="str">
        <f>IFERROR(__xludf.DUMMYFUNCTION("""COMPUTED_VALUE"""),"APPROVED")</f>
        <v>APPROVED</v>
      </c>
      <c r="T2484" s="1" t="str">
        <f>IFERROR(__xludf.DUMMYFUNCTION("""COMPUTED_VALUE"""),"CLOSED")</f>
        <v>CLOSED</v>
      </c>
      <c r="U2484" s="1" t="str">
        <f>IFERROR(__xludf.DUMMYFUNCTION("""COMPUTED_VALUE"""),"POSTED")</f>
        <v>POSTED</v>
      </c>
      <c r="V2484" s="1"/>
      <c r="W2484" s="1"/>
    </row>
    <row r="2485" customHeight="1" spans="1:23">
      <c r="A2485" s="3">
        <f>IFERROR(__xludf.DUMMYFUNCTION("""COMPUTED_VALUE"""),46218)</f>
        <v>46218</v>
      </c>
      <c r="B2485" s="1" t="str">
        <f>IFERROR(__xludf.DUMMYFUNCTION("""COMPUTED_VALUE"""),"AYON MANUEL")</f>
        <v>AYON MANUEL</v>
      </c>
      <c r="C2485" s="1" t="str">
        <f>IFERROR(__xludf.DUMMYFUNCTION("""COMPUTED_VALUE"""),"FLA")</f>
        <v>FLA</v>
      </c>
      <c r="D2485" s="1" t="str">
        <f>IFERROR(__xludf.DUMMYFUNCTION("""COMPUTED_VALUE"""),"JERIC NAVARRO")</f>
        <v>JERIC NAVARRO</v>
      </c>
      <c r="E2485" s="1" t="str">
        <f>IFERROR(__xludf.DUMMYFUNCTION("""COMPUTED_VALUE"""),"PLDT / ONLINE")</f>
        <v>PLDT / ONLINE</v>
      </c>
      <c r="F2485" s="1">
        <f>IFERROR(__xludf.DUMMYFUNCTION("""COMPUTED_VALUE"""),2311005725)</f>
        <v>2311005725</v>
      </c>
      <c r="G2485" s="1">
        <f>IFERROR(__xludf.DUMMYFUNCTION("""COMPUTED_VALUE"""),462740572004)</f>
        <v>462740572004</v>
      </c>
      <c r="H2485" s="1" t="str">
        <f>IFERROR(__xludf.DUMMYFUNCTION("""COMPUTED_VALUE"""),"RAMEL ANGCONA OCIDO")</f>
        <v>RAMEL ANGCONA OCIDO</v>
      </c>
      <c r="I2485" s="1">
        <f>IFERROR(__xludf.DUMMYFUNCTION("""COMPUTED_VALUE"""),9197771050)</f>
        <v>9197771050</v>
      </c>
      <c r="J2485" s="1">
        <f>IFERROR(__xludf.DUMMYFUNCTION("""COMPUTED_VALUE"""),920344730)</f>
        <v>920344730</v>
      </c>
      <c r="K2485" s="1" t="str">
        <f>IFERROR(__xludf.DUMMYFUNCTION("""COMPUTED_VALUE"""),"ocidoramel06@gmail.com")</f>
        <v>ocidoramel06@gmail.com</v>
      </c>
      <c r="L2485" s="1" t="str">
        <f>IFERROR(__xludf.DUMMYFUNCTION("""COMPUTED_VALUE"""),"9678")</f>
        <v>9678</v>
      </c>
      <c r="M2485" s="1" t="str">
        <f>IFERROR(__xludf.DUMMYFUNCTION("""COMPUTED_VALUE"""),"MAYSILI")</f>
        <v>MAYSILI</v>
      </c>
      <c r="N2485" s="1"/>
      <c r="O2485" s="1" t="str">
        <f>IFERROR(__xludf.DUMMYFUNCTION("""COMPUTED_VALUE"""),"ASIS III")</f>
        <v>ASIS III</v>
      </c>
      <c r="P2485" s="1" t="str">
        <f>IFERROR(__xludf.DUMMYFUNCTION("""COMPUTED_VALUE"""),"MENDEZ")</f>
        <v>MENDEZ</v>
      </c>
      <c r="Q2485" s="1" t="str">
        <f>IFERROR(__xludf.DUMMYFUNCTION("""COMPUTED_VALUE"""),"CAVITE")</f>
        <v>CAVITE</v>
      </c>
      <c r="R2485" s="1" t="str">
        <f>IFERROR(__xludf.DUMMYFUNCTION("""COMPUTED_VALUE"""),"FIBR PLAN 1299")</f>
        <v>FIBR PLAN 1299</v>
      </c>
      <c r="S2485" s="1" t="str">
        <f>IFERROR(__xludf.DUMMYFUNCTION("""COMPUTED_VALUE"""),"APPROVED")</f>
        <v>APPROVED</v>
      </c>
      <c r="T2485" s="1" t="str">
        <f>IFERROR(__xludf.DUMMYFUNCTION("""COMPUTED_VALUE"""),"RPR")</f>
        <v>RPR</v>
      </c>
      <c r="U2485" s="1"/>
      <c r="V2485" s="1"/>
      <c r="W2485" s="1"/>
    </row>
    <row r="2486" customHeight="1" spans="1:23">
      <c r="A2486" s="3">
        <f>IFERROR(__xludf.DUMMYFUNCTION("""COMPUTED_VALUE"""),46218)</f>
        <v>46218</v>
      </c>
      <c r="B2486" s="1" t="str">
        <f>IFERROR(__xludf.DUMMYFUNCTION("""COMPUTED_VALUE"""),"ESCARCHA, MA ALMA  ESCOTO")</f>
        <v>ESCARCHA, MA ALMA  ESCOTO</v>
      </c>
      <c r="C2486" s="1" t="str">
        <f>IFERROR(__xludf.DUMMYFUNCTION("""COMPUTED_VALUE"""),"ORGANIC")</f>
        <v>ORGANIC</v>
      </c>
      <c r="D2486" s="1" t="str">
        <f>IFERROR(__xludf.DUMMYFUNCTION("""COMPUTED_VALUE"""),"REMOLLO LEA")</f>
        <v>REMOLLO LEA</v>
      </c>
      <c r="E2486" s="1" t="str">
        <f>IFERROR(__xludf.DUMMYFUNCTION("""COMPUTED_VALUE"""),"PLDT / H2H")</f>
        <v>PLDT / H2H</v>
      </c>
      <c r="F2486" s="1">
        <f>IFERROR(__xludf.DUMMYFUNCTION("""COMPUTED_VALUE"""),2311007460)</f>
        <v>2311007460</v>
      </c>
      <c r="G2486" s="1"/>
      <c r="H2486" s="1" t="str">
        <f>IFERROR(__xludf.DUMMYFUNCTION("""COMPUTED_VALUE"""),"MA. FATIMA FADRI FEDELICIO")</f>
        <v>MA. FATIMA FADRI FEDELICIO</v>
      </c>
      <c r="I2486" s="1">
        <f>IFERROR(__xludf.DUMMYFUNCTION("""COMPUTED_VALUE"""),9606576073)</f>
        <v>9606576073</v>
      </c>
      <c r="J2486" s="1"/>
      <c r="K2486" s="1" t="str">
        <f>IFERROR(__xludf.DUMMYFUNCTION("""COMPUTED_VALUE"""),"ma.fatimafedelicio@deped.gov,ph")</f>
        <v>ma.fatimafedelicio@deped.gov,ph</v>
      </c>
      <c r="L2486" s="1" t="str">
        <f>IFERROR(__xludf.DUMMYFUNCTION("""COMPUTED_VALUE"""),"BLK 52 LOT 1")</f>
        <v>BLK 52 LOT 1</v>
      </c>
      <c r="M2486" s="1" t="str">
        <f>IFERROR(__xludf.DUMMYFUNCTION("""COMPUTED_VALUE"""),"ACACIA")</f>
        <v>ACACIA</v>
      </c>
      <c r="N2486" s="1"/>
      <c r="O2486" s="1" t="str">
        <f>IFERROR(__xludf.DUMMYFUNCTION("""COMPUTED_VALUE"""),"ACACIA")</f>
        <v>ACACIA</v>
      </c>
      <c r="P2486" s="1" t="str">
        <f>IFERROR(__xludf.DUMMYFUNCTION("""COMPUTED_VALUE"""),"SILANG")</f>
        <v>SILANG</v>
      </c>
      <c r="Q2486" s="1" t="str">
        <f>IFERROR(__xludf.DUMMYFUNCTION("""COMPUTED_VALUE"""),"CAVITE")</f>
        <v>CAVITE</v>
      </c>
      <c r="R2486" s="1" t="str">
        <f>IFERROR(__xludf.DUMMYFUNCTION("""COMPUTED_VALUE"""),"FIBR PLAN 1299")</f>
        <v>FIBR PLAN 1299</v>
      </c>
      <c r="S2486" s="1" t="str">
        <f>IFERROR(__xludf.DUMMYFUNCTION("""COMPUTED_VALUE"""),"APPROVED")</f>
        <v>APPROVED</v>
      </c>
      <c r="T2486" s="1" t="str">
        <f>IFERROR(__xludf.DUMMYFUNCTION("""COMPUTED_VALUE"""),"RCM DISAPPROVED")</f>
        <v>RCM DISAPPROVED</v>
      </c>
      <c r="U2486" s="1"/>
      <c r="V2486" s="1"/>
      <c r="W2486" s="1"/>
    </row>
    <row r="2487" customHeight="1" spans="1:23">
      <c r="A2487" s="3">
        <f>IFERROR(__xludf.DUMMYFUNCTION("""COMPUTED_VALUE"""),46218)</f>
        <v>46218</v>
      </c>
      <c r="B2487" s="1" t="str">
        <f>IFERROR(__xludf.DUMMYFUNCTION("""COMPUTED_VALUE"""),"FRANCISCO , ROSELYN")</f>
        <v>FRANCISCO , ROSELYN</v>
      </c>
      <c r="C2487" s="1" t="str">
        <f>IFERROR(__xludf.DUMMYFUNCTION("""COMPUTED_VALUE"""),"ORGANIC")</f>
        <v>ORGANIC</v>
      </c>
      <c r="D2487" s="1" t="str">
        <f>IFERROR(__xludf.DUMMYFUNCTION("""COMPUTED_VALUE"""),"REMOLLO LEA")</f>
        <v>REMOLLO LEA</v>
      </c>
      <c r="E2487" s="1" t="str">
        <f>IFERROR(__xludf.DUMMYFUNCTION("""COMPUTED_VALUE"""),"PLDT / ONLINE")</f>
        <v>PLDT / ONLINE</v>
      </c>
      <c r="F2487" s="1">
        <f>IFERROR(__xludf.DUMMYFUNCTION("""COMPUTED_VALUE"""),2311005335)</f>
        <v>2311005335</v>
      </c>
      <c r="G2487" s="1">
        <f>IFERROR(__xludf.DUMMYFUNCTION("""COMPUTED_VALUE"""),462709124004)</f>
        <v>462709124004</v>
      </c>
      <c r="H2487" s="1" t="str">
        <f>IFERROR(__xludf.DUMMYFUNCTION("""COMPUTED_VALUE"""),"EUGENE GONZALES DOGOY JR")</f>
        <v>EUGENE GONZALES DOGOY JR</v>
      </c>
      <c r="I2487" s="1">
        <f>IFERROR(__xludf.DUMMYFUNCTION("""COMPUTED_VALUE"""),9353633013)</f>
        <v>9353633013</v>
      </c>
      <c r="J2487" s="1">
        <f>IFERROR(__xludf.DUMMYFUNCTION("""COMPUTED_VALUE"""),9816706434)</f>
        <v>9816706434</v>
      </c>
      <c r="K2487" s="1" t="str">
        <f>IFERROR(__xludf.DUMMYFUNCTION("""COMPUTED_VALUE"""),"eugenedogoy@gmail.com")</f>
        <v>eugenedogoy@gmail.com</v>
      </c>
      <c r="L2487" s="1" t="str">
        <f>IFERROR(__xludf.DUMMYFUNCTION("""COMPUTED_VALUE"""),"BLK 44 LOT 33")</f>
        <v>BLK 44 LOT 33</v>
      </c>
      <c r="M2487" s="1" t="str">
        <f>IFERROR(__xludf.DUMMYFUNCTION("""COMPUTED_VALUE"""),"POBLACION RD")</f>
        <v>POBLACION RD</v>
      </c>
      <c r="N2487" s="1"/>
      <c r="O2487" s="1" t="str">
        <f>IFERROR(__xludf.DUMMYFUNCTION("""COMPUTED_VALUE"""),"POBLACION IV")</f>
        <v>POBLACION IV</v>
      </c>
      <c r="P2487" s="1" t="str">
        <f>IFERROR(__xludf.DUMMYFUNCTION("""COMPUTED_VALUE"""),"GEN MARIANO ALVAREZ")</f>
        <v>GEN MARIANO ALVAREZ</v>
      </c>
      <c r="Q2487" s="1" t="str">
        <f>IFERROR(__xludf.DUMMYFUNCTION("""COMPUTED_VALUE"""),"CAVITE")</f>
        <v>CAVITE</v>
      </c>
      <c r="R2487" s="1" t="str">
        <f>IFERROR(__xludf.DUMMYFUNCTION("""COMPUTED_VALUE"""),"FIBR PLAN 1299")</f>
        <v>FIBR PLAN 1299</v>
      </c>
      <c r="S2487" s="1" t="str">
        <f>IFERROR(__xludf.DUMMYFUNCTION("""COMPUTED_VALUE"""),"APPROVED")</f>
        <v>APPROVED</v>
      </c>
      <c r="T2487" s="1" t="str">
        <f>IFERROR(__xludf.DUMMYFUNCTION("""COMPUTED_VALUE"""),"RPR")</f>
        <v>RPR</v>
      </c>
      <c r="U2487" s="1"/>
      <c r="V2487" s="1"/>
      <c r="W2487" s="1"/>
    </row>
    <row r="2488" customHeight="1" spans="1:23">
      <c r="A2488" s="3">
        <f>IFERROR(__xludf.DUMMYFUNCTION("""COMPUTED_VALUE"""),46219)</f>
        <v>46219</v>
      </c>
      <c r="B2488" s="1" t="str">
        <f>IFERROR(__xludf.DUMMYFUNCTION("""COMPUTED_VALUE"""),"FRONDEZ, JEDREFF")</f>
        <v>FRONDEZ, JEDREFF</v>
      </c>
      <c r="C2488" s="1" t="str">
        <f>IFERROR(__xludf.DUMMYFUNCTION("""COMPUTED_VALUE"""),"ORGANIC")</f>
        <v>ORGANIC</v>
      </c>
      <c r="D2488" s="1" t="str">
        <f>IFERROR(__xludf.DUMMYFUNCTION("""COMPUTED_VALUE"""),"REMOLLO LEA")</f>
        <v>REMOLLO LEA</v>
      </c>
      <c r="E2488" s="1" t="str">
        <f>IFERROR(__xludf.DUMMYFUNCTION("""COMPUTED_VALUE"""),"PLDT / H2H")</f>
        <v>PLDT / H2H</v>
      </c>
      <c r="F2488" s="1">
        <f>IFERROR(__xludf.DUMMYFUNCTION("""COMPUTED_VALUE"""),2311021092)</f>
        <v>2311021092</v>
      </c>
      <c r="G2488" s="1">
        <f>IFERROR(__xludf.DUMMYFUNCTION("""COMPUTED_VALUE"""),462822047004)</f>
        <v>462822047004</v>
      </c>
      <c r="H2488" s="1" t="str">
        <f>IFERROR(__xludf.DUMMYFUNCTION("""COMPUTED_VALUE"""),"FEDERICO JUNTAHAN DAILO")</f>
        <v>FEDERICO JUNTAHAN DAILO</v>
      </c>
      <c r="I2488" s="1">
        <f>IFERROR(__xludf.DUMMYFUNCTION("""COMPUTED_VALUE"""),9054445505)</f>
        <v>9054445505</v>
      </c>
      <c r="J2488" s="1">
        <f>IFERROR(__xludf.DUMMYFUNCTION("""COMPUTED_VALUE"""),9687224010)</f>
        <v>9687224010</v>
      </c>
      <c r="K2488" s="1" t="str">
        <f>IFERROR(__xludf.DUMMYFUNCTION("""COMPUTED_VALUE"""),"federicojdailoforeman@gmail.com")</f>
        <v>federicojdailoforeman@gmail.com</v>
      </c>
      <c r="L2488" s="1" t="str">
        <f>IFERROR(__xludf.DUMMYFUNCTION("""COMPUTED_VALUE"""),"BLK 44 LOT 19")</f>
        <v>BLK 44 LOT 19</v>
      </c>
      <c r="M2488" s="1" t="str">
        <f>IFERROR(__xludf.DUMMYFUNCTION("""COMPUTED_VALUE"""),"PHASE 6")</f>
        <v>PHASE 6</v>
      </c>
      <c r="N2488" s="1"/>
      <c r="O2488" s="1" t="str">
        <f>IFERROR(__xludf.DUMMYFUNCTION("""COMPUTED_VALUE"""),"BANABA")</f>
        <v>BANABA</v>
      </c>
      <c r="P2488" s="1" t="str">
        <f>IFERROR(__xludf.DUMMYFUNCTION("""COMPUTED_VALUE"""),"SILANG")</f>
        <v>SILANG</v>
      </c>
      <c r="Q2488" s="1" t="str">
        <f>IFERROR(__xludf.DUMMYFUNCTION("""COMPUTED_VALUE"""),"CAVITE")</f>
        <v>CAVITE</v>
      </c>
      <c r="R2488" s="1" t="str">
        <f>IFERROR(__xludf.DUMMYFUNCTION("""COMPUTED_VALUE"""),"FIBR UNLI ALL PLAN 999")</f>
        <v>FIBR UNLI ALL PLAN 999</v>
      </c>
      <c r="S2488" s="1" t="str">
        <f>IFERROR(__xludf.DUMMYFUNCTION("""COMPUTED_VALUE"""),"APPROVED")</f>
        <v>APPROVED</v>
      </c>
      <c r="T2488" s="1" t="str">
        <f>IFERROR(__xludf.DUMMYFUNCTION("""COMPUTED_VALUE"""),"CLOSED")</f>
        <v>CLOSED</v>
      </c>
      <c r="U2488" s="1" t="str">
        <f>IFERROR(__xludf.DUMMYFUNCTION("""COMPUTED_VALUE"""),"POSTED")</f>
        <v>POSTED</v>
      </c>
      <c r="V2488" s="1"/>
      <c r="W2488" s="1"/>
    </row>
    <row r="2489" customHeight="1" spans="1:23">
      <c r="A2489" s="3">
        <f>IFERROR(__xludf.DUMMYFUNCTION("""COMPUTED_VALUE"""),46219)</f>
        <v>46219</v>
      </c>
      <c r="B2489" s="1" t="str">
        <f>IFERROR(__xludf.DUMMYFUNCTION("""COMPUTED_VALUE"""),"FRANCISCO , ROSELYN")</f>
        <v>FRANCISCO , ROSELYN</v>
      </c>
      <c r="C2489" s="1" t="str">
        <f>IFERROR(__xludf.DUMMYFUNCTION("""COMPUTED_VALUE"""),"ORGANIC")</f>
        <v>ORGANIC</v>
      </c>
      <c r="D2489" s="1" t="str">
        <f>IFERROR(__xludf.DUMMYFUNCTION("""COMPUTED_VALUE"""),"REMOLLO LEA")</f>
        <v>REMOLLO LEA</v>
      </c>
      <c r="E2489" s="1" t="str">
        <f>IFERROR(__xludf.DUMMYFUNCTION("""COMPUTED_VALUE"""),"PLDT / H2H")</f>
        <v>PLDT / H2H</v>
      </c>
      <c r="F2489" s="1">
        <f>IFERROR(__xludf.DUMMYFUNCTION("""COMPUTED_VALUE"""),2311026960)</f>
        <v>2311026960</v>
      </c>
      <c r="G2489" s="1">
        <f>IFERROR(__xludf.DUMMYFUNCTION("""COMPUTED_VALUE"""),462828754004)</f>
        <v>462828754004</v>
      </c>
      <c r="H2489" s="1" t="str">
        <f>IFERROR(__xludf.DUMMYFUNCTION("""COMPUTED_VALUE"""),"DANIEL REFORMADO REDONDO")</f>
        <v>DANIEL REFORMADO REDONDO</v>
      </c>
      <c r="I2489" s="1">
        <f>IFERROR(__xludf.DUMMYFUNCTION("""COMPUTED_VALUE"""),9708173080)</f>
        <v>9708173080</v>
      </c>
      <c r="J2489" s="1"/>
      <c r="K2489" s="1" t="str">
        <f>IFERROR(__xludf.DUMMYFUNCTION("""COMPUTED_VALUE"""),"redondodaniel1121@gmail.com")</f>
        <v>redondodaniel1121@gmail.com</v>
      </c>
      <c r="L2489" s="1" t="str">
        <f>IFERROR(__xludf.DUMMYFUNCTION("""COMPUTED_VALUE"""),"472")</f>
        <v>472</v>
      </c>
      <c r="M2489" s="1" t="str">
        <f>IFERROR(__xludf.DUMMYFUNCTION("""COMPUTED_VALUE"""),"RAFAEL PARRA")</f>
        <v>RAFAEL PARRA</v>
      </c>
      <c r="N2489" s="1"/>
      <c r="O2489" s="1" t="str">
        <f>IFERROR(__xludf.DUMMYFUNCTION("""COMPUTED_VALUE"""),"SUNGAY SOUTH")</f>
        <v>SUNGAY SOUTH</v>
      </c>
      <c r="P2489" s="1" t="str">
        <f>IFERROR(__xludf.DUMMYFUNCTION("""COMPUTED_VALUE"""),"TAGAYTAY")</f>
        <v>TAGAYTAY</v>
      </c>
      <c r="Q2489" s="1" t="str">
        <f>IFERROR(__xludf.DUMMYFUNCTION("""COMPUTED_VALUE"""),"CAVITE")</f>
        <v>CAVITE</v>
      </c>
      <c r="R2489" s="1" t="str">
        <f>IFERROR(__xludf.DUMMYFUNCTION("""COMPUTED_VALUE"""),"FIBR UNLI ALL PLAN 999")</f>
        <v>FIBR UNLI ALL PLAN 999</v>
      </c>
      <c r="S2489" s="1" t="str">
        <f>IFERROR(__xludf.DUMMYFUNCTION("""COMPUTED_VALUE"""),"APPROVED")</f>
        <v>APPROVED</v>
      </c>
      <c r="T2489" s="1" t="str">
        <f>IFERROR(__xludf.DUMMYFUNCTION("""COMPUTED_VALUE"""),"CLOSED")</f>
        <v>CLOSED</v>
      </c>
      <c r="U2489" s="1" t="str">
        <f>IFERROR(__xludf.DUMMYFUNCTION("""COMPUTED_VALUE"""),"POSTED")</f>
        <v>POSTED</v>
      </c>
      <c r="V2489" s="1"/>
      <c r="W2489" s="1"/>
    </row>
    <row r="2490" customHeight="1" spans="1:23">
      <c r="A2490" s="3">
        <f>IFERROR(__xludf.DUMMYFUNCTION("""COMPUTED_VALUE"""),46219)</f>
        <v>46219</v>
      </c>
      <c r="B2490" s="1" t="str">
        <f>IFERROR(__xludf.DUMMYFUNCTION("""COMPUTED_VALUE"""),"GABAY, MANUEL")</f>
        <v>GABAY, MANUEL</v>
      </c>
      <c r="C2490" s="1" t="str">
        <f>IFERROR(__xludf.DUMMYFUNCTION("""COMPUTED_VALUE"""),"FLA")</f>
        <v>FLA</v>
      </c>
      <c r="D2490" s="1" t="str">
        <f>IFERROR(__xludf.DUMMYFUNCTION("""COMPUTED_VALUE"""),"JERIC NAVARRO")</f>
        <v>JERIC NAVARRO</v>
      </c>
      <c r="E2490" s="1" t="str">
        <f>IFERROR(__xludf.DUMMYFUNCTION("""COMPUTED_VALUE"""),"PLDT / H2H")</f>
        <v>PLDT / H2H</v>
      </c>
      <c r="F2490" s="1">
        <f>IFERROR(__xludf.DUMMYFUNCTION("""COMPUTED_VALUE"""),2311027393)</f>
        <v>2311027393</v>
      </c>
      <c r="G2490" s="1"/>
      <c r="H2490" s="1" t="str">
        <f>IFERROR(__xludf.DUMMYFUNCTION("""COMPUTED_VALUE"""),"ELMER DIMARANAN DIMARANAN")</f>
        <v>ELMER DIMARANAN DIMARANAN</v>
      </c>
      <c r="I2490" s="1">
        <f>IFERROR(__xludf.DUMMYFUNCTION("""COMPUTED_VALUE"""),9204601047)</f>
        <v>9204601047</v>
      </c>
      <c r="J2490" s="1">
        <f>IFERROR(__xludf.DUMMYFUNCTION("""COMPUTED_VALUE"""),9159713576)</f>
        <v>9159713576</v>
      </c>
      <c r="K2490" s="1" t="str">
        <f>IFERROR(__xludf.DUMMYFUNCTION("""COMPUTED_VALUE"""),"dimarananjoyced@gmail.com")</f>
        <v>dimarananjoyced@gmail.com</v>
      </c>
      <c r="L2490" s="1" t="str">
        <f>IFERROR(__xludf.DUMMYFUNCTION("""COMPUTED_VALUE"""),"8")</f>
        <v>8</v>
      </c>
      <c r="M2490" s="1" t="str">
        <f>IFERROR(__xludf.DUMMYFUNCTION("""COMPUTED_VALUE"""),"FRANCIS ")</f>
        <v>FRANCIS </v>
      </c>
      <c r="N2490" s="1"/>
      <c r="O2490" s="1" t="str">
        <f>IFERROR(__xludf.DUMMYFUNCTION("""COMPUTED_VALUE"""),"ASIS III")</f>
        <v>ASIS III</v>
      </c>
      <c r="P2490" s="1" t="str">
        <f>IFERROR(__xludf.DUMMYFUNCTION("""COMPUTED_VALUE"""),"MENDEZ")</f>
        <v>MENDEZ</v>
      </c>
      <c r="Q2490" s="1" t="str">
        <f>IFERROR(__xludf.DUMMYFUNCTION("""COMPUTED_VALUE"""),"CAVITE")</f>
        <v>CAVITE</v>
      </c>
      <c r="R2490" s="1" t="str">
        <f>IFERROR(__xludf.DUMMYFUNCTION("""COMPUTED_VALUE"""),"FIBR UNLI ALL PLAN 1399")</f>
        <v>FIBR UNLI ALL PLAN 1399</v>
      </c>
      <c r="S2490" s="1" t="str">
        <f>IFERROR(__xludf.DUMMYFUNCTION("""COMPUTED_VALUE"""),"APPROVED")</f>
        <v>APPROVED</v>
      </c>
      <c r="T2490" s="1" t="str">
        <f>IFERROR(__xludf.DUMMYFUNCTION("""COMPUTED_VALUE"""),"REENCODED")</f>
        <v>REENCODED</v>
      </c>
      <c r="U2490" s="1"/>
      <c r="V2490" s="1"/>
      <c r="W2490" s="1"/>
    </row>
    <row r="2491" customHeight="1" spans="1:23">
      <c r="A2491" s="3">
        <f>IFERROR(__xludf.DUMMYFUNCTION("""COMPUTED_VALUE"""),46219)</f>
        <v>46219</v>
      </c>
      <c r="B2491" s="1" t="str">
        <f>IFERROR(__xludf.DUMMYFUNCTION("""COMPUTED_VALUE"""),"FRANCISCO , ROSELYN")</f>
        <v>FRANCISCO , ROSELYN</v>
      </c>
      <c r="C2491" s="1" t="str">
        <f>IFERROR(__xludf.DUMMYFUNCTION("""COMPUTED_VALUE"""),"ORGANIC")</f>
        <v>ORGANIC</v>
      </c>
      <c r="D2491" s="1" t="str">
        <f>IFERROR(__xludf.DUMMYFUNCTION("""COMPUTED_VALUE"""),"REMOLLO LEA")</f>
        <v>REMOLLO LEA</v>
      </c>
      <c r="E2491" s="1" t="str">
        <f>IFERROR(__xludf.DUMMYFUNCTION("""COMPUTED_VALUE"""),"PLDT / ONLINE")</f>
        <v>PLDT / ONLINE</v>
      </c>
      <c r="F2491" s="1">
        <f>IFERROR(__xludf.DUMMYFUNCTION("""COMPUTED_VALUE"""),2311028120)</f>
        <v>2311028120</v>
      </c>
      <c r="G2491" s="1">
        <f>IFERROR(__xludf.DUMMYFUNCTION("""COMPUTED_VALUE"""),462835418004)</f>
        <v>462835418004</v>
      </c>
      <c r="H2491" s="1" t="str">
        <f>IFERROR(__xludf.DUMMYFUNCTION("""COMPUTED_VALUE"""),"MARILYN VICENTE SUSANO")</f>
        <v>MARILYN VICENTE SUSANO</v>
      </c>
      <c r="I2491" s="1">
        <f>IFERROR(__xludf.DUMMYFUNCTION("""COMPUTED_VALUE"""),9158396291)</f>
        <v>9158396291</v>
      </c>
      <c r="J2491" s="1">
        <f>IFERROR(__xludf.DUMMYFUNCTION("""COMPUTED_VALUE"""),9935007400)</f>
        <v>9935007400</v>
      </c>
      <c r="K2491" s="1" t="str">
        <f>IFERROR(__xludf.DUMMYFUNCTION("""COMPUTED_VALUE"""),"lynsusano0621@gmail.com")</f>
        <v>lynsusano0621@gmail.com</v>
      </c>
      <c r="L2491" s="1" t="str">
        <f>IFERROR(__xludf.DUMMYFUNCTION("""COMPUTED_VALUE"""),"3")</f>
        <v>3</v>
      </c>
      <c r="M2491" s="1" t="str">
        <f>IFERROR(__xludf.DUMMYFUNCTION("""COMPUTED_VALUE"""),"MONTOYA")</f>
        <v>MONTOYA</v>
      </c>
      <c r="N2491" s="1"/>
      <c r="O2491" s="1" t="str">
        <f>IFERROR(__xludf.DUMMYFUNCTION("""COMPUTED_VALUE"""),"TUBUAN II")</f>
        <v>TUBUAN II</v>
      </c>
      <c r="P2491" s="1" t="str">
        <f>IFERROR(__xludf.DUMMYFUNCTION("""COMPUTED_VALUE"""),"SILANG")</f>
        <v>SILANG</v>
      </c>
      <c r="Q2491" s="1" t="str">
        <f>IFERROR(__xludf.DUMMYFUNCTION("""COMPUTED_VALUE"""),"CAVITE")</f>
        <v>CAVITE</v>
      </c>
      <c r="R2491" s="1" t="str">
        <f>IFERROR(__xludf.DUMMYFUNCTION("""COMPUTED_VALUE"""),"FIBR UNLI ALL PLAN 999")</f>
        <v>FIBR UNLI ALL PLAN 999</v>
      </c>
      <c r="S2491" s="1" t="str">
        <f>IFERROR(__xludf.DUMMYFUNCTION("""COMPUTED_VALUE"""),"APPROVED")</f>
        <v>APPROVED</v>
      </c>
      <c r="T2491" s="1" t="str">
        <f>IFERROR(__xludf.DUMMYFUNCTION("""COMPUTED_VALUE"""),"CLOSED")</f>
        <v>CLOSED</v>
      </c>
      <c r="U2491" s="1" t="str">
        <f>IFERROR(__xludf.DUMMYFUNCTION("""COMPUTED_VALUE"""),"POSTED")</f>
        <v>POSTED</v>
      </c>
      <c r="V2491" s="1"/>
      <c r="W2491" s="1"/>
    </row>
    <row r="2492" customHeight="1" spans="1:23">
      <c r="A2492" s="3">
        <f>IFERROR(__xludf.DUMMYFUNCTION("""COMPUTED_VALUE"""),46219)</f>
        <v>46219</v>
      </c>
      <c r="B2492" s="1" t="str">
        <f>IFERROR(__xludf.DUMMYFUNCTION("""COMPUTED_VALUE"""),"ESCARCHA, MA ALMA  ESCOTO")</f>
        <v>ESCARCHA, MA ALMA  ESCOTO</v>
      </c>
      <c r="C2492" s="1" t="str">
        <f>IFERROR(__xludf.DUMMYFUNCTION("""COMPUTED_VALUE"""),"ORGANIC")</f>
        <v>ORGANIC</v>
      </c>
      <c r="D2492" s="1" t="str">
        <f>IFERROR(__xludf.DUMMYFUNCTION("""COMPUTED_VALUE"""),"REMOLLO LEA")</f>
        <v>REMOLLO LEA</v>
      </c>
      <c r="E2492" s="1" t="str">
        <f>IFERROR(__xludf.DUMMYFUNCTION("""COMPUTED_VALUE"""),"PLDT / H2H")</f>
        <v>PLDT / H2H</v>
      </c>
      <c r="F2492" s="1">
        <f>IFERROR(__xludf.DUMMYFUNCTION("""COMPUTED_VALUE"""),2311028490)</f>
        <v>2311028490</v>
      </c>
      <c r="G2492" s="1">
        <f>IFERROR(__xludf.DUMMYFUNCTION("""COMPUTED_VALUE"""),462830387004)</f>
        <v>462830387004</v>
      </c>
      <c r="H2492" s="1" t="str">
        <f>IFERROR(__xludf.DUMMYFUNCTION("""COMPUTED_VALUE"""),"LEILA FERMA LOENIZO")</f>
        <v>LEILA FERMA LOENIZO</v>
      </c>
      <c r="I2492" s="1">
        <f>IFERROR(__xludf.DUMMYFUNCTION("""COMPUTED_VALUE"""),926288535)</f>
        <v>926288535</v>
      </c>
      <c r="J2492" s="1"/>
      <c r="K2492" s="4" t="str">
        <f>IFERROR(__xludf.DUMMYFUNCTION("""COMPUTED_VALUE"""),"leonizoleila242gmail.com")</f>
        <v>leonizoleila242gmail.com</v>
      </c>
      <c r="L2492" s="1" t="str">
        <f>IFERROR(__xludf.DUMMYFUNCTION("""COMPUTED_VALUE"""),"85")</f>
        <v>85</v>
      </c>
      <c r="M2492" s="1" t="str">
        <f>IFERROR(__xludf.DUMMYFUNCTION("""COMPUTED_VALUE"""),"ZAMORA")</f>
        <v>ZAMORA</v>
      </c>
      <c r="N2492" s="1"/>
      <c r="O2492" s="1" t="str">
        <f>IFERROR(__xludf.DUMMYFUNCTION("""COMPUTED_VALUE"""),"ASIS I")</f>
        <v>ASIS I</v>
      </c>
      <c r="P2492" s="1" t="str">
        <f>IFERROR(__xludf.DUMMYFUNCTION("""COMPUTED_VALUE"""),"MENDEZ")</f>
        <v>MENDEZ</v>
      </c>
      <c r="Q2492" s="1" t="str">
        <f>IFERROR(__xludf.DUMMYFUNCTION("""COMPUTED_VALUE"""),"CAVITE")</f>
        <v>CAVITE</v>
      </c>
      <c r="R2492" s="1" t="str">
        <f>IFERROR(__xludf.DUMMYFUNCTION("""COMPUTED_VALUE"""),"FIBR UNLI ALL PLAN 999")</f>
        <v>FIBR UNLI ALL PLAN 999</v>
      </c>
      <c r="S2492" s="1" t="str">
        <f>IFERROR(__xludf.DUMMYFUNCTION("""COMPUTED_VALUE"""),"APPROVED")</f>
        <v>APPROVED</v>
      </c>
      <c r="T2492" s="1" t="str">
        <f>IFERROR(__xludf.DUMMYFUNCTION("""COMPUTED_VALUE"""),"FOR CANCELLATION")</f>
        <v>FOR CANCELLATION</v>
      </c>
      <c r="U2492" s="1"/>
      <c r="V2492" s="1"/>
      <c r="W2492" s="1"/>
    </row>
    <row r="2493" customHeight="1" spans="1:23">
      <c r="A2493" s="3">
        <f>IFERROR(__xludf.DUMMYFUNCTION("""COMPUTED_VALUE"""),46219)</f>
        <v>46219</v>
      </c>
      <c r="B2493" s="1" t="str">
        <f>IFERROR(__xludf.DUMMYFUNCTION("""COMPUTED_VALUE"""),"CASTILLEJOS, ARREL")</f>
        <v>CASTILLEJOS, ARREL</v>
      </c>
      <c r="C2493" s="1" t="str">
        <f>IFERROR(__xludf.DUMMYFUNCTION("""COMPUTED_VALUE"""),"ORGANIC")</f>
        <v>ORGANIC</v>
      </c>
      <c r="D2493" s="1" t="str">
        <f>IFERROR(__xludf.DUMMYFUNCTION("""COMPUTED_VALUE"""),"REMOLLO LEA")</f>
        <v>REMOLLO LEA</v>
      </c>
      <c r="E2493" s="1" t="str">
        <f>IFERROR(__xludf.DUMMYFUNCTION("""COMPUTED_VALUE"""),"PLDT / H2H")</f>
        <v>PLDT / H2H</v>
      </c>
      <c r="F2493" s="1">
        <f>IFERROR(__xludf.DUMMYFUNCTION("""COMPUTED_VALUE"""),2311029413)</f>
        <v>2311029413</v>
      </c>
      <c r="G2493" s="1">
        <f>IFERROR(__xludf.DUMMYFUNCTION("""COMPUTED_VALUE"""),462839499004)</f>
        <v>462839499004</v>
      </c>
      <c r="H2493" s="1" t="str">
        <f>IFERROR(__xludf.DUMMYFUNCTION("""COMPUTED_VALUE"""),"RICARDO DOMINGO AGUINALDO")</f>
        <v>RICARDO DOMINGO AGUINALDO</v>
      </c>
      <c r="I2493" s="1">
        <f>IFERROR(__xludf.DUMMYFUNCTION("""COMPUTED_VALUE"""),9085053815)</f>
        <v>9085053815</v>
      </c>
      <c r="J2493" s="1">
        <f>IFERROR(__xludf.DUMMYFUNCTION("""COMPUTED_VALUE"""),9196775715)</f>
        <v>9196775715</v>
      </c>
      <c r="K2493" s="1" t="str">
        <f>IFERROR(__xludf.DUMMYFUNCTION("""COMPUTED_VALUE"""),"aguinaldobernadeth25@gmail.com")</f>
        <v>aguinaldobernadeth25@gmail.com</v>
      </c>
      <c r="L2493" s="1" t="str">
        <f>IFERROR(__xludf.DUMMYFUNCTION("""COMPUTED_VALUE"""),"63")</f>
        <v>63</v>
      </c>
      <c r="M2493" s="1" t="str">
        <f>IFERROR(__xludf.DUMMYFUNCTION("""COMPUTED_VALUE"""),"ZAMORA")</f>
        <v>ZAMORA</v>
      </c>
      <c r="N2493" s="1"/>
      <c r="O2493" s="1" t="str">
        <f>IFERROR(__xludf.DUMMYFUNCTION("""COMPUTED_VALUE"""),"ASIS I")</f>
        <v>ASIS I</v>
      </c>
      <c r="P2493" s="1" t="str">
        <f>IFERROR(__xludf.DUMMYFUNCTION("""COMPUTED_VALUE"""),"MENDEZ")</f>
        <v>MENDEZ</v>
      </c>
      <c r="Q2493" s="1" t="str">
        <f>IFERROR(__xludf.DUMMYFUNCTION("""COMPUTED_VALUE"""),"CAVITE")</f>
        <v>CAVITE</v>
      </c>
      <c r="R2493" s="1" t="str">
        <f>IFERROR(__xludf.DUMMYFUNCTION("""COMPUTED_VALUE"""),"FIBR PLAN 1299")</f>
        <v>FIBR PLAN 1299</v>
      </c>
      <c r="S2493" s="1" t="str">
        <f>IFERROR(__xludf.DUMMYFUNCTION("""COMPUTED_VALUE"""),"APPROVED")</f>
        <v>APPROVED</v>
      </c>
      <c r="T2493" s="1" t="str">
        <f>IFERROR(__xludf.DUMMYFUNCTION("""COMPUTED_VALUE"""),"CLOSED")</f>
        <v>CLOSED</v>
      </c>
      <c r="U2493" s="1" t="str">
        <f>IFERROR(__xludf.DUMMYFUNCTION("""COMPUTED_VALUE"""),"POSTED")</f>
        <v>POSTED</v>
      </c>
      <c r="V2493" s="1"/>
      <c r="W2493" s="1"/>
    </row>
    <row r="2494" customHeight="1" spans="1:23">
      <c r="A2494" s="3">
        <f>IFERROR(__xludf.DUMMYFUNCTION("""COMPUTED_VALUE"""),46219)</f>
        <v>46219</v>
      </c>
      <c r="B2494" s="1" t="str">
        <f>IFERROR(__xludf.DUMMYFUNCTION("""COMPUTED_VALUE"""),"CASTILLEJOS, ARREL")</f>
        <v>CASTILLEJOS, ARREL</v>
      </c>
      <c r="C2494" s="1" t="str">
        <f>IFERROR(__xludf.DUMMYFUNCTION("""COMPUTED_VALUE"""),"ORGANIC")</f>
        <v>ORGANIC</v>
      </c>
      <c r="D2494" s="1" t="str">
        <f>IFERROR(__xludf.DUMMYFUNCTION("""COMPUTED_VALUE"""),"REMOLLO LEA")</f>
        <v>REMOLLO LEA</v>
      </c>
      <c r="E2494" s="1" t="str">
        <f>IFERROR(__xludf.DUMMYFUNCTION("""COMPUTED_VALUE"""),"PLDT / H2H")</f>
        <v>PLDT / H2H</v>
      </c>
      <c r="F2494" s="1">
        <f>IFERROR(__xludf.DUMMYFUNCTION("""COMPUTED_VALUE"""),2311029818)</f>
        <v>2311029818</v>
      </c>
      <c r="G2494" s="1">
        <f>IFERROR(__xludf.DUMMYFUNCTION("""COMPUTED_VALUE"""),462835695004)</f>
        <v>462835695004</v>
      </c>
      <c r="H2494" s="1" t="str">
        <f>IFERROR(__xludf.DUMMYFUNCTION("""COMPUTED_VALUE"""),"MARI AI REGINE DE OCAMPO TENORIO")</f>
        <v>MARI AI REGINE DE OCAMPO TENORIO</v>
      </c>
      <c r="I2494" s="1">
        <f>IFERROR(__xludf.DUMMYFUNCTION("""COMPUTED_VALUE"""),9260660494)</f>
        <v>9260660494</v>
      </c>
      <c r="J2494" s="1"/>
      <c r="K2494" s="1" t="str">
        <f>IFERROR(__xludf.DUMMYFUNCTION("""COMPUTED_VALUE"""),"meriaireginexaclishnm@gami.com")</f>
        <v>meriaireginexaclishnm@gami.com</v>
      </c>
      <c r="L2494" s="1" t="str">
        <f>IFERROR(__xludf.DUMMYFUNCTION("""COMPUTED_VALUE"""),"113")</f>
        <v>113</v>
      </c>
      <c r="M2494" s="1" t="str">
        <f>IFERROR(__xludf.DUMMYFUNCTION("""COMPUTED_VALUE"""),"ZAMORA")</f>
        <v>ZAMORA</v>
      </c>
      <c r="N2494" s="1"/>
      <c r="O2494" s="1" t="str">
        <f>IFERROR(__xludf.DUMMYFUNCTION("""COMPUTED_VALUE"""),"ASIS I")</f>
        <v>ASIS I</v>
      </c>
      <c r="P2494" s="1" t="str">
        <f>IFERROR(__xludf.DUMMYFUNCTION("""COMPUTED_VALUE"""),"MENDEZ")</f>
        <v>MENDEZ</v>
      </c>
      <c r="Q2494" s="1" t="str">
        <f>IFERROR(__xludf.DUMMYFUNCTION("""COMPUTED_VALUE"""),"CAVITE")</f>
        <v>CAVITE</v>
      </c>
      <c r="R2494" s="1" t="str">
        <f>IFERROR(__xludf.DUMMYFUNCTION("""COMPUTED_VALUE"""),"FIBR PLAN 1299")</f>
        <v>FIBR PLAN 1299</v>
      </c>
      <c r="S2494" s="1" t="str">
        <f>IFERROR(__xludf.DUMMYFUNCTION("""COMPUTED_VALUE"""),"APPROVED")</f>
        <v>APPROVED</v>
      </c>
      <c r="T2494" s="1" t="str">
        <f>IFERROR(__xludf.DUMMYFUNCTION("""COMPUTED_VALUE"""),"CLOSED")</f>
        <v>CLOSED</v>
      </c>
      <c r="U2494" s="1" t="str">
        <f>IFERROR(__xludf.DUMMYFUNCTION("""COMPUTED_VALUE"""),"POSTED")</f>
        <v>POSTED</v>
      </c>
      <c r="V2494" s="1"/>
      <c r="W2494" s="1"/>
    </row>
    <row r="2495" customHeight="1" spans="1:23">
      <c r="A2495" s="3">
        <f>IFERROR(__xludf.DUMMYFUNCTION("""COMPUTED_VALUE"""),46219)</f>
        <v>46219</v>
      </c>
      <c r="B2495" s="1" t="str">
        <f>IFERROR(__xludf.DUMMYFUNCTION("""COMPUTED_VALUE"""),"FRANCISCO , ROSELYN")</f>
        <v>FRANCISCO , ROSELYN</v>
      </c>
      <c r="C2495" s="1" t="str">
        <f>IFERROR(__xludf.DUMMYFUNCTION("""COMPUTED_VALUE"""),"ORGANIC")</f>
        <v>ORGANIC</v>
      </c>
      <c r="D2495" s="1" t="str">
        <f>IFERROR(__xludf.DUMMYFUNCTION("""COMPUTED_VALUE"""),"REMOLLO LEA")</f>
        <v>REMOLLO LEA</v>
      </c>
      <c r="E2495" s="1" t="str">
        <f>IFERROR(__xludf.DUMMYFUNCTION("""COMPUTED_VALUE"""),"RED FIBER")</f>
        <v>RED FIBER</v>
      </c>
      <c r="F2495" s="1"/>
      <c r="G2495" s="1"/>
      <c r="H2495" s="1" t="str">
        <f>IFERROR(__xludf.DUMMYFUNCTION("""COMPUTED_VALUE"""),"ANA TERESA LOYOLA OCTA")</f>
        <v>ANA TERESA LOYOLA OCTA</v>
      </c>
      <c r="I2495" s="1">
        <f>IFERROR(__xludf.DUMMYFUNCTION("""COMPUTED_VALUE"""),9489554101)</f>
        <v>9489554101</v>
      </c>
      <c r="J2495" s="1"/>
      <c r="K2495" s="1" t="str">
        <f>IFERROR(__xludf.DUMMYFUNCTION("""COMPUTED_VALUE"""),"gerldgenoveo@gmail.com")</f>
        <v>gerldgenoveo@gmail.com</v>
      </c>
      <c r="L2495" s="1" t="str">
        <f>IFERROR(__xludf.DUMMYFUNCTION("""COMPUTED_VALUE"""),"71")</f>
        <v>71</v>
      </c>
      <c r="M2495" s="1" t="str">
        <f>IFERROR(__xludf.DUMMYFUNCTION("""COMPUTED_VALUE"""),"PUROK 3")</f>
        <v>PUROK 3</v>
      </c>
      <c r="N2495" s="1"/>
      <c r="O2495" s="1" t="str">
        <f>IFERROR(__xludf.DUMMYFUNCTION("""COMPUTED_VALUE"""),"ULAT")</f>
        <v>ULAT</v>
      </c>
      <c r="P2495" s="1" t="str">
        <f>IFERROR(__xludf.DUMMYFUNCTION("""COMPUTED_VALUE"""),"SILANG")</f>
        <v>SILANG</v>
      </c>
      <c r="Q2495" s="1" t="str">
        <f>IFERROR(__xludf.DUMMYFUNCTION("""COMPUTED_VALUE"""),"CAVITE")</f>
        <v>CAVITE</v>
      </c>
      <c r="R2495" s="1" t="str">
        <f>IFERROR(__xludf.DUMMYFUNCTION("""COMPUTED_VALUE"""),"RED PLAN 1400")</f>
        <v>RED PLAN 1400</v>
      </c>
      <c r="S2495" s="1" t="str">
        <f>IFERROR(__xludf.DUMMYFUNCTION("""COMPUTED_VALUE"""),"APPROVED")</f>
        <v>APPROVED</v>
      </c>
      <c r="T2495" s="1" t="str">
        <f>IFERROR(__xludf.DUMMYFUNCTION("""COMPUTED_VALUE"""),"#N/A")</f>
        <v>#N/A</v>
      </c>
      <c r="U2495" s="1"/>
      <c r="V2495" s="1"/>
      <c r="W2495" s="1"/>
    </row>
    <row r="2496" customHeight="1" spans="1:23">
      <c r="A2496" s="3">
        <f>IFERROR(__xludf.DUMMYFUNCTION("""COMPUTED_VALUE"""),46219)</f>
        <v>46219</v>
      </c>
      <c r="B2496" s="1" t="str">
        <f>IFERROR(__xludf.DUMMYFUNCTION("""COMPUTED_VALUE"""),"SANTILICES, PRINCE")</f>
        <v>SANTILICES, PRINCE</v>
      </c>
      <c r="C2496" s="1" t="str">
        <f>IFERROR(__xludf.DUMMYFUNCTION("""COMPUTED_VALUE"""),"ORGANIC")</f>
        <v>ORGANIC</v>
      </c>
      <c r="D2496" s="1" t="str">
        <f>IFERROR(__xludf.DUMMYFUNCTION("""COMPUTED_VALUE"""),"REMOLLO LEA")</f>
        <v>REMOLLO LEA</v>
      </c>
      <c r="E2496" s="1" t="str">
        <f>IFERROR(__xludf.DUMMYFUNCTION("""COMPUTED_VALUE"""),"PLDT / H2H")</f>
        <v>PLDT / H2H</v>
      </c>
      <c r="F2496" s="1">
        <f>IFERROR(__xludf.DUMMYFUNCTION("""COMPUTED_VALUE"""),2311070369)</f>
        <v>2311070369</v>
      </c>
      <c r="G2496" s="1">
        <f>IFERROR(__xludf.DUMMYFUNCTION("""COMPUTED_VALUE"""),463091302004)</f>
        <v>463091302004</v>
      </c>
      <c r="H2496" s="1" t="str">
        <f>IFERROR(__xludf.DUMMYFUNCTION("""COMPUTED_VALUE"""),"PRINCESS REGINE ALFON SANTILICES")</f>
        <v>PRINCESS REGINE ALFON SANTILICES</v>
      </c>
      <c r="I2496" s="1">
        <f>IFERROR(__xludf.DUMMYFUNCTION("""COMPUTED_VALUE"""),9625725561)</f>
        <v>9625725561</v>
      </c>
      <c r="J2496" s="1"/>
      <c r="K2496" s="1" t="str">
        <f>IFERROR(__xludf.DUMMYFUNCTION("""COMPUTED_VALUE"""),"princerojosantiilices20@gmail.com")</f>
        <v>princerojosantiilices20@gmail.com</v>
      </c>
      <c r="L2496" s="1" t="str">
        <f>IFERROR(__xludf.DUMMYFUNCTION("""COMPUTED_VALUE"""),"139")</f>
        <v>139</v>
      </c>
      <c r="M2496" s="1" t="str">
        <f>IFERROR(__xludf.DUMMYFUNCTION("""COMPUTED_VALUE"""),"PASOMG SAGING")</f>
        <v>PASOMG SAGING</v>
      </c>
      <c r="N2496" s="1"/>
      <c r="O2496" s="1" t="str">
        <f>IFERROR(__xludf.DUMMYFUNCTION("""COMPUTED_VALUE"""),"BARANGAY 5 POBLACION")</f>
        <v>BARANGAY 5 POBLACION</v>
      </c>
      <c r="P2496" s="1" t="str">
        <f>IFERROR(__xludf.DUMMYFUNCTION("""COMPUTED_VALUE"""),"GEN MARIANO ALVAREZ")</f>
        <v>GEN MARIANO ALVAREZ</v>
      </c>
      <c r="Q2496" s="1" t="str">
        <f>IFERROR(__xludf.DUMMYFUNCTION("""COMPUTED_VALUE"""),"CAVITE")</f>
        <v>CAVITE</v>
      </c>
      <c r="R2496" s="1" t="str">
        <f>IFERROR(__xludf.DUMMYFUNCTION("""COMPUTED_VALUE"""),"FIBR UNLI ALL PLAN 999")</f>
        <v>FIBR UNLI ALL PLAN 999</v>
      </c>
      <c r="S2496" s="1" t="str">
        <f>IFERROR(__xludf.DUMMYFUNCTION("""COMPUTED_VALUE"""),"APPROVED")</f>
        <v>APPROVED</v>
      </c>
      <c r="T2496" s="1" t="str">
        <f>IFERROR(__xludf.DUMMYFUNCTION("""COMPUTED_VALUE"""),"CLOSED")</f>
        <v>CLOSED</v>
      </c>
      <c r="U2496" s="1"/>
      <c r="V2496" s="1"/>
      <c r="W2496" s="1"/>
    </row>
    <row r="2497" customHeight="1" spans="1:23">
      <c r="A2497" s="3">
        <f>IFERROR(__xludf.DUMMYFUNCTION("""COMPUTED_VALUE"""),46220)</f>
        <v>46220</v>
      </c>
      <c r="B2497" s="1" t="str">
        <f>IFERROR(__xludf.DUMMYFUNCTION("""COMPUTED_VALUE"""),"MALIWAT MARK ELVIN")</f>
        <v>MALIWAT MARK ELVIN</v>
      </c>
      <c r="C2497" s="1" t="str">
        <f>IFERROR(__xludf.DUMMYFUNCTION("""COMPUTED_VALUE"""),"FLA")</f>
        <v>FLA</v>
      </c>
      <c r="D2497" s="1" t="str">
        <f>IFERROR(__xludf.DUMMYFUNCTION("""COMPUTED_VALUE"""),"JERIC NAVARRO")</f>
        <v>JERIC NAVARRO</v>
      </c>
      <c r="E2497" s="1" t="str">
        <f>IFERROR(__xludf.DUMMYFUNCTION("""COMPUTED_VALUE"""),"PLDT / H2H")</f>
        <v>PLDT / H2H</v>
      </c>
      <c r="F2497" s="1">
        <f>IFERROR(__xludf.DUMMYFUNCTION("""COMPUTED_VALUE"""),2311046830)</f>
        <v>2311046830</v>
      </c>
      <c r="G2497" s="1">
        <f>IFERROR(__xludf.DUMMYFUNCTION("""COMPUTED_VALUE"""),462944142004)</f>
        <v>462944142004</v>
      </c>
      <c r="H2497" s="1" t="str">
        <f>IFERROR(__xludf.DUMMYFUNCTION("""COMPUTED_VALUE"""),"LOVELY KATE MAGANTE MAGADIA")</f>
        <v>LOVELY KATE MAGANTE MAGADIA</v>
      </c>
      <c r="I2497" s="1">
        <f>IFERROR(__xludf.DUMMYFUNCTION("""COMPUTED_VALUE"""),9750992558)</f>
        <v>9750992558</v>
      </c>
      <c r="J2497" s="1">
        <f>IFERROR(__xludf.DUMMYFUNCTION("""COMPUTED_VALUE"""),9359323918)</f>
        <v>9359323918</v>
      </c>
      <c r="K2497" s="1" t="str">
        <f>IFERROR(__xludf.DUMMYFUNCTION("""COMPUTED_VALUE"""),"04lyka04@gmail.com")</f>
        <v>04lyka04@gmail.com</v>
      </c>
      <c r="L2497" s="1" t="str">
        <f>IFERROR(__xludf.DUMMYFUNCTION("""COMPUTED_VALUE"""),"BLK 43 LOT 23")</f>
        <v>BLK 43 LOT 23</v>
      </c>
      <c r="M2497" s="1" t="str">
        <f>IFERROR(__xludf.DUMMYFUNCTION("""COMPUTED_VALUE"""),"THE PALM")</f>
        <v>THE PALM</v>
      </c>
      <c r="N2497" s="1" t="str">
        <f>IFERROR(__xludf.DUMMYFUNCTION("""COMPUTED_VALUE"""),"THE PALM RESIDENCES")</f>
        <v>THE PALM RESIDENCES</v>
      </c>
      <c r="O2497" s="1" t="str">
        <f>IFERROR(__xludf.DUMMYFUNCTION("""COMPUTED_VALUE"""),"CALIBUYO")</f>
        <v>CALIBUYO</v>
      </c>
      <c r="P2497" s="1" t="str">
        <f>IFERROR(__xludf.DUMMYFUNCTION("""COMPUTED_VALUE"""),"TANZA")</f>
        <v>TANZA</v>
      </c>
      <c r="Q2497" s="1" t="str">
        <f>IFERROR(__xludf.DUMMYFUNCTION("""COMPUTED_VALUE"""),"CAVITE")</f>
        <v>CAVITE</v>
      </c>
      <c r="R2497" s="1" t="str">
        <f>IFERROR(__xludf.DUMMYFUNCTION("""COMPUTED_VALUE"""),"FIBR UNLI ALL PLAN 1399")</f>
        <v>FIBR UNLI ALL PLAN 1399</v>
      </c>
      <c r="S2497" s="1" t="str">
        <f>IFERROR(__xludf.DUMMYFUNCTION("""COMPUTED_VALUE"""),"APPROVED")</f>
        <v>APPROVED</v>
      </c>
      <c r="T2497" s="1" t="str">
        <f>IFERROR(__xludf.DUMMYFUNCTION("""COMPUTED_VALUE"""),"CLOSED")</f>
        <v>CLOSED</v>
      </c>
      <c r="U2497" s="1" t="str">
        <f>IFERROR(__xludf.DUMMYFUNCTION("""COMPUTED_VALUE"""),"POSTED")</f>
        <v>POSTED</v>
      </c>
      <c r="V2497" s="1"/>
      <c r="W2497" s="1"/>
    </row>
    <row r="2498" customHeight="1" spans="1:23">
      <c r="A2498" s="3">
        <f>IFERROR(__xludf.DUMMYFUNCTION("""COMPUTED_VALUE"""),46220)</f>
        <v>46220</v>
      </c>
      <c r="B2498" s="1" t="str">
        <f>IFERROR(__xludf.DUMMYFUNCTION("""COMPUTED_VALUE"""),"AYON MANUEL")</f>
        <v>AYON MANUEL</v>
      </c>
      <c r="C2498" s="1" t="str">
        <f>IFERROR(__xludf.DUMMYFUNCTION("""COMPUTED_VALUE"""),"FLA")</f>
        <v>FLA</v>
      </c>
      <c r="D2498" s="1" t="str">
        <f>IFERROR(__xludf.DUMMYFUNCTION("""COMPUTED_VALUE"""),"JERIC NAVARRO")</f>
        <v>JERIC NAVARRO</v>
      </c>
      <c r="E2498" s="1" t="str">
        <f>IFERROR(__xludf.DUMMYFUNCTION("""COMPUTED_VALUE"""),"PLDT / H2H")</f>
        <v>PLDT / H2H</v>
      </c>
      <c r="F2498" s="1">
        <f>IFERROR(__xludf.DUMMYFUNCTION("""COMPUTED_VALUE"""),2311099825)</f>
        <v>2311099825</v>
      </c>
      <c r="G2498" s="1">
        <f>IFERROR(__xludf.DUMMYFUNCTION("""COMPUTED_VALUE"""),463203380004)</f>
        <v>463203380004</v>
      </c>
      <c r="H2498" s="1" t="str">
        <f>IFERROR(__xludf.DUMMYFUNCTION("""COMPUTED_VALUE"""),"MYRNA ABITONIA VERGARA")</f>
        <v>MYRNA ABITONIA VERGARA</v>
      </c>
      <c r="I2498" s="1">
        <f>IFERROR(__xludf.DUMMYFUNCTION("""COMPUTED_VALUE"""),9951538220)</f>
        <v>9951538220</v>
      </c>
      <c r="J2498" s="1">
        <f>IFERROR(__xludf.DUMMYFUNCTION("""COMPUTED_VALUE"""),9271449106)</f>
        <v>9271449106</v>
      </c>
      <c r="K2498" s="1" t="str">
        <f>IFERROR(__xludf.DUMMYFUNCTION("""COMPUTED_VALUE"""),"myrnavergara789@gmail.com")</f>
        <v>myrnavergara789@gmail.com</v>
      </c>
      <c r="L2498" s="1" t="str">
        <f>IFERROR(__xludf.DUMMYFUNCTION("""COMPUTED_VALUE"""),"BLK 8 LOT 27")</f>
        <v>BLK 8 LOT 27</v>
      </c>
      <c r="M2498" s="1" t="str">
        <f>IFERROR(__xludf.DUMMYFUNCTION("""COMPUTED_VALUE"""),"TERRA VERDE")</f>
        <v>TERRA VERDE</v>
      </c>
      <c r="N2498" s="1" t="str">
        <f>IFERROR(__xludf.DUMMYFUNCTION("""COMPUTED_VALUE"""),"TERRA VERDE RESIDENCES")</f>
        <v>TERRA VERDE RESIDENCES</v>
      </c>
      <c r="O2498" s="1" t="str">
        <f>IFERROR(__xludf.DUMMYFUNCTION("""COMPUTED_VALUE"""),"BANCAL")</f>
        <v>BANCAL</v>
      </c>
      <c r="P2498" s="1" t="str">
        <f>IFERROR(__xludf.DUMMYFUNCTION("""COMPUTED_VALUE"""),"CARMONA")</f>
        <v>CARMONA</v>
      </c>
      <c r="Q2498" s="1" t="str">
        <f>IFERROR(__xludf.DUMMYFUNCTION("""COMPUTED_VALUE"""),"CAVITE")</f>
        <v>CAVITE</v>
      </c>
      <c r="R2498" s="1" t="str">
        <f>IFERROR(__xludf.DUMMYFUNCTION("""COMPUTED_VALUE"""),"FIBR PLAN 1299")</f>
        <v>FIBR PLAN 1299</v>
      </c>
      <c r="S2498" s="1" t="str">
        <f>IFERROR(__xludf.DUMMYFUNCTION("""COMPUTED_VALUE"""),"APPROVED")</f>
        <v>APPROVED</v>
      </c>
      <c r="T2498" s="1" t="str">
        <f>IFERROR(__xludf.DUMMYFUNCTION("""COMPUTED_VALUE"""),"CLOSED")</f>
        <v>CLOSED</v>
      </c>
      <c r="U2498" s="1" t="str">
        <f>IFERROR(__xludf.DUMMYFUNCTION("""COMPUTED_VALUE"""),"POSTED")</f>
        <v>POSTED</v>
      </c>
      <c r="V2498" s="1"/>
      <c r="W2498" s="1"/>
    </row>
    <row r="2499" customHeight="1" spans="1:23">
      <c r="A2499" s="3">
        <f>IFERROR(__xludf.DUMMYFUNCTION("""COMPUTED_VALUE"""),46220)</f>
        <v>46220</v>
      </c>
      <c r="B2499" s="1" t="str">
        <f>IFERROR(__xludf.DUMMYFUNCTION("""COMPUTED_VALUE"""),"FRANCISCO , ROSELYN")</f>
        <v>FRANCISCO , ROSELYN</v>
      </c>
      <c r="C2499" s="1" t="str">
        <f>IFERROR(__xludf.DUMMYFUNCTION("""COMPUTED_VALUE"""),"ORGANIC")</f>
        <v>ORGANIC</v>
      </c>
      <c r="D2499" s="1" t="str">
        <f>IFERROR(__xludf.DUMMYFUNCTION("""COMPUTED_VALUE"""),"REMOLLO LEA")</f>
        <v>REMOLLO LEA</v>
      </c>
      <c r="E2499" s="1" t="str">
        <f>IFERROR(__xludf.DUMMYFUNCTION("""COMPUTED_VALUE"""),"PLDT / H2H")</f>
        <v>PLDT / H2H</v>
      </c>
      <c r="F2499" s="1">
        <f>IFERROR(__xludf.DUMMYFUNCTION("""COMPUTED_VALUE"""),2311127406)</f>
        <v>2311127406</v>
      </c>
      <c r="G2499" s="1"/>
      <c r="H2499" s="1" t="str">
        <f>IFERROR(__xludf.DUMMYFUNCTION("""COMPUTED_VALUE"""),"FLORANTE AGANAN ADRIAS")</f>
        <v>FLORANTE AGANAN ADRIAS</v>
      </c>
      <c r="I2499" s="1">
        <f>IFERROR(__xludf.DUMMYFUNCTION("""COMPUTED_VALUE"""),9126585014)</f>
        <v>9126585014</v>
      </c>
      <c r="J2499" s="1">
        <f>IFERROR(__xludf.DUMMYFUNCTION("""COMPUTED_VALUE"""),9562872343)</f>
        <v>9562872343</v>
      </c>
      <c r="K2499" s="1" t="str">
        <f>IFERROR(__xludf.DUMMYFUNCTION("""COMPUTED_VALUE"""),"florantegrab12@gmail.com")</f>
        <v>florantegrab12@gmail.com</v>
      </c>
      <c r="L2499" s="1" t="str">
        <f>IFERROR(__xludf.DUMMYFUNCTION("""COMPUTED_VALUE"""),"BLK 5 LOT 11")</f>
        <v>BLK 5 LOT 11</v>
      </c>
      <c r="M2499" s="1" t="str">
        <f>IFERROR(__xludf.DUMMYFUNCTION("""COMPUTED_VALUE"""),"CASA DE MONTEVERDE")</f>
        <v>CASA DE MONTEVERDE</v>
      </c>
      <c r="N2499" s="1" t="str">
        <f>IFERROR(__xludf.DUMMYFUNCTION("""COMPUTED_VALUE"""),"CASA DE MONTEVERDE RESIDENCES")</f>
        <v>CASA DE MONTEVERDE RESIDENCES</v>
      </c>
      <c r="O2499" s="1" t="str">
        <f>IFERROR(__xludf.DUMMYFUNCTION("""COMPUTED_VALUE"""),"FRANCISCO DE CASTRO (SUNSHINE VILL.)")</f>
        <v>FRANCISCO DE CASTRO (SUNSHINE VILL.)</v>
      </c>
      <c r="P2499" s="1" t="str">
        <f>IFERROR(__xludf.DUMMYFUNCTION("""COMPUTED_VALUE"""),"GEN MARIANO ALVAREZ")</f>
        <v>GEN MARIANO ALVAREZ</v>
      </c>
      <c r="Q2499" s="1" t="str">
        <f>IFERROR(__xludf.DUMMYFUNCTION("""COMPUTED_VALUE"""),"CAVITE")</f>
        <v>CAVITE</v>
      </c>
      <c r="R2499" s="1" t="str">
        <f>IFERROR(__xludf.DUMMYFUNCTION("""COMPUTED_VALUE"""),"FIBR UNLI ALL PLAN 1399")</f>
        <v>FIBR UNLI ALL PLAN 1399</v>
      </c>
      <c r="S2499" s="1" t="str">
        <f>IFERROR(__xludf.DUMMYFUNCTION("""COMPUTED_VALUE"""),"APPROVED")</f>
        <v>APPROVED</v>
      </c>
      <c r="T2499" s="1" t="str">
        <f>IFERROR(__xludf.DUMMYFUNCTION("""COMPUTED_VALUE"""),"REENCODED")</f>
        <v>REENCODED</v>
      </c>
      <c r="U2499" s="1"/>
      <c r="V2499" s="1"/>
      <c r="W2499" s="1"/>
    </row>
    <row r="2500" customHeight="1" spans="1:23">
      <c r="A2500" s="3">
        <f>IFERROR(__xludf.DUMMYFUNCTION("""COMPUTED_VALUE"""),46220)</f>
        <v>46220</v>
      </c>
      <c r="B2500" s="1" t="str">
        <f>IFERROR(__xludf.DUMMYFUNCTION("""COMPUTED_VALUE"""),"FRANCISCO , ROSELYN")</f>
        <v>FRANCISCO , ROSELYN</v>
      </c>
      <c r="C2500" s="1" t="str">
        <f>IFERROR(__xludf.DUMMYFUNCTION("""COMPUTED_VALUE"""),"ORGANIC")</f>
        <v>ORGANIC</v>
      </c>
      <c r="D2500" s="1" t="str">
        <f>IFERROR(__xludf.DUMMYFUNCTION("""COMPUTED_VALUE"""),"REMOLLO LEA")</f>
        <v>REMOLLO LEA</v>
      </c>
      <c r="E2500" s="1" t="str">
        <f>IFERROR(__xludf.DUMMYFUNCTION("""COMPUTED_VALUE"""),"PLDT / H2H")</f>
        <v>PLDT / H2H</v>
      </c>
      <c r="F2500" s="1"/>
      <c r="G2500" s="1"/>
      <c r="H2500" s="1" t="str">
        <f>IFERROR(__xludf.DUMMYFUNCTION("""COMPUTED_VALUE"""),"LOVELY SANCHEZ BATOTO")</f>
        <v>LOVELY SANCHEZ BATOTO</v>
      </c>
      <c r="I2500" s="1">
        <f>IFERROR(__xludf.DUMMYFUNCTION("""COMPUTED_VALUE"""),9972460462)</f>
        <v>9972460462</v>
      </c>
      <c r="J2500" s="1">
        <f>IFERROR(__xludf.DUMMYFUNCTION("""COMPUTED_VALUE"""),9976310684)</f>
        <v>9976310684</v>
      </c>
      <c r="K2500" s="1" t="str">
        <f>IFERROR(__xludf.DUMMYFUNCTION("""COMPUTED_VALUE"""),"joanneoranio@gmail.con")</f>
        <v>joanneoranio@gmail.con</v>
      </c>
      <c r="L2500" s="1" t="str">
        <f>IFERROR(__xludf.DUMMYFUNCTION("""COMPUTED_VALUE"""),"BLK 196 LOT 7")</f>
        <v>BLK 196 LOT 7</v>
      </c>
      <c r="M2500" s="1" t="str">
        <f>IFERROR(__xludf.DUMMYFUNCTION("""COMPUTED_VALUE"""),"HOUSING ZONE 8")</f>
        <v>HOUSING ZONE 8</v>
      </c>
      <c r="N2500" s="1"/>
      <c r="O2500" s="1" t="str">
        <f>IFERROR(__xludf.DUMMYFUNCTION("""COMPUTED_VALUE"""),"BULIHAN")</f>
        <v>BULIHAN</v>
      </c>
      <c r="P2500" s="1" t="str">
        <f>IFERROR(__xludf.DUMMYFUNCTION("""COMPUTED_VALUE"""),"SILANG")</f>
        <v>SILANG</v>
      </c>
      <c r="Q2500" s="1" t="str">
        <f>IFERROR(__xludf.DUMMYFUNCTION("""COMPUTED_VALUE"""),"CAVITE")</f>
        <v>CAVITE</v>
      </c>
      <c r="R2500" s="1" t="str">
        <f>IFERROR(__xludf.DUMMYFUNCTION("""COMPUTED_VALUE"""),"FIBR PLAN 1299")</f>
        <v>FIBR PLAN 1299</v>
      </c>
      <c r="S2500" s="1" t="str">
        <f>IFERROR(__xludf.DUMMYFUNCTION("""COMPUTED_VALUE"""),"RETURN FOR COMPLIANCE - AGENT")</f>
        <v>RETURN FOR COMPLIANCE - AGENT</v>
      </c>
      <c r="T2500" s="1" t="str">
        <f>IFERROR(__xludf.DUMMYFUNCTION("""COMPUTED_VALUE"""),"#N/A")</f>
        <v>#N/A</v>
      </c>
      <c r="U2500" s="1" t="str">
        <f>IFERROR(__xludf.DUMMYFUNCTION("""COMPUTED_VALUE"""),"NO POA UNDER ADD AND SUBS")</f>
        <v>NO POA UNDER ADD AND SUBS</v>
      </c>
      <c r="V2500" s="1"/>
      <c r="W2500" s="1"/>
    </row>
    <row r="2501" customHeight="1" spans="1:23">
      <c r="A2501" s="3">
        <f>IFERROR(__xludf.DUMMYFUNCTION("""COMPUTED_VALUE"""),46220)</f>
        <v>46220</v>
      </c>
      <c r="B2501" s="1" t="str">
        <f>IFERROR(__xludf.DUMMYFUNCTION("""COMPUTED_VALUE"""),"FRONDEZ, JEDREFF")</f>
        <v>FRONDEZ, JEDREFF</v>
      </c>
      <c r="C2501" s="1" t="str">
        <f>IFERROR(__xludf.DUMMYFUNCTION("""COMPUTED_VALUE"""),"ORGANIC")</f>
        <v>ORGANIC</v>
      </c>
      <c r="D2501" s="1" t="str">
        <f>IFERROR(__xludf.DUMMYFUNCTION("""COMPUTED_VALUE"""),"REMOLLO LEA")</f>
        <v>REMOLLO LEA</v>
      </c>
      <c r="E2501" s="1" t="str">
        <f>IFERROR(__xludf.DUMMYFUNCTION("""COMPUTED_VALUE"""),"PLDT / H2H")</f>
        <v>PLDT / H2H</v>
      </c>
      <c r="F2501" s="1">
        <f>IFERROR(__xludf.DUMMYFUNCTION("""COMPUTED_VALUE"""),2311051765)</f>
        <v>2311051765</v>
      </c>
      <c r="G2501" s="1">
        <f>IFERROR(__xludf.DUMMYFUNCTION("""COMPUTED_VALUE"""),462957364004)</f>
        <v>462957364004</v>
      </c>
      <c r="H2501" s="1" t="str">
        <f>IFERROR(__xludf.DUMMYFUNCTION("""COMPUTED_VALUE"""),"TEOFILO MOJICA")</f>
        <v>TEOFILO MOJICA</v>
      </c>
      <c r="I2501" s="1">
        <f>IFERROR(__xludf.DUMMYFUNCTION("""COMPUTED_VALUE"""),9537927679)</f>
        <v>9537927679</v>
      </c>
      <c r="J2501" s="1">
        <f>IFERROR(__xludf.DUMMYFUNCTION("""COMPUTED_VALUE"""),9651169675)</f>
        <v>9651169675</v>
      </c>
      <c r="K2501" s="1" t="str">
        <f>IFERROR(__xludf.DUMMYFUNCTION("""COMPUTED_VALUE"""),"teofilomojica101025@gmail.com")</f>
        <v>teofilomojica101025@gmail.com</v>
      </c>
      <c r="L2501" s="1" t="str">
        <f>IFERROR(__xludf.DUMMYFUNCTION("""COMPUTED_VALUE"""),"171")</f>
        <v>171</v>
      </c>
      <c r="M2501" s="1" t="str">
        <f>IFERROR(__xludf.DUMMYFUNCTION("""COMPUTED_VALUE"""),"SINALIW MALAKI")</f>
        <v>SINALIW MALAKI</v>
      </c>
      <c r="N2501" s="1"/>
      <c r="O2501" s="1" t="str">
        <f>IFERROR(__xludf.DUMMYFUNCTION("""COMPUTED_VALUE"""),"SINALIW MALAKI")</f>
        <v>SINALIW MALAKI</v>
      </c>
      <c r="P2501" s="1" t="str">
        <f>IFERROR(__xludf.DUMMYFUNCTION("""COMPUTED_VALUE"""),"ALFONSO")</f>
        <v>ALFONSO</v>
      </c>
      <c r="Q2501" s="1" t="str">
        <f>IFERROR(__xludf.DUMMYFUNCTION("""COMPUTED_VALUE"""),"CAVITE")</f>
        <v>CAVITE</v>
      </c>
      <c r="R2501" s="1" t="str">
        <f>IFERROR(__xludf.DUMMYFUNCTION("""COMPUTED_VALUE"""),"FIBR UNLI ALL PLAN 1399")</f>
        <v>FIBR UNLI ALL PLAN 1399</v>
      </c>
      <c r="S2501" s="1" t="str">
        <f>IFERROR(__xludf.DUMMYFUNCTION("""COMPUTED_VALUE"""),"APPROVED")</f>
        <v>APPROVED</v>
      </c>
      <c r="T2501" s="1" t="str">
        <f>IFERROR(__xludf.DUMMYFUNCTION("""COMPUTED_VALUE"""),"CLOSED")</f>
        <v>CLOSED</v>
      </c>
      <c r="U2501" s="1" t="str">
        <f>IFERROR(__xludf.DUMMYFUNCTION("""COMPUTED_VALUE"""),"POSTED")</f>
        <v>POSTED</v>
      </c>
      <c r="V2501" s="1"/>
      <c r="W2501" s="1"/>
    </row>
    <row r="2502" customHeight="1" spans="1:23">
      <c r="A2502" s="3">
        <f>IFERROR(__xludf.DUMMYFUNCTION("""COMPUTED_VALUE"""),46220)</f>
        <v>46220</v>
      </c>
      <c r="B2502" s="1" t="str">
        <f>IFERROR(__xludf.DUMMYFUNCTION("""COMPUTED_VALUE"""),"CASTILLEJOS, ARREL")</f>
        <v>CASTILLEJOS, ARREL</v>
      </c>
      <c r="C2502" s="1" t="str">
        <f>IFERROR(__xludf.DUMMYFUNCTION("""COMPUTED_VALUE"""),"ORGANIC")</f>
        <v>ORGANIC</v>
      </c>
      <c r="D2502" s="1" t="str">
        <f>IFERROR(__xludf.DUMMYFUNCTION("""COMPUTED_VALUE"""),"REMOLLO LEA")</f>
        <v>REMOLLO LEA</v>
      </c>
      <c r="E2502" s="1" t="str">
        <f>IFERROR(__xludf.DUMMYFUNCTION("""COMPUTED_VALUE"""),"PLDT / H2H")</f>
        <v>PLDT / H2H</v>
      </c>
      <c r="F2502" s="1">
        <f>IFERROR(__xludf.DUMMYFUNCTION("""COMPUTED_VALUE"""),2311052924)</f>
        <v>2311052924</v>
      </c>
      <c r="G2502" s="1">
        <f>IFERROR(__xludf.DUMMYFUNCTION("""COMPUTED_VALUE"""),462948801004)</f>
        <v>462948801004</v>
      </c>
      <c r="H2502" s="1" t="str">
        <f>IFERROR(__xludf.DUMMYFUNCTION("""COMPUTED_VALUE"""),"REY MANGULABAN MISLUZ")</f>
        <v>REY MANGULABAN MISLUZ</v>
      </c>
      <c r="I2502" s="1">
        <f>IFERROR(__xludf.DUMMYFUNCTION("""COMPUTED_VALUE"""),9650774306)</f>
        <v>9650774306</v>
      </c>
      <c r="J2502" s="1"/>
      <c r="K2502" s="1" t="str">
        <f>IFERROR(__xludf.DUMMYFUNCTION("""COMPUTED_VALUE"""),"myivy_nad@yahoo.com")</f>
        <v>myivy_nad@yahoo.com</v>
      </c>
      <c r="L2502" s="1" t="str">
        <f>IFERROR(__xludf.DUMMYFUNCTION("""COMPUTED_VALUE"""),"BLK1 LOT 1")</f>
        <v>BLK1 LOT 1</v>
      </c>
      <c r="M2502" s="1" t="str">
        <f>IFERROR(__xludf.DUMMYFUNCTION("""COMPUTED_VALUE"""),"SINALIW MALAKI")</f>
        <v>SINALIW MALAKI</v>
      </c>
      <c r="N2502" s="1"/>
      <c r="O2502" s="1" t="str">
        <f>IFERROR(__xludf.DUMMYFUNCTION("""COMPUTED_VALUE"""),"SINALIW MALAKI")</f>
        <v>SINALIW MALAKI</v>
      </c>
      <c r="P2502" s="1" t="str">
        <f>IFERROR(__xludf.DUMMYFUNCTION("""COMPUTED_VALUE"""),"ALFONSO")</f>
        <v>ALFONSO</v>
      </c>
      <c r="Q2502" s="1" t="str">
        <f>IFERROR(__xludf.DUMMYFUNCTION("""COMPUTED_VALUE"""),"CAVITE")</f>
        <v>CAVITE</v>
      </c>
      <c r="R2502" s="1" t="str">
        <f>IFERROR(__xludf.DUMMYFUNCTION("""COMPUTED_VALUE"""),"FIBR UNLI ALL PLAN 1399")</f>
        <v>FIBR UNLI ALL PLAN 1399</v>
      </c>
      <c r="S2502" s="1" t="str">
        <f>IFERROR(__xludf.DUMMYFUNCTION("""COMPUTED_VALUE"""),"APPROVED")</f>
        <v>APPROVED</v>
      </c>
      <c r="T2502" s="1" t="str">
        <f>IFERROR(__xludf.DUMMYFUNCTION("""COMPUTED_VALUE"""),"CLOSED")</f>
        <v>CLOSED</v>
      </c>
      <c r="U2502" s="1" t="str">
        <f>IFERROR(__xludf.DUMMYFUNCTION("""COMPUTED_VALUE"""),"POSTED")</f>
        <v>POSTED</v>
      </c>
      <c r="V2502" s="1"/>
      <c r="W2502" s="1"/>
    </row>
    <row r="2503" customHeight="1" spans="1:23">
      <c r="A2503" s="3">
        <f>IFERROR(__xludf.DUMMYFUNCTION("""COMPUTED_VALUE"""),46220)</f>
        <v>46220</v>
      </c>
      <c r="B2503" s="1" t="str">
        <f>IFERROR(__xludf.DUMMYFUNCTION("""COMPUTED_VALUE"""),"GABAY, MANUEL")</f>
        <v>GABAY, MANUEL</v>
      </c>
      <c r="C2503" s="1" t="str">
        <f>IFERROR(__xludf.DUMMYFUNCTION("""COMPUTED_VALUE"""),"FLA")</f>
        <v>FLA</v>
      </c>
      <c r="D2503" s="1" t="str">
        <f>IFERROR(__xludf.DUMMYFUNCTION("""COMPUTED_VALUE"""),"JERIC NAVARRO")</f>
        <v>JERIC NAVARRO</v>
      </c>
      <c r="E2503" s="1" t="str">
        <f>IFERROR(__xludf.DUMMYFUNCTION("""COMPUTED_VALUE"""),"PLDT / H2H")</f>
        <v>PLDT / H2H</v>
      </c>
      <c r="F2503" s="1">
        <f>IFERROR(__xludf.DUMMYFUNCTION("""COMPUTED_VALUE"""),2311050810)</f>
        <v>2311050810</v>
      </c>
      <c r="G2503" s="1">
        <f>IFERROR(__xludf.DUMMYFUNCTION("""COMPUTED_VALUE"""),462948542004)</f>
        <v>462948542004</v>
      </c>
      <c r="H2503" s="1" t="str">
        <f>IFERROR(__xludf.DUMMYFUNCTION("""COMPUTED_VALUE"""),"JOHNNY JAMIN BENGTSSON")</f>
        <v>JOHNNY JAMIN BENGTSSON</v>
      </c>
      <c r="I2503" s="1">
        <f>IFERROR(__xludf.DUMMYFUNCTION("""COMPUTED_VALUE"""),9219857093)</f>
        <v>9219857093</v>
      </c>
      <c r="J2503" s="1"/>
      <c r="K2503" s="1" t="str">
        <f>IFERROR(__xludf.DUMMYFUNCTION("""COMPUTED_VALUE"""),"yaosafjohnnesgaylordbengtsson@gmail.com")</f>
        <v>yaosafjohnnesgaylordbengtsson@gmail.com</v>
      </c>
      <c r="L2503" s="1" t="str">
        <f>IFERROR(__xludf.DUMMYFUNCTION("""COMPUTED_VALUE"""),"BLK 16 LOT 6")</f>
        <v>BLK 16 LOT 6</v>
      </c>
      <c r="M2503" s="1" t="str">
        <f>IFERROR(__xludf.DUMMYFUNCTION("""COMPUTED_VALUE"""),"UNIT 11")</f>
        <v>UNIT 11</v>
      </c>
      <c r="N2503" s="1"/>
      <c r="O2503" s="1" t="str">
        <f>IFERROR(__xludf.DUMMYFUNCTION("""COMPUTED_VALUE"""),"SANTA CRUZ I")</f>
        <v>SANTA CRUZ I</v>
      </c>
      <c r="P2503" s="1" t="str">
        <f>IFERROR(__xludf.DUMMYFUNCTION("""COMPUTED_VALUE"""),"DASMARINAS")</f>
        <v>DASMARINAS</v>
      </c>
      <c r="Q2503" s="1" t="str">
        <f>IFERROR(__xludf.DUMMYFUNCTION("""COMPUTED_VALUE"""),"CAVITE")</f>
        <v>CAVITE</v>
      </c>
      <c r="R2503" s="1" t="str">
        <f>IFERROR(__xludf.DUMMYFUNCTION("""COMPUTED_VALUE"""),"FIBR PLAN 1299")</f>
        <v>FIBR PLAN 1299</v>
      </c>
      <c r="S2503" s="1" t="str">
        <f>IFERROR(__xludf.DUMMYFUNCTION("""COMPUTED_VALUE"""),"APPROVED")</f>
        <v>APPROVED</v>
      </c>
      <c r="T2503" s="1" t="str">
        <f>IFERROR(__xludf.DUMMYFUNCTION("""COMPUTED_VALUE"""),"CLOSED")</f>
        <v>CLOSED</v>
      </c>
      <c r="U2503" s="1" t="str">
        <f>IFERROR(__xludf.DUMMYFUNCTION("""COMPUTED_VALUE"""),"POSTED")</f>
        <v>POSTED</v>
      </c>
      <c r="V2503" s="1"/>
      <c r="W2503" s="1"/>
    </row>
    <row r="2504" customHeight="1" spans="1:23">
      <c r="A2504" s="3">
        <f>IFERROR(__xludf.DUMMYFUNCTION("""COMPUTED_VALUE"""),46220)</f>
        <v>46220</v>
      </c>
      <c r="B2504" s="1" t="str">
        <f>IFERROR(__xludf.DUMMYFUNCTION("""COMPUTED_VALUE"""),"SANTILICES, PRINCE")</f>
        <v>SANTILICES, PRINCE</v>
      </c>
      <c r="C2504" s="1" t="str">
        <f>IFERROR(__xludf.DUMMYFUNCTION("""COMPUTED_VALUE"""),"ORGANIC")</f>
        <v>ORGANIC</v>
      </c>
      <c r="D2504" s="1" t="str">
        <f>IFERROR(__xludf.DUMMYFUNCTION("""COMPUTED_VALUE"""),"REMOLLO LEA")</f>
        <v>REMOLLO LEA</v>
      </c>
      <c r="E2504" s="1" t="str">
        <f>IFERROR(__xludf.DUMMYFUNCTION("""COMPUTED_VALUE"""),"PLDT / H2H")</f>
        <v>PLDT / H2H</v>
      </c>
      <c r="F2504" s="1">
        <f>IFERROR(__xludf.DUMMYFUNCTION("""COMPUTED_VALUE"""),2311057435)</f>
        <v>2311057435</v>
      </c>
      <c r="G2504" s="1">
        <f>IFERROR(__xludf.DUMMYFUNCTION("""COMPUTED_VALUE"""),462957743004)</f>
        <v>462957743004</v>
      </c>
      <c r="H2504" s="1" t="str">
        <f>IFERROR(__xludf.DUMMYFUNCTION("""COMPUTED_VALUE"""),"KRISTINEPAULINOSACLO")</f>
        <v>KRISTINEPAULINOSACLO</v>
      </c>
      <c r="I2504" s="1">
        <f>IFERROR(__xludf.DUMMYFUNCTION("""COMPUTED_VALUE"""),9168967305)</f>
        <v>9168967305</v>
      </c>
      <c r="J2504" s="1">
        <f>IFERROR(__xludf.DUMMYFUNCTION("""COMPUTED_VALUE"""),9103992981)</f>
        <v>9103992981</v>
      </c>
      <c r="K2504" s="1" t="str">
        <f>IFERROR(__xludf.DUMMYFUNCTION("""COMPUTED_VALUE"""),"kristinesaclo14@gmail.com")</f>
        <v>kristinesaclo14@gmail.com</v>
      </c>
      <c r="L2504" s="1" t="str">
        <f>IFERROR(__xludf.DUMMYFUNCTION("""COMPUTED_VALUE"""),"BLK 85 LOT 11")</f>
        <v>BLK 85 LOT 11</v>
      </c>
      <c r="M2504" s="1" t="str">
        <f>IFERROR(__xludf.DUMMYFUNCTION("""COMPUTED_VALUE"""),"IPIL 2")</f>
        <v>IPIL 2</v>
      </c>
      <c r="N2504" s="1"/>
      <c r="O2504" s="1" t="str">
        <f>IFERROR(__xludf.DUMMYFUNCTION("""COMPUTED_VALUE"""),"IPIL II")</f>
        <v>IPIL II</v>
      </c>
      <c r="P2504" s="1" t="str">
        <f>IFERROR(__xludf.DUMMYFUNCTION("""COMPUTED_VALUE"""),"SILANG")</f>
        <v>SILANG</v>
      </c>
      <c r="Q2504" s="1" t="str">
        <f>IFERROR(__xludf.DUMMYFUNCTION("""COMPUTED_VALUE"""),"CAVITE")</f>
        <v>CAVITE</v>
      </c>
      <c r="R2504" s="1" t="str">
        <f>IFERROR(__xludf.DUMMYFUNCTION("""COMPUTED_VALUE"""),"FIBR UNLI ALL PLAN 999")</f>
        <v>FIBR UNLI ALL PLAN 999</v>
      </c>
      <c r="S2504" s="1" t="str">
        <f>IFERROR(__xludf.DUMMYFUNCTION("""COMPUTED_VALUE"""),"APPROVED")</f>
        <v>APPROVED</v>
      </c>
      <c r="T2504" s="1" t="str">
        <f>IFERROR(__xludf.DUMMYFUNCTION("""COMPUTED_VALUE"""),"CLOSED")</f>
        <v>CLOSED</v>
      </c>
      <c r="U2504" s="1" t="str">
        <f>IFERROR(__xludf.DUMMYFUNCTION("""COMPUTED_VALUE"""),"POSTED")</f>
        <v>POSTED</v>
      </c>
      <c r="V2504" s="1"/>
      <c r="W2504" s="1"/>
    </row>
    <row r="2505" customHeight="1" spans="1:23">
      <c r="A2505" s="3">
        <f>IFERROR(__xludf.DUMMYFUNCTION("""COMPUTED_VALUE"""),46221)</f>
        <v>46221</v>
      </c>
      <c r="B2505" s="1" t="str">
        <f>IFERROR(__xludf.DUMMYFUNCTION("""COMPUTED_VALUE"""),"TAMAYO, MARY ROSE")</f>
        <v>TAMAYO, MARY ROSE</v>
      </c>
      <c r="C2505" s="1" t="str">
        <f>IFERROR(__xludf.DUMMYFUNCTION("""COMPUTED_VALUE"""),"ORGANIC")</f>
        <v>ORGANIC</v>
      </c>
      <c r="D2505" s="1" t="str">
        <f>IFERROR(__xludf.DUMMYFUNCTION("""COMPUTED_VALUE"""),"REMOLLO LEA")</f>
        <v>REMOLLO LEA</v>
      </c>
      <c r="E2505" s="1" t="str">
        <f>IFERROR(__xludf.DUMMYFUNCTION("""COMPUTED_VALUE"""),"PLDT / ONLINE")</f>
        <v>PLDT / ONLINE</v>
      </c>
      <c r="F2505" s="1">
        <f>IFERROR(__xludf.DUMMYFUNCTION("""COMPUTED_VALUE"""),2311070898)</f>
        <v>2311070898</v>
      </c>
      <c r="G2505" s="1">
        <f>IFERROR(__xludf.DUMMYFUNCTION("""COMPUTED_VALUE"""),463076316004)</f>
        <v>463076316004</v>
      </c>
      <c r="H2505" s="1" t="str">
        <f>IFERROR(__xludf.DUMMYFUNCTION("""COMPUTED_VALUE"""),"FREDIE TUBIG DEGUINO")</f>
        <v>FREDIE TUBIG DEGUINO</v>
      </c>
      <c r="I2505" s="1">
        <f>IFERROR(__xludf.DUMMYFUNCTION("""COMPUTED_VALUE"""),9634841129)</f>
        <v>9634841129</v>
      </c>
      <c r="J2505" s="1">
        <f>IFERROR(__xludf.DUMMYFUNCTION("""COMPUTED_VALUE"""),9388437756)</f>
        <v>9388437756</v>
      </c>
      <c r="K2505" s="1" t="str">
        <f>IFERROR(__xludf.DUMMYFUNCTION("""COMPUTED_VALUE"""),"frediedeguino@gmail.com")</f>
        <v>frediedeguino@gmail.com</v>
      </c>
      <c r="L2505" s="1" t="str">
        <f>IFERROR(__xludf.DUMMYFUNCTION("""COMPUTED_VALUE"""),"450")</f>
        <v>450</v>
      </c>
      <c r="M2505" s="1" t="str">
        <f>IFERROR(__xludf.DUMMYFUNCTION("""COMPUTED_VALUE"""),"PUROK5")</f>
        <v>PUROK5</v>
      </c>
      <c r="N2505" s="1"/>
      <c r="O2505" s="1" t="str">
        <f>IFERROR(__xludf.DUMMYFUNCTION("""COMPUTED_VALUE"""),"LUMIL")</f>
        <v>LUMIL</v>
      </c>
      <c r="P2505" s="1" t="str">
        <f>IFERROR(__xludf.DUMMYFUNCTION("""COMPUTED_VALUE"""),"SILANG")</f>
        <v>SILANG</v>
      </c>
      <c r="Q2505" s="1" t="str">
        <f>IFERROR(__xludf.DUMMYFUNCTION("""COMPUTED_VALUE"""),"CAVITE")</f>
        <v>CAVITE</v>
      </c>
      <c r="R2505" s="1" t="str">
        <f>IFERROR(__xludf.DUMMYFUNCTION("""COMPUTED_VALUE"""),"FIBR PLAN 1299")</f>
        <v>FIBR PLAN 1299</v>
      </c>
      <c r="S2505" s="1" t="str">
        <f>IFERROR(__xludf.DUMMYFUNCTION("""COMPUTED_VALUE"""),"APPROVED")</f>
        <v>APPROVED</v>
      </c>
      <c r="T2505" s="1" t="str">
        <f>IFERROR(__xludf.DUMMYFUNCTION("""COMPUTED_VALUE"""),"CLOSED")</f>
        <v>CLOSED</v>
      </c>
      <c r="U2505" s="1" t="str">
        <f>IFERROR(__xludf.DUMMYFUNCTION("""COMPUTED_VALUE"""),"POSTED")</f>
        <v>POSTED</v>
      </c>
      <c r="V2505" s="1"/>
      <c r="W2505" s="1"/>
    </row>
    <row r="2506" customHeight="1" spans="1:23">
      <c r="A2506" s="3">
        <f>IFERROR(__xludf.DUMMYFUNCTION("""COMPUTED_VALUE"""),46221)</f>
        <v>46221</v>
      </c>
      <c r="B2506" s="1" t="str">
        <f>IFERROR(__xludf.DUMMYFUNCTION("""COMPUTED_VALUE"""),"LEADSTORE - ILANO, LIANDRO TEJAS")</f>
        <v>LEADSTORE - ILANO, LIANDRO TEJAS</v>
      </c>
      <c r="C2506" s="1" t="str">
        <f>IFERROR(__xludf.DUMMYFUNCTION("""COMPUTED_VALUE"""),"LEADSTORE")</f>
        <v>LEADSTORE</v>
      </c>
      <c r="D2506" s="1" t="str">
        <f>IFERROR(__xludf.DUMMYFUNCTION("""COMPUTED_VALUE"""),"JERIC NAVARRO")</f>
        <v>JERIC NAVARRO</v>
      </c>
      <c r="E2506" s="1" t="str">
        <f>IFERROR(__xludf.DUMMYFUNCTION("""COMPUTED_VALUE"""),"PLDT / ONLINE")</f>
        <v>PLDT / ONLINE</v>
      </c>
      <c r="F2506" s="1">
        <f>IFERROR(__xludf.DUMMYFUNCTION("""COMPUTED_VALUE"""),2311070369)</f>
        <v>2311070369</v>
      </c>
      <c r="G2506" s="1">
        <f>IFERROR(__xludf.DUMMYFUNCTION("""COMPUTED_VALUE"""),463091302004)</f>
        <v>463091302004</v>
      </c>
      <c r="H2506" s="1" t="str">
        <f>IFERROR(__xludf.DUMMYFUNCTION("""COMPUTED_VALUE"""),"PRINCES CASTRO VILLAREAL")</f>
        <v>PRINCES CASTRO VILLAREAL</v>
      </c>
      <c r="I2506" s="1">
        <f>IFERROR(__xludf.DUMMYFUNCTION("""COMPUTED_VALUE"""),9671548282)</f>
        <v>9671548282</v>
      </c>
      <c r="J2506" s="1">
        <f>IFERROR(__xludf.DUMMYFUNCTION("""COMPUTED_VALUE"""),9658978877)</f>
        <v>9658978877</v>
      </c>
      <c r="K2506" s="1" t="str">
        <f>IFERROR(__xludf.DUMMYFUNCTION("""COMPUTED_VALUE"""),"princville_24@yahoo.com")</f>
        <v>princville_24@yahoo.com</v>
      </c>
      <c r="L2506" s="1" t="str">
        <f>IFERROR(__xludf.DUMMYFUNCTION("""COMPUTED_VALUE"""),"BLK 10 LOT 15")</f>
        <v>BLK 10 LOT 15</v>
      </c>
      <c r="M2506" s="1" t="str">
        <f>IFERROR(__xludf.DUMMYFUNCTION("""COMPUTED_VALUE"""),"LANCASTER NEW CITY")</f>
        <v>LANCASTER NEW CITY</v>
      </c>
      <c r="N2506" s="1"/>
      <c r="O2506" s="1" t="str">
        <f>IFERROR(__xludf.DUMMYFUNCTION("""COMPUTED_VALUE"""),"NAVARRO")</f>
        <v>NAVARRO</v>
      </c>
      <c r="P2506" s="1" t="str">
        <f>IFERROR(__xludf.DUMMYFUNCTION("""COMPUTED_VALUE"""),"GENERAL TRIAS")</f>
        <v>GENERAL TRIAS</v>
      </c>
      <c r="Q2506" s="1" t="str">
        <f>IFERROR(__xludf.DUMMYFUNCTION("""COMPUTED_VALUE"""),"CAVITE")</f>
        <v>CAVITE</v>
      </c>
      <c r="R2506" s="1" t="str">
        <f>IFERROR(__xludf.DUMMYFUNCTION("""COMPUTED_VALUE"""),"FIBR UNLI ALL PLAN 1399")</f>
        <v>FIBR UNLI ALL PLAN 1399</v>
      </c>
      <c r="S2506" s="1" t="str">
        <f>IFERROR(__xludf.DUMMYFUNCTION("""COMPUTED_VALUE"""),"APPROVED")</f>
        <v>APPROVED</v>
      </c>
      <c r="T2506" s="1" t="str">
        <f>IFERROR(__xludf.DUMMYFUNCTION("""COMPUTED_VALUE"""),"CLOSED")</f>
        <v>CLOSED</v>
      </c>
      <c r="U2506" s="1"/>
      <c r="V2506" s="1"/>
      <c r="W2506" s="1"/>
    </row>
    <row r="2507" customHeight="1" spans="1:23">
      <c r="A2507" s="3">
        <f>IFERROR(__xludf.DUMMYFUNCTION("""COMPUTED_VALUE"""),46221)</f>
        <v>46221</v>
      </c>
      <c r="B2507" s="1" t="str">
        <f>IFERROR(__xludf.DUMMYFUNCTION("""COMPUTED_VALUE"""),"AYON MANUEL")</f>
        <v>AYON MANUEL</v>
      </c>
      <c r="C2507" s="1" t="str">
        <f>IFERROR(__xludf.DUMMYFUNCTION("""COMPUTED_VALUE"""),"FLA")</f>
        <v>FLA</v>
      </c>
      <c r="D2507" s="1" t="str">
        <f>IFERROR(__xludf.DUMMYFUNCTION("""COMPUTED_VALUE"""),"JERIC NAVARRO")</f>
        <v>JERIC NAVARRO</v>
      </c>
      <c r="E2507" s="1" t="str">
        <f>IFERROR(__xludf.DUMMYFUNCTION("""COMPUTED_VALUE"""),"PLDT / H2H")</f>
        <v>PLDT / H2H</v>
      </c>
      <c r="F2507" s="1">
        <f>IFERROR(__xludf.DUMMYFUNCTION("""COMPUTED_VALUE"""),2311071685)</f>
        <v>2311071685</v>
      </c>
      <c r="G2507" s="1"/>
      <c r="H2507" s="1" t="str">
        <f>IFERROR(__xludf.DUMMYFUNCTION("""COMPUTED_VALUE"""),"ANNA ROSE FRANCISCO SAMSON")</f>
        <v>ANNA ROSE FRANCISCO SAMSON</v>
      </c>
      <c r="I2507" s="1">
        <f>IFERROR(__xludf.DUMMYFUNCTION("""COMPUTED_VALUE"""),9534400853)</f>
        <v>9534400853</v>
      </c>
      <c r="J2507" s="1">
        <f>IFERROR(__xludf.DUMMYFUNCTION("""COMPUTED_VALUE"""),9558937597)</f>
        <v>9558937597</v>
      </c>
      <c r="K2507" s="1" t="str">
        <f>IFERROR(__xludf.DUMMYFUNCTION("""COMPUTED_VALUE"""),"samsonanna83@gmail.com")</f>
        <v>samsonanna83@gmail.com</v>
      </c>
      <c r="L2507" s="1" t="str">
        <f>IFERROR(__xludf.DUMMYFUNCTION("""COMPUTED_VALUE"""),"80c")</f>
        <v>80c</v>
      </c>
      <c r="M2507" s="1" t="str">
        <f>IFERROR(__xludf.DUMMYFUNCTION("""COMPUTED_VALUE"""),"PUROK 2")</f>
        <v>PUROK 2</v>
      </c>
      <c r="N2507" s="1"/>
      <c r="O2507" s="1" t="str">
        <f>IFERROR(__xludf.DUMMYFUNCTION("""COMPUTED_VALUE"""),"MALABAG")</f>
        <v>MALABAG</v>
      </c>
      <c r="P2507" s="1" t="str">
        <f>IFERROR(__xludf.DUMMYFUNCTION("""COMPUTED_VALUE"""),"SILANG")</f>
        <v>SILANG</v>
      </c>
      <c r="Q2507" s="1" t="str">
        <f>IFERROR(__xludf.DUMMYFUNCTION("""COMPUTED_VALUE"""),"CAVITE")</f>
        <v>CAVITE</v>
      </c>
      <c r="R2507" s="1" t="str">
        <f>IFERROR(__xludf.DUMMYFUNCTION("""COMPUTED_VALUE"""),"FIBR PLAN 1299")</f>
        <v>FIBR PLAN 1299</v>
      </c>
      <c r="S2507" s="1" t="str">
        <f>IFERROR(__xludf.DUMMYFUNCTION("""COMPUTED_VALUE"""),"APPROVED")</f>
        <v>APPROVED</v>
      </c>
      <c r="T2507" s="1" t="str">
        <f>IFERROR(__xludf.DUMMYFUNCTION("""COMPUTED_VALUE"""),"CANCELLED")</f>
        <v>CANCELLED</v>
      </c>
      <c r="U2507" s="1"/>
      <c r="V2507" s="1"/>
      <c r="W2507" s="1"/>
    </row>
    <row r="2508" customHeight="1" spans="1:23">
      <c r="A2508" s="3">
        <f>IFERROR(__xludf.DUMMYFUNCTION("""COMPUTED_VALUE"""),46221)</f>
        <v>46221</v>
      </c>
      <c r="B2508" s="1" t="str">
        <f>IFERROR(__xludf.DUMMYFUNCTION("""COMPUTED_VALUE"""),"GABAY, MANUEL")</f>
        <v>GABAY, MANUEL</v>
      </c>
      <c r="C2508" s="1" t="str">
        <f>IFERROR(__xludf.DUMMYFUNCTION("""COMPUTED_VALUE"""),"FLA")</f>
        <v>FLA</v>
      </c>
      <c r="D2508" s="1" t="str">
        <f>IFERROR(__xludf.DUMMYFUNCTION("""COMPUTED_VALUE"""),"JERIC NAVARRO")</f>
        <v>JERIC NAVARRO</v>
      </c>
      <c r="E2508" s="1" t="str">
        <f>IFERROR(__xludf.DUMMYFUNCTION("""COMPUTED_VALUE"""),"PLDT / H2H")</f>
        <v>PLDT / H2H</v>
      </c>
      <c r="F2508" s="1">
        <f>IFERROR(__xludf.DUMMYFUNCTION("""COMPUTED_VALUE"""),2311072772)</f>
        <v>2311072772</v>
      </c>
      <c r="G2508" s="1">
        <f>IFERROR(__xludf.DUMMYFUNCTION("""COMPUTED_VALUE"""),463082400004)</f>
        <v>463082400004</v>
      </c>
      <c r="H2508" s="1" t="str">
        <f>IFERROR(__xludf.DUMMYFUNCTION("""COMPUTED_VALUE"""),"GLORIA DIGMA DIMARANAN")</f>
        <v>GLORIA DIGMA DIMARANAN</v>
      </c>
      <c r="I2508" s="1">
        <f>IFERROR(__xludf.DUMMYFUNCTION("""COMPUTED_VALUE"""),9204601047)</f>
        <v>9204601047</v>
      </c>
      <c r="J2508" s="1">
        <f>IFERROR(__xludf.DUMMYFUNCTION("""COMPUTED_VALUE"""),9159713576)</f>
        <v>9159713576</v>
      </c>
      <c r="K2508" s="1" t="str">
        <f>IFERROR(__xludf.DUMMYFUNCTION("""COMPUTED_VALUE"""),"dimarananjoyced@gmail.com")</f>
        <v>dimarananjoyced@gmail.com</v>
      </c>
      <c r="L2508" s="1" t="str">
        <f>IFERROR(__xludf.DUMMYFUNCTION("""COMPUTED_VALUE"""),"214")</f>
        <v>214</v>
      </c>
      <c r="M2508" s="1" t="str">
        <f>IFERROR(__xludf.DUMMYFUNCTION("""COMPUTED_VALUE"""),"FRANCIS ")</f>
        <v>FRANCIS </v>
      </c>
      <c r="N2508" s="1"/>
      <c r="O2508" s="1" t="str">
        <f>IFERROR(__xludf.DUMMYFUNCTION("""COMPUTED_VALUE"""),"ASIS III")</f>
        <v>ASIS III</v>
      </c>
      <c r="P2508" s="1" t="str">
        <f>IFERROR(__xludf.DUMMYFUNCTION("""COMPUTED_VALUE"""),"MENDEZ")</f>
        <v>MENDEZ</v>
      </c>
      <c r="Q2508" s="1" t="str">
        <f>IFERROR(__xludf.DUMMYFUNCTION("""COMPUTED_VALUE"""),"CAVITE")</f>
        <v>CAVITE</v>
      </c>
      <c r="R2508" s="1" t="str">
        <f>IFERROR(__xludf.DUMMYFUNCTION("""COMPUTED_VALUE"""),"FIBR UNLI ALL PLAN 1399")</f>
        <v>FIBR UNLI ALL PLAN 1399</v>
      </c>
      <c r="S2508" s="1" t="str">
        <f>IFERROR(__xludf.DUMMYFUNCTION("""COMPUTED_VALUE"""),"APPROVED")</f>
        <v>APPROVED</v>
      </c>
      <c r="T2508" s="1" t="str">
        <f>IFERROR(__xludf.DUMMYFUNCTION("""COMPUTED_VALUE"""),"CLOSED")</f>
        <v>CLOSED</v>
      </c>
      <c r="U2508" s="1" t="str">
        <f>IFERROR(__xludf.DUMMYFUNCTION("""COMPUTED_VALUE"""),"POSTED")</f>
        <v>POSTED</v>
      </c>
      <c r="V2508" s="1"/>
      <c r="W2508" s="1"/>
    </row>
    <row r="2509" customHeight="1" spans="1:23">
      <c r="A2509" s="3">
        <f>IFERROR(__xludf.DUMMYFUNCTION("""COMPUTED_VALUE"""),46221)</f>
        <v>46221</v>
      </c>
      <c r="B2509" s="1" t="str">
        <f>IFERROR(__xludf.DUMMYFUNCTION("""COMPUTED_VALUE"""),"OPS WESLY")</f>
        <v>OPS WESLY</v>
      </c>
      <c r="C2509" s="1" t="str">
        <f>IFERROR(__xludf.DUMMYFUNCTION("""COMPUTED_VALUE"""),"LEADSTORE")</f>
        <v>LEADSTORE</v>
      </c>
      <c r="D2509" s="1" t="str">
        <f>IFERROR(__xludf.DUMMYFUNCTION("""COMPUTED_VALUE"""),"JERIC NAVARRO")</f>
        <v>JERIC NAVARRO</v>
      </c>
      <c r="E2509" s="1" t="str">
        <f>IFERROR(__xludf.DUMMYFUNCTION("""COMPUTED_VALUE"""),"PLDT / ONLINE")</f>
        <v>PLDT / ONLINE</v>
      </c>
      <c r="F2509" s="1">
        <f>IFERROR(__xludf.DUMMYFUNCTION("""COMPUTED_VALUE"""),2311072285)</f>
        <v>2311072285</v>
      </c>
      <c r="G2509" s="1">
        <f>IFERROR(__xludf.DUMMYFUNCTION("""COMPUTED_VALUE"""),463079972004)</f>
        <v>463079972004</v>
      </c>
      <c r="H2509" s="1" t="str">
        <f>IFERROR(__xludf.DUMMYFUNCTION("""COMPUTED_VALUE"""),"JERALD DELA CRUZ SOLLANO")</f>
        <v>JERALD DELA CRUZ SOLLANO</v>
      </c>
      <c r="I2509" s="1">
        <f>IFERROR(__xludf.DUMMYFUNCTION("""COMPUTED_VALUE"""),9399204055)</f>
        <v>9399204055</v>
      </c>
      <c r="J2509" s="1">
        <f>IFERROR(__xludf.DUMMYFUNCTION("""COMPUTED_VALUE"""),9179915088)</f>
        <v>9179915088</v>
      </c>
      <c r="K2509" s="1" t="str">
        <f>IFERROR(__xludf.DUMMYFUNCTION("""COMPUTED_VALUE"""),"jds89jervis@gmail.com")</f>
        <v>jds89jervis@gmail.com</v>
      </c>
      <c r="L2509" s="1" t="str">
        <f>IFERROR(__xludf.DUMMYFUNCTION("""COMPUTED_VALUE"""),"BLK 9 LOT 17")</f>
        <v>BLK 9 LOT 17</v>
      </c>
      <c r="M2509" s="1" t="str">
        <f>IFERROR(__xludf.DUMMYFUNCTION("""COMPUTED_VALUE"""),"KEY WEST ")</f>
        <v>KEY WEST </v>
      </c>
      <c r="N2509" s="1" t="str">
        <f>IFERROR(__xludf.DUMMYFUNCTION("""COMPUTED_VALUE"""),"MIAMI SOUTH FORBES")</f>
        <v>MIAMI SOUTH FORBES</v>
      </c>
      <c r="O2509" s="1" t="str">
        <f>IFERROR(__xludf.DUMMYFUNCTION("""COMPUTED_VALUE"""),"INCHICAN")</f>
        <v>INCHICAN</v>
      </c>
      <c r="P2509" s="1" t="str">
        <f>IFERROR(__xludf.DUMMYFUNCTION("""COMPUTED_VALUE"""),"SILANG")</f>
        <v>SILANG</v>
      </c>
      <c r="Q2509" s="1" t="str">
        <f>IFERROR(__xludf.DUMMYFUNCTION("""COMPUTED_VALUE"""),"CAVITE")</f>
        <v>CAVITE</v>
      </c>
      <c r="R2509" s="1" t="str">
        <f>IFERROR(__xludf.DUMMYFUNCTION("""COMPUTED_VALUE"""),"FIBR PLAN 2699")</f>
        <v>FIBR PLAN 2699</v>
      </c>
      <c r="S2509" s="1" t="str">
        <f>IFERROR(__xludf.DUMMYFUNCTION("""COMPUTED_VALUE"""),"APPROVED")</f>
        <v>APPROVED</v>
      </c>
      <c r="T2509" s="1" t="str">
        <f>IFERROR(__xludf.DUMMYFUNCTION("""COMPUTED_VALUE"""),"RPR")</f>
        <v>RPR</v>
      </c>
      <c r="U2509" s="1"/>
      <c r="V2509" s="1"/>
      <c r="W2509" s="1"/>
    </row>
    <row r="2510" customHeight="1" spans="1:23">
      <c r="A2510" s="3">
        <f>IFERROR(__xludf.DUMMYFUNCTION("""COMPUTED_VALUE"""),46221)</f>
        <v>46221</v>
      </c>
      <c r="B2510" s="1" t="str">
        <f>IFERROR(__xludf.DUMMYFUNCTION("""COMPUTED_VALUE"""),"LEADSTORE - ILANO, LIANDRO TEJAS")</f>
        <v>LEADSTORE - ILANO, LIANDRO TEJAS</v>
      </c>
      <c r="C2510" s="1" t="str">
        <f>IFERROR(__xludf.DUMMYFUNCTION("""COMPUTED_VALUE"""),"LEADSTORE")</f>
        <v>LEADSTORE</v>
      </c>
      <c r="D2510" s="1" t="str">
        <f>IFERROR(__xludf.DUMMYFUNCTION("""COMPUTED_VALUE"""),"JERIC NAVARRO")</f>
        <v>JERIC NAVARRO</v>
      </c>
      <c r="E2510" s="1" t="str">
        <f>IFERROR(__xludf.DUMMYFUNCTION("""COMPUTED_VALUE"""),"PLDT / ONLINE")</f>
        <v>PLDT / ONLINE</v>
      </c>
      <c r="F2510" s="1">
        <f>IFERROR(__xludf.DUMMYFUNCTION("""COMPUTED_VALUE"""),2311073304)</f>
        <v>2311073304</v>
      </c>
      <c r="G2510" s="1">
        <f>IFERROR(__xludf.DUMMYFUNCTION("""COMPUTED_VALUE"""),463082356004)</f>
        <v>463082356004</v>
      </c>
      <c r="H2510" s="1" t="str">
        <f>IFERROR(__xludf.DUMMYFUNCTION("""COMPUTED_VALUE"""),"MINMAR BONGUE DELA CRUZ")</f>
        <v>MINMAR BONGUE DELA CRUZ</v>
      </c>
      <c r="I2510" s="1">
        <f>IFERROR(__xludf.DUMMYFUNCTION("""COMPUTED_VALUE"""),9512251131)</f>
        <v>9512251131</v>
      </c>
      <c r="J2510" s="1"/>
      <c r="K2510" s="1" t="str">
        <f>IFERROR(__xludf.DUMMYFUNCTION("""COMPUTED_VALUE"""),"baltazarmerinick06@gmail.com")</f>
        <v>baltazarmerinick06@gmail.com</v>
      </c>
      <c r="L2510" s="1" t="str">
        <f>IFERROR(__xludf.DUMMYFUNCTION("""COMPUTED_VALUE"""),"301")</f>
        <v>301</v>
      </c>
      <c r="M2510" s="1" t="str">
        <f>IFERROR(__xludf.DUMMYFUNCTION("""COMPUTED_VALUE"""),"DR SOLIS")</f>
        <v>DR SOLIS</v>
      </c>
      <c r="N2510" s="1"/>
      <c r="O2510" s="1" t="str">
        <f>IFERROR(__xludf.DUMMYFUNCTION("""COMPUTED_VALUE"""),"JULUGAN III")</f>
        <v>JULUGAN III</v>
      </c>
      <c r="P2510" s="1" t="str">
        <f>IFERROR(__xludf.DUMMYFUNCTION("""COMPUTED_VALUE"""),"TANZA")</f>
        <v>TANZA</v>
      </c>
      <c r="Q2510" s="1" t="str">
        <f>IFERROR(__xludf.DUMMYFUNCTION("""COMPUTED_VALUE"""),"CAVITE")</f>
        <v>CAVITE</v>
      </c>
      <c r="R2510" s="1" t="str">
        <f>IFERROR(__xludf.DUMMYFUNCTION("""COMPUTED_VALUE"""),"FIBR UNLI ALL PLAN 1399")</f>
        <v>FIBR UNLI ALL PLAN 1399</v>
      </c>
      <c r="S2510" s="1" t="str">
        <f>IFERROR(__xludf.DUMMYFUNCTION("""COMPUTED_VALUE"""),"APPROVED")</f>
        <v>APPROVED</v>
      </c>
      <c r="T2510" s="1" t="str">
        <f>IFERROR(__xludf.DUMMYFUNCTION("""COMPUTED_VALUE"""),"CLOSED")</f>
        <v>CLOSED</v>
      </c>
      <c r="U2510" s="1" t="str">
        <f>IFERROR(__xludf.DUMMYFUNCTION("""COMPUTED_VALUE"""),"POSTED")</f>
        <v>POSTED</v>
      </c>
      <c r="V2510" s="1"/>
      <c r="W2510" s="1"/>
    </row>
    <row r="2511" customHeight="1" spans="1:23">
      <c r="A2511" s="3">
        <f>IFERROR(__xludf.DUMMYFUNCTION("""COMPUTED_VALUE"""),46221)</f>
        <v>46221</v>
      </c>
      <c r="B2511" s="1" t="str">
        <f>IFERROR(__xludf.DUMMYFUNCTION("""COMPUTED_VALUE"""),"FRANCISCO , ROSELYN")</f>
        <v>FRANCISCO , ROSELYN</v>
      </c>
      <c r="C2511" s="1" t="str">
        <f>IFERROR(__xludf.DUMMYFUNCTION("""COMPUTED_VALUE"""),"ORGANIC")</f>
        <v>ORGANIC</v>
      </c>
      <c r="D2511" s="1" t="str">
        <f>IFERROR(__xludf.DUMMYFUNCTION("""COMPUTED_VALUE"""),"REMOLLO LEA")</f>
        <v>REMOLLO LEA</v>
      </c>
      <c r="E2511" s="1" t="str">
        <f>IFERROR(__xludf.DUMMYFUNCTION("""COMPUTED_VALUE"""),"PLDT / H2H")</f>
        <v>PLDT / H2H</v>
      </c>
      <c r="F2511" s="1">
        <f>IFERROR(__xludf.DUMMYFUNCTION("""COMPUTED_VALUE"""),2311073805)</f>
        <v>2311073805</v>
      </c>
      <c r="G2511" s="1"/>
      <c r="H2511" s="1" t="str">
        <f>IFERROR(__xludf.DUMMYFUNCTION("""COMPUTED_VALUE"""),"JHEROME DOMANAIS PEJI")</f>
        <v>JHEROME DOMANAIS PEJI</v>
      </c>
      <c r="I2511" s="1">
        <f>IFERROR(__xludf.DUMMYFUNCTION("""COMPUTED_VALUE"""),9153879306)</f>
        <v>9153879306</v>
      </c>
      <c r="J2511" s="1"/>
      <c r="K2511" s="1" t="str">
        <f>IFERROR(__xludf.DUMMYFUNCTION("""COMPUTED_VALUE"""),"jherome.domanais0528@gmail.com")</f>
        <v>jherome.domanais0528@gmail.com</v>
      </c>
      <c r="L2511" s="1" t="str">
        <f>IFERROR(__xludf.DUMMYFUNCTION("""COMPUTED_VALUE"""),"64")</f>
        <v>64</v>
      </c>
      <c r="M2511" s="1" t="str">
        <f>IFERROR(__xludf.DUMMYFUNCTION("""COMPUTED_VALUE"""),"ESPERANZA")</f>
        <v>ESPERANZA</v>
      </c>
      <c r="N2511" s="1"/>
      <c r="O2511" s="1" t="str">
        <f>IFERROR(__xludf.DUMMYFUNCTION("""COMPUTED_VALUE"""),"ESPERANZA ILAYA")</f>
        <v>ESPERANZA ILAYA</v>
      </c>
      <c r="P2511" s="1" t="str">
        <f>IFERROR(__xludf.DUMMYFUNCTION("""COMPUTED_VALUE"""),"ALFONSO")</f>
        <v>ALFONSO</v>
      </c>
      <c r="Q2511" s="1" t="str">
        <f>IFERROR(__xludf.DUMMYFUNCTION("""COMPUTED_VALUE"""),"CAVITE")</f>
        <v>CAVITE</v>
      </c>
      <c r="R2511" s="1" t="str">
        <f>IFERROR(__xludf.DUMMYFUNCTION("""COMPUTED_VALUE"""),"FIBR PLAN 1299")</f>
        <v>FIBR PLAN 1299</v>
      </c>
      <c r="S2511" s="1" t="str">
        <f>IFERROR(__xludf.DUMMYFUNCTION("""COMPUTED_VALUE"""),"APPROVED")</f>
        <v>APPROVED</v>
      </c>
      <c r="T2511" s="1" t="str">
        <f>IFERROR(__xludf.DUMMYFUNCTION("""COMPUTED_VALUE"""),"CANCELLED")</f>
        <v>CANCELLED</v>
      </c>
      <c r="U2511" s="1"/>
      <c r="V2511" s="1"/>
      <c r="W2511" s="1"/>
    </row>
    <row r="2512" customHeight="1" spans="1:23">
      <c r="A2512" s="3">
        <f>IFERROR(__xludf.DUMMYFUNCTION("""COMPUTED_VALUE"""),46221)</f>
        <v>46221</v>
      </c>
      <c r="B2512" s="1" t="str">
        <f>IFERROR(__xludf.DUMMYFUNCTION("""COMPUTED_VALUE"""),"FRONDEZ, JEDREFF")</f>
        <v>FRONDEZ, JEDREFF</v>
      </c>
      <c r="C2512" s="1" t="str">
        <f>IFERROR(__xludf.DUMMYFUNCTION("""COMPUTED_VALUE"""),"ORGANIC")</f>
        <v>ORGANIC</v>
      </c>
      <c r="D2512" s="1" t="str">
        <f>IFERROR(__xludf.DUMMYFUNCTION("""COMPUTED_VALUE"""),"REMOLLO LEA")</f>
        <v>REMOLLO LEA</v>
      </c>
      <c r="E2512" s="1" t="str">
        <f>IFERROR(__xludf.DUMMYFUNCTION("""COMPUTED_VALUE"""),"PLDT / H2H")</f>
        <v>PLDT / H2H</v>
      </c>
      <c r="F2512" s="1">
        <f>IFERROR(__xludf.DUMMYFUNCTION("""COMPUTED_VALUE"""),2311074353)</f>
        <v>2311074353</v>
      </c>
      <c r="G2512" s="1">
        <f>IFERROR(__xludf.DUMMYFUNCTION("""COMPUTED_VALUE"""),463086438004)</f>
        <v>463086438004</v>
      </c>
      <c r="H2512" s="1" t="str">
        <f>IFERROR(__xludf.DUMMYFUNCTION("""COMPUTED_VALUE"""),"QUERRA ERIKA CALOS TAGNIPEZ")</f>
        <v>QUERRA ERIKA CALOS TAGNIPEZ</v>
      </c>
      <c r="I2512" s="1">
        <f>IFERROR(__xludf.DUMMYFUNCTION("""COMPUTED_VALUE"""),9972897151)</f>
        <v>9972897151</v>
      </c>
      <c r="J2512" s="1">
        <f>IFERROR(__xludf.DUMMYFUNCTION("""COMPUTED_VALUE"""),9357807849)</f>
        <v>9357807849</v>
      </c>
      <c r="K2512" s="1" t="str">
        <f>IFERROR(__xludf.DUMMYFUNCTION("""COMPUTED_VALUE"""),"guevaraerika1986@gmail.com")</f>
        <v>guevaraerika1986@gmail.com</v>
      </c>
      <c r="L2512" s="1" t="str">
        <f>IFERROR(__xludf.DUMMYFUNCTION("""COMPUTED_VALUE"""),"118")</f>
        <v>118</v>
      </c>
      <c r="M2512" s="1" t="str">
        <f>IFERROR(__xludf.DUMMYFUNCTION("""COMPUTED_VALUE"""),"ZAMORA")</f>
        <v>ZAMORA</v>
      </c>
      <c r="N2512" s="1"/>
      <c r="O2512" s="1" t="str">
        <f>IFERROR(__xludf.DUMMYFUNCTION("""COMPUTED_VALUE"""),"ASIS I")</f>
        <v>ASIS I</v>
      </c>
      <c r="P2512" s="1" t="str">
        <f>IFERROR(__xludf.DUMMYFUNCTION("""COMPUTED_VALUE"""),"MENDEZ")</f>
        <v>MENDEZ</v>
      </c>
      <c r="Q2512" s="1" t="str">
        <f>IFERROR(__xludf.DUMMYFUNCTION("""COMPUTED_VALUE"""),"CAVITE")</f>
        <v>CAVITE</v>
      </c>
      <c r="R2512" s="1" t="str">
        <f>IFERROR(__xludf.DUMMYFUNCTION("""COMPUTED_VALUE"""),"FIBR UNLI ALL PLAN 999")</f>
        <v>FIBR UNLI ALL PLAN 999</v>
      </c>
      <c r="S2512" s="1" t="str">
        <f>IFERROR(__xludf.DUMMYFUNCTION("""COMPUTED_VALUE"""),"APPROVED")</f>
        <v>APPROVED</v>
      </c>
      <c r="T2512" s="1" t="str">
        <f>IFERROR(__xludf.DUMMYFUNCTION("""COMPUTED_VALUE"""),"CLOSED")</f>
        <v>CLOSED</v>
      </c>
      <c r="U2512" s="1" t="str">
        <f>IFERROR(__xludf.DUMMYFUNCTION("""COMPUTED_VALUE"""),"POSTED")</f>
        <v>POSTED</v>
      </c>
      <c r="V2512" s="1"/>
      <c r="W2512" s="1"/>
    </row>
    <row r="2513" customHeight="1" spans="1:23">
      <c r="A2513" s="3">
        <f>IFERROR(__xludf.DUMMYFUNCTION("""COMPUTED_VALUE"""),46221)</f>
        <v>46221</v>
      </c>
      <c r="B2513" s="1" t="str">
        <f>IFERROR(__xludf.DUMMYFUNCTION("""COMPUTED_VALUE"""),"MAGDARAOG, KENNETH")</f>
        <v>MAGDARAOG, KENNETH</v>
      </c>
      <c r="C2513" s="1" t="str">
        <f>IFERROR(__xludf.DUMMYFUNCTION("""COMPUTED_VALUE"""),"ORGANIC")</f>
        <v>ORGANIC</v>
      </c>
      <c r="D2513" s="1" t="str">
        <f>IFERROR(__xludf.DUMMYFUNCTION("""COMPUTED_VALUE"""),"REMOLLO LEA")</f>
        <v>REMOLLO LEA</v>
      </c>
      <c r="E2513" s="1" t="str">
        <f>IFERROR(__xludf.DUMMYFUNCTION("""COMPUTED_VALUE"""),"PLDT / H2H")</f>
        <v>PLDT / H2H</v>
      </c>
      <c r="F2513" s="1">
        <f>IFERROR(__xludf.DUMMYFUNCTION("""COMPUTED_VALUE"""),2311078445)</f>
        <v>2311078445</v>
      </c>
      <c r="G2513" s="1">
        <f>IFERROR(__xludf.DUMMYFUNCTION("""COMPUTED_VALUE"""),463090411004)</f>
        <v>463090411004</v>
      </c>
      <c r="H2513" s="1" t="str">
        <f>IFERROR(__xludf.DUMMYFUNCTION("""COMPUTED_VALUE"""),"LITO CAPOQUIAN LONGCOP")</f>
        <v>LITO CAPOQUIAN LONGCOP</v>
      </c>
      <c r="I2513" s="1">
        <f>IFERROR(__xludf.DUMMYFUNCTION("""COMPUTED_VALUE"""),9543450308)</f>
        <v>9543450308</v>
      </c>
      <c r="J2513" s="1">
        <f>IFERROR(__xludf.DUMMYFUNCTION("""COMPUTED_VALUE"""),9770069225)</f>
        <v>9770069225</v>
      </c>
      <c r="K2513" s="1" t="str">
        <f>IFERROR(__xludf.DUMMYFUNCTION("""COMPUTED_VALUE"""),"jollianfriaslongcop@gmail.com")</f>
        <v>jollianfriaslongcop@gmail.com</v>
      </c>
      <c r="L2513" s="1" t="str">
        <f>IFERROR(__xludf.DUMMYFUNCTION("""COMPUTED_VALUE"""),"7")</f>
        <v>7</v>
      </c>
      <c r="M2513" s="1" t="str">
        <f>IFERROR(__xludf.DUMMYFUNCTION("""COMPUTED_VALUE"""),"PUROK 2")</f>
        <v>PUROK 2</v>
      </c>
      <c r="N2513" s="1"/>
      <c r="O2513" s="1" t="str">
        <f>IFERROR(__xludf.DUMMYFUNCTION("""COMPUTED_VALUE"""),"LUKSUHIN")</f>
        <v>LUKSUHIN</v>
      </c>
      <c r="P2513" s="1" t="str">
        <f>IFERROR(__xludf.DUMMYFUNCTION("""COMPUTED_VALUE"""),"ALFONSO")</f>
        <v>ALFONSO</v>
      </c>
      <c r="Q2513" s="1" t="str">
        <f>IFERROR(__xludf.DUMMYFUNCTION("""COMPUTED_VALUE"""),"CAVITE")</f>
        <v>CAVITE</v>
      </c>
      <c r="R2513" s="1" t="str">
        <f>IFERROR(__xludf.DUMMYFUNCTION("""COMPUTED_VALUE"""),"FIBR UNLI ALL PLAN 999")</f>
        <v>FIBR UNLI ALL PLAN 999</v>
      </c>
      <c r="S2513" s="1" t="str">
        <f>IFERROR(__xludf.DUMMYFUNCTION("""COMPUTED_VALUE"""),"APPROVED")</f>
        <v>APPROVED</v>
      </c>
      <c r="T2513" s="1" t="str">
        <f>IFERROR(__xludf.DUMMYFUNCTION("""COMPUTED_VALUE"""),"CLOSED")</f>
        <v>CLOSED</v>
      </c>
      <c r="U2513" s="1" t="str">
        <f>IFERROR(__xludf.DUMMYFUNCTION("""COMPUTED_VALUE"""),"POSTED")</f>
        <v>POSTED</v>
      </c>
      <c r="V2513" s="1"/>
      <c r="W2513" s="1"/>
    </row>
    <row r="2514" customHeight="1" spans="1:23">
      <c r="A2514" s="3">
        <f>IFERROR(__xludf.DUMMYFUNCTION("""COMPUTED_VALUE"""),46221)</f>
        <v>46221</v>
      </c>
      <c r="B2514" s="1" t="str">
        <f>IFERROR(__xludf.DUMMYFUNCTION("""COMPUTED_VALUE"""),"GABAY, MANUEL")</f>
        <v>GABAY, MANUEL</v>
      </c>
      <c r="C2514" s="1" t="str">
        <f>IFERROR(__xludf.DUMMYFUNCTION("""COMPUTED_VALUE"""),"FLA")</f>
        <v>FLA</v>
      </c>
      <c r="D2514" s="1" t="str">
        <f>IFERROR(__xludf.DUMMYFUNCTION("""COMPUTED_VALUE"""),"JERIC NAVARRO")</f>
        <v>JERIC NAVARRO</v>
      </c>
      <c r="E2514" s="1" t="str">
        <f>IFERROR(__xludf.DUMMYFUNCTION("""COMPUTED_VALUE"""),"PLDT / H2H")</f>
        <v>PLDT / H2H</v>
      </c>
      <c r="F2514" s="1">
        <f>IFERROR(__xludf.DUMMYFUNCTION("""COMPUTED_VALUE"""),2311079165)</f>
        <v>2311079165</v>
      </c>
      <c r="G2514" s="1">
        <f>IFERROR(__xludf.DUMMYFUNCTION("""COMPUTED_VALUE"""),463091274004)</f>
        <v>463091274004</v>
      </c>
      <c r="H2514" s="1" t="str">
        <f>IFERROR(__xludf.DUMMYFUNCTION("""COMPUTED_VALUE"""),"MA JULIETA SAN JUAN PEREY")</f>
        <v>MA JULIETA SAN JUAN PEREY</v>
      </c>
      <c r="I2514" s="1">
        <f>IFERROR(__xludf.DUMMYFUNCTION("""COMPUTED_VALUE"""),9394524843)</f>
        <v>9394524843</v>
      </c>
      <c r="J2514" s="1">
        <f>IFERROR(__xludf.DUMMYFUNCTION("""COMPUTED_VALUE"""),9945919821)</f>
        <v>9945919821</v>
      </c>
      <c r="K2514" s="1" t="str">
        <f>IFERROR(__xludf.DUMMYFUNCTION("""COMPUTED_VALUE"""),"johnperey07@gmail.com")</f>
        <v>johnperey07@gmail.com</v>
      </c>
      <c r="L2514" s="1" t="str">
        <f>IFERROR(__xludf.DUMMYFUNCTION("""COMPUTED_VALUE"""),"35")</f>
        <v>35</v>
      </c>
      <c r="M2514" s="1" t="str">
        <f>IFERROR(__xludf.DUMMYFUNCTION("""COMPUTED_VALUE"""),"BUKAL RD")</f>
        <v>BUKAL RD</v>
      </c>
      <c r="N2514" s="1"/>
      <c r="O2514" s="1" t="str">
        <f>IFERROR(__xludf.DUMMYFUNCTION("""COMPUTED_VALUE"""),"BUCAL")</f>
        <v>BUCAL</v>
      </c>
      <c r="P2514" s="1" t="str">
        <f>IFERROR(__xludf.DUMMYFUNCTION("""COMPUTED_VALUE"""),"MENDEZ")</f>
        <v>MENDEZ</v>
      </c>
      <c r="Q2514" s="1" t="str">
        <f>IFERROR(__xludf.DUMMYFUNCTION("""COMPUTED_VALUE"""),"CAVITE")</f>
        <v>CAVITE</v>
      </c>
      <c r="R2514" s="1" t="str">
        <f>IFERROR(__xludf.DUMMYFUNCTION("""COMPUTED_VALUE"""),"FIBR UNLI ALL PLAN 1399")</f>
        <v>FIBR UNLI ALL PLAN 1399</v>
      </c>
      <c r="S2514" s="1" t="str">
        <f>IFERROR(__xludf.DUMMYFUNCTION("""COMPUTED_VALUE"""),"APPROVED")</f>
        <v>APPROVED</v>
      </c>
      <c r="T2514" s="1" t="str">
        <f>IFERROR(__xludf.DUMMYFUNCTION("""COMPUTED_VALUE"""),"CLOSED")</f>
        <v>CLOSED</v>
      </c>
      <c r="U2514" s="1" t="str">
        <f>IFERROR(__xludf.DUMMYFUNCTION("""COMPUTED_VALUE"""),"POSTED")</f>
        <v>POSTED</v>
      </c>
      <c r="V2514" s="1"/>
      <c r="W2514" s="1"/>
    </row>
    <row r="2515" customHeight="1" spans="1:23">
      <c r="A2515" s="3">
        <f>IFERROR(__xludf.DUMMYFUNCTION("""COMPUTED_VALUE"""),46221)</f>
        <v>46221</v>
      </c>
      <c r="B2515" s="1" t="str">
        <f>IFERROR(__xludf.DUMMYFUNCTION("""COMPUTED_VALUE"""),"MAGDARAOG, KENNETH")</f>
        <v>MAGDARAOG, KENNETH</v>
      </c>
      <c r="C2515" s="1" t="str">
        <f>IFERROR(__xludf.DUMMYFUNCTION("""COMPUTED_VALUE"""),"ORGANIC")</f>
        <v>ORGANIC</v>
      </c>
      <c r="D2515" s="1" t="str">
        <f>IFERROR(__xludf.DUMMYFUNCTION("""COMPUTED_VALUE"""),"REMOLLO LEA")</f>
        <v>REMOLLO LEA</v>
      </c>
      <c r="E2515" s="1" t="str">
        <f>IFERROR(__xludf.DUMMYFUNCTION("""COMPUTED_VALUE"""),"PLDT / H2H")</f>
        <v>PLDT / H2H</v>
      </c>
      <c r="F2515" s="1">
        <f>IFERROR(__xludf.DUMMYFUNCTION("""COMPUTED_VALUE"""),2311079916)</f>
        <v>2311079916</v>
      </c>
      <c r="G2515" s="1"/>
      <c r="H2515" s="1" t="str">
        <f>IFERROR(__xludf.DUMMYFUNCTION("""COMPUTED_VALUE"""),"BIANCA ROBLES BENEDICTO")</f>
        <v>BIANCA ROBLES BENEDICTO</v>
      </c>
      <c r="I2515" s="1">
        <f>IFERROR(__xludf.DUMMYFUNCTION("""COMPUTED_VALUE"""),9919486557)</f>
        <v>9919486557</v>
      </c>
      <c r="J2515" s="1"/>
      <c r="K2515" s="1" t="str">
        <f>IFERROR(__xludf.DUMMYFUNCTION("""COMPUTED_VALUE"""),"yanksbenedicto@gmail.com")</f>
        <v>yanksbenedicto@gmail.com</v>
      </c>
      <c r="L2515" s="1" t="str">
        <f>IFERROR(__xludf.DUMMYFUNCTION("""COMPUTED_VALUE"""),"75")</f>
        <v>75</v>
      </c>
      <c r="M2515" s="1" t="str">
        <f>IFERROR(__xludf.DUMMYFUNCTION("""COMPUTED_VALUE"""),"ESGUERA")</f>
        <v>ESGUERA</v>
      </c>
      <c r="N2515" s="1"/>
      <c r="O2515" s="1" t="str">
        <f>IFERROR(__xludf.DUMMYFUNCTION("""COMPUTED_VALUE"""),"MIGUEL MOJICA")</f>
        <v>MIGUEL MOJICA</v>
      </c>
      <c r="P2515" s="1" t="str">
        <f>IFERROR(__xludf.DUMMYFUNCTION("""COMPUTED_VALUE"""),"MENDEZ")</f>
        <v>MENDEZ</v>
      </c>
      <c r="Q2515" s="1" t="str">
        <f>IFERROR(__xludf.DUMMYFUNCTION("""COMPUTED_VALUE"""),"CAVITE")</f>
        <v>CAVITE</v>
      </c>
      <c r="R2515" s="1" t="str">
        <f>IFERROR(__xludf.DUMMYFUNCTION("""COMPUTED_VALUE"""),"FIBR PLAN 1299")</f>
        <v>FIBR PLAN 1299</v>
      </c>
      <c r="S2515" s="1" t="str">
        <f>IFERROR(__xludf.DUMMYFUNCTION("""COMPUTED_VALUE"""),"APPROVED")</f>
        <v>APPROVED</v>
      </c>
      <c r="T2515" s="1" t="str">
        <f>IFERROR(__xludf.DUMMYFUNCTION("""COMPUTED_VALUE"""),"CANCELLED")</f>
        <v>CANCELLED</v>
      </c>
      <c r="U2515" s="1"/>
      <c r="V2515" s="1"/>
      <c r="W2515" s="1"/>
    </row>
    <row r="2516" customHeight="1" spans="1:23">
      <c r="A2516" s="3">
        <f>IFERROR(__xludf.DUMMYFUNCTION("""COMPUTED_VALUE"""),46221)</f>
        <v>46221</v>
      </c>
      <c r="B2516" s="1" t="str">
        <f>IFERROR(__xludf.DUMMYFUNCTION("""COMPUTED_VALUE"""),"DACALCAP RUBEN")</f>
        <v>DACALCAP RUBEN</v>
      </c>
      <c r="C2516" s="1" t="str">
        <f>IFERROR(__xludf.DUMMYFUNCTION("""COMPUTED_VALUE"""),"FLA")</f>
        <v>FLA</v>
      </c>
      <c r="D2516" s="1" t="str">
        <f>IFERROR(__xludf.DUMMYFUNCTION("""COMPUTED_VALUE"""),"JERIC NAVARRO")</f>
        <v>JERIC NAVARRO</v>
      </c>
      <c r="E2516" s="1" t="str">
        <f>IFERROR(__xludf.DUMMYFUNCTION("""COMPUTED_VALUE"""),"PLDT / H2H")</f>
        <v>PLDT / H2H</v>
      </c>
      <c r="F2516" s="1">
        <f>IFERROR(__xludf.DUMMYFUNCTION("""COMPUTED_VALUE"""),2311081004)</f>
        <v>2311081004</v>
      </c>
      <c r="G2516" s="1">
        <f>IFERROR(__xludf.DUMMYFUNCTION("""COMPUTED_VALUE"""),463092724004)</f>
        <v>463092724004</v>
      </c>
      <c r="H2516" s="1" t="str">
        <f>IFERROR(__xludf.DUMMYFUNCTION("""COMPUTED_VALUE"""),"JEFFERSON ALMENDRAS MANUZON")</f>
        <v>JEFFERSON ALMENDRAS MANUZON</v>
      </c>
      <c r="I2516" s="1">
        <f>IFERROR(__xludf.DUMMYFUNCTION("""COMPUTED_VALUE"""),9308371263)</f>
        <v>9308371263</v>
      </c>
      <c r="J2516" s="1">
        <f>IFERROR(__xludf.DUMMYFUNCTION("""COMPUTED_VALUE"""),9771963518)</f>
        <v>9771963518</v>
      </c>
      <c r="K2516" s="1" t="str">
        <f>IFERROR(__xludf.DUMMYFUNCTION("""COMPUTED_VALUE"""),"elspanila@gmail.com0")</f>
        <v>elspanila@gmail.com0</v>
      </c>
      <c r="L2516" s="1" t="str">
        <f>IFERROR(__xludf.DUMMYFUNCTION("""COMPUTED_VALUE"""),"71")</f>
        <v>71</v>
      </c>
      <c r="M2516" s="1" t="str">
        <f>IFERROR(__xludf.DUMMYFUNCTION("""COMPUTED_VALUE"""),"PUROK 2")</f>
        <v>PUROK 2</v>
      </c>
      <c r="N2516" s="1"/>
      <c r="O2516" s="1" t="str">
        <f>IFERROR(__xludf.DUMMYFUNCTION("""COMPUTED_VALUE"""),"PALIGAWAN")</f>
        <v>PALIGAWAN</v>
      </c>
      <c r="P2516" s="1" t="str">
        <f>IFERROR(__xludf.DUMMYFUNCTION("""COMPUTED_VALUE"""),"SILANG")</f>
        <v>SILANG</v>
      </c>
      <c r="Q2516" s="1" t="str">
        <f>IFERROR(__xludf.DUMMYFUNCTION("""COMPUTED_VALUE"""),"CAVITE")</f>
        <v>CAVITE</v>
      </c>
      <c r="R2516" s="1" t="str">
        <f>IFERROR(__xludf.DUMMYFUNCTION("""COMPUTED_VALUE"""),"FIBR UNLI ALL PLAN 1399")</f>
        <v>FIBR UNLI ALL PLAN 1399</v>
      </c>
      <c r="S2516" s="1" t="str">
        <f>IFERROR(__xludf.DUMMYFUNCTION("""COMPUTED_VALUE"""),"APPROVED")</f>
        <v>APPROVED</v>
      </c>
      <c r="T2516" s="1" t="str">
        <f>IFERROR(__xludf.DUMMYFUNCTION("""COMPUTED_VALUE"""),"CLOSED")</f>
        <v>CLOSED</v>
      </c>
      <c r="U2516" s="1" t="str">
        <f>IFERROR(__xludf.DUMMYFUNCTION("""COMPUTED_VALUE"""),"POSTED")</f>
        <v>POSTED</v>
      </c>
      <c r="V2516" s="1"/>
      <c r="W2516" s="1"/>
    </row>
    <row r="2517" customHeight="1" spans="1:23">
      <c r="A2517" s="3">
        <f>IFERROR(__xludf.DUMMYFUNCTION("""COMPUTED_VALUE"""),46221)</f>
        <v>46221</v>
      </c>
      <c r="B2517" s="1" t="str">
        <f>IFERROR(__xludf.DUMMYFUNCTION("""COMPUTED_VALUE"""),"REMOLLO, LEA")</f>
        <v>REMOLLO, LEA</v>
      </c>
      <c r="C2517" s="1" t="str">
        <f>IFERROR(__xludf.DUMMYFUNCTION("""COMPUTED_VALUE"""),"FLA")</f>
        <v>FLA</v>
      </c>
      <c r="D2517" s="1" t="str">
        <f>IFERROR(__xludf.DUMMYFUNCTION("""COMPUTED_VALUE"""),"JERIC NAVARRO")</f>
        <v>JERIC NAVARRO</v>
      </c>
      <c r="E2517" s="1" t="str">
        <f>IFERROR(__xludf.DUMMYFUNCTION("""COMPUTED_VALUE"""),"PLDT / H2H")</f>
        <v>PLDT / H2H</v>
      </c>
      <c r="F2517" s="1">
        <f>IFERROR(__xludf.DUMMYFUNCTION("""COMPUTED_VALUE"""),2311082829)</f>
        <v>2311082829</v>
      </c>
      <c r="G2517" s="1"/>
      <c r="H2517" s="1" t="str">
        <f>IFERROR(__xludf.DUMMYFUNCTION("""COMPUTED_VALUE"""),"EDILBERTA MAIZO RIDDLE")</f>
        <v>EDILBERTA MAIZO RIDDLE</v>
      </c>
      <c r="I2517" s="1">
        <f>IFERROR(__xludf.DUMMYFUNCTION("""COMPUTED_VALUE"""),9671543412)</f>
        <v>9671543412</v>
      </c>
      <c r="J2517" s="1"/>
      <c r="K2517" s="1" t="str">
        <f>IFERROR(__xludf.DUMMYFUNCTION("""COMPUTED_VALUE"""),"desuyolian14@gmail.com")</f>
        <v>desuyolian14@gmail.com</v>
      </c>
      <c r="L2517" s="1" t="str">
        <f>IFERROR(__xludf.DUMMYFUNCTION("""COMPUTED_VALUE"""),"267")</f>
        <v>267</v>
      </c>
      <c r="M2517" s="1" t="str">
        <f>IFERROR(__xludf.DUMMYFUNCTION("""COMPUTED_VALUE"""),"IBA RD")</f>
        <v>IBA RD</v>
      </c>
      <c r="N2517" s="1"/>
      <c r="O2517" s="1" t="str">
        <f>IFERROR(__xludf.DUMMYFUNCTION("""COMPUTED_VALUE"""),"IBA")</f>
        <v>IBA</v>
      </c>
      <c r="P2517" s="1" t="str">
        <f>IFERROR(__xludf.DUMMYFUNCTION("""COMPUTED_VALUE"""),"SILANG")</f>
        <v>SILANG</v>
      </c>
      <c r="Q2517" s="1" t="str">
        <f>IFERROR(__xludf.DUMMYFUNCTION("""COMPUTED_VALUE"""),"CAVITE")</f>
        <v>CAVITE</v>
      </c>
      <c r="R2517" s="1" t="str">
        <f>IFERROR(__xludf.DUMMYFUNCTION("""COMPUTED_VALUE"""),"FIBR PLAN 1299")</f>
        <v>FIBR PLAN 1299</v>
      </c>
      <c r="S2517" s="1" t="str">
        <f>IFERROR(__xludf.DUMMYFUNCTION("""COMPUTED_VALUE"""),"APPROVED")</f>
        <v>APPROVED</v>
      </c>
      <c r="T2517" s="1" t="str">
        <f>IFERROR(__xludf.DUMMYFUNCTION("""COMPUTED_VALUE"""),"CANCELLED")</f>
        <v>CANCELLED</v>
      </c>
      <c r="U2517" s="1"/>
      <c r="V2517" s="1"/>
      <c r="W2517" s="1"/>
    </row>
    <row r="2518" customHeight="1" spans="1:23">
      <c r="A2518" s="3">
        <f>IFERROR(__xludf.DUMMYFUNCTION("""COMPUTED_VALUE"""),46221)</f>
        <v>46221</v>
      </c>
      <c r="B2518" s="1" t="str">
        <f>IFERROR(__xludf.DUMMYFUNCTION("""COMPUTED_VALUE"""),"MALIWAT MARK ELVIN")</f>
        <v>MALIWAT MARK ELVIN</v>
      </c>
      <c r="C2518" s="1" t="str">
        <f>IFERROR(__xludf.DUMMYFUNCTION("""COMPUTED_VALUE"""),"FLA")</f>
        <v>FLA</v>
      </c>
      <c r="D2518" s="1" t="str">
        <f>IFERROR(__xludf.DUMMYFUNCTION("""COMPUTED_VALUE"""),"JERIC NAVARRO")</f>
        <v>JERIC NAVARRO</v>
      </c>
      <c r="E2518" s="1" t="str">
        <f>IFERROR(__xludf.DUMMYFUNCTION("""COMPUTED_VALUE"""),"PLDT / H2H")</f>
        <v>PLDT / H2H</v>
      </c>
      <c r="F2518" s="1">
        <f>IFERROR(__xludf.DUMMYFUNCTION("""COMPUTED_VALUE"""),2311083403)</f>
        <v>2311083403</v>
      </c>
      <c r="G2518" s="1">
        <f>IFERROR(__xludf.DUMMYFUNCTION("""COMPUTED_VALUE"""),463113183004)</f>
        <v>463113183004</v>
      </c>
      <c r="H2518" s="1" t="str">
        <f>IFERROR(__xludf.DUMMYFUNCTION("""COMPUTED_VALUE"""),"ANGEL VENUS PARGASIO ARMEDILLA")</f>
        <v>ANGEL VENUS PARGASIO ARMEDILLA</v>
      </c>
      <c r="I2518" s="1">
        <f>IFERROR(__xludf.DUMMYFUNCTION("""COMPUTED_VALUE"""),9683876977)</f>
        <v>9683876977</v>
      </c>
      <c r="J2518" s="1">
        <f>IFERROR(__xludf.DUMMYFUNCTION("""COMPUTED_VALUE"""),9451508569)</f>
        <v>9451508569</v>
      </c>
      <c r="K2518" s="1" t="str">
        <f>IFERROR(__xludf.DUMMYFUNCTION("""COMPUTED_VALUE"""),"imvenus.gel@gmail.com")</f>
        <v>imvenus.gel@gmail.com</v>
      </c>
      <c r="L2518" s="1" t="str">
        <f>IFERROR(__xludf.DUMMYFUNCTION("""COMPUTED_VALUE"""),"1737")</f>
        <v>1737</v>
      </c>
      <c r="M2518" s="1" t="str">
        <f>IFERROR(__xludf.DUMMYFUNCTION("""COMPUTED_VALUE"""),"17th FLOR")</f>
        <v>17th FLOR</v>
      </c>
      <c r="N2518" s="1" t="str">
        <f>IFERROR(__xludf.DUMMYFUNCTION("""COMPUTED_VALUE"""),"SMDC")</f>
        <v>SMDC</v>
      </c>
      <c r="O2518" s="1" t="str">
        <f>IFERROR(__xludf.DUMMYFUNCTION("""COMPUTED_VALUE"""),"MAHARLIKA WEST")</f>
        <v>MAHARLIKA WEST</v>
      </c>
      <c r="P2518" s="1" t="str">
        <f>IFERROR(__xludf.DUMMYFUNCTION("""COMPUTED_VALUE"""),"TAGAYTAY")</f>
        <v>TAGAYTAY</v>
      </c>
      <c r="Q2518" s="1" t="str">
        <f>IFERROR(__xludf.DUMMYFUNCTION("""COMPUTED_VALUE"""),"CAVITE")</f>
        <v>CAVITE</v>
      </c>
      <c r="R2518" s="1" t="str">
        <f>IFERROR(__xludf.DUMMYFUNCTION("""COMPUTED_VALUE"""),"FIBR UNLI ALL PLAN 1399")</f>
        <v>FIBR UNLI ALL PLAN 1399</v>
      </c>
      <c r="S2518" s="1" t="str">
        <f>IFERROR(__xludf.DUMMYFUNCTION("""COMPUTED_VALUE"""),"APPROVED")</f>
        <v>APPROVED</v>
      </c>
      <c r="T2518" s="1" t="str">
        <f>IFERROR(__xludf.DUMMYFUNCTION("""COMPUTED_VALUE"""),"CLOSED")</f>
        <v>CLOSED</v>
      </c>
      <c r="U2518" s="1" t="str">
        <f>IFERROR(__xludf.DUMMYFUNCTION("""COMPUTED_VALUE"""),"POSTED")</f>
        <v>POSTED</v>
      </c>
      <c r="V2518" s="1"/>
      <c r="W2518" s="1"/>
    </row>
    <row r="2519" customHeight="1" spans="1:23">
      <c r="A2519" s="3">
        <f>IFERROR(__xludf.DUMMYFUNCTION("""COMPUTED_VALUE"""),46221)</f>
        <v>46221</v>
      </c>
      <c r="B2519" s="1" t="str">
        <f>IFERROR(__xludf.DUMMYFUNCTION("""COMPUTED_VALUE"""),"FRONDEZ, JEDREFF")</f>
        <v>FRONDEZ, JEDREFF</v>
      </c>
      <c r="C2519" s="1" t="str">
        <f>IFERROR(__xludf.DUMMYFUNCTION("""COMPUTED_VALUE"""),"ORGANIC")</f>
        <v>ORGANIC</v>
      </c>
      <c r="D2519" s="1" t="str">
        <f>IFERROR(__xludf.DUMMYFUNCTION("""COMPUTED_VALUE"""),"REMOLLO LEA")</f>
        <v>REMOLLO LEA</v>
      </c>
      <c r="E2519" s="1" t="str">
        <f>IFERROR(__xludf.DUMMYFUNCTION("""COMPUTED_VALUE"""),"PLDT / H2H")</f>
        <v>PLDT / H2H</v>
      </c>
      <c r="F2519" s="1">
        <f>IFERROR(__xludf.DUMMYFUNCTION("""COMPUTED_VALUE"""),2311084944)</f>
        <v>2311084944</v>
      </c>
      <c r="G2519" s="1">
        <f>IFERROR(__xludf.DUMMYFUNCTION("""COMPUTED_VALUE"""),463097090004)</f>
        <v>463097090004</v>
      </c>
      <c r="H2519" s="1" t="str">
        <f>IFERROR(__xludf.DUMMYFUNCTION("""COMPUTED_VALUE"""),"WALTERSON MANGUIA PANLILIO")</f>
        <v>WALTERSON MANGUIA PANLILIO</v>
      </c>
      <c r="I2519" s="1">
        <f>IFERROR(__xludf.DUMMYFUNCTION("""COMPUTED_VALUE"""),9153404499)</f>
        <v>9153404499</v>
      </c>
      <c r="J2519" s="1"/>
      <c r="K2519" s="1" t="str">
        <f>IFERROR(__xludf.DUMMYFUNCTION("""COMPUTED_VALUE"""),"panliliowalterson25@gmail.com")</f>
        <v>panliliowalterson25@gmail.com</v>
      </c>
      <c r="L2519" s="1" t="str">
        <f>IFERROR(__xludf.DUMMYFUNCTION("""COMPUTED_VALUE"""),"BLK 21 LOT 19")</f>
        <v>BLK 21 LOT 19</v>
      </c>
      <c r="M2519" s="1" t="str">
        <f>IFERROR(__xludf.DUMMYFUNCTION("""COMPUTED_VALUE"""),"NARRA")</f>
        <v>NARRA</v>
      </c>
      <c r="N2519" s="1"/>
      <c r="O2519" s="1" t="str">
        <f>IFERROR(__xludf.DUMMYFUNCTION("""COMPUTED_VALUE"""),"NARRA I")</f>
        <v>NARRA I</v>
      </c>
      <c r="P2519" s="1" t="str">
        <f>IFERROR(__xludf.DUMMYFUNCTION("""COMPUTED_VALUE"""),"SILANG")</f>
        <v>SILANG</v>
      </c>
      <c r="Q2519" s="1" t="str">
        <f>IFERROR(__xludf.DUMMYFUNCTION("""COMPUTED_VALUE"""),"CAVITE")</f>
        <v>CAVITE</v>
      </c>
      <c r="R2519" s="1" t="str">
        <f>IFERROR(__xludf.DUMMYFUNCTION("""COMPUTED_VALUE"""),"FIBR UNLI ALL PLAN 999")</f>
        <v>FIBR UNLI ALL PLAN 999</v>
      </c>
      <c r="S2519" s="1" t="str">
        <f>IFERROR(__xludf.DUMMYFUNCTION("""COMPUTED_VALUE"""),"APPROVED")</f>
        <v>APPROVED</v>
      </c>
      <c r="T2519" s="1" t="str">
        <f>IFERROR(__xludf.DUMMYFUNCTION("""COMPUTED_VALUE"""),"CLOSED")</f>
        <v>CLOSED</v>
      </c>
      <c r="U2519" s="1" t="str">
        <f>IFERROR(__xludf.DUMMYFUNCTION("""COMPUTED_VALUE"""),"POSTED")</f>
        <v>POSTED</v>
      </c>
      <c r="V2519" s="1"/>
      <c r="W2519" s="1"/>
    </row>
    <row r="2520" customHeight="1" spans="1:23">
      <c r="A2520" s="3">
        <f>IFERROR(__xludf.DUMMYFUNCTION("""COMPUTED_VALUE"""),46222)</f>
        <v>46222</v>
      </c>
      <c r="B2520" s="1" t="str">
        <f>IFERROR(__xludf.DUMMYFUNCTION("""COMPUTED_VALUE"""),"FRONDEZ, JEDREFF")</f>
        <v>FRONDEZ, JEDREFF</v>
      </c>
      <c r="C2520" s="1" t="str">
        <f>IFERROR(__xludf.DUMMYFUNCTION("""COMPUTED_VALUE"""),"ORGANIC")</f>
        <v>ORGANIC</v>
      </c>
      <c r="D2520" s="1" t="str">
        <f>IFERROR(__xludf.DUMMYFUNCTION("""COMPUTED_VALUE"""),"REMOLLO LEA")</f>
        <v>REMOLLO LEA</v>
      </c>
      <c r="E2520" s="1" t="str">
        <f>IFERROR(__xludf.DUMMYFUNCTION("""COMPUTED_VALUE"""),"PLDT / ONLINE")</f>
        <v>PLDT / ONLINE</v>
      </c>
      <c r="F2520" s="1">
        <f>IFERROR(__xludf.DUMMYFUNCTION("""COMPUTED_VALUE"""),2311099346)</f>
        <v>2311099346</v>
      </c>
      <c r="G2520" s="1">
        <f>IFERROR(__xludf.DUMMYFUNCTION("""COMPUTED_VALUE"""),463201672004)</f>
        <v>463201672004</v>
      </c>
      <c r="H2520" s="1" t="str">
        <f>IFERROR(__xludf.DUMMYFUNCTION("""COMPUTED_VALUE"""),"MA. GABRIETTE AMBAT MUNOZ")</f>
        <v>MA. GABRIETTE AMBAT MUNOZ</v>
      </c>
      <c r="I2520" s="1">
        <f>IFERROR(__xludf.DUMMYFUNCTION("""COMPUTED_VALUE"""),9485056825)</f>
        <v>9485056825</v>
      </c>
      <c r="J2520" s="1">
        <f>IFERROR(__xludf.DUMMYFUNCTION("""COMPUTED_VALUE"""),9082855033)</f>
        <v>9082855033</v>
      </c>
      <c r="K2520" s="1" t="str">
        <f>IFERROR(__xludf.DUMMYFUNCTION("""COMPUTED_VALUE"""),"gabbimunoz282@gmail.com")</f>
        <v>gabbimunoz282@gmail.com</v>
      </c>
      <c r="L2520" s="1" t="str">
        <f>IFERROR(__xludf.DUMMYFUNCTION("""COMPUTED_VALUE"""),"LOT 14582")</f>
        <v>LOT 14582</v>
      </c>
      <c r="M2520" s="1" t="str">
        <f>IFERROR(__xludf.DUMMYFUNCTION("""COMPUTED_VALUE"""),"CABANGAAN RD")</f>
        <v>CABANGAAN RD</v>
      </c>
      <c r="N2520" s="1"/>
      <c r="O2520" s="1" t="str">
        <f>IFERROR(__xludf.DUMMYFUNCTION("""COMPUTED_VALUE"""),"CABANGAAN")</f>
        <v>CABANGAAN</v>
      </c>
      <c r="P2520" s="1" t="str">
        <f>IFERROR(__xludf.DUMMYFUNCTION("""COMPUTED_VALUE"""),"SILANG")</f>
        <v>SILANG</v>
      </c>
      <c r="Q2520" s="1" t="str">
        <f>IFERROR(__xludf.DUMMYFUNCTION("""COMPUTED_VALUE"""),"CAVITE")</f>
        <v>CAVITE</v>
      </c>
      <c r="R2520" s="1" t="str">
        <f>IFERROR(__xludf.DUMMYFUNCTION("""COMPUTED_VALUE"""),"FIBR UNLI ALL PLAN 1399")</f>
        <v>FIBR UNLI ALL PLAN 1399</v>
      </c>
      <c r="S2520" s="1" t="str">
        <f>IFERROR(__xludf.DUMMYFUNCTION("""COMPUTED_VALUE"""),"APPROVED")</f>
        <v>APPROVED</v>
      </c>
      <c r="T2520" s="1" t="str">
        <f>IFERROR(__xludf.DUMMYFUNCTION("""COMPUTED_VALUE"""),"RPR")</f>
        <v>RPR</v>
      </c>
      <c r="U2520" s="1" t="str">
        <f>IFERROR(__xludf.DUMMYFUNCTION("""COMPUTED_VALUE"""),"PAID VIA GCASH JULY 18")</f>
        <v>PAID VIA GCASH JULY 18</v>
      </c>
      <c r="V2520" s="1"/>
      <c r="W2520" s="1"/>
    </row>
    <row r="2521" customHeight="1" spans="1:23">
      <c r="A2521" s="3">
        <f>IFERROR(__xludf.DUMMYFUNCTION("""COMPUTED_VALUE"""),46222)</f>
        <v>46222</v>
      </c>
      <c r="B2521" s="1" t="str">
        <f>IFERROR(__xludf.DUMMYFUNCTION("""COMPUTED_VALUE"""),"MALIWAT MARK ELVIN")</f>
        <v>MALIWAT MARK ELVIN</v>
      </c>
      <c r="C2521" s="1" t="str">
        <f>IFERROR(__xludf.DUMMYFUNCTION("""COMPUTED_VALUE"""),"FLA")</f>
        <v>FLA</v>
      </c>
      <c r="D2521" s="1" t="str">
        <f>IFERROR(__xludf.DUMMYFUNCTION("""COMPUTED_VALUE"""),"JERIC NAVARRO")</f>
        <v>JERIC NAVARRO</v>
      </c>
      <c r="E2521" s="1" t="str">
        <f>IFERROR(__xludf.DUMMYFUNCTION("""COMPUTED_VALUE"""),"PLDT / ONLINE")</f>
        <v>PLDT / ONLINE</v>
      </c>
      <c r="F2521" s="1">
        <f>IFERROR(__xludf.DUMMYFUNCTION("""COMPUTED_VALUE"""),2311098120)</f>
        <v>2311098120</v>
      </c>
      <c r="G2521" s="1">
        <f>IFERROR(__xludf.DUMMYFUNCTION("""COMPUTED_VALUE"""),463200477004)</f>
        <v>463200477004</v>
      </c>
      <c r="H2521" s="1" t="str">
        <f>IFERROR(__xludf.DUMMYFUNCTION("""COMPUTED_VALUE"""),"MARITES CASTILLO SAPUTIL")</f>
        <v>MARITES CASTILLO SAPUTIL</v>
      </c>
      <c r="I2521" s="1">
        <f>IFERROR(__xludf.DUMMYFUNCTION("""COMPUTED_VALUE"""),9493976254)</f>
        <v>9493976254</v>
      </c>
      <c r="J2521" s="1">
        <f>IFERROR(__xludf.DUMMYFUNCTION("""COMPUTED_VALUE"""),9453045242)</f>
        <v>9453045242</v>
      </c>
      <c r="K2521" s="1" t="str">
        <f>IFERROR(__xludf.DUMMYFUNCTION("""COMPUTED_VALUE"""),"saputilmandy@gmail.com")</f>
        <v>saputilmandy@gmail.com</v>
      </c>
      <c r="L2521" s="1" t="str">
        <f>IFERROR(__xludf.DUMMYFUNCTION("""COMPUTED_VALUE"""),"198")</f>
        <v>198</v>
      </c>
      <c r="M2521" s="1" t="str">
        <f>IFERROR(__xludf.DUMMYFUNCTION("""COMPUTED_VALUE"""),"BIGA")</f>
        <v>BIGA</v>
      </c>
      <c r="N2521" s="1"/>
      <c r="O2521" s="1" t="str">
        <f>IFERROR(__xludf.DUMMYFUNCTION("""COMPUTED_VALUE"""),"BIGA I")</f>
        <v>BIGA I</v>
      </c>
      <c r="P2521" s="1" t="str">
        <f>IFERROR(__xludf.DUMMYFUNCTION("""COMPUTED_VALUE"""),"SILANG")</f>
        <v>SILANG</v>
      </c>
      <c r="Q2521" s="1" t="str">
        <f>IFERROR(__xludf.DUMMYFUNCTION("""COMPUTED_VALUE"""),"CAVITE")</f>
        <v>CAVITE</v>
      </c>
      <c r="R2521" s="1" t="str">
        <f>IFERROR(__xludf.DUMMYFUNCTION("""COMPUTED_VALUE"""),"FIBR PLAN 1299")</f>
        <v>FIBR PLAN 1299</v>
      </c>
      <c r="S2521" s="1" t="str">
        <f>IFERROR(__xludf.DUMMYFUNCTION("""COMPUTED_VALUE"""),"APPROVED")</f>
        <v>APPROVED</v>
      </c>
      <c r="T2521" s="1" t="str">
        <f>IFERROR(__xludf.DUMMYFUNCTION("""COMPUTED_VALUE"""),"CLOSED")</f>
        <v>CLOSED</v>
      </c>
      <c r="U2521" s="1" t="str">
        <f>IFERROR(__xludf.DUMMYFUNCTION("""COMPUTED_VALUE"""),"POSTED")</f>
        <v>POSTED</v>
      </c>
      <c r="V2521" s="1"/>
      <c r="W2521" s="1"/>
    </row>
    <row r="2522" customHeight="1" spans="1:23">
      <c r="A2522" s="3">
        <f>IFERROR(__xludf.DUMMYFUNCTION("""COMPUTED_VALUE"""),46222)</f>
        <v>46222</v>
      </c>
      <c r="B2522" s="1" t="str">
        <f>IFERROR(__xludf.DUMMYFUNCTION("""COMPUTED_VALUE"""),"MAGDARAOG, KENNETH")</f>
        <v>MAGDARAOG, KENNETH</v>
      </c>
      <c r="C2522" s="1" t="str">
        <f>IFERROR(__xludf.DUMMYFUNCTION("""COMPUTED_VALUE"""),"ORGANIC")</f>
        <v>ORGANIC</v>
      </c>
      <c r="D2522" s="1" t="str">
        <f>IFERROR(__xludf.DUMMYFUNCTION("""COMPUTED_VALUE"""),"REMOLLO LEA")</f>
        <v>REMOLLO LEA</v>
      </c>
      <c r="E2522" s="1" t="str">
        <f>IFERROR(__xludf.DUMMYFUNCTION("""COMPUTED_VALUE"""),"PLDT / H2H")</f>
        <v>PLDT / H2H</v>
      </c>
      <c r="F2522" s="1">
        <f>IFERROR(__xludf.DUMMYFUNCTION("""COMPUTED_VALUE"""),2311107365)</f>
        <v>2311107365</v>
      </c>
      <c r="G2522" s="1">
        <f>IFERROR(__xludf.DUMMYFUNCTION("""COMPUTED_VALUE"""),463223310004)</f>
        <v>463223310004</v>
      </c>
      <c r="H2522" s="1" t="str">
        <f>IFERROR(__xludf.DUMMYFUNCTION("""COMPUTED_VALUE"""),"ROBERT RAMOS BENEDICTO")</f>
        <v>ROBERT RAMOS BENEDICTO</v>
      </c>
      <c r="I2522" s="1">
        <f>IFERROR(__xludf.DUMMYFUNCTION("""COMPUTED_VALUE"""),9919486557)</f>
        <v>9919486557</v>
      </c>
      <c r="J2522" s="1"/>
      <c r="K2522" s="1" t="str">
        <f>IFERROR(__xludf.DUMMYFUNCTION("""COMPUTED_VALUE"""),"robert_benedicto@yahoo.com")</f>
        <v>robert_benedicto@yahoo.com</v>
      </c>
      <c r="L2522" s="1" t="str">
        <f>IFERROR(__xludf.DUMMYFUNCTION("""COMPUTED_VALUE"""),"75")</f>
        <v>75</v>
      </c>
      <c r="M2522" s="1" t="str">
        <f>IFERROR(__xludf.DUMMYFUNCTION("""COMPUTED_VALUE"""),"ESGUERA")</f>
        <v>ESGUERA</v>
      </c>
      <c r="N2522" s="1"/>
      <c r="O2522" s="1" t="str">
        <f>IFERROR(__xludf.DUMMYFUNCTION("""COMPUTED_VALUE"""),"MIGUEL MOJICA")</f>
        <v>MIGUEL MOJICA</v>
      </c>
      <c r="P2522" s="1" t="str">
        <f>IFERROR(__xludf.DUMMYFUNCTION("""COMPUTED_VALUE"""),"MENDEZ")</f>
        <v>MENDEZ</v>
      </c>
      <c r="Q2522" s="1" t="str">
        <f>IFERROR(__xludf.DUMMYFUNCTION("""COMPUTED_VALUE"""),"CAVITE")</f>
        <v>CAVITE</v>
      </c>
      <c r="R2522" s="1" t="str">
        <f>IFERROR(__xludf.DUMMYFUNCTION("""COMPUTED_VALUE"""),"FIBR PLAN 1299")</f>
        <v>FIBR PLAN 1299</v>
      </c>
      <c r="S2522" s="1" t="str">
        <f>IFERROR(__xludf.DUMMYFUNCTION("""COMPUTED_VALUE"""),"APPROVED")</f>
        <v>APPROVED</v>
      </c>
      <c r="T2522" s="1" t="str">
        <f>IFERROR(__xludf.DUMMYFUNCTION("""COMPUTED_VALUE"""),"CLOSED")</f>
        <v>CLOSED</v>
      </c>
      <c r="U2522" s="1" t="str">
        <f>IFERROR(__xludf.DUMMYFUNCTION("""COMPUTED_VALUE"""),"POSTED")</f>
        <v>POSTED</v>
      </c>
      <c r="V2522" s="1"/>
      <c r="W2522" s="1"/>
    </row>
    <row r="2523" customHeight="1" spans="1:23">
      <c r="A2523" s="3">
        <f>IFERROR(__xludf.DUMMYFUNCTION("""COMPUTED_VALUE"""),46222)</f>
        <v>46222</v>
      </c>
      <c r="B2523" s="1" t="str">
        <f>IFERROR(__xludf.DUMMYFUNCTION("""COMPUTED_VALUE"""),"AYON MANUEL")</f>
        <v>AYON MANUEL</v>
      </c>
      <c r="C2523" s="1" t="str">
        <f>IFERROR(__xludf.DUMMYFUNCTION("""COMPUTED_VALUE"""),"FLA")</f>
        <v>FLA</v>
      </c>
      <c r="D2523" s="1" t="str">
        <f>IFERROR(__xludf.DUMMYFUNCTION("""COMPUTED_VALUE"""),"JERIC NAVARRO")</f>
        <v>JERIC NAVARRO</v>
      </c>
      <c r="E2523" s="1" t="str">
        <f>IFERROR(__xludf.DUMMYFUNCTION("""COMPUTED_VALUE"""),"PLDT / H2H")</f>
        <v>PLDT / H2H</v>
      </c>
      <c r="F2523" s="1">
        <f>IFERROR(__xludf.DUMMYFUNCTION("""COMPUTED_VALUE"""),2311100537)</f>
        <v>2311100537</v>
      </c>
      <c r="G2523" s="1">
        <f>IFERROR(__xludf.DUMMYFUNCTION("""COMPUTED_VALUE"""),463211285004)</f>
        <v>463211285004</v>
      </c>
      <c r="H2523" s="1" t="str">
        <f>IFERROR(__xludf.DUMMYFUNCTION("""COMPUTED_VALUE"""),"PABLO 111 TOLENTINO VILLANUEVA")</f>
        <v>PABLO 111 TOLENTINO VILLANUEVA</v>
      </c>
      <c r="I2523" s="1">
        <f>IFERROR(__xludf.DUMMYFUNCTION("""COMPUTED_VALUE"""),9059682716)</f>
        <v>9059682716</v>
      </c>
      <c r="J2523" s="1">
        <f>IFERROR(__xludf.DUMMYFUNCTION("""COMPUTED_VALUE"""),9669702709)</f>
        <v>9669702709</v>
      </c>
      <c r="K2523" s="1" t="str">
        <f>IFERROR(__xludf.DUMMYFUNCTION("""COMPUTED_VALUE"""),"panbloiiivillanueva@gmail.com")</f>
        <v>panbloiiivillanueva@gmail.com</v>
      </c>
      <c r="L2523" s="1" t="str">
        <f>IFERROR(__xludf.DUMMYFUNCTION("""COMPUTED_VALUE"""),"BLK 8 LOT 10")</f>
        <v>BLK 8 LOT 10</v>
      </c>
      <c r="M2523" s="1" t="str">
        <f>IFERROR(__xludf.DUMMYFUNCTION("""COMPUTED_VALUE"""),"PHASE 5")</f>
        <v>PHASE 5</v>
      </c>
      <c r="N2523" s="1" t="str">
        <f>IFERROR(__xludf.DUMMYFUNCTION("""COMPUTED_VALUE"""),"TERRA VERDE")</f>
        <v>TERRA VERDE</v>
      </c>
      <c r="O2523" s="1" t="str">
        <f>IFERROR(__xludf.DUMMYFUNCTION("""COMPUTED_VALUE"""),"BANCAL")</f>
        <v>BANCAL</v>
      </c>
      <c r="P2523" s="1" t="str">
        <f>IFERROR(__xludf.DUMMYFUNCTION("""COMPUTED_VALUE"""),"CARMONA")</f>
        <v>CARMONA</v>
      </c>
      <c r="Q2523" s="1" t="str">
        <f>IFERROR(__xludf.DUMMYFUNCTION("""COMPUTED_VALUE"""),"CAVITE")</f>
        <v>CAVITE</v>
      </c>
      <c r="R2523" s="1" t="str">
        <f>IFERROR(__xludf.DUMMYFUNCTION("""COMPUTED_VALUE"""),"FIBR UNLI ALL PLAN 1399")</f>
        <v>FIBR UNLI ALL PLAN 1399</v>
      </c>
      <c r="S2523" s="1" t="str">
        <f>IFERROR(__xludf.DUMMYFUNCTION("""COMPUTED_VALUE"""),"APPROVED")</f>
        <v>APPROVED</v>
      </c>
      <c r="T2523" s="1" t="str">
        <f>IFERROR(__xludf.DUMMYFUNCTION("""COMPUTED_VALUE"""),"CLOSED")</f>
        <v>CLOSED</v>
      </c>
      <c r="U2523" s="1" t="str">
        <f>IFERROR(__xludf.DUMMYFUNCTION("""COMPUTED_VALUE"""),"POSTED")</f>
        <v>POSTED</v>
      </c>
      <c r="V2523" s="1"/>
      <c r="W2523" s="1"/>
    </row>
    <row r="2524" customHeight="1" spans="1:23">
      <c r="A2524" s="3">
        <f>IFERROR(__xludf.DUMMYFUNCTION("""COMPUTED_VALUE"""),46222)</f>
        <v>46222</v>
      </c>
      <c r="B2524" s="1" t="str">
        <f>IFERROR(__xludf.DUMMYFUNCTION("""COMPUTED_VALUE"""),"FRANCISCO , ROSELYN")</f>
        <v>FRANCISCO , ROSELYN</v>
      </c>
      <c r="C2524" s="1" t="str">
        <f>IFERROR(__xludf.DUMMYFUNCTION("""COMPUTED_VALUE"""),"ORGANIC")</f>
        <v>ORGANIC</v>
      </c>
      <c r="D2524" s="1" t="str">
        <f>IFERROR(__xludf.DUMMYFUNCTION("""COMPUTED_VALUE"""),"REMOLLO LEA")</f>
        <v>REMOLLO LEA</v>
      </c>
      <c r="E2524" s="1" t="str">
        <f>IFERROR(__xludf.DUMMYFUNCTION("""COMPUTED_VALUE"""),"PLDT / H2H")</f>
        <v>PLDT / H2H</v>
      </c>
      <c r="F2524" s="1">
        <f>IFERROR(__xludf.DUMMYFUNCTION("""COMPUTED_VALUE"""),2311100894)</f>
        <v>2311100894</v>
      </c>
      <c r="G2524" s="1">
        <f>IFERROR(__xludf.DUMMYFUNCTION("""COMPUTED_VALUE"""),463208198004)</f>
        <v>463208198004</v>
      </c>
      <c r="H2524" s="1" t="str">
        <f>IFERROR(__xludf.DUMMYFUNCTION("""COMPUTED_VALUE"""),"LORELIE DOMAIS PEJI")</f>
        <v>LORELIE DOMAIS PEJI</v>
      </c>
      <c r="I2524" s="1">
        <f>IFERROR(__xludf.DUMMYFUNCTION("""COMPUTED_VALUE"""),9153879306)</f>
        <v>9153879306</v>
      </c>
      <c r="J2524" s="1"/>
      <c r="K2524" s="1" t="str">
        <f>IFERROR(__xludf.DUMMYFUNCTION("""COMPUTED_VALUE"""),"mohamedlory04@gmail.com")</f>
        <v>mohamedlory04@gmail.com</v>
      </c>
      <c r="L2524" s="1" t="str">
        <f>IFERROR(__xludf.DUMMYFUNCTION("""COMPUTED_VALUE"""),"64")</f>
        <v>64</v>
      </c>
      <c r="M2524" s="1" t="str">
        <f>IFERROR(__xludf.DUMMYFUNCTION("""COMPUTED_VALUE"""),"ESPERANZA")</f>
        <v>ESPERANZA</v>
      </c>
      <c r="N2524" s="1"/>
      <c r="O2524" s="1" t="str">
        <f>IFERROR(__xludf.DUMMYFUNCTION("""COMPUTED_VALUE"""),"ESPERANZA ILAYA")</f>
        <v>ESPERANZA ILAYA</v>
      </c>
      <c r="P2524" s="1" t="str">
        <f>IFERROR(__xludf.DUMMYFUNCTION("""COMPUTED_VALUE"""),"ALFONSO")</f>
        <v>ALFONSO</v>
      </c>
      <c r="Q2524" s="1" t="str">
        <f>IFERROR(__xludf.DUMMYFUNCTION("""COMPUTED_VALUE"""),"CAVITE")</f>
        <v>CAVITE</v>
      </c>
      <c r="R2524" s="1" t="str">
        <f>IFERROR(__xludf.DUMMYFUNCTION("""COMPUTED_VALUE"""),"FIBR PLAN 1299")</f>
        <v>FIBR PLAN 1299</v>
      </c>
      <c r="S2524" s="1" t="str">
        <f>IFERROR(__xludf.DUMMYFUNCTION("""COMPUTED_VALUE"""),"APPROVED")</f>
        <v>APPROVED</v>
      </c>
      <c r="T2524" s="1" t="str">
        <f>IFERROR(__xludf.DUMMYFUNCTION("""COMPUTED_VALUE"""),"CANCELLED")</f>
        <v>CANCELLED</v>
      </c>
      <c r="U2524" s="1"/>
      <c r="V2524" s="1"/>
      <c r="W2524" s="1"/>
    </row>
    <row r="2525" customHeight="1" spans="1:23">
      <c r="A2525" s="3">
        <f>IFERROR(__xludf.DUMMYFUNCTION("""COMPUTED_VALUE"""),46222)</f>
        <v>46222</v>
      </c>
      <c r="B2525" s="1" t="str">
        <f>IFERROR(__xludf.DUMMYFUNCTION("""COMPUTED_VALUE"""),"CASTILLEJOS, ARREL")</f>
        <v>CASTILLEJOS, ARREL</v>
      </c>
      <c r="C2525" s="1" t="str">
        <f>IFERROR(__xludf.DUMMYFUNCTION("""COMPUTED_VALUE"""),"ORGANIC")</f>
        <v>ORGANIC</v>
      </c>
      <c r="D2525" s="1" t="str">
        <f>IFERROR(__xludf.DUMMYFUNCTION("""COMPUTED_VALUE"""),"REMOLLO LEA")</f>
        <v>REMOLLO LEA</v>
      </c>
      <c r="E2525" s="1" t="str">
        <f>IFERROR(__xludf.DUMMYFUNCTION("""COMPUTED_VALUE"""),"PLDT / H2H")</f>
        <v>PLDT / H2H</v>
      </c>
      <c r="F2525" s="1">
        <f>IFERROR(__xludf.DUMMYFUNCTION("""COMPUTED_VALUE"""),2311103272)</f>
        <v>2311103272</v>
      </c>
      <c r="G2525" s="1">
        <f>IFERROR(__xludf.DUMMYFUNCTION("""COMPUTED_VALUE"""),463207551004)</f>
        <v>463207551004</v>
      </c>
      <c r="H2525" s="1" t="str">
        <f>IFERROR(__xludf.DUMMYFUNCTION("""COMPUTED_VALUE"""),"JANET VECEDO VERGABERA")</f>
        <v>JANET VECEDO VERGABERA</v>
      </c>
      <c r="I2525" s="1">
        <f>IFERROR(__xludf.DUMMYFUNCTION("""COMPUTED_VALUE"""),9051518168)</f>
        <v>9051518168</v>
      </c>
      <c r="J2525" s="1">
        <f>IFERROR(__xludf.DUMMYFUNCTION("""COMPUTED_VALUE"""),9945623408)</f>
        <v>9945623408</v>
      </c>
      <c r="K2525" s="1" t="str">
        <f>IFERROR(__xludf.DUMMYFUNCTION("""COMPUTED_VALUE"""),"havvergarabera@gmail.com")</f>
        <v>havvergarabera@gmail.com</v>
      </c>
      <c r="L2525" s="1" t="str">
        <f>IFERROR(__xludf.DUMMYFUNCTION("""COMPUTED_VALUE"""),"74")</f>
        <v>74</v>
      </c>
      <c r="M2525" s="1" t="str">
        <f>IFERROR(__xludf.DUMMYFUNCTION("""COMPUTED_VALUE"""),"MARAHAN")</f>
        <v>MARAHAN</v>
      </c>
      <c r="N2525" s="1"/>
      <c r="O2525" s="1" t="str">
        <f>IFERROR(__xludf.DUMMYFUNCTION("""COMPUTED_VALUE"""),"MARAHAN II")</f>
        <v>MARAHAN II</v>
      </c>
      <c r="P2525" s="1" t="str">
        <f>IFERROR(__xludf.DUMMYFUNCTION("""COMPUTED_VALUE"""),"ALFONSO")</f>
        <v>ALFONSO</v>
      </c>
      <c r="Q2525" s="1" t="str">
        <f>IFERROR(__xludf.DUMMYFUNCTION("""COMPUTED_VALUE"""),"CAVITE")</f>
        <v>CAVITE</v>
      </c>
      <c r="R2525" s="1" t="str">
        <f>IFERROR(__xludf.DUMMYFUNCTION("""COMPUTED_VALUE"""),"FIBR UNLI ALL PLAN 999")</f>
        <v>FIBR UNLI ALL PLAN 999</v>
      </c>
      <c r="S2525" s="1" t="str">
        <f>IFERROR(__xludf.DUMMYFUNCTION("""COMPUTED_VALUE"""),"APPROVED")</f>
        <v>APPROVED</v>
      </c>
      <c r="T2525" s="1" t="str">
        <f>IFERROR(__xludf.DUMMYFUNCTION("""COMPUTED_VALUE"""),"CLOSED")</f>
        <v>CLOSED</v>
      </c>
      <c r="U2525" s="1" t="str">
        <f>IFERROR(__xludf.DUMMYFUNCTION("""COMPUTED_VALUE"""),"POSTED")</f>
        <v>POSTED</v>
      </c>
      <c r="V2525" s="1"/>
      <c r="W2525" s="1"/>
    </row>
    <row r="2526" customHeight="1" spans="1:23">
      <c r="A2526" s="3">
        <f>IFERROR(__xludf.DUMMYFUNCTION("""COMPUTED_VALUE"""),46222)</f>
        <v>46222</v>
      </c>
      <c r="B2526" s="1" t="str">
        <f>IFERROR(__xludf.DUMMYFUNCTION("""COMPUTED_VALUE"""),"GABAY, MANUEL")</f>
        <v>GABAY, MANUEL</v>
      </c>
      <c r="C2526" s="1" t="str">
        <f>IFERROR(__xludf.DUMMYFUNCTION("""COMPUTED_VALUE"""),"FLA")</f>
        <v>FLA</v>
      </c>
      <c r="D2526" s="1" t="str">
        <f>IFERROR(__xludf.DUMMYFUNCTION("""COMPUTED_VALUE"""),"JERIC NAVARRO")</f>
        <v>JERIC NAVARRO</v>
      </c>
      <c r="E2526" s="1" t="str">
        <f>IFERROR(__xludf.DUMMYFUNCTION("""COMPUTED_VALUE"""),"PLDT / H2H")</f>
        <v>PLDT / H2H</v>
      </c>
      <c r="F2526" s="1">
        <f>IFERROR(__xludf.DUMMYFUNCTION("""COMPUTED_VALUE"""),2311104612)</f>
        <v>2311104612</v>
      </c>
      <c r="G2526" s="1">
        <f>IFERROR(__xludf.DUMMYFUNCTION("""COMPUTED_VALUE"""),463207761004)</f>
        <v>463207761004</v>
      </c>
      <c r="H2526" s="1" t="str">
        <f>IFERROR(__xludf.DUMMYFUNCTION("""COMPUTED_VALUE"""),"BHANICE ENORME SIDAMON")</f>
        <v>BHANICE ENORME SIDAMON</v>
      </c>
      <c r="I2526" s="1">
        <f>IFERROR(__xludf.DUMMYFUNCTION("""COMPUTED_VALUE"""),9951939190)</f>
        <v>9951939190</v>
      </c>
      <c r="J2526" s="1">
        <f>IFERROR(__xludf.DUMMYFUNCTION("""COMPUTED_VALUE"""),9128632072)</f>
        <v>9128632072</v>
      </c>
      <c r="K2526" s="1" t="str">
        <f>IFERROR(__xludf.DUMMYFUNCTION("""COMPUTED_VALUE"""),"lenlensidamon11@gmail.com")</f>
        <v>lenlensidamon11@gmail.com</v>
      </c>
      <c r="L2526" s="1" t="str">
        <f>IFERROR(__xludf.DUMMYFUNCTION("""COMPUTED_VALUE"""),"95")</f>
        <v>95</v>
      </c>
      <c r="M2526" s="1" t="str">
        <f>IFERROR(__xludf.DUMMYFUNCTION("""COMPUTED_VALUE"""),"PUROK 4")</f>
        <v>PUROK 4</v>
      </c>
      <c r="N2526" s="1"/>
      <c r="O2526" s="1" t="str">
        <f>IFERROR(__xludf.DUMMYFUNCTION("""COMPUTED_VALUE"""),"PANUNGYAN II")</f>
        <v>PANUNGYAN II</v>
      </c>
      <c r="P2526" s="1" t="str">
        <f>IFERROR(__xludf.DUMMYFUNCTION("""COMPUTED_VALUE"""),"MENDEZ")</f>
        <v>MENDEZ</v>
      </c>
      <c r="Q2526" s="1" t="str">
        <f>IFERROR(__xludf.DUMMYFUNCTION("""COMPUTED_VALUE"""),"CAVITE")</f>
        <v>CAVITE</v>
      </c>
      <c r="R2526" s="1" t="str">
        <f>IFERROR(__xludf.DUMMYFUNCTION("""COMPUTED_VALUE"""),"FIBR NETFLIX PLAN 1599")</f>
        <v>FIBR NETFLIX PLAN 1599</v>
      </c>
      <c r="S2526" s="1" t="str">
        <f>IFERROR(__xludf.DUMMYFUNCTION("""COMPUTED_VALUE"""),"APPROVED")</f>
        <v>APPROVED</v>
      </c>
      <c r="T2526" s="1" t="str">
        <f>IFERROR(__xludf.DUMMYFUNCTION("""COMPUTED_VALUE"""),"CLOSED")</f>
        <v>CLOSED</v>
      </c>
      <c r="U2526" s="1" t="str">
        <f>IFERROR(__xludf.DUMMYFUNCTION("""COMPUTED_VALUE"""),"POSTED")</f>
        <v>POSTED</v>
      </c>
      <c r="V2526" s="1"/>
      <c r="W2526" s="1"/>
    </row>
    <row r="2527" customHeight="1" spans="1:23">
      <c r="A2527" s="3">
        <f>IFERROR(__xludf.DUMMYFUNCTION("""COMPUTED_VALUE"""),46222)</f>
        <v>46222</v>
      </c>
      <c r="B2527" s="1" t="str">
        <f>IFERROR(__xludf.DUMMYFUNCTION("""COMPUTED_VALUE"""),"ESCARCHA, MA ALMA  ESCOTO")</f>
        <v>ESCARCHA, MA ALMA  ESCOTO</v>
      </c>
      <c r="C2527" s="1" t="str">
        <f>IFERROR(__xludf.DUMMYFUNCTION("""COMPUTED_VALUE"""),"ORGANIC")</f>
        <v>ORGANIC</v>
      </c>
      <c r="D2527" s="1" t="str">
        <f>IFERROR(__xludf.DUMMYFUNCTION("""COMPUTED_VALUE"""),"REMOLLO LEA")</f>
        <v>REMOLLO LEA</v>
      </c>
      <c r="E2527" s="1" t="str">
        <f>IFERROR(__xludf.DUMMYFUNCTION("""COMPUTED_VALUE"""),"PLDT / H2H")</f>
        <v>PLDT / H2H</v>
      </c>
      <c r="F2527" s="1">
        <f>IFERROR(__xludf.DUMMYFUNCTION("""COMPUTED_VALUE"""),2311105619)</f>
        <v>2311105619</v>
      </c>
      <c r="G2527" s="1">
        <f>IFERROR(__xludf.DUMMYFUNCTION("""COMPUTED_VALUE"""),463208699004)</f>
        <v>463208699004</v>
      </c>
      <c r="H2527" s="1" t="str">
        <f>IFERROR(__xludf.DUMMYFUNCTION("""COMPUTED_VALUE"""),"CARMELA LEGASPI FERNANDO")</f>
        <v>CARMELA LEGASPI FERNANDO</v>
      </c>
      <c r="I2527" s="1">
        <f>IFERROR(__xludf.DUMMYFUNCTION("""COMPUTED_VALUE"""),9273861483)</f>
        <v>9273861483</v>
      </c>
      <c r="J2527" s="1"/>
      <c r="K2527" s="1" t="str">
        <f>IFERROR(__xludf.DUMMYFUNCTION("""COMPUTED_VALUE"""),"fernandocarmela21@gmail.com")</f>
        <v>fernandocarmela21@gmail.com</v>
      </c>
      <c r="L2527" s="1" t="str">
        <f>IFERROR(__xludf.DUMMYFUNCTION("""COMPUTED_VALUE"""),"BLK 13 LOT 7")</f>
        <v>BLK 13 LOT 7</v>
      </c>
      <c r="M2527" s="1" t="str">
        <f>IFERROR(__xludf.DUMMYFUNCTION("""COMPUTED_VALUE"""),"NOOLY ")</f>
        <v>NOOLY </v>
      </c>
      <c r="N2527" s="1" t="str">
        <f>IFERROR(__xludf.DUMMYFUNCTION("""COMPUTED_VALUE"""),"ASHIANA CLASIC")</f>
        <v>ASHIANA CLASIC</v>
      </c>
      <c r="O2527" s="1" t="str">
        <f>IFERROR(__xludf.DUMMYFUNCTION("""COMPUTED_VALUE"""),"PATUTONG MALAKI NORTH")</f>
        <v>PATUTONG MALAKI NORTH</v>
      </c>
      <c r="P2527" s="1" t="str">
        <f>IFERROR(__xludf.DUMMYFUNCTION("""COMPUTED_VALUE"""),"TAGAYTAY")</f>
        <v>TAGAYTAY</v>
      </c>
      <c r="Q2527" s="1" t="str">
        <f>IFERROR(__xludf.DUMMYFUNCTION("""COMPUTED_VALUE"""),"CAVITE")</f>
        <v>CAVITE</v>
      </c>
      <c r="R2527" s="1" t="str">
        <f>IFERROR(__xludf.DUMMYFUNCTION("""COMPUTED_VALUE"""),"FIBR UNLI ALL PLAN 1399")</f>
        <v>FIBR UNLI ALL PLAN 1399</v>
      </c>
      <c r="S2527" s="1" t="str">
        <f>IFERROR(__xludf.DUMMYFUNCTION("""COMPUTED_VALUE"""),"APPROVED")</f>
        <v>APPROVED</v>
      </c>
      <c r="T2527" s="1" t="str">
        <f>IFERROR(__xludf.DUMMYFUNCTION("""COMPUTED_VALUE"""),"CANCELLED")</f>
        <v>CANCELLED</v>
      </c>
      <c r="U2527" s="1"/>
      <c r="V2527" s="1"/>
      <c r="W2527" s="1"/>
    </row>
    <row r="2528" customHeight="1" spans="1:23">
      <c r="A2528" s="3">
        <f>IFERROR(__xludf.DUMMYFUNCTION("""COMPUTED_VALUE"""),46222)</f>
        <v>46222</v>
      </c>
      <c r="B2528" s="1" t="str">
        <f>IFERROR(__xludf.DUMMYFUNCTION("""COMPUTED_VALUE"""),"FRANCISCO , ROSELYN")</f>
        <v>FRANCISCO , ROSELYN</v>
      </c>
      <c r="C2528" s="1" t="str">
        <f>IFERROR(__xludf.DUMMYFUNCTION("""COMPUTED_VALUE"""),"ORGANIC")</f>
        <v>ORGANIC</v>
      </c>
      <c r="D2528" s="1" t="str">
        <f>IFERROR(__xludf.DUMMYFUNCTION("""COMPUTED_VALUE"""),"REMOLLO LEA")</f>
        <v>REMOLLO LEA</v>
      </c>
      <c r="E2528" s="1" t="str">
        <f>IFERROR(__xludf.DUMMYFUNCTION("""COMPUTED_VALUE"""),"PLDT / ONLINE")</f>
        <v>PLDT / ONLINE</v>
      </c>
      <c r="F2528" s="1"/>
      <c r="G2528" s="1"/>
      <c r="H2528" s="1" t="str">
        <f>IFERROR(__xludf.DUMMYFUNCTION("""COMPUTED_VALUE"""),"DEXTER BUENA BALANGUE ")</f>
        <v>DEXTER BUENA BALANGUE </v>
      </c>
      <c r="I2528" s="1">
        <f>IFERROR(__xludf.DUMMYFUNCTION("""COMPUTED_VALUE"""),9352589006)</f>
        <v>9352589006</v>
      </c>
      <c r="J2528" s="1"/>
      <c r="K2528" s="1" t="str">
        <f>IFERROR(__xludf.DUMMYFUNCTION("""COMPUTED_VALUE"""),"balanguebuenadexter@gmail.com")</f>
        <v>balanguebuenadexter@gmail.com</v>
      </c>
      <c r="L2528" s="1" t="str">
        <f>IFERROR(__xludf.DUMMYFUNCTION("""COMPUTED_VALUE"""),"118")</f>
        <v>118</v>
      </c>
      <c r="M2528" s="1" t="str">
        <f>IFERROR(__xludf.DUMMYFUNCTION("""COMPUTED_VALUE"""),"SAN AGUSTIN ")</f>
        <v>SAN AGUSTIN </v>
      </c>
      <c r="N2528" s="1"/>
      <c r="O2528" s="1" t="str">
        <f>IFERROR(__xludf.DUMMYFUNCTION("""COMPUTED_VALUE"""),"SAN AGUSTIN")</f>
        <v>SAN AGUSTIN</v>
      </c>
      <c r="P2528" s="1" t="str">
        <f>IFERROR(__xludf.DUMMYFUNCTION("""COMPUTED_VALUE"""),"TRECE MARTIRES")</f>
        <v>TRECE MARTIRES</v>
      </c>
      <c r="Q2528" s="1" t="str">
        <f>IFERROR(__xludf.DUMMYFUNCTION("""COMPUTED_VALUE"""),"CAVITE")</f>
        <v>CAVITE</v>
      </c>
      <c r="R2528" s="1" t="str">
        <f>IFERROR(__xludf.DUMMYFUNCTION("""COMPUTED_VALUE"""),"FIBR PLAN 1299")</f>
        <v>FIBR PLAN 1299</v>
      </c>
      <c r="S2528" s="1" t="str">
        <f>IFERROR(__xludf.DUMMYFUNCTION("""COMPUTED_VALUE"""),"APPROVED")</f>
        <v>APPROVED</v>
      </c>
      <c r="T2528" s="1" t="str">
        <f>IFERROR(__xludf.DUMMYFUNCTION("""COMPUTED_VALUE"""),"#N/A")</f>
        <v>#N/A</v>
      </c>
      <c r="U2528" s="1" t="str">
        <f>IFERROR(__xludf.DUMMYFUNCTION("""COMPUTED_VALUE"""),"PLS PROVIDE CAFAC")</f>
        <v>PLS PROVIDE CAFAC</v>
      </c>
      <c r="V2528" s="1"/>
      <c r="W2528" s="1"/>
    </row>
    <row r="2529" customHeight="1" spans="1:23">
      <c r="A2529" s="3">
        <f>IFERROR(__xludf.DUMMYFUNCTION("""COMPUTED_VALUE"""),46223)</f>
        <v>46223</v>
      </c>
      <c r="B2529" s="1" t="str">
        <f>IFERROR(__xludf.DUMMYFUNCTION("""COMPUTED_VALUE"""),"MALIWAT MARK ELVIN")</f>
        <v>MALIWAT MARK ELVIN</v>
      </c>
      <c r="C2529" s="1" t="str">
        <f>IFERROR(__xludf.DUMMYFUNCTION("""COMPUTED_VALUE"""),"FLA")</f>
        <v>FLA</v>
      </c>
      <c r="D2529" s="1" t="str">
        <f>IFERROR(__xludf.DUMMYFUNCTION("""COMPUTED_VALUE"""),"JERIC NAVARRO")</f>
        <v>JERIC NAVARRO</v>
      </c>
      <c r="E2529" s="1" t="str">
        <f>IFERROR(__xludf.DUMMYFUNCTION("""COMPUTED_VALUE"""),"PLDT / ONLINE")</f>
        <v>PLDT / ONLINE</v>
      </c>
      <c r="F2529" s="1">
        <f>IFERROR(__xludf.DUMMYFUNCTION("""COMPUTED_VALUE"""),2311122755)</f>
        <v>2311122755</v>
      </c>
      <c r="G2529" s="1">
        <f>IFERROR(__xludf.DUMMYFUNCTION("""COMPUTED_VALUE"""),463337090004)</f>
        <v>463337090004</v>
      </c>
      <c r="H2529" s="1" t="str">
        <f>IFERROR(__xludf.DUMMYFUNCTION("""COMPUTED_VALUE"""),"DENZEL BASECTIN BULALACAO")</f>
        <v>DENZEL BASECTIN BULALACAO</v>
      </c>
      <c r="I2529" s="1">
        <f>IFERROR(__xludf.DUMMYFUNCTION("""COMPUTED_VALUE"""),9202866569)</f>
        <v>9202866569</v>
      </c>
      <c r="J2529" s="1">
        <f>IFERROR(__xludf.DUMMYFUNCTION("""COMPUTED_VALUE"""),9127701052)</f>
        <v>9127701052</v>
      </c>
      <c r="K2529" s="1" t="str">
        <f>IFERROR(__xludf.DUMMYFUNCTION("""COMPUTED_VALUE"""),"elzygonzales6@gmail.com")</f>
        <v>elzygonzales6@gmail.com</v>
      </c>
      <c r="L2529" s="1" t="str">
        <f>IFERROR(__xludf.DUMMYFUNCTION("""COMPUTED_VALUE"""),"014-BL-032")</f>
        <v>014-BL-032</v>
      </c>
      <c r="M2529" s="1" t="str">
        <f>IFERROR(__xludf.DUMMYFUNCTION("""COMPUTED_VALUE"""),"DREAMHOMES")</f>
        <v>DREAMHOMES</v>
      </c>
      <c r="N2529" s="1" t="str">
        <f>IFERROR(__xludf.DUMMYFUNCTION("""COMPUTED_VALUE"""),"DREAMHOMES SUBDIVISION")</f>
        <v>DREAMHOMES SUBDIVISION</v>
      </c>
      <c r="O2529" s="1" t="str">
        <f>IFERROR(__xludf.DUMMYFUNCTION("""COMPUTED_VALUE"""),"TEJERO")</f>
        <v>TEJERO</v>
      </c>
      <c r="P2529" s="1" t="str">
        <f>IFERROR(__xludf.DUMMYFUNCTION("""COMPUTED_VALUE"""),"GENERAL TRIAS")</f>
        <v>GENERAL TRIAS</v>
      </c>
      <c r="Q2529" s="1" t="str">
        <f>IFERROR(__xludf.DUMMYFUNCTION("""COMPUTED_VALUE"""),"CAVITE")</f>
        <v>CAVITE</v>
      </c>
      <c r="R2529" s="1" t="str">
        <f>IFERROR(__xludf.DUMMYFUNCTION("""COMPUTED_VALUE"""),"FIBR NETFLIX PLAN 1599")</f>
        <v>FIBR NETFLIX PLAN 1599</v>
      </c>
      <c r="S2529" s="1" t="str">
        <f>IFERROR(__xludf.DUMMYFUNCTION("""COMPUTED_VALUE"""),"APPROVED")</f>
        <v>APPROVED</v>
      </c>
      <c r="T2529" s="1" t="str">
        <f>IFERROR(__xludf.DUMMYFUNCTION("""COMPUTED_VALUE"""),"CREDIT VALIDATION")</f>
        <v>CREDIT VALIDATION</v>
      </c>
      <c r="U2529" s="1" t="str">
        <f>IFERROR(__xludf.DUMMYFUNCTION("""COMPUTED_VALUE"""),"CREDIT VALIDATION")</f>
        <v>CREDIT VALIDATION</v>
      </c>
      <c r="V2529" s="1"/>
      <c r="W2529" s="1"/>
    </row>
    <row r="2530" customHeight="1" spans="1:23">
      <c r="A2530" s="3">
        <f>IFERROR(__xludf.DUMMYFUNCTION("""COMPUTED_VALUE"""),46223)</f>
        <v>46223</v>
      </c>
      <c r="B2530" s="1" t="str">
        <f>IFERROR(__xludf.DUMMYFUNCTION("""COMPUTED_VALUE"""),"FRANCISCO , ROSELYN")</f>
        <v>FRANCISCO , ROSELYN</v>
      </c>
      <c r="C2530" s="1" t="str">
        <f>IFERROR(__xludf.DUMMYFUNCTION("""COMPUTED_VALUE"""),"ORGANIC")</f>
        <v>ORGANIC</v>
      </c>
      <c r="D2530" s="1" t="str">
        <f>IFERROR(__xludf.DUMMYFUNCTION("""COMPUTED_VALUE"""),"REMOLLO LEA")</f>
        <v>REMOLLO LEA</v>
      </c>
      <c r="E2530" s="1" t="str">
        <f>IFERROR(__xludf.DUMMYFUNCTION("""COMPUTED_VALUE"""),"PLDT / ONLINE")</f>
        <v>PLDT / ONLINE</v>
      </c>
      <c r="F2530" s="1">
        <f>IFERROR(__xludf.DUMMYFUNCTION("""COMPUTED_VALUE"""),2311124848)</f>
        <v>2311124848</v>
      </c>
      <c r="G2530" s="1">
        <f>IFERROR(__xludf.DUMMYFUNCTION("""COMPUTED_VALUE"""),463336469004)</f>
        <v>463336469004</v>
      </c>
      <c r="H2530" s="1" t="str">
        <f>IFERROR(__xludf.DUMMYFUNCTION("""COMPUTED_VALUE"""),"MARVIN SUELAN PAMONAG")</f>
        <v>MARVIN SUELAN PAMONAG</v>
      </c>
      <c r="I2530" s="1">
        <f>IFERROR(__xludf.DUMMYFUNCTION("""COMPUTED_VALUE"""),9551420031)</f>
        <v>9551420031</v>
      </c>
      <c r="J2530" s="1">
        <f>IFERROR(__xludf.DUMMYFUNCTION("""COMPUTED_VALUE"""),9270582963)</f>
        <v>9270582963</v>
      </c>
      <c r="K2530" s="1" t="str">
        <f>IFERROR(__xludf.DUMMYFUNCTION("""COMPUTED_VALUE"""),"razonbinadas@gmail.com")</f>
        <v>razonbinadas@gmail.com</v>
      </c>
      <c r="L2530" s="1" t="str">
        <f>IFERROR(__xludf.DUMMYFUNCTION("""COMPUTED_VALUE"""),"9013")</f>
        <v>9013</v>
      </c>
      <c r="M2530" s="1" t="str">
        <f>IFERROR(__xludf.DUMMYFUNCTION("""COMPUTED_VALUE"""),"MAG-ASAWANG ILAT")</f>
        <v>MAG-ASAWANG ILAT</v>
      </c>
      <c r="N2530" s="1"/>
      <c r="O2530" s="1" t="str">
        <f>IFERROR(__xludf.DUMMYFUNCTION("""COMPUTED_VALUE"""),"MAG-ASAWANG ILAT")</f>
        <v>MAG-ASAWANG ILAT</v>
      </c>
      <c r="P2530" s="1" t="str">
        <f>IFERROR(__xludf.DUMMYFUNCTION("""COMPUTED_VALUE"""),"TAGAYTAY")</f>
        <v>TAGAYTAY</v>
      </c>
      <c r="Q2530" s="1" t="str">
        <f>IFERROR(__xludf.DUMMYFUNCTION("""COMPUTED_VALUE"""),"CAVITE")</f>
        <v>CAVITE</v>
      </c>
      <c r="R2530" s="1" t="str">
        <f>IFERROR(__xludf.DUMMYFUNCTION("""COMPUTED_VALUE"""),"FIBR NETFLIX PLAN 1599")</f>
        <v>FIBR NETFLIX PLAN 1599</v>
      </c>
      <c r="S2530" s="1" t="str">
        <f>IFERROR(__xludf.DUMMYFUNCTION("""COMPUTED_VALUE"""),"APPROVED")</f>
        <v>APPROVED</v>
      </c>
      <c r="T2530" s="1" t="str">
        <f>IFERROR(__xludf.DUMMYFUNCTION("""COMPUTED_VALUE"""),"RESERVED FACILITY")</f>
        <v>RESERVED FACILITY</v>
      </c>
      <c r="U2530" s="1" t="str">
        <f>IFERROR(__xludf.DUMMYFUNCTION("""COMPUTED_VALUE"""),"OPEN")</f>
        <v>OPEN</v>
      </c>
      <c r="V2530" s="1"/>
      <c r="W2530" s="1"/>
    </row>
    <row r="2531" customHeight="1" spans="1:23">
      <c r="A2531" s="3">
        <f>IFERROR(__xludf.DUMMYFUNCTION("""COMPUTED_VALUE"""),46223)</f>
        <v>46223</v>
      </c>
      <c r="B2531" s="1" t="str">
        <f>IFERROR(__xludf.DUMMYFUNCTION("""COMPUTED_VALUE"""),"FRANCISCO , ROSELYN")</f>
        <v>FRANCISCO , ROSELYN</v>
      </c>
      <c r="C2531" s="1" t="str">
        <f>IFERROR(__xludf.DUMMYFUNCTION("""COMPUTED_VALUE"""),"ORGANIC")</f>
        <v>ORGANIC</v>
      </c>
      <c r="D2531" s="1" t="str">
        <f>IFERROR(__xludf.DUMMYFUNCTION("""COMPUTED_VALUE"""),"REMOLLO LEA")</f>
        <v>REMOLLO LEA</v>
      </c>
      <c r="E2531" s="1" t="str">
        <f>IFERROR(__xludf.DUMMYFUNCTION("""COMPUTED_VALUE"""),"PLDT / H2H")</f>
        <v>PLDT / H2H</v>
      </c>
      <c r="F2531" s="1">
        <f>IFERROR(__xludf.DUMMYFUNCTION("""COMPUTED_VALUE"""),2311128394)</f>
        <v>2311128394</v>
      </c>
      <c r="G2531" s="1">
        <f>IFERROR(__xludf.DUMMYFUNCTION("""COMPUTED_VALUE"""),463482830004)</f>
        <v>463482830004</v>
      </c>
      <c r="H2531" s="1" t="str">
        <f>IFERROR(__xludf.DUMMYFUNCTION("""COMPUTED_VALUE"""),"EMMANUEL MASINAS POBLETE")</f>
        <v>EMMANUEL MASINAS POBLETE</v>
      </c>
      <c r="I2531" s="1">
        <f>IFERROR(__xludf.DUMMYFUNCTION("""COMPUTED_VALUE"""),9939108798)</f>
        <v>9939108798</v>
      </c>
      <c r="J2531" s="1">
        <f>IFERROR(__xludf.DUMMYFUNCTION("""COMPUTED_VALUE"""),9952022696)</f>
        <v>9952022696</v>
      </c>
      <c r="K2531" s="1" t="str">
        <f>IFERROR(__xludf.DUMMYFUNCTION("""COMPUTED_VALUE"""),"emmanp3986@gmail.com")</f>
        <v>emmanp3986@gmail.com</v>
      </c>
      <c r="L2531" s="1" t="str">
        <f>IFERROR(__xludf.DUMMYFUNCTION("""COMPUTED_VALUE"""),"98")</f>
        <v>98</v>
      </c>
      <c r="M2531" s="1" t="str">
        <f>IFERROR(__xludf.DUMMYFUNCTION("""COMPUTED_VALUE"""),"BALITE 1")</f>
        <v>BALITE 1</v>
      </c>
      <c r="N2531" s="1" t="str">
        <f>IFERROR(__xludf.DUMMYFUNCTION("""COMPUTED_VALUE"""),"UNIT C")</f>
        <v>UNIT C</v>
      </c>
      <c r="O2531" s="1" t="str">
        <f>IFERROR(__xludf.DUMMYFUNCTION("""COMPUTED_VALUE"""),"BALITE I")</f>
        <v>BALITE I</v>
      </c>
      <c r="P2531" s="1" t="str">
        <f>IFERROR(__xludf.DUMMYFUNCTION("""COMPUTED_VALUE"""),"SILANG")</f>
        <v>SILANG</v>
      </c>
      <c r="Q2531" s="1" t="str">
        <f>IFERROR(__xludf.DUMMYFUNCTION("""COMPUTED_VALUE"""),"CAVITE")</f>
        <v>CAVITE</v>
      </c>
      <c r="R2531" s="1" t="str">
        <f>IFERROR(__xludf.DUMMYFUNCTION("""COMPUTED_VALUE"""),"FIBR UNLI ALL PLAN 999")</f>
        <v>FIBR UNLI ALL PLAN 999</v>
      </c>
      <c r="S2531" s="1" t="str">
        <f>IFERROR(__xludf.DUMMYFUNCTION("""COMPUTED_VALUE"""),"APPROVED")</f>
        <v>APPROVED</v>
      </c>
      <c r="T2531" s="1" t="str">
        <f>IFERROR(__xludf.DUMMYFUNCTION("""COMPUTED_VALUE"""),"CLOSED")</f>
        <v>CLOSED</v>
      </c>
      <c r="U2531" s="1" t="str">
        <f>IFERROR(__xludf.DUMMYFUNCTION("""COMPUTED_VALUE"""),"POSTED")</f>
        <v>POSTED</v>
      </c>
      <c r="V2531" s="1"/>
      <c r="W2531" s="1"/>
    </row>
    <row r="2532" customHeight="1" spans="1:23">
      <c r="A2532" s="3">
        <f>IFERROR(__xludf.DUMMYFUNCTION("""COMPUTED_VALUE"""),46223)</f>
        <v>46223</v>
      </c>
      <c r="B2532" s="1" t="str">
        <f>IFERROR(__xludf.DUMMYFUNCTION("""COMPUTED_VALUE"""),"DACALCAP RUBEN")</f>
        <v>DACALCAP RUBEN</v>
      </c>
      <c r="C2532" s="1" t="str">
        <f>IFERROR(__xludf.DUMMYFUNCTION("""COMPUTED_VALUE"""),"FLA")</f>
        <v>FLA</v>
      </c>
      <c r="D2532" s="1" t="str">
        <f>IFERROR(__xludf.DUMMYFUNCTION("""COMPUTED_VALUE"""),"JERIC NAVARRO")</f>
        <v>JERIC NAVARRO</v>
      </c>
      <c r="E2532" s="1" t="str">
        <f>IFERROR(__xludf.DUMMYFUNCTION("""COMPUTED_VALUE"""),"PLDT / H2H")</f>
        <v>PLDT / H2H</v>
      </c>
      <c r="F2532" s="1">
        <f>IFERROR(__xludf.DUMMYFUNCTION("""COMPUTED_VALUE"""),2311129531)</f>
        <v>2311129531</v>
      </c>
      <c r="G2532" s="1">
        <f>IFERROR(__xludf.DUMMYFUNCTION("""COMPUTED_VALUE"""),463345060004)</f>
        <v>463345060004</v>
      </c>
      <c r="H2532" s="1" t="str">
        <f>IFERROR(__xludf.DUMMYFUNCTION("""COMPUTED_VALUE"""),"ANTHONY GERODIAZ CASANTUSAN")</f>
        <v>ANTHONY GERODIAZ CASANTUSAN</v>
      </c>
      <c r="I2532" s="1">
        <f>IFERROR(__xludf.DUMMYFUNCTION("""COMPUTED_VALUE"""),9165436666)</f>
        <v>9165436666</v>
      </c>
      <c r="J2532" s="1">
        <f>IFERROR(__xludf.DUMMYFUNCTION("""COMPUTED_VALUE"""),9155116666)</f>
        <v>9155116666</v>
      </c>
      <c r="K2532" s="1" t="str">
        <f>IFERROR(__xludf.DUMMYFUNCTION("""COMPUTED_VALUE"""),"anthonycasantusan@gmail.com")</f>
        <v>anthonycasantusan@gmail.com</v>
      </c>
      <c r="L2532" s="1" t="str">
        <f>IFERROR(__xludf.DUMMYFUNCTION("""COMPUTED_VALUE"""),"6")</f>
        <v>6</v>
      </c>
      <c r="M2532" s="1" t="str">
        <f>IFERROR(__xludf.DUMMYFUNCTION("""COMPUTED_VALUE"""),"J RIZAL")</f>
        <v>J RIZAL</v>
      </c>
      <c r="N2532" s="1"/>
      <c r="O2532" s="1" t="str">
        <f>IFERROR(__xludf.DUMMYFUNCTION("""COMPUTED_VALUE"""),"SABUTAN")</f>
        <v>SABUTAN</v>
      </c>
      <c r="P2532" s="1" t="str">
        <f>IFERROR(__xludf.DUMMYFUNCTION("""COMPUTED_VALUE"""),"SILANG")</f>
        <v>SILANG</v>
      </c>
      <c r="Q2532" s="1" t="str">
        <f>IFERROR(__xludf.DUMMYFUNCTION("""COMPUTED_VALUE"""),"CAVITE")</f>
        <v>CAVITE</v>
      </c>
      <c r="R2532" s="1" t="str">
        <f>IFERROR(__xludf.DUMMYFUNCTION("""COMPUTED_VALUE"""),"FIBR NETFLIX PLAN 1599")</f>
        <v>FIBR NETFLIX PLAN 1599</v>
      </c>
      <c r="S2532" s="1" t="str">
        <f>IFERROR(__xludf.DUMMYFUNCTION("""COMPUTED_VALUE"""),"APPROVED")</f>
        <v>APPROVED</v>
      </c>
      <c r="T2532" s="1" t="str">
        <f>IFERROR(__xludf.DUMMYFUNCTION("""COMPUTED_VALUE"""),"RPR")</f>
        <v>RPR</v>
      </c>
      <c r="U2532" s="1" t="str">
        <f>IFERROR(__xludf.DUMMYFUNCTION("""COMPUTED_VALUE"""),"CREDIT VALIDATION")</f>
        <v>CREDIT VALIDATION</v>
      </c>
      <c r="V2532" s="1"/>
      <c r="W2532" s="1"/>
    </row>
    <row r="2533" customHeight="1" spans="1:23">
      <c r="A2533" s="3">
        <f>IFERROR(__xludf.DUMMYFUNCTION("""COMPUTED_VALUE"""),46223)</f>
        <v>46223</v>
      </c>
      <c r="B2533" s="1" t="str">
        <f>IFERROR(__xludf.DUMMYFUNCTION("""COMPUTED_VALUE"""),"ESCARCHA, MA ALMA  ESCOTO")</f>
        <v>ESCARCHA, MA ALMA  ESCOTO</v>
      </c>
      <c r="C2533" s="1" t="str">
        <f>IFERROR(__xludf.DUMMYFUNCTION("""COMPUTED_VALUE"""),"ORGANIC")</f>
        <v>ORGANIC</v>
      </c>
      <c r="D2533" s="1" t="str">
        <f>IFERROR(__xludf.DUMMYFUNCTION("""COMPUTED_VALUE"""),"REMOLLO LEA")</f>
        <v>REMOLLO LEA</v>
      </c>
      <c r="E2533" s="1" t="str">
        <f>IFERROR(__xludf.DUMMYFUNCTION("""COMPUTED_VALUE"""),"PLDT / H2H")</f>
        <v>PLDT / H2H</v>
      </c>
      <c r="F2533" s="1">
        <f>IFERROR(__xludf.DUMMYFUNCTION("""COMPUTED_VALUE"""),2311131499)</f>
        <v>2311131499</v>
      </c>
      <c r="G2533" s="1">
        <f>IFERROR(__xludf.DUMMYFUNCTION("""COMPUTED_VALUE"""),463354898004)</f>
        <v>463354898004</v>
      </c>
      <c r="H2533" s="1" t="str">
        <f>IFERROR(__xludf.DUMMYFUNCTION("""COMPUTED_VALUE"""),"WINNIE MALQUISTO BARTOLO")</f>
        <v>WINNIE MALQUISTO BARTOLO</v>
      </c>
      <c r="I2533" s="1">
        <f>IFERROR(__xludf.DUMMYFUNCTION("""COMPUTED_VALUE"""),9978731470)</f>
        <v>9978731470</v>
      </c>
      <c r="J2533" s="1"/>
      <c r="K2533" s="1" t="str">
        <f>IFERROR(__xludf.DUMMYFUNCTION("""COMPUTED_VALUE"""),"cayabyabflorence@gmail.com")</f>
        <v>cayabyabflorence@gmail.com</v>
      </c>
      <c r="L2533" s="1" t="str">
        <f>IFERROR(__xludf.DUMMYFUNCTION("""COMPUTED_VALUE"""),"007-BL-000")</f>
        <v>007-BL-000</v>
      </c>
      <c r="M2533" s="1" t="str">
        <f>IFERROR(__xludf.DUMMYFUNCTION("""COMPUTED_VALUE"""),"ERMITANYO")</f>
        <v>ERMITANYO</v>
      </c>
      <c r="N2533" s="1"/>
      <c r="O2533" s="1" t="str">
        <f>IFERROR(__xludf.DUMMYFUNCTION("""COMPUTED_VALUE"""),"SABUTAN")</f>
        <v>SABUTAN</v>
      </c>
      <c r="P2533" s="1" t="str">
        <f>IFERROR(__xludf.DUMMYFUNCTION("""COMPUTED_VALUE"""),"SILANG")</f>
        <v>SILANG</v>
      </c>
      <c r="Q2533" s="1" t="str">
        <f>IFERROR(__xludf.DUMMYFUNCTION("""COMPUTED_VALUE"""),"CAVITE")</f>
        <v>CAVITE</v>
      </c>
      <c r="R2533" s="1" t="str">
        <f>IFERROR(__xludf.DUMMYFUNCTION("""COMPUTED_VALUE"""),"FIBR UNLI ALL PLAN 999")</f>
        <v>FIBR UNLI ALL PLAN 999</v>
      </c>
      <c r="S2533" s="1" t="str">
        <f>IFERROR(__xludf.DUMMYFUNCTION("""COMPUTED_VALUE"""),"APPROVED")</f>
        <v>APPROVED</v>
      </c>
      <c r="T2533" s="1" t="str">
        <f>IFERROR(__xludf.DUMMYFUNCTION("""COMPUTED_VALUE"""),"CLOSED")</f>
        <v>CLOSED</v>
      </c>
      <c r="U2533" s="1" t="str">
        <f>IFERROR(__xludf.DUMMYFUNCTION("""COMPUTED_VALUE"""),"POSTED")</f>
        <v>POSTED</v>
      </c>
      <c r="V2533" s="1"/>
      <c r="W2533" s="1"/>
    </row>
    <row r="2534" customHeight="1" spans="1:23">
      <c r="A2534" s="3">
        <f>IFERROR(__xludf.DUMMYFUNCTION("""COMPUTED_VALUE"""),46223)</f>
        <v>46223</v>
      </c>
      <c r="B2534" s="1" t="str">
        <f>IFERROR(__xludf.DUMMYFUNCTION("""COMPUTED_VALUE"""),"ESCARCHA, MA ALMA  ESCOTO")</f>
        <v>ESCARCHA, MA ALMA  ESCOTO</v>
      </c>
      <c r="C2534" s="1" t="str">
        <f>IFERROR(__xludf.DUMMYFUNCTION("""COMPUTED_VALUE"""),"ORGANIC")</f>
        <v>ORGANIC</v>
      </c>
      <c r="D2534" s="1" t="str">
        <f>IFERROR(__xludf.DUMMYFUNCTION("""COMPUTED_VALUE"""),"REMOLLO LEA")</f>
        <v>REMOLLO LEA</v>
      </c>
      <c r="E2534" s="1" t="str">
        <f>IFERROR(__xludf.DUMMYFUNCTION("""COMPUTED_VALUE"""),"RED FIBER")</f>
        <v>RED FIBER</v>
      </c>
      <c r="F2534" s="1"/>
      <c r="G2534" s="1"/>
      <c r="H2534" s="1" t="str">
        <f>IFERROR(__xludf.DUMMYFUNCTION("""COMPUTED_VALUE"""),"CLARITA ESO CANIEZA")</f>
        <v>CLARITA ESO CANIEZA</v>
      </c>
      <c r="I2534" s="1">
        <f>IFERROR(__xludf.DUMMYFUNCTION("""COMPUTED_VALUE"""),9566008742)</f>
        <v>9566008742</v>
      </c>
      <c r="J2534" s="1"/>
      <c r="K2534" s="1" t="str">
        <f>IFERROR(__xludf.DUMMYFUNCTION("""COMPUTED_VALUE"""),"renatorevadulla25@gmail.com")</f>
        <v>renatorevadulla25@gmail.com</v>
      </c>
      <c r="L2534" s="1" t="str">
        <f>IFERROR(__xludf.DUMMYFUNCTION("""COMPUTED_VALUE"""),"BLK 5 LOT 1")</f>
        <v>BLK 5 LOT 1</v>
      </c>
      <c r="M2534" s="1" t="str">
        <f>IFERROR(__xludf.DUMMYFUNCTION("""COMPUTED_VALUE"""),"BUKLURAN 1")</f>
        <v>BUKLURAN 1</v>
      </c>
      <c r="N2534" s="1"/>
      <c r="O2534" s="1" t="str">
        <f>IFERROR(__xludf.DUMMYFUNCTION("""COMPUTED_VALUE"""),"BULIHAN")</f>
        <v>BULIHAN</v>
      </c>
      <c r="P2534" s="1" t="str">
        <f>IFERROR(__xludf.DUMMYFUNCTION("""COMPUTED_VALUE"""),"SILANG")</f>
        <v>SILANG</v>
      </c>
      <c r="Q2534" s="1" t="str">
        <f>IFERROR(__xludf.DUMMYFUNCTION("""COMPUTED_VALUE"""),"CAVITE")</f>
        <v>CAVITE</v>
      </c>
      <c r="R2534" s="1" t="str">
        <f>IFERROR(__xludf.DUMMYFUNCTION("""COMPUTED_VALUE"""),"RED PLAN 1000")</f>
        <v>RED PLAN 1000</v>
      </c>
      <c r="S2534" s="1" t="str">
        <f>IFERROR(__xludf.DUMMYFUNCTION("""COMPUTED_VALUE"""),"APPROVED")</f>
        <v>APPROVED</v>
      </c>
      <c r="T2534" s="1" t="str">
        <f>IFERROR(__xludf.DUMMYFUNCTION("""COMPUTED_VALUE"""),"#N/A")</f>
        <v>#N/A</v>
      </c>
      <c r="U2534" s="1"/>
      <c r="V2534" s="1"/>
      <c r="W2534" s="1"/>
    </row>
    <row r="2535" customHeight="1" spans="1:23">
      <c r="A2535" s="3">
        <f>IFERROR(__xludf.DUMMYFUNCTION("""COMPUTED_VALUE"""),46223)</f>
        <v>46223</v>
      </c>
      <c r="B2535" s="1" t="str">
        <f>IFERROR(__xludf.DUMMYFUNCTION("""COMPUTED_VALUE"""),"SAMPANG, JAYCEE")</f>
        <v>SAMPANG, JAYCEE</v>
      </c>
      <c r="C2535" s="1" t="str">
        <f>IFERROR(__xludf.DUMMYFUNCTION("""COMPUTED_VALUE"""),"ORGANIC")</f>
        <v>ORGANIC</v>
      </c>
      <c r="D2535" s="1" t="str">
        <f>IFERROR(__xludf.DUMMYFUNCTION("""COMPUTED_VALUE"""),"REMOLLO LEA")</f>
        <v>REMOLLO LEA</v>
      </c>
      <c r="E2535" s="1" t="str">
        <f>IFERROR(__xludf.DUMMYFUNCTION("""COMPUTED_VALUE"""),"RED FIBER")</f>
        <v>RED FIBER</v>
      </c>
      <c r="F2535" s="1"/>
      <c r="G2535" s="1"/>
      <c r="H2535" s="1" t="str">
        <f>IFERROR(__xludf.DUMMYFUNCTION("""COMPUTED_VALUE"""),"JAQUELENE RIMERATA CIRAJULES")</f>
        <v>JAQUELENE RIMERATA CIRAJULES</v>
      </c>
      <c r="I2535" s="1">
        <f>IFERROR(__xludf.DUMMYFUNCTION("""COMPUTED_VALUE"""),9938019119)</f>
        <v>9938019119</v>
      </c>
      <c r="J2535" s="1">
        <f>IFERROR(__xludf.DUMMYFUNCTION("""COMPUTED_VALUE"""),9396063488)</f>
        <v>9396063488</v>
      </c>
      <c r="K2535" s="1" t="str">
        <f>IFERROR(__xludf.DUMMYFUNCTION("""COMPUTED_VALUE"""),"jaqueleneja9900@gmail.com")</f>
        <v>jaqueleneja9900@gmail.com</v>
      </c>
      <c r="L2535" s="1" t="str">
        <f>IFERROR(__xludf.DUMMYFUNCTION("""COMPUTED_VALUE"""),"BLK 278 LOT 6")</f>
        <v>BLK 278 LOT 6</v>
      </c>
      <c r="M2535" s="1" t="str">
        <f>IFERROR(__xludf.DUMMYFUNCTION("""COMPUTED_VALUE"""),"ZONE 10")</f>
        <v>ZONE 10</v>
      </c>
      <c r="N2535" s="1"/>
      <c r="O2535" s="1" t="str">
        <f>IFERROR(__xludf.DUMMYFUNCTION("""COMPUTED_VALUE"""),"BULIHAN")</f>
        <v>BULIHAN</v>
      </c>
      <c r="P2535" s="1" t="str">
        <f>IFERROR(__xludf.DUMMYFUNCTION("""COMPUTED_VALUE"""),"SILANG")</f>
        <v>SILANG</v>
      </c>
      <c r="Q2535" s="1" t="str">
        <f>IFERROR(__xludf.DUMMYFUNCTION("""COMPUTED_VALUE"""),"CAVITE")</f>
        <v>CAVITE</v>
      </c>
      <c r="R2535" s="1" t="str">
        <f>IFERROR(__xludf.DUMMYFUNCTION("""COMPUTED_VALUE"""),"RED PLAN 1000")</f>
        <v>RED PLAN 1000</v>
      </c>
      <c r="S2535" s="1" t="str">
        <f>IFERROR(__xludf.DUMMYFUNCTION("""COMPUTED_VALUE"""),"APPROVED")</f>
        <v>APPROVED</v>
      </c>
      <c r="T2535" s="1" t="str">
        <f>IFERROR(__xludf.DUMMYFUNCTION("""COMPUTED_VALUE"""),"#N/A")</f>
        <v>#N/A</v>
      </c>
      <c r="U2535" s="1"/>
      <c r="V2535" s="1"/>
      <c r="W2535" s="1"/>
    </row>
    <row r="2536" customHeight="1" spans="1:23">
      <c r="A2536" s="3">
        <f>IFERROR(__xludf.DUMMYFUNCTION("""COMPUTED_VALUE"""),46224)</f>
        <v>46224</v>
      </c>
      <c r="B2536" s="1" t="str">
        <f>IFERROR(__xludf.DUMMYFUNCTION("""COMPUTED_VALUE"""),"AYON MANUEL")</f>
        <v>AYON MANUEL</v>
      </c>
      <c r="C2536" s="1" t="str">
        <f>IFERROR(__xludf.DUMMYFUNCTION("""COMPUTED_VALUE"""),"FLA")</f>
        <v>FLA</v>
      </c>
      <c r="D2536" s="1" t="str">
        <f>IFERROR(__xludf.DUMMYFUNCTION("""COMPUTED_VALUE"""),"JERIC NAVARRO")</f>
        <v>JERIC NAVARRO</v>
      </c>
      <c r="E2536" s="1" t="str">
        <f>IFERROR(__xludf.DUMMYFUNCTION("""COMPUTED_VALUE"""),"RED FIBER")</f>
        <v>RED FIBER</v>
      </c>
      <c r="F2536" s="1"/>
      <c r="G2536" s="1"/>
      <c r="H2536" s="1" t="str">
        <f>IFERROR(__xludf.DUMMYFUNCTION("""COMPUTED_VALUE"""),"JONNEL QUIRANTE PADERO")</f>
        <v>JONNEL QUIRANTE PADERO</v>
      </c>
      <c r="I2536" s="1">
        <f>IFERROR(__xludf.DUMMYFUNCTION("""COMPUTED_VALUE"""),9813818754)</f>
        <v>9813818754</v>
      </c>
      <c r="J2536" s="1">
        <f>IFERROR(__xludf.DUMMYFUNCTION("""COMPUTED_VALUE"""),9635739805)</f>
        <v>9635739805</v>
      </c>
      <c r="K2536" s="1" t="str">
        <f>IFERROR(__xludf.DUMMYFUNCTION("""COMPUTED_VALUE"""),"rexzerrodriguez5@gmail.com")</f>
        <v>rexzerrodriguez5@gmail.com</v>
      </c>
      <c r="L2536" s="1" t="str">
        <f>IFERROR(__xludf.DUMMYFUNCTION("""COMPUTED_VALUE"""),"9007")</f>
        <v>9007</v>
      </c>
      <c r="M2536" s="1" t="str">
        <f>IFERROR(__xludf.DUMMYFUNCTION("""COMPUTED_VALUE"""),"PUROK 3")</f>
        <v>PUROK 3</v>
      </c>
      <c r="N2536" s="1"/>
      <c r="O2536" s="1" t="str">
        <f>IFERROR(__xludf.DUMMYFUNCTION("""COMPUTED_VALUE"""),"BUHO")</f>
        <v>BUHO</v>
      </c>
      <c r="P2536" s="1" t="str">
        <f>IFERROR(__xludf.DUMMYFUNCTION("""COMPUTED_VALUE"""),"SILANG")</f>
        <v>SILANG</v>
      </c>
      <c r="Q2536" s="1" t="str">
        <f>IFERROR(__xludf.DUMMYFUNCTION("""COMPUTED_VALUE"""),"CAVITE")</f>
        <v>CAVITE</v>
      </c>
      <c r="R2536" s="1" t="str">
        <f>IFERROR(__xludf.DUMMYFUNCTION("""COMPUTED_VALUE"""),"RED PLAN 1000")</f>
        <v>RED PLAN 1000</v>
      </c>
      <c r="S2536" s="1" t="str">
        <f>IFERROR(__xludf.DUMMYFUNCTION("""COMPUTED_VALUE"""),"APPROVED")</f>
        <v>APPROVED</v>
      </c>
      <c r="T2536" s="1" t="str">
        <f>IFERROR(__xludf.DUMMYFUNCTION("""COMPUTED_VALUE"""),"#N/A")</f>
        <v>#N/A</v>
      </c>
      <c r="U2536" s="1"/>
      <c r="V2536" s="1"/>
      <c r="W2536" s="1"/>
    </row>
    <row r="2537" customHeight="1" spans="1:23">
      <c r="A2537" s="3">
        <f>IFERROR(__xludf.DUMMYFUNCTION("""COMPUTED_VALUE"""),46224)</f>
        <v>46224</v>
      </c>
      <c r="B2537" s="1" t="str">
        <f>IFERROR(__xludf.DUMMYFUNCTION("""COMPUTED_VALUE"""),"SAMPANG, JAYCEE")</f>
        <v>SAMPANG, JAYCEE</v>
      </c>
      <c r="C2537" s="1" t="str">
        <f>IFERROR(__xludf.DUMMYFUNCTION("""COMPUTED_VALUE"""),"ORGANIC")</f>
        <v>ORGANIC</v>
      </c>
      <c r="D2537" s="1" t="str">
        <f>IFERROR(__xludf.DUMMYFUNCTION("""COMPUTED_VALUE"""),"REMOLLO LEA")</f>
        <v>REMOLLO LEA</v>
      </c>
      <c r="E2537" s="1" t="str">
        <f>IFERROR(__xludf.DUMMYFUNCTION("""COMPUTED_VALUE"""),"PLDT / ONLINE")</f>
        <v>PLDT / ONLINE</v>
      </c>
      <c r="F2537" s="1">
        <f>IFERROR(__xludf.DUMMYFUNCTION("""COMPUTED_VALUE"""),2311151833)</f>
        <v>2311151833</v>
      </c>
      <c r="G2537" s="1">
        <f>IFERROR(__xludf.DUMMYFUNCTION("""COMPUTED_VALUE"""),463495944004)</f>
        <v>463495944004</v>
      </c>
      <c r="H2537" s="1" t="str">
        <f>IFERROR(__xludf.DUMMYFUNCTION("""COMPUTED_VALUE"""),"CELINE ALLIAH TABUENA BAUTISTA")</f>
        <v>CELINE ALLIAH TABUENA BAUTISTA</v>
      </c>
      <c r="I2537" s="1">
        <f>IFERROR(__xludf.DUMMYFUNCTION("""COMPUTED_VALUE"""),9931621879)</f>
        <v>9931621879</v>
      </c>
      <c r="J2537" s="1">
        <f>IFERROR(__xludf.DUMMYFUNCTION("""COMPUTED_VALUE"""),9386039309)</f>
        <v>9386039309</v>
      </c>
      <c r="K2537" s="1" t="str">
        <f>IFERROR(__xludf.DUMMYFUNCTION("""COMPUTED_VALUE"""),"celinealiahbautista@gmail.com")</f>
        <v>celinealiahbautista@gmail.com</v>
      </c>
      <c r="L2537" s="1" t="str">
        <f>IFERROR(__xludf.DUMMYFUNCTION("""COMPUTED_VALUE"""),"BLK 9B LOT 38")</f>
        <v>BLK 9B LOT 38</v>
      </c>
      <c r="M2537" s="1" t="str">
        <f>IFERROR(__xludf.DUMMYFUNCTION("""COMPUTED_VALUE"""),"REGIDOR ")</f>
        <v>REGIDOR </v>
      </c>
      <c r="N2537" s="1"/>
      <c r="O2537" s="1" t="str">
        <f>IFERROR(__xludf.DUMMYFUNCTION("""COMPUTED_VALUE"""),"SAN JOSE")</f>
        <v>SAN JOSE</v>
      </c>
      <c r="P2537" s="1" t="str">
        <f>IFERROR(__xludf.DUMMYFUNCTION("""COMPUTED_VALUE"""),"GEN MARIANO ALVAREZ")</f>
        <v>GEN MARIANO ALVAREZ</v>
      </c>
      <c r="Q2537" s="1" t="str">
        <f>IFERROR(__xludf.DUMMYFUNCTION("""COMPUTED_VALUE"""),"CAVITE")</f>
        <v>CAVITE</v>
      </c>
      <c r="R2537" s="1" t="str">
        <f>IFERROR(__xludf.DUMMYFUNCTION("""COMPUTED_VALUE"""),"FIBR UNLI ALL PLAN 999")</f>
        <v>FIBR UNLI ALL PLAN 999</v>
      </c>
      <c r="S2537" s="1" t="str">
        <f>IFERROR(__xludf.DUMMYFUNCTION("""COMPUTED_VALUE"""),"APPROVED")</f>
        <v>APPROVED</v>
      </c>
      <c r="T2537" s="1" t="str">
        <f>IFERROR(__xludf.DUMMYFUNCTION("""COMPUTED_VALUE"""),"CLOSED")</f>
        <v>CLOSED</v>
      </c>
      <c r="U2537" s="1" t="str">
        <f>IFERROR(__xludf.DUMMYFUNCTION("""COMPUTED_VALUE"""),"POSTED")</f>
        <v>POSTED</v>
      </c>
      <c r="V2537" s="1"/>
      <c r="W2537" s="1"/>
    </row>
    <row r="2538" customHeight="1" spans="1:23">
      <c r="A2538" s="3">
        <f>IFERROR(__xludf.DUMMYFUNCTION("""COMPUTED_VALUE"""),46224)</f>
        <v>46224</v>
      </c>
      <c r="B2538" s="1" t="str">
        <f>IFERROR(__xludf.DUMMYFUNCTION("""COMPUTED_VALUE"""),"FRANCISCO , ROSELYN")</f>
        <v>FRANCISCO , ROSELYN</v>
      </c>
      <c r="C2538" s="1" t="str">
        <f>IFERROR(__xludf.DUMMYFUNCTION("""COMPUTED_VALUE"""),"ORGANIC")</f>
        <v>ORGANIC</v>
      </c>
      <c r="D2538" s="1" t="str">
        <f>IFERROR(__xludf.DUMMYFUNCTION("""COMPUTED_VALUE"""),"REMOLLO LEA")</f>
        <v>REMOLLO LEA</v>
      </c>
      <c r="E2538" s="1" t="str">
        <f>IFERROR(__xludf.DUMMYFUNCTION("""COMPUTED_VALUE"""),"PLDT / ONLINE")</f>
        <v>PLDT / ONLINE</v>
      </c>
      <c r="F2538" s="1">
        <f>IFERROR(__xludf.DUMMYFUNCTION("""COMPUTED_VALUE"""),2311150188)</f>
        <v>2311150188</v>
      </c>
      <c r="G2538" s="1"/>
      <c r="H2538" s="1" t="str">
        <f>IFERROR(__xludf.DUMMYFUNCTION("""COMPUTED_VALUE"""),"JENYLYN ANONUEVO SANCHEZ")</f>
        <v>JENYLYN ANONUEVO SANCHEZ</v>
      </c>
      <c r="I2538" s="1">
        <f>IFERROR(__xludf.DUMMYFUNCTION("""COMPUTED_VALUE"""),9305459250)</f>
        <v>9305459250</v>
      </c>
      <c r="J2538" s="1"/>
      <c r="K2538" s="1" t="str">
        <f>IFERROR(__xludf.DUMMYFUNCTION("""COMPUTED_VALUE"""),"jenylynsanchez120991@yahoo.com")</f>
        <v>jenylynsanchez120991@yahoo.com</v>
      </c>
      <c r="L2538" s="1" t="str">
        <f>IFERROR(__xludf.DUMMYFUNCTION("""COMPUTED_VALUE"""),"584")</f>
        <v>584</v>
      </c>
      <c r="M2538" s="1" t="str">
        <f>IFERROR(__xludf.DUMMYFUNCTION("""COMPUTED_VALUE"""),"PUROK 1")</f>
        <v>PUROK 1</v>
      </c>
      <c r="N2538" s="1"/>
      <c r="O2538" s="1" t="str">
        <f>IFERROR(__xludf.DUMMYFUNCTION("""COMPUTED_VALUE"""),"AMUYONG")</f>
        <v>AMUYONG</v>
      </c>
      <c r="P2538" s="1" t="str">
        <f>IFERROR(__xludf.DUMMYFUNCTION("""COMPUTED_VALUE"""),"ALFONSO")</f>
        <v>ALFONSO</v>
      </c>
      <c r="Q2538" s="1" t="str">
        <f>IFERROR(__xludf.DUMMYFUNCTION("""COMPUTED_VALUE"""),"CAVITE")</f>
        <v>CAVITE</v>
      </c>
      <c r="R2538" s="1" t="str">
        <f>IFERROR(__xludf.DUMMYFUNCTION("""COMPUTED_VALUE"""),"FIBR UNLI ALL PLAN 999")</f>
        <v>FIBR UNLI ALL PLAN 999</v>
      </c>
      <c r="S2538" s="1" t="str">
        <f>IFERROR(__xludf.DUMMYFUNCTION("""COMPUTED_VALUE"""),"APPROVED")</f>
        <v>APPROVED</v>
      </c>
      <c r="T2538" s="1" t="str">
        <f>IFERROR(__xludf.DUMMYFUNCTION("""COMPUTED_VALUE"""),"CANCELLED")</f>
        <v>CANCELLED</v>
      </c>
      <c r="U2538" s="1"/>
      <c r="V2538" s="1"/>
      <c r="W2538" s="1"/>
    </row>
    <row r="2539" customHeight="1" spans="1:23">
      <c r="A2539" s="3">
        <f>IFERROR(__xludf.DUMMYFUNCTION("""COMPUTED_VALUE"""),46224)</f>
        <v>46224</v>
      </c>
      <c r="B2539" s="1" t="str">
        <f>IFERROR(__xludf.DUMMYFUNCTION("""COMPUTED_VALUE"""),"MALIWAT MARK ELVIN")</f>
        <v>MALIWAT MARK ELVIN</v>
      </c>
      <c r="C2539" s="1" t="str">
        <f>IFERROR(__xludf.DUMMYFUNCTION("""COMPUTED_VALUE"""),"FLA")</f>
        <v>FLA</v>
      </c>
      <c r="D2539" s="1" t="str">
        <f>IFERROR(__xludf.DUMMYFUNCTION("""COMPUTED_VALUE"""),"JERIC NAVARRO")</f>
        <v>JERIC NAVARRO</v>
      </c>
      <c r="E2539" s="1" t="str">
        <f>IFERROR(__xludf.DUMMYFUNCTION("""COMPUTED_VALUE"""),"PLDT / ONLINE")</f>
        <v>PLDT / ONLINE</v>
      </c>
      <c r="F2539" s="1">
        <f>IFERROR(__xludf.DUMMYFUNCTION("""COMPUTED_VALUE"""),2311149805)</f>
        <v>2311149805</v>
      </c>
      <c r="G2539" s="1">
        <f>IFERROR(__xludf.DUMMYFUNCTION("""COMPUTED_VALUE"""),463498385004)</f>
        <v>463498385004</v>
      </c>
      <c r="H2539" s="1" t="str">
        <f>IFERROR(__xludf.DUMMYFUNCTION("""COMPUTED_VALUE"""),"EMERSON PRUDANTE BLANCAFLOR")</f>
        <v>EMERSON PRUDANTE BLANCAFLOR</v>
      </c>
      <c r="I2539" s="1">
        <f>IFERROR(__xludf.DUMMYFUNCTION("""COMPUTED_VALUE"""),9604435219)</f>
        <v>9604435219</v>
      </c>
      <c r="J2539" s="1">
        <f>IFERROR(__xludf.DUMMYFUNCTION("""COMPUTED_VALUE"""),9494522699)</f>
        <v>9494522699</v>
      </c>
      <c r="K2539" s="1" t="str">
        <f>IFERROR(__xludf.DUMMYFUNCTION("""COMPUTED_VALUE"""),"emsrson.blancaflor18@gmail.com")</f>
        <v>emsrson.blancaflor18@gmail.com</v>
      </c>
      <c r="L2539" s="1" t="str">
        <f>IFERROR(__xludf.DUMMYFUNCTION("""COMPUTED_VALUE"""),"BLK 11 LOT 26")</f>
        <v>BLK 11 LOT 26</v>
      </c>
      <c r="M2539" s="1" t="str">
        <f>IFERROR(__xludf.DUMMYFUNCTION("""COMPUTED_VALUE"""),"OWL")</f>
        <v>OWL</v>
      </c>
      <c r="N2539" s="1" t="str">
        <f>IFERROR(__xludf.DUMMYFUNCTION("""COMPUTED_VALUE"""),"TIERRA VISTA")</f>
        <v>TIERRA VISTA</v>
      </c>
      <c r="O2539" s="1" t="str">
        <f>IFERROR(__xludf.DUMMYFUNCTION("""COMPUTED_VALUE"""),"LANGKAAN I")</f>
        <v>LANGKAAN I</v>
      </c>
      <c r="P2539" s="1" t="str">
        <f>IFERROR(__xludf.DUMMYFUNCTION("""COMPUTED_VALUE"""),"DASMARINAS")</f>
        <v>DASMARINAS</v>
      </c>
      <c r="Q2539" s="1" t="str">
        <f>IFERROR(__xludf.DUMMYFUNCTION("""COMPUTED_VALUE"""),"CAVITE")</f>
        <v>CAVITE</v>
      </c>
      <c r="R2539" s="1" t="str">
        <f>IFERROR(__xludf.DUMMYFUNCTION("""COMPUTED_VALUE"""),"FIBR PLAN 1699")</f>
        <v>FIBR PLAN 1699</v>
      </c>
      <c r="S2539" s="1" t="str">
        <f>IFERROR(__xludf.DUMMYFUNCTION("""COMPUTED_VALUE"""),"APPROVED")</f>
        <v>APPROVED</v>
      </c>
      <c r="T2539" s="1" t="str">
        <f>IFERROR(__xludf.DUMMYFUNCTION("""COMPUTED_VALUE"""),"CLOSED")</f>
        <v>CLOSED</v>
      </c>
      <c r="U2539" s="1" t="str">
        <f>IFERROR(__xludf.DUMMYFUNCTION("""COMPUTED_VALUE"""),"POSTED")</f>
        <v>POSTED</v>
      </c>
      <c r="V2539" s="1"/>
      <c r="W2539" s="1"/>
    </row>
    <row r="2540" customHeight="1" spans="1:23">
      <c r="A2540" s="3">
        <f>IFERROR(__xludf.DUMMYFUNCTION("""COMPUTED_VALUE"""),46224)</f>
        <v>46224</v>
      </c>
      <c r="B2540" s="1" t="str">
        <f>IFERROR(__xludf.DUMMYFUNCTION("""COMPUTED_VALUE"""),"OPS SIR BETZ")</f>
        <v>OPS SIR BETZ</v>
      </c>
      <c r="C2540" s="1" t="str">
        <f>IFERROR(__xludf.DUMMYFUNCTION("""COMPUTED_VALUE"""),"LEADSTORE")</f>
        <v>LEADSTORE</v>
      </c>
      <c r="D2540" s="1" t="str">
        <f>IFERROR(__xludf.DUMMYFUNCTION("""COMPUTED_VALUE"""),"JERIC NAVARRO")</f>
        <v>JERIC NAVARRO</v>
      </c>
      <c r="E2540" s="1" t="str">
        <f>IFERROR(__xludf.DUMMYFUNCTION("""COMPUTED_VALUE"""),"PLDT / ONLINE")</f>
        <v>PLDT / ONLINE</v>
      </c>
      <c r="F2540" s="1">
        <f>IFERROR(__xludf.DUMMYFUNCTION("""COMPUTED_VALUE"""),2311143727)</f>
        <v>2311143727</v>
      </c>
      <c r="G2540" s="1">
        <f>IFERROR(__xludf.DUMMYFUNCTION("""COMPUTED_VALUE"""),463437398004)</f>
        <v>463437398004</v>
      </c>
      <c r="H2540" s="1" t="str">
        <f>IFERROR(__xludf.DUMMYFUNCTION("""COMPUTED_VALUE"""),"MARK WENCIE GUIAO VILLESTAS")</f>
        <v>MARK WENCIE GUIAO VILLESTAS</v>
      </c>
      <c r="I2540" s="1">
        <f>IFERROR(__xludf.DUMMYFUNCTION("""COMPUTED_VALUE"""),9164300910)</f>
        <v>9164300910</v>
      </c>
      <c r="J2540" s="1"/>
      <c r="K2540" s="1" t="str">
        <f>IFERROR(__xludf.DUMMYFUNCTION("""COMPUTED_VALUE"""),"wencievillestas07@gamil.com")</f>
        <v>wencievillestas07@gamil.com</v>
      </c>
      <c r="L2540" s="1" t="str">
        <f>IFERROR(__xludf.DUMMYFUNCTION("""COMPUTED_VALUE"""),"210")</f>
        <v>210</v>
      </c>
      <c r="M2540" s="1" t="str">
        <f>IFERROR(__xludf.DUMMYFUNCTION("""COMPUTED_VALUE"""),"2ND FLOOR")</f>
        <v>2ND FLOOR</v>
      </c>
      <c r="N2540" s="1"/>
      <c r="O2540" s="1" t="str">
        <f>IFERROR(__xludf.DUMMYFUNCTION("""COMPUTED_VALUE"""),"BUCAL")</f>
        <v>BUCAL</v>
      </c>
      <c r="P2540" s="1" t="str">
        <f>IFERROR(__xludf.DUMMYFUNCTION("""COMPUTED_VALUE"""),"TANZA")</f>
        <v>TANZA</v>
      </c>
      <c r="Q2540" s="1" t="str">
        <f>IFERROR(__xludf.DUMMYFUNCTION("""COMPUTED_VALUE"""),"CAVITE")</f>
        <v>CAVITE</v>
      </c>
      <c r="R2540" s="1" t="str">
        <f>IFERROR(__xludf.DUMMYFUNCTION("""COMPUTED_VALUE"""),"FIBR PLAN 1299")</f>
        <v>FIBR PLAN 1299</v>
      </c>
      <c r="S2540" s="1" t="str">
        <f>IFERROR(__xludf.DUMMYFUNCTION("""COMPUTED_VALUE"""),"APPROVED")</f>
        <v>APPROVED</v>
      </c>
      <c r="T2540" s="1" t="str">
        <f>IFERROR(__xludf.DUMMYFUNCTION("""COMPUTED_VALUE"""),"CLOSED")</f>
        <v>CLOSED</v>
      </c>
      <c r="U2540" s="1" t="str">
        <f>IFERROR(__xludf.DUMMYFUNCTION("""COMPUTED_VALUE"""),"POSTED")</f>
        <v>POSTED</v>
      </c>
      <c r="V2540" s="1"/>
      <c r="W2540" s="1"/>
    </row>
    <row r="2541" customHeight="1" spans="1:23">
      <c r="A2541" s="3">
        <f>IFERROR(__xludf.DUMMYFUNCTION("""COMPUTED_VALUE"""),46224)</f>
        <v>46224</v>
      </c>
      <c r="B2541" s="1" t="str">
        <f>IFERROR(__xludf.DUMMYFUNCTION("""COMPUTED_VALUE"""),"MALIWAT MARK ELVIN")</f>
        <v>MALIWAT MARK ELVIN</v>
      </c>
      <c r="C2541" s="1" t="str">
        <f>IFERROR(__xludf.DUMMYFUNCTION("""COMPUTED_VALUE"""),"FLA")</f>
        <v>FLA</v>
      </c>
      <c r="D2541" s="1" t="str">
        <f>IFERROR(__xludf.DUMMYFUNCTION("""COMPUTED_VALUE"""),"JERIC NAVARRO")</f>
        <v>JERIC NAVARRO</v>
      </c>
      <c r="E2541" s="1" t="str">
        <f>IFERROR(__xludf.DUMMYFUNCTION("""COMPUTED_VALUE"""),"PLDT / ONLINE")</f>
        <v>PLDT / ONLINE</v>
      </c>
      <c r="F2541" s="1">
        <f>IFERROR(__xludf.DUMMYFUNCTION("""COMPUTED_VALUE"""),2311153117)</f>
        <v>2311153117</v>
      </c>
      <c r="G2541" s="1">
        <f>IFERROR(__xludf.DUMMYFUNCTION("""COMPUTED_VALUE"""),463497651004)</f>
        <v>463497651004</v>
      </c>
      <c r="H2541" s="1" t="str">
        <f>IFERROR(__xludf.DUMMYFUNCTION("""COMPUTED_VALUE"""),"CRYSTAL JOY AGUSTIN ROSANO")</f>
        <v>CRYSTAL JOY AGUSTIN ROSANO</v>
      </c>
      <c r="I2541" s="1">
        <f>IFERROR(__xludf.DUMMYFUNCTION("""COMPUTED_VALUE"""),9972447657)</f>
        <v>9972447657</v>
      </c>
      <c r="J2541" s="1">
        <f>IFERROR(__xludf.DUMMYFUNCTION("""COMPUTED_VALUE"""),9195994214)</f>
        <v>9195994214</v>
      </c>
      <c r="K2541" s="1" t="str">
        <f>IFERROR(__xludf.DUMMYFUNCTION("""COMPUTED_VALUE"""),"crystalrosano48@gmail.com")</f>
        <v>crystalrosano48@gmail.com</v>
      </c>
      <c r="L2541" s="1" t="str">
        <f>IFERROR(__xludf.DUMMYFUNCTION("""COMPUTED_VALUE"""),"47")</f>
        <v>47</v>
      </c>
      <c r="M2541" s="1" t="str">
        <f>IFERROR(__xludf.DUMMYFUNCTION("""COMPUTED_VALUE"""),"RIZAL")</f>
        <v>RIZAL</v>
      </c>
      <c r="N2541" s="1"/>
      <c r="O2541" s="1" t="str">
        <f>IFERROR(__xludf.DUMMYFUNCTION("""COMPUTED_VALUE"""),"SIKAT")</f>
        <v>SIKAT</v>
      </c>
      <c r="P2541" s="1" t="str">
        <f>IFERROR(__xludf.DUMMYFUNCTION("""COMPUTED_VALUE"""),"ALFONSO")</f>
        <v>ALFONSO</v>
      </c>
      <c r="Q2541" s="1" t="str">
        <f>IFERROR(__xludf.DUMMYFUNCTION("""COMPUTED_VALUE"""),"CAVITE")</f>
        <v>CAVITE</v>
      </c>
      <c r="R2541" s="1" t="str">
        <f>IFERROR(__xludf.DUMMYFUNCTION("""COMPUTED_VALUE"""),"FIBR UNLI ALL PLAN 999")</f>
        <v>FIBR UNLI ALL PLAN 999</v>
      </c>
      <c r="S2541" s="1" t="str">
        <f>IFERROR(__xludf.DUMMYFUNCTION("""COMPUTED_VALUE"""),"APPROVED")</f>
        <v>APPROVED</v>
      </c>
      <c r="T2541" s="1" t="str">
        <f>IFERROR(__xludf.DUMMYFUNCTION("""COMPUTED_VALUE"""),"CLOSED")</f>
        <v>CLOSED</v>
      </c>
      <c r="U2541" s="1" t="str">
        <f>IFERROR(__xludf.DUMMYFUNCTION("""COMPUTED_VALUE"""),"POSTED")</f>
        <v>POSTED</v>
      </c>
      <c r="V2541" s="1"/>
      <c r="W2541" s="1"/>
    </row>
    <row r="2542" customHeight="1" spans="1:23">
      <c r="A2542" s="3">
        <f>IFERROR(__xludf.DUMMYFUNCTION("""COMPUTED_VALUE"""),46224)</f>
        <v>46224</v>
      </c>
      <c r="B2542" s="1" t="str">
        <f>IFERROR(__xludf.DUMMYFUNCTION("""COMPUTED_VALUE"""),"FRANCISCO , ROSELYN")</f>
        <v>FRANCISCO , ROSELYN</v>
      </c>
      <c r="C2542" s="1" t="str">
        <f>IFERROR(__xludf.DUMMYFUNCTION("""COMPUTED_VALUE"""),"ORGANIC")</f>
        <v>ORGANIC</v>
      </c>
      <c r="D2542" s="1" t="str">
        <f>IFERROR(__xludf.DUMMYFUNCTION("""COMPUTED_VALUE"""),"REMOLLO LEA")</f>
        <v>REMOLLO LEA</v>
      </c>
      <c r="E2542" s="1" t="str">
        <f>IFERROR(__xludf.DUMMYFUNCTION("""COMPUTED_VALUE"""),"PLDT / ONLINE")</f>
        <v>PLDT / ONLINE</v>
      </c>
      <c r="F2542" s="1">
        <f>IFERROR(__xludf.DUMMYFUNCTION("""COMPUTED_VALUE"""),2311144726)</f>
        <v>2311144726</v>
      </c>
      <c r="G2542" s="1">
        <f>IFERROR(__xludf.DUMMYFUNCTION("""COMPUTED_VALUE"""),463481344004)</f>
        <v>463481344004</v>
      </c>
      <c r="H2542" s="1" t="str">
        <f>IFERROR(__xludf.DUMMYFUNCTION("""COMPUTED_VALUE"""),"GRACE ANN ISAREL MALABAYABAS")</f>
        <v>GRACE ANN ISAREL MALABAYABAS</v>
      </c>
      <c r="I2542" s="1">
        <f>IFERROR(__xludf.DUMMYFUNCTION("""COMPUTED_VALUE"""),9541842519)</f>
        <v>9541842519</v>
      </c>
      <c r="J2542" s="1"/>
      <c r="K2542" s="1" t="str">
        <f>IFERROR(__xludf.DUMMYFUNCTION("""COMPUTED_VALUE"""),"jggranitemarbles@gmail.com")</f>
        <v>jggranitemarbles@gmail.com</v>
      </c>
      <c r="L2542" s="1" t="str">
        <f>IFERROR(__xludf.DUMMYFUNCTION("""COMPUTED_VALUE"""),"BLK 55 LOT 10")</f>
        <v>BLK 55 LOT 10</v>
      </c>
      <c r="M2542" s="1" t="str">
        <f>IFERROR(__xludf.DUMMYFUNCTION("""COMPUTED_VALUE"""),"GOLDEN MILES")</f>
        <v>GOLDEN MILES</v>
      </c>
      <c r="N2542" s="1"/>
      <c r="O2542" s="1" t="str">
        <f>IFERROR(__xludf.DUMMYFUNCTION("""COMPUTED_VALUE"""),"SALAWAG")</f>
        <v>SALAWAG</v>
      </c>
      <c r="P2542" s="1" t="str">
        <f>IFERROR(__xludf.DUMMYFUNCTION("""COMPUTED_VALUE"""),"DASMARINAS")</f>
        <v>DASMARINAS</v>
      </c>
      <c r="Q2542" s="1" t="str">
        <f>IFERROR(__xludf.DUMMYFUNCTION("""COMPUTED_VALUE"""),"CAVITE")</f>
        <v>CAVITE</v>
      </c>
      <c r="R2542" s="1" t="str">
        <f>IFERROR(__xludf.DUMMYFUNCTION("""COMPUTED_VALUE"""),"FIBR PLAN 1299")</f>
        <v>FIBR PLAN 1299</v>
      </c>
      <c r="S2542" s="1" t="str">
        <f>IFERROR(__xludf.DUMMYFUNCTION("""COMPUTED_VALUE"""),"APPROVED")</f>
        <v>APPROVED</v>
      </c>
      <c r="T2542" s="1" t="str">
        <f>IFERROR(__xludf.DUMMYFUNCTION("""COMPUTED_VALUE"""),"CANCELLED")</f>
        <v>CANCELLED</v>
      </c>
      <c r="U2542" s="1"/>
      <c r="V2542" s="1"/>
      <c r="W2542" s="1"/>
    </row>
    <row r="2543" customHeight="1" spans="1:23">
      <c r="A2543" s="3">
        <f>IFERROR(__xludf.DUMMYFUNCTION("""COMPUTED_VALUE"""),46224)</f>
        <v>46224</v>
      </c>
      <c r="B2543" s="1" t="str">
        <f>IFERROR(__xludf.DUMMYFUNCTION("""COMPUTED_VALUE"""),"ESCARCHA, MA ALMA  ESCOTO")</f>
        <v>ESCARCHA, MA ALMA  ESCOTO</v>
      </c>
      <c r="C2543" s="1" t="str">
        <f>IFERROR(__xludf.DUMMYFUNCTION("""COMPUTED_VALUE"""),"ORGANIC")</f>
        <v>ORGANIC</v>
      </c>
      <c r="D2543" s="1" t="str">
        <f>IFERROR(__xludf.DUMMYFUNCTION("""COMPUTED_VALUE"""),"REMOLLO LEA")</f>
        <v>REMOLLO LEA</v>
      </c>
      <c r="E2543" s="1" t="str">
        <f>IFERROR(__xludf.DUMMYFUNCTION("""COMPUTED_VALUE"""),"PLDT / H2H")</f>
        <v>PLDT / H2H</v>
      </c>
      <c r="F2543" s="1">
        <f>IFERROR(__xludf.DUMMYFUNCTION("""COMPUTED_VALUE"""),2311146425)</f>
        <v>2311146425</v>
      </c>
      <c r="G2543" s="1">
        <f>IFERROR(__xludf.DUMMYFUNCTION("""COMPUTED_VALUE"""),463489637004)</f>
        <v>463489637004</v>
      </c>
      <c r="H2543" s="1" t="str">
        <f>IFERROR(__xludf.DUMMYFUNCTION("""COMPUTED_VALUE"""),"DEO FRANCIS ACENA DEGORIO")</f>
        <v>DEO FRANCIS ACENA DEGORIO</v>
      </c>
      <c r="I2543" s="1">
        <f>IFERROR(__xludf.DUMMYFUNCTION("""COMPUTED_VALUE"""),9094175193)</f>
        <v>9094175193</v>
      </c>
      <c r="J2543" s="1">
        <f>IFERROR(__xludf.DUMMYFUNCTION("""COMPUTED_VALUE"""),942122399)</f>
        <v>942122399</v>
      </c>
      <c r="K2543" s="1" t="str">
        <f>IFERROR(__xludf.DUMMYFUNCTION("""COMPUTED_VALUE"""),"stallionpaws@gmail.com")</f>
        <v>stallionpaws@gmail.com</v>
      </c>
      <c r="L2543" s="1" t="str">
        <f>IFERROR(__xludf.DUMMYFUNCTION("""COMPUTED_VALUE"""),"BLK 73 LOT 5")</f>
        <v>BLK 73 LOT 5</v>
      </c>
      <c r="M2543" s="1" t="str">
        <f>IFERROR(__xludf.DUMMYFUNCTION("""COMPUTED_VALUE"""),"ZONE 5")</f>
        <v>ZONE 5</v>
      </c>
      <c r="N2543" s="1"/>
      <c r="O2543" s="1" t="str">
        <f>IFERROR(__xludf.DUMMYFUNCTION("""COMPUTED_VALUE"""),"BULIHAN")</f>
        <v>BULIHAN</v>
      </c>
      <c r="P2543" s="1" t="str">
        <f>IFERROR(__xludf.DUMMYFUNCTION("""COMPUTED_VALUE"""),"SILANG")</f>
        <v>SILANG</v>
      </c>
      <c r="Q2543" s="1" t="str">
        <f>IFERROR(__xludf.DUMMYFUNCTION("""COMPUTED_VALUE"""),"CAVITE")</f>
        <v>CAVITE</v>
      </c>
      <c r="R2543" s="1" t="str">
        <f>IFERROR(__xludf.DUMMYFUNCTION("""COMPUTED_VALUE"""),"FIBR UNLI ALL PLAN 999")</f>
        <v>FIBR UNLI ALL PLAN 999</v>
      </c>
      <c r="S2543" s="1" t="str">
        <f>IFERROR(__xludf.DUMMYFUNCTION("""COMPUTED_VALUE"""),"APPROVED")</f>
        <v>APPROVED</v>
      </c>
      <c r="T2543" s="1" t="str">
        <f>IFERROR(__xludf.DUMMYFUNCTION("""COMPUTED_VALUE"""),"CLOSED")</f>
        <v>CLOSED</v>
      </c>
      <c r="U2543" s="1" t="str">
        <f>IFERROR(__xludf.DUMMYFUNCTION("""COMPUTED_VALUE"""),"POSTED")</f>
        <v>POSTED</v>
      </c>
      <c r="V2543" s="1"/>
      <c r="W2543" s="1"/>
    </row>
    <row r="2544" customHeight="1" spans="1:23">
      <c r="A2544" s="3">
        <f>IFERROR(__xludf.DUMMYFUNCTION("""COMPUTED_VALUE"""),46224)</f>
        <v>46224</v>
      </c>
      <c r="B2544" s="1" t="str">
        <f>IFERROR(__xludf.DUMMYFUNCTION("""COMPUTED_VALUE"""),"AYON MANUEL")</f>
        <v>AYON MANUEL</v>
      </c>
      <c r="C2544" s="1" t="str">
        <f>IFERROR(__xludf.DUMMYFUNCTION("""COMPUTED_VALUE"""),"FLA")</f>
        <v>FLA</v>
      </c>
      <c r="D2544" s="1" t="str">
        <f>IFERROR(__xludf.DUMMYFUNCTION("""COMPUTED_VALUE"""),"JERIC NAVARRO")</f>
        <v>JERIC NAVARRO</v>
      </c>
      <c r="E2544" s="1" t="str">
        <f>IFERROR(__xludf.DUMMYFUNCTION("""COMPUTED_VALUE"""),"PLDT / ONLINE")</f>
        <v>PLDT / ONLINE</v>
      </c>
      <c r="F2544" s="1">
        <f>IFERROR(__xludf.DUMMYFUNCTION("""COMPUTED_VALUE"""),2311154636)</f>
        <v>2311154636</v>
      </c>
      <c r="G2544" s="1">
        <f>IFERROR(__xludf.DUMMYFUNCTION("""COMPUTED_VALUE"""),463522953004)</f>
        <v>463522953004</v>
      </c>
      <c r="H2544" s="1" t="str">
        <f>IFERROR(__xludf.DUMMYFUNCTION("""COMPUTED_VALUE"""),"MARUFE IRENE LIMOS PIOL")</f>
        <v>MARUFE IRENE LIMOS PIOL</v>
      </c>
      <c r="I2544" s="1">
        <f>IFERROR(__xludf.DUMMYFUNCTION("""COMPUTED_VALUE"""),9173544034)</f>
        <v>9173544034</v>
      </c>
      <c r="J2544" s="1">
        <f>IFERROR(__xludf.DUMMYFUNCTION("""COMPUTED_VALUE"""),9278530718)</f>
        <v>9278530718</v>
      </c>
      <c r="K2544" s="1" t="str">
        <f>IFERROR(__xludf.DUMMYFUNCTION("""COMPUTED_VALUE"""),"faye_piol2003@yahoo.com")</f>
        <v>faye_piol2003@yahoo.com</v>
      </c>
      <c r="L2544" s="1" t="str">
        <f>IFERROR(__xludf.DUMMYFUNCTION("""COMPUTED_VALUE"""),"BLK 9 LOT 2")</f>
        <v>BLK 9 LOT 2</v>
      </c>
      <c r="M2544" s="1" t="str">
        <f>IFERROR(__xludf.DUMMYFUNCTION("""COMPUTED_VALUE"""),"PHASE 2")</f>
        <v>PHASE 2</v>
      </c>
      <c r="N2544" s="1" t="str">
        <f>IFERROR(__xludf.DUMMYFUNCTION("""COMPUTED_VALUE"""),"CANYON RANCH")</f>
        <v>CANYON RANCH</v>
      </c>
      <c r="O2544" s="1" t="str">
        <f>IFERROR(__xludf.DUMMYFUNCTION("""COMPUTED_VALUE"""),"LANTIC")</f>
        <v>LANTIC</v>
      </c>
      <c r="P2544" s="1" t="str">
        <f>IFERROR(__xludf.DUMMYFUNCTION("""COMPUTED_VALUE"""),"CARMONA")</f>
        <v>CARMONA</v>
      </c>
      <c r="Q2544" s="1" t="str">
        <f>IFERROR(__xludf.DUMMYFUNCTION("""COMPUTED_VALUE"""),"CAVITE")</f>
        <v>CAVITE</v>
      </c>
      <c r="R2544" s="1" t="str">
        <f>IFERROR(__xludf.DUMMYFUNCTION("""COMPUTED_VALUE"""),"FIBR PLAN 1299")</f>
        <v>FIBR PLAN 1299</v>
      </c>
      <c r="S2544" s="1" t="str">
        <f>IFERROR(__xludf.DUMMYFUNCTION("""COMPUTED_VALUE"""),"APPROVED")</f>
        <v>APPROVED</v>
      </c>
      <c r="T2544" s="1" t="str">
        <f>IFERROR(__xludf.DUMMYFUNCTION("""COMPUTED_VALUE"""),"CLOSED")</f>
        <v>CLOSED</v>
      </c>
      <c r="U2544" s="1" t="str">
        <f>IFERROR(__xludf.DUMMYFUNCTION("""COMPUTED_VALUE"""),"POSTED")</f>
        <v>POSTED</v>
      </c>
      <c r="V2544" s="1"/>
      <c r="W2544" s="1"/>
    </row>
    <row r="2545" customHeight="1" spans="1:23">
      <c r="A2545" s="3">
        <f>IFERROR(__xludf.DUMMYFUNCTION("""COMPUTED_VALUE"""),46224)</f>
        <v>46224</v>
      </c>
      <c r="B2545" s="1" t="str">
        <f>IFERROR(__xludf.DUMMYFUNCTION("""COMPUTED_VALUE"""),"ESCARCHA, MA ALMA  ESCOTO")</f>
        <v>ESCARCHA, MA ALMA  ESCOTO</v>
      </c>
      <c r="C2545" s="1" t="str">
        <f>IFERROR(__xludf.DUMMYFUNCTION("""COMPUTED_VALUE"""),"ORGANIC")</f>
        <v>ORGANIC</v>
      </c>
      <c r="D2545" s="1" t="str">
        <f>IFERROR(__xludf.DUMMYFUNCTION("""COMPUTED_VALUE"""),"REMOLLO LEA")</f>
        <v>REMOLLO LEA</v>
      </c>
      <c r="E2545" s="1" t="str">
        <f>IFERROR(__xludf.DUMMYFUNCTION("""COMPUTED_VALUE"""),"PLDT / H2H")</f>
        <v>PLDT / H2H</v>
      </c>
      <c r="F2545" s="1">
        <f>IFERROR(__xludf.DUMMYFUNCTION("""COMPUTED_VALUE"""),2311158652)</f>
        <v>2311158652</v>
      </c>
      <c r="G2545" s="1">
        <f>IFERROR(__xludf.DUMMYFUNCTION("""COMPUTED_VALUE"""),463609255004)</f>
        <v>463609255004</v>
      </c>
      <c r="H2545" s="1" t="str">
        <f>IFERROR(__xludf.DUMMYFUNCTION("""COMPUTED_VALUE"""),"RONALD LOPEZ EDUAGAL")</f>
        <v>RONALD LOPEZ EDUAGAL</v>
      </c>
      <c r="I2545" s="1">
        <f>IFERROR(__xludf.DUMMYFUNCTION("""COMPUTED_VALUE"""),9352396204)</f>
        <v>9352396204</v>
      </c>
      <c r="J2545" s="1"/>
      <c r="K2545" s="1" t="str">
        <f>IFERROR(__xludf.DUMMYFUNCTION("""COMPUTED_VALUE"""),"krainbraindigital@gmail.com")</f>
        <v>krainbraindigital@gmail.com</v>
      </c>
      <c r="L2545" s="1" t="str">
        <f>IFERROR(__xludf.DUMMYFUNCTION("""COMPUTED_VALUE"""),"BLK 17 LOT 1")</f>
        <v>BLK 17 LOT 1</v>
      </c>
      <c r="M2545" s="1" t="str">
        <f>IFERROR(__xludf.DUMMYFUNCTION("""COMPUTED_VALUE"""),"PHASE 1A")</f>
        <v>PHASE 1A</v>
      </c>
      <c r="N2545" s="1"/>
      <c r="O2545" s="1" t="str">
        <f>IFERROR(__xludf.DUMMYFUNCTION("""COMPUTED_VALUE"""),"ACACIA")</f>
        <v>ACACIA</v>
      </c>
      <c r="P2545" s="1" t="str">
        <f>IFERROR(__xludf.DUMMYFUNCTION("""COMPUTED_VALUE"""),"SILANG")</f>
        <v>SILANG</v>
      </c>
      <c r="Q2545" s="1" t="str">
        <f>IFERROR(__xludf.DUMMYFUNCTION("""COMPUTED_VALUE"""),"CAVITE")</f>
        <v>CAVITE</v>
      </c>
      <c r="R2545" s="1" t="str">
        <f>IFERROR(__xludf.DUMMYFUNCTION("""COMPUTED_VALUE"""),"FIBR UNLI ALL PLAN 1499")</f>
        <v>FIBR UNLI ALL PLAN 1499</v>
      </c>
      <c r="S2545" s="1" t="str">
        <f>IFERROR(__xludf.DUMMYFUNCTION("""COMPUTED_VALUE"""),"APPROVED")</f>
        <v>APPROVED</v>
      </c>
      <c r="T2545" s="1" t="str">
        <f>IFERROR(__xludf.DUMMYFUNCTION("""COMPUTED_VALUE"""),"CLOSED")</f>
        <v>CLOSED</v>
      </c>
      <c r="U2545" s="1" t="str">
        <f>IFERROR(__xludf.DUMMYFUNCTION("""COMPUTED_VALUE"""),"POSTED")</f>
        <v>POSTED</v>
      </c>
      <c r="V2545" s="1"/>
      <c r="W2545" s="1"/>
    </row>
    <row r="2546" customHeight="1" spans="1:23">
      <c r="A2546" s="3">
        <f>IFERROR(__xludf.DUMMYFUNCTION("""COMPUTED_VALUE"""),46225)</f>
        <v>46225</v>
      </c>
      <c r="B2546" s="1" t="str">
        <f>IFERROR(__xludf.DUMMYFUNCTION("""COMPUTED_VALUE"""),"MALIWAT MARK ELVIN")</f>
        <v>MALIWAT MARK ELVIN</v>
      </c>
      <c r="C2546" s="1" t="str">
        <f>IFERROR(__xludf.DUMMYFUNCTION("""COMPUTED_VALUE"""),"FLA")</f>
        <v>FLA</v>
      </c>
      <c r="D2546" s="1" t="str">
        <f>IFERROR(__xludf.DUMMYFUNCTION("""COMPUTED_VALUE"""),"JERIC NAVARRO")</f>
        <v>JERIC NAVARRO</v>
      </c>
      <c r="E2546" s="1" t="str">
        <f>IFERROR(__xludf.DUMMYFUNCTION("""COMPUTED_VALUE"""),"PLDT / ONLINE")</f>
        <v>PLDT / ONLINE</v>
      </c>
      <c r="F2546" s="1">
        <f>IFERROR(__xludf.DUMMYFUNCTION("""COMPUTED_VALUE"""),2311175258)</f>
        <v>2311175258</v>
      </c>
      <c r="G2546" s="1">
        <f>IFERROR(__xludf.DUMMYFUNCTION("""COMPUTED_VALUE"""),463615448004)</f>
        <v>463615448004</v>
      </c>
      <c r="H2546" s="1" t="str">
        <f>IFERROR(__xludf.DUMMYFUNCTION("""COMPUTED_VALUE"""),"JOANA MARIE EVANGELISTA AZARES")</f>
        <v>JOANA MARIE EVANGELISTA AZARES</v>
      </c>
      <c r="I2546" s="1">
        <f>IFERROR(__xludf.DUMMYFUNCTION("""COMPUTED_VALUE"""),9479853492)</f>
        <v>9479853492</v>
      </c>
      <c r="J2546" s="1"/>
      <c r="K2546" s="1" t="str">
        <f>IFERROR(__xludf.DUMMYFUNCTION("""COMPUTED_VALUE"""),"azaresjoana@gmail.com")</f>
        <v>azaresjoana@gmail.com</v>
      </c>
      <c r="L2546" s="1" t="str">
        <f>IFERROR(__xludf.DUMMYFUNCTION("""COMPUTED_VALUE"""),"BLK 48 LOT 6")</f>
        <v>BLK 48 LOT 6</v>
      </c>
      <c r="M2546" s="1" t="str">
        <f>IFERROR(__xludf.DUMMYFUNCTION("""COMPUTED_VALUE"""),"PLATINUM ST")</f>
        <v>PLATINUM ST</v>
      </c>
      <c r="N2546" s="1"/>
      <c r="O2546" s="1" t="str">
        <f>IFERROR(__xludf.DUMMYFUNCTION("""COMPUTED_VALUE"""),"SAN NICOLAS III")</f>
        <v>SAN NICOLAS III</v>
      </c>
      <c r="P2546" s="1" t="str">
        <f>IFERROR(__xludf.DUMMYFUNCTION("""COMPUTED_VALUE"""),"BACOOR")</f>
        <v>BACOOR</v>
      </c>
      <c r="Q2546" s="1" t="str">
        <f>IFERROR(__xludf.DUMMYFUNCTION("""COMPUTED_VALUE"""),"CAVITE")</f>
        <v>CAVITE</v>
      </c>
      <c r="R2546" s="1" t="str">
        <f>IFERROR(__xludf.DUMMYFUNCTION("""COMPUTED_VALUE"""),"FIBR PLAN 1299")</f>
        <v>FIBR PLAN 1299</v>
      </c>
      <c r="S2546" s="1" t="str">
        <f>IFERROR(__xludf.DUMMYFUNCTION("""COMPUTED_VALUE"""),"APPROVED")</f>
        <v>APPROVED</v>
      </c>
      <c r="T2546" s="1" t="str">
        <f>IFERROR(__xludf.DUMMYFUNCTION("""COMPUTED_VALUE"""),"CLOSED")</f>
        <v>CLOSED</v>
      </c>
      <c r="U2546" s="1" t="str">
        <f>IFERROR(__xludf.DUMMYFUNCTION("""COMPUTED_VALUE"""),"POSTED")</f>
        <v>POSTED</v>
      </c>
      <c r="V2546" s="1"/>
      <c r="W2546" s="1"/>
    </row>
    <row r="2547" customHeight="1" spans="1:23">
      <c r="A2547" s="3">
        <f>IFERROR(__xludf.DUMMYFUNCTION("""COMPUTED_VALUE"""),46225)</f>
        <v>46225</v>
      </c>
      <c r="B2547" s="1" t="str">
        <f>IFERROR(__xludf.DUMMYFUNCTION("""COMPUTED_VALUE"""),"MALIWAT MARK ELVIN")</f>
        <v>MALIWAT MARK ELVIN</v>
      </c>
      <c r="C2547" s="1" t="str">
        <f>IFERROR(__xludf.DUMMYFUNCTION("""COMPUTED_VALUE"""),"FLA")</f>
        <v>FLA</v>
      </c>
      <c r="D2547" s="1" t="str">
        <f>IFERROR(__xludf.DUMMYFUNCTION("""COMPUTED_VALUE"""),"JERIC NAVARRO")</f>
        <v>JERIC NAVARRO</v>
      </c>
      <c r="E2547" s="1" t="str">
        <f>IFERROR(__xludf.DUMMYFUNCTION("""COMPUTED_VALUE"""),"PLDT / ONLINE")</f>
        <v>PLDT / ONLINE</v>
      </c>
      <c r="F2547" s="1">
        <f>IFERROR(__xludf.DUMMYFUNCTION("""COMPUTED_VALUE"""),2311174459)</f>
        <v>2311174459</v>
      </c>
      <c r="G2547" s="1">
        <f>IFERROR(__xludf.DUMMYFUNCTION("""COMPUTED_VALUE"""),463611545004)</f>
        <v>463611545004</v>
      </c>
      <c r="H2547" s="1" t="str">
        <f>IFERROR(__xludf.DUMMYFUNCTION("""COMPUTED_VALUE"""),"MIA HILARY MORADOZ LUNA")</f>
        <v>MIA HILARY MORADOZ LUNA</v>
      </c>
      <c r="I2547" s="1">
        <f>IFERROR(__xludf.DUMMYFUNCTION("""COMPUTED_VALUE"""),9954321932)</f>
        <v>9954321932</v>
      </c>
      <c r="J2547" s="1">
        <f>IFERROR(__xludf.DUMMYFUNCTION("""COMPUTED_VALUE"""),9050976210)</f>
        <v>9050976210</v>
      </c>
      <c r="K2547" s="1" t="str">
        <f>IFERROR(__xludf.DUMMYFUNCTION("""COMPUTED_VALUE"""),"lunamiahilary@gmail.com")</f>
        <v>lunamiahilary@gmail.com</v>
      </c>
      <c r="L2547" s="1" t="str">
        <f>IFERROR(__xludf.DUMMYFUNCTION("""COMPUTED_VALUE"""),"730")</f>
        <v>730</v>
      </c>
      <c r="M2547" s="1" t="str">
        <f>IFERROR(__xludf.DUMMYFUNCTION("""COMPUTED_VALUE"""),"AGUINALDO HIGHWAY")</f>
        <v>AGUINALDO HIGHWAY</v>
      </c>
      <c r="N2547" s="1"/>
      <c r="O2547" s="1" t="str">
        <f>IFERROR(__xludf.DUMMYFUNCTION("""COMPUTED_VALUE"""),"LALAAN II")</f>
        <v>LALAAN II</v>
      </c>
      <c r="P2547" s="1" t="str">
        <f>IFERROR(__xludf.DUMMYFUNCTION("""COMPUTED_VALUE"""),"SILANG")</f>
        <v>SILANG</v>
      </c>
      <c r="Q2547" s="1" t="str">
        <f>IFERROR(__xludf.DUMMYFUNCTION("""COMPUTED_VALUE"""),"CAVITE")</f>
        <v>CAVITE</v>
      </c>
      <c r="R2547" s="1" t="str">
        <f>IFERROR(__xludf.DUMMYFUNCTION("""COMPUTED_VALUE"""),"FIBR PLAN 1299")</f>
        <v>FIBR PLAN 1299</v>
      </c>
      <c r="S2547" s="1" t="str">
        <f>IFERROR(__xludf.DUMMYFUNCTION("""COMPUTED_VALUE"""),"APPROVED")</f>
        <v>APPROVED</v>
      </c>
      <c r="T2547" s="1" t="str">
        <f>IFERROR(__xludf.DUMMYFUNCTION("""COMPUTED_VALUE"""),"CLOSED")</f>
        <v>CLOSED</v>
      </c>
      <c r="U2547" s="1" t="str">
        <f>IFERROR(__xludf.DUMMYFUNCTION("""COMPUTED_VALUE"""),"POSTED")</f>
        <v>POSTED</v>
      </c>
      <c r="V2547" s="1"/>
      <c r="W2547" s="1"/>
    </row>
    <row r="2548" customHeight="1" spans="1:23">
      <c r="A2548" s="3">
        <f>IFERROR(__xludf.DUMMYFUNCTION("""COMPUTED_VALUE"""),46225)</f>
        <v>46225</v>
      </c>
      <c r="B2548" s="1" t="str">
        <f>IFERROR(__xludf.DUMMYFUNCTION("""COMPUTED_VALUE"""),"MALIWAT MARK ELVIN")</f>
        <v>MALIWAT MARK ELVIN</v>
      </c>
      <c r="C2548" s="1" t="str">
        <f>IFERROR(__xludf.DUMMYFUNCTION("""COMPUTED_VALUE"""),"FLA")</f>
        <v>FLA</v>
      </c>
      <c r="D2548" s="1" t="str">
        <f>IFERROR(__xludf.DUMMYFUNCTION("""COMPUTED_VALUE"""),"JERIC NAVARRO")</f>
        <v>JERIC NAVARRO</v>
      </c>
      <c r="E2548" s="1" t="str">
        <f>IFERROR(__xludf.DUMMYFUNCTION("""COMPUTED_VALUE"""),"PLDT / ONLINE")</f>
        <v>PLDT / ONLINE</v>
      </c>
      <c r="F2548" s="1">
        <f>IFERROR(__xludf.DUMMYFUNCTION("""COMPUTED_VALUE"""),2311174067)</f>
        <v>2311174067</v>
      </c>
      <c r="G2548" s="1">
        <f>IFERROR(__xludf.DUMMYFUNCTION("""COMPUTED_VALUE"""),463617328004)</f>
        <v>463617328004</v>
      </c>
      <c r="H2548" s="1" t="str">
        <f>IFERROR(__xludf.DUMMYFUNCTION("""COMPUTED_VALUE"""),"FEAN MARIE FABALE TALABON")</f>
        <v>FEAN MARIE FABALE TALABON</v>
      </c>
      <c r="I2548" s="1">
        <f>IFERROR(__xludf.DUMMYFUNCTION("""COMPUTED_VALUE"""),9327838214)</f>
        <v>9327838214</v>
      </c>
      <c r="J2548" s="1"/>
      <c r="K2548" s="1" t="str">
        <f>IFERROR(__xludf.DUMMYFUNCTION("""COMPUTED_VALUE"""),"cliffeaancons.id@gmail.com")</f>
        <v>cliffeaancons.id@gmail.com</v>
      </c>
      <c r="L2548" s="1" t="str">
        <f>IFERROR(__xludf.DUMMYFUNCTION("""COMPUTED_VALUE"""),"9260")</f>
        <v>9260</v>
      </c>
      <c r="M2548" s="1" t="str">
        <f>IFERROR(__xludf.DUMMYFUNCTION("""COMPUTED_VALUE"""),"AGUINALDO HIGHWAY")</f>
        <v>AGUINALDO HIGHWAY</v>
      </c>
      <c r="N2548" s="1"/>
      <c r="O2548" s="1" t="str">
        <f>IFERROR(__xludf.DUMMYFUNCTION("""COMPUTED_VALUE"""),"LALAAN II")</f>
        <v>LALAAN II</v>
      </c>
      <c r="P2548" s="1" t="str">
        <f>IFERROR(__xludf.DUMMYFUNCTION("""COMPUTED_VALUE"""),"SILANG")</f>
        <v>SILANG</v>
      </c>
      <c r="Q2548" s="1" t="str">
        <f>IFERROR(__xludf.DUMMYFUNCTION("""COMPUTED_VALUE"""),"CAVITE")</f>
        <v>CAVITE</v>
      </c>
      <c r="R2548" s="1" t="str">
        <f>IFERROR(__xludf.DUMMYFUNCTION("""COMPUTED_VALUE"""),"FIBR UNLI ALL PLAN 1499")</f>
        <v>FIBR UNLI ALL PLAN 1499</v>
      </c>
      <c r="S2548" s="1" t="str">
        <f>IFERROR(__xludf.DUMMYFUNCTION("""COMPUTED_VALUE"""),"APPROVED")</f>
        <v>APPROVED</v>
      </c>
      <c r="T2548" s="1" t="str">
        <f>IFERROR(__xludf.DUMMYFUNCTION("""COMPUTED_VALUE"""),"RPR")</f>
        <v>RPR</v>
      </c>
      <c r="U2548" s="1"/>
      <c r="V2548" s="1"/>
      <c r="W2548" s="1"/>
    </row>
    <row r="2549" customHeight="1" spans="1:23">
      <c r="A2549" s="3">
        <f>IFERROR(__xludf.DUMMYFUNCTION("""COMPUTED_VALUE"""),46225)</f>
        <v>46225</v>
      </c>
      <c r="B2549" s="1" t="str">
        <f>IFERROR(__xludf.DUMMYFUNCTION("""COMPUTED_VALUE"""),"FRANCISCO , ROSELYN")</f>
        <v>FRANCISCO , ROSELYN</v>
      </c>
      <c r="C2549" s="1" t="str">
        <f>IFERROR(__xludf.DUMMYFUNCTION("""COMPUTED_VALUE"""),"ORGANIC")</f>
        <v>ORGANIC</v>
      </c>
      <c r="D2549" s="1" t="str">
        <f>IFERROR(__xludf.DUMMYFUNCTION("""COMPUTED_VALUE"""),"REMOLLO LEA")</f>
        <v>REMOLLO LEA</v>
      </c>
      <c r="E2549" s="1" t="str">
        <f>IFERROR(__xludf.DUMMYFUNCTION("""COMPUTED_VALUE"""),"PLDT / ONLINE")</f>
        <v>PLDT / ONLINE</v>
      </c>
      <c r="F2549" s="1">
        <f>IFERROR(__xludf.DUMMYFUNCTION("""COMPUTED_VALUE"""),2311172207)</f>
        <v>2311172207</v>
      </c>
      <c r="G2549" s="1"/>
      <c r="H2549" s="1" t="str">
        <f>IFERROR(__xludf.DUMMYFUNCTION("""COMPUTED_VALUE"""),"JENIFFER ESCOBAR")</f>
        <v>JENIFFER ESCOBAR</v>
      </c>
      <c r="I2549" s="1">
        <f>IFERROR(__xludf.DUMMYFUNCTION("""COMPUTED_VALUE"""),9477906281)</f>
        <v>9477906281</v>
      </c>
      <c r="J2549" s="1">
        <f>IFERROR(__xludf.DUMMYFUNCTION("""COMPUTED_VALUE"""),9976542127)</f>
        <v>9976542127</v>
      </c>
      <c r="K2549" s="1" t="str">
        <f>IFERROR(__xludf.DUMMYFUNCTION("""COMPUTED_VALUE"""),"jeniferescobar@gmail.com")</f>
        <v>jeniferescobar@gmail.com</v>
      </c>
      <c r="L2549" s="1" t="str">
        <f>IFERROR(__xludf.DUMMYFUNCTION("""COMPUTED_VALUE"""),"BLK 6 LOT 52")</f>
        <v>BLK 6 LOT 52</v>
      </c>
      <c r="M2549" s="1" t="str">
        <f>IFERROR(__xludf.DUMMYFUNCTION("""COMPUTED_VALUE"""),"WALING WALING")</f>
        <v>WALING WALING</v>
      </c>
      <c r="N2549" s="1" t="str">
        <f>IFERROR(__xludf.DUMMYFUNCTION("""COMPUTED_VALUE"""),"SOUTH GARDEN")</f>
        <v>SOUTH GARDEN</v>
      </c>
      <c r="O2549" s="1" t="str">
        <f>IFERROR(__xludf.DUMMYFUNCTION("""COMPUTED_VALUE"""),"SALITRAN III")</f>
        <v>SALITRAN III</v>
      </c>
      <c r="P2549" s="1" t="str">
        <f>IFERROR(__xludf.DUMMYFUNCTION("""COMPUTED_VALUE"""),"DASMARINAS")</f>
        <v>DASMARINAS</v>
      </c>
      <c r="Q2549" s="1" t="str">
        <f>IFERROR(__xludf.DUMMYFUNCTION("""COMPUTED_VALUE"""),"CAVITE")</f>
        <v>CAVITE</v>
      </c>
      <c r="R2549" s="1" t="str">
        <f>IFERROR(__xludf.DUMMYFUNCTION("""COMPUTED_VALUE"""),"FIBR UNLI ALL PLAN 999")</f>
        <v>FIBR UNLI ALL PLAN 999</v>
      </c>
      <c r="S2549" s="1" t="str">
        <f>IFERROR(__xludf.DUMMYFUNCTION("""COMPUTED_VALUE"""),"APPROVED")</f>
        <v>APPROVED</v>
      </c>
      <c r="T2549" s="1" t="str">
        <f>IFERROR(__xludf.DUMMYFUNCTION("""COMPUTED_VALUE"""),"FOR CANCELLATION")</f>
        <v>FOR CANCELLATION</v>
      </c>
      <c r="U2549" s="1"/>
      <c r="V2549" s="1"/>
      <c r="W2549" s="1"/>
    </row>
    <row r="2550" customHeight="1" spans="1:23">
      <c r="A2550" s="3">
        <f>IFERROR(__xludf.DUMMYFUNCTION("""COMPUTED_VALUE"""),46225)</f>
        <v>46225</v>
      </c>
      <c r="B2550" s="1" t="str">
        <f>IFERROR(__xludf.DUMMYFUNCTION("""COMPUTED_VALUE"""),"FRANCISCO , ROSELYN")</f>
        <v>FRANCISCO , ROSELYN</v>
      </c>
      <c r="C2550" s="1" t="str">
        <f>IFERROR(__xludf.DUMMYFUNCTION("""COMPUTED_VALUE"""),"ORGANIC")</f>
        <v>ORGANIC</v>
      </c>
      <c r="D2550" s="1" t="str">
        <f>IFERROR(__xludf.DUMMYFUNCTION("""COMPUTED_VALUE"""),"REMOLLO LEA")</f>
        <v>REMOLLO LEA</v>
      </c>
      <c r="E2550" s="1" t="str">
        <f>IFERROR(__xludf.DUMMYFUNCTION("""COMPUTED_VALUE"""),"PLDT / ONLINE")</f>
        <v>PLDT / ONLINE</v>
      </c>
      <c r="F2550" s="1">
        <f>IFERROR(__xludf.DUMMYFUNCTION("""COMPUTED_VALUE"""),2311182277)</f>
        <v>2311182277</v>
      </c>
      <c r="G2550" s="1">
        <f>IFERROR(__xludf.DUMMYFUNCTION("""COMPUTED_VALUE"""),463743329004)</f>
        <v>463743329004</v>
      </c>
      <c r="H2550" s="1" t="str">
        <f>IFERROR(__xludf.DUMMYFUNCTION("""COMPUTED_VALUE"""),"ANNE JAMINAH EDUQUE NAPILOT")</f>
        <v>ANNE JAMINAH EDUQUE NAPILOT</v>
      </c>
      <c r="I2550" s="1">
        <f>IFERROR(__xludf.DUMMYFUNCTION("""COMPUTED_VALUE"""),9656541174)</f>
        <v>9656541174</v>
      </c>
      <c r="J2550" s="1">
        <f>IFERROR(__xludf.DUMMYFUNCTION("""COMPUTED_VALUE"""),9793724381)</f>
        <v>9793724381</v>
      </c>
      <c r="K2550" s="1" t="str">
        <f>IFERROR(__xludf.DUMMYFUNCTION("""COMPUTED_VALUE"""),"faithcastro140@gmail.com")</f>
        <v>faithcastro140@gmail.com</v>
      </c>
      <c r="L2550" s="1" t="str">
        <f>IFERROR(__xludf.DUMMYFUNCTION("""COMPUTED_VALUE"""),"BLK 10 LOT 33")</f>
        <v>BLK 10 LOT 33</v>
      </c>
      <c r="M2550" s="1" t="str">
        <f>IFERROR(__xludf.DUMMYFUNCTION("""COMPUTED_VALUE"""),"BARCELONA")</f>
        <v>BARCELONA</v>
      </c>
      <c r="N2550" s="1" t="str">
        <f>IFERROR(__xludf.DUMMYFUNCTION("""COMPUTED_VALUE"""),"SOTOGRANDE")</f>
        <v>SOTOGRANDE</v>
      </c>
      <c r="O2550" s="1" t="str">
        <f>IFERROR(__xludf.DUMMYFUNCTION("""COMPUTED_VALUE"""),"ASISAN")</f>
        <v>ASISAN</v>
      </c>
      <c r="P2550" s="1" t="str">
        <f>IFERROR(__xludf.DUMMYFUNCTION("""COMPUTED_VALUE"""),"TAGAYTAY")</f>
        <v>TAGAYTAY</v>
      </c>
      <c r="Q2550" s="1" t="str">
        <f>IFERROR(__xludf.DUMMYFUNCTION("""COMPUTED_VALUE"""),"CAVITE")</f>
        <v>CAVITE</v>
      </c>
      <c r="R2550" s="1" t="str">
        <f>IFERROR(__xludf.DUMMYFUNCTION("""COMPUTED_VALUE"""),"FIBR PLAN 1299")</f>
        <v>FIBR PLAN 1299</v>
      </c>
      <c r="S2550" s="1" t="str">
        <f>IFERROR(__xludf.DUMMYFUNCTION("""COMPUTED_VALUE"""),"APPROVED")</f>
        <v>APPROVED</v>
      </c>
      <c r="T2550" s="1" t="str">
        <f>IFERROR(__xludf.DUMMYFUNCTION("""COMPUTED_VALUE"""),"CLOSED")</f>
        <v>CLOSED</v>
      </c>
      <c r="U2550" s="1" t="str">
        <f>IFERROR(__xludf.DUMMYFUNCTION("""COMPUTED_VALUE"""),"POSTED")</f>
        <v>POSTED</v>
      </c>
      <c r="V2550" s="1"/>
      <c r="W2550" s="1"/>
    </row>
    <row r="2551" customHeight="1" spans="1:23">
      <c r="A2551" s="3">
        <f>IFERROR(__xludf.DUMMYFUNCTION("""COMPUTED_VALUE"""),46225)</f>
        <v>46225</v>
      </c>
      <c r="B2551" s="1" t="str">
        <f>IFERROR(__xludf.DUMMYFUNCTION("""COMPUTED_VALUE"""),"ESCARCHA, MA ALMA  ESCOTO")</f>
        <v>ESCARCHA, MA ALMA  ESCOTO</v>
      </c>
      <c r="C2551" s="1" t="str">
        <f>IFERROR(__xludf.DUMMYFUNCTION("""COMPUTED_VALUE"""),"ORGANIC")</f>
        <v>ORGANIC</v>
      </c>
      <c r="D2551" s="1" t="str">
        <f>IFERROR(__xludf.DUMMYFUNCTION("""COMPUTED_VALUE"""),"REMOLLO LEA")</f>
        <v>REMOLLO LEA</v>
      </c>
      <c r="E2551" s="1" t="str">
        <f>IFERROR(__xludf.DUMMYFUNCTION("""COMPUTED_VALUE"""),"PLDT / H2H")</f>
        <v>PLDT / H2H</v>
      </c>
      <c r="F2551" s="1">
        <f>IFERROR(__xludf.DUMMYFUNCTION("""COMPUTED_VALUE"""),2311175920)</f>
        <v>2311175920</v>
      </c>
      <c r="G2551" s="1">
        <f>IFERROR(__xludf.DUMMYFUNCTION("""COMPUTED_VALUE"""),463623798004)</f>
        <v>463623798004</v>
      </c>
      <c r="H2551" s="1" t="str">
        <f>IFERROR(__xludf.DUMMYFUNCTION("""COMPUTED_VALUE"""),"DIONITO DESINGANO APOSTOL ")</f>
        <v>DIONITO DESINGANO APOSTOL </v>
      </c>
      <c r="I2551" s="1">
        <f>IFERROR(__xludf.DUMMYFUNCTION("""COMPUTED_VALUE"""),9614474714)</f>
        <v>9614474714</v>
      </c>
      <c r="J2551" s="1"/>
      <c r="K2551" s="1" t="str">
        <f>IFERROR(__xludf.DUMMYFUNCTION("""COMPUTED_VALUE"""),"dionitaapostol150@gmail.com")</f>
        <v>dionitaapostol150@gmail.com</v>
      </c>
      <c r="L2551" s="1" t="str">
        <f>IFERROR(__xludf.DUMMYFUNCTION("""COMPUTED_VALUE"""),"258")</f>
        <v>258</v>
      </c>
      <c r="M2551" s="1" t="str">
        <f>IFERROR(__xludf.DUMMYFUNCTION("""COMPUTED_VALUE"""),"AMBID")</f>
        <v>AMBID</v>
      </c>
      <c r="N2551" s="1"/>
      <c r="O2551" s="1" t="str">
        <f>IFERROR(__xludf.DUMMYFUNCTION("""COMPUTED_VALUE"""),"BILUSO")</f>
        <v>BILUSO</v>
      </c>
      <c r="P2551" s="1" t="str">
        <f>IFERROR(__xludf.DUMMYFUNCTION("""COMPUTED_VALUE"""),"SILANG")</f>
        <v>SILANG</v>
      </c>
      <c r="Q2551" s="1" t="str">
        <f>IFERROR(__xludf.DUMMYFUNCTION("""COMPUTED_VALUE"""),"CAVITE")</f>
        <v>CAVITE</v>
      </c>
      <c r="R2551" s="1" t="str">
        <f>IFERROR(__xludf.DUMMYFUNCTION("""COMPUTED_VALUE"""),"FIBR UNLI ALL PLAN 999")</f>
        <v>FIBR UNLI ALL PLAN 999</v>
      </c>
      <c r="S2551" s="1" t="str">
        <f>IFERROR(__xludf.DUMMYFUNCTION("""COMPUTED_VALUE"""),"APPROVED")</f>
        <v>APPROVED</v>
      </c>
      <c r="T2551" s="1" t="str">
        <f>IFERROR(__xludf.DUMMYFUNCTION("""COMPUTED_VALUE"""),"CLOSED")</f>
        <v>CLOSED</v>
      </c>
      <c r="U2551" s="1" t="str">
        <f>IFERROR(__xludf.DUMMYFUNCTION("""COMPUTED_VALUE"""),"POSTED")</f>
        <v>POSTED</v>
      </c>
      <c r="V2551" s="1"/>
      <c r="W2551" s="1"/>
    </row>
    <row r="2552" customHeight="1" spans="1:23">
      <c r="A2552" s="3">
        <f>IFERROR(__xludf.DUMMYFUNCTION("""COMPUTED_VALUE"""),46225)</f>
        <v>46225</v>
      </c>
      <c r="B2552" s="1" t="str">
        <f>IFERROR(__xludf.DUMMYFUNCTION("""COMPUTED_VALUE"""),"SAMPANG, JAYCEE")</f>
        <v>SAMPANG, JAYCEE</v>
      </c>
      <c r="C2552" s="1" t="str">
        <f>IFERROR(__xludf.DUMMYFUNCTION("""COMPUTED_VALUE"""),"ORGANIC")</f>
        <v>ORGANIC</v>
      </c>
      <c r="D2552" s="1" t="str">
        <f>IFERROR(__xludf.DUMMYFUNCTION("""COMPUTED_VALUE"""),"REMOLLO LEA")</f>
        <v>REMOLLO LEA</v>
      </c>
      <c r="E2552" s="1" t="str">
        <f>IFERROR(__xludf.DUMMYFUNCTION("""COMPUTED_VALUE"""),"PLDT / H2H")</f>
        <v>PLDT / H2H</v>
      </c>
      <c r="F2552" s="1">
        <f>IFERROR(__xludf.DUMMYFUNCTION("""COMPUTED_VALUE"""),2311176678)</f>
        <v>2311176678</v>
      </c>
      <c r="G2552" s="1">
        <f>IFERROR(__xludf.DUMMYFUNCTION("""COMPUTED_VALUE"""),463616926004)</f>
        <v>463616926004</v>
      </c>
      <c r="H2552" s="1" t="str">
        <f>IFERROR(__xludf.DUMMYFUNCTION("""COMPUTED_VALUE"""),"JEANELLE ANNE MARIE BARBUCO YOLOGO")</f>
        <v>JEANELLE ANNE MARIE BARBUCO YOLOGO</v>
      </c>
      <c r="I2552" s="1">
        <f>IFERROR(__xludf.DUMMYFUNCTION("""COMPUTED_VALUE"""),9494092918)</f>
        <v>9494092918</v>
      </c>
      <c r="J2552" s="1"/>
      <c r="K2552" s="1" t="str">
        <f>IFERROR(__xludf.DUMMYFUNCTION("""COMPUTED_VALUE"""),"jeanellebarbuco.yologo@gmail.com")</f>
        <v>jeanellebarbuco.yologo@gmail.com</v>
      </c>
      <c r="L2552" s="1" t="str">
        <f>IFERROR(__xludf.DUMMYFUNCTION("""COMPUTED_VALUE"""),"119")</f>
        <v>119</v>
      </c>
      <c r="M2552" s="1" t="str">
        <f>IFERROR(__xludf.DUMMYFUNCTION("""COMPUTED_VALUE"""),"BILUSO RD")</f>
        <v>BILUSO RD</v>
      </c>
      <c r="N2552" s="1"/>
      <c r="O2552" s="1" t="str">
        <f>IFERROR(__xludf.DUMMYFUNCTION("""COMPUTED_VALUE"""),"BILUSO")</f>
        <v>BILUSO</v>
      </c>
      <c r="P2552" s="1" t="str">
        <f>IFERROR(__xludf.DUMMYFUNCTION("""COMPUTED_VALUE"""),"SILANG")</f>
        <v>SILANG</v>
      </c>
      <c r="Q2552" s="1" t="str">
        <f>IFERROR(__xludf.DUMMYFUNCTION("""COMPUTED_VALUE"""),"CAVITE")</f>
        <v>CAVITE</v>
      </c>
      <c r="R2552" s="1" t="str">
        <f>IFERROR(__xludf.DUMMYFUNCTION("""COMPUTED_VALUE"""),"FIBR UNLI ALL PLAN 1899")</f>
        <v>FIBR UNLI ALL PLAN 1899</v>
      </c>
      <c r="S2552" s="1" t="str">
        <f>IFERROR(__xludf.DUMMYFUNCTION("""COMPUTED_VALUE"""),"APPROVED")</f>
        <v>APPROVED</v>
      </c>
      <c r="T2552" s="1" t="str">
        <f>IFERROR(__xludf.DUMMYFUNCTION("""COMPUTED_VALUE"""),"AFD")</f>
        <v>AFD</v>
      </c>
      <c r="U2552" s="1"/>
      <c r="V2552" s="1"/>
      <c r="W2552" s="1"/>
    </row>
    <row r="2553" customHeight="1" spans="1:23">
      <c r="A2553" s="3">
        <f>IFERROR(__xludf.DUMMYFUNCTION("""COMPUTED_VALUE"""),46225)</f>
        <v>46225</v>
      </c>
      <c r="B2553" s="1" t="str">
        <f>IFERROR(__xludf.DUMMYFUNCTION("""COMPUTED_VALUE"""),"MALIWAT MARK ELVIN")</f>
        <v>MALIWAT MARK ELVIN</v>
      </c>
      <c r="C2553" s="1" t="str">
        <f>IFERROR(__xludf.DUMMYFUNCTION("""COMPUTED_VALUE"""),"FLA")</f>
        <v>FLA</v>
      </c>
      <c r="D2553" s="1" t="str">
        <f>IFERROR(__xludf.DUMMYFUNCTION("""COMPUTED_VALUE"""),"JERIC NAVARRO")</f>
        <v>JERIC NAVARRO</v>
      </c>
      <c r="E2553" s="1" t="str">
        <f>IFERROR(__xludf.DUMMYFUNCTION("""COMPUTED_VALUE"""),"PLDT / ONLINE")</f>
        <v>PLDT / ONLINE</v>
      </c>
      <c r="F2553" s="1">
        <f>IFERROR(__xludf.DUMMYFUNCTION("""COMPUTED_VALUE"""),2311179000)</f>
        <v>2311179000</v>
      </c>
      <c r="G2553" s="1">
        <f>IFERROR(__xludf.DUMMYFUNCTION("""COMPUTED_VALUE"""),463618593004)</f>
        <v>463618593004</v>
      </c>
      <c r="H2553" s="1" t="str">
        <f>IFERROR(__xludf.DUMMYFUNCTION("""COMPUTED_VALUE"""),"EARLVIN JAY COMA WONG")</f>
        <v>EARLVIN JAY COMA WONG</v>
      </c>
      <c r="I2553" s="1">
        <f>IFERROR(__xludf.DUMMYFUNCTION("""COMPUTED_VALUE"""),9763719282)</f>
        <v>9763719282</v>
      </c>
      <c r="J2553" s="1">
        <f>IFERROR(__xludf.DUMMYFUNCTION("""COMPUTED_VALUE"""),9064374675)</f>
        <v>9064374675</v>
      </c>
      <c r="K2553" s="1" t="str">
        <f>IFERROR(__xludf.DUMMYFUNCTION("""COMPUTED_VALUE"""),"earljaywongg@gmail.com")</f>
        <v>earljaywongg@gmail.com</v>
      </c>
      <c r="L2553" s="1" t="str">
        <f>IFERROR(__xludf.DUMMYFUNCTION("""COMPUTED_VALUE"""),"BLK 5 LOT 78")</f>
        <v>BLK 5 LOT 78</v>
      </c>
      <c r="M2553" s="1" t="str">
        <f>IFERROR(__xludf.DUMMYFUNCTION("""COMPUTED_VALUE"""),"KENSINGTON 8")</f>
        <v>KENSINGTON 8</v>
      </c>
      <c r="N2553" s="1" t="str">
        <f>IFERROR(__xludf.DUMMYFUNCTION("""COMPUTED_VALUE"""),"LANCASTER")</f>
        <v>LANCASTER</v>
      </c>
      <c r="O2553" s="1" t="str">
        <f>IFERROR(__xludf.DUMMYFUNCTION("""COMPUTED_VALUE"""),"NAVARRO")</f>
        <v>NAVARRO</v>
      </c>
      <c r="P2553" s="1" t="str">
        <f>IFERROR(__xludf.DUMMYFUNCTION("""COMPUTED_VALUE"""),"GENERAL TRIAS")</f>
        <v>GENERAL TRIAS</v>
      </c>
      <c r="Q2553" s="1" t="str">
        <f>IFERROR(__xludf.DUMMYFUNCTION("""COMPUTED_VALUE"""),"CAVITE")</f>
        <v>CAVITE</v>
      </c>
      <c r="R2553" s="1" t="str">
        <f>IFERROR(__xludf.DUMMYFUNCTION("""COMPUTED_VALUE"""),"FIBR UNLI ALL PLAN 1499")</f>
        <v>FIBR UNLI ALL PLAN 1499</v>
      </c>
      <c r="S2553" s="1" t="str">
        <f>IFERROR(__xludf.DUMMYFUNCTION("""COMPUTED_VALUE"""),"APPROVED")</f>
        <v>APPROVED</v>
      </c>
      <c r="T2553" s="1" t="str">
        <f>IFERROR(__xludf.DUMMYFUNCTION("""COMPUTED_VALUE"""),"RPR")</f>
        <v>RPR</v>
      </c>
      <c r="U2553" s="1"/>
      <c r="V2553" s="1"/>
      <c r="W2553" s="1"/>
    </row>
    <row r="2554" customHeight="1" spans="1:23">
      <c r="A2554" s="3">
        <f>IFERROR(__xludf.DUMMYFUNCTION("""COMPUTED_VALUE"""),46225)</f>
        <v>46225</v>
      </c>
      <c r="B2554" s="1" t="str">
        <f>IFERROR(__xludf.DUMMYFUNCTION("""COMPUTED_VALUE"""),"CASTILLEJOS, ARREL")</f>
        <v>CASTILLEJOS, ARREL</v>
      </c>
      <c r="C2554" s="1" t="str">
        <f>IFERROR(__xludf.DUMMYFUNCTION("""COMPUTED_VALUE"""),"ORGANIC")</f>
        <v>ORGANIC</v>
      </c>
      <c r="D2554" s="1" t="str">
        <f>IFERROR(__xludf.DUMMYFUNCTION("""COMPUTED_VALUE"""),"REMOLLO LEA")</f>
        <v>REMOLLO LEA</v>
      </c>
      <c r="E2554" s="1" t="str">
        <f>IFERROR(__xludf.DUMMYFUNCTION("""COMPUTED_VALUE"""),"PLDT / H2H")</f>
        <v>PLDT / H2H</v>
      </c>
      <c r="F2554" s="1">
        <f>IFERROR(__xludf.DUMMYFUNCTION("""COMPUTED_VALUE"""),2311185240)</f>
        <v>2311185240</v>
      </c>
      <c r="G2554" s="1">
        <f>IFERROR(__xludf.DUMMYFUNCTION("""COMPUTED_VALUE"""),463625134004)</f>
        <v>463625134004</v>
      </c>
      <c r="H2554" s="1" t="str">
        <f>IFERROR(__xludf.DUMMYFUNCTION("""COMPUTED_VALUE"""),"ALBERTO LABITAD HERRERA")</f>
        <v>ALBERTO LABITAD HERRERA</v>
      </c>
      <c r="I2554" s="1">
        <f>IFERROR(__xludf.DUMMYFUNCTION("""COMPUTED_VALUE"""),9509176918)</f>
        <v>9509176918</v>
      </c>
      <c r="J2554" s="1">
        <f>IFERROR(__xludf.DUMMYFUNCTION("""COMPUTED_VALUE"""),9206952642)</f>
        <v>9206952642</v>
      </c>
      <c r="K2554" s="1" t="str">
        <f>IFERROR(__xludf.DUMMYFUNCTION("""COMPUTED_VALUE"""),"herreranerissa1967@gmail.com")</f>
        <v>herreranerissa1967@gmail.com</v>
      </c>
      <c r="L2554" s="1" t="str">
        <f>IFERROR(__xludf.DUMMYFUNCTION("""COMPUTED_VALUE"""),"7")</f>
        <v>7</v>
      </c>
      <c r="M2554" s="1" t="str">
        <f>IFERROR(__xludf.DUMMYFUNCTION("""COMPUTED_VALUE"""),"YAKAL ")</f>
        <v>YAKAL </v>
      </c>
      <c r="N2554" s="1"/>
      <c r="O2554" s="1" t="str">
        <f>IFERROR(__xludf.DUMMYFUNCTION("""COMPUTED_VALUE"""),"SAN MIGUEL I")</f>
        <v>SAN MIGUEL I</v>
      </c>
      <c r="P2554" s="1" t="str">
        <f>IFERROR(__xludf.DUMMYFUNCTION("""COMPUTED_VALUE"""),"SILANG")</f>
        <v>SILANG</v>
      </c>
      <c r="Q2554" s="1" t="str">
        <f>IFERROR(__xludf.DUMMYFUNCTION("""COMPUTED_VALUE"""),"CAVITE")</f>
        <v>CAVITE</v>
      </c>
      <c r="R2554" s="1" t="str">
        <f>IFERROR(__xludf.DUMMYFUNCTION("""COMPUTED_VALUE"""),"FIBR UNLI ALL PLAN 999")</f>
        <v>FIBR UNLI ALL PLAN 999</v>
      </c>
      <c r="S2554" s="1" t="str">
        <f>IFERROR(__xludf.DUMMYFUNCTION("""COMPUTED_VALUE"""),"APPROVED")</f>
        <v>APPROVED</v>
      </c>
      <c r="T2554" s="1" t="str">
        <f>IFERROR(__xludf.DUMMYFUNCTION("""COMPUTED_VALUE"""),"CANCELLED")</f>
        <v>CANCELLED</v>
      </c>
      <c r="U2554" s="1"/>
      <c r="V2554" s="1"/>
      <c r="W2554" s="1"/>
    </row>
    <row r="2555" customHeight="1" spans="1:23">
      <c r="A2555" s="3">
        <f>IFERROR(__xludf.DUMMYFUNCTION("""COMPUTED_VALUE"""),46225)</f>
        <v>46225</v>
      </c>
      <c r="B2555" s="1" t="str">
        <f>IFERROR(__xludf.DUMMYFUNCTION("""COMPUTED_VALUE"""),"FRONDEZ, JEDREFF")</f>
        <v>FRONDEZ, JEDREFF</v>
      </c>
      <c r="C2555" s="1" t="str">
        <f>IFERROR(__xludf.DUMMYFUNCTION("""COMPUTED_VALUE"""),"ORGANIC")</f>
        <v>ORGANIC</v>
      </c>
      <c r="D2555" s="1" t="str">
        <f>IFERROR(__xludf.DUMMYFUNCTION("""COMPUTED_VALUE"""),"REMOLLO LEA")</f>
        <v>REMOLLO LEA</v>
      </c>
      <c r="E2555" s="1" t="str">
        <f>IFERROR(__xludf.DUMMYFUNCTION("""COMPUTED_VALUE"""),"PLDT / H2H")</f>
        <v>PLDT / H2H</v>
      </c>
      <c r="F2555" s="1">
        <f>IFERROR(__xludf.DUMMYFUNCTION("""COMPUTED_VALUE"""),2311183856)</f>
        <v>2311183856</v>
      </c>
      <c r="G2555" s="1">
        <f>IFERROR(__xludf.DUMMYFUNCTION("""COMPUTED_VALUE"""),463661177004)</f>
        <v>463661177004</v>
      </c>
      <c r="H2555" s="1" t="str">
        <f>IFERROR(__xludf.DUMMYFUNCTION("""COMPUTED_VALUE"""),"VANESSA AQUINO SISON")</f>
        <v>VANESSA AQUINO SISON</v>
      </c>
      <c r="I2555" s="1">
        <f>IFERROR(__xludf.DUMMYFUNCTION("""COMPUTED_VALUE"""),9244027011)</f>
        <v>9244027011</v>
      </c>
      <c r="J2555" s="1">
        <f>IFERROR(__xludf.DUMMYFUNCTION("""COMPUTED_VALUE"""),9918218669)</f>
        <v>9918218669</v>
      </c>
      <c r="K2555" s="1" t="str">
        <f>IFERROR(__xludf.DUMMYFUNCTION("""COMPUTED_VALUE"""),"sisonvanessa.16@gmail.com")</f>
        <v>sisonvanessa.16@gmail.com</v>
      </c>
      <c r="L2555" s="1" t="str">
        <f>IFERROR(__xludf.DUMMYFUNCTION("""COMPUTED_VALUE"""),"79")</f>
        <v>79</v>
      </c>
      <c r="M2555" s="1" t="str">
        <f>IFERROR(__xludf.DUMMYFUNCTION("""COMPUTED_VALUE"""),"NARRA")</f>
        <v>NARRA</v>
      </c>
      <c r="N2555" s="1"/>
      <c r="O2555" s="1" t="str">
        <f>IFERROR(__xludf.DUMMYFUNCTION("""COMPUTED_VALUE"""),"SAN MIGUEL II")</f>
        <v>SAN MIGUEL II</v>
      </c>
      <c r="P2555" s="1" t="str">
        <f>IFERROR(__xludf.DUMMYFUNCTION("""COMPUTED_VALUE"""),"SILANG")</f>
        <v>SILANG</v>
      </c>
      <c r="Q2555" s="1" t="str">
        <f>IFERROR(__xludf.DUMMYFUNCTION("""COMPUTED_VALUE"""),"CAVITE")</f>
        <v>CAVITE</v>
      </c>
      <c r="R2555" s="1" t="str">
        <f>IFERROR(__xludf.DUMMYFUNCTION("""COMPUTED_VALUE"""),"FIBR UNLI ALL PLAN 999")</f>
        <v>FIBR UNLI ALL PLAN 999</v>
      </c>
      <c r="S2555" s="1" t="str">
        <f>IFERROR(__xludf.DUMMYFUNCTION("""COMPUTED_VALUE"""),"APPROVED")</f>
        <v>APPROVED</v>
      </c>
      <c r="T2555" s="1" t="str">
        <f>IFERROR(__xludf.DUMMYFUNCTION("""COMPUTED_VALUE"""),"CLOSED")</f>
        <v>CLOSED</v>
      </c>
      <c r="U2555" s="1"/>
      <c r="V2555" s="1"/>
      <c r="W2555" s="1"/>
    </row>
    <row r="2556" customHeight="1" spans="1:23">
      <c r="A2556" s="3">
        <f>IFERROR(__xludf.DUMMYFUNCTION("""COMPUTED_VALUE"""),46225)</f>
        <v>46225</v>
      </c>
      <c r="B2556" s="1" t="str">
        <f>IFERROR(__xludf.DUMMYFUNCTION("""COMPUTED_VALUE"""),"MALIWAT MARK ELVIN")</f>
        <v>MALIWAT MARK ELVIN</v>
      </c>
      <c r="C2556" s="1" t="str">
        <f>IFERROR(__xludf.DUMMYFUNCTION("""COMPUTED_VALUE"""),"FLA")</f>
        <v>FLA</v>
      </c>
      <c r="D2556" s="1" t="str">
        <f>IFERROR(__xludf.DUMMYFUNCTION("""COMPUTED_VALUE"""),"JERIC NAVARRO")</f>
        <v>JERIC NAVARRO</v>
      </c>
      <c r="E2556" s="1" t="str">
        <f>IFERROR(__xludf.DUMMYFUNCTION("""COMPUTED_VALUE"""),"PLDT / ONLINE")</f>
        <v>PLDT / ONLINE</v>
      </c>
      <c r="F2556" s="1">
        <f>IFERROR(__xludf.DUMMYFUNCTION("""COMPUTED_VALUE"""),2311183303)</f>
        <v>2311183303</v>
      </c>
      <c r="G2556" s="1">
        <f>IFERROR(__xludf.DUMMYFUNCTION("""COMPUTED_VALUE"""),463643063004)</f>
        <v>463643063004</v>
      </c>
      <c r="H2556" s="1" t="str">
        <f>IFERROR(__xludf.DUMMYFUNCTION("""COMPUTED_VALUE"""),"JUDY ANN ROSAL MERCADO")</f>
        <v>JUDY ANN ROSAL MERCADO</v>
      </c>
      <c r="I2556" s="1">
        <f>IFERROR(__xludf.DUMMYFUNCTION("""COMPUTED_VALUE"""),9615074093)</f>
        <v>9615074093</v>
      </c>
      <c r="J2556" s="1">
        <f>IFERROR(__xludf.DUMMYFUNCTION("""COMPUTED_VALUE"""),9611800528)</f>
        <v>9611800528</v>
      </c>
      <c r="K2556" s="1" t="str">
        <f>IFERROR(__xludf.DUMMYFUNCTION("""COMPUTED_VALUE"""),"judyannmercado022@gmail.com")</f>
        <v>judyannmercado022@gmail.com</v>
      </c>
      <c r="L2556" s="1" t="str">
        <f>IFERROR(__xludf.DUMMYFUNCTION("""COMPUTED_VALUE"""),"9082")</f>
        <v>9082</v>
      </c>
      <c r="M2556" s="1" t="str">
        <f>IFERROR(__xludf.DUMMYFUNCTION("""COMPUTED_VALUE"""),"PUROK 2")</f>
        <v>PUROK 2</v>
      </c>
      <c r="N2556" s="1"/>
      <c r="O2556" s="1" t="str">
        <f>IFERROR(__xludf.DUMMYFUNCTION("""COMPUTED_VALUE"""),"CABANGAAN")</f>
        <v>CABANGAAN</v>
      </c>
      <c r="P2556" s="1" t="str">
        <f>IFERROR(__xludf.DUMMYFUNCTION("""COMPUTED_VALUE"""),"SILANG")</f>
        <v>SILANG</v>
      </c>
      <c r="Q2556" s="1" t="str">
        <f>IFERROR(__xludf.DUMMYFUNCTION("""COMPUTED_VALUE"""),"CAVITE")</f>
        <v>CAVITE</v>
      </c>
      <c r="R2556" s="1" t="str">
        <f>IFERROR(__xludf.DUMMYFUNCTION("""COMPUTED_VALUE"""),"FIBR PLAN 1299")</f>
        <v>FIBR PLAN 1299</v>
      </c>
      <c r="S2556" s="1" t="str">
        <f>IFERROR(__xludf.DUMMYFUNCTION("""COMPUTED_VALUE"""),"APPROVED")</f>
        <v>APPROVED</v>
      </c>
      <c r="T2556" s="1" t="str">
        <f>IFERROR(__xludf.DUMMYFUNCTION("""COMPUTED_VALUE"""),"#REF!")</f>
        <v>#REF!</v>
      </c>
      <c r="U2556" s="1"/>
      <c r="V2556" s="1"/>
      <c r="W2556" s="1"/>
    </row>
    <row r="2557" customHeight="1" spans="1:23">
      <c r="A2557" s="3">
        <f>IFERROR(__xludf.DUMMYFUNCTION("""COMPUTED_VALUE"""),46226)</f>
        <v>46226</v>
      </c>
      <c r="B2557" s="1" t="str">
        <f>IFERROR(__xludf.DUMMYFUNCTION("""COMPUTED_VALUE"""),"ESCARCHA, MA ALMA  ESCOTO")</f>
        <v>ESCARCHA, MA ALMA  ESCOTO</v>
      </c>
      <c r="C2557" s="1" t="str">
        <f>IFERROR(__xludf.DUMMYFUNCTION("""COMPUTED_VALUE"""),"ORGANIC")</f>
        <v>ORGANIC</v>
      </c>
      <c r="D2557" s="1" t="str">
        <f>IFERROR(__xludf.DUMMYFUNCTION("""COMPUTED_VALUE"""),"REMOLLO LEA")</f>
        <v>REMOLLO LEA</v>
      </c>
      <c r="E2557" s="1" t="str">
        <f>IFERROR(__xludf.DUMMYFUNCTION("""COMPUTED_VALUE"""),"PLDT / H2H")</f>
        <v>PLDT / H2H</v>
      </c>
      <c r="F2557" s="1">
        <f>IFERROR(__xludf.DUMMYFUNCTION("""COMPUTED_VALUE"""),2311204465)</f>
        <v>2311204465</v>
      </c>
      <c r="G2557" s="1">
        <f>IFERROR(__xludf.DUMMYFUNCTION("""COMPUTED_VALUE"""),463643063004)</f>
        <v>463643063004</v>
      </c>
      <c r="H2557" s="1" t="str">
        <f>IFERROR(__xludf.DUMMYFUNCTION("""COMPUTED_VALUE"""),"ROSALIE PANALIGAN NAVERO")</f>
        <v>ROSALIE PANALIGAN NAVERO</v>
      </c>
      <c r="I2557" s="1">
        <f>IFERROR(__xludf.DUMMYFUNCTION("""COMPUTED_VALUE"""),9682881769)</f>
        <v>9682881769</v>
      </c>
      <c r="J2557" s="1"/>
      <c r="K2557" s="1" t="str">
        <f>IFERROR(__xludf.DUMMYFUNCTION("""COMPUTED_VALUE"""),"rosenovero91@gmail.com")</f>
        <v>rosenovero91@gmail.com</v>
      </c>
      <c r="L2557" s="1" t="str">
        <f>IFERROR(__xludf.DUMMYFUNCTION("""COMPUTED_VALUE"""),"10")</f>
        <v>10</v>
      </c>
      <c r="M2557" s="1" t="str">
        <f>IFERROR(__xludf.DUMMYFUNCTION("""COMPUTED_VALUE"""),"PUROK 161")</f>
        <v>PUROK 161</v>
      </c>
      <c r="N2557" s="1"/>
      <c r="O2557" s="1" t="str">
        <f>IFERROR(__xludf.DUMMYFUNCTION("""COMPUTED_VALUE"""),"SAN JOSE")</f>
        <v>SAN JOSE</v>
      </c>
      <c r="P2557" s="1" t="str">
        <f>IFERROR(__xludf.DUMMYFUNCTION("""COMPUTED_VALUE"""),"TAGAYTAY")</f>
        <v>TAGAYTAY</v>
      </c>
      <c r="Q2557" s="1" t="str">
        <f>IFERROR(__xludf.DUMMYFUNCTION("""COMPUTED_VALUE"""),"CAVITE")</f>
        <v>CAVITE</v>
      </c>
      <c r="R2557" s="1" t="str">
        <f>IFERROR(__xludf.DUMMYFUNCTION("""COMPUTED_VALUE"""),"FIBR UNLI ALL PLAN 1499")</f>
        <v>FIBR UNLI ALL PLAN 1499</v>
      </c>
      <c r="S2557" s="1" t="str">
        <f>IFERROR(__xludf.DUMMYFUNCTION("""COMPUTED_VALUE"""),"APPROVED")</f>
        <v>APPROVED</v>
      </c>
      <c r="T2557" s="1" t="str">
        <f>IFERROR(__xludf.DUMMYFUNCTION("""COMPUTED_VALUE"""),"CLOSED")</f>
        <v>CLOSED</v>
      </c>
      <c r="U2557" s="1" t="str">
        <f>IFERROR(__xludf.DUMMYFUNCTION("""COMPUTED_VALUE"""),"POSTED")</f>
        <v>POSTED</v>
      </c>
      <c r="V2557" s="1"/>
      <c r="W2557" s="1"/>
    </row>
    <row r="2558" customHeight="1" spans="1:23">
      <c r="A2558" s="3">
        <f>IFERROR(__xludf.DUMMYFUNCTION("""COMPUTED_VALUE"""),46226)</f>
        <v>46226</v>
      </c>
      <c r="B2558" s="1" t="str">
        <f>IFERROR(__xludf.DUMMYFUNCTION("""COMPUTED_VALUE"""),"GABAY, MANUEL")</f>
        <v>GABAY, MANUEL</v>
      </c>
      <c r="C2558" s="1" t="str">
        <f>IFERROR(__xludf.DUMMYFUNCTION("""COMPUTED_VALUE"""),"FLA")</f>
        <v>FLA</v>
      </c>
      <c r="D2558" s="1" t="str">
        <f>IFERROR(__xludf.DUMMYFUNCTION("""COMPUTED_VALUE"""),"JERIC NAVARRO")</f>
        <v>JERIC NAVARRO</v>
      </c>
      <c r="E2558" s="1" t="str">
        <f>IFERROR(__xludf.DUMMYFUNCTION("""COMPUTED_VALUE"""),"PLDT / H2H")</f>
        <v>PLDT / H2H</v>
      </c>
      <c r="F2558" s="1">
        <f>IFERROR(__xludf.DUMMYFUNCTION("""COMPUTED_VALUE"""),2311204962)</f>
        <v>2311204962</v>
      </c>
      <c r="G2558" s="1">
        <f>IFERROR(__xludf.DUMMYFUNCTION("""COMPUTED_VALUE"""),463751462004)</f>
        <v>463751462004</v>
      </c>
      <c r="H2558" s="1" t="str">
        <f>IFERROR(__xludf.DUMMYFUNCTION("""COMPUTED_VALUE"""),"JEFFREY LIGSA PANGANIBAN")</f>
        <v>JEFFREY LIGSA PANGANIBAN</v>
      </c>
      <c r="I2558" s="1">
        <f>IFERROR(__xludf.DUMMYFUNCTION("""COMPUTED_VALUE"""),9435659183)</f>
        <v>9435659183</v>
      </c>
      <c r="J2558" s="1">
        <f>IFERROR(__xludf.DUMMYFUNCTION("""COMPUTED_VALUE"""),9495934254)</f>
        <v>9495934254</v>
      </c>
      <c r="K2558" s="1" t="str">
        <f>IFERROR(__xludf.DUMMYFUNCTION("""COMPUTED_VALUE"""),"impoyers@gmail.com")</f>
        <v>impoyers@gmail.com</v>
      </c>
      <c r="L2558" s="1" t="str">
        <f>IFERROR(__xludf.DUMMYFUNCTION("""COMPUTED_VALUE"""),"34a")</f>
        <v>34a</v>
      </c>
      <c r="M2558" s="1" t="str">
        <f>IFERROR(__xludf.DUMMYFUNCTION("""COMPUTED_VALUE"""),"PUROK 2")</f>
        <v>PUROK 2</v>
      </c>
      <c r="N2558" s="1"/>
      <c r="O2558" s="1" t="str">
        <f>IFERROR(__xludf.DUMMYFUNCTION("""COMPUTED_VALUE"""),"MATAGBAK II")</f>
        <v>MATAGBAK II</v>
      </c>
      <c r="P2558" s="1" t="str">
        <f>IFERROR(__xludf.DUMMYFUNCTION("""COMPUTED_VALUE"""),"ALFONSO")</f>
        <v>ALFONSO</v>
      </c>
      <c r="Q2558" s="1" t="str">
        <f>IFERROR(__xludf.DUMMYFUNCTION("""COMPUTED_VALUE"""),"CAVITE")</f>
        <v>CAVITE</v>
      </c>
      <c r="R2558" s="1" t="str">
        <f>IFERROR(__xludf.DUMMYFUNCTION("""COMPUTED_VALUE"""),"FIBR NETFLIX PLAN 1599")</f>
        <v>FIBR NETFLIX PLAN 1599</v>
      </c>
      <c r="S2558" s="1" t="str">
        <f>IFERROR(__xludf.DUMMYFUNCTION("""COMPUTED_VALUE"""),"APPROVED")</f>
        <v>APPROVED</v>
      </c>
      <c r="T2558" s="1" t="str">
        <f>IFERROR(__xludf.DUMMYFUNCTION("""COMPUTED_VALUE"""),"CLOSED")</f>
        <v>CLOSED</v>
      </c>
      <c r="U2558" s="1" t="str">
        <f>IFERROR(__xludf.DUMMYFUNCTION("""COMPUTED_VALUE"""),"POSTED")</f>
        <v>POSTED</v>
      </c>
      <c r="V2558" s="1"/>
      <c r="W2558" s="1"/>
    </row>
    <row r="2559" customHeight="1" spans="1:23">
      <c r="A2559" s="3">
        <f>IFERROR(__xludf.DUMMYFUNCTION("""COMPUTED_VALUE"""),46226)</f>
        <v>46226</v>
      </c>
      <c r="B2559" s="1" t="str">
        <f>IFERROR(__xludf.DUMMYFUNCTION("""COMPUTED_VALUE"""),"FRANCISCO , ROSELYN")</f>
        <v>FRANCISCO , ROSELYN</v>
      </c>
      <c r="C2559" s="1" t="str">
        <f>IFERROR(__xludf.DUMMYFUNCTION("""COMPUTED_VALUE"""),"ORGANIC")</f>
        <v>ORGANIC</v>
      </c>
      <c r="D2559" s="1" t="str">
        <f>IFERROR(__xludf.DUMMYFUNCTION("""COMPUTED_VALUE"""),"REMOLLO LEA")</f>
        <v>REMOLLO LEA</v>
      </c>
      <c r="E2559" s="1" t="str">
        <f>IFERROR(__xludf.DUMMYFUNCTION("""COMPUTED_VALUE"""),"PLDT / H2H")</f>
        <v>PLDT / H2H</v>
      </c>
      <c r="F2559" s="1">
        <f>IFERROR(__xludf.DUMMYFUNCTION("""COMPUTED_VALUE"""),2311205333)</f>
        <v>2311205333</v>
      </c>
      <c r="G2559" s="1">
        <f>IFERROR(__xludf.DUMMYFUNCTION("""COMPUTED_VALUE"""),463752171004)</f>
        <v>463752171004</v>
      </c>
      <c r="H2559" s="1" t="str">
        <f>IFERROR(__xludf.DUMMYFUNCTION("""COMPUTED_VALUE"""),"KHEA JANEEN DILLO ROMEROSO")</f>
        <v>KHEA JANEEN DILLO ROMEROSO</v>
      </c>
      <c r="I2559" s="1">
        <f>IFERROR(__xludf.DUMMYFUNCTION("""COMPUTED_VALUE"""),9925945137)</f>
        <v>9925945137</v>
      </c>
      <c r="J2559" s="1">
        <f>IFERROR(__xludf.DUMMYFUNCTION("""COMPUTED_VALUE"""),9703139696)</f>
        <v>9703139696</v>
      </c>
      <c r="K2559" s="1" t="str">
        <f>IFERROR(__xludf.DUMMYFUNCTION("""COMPUTED_VALUE"""),"romerosokheajaneend@gmail.com")</f>
        <v>romerosokheajaneend@gmail.com</v>
      </c>
      <c r="L2559" s="1" t="str">
        <f>IFERROR(__xludf.DUMMYFUNCTION("""COMPUTED_VALUE"""),"489")</f>
        <v>489</v>
      </c>
      <c r="M2559" s="1" t="str">
        <f>IFERROR(__xludf.DUMMYFUNCTION("""COMPUTED_VALUE"""),"PUROK 3")</f>
        <v>PUROK 3</v>
      </c>
      <c r="N2559" s="1"/>
      <c r="O2559" s="1" t="str">
        <f>IFERROR(__xludf.DUMMYFUNCTION("""COMPUTED_VALUE"""),"MARAHAN I")</f>
        <v>MARAHAN I</v>
      </c>
      <c r="P2559" s="1" t="str">
        <f>IFERROR(__xludf.DUMMYFUNCTION("""COMPUTED_VALUE"""),"ALFONSO")</f>
        <v>ALFONSO</v>
      </c>
      <c r="Q2559" s="1" t="str">
        <f>IFERROR(__xludf.DUMMYFUNCTION("""COMPUTED_VALUE"""),"CAVITE")</f>
        <v>CAVITE</v>
      </c>
      <c r="R2559" s="1" t="str">
        <f>IFERROR(__xludf.DUMMYFUNCTION("""COMPUTED_VALUE"""),"FIBR UNLI ALL PLAN 999")</f>
        <v>FIBR UNLI ALL PLAN 999</v>
      </c>
      <c r="S2559" s="1" t="str">
        <f>IFERROR(__xludf.DUMMYFUNCTION("""COMPUTED_VALUE"""),"APPROVED")</f>
        <v>APPROVED</v>
      </c>
      <c r="T2559" s="1" t="str">
        <f>IFERROR(__xludf.DUMMYFUNCTION("""COMPUTED_VALUE"""),"CANCELLED")</f>
        <v>CANCELLED</v>
      </c>
      <c r="U2559" s="1"/>
      <c r="V2559" s="1"/>
      <c r="W2559" s="1"/>
    </row>
    <row r="2560" customHeight="1" spans="1:23">
      <c r="A2560" s="3">
        <f>IFERROR(__xludf.DUMMYFUNCTION("""COMPUTED_VALUE"""),46226)</f>
        <v>46226</v>
      </c>
      <c r="B2560" s="1" t="str">
        <f>IFERROR(__xludf.DUMMYFUNCTION("""COMPUTED_VALUE"""),"MALIWAT MARK ELVIN")</f>
        <v>MALIWAT MARK ELVIN</v>
      </c>
      <c r="C2560" s="1" t="str">
        <f>IFERROR(__xludf.DUMMYFUNCTION("""COMPUTED_VALUE"""),"FLA")</f>
        <v>FLA</v>
      </c>
      <c r="D2560" s="1" t="str">
        <f>IFERROR(__xludf.DUMMYFUNCTION("""COMPUTED_VALUE"""),"JERIC NAVARRO")</f>
        <v>JERIC NAVARRO</v>
      </c>
      <c r="E2560" s="1" t="str">
        <f>IFERROR(__xludf.DUMMYFUNCTION("""COMPUTED_VALUE"""),"PLDT / ONLINE")</f>
        <v>PLDT / ONLINE</v>
      </c>
      <c r="F2560" s="1">
        <f>IFERROR(__xludf.DUMMYFUNCTION("""COMPUTED_VALUE"""),2311205710)</f>
        <v>2311205710</v>
      </c>
      <c r="G2560" s="1">
        <f>IFERROR(__xludf.DUMMYFUNCTION("""COMPUTED_VALUE"""),463754700004)</f>
        <v>463754700004</v>
      </c>
      <c r="H2560" s="1" t="str">
        <f>IFERROR(__xludf.DUMMYFUNCTION("""COMPUTED_VALUE"""),"CATHERINE COLOT")</f>
        <v>CATHERINE COLOT</v>
      </c>
      <c r="I2560" s="1">
        <f>IFERROR(__xludf.DUMMYFUNCTION("""COMPUTED_VALUE"""),9506315799)</f>
        <v>9506315799</v>
      </c>
      <c r="J2560" s="1">
        <f>IFERROR(__xludf.DUMMYFUNCTION("""COMPUTED_VALUE"""),9530981132)</f>
        <v>9530981132</v>
      </c>
      <c r="K2560" s="1" t="str">
        <f>IFERROR(__xludf.DUMMYFUNCTION("""COMPUTED_VALUE"""),"catherinecolot18@gmail.com")</f>
        <v>catherinecolot18@gmail.com</v>
      </c>
      <c r="L2560" s="1" t="str">
        <f>IFERROR(__xludf.DUMMYFUNCTION("""COMPUTED_VALUE"""),"279")</f>
        <v>279</v>
      </c>
      <c r="M2560" s="1" t="str">
        <f>IFERROR(__xludf.DUMMYFUNCTION("""COMPUTED_VALUE"""),"PIER")</f>
        <v>PIER</v>
      </c>
      <c r="N2560" s="1" t="str">
        <f>IFERROR(__xludf.DUMMYFUNCTION("""COMPUTED_VALUE"""),"ROSAMNTA APART")</f>
        <v>ROSAMNTA APART</v>
      </c>
      <c r="O2560" s="1" t="str">
        <f>IFERROR(__xludf.DUMMYFUNCTION("""COMPUTED_VALUE"""),"MARAHAN I")</f>
        <v>MARAHAN I</v>
      </c>
      <c r="P2560" s="1" t="str">
        <f>IFERROR(__xludf.DUMMYFUNCTION("""COMPUTED_VALUE"""),"ALFONSO")</f>
        <v>ALFONSO</v>
      </c>
      <c r="Q2560" s="1" t="str">
        <f>IFERROR(__xludf.DUMMYFUNCTION("""COMPUTED_VALUE"""),"CAVITE")</f>
        <v>CAVITE</v>
      </c>
      <c r="R2560" s="1" t="str">
        <f>IFERROR(__xludf.DUMMYFUNCTION("""COMPUTED_VALUE"""),"FIBR PLAN 1299")</f>
        <v>FIBR PLAN 1299</v>
      </c>
      <c r="S2560" s="1" t="str">
        <f>IFERROR(__xludf.DUMMYFUNCTION("""COMPUTED_VALUE"""),"APPROVED")</f>
        <v>APPROVED</v>
      </c>
      <c r="T2560" s="1" t="str">
        <f>IFERROR(__xludf.DUMMYFUNCTION("""COMPUTED_VALUE"""),"CLOSED")</f>
        <v>CLOSED</v>
      </c>
      <c r="U2560" s="1" t="str">
        <f>IFERROR(__xludf.DUMMYFUNCTION("""COMPUTED_VALUE"""),"POSTED")</f>
        <v>POSTED</v>
      </c>
      <c r="V2560" s="1"/>
      <c r="W2560" s="1"/>
    </row>
    <row r="2561" customHeight="1" spans="1:23">
      <c r="A2561" s="3">
        <f>IFERROR(__xludf.DUMMYFUNCTION("""COMPUTED_VALUE"""),46226)</f>
        <v>46226</v>
      </c>
      <c r="B2561" s="1" t="str">
        <f>IFERROR(__xludf.DUMMYFUNCTION("""COMPUTED_VALUE"""),"FRANCISCO , ROSELYN")</f>
        <v>FRANCISCO , ROSELYN</v>
      </c>
      <c r="C2561" s="1" t="str">
        <f>IFERROR(__xludf.DUMMYFUNCTION("""COMPUTED_VALUE"""),"ORGANIC")</f>
        <v>ORGANIC</v>
      </c>
      <c r="D2561" s="1" t="str">
        <f>IFERROR(__xludf.DUMMYFUNCTION("""COMPUTED_VALUE"""),"REMOLLO LEA")</f>
        <v>REMOLLO LEA</v>
      </c>
      <c r="E2561" s="1" t="str">
        <f>IFERROR(__xludf.DUMMYFUNCTION("""COMPUTED_VALUE"""),"PLDT / ONLINE")</f>
        <v>PLDT / ONLINE</v>
      </c>
      <c r="F2561" s="1">
        <f>IFERROR(__xludf.DUMMYFUNCTION("""COMPUTED_VALUE"""),2311206202)</f>
        <v>2311206202</v>
      </c>
      <c r="G2561" s="1">
        <f>IFERROR(__xludf.DUMMYFUNCTION("""COMPUTED_VALUE"""),463753250004)</f>
        <v>463753250004</v>
      </c>
      <c r="H2561" s="1" t="str">
        <f>IFERROR(__xludf.DUMMYFUNCTION("""COMPUTED_VALUE"""),"JAMES EDWARD MIRANDA SANTIAGO")</f>
        <v>JAMES EDWARD MIRANDA SANTIAGO</v>
      </c>
      <c r="I2561" s="1">
        <f>IFERROR(__xludf.DUMMYFUNCTION("""COMPUTED_VALUE"""),9685938287)</f>
        <v>9685938287</v>
      </c>
      <c r="J2561" s="1"/>
      <c r="K2561" s="1" t="str">
        <f>IFERROR(__xludf.DUMMYFUNCTION("""COMPUTED_VALUE"""),"jamescutesantigao@gmail.com")</f>
        <v>jamescutesantigao@gmail.com</v>
      </c>
      <c r="L2561" s="1" t="str">
        <f>IFERROR(__xludf.DUMMYFUNCTION("""COMPUTED_VALUE"""),"206")</f>
        <v>206</v>
      </c>
      <c r="M2561" s="1" t="str">
        <f>IFERROR(__xludf.DUMMYFUNCTION("""COMPUTED_VALUE"""),"MANALAC")</f>
        <v>MANALAC</v>
      </c>
      <c r="N2561" s="1"/>
      <c r="O2561" s="1" t="str">
        <f>IFERROR(__xludf.DUMMYFUNCTION("""COMPUTED_VALUE"""),"BARANGAY 54-A (PECHAY A)")</f>
        <v>BARANGAY 54-A (PECHAY A)</v>
      </c>
      <c r="P2561" s="1" t="str">
        <f>IFERROR(__xludf.DUMMYFUNCTION("""COMPUTED_VALUE"""),"CAVITE CITY")</f>
        <v>CAVITE CITY</v>
      </c>
      <c r="Q2561" s="1" t="str">
        <f>IFERROR(__xludf.DUMMYFUNCTION("""COMPUTED_VALUE"""),"CAVITE")</f>
        <v>CAVITE</v>
      </c>
      <c r="R2561" s="1" t="str">
        <f>IFERROR(__xludf.DUMMYFUNCTION("""COMPUTED_VALUE"""),"FIBR PLAN 1299")</f>
        <v>FIBR PLAN 1299</v>
      </c>
      <c r="S2561" s="1" t="str">
        <f>IFERROR(__xludf.DUMMYFUNCTION("""COMPUTED_VALUE"""),"APPROVED")</f>
        <v>APPROVED</v>
      </c>
      <c r="T2561" s="1" t="str">
        <f>IFERROR(__xludf.DUMMYFUNCTION("""COMPUTED_VALUE"""),"CLOSED")</f>
        <v>CLOSED</v>
      </c>
      <c r="U2561" s="1" t="str">
        <f>IFERROR(__xludf.DUMMYFUNCTION("""COMPUTED_VALUE"""),"POSTED")</f>
        <v>POSTED</v>
      </c>
      <c r="V2561" s="1"/>
      <c r="W2561" s="1"/>
    </row>
    <row r="2562" customHeight="1" spans="1:23">
      <c r="A2562" s="3">
        <f>IFERROR(__xludf.DUMMYFUNCTION("""COMPUTED_VALUE"""),46226)</f>
        <v>46226</v>
      </c>
      <c r="B2562" s="1" t="str">
        <f>IFERROR(__xludf.DUMMYFUNCTION("""COMPUTED_VALUE"""),"FRANCISCO , ROSELYN")</f>
        <v>FRANCISCO , ROSELYN</v>
      </c>
      <c r="C2562" s="1" t="str">
        <f>IFERROR(__xludf.DUMMYFUNCTION("""COMPUTED_VALUE"""),"ORGANIC")</f>
        <v>ORGANIC</v>
      </c>
      <c r="D2562" s="1" t="str">
        <f>IFERROR(__xludf.DUMMYFUNCTION("""COMPUTED_VALUE"""),"REMOLLO LEA")</f>
        <v>REMOLLO LEA</v>
      </c>
      <c r="E2562" s="1" t="str">
        <f>IFERROR(__xludf.DUMMYFUNCTION("""COMPUTED_VALUE"""),"PLDT / H2H")</f>
        <v>PLDT / H2H</v>
      </c>
      <c r="F2562" s="1">
        <f>IFERROR(__xludf.DUMMYFUNCTION("""COMPUTED_VALUE"""),2311208139)</f>
        <v>2311208139</v>
      </c>
      <c r="G2562" s="1">
        <f>IFERROR(__xludf.DUMMYFUNCTION("""COMPUTED_VALUE"""),463758294004)</f>
        <v>463758294004</v>
      </c>
      <c r="H2562" s="1" t="str">
        <f>IFERROR(__xludf.DUMMYFUNCTION("""COMPUTED_VALUE"""),"JHON RAYMOND DILLO ROMEROSO")</f>
        <v>JHON RAYMOND DILLO ROMEROSO</v>
      </c>
      <c r="I2562" s="1">
        <f>IFERROR(__xludf.DUMMYFUNCTION("""COMPUTED_VALUE"""),9562471361)</f>
        <v>9562471361</v>
      </c>
      <c r="J2562" s="1">
        <f>IFERROR(__xludf.DUMMYFUNCTION("""COMPUTED_VALUE"""),9703139696)</f>
        <v>9703139696</v>
      </c>
      <c r="K2562" s="1" t="str">
        <f>IFERROR(__xludf.DUMMYFUNCTION("""COMPUTED_VALUE"""),"mhondzromeroso@gmail.com")</f>
        <v>mhondzromeroso@gmail.com</v>
      </c>
      <c r="L2562" s="1" t="str">
        <f>IFERROR(__xludf.DUMMYFUNCTION("""COMPUTED_VALUE"""),"488")</f>
        <v>488</v>
      </c>
      <c r="M2562" s="1" t="str">
        <f>IFERROR(__xludf.DUMMYFUNCTION("""COMPUTED_VALUE"""),"PUROK 3")</f>
        <v>PUROK 3</v>
      </c>
      <c r="N2562" s="1"/>
      <c r="O2562" s="1" t="str">
        <f>IFERROR(__xludf.DUMMYFUNCTION("""COMPUTED_VALUE"""),"MARAHAN I")</f>
        <v>MARAHAN I</v>
      </c>
      <c r="P2562" s="1" t="str">
        <f>IFERROR(__xludf.DUMMYFUNCTION("""COMPUTED_VALUE"""),"ALFONSO")</f>
        <v>ALFONSO</v>
      </c>
      <c r="Q2562" s="1" t="str">
        <f>IFERROR(__xludf.DUMMYFUNCTION("""COMPUTED_VALUE"""),"CAVITE")</f>
        <v>CAVITE</v>
      </c>
      <c r="R2562" s="1" t="str">
        <f>IFERROR(__xludf.DUMMYFUNCTION("""COMPUTED_VALUE"""),"FIBR UNLI ALL PLAN 999")</f>
        <v>FIBR UNLI ALL PLAN 999</v>
      </c>
      <c r="S2562" s="1" t="str">
        <f>IFERROR(__xludf.DUMMYFUNCTION("""COMPUTED_VALUE"""),"APPROVED")</f>
        <v>APPROVED</v>
      </c>
      <c r="T2562" s="1" t="str">
        <f>IFERROR(__xludf.DUMMYFUNCTION("""COMPUTED_VALUE"""),"AFD")</f>
        <v>AFD</v>
      </c>
      <c r="U2562" s="1"/>
      <c r="V2562" s="1"/>
      <c r="W2562" s="1"/>
    </row>
    <row r="2563" customHeight="1" spans="1:23">
      <c r="A2563" s="3">
        <f>IFERROR(__xludf.DUMMYFUNCTION("""COMPUTED_VALUE"""),46226)</f>
        <v>46226</v>
      </c>
      <c r="B2563" s="1" t="str">
        <f>IFERROR(__xludf.DUMMYFUNCTION("""COMPUTED_VALUE"""),"AYON MANUEL")</f>
        <v>AYON MANUEL</v>
      </c>
      <c r="C2563" s="1" t="str">
        <f>IFERROR(__xludf.DUMMYFUNCTION("""COMPUTED_VALUE"""),"FLA")</f>
        <v>FLA</v>
      </c>
      <c r="D2563" s="1" t="str">
        <f>IFERROR(__xludf.DUMMYFUNCTION("""COMPUTED_VALUE"""),"JERIC NAVARRO")</f>
        <v>JERIC NAVARRO</v>
      </c>
      <c r="E2563" s="1" t="str">
        <f>IFERROR(__xludf.DUMMYFUNCTION("""COMPUTED_VALUE"""),"RED FIBER")</f>
        <v>RED FIBER</v>
      </c>
      <c r="F2563" s="1"/>
      <c r="G2563" s="1"/>
      <c r="H2563" s="1" t="str">
        <f>IFERROR(__xludf.DUMMYFUNCTION("""COMPUTED_VALUE"""),"MAY PADRONES APEROCHO")</f>
        <v>MAY PADRONES APEROCHO</v>
      </c>
      <c r="I2563" s="1">
        <f>IFERROR(__xludf.DUMMYFUNCTION("""COMPUTED_VALUE"""),9951288992)</f>
        <v>9951288992</v>
      </c>
      <c r="J2563" s="1">
        <f>IFERROR(__xludf.DUMMYFUNCTION("""COMPUTED_VALUE"""),9677159177)</f>
        <v>9677159177</v>
      </c>
      <c r="K2563" s="1" t="str">
        <f>IFERROR(__xludf.DUMMYFUNCTION("""COMPUTED_VALUE"""),"mayaperocho4@gmail.com")</f>
        <v>mayaperocho4@gmail.com</v>
      </c>
      <c r="L2563" s="1" t="str">
        <f>IFERROR(__xludf.DUMMYFUNCTION("""COMPUTED_VALUE"""),"1290")</f>
        <v>1290</v>
      </c>
      <c r="M2563" s="1" t="str">
        <f>IFERROR(__xludf.DUMMYFUNCTION("""COMPUTED_VALUE"""),"EMILLIO AGUINALDO")</f>
        <v>EMILLIO AGUINALDO</v>
      </c>
      <c r="N2563" s="1"/>
      <c r="O2563" s="1" t="str">
        <f>IFERROR(__xludf.DUMMYFUNCTION("""COMPUTED_VALUE"""),"BUHO")</f>
        <v>BUHO</v>
      </c>
      <c r="P2563" s="1" t="str">
        <f>IFERROR(__xludf.DUMMYFUNCTION("""COMPUTED_VALUE"""),"SILANG")</f>
        <v>SILANG</v>
      </c>
      <c r="Q2563" s="1" t="str">
        <f>IFERROR(__xludf.DUMMYFUNCTION("""COMPUTED_VALUE"""),"CAVITE")</f>
        <v>CAVITE</v>
      </c>
      <c r="R2563" s="1" t="str">
        <f>IFERROR(__xludf.DUMMYFUNCTION("""COMPUTED_VALUE"""),"RED PLAN 1000")</f>
        <v>RED PLAN 1000</v>
      </c>
      <c r="S2563" s="1" t="str">
        <f>IFERROR(__xludf.DUMMYFUNCTION("""COMPUTED_VALUE"""),"APPROVED")</f>
        <v>APPROVED</v>
      </c>
      <c r="T2563" s="1" t="str">
        <f>IFERROR(__xludf.DUMMYFUNCTION("""COMPUTED_VALUE"""),"#N/A")</f>
        <v>#N/A</v>
      </c>
      <c r="U2563" s="1"/>
      <c r="V2563" s="1"/>
      <c r="W2563" s="1"/>
    </row>
    <row r="2564" customHeight="1" spans="1:23">
      <c r="A2564" s="3">
        <f>IFERROR(__xludf.DUMMYFUNCTION("""COMPUTED_VALUE"""),46226)</f>
        <v>46226</v>
      </c>
      <c r="B2564" s="1" t="str">
        <f>IFERROR(__xludf.DUMMYFUNCTION("""COMPUTED_VALUE"""),"FRONDEZ, JEDREFF")</f>
        <v>FRONDEZ, JEDREFF</v>
      </c>
      <c r="C2564" s="1" t="str">
        <f>IFERROR(__xludf.DUMMYFUNCTION("""COMPUTED_VALUE"""),"ORGANIC")</f>
        <v>ORGANIC</v>
      </c>
      <c r="D2564" s="1" t="str">
        <f>IFERROR(__xludf.DUMMYFUNCTION("""COMPUTED_VALUE"""),"REMOLLO LEA")</f>
        <v>REMOLLO LEA</v>
      </c>
      <c r="E2564" s="1" t="str">
        <f>IFERROR(__xludf.DUMMYFUNCTION("""COMPUTED_VALUE"""),"PLDT / H2H")</f>
        <v>PLDT / H2H</v>
      </c>
      <c r="F2564" s="1">
        <f>IFERROR(__xludf.DUMMYFUNCTION("""COMPUTED_VALUE"""),2311209442)</f>
        <v>2311209442</v>
      </c>
      <c r="G2564" s="1">
        <f>IFERROR(__xludf.DUMMYFUNCTION("""COMPUTED_VALUE"""),463760319004)</f>
        <v>463760319004</v>
      </c>
      <c r="H2564" s="1" t="str">
        <f>IFERROR(__xludf.DUMMYFUNCTION("""COMPUTED_VALUE"""),"HAYDEE MORILLO GALIT")</f>
        <v>HAYDEE MORILLO GALIT</v>
      </c>
      <c r="I2564" s="1">
        <f>IFERROR(__xludf.DUMMYFUNCTION("""COMPUTED_VALUE"""),9539763973)</f>
        <v>9539763973</v>
      </c>
      <c r="J2564" s="1">
        <f>IFERROR(__xludf.DUMMYFUNCTION("""COMPUTED_VALUE"""),9810820013)</f>
        <v>9810820013</v>
      </c>
      <c r="K2564" s="1" t="str">
        <f>IFERROR(__xludf.DUMMYFUNCTION("""COMPUTED_VALUE"""),"haydeegalit2@gmail.com")</f>
        <v>haydeegalit2@gmail.com</v>
      </c>
      <c r="L2564" s="1" t="str">
        <f>IFERROR(__xludf.DUMMYFUNCTION("""COMPUTED_VALUE"""),"9007")</f>
        <v>9007</v>
      </c>
      <c r="M2564" s="1" t="str">
        <f>IFERROR(__xludf.DUMMYFUNCTION("""COMPUTED_VALUE"""),"PUROK 3")</f>
        <v>PUROK 3</v>
      </c>
      <c r="N2564" s="1"/>
      <c r="O2564" s="1" t="str">
        <f>IFERROR(__xludf.DUMMYFUNCTION("""COMPUTED_VALUE"""),"KALUBKOB")</f>
        <v>KALUBKOB</v>
      </c>
      <c r="P2564" s="1" t="str">
        <f>IFERROR(__xludf.DUMMYFUNCTION("""COMPUTED_VALUE"""),"SILANG")</f>
        <v>SILANG</v>
      </c>
      <c r="Q2564" s="1" t="str">
        <f>IFERROR(__xludf.DUMMYFUNCTION("""COMPUTED_VALUE"""),"CAVITE")</f>
        <v>CAVITE</v>
      </c>
      <c r="R2564" s="1" t="str">
        <f>IFERROR(__xludf.DUMMYFUNCTION("""COMPUTED_VALUE"""),"FIBR UNLI ALL PLAN 999")</f>
        <v>FIBR UNLI ALL PLAN 999</v>
      </c>
      <c r="S2564" s="1" t="str">
        <f>IFERROR(__xludf.DUMMYFUNCTION("""COMPUTED_VALUE"""),"APPROVED")</f>
        <v>APPROVED</v>
      </c>
      <c r="T2564" s="1" t="str">
        <f>IFERROR(__xludf.DUMMYFUNCTION("""COMPUTED_VALUE"""),"CANCELLED")</f>
        <v>CANCELLED</v>
      </c>
      <c r="U2564" s="1"/>
      <c r="V2564" s="1"/>
      <c r="W2564" s="1"/>
    </row>
    <row r="2565" customHeight="1" spans="1:23">
      <c r="A2565" s="3">
        <f>IFERROR(__xludf.DUMMYFUNCTION("""COMPUTED_VALUE"""),46226)</f>
        <v>46226</v>
      </c>
      <c r="B2565" s="1" t="str">
        <f>IFERROR(__xludf.DUMMYFUNCTION("""COMPUTED_VALUE"""),"CASTILLEJOS, ARREL")</f>
        <v>CASTILLEJOS, ARREL</v>
      </c>
      <c r="C2565" s="1" t="str">
        <f>IFERROR(__xludf.DUMMYFUNCTION("""COMPUTED_VALUE"""),"ORGANIC")</f>
        <v>ORGANIC</v>
      </c>
      <c r="D2565" s="1" t="str">
        <f>IFERROR(__xludf.DUMMYFUNCTION("""COMPUTED_VALUE"""),"REMOLLO LEA")</f>
        <v>REMOLLO LEA</v>
      </c>
      <c r="E2565" s="1" t="str">
        <f>IFERROR(__xludf.DUMMYFUNCTION("""COMPUTED_VALUE"""),"PLDT / H2H")</f>
        <v>PLDT / H2H</v>
      </c>
      <c r="F2565" s="1">
        <f>IFERROR(__xludf.DUMMYFUNCTION("""COMPUTED_VALUE"""),2311210093)</f>
        <v>2311210093</v>
      </c>
      <c r="G2565" s="1"/>
      <c r="H2565" s="1" t="str">
        <f>IFERROR(__xludf.DUMMYFUNCTION("""COMPUTED_VALUE"""),"JOYCE CHRISTINE MANALO BRAGADO")</f>
        <v>JOYCE CHRISTINE MANALO BRAGADO</v>
      </c>
      <c r="I2565" s="1">
        <f>IFERROR(__xludf.DUMMYFUNCTION("""COMPUTED_VALUE"""),9537927796)</f>
        <v>9537927796</v>
      </c>
      <c r="J2565" s="1">
        <f>IFERROR(__xludf.DUMMYFUNCTION("""COMPUTED_VALUE"""),9351238807)</f>
        <v>9351238807</v>
      </c>
      <c r="K2565" s="1" t="str">
        <f>IFERROR(__xludf.DUMMYFUNCTION("""COMPUTED_VALUE"""),"joycebragado34@gmail.com")</f>
        <v>joycebragado34@gmail.com</v>
      </c>
      <c r="L2565" s="1" t="str">
        <f>IFERROR(__xludf.DUMMYFUNCTION("""COMPUTED_VALUE"""),"263")</f>
        <v>263</v>
      </c>
      <c r="M2565" s="1" t="str">
        <f>IFERROR(__xludf.DUMMYFUNCTION("""COMPUTED_VALUE"""),"PUROK 5")</f>
        <v>PUROK 5</v>
      </c>
      <c r="N2565" s="1"/>
      <c r="O2565" s="1" t="str">
        <f>IFERROR(__xludf.DUMMYFUNCTION("""COMPUTED_VALUE"""),"LITLIT")</f>
        <v>LITLIT</v>
      </c>
      <c r="P2565" s="1" t="str">
        <f>IFERROR(__xludf.DUMMYFUNCTION("""COMPUTED_VALUE"""),"SILANG")</f>
        <v>SILANG</v>
      </c>
      <c r="Q2565" s="1" t="str">
        <f>IFERROR(__xludf.DUMMYFUNCTION("""COMPUTED_VALUE"""),"CAVITE")</f>
        <v>CAVITE</v>
      </c>
      <c r="R2565" s="1" t="str">
        <f>IFERROR(__xludf.DUMMYFUNCTION("""COMPUTED_VALUE"""),"FIBR UNLI ALL PLAN 999")</f>
        <v>FIBR UNLI ALL PLAN 999</v>
      </c>
      <c r="S2565" s="1" t="str">
        <f>IFERROR(__xludf.DUMMYFUNCTION("""COMPUTED_VALUE"""),"APPROVED")</f>
        <v>APPROVED</v>
      </c>
      <c r="T2565" s="1" t="str">
        <f>IFERROR(__xludf.DUMMYFUNCTION("""COMPUTED_VALUE"""),"CANCELLED")</f>
        <v>CANCELLED</v>
      </c>
      <c r="U2565" s="1"/>
      <c r="V2565" s="1"/>
      <c r="W2565" s="1"/>
    </row>
    <row r="2566" customHeight="1" spans="1:23">
      <c r="A2566" s="3">
        <f>IFERROR(__xludf.DUMMYFUNCTION("""COMPUTED_VALUE"""),46226)</f>
        <v>46226</v>
      </c>
      <c r="B2566" s="1" t="str">
        <f>IFERROR(__xludf.DUMMYFUNCTION("""COMPUTED_VALUE"""),"MALIWAT MARK ELVIN")</f>
        <v>MALIWAT MARK ELVIN</v>
      </c>
      <c r="C2566" s="1" t="str">
        <f>IFERROR(__xludf.DUMMYFUNCTION("""COMPUTED_VALUE"""),"FLA")</f>
        <v>FLA</v>
      </c>
      <c r="D2566" s="1" t="str">
        <f>IFERROR(__xludf.DUMMYFUNCTION("""COMPUTED_VALUE"""),"JERIC NAVARRO")</f>
        <v>JERIC NAVARRO</v>
      </c>
      <c r="E2566" s="1" t="str">
        <f>IFERROR(__xludf.DUMMYFUNCTION("""COMPUTED_VALUE"""),"PLDT / ONLINE")</f>
        <v>PLDT / ONLINE</v>
      </c>
      <c r="F2566" s="1">
        <f>IFERROR(__xludf.DUMMYFUNCTION("""COMPUTED_VALUE"""),2311210814)</f>
        <v>2311210814</v>
      </c>
      <c r="G2566" s="1">
        <f>IFERROR(__xludf.DUMMYFUNCTION("""COMPUTED_VALUE"""),463760502004)</f>
        <v>463760502004</v>
      </c>
      <c r="H2566" s="1" t="str">
        <f>IFERROR(__xludf.DUMMYFUNCTION("""COMPUTED_VALUE"""),"AIRA GWENN CASIDSID LUNA")</f>
        <v>AIRA GWENN CASIDSID LUNA</v>
      </c>
      <c r="I2566" s="1">
        <f>IFERROR(__xludf.DUMMYFUNCTION("""COMPUTED_VALUE"""),9165296046)</f>
        <v>9165296046</v>
      </c>
      <c r="J2566" s="1">
        <f>IFERROR(__xludf.DUMMYFUNCTION("""COMPUTED_VALUE"""),9286943278)</f>
        <v>9286943278</v>
      </c>
      <c r="K2566" s="1" t="str">
        <f>IFERROR(__xludf.DUMMYFUNCTION("""COMPUTED_VALUE"""),"lunagwen28@gmail.com")</f>
        <v>lunagwen28@gmail.com</v>
      </c>
      <c r="L2566" s="1" t="str">
        <f>IFERROR(__xludf.DUMMYFUNCTION("""COMPUTED_VALUE"""),"1227")</f>
        <v>1227</v>
      </c>
      <c r="M2566" s="1" t="str">
        <f>IFERROR(__xludf.DUMMYFUNCTION("""COMPUTED_VALUE"""),"TOWER 1")</f>
        <v>TOWER 1</v>
      </c>
      <c r="N2566" s="1" t="str">
        <f>IFERROR(__xludf.DUMMYFUNCTION("""COMPUTED_VALUE"""),"SMDC")</f>
        <v>SMDC</v>
      </c>
      <c r="O2566" s="1" t="str">
        <f>IFERROR(__xludf.DUMMYFUNCTION("""COMPUTED_VALUE"""),"MAHARLIKA WEST")</f>
        <v>MAHARLIKA WEST</v>
      </c>
      <c r="P2566" s="1" t="str">
        <f>IFERROR(__xludf.DUMMYFUNCTION("""COMPUTED_VALUE"""),"TAGAYTAY")</f>
        <v>TAGAYTAY</v>
      </c>
      <c r="Q2566" s="1" t="str">
        <f>IFERROR(__xludf.DUMMYFUNCTION("""COMPUTED_VALUE"""),"CAVITE")</f>
        <v>CAVITE</v>
      </c>
      <c r="R2566" s="1" t="str">
        <f>IFERROR(__xludf.DUMMYFUNCTION("""COMPUTED_VALUE"""),"FIBR PLAN 1299")</f>
        <v>FIBR PLAN 1299</v>
      </c>
      <c r="S2566" s="1" t="str">
        <f>IFERROR(__xludf.DUMMYFUNCTION("""COMPUTED_VALUE"""),"APPROVED")</f>
        <v>APPROVED</v>
      </c>
      <c r="T2566" s="1" t="str">
        <f>IFERROR(__xludf.DUMMYFUNCTION("""COMPUTED_VALUE"""),"CLOSED")</f>
        <v>CLOSED</v>
      </c>
      <c r="U2566" s="1"/>
      <c r="V2566" s="1"/>
      <c r="W2566" s="1"/>
    </row>
    <row r="2567" customHeight="1" spans="1:23">
      <c r="A2567" s="3">
        <f>IFERROR(__xludf.DUMMYFUNCTION("""COMPUTED_VALUE"""),46227)</f>
        <v>46227</v>
      </c>
      <c r="B2567" s="1" t="str">
        <f>IFERROR(__xludf.DUMMYFUNCTION("""COMPUTED_VALUE"""),"MAGDARAOG, KENNETH")</f>
        <v>MAGDARAOG, KENNETH</v>
      </c>
      <c r="C2567" s="1" t="str">
        <f>IFERROR(__xludf.DUMMYFUNCTION("""COMPUTED_VALUE"""),"ORGANIC")</f>
        <v>ORGANIC</v>
      </c>
      <c r="D2567" s="1" t="str">
        <f>IFERROR(__xludf.DUMMYFUNCTION("""COMPUTED_VALUE"""),"REMOLLO LEA")</f>
        <v>REMOLLO LEA</v>
      </c>
      <c r="E2567" s="1" t="str">
        <f>IFERROR(__xludf.DUMMYFUNCTION("""COMPUTED_VALUE"""),"PLDT / H2H")</f>
        <v>PLDT / H2H</v>
      </c>
      <c r="F2567" s="1">
        <f>IFERROR(__xludf.DUMMYFUNCTION("""COMPUTED_VALUE"""),2311222965)</f>
        <v>2311222965</v>
      </c>
      <c r="G2567" s="1">
        <f>IFERROR(__xludf.DUMMYFUNCTION("""COMPUTED_VALUE"""),463900892004)</f>
        <v>463900892004</v>
      </c>
      <c r="H2567" s="1" t="str">
        <f>IFERROR(__xludf.DUMMYFUNCTION("""COMPUTED_VALUE"""),"JOHN HERVY ARTISTA PONIENTE")</f>
        <v>JOHN HERVY ARTISTA PONIENTE</v>
      </c>
      <c r="I2567" s="1">
        <f>IFERROR(__xludf.DUMMYFUNCTION("""COMPUTED_VALUE"""),9568232601)</f>
        <v>9568232601</v>
      </c>
      <c r="J2567" s="1"/>
      <c r="K2567" s="1" t="str">
        <f>IFERROR(__xludf.DUMMYFUNCTION("""COMPUTED_VALUE"""),"johnhervyponiente528@gmail.com")</f>
        <v>johnhervyponiente528@gmail.com</v>
      </c>
      <c r="L2567" s="1" t="str">
        <f>IFERROR(__xludf.DUMMYFUNCTION("""COMPUTED_VALUE"""),"8")</f>
        <v>8</v>
      </c>
      <c r="M2567" s="1" t="str">
        <f>IFERROR(__xludf.DUMMYFUNCTION("""COMPUTED_VALUE"""),"FREEMANSORY FARM")</f>
        <v>FREEMANSORY FARM</v>
      </c>
      <c r="N2567" s="1" t="str">
        <f>IFERROR(__xludf.DUMMYFUNCTION("""COMPUTED_VALUE"""),"PUROK 6")</f>
        <v>PUROK 6</v>
      </c>
      <c r="O2567" s="1" t="str">
        <f>IFERROR(__xludf.DUMMYFUNCTION("""COMPUTED_VALUE"""),"HALANG")</f>
        <v>HALANG</v>
      </c>
      <c r="P2567" s="1" t="str">
        <f>IFERROR(__xludf.DUMMYFUNCTION("""COMPUTED_VALUE"""),"AMADEO")</f>
        <v>AMADEO</v>
      </c>
      <c r="Q2567" s="1" t="str">
        <f>IFERROR(__xludf.DUMMYFUNCTION("""COMPUTED_VALUE"""),"CAVITE")</f>
        <v>CAVITE</v>
      </c>
      <c r="R2567" s="1" t="str">
        <f>IFERROR(__xludf.DUMMYFUNCTION("""COMPUTED_VALUE"""),"FIBR UNLI ALL PLAN 1499")</f>
        <v>FIBR UNLI ALL PLAN 1499</v>
      </c>
      <c r="S2567" s="1" t="str">
        <f>IFERROR(__xludf.DUMMYFUNCTION("""COMPUTED_VALUE"""),"APPROVED")</f>
        <v>APPROVED</v>
      </c>
      <c r="T2567" s="1" t="str">
        <f>IFERROR(__xludf.DUMMYFUNCTION("""COMPUTED_VALUE"""),"RPR")</f>
        <v>RPR</v>
      </c>
      <c r="U2567" s="1"/>
      <c r="V2567" s="1"/>
      <c r="W2567" s="1"/>
    </row>
    <row r="2568" customHeight="1" spans="1:23">
      <c r="A2568" s="3">
        <f>IFERROR(__xludf.DUMMYFUNCTION("""COMPUTED_VALUE"""),46227)</f>
        <v>46227</v>
      </c>
      <c r="B2568" s="1" t="str">
        <f>IFERROR(__xludf.DUMMYFUNCTION("""COMPUTED_VALUE"""),"SAMPANG, JAYCEE")</f>
        <v>SAMPANG, JAYCEE</v>
      </c>
      <c r="C2568" s="1" t="str">
        <f>IFERROR(__xludf.DUMMYFUNCTION("""COMPUTED_VALUE"""),"ORGANIC")</f>
        <v>ORGANIC</v>
      </c>
      <c r="D2568" s="1" t="str">
        <f>IFERROR(__xludf.DUMMYFUNCTION("""COMPUTED_VALUE"""),"REMOLLO LEA")</f>
        <v>REMOLLO LEA</v>
      </c>
      <c r="E2568" s="1" t="str">
        <f>IFERROR(__xludf.DUMMYFUNCTION("""COMPUTED_VALUE"""),"PLDT / H2H")</f>
        <v>PLDT / H2H</v>
      </c>
      <c r="F2568" s="1">
        <f>IFERROR(__xludf.DUMMYFUNCTION("""COMPUTED_VALUE"""),2311223258)</f>
        <v>2311223258</v>
      </c>
      <c r="G2568" s="1">
        <f>IFERROR(__xludf.DUMMYFUNCTION("""COMPUTED_VALUE"""),463894999004)</f>
        <v>463894999004</v>
      </c>
      <c r="H2568" s="1" t="str">
        <f>IFERROR(__xludf.DUMMYFUNCTION("""COMPUTED_VALUE"""),"GEORGIE SALAS PANGANIBAN")</f>
        <v>GEORGIE SALAS PANGANIBAN</v>
      </c>
      <c r="I2568" s="1">
        <f>IFERROR(__xludf.DUMMYFUNCTION("""COMPUTED_VALUE"""),9085254816)</f>
        <v>9085254816</v>
      </c>
      <c r="J2568" s="1">
        <f>IFERROR(__xludf.DUMMYFUNCTION("""COMPUTED_VALUE"""),9269470822)</f>
        <v>9269470822</v>
      </c>
      <c r="K2568" s="1" t="str">
        <f>IFERROR(__xludf.DUMMYFUNCTION("""COMPUTED_VALUE"""),"giepangs0523@gmail.com")</f>
        <v>giepangs0523@gmail.com</v>
      </c>
      <c r="L2568" s="1" t="str">
        <f>IFERROR(__xludf.DUMMYFUNCTION("""COMPUTED_VALUE"""),"211")</f>
        <v>211</v>
      </c>
      <c r="M2568" s="1" t="str">
        <f>IFERROR(__xludf.DUMMYFUNCTION("""COMPUTED_VALUE"""),"UNIT 3")</f>
        <v>UNIT 3</v>
      </c>
      <c r="N2568" s="1" t="str">
        <f>IFERROR(__xludf.DUMMYFUNCTION("""COMPUTED_VALUE"""),"DASMA VILLE")</f>
        <v>DASMA VILLE</v>
      </c>
      <c r="O2568" s="1" t="str">
        <f>IFERROR(__xludf.DUMMYFUNCTION("""COMPUTED_VALUE"""),"ZONE I (POB.)")</f>
        <v>ZONE I (POB.)</v>
      </c>
      <c r="P2568" s="1" t="str">
        <f>IFERROR(__xludf.DUMMYFUNCTION("""COMPUTED_VALUE"""),"DASMARINAS")</f>
        <v>DASMARINAS</v>
      </c>
      <c r="Q2568" s="1" t="str">
        <f>IFERROR(__xludf.DUMMYFUNCTION("""COMPUTED_VALUE"""),"CAVITE")</f>
        <v>CAVITE</v>
      </c>
      <c r="R2568" s="1" t="str">
        <f>IFERROR(__xludf.DUMMYFUNCTION("""COMPUTED_VALUE"""),"FIBR PLAN 1299")</f>
        <v>FIBR PLAN 1299</v>
      </c>
      <c r="S2568" s="1" t="str">
        <f>IFERROR(__xludf.DUMMYFUNCTION("""COMPUTED_VALUE"""),"APPROVED")</f>
        <v>APPROVED</v>
      </c>
      <c r="T2568" s="1" t="str">
        <f>IFERROR(__xludf.DUMMYFUNCTION("""COMPUTED_VALUE"""),"CLOSED")</f>
        <v>CLOSED</v>
      </c>
      <c r="U2568" s="1" t="str">
        <f>IFERROR(__xludf.DUMMYFUNCTION("""COMPUTED_VALUE"""),"POSTED")</f>
        <v>POSTED</v>
      </c>
      <c r="V2568" s="1"/>
      <c r="W2568" s="1"/>
    </row>
    <row r="2569" customHeight="1" spans="1:23">
      <c r="A2569" s="3">
        <f>IFERROR(__xludf.DUMMYFUNCTION("""COMPUTED_VALUE"""),46227)</f>
        <v>46227</v>
      </c>
      <c r="B2569" s="1" t="str">
        <f>IFERROR(__xludf.DUMMYFUNCTION("""COMPUTED_VALUE"""),"FRANCISCO , ROSELYN")</f>
        <v>FRANCISCO , ROSELYN</v>
      </c>
      <c r="C2569" s="1" t="str">
        <f>IFERROR(__xludf.DUMMYFUNCTION("""COMPUTED_VALUE"""),"ORGANIC")</f>
        <v>ORGANIC</v>
      </c>
      <c r="D2569" s="1" t="str">
        <f>IFERROR(__xludf.DUMMYFUNCTION("""COMPUTED_VALUE"""),"REMOLLO LEA")</f>
        <v>REMOLLO LEA</v>
      </c>
      <c r="E2569" s="1" t="str">
        <f>IFERROR(__xludf.DUMMYFUNCTION("""COMPUTED_VALUE"""),"PLDT / H2H")</f>
        <v>PLDT / H2H</v>
      </c>
      <c r="F2569" s="1">
        <f>IFERROR(__xludf.DUMMYFUNCTION("""COMPUTED_VALUE"""),2311226585)</f>
        <v>2311226585</v>
      </c>
      <c r="G2569" s="1">
        <f>IFERROR(__xludf.DUMMYFUNCTION("""COMPUTED_VALUE"""),463936784004)</f>
        <v>463936784004</v>
      </c>
      <c r="H2569" s="1" t="str">
        <f>IFERROR(__xludf.DUMMYFUNCTION("""COMPUTED_VALUE"""),"MICHJONALOUIE BUCAOTO SOBREMONTE")</f>
        <v>MICHJONALOUIE BUCAOTO SOBREMONTE</v>
      </c>
      <c r="I2569" s="1">
        <f>IFERROR(__xludf.DUMMYFUNCTION("""COMPUTED_VALUE"""),9351828817)</f>
        <v>9351828817</v>
      </c>
      <c r="J2569" s="1">
        <f>IFERROR(__xludf.DUMMYFUNCTION("""COMPUTED_VALUE"""),9154763853)</f>
        <v>9154763853</v>
      </c>
      <c r="K2569" s="1" t="str">
        <f>IFERROR(__xludf.DUMMYFUNCTION("""COMPUTED_VALUE"""),"mishlouiejona@gmail.com")</f>
        <v>mishlouiejona@gmail.com</v>
      </c>
      <c r="L2569" s="1" t="str">
        <f>IFERROR(__xludf.DUMMYFUNCTION("""COMPUTED_VALUE"""),"BLK 209 EXCESS LOT")</f>
        <v>BLK 209 EXCESS LOT</v>
      </c>
      <c r="M2569" s="1" t="str">
        <f>IFERROR(__xludf.DUMMYFUNCTION("""COMPUTED_VALUE"""),"PHASE 5")</f>
        <v>PHASE 5</v>
      </c>
      <c r="N2569" s="1" t="str">
        <f>IFERROR(__xludf.DUMMYFUNCTION("""COMPUTED_VALUE"""),"PALIPARAN SITE")</f>
        <v>PALIPARAN SITE</v>
      </c>
      <c r="O2569" s="1" t="str">
        <f>IFERROR(__xludf.DUMMYFUNCTION("""COMPUTED_VALUE"""),"PALIPARAN III")</f>
        <v>PALIPARAN III</v>
      </c>
      <c r="P2569" s="1" t="str">
        <f>IFERROR(__xludf.DUMMYFUNCTION("""COMPUTED_VALUE"""),"DASMARINAS")</f>
        <v>DASMARINAS</v>
      </c>
      <c r="Q2569" s="1" t="str">
        <f>IFERROR(__xludf.DUMMYFUNCTION("""COMPUTED_VALUE"""),"CAVITE")</f>
        <v>CAVITE</v>
      </c>
      <c r="R2569" s="1" t="str">
        <f>IFERROR(__xludf.DUMMYFUNCTION("""COMPUTED_VALUE"""),"FIBR PLAN 1299")</f>
        <v>FIBR PLAN 1299</v>
      </c>
      <c r="S2569" s="1" t="str">
        <f>IFERROR(__xludf.DUMMYFUNCTION("""COMPUTED_VALUE"""),"APPROVED")</f>
        <v>APPROVED</v>
      </c>
      <c r="T2569" s="1" t="str">
        <f>IFERROR(__xludf.DUMMYFUNCTION("""COMPUTED_VALUE"""),"AFD")</f>
        <v>AFD</v>
      </c>
      <c r="U2569" s="1"/>
      <c r="V2569" s="1"/>
      <c r="W2569" s="1"/>
    </row>
    <row r="2570" customHeight="1" spans="1:23">
      <c r="A2570" s="3">
        <f>IFERROR(__xludf.DUMMYFUNCTION("""COMPUTED_VALUE"""),46227)</f>
        <v>46227</v>
      </c>
      <c r="B2570" s="1" t="str">
        <f>IFERROR(__xludf.DUMMYFUNCTION("""COMPUTED_VALUE"""),"ESCARCHA, MA ALMA  ESCOTO")</f>
        <v>ESCARCHA, MA ALMA  ESCOTO</v>
      </c>
      <c r="C2570" s="1" t="str">
        <f>IFERROR(__xludf.DUMMYFUNCTION("""COMPUTED_VALUE"""),"ORGANIC")</f>
        <v>ORGANIC</v>
      </c>
      <c r="D2570" s="1" t="str">
        <f>IFERROR(__xludf.DUMMYFUNCTION("""COMPUTED_VALUE"""),"REMOLLO LEA")</f>
        <v>REMOLLO LEA</v>
      </c>
      <c r="E2570" s="1" t="str">
        <f>IFERROR(__xludf.DUMMYFUNCTION("""COMPUTED_VALUE"""),"RED FIBER")</f>
        <v>RED FIBER</v>
      </c>
      <c r="F2570" s="1"/>
      <c r="G2570" s="1"/>
      <c r="H2570" s="1" t="str">
        <f>IFERROR(__xludf.DUMMYFUNCTION("""COMPUTED_VALUE"""),"JIMBOY MELACIO LACIA")</f>
        <v>JIMBOY MELACIO LACIA</v>
      </c>
      <c r="I2570" s="1">
        <f>IFERROR(__xludf.DUMMYFUNCTION("""COMPUTED_VALUE"""),9279042021)</f>
        <v>9279042021</v>
      </c>
      <c r="J2570" s="1"/>
      <c r="K2570" s="1" t="str">
        <f>IFERROR(__xludf.DUMMYFUNCTION("""COMPUTED_VALUE"""),"jbangkaa@gmail.com")</f>
        <v>jbangkaa@gmail.com</v>
      </c>
      <c r="L2570" s="1" t="str">
        <f>IFERROR(__xludf.DUMMYFUNCTION("""COMPUTED_VALUE"""),"17")</f>
        <v>17</v>
      </c>
      <c r="M2570" s="1" t="str">
        <f>IFERROR(__xludf.DUMMYFUNCTION("""COMPUTED_VALUE"""),"ANULING LEJO")</f>
        <v>ANULING LEJO</v>
      </c>
      <c r="N2570" s="1"/>
      <c r="O2570" s="1" t="str">
        <f>IFERROR(__xludf.DUMMYFUNCTION("""COMPUTED_VALUE"""),"ANULING LEJOS I (ANULING)")</f>
        <v>ANULING LEJOS I (ANULING)</v>
      </c>
      <c r="P2570" s="1" t="str">
        <f>IFERROR(__xludf.DUMMYFUNCTION("""COMPUTED_VALUE"""),"MENDEZ")</f>
        <v>MENDEZ</v>
      </c>
      <c r="Q2570" s="1" t="str">
        <f>IFERROR(__xludf.DUMMYFUNCTION("""COMPUTED_VALUE"""),"CAVITE")</f>
        <v>CAVITE</v>
      </c>
      <c r="R2570" s="1" t="str">
        <f>IFERROR(__xludf.DUMMYFUNCTION("""COMPUTED_VALUE"""),"FIBR UNLI ALL PLAN 999")</f>
        <v>FIBR UNLI ALL PLAN 999</v>
      </c>
      <c r="S2570" s="1" t="str">
        <f>IFERROR(__xludf.DUMMYFUNCTION("""COMPUTED_VALUE"""),"HOLD")</f>
        <v>HOLD</v>
      </c>
      <c r="T2570" s="1" t="str">
        <f>IFERROR(__xludf.DUMMYFUNCTION("""COMPUTED_VALUE"""),"#N/A")</f>
        <v>#N/A</v>
      </c>
      <c r="U2570" s="1"/>
      <c r="V2570" s="1"/>
      <c r="W2570" s="1"/>
    </row>
    <row r="2571" customHeight="1" spans="1:23">
      <c r="A2571" s="3">
        <f>IFERROR(__xludf.DUMMYFUNCTION("""COMPUTED_VALUE"""),46227)</f>
        <v>46227</v>
      </c>
      <c r="B2571" s="1" t="str">
        <f>IFERROR(__xludf.DUMMYFUNCTION("""COMPUTED_VALUE"""),"OPS WESLY")</f>
        <v>OPS WESLY</v>
      </c>
      <c r="C2571" s="1" t="str">
        <f>IFERROR(__xludf.DUMMYFUNCTION("""COMPUTED_VALUE"""),"FLA")</f>
        <v>FLA</v>
      </c>
      <c r="D2571" s="1" t="str">
        <f>IFERROR(__xludf.DUMMYFUNCTION("""COMPUTED_VALUE"""),"JERIC NAVARRO")</f>
        <v>JERIC NAVARRO</v>
      </c>
      <c r="E2571" s="1" t="str">
        <f>IFERROR(__xludf.DUMMYFUNCTION("""COMPUTED_VALUE"""),"PLDT / H2H")</f>
        <v>PLDT / H2H</v>
      </c>
      <c r="F2571" s="1">
        <f>IFERROR(__xludf.DUMMYFUNCTION("""COMPUTED_VALUE"""),2311234716)</f>
        <v>2311234716</v>
      </c>
      <c r="G2571" s="1"/>
      <c r="H2571" s="1" t="str">
        <f>IFERROR(__xludf.DUMMYFUNCTION("""COMPUTED_VALUE"""),"JAN MIKAELLA PANGILINAN VELOSO")</f>
        <v>JAN MIKAELLA PANGILINAN VELOSO</v>
      </c>
      <c r="I2571" s="1">
        <f>IFERROR(__xludf.DUMMYFUNCTION("""COMPUTED_VALUE"""),9175462266)</f>
        <v>9175462266</v>
      </c>
      <c r="J2571" s="1">
        <f>IFERROR(__xludf.DUMMYFUNCTION("""COMPUTED_VALUE"""),9190967147)</f>
        <v>9190967147</v>
      </c>
      <c r="K2571" s="1" t="str">
        <f>IFERROR(__xludf.DUMMYFUNCTION("""COMPUTED_VALUE"""),"luigiveloso17@yahoo.com")</f>
        <v>luigiveloso17@yahoo.com</v>
      </c>
      <c r="L2571" s="1" t="str">
        <f>IFERROR(__xludf.DUMMYFUNCTION("""COMPUTED_VALUE"""),"BLK 2 LOT 5")</f>
        <v>BLK 2 LOT 5</v>
      </c>
      <c r="M2571" s="1" t="str">
        <f>IFERROR(__xludf.DUMMYFUNCTION("""COMPUTED_VALUE"""),"GOLF AVE")</f>
        <v>GOLF AVE</v>
      </c>
      <c r="N2571" s="1" t="str">
        <f>IFERROR(__xludf.DUMMYFUNCTION("""COMPUTED_VALUE"""),"RIVIERA COUNTRY GOLF CLU")</f>
        <v>RIVIERA COUNTRY GOLF CLU</v>
      </c>
      <c r="O2571" s="1" t="str">
        <f>IFERROR(__xludf.DUMMYFUNCTION("""COMPUTED_VALUE"""),"BILUSO")</f>
        <v>BILUSO</v>
      </c>
      <c r="P2571" s="1" t="str">
        <f>IFERROR(__xludf.DUMMYFUNCTION("""COMPUTED_VALUE"""),"SILANG")</f>
        <v>SILANG</v>
      </c>
      <c r="Q2571" s="1" t="str">
        <f>IFERROR(__xludf.DUMMYFUNCTION("""COMPUTED_VALUE"""),"CAVITE")</f>
        <v>CAVITE</v>
      </c>
      <c r="R2571" s="1" t="str">
        <f>IFERROR(__xludf.DUMMYFUNCTION("""COMPUTED_VALUE"""),"FIBR PLAN 2699")</f>
        <v>FIBR PLAN 2699</v>
      </c>
      <c r="S2571" s="1" t="str">
        <f>IFERROR(__xludf.DUMMYFUNCTION("""COMPUTED_VALUE"""),"APPROVED")</f>
        <v>APPROVED</v>
      </c>
      <c r="T2571" s="1" t="str">
        <f>IFERROR(__xludf.DUMMYFUNCTION("""COMPUTED_VALUE"""),"REENCODED")</f>
        <v>REENCODED</v>
      </c>
      <c r="U2571" s="1"/>
      <c r="V2571" s="1"/>
      <c r="W2571" s="1"/>
    </row>
    <row r="2572" customHeight="1" spans="1:23">
      <c r="A2572" s="3">
        <f>IFERROR(__xludf.DUMMYFUNCTION("""COMPUTED_VALUE"""),46227)</f>
        <v>46227</v>
      </c>
      <c r="B2572" s="1" t="str">
        <f>IFERROR(__xludf.DUMMYFUNCTION("""COMPUTED_VALUE"""),"PHILIP, DRIVER")</f>
        <v>PHILIP, DRIVER</v>
      </c>
      <c r="C2572" s="1" t="str">
        <f>IFERROR(__xludf.DUMMYFUNCTION("""COMPUTED_VALUE"""),"FLA")</f>
        <v>FLA</v>
      </c>
      <c r="D2572" s="1" t="str">
        <f>IFERROR(__xludf.DUMMYFUNCTION("""COMPUTED_VALUE"""),"JERIC NAVARRO")</f>
        <v>JERIC NAVARRO</v>
      </c>
      <c r="E2572" s="1" t="str">
        <f>IFERROR(__xludf.DUMMYFUNCTION("""COMPUTED_VALUE"""),"PLDT / H2H")</f>
        <v>PLDT / H2H</v>
      </c>
      <c r="F2572" s="1">
        <f>IFERROR(__xludf.DUMMYFUNCTION("""COMPUTED_VALUE"""),2311238716)</f>
        <v>2311238716</v>
      </c>
      <c r="G2572" s="1"/>
      <c r="H2572" s="1" t="str">
        <f>IFERROR(__xludf.DUMMYFUNCTION("""COMPUTED_VALUE"""),"RODEL SACLAYAN BUENAOBRA")</f>
        <v>RODEL SACLAYAN BUENAOBRA</v>
      </c>
      <c r="I2572" s="1">
        <f>IFERROR(__xludf.DUMMYFUNCTION("""COMPUTED_VALUE"""),9056173115)</f>
        <v>9056173115</v>
      </c>
      <c r="J2572" s="1"/>
      <c r="K2572" s="1" t="str">
        <f>IFERROR(__xludf.DUMMYFUNCTION("""COMPUTED_VALUE"""),"rodelbuenaobra@yahoo.com")</f>
        <v>rodelbuenaobra@yahoo.com</v>
      </c>
      <c r="L2572" s="1" t="str">
        <f>IFERROR(__xludf.DUMMYFUNCTION("""COMPUTED_VALUE"""),"9082")</f>
        <v>9082</v>
      </c>
      <c r="M2572" s="1" t="str">
        <f>IFERROR(__xludf.DUMMYFUNCTION("""COMPUTED_VALUE"""),"DIMAPILIS")</f>
        <v>DIMAPILIS</v>
      </c>
      <c r="N2572" s="1"/>
      <c r="O2572" s="1" t="str">
        <f>IFERROR(__xludf.DUMMYFUNCTION("""COMPUTED_VALUE"""),"ANULING LEJOS II")</f>
        <v>ANULING LEJOS II</v>
      </c>
      <c r="P2572" s="1" t="str">
        <f>IFERROR(__xludf.DUMMYFUNCTION("""COMPUTED_VALUE"""),"MENDEZ")</f>
        <v>MENDEZ</v>
      </c>
      <c r="Q2572" s="1" t="str">
        <f>IFERROR(__xludf.DUMMYFUNCTION("""COMPUTED_VALUE"""),"CAVITE")</f>
        <v>CAVITE</v>
      </c>
      <c r="R2572" s="1" t="str">
        <f>IFERROR(__xludf.DUMMYFUNCTION("""COMPUTED_VALUE"""),"FIBR UNLI ALL PLAN 2599")</f>
        <v>FIBR UNLI ALL PLAN 2599</v>
      </c>
      <c r="S2572" s="1" t="str">
        <f>IFERROR(__xludf.DUMMYFUNCTION("""COMPUTED_VALUE"""),"APPROVED")</f>
        <v>APPROVED</v>
      </c>
      <c r="T2572" s="1" t="str">
        <f>IFERROR(__xludf.DUMMYFUNCTION("""COMPUTED_VALUE"""),"REENCODED")</f>
        <v>REENCODED</v>
      </c>
      <c r="U2572" s="1"/>
      <c r="V2572" s="1"/>
      <c r="W2572" s="1"/>
    </row>
    <row r="2573" customHeight="1" spans="1:23">
      <c r="A2573" s="3">
        <f>IFERROR(__xludf.DUMMYFUNCTION("""COMPUTED_VALUE"""),46227)</f>
        <v>46227</v>
      </c>
      <c r="B2573" s="1" t="str">
        <f>IFERROR(__xludf.DUMMYFUNCTION("""COMPUTED_VALUE"""),"REMOLLO, LEA")</f>
        <v>REMOLLO, LEA</v>
      </c>
      <c r="C2573" s="1" t="str">
        <f>IFERROR(__xludf.DUMMYFUNCTION("""COMPUTED_VALUE"""),"FLA")</f>
        <v>FLA</v>
      </c>
      <c r="D2573" s="1" t="str">
        <f>IFERROR(__xludf.DUMMYFUNCTION("""COMPUTED_VALUE"""),"JERIC NAVARRO")</f>
        <v>JERIC NAVARRO</v>
      </c>
      <c r="E2573" s="1" t="str">
        <f>IFERROR(__xludf.DUMMYFUNCTION("""COMPUTED_VALUE"""),"PLDT / H2H")</f>
        <v>PLDT / H2H</v>
      </c>
      <c r="F2573" s="1">
        <f>IFERROR(__xludf.DUMMYFUNCTION("""COMPUTED_VALUE"""),2311236511)</f>
        <v>2311236511</v>
      </c>
      <c r="G2573" s="1"/>
      <c r="H2573" s="1" t="str">
        <f>IFERROR(__xludf.DUMMYFUNCTION("""COMPUTED_VALUE"""),"DINNA CRUZ CABAIS")</f>
        <v>DINNA CRUZ CABAIS</v>
      </c>
      <c r="I2573" s="1">
        <f>IFERROR(__xludf.DUMMYFUNCTION("""COMPUTED_VALUE"""),9972254885)</f>
        <v>9972254885</v>
      </c>
      <c r="J2573" s="1"/>
      <c r="K2573" s="1" t="str">
        <f>IFERROR(__xludf.DUMMYFUNCTION("""COMPUTED_VALUE"""),"dinnacabais1265@gmail.com")</f>
        <v>dinnacabais1265@gmail.com</v>
      </c>
      <c r="L2573" s="1" t="str">
        <f>IFERROR(__xludf.DUMMYFUNCTION("""COMPUTED_VALUE"""),"48")</f>
        <v>48</v>
      </c>
      <c r="M2573" s="1" t="str">
        <f>IFERROR(__xludf.DUMMYFUNCTION("""COMPUTED_VALUE"""),"ESPANYOLA")</f>
        <v>ESPANYOLA</v>
      </c>
      <c r="N2573" s="1"/>
      <c r="O2573" s="1" t="str">
        <f>IFERROR(__xludf.DUMMYFUNCTION("""COMPUTED_VALUE"""),"BULIHAN")</f>
        <v>BULIHAN</v>
      </c>
      <c r="P2573" s="1" t="str">
        <f>IFERROR(__xludf.DUMMYFUNCTION("""COMPUTED_VALUE"""),"SILANG")</f>
        <v>SILANG</v>
      </c>
      <c r="Q2573" s="1" t="str">
        <f>IFERROR(__xludf.DUMMYFUNCTION("""COMPUTED_VALUE"""),"CAVITE")</f>
        <v>CAVITE</v>
      </c>
      <c r="R2573" s="1" t="str">
        <f>IFERROR(__xludf.DUMMYFUNCTION("""COMPUTED_VALUE"""),"FIBR PLAN 1299")</f>
        <v>FIBR PLAN 1299</v>
      </c>
      <c r="S2573" s="1" t="str">
        <f>IFERROR(__xludf.DUMMYFUNCTION("""COMPUTED_VALUE"""),"APPROVED")</f>
        <v>APPROVED</v>
      </c>
      <c r="T2573" s="1" t="str">
        <f>IFERROR(__xludf.DUMMYFUNCTION("""COMPUTED_VALUE"""),"CANCELLED")</f>
        <v>CANCELLED</v>
      </c>
      <c r="U2573" s="1"/>
      <c r="V2573" s="1"/>
      <c r="W2573" s="1"/>
    </row>
    <row r="2574" customHeight="1" spans="1:23">
      <c r="A2574" s="3">
        <f>IFERROR(__xludf.DUMMYFUNCTION("""COMPUTED_VALUE"""),46227)</f>
        <v>46227</v>
      </c>
      <c r="B2574" s="1" t="str">
        <f>IFERROR(__xludf.DUMMYFUNCTION("""COMPUTED_VALUE"""),"GABAY, MANUEL")</f>
        <v>GABAY, MANUEL</v>
      </c>
      <c r="C2574" s="1" t="str">
        <f>IFERROR(__xludf.DUMMYFUNCTION("""COMPUTED_VALUE"""),"FLA")</f>
        <v>FLA</v>
      </c>
      <c r="D2574" s="1" t="str">
        <f>IFERROR(__xludf.DUMMYFUNCTION("""COMPUTED_VALUE"""),"JERIC NAVARRO")</f>
        <v>JERIC NAVARRO</v>
      </c>
      <c r="E2574" s="1" t="str">
        <f>IFERROR(__xludf.DUMMYFUNCTION("""COMPUTED_VALUE"""),"PLDT / H2H")</f>
        <v>PLDT / H2H</v>
      </c>
      <c r="F2574" s="1">
        <f>IFERROR(__xludf.DUMMYFUNCTION("""COMPUTED_VALUE"""),2311239091)</f>
        <v>2311239091</v>
      </c>
      <c r="G2574" s="1">
        <f>IFERROR(__xludf.DUMMYFUNCTION("""COMPUTED_VALUE"""),463945192004)</f>
        <v>463945192004</v>
      </c>
      <c r="H2574" s="1" t="str">
        <f>IFERROR(__xludf.DUMMYFUNCTION("""COMPUTED_VALUE"""),"SAMSON ALCARIA LANGOMEZ")</f>
        <v>SAMSON ALCARIA LANGOMEZ</v>
      </c>
      <c r="I2574" s="1">
        <f>IFERROR(__xludf.DUMMYFUNCTION("""COMPUTED_VALUE"""),9543341738)</f>
        <v>9543341738</v>
      </c>
      <c r="J2574" s="1"/>
      <c r="K2574" s="1" t="str">
        <f>IFERROR(__xludf.DUMMYFUNCTION("""COMPUTED_VALUE"""),"heavensange1881@gmail.com")</f>
        <v>heavensange1881@gmail.com</v>
      </c>
      <c r="L2574" s="1" t="str">
        <f>IFERROR(__xludf.DUMMYFUNCTION("""COMPUTED_VALUE"""),"5835")</f>
        <v>5835</v>
      </c>
      <c r="M2574" s="1" t="str">
        <f>IFERROR(__xludf.DUMMYFUNCTION("""COMPUTED_VALUE"""),"GUINHAWA SOUTH")</f>
        <v>GUINHAWA SOUTH</v>
      </c>
      <c r="N2574" s="1"/>
      <c r="O2574" s="1" t="str">
        <f>IFERROR(__xludf.DUMMYFUNCTION("""COMPUTED_VALUE"""),"GUINHAWA SOUTH")</f>
        <v>GUINHAWA SOUTH</v>
      </c>
      <c r="P2574" s="1" t="str">
        <f>IFERROR(__xludf.DUMMYFUNCTION("""COMPUTED_VALUE"""),"TAGAYTAY")</f>
        <v>TAGAYTAY</v>
      </c>
      <c r="Q2574" s="1" t="str">
        <f>IFERROR(__xludf.DUMMYFUNCTION("""COMPUTED_VALUE"""),"CAVITE")</f>
        <v>CAVITE</v>
      </c>
      <c r="R2574" s="1" t="str">
        <f>IFERROR(__xludf.DUMMYFUNCTION("""COMPUTED_VALUE"""),"FIBR NETFLIX PLAN 1599")</f>
        <v>FIBR NETFLIX PLAN 1599</v>
      </c>
      <c r="S2574" s="1" t="str">
        <f>IFERROR(__xludf.DUMMYFUNCTION("""COMPUTED_VALUE"""),"APPROVED")</f>
        <v>APPROVED</v>
      </c>
      <c r="T2574" s="1" t="str">
        <f>IFERROR(__xludf.DUMMYFUNCTION("""COMPUTED_VALUE"""),"CLOSED")</f>
        <v>CLOSED</v>
      </c>
      <c r="U2574" s="1"/>
      <c r="V2574" s="1"/>
      <c r="W2574" s="1"/>
    </row>
    <row r="2575" customHeight="1" spans="1:23">
      <c r="A2575" s="3">
        <f>IFERROR(__xludf.DUMMYFUNCTION("""COMPUTED_VALUE"""),46228)</f>
        <v>46228</v>
      </c>
      <c r="B2575" s="1" t="str">
        <f>IFERROR(__xludf.DUMMYFUNCTION("""COMPUTED_VALUE"""),"ESCARCHA, MA ALMA  ESCOTO")</f>
        <v>ESCARCHA, MA ALMA  ESCOTO</v>
      </c>
      <c r="C2575" s="1" t="str">
        <f>IFERROR(__xludf.DUMMYFUNCTION("""COMPUTED_VALUE"""),"ORGANIC")</f>
        <v>ORGANIC</v>
      </c>
      <c r="D2575" s="1" t="str">
        <f>IFERROR(__xludf.DUMMYFUNCTION("""COMPUTED_VALUE"""),"REMOLLO LEA")</f>
        <v>REMOLLO LEA</v>
      </c>
      <c r="E2575" s="1" t="str">
        <f>IFERROR(__xludf.DUMMYFUNCTION("""COMPUTED_VALUE"""),"PLDT / H2H")</f>
        <v>PLDT / H2H</v>
      </c>
      <c r="F2575" s="1">
        <f>IFERROR(__xludf.DUMMYFUNCTION("""COMPUTED_VALUE"""),2311256625)</f>
        <v>2311256625</v>
      </c>
      <c r="G2575" s="1">
        <f>IFERROR(__xludf.DUMMYFUNCTION("""COMPUTED_VALUE"""),464000742004)</f>
        <v>464000742004</v>
      </c>
      <c r="H2575" s="1" t="str">
        <f>IFERROR(__xludf.DUMMYFUNCTION("""COMPUTED_VALUE"""),"ANGELITO VIZCARRA MUNUZ")</f>
        <v>ANGELITO VIZCARRA MUNUZ</v>
      </c>
      <c r="I2575" s="1">
        <f>IFERROR(__xludf.DUMMYFUNCTION("""COMPUTED_VALUE"""),9276688751)</f>
        <v>9276688751</v>
      </c>
      <c r="J2575" s="1"/>
      <c r="K2575" s="1" t="str">
        <f>IFERROR(__xludf.DUMMYFUNCTION("""COMPUTED_VALUE"""),"angelitomunoz16@gmail.com")</f>
        <v>angelitomunoz16@gmail.com</v>
      </c>
      <c r="L2575" s="1" t="str">
        <f>IFERROR(__xludf.DUMMYFUNCTION("""COMPUTED_VALUE"""),"67a")</f>
        <v>67a</v>
      </c>
      <c r="M2575" s="1" t="str">
        <f>IFERROR(__xludf.DUMMYFUNCTION("""COMPUTED_VALUE"""),"ANULING LEJOS RD")</f>
        <v>ANULING LEJOS RD</v>
      </c>
      <c r="N2575" s="1"/>
      <c r="O2575" s="1" t="str">
        <f>IFERROR(__xludf.DUMMYFUNCTION("""COMPUTED_VALUE"""),"ANULING LEJOS I (ANULING)")</f>
        <v>ANULING LEJOS I (ANULING)</v>
      </c>
      <c r="P2575" s="1" t="str">
        <f>IFERROR(__xludf.DUMMYFUNCTION("""COMPUTED_VALUE"""),"MENDEZ")</f>
        <v>MENDEZ</v>
      </c>
      <c r="Q2575" s="1" t="str">
        <f>IFERROR(__xludf.DUMMYFUNCTION("""COMPUTED_VALUE"""),"CAVITE")</f>
        <v>CAVITE</v>
      </c>
      <c r="R2575" s="1" t="str">
        <f>IFERROR(__xludf.DUMMYFUNCTION("""COMPUTED_VALUE"""),"FIBR PLAN 1299")</f>
        <v>FIBR PLAN 1299</v>
      </c>
      <c r="S2575" s="1" t="str">
        <f>IFERROR(__xludf.DUMMYFUNCTION("""COMPUTED_VALUE"""),"APPROVED")</f>
        <v>APPROVED</v>
      </c>
      <c r="T2575" s="1" t="str">
        <f>IFERROR(__xludf.DUMMYFUNCTION("""COMPUTED_VALUE"""),"CLOSED")</f>
        <v>CLOSED</v>
      </c>
      <c r="U2575" s="1" t="str">
        <f>IFERROR(__xludf.DUMMYFUNCTION("""COMPUTED_VALUE"""),"POSTED")</f>
        <v>POSTED</v>
      </c>
      <c r="V2575" s="1"/>
      <c r="W2575" s="1"/>
    </row>
    <row r="2576" customHeight="1" spans="1:23">
      <c r="A2576" s="3">
        <f>IFERROR(__xludf.DUMMYFUNCTION("""COMPUTED_VALUE"""),46228)</f>
        <v>46228</v>
      </c>
      <c r="B2576" s="1" t="str">
        <f>IFERROR(__xludf.DUMMYFUNCTION("""COMPUTED_VALUE"""),"FRANCISCO , ROSELYN")</f>
        <v>FRANCISCO , ROSELYN</v>
      </c>
      <c r="C2576" s="1" t="str">
        <f>IFERROR(__xludf.DUMMYFUNCTION("""COMPUTED_VALUE"""),"ORGANIC")</f>
        <v>ORGANIC</v>
      </c>
      <c r="D2576" s="1" t="str">
        <f>IFERROR(__xludf.DUMMYFUNCTION("""COMPUTED_VALUE"""),"REMOLLO LEA")</f>
        <v>REMOLLO LEA</v>
      </c>
      <c r="E2576" s="1" t="str">
        <f>IFERROR(__xludf.DUMMYFUNCTION("""COMPUTED_VALUE"""),"PLDT / H2H")</f>
        <v>PLDT / H2H</v>
      </c>
      <c r="F2576" s="1">
        <f>IFERROR(__xludf.DUMMYFUNCTION("""COMPUTED_VALUE"""),2311257119)</f>
        <v>2311257119</v>
      </c>
      <c r="G2576" s="1">
        <f>IFERROR(__xludf.DUMMYFUNCTION("""COMPUTED_VALUE"""),464003682004)</f>
        <v>464003682004</v>
      </c>
      <c r="H2576" s="1" t="str">
        <f>IFERROR(__xludf.DUMMYFUNCTION("""COMPUTED_VALUE"""),"MARIELYN AGNOTE DE SILOS")</f>
        <v>MARIELYN AGNOTE DE SILOS</v>
      </c>
      <c r="I2576" s="1">
        <f>IFERROR(__xludf.DUMMYFUNCTION("""COMPUTED_VALUE"""),9394362931)</f>
        <v>9394362931</v>
      </c>
      <c r="J2576" s="1"/>
      <c r="K2576" s="1" t="str">
        <f>IFERROR(__xludf.DUMMYFUNCTION("""COMPUTED_VALUE"""),"marielynagnote@gmail.com")</f>
        <v>marielynagnote@gmail.com</v>
      </c>
      <c r="L2576" s="1" t="str">
        <f>IFERROR(__xludf.DUMMYFUNCTION("""COMPUTED_VALUE"""),"BLK 3 LOT 14")</f>
        <v>BLK 3 LOT 14</v>
      </c>
      <c r="M2576" s="1" t="str">
        <f>IFERROR(__xludf.DUMMYFUNCTION("""COMPUTED_VALUE"""),"MONTEBELLO")</f>
        <v>MONTEBELLO</v>
      </c>
      <c r="N2576" s="1"/>
      <c r="O2576" s="1" t="str">
        <f>IFERROR(__xludf.DUMMYFUNCTION("""COMPUTED_VALUE"""),"KAYTITINGA III")</f>
        <v>KAYTITINGA III</v>
      </c>
      <c r="P2576" s="1" t="str">
        <f>IFERROR(__xludf.DUMMYFUNCTION("""COMPUTED_VALUE"""),"ALFONSO")</f>
        <v>ALFONSO</v>
      </c>
      <c r="Q2576" s="1" t="str">
        <f>IFERROR(__xludf.DUMMYFUNCTION("""COMPUTED_VALUE"""),"CAVITE")</f>
        <v>CAVITE</v>
      </c>
      <c r="R2576" s="1" t="str">
        <f>IFERROR(__xludf.DUMMYFUNCTION("""COMPUTED_VALUE"""),"FIBR UNLI ALL PLAN 1499")</f>
        <v>FIBR UNLI ALL PLAN 1499</v>
      </c>
      <c r="S2576" s="1" t="str">
        <f>IFERROR(__xludf.DUMMYFUNCTION("""COMPUTED_VALUE"""),"APPROVED")</f>
        <v>APPROVED</v>
      </c>
      <c r="T2576" s="1" t="str">
        <f>IFERROR(__xludf.DUMMYFUNCTION("""COMPUTED_VALUE"""),"RPR")</f>
        <v>RPR</v>
      </c>
      <c r="U2576" s="1"/>
      <c r="V2576" s="1"/>
      <c r="W2576" s="1"/>
    </row>
    <row r="2577" customHeight="1" spans="1:23">
      <c r="A2577" s="3">
        <f>IFERROR(__xludf.DUMMYFUNCTION("""COMPUTED_VALUE"""),46228)</f>
        <v>46228</v>
      </c>
      <c r="B2577" s="1" t="str">
        <f>IFERROR(__xludf.DUMMYFUNCTION("""COMPUTED_VALUE"""),"CARPIO, STEPHANIE NICOLE")</f>
        <v>CARPIO, STEPHANIE NICOLE</v>
      </c>
      <c r="C2577" s="1" t="str">
        <f>IFERROR(__xludf.DUMMYFUNCTION("""COMPUTED_VALUE"""),"FLA")</f>
        <v>FLA</v>
      </c>
      <c r="D2577" s="1" t="str">
        <f>IFERROR(__xludf.DUMMYFUNCTION("""COMPUTED_VALUE"""),"JERIC NAVARRO")</f>
        <v>JERIC NAVARRO</v>
      </c>
      <c r="E2577" s="1" t="str">
        <f>IFERROR(__xludf.DUMMYFUNCTION("""COMPUTED_VALUE"""),"PLDT / H2H")</f>
        <v>PLDT / H2H</v>
      </c>
      <c r="F2577" s="1">
        <f>IFERROR(__xludf.DUMMYFUNCTION("""COMPUTED_VALUE"""),2311252019)</f>
        <v>2311252019</v>
      </c>
      <c r="G2577" s="1">
        <f>IFERROR(__xludf.DUMMYFUNCTION("""COMPUTED_VALUE"""),463995321004)</f>
        <v>463995321004</v>
      </c>
      <c r="H2577" s="1" t="str">
        <f>IFERROR(__xludf.DUMMYFUNCTION("""COMPUTED_VALUE"""),"JACOB MATTHEW TAUY OCZON")</f>
        <v>JACOB MATTHEW TAUY OCZON</v>
      </c>
      <c r="I2577" s="1">
        <f>IFERROR(__xludf.DUMMYFUNCTION("""COMPUTED_VALUE"""),9937683181)</f>
        <v>9937683181</v>
      </c>
      <c r="J2577" s="1"/>
      <c r="K2577" s="1" t="str">
        <f>IFERROR(__xludf.DUMMYFUNCTION("""COMPUTED_VALUE"""),"joczon030379@yahoo.com")</f>
        <v>joczon030379@yahoo.com</v>
      </c>
      <c r="L2577" s="1" t="str">
        <f>IFERROR(__xludf.DUMMYFUNCTION("""COMPUTED_VALUE"""),"186")</f>
        <v>186</v>
      </c>
      <c r="M2577" s="1" t="str">
        <f>IFERROR(__xludf.DUMMYFUNCTION("""COMPUTED_VALUE"""),"BARRIOS")</f>
        <v>BARRIOS</v>
      </c>
      <c r="N2577" s="1"/>
      <c r="O2577" s="1" t="str">
        <f>IFERROR(__xludf.DUMMYFUNCTION("""COMPUTED_VALUE"""),"BARANGAY 53-A (YAKAL A)")</f>
        <v>BARANGAY 53-A (YAKAL A)</v>
      </c>
      <c r="P2577" s="1" t="str">
        <f>IFERROR(__xludf.DUMMYFUNCTION("""COMPUTED_VALUE"""),"CAVITE CITY")</f>
        <v>CAVITE CITY</v>
      </c>
      <c r="Q2577" s="1" t="str">
        <f>IFERROR(__xludf.DUMMYFUNCTION("""COMPUTED_VALUE"""),"CAVITE")</f>
        <v>CAVITE</v>
      </c>
      <c r="R2577" s="1" t="str">
        <f>IFERROR(__xludf.DUMMYFUNCTION("""COMPUTED_VALUE"""),"FIBR PLAN 1299")</f>
        <v>FIBR PLAN 1299</v>
      </c>
      <c r="S2577" s="1" t="str">
        <f>IFERROR(__xludf.DUMMYFUNCTION("""COMPUTED_VALUE"""),"APPROVED")</f>
        <v>APPROVED</v>
      </c>
      <c r="T2577" s="1" t="str">
        <f>IFERROR(__xludf.DUMMYFUNCTION("""COMPUTED_VALUE"""),"CLOSED")</f>
        <v>CLOSED</v>
      </c>
      <c r="U2577" s="1"/>
      <c r="V2577" s="1"/>
      <c r="W2577" s="1"/>
    </row>
    <row r="2578" customHeight="1" spans="1:23">
      <c r="A2578" s="3">
        <f>IFERROR(__xludf.DUMMYFUNCTION("""COMPUTED_VALUE"""),46228)</f>
        <v>46228</v>
      </c>
      <c r="B2578" s="1" t="str">
        <f>IFERROR(__xludf.DUMMYFUNCTION("""COMPUTED_VALUE"""),"MAGDARAOG, KENNETH")</f>
        <v>MAGDARAOG, KENNETH</v>
      </c>
      <c r="C2578" s="1" t="str">
        <f>IFERROR(__xludf.DUMMYFUNCTION("""COMPUTED_VALUE"""),"ORGANIC")</f>
        <v>ORGANIC</v>
      </c>
      <c r="D2578" s="1" t="str">
        <f>IFERROR(__xludf.DUMMYFUNCTION("""COMPUTED_VALUE"""),"REMOLLO LEA")</f>
        <v>REMOLLO LEA</v>
      </c>
      <c r="E2578" s="1" t="str">
        <f>IFERROR(__xludf.DUMMYFUNCTION("""COMPUTED_VALUE"""),"RED FIBER")</f>
        <v>RED FIBER</v>
      </c>
      <c r="F2578" s="1"/>
      <c r="G2578" s="1"/>
      <c r="H2578" s="1" t="str">
        <f>IFERROR(__xludf.DUMMYFUNCTION("""COMPUTED_VALUE"""),"SHALLEE SEDUCON ESCOBAR")</f>
        <v>SHALLEE SEDUCON ESCOBAR</v>
      </c>
      <c r="I2578" s="1">
        <f>IFERROR(__xludf.DUMMYFUNCTION("""COMPUTED_VALUE"""),9568334319)</f>
        <v>9568334319</v>
      </c>
      <c r="J2578" s="1">
        <f>IFERROR(__xludf.DUMMYFUNCTION("""COMPUTED_VALUE"""),9176515471)</f>
        <v>9176515471</v>
      </c>
      <c r="K2578" s="1" t="str">
        <f>IFERROR(__xludf.DUMMYFUNCTION("""COMPUTED_VALUE"""),"shactocc@gmail.com")</f>
        <v>shactocc@gmail.com</v>
      </c>
      <c r="L2578" s="1" t="str">
        <f>IFERROR(__xludf.DUMMYFUNCTION("""COMPUTED_VALUE"""),"41")</f>
        <v>41</v>
      </c>
      <c r="M2578" s="1" t="str">
        <f>IFERROR(__xludf.DUMMYFUNCTION("""COMPUTED_VALUE"""),"PUROK 203")</f>
        <v>PUROK 203</v>
      </c>
      <c r="N2578" s="1"/>
      <c r="O2578" s="1" t="str">
        <f>IFERROR(__xludf.DUMMYFUNCTION("""COMPUTED_VALUE"""),"TOLENTINO EAST")</f>
        <v>TOLENTINO EAST</v>
      </c>
      <c r="P2578" s="1" t="str">
        <f>IFERROR(__xludf.DUMMYFUNCTION("""COMPUTED_VALUE"""),"TAGAYTAY")</f>
        <v>TAGAYTAY</v>
      </c>
      <c r="Q2578" s="1" t="str">
        <f>IFERROR(__xludf.DUMMYFUNCTION("""COMPUTED_VALUE"""),"CAVITE")</f>
        <v>CAVITE</v>
      </c>
      <c r="R2578" s="1" t="str">
        <f>IFERROR(__xludf.DUMMYFUNCTION("""COMPUTED_VALUE"""),"RED PLAN 1000")</f>
        <v>RED PLAN 1000</v>
      </c>
      <c r="S2578" s="1" t="str">
        <f>IFERROR(__xludf.DUMMYFUNCTION("""COMPUTED_VALUE"""),"APPROVED")</f>
        <v>APPROVED</v>
      </c>
      <c r="T2578" s="1" t="str">
        <f>IFERROR(__xludf.DUMMYFUNCTION("""COMPUTED_VALUE"""),"#N/A")</f>
        <v>#N/A</v>
      </c>
      <c r="U2578" s="1"/>
      <c r="V2578" s="1"/>
      <c r="W2578" s="1"/>
    </row>
    <row r="2579" customHeight="1" spans="1:23">
      <c r="A2579" s="3">
        <f>IFERROR(__xludf.DUMMYFUNCTION("""COMPUTED_VALUE"""),46228)</f>
        <v>46228</v>
      </c>
      <c r="B2579" s="1" t="str">
        <f>IFERROR(__xludf.DUMMYFUNCTION("""COMPUTED_VALUE"""),"FRONDEZ, JEDREFF")</f>
        <v>FRONDEZ, JEDREFF</v>
      </c>
      <c r="C2579" s="1" t="str">
        <f>IFERROR(__xludf.DUMMYFUNCTION("""COMPUTED_VALUE"""),"ORGANIC")</f>
        <v>ORGANIC</v>
      </c>
      <c r="D2579" s="1" t="str">
        <f>IFERROR(__xludf.DUMMYFUNCTION("""COMPUTED_VALUE"""),"REMOLLO LEA")</f>
        <v>REMOLLO LEA</v>
      </c>
      <c r="E2579" s="1" t="str">
        <f>IFERROR(__xludf.DUMMYFUNCTION("""COMPUTED_VALUE"""),"PLDT / H2H")</f>
        <v>PLDT / H2H</v>
      </c>
      <c r="F2579" s="1">
        <f>IFERROR(__xludf.DUMMYFUNCTION("""COMPUTED_VALUE"""),2311261655)</f>
        <v>2311261655</v>
      </c>
      <c r="G2579" s="1">
        <f>IFERROR(__xludf.DUMMYFUNCTION("""COMPUTED_VALUE"""),464204427004)</f>
        <v>464204427004</v>
      </c>
      <c r="H2579" s="1" t="str">
        <f>IFERROR(__xludf.DUMMYFUNCTION("""COMPUTED_VALUE"""),"RONRON RAQUINE")</f>
        <v>RONRON RAQUINE</v>
      </c>
      <c r="I2579" s="1">
        <f>IFERROR(__xludf.DUMMYFUNCTION("""COMPUTED_VALUE"""),9932355900)</f>
        <v>9932355900</v>
      </c>
      <c r="J2579" s="1">
        <f>IFERROR(__xludf.DUMMYFUNCTION("""COMPUTED_VALUE"""),9916043220)</f>
        <v>9916043220</v>
      </c>
      <c r="K2579" s="1" t="str">
        <f>IFERROR(__xludf.DUMMYFUNCTION("""COMPUTED_VALUE"""),"ronronrquine3@gmail.com")</f>
        <v>ronronrquine3@gmail.com</v>
      </c>
      <c r="L2579" s="1" t="str">
        <f>IFERROR(__xludf.DUMMYFUNCTION("""COMPUTED_VALUE"""),"BLK 37 LOT 6")</f>
        <v>BLK 37 LOT 6</v>
      </c>
      <c r="M2579" s="1" t="str">
        <f>IFERROR(__xludf.DUMMYFUNCTION("""COMPUTED_VALUE"""),"PHASE 2")</f>
        <v>PHASE 2</v>
      </c>
      <c r="N2579" s="1"/>
      <c r="O2579" s="1" t="str">
        <f>IFERROR(__xludf.DUMMYFUNCTION("""COMPUTED_VALUE"""),"ANAHAW I")</f>
        <v>ANAHAW I</v>
      </c>
      <c r="P2579" s="1" t="str">
        <f>IFERROR(__xludf.DUMMYFUNCTION("""COMPUTED_VALUE"""),"SILANG")</f>
        <v>SILANG</v>
      </c>
      <c r="Q2579" s="1" t="str">
        <f>IFERROR(__xludf.DUMMYFUNCTION("""COMPUTED_VALUE"""),"CAVITE")</f>
        <v>CAVITE</v>
      </c>
      <c r="R2579" s="1" t="str">
        <f>IFERROR(__xludf.DUMMYFUNCTION("""COMPUTED_VALUE"""),"FIBR UNLI ALL PLAN 999")</f>
        <v>FIBR UNLI ALL PLAN 999</v>
      </c>
      <c r="S2579" s="1" t="str">
        <f>IFERROR(__xludf.DUMMYFUNCTION("""COMPUTED_VALUE"""),"APPROVED")</f>
        <v>APPROVED</v>
      </c>
      <c r="T2579" s="1" t="str">
        <f>IFERROR(__xludf.DUMMYFUNCTION("""COMPUTED_VALUE"""),"RPR")</f>
        <v>RPR</v>
      </c>
      <c r="U2579" s="1"/>
      <c r="V2579" s="1"/>
      <c r="W2579" s="1"/>
    </row>
    <row r="2580" customHeight="1" spans="1:23">
      <c r="A2580" s="3">
        <f>IFERROR(__xludf.DUMMYFUNCTION("""COMPUTED_VALUE"""),46229)</f>
        <v>46229</v>
      </c>
      <c r="B2580" s="1" t="str">
        <f>IFERROR(__xludf.DUMMYFUNCTION("""COMPUTED_VALUE"""),"FRANCISCO , ROSELYN")</f>
        <v>FRANCISCO , ROSELYN</v>
      </c>
      <c r="C2580" s="1" t="str">
        <f>IFERROR(__xludf.DUMMYFUNCTION("""COMPUTED_VALUE"""),"ORGANIC")</f>
        <v>ORGANIC</v>
      </c>
      <c r="D2580" s="1" t="str">
        <f>IFERROR(__xludf.DUMMYFUNCTION("""COMPUTED_VALUE"""),"REMOLLO LEA")</f>
        <v>REMOLLO LEA</v>
      </c>
      <c r="E2580" s="1" t="str">
        <f>IFERROR(__xludf.DUMMYFUNCTION("""COMPUTED_VALUE"""),"PLDT / H2H")</f>
        <v>PLDT / H2H</v>
      </c>
      <c r="F2580" s="1">
        <f>IFERROR(__xludf.DUMMYFUNCTION("""COMPUTED_VALUE"""),2311276212)</f>
        <v>2311276212</v>
      </c>
      <c r="G2580" s="1">
        <f>IFERROR(__xludf.DUMMYFUNCTION("""COMPUTED_VALUE"""),464082918004)</f>
        <v>464082918004</v>
      </c>
      <c r="H2580" s="1" t="str">
        <f>IFERROR(__xludf.DUMMYFUNCTION("""COMPUTED_VALUE"""),"JOHN CARLOS BAYLON PANGANIBAN")</f>
        <v>JOHN CARLOS BAYLON PANGANIBAN</v>
      </c>
      <c r="I2580" s="1">
        <f>IFERROR(__xludf.DUMMYFUNCTION("""COMPUTED_VALUE"""),9557163848)</f>
        <v>9557163848</v>
      </c>
      <c r="J2580" s="1">
        <f>IFERROR(__xludf.DUMMYFUNCTION("""COMPUTED_VALUE"""),9695302073)</f>
        <v>9695302073</v>
      </c>
      <c r="K2580" s="1" t="str">
        <f>IFERROR(__xludf.DUMMYFUNCTION("""COMPUTED_VALUE"""),"jcpanganiban2520@gmail.com")</f>
        <v>jcpanganiban2520@gmail.com</v>
      </c>
      <c r="L2580" s="1" t="str">
        <f>IFERROR(__xludf.DUMMYFUNCTION("""COMPUTED_VALUE"""),"11")</f>
        <v>11</v>
      </c>
      <c r="M2580" s="1" t="str">
        <f>IFERROR(__xludf.DUMMYFUNCTION("""COMPUTED_VALUE"""),"SITIO KATUTAY")</f>
        <v>SITIO KATUTAY</v>
      </c>
      <c r="N2580" s="1"/>
      <c r="O2580" s="1" t="str">
        <f>IFERROR(__xludf.DUMMYFUNCTION("""COMPUTED_VALUE"""),"MATAGBAK I")</f>
        <v>MATAGBAK I</v>
      </c>
      <c r="P2580" s="1" t="str">
        <f>IFERROR(__xludf.DUMMYFUNCTION("""COMPUTED_VALUE"""),"ALFONSO")</f>
        <v>ALFONSO</v>
      </c>
      <c r="Q2580" s="1" t="str">
        <f>IFERROR(__xludf.DUMMYFUNCTION("""COMPUTED_VALUE"""),"CAVITE")</f>
        <v>CAVITE</v>
      </c>
      <c r="R2580" s="1" t="str">
        <f>IFERROR(__xludf.DUMMYFUNCTION("""COMPUTED_VALUE"""),"FIBR UNLI ALL PLAN 1499")</f>
        <v>FIBR UNLI ALL PLAN 1499</v>
      </c>
      <c r="S2580" s="1" t="str">
        <f>IFERROR(__xludf.DUMMYFUNCTION("""COMPUTED_VALUE"""),"APPROVED")</f>
        <v>APPROVED</v>
      </c>
      <c r="T2580" s="1" t="str">
        <f>IFERROR(__xludf.DUMMYFUNCTION("""COMPUTED_VALUE"""),"RPR")</f>
        <v>RPR</v>
      </c>
      <c r="U2580" s="1"/>
      <c r="V2580" s="1"/>
      <c r="W2580" s="1"/>
    </row>
    <row r="2581" customHeight="1" spans="1:23">
      <c r="A2581" s="3">
        <f>IFERROR(__xludf.DUMMYFUNCTION("""COMPUTED_VALUE"""),46229)</f>
        <v>46229</v>
      </c>
      <c r="B2581" s="1" t="str">
        <f>IFERROR(__xludf.DUMMYFUNCTION("""COMPUTED_VALUE"""),"MALIWAT MARK ELVIN")</f>
        <v>MALIWAT MARK ELVIN</v>
      </c>
      <c r="C2581" s="1" t="str">
        <f>IFERROR(__xludf.DUMMYFUNCTION("""COMPUTED_VALUE"""),"FLA")</f>
        <v>FLA</v>
      </c>
      <c r="D2581" s="1" t="str">
        <f>IFERROR(__xludf.DUMMYFUNCTION("""COMPUTED_VALUE"""),"JERIC NAVARRO")</f>
        <v>JERIC NAVARRO</v>
      </c>
      <c r="E2581" s="1" t="str">
        <f>IFERROR(__xludf.DUMMYFUNCTION("""COMPUTED_VALUE"""),"PLDT / ONLINE")</f>
        <v>PLDT / ONLINE</v>
      </c>
      <c r="F2581" s="1">
        <f>IFERROR(__xludf.DUMMYFUNCTION("""COMPUTED_VALUE"""),2311273619)</f>
        <v>2311273619</v>
      </c>
      <c r="G2581" s="1">
        <f>IFERROR(__xludf.DUMMYFUNCTION("""COMPUTED_VALUE"""),464080067004)</f>
        <v>464080067004</v>
      </c>
      <c r="H2581" s="1" t="str">
        <f>IFERROR(__xludf.DUMMYFUNCTION("""COMPUTED_VALUE"""),"TESYLYN GAVILLO RAQUIZA")</f>
        <v>TESYLYN GAVILLO RAQUIZA</v>
      </c>
      <c r="I2581" s="1">
        <f>IFERROR(__xludf.DUMMYFUNCTION("""COMPUTED_VALUE"""),9179153427)</f>
        <v>9179153427</v>
      </c>
      <c r="J2581" s="1"/>
      <c r="K2581" s="1" t="str">
        <f>IFERROR(__xludf.DUMMYFUNCTION("""COMPUTED_VALUE"""),"tessgr787@gmail.com")</f>
        <v>tessgr787@gmail.com</v>
      </c>
      <c r="L2581" s="1" t="str">
        <f>IFERROR(__xludf.DUMMYFUNCTION("""COMPUTED_VALUE"""),"BLK 4 LOT 2")</f>
        <v>BLK 4 LOT 2</v>
      </c>
      <c r="M2581" s="1" t="str">
        <f>IFERROR(__xludf.DUMMYFUNCTION("""COMPUTED_VALUE"""),"DAANG HARI")</f>
        <v>DAANG HARI</v>
      </c>
      <c r="N2581" s="1"/>
      <c r="O2581" s="1" t="str">
        <f>IFERROR(__xludf.DUMMYFUNCTION("""COMPUTED_VALUE"""),"IBAYO SILANGAN")</f>
        <v>IBAYO SILANGAN</v>
      </c>
      <c r="P2581" s="1" t="str">
        <f>IFERROR(__xludf.DUMMYFUNCTION("""COMPUTED_VALUE"""),"NAIC")</f>
        <v>NAIC</v>
      </c>
      <c r="Q2581" s="1" t="str">
        <f>IFERROR(__xludf.DUMMYFUNCTION("""COMPUTED_VALUE"""),"CAVITE")</f>
        <v>CAVITE</v>
      </c>
      <c r="R2581" s="1" t="str">
        <f>IFERROR(__xludf.DUMMYFUNCTION("""COMPUTED_VALUE"""),"FIBR PLAN 1299")</f>
        <v>FIBR PLAN 1299</v>
      </c>
      <c r="S2581" s="1" t="str">
        <f>IFERROR(__xludf.DUMMYFUNCTION("""COMPUTED_VALUE"""),"APPROVED")</f>
        <v>APPROVED</v>
      </c>
      <c r="T2581" s="1" t="str">
        <f>IFERROR(__xludf.DUMMYFUNCTION("""COMPUTED_VALUE"""),"CLOSED")</f>
        <v>CLOSED</v>
      </c>
      <c r="U2581" s="1"/>
      <c r="V2581" s="1"/>
      <c r="W2581" s="1"/>
    </row>
    <row r="2582" customHeight="1" spans="1:23">
      <c r="A2582" s="3">
        <f>IFERROR(__xludf.DUMMYFUNCTION("""COMPUTED_VALUE"""),46229)</f>
        <v>46229</v>
      </c>
      <c r="B2582" s="1" t="str">
        <f>IFERROR(__xludf.DUMMYFUNCTION("""COMPUTED_VALUE"""),"LEADSTORE - ILANO, LIANDRO TEJAS")</f>
        <v>LEADSTORE - ILANO, LIANDRO TEJAS</v>
      </c>
      <c r="C2582" s="1" t="str">
        <f>IFERROR(__xludf.DUMMYFUNCTION("""COMPUTED_VALUE"""),"LEADSTORE")</f>
        <v>LEADSTORE</v>
      </c>
      <c r="D2582" s="1" t="str">
        <f>IFERROR(__xludf.DUMMYFUNCTION("""COMPUTED_VALUE"""),"JERIC NAVARRO")</f>
        <v>JERIC NAVARRO</v>
      </c>
      <c r="E2582" s="1" t="str">
        <f>IFERROR(__xludf.DUMMYFUNCTION("""COMPUTED_VALUE"""),"PLDT / ONLINE")</f>
        <v>PLDT / ONLINE</v>
      </c>
      <c r="F2582" s="1">
        <f>IFERROR(__xludf.DUMMYFUNCTION("""COMPUTED_VALUE"""),2311274214)</f>
        <v>2311274214</v>
      </c>
      <c r="G2582" s="1">
        <f>IFERROR(__xludf.DUMMYFUNCTION("""COMPUTED_VALUE"""),464082442004)</f>
        <v>464082442004</v>
      </c>
      <c r="H2582" s="1" t="str">
        <f>IFERROR(__xludf.DUMMYFUNCTION("""COMPUTED_VALUE"""),"DIOSDADO JR MAGTIBAY TUKODLANGIT")</f>
        <v>DIOSDADO JR MAGTIBAY TUKODLANGIT</v>
      </c>
      <c r="I2582" s="1">
        <f>IFERROR(__xludf.DUMMYFUNCTION("""COMPUTED_VALUE"""),9638856922)</f>
        <v>9638856922</v>
      </c>
      <c r="J2582" s="1">
        <f>IFERROR(__xludf.DUMMYFUNCTION("""COMPUTED_VALUE"""),9707406372)</f>
        <v>9707406372</v>
      </c>
      <c r="K2582" s="1" t="str">
        <f>IFERROR(__xludf.DUMMYFUNCTION("""COMPUTED_VALUE"""),"kdtnash@gmail.com")</f>
        <v>kdtnash@gmail.com</v>
      </c>
      <c r="L2582" s="1" t="str">
        <f>IFERROR(__xludf.DUMMYFUNCTION("""COMPUTED_VALUE"""),"1")</f>
        <v>1</v>
      </c>
      <c r="M2582" s="1" t="str">
        <f>IFERROR(__xludf.DUMMYFUNCTION("""COMPUTED_VALUE"""),"GITNANG ITAAS")</f>
        <v>GITNANG ITAAS</v>
      </c>
      <c r="N2582" s="1"/>
      <c r="O2582" s="1" t="str">
        <f>IFERROR(__xludf.DUMMYFUNCTION("""COMPUTED_VALUE"""),"CAPIPISA")</f>
        <v>CAPIPISA</v>
      </c>
      <c r="P2582" s="1" t="str">
        <f>IFERROR(__xludf.DUMMYFUNCTION("""COMPUTED_VALUE"""),"TANZA")</f>
        <v>TANZA</v>
      </c>
      <c r="Q2582" s="1" t="str">
        <f>IFERROR(__xludf.DUMMYFUNCTION("""COMPUTED_VALUE"""),"CAVITE")</f>
        <v>CAVITE</v>
      </c>
      <c r="R2582" s="1" t="str">
        <f>IFERROR(__xludf.DUMMYFUNCTION("""COMPUTED_VALUE"""),"FIBR PLAN 1699")</f>
        <v>FIBR PLAN 1699</v>
      </c>
      <c r="S2582" s="1" t="str">
        <f>IFERROR(__xludf.DUMMYFUNCTION("""COMPUTED_VALUE"""),"APPROVED")</f>
        <v>APPROVED</v>
      </c>
      <c r="T2582" s="1" t="str">
        <f>IFERROR(__xludf.DUMMYFUNCTION("""COMPUTED_VALUE"""),"CLOSED")</f>
        <v>CLOSED</v>
      </c>
      <c r="U2582" s="1"/>
      <c r="V2582" s="1"/>
      <c r="W2582" s="1"/>
    </row>
    <row r="2583" customHeight="1" spans="1:23">
      <c r="A2583" s="3">
        <f>IFERROR(__xludf.DUMMYFUNCTION("""COMPUTED_VALUE"""),46229)</f>
        <v>46229</v>
      </c>
      <c r="B2583" s="1" t="str">
        <f>IFERROR(__xludf.DUMMYFUNCTION("""COMPUTED_VALUE"""),"SAMPANG, JAYCEE")</f>
        <v>SAMPANG, JAYCEE</v>
      </c>
      <c r="C2583" s="1" t="str">
        <f>IFERROR(__xludf.DUMMYFUNCTION("""COMPUTED_VALUE"""),"ORGANIC")</f>
        <v>ORGANIC</v>
      </c>
      <c r="D2583" s="1" t="str">
        <f>IFERROR(__xludf.DUMMYFUNCTION("""COMPUTED_VALUE"""),"REMOLLO LEA")</f>
        <v>REMOLLO LEA</v>
      </c>
      <c r="E2583" s="1" t="str">
        <f>IFERROR(__xludf.DUMMYFUNCTION("""COMPUTED_VALUE"""),"PLDT / ONLINE")</f>
        <v>PLDT / ONLINE</v>
      </c>
      <c r="F2583" s="1">
        <f>IFERROR(__xludf.DUMMYFUNCTION("""COMPUTED_VALUE"""),2311283544)</f>
        <v>2311283544</v>
      </c>
      <c r="G2583" s="1">
        <f>IFERROR(__xludf.DUMMYFUNCTION("""COMPUTED_VALUE"""),464177392004)</f>
        <v>464177392004</v>
      </c>
      <c r="H2583" s="1" t="str">
        <f>IFERROR(__xludf.DUMMYFUNCTION("""COMPUTED_VALUE"""),"JOHN RUSSEL CANDIDO CAVILE")</f>
        <v>JOHN RUSSEL CANDIDO CAVILE</v>
      </c>
      <c r="I2583" s="1">
        <f>IFERROR(__xludf.DUMMYFUNCTION("""COMPUTED_VALUE"""),9395203542)</f>
        <v>9395203542</v>
      </c>
      <c r="J2583" s="1">
        <f>IFERROR(__xludf.DUMMYFUNCTION("""COMPUTED_VALUE"""),9614190071)</f>
        <v>9614190071</v>
      </c>
      <c r="K2583" s="1" t="str">
        <f>IFERROR(__xludf.DUMMYFUNCTION("""COMPUTED_VALUE"""),"johncavile11@gail.com")</f>
        <v>johncavile11@gail.com</v>
      </c>
      <c r="L2583" s="1" t="str">
        <f>IFERROR(__xludf.DUMMYFUNCTION("""COMPUTED_VALUE"""),"45")</f>
        <v>45</v>
      </c>
      <c r="M2583" s="1" t="str">
        <f>IFERROR(__xludf.DUMMYFUNCTION("""COMPUTED_VALUE"""),"PHASE 1")</f>
        <v>PHASE 1</v>
      </c>
      <c r="N2583" s="1"/>
      <c r="O2583" s="1" t="str">
        <f>IFERROR(__xludf.DUMMYFUNCTION("""COMPUTED_VALUE"""),"KAYTITINGA I")</f>
        <v>KAYTITINGA I</v>
      </c>
      <c r="P2583" s="1" t="str">
        <f>IFERROR(__xludf.DUMMYFUNCTION("""COMPUTED_VALUE"""),"ALFONSO")</f>
        <v>ALFONSO</v>
      </c>
      <c r="Q2583" s="1" t="str">
        <f>IFERROR(__xludf.DUMMYFUNCTION("""COMPUTED_VALUE"""),"CAVITE")</f>
        <v>CAVITE</v>
      </c>
      <c r="R2583" s="1" t="str">
        <f>IFERROR(__xludf.DUMMYFUNCTION("""COMPUTED_VALUE"""),"FIBR PLAN 1299")</f>
        <v>FIBR PLAN 1299</v>
      </c>
      <c r="S2583" s="1" t="str">
        <f>IFERROR(__xludf.DUMMYFUNCTION("""COMPUTED_VALUE"""),"APPROVED")</f>
        <v>APPROVED</v>
      </c>
      <c r="T2583" s="1" t="str">
        <f>IFERROR(__xludf.DUMMYFUNCTION("""COMPUTED_VALUE"""),"PAID")</f>
        <v>PAID</v>
      </c>
      <c r="U2583" s="1"/>
      <c r="V2583" s="1"/>
      <c r="W2583" s="1"/>
    </row>
    <row r="2584" customHeight="1" spans="1:23">
      <c r="A2584" s="3">
        <f>IFERROR(__xludf.DUMMYFUNCTION("""COMPUTED_VALUE"""),46229)</f>
        <v>46229</v>
      </c>
      <c r="B2584" s="1" t="str">
        <f>IFERROR(__xludf.DUMMYFUNCTION("""COMPUTED_VALUE"""),"ESCARCHA, MA ALMA  ESCOTO")</f>
        <v>ESCARCHA, MA ALMA  ESCOTO</v>
      </c>
      <c r="C2584" s="1" t="str">
        <f>IFERROR(__xludf.DUMMYFUNCTION("""COMPUTED_VALUE"""),"ORGANIC")</f>
        <v>ORGANIC</v>
      </c>
      <c r="D2584" s="1" t="str">
        <f>IFERROR(__xludf.DUMMYFUNCTION("""COMPUTED_VALUE"""),"REMOLLO LEA")</f>
        <v>REMOLLO LEA</v>
      </c>
      <c r="E2584" s="1" t="str">
        <f>IFERROR(__xludf.DUMMYFUNCTION("""COMPUTED_VALUE"""),"PLDT / H2H")</f>
        <v>PLDT / H2H</v>
      </c>
      <c r="F2584" s="1">
        <f>IFERROR(__xludf.DUMMYFUNCTION("""COMPUTED_VALUE"""),2311283548)</f>
        <v>2311283548</v>
      </c>
      <c r="G2584" s="1"/>
      <c r="H2584" s="1" t="str">
        <f>IFERROR(__xludf.DUMMYFUNCTION("""COMPUTED_VALUE"""),"KHRISTOFFER DASIG RAMOS")</f>
        <v>KHRISTOFFER DASIG RAMOS</v>
      </c>
      <c r="I2584" s="1">
        <f>IFERROR(__xludf.DUMMYFUNCTION("""COMPUTED_VALUE"""),9953339306)</f>
        <v>9953339306</v>
      </c>
      <c r="J2584" s="1"/>
      <c r="K2584" s="1" t="str">
        <f>IFERROR(__xludf.DUMMYFUNCTION("""COMPUTED_VALUE"""),"ramoskhristoffer689@gmail.com")</f>
        <v>ramoskhristoffer689@gmail.com</v>
      </c>
      <c r="L2584" s="1" t="str">
        <f>IFERROR(__xludf.DUMMYFUNCTION("""COMPUTED_VALUE"""),"BLK 21 LOT 9")</f>
        <v>BLK 21 LOT 9</v>
      </c>
      <c r="M2584" s="1" t="str">
        <f>IFERROR(__xludf.DUMMYFUNCTION("""COMPUTED_VALUE"""),"PILI")</f>
        <v>PILI</v>
      </c>
      <c r="N2584" s="1"/>
      <c r="O2584" s="1" t="str">
        <f>IFERROR(__xludf.DUMMYFUNCTION("""COMPUTED_VALUE"""),"POBLACION III")</f>
        <v>POBLACION III</v>
      </c>
      <c r="P2584" s="1" t="str">
        <f>IFERROR(__xludf.DUMMYFUNCTION("""COMPUTED_VALUE"""),"GEN MARIANO ALVAREZ")</f>
        <v>GEN MARIANO ALVAREZ</v>
      </c>
      <c r="Q2584" s="1" t="str">
        <f>IFERROR(__xludf.DUMMYFUNCTION("""COMPUTED_VALUE"""),"CAVITE")</f>
        <v>CAVITE</v>
      </c>
      <c r="R2584" s="1" t="str">
        <f>IFERROR(__xludf.DUMMYFUNCTION("""COMPUTED_VALUE"""),"FIBR UNLI ALL PLAN 999")</f>
        <v>FIBR UNLI ALL PLAN 999</v>
      </c>
      <c r="S2584" s="1" t="str">
        <f>IFERROR(__xludf.DUMMYFUNCTION("""COMPUTED_VALUE"""),"APPROVED")</f>
        <v>APPROVED</v>
      </c>
      <c r="T2584" s="1" t="str">
        <f>IFERROR(__xludf.DUMMYFUNCTION("""COMPUTED_VALUE"""),"REENCODED")</f>
        <v>REENCODED</v>
      </c>
      <c r="U2584" s="1"/>
      <c r="V2584" s="1"/>
      <c r="W2584" s="1"/>
    </row>
    <row r="2585" customHeight="1" spans="1:23">
      <c r="A2585" s="3">
        <f>IFERROR(__xludf.DUMMYFUNCTION("""COMPUTED_VALUE"""),46230)</f>
        <v>46230</v>
      </c>
      <c r="B2585" s="1" t="str">
        <f>IFERROR(__xludf.DUMMYFUNCTION("""COMPUTED_VALUE"""),"FRANCISCO , ROSELYN")</f>
        <v>FRANCISCO , ROSELYN</v>
      </c>
      <c r="C2585" s="1" t="str">
        <f>IFERROR(__xludf.DUMMYFUNCTION("""COMPUTED_VALUE"""),"ORGANIC")</f>
        <v>ORGANIC</v>
      </c>
      <c r="D2585" s="1" t="str">
        <f>IFERROR(__xludf.DUMMYFUNCTION("""COMPUTED_VALUE"""),"REMOLLO LEA")</f>
        <v>REMOLLO LEA</v>
      </c>
      <c r="E2585" s="1" t="str">
        <f>IFERROR(__xludf.DUMMYFUNCTION("""COMPUTED_VALUE"""),"PLDT / H2H")</f>
        <v>PLDT / H2H</v>
      </c>
      <c r="F2585" s="1">
        <f>IFERROR(__xludf.DUMMYFUNCTION("""COMPUTED_VALUE"""),2311300655)</f>
        <v>2311300655</v>
      </c>
      <c r="G2585" s="1">
        <f>IFERROR(__xludf.DUMMYFUNCTION("""COMPUTED_VALUE"""),464323874004)</f>
        <v>464323874004</v>
      </c>
      <c r="H2585" s="1" t="str">
        <f>IFERROR(__xludf.DUMMYFUNCTION("""COMPUTED_VALUE"""),"JACKYLOU CHAVEZ MANAOR")</f>
        <v>JACKYLOU CHAVEZ MANAOR</v>
      </c>
      <c r="I2585" s="1">
        <f>IFERROR(__xludf.DUMMYFUNCTION("""COMPUTED_VALUE"""),9297828191)</f>
        <v>9297828191</v>
      </c>
      <c r="J2585" s="1">
        <f>IFERROR(__xludf.DUMMYFUNCTION("""COMPUTED_VALUE"""),9082783543)</f>
        <v>9082783543</v>
      </c>
      <c r="K2585" s="1" t="str">
        <f>IFERROR(__xludf.DUMMYFUNCTION("""COMPUTED_VALUE"""),"aylouh@yahoo.com")</f>
        <v>aylouh@yahoo.com</v>
      </c>
      <c r="L2585" s="1" t="str">
        <f>IFERROR(__xludf.DUMMYFUNCTION("""COMPUTED_VALUE"""),"006-BL-005")</f>
        <v>006-BL-005</v>
      </c>
      <c r="M2585" s="1" t="str">
        <f>IFERROR(__xludf.DUMMYFUNCTION("""COMPUTED_VALUE"""),"PHASE 2 EXT ST")</f>
        <v>PHASE 2 EXT ST</v>
      </c>
      <c r="N2585" s="1" t="str">
        <f>IFERROR(__xludf.DUMMYFUNCTION("""COMPUTED_VALUE"""),"PINEVIEW HEIGHTS 2")</f>
        <v>PINEVIEW HEIGHTS 2</v>
      </c>
      <c r="O2585" s="1" t="str">
        <f>IFERROR(__xludf.DUMMYFUNCTION("""COMPUTED_VALUE"""),"BUCAL")</f>
        <v>BUCAL</v>
      </c>
      <c r="P2585" s="1" t="str">
        <f>IFERROR(__xludf.DUMMYFUNCTION("""COMPUTED_VALUE"""),"AMADEO")</f>
        <v>AMADEO</v>
      </c>
      <c r="Q2585" s="1" t="str">
        <f>IFERROR(__xludf.DUMMYFUNCTION("""COMPUTED_VALUE"""),"CAVITE")</f>
        <v>CAVITE</v>
      </c>
      <c r="R2585" s="1" t="str">
        <f>IFERROR(__xludf.DUMMYFUNCTION("""COMPUTED_VALUE"""),"SWITCH FIBR UNLI ALL PLAN 1399")</f>
        <v>SWITCH FIBR UNLI ALL PLAN 1399</v>
      </c>
      <c r="S2585" s="1" t="str">
        <f>IFERROR(__xludf.DUMMYFUNCTION("""COMPUTED_VALUE"""),"APPROVED")</f>
        <v>APPROVED</v>
      </c>
      <c r="T2585" s="1" t="str">
        <f>IFERROR(__xludf.DUMMYFUNCTION("""COMPUTED_VALUE"""),"FOR ENCODE")</f>
        <v>FOR ENCODE</v>
      </c>
      <c r="U2585" s="1"/>
      <c r="V2585" s="1"/>
      <c r="W2585" s="1"/>
    </row>
    <row r="2586" customHeight="1" spans="1:23">
      <c r="A2586" s="3">
        <f>IFERROR(__xludf.DUMMYFUNCTION("""COMPUTED_VALUE"""),46230)</f>
        <v>46230</v>
      </c>
      <c r="B2586" s="1" t="str">
        <f>IFERROR(__xludf.DUMMYFUNCTION("""COMPUTED_VALUE"""),"SAMPANG, JAYCEE")</f>
        <v>SAMPANG, JAYCEE</v>
      </c>
      <c r="C2586" s="1" t="str">
        <f>IFERROR(__xludf.DUMMYFUNCTION("""COMPUTED_VALUE"""),"ORGANIC")</f>
        <v>ORGANIC</v>
      </c>
      <c r="D2586" s="1" t="str">
        <f>IFERROR(__xludf.DUMMYFUNCTION("""COMPUTED_VALUE"""),"REMOLLO LEA")</f>
        <v>REMOLLO LEA</v>
      </c>
      <c r="E2586" s="1" t="str">
        <f>IFERROR(__xludf.DUMMYFUNCTION("""COMPUTED_VALUE"""),"PLDT / ONLINE")</f>
        <v>PLDT / ONLINE</v>
      </c>
      <c r="F2586" s="1">
        <f>IFERROR(__xludf.DUMMYFUNCTION("""COMPUTED_VALUE"""),2311301071)</f>
        <v>2311301071</v>
      </c>
      <c r="G2586" s="1">
        <f>IFERROR(__xludf.DUMMYFUNCTION("""COMPUTED_VALUE"""),464201031004)</f>
        <v>464201031004</v>
      </c>
      <c r="H2586" s="1" t="str">
        <f>IFERROR(__xludf.DUMMYFUNCTION("""COMPUTED_VALUE"""),"ALFRED ALVERIO BRABA")</f>
        <v>ALFRED ALVERIO BRABA</v>
      </c>
      <c r="I2586" s="1">
        <f>IFERROR(__xludf.DUMMYFUNCTION("""COMPUTED_VALUE"""),9317148594)</f>
        <v>9317148594</v>
      </c>
      <c r="J2586" s="1"/>
      <c r="K2586" s="1" t="str">
        <f>IFERROR(__xludf.DUMMYFUNCTION("""COMPUTED_VALUE"""),"allenneo15@gmail.com")</f>
        <v>allenneo15@gmail.com</v>
      </c>
      <c r="L2586" s="1" t="str">
        <f>IFERROR(__xludf.DUMMYFUNCTION("""COMPUTED_VALUE"""),"008-BL-012")</f>
        <v>008-BL-012</v>
      </c>
      <c r="M2586" s="1" t="str">
        <f>IFERROR(__xludf.DUMMYFUNCTION("""COMPUTED_VALUE"""),"KIMBERTON RD")</f>
        <v>KIMBERTON RD</v>
      </c>
      <c r="N2586" s="1" t="str">
        <f>IFERROR(__xludf.DUMMYFUNCTION("""COMPUTED_VALUE"""),"KIMBERTON VILL")</f>
        <v>KIMBERTON VILL</v>
      </c>
      <c r="O2586" s="1" t="str">
        <f>IFERROR(__xludf.DUMMYFUNCTION("""COMPUTED_VALUE"""),"NIOG III")</f>
        <v>NIOG III</v>
      </c>
      <c r="P2586" s="1" t="str">
        <f>IFERROR(__xludf.DUMMYFUNCTION("""COMPUTED_VALUE"""),"BACOOR")</f>
        <v>BACOOR</v>
      </c>
      <c r="Q2586" s="1" t="str">
        <f>IFERROR(__xludf.DUMMYFUNCTION("""COMPUTED_VALUE"""),"CAVITE")</f>
        <v>CAVITE</v>
      </c>
      <c r="R2586" s="1" t="str">
        <f>IFERROR(__xludf.DUMMYFUNCTION("""COMPUTED_VALUE"""),"FIBR PLAN 1299")</f>
        <v>FIBR PLAN 1299</v>
      </c>
      <c r="S2586" s="1" t="str">
        <f>IFERROR(__xludf.DUMMYFUNCTION("""COMPUTED_VALUE"""),"APPROVED")</f>
        <v>APPROVED</v>
      </c>
      <c r="T2586" s="1" t="str">
        <f>IFERROR(__xludf.DUMMYFUNCTION("""COMPUTED_VALUE"""),"FOR ENCODE")</f>
        <v>FOR ENCODE</v>
      </c>
      <c r="U2586" s="1"/>
      <c r="V2586" s="1"/>
      <c r="W2586" s="1"/>
    </row>
    <row r="2587" customHeight="1" spans="1:23">
      <c r="A2587" s="3">
        <f>IFERROR(__xludf.DUMMYFUNCTION("""COMPUTED_VALUE"""),46230)</f>
        <v>46230</v>
      </c>
      <c r="B2587" s="1" t="str">
        <f>IFERROR(__xludf.DUMMYFUNCTION("""COMPUTED_VALUE"""),"FRANCISCO , ROSELYN")</f>
        <v>FRANCISCO , ROSELYN</v>
      </c>
      <c r="C2587" s="1" t="str">
        <f>IFERROR(__xludf.DUMMYFUNCTION("""COMPUTED_VALUE"""),"ORGANIC")</f>
        <v>ORGANIC</v>
      </c>
      <c r="D2587" s="1" t="str">
        <f>IFERROR(__xludf.DUMMYFUNCTION("""COMPUTED_VALUE"""),"REMOLLO LEA")</f>
        <v>REMOLLO LEA</v>
      </c>
      <c r="E2587" s="1" t="str">
        <f>IFERROR(__xludf.DUMMYFUNCTION("""COMPUTED_VALUE"""),"PLDT / ONLINE")</f>
        <v>PLDT / ONLINE</v>
      </c>
      <c r="F2587" s="1">
        <f>IFERROR(__xludf.DUMMYFUNCTION("""COMPUTED_VALUE"""),2311305587)</f>
        <v>2311305587</v>
      </c>
      <c r="G2587" s="1"/>
      <c r="H2587" s="1" t="str">
        <f>IFERROR(__xludf.DUMMYFUNCTION("""COMPUTED_VALUE"""),"ADELFA TARAYO ARANAS")</f>
        <v>ADELFA TARAYO ARANAS</v>
      </c>
      <c r="I2587" s="1">
        <f>IFERROR(__xludf.DUMMYFUNCTION("""COMPUTED_VALUE"""),9632685490)</f>
        <v>9632685490</v>
      </c>
      <c r="J2587" s="1">
        <f>IFERROR(__xludf.DUMMYFUNCTION("""COMPUTED_VALUE"""),9637835491)</f>
        <v>9637835491</v>
      </c>
      <c r="K2587" s="1" t="str">
        <f>IFERROR(__xludf.DUMMYFUNCTION("""COMPUTED_VALUE"""),"aidredranas@gmail.com")</f>
        <v>aidredranas@gmail.com</v>
      </c>
      <c r="L2587" s="1" t="str">
        <f>IFERROR(__xludf.DUMMYFUNCTION("""COMPUTED_VALUE"""),"BLK 13 LOT 88")</f>
        <v>BLK 13 LOT 88</v>
      </c>
      <c r="M2587" s="1" t="str">
        <f>IFERROR(__xludf.DUMMYFUNCTION("""COMPUTED_VALUE"""),"TANGLAD ST")</f>
        <v>TANGLAD ST</v>
      </c>
      <c r="N2587" s="1"/>
      <c r="O2587" s="1" t="str">
        <f>IFERROR(__xludf.DUMMYFUNCTION("""COMPUTED_VALUE"""),"RAMON CRUZ (AREA J)")</f>
        <v>RAMON CRUZ (AREA J)</v>
      </c>
      <c r="P2587" s="1" t="str">
        <f>IFERROR(__xludf.DUMMYFUNCTION("""COMPUTED_VALUE"""),"GEN MARIANO ALVAREZ")</f>
        <v>GEN MARIANO ALVAREZ</v>
      </c>
      <c r="Q2587" s="1" t="str">
        <f>IFERROR(__xludf.DUMMYFUNCTION("""COMPUTED_VALUE"""),"CAVITE")</f>
        <v>CAVITE</v>
      </c>
      <c r="R2587" s="1" t="str">
        <f>IFERROR(__xludf.DUMMYFUNCTION("""COMPUTED_VALUE"""),"FIBR NETFLIX PLAN 1599")</f>
        <v>FIBR NETFLIX PLAN 1599</v>
      </c>
      <c r="S2587" s="1" t="str">
        <f>IFERROR(__xludf.DUMMYFUNCTION("""COMPUTED_VALUE"""),"APPROVED")</f>
        <v>APPROVED</v>
      </c>
      <c r="T2587" s="1" t="str">
        <f>IFERROR(__xludf.DUMMYFUNCTION("""COMPUTED_VALUE"""),"CANCELLED")</f>
        <v>CANCELLED</v>
      </c>
      <c r="U2587" s="1"/>
      <c r="V2587" s="1"/>
      <c r="W2587" s="1"/>
    </row>
    <row r="2588" customHeight="1" spans="1:23">
      <c r="A2588" s="3">
        <f>IFERROR(__xludf.DUMMYFUNCTION("""COMPUTED_VALUE"""),46230)</f>
        <v>46230</v>
      </c>
      <c r="B2588" s="1" t="str">
        <f>IFERROR(__xludf.DUMMYFUNCTION("""COMPUTED_VALUE"""),"LEADSTORE - ILANO, LIANDRO TEJAS")</f>
        <v>LEADSTORE - ILANO, LIANDRO TEJAS</v>
      </c>
      <c r="C2588" s="1" t="str">
        <f>IFERROR(__xludf.DUMMYFUNCTION("""COMPUTED_VALUE"""),"ORGANIC")</f>
        <v>ORGANIC</v>
      </c>
      <c r="D2588" s="1" t="str">
        <f>IFERROR(__xludf.DUMMYFUNCTION("""COMPUTED_VALUE"""),"REMOLLO LEA")</f>
        <v>REMOLLO LEA</v>
      </c>
      <c r="E2588" s="1" t="str">
        <f>IFERROR(__xludf.DUMMYFUNCTION("""COMPUTED_VALUE"""),"PLDT / ONLINE")</f>
        <v>PLDT / ONLINE</v>
      </c>
      <c r="F2588" s="1">
        <f>IFERROR(__xludf.DUMMYFUNCTION("""COMPUTED_VALUE"""),2311307318)</f>
        <v>2311307318</v>
      </c>
      <c r="G2588" s="1"/>
      <c r="H2588" s="1" t="str">
        <f>IFERROR(__xludf.DUMMYFUNCTION("""COMPUTED_VALUE"""),"CHRSTIAN RATILLA TATOY")</f>
        <v>CHRSTIAN RATILLA TATOY</v>
      </c>
      <c r="I2588" s="1">
        <f>IFERROR(__xludf.DUMMYFUNCTION("""COMPUTED_VALUE"""),9752456603)</f>
        <v>9752456603</v>
      </c>
      <c r="J2588" s="1">
        <f>IFERROR(__xludf.DUMMYFUNCTION("""COMPUTED_VALUE"""),9466091772)</f>
        <v>9466091772</v>
      </c>
      <c r="K2588" s="1" t="str">
        <f>IFERROR(__xludf.DUMMYFUNCTION("""COMPUTED_VALUE"""),"tatoyshan@gmail.com")</f>
        <v>tatoyshan@gmail.com</v>
      </c>
      <c r="L2588" s="1" t="str">
        <f>IFERROR(__xludf.DUMMYFUNCTION("""COMPUTED_VALUE"""),"BLK 7 LOT 27B")</f>
        <v>BLK 7 LOT 27B</v>
      </c>
      <c r="M2588" s="1" t="str">
        <f>IFERROR(__xludf.DUMMYFUNCTION("""COMPUTED_VALUE"""),"CHATEAU")</f>
        <v>CHATEAU</v>
      </c>
      <c r="N2588" s="1"/>
      <c r="O2588" s="1" t="str">
        <f>IFERROR(__xludf.DUMMYFUNCTION("""COMPUTED_VALUE"""),"JULUGAN VIII")</f>
        <v>JULUGAN VIII</v>
      </c>
      <c r="P2588" s="1" t="str">
        <f>IFERROR(__xludf.DUMMYFUNCTION("""COMPUTED_VALUE"""),"TANZA")</f>
        <v>TANZA</v>
      </c>
      <c r="Q2588" s="1" t="str">
        <f>IFERROR(__xludf.DUMMYFUNCTION("""COMPUTED_VALUE"""),"CAVITE")</f>
        <v>CAVITE</v>
      </c>
      <c r="R2588" s="1" t="str">
        <f>IFERROR(__xludf.DUMMYFUNCTION("""COMPUTED_VALUE"""),"FIBR PLAN 1299")</f>
        <v>FIBR PLAN 1299</v>
      </c>
      <c r="S2588" s="1" t="str">
        <f>IFERROR(__xludf.DUMMYFUNCTION("""COMPUTED_VALUE"""),"APPROVED")</f>
        <v>APPROVED</v>
      </c>
      <c r="T2588" s="1" t="str">
        <f>IFERROR(__xludf.DUMMYFUNCTION("""COMPUTED_VALUE"""),"REENCODED")</f>
        <v>REENCODED</v>
      </c>
      <c r="U2588" s="1"/>
      <c r="V2588" s="1"/>
      <c r="W2588" s="1"/>
    </row>
    <row r="2589" customHeight="1" spans="1:23">
      <c r="A2589" s="3">
        <f>IFERROR(__xludf.DUMMYFUNCTION("""COMPUTED_VALUE"""),46230)</f>
        <v>46230</v>
      </c>
      <c r="B2589" s="1" t="str">
        <f>IFERROR(__xludf.DUMMYFUNCTION("""COMPUTED_VALUE"""),"IVNO, RAZZEL")</f>
        <v>IVNO, RAZZEL</v>
      </c>
      <c r="C2589" s="1" t="str">
        <f>IFERROR(__xludf.DUMMYFUNCTION("""COMPUTED_VALUE"""),"ORGANIC")</f>
        <v>ORGANIC</v>
      </c>
      <c r="D2589" s="1" t="str">
        <f>IFERROR(__xludf.DUMMYFUNCTION("""COMPUTED_VALUE"""),"REMOLLO LEA")</f>
        <v>REMOLLO LEA</v>
      </c>
      <c r="E2589" s="1" t="str">
        <f>IFERROR(__xludf.DUMMYFUNCTION("""COMPUTED_VALUE"""),"PLDT / H2H")</f>
        <v>PLDT / H2H</v>
      </c>
      <c r="F2589" s="1">
        <f>IFERROR(__xludf.DUMMYFUNCTION("""COMPUTED_VALUE"""),2311301566)</f>
        <v>2311301566</v>
      </c>
      <c r="G2589" s="1">
        <f>IFERROR(__xludf.DUMMYFUNCTION("""COMPUTED_VALUE"""),464194707004)</f>
        <v>464194707004</v>
      </c>
      <c r="H2589" s="1" t="str">
        <f>IFERROR(__xludf.DUMMYFUNCTION("""COMPUTED_VALUE"""),"BERNADETTE TABLATIN PELANDIANA")</f>
        <v>BERNADETTE TABLATIN PELANDIANA</v>
      </c>
      <c r="I2589" s="1">
        <f>IFERROR(__xludf.DUMMYFUNCTION("""COMPUTED_VALUE"""),9535674840)</f>
        <v>9535674840</v>
      </c>
      <c r="J2589" s="1">
        <f>IFERROR(__xludf.DUMMYFUNCTION("""COMPUTED_VALUE"""),9364172337)</f>
        <v>9364172337</v>
      </c>
      <c r="K2589" s="1" t="str">
        <f>IFERROR(__xludf.DUMMYFUNCTION("""COMPUTED_VALUE"""),"aisat.palandiana242181@gmail.com")</f>
        <v>aisat.palandiana242181@gmail.com</v>
      </c>
      <c r="L2589" s="1" t="str">
        <f>IFERROR(__xludf.DUMMYFUNCTION("""COMPUTED_VALUE"""),"94")</f>
        <v>94</v>
      </c>
      <c r="M2589" s="1" t="str">
        <f>IFERROR(__xludf.DUMMYFUNCTION("""COMPUTED_VALUE"""),"MALABAG")</f>
        <v>MALABAG</v>
      </c>
      <c r="N2589" s="1"/>
      <c r="O2589" s="1" t="str">
        <f>IFERROR(__xludf.DUMMYFUNCTION("""COMPUTED_VALUE"""),"MALABAG")</f>
        <v>MALABAG</v>
      </c>
      <c r="P2589" s="1" t="str">
        <f>IFERROR(__xludf.DUMMYFUNCTION("""COMPUTED_VALUE"""),"SILANG")</f>
        <v>SILANG</v>
      </c>
      <c r="Q2589" s="1" t="str">
        <f>IFERROR(__xludf.DUMMYFUNCTION("""COMPUTED_VALUE"""),"CAVITE")</f>
        <v>CAVITE</v>
      </c>
      <c r="R2589" s="1" t="str">
        <f>IFERROR(__xludf.DUMMYFUNCTION("""COMPUTED_VALUE"""),"FIBR UNLI ALL PLAN 999")</f>
        <v>FIBR UNLI ALL PLAN 999</v>
      </c>
      <c r="S2589" s="1" t="str">
        <f>IFERROR(__xludf.DUMMYFUNCTION("""COMPUTED_VALUE"""),"APPROVED")</f>
        <v>APPROVED</v>
      </c>
      <c r="T2589" s="1" t="str">
        <f>IFERROR(__xludf.DUMMYFUNCTION("""COMPUTED_VALUE"""),"CLOSED")</f>
        <v>CLOSED</v>
      </c>
      <c r="U2589" s="1"/>
      <c r="V2589" s="1"/>
      <c r="W2589" s="1"/>
    </row>
    <row r="2590" customHeight="1" spans="1:23">
      <c r="A2590" s="3">
        <f>IFERROR(__xludf.DUMMYFUNCTION("""COMPUTED_VALUE"""),46230)</f>
        <v>46230</v>
      </c>
      <c r="B2590" s="1" t="str">
        <f>IFERROR(__xludf.DUMMYFUNCTION("""COMPUTED_VALUE"""),"CASTILLEJOS, ARREL")</f>
        <v>CASTILLEJOS, ARREL</v>
      </c>
      <c r="C2590" s="1" t="str">
        <f>IFERROR(__xludf.DUMMYFUNCTION("""COMPUTED_VALUE"""),"ORGANIC")</f>
        <v>ORGANIC</v>
      </c>
      <c r="D2590" s="1" t="str">
        <f>IFERROR(__xludf.DUMMYFUNCTION("""COMPUTED_VALUE"""),"REMOLLO LEA")</f>
        <v>REMOLLO LEA</v>
      </c>
      <c r="E2590" s="1" t="str">
        <f>IFERROR(__xludf.DUMMYFUNCTION("""COMPUTED_VALUE"""),"PLDT / H2H")</f>
        <v>PLDT / H2H</v>
      </c>
      <c r="F2590" s="1">
        <f>IFERROR(__xludf.DUMMYFUNCTION("""COMPUTED_VALUE"""),2311303974)</f>
        <v>2311303974</v>
      </c>
      <c r="G2590" s="1">
        <f>IFERROR(__xludf.DUMMYFUNCTION("""COMPUTED_VALUE"""),464323658004)</f>
        <v>464323658004</v>
      </c>
      <c r="H2590" s="1" t="str">
        <f>IFERROR(__xludf.DUMMYFUNCTION("""COMPUTED_VALUE"""),"ROMELYN SERENO BUENO")</f>
        <v>ROMELYN SERENO BUENO</v>
      </c>
      <c r="I2590" s="1">
        <f>IFERROR(__xludf.DUMMYFUNCTION("""COMPUTED_VALUE"""),9276427189)</f>
        <v>9276427189</v>
      </c>
      <c r="J2590" s="1">
        <f>IFERROR(__xludf.DUMMYFUNCTION("""COMPUTED_VALUE"""),90649092947)</f>
        <v>90649092947</v>
      </c>
      <c r="K2590" s="1" t="str">
        <f>IFERROR(__xludf.DUMMYFUNCTION("""COMPUTED_VALUE"""),"romelynbueno720@gmail.com")</f>
        <v>romelynbueno720@gmail.com</v>
      </c>
      <c r="L2590" s="1" t="str">
        <f>IFERROR(__xludf.DUMMYFUNCTION("""COMPUTED_VALUE"""),"137")</f>
        <v>137</v>
      </c>
      <c r="M2590" s="1" t="str">
        <f>IFERROR(__xludf.DUMMYFUNCTION("""COMPUTED_VALUE"""),"LOTUS")</f>
        <v>LOTUS</v>
      </c>
      <c r="N2590" s="1"/>
      <c r="O2590" s="1" t="str">
        <f>IFERROR(__xludf.DUMMYFUNCTION("""COMPUTED_VALUE"""),"SAN MIGUEL II")</f>
        <v>SAN MIGUEL II</v>
      </c>
      <c r="P2590" s="1" t="str">
        <f>IFERROR(__xludf.DUMMYFUNCTION("""COMPUTED_VALUE"""),"SILANG")</f>
        <v>SILANG</v>
      </c>
      <c r="Q2590" s="1" t="str">
        <f>IFERROR(__xludf.DUMMYFUNCTION("""COMPUTED_VALUE"""),"CAVITE")</f>
        <v>CAVITE</v>
      </c>
      <c r="R2590" s="1" t="str">
        <f>IFERROR(__xludf.DUMMYFUNCTION("""COMPUTED_VALUE"""),"FIBR UNLI ALL PLAN 999")</f>
        <v>FIBR UNLI ALL PLAN 999</v>
      </c>
      <c r="S2590" s="1" t="str">
        <f>IFERROR(__xludf.DUMMYFUNCTION("""COMPUTED_VALUE"""),"APPROVED")</f>
        <v>APPROVED</v>
      </c>
      <c r="T2590" s="1" t="str">
        <f>IFERROR(__xludf.DUMMYFUNCTION("""COMPUTED_VALUE"""),"CANCELLED")</f>
        <v>CANCELLED</v>
      </c>
      <c r="U2590" s="1"/>
      <c r="V2590" s="1"/>
      <c r="W2590" s="1"/>
    </row>
    <row r="2591" customHeight="1" spans="1:23">
      <c r="A2591" s="3">
        <f>IFERROR(__xludf.DUMMYFUNCTION("""COMPUTED_VALUE"""),46230)</f>
        <v>46230</v>
      </c>
      <c r="B2591" s="1" t="str">
        <f>IFERROR(__xludf.DUMMYFUNCTION("""COMPUTED_VALUE"""),"FRONDEZ, JEDREFF")</f>
        <v>FRONDEZ, JEDREFF</v>
      </c>
      <c r="C2591" s="1" t="str">
        <f>IFERROR(__xludf.DUMMYFUNCTION("""COMPUTED_VALUE"""),"ORGANIC")</f>
        <v>ORGANIC</v>
      </c>
      <c r="D2591" s="1" t="str">
        <f>IFERROR(__xludf.DUMMYFUNCTION("""COMPUTED_VALUE"""),"REMOLLO LEA")</f>
        <v>REMOLLO LEA</v>
      </c>
      <c r="E2591" s="1" t="str">
        <f>IFERROR(__xludf.DUMMYFUNCTION("""COMPUTED_VALUE"""),"PLDT / H2H")</f>
        <v>PLDT / H2H</v>
      </c>
      <c r="F2591" s="1">
        <f>IFERROR(__xludf.DUMMYFUNCTION("""COMPUTED_VALUE"""),2311305237)</f>
        <v>2311305237</v>
      </c>
      <c r="G2591" s="1">
        <f>IFERROR(__xludf.DUMMYFUNCTION("""COMPUTED_VALUE"""),464199621004)</f>
        <v>464199621004</v>
      </c>
      <c r="H2591" s="1" t="str">
        <f>IFERROR(__xludf.DUMMYFUNCTION("""COMPUTED_VALUE"""),"LORLYNE GARCIA FIGURA")</f>
        <v>LORLYNE GARCIA FIGURA</v>
      </c>
      <c r="I2591" s="1">
        <f>IFERROR(__xludf.DUMMYFUNCTION("""COMPUTED_VALUE"""),9533929331)</f>
        <v>9533929331</v>
      </c>
      <c r="J2591" s="1"/>
      <c r="K2591" s="1" t="str">
        <f>IFERROR(__xludf.DUMMYFUNCTION("""COMPUTED_VALUE"""),"lynlonie685@gmail.com")</f>
        <v>lynlonie685@gmail.com</v>
      </c>
      <c r="L2591" s="1" t="str">
        <f>IFERROR(__xludf.DUMMYFUNCTION("""COMPUTED_VALUE"""),"147")</f>
        <v>147</v>
      </c>
      <c r="M2591" s="1" t="str">
        <f>IFERROR(__xludf.DUMMYFUNCTION("""COMPUTED_VALUE"""),"PUROK 3")</f>
        <v>PUROK 3</v>
      </c>
      <c r="N2591" s="1"/>
      <c r="O2591" s="1" t="str">
        <f>IFERROR(__xludf.DUMMYFUNCTION("""COMPUTED_VALUE"""),"BALITE II")</f>
        <v>BALITE II</v>
      </c>
      <c r="P2591" s="1" t="str">
        <f>IFERROR(__xludf.DUMMYFUNCTION("""COMPUTED_VALUE"""),"SILANG")</f>
        <v>SILANG</v>
      </c>
      <c r="Q2591" s="1" t="str">
        <f>IFERROR(__xludf.DUMMYFUNCTION("""COMPUTED_VALUE"""),"CAVITE")</f>
        <v>CAVITE</v>
      </c>
      <c r="R2591" s="1" t="str">
        <f>IFERROR(__xludf.DUMMYFUNCTION("""COMPUTED_VALUE"""),"FIBR UNLI ALL PLAN 999")</f>
        <v>FIBR UNLI ALL PLAN 999</v>
      </c>
      <c r="S2591" s="1" t="str">
        <f>IFERROR(__xludf.DUMMYFUNCTION("""COMPUTED_VALUE"""),"APPROVED")</f>
        <v>APPROVED</v>
      </c>
      <c r="T2591" s="1" t="str">
        <f>IFERROR(__xludf.DUMMYFUNCTION("""COMPUTED_VALUE"""),"CLOSED")</f>
        <v>CLOSED</v>
      </c>
      <c r="U2591" s="1"/>
      <c r="V2591" s="1"/>
      <c r="W2591" s="1"/>
    </row>
    <row r="2592" customHeight="1" spans="1:23">
      <c r="A2592" s="3">
        <f>IFERROR(__xludf.DUMMYFUNCTION("""COMPUTED_VALUE"""),46230)</f>
        <v>46230</v>
      </c>
      <c r="B2592" s="1" t="str">
        <f>IFERROR(__xludf.DUMMYFUNCTION("""COMPUTED_VALUE"""),"MALIWAT MARK ELVIN")</f>
        <v>MALIWAT MARK ELVIN</v>
      </c>
      <c r="C2592" s="1" t="str">
        <f>IFERROR(__xludf.DUMMYFUNCTION("""COMPUTED_VALUE"""),"FLA")</f>
        <v>FLA</v>
      </c>
      <c r="D2592" s="1" t="str">
        <f>IFERROR(__xludf.DUMMYFUNCTION("""COMPUTED_VALUE"""),"JERIC NAVARRO")</f>
        <v>JERIC NAVARRO</v>
      </c>
      <c r="E2592" s="1" t="str">
        <f>IFERROR(__xludf.DUMMYFUNCTION("""COMPUTED_VALUE"""),"PLDT / ONLINE")</f>
        <v>PLDT / ONLINE</v>
      </c>
      <c r="F2592" s="1">
        <f>IFERROR(__xludf.DUMMYFUNCTION("""COMPUTED_VALUE"""),2311302397)</f>
        <v>2311302397</v>
      </c>
      <c r="G2592" s="1"/>
      <c r="H2592" s="1" t="str">
        <f>IFERROR(__xludf.DUMMYFUNCTION("""COMPUTED_VALUE"""),"PRECY RAMIREZ")</f>
        <v>PRECY RAMIREZ</v>
      </c>
      <c r="I2592" s="1">
        <f>IFERROR(__xludf.DUMMYFUNCTION("""COMPUTED_VALUE"""),9619900149)</f>
        <v>9619900149</v>
      </c>
      <c r="J2592" s="1">
        <f>IFERROR(__xludf.DUMMYFUNCTION("""COMPUTED_VALUE"""),9616093375)</f>
        <v>9616093375</v>
      </c>
      <c r="K2592" s="1" t="str">
        <f>IFERROR(__xludf.DUMMYFUNCTION("""COMPUTED_VALUE"""),"ramirezprecy5@gmail.com")</f>
        <v>ramirezprecy5@gmail.com</v>
      </c>
      <c r="L2592" s="1" t="str">
        <f>IFERROR(__xludf.DUMMYFUNCTION("""COMPUTED_VALUE"""),"BLK 2 LOT 6")</f>
        <v>BLK 2 LOT 6</v>
      </c>
      <c r="M2592" s="1" t="str">
        <f>IFERROR(__xludf.DUMMYFUNCTION("""COMPUTED_VALUE"""),"MARY ST")</f>
        <v>MARY ST</v>
      </c>
      <c r="N2592" s="1" t="str">
        <f>IFERROR(__xludf.DUMMYFUNCTION("""COMPUTED_VALUE"""),"STATELAND")</f>
        <v>STATELAND</v>
      </c>
      <c r="O2592" s="1" t="str">
        <f>IFERROR(__xludf.DUMMYFUNCTION("""COMPUTED_VALUE"""),"MANGGAHAN")</f>
        <v>MANGGAHAN</v>
      </c>
      <c r="P2592" s="1" t="str">
        <f>IFERROR(__xludf.DUMMYFUNCTION("""COMPUTED_VALUE"""),"GENERAL TRIAS")</f>
        <v>GENERAL TRIAS</v>
      </c>
      <c r="Q2592" s="1" t="str">
        <f>IFERROR(__xludf.DUMMYFUNCTION("""COMPUTED_VALUE"""),"CAVITE")</f>
        <v>CAVITE</v>
      </c>
      <c r="R2592" s="1" t="str">
        <f>IFERROR(__xludf.DUMMYFUNCTION("""COMPUTED_VALUE"""),"RED PLPAN 1900")</f>
        <v>RED PLPAN 1900</v>
      </c>
      <c r="S2592" s="1" t="str">
        <f>IFERROR(__xludf.DUMMYFUNCTION("""COMPUTED_VALUE"""),"APPROVED")</f>
        <v>APPROVED</v>
      </c>
      <c r="T2592" s="1" t="str">
        <f>IFERROR(__xludf.DUMMYFUNCTION("""COMPUTED_VALUE"""),"REENCODED")</f>
        <v>REENCODED</v>
      </c>
      <c r="U2592" s="1"/>
      <c r="V2592" s="1"/>
      <c r="W2592" s="1"/>
    </row>
    <row r="2593" customHeight="1" spans="1:23">
      <c r="A2593" s="3">
        <f>IFERROR(__xludf.DUMMYFUNCTION("""COMPUTED_VALUE"""),46230)</f>
        <v>46230</v>
      </c>
      <c r="B2593" s="1" t="str">
        <f>IFERROR(__xludf.DUMMYFUNCTION("""COMPUTED_VALUE"""),"FRANCISCO , ROSELYN")</f>
        <v>FRANCISCO , ROSELYN</v>
      </c>
      <c r="C2593" s="1" t="str">
        <f>IFERROR(__xludf.DUMMYFUNCTION("""COMPUTED_VALUE"""),"ORGANIC")</f>
        <v>ORGANIC</v>
      </c>
      <c r="D2593" s="1" t="str">
        <f>IFERROR(__xludf.DUMMYFUNCTION("""COMPUTED_VALUE"""),"REMOLLO LEA")</f>
        <v>REMOLLO LEA</v>
      </c>
      <c r="E2593" s="1" t="str">
        <f>IFERROR(__xludf.DUMMYFUNCTION("""COMPUTED_VALUE"""),"PLDT / ONLINE")</f>
        <v>PLDT / ONLINE</v>
      </c>
      <c r="F2593" s="1">
        <f>IFERROR(__xludf.DUMMYFUNCTION("""COMPUTED_VALUE"""),2311303150)</f>
        <v>2311303150</v>
      </c>
      <c r="G2593" s="1">
        <f>IFERROR(__xludf.DUMMYFUNCTION("""COMPUTED_VALUE"""),464195807004)</f>
        <v>464195807004</v>
      </c>
      <c r="H2593" s="1" t="str">
        <f>IFERROR(__xludf.DUMMYFUNCTION("""COMPUTED_VALUE"""),"KATHLENE ANNE JIMENO AURE")</f>
        <v>KATHLENE ANNE JIMENO AURE</v>
      </c>
      <c r="I2593" s="1">
        <f>IFERROR(__xludf.DUMMYFUNCTION("""COMPUTED_VALUE"""),9705293314)</f>
        <v>9705293314</v>
      </c>
      <c r="J2593" s="1">
        <f>IFERROR(__xludf.DUMMYFUNCTION("""COMPUTED_VALUE"""),9460922505)</f>
        <v>9460922505</v>
      </c>
      <c r="K2593" s="1" t="str">
        <f>IFERROR(__xludf.DUMMYFUNCTION("""COMPUTED_VALUE"""),"kathlenejimeno02@gmail.com")</f>
        <v>kathlenejimeno02@gmail.com</v>
      </c>
      <c r="L2593" s="1" t="str">
        <f>IFERROR(__xludf.DUMMYFUNCTION("""COMPUTED_VALUE"""),"6147")</f>
        <v>6147</v>
      </c>
      <c r="M2593" s="1" t="str">
        <f>IFERROR(__xludf.DUMMYFUNCTION("""COMPUTED_VALUE"""),"KALUBKUB ST")</f>
        <v>KALUBKUB ST</v>
      </c>
      <c r="N2593" s="1"/>
      <c r="O2593" s="1" t="str">
        <f>IFERROR(__xludf.DUMMYFUNCTION("""COMPUTED_VALUE"""),"ASIS I")</f>
        <v>ASIS I</v>
      </c>
      <c r="P2593" s="1" t="str">
        <f>IFERROR(__xludf.DUMMYFUNCTION("""COMPUTED_VALUE"""),"MENDEZ")</f>
        <v>MENDEZ</v>
      </c>
      <c r="Q2593" s="1" t="str">
        <f>IFERROR(__xludf.DUMMYFUNCTION("""COMPUTED_VALUE"""),"CAVITE")</f>
        <v>CAVITE</v>
      </c>
      <c r="R2593" s="1" t="str">
        <f>IFERROR(__xludf.DUMMYFUNCTION("""COMPUTED_VALUE"""),"FIBR UNLI ALL PLAN 999")</f>
        <v>FIBR UNLI ALL PLAN 999</v>
      </c>
      <c r="S2593" s="1" t="str">
        <f>IFERROR(__xludf.DUMMYFUNCTION("""COMPUTED_VALUE"""),"APPROVED")</f>
        <v>APPROVED</v>
      </c>
      <c r="T2593" s="1" t="str">
        <f>IFERROR(__xludf.DUMMYFUNCTION("""COMPUTED_VALUE"""),"CLOSED")</f>
        <v>CLOSED</v>
      </c>
      <c r="U2593" s="1"/>
      <c r="V2593" s="1"/>
      <c r="W2593" s="1"/>
    </row>
    <row r="2594" customHeight="1" spans="1:23">
      <c r="A2594" s="3">
        <f>IFERROR(__xludf.DUMMYFUNCTION("""COMPUTED_VALUE"""),46232)</f>
        <v>46232</v>
      </c>
      <c r="B2594" s="1" t="str">
        <f>IFERROR(__xludf.DUMMYFUNCTION("""COMPUTED_VALUE"""),"DACALCAP RUBEN")</f>
        <v>DACALCAP RUBEN</v>
      </c>
      <c r="C2594" s="1" t="str">
        <f>IFERROR(__xludf.DUMMYFUNCTION("""COMPUTED_VALUE"""),"FLA")</f>
        <v>FLA</v>
      </c>
      <c r="D2594" s="1" t="str">
        <f>IFERROR(__xludf.DUMMYFUNCTION("""COMPUTED_VALUE"""),"JERIC NAVARRO")</f>
        <v>JERIC NAVARRO</v>
      </c>
      <c r="E2594" s="1" t="str">
        <f>IFERROR(__xludf.DUMMYFUNCTION("""COMPUTED_VALUE"""),"PLDT / ONLINE")</f>
        <v>PLDT / ONLINE</v>
      </c>
      <c r="F2594" s="1">
        <f>IFERROR(__xludf.DUMMYFUNCTION("""COMPUTED_VALUE"""),2311350298)</f>
        <v>2311350298</v>
      </c>
      <c r="G2594" s="1"/>
      <c r="H2594" s="1" t="str">
        <f>IFERROR(__xludf.DUMMYFUNCTION("""COMPUTED_VALUE"""),"SANITA IDNANI DELA PAZ")</f>
        <v>SANITA IDNANI DELA PAZ</v>
      </c>
      <c r="I2594" s="1">
        <f>IFERROR(__xludf.DUMMYFUNCTION("""COMPUTED_VALUE"""),962531234)</f>
        <v>962531234</v>
      </c>
      <c r="J2594" s="1">
        <f>IFERROR(__xludf.DUMMYFUNCTION("""COMPUTED_VALUE"""),9622132344)</f>
        <v>9622132344</v>
      </c>
      <c r="K2594" s="1" t="str">
        <f>IFERROR(__xludf.DUMMYFUNCTION("""COMPUTED_VALUE"""),"sunie_23@hotmail.com")</f>
        <v>sunie_23@hotmail.com</v>
      </c>
      <c r="L2594" s="1" t="str">
        <f>IFERROR(__xludf.DUMMYFUNCTION("""COMPUTED_VALUE"""),"1")</f>
        <v>1</v>
      </c>
      <c r="M2594" s="1" t="str">
        <f>IFERROR(__xludf.DUMMYFUNCTION("""COMPUTED_VALUE"""),"KAYTITINGA")</f>
        <v>KAYTITINGA</v>
      </c>
      <c r="N2594" s="1"/>
      <c r="O2594" s="1" t="str">
        <f>IFERROR(__xludf.DUMMYFUNCTION("""COMPUTED_VALUE"""),"KAYTITINGA II")</f>
        <v>KAYTITINGA II</v>
      </c>
      <c r="P2594" s="1" t="str">
        <f>IFERROR(__xludf.DUMMYFUNCTION("""COMPUTED_VALUE"""),"ALFONSO")</f>
        <v>ALFONSO</v>
      </c>
      <c r="Q2594" s="1" t="str">
        <f>IFERROR(__xludf.DUMMYFUNCTION("""COMPUTED_VALUE"""),"CAVITE")</f>
        <v>CAVITE</v>
      </c>
      <c r="R2594" s="1" t="str">
        <f>IFERROR(__xludf.DUMMYFUNCTION("""COMPUTED_VALUE"""),"FIBR UNLI ALL PLAN 1799")</f>
        <v>FIBR UNLI ALL PLAN 1799</v>
      </c>
      <c r="S2594" s="1" t="str">
        <f>IFERROR(__xludf.DUMMYFUNCTION("""COMPUTED_VALUE"""),"APPROVED")</f>
        <v>APPROVED</v>
      </c>
      <c r="T2594" s="1" t="str">
        <f>IFERROR(__xludf.DUMMYFUNCTION("""COMPUTED_VALUE"""),"CANCELLED")</f>
        <v>CANCELLED</v>
      </c>
      <c r="U2594" s="1"/>
      <c r="V2594" s="1"/>
      <c r="W2594" s="1"/>
    </row>
    <row r="2595" customHeight="1" spans="1:23">
      <c r="A2595" s="3">
        <f>IFERROR(__xludf.DUMMYFUNCTION("""COMPUTED_VALUE"""),46232)</f>
        <v>46232</v>
      </c>
      <c r="B2595" s="1" t="str">
        <f>IFERROR(__xludf.DUMMYFUNCTION("""COMPUTED_VALUE"""),"FRANCISCO , ROSELYN")</f>
        <v>FRANCISCO , ROSELYN</v>
      </c>
      <c r="C2595" s="1" t="str">
        <f>IFERROR(__xludf.DUMMYFUNCTION("""COMPUTED_VALUE"""),"ORGANIC")</f>
        <v>ORGANIC</v>
      </c>
      <c r="D2595" s="1" t="str">
        <f>IFERROR(__xludf.DUMMYFUNCTION("""COMPUTED_VALUE"""),"REMOLLO LEA")</f>
        <v>REMOLLO LEA</v>
      </c>
      <c r="E2595" s="1" t="str">
        <f>IFERROR(__xludf.DUMMYFUNCTION("""COMPUTED_VALUE"""),"PLDT / ONLINE")</f>
        <v>PLDT / ONLINE</v>
      </c>
      <c r="F2595" s="1">
        <f>IFERROR(__xludf.DUMMYFUNCTION("""COMPUTED_VALUE"""),2311348413)</f>
        <v>2311348413</v>
      </c>
      <c r="G2595" s="1">
        <f>IFERROR(__xludf.DUMMYFUNCTION("""COMPUTED_VALUE"""),464454361004)</f>
        <v>464454361004</v>
      </c>
      <c r="H2595" s="1" t="str">
        <f>IFERROR(__xludf.DUMMYFUNCTION("""COMPUTED_VALUE"""),"BABYLYN SALARTA SILVA")</f>
        <v>BABYLYN SALARTA SILVA</v>
      </c>
      <c r="I2595" s="1">
        <f>IFERROR(__xludf.DUMMYFUNCTION("""COMPUTED_VALUE"""),9910234290)</f>
        <v>9910234290</v>
      </c>
      <c r="J2595" s="1"/>
      <c r="K2595" s="1" t="str">
        <f>IFERROR(__xludf.DUMMYFUNCTION("""COMPUTED_VALUE"""),"babylynsilva20@gmail.com")</f>
        <v>babylynsilva20@gmail.com</v>
      </c>
      <c r="L2595" s="1" t="str">
        <f>IFERROR(__xludf.DUMMYFUNCTION("""COMPUTED_VALUE"""),"BLK 10 LOT 23")</f>
        <v>BLK 10 LOT 23</v>
      </c>
      <c r="M2595" s="1" t="str">
        <f>IFERROR(__xludf.DUMMYFUNCTION("""COMPUTED_VALUE"""),"LAS BRISAS")</f>
        <v>LAS BRISAS</v>
      </c>
      <c r="N2595" s="1"/>
      <c r="O2595" s="1" t="str">
        <f>IFERROR(__xludf.DUMMYFUNCTION("""COMPUTED_VALUE"""),"MENDEZ CROSSING WEST")</f>
        <v>MENDEZ CROSSING WEST</v>
      </c>
      <c r="P2595" s="1" t="str">
        <f>IFERROR(__xludf.DUMMYFUNCTION("""COMPUTED_VALUE"""),"TAGAYTAY")</f>
        <v>TAGAYTAY</v>
      </c>
      <c r="Q2595" s="1" t="str">
        <f>IFERROR(__xludf.DUMMYFUNCTION("""COMPUTED_VALUE"""),"CAVITE")</f>
        <v>CAVITE</v>
      </c>
      <c r="R2595" s="1" t="str">
        <f>IFERROR(__xludf.DUMMYFUNCTION("""COMPUTED_VALUE"""),"FIBR UNLI ALL PLAN 999")</f>
        <v>FIBR UNLI ALL PLAN 999</v>
      </c>
      <c r="S2595" s="1" t="str">
        <f>IFERROR(__xludf.DUMMYFUNCTION("""COMPUTED_VALUE"""),"APPROVED")</f>
        <v>APPROVED</v>
      </c>
      <c r="T2595" s="1" t="str">
        <f>IFERROR(__xludf.DUMMYFUNCTION("""COMPUTED_VALUE"""),"CANCELLED")</f>
        <v>CANCELLED</v>
      </c>
      <c r="U2595" s="1"/>
      <c r="V2595" s="1"/>
      <c r="W2595" s="1"/>
    </row>
    <row r="2596" customHeight="1" spans="1:23">
      <c r="A2596" s="3">
        <f>IFERROR(__xludf.DUMMYFUNCTION("""COMPUTED_VALUE"""),46232)</f>
        <v>46232</v>
      </c>
      <c r="B2596" s="1" t="str">
        <f>IFERROR(__xludf.DUMMYFUNCTION("""COMPUTED_VALUE"""),"DACALCAP RUBEN")</f>
        <v>DACALCAP RUBEN</v>
      </c>
      <c r="C2596" s="1" t="str">
        <f>IFERROR(__xludf.DUMMYFUNCTION("""COMPUTED_VALUE"""),"FLA")</f>
        <v>FLA</v>
      </c>
      <c r="D2596" s="1" t="str">
        <f>IFERROR(__xludf.DUMMYFUNCTION("""COMPUTED_VALUE"""),"JERIC NAVARRO")</f>
        <v>JERIC NAVARRO</v>
      </c>
      <c r="E2596" s="1" t="str">
        <f>IFERROR(__xludf.DUMMYFUNCTION("""COMPUTED_VALUE"""),"PLDT / ONLINE")</f>
        <v>PLDT / ONLINE</v>
      </c>
      <c r="F2596" s="1">
        <f>IFERROR(__xludf.DUMMYFUNCTION("""COMPUTED_VALUE"""),2311360359)</f>
        <v>2311360359</v>
      </c>
      <c r="G2596" s="1">
        <f>IFERROR(__xludf.DUMMYFUNCTION("""COMPUTED_VALUE"""),464492028004)</f>
        <v>464492028004</v>
      </c>
      <c r="H2596" s="1" t="str">
        <f>IFERROR(__xludf.DUMMYFUNCTION("""COMPUTED_VALUE"""),"LARENCE CAPARINO VELASCO")</f>
        <v>LARENCE CAPARINO VELASCO</v>
      </c>
      <c r="I2596" s="1">
        <f>IFERROR(__xludf.DUMMYFUNCTION("""COMPUTED_VALUE"""),9461177595)</f>
        <v>9461177595</v>
      </c>
      <c r="J2596" s="1">
        <f>IFERROR(__xludf.DUMMYFUNCTION("""COMPUTED_VALUE"""),9935007240)</f>
        <v>9935007240</v>
      </c>
      <c r="K2596" s="1" t="str">
        <f>IFERROR(__xludf.DUMMYFUNCTION("""COMPUTED_VALUE"""),"larencevelasco76@gmail.com")</f>
        <v>larencevelasco76@gmail.com</v>
      </c>
      <c r="L2596" s="1" t="str">
        <f>IFERROR(__xludf.DUMMYFUNCTION("""COMPUTED_VALUE"""),"9026")</f>
        <v>9026</v>
      </c>
      <c r="M2596" s="1" t="str">
        <f>IFERROR(__xludf.DUMMYFUNCTION("""COMPUTED_VALUE"""),"PUROK 209")</f>
        <v>PUROK 209</v>
      </c>
      <c r="N2596" s="1"/>
      <c r="O2596" s="1" t="str">
        <f>IFERROR(__xludf.DUMMYFUNCTION("""COMPUTED_VALUE"""),"TOLENTINO WEST")</f>
        <v>TOLENTINO WEST</v>
      </c>
      <c r="P2596" s="1" t="str">
        <f>IFERROR(__xludf.DUMMYFUNCTION("""COMPUTED_VALUE"""),"TAGAYTAY")</f>
        <v>TAGAYTAY</v>
      </c>
      <c r="Q2596" s="1" t="str">
        <f>IFERROR(__xludf.DUMMYFUNCTION("""COMPUTED_VALUE"""),"CAVITE")</f>
        <v>CAVITE</v>
      </c>
      <c r="R2596" s="1" t="str">
        <f>IFERROR(__xludf.DUMMYFUNCTION("""COMPUTED_VALUE"""),"SWITCH FIBR UNLI ALL PLAN 1399")</f>
        <v>SWITCH FIBR UNLI ALL PLAN 1399</v>
      </c>
      <c r="S2596" s="1" t="str">
        <f>IFERROR(__xludf.DUMMYFUNCTION("""COMPUTED_VALUE"""),"APPROVED")</f>
        <v>APPROVED</v>
      </c>
      <c r="T2596" s="1" t="str">
        <f>IFERROR(__xludf.DUMMYFUNCTION("""COMPUTED_VALUE"""),"RESERVED FACILITY")</f>
        <v>RESERVED FACILITY</v>
      </c>
      <c r="U2596" s="1"/>
      <c r="V2596" s="1"/>
      <c r="W2596" s="1"/>
    </row>
    <row r="2597" customHeight="1" spans="1:23">
      <c r="A2597" s="3">
        <f>IFERROR(__xludf.DUMMYFUNCTION("""COMPUTED_VALUE"""),46232)</f>
        <v>46232</v>
      </c>
      <c r="B2597" s="1" t="str">
        <f>IFERROR(__xludf.DUMMYFUNCTION("""COMPUTED_VALUE"""),"FRANCISCO , ROSELYN")</f>
        <v>FRANCISCO , ROSELYN</v>
      </c>
      <c r="C2597" s="1" t="str">
        <f>IFERROR(__xludf.DUMMYFUNCTION("""COMPUTED_VALUE"""),"ORGANIC")</f>
        <v>ORGANIC</v>
      </c>
      <c r="D2597" s="1" t="str">
        <f>IFERROR(__xludf.DUMMYFUNCTION("""COMPUTED_VALUE"""),"REMOLLO LEA")</f>
        <v>REMOLLO LEA</v>
      </c>
      <c r="E2597" s="1" t="str">
        <f>IFERROR(__xludf.DUMMYFUNCTION("""COMPUTED_VALUE"""),"PLDT / ONLINE")</f>
        <v>PLDT / ONLINE</v>
      </c>
      <c r="F2597" s="1">
        <f>IFERROR(__xludf.DUMMYFUNCTION("""COMPUTED_VALUE"""),2311359991)</f>
        <v>2311359991</v>
      </c>
      <c r="G2597" s="1">
        <f>IFERROR(__xludf.DUMMYFUNCTION("""COMPUTED_VALUE"""),464476296004)</f>
        <v>464476296004</v>
      </c>
      <c r="H2597" s="1" t="str">
        <f>IFERROR(__xludf.DUMMYFUNCTION("""COMPUTED_VALUE"""),"RENIE BOY GALUPO BALAWANG ")</f>
        <v>RENIE BOY GALUPO BALAWANG </v>
      </c>
      <c r="I2597" s="1">
        <f>IFERROR(__xludf.DUMMYFUNCTION("""COMPUTED_VALUE"""),9685547845)</f>
        <v>9685547845</v>
      </c>
      <c r="J2597" s="1">
        <f>IFERROR(__xludf.DUMMYFUNCTION("""COMPUTED_VALUE"""),9852372463)</f>
        <v>9852372463</v>
      </c>
      <c r="K2597" s="1" t="str">
        <f>IFERROR(__xludf.DUMMYFUNCTION("""COMPUTED_VALUE"""),"renieboybalawang35@gmail.com")</f>
        <v>renieboybalawang35@gmail.com</v>
      </c>
      <c r="L2597" s="1" t="str">
        <f>IFERROR(__xludf.DUMMYFUNCTION("""COMPUTED_VALUE""")," BLK 251 LOT 1")</f>
        <v> BLK 251 LOT 1</v>
      </c>
      <c r="M2597" s="1" t="str">
        <f>IFERROR(__xludf.DUMMYFUNCTION("""COMPUTED_VALUE"""),"PHASE 2")</f>
        <v>PHASE 2</v>
      </c>
      <c r="N2597" s="1" t="str">
        <f>IFERROR(__xludf.DUMMYFUNCTION("""COMPUTED_VALUE"""),"MABUHAY CITY")</f>
        <v>MABUHAY CITY</v>
      </c>
      <c r="O2597" s="1" t="str">
        <f>IFERROR(__xludf.DUMMYFUNCTION("""COMPUTED_VALUE"""),"PALIPARAN III")</f>
        <v>PALIPARAN III</v>
      </c>
      <c r="P2597" s="1" t="str">
        <f>IFERROR(__xludf.DUMMYFUNCTION("""COMPUTED_VALUE"""),"DASMARINAS")</f>
        <v>DASMARINAS</v>
      </c>
      <c r="Q2597" s="1" t="str">
        <f>IFERROR(__xludf.DUMMYFUNCTION("""COMPUTED_VALUE"""),"CAVITE")</f>
        <v>CAVITE</v>
      </c>
      <c r="R2597" s="1" t="str">
        <f>IFERROR(__xludf.DUMMYFUNCTION("""COMPUTED_VALUE"""),"FIBR UNLI ALL PLAN 999")</f>
        <v>FIBR UNLI ALL PLAN 999</v>
      </c>
      <c r="S2597" s="1" t="str">
        <f>IFERROR(__xludf.DUMMYFUNCTION("""COMPUTED_VALUE"""),"APPROVED")</f>
        <v>APPROVED</v>
      </c>
      <c r="T2597" s="1" t="str">
        <f>IFERROR(__xludf.DUMMYFUNCTION("""COMPUTED_VALUE"""),"CLOSED")</f>
        <v>CLOSED</v>
      </c>
      <c r="U2597" s="1"/>
      <c r="V2597" s="1"/>
      <c r="W2597" s="1"/>
    </row>
    <row r="2598" customHeight="1" spans="1:23">
      <c r="A2598" s="3">
        <f>IFERROR(__xludf.DUMMYFUNCTION("""COMPUTED_VALUE"""),46233)</f>
        <v>46233</v>
      </c>
      <c r="B2598" s="1" t="str">
        <f>IFERROR(__xludf.DUMMYFUNCTION("""COMPUTED_VALUE"""),"MALIWAT MARK ELVIN")</f>
        <v>MALIWAT MARK ELVIN</v>
      </c>
      <c r="C2598" s="1" t="str">
        <f>IFERROR(__xludf.DUMMYFUNCTION("""COMPUTED_VALUE"""),"FLA")</f>
        <v>FLA</v>
      </c>
      <c r="D2598" s="1" t="str">
        <f>IFERROR(__xludf.DUMMYFUNCTION("""COMPUTED_VALUE"""),"JERIC NAVARRO")</f>
        <v>JERIC NAVARRO</v>
      </c>
      <c r="E2598" s="1" t="str">
        <f>IFERROR(__xludf.DUMMYFUNCTION("""COMPUTED_VALUE"""),"PLDT / ONLINE")</f>
        <v>PLDT / ONLINE</v>
      </c>
      <c r="F2598" s="1">
        <f>IFERROR(__xludf.DUMMYFUNCTION("""COMPUTED_VALUE"""),2311376114)</f>
        <v>2311376114</v>
      </c>
      <c r="G2598" s="1">
        <f>IFERROR(__xludf.DUMMYFUNCTION("""COMPUTED_VALUE"""),464563410004)</f>
        <v>464563410004</v>
      </c>
      <c r="H2598" s="1" t="str">
        <f>IFERROR(__xludf.DUMMYFUNCTION("""COMPUTED_VALUE"""),"JHUN RENIEL GEMPESAW ZABALA")</f>
        <v>JHUN RENIEL GEMPESAW ZABALA</v>
      </c>
      <c r="I2598" s="1">
        <f>IFERROR(__xludf.DUMMYFUNCTION("""COMPUTED_VALUE"""),9158881324)</f>
        <v>9158881324</v>
      </c>
      <c r="J2598" s="1">
        <f>IFERROR(__xludf.DUMMYFUNCTION("""COMPUTED_VALUE"""),9637008411)</f>
        <v>9637008411</v>
      </c>
      <c r="K2598" s="1" t="str">
        <f>IFERROR(__xludf.DUMMYFUNCTION("""COMPUTED_VALUE"""),"ajabala26@gmail.com")</f>
        <v>ajabala26@gmail.com</v>
      </c>
      <c r="L2598" s="1" t="str">
        <f>IFERROR(__xludf.DUMMYFUNCTION("""COMPUTED_VALUE"""),"BLK 55 LOT 14")</f>
        <v>BLK 55 LOT 14</v>
      </c>
      <c r="M2598" s="1" t="str">
        <f>IFERROR(__xludf.DUMMYFUNCTION("""COMPUTED_VALUE"""),"R5")</f>
        <v>R5</v>
      </c>
      <c r="N2598" s="1" t="str">
        <f>IFERROR(__xludf.DUMMYFUNCTION("""COMPUTED_VALUE"""),"CHRV")</f>
        <v>CHRV</v>
      </c>
      <c r="O2598" s="1" t="str">
        <f>IFERROR(__xludf.DUMMYFUNCTION("""COMPUTED_VALUE"""),"LANGKAAN II")</f>
        <v>LANGKAAN II</v>
      </c>
      <c r="P2598" s="1" t="str">
        <f>IFERROR(__xludf.DUMMYFUNCTION("""COMPUTED_VALUE"""),"DASMARINAS")</f>
        <v>DASMARINAS</v>
      </c>
      <c r="Q2598" s="1" t="str">
        <f>IFERROR(__xludf.DUMMYFUNCTION("""COMPUTED_VALUE"""),"CAVITE")</f>
        <v>CAVITE</v>
      </c>
      <c r="R2598" s="1" t="str">
        <f>IFERROR(__xludf.DUMMYFUNCTION("""COMPUTED_VALUE"""),"FIBR PLAN 1299")</f>
        <v>FIBR PLAN 1299</v>
      </c>
      <c r="S2598" s="1" t="str">
        <f>IFERROR(__xludf.DUMMYFUNCTION("""COMPUTED_VALUE"""),"APPROVED")</f>
        <v>APPROVED</v>
      </c>
      <c r="T2598" s="1" t="str">
        <f>IFERROR(__xludf.DUMMYFUNCTION("""COMPUTED_VALUE"""),"CLOSED")</f>
        <v>CLOSED</v>
      </c>
      <c r="U2598" s="1"/>
      <c r="V2598" s="1"/>
      <c r="W2598" s="1"/>
    </row>
    <row r="2599" customHeight="1" spans="1:23">
      <c r="A2599" s="3">
        <f>IFERROR(__xludf.DUMMYFUNCTION("""COMPUTED_VALUE"""),46233)</f>
        <v>46233</v>
      </c>
      <c r="B2599" s="1" t="str">
        <f>IFERROR(__xludf.DUMMYFUNCTION("""COMPUTED_VALUE"""),"FRANCISCO , ROSELYN")</f>
        <v>FRANCISCO , ROSELYN</v>
      </c>
      <c r="C2599" s="1" t="str">
        <f>IFERROR(__xludf.DUMMYFUNCTION("""COMPUTED_VALUE"""),"ORGANIC")</f>
        <v>ORGANIC</v>
      </c>
      <c r="D2599" s="1" t="str">
        <f>IFERROR(__xludf.DUMMYFUNCTION("""COMPUTED_VALUE"""),"REMOLLO LEA")</f>
        <v>REMOLLO LEA</v>
      </c>
      <c r="E2599" s="1" t="str">
        <f>IFERROR(__xludf.DUMMYFUNCTION("""COMPUTED_VALUE"""),"PLDT / ONLINE")</f>
        <v>PLDT / ONLINE</v>
      </c>
      <c r="F2599" s="1">
        <f>IFERROR(__xludf.DUMMYFUNCTION("""COMPUTED_VALUE"""),2311374017)</f>
        <v>2311374017</v>
      </c>
      <c r="G2599" s="1">
        <f>IFERROR(__xludf.DUMMYFUNCTION("""COMPUTED_VALUE"""),464560201004)</f>
        <v>464560201004</v>
      </c>
      <c r="H2599" s="1" t="str">
        <f>IFERROR(__xludf.DUMMYFUNCTION("""COMPUTED_VALUE"""),"EZEKIEL SUMALJAG BANAAG")</f>
        <v>EZEKIEL SUMALJAG BANAAG</v>
      </c>
      <c r="I2599" s="1">
        <f>IFERROR(__xludf.DUMMYFUNCTION("""COMPUTED_VALUE"""),945295459)</f>
        <v>945295459</v>
      </c>
      <c r="J2599" s="1">
        <f>IFERROR(__xludf.DUMMYFUNCTION("""COMPUTED_VALUE"""),9608804279)</f>
        <v>9608804279</v>
      </c>
      <c r="K2599" s="1" t="str">
        <f>IFERROR(__xludf.DUMMYFUNCTION("""COMPUTED_VALUE"""),"banaag.ze@gmail.com")</f>
        <v>banaag.ze@gmail.com</v>
      </c>
      <c r="L2599" s="1" t="str">
        <f>IFERROR(__xludf.DUMMYFUNCTION("""COMPUTED_VALUE"""),"BLK 22 LOT 22")</f>
        <v>BLK 22 LOT 22</v>
      </c>
      <c r="M2599" s="1" t="str">
        <f>IFERROR(__xludf.DUMMYFUNCTION("""COMPUTED_VALUE"""),"VIVA HOMES")</f>
        <v>VIVA HOMES</v>
      </c>
      <c r="N2599" s="1"/>
      <c r="O2599" s="1" t="str">
        <f>IFERROR(__xludf.DUMMYFUNCTION("""COMPUTED_VALUE"""),"SALAWAG")</f>
        <v>SALAWAG</v>
      </c>
      <c r="P2599" s="1" t="str">
        <f>IFERROR(__xludf.DUMMYFUNCTION("""COMPUTED_VALUE"""),"DASMARINAS")</f>
        <v>DASMARINAS</v>
      </c>
      <c r="Q2599" s="1" t="str">
        <f>IFERROR(__xludf.DUMMYFUNCTION("""COMPUTED_VALUE"""),"CAVITE")</f>
        <v>CAVITE</v>
      </c>
      <c r="R2599" s="1" t="str">
        <f>IFERROR(__xludf.DUMMYFUNCTION("""COMPUTED_VALUE"""),"FIBR UNLI ALL PLAN 1399")</f>
        <v>FIBR UNLI ALL PLAN 1399</v>
      </c>
      <c r="S2599" s="1" t="str">
        <f>IFERROR(__xludf.DUMMYFUNCTION("""COMPUTED_VALUE"""),"APPROVED")</f>
        <v>APPROVED</v>
      </c>
      <c r="T2599" s="1" t="str">
        <f>IFERROR(__xludf.DUMMYFUNCTION("""COMPUTED_VALUE"""),"FOR CANCELLATION")</f>
        <v>FOR CANCELLATION</v>
      </c>
      <c r="U2599" s="1"/>
      <c r="V2599" s="1"/>
      <c r="W2599" s="1"/>
    </row>
    <row r="2600" customHeight="1" spans="1:23">
      <c r="A2600" s="3">
        <f>IFERROR(__xludf.DUMMYFUNCTION("""COMPUTED_VALUE"""),46233)</f>
        <v>46233</v>
      </c>
      <c r="B2600" s="1" t="str">
        <f>IFERROR(__xludf.DUMMYFUNCTION("""COMPUTED_VALUE"""),"SAMPANG, JAYCEE")</f>
        <v>SAMPANG, JAYCEE</v>
      </c>
      <c r="C2600" s="1" t="str">
        <f>IFERROR(__xludf.DUMMYFUNCTION("""COMPUTED_VALUE"""),"ORGANIC")</f>
        <v>ORGANIC</v>
      </c>
      <c r="D2600" s="1" t="str">
        <f>IFERROR(__xludf.DUMMYFUNCTION("""COMPUTED_VALUE"""),"REMOLLO LEA")</f>
        <v>REMOLLO LEA</v>
      </c>
      <c r="E2600" s="1" t="str">
        <f>IFERROR(__xludf.DUMMYFUNCTION("""COMPUTED_VALUE"""),"PLDT / H2H")</f>
        <v>PLDT / H2H</v>
      </c>
      <c r="F2600" s="1">
        <f>IFERROR(__xludf.DUMMYFUNCTION("""COMPUTED_VALUE"""),2311374634)</f>
        <v>2311374634</v>
      </c>
      <c r="G2600" s="1">
        <f>IFERROR(__xludf.DUMMYFUNCTION("""COMPUTED_VALUE"""),464562426004)</f>
        <v>464562426004</v>
      </c>
      <c r="H2600" s="1" t="str">
        <f>IFERROR(__xludf.DUMMYFUNCTION("""COMPUTED_VALUE"""),"LANCE LEXTER DOROJA ABAINZA")</f>
        <v>LANCE LEXTER DOROJA ABAINZA</v>
      </c>
      <c r="I2600" s="1">
        <f>IFERROR(__xludf.DUMMYFUNCTION("""COMPUTED_VALUE"""),9858083869)</f>
        <v>9858083869</v>
      </c>
      <c r="J2600" s="1">
        <f>IFERROR(__xludf.DUMMYFUNCTION("""COMPUTED_VALUE"""),9103869412)</f>
        <v>9103869412</v>
      </c>
      <c r="K2600" s="1" t="str">
        <f>IFERROR(__xludf.DUMMYFUNCTION("""COMPUTED_VALUE"""),"whengriverafernan@gmail.com")</f>
        <v>whengriverafernan@gmail.com</v>
      </c>
      <c r="L2600" s="1" t="str">
        <f>IFERROR(__xludf.DUMMYFUNCTION("""COMPUTED_VALUE"""),"BLK 25 LOT 40")</f>
        <v>BLK 25 LOT 40</v>
      </c>
      <c r="M2600" s="1" t="str">
        <f>IFERROR(__xludf.DUMMYFUNCTION("""COMPUTED_VALUE"""),"PHASE 2B")</f>
        <v>PHASE 2B</v>
      </c>
      <c r="N2600" s="1" t="str">
        <f>IFERROR(__xludf.DUMMYFUNCTION("""COMPUTED_VALUE"""),"ALTA TIERRA")</f>
        <v>ALTA TIERRA</v>
      </c>
      <c r="O2600" s="1" t="str">
        <f>IFERROR(__xludf.DUMMYFUNCTION("""COMPUTED_VALUE"""),"ALDIANO OLAES")</f>
        <v>ALDIANO OLAES</v>
      </c>
      <c r="P2600" s="1" t="str">
        <f>IFERROR(__xludf.DUMMYFUNCTION("""COMPUTED_VALUE"""),"GEN MARIANO ALVAREZ")</f>
        <v>GEN MARIANO ALVAREZ</v>
      </c>
      <c r="Q2600" s="1" t="str">
        <f>IFERROR(__xludf.DUMMYFUNCTION("""COMPUTED_VALUE"""),"CAVITE")</f>
        <v>CAVITE</v>
      </c>
      <c r="R2600" s="1" t="str">
        <f>IFERROR(__xludf.DUMMYFUNCTION("""COMPUTED_VALUE"""),"FIBR PLAN 1299")</f>
        <v>FIBR PLAN 1299</v>
      </c>
      <c r="S2600" s="1" t="str">
        <f>IFERROR(__xludf.DUMMYFUNCTION("""COMPUTED_VALUE"""),"APPROVED")</f>
        <v>APPROVED</v>
      </c>
      <c r="T2600" s="1" t="str">
        <f>IFERROR(__xludf.DUMMYFUNCTION("""COMPUTED_VALUE"""),"CLOSED")</f>
        <v>CLOSED</v>
      </c>
      <c r="U2600" s="1"/>
      <c r="V2600" s="1"/>
      <c r="W2600" s="1"/>
    </row>
    <row r="2601" customHeight="1" spans="1:23">
      <c r="A2601" s="3">
        <f>IFERROR(__xludf.DUMMYFUNCTION("""COMPUTED_VALUE"""),46233)</f>
        <v>46233</v>
      </c>
      <c r="B2601" s="1" t="str">
        <f>IFERROR(__xludf.DUMMYFUNCTION("""COMPUTED_VALUE"""),"SAMPANG, JAYCEE")</f>
        <v>SAMPANG, JAYCEE</v>
      </c>
      <c r="C2601" s="1" t="str">
        <f>IFERROR(__xludf.DUMMYFUNCTION("""COMPUTED_VALUE"""),"ORGANIC")</f>
        <v>ORGANIC</v>
      </c>
      <c r="D2601" s="1" t="str">
        <f>IFERROR(__xludf.DUMMYFUNCTION("""COMPUTED_VALUE"""),"REMOLLO LEA")</f>
        <v>REMOLLO LEA</v>
      </c>
      <c r="E2601" s="1" t="str">
        <f>IFERROR(__xludf.DUMMYFUNCTION("""COMPUTED_VALUE"""),"PLDT / H2H")</f>
        <v>PLDT / H2H</v>
      </c>
      <c r="F2601" s="1">
        <f>IFERROR(__xludf.DUMMYFUNCTION("""COMPUTED_VALUE"""),2311375388)</f>
        <v>2311375388</v>
      </c>
      <c r="G2601" s="1">
        <f>IFERROR(__xludf.DUMMYFUNCTION("""COMPUTED_VALUE"""),464563413004)</f>
        <v>464563413004</v>
      </c>
      <c r="H2601" s="1" t="str">
        <f>IFERROR(__xludf.DUMMYFUNCTION("""COMPUTED_VALUE"""),"BRYAN MARK TIU VILLANUEVA")</f>
        <v>BRYAN MARK TIU VILLANUEVA</v>
      </c>
      <c r="I2601" s="1">
        <f>IFERROR(__xludf.DUMMYFUNCTION("""COMPUTED_VALUE"""),9178959493)</f>
        <v>9178959493</v>
      </c>
      <c r="J2601" s="1"/>
      <c r="K2601" s="1" t="str">
        <f>IFERROR(__xludf.DUMMYFUNCTION("""COMPUTED_VALUE"""),"tmanofficial28@gmail.com")</f>
        <v>tmanofficial28@gmail.com</v>
      </c>
      <c r="L2601" s="1" t="str">
        <f>IFERROR(__xludf.DUMMYFUNCTION("""COMPUTED_VALUE"""),"BLK 5 LOT 27")</f>
        <v>BLK 5 LOT 27</v>
      </c>
      <c r="M2601" s="1" t="str">
        <f>IFERROR(__xludf.DUMMYFUNCTION("""COMPUTED_VALUE"""),"BRAZIL ST")</f>
        <v>BRAZIL ST</v>
      </c>
      <c r="N2601" s="1" t="str">
        <f>IFERROR(__xludf.DUMMYFUNCTION("""COMPUTED_VALUE"""),"SUNSHINE HOMES")</f>
        <v>SUNSHINE HOMES</v>
      </c>
      <c r="O2601" s="1" t="str">
        <f>IFERROR(__xludf.DUMMYFUNCTION("""COMPUTED_VALUE"""),"FRANCISCO DE CASTRO (SUNSHINE VILL.)")</f>
        <v>FRANCISCO DE CASTRO (SUNSHINE VILL.)</v>
      </c>
      <c r="P2601" s="1" t="str">
        <f>IFERROR(__xludf.DUMMYFUNCTION("""COMPUTED_VALUE"""),"GEN MARIANO ALVAREZ")</f>
        <v>GEN MARIANO ALVAREZ</v>
      </c>
      <c r="Q2601" s="1" t="str">
        <f>IFERROR(__xludf.DUMMYFUNCTION("""COMPUTED_VALUE"""),"CAVITE")</f>
        <v>CAVITE</v>
      </c>
      <c r="R2601" s="1" t="str">
        <f>IFERROR(__xludf.DUMMYFUNCTION("""COMPUTED_VALUE"""),"FIBR NETFLIX PLAN 1599")</f>
        <v>FIBR NETFLIX PLAN 1599</v>
      </c>
      <c r="S2601" s="1" t="str">
        <f>IFERROR(__xludf.DUMMYFUNCTION("""COMPUTED_VALUE"""),"APPROVED")</f>
        <v>APPROVED</v>
      </c>
      <c r="T2601" s="1" t="str">
        <f>IFERROR(__xludf.DUMMYFUNCTION("""COMPUTED_VALUE"""),"CANCELLED")</f>
        <v>CANCELLED</v>
      </c>
      <c r="U2601" s="1"/>
      <c r="V2601" s="1"/>
      <c r="W2601" s="1"/>
    </row>
    <row r="2602" customHeight="1" spans="1:23">
      <c r="A2602" s="3">
        <f>IFERROR(__xludf.DUMMYFUNCTION("""COMPUTED_VALUE"""),46233)</f>
        <v>46233</v>
      </c>
      <c r="B2602" s="1" t="str">
        <f>IFERROR(__xludf.DUMMYFUNCTION("""COMPUTED_VALUE"""),"SAMPANG, JAYCEE")</f>
        <v>SAMPANG, JAYCEE</v>
      </c>
      <c r="C2602" s="1" t="str">
        <f>IFERROR(__xludf.DUMMYFUNCTION("""COMPUTED_VALUE"""),"ORGANIC")</f>
        <v>ORGANIC</v>
      </c>
      <c r="D2602" s="1" t="str">
        <f>IFERROR(__xludf.DUMMYFUNCTION("""COMPUTED_VALUE"""),"REMOLLO LEA")</f>
        <v>REMOLLO LEA</v>
      </c>
      <c r="E2602" s="1" t="str">
        <f>IFERROR(__xludf.DUMMYFUNCTION("""COMPUTED_VALUE"""),"PLDT / ONLINE")</f>
        <v>PLDT / ONLINE</v>
      </c>
      <c r="F2602" s="1">
        <f>IFERROR(__xludf.DUMMYFUNCTION("""COMPUTED_VALUE"""),2311378773)</f>
        <v>2311378773</v>
      </c>
      <c r="G2602" s="1">
        <f>IFERROR(__xludf.DUMMYFUNCTION("""COMPUTED_VALUE"""),464567643004)</f>
        <v>464567643004</v>
      </c>
      <c r="H2602" s="1" t="str">
        <f>IFERROR(__xludf.DUMMYFUNCTION("""COMPUTED_VALUE"""),"JEROME PEREZ ARGOTE")</f>
        <v>JEROME PEREZ ARGOTE</v>
      </c>
      <c r="I2602" s="1">
        <f>IFERROR(__xludf.DUMMYFUNCTION("""COMPUTED_VALUE"""),9660146859)</f>
        <v>9660146859</v>
      </c>
      <c r="J2602" s="1">
        <f>IFERROR(__xludf.DUMMYFUNCTION("""COMPUTED_VALUE"""),905229857)</f>
        <v>905229857</v>
      </c>
      <c r="K2602" s="1" t="str">
        <f>IFERROR(__xludf.DUMMYFUNCTION("""COMPUTED_VALUE"""),"zhaiziazionperezgasan@gmail.com")</f>
        <v>zhaiziazionperezgasan@gmail.com</v>
      </c>
      <c r="L2602" s="1" t="str">
        <f>IFERROR(__xludf.DUMMYFUNCTION("""COMPUTED_VALUE"""),"BLK F6 LOT 9")</f>
        <v>BLK F6 LOT 9</v>
      </c>
      <c r="M2602" s="1" t="str">
        <f>IFERROR(__xludf.DUMMYFUNCTION("""COMPUTED_VALUE"""),"STA CRISTINA")</f>
        <v>STA CRISTINA</v>
      </c>
      <c r="N2602" s="1"/>
      <c r="O2602" s="1" t="str">
        <f>IFERROR(__xludf.DUMMYFUNCTION("""COMPUTED_VALUE"""),"SANTA CRISTINA I")</f>
        <v>SANTA CRISTINA I</v>
      </c>
      <c r="P2602" s="1" t="str">
        <f>IFERROR(__xludf.DUMMYFUNCTION("""COMPUTED_VALUE"""),"DASMARINAS")</f>
        <v>DASMARINAS</v>
      </c>
      <c r="Q2602" s="1" t="str">
        <f>IFERROR(__xludf.DUMMYFUNCTION("""COMPUTED_VALUE"""),"CAVITE")</f>
        <v>CAVITE</v>
      </c>
      <c r="R2602" s="1" t="str">
        <f>IFERROR(__xludf.DUMMYFUNCTION("""COMPUTED_VALUE"""),"FIBR PLAN 1299")</f>
        <v>FIBR PLAN 1299</v>
      </c>
      <c r="S2602" s="1" t="str">
        <f>IFERROR(__xludf.DUMMYFUNCTION("""COMPUTED_VALUE"""),"APPROVED")</f>
        <v>APPROVED</v>
      </c>
      <c r="T2602" s="1" t="str">
        <f>IFERROR(__xludf.DUMMYFUNCTION("""COMPUTED_VALUE"""),"CLOSED")</f>
        <v>CLOSED</v>
      </c>
      <c r="U2602" s="1"/>
      <c r="V2602" s="1"/>
      <c r="W2602" s="1"/>
    </row>
    <row r="2603" customHeight="1" spans="1:23">
      <c r="A2603" s="3">
        <f>IFERROR(__xludf.DUMMYFUNCTION("""COMPUTED_VALUE"""),46233)</f>
        <v>46233</v>
      </c>
      <c r="B2603" s="1" t="str">
        <f>IFERROR(__xludf.DUMMYFUNCTION("""COMPUTED_VALUE"""),"GABAY, MANUEL")</f>
        <v>GABAY, MANUEL</v>
      </c>
      <c r="C2603" s="1" t="str">
        <f>IFERROR(__xludf.DUMMYFUNCTION("""COMPUTED_VALUE"""),"FLA")</f>
        <v>FLA</v>
      </c>
      <c r="D2603" s="1" t="str">
        <f>IFERROR(__xludf.DUMMYFUNCTION("""COMPUTED_VALUE"""),"JERIC NAVARRO")</f>
        <v>JERIC NAVARRO</v>
      </c>
      <c r="E2603" s="1" t="str">
        <f>IFERROR(__xludf.DUMMYFUNCTION("""COMPUTED_VALUE"""),"PLDT / ONLINE")</f>
        <v>PLDT / ONLINE</v>
      </c>
      <c r="F2603" s="1">
        <f>IFERROR(__xludf.DUMMYFUNCTION("""COMPUTED_VALUE"""),2311377875)</f>
        <v>2311377875</v>
      </c>
      <c r="G2603" s="1">
        <f>IFERROR(__xludf.DUMMYFUNCTION("""COMPUTED_VALUE"""),464561763004)</f>
        <v>464561763004</v>
      </c>
      <c r="H2603" s="1" t="str">
        <f>IFERROR(__xludf.DUMMYFUNCTION("""COMPUTED_VALUE"""),"MARIMAR RENATO ENCARNACION")</f>
        <v>MARIMAR RENATO ENCARNACION</v>
      </c>
      <c r="I2603" s="1">
        <f>IFERROR(__xludf.DUMMYFUNCTION("""COMPUTED_VALUE"""),9506083563)</f>
        <v>9506083563</v>
      </c>
      <c r="J2603" s="1">
        <f>IFERROR(__xludf.DUMMYFUNCTION("""COMPUTED_VALUE"""),9383145760)</f>
        <v>9383145760</v>
      </c>
      <c r="K2603" s="1" t="str">
        <f>IFERROR(__xludf.DUMMYFUNCTION("""COMPUTED_VALUE"""),"mayceae@gmail.com")</f>
        <v>mayceae@gmail.com</v>
      </c>
      <c r="L2603" s="1" t="str">
        <f>IFERROR(__xludf.DUMMYFUNCTION("""COMPUTED_VALUE"""),"9027")</f>
        <v>9027</v>
      </c>
      <c r="M2603" s="1" t="str">
        <f>IFERROR(__xludf.DUMMYFUNCTION("""COMPUTED_VALUE"""),"JP RIZAL")</f>
        <v>JP RIZAL</v>
      </c>
      <c r="N2603" s="1"/>
      <c r="O2603" s="1" t="str">
        <f>IFERROR(__xludf.DUMMYFUNCTION("""COMPUTED_VALUE"""),"ASIS III")</f>
        <v>ASIS III</v>
      </c>
      <c r="P2603" s="1" t="str">
        <f>IFERROR(__xludf.DUMMYFUNCTION("""COMPUTED_VALUE"""),"MENDEZ")</f>
        <v>MENDEZ</v>
      </c>
      <c r="Q2603" s="1" t="str">
        <f>IFERROR(__xludf.DUMMYFUNCTION("""COMPUTED_VALUE"""),"CAVITE")</f>
        <v>CAVITE</v>
      </c>
      <c r="R2603" s="1" t="str">
        <f>IFERROR(__xludf.DUMMYFUNCTION("""COMPUTED_VALUE"""),"FIBR UNLI ALL PLAN 1399")</f>
        <v>FIBR UNLI ALL PLAN 1399</v>
      </c>
      <c r="S2603" s="1" t="str">
        <f>IFERROR(__xludf.DUMMYFUNCTION("""COMPUTED_VALUE"""),"APPROVED")</f>
        <v>APPROVED</v>
      </c>
      <c r="T2603" s="1" t="str">
        <f>IFERROR(__xludf.DUMMYFUNCTION("""COMPUTED_VALUE"""),"CLOSED")</f>
        <v>CLOSED</v>
      </c>
      <c r="U2603" s="1"/>
      <c r="V2603" s="1"/>
      <c r="W2603" s="1"/>
    </row>
    <row r="2604" customHeight="1" spans="1:23">
      <c r="A2604" s="3">
        <f>IFERROR(__xludf.DUMMYFUNCTION("""COMPUTED_VALUE"""),46233)</f>
        <v>46233</v>
      </c>
      <c r="B2604" s="1" t="str">
        <f>IFERROR(__xludf.DUMMYFUNCTION("""COMPUTED_VALUE"""),"IVNO, RAZZEL")</f>
        <v>IVNO, RAZZEL</v>
      </c>
      <c r="C2604" s="1" t="str">
        <f>IFERROR(__xludf.DUMMYFUNCTION("""COMPUTED_VALUE"""),"ORGANIC")</f>
        <v>ORGANIC</v>
      </c>
      <c r="D2604" s="1" t="str">
        <f>IFERROR(__xludf.DUMMYFUNCTION("""COMPUTED_VALUE"""),"REMOLLO LEA")</f>
        <v>REMOLLO LEA</v>
      </c>
      <c r="E2604" s="1" t="str">
        <f>IFERROR(__xludf.DUMMYFUNCTION("""COMPUTED_VALUE"""),"PLDT / H2H")</f>
        <v>PLDT / H2H</v>
      </c>
      <c r="F2604" s="1">
        <f>IFERROR(__xludf.DUMMYFUNCTION("""COMPUTED_VALUE"""),2311379635)</f>
        <v>2311379635</v>
      </c>
      <c r="G2604" s="1">
        <f>IFERROR(__xludf.DUMMYFUNCTION("""COMPUTED_VALUE"""),464573539004)</f>
        <v>464573539004</v>
      </c>
      <c r="H2604" s="1" t="str">
        <f>IFERROR(__xludf.DUMMYFUNCTION("""COMPUTED_VALUE"""),"RODERICK MIL GOMEZ")</f>
        <v>RODERICK MIL GOMEZ</v>
      </c>
      <c r="I2604" s="1">
        <f>IFERROR(__xludf.DUMMYFUNCTION("""COMPUTED_VALUE"""),9606679872)</f>
        <v>9606679872</v>
      </c>
      <c r="J2604" s="1"/>
      <c r="K2604" s="1" t="str">
        <f>IFERROR(__xludf.DUMMYFUNCTION("""COMPUTED_VALUE"""),"roderickg603@gmail.com")</f>
        <v>roderickg603@gmail.com</v>
      </c>
      <c r="L2604" s="1" t="str">
        <f>IFERROR(__xludf.DUMMYFUNCTION("""COMPUTED_VALUE"""),"120")</f>
        <v>120</v>
      </c>
      <c r="M2604" s="1" t="str">
        <f>IFERROR(__xludf.DUMMYFUNCTION("""COMPUTED_VALUE"""),"MABINI")</f>
        <v>MABINI</v>
      </c>
      <c r="N2604" s="1"/>
      <c r="O2604" s="1" t="str">
        <f>IFERROR(__xludf.DUMMYFUNCTION("""COMPUTED_VALUE"""),"POBLACION VI (BARANGAY VI)")</f>
        <v>POBLACION VI (BARANGAY VI)</v>
      </c>
      <c r="P2604" s="1" t="str">
        <f>IFERROR(__xludf.DUMMYFUNCTION("""COMPUTED_VALUE"""),"MENDEZ")</f>
        <v>MENDEZ</v>
      </c>
      <c r="Q2604" s="1" t="str">
        <f>IFERROR(__xludf.DUMMYFUNCTION("""COMPUTED_VALUE"""),"CAVITE")</f>
        <v>CAVITE</v>
      </c>
      <c r="R2604" s="1" t="str">
        <f>IFERROR(__xludf.DUMMYFUNCTION("""COMPUTED_VALUE"""),"FIBR PLAN 1299")</f>
        <v>FIBR PLAN 1299</v>
      </c>
      <c r="S2604" s="1" t="str">
        <f>IFERROR(__xludf.DUMMYFUNCTION("""COMPUTED_VALUE"""),"APPROVED")</f>
        <v>APPROVED</v>
      </c>
      <c r="T2604" s="1" t="str">
        <f>IFERROR(__xludf.DUMMYFUNCTION("""COMPUTED_VALUE"""),"CLOSED")</f>
        <v>CLOSED</v>
      </c>
      <c r="U2604" s="1"/>
      <c r="V2604" s="1"/>
      <c r="W2604" s="1"/>
    </row>
    <row r="2605" customHeight="1" spans="1:23">
      <c r="A2605" s="3">
        <f>IFERROR(__xludf.DUMMYFUNCTION("""COMPUTED_VALUE"""),46233)</f>
        <v>46233</v>
      </c>
      <c r="B2605" s="1" t="str">
        <f>IFERROR(__xludf.DUMMYFUNCTION("""COMPUTED_VALUE"""),"GABAY, MANUEL")</f>
        <v>GABAY, MANUEL</v>
      </c>
      <c r="C2605" s="1" t="str">
        <f>IFERROR(__xludf.DUMMYFUNCTION("""COMPUTED_VALUE"""),"FLA")</f>
        <v>FLA</v>
      </c>
      <c r="D2605" s="1" t="str">
        <f>IFERROR(__xludf.DUMMYFUNCTION("""COMPUTED_VALUE"""),"JERIC NAVARRO")</f>
        <v>JERIC NAVARRO</v>
      </c>
      <c r="E2605" s="1" t="str">
        <f>IFERROR(__xludf.DUMMYFUNCTION("""COMPUTED_VALUE"""),"PLDT / H2H")</f>
        <v>PLDT / H2H</v>
      </c>
      <c r="F2605" s="1">
        <f>IFERROR(__xludf.DUMMYFUNCTION("""COMPUTED_VALUE"""),2311384238)</f>
        <v>2311384238</v>
      </c>
      <c r="G2605" s="1">
        <f>IFERROR(__xludf.DUMMYFUNCTION("""COMPUTED_VALUE"""),464574948004)</f>
        <v>464574948004</v>
      </c>
      <c r="H2605" s="1" t="str">
        <f>IFERROR(__xludf.DUMMYFUNCTION("""COMPUTED_VALUE"""),"CHRISTINE MARIE PELLE BAYHON")</f>
        <v>CHRISTINE MARIE PELLE BAYHON</v>
      </c>
      <c r="I2605" s="1">
        <f>IFERROR(__xludf.DUMMYFUNCTION("""COMPUTED_VALUE"""),9496873656)</f>
        <v>9496873656</v>
      </c>
      <c r="J2605" s="1">
        <f>IFERROR(__xludf.DUMMYFUNCTION("""COMPUTED_VALUE"""),9496830522)</f>
        <v>9496830522</v>
      </c>
      <c r="K2605" s="1" t="str">
        <f>IFERROR(__xludf.DUMMYFUNCTION("""COMPUTED_VALUE"""),"christinepbayhon@gmail.com")</f>
        <v>christinepbayhon@gmail.com</v>
      </c>
      <c r="L2605" s="1" t="str">
        <f>IFERROR(__xludf.DUMMYFUNCTION("""COMPUTED_VALUE"""),"159")</f>
        <v>159</v>
      </c>
      <c r="M2605" s="1" t="str">
        <f>IFERROR(__xludf.DUMMYFUNCTION("""COMPUTED_VALUE"""),"MAITIM")</f>
        <v>MAITIM</v>
      </c>
      <c r="N2605" s="1"/>
      <c r="O2605" s="1" t="str">
        <f>IFERROR(__xludf.DUMMYFUNCTION("""COMPUTED_VALUE"""),"MAITIM 2ND EAST")</f>
        <v>MAITIM 2ND EAST</v>
      </c>
      <c r="P2605" s="1" t="str">
        <f>IFERROR(__xludf.DUMMYFUNCTION("""COMPUTED_VALUE"""),"TAGAYTAY")</f>
        <v>TAGAYTAY</v>
      </c>
      <c r="Q2605" s="1" t="str">
        <f>IFERROR(__xludf.DUMMYFUNCTION("""COMPUTED_VALUE"""),"CAVITE")</f>
        <v>CAVITE</v>
      </c>
      <c r="R2605" s="1" t="str">
        <f>IFERROR(__xludf.DUMMYFUNCTION("""COMPUTED_VALUE"""),"FIBR NETFLIX PLAN 1599")</f>
        <v>FIBR NETFLIX PLAN 1599</v>
      </c>
      <c r="S2605" s="1" t="str">
        <f>IFERROR(__xludf.DUMMYFUNCTION("""COMPUTED_VALUE"""),"APPROVED")</f>
        <v>APPROVED</v>
      </c>
      <c r="T2605" s="1" t="str">
        <f>IFERROR(__xludf.DUMMYFUNCTION("""COMPUTED_VALUE"""),"CANCELLED")</f>
        <v>CANCELLED</v>
      </c>
      <c r="U2605" s="1"/>
      <c r="V2605" s="1"/>
      <c r="W2605" s="1"/>
    </row>
    <row r="2606" customHeight="1" spans="1:23">
      <c r="A2606" s="3">
        <f>IFERROR(__xludf.DUMMYFUNCTION("""COMPUTED_VALUE"""),46233)</f>
        <v>46233</v>
      </c>
      <c r="B2606" s="1" t="str">
        <f>IFERROR(__xludf.DUMMYFUNCTION("""COMPUTED_VALUE"""),"CARPIO, STEPHANIE NICOLE")</f>
        <v>CARPIO, STEPHANIE NICOLE</v>
      </c>
      <c r="C2606" s="1" t="str">
        <f>IFERROR(__xludf.DUMMYFUNCTION("""COMPUTED_VALUE"""),"FLA")</f>
        <v>FLA</v>
      </c>
      <c r="D2606" s="1" t="str">
        <f>IFERROR(__xludf.DUMMYFUNCTION("""COMPUTED_VALUE"""),"JERIC NAVARRO")</f>
        <v>JERIC NAVARRO</v>
      </c>
      <c r="E2606" s="1" t="str">
        <f>IFERROR(__xludf.DUMMYFUNCTION("""COMPUTED_VALUE"""),"PLDT / H2H")</f>
        <v>PLDT / H2H</v>
      </c>
      <c r="F2606" s="1">
        <f>IFERROR(__xludf.DUMMYFUNCTION("""COMPUTED_VALUE"""),2311384916)</f>
        <v>2311384916</v>
      </c>
      <c r="G2606" s="1">
        <f>IFERROR(__xludf.DUMMYFUNCTION("""COMPUTED_VALUE"""),464571328004)</f>
        <v>464571328004</v>
      </c>
      <c r="H2606" s="1" t="str">
        <f>IFERROR(__xludf.DUMMYFUNCTION("""COMPUTED_VALUE"""),"JENNY ANN MIRANDA BUSTAMANTE")</f>
        <v>JENNY ANN MIRANDA BUSTAMANTE</v>
      </c>
      <c r="I2606" s="1">
        <f>IFERROR(__xludf.DUMMYFUNCTION("""COMPUTED_VALUE"""),9158143264)</f>
        <v>9158143264</v>
      </c>
      <c r="J2606" s="1"/>
      <c r="K2606" s="1" t="str">
        <f>IFERROR(__xludf.DUMMYFUNCTION("""COMPUTED_VALUE"""),"jennyannbustamante0@gmail.com")</f>
        <v>jennyannbustamante0@gmail.com</v>
      </c>
      <c r="L2606" s="1" t="str">
        <f>IFERROR(__xludf.DUMMYFUNCTION("""COMPUTED_VALUE"""),"237")</f>
        <v>237</v>
      </c>
      <c r="M2606" s="1" t="str">
        <f>IFERROR(__xludf.DUMMYFUNCTION("""COMPUTED_VALUE"""),"GEN ALVAREZ")</f>
        <v>GEN ALVAREZ</v>
      </c>
      <c r="N2606" s="1"/>
      <c r="O2606" s="1" t="str">
        <f>IFERROR(__xludf.DUMMYFUNCTION("""COMPUTED_VALUE"""),"SAN RAFAEL I")</f>
        <v>SAN RAFAEL I</v>
      </c>
      <c r="P2606" s="1" t="str">
        <f>IFERROR(__xludf.DUMMYFUNCTION("""COMPUTED_VALUE"""),"NOVELETA")</f>
        <v>NOVELETA</v>
      </c>
      <c r="Q2606" s="1" t="str">
        <f>IFERROR(__xludf.DUMMYFUNCTION("""COMPUTED_VALUE"""),"CAVITE")</f>
        <v>CAVITE</v>
      </c>
      <c r="R2606" s="1" t="str">
        <f>IFERROR(__xludf.DUMMYFUNCTION("""COMPUTED_VALUE"""),"FIBR PLAN 1699")</f>
        <v>FIBR PLAN 1699</v>
      </c>
      <c r="S2606" s="1" t="str">
        <f>IFERROR(__xludf.DUMMYFUNCTION("""COMPUTED_VALUE"""),"APPROVED")</f>
        <v>APPROVED</v>
      </c>
      <c r="T2606" s="1" t="str">
        <f>IFERROR(__xludf.DUMMYFUNCTION("""COMPUTED_VALUE"""),"CLOSED")</f>
        <v>CLOSED</v>
      </c>
      <c r="U2606" s="1"/>
      <c r="V2606" s="1"/>
      <c r="W2606" s="1"/>
    </row>
    <row r="2607" customHeight="1" spans="1:23">
      <c r="A2607" s="3">
        <f>IFERROR(__xludf.DUMMYFUNCTION("""COMPUTED_VALUE"""),46233)</f>
        <v>46233</v>
      </c>
      <c r="B2607" s="1" t="str">
        <f>IFERROR(__xludf.DUMMYFUNCTION("""COMPUTED_VALUE"""),"CARPIO, STEPHANIE NICOLE")</f>
        <v>CARPIO, STEPHANIE NICOLE</v>
      </c>
      <c r="C2607" s="1" t="str">
        <f>IFERROR(__xludf.DUMMYFUNCTION("""COMPUTED_VALUE"""),"FLA")</f>
        <v>FLA</v>
      </c>
      <c r="D2607" s="1" t="str">
        <f>IFERROR(__xludf.DUMMYFUNCTION("""COMPUTED_VALUE"""),"JERIC NAVARRO")</f>
        <v>JERIC NAVARRO</v>
      </c>
      <c r="E2607" s="1" t="str">
        <f>IFERROR(__xludf.DUMMYFUNCTION("""COMPUTED_VALUE"""),"PLDT / ONLINE")</f>
        <v>PLDT / ONLINE</v>
      </c>
      <c r="F2607" s="1">
        <f>IFERROR(__xludf.DUMMYFUNCTION("""COMPUTED_VALUE"""),2311387029)</f>
        <v>2311387029</v>
      </c>
      <c r="G2607" s="1">
        <f>IFERROR(__xludf.DUMMYFUNCTION("""COMPUTED_VALUE"""),464605698004)</f>
        <v>464605698004</v>
      </c>
      <c r="H2607" s="1" t="str">
        <f>IFERROR(__xludf.DUMMYFUNCTION("""COMPUTED_VALUE"""),"ARJAY DACLES JOCTON")</f>
        <v>ARJAY DACLES JOCTON</v>
      </c>
      <c r="I2607" s="1">
        <f>IFERROR(__xludf.DUMMYFUNCTION("""COMPUTED_VALUE"""),9345159382)</f>
        <v>9345159382</v>
      </c>
      <c r="J2607" s="1">
        <f>IFERROR(__xludf.DUMMYFUNCTION("""COMPUTED_VALUE"""),9922173007)</f>
        <v>9922173007</v>
      </c>
      <c r="K2607" s="1" t="str">
        <f>IFERROR(__xludf.DUMMYFUNCTION("""COMPUTED_VALUE"""),"angelicajocton@gmail.com")</f>
        <v>angelicajocton@gmail.com</v>
      </c>
      <c r="L2607" s="1" t="str">
        <f>IFERROR(__xludf.DUMMYFUNCTION("""COMPUTED_VALUE"""),"BLK 10 LOT 12")</f>
        <v>BLK 10 LOT 12</v>
      </c>
      <c r="M2607" s="1" t="str">
        <f>IFERROR(__xludf.DUMMYFUNCTION("""COMPUTED_VALUE"""),"BEACH ")</f>
        <v>BEACH </v>
      </c>
      <c r="N2607" s="1" t="str">
        <f>IFERROR(__xludf.DUMMYFUNCTION("""COMPUTED_VALUE"""),"RIDGE VIEW")</f>
        <v>RIDGE VIEW</v>
      </c>
      <c r="O2607" s="1" t="str">
        <f>IFERROR(__xludf.DUMMYFUNCTION("""COMPUTED_VALUE"""),"PALIPARAN II")</f>
        <v>PALIPARAN II</v>
      </c>
      <c r="P2607" s="1" t="str">
        <f>IFERROR(__xludf.DUMMYFUNCTION("""COMPUTED_VALUE"""),"DASMARINAS")</f>
        <v>DASMARINAS</v>
      </c>
      <c r="Q2607" s="1" t="str">
        <f>IFERROR(__xludf.DUMMYFUNCTION("""COMPUTED_VALUE"""),"CAVITE")</f>
        <v>CAVITE</v>
      </c>
      <c r="R2607" s="1" t="str">
        <f>IFERROR(__xludf.DUMMYFUNCTION("""COMPUTED_VALUE"""),"FIBR PLAN 1699")</f>
        <v>FIBR PLAN 1699</v>
      </c>
      <c r="S2607" s="1" t="str">
        <f>IFERROR(__xludf.DUMMYFUNCTION("""COMPUTED_VALUE"""),"APPROVED")</f>
        <v>APPROVED</v>
      </c>
      <c r="T2607" s="1" t="str">
        <f>IFERROR(__xludf.DUMMYFUNCTION("""COMPUTED_VALUE"""),"RPR")</f>
        <v>RPR</v>
      </c>
      <c r="U2607" s="1"/>
      <c r="V2607" s="1"/>
      <c r="W2607" s="1"/>
    </row>
    <row r="2608" customHeight="1" spans="1:23">
      <c r="A2608" s="3">
        <f>IFERROR(__xludf.DUMMYFUNCTION("""COMPUTED_VALUE"""),46233)</f>
        <v>46233</v>
      </c>
      <c r="B2608" s="1" t="str">
        <f>IFERROR(__xludf.DUMMYFUNCTION("""COMPUTED_VALUE"""),"MAGDARAOG, KENNETH")</f>
        <v>MAGDARAOG, KENNETH</v>
      </c>
      <c r="C2608" s="1" t="str">
        <f>IFERROR(__xludf.DUMMYFUNCTION("""COMPUTED_VALUE"""),"ORGANIC")</f>
        <v>ORGANIC</v>
      </c>
      <c r="D2608" s="1" t="str">
        <f>IFERROR(__xludf.DUMMYFUNCTION("""COMPUTED_VALUE"""),"REMOLLO LEA")</f>
        <v>REMOLLO LEA</v>
      </c>
      <c r="E2608" s="1" t="str">
        <f>IFERROR(__xludf.DUMMYFUNCTION("""COMPUTED_VALUE"""),"PLDT / H2H")</f>
        <v>PLDT / H2H</v>
      </c>
      <c r="F2608" s="1">
        <f>IFERROR(__xludf.DUMMYFUNCTION("""COMPUTED_VALUE"""),2311387911)</f>
        <v>2311387911</v>
      </c>
      <c r="G2608" s="1"/>
      <c r="H2608" s="1" t="str">
        <f>IFERROR(__xludf.DUMMYFUNCTION("""COMPUTED_VALUE"""),"DECIDERIO FLORENDO RIVA")</f>
        <v>DECIDERIO FLORENDO RIVA</v>
      </c>
      <c r="I2608" s="1">
        <f>IFERROR(__xludf.DUMMYFUNCTION("""COMPUTED_VALUE"""),9514395647)</f>
        <v>9514395647</v>
      </c>
      <c r="J2608" s="1">
        <f>IFERROR(__xludf.DUMMYFUNCTION("""COMPUTED_VALUE"""),9519399394)</f>
        <v>9519399394</v>
      </c>
      <c r="K2608" s="1" t="str">
        <f>IFERROR(__xludf.DUMMYFUNCTION("""COMPUTED_VALUE"""),"karencasas1038@gmail.com")</f>
        <v>karencasas1038@gmail.com</v>
      </c>
      <c r="L2608" s="1" t="str">
        <f>IFERROR(__xludf.DUMMYFUNCTION("""COMPUTED_VALUE"""),"BLK 39 LOT 5")</f>
        <v>BLK 39 LOT 5</v>
      </c>
      <c r="M2608" s="1" t="str">
        <f>IFERROR(__xludf.DUMMYFUNCTION("""COMPUTED_VALUE"""),"PHASE 6")</f>
        <v>PHASE 6</v>
      </c>
      <c r="N2608" s="1"/>
      <c r="O2608" s="1" t="str">
        <f>IFERROR(__xludf.DUMMYFUNCTION("""COMPUTED_VALUE"""),"BANABA")</f>
        <v>BANABA</v>
      </c>
      <c r="P2608" s="1" t="str">
        <f>IFERROR(__xludf.DUMMYFUNCTION("""COMPUTED_VALUE"""),"SILANG")</f>
        <v>SILANG</v>
      </c>
      <c r="Q2608" s="1" t="str">
        <f>IFERROR(__xludf.DUMMYFUNCTION("""COMPUTED_VALUE"""),"CAVITE")</f>
        <v>CAVITE</v>
      </c>
      <c r="R2608" s="1" t="str">
        <f>IFERROR(__xludf.DUMMYFUNCTION("""COMPUTED_VALUE"""),"FIBR UNLI ALL PLAN 999")</f>
        <v>FIBR UNLI ALL PLAN 999</v>
      </c>
      <c r="S2608" s="1" t="str">
        <f>IFERROR(__xludf.DUMMYFUNCTION("""COMPUTED_VALUE"""),"APPROVED")</f>
        <v>APPROVED</v>
      </c>
      <c r="T2608" s="1" t="str">
        <f>IFERROR(__xludf.DUMMYFUNCTION("""COMPUTED_VALUE"""),"DISAPPROVED")</f>
        <v>DISAPPROVED</v>
      </c>
      <c r="U2608" s="1"/>
      <c r="V2608" s="1"/>
      <c r="W2608" s="1"/>
    </row>
    <row r="2609" customHeight="1" spans="1:23">
      <c r="A2609" s="3">
        <f>IFERROR(__xludf.DUMMYFUNCTION("""COMPUTED_VALUE"""),46233)</f>
        <v>46233</v>
      </c>
      <c r="B2609" s="1" t="str">
        <f>IFERROR(__xludf.DUMMYFUNCTION("""COMPUTED_VALUE"""),"TAMAYO, MARY ROSE")</f>
        <v>TAMAYO, MARY ROSE</v>
      </c>
      <c r="C2609" s="1" t="str">
        <f>IFERROR(__xludf.DUMMYFUNCTION("""COMPUTED_VALUE"""),"ORGANIC")</f>
        <v>ORGANIC</v>
      </c>
      <c r="D2609" s="1" t="str">
        <f>IFERROR(__xludf.DUMMYFUNCTION("""COMPUTED_VALUE"""),"REMOLLO LEA")</f>
        <v>REMOLLO LEA</v>
      </c>
      <c r="E2609" s="1" t="str">
        <f>IFERROR(__xludf.DUMMYFUNCTION("""COMPUTED_VALUE"""),"PLDT / H2H")</f>
        <v>PLDT / H2H</v>
      </c>
      <c r="F2609" s="1">
        <f>IFERROR(__xludf.DUMMYFUNCTION("""COMPUTED_VALUE"""),2311387646)</f>
        <v>2311387646</v>
      </c>
      <c r="G2609" s="1">
        <f>IFERROR(__xludf.DUMMYFUNCTION("""COMPUTED_VALUE"""),464572608004)</f>
        <v>464572608004</v>
      </c>
      <c r="H2609" s="1" t="str">
        <f>IFERROR(__xludf.DUMMYFUNCTION("""COMPUTED_VALUE"""),"BABY RUTH REDIMA EMELO")</f>
        <v>BABY RUTH REDIMA EMELO</v>
      </c>
      <c r="I2609" s="1">
        <f>IFERROR(__xludf.DUMMYFUNCTION("""COMPUTED_VALUE"""),9155828899)</f>
        <v>9155828899</v>
      </c>
      <c r="J2609" s="1">
        <f>IFERROR(__xludf.DUMMYFUNCTION("""COMPUTED_VALUE"""),9510416388)</f>
        <v>9510416388</v>
      </c>
      <c r="K2609" s="1" t="str">
        <f>IFERROR(__xludf.DUMMYFUNCTION("""COMPUTED_VALUE"""),"emelobabyruth@gmail.com")</f>
        <v>emelobabyruth@gmail.com</v>
      </c>
      <c r="L2609" s="1" t="str">
        <f>IFERROR(__xludf.DUMMYFUNCTION("""COMPUTED_VALUE"""),"BLK 36 LOT 8")</f>
        <v>BLK 36 LOT 8</v>
      </c>
      <c r="M2609" s="1" t="str">
        <f>IFERROR(__xludf.DUMMYFUNCTION("""COMPUTED_VALUE"""),"BULIHAN")</f>
        <v>BULIHAN</v>
      </c>
      <c r="N2609" s="1"/>
      <c r="O2609" s="1" t="str">
        <f>IFERROR(__xludf.DUMMYFUNCTION("""COMPUTED_VALUE"""),"ACACIA")</f>
        <v>ACACIA</v>
      </c>
      <c r="P2609" s="1" t="str">
        <f>IFERROR(__xludf.DUMMYFUNCTION("""COMPUTED_VALUE"""),"SILANG")</f>
        <v>SILANG</v>
      </c>
      <c r="Q2609" s="1" t="str">
        <f>IFERROR(__xludf.DUMMYFUNCTION("""COMPUTED_VALUE"""),"CAVITE")</f>
        <v>CAVITE</v>
      </c>
      <c r="R2609" s="1" t="str">
        <f>IFERROR(__xludf.DUMMYFUNCTION("""COMPUTED_VALUE"""),"SWITCH FIBER NETFLIX PLAN 1599")</f>
        <v>SWITCH FIBER NETFLIX PLAN 1599</v>
      </c>
      <c r="S2609" s="1" t="str">
        <f>IFERROR(__xludf.DUMMYFUNCTION("""COMPUTED_VALUE"""),"APPROVED")</f>
        <v>APPROVED</v>
      </c>
      <c r="T2609" s="1" t="str">
        <f>IFERROR(__xludf.DUMMYFUNCTION("""COMPUTED_VALUE"""),"CLOSED")</f>
        <v>CLOSED</v>
      </c>
      <c r="U2609" s="1"/>
      <c r="V2609" s="1"/>
      <c r="W2609" s="1"/>
    </row>
    <row r="2610" customHeight="1" spans="1:23">
      <c r="A2610" s="3">
        <f>IFERROR(__xludf.DUMMYFUNCTION("""COMPUTED_VALUE"""),46233)</f>
        <v>46233</v>
      </c>
      <c r="B2610" s="1" t="str">
        <f>IFERROR(__xludf.DUMMYFUNCTION("""COMPUTED_VALUE"""),"FRANCISCO , ROSELYN")</f>
        <v>FRANCISCO , ROSELYN</v>
      </c>
      <c r="C2610" s="1" t="str">
        <f>IFERROR(__xludf.DUMMYFUNCTION("""COMPUTED_VALUE"""),"ORGANIC")</f>
        <v>ORGANIC</v>
      </c>
      <c r="D2610" s="1" t="str">
        <f>IFERROR(__xludf.DUMMYFUNCTION("""COMPUTED_VALUE"""),"REMOLLO LEA")</f>
        <v>REMOLLO LEA</v>
      </c>
      <c r="E2610" s="1" t="str">
        <f>IFERROR(__xludf.DUMMYFUNCTION("""COMPUTED_VALUE"""),"PLDT / ONLINE")</f>
        <v>PLDT / ONLINE</v>
      </c>
      <c r="F2610" s="1">
        <f>IFERROR(__xludf.DUMMYFUNCTION("""COMPUTED_VALUE"""),2311389252)</f>
        <v>2311389252</v>
      </c>
      <c r="G2610" s="1">
        <f>IFERROR(__xludf.DUMMYFUNCTION("""COMPUTED_VALUE"""),464603813004)</f>
        <v>464603813004</v>
      </c>
      <c r="H2610" s="1" t="str">
        <f>IFERROR(__xludf.DUMMYFUNCTION("""COMPUTED_VALUE"""),"BEA BANAGA FABROS")</f>
        <v>BEA BANAGA FABROS</v>
      </c>
      <c r="I2610" s="1">
        <f>IFERROR(__xludf.DUMMYFUNCTION("""COMPUTED_VALUE"""),9051160299)</f>
        <v>9051160299</v>
      </c>
      <c r="J2610" s="1"/>
      <c r="K2610" s="1" t="str">
        <f>IFERROR(__xludf.DUMMYFUNCTION("""COMPUTED_VALUE"""),"beafabros7@gmail.com")</f>
        <v>beafabros7@gmail.com</v>
      </c>
      <c r="L2610" s="1" t="str">
        <f>IFERROR(__xludf.DUMMYFUNCTION("""COMPUTED_VALUE"""),"37")</f>
        <v>37</v>
      </c>
      <c r="M2610" s="1" t="str">
        <f>IFERROR(__xludf.DUMMYFUNCTION("""COMPUTED_VALUE"""),"BARANGAY 3")</f>
        <v>BARANGAY 3</v>
      </c>
      <c r="N2610" s="1"/>
      <c r="O2610" s="1" t="str">
        <f>IFERROR(__xludf.DUMMYFUNCTION("""COMPUTED_VALUE"""),"BARANGAY III (POB.)")</f>
        <v>BARANGAY III (POB.)</v>
      </c>
      <c r="P2610" s="1" t="str">
        <f>IFERROR(__xludf.DUMMYFUNCTION("""COMPUTED_VALUE"""),"INDANG")</f>
        <v>INDANG</v>
      </c>
      <c r="Q2610" s="1" t="str">
        <f>IFERROR(__xludf.DUMMYFUNCTION("""COMPUTED_VALUE"""),"CAVITE")</f>
        <v>CAVITE</v>
      </c>
      <c r="R2610" s="1" t="str">
        <f>IFERROR(__xludf.DUMMYFUNCTION("""COMPUTED_VALUE"""),"FIBR PLAN 1299")</f>
        <v>FIBR PLAN 1299</v>
      </c>
      <c r="S2610" s="1" t="str">
        <f>IFERROR(__xludf.DUMMYFUNCTION("""COMPUTED_VALUE"""),"APPROVED")</f>
        <v>APPROVED</v>
      </c>
      <c r="T2610" s="1" t="str">
        <f>IFERROR(__xludf.DUMMYFUNCTION("""COMPUTED_VALUE"""),"CLOSED")</f>
        <v>CLOSED</v>
      </c>
      <c r="U2610" s="1"/>
      <c r="V2610" s="1"/>
      <c r="W2610" s="1"/>
    </row>
    <row r="2611" customHeight="1" spans="1:23">
      <c r="A2611" s="3">
        <f>IFERROR(__xludf.DUMMYFUNCTION("""COMPUTED_VALUE"""),46233)</f>
        <v>46233</v>
      </c>
      <c r="B2611" s="1" t="str">
        <f>IFERROR(__xludf.DUMMYFUNCTION("""COMPUTED_VALUE"""),"ESCARCHA, MA ALMA  ESCOTO")</f>
        <v>ESCARCHA, MA ALMA  ESCOTO</v>
      </c>
      <c r="C2611" s="1" t="str">
        <f>IFERROR(__xludf.DUMMYFUNCTION("""COMPUTED_VALUE"""),"ORGANIC")</f>
        <v>ORGANIC</v>
      </c>
      <c r="D2611" s="1" t="str">
        <f>IFERROR(__xludf.DUMMYFUNCTION("""COMPUTED_VALUE"""),"REMOLLO LEA")</f>
        <v>REMOLLO LEA</v>
      </c>
      <c r="E2611" s="1" t="str">
        <f>IFERROR(__xludf.DUMMYFUNCTION("""COMPUTED_VALUE"""),"PLDT / H2H")</f>
        <v>PLDT / H2H</v>
      </c>
      <c r="F2611" s="1">
        <f>IFERROR(__xludf.DUMMYFUNCTION("""COMPUTED_VALUE"""),2311388694)</f>
        <v>2311388694</v>
      </c>
      <c r="G2611" s="1">
        <f>IFERROR(__xludf.DUMMYFUNCTION("""COMPUTED_VALUE"""),464582337004)</f>
        <v>464582337004</v>
      </c>
      <c r="H2611" s="1" t="str">
        <f>IFERROR(__xludf.DUMMYFUNCTION("""COMPUTED_VALUE"""),"ARJHEY DELA CRUZ MABUTI")</f>
        <v>ARJHEY DELA CRUZ MABUTI</v>
      </c>
      <c r="I2611" s="1">
        <f>IFERROR(__xludf.DUMMYFUNCTION("""COMPUTED_VALUE"""),9154661943)</f>
        <v>9154661943</v>
      </c>
      <c r="J2611" s="1"/>
      <c r="K2611" s="1" t="str">
        <f>IFERROR(__xludf.DUMMYFUNCTION("""COMPUTED_VALUE"""),"arjheydelacruz5@gmail.com")</f>
        <v>arjheydelacruz5@gmail.com</v>
      </c>
      <c r="L2611" s="1" t="str">
        <f>IFERROR(__xludf.DUMMYFUNCTION("""COMPUTED_VALUE"""),"BLK 45 LOT 8")</f>
        <v>BLK 45 LOT 8</v>
      </c>
      <c r="M2611" s="1" t="str">
        <f>IFERROR(__xludf.DUMMYFUNCTION("""COMPUTED_VALUE"""),"PHASE 1B")</f>
        <v>PHASE 1B</v>
      </c>
      <c r="N2611" s="1"/>
      <c r="O2611" s="1" t="str">
        <f>IFERROR(__xludf.DUMMYFUNCTION("""COMPUTED_VALUE"""),"ACACIA")</f>
        <v>ACACIA</v>
      </c>
      <c r="P2611" s="1" t="str">
        <f>IFERROR(__xludf.DUMMYFUNCTION("""COMPUTED_VALUE"""),"SILANG")</f>
        <v>SILANG</v>
      </c>
      <c r="Q2611" s="1" t="str">
        <f>IFERROR(__xludf.DUMMYFUNCTION("""COMPUTED_VALUE"""),"CAVITE")</f>
        <v>CAVITE</v>
      </c>
      <c r="R2611" s="1" t="str">
        <f>IFERROR(__xludf.DUMMYFUNCTION("""COMPUTED_VALUE"""),"FIBR PLAN 1299")</f>
        <v>FIBR PLAN 1299</v>
      </c>
      <c r="S2611" s="1" t="str">
        <f>IFERROR(__xludf.DUMMYFUNCTION("""COMPUTED_VALUE"""),"APPROVED")</f>
        <v>APPROVED</v>
      </c>
      <c r="T2611" s="1" t="str">
        <f>IFERROR(__xludf.DUMMYFUNCTION("""COMPUTED_VALUE"""),"CLOSED")</f>
        <v>CLOSED</v>
      </c>
      <c r="U2611" s="1"/>
      <c r="V2611" s="1"/>
      <c r="W2611" s="1"/>
    </row>
    <row r="2612" customHeight="1" spans="1:23">
      <c r="A2612" s="3">
        <f>IFERROR(__xludf.DUMMYFUNCTION("""COMPUTED_VALUE"""),46233)</f>
        <v>46233</v>
      </c>
      <c r="B2612" s="1" t="str">
        <f>IFERROR(__xludf.DUMMYFUNCTION("""COMPUTED_VALUE"""),"REMOLLO, LEA")</f>
        <v>REMOLLO, LEA</v>
      </c>
      <c r="C2612" s="1" t="str">
        <f>IFERROR(__xludf.DUMMYFUNCTION("""COMPUTED_VALUE"""),"FLA")</f>
        <v>FLA</v>
      </c>
      <c r="D2612" s="1" t="str">
        <f>IFERROR(__xludf.DUMMYFUNCTION("""COMPUTED_VALUE"""),"JERIC NAVARRO")</f>
        <v>JERIC NAVARRO</v>
      </c>
      <c r="E2612" s="1" t="str">
        <f>IFERROR(__xludf.DUMMYFUNCTION("""COMPUTED_VALUE"""),"PLDT / ONLINE")</f>
        <v>PLDT / ONLINE</v>
      </c>
      <c r="F2612" s="1">
        <f>IFERROR(__xludf.DUMMYFUNCTION("""COMPUTED_VALUE"""),2311389603)</f>
        <v>2311389603</v>
      </c>
      <c r="G2612" s="1">
        <f>IFERROR(__xludf.DUMMYFUNCTION("""COMPUTED_VALUE"""),464580196004)</f>
        <v>464580196004</v>
      </c>
      <c r="H2612" s="1" t="str">
        <f>IFERROR(__xludf.DUMMYFUNCTION("""COMPUTED_VALUE"""),"NOJUMAH SHIEKADATO CAUNA")</f>
        <v>NOJUMAH SHIEKADATO CAUNA</v>
      </c>
      <c r="I2612" s="1">
        <f>IFERROR(__xludf.DUMMYFUNCTION("""COMPUTED_VALUE"""),9461764280)</f>
        <v>9461764280</v>
      </c>
      <c r="J2612" s="1"/>
      <c r="K2612" s="1" t="str">
        <f>IFERROR(__xludf.DUMMYFUNCTION("""COMPUTED_VALUE"""),"cnojumah@gmail.com")</f>
        <v>cnojumah@gmail.com</v>
      </c>
      <c r="L2612" s="1" t="str">
        <f>IFERROR(__xludf.DUMMYFUNCTION("""COMPUTED_VALUE"""),"BLK 136 LOT 7")</f>
        <v>BLK 136 LOT 7</v>
      </c>
      <c r="M2612" s="1" t="str">
        <f>IFERROR(__xludf.DUMMYFUNCTION("""COMPUTED_VALUE"""),"ZONE 9")</f>
        <v>ZONE 9</v>
      </c>
      <c r="N2612" s="1"/>
      <c r="O2612" s="1" t="str">
        <f>IFERROR(__xludf.DUMMYFUNCTION("""COMPUTED_VALUE"""),"BULIHAN")</f>
        <v>BULIHAN</v>
      </c>
      <c r="P2612" s="1" t="str">
        <f>IFERROR(__xludf.DUMMYFUNCTION("""COMPUTED_VALUE"""),"SILANG")</f>
        <v>SILANG</v>
      </c>
      <c r="Q2612" s="1" t="str">
        <f>IFERROR(__xludf.DUMMYFUNCTION("""COMPUTED_VALUE"""),"CAVITE")</f>
        <v>CAVITE</v>
      </c>
      <c r="R2612" s="1" t="str">
        <f>IFERROR(__xludf.DUMMYFUNCTION("""COMPUTED_VALUE"""),"FIBR UNLI ALL PLAN 1399")</f>
        <v>FIBR UNLI ALL PLAN 1399</v>
      </c>
      <c r="S2612" s="1" t="str">
        <f>IFERROR(__xludf.DUMMYFUNCTION("""COMPUTED_VALUE"""),"APPROVED")</f>
        <v>APPROVED</v>
      </c>
      <c r="T2612" s="1" t="str">
        <f>IFERROR(__xludf.DUMMYFUNCTION("""COMPUTED_VALUE"""),"CLOSED")</f>
        <v>CLOSED</v>
      </c>
      <c r="U2612" s="1"/>
      <c r="V2612" s="1"/>
      <c r="W2612" s="1"/>
    </row>
    <row r="2613" customHeight="1" spans="1:23">
      <c r="A2613" s="3">
        <f>IFERROR(__xludf.DUMMYFUNCTION("""COMPUTED_VALUE"""),46234)</f>
        <v>46234</v>
      </c>
      <c r="B2613" s="1" t="str">
        <f>IFERROR(__xludf.DUMMYFUNCTION("""COMPUTED_VALUE"""),"FRANCISCO , ROSELYN")</f>
        <v>FRANCISCO , ROSELYN</v>
      </c>
      <c r="C2613" s="1" t="str">
        <f>IFERROR(__xludf.DUMMYFUNCTION("""COMPUTED_VALUE"""),"ORGANIC")</f>
        <v>ORGANIC</v>
      </c>
      <c r="D2613" s="1" t="str">
        <f>IFERROR(__xludf.DUMMYFUNCTION("""COMPUTED_VALUE"""),"REMOLLO LEA")</f>
        <v>REMOLLO LEA</v>
      </c>
      <c r="E2613" s="1" t="str">
        <f>IFERROR(__xludf.DUMMYFUNCTION("""COMPUTED_VALUE"""),"PLDT / H2H")</f>
        <v>PLDT / H2H</v>
      </c>
      <c r="F2613" s="1">
        <f>IFERROR(__xludf.DUMMYFUNCTION("""COMPUTED_VALUE"""),2311408775)</f>
        <v>2311408775</v>
      </c>
      <c r="G2613" s="1">
        <f>IFERROR(__xludf.DUMMYFUNCTION("""COMPUTED_VALUE"""),464700067004)</f>
        <v>464700067004</v>
      </c>
      <c r="H2613" s="1" t="str">
        <f>IFERROR(__xludf.DUMMYFUNCTION("""COMPUTED_VALUE"""),"FAUSTINO AMON TORDECILA")</f>
        <v>FAUSTINO AMON TORDECILA</v>
      </c>
      <c r="I2613" s="1">
        <f>IFERROR(__xludf.DUMMYFUNCTION("""COMPUTED_VALUE"""),9951062507)</f>
        <v>9951062507</v>
      </c>
      <c r="J2613" s="1">
        <f>IFERROR(__xludf.DUMMYFUNCTION("""COMPUTED_VALUE"""),9284374277)</f>
        <v>9284374277</v>
      </c>
      <c r="K2613" s="1" t="str">
        <f>IFERROR(__xludf.DUMMYFUNCTION("""COMPUTED_VALUE"""),"tordecillamcvreyanth772@gmail.cm")</f>
        <v>tordecillamcvreyanth772@gmail.cm</v>
      </c>
      <c r="L2613" s="1" t="str">
        <f>IFERROR(__xludf.DUMMYFUNCTION("""COMPUTED_VALUE"""),"2")</f>
        <v>2</v>
      </c>
      <c r="M2613" s="1" t="str">
        <f>IFERROR(__xludf.DUMMYFUNCTION("""COMPUTED_VALUE"""),"CATANEDA")</f>
        <v>CATANEDA</v>
      </c>
      <c r="N2613" s="1"/>
      <c r="O2613" s="1" t="str">
        <f>IFERROR(__xludf.DUMMYFUNCTION("""COMPUTED_VALUE"""),"BARANGAY 4 (POB.)")</f>
        <v>BARANGAY 4 (POB.)</v>
      </c>
      <c r="P2613" s="1" t="str">
        <f>IFERROR(__xludf.DUMMYFUNCTION("""COMPUTED_VALUE"""),"IMUS")</f>
        <v>IMUS</v>
      </c>
      <c r="Q2613" s="1" t="str">
        <f>IFERROR(__xludf.DUMMYFUNCTION("""COMPUTED_VALUE"""),"CAVITE")</f>
        <v>CAVITE</v>
      </c>
      <c r="R2613" s="1" t="str">
        <f>IFERROR(__xludf.DUMMYFUNCTION("""COMPUTED_VALUE"""),"FIBR UNLI ALL PLAN 1399")</f>
        <v>FIBR UNLI ALL PLAN 1399</v>
      </c>
      <c r="S2613" s="1" t="str">
        <f>IFERROR(__xludf.DUMMYFUNCTION("""COMPUTED_VALUE"""),"APPROVED")</f>
        <v>APPROVED</v>
      </c>
      <c r="T2613" s="1" t="str">
        <f>IFERROR(__xludf.DUMMYFUNCTION("""COMPUTED_VALUE"""),"CLOSED")</f>
        <v>CLOSED</v>
      </c>
      <c r="U2613" s="1"/>
      <c r="V2613" s="1"/>
      <c r="W2613" s="1"/>
    </row>
    <row r="2614" customHeight="1" spans="1:23">
      <c r="A2614" s="3">
        <f>IFERROR(__xludf.DUMMYFUNCTION("""COMPUTED_VALUE"""),46234)</f>
        <v>46234</v>
      </c>
      <c r="B2614" s="1" t="str">
        <f>IFERROR(__xludf.DUMMYFUNCTION("""COMPUTED_VALUE"""),"FRANCISCO , ROSELYN")</f>
        <v>FRANCISCO , ROSELYN</v>
      </c>
      <c r="C2614" s="1" t="str">
        <f>IFERROR(__xludf.DUMMYFUNCTION("""COMPUTED_VALUE"""),"ORGANIC")</f>
        <v>ORGANIC</v>
      </c>
      <c r="D2614" s="1" t="str">
        <f>IFERROR(__xludf.DUMMYFUNCTION("""COMPUTED_VALUE"""),"REMOLLO LEA")</f>
        <v>REMOLLO LEA</v>
      </c>
      <c r="E2614" s="1" t="str">
        <f>IFERROR(__xludf.DUMMYFUNCTION("""COMPUTED_VALUE"""),"PLDT / H2H")</f>
        <v>PLDT / H2H</v>
      </c>
      <c r="F2614" s="1">
        <f>IFERROR(__xludf.DUMMYFUNCTION("""COMPUTED_VALUE"""),2311406386)</f>
        <v>2311406386</v>
      </c>
      <c r="G2614" s="1">
        <f>IFERROR(__xludf.DUMMYFUNCTION("""COMPUTED_VALUE"""),464701809004)</f>
        <v>464701809004</v>
      </c>
      <c r="H2614" s="1" t="str">
        <f>IFERROR(__xludf.DUMMYFUNCTION("""COMPUTED_VALUE"""),"JEREMICAH FAJARDO PALUMPON ")</f>
        <v>JEREMICAH FAJARDO PALUMPON </v>
      </c>
      <c r="I2614" s="1">
        <f>IFERROR(__xludf.DUMMYFUNCTION("""COMPUTED_VALUE"""),9056484859)</f>
        <v>9056484859</v>
      </c>
      <c r="J2614" s="1"/>
      <c r="K2614" s="1" t="str">
        <f>IFERROR(__xludf.DUMMYFUNCTION("""COMPUTED_VALUE"""),"cyruscaleb983@gmail.com")</f>
        <v>cyruscaleb983@gmail.com</v>
      </c>
      <c r="L2614" s="1" t="str">
        <f>IFERROR(__xludf.DUMMYFUNCTION("""COMPUTED_VALUE"""),"845")</f>
        <v>845</v>
      </c>
      <c r="M2614" s="1" t="str">
        <f>IFERROR(__xludf.DUMMYFUNCTION("""COMPUTED_VALUE"""),"MAIN ROAD")</f>
        <v>MAIN ROAD</v>
      </c>
      <c r="N2614" s="1"/>
      <c r="O2614" s="1" t="str">
        <f>IFERROR(__xludf.DUMMYFUNCTION("""COMPUTED_VALUE"""),"SANTA ROSA I")</f>
        <v>SANTA ROSA I</v>
      </c>
      <c r="P2614" s="1" t="str">
        <f>IFERROR(__xludf.DUMMYFUNCTION("""COMPUTED_VALUE"""),"NOVELETA")</f>
        <v>NOVELETA</v>
      </c>
      <c r="Q2614" s="1" t="str">
        <f>IFERROR(__xludf.DUMMYFUNCTION("""COMPUTED_VALUE"""),"CAVITE")</f>
        <v>CAVITE</v>
      </c>
      <c r="R2614" s="1" t="str">
        <f>IFERROR(__xludf.DUMMYFUNCTION("""COMPUTED_VALUE"""),"FIBR UNLI ALL PLAN 1499")</f>
        <v>FIBR UNLI ALL PLAN 1499</v>
      </c>
      <c r="S2614" s="1" t="str">
        <f>IFERROR(__xludf.DUMMYFUNCTION("""COMPUTED_VALUE"""),"APPROVED")</f>
        <v>APPROVED</v>
      </c>
      <c r="T2614" s="1" t="str">
        <f>IFERROR(__xludf.DUMMYFUNCTION("""COMPUTED_VALUE"""),"CANCELLED")</f>
        <v>CANCELLED</v>
      </c>
      <c r="U2614" s="1"/>
      <c r="V2614" s="1"/>
      <c r="W2614" s="1"/>
    </row>
    <row r="2615" customHeight="1" spans="1:23">
      <c r="A2615" s="3">
        <f>IFERROR(__xludf.DUMMYFUNCTION("""COMPUTED_VALUE"""),46234)</f>
        <v>46234</v>
      </c>
      <c r="B2615" s="1" t="str">
        <f>IFERROR(__xludf.DUMMYFUNCTION("""COMPUTED_VALUE"""),"SAMPANG, JAYCEE")</f>
        <v>SAMPANG, JAYCEE</v>
      </c>
      <c r="C2615" s="1" t="str">
        <f>IFERROR(__xludf.DUMMYFUNCTION("""COMPUTED_VALUE"""),"ORGANIC")</f>
        <v>ORGANIC</v>
      </c>
      <c r="D2615" s="1" t="str">
        <f>IFERROR(__xludf.DUMMYFUNCTION("""COMPUTED_VALUE"""),"REMOLLO LEA")</f>
        <v>REMOLLO LEA</v>
      </c>
      <c r="E2615" s="1" t="str">
        <f>IFERROR(__xludf.DUMMYFUNCTION("""COMPUTED_VALUE"""),"PLDT / H2H")</f>
        <v>PLDT / H2H</v>
      </c>
      <c r="F2615" s="1">
        <f>IFERROR(__xludf.DUMMYFUNCTION("""COMPUTED_VALUE"""),2311405794)</f>
        <v>2311405794</v>
      </c>
      <c r="G2615" s="1">
        <f>IFERROR(__xludf.DUMMYFUNCTION("""COMPUTED_VALUE"""),464696535004)</f>
        <v>464696535004</v>
      </c>
      <c r="H2615" s="1" t="str">
        <f>IFERROR(__xludf.DUMMYFUNCTION("""COMPUTED_VALUE"""),"ALLAN CANTENO TAMBIAO")</f>
        <v>ALLAN CANTENO TAMBIAO</v>
      </c>
      <c r="I2615" s="1">
        <f>IFERROR(__xludf.DUMMYFUNCTION("""COMPUTED_VALUE"""),9161650272)</f>
        <v>9161650272</v>
      </c>
      <c r="J2615" s="1">
        <f>IFERROR(__xludf.DUMMYFUNCTION("""COMPUTED_VALUE"""),9482706334)</f>
        <v>9482706334</v>
      </c>
      <c r="K2615" s="1" t="str">
        <f>IFERROR(__xludf.DUMMYFUNCTION("""COMPUTED_VALUE"""),"angelicajasmin228@gmail.com")</f>
        <v>angelicajasmin228@gmail.com</v>
      </c>
      <c r="L2615" s="1" t="str">
        <f>IFERROR(__xludf.DUMMYFUNCTION("""COMPUTED_VALUE"""),"215")</f>
        <v>215</v>
      </c>
      <c r="M2615" s="1" t="str">
        <f>IFERROR(__xludf.DUMMYFUNCTION("""COMPUTED_VALUE"""),"PH4")</f>
        <v>PH4</v>
      </c>
      <c r="N2615" s="1"/>
      <c r="O2615" s="1" t="str">
        <f>IFERROR(__xludf.DUMMYFUNCTION("""COMPUTED_VALUE"""),"PALIPARAN III")</f>
        <v>PALIPARAN III</v>
      </c>
      <c r="P2615" s="1" t="str">
        <f>IFERROR(__xludf.DUMMYFUNCTION("""COMPUTED_VALUE"""),"DASMARINAS")</f>
        <v>DASMARINAS</v>
      </c>
      <c r="Q2615" s="1" t="str">
        <f>IFERROR(__xludf.DUMMYFUNCTION("""COMPUTED_VALUE"""),"CAVITE")</f>
        <v>CAVITE</v>
      </c>
      <c r="R2615" s="1" t="str">
        <f>IFERROR(__xludf.DUMMYFUNCTION("""COMPUTED_VALUE"""),"FIBR UNLI ALL PLAN 1499")</f>
        <v>FIBR UNLI ALL PLAN 1499</v>
      </c>
      <c r="S2615" s="1" t="str">
        <f>IFERROR(__xludf.DUMMYFUNCTION("""COMPUTED_VALUE"""),"APPROVED")</f>
        <v>APPROVED</v>
      </c>
      <c r="T2615" s="1" t="str">
        <f>IFERROR(__xludf.DUMMYFUNCTION("""COMPUTED_VALUE"""),"RPR")</f>
        <v>RPR</v>
      </c>
      <c r="U2615" s="1"/>
      <c r="V2615" s="1"/>
      <c r="W2615" s="1"/>
    </row>
    <row r="2616" customHeight="1" spans="1:23">
      <c r="A2616" s="3">
        <f>IFERROR(__xludf.DUMMYFUNCTION("""COMPUTED_VALUE"""),46234)</f>
        <v>46234</v>
      </c>
      <c r="B2616" s="1" t="str">
        <f>IFERROR(__xludf.DUMMYFUNCTION("""COMPUTED_VALUE"""),"IVNO, RAZZEL")</f>
        <v>IVNO, RAZZEL</v>
      </c>
      <c r="C2616" s="1" t="str">
        <f>IFERROR(__xludf.DUMMYFUNCTION("""COMPUTED_VALUE"""),"ORGANIC")</f>
        <v>ORGANIC</v>
      </c>
      <c r="D2616" s="1" t="str">
        <f>IFERROR(__xludf.DUMMYFUNCTION("""COMPUTED_VALUE"""),"REMOLLO LEA")</f>
        <v>REMOLLO LEA</v>
      </c>
      <c r="E2616" s="1" t="str">
        <f>IFERROR(__xludf.DUMMYFUNCTION("""COMPUTED_VALUE"""),"PLDT / H2H")</f>
        <v>PLDT / H2H</v>
      </c>
      <c r="F2616" s="1">
        <f>IFERROR(__xludf.DUMMYFUNCTION("""COMPUTED_VALUE"""),2311405372)</f>
        <v>2311405372</v>
      </c>
      <c r="G2616" s="1">
        <f>IFERROR(__xludf.DUMMYFUNCTION("""COMPUTED_VALUE"""),464695583004)</f>
        <v>464695583004</v>
      </c>
      <c r="H2616" s="1" t="str">
        <f>IFERROR(__xludf.DUMMYFUNCTION("""COMPUTED_VALUE"""),"ERNA MAGPANTAY CAPINLAC")</f>
        <v>ERNA MAGPANTAY CAPINLAC</v>
      </c>
      <c r="I2616" s="1">
        <f>IFERROR(__xludf.DUMMYFUNCTION("""COMPUTED_VALUE"""),9190959377)</f>
        <v>9190959377</v>
      </c>
      <c r="J2616" s="1"/>
      <c r="K2616" s="1" t="str">
        <f>IFERROR(__xludf.DUMMYFUNCTION("""COMPUTED_VALUE"""),"karlera2426@gmail.com")</f>
        <v>karlera2426@gmail.com</v>
      </c>
      <c r="L2616" s="1" t="str">
        <f>IFERROR(__xludf.DUMMYFUNCTION("""COMPUTED_VALUE"""),"3948d")</f>
        <v>3948d</v>
      </c>
      <c r="M2616" s="1" t="str">
        <f>IFERROR(__xludf.DUMMYFUNCTION("""COMPUTED_VALUE"""),"MALAKING TATYAO")</f>
        <v>MALAKING TATYAO</v>
      </c>
      <c r="N2616" s="1"/>
      <c r="O2616" s="1" t="str">
        <f>IFERROR(__xludf.DUMMYFUNCTION("""COMPUTED_VALUE"""),"MALAKING TATYAO")</f>
        <v>MALAKING TATYAO</v>
      </c>
      <c r="P2616" s="1" t="str">
        <f>IFERROR(__xludf.DUMMYFUNCTION("""COMPUTED_VALUE"""),"SILANG")</f>
        <v>SILANG</v>
      </c>
      <c r="Q2616" s="1" t="str">
        <f>IFERROR(__xludf.DUMMYFUNCTION("""COMPUTED_VALUE"""),"CAVITE")</f>
        <v>CAVITE</v>
      </c>
      <c r="R2616" s="1" t="str">
        <f>IFERROR(__xludf.DUMMYFUNCTION("""COMPUTED_VALUE"""),"FIBR PLAN 1299")</f>
        <v>FIBR PLAN 1299</v>
      </c>
      <c r="S2616" s="1" t="str">
        <f>IFERROR(__xludf.DUMMYFUNCTION("""COMPUTED_VALUE"""),"APPROVED")</f>
        <v>APPROVED</v>
      </c>
      <c r="T2616" s="1" t="str">
        <f>IFERROR(__xludf.DUMMYFUNCTION("""COMPUTED_VALUE"""),"CLOSED")</f>
        <v>CLOSED</v>
      </c>
      <c r="U2616" s="1"/>
      <c r="V2616" s="1"/>
      <c r="W2616" s="1"/>
    </row>
    <row r="2617" customHeight="1" spans="1:23">
      <c r="A2617" s="3">
        <f>IFERROR(__xludf.DUMMYFUNCTION("""COMPUTED_VALUE"""),46234)</f>
        <v>46234</v>
      </c>
      <c r="B2617" s="1" t="str">
        <f>IFERROR(__xludf.DUMMYFUNCTION("""COMPUTED_VALUE"""),"IVNO, RAZZEL")</f>
        <v>IVNO, RAZZEL</v>
      </c>
      <c r="C2617" s="1" t="str">
        <f>IFERROR(__xludf.DUMMYFUNCTION("""COMPUTED_VALUE"""),"ORGANIC")</f>
        <v>ORGANIC</v>
      </c>
      <c r="D2617" s="1" t="str">
        <f>IFERROR(__xludf.DUMMYFUNCTION("""COMPUTED_VALUE"""),"REMOLLO LEA")</f>
        <v>REMOLLO LEA</v>
      </c>
      <c r="E2617" s="1" t="str">
        <f>IFERROR(__xludf.DUMMYFUNCTION("""COMPUTED_VALUE"""),"PLDT / H2H")</f>
        <v>PLDT / H2H</v>
      </c>
      <c r="F2617" s="1">
        <f>IFERROR(__xludf.DUMMYFUNCTION("""COMPUTED_VALUE"""),2311410882)</f>
        <v>2311410882</v>
      </c>
      <c r="G2617" s="1">
        <f>IFERROR(__xludf.DUMMYFUNCTION("""COMPUTED_VALUE"""),464698915004)</f>
        <v>464698915004</v>
      </c>
      <c r="H2617" s="1" t="str">
        <f>IFERROR(__xludf.DUMMYFUNCTION("""COMPUTED_VALUE"""),"LORETA VILLARUEL SAULO")</f>
        <v>LORETA VILLARUEL SAULO</v>
      </c>
      <c r="I2617" s="1">
        <f>IFERROR(__xludf.DUMMYFUNCTION("""COMPUTED_VALUE"""),9452750672)</f>
        <v>9452750672</v>
      </c>
      <c r="J2617" s="1">
        <f>IFERROR(__xludf.DUMMYFUNCTION("""COMPUTED_VALUE"""),9175517571)</f>
        <v>9175517571</v>
      </c>
      <c r="K2617" s="1" t="str">
        <f>IFERROR(__xludf.DUMMYFUNCTION("""COMPUTED_VALUE"""),"ante1024@yahoo.com")</f>
        <v>ante1024@yahoo.com</v>
      </c>
      <c r="L2617" s="1" t="str">
        <f>IFERROR(__xludf.DUMMYFUNCTION("""COMPUTED_VALUE"""),"3643")</f>
        <v>3643</v>
      </c>
      <c r="M2617" s="1" t="str">
        <f>IFERROR(__xludf.DUMMYFUNCTION("""COMPUTED_VALUE"""),"PUROK 26")</f>
        <v>PUROK 26</v>
      </c>
      <c r="N2617" s="1"/>
      <c r="O2617" s="1" t="str">
        <f>IFERROR(__xludf.DUMMYFUNCTION("""COMPUTED_VALUE"""),"SAN FRANCISCO")</f>
        <v>SAN FRANCISCO</v>
      </c>
      <c r="P2617" s="1" t="str">
        <f>IFERROR(__xludf.DUMMYFUNCTION("""COMPUTED_VALUE"""),"TAGAYTAY")</f>
        <v>TAGAYTAY</v>
      </c>
      <c r="Q2617" s="1" t="str">
        <f>IFERROR(__xludf.DUMMYFUNCTION("""COMPUTED_VALUE"""),"CAVITE")</f>
        <v>CAVITE</v>
      </c>
      <c r="R2617" s="1" t="str">
        <f>IFERROR(__xludf.DUMMYFUNCTION("""COMPUTED_VALUE"""),"FIBR UNLI ALL PLAN 2599")</f>
        <v>FIBR UNLI ALL PLAN 2599</v>
      </c>
      <c r="S2617" s="1" t="str">
        <f>IFERROR(__xludf.DUMMYFUNCTION("""COMPUTED_VALUE"""),"APPROVED")</f>
        <v>APPROVED</v>
      </c>
      <c r="T2617" s="1" t="str">
        <f>IFERROR(__xludf.DUMMYFUNCTION("""COMPUTED_VALUE"""),"CLOSED")</f>
        <v>CLOSED</v>
      </c>
      <c r="U2617" s="1"/>
      <c r="V2617" s="1"/>
      <c r="W2617" s="1"/>
    </row>
    <row r="2618" customHeight="1" spans="1:23">
      <c r="A2618" s="3">
        <f>IFERROR(__xludf.DUMMYFUNCTION("""COMPUTED_VALUE"""),46234)</f>
        <v>46234</v>
      </c>
      <c r="B2618" s="1" t="str">
        <f>IFERROR(__xludf.DUMMYFUNCTION("""COMPUTED_VALUE"""),"FRANCISCO , ROSELYN")</f>
        <v>FRANCISCO , ROSELYN</v>
      </c>
      <c r="C2618" s="1" t="str">
        <f>IFERROR(__xludf.DUMMYFUNCTION("""COMPUTED_VALUE"""),"ORGANIC")</f>
        <v>ORGANIC</v>
      </c>
      <c r="D2618" s="1" t="str">
        <f>IFERROR(__xludf.DUMMYFUNCTION("""COMPUTED_VALUE"""),"REMOLLO LEA")</f>
        <v>REMOLLO LEA</v>
      </c>
      <c r="E2618" s="1" t="str">
        <f>IFERROR(__xludf.DUMMYFUNCTION("""COMPUTED_VALUE"""),"PLDT / H2H")</f>
        <v>PLDT / H2H</v>
      </c>
      <c r="F2618" s="1">
        <f>IFERROR(__xludf.DUMMYFUNCTION("""COMPUTED_VALUE"""),2311413300)</f>
        <v>2311413300</v>
      </c>
      <c r="G2618" s="1">
        <f>IFERROR(__xludf.DUMMYFUNCTION("""COMPUTED_VALUE"""),464706811004)</f>
        <v>464706811004</v>
      </c>
      <c r="H2618" s="1" t="str">
        <f>IFERROR(__xludf.DUMMYFUNCTION("""COMPUTED_VALUE"""),"ANNA MAY ANGELAN DILLO")</f>
        <v>ANNA MAY ANGELAN DILLO</v>
      </c>
      <c r="I2618" s="1">
        <f>IFERROR(__xludf.DUMMYFUNCTION("""COMPUTED_VALUE"""),9352962759)</f>
        <v>9352962759</v>
      </c>
      <c r="J2618" s="1">
        <f>IFERROR(__xludf.DUMMYFUNCTION("""COMPUTED_VALUE"""),9624810304)</f>
        <v>9624810304</v>
      </c>
      <c r="K2618" s="1" t="str">
        <f>IFERROR(__xludf.DUMMYFUNCTION("""COMPUTED_VALUE"""),"annamaydillo@gmail.com")</f>
        <v>annamaydillo@gmail.com</v>
      </c>
      <c r="L2618" s="1" t="str">
        <f>IFERROR(__xludf.DUMMYFUNCTION("""COMPUTED_VALUE"""),"2")</f>
        <v>2</v>
      </c>
      <c r="M2618" s="1" t="str">
        <f>IFERROR(__xludf.DUMMYFUNCTION("""COMPUTED_VALUE"""),"GOV J")</f>
        <v>GOV J</v>
      </c>
      <c r="N2618" s="1"/>
      <c r="O2618" s="1" t="str">
        <f>IFERROR(__xludf.DUMMYFUNCTION("""COMPUTED_VALUE"""),"ESPERANZA ILAYA")</f>
        <v>ESPERANZA ILAYA</v>
      </c>
      <c r="P2618" s="1" t="str">
        <f>IFERROR(__xludf.DUMMYFUNCTION("""COMPUTED_VALUE"""),"ALFONSO")</f>
        <v>ALFONSO</v>
      </c>
      <c r="Q2618" s="1" t="str">
        <f>IFERROR(__xludf.DUMMYFUNCTION("""COMPUTED_VALUE"""),"CAVITE")</f>
        <v>CAVITE</v>
      </c>
      <c r="R2618" s="1" t="str">
        <f>IFERROR(__xludf.DUMMYFUNCTION("""COMPUTED_VALUE"""),"FIBR PLAN 1699")</f>
        <v>FIBR PLAN 1699</v>
      </c>
      <c r="S2618" s="1" t="str">
        <f>IFERROR(__xludf.DUMMYFUNCTION("""COMPUTED_VALUE"""),"APPROVED")</f>
        <v>APPROVED</v>
      </c>
      <c r="T2618" s="1" t="str">
        <f>IFERROR(__xludf.DUMMYFUNCTION("""COMPUTED_VALUE"""),"RPR")</f>
        <v>RPR</v>
      </c>
      <c r="U2618" s="1"/>
      <c r="V2618" s="1"/>
      <c r="W2618" s="1"/>
    </row>
    <row r="2619" customHeight="1" spans="1:23">
      <c r="A2619" s="3">
        <f>IFERROR(__xludf.DUMMYFUNCTION("""COMPUTED_VALUE"""),46234)</f>
        <v>46234</v>
      </c>
      <c r="B2619" s="1" t="str">
        <f>IFERROR(__xludf.DUMMYFUNCTION("""COMPUTED_VALUE"""),"ESCARCHA, MA ALMA  ESCOTO")</f>
        <v>ESCARCHA, MA ALMA  ESCOTO</v>
      </c>
      <c r="C2619" s="1" t="str">
        <f>IFERROR(__xludf.DUMMYFUNCTION("""COMPUTED_VALUE"""),"ORGANIC")</f>
        <v>ORGANIC</v>
      </c>
      <c r="D2619" s="1" t="str">
        <f>IFERROR(__xludf.DUMMYFUNCTION("""COMPUTED_VALUE"""),"REMOLLO LEA")</f>
        <v>REMOLLO LEA</v>
      </c>
      <c r="E2619" s="1" t="str">
        <f>IFERROR(__xludf.DUMMYFUNCTION("""COMPUTED_VALUE"""),"PLDT / H2H")</f>
        <v>PLDT / H2H</v>
      </c>
      <c r="F2619" s="1">
        <f>IFERROR(__xludf.DUMMYFUNCTION("""COMPUTED_VALUE"""),2311416493)</f>
        <v>2311416493</v>
      </c>
      <c r="G2619" s="1">
        <f>IFERROR(__xludf.DUMMYFUNCTION("""COMPUTED_VALUE"""),464736582004)</f>
        <v>464736582004</v>
      </c>
      <c r="H2619" s="1" t="str">
        <f>IFERROR(__xludf.DUMMYFUNCTION("""COMPUTED_VALUE"""),"JOEL CASILAO RABANDABAN")</f>
        <v>JOEL CASILAO RABANDABAN</v>
      </c>
      <c r="I2619" s="1">
        <f>IFERROR(__xludf.DUMMYFUNCTION("""COMPUTED_VALUE"""),9158391051)</f>
        <v>9158391051</v>
      </c>
      <c r="J2619" s="1"/>
      <c r="K2619" s="1" t="str">
        <f>IFERROR(__xludf.DUMMYFUNCTION("""COMPUTED_VALUE"""),"arbandabz.joe.caz17@gmail.com")</f>
        <v>arbandabz.joe.caz17@gmail.com</v>
      </c>
      <c r="L2619" s="1" t="str">
        <f>IFERROR(__xludf.DUMMYFUNCTION("""COMPUTED_VALUE"""),"BLK 2 LOT 1")</f>
        <v>BLK 2 LOT 1</v>
      </c>
      <c r="M2619" s="1" t="str">
        <f>IFERROR(__xludf.DUMMYFUNCTION("""COMPUTED_VALUE"""),"BANAYAD")</f>
        <v>BANAYAD</v>
      </c>
      <c r="N2619" s="1"/>
      <c r="O2619" s="1" t="str">
        <f>IFERROR(__xludf.DUMMYFUNCTION("""COMPUTED_VALUE"""),"ASIS I")</f>
        <v>ASIS I</v>
      </c>
      <c r="P2619" s="1" t="str">
        <f>IFERROR(__xludf.DUMMYFUNCTION("""COMPUTED_VALUE"""),"MENDEZ")</f>
        <v>MENDEZ</v>
      </c>
      <c r="Q2619" s="1" t="str">
        <f>IFERROR(__xludf.DUMMYFUNCTION("""COMPUTED_VALUE"""),"CAVITE")</f>
        <v>CAVITE</v>
      </c>
      <c r="R2619" s="1" t="str">
        <f>IFERROR(__xludf.DUMMYFUNCTION("""COMPUTED_VALUE"""),"FIBR PLAN 1299")</f>
        <v>FIBR PLAN 1299</v>
      </c>
      <c r="S2619" s="1" t="str">
        <f>IFERROR(__xludf.DUMMYFUNCTION("""COMPUTED_VALUE"""),"APPROVED")</f>
        <v>APPROVED</v>
      </c>
      <c r="T2619" s="1" t="str">
        <f>IFERROR(__xludf.DUMMYFUNCTION("""COMPUTED_VALUE"""),"CLOSED")</f>
        <v>CLOSED</v>
      </c>
      <c r="U2619" s="1"/>
      <c r="V2619" s="1"/>
      <c r="W2619" s="1"/>
    </row>
    <row r="2620" customHeight="1" spans="1:23">
      <c r="A2620" s="3">
        <f>IFERROR(__xludf.DUMMYFUNCTION("""COMPUTED_VALUE"""),46234)</f>
        <v>46234</v>
      </c>
      <c r="B2620" s="1" t="str">
        <f>IFERROR(__xludf.DUMMYFUNCTION("""COMPUTED_VALUE"""),"MALIWAT MARK ELVIN")</f>
        <v>MALIWAT MARK ELVIN</v>
      </c>
      <c r="C2620" s="1" t="str">
        <f>IFERROR(__xludf.DUMMYFUNCTION("""COMPUTED_VALUE"""),"FLA")</f>
        <v>FLA</v>
      </c>
      <c r="D2620" s="1" t="str">
        <f>IFERROR(__xludf.DUMMYFUNCTION("""COMPUTED_VALUE"""),"JERIC NAVARRO")</f>
        <v>JERIC NAVARRO</v>
      </c>
      <c r="E2620" s="1" t="str">
        <f>IFERROR(__xludf.DUMMYFUNCTION("""COMPUTED_VALUE"""),"PLDT / H2H")</f>
        <v>PLDT / H2H</v>
      </c>
      <c r="F2620" s="1">
        <f>IFERROR(__xludf.DUMMYFUNCTION("""COMPUTED_VALUE"""),2311414745)</f>
        <v>2311414745</v>
      </c>
      <c r="G2620" s="1">
        <f>IFERROR(__xludf.DUMMYFUNCTION("""COMPUTED_VALUE"""),464708707004)</f>
        <v>464708707004</v>
      </c>
      <c r="H2620" s="1" t="str">
        <f>IFERROR(__xludf.DUMMYFUNCTION("""COMPUTED_VALUE"""),"MA SOCORRO ESPIRITU GONZALES")</f>
        <v>MA SOCORRO ESPIRITU GONZALES</v>
      </c>
      <c r="I2620" s="1">
        <f>IFERROR(__xludf.DUMMYFUNCTION("""COMPUTED_VALUE"""),9953000241)</f>
        <v>9953000241</v>
      </c>
      <c r="J2620" s="1">
        <f>IFERROR(__xludf.DUMMYFUNCTION("""COMPUTED_VALUE"""),9955094061)</f>
        <v>9955094061</v>
      </c>
      <c r="K2620" s="1" t="str">
        <f>IFERROR(__xludf.DUMMYFUNCTION("""COMPUTED_VALUE"""),"nenethgonzales133@gmail.com")</f>
        <v>nenethgonzales133@gmail.com</v>
      </c>
      <c r="L2620" s="1" t="str">
        <f>IFERROR(__xludf.DUMMYFUNCTION("""COMPUTED_VALUE"""),"59B")</f>
        <v>59B</v>
      </c>
      <c r="M2620" s="1" t="str">
        <f>IFERROR(__xludf.DUMMYFUNCTION("""COMPUTED_VALUE"""),"MANGAS 2")</f>
        <v>MANGAS 2</v>
      </c>
      <c r="N2620" s="1"/>
      <c r="O2620" s="1" t="str">
        <f>IFERROR(__xludf.DUMMYFUNCTION("""COMPUTED_VALUE"""),"MANGAS II")</f>
        <v>MANGAS II</v>
      </c>
      <c r="P2620" s="1" t="str">
        <f>IFERROR(__xludf.DUMMYFUNCTION("""COMPUTED_VALUE"""),"ALFONSO")</f>
        <v>ALFONSO</v>
      </c>
      <c r="Q2620" s="1" t="str">
        <f>IFERROR(__xludf.DUMMYFUNCTION("""COMPUTED_VALUE"""),"CAVITE")</f>
        <v>CAVITE</v>
      </c>
      <c r="R2620" s="1" t="str">
        <f>IFERROR(__xludf.DUMMYFUNCTION("""COMPUTED_VALUE"""),"FIBR PLAN 1299")</f>
        <v>FIBR PLAN 1299</v>
      </c>
      <c r="S2620" s="1" t="str">
        <f>IFERROR(__xludf.DUMMYFUNCTION("""COMPUTED_VALUE"""),"APPROVED")</f>
        <v>APPROVED</v>
      </c>
      <c r="T2620" s="1" t="str">
        <f>IFERROR(__xludf.DUMMYFUNCTION("""COMPUTED_VALUE"""),"CLOSED")</f>
        <v>CLOSED</v>
      </c>
      <c r="U2620" s="1"/>
      <c r="V2620" s="1"/>
      <c r="W2620" s="1"/>
    </row>
    <row r="2621" customHeight="1" spans="1:23">
      <c r="A2621" s="3">
        <f>IFERROR(__xludf.DUMMYFUNCTION("""COMPUTED_VALUE"""),46234)</f>
        <v>46234</v>
      </c>
      <c r="B2621" s="1" t="str">
        <f>IFERROR(__xludf.DUMMYFUNCTION("""COMPUTED_VALUE"""),"MAGDARAOG, KENNETH")</f>
        <v>MAGDARAOG, KENNETH</v>
      </c>
      <c r="C2621" s="1" t="str">
        <f>IFERROR(__xludf.DUMMYFUNCTION("""COMPUTED_VALUE"""),"ORGANIC")</f>
        <v>ORGANIC</v>
      </c>
      <c r="D2621" s="1" t="str">
        <f>IFERROR(__xludf.DUMMYFUNCTION("""COMPUTED_VALUE"""),"REMOLLO LEA")</f>
        <v>REMOLLO LEA</v>
      </c>
      <c r="E2621" s="1" t="str">
        <f>IFERROR(__xludf.DUMMYFUNCTION("""COMPUTED_VALUE"""),"PLDT / H2H")</f>
        <v>PLDT / H2H</v>
      </c>
      <c r="F2621" s="1">
        <f>IFERROR(__xludf.DUMMYFUNCTION("""COMPUTED_VALUE"""),2311423999)</f>
        <v>2311423999</v>
      </c>
      <c r="G2621" s="1">
        <f>IFERROR(__xludf.DUMMYFUNCTION("""COMPUTED_VALUE"""),464778289004)</f>
        <v>464778289004</v>
      </c>
      <c r="H2621" s="1" t="str">
        <f>IFERROR(__xludf.DUMMYFUNCTION("""COMPUTED_VALUE"""),"KAREN TAN CASAUL")</f>
        <v>KAREN TAN CASAUL</v>
      </c>
      <c r="I2621" s="1">
        <f>IFERROR(__xludf.DUMMYFUNCTION("""COMPUTED_VALUE"""),9514394647)</f>
        <v>9514394647</v>
      </c>
      <c r="J2621" s="1"/>
      <c r="K2621" s="1" t="str">
        <f>IFERROR(__xludf.DUMMYFUNCTION("""COMPUTED_VALUE"""),"casavlkaren608@gmail.com")</f>
        <v>casavlkaren608@gmail.com</v>
      </c>
      <c r="L2621" s="1" t="str">
        <f>IFERROR(__xludf.DUMMYFUNCTION("""COMPUTED_VALUE"""),"6")</f>
        <v>6</v>
      </c>
      <c r="M2621" s="1" t="str">
        <f>IFERROR(__xludf.DUMMYFUNCTION("""COMPUTED_VALUE"""),"PHASE 6")</f>
        <v>PHASE 6</v>
      </c>
      <c r="N2621" s="1"/>
      <c r="O2621" s="1" t="str">
        <f>IFERROR(__xludf.DUMMYFUNCTION("""COMPUTED_VALUE"""),"BANABA")</f>
        <v>BANABA</v>
      </c>
      <c r="P2621" s="1" t="str">
        <f>IFERROR(__xludf.DUMMYFUNCTION("""COMPUTED_VALUE"""),"SILANG")</f>
        <v>SILANG</v>
      </c>
      <c r="Q2621" s="1" t="str">
        <f>IFERROR(__xludf.DUMMYFUNCTION("""COMPUTED_VALUE"""),"CAVITE")</f>
        <v>CAVITE</v>
      </c>
      <c r="R2621" s="1" t="str">
        <f>IFERROR(__xludf.DUMMYFUNCTION("""COMPUTED_VALUE"""),"FIBR UNLI ALL PLAN 999")</f>
        <v>FIBR UNLI ALL PLAN 999</v>
      </c>
      <c r="S2621" s="1" t="str">
        <f>IFERROR(__xludf.DUMMYFUNCTION("""COMPUTED_VALUE"""),"APPROVED")</f>
        <v>APPROVED</v>
      </c>
      <c r="T2621" s="1" t="str">
        <f>IFERROR(__xludf.DUMMYFUNCTION("""COMPUTED_VALUE"""),"CLOSED")</f>
        <v>CLOSED</v>
      </c>
      <c r="U2621" s="1"/>
      <c r="V2621" s="1"/>
      <c r="W2621" s="1"/>
    </row>
    <row r="2622" customHeight="1" spans="1:23">
      <c r="A2622" s="3">
        <f>IFERROR(__xludf.DUMMYFUNCTION("""COMPUTED_VALUE"""),46234)</f>
        <v>46234</v>
      </c>
      <c r="B2622" s="1" t="str">
        <f>IFERROR(__xludf.DUMMYFUNCTION("""COMPUTED_VALUE"""),"MAGDARAOG, KENNETH")</f>
        <v>MAGDARAOG, KENNETH</v>
      </c>
      <c r="C2622" s="1" t="str">
        <f>IFERROR(__xludf.DUMMYFUNCTION("""COMPUTED_VALUE"""),"ORGANIC")</f>
        <v>ORGANIC</v>
      </c>
      <c r="D2622" s="1" t="str">
        <f>IFERROR(__xludf.DUMMYFUNCTION("""COMPUTED_VALUE"""),"REMOLLO LEA")</f>
        <v>REMOLLO LEA</v>
      </c>
      <c r="E2622" s="1" t="str">
        <f>IFERROR(__xludf.DUMMYFUNCTION("""COMPUTED_VALUE"""),"PLDT / H2H")</f>
        <v>PLDT / H2H</v>
      </c>
      <c r="F2622" s="1">
        <f>IFERROR(__xludf.DUMMYFUNCTION("""COMPUTED_VALUE"""),2311424623)</f>
        <v>2311424623</v>
      </c>
      <c r="G2622" s="1">
        <f>IFERROR(__xludf.DUMMYFUNCTION("""COMPUTED_VALUE"""),464788067004)</f>
        <v>464788067004</v>
      </c>
      <c r="H2622" s="1" t="str">
        <f>IFERROR(__xludf.DUMMYFUNCTION("""COMPUTED_VALUE"""),"MARIANE CASS HENOSO CERDINA")</f>
        <v>MARIANE CASS HENOSO CERDINA</v>
      </c>
      <c r="I2622" s="1">
        <f>IFERROR(__xludf.DUMMYFUNCTION("""COMPUTED_VALUE"""),9852893109)</f>
        <v>9852893109</v>
      </c>
      <c r="J2622" s="1"/>
      <c r="K2622" s="1" t="str">
        <f>IFERROR(__xludf.DUMMYFUNCTION("""COMPUTED_VALUE"""),"casscerdina9@gmail.com")</f>
        <v>casscerdina9@gmail.com</v>
      </c>
      <c r="L2622" s="1" t="str">
        <f>IFERROR(__xludf.DUMMYFUNCTION("""COMPUTED_VALUE"""),"BLK 38 LOT 39")</f>
        <v>BLK 38 LOT 39</v>
      </c>
      <c r="M2622" s="1" t="str">
        <f>IFERROR(__xludf.DUMMYFUNCTION("""COMPUTED_VALUE"""),"ANAHAW 2")</f>
        <v>ANAHAW 2</v>
      </c>
      <c r="N2622" s="1"/>
      <c r="O2622" s="1" t="str">
        <f>IFERROR(__xludf.DUMMYFUNCTION("""COMPUTED_VALUE"""),"ANAHAW II")</f>
        <v>ANAHAW II</v>
      </c>
      <c r="P2622" s="1" t="str">
        <f>IFERROR(__xludf.DUMMYFUNCTION("""COMPUTED_VALUE"""),"SILANG")</f>
        <v>SILANG</v>
      </c>
      <c r="Q2622" s="1" t="str">
        <f>IFERROR(__xludf.DUMMYFUNCTION("""COMPUTED_VALUE"""),"CAVITE")</f>
        <v>CAVITE</v>
      </c>
      <c r="R2622" s="1" t="str">
        <f>IFERROR(__xludf.DUMMYFUNCTION("""COMPUTED_VALUE"""),"FIBR UNLI ALL PLAN 999")</f>
        <v>FIBR UNLI ALL PLAN 999</v>
      </c>
      <c r="S2622" s="1" t="str">
        <f>IFERROR(__xludf.DUMMYFUNCTION("""COMPUTED_VALUE"""),"APPROVED")</f>
        <v>APPROVED</v>
      </c>
      <c r="T2622" s="1" t="str">
        <f>IFERROR(__xludf.DUMMYFUNCTION("""COMPUTED_VALUE"""),"RPR")</f>
        <v>RPR</v>
      </c>
      <c r="U2622" s="1"/>
      <c r="V2622" s="1"/>
      <c r="W2622" s="1"/>
    </row>
    <row r="2623" customHeight="1" spans="1:23">
      <c r="A2623" s="3">
        <f>IFERROR(__xludf.DUMMYFUNCTION("""COMPUTED_VALUE"""),46234)</f>
        <v>46234</v>
      </c>
      <c r="B2623" s="1" t="str">
        <f>IFERROR(__xludf.DUMMYFUNCTION("""COMPUTED_VALUE"""),"AYON MANUEL")</f>
        <v>AYON MANUEL</v>
      </c>
      <c r="C2623" s="1" t="str">
        <f>IFERROR(__xludf.DUMMYFUNCTION("""COMPUTED_VALUE"""),"FLA")</f>
        <v>FLA</v>
      </c>
      <c r="D2623" s="1" t="str">
        <f>IFERROR(__xludf.DUMMYFUNCTION("""COMPUTED_VALUE"""),"JERIC NAVARRO")</f>
        <v>JERIC NAVARRO</v>
      </c>
      <c r="E2623" s="1" t="str">
        <f>IFERROR(__xludf.DUMMYFUNCTION("""COMPUTED_VALUE"""),"PLDT / H2H")</f>
        <v>PLDT / H2H</v>
      </c>
      <c r="F2623" s="1">
        <f>IFERROR(__xludf.DUMMYFUNCTION("""COMPUTED_VALUE"""),2311425150)</f>
        <v>2311425150</v>
      </c>
      <c r="G2623" s="1">
        <f>IFERROR(__xludf.DUMMYFUNCTION("""COMPUTED_VALUE"""),464740011004)</f>
        <v>464740011004</v>
      </c>
      <c r="H2623" s="1" t="str">
        <f>IFERROR(__xludf.DUMMYFUNCTION("""COMPUTED_VALUE"""),"MARIO ALBO LIVETA")</f>
        <v>MARIO ALBO LIVETA</v>
      </c>
      <c r="I2623" s="1">
        <f>IFERROR(__xludf.DUMMYFUNCTION("""COMPUTED_VALUE"""),9910189457)</f>
        <v>9910189457</v>
      </c>
      <c r="J2623" s="1"/>
      <c r="K2623" s="1" t="str">
        <f>IFERROR(__xludf.DUMMYFUNCTION("""COMPUTED_VALUE"""),"marioliveta.14@gmail.com")</f>
        <v>marioliveta.14@gmail.com</v>
      </c>
      <c r="L2623" s="1" t="str">
        <f>IFERROR(__xludf.DUMMYFUNCTION("""COMPUTED_VALUE"""),"9989")</f>
        <v>9989</v>
      </c>
      <c r="M2623" s="1" t="str">
        <f>IFERROR(__xludf.DUMMYFUNCTION("""COMPUTED_VALUE"""),"SITIO BAYUNGAN")</f>
        <v>SITIO BAYUNGAN</v>
      </c>
      <c r="N2623" s="1"/>
      <c r="O2623" s="1" t="str">
        <f>IFERROR(__xludf.DUMMYFUNCTION("""COMPUTED_VALUE"""),"KAONG")</f>
        <v>KAONG</v>
      </c>
      <c r="P2623" s="1" t="str">
        <f>IFERROR(__xludf.DUMMYFUNCTION("""COMPUTED_VALUE"""),"SILANG")</f>
        <v>SILANG</v>
      </c>
      <c r="Q2623" s="1" t="str">
        <f>IFERROR(__xludf.DUMMYFUNCTION("""COMPUTED_VALUE"""),"CAVITE")</f>
        <v>CAVITE</v>
      </c>
      <c r="R2623" s="1" t="str">
        <f>IFERROR(__xludf.DUMMYFUNCTION("""COMPUTED_VALUE"""),"FIBR NETFLIX PLAN 1599")</f>
        <v>FIBR NETFLIX PLAN 1599</v>
      </c>
      <c r="S2623" s="1" t="str">
        <f>IFERROR(__xludf.DUMMYFUNCTION("""COMPUTED_VALUE"""),"APPROVED")</f>
        <v>APPROVED</v>
      </c>
      <c r="T2623" s="1" t="str">
        <f>IFERROR(__xludf.DUMMYFUNCTION("""COMPUTED_VALUE"""),"RPR")</f>
        <v>RPR</v>
      </c>
      <c r="U2623" s="1"/>
      <c r="V2623" s="1"/>
      <c r="W2623" s="1"/>
    </row>
    <row r="2624" customHeight="1" spans="1:23">
      <c r="A2624" s="3">
        <f>IFERROR(__xludf.DUMMYFUNCTION("""COMPUTED_VALUE"""),46234)</f>
        <v>46234</v>
      </c>
      <c r="B2624" s="1" t="str">
        <f>IFERROR(__xludf.DUMMYFUNCTION("""COMPUTED_VALUE"""),"ESCARCHA, MA ALMA  ESCOTO")</f>
        <v>ESCARCHA, MA ALMA  ESCOTO</v>
      </c>
      <c r="C2624" s="1" t="str">
        <f>IFERROR(__xludf.DUMMYFUNCTION("""COMPUTED_VALUE"""),"FLA")</f>
        <v>FLA</v>
      </c>
      <c r="D2624" s="1" t="str">
        <f>IFERROR(__xludf.DUMMYFUNCTION("""COMPUTED_VALUE"""),"JERIC NAVARRO")</f>
        <v>JERIC NAVARRO</v>
      </c>
      <c r="E2624" s="1" t="str">
        <f>IFERROR(__xludf.DUMMYFUNCTION("""COMPUTED_VALUE"""),"PLDT / H2H")</f>
        <v>PLDT / H2H</v>
      </c>
      <c r="F2624" s="1">
        <f>IFERROR(__xludf.DUMMYFUNCTION("""COMPUTED_VALUE"""),2311425571)</f>
        <v>2311425571</v>
      </c>
      <c r="G2624" s="1">
        <f>IFERROR(__xludf.DUMMYFUNCTION("""COMPUTED_VALUE"""),464778246004)</f>
        <v>464778246004</v>
      </c>
      <c r="H2624" s="1" t="str">
        <f>IFERROR(__xludf.DUMMYFUNCTION("""COMPUTED_VALUE"""),"MARK JOSHUA CRUZ DEANG")</f>
        <v>MARK JOSHUA CRUZ DEANG</v>
      </c>
      <c r="I2624" s="1">
        <f>IFERROR(__xludf.DUMMYFUNCTION("""COMPUTED_VALUE"""),9933824506)</f>
        <v>9933824506</v>
      </c>
      <c r="J2624" s="1">
        <f>IFERROR(__xludf.DUMMYFUNCTION("""COMPUTED_VALUE"""),9453357176)</f>
        <v>9453357176</v>
      </c>
      <c r="K2624" s="1" t="str">
        <f>IFERROR(__xludf.DUMMYFUNCTION("""COMPUTED_VALUE"""),"cruzmarkjoshua340@gmail.com")</f>
        <v>cruzmarkjoshua340@gmail.com</v>
      </c>
      <c r="L2624" s="1" t="str">
        <f>IFERROR(__xludf.DUMMYFUNCTION("""COMPUTED_VALUE"""),"BLK 9 LOT 7")</f>
        <v>BLK 9 LOT 7</v>
      </c>
      <c r="M2624" s="1" t="str">
        <f>IFERROR(__xludf.DUMMYFUNCTION("""COMPUTED_VALUE"""),"ACACIA")</f>
        <v>ACACIA</v>
      </c>
      <c r="N2624" s="1"/>
      <c r="O2624" s="1" t="str">
        <f>IFERROR(__xludf.DUMMYFUNCTION("""COMPUTED_VALUE"""),"ACACIA")</f>
        <v>ACACIA</v>
      </c>
      <c r="P2624" s="1" t="str">
        <f>IFERROR(__xludf.DUMMYFUNCTION("""COMPUTED_VALUE"""),"SILANG")</f>
        <v>SILANG</v>
      </c>
      <c r="Q2624" s="1" t="str">
        <f>IFERROR(__xludf.DUMMYFUNCTION("""COMPUTED_VALUE"""),"CAVITE")</f>
        <v>CAVITE</v>
      </c>
      <c r="R2624" s="1" t="str">
        <f>IFERROR(__xludf.DUMMYFUNCTION("""COMPUTED_VALUE"""),"FIBR PLAN 1299")</f>
        <v>FIBR PLAN 1299</v>
      </c>
      <c r="S2624" s="1" t="str">
        <f>IFERROR(__xludf.DUMMYFUNCTION("""COMPUTED_VALUE"""),"APPROVED")</f>
        <v>APPROVED</v>
      </c>
      <c r="T2624" s="1" t="str">
        <f>IFERROR(__xludf.DUMMYFUNCTION("""COMPUTED_VALUE"""),"CLOSED")</f>
        <v>CLOSED</v>
      </c>
      <c r="U2624" s="1"/>
      <c r="V2624" s="1"/>
      <c r="W2624" s="1"/>
    </row>
    <row r="2625" customHeight="1" spans="1:23">
      <c r="A2625" s="3">
        <f>IFERROR(__xludf.DUMMYFUNCTION("""COMPUTED_VALUE"""),46235)</f>
        <v>46235</v>
      </c>
      <c r="B2625" s="1" t="str">
        <f>IFERROR(__xludf.DUMMYFUNCTION("""COMPUTED_VALUE"""),"MAGDARAOG, KENNETH")</f>
        <v>MAGDARAOG, KENNETH</v>
      </c>
      <c r="C2625" s="1" t="str">
        <f>IFERROR(__xludf.DUMMYFUNCTION("""COMPUTED_VALUE"""),"ORGANIC")</f>
        <v>ORGANIC</v>
      </c>
      <c r="D2625" s="1" t="str">
        <f>IFERROR(__xludf.DUMMYFUNCTION("""COMPUTED_VALUE"""),"REMOLLO LEA")</f>
        <v>REMOLLO LEA</v>
      </c>
      <c r="E2625" s="1" t="str">
        <f>IFERROR(__xludf.DUMMYFUNCTION("""COMPUTED_VALUE"""),"RED FIBER")</f>
        <v>RED FIBER</v>
      </c>
      <c r="F2625" s="1"/>
      <c r="G2625" s="1"/>
      <c r="H2625" s="1" t="str">
        <f>IFERROR(__xludf.DUMMYFUNCTION("""COMPUTED_VALUE"""),"HERMINAI TIBAYAN CREUS")</f>
        <v>HERMINAI TIBAYAN CREUS</v>
      </c>
      <c r="I2625" s="1">
        <f>IFERROR(__xludf.DUMMYFUNCTION("""COMPUTED_VALUE"""),9657401067)</f>
        <v>9657401067</v>
      </c>
      <c r="J2625" s="1"/>
      <c r="K2625" s="1" t="str">
        <f>IFERROR(__xludf.DUMMYFUNCTION("""COMPUTED_VALUE"""),"margiecreus8@gmail.com")</f>
        <v>margiecreus8@gmail.com</v>
      </c>
      <c r="L2625" s="1" t="str">
        <f>IFERROR(__xludf.DUMMYFUNCTION("""COMPUTED_VALUE"""),"617c")</f>
        <v>617c</v>
      </c>
      <c r="M2625" s="1" t="str">
        <f>IFERROR(__xludf.DUMMYFUNCTION("""COMPUTED_VALUE"""),"MABINI")</f>
        <v>MABINI</v>
      </c>
      <c r="N2625" s="1"/>
      <c r="O2625" s="1" t="str">
        <f>IFERROR(__xludf.DUMMYFUNCTION("""COMPUTED_VALUE"""),"BARANGAY 6 (POB.)")</f>
        <v>BARANGAY 6 (POB.)</v>
      </c>
      <c r="P2625" s="1" t="str">
        <f>IFERROR(__xludf.DUMMYFUNCTION("""COMPUTED_VALUE"""),"MENDEZ")</f>
        <v>MENDEZ</v>
      </c>
      <c r="Q2625" s="1" t="str">
        <f>IFERROR(__xludf.DUMMYFUNCTION("""COMPUTED_VALUE"""),"CAVITE")</f>
        <v>CAVITE</v>
      </c>
      <c r="R2625" s="1" t="str">
        <f>IFERROR(__xludf.DUMMYFUNCTION("""COMPUTED_VALUE"""),"RED PLAN 1000")</f>
        <v>RED PLAN 1000</v>
      </c>
      <c r="S2625" s="1" t="str">
        <f>IFERROR(__xludf.DUMMYFUNCTION("""COMPUTED_VALUE"""),"APPROVED")</f>
        <v>APPROVED</v>
      </c>
      <c r="T2625" s="1" t="str">
        <f>IFERROR(__xludf.DUMMYFUNCTION("""COMPUTED_VALUE"""),"#N/A")</f>
        <v>#N/A</v>
      </c>
      <c r="U2625" s="1" t="str">
        <f>IFERROR(__xludf.DUMMYFUNCTION("""COMPUTED_VALUE"""),"PAID VIA GCASH")</f>
        <v>PAID VIA GCASH</v>
      </c>
      <c r="V2625" s="1"/>
      <c r="W2625" s="1"/>
    </row>
    <row r="2626" customHeight="1" spans="1:23">
      <c r="A2626" s="3">
        <f>IFERROR(__xludf.DUMMYFUNCTION("""COMPUTED_VALUE"""),46235)</f>
        <v>46235</v>
      </c>
      <c r="B2626" s="1" t="str">
        <f>IFERROR(__xludf.DUMMYFUNCTION("""COMPUTED_VALUE"""),"GABAY, MANUEL")</f>
        <v>GABAY, MANUEL</v>
      </c>
      <c r="C2626" s="1" t="str">
        <f>IFERROR(__xludf.DUMMYFUNCTION("""COMPUTED_VALUE"""),"FLA")</f>
        <v>FLA</v>
      </c>
      <c r="D2626" s="1" t="str">
        <f>IFERROR(__xludf.DUMMYFUNCTION("""COMPUTED_VALUE"""),"JERIC NAVARRO")</f>
        <v>JERIC NAVARRO</v>
      </c>
      <c r="E2626" s="1" t="str">
        <f>IFERROR(__xludf.DUMMYFUNCTION("""COMPUTED_VALUE"""),"PLDT / H2H")</f>
        <v>PLDT / H2H</v>
      </c>
      <c r="F2626" s="1">
        <f>IFERROR(__xludf.DUMMYFUNCTION("""COMPUTED_VALUE"""),2311440741)</f>
        <v>2311440741</v>
      </c>
      <c r="G2626" s="1">
        <f>IFERROR(__xludf.DUMMYFUNCTION("""COMPUTED_VALUE"""),464801257004)</f>
        <v>464801257004</v>
      </c>
      <c r="H2626" s="1" t="str">
        <f>IFERROR(__xludf.DUMMYFUNCTION("""COMPUTED_VALUE"""),"LOUIE SILVESTRE SURIO")</f>
        <v>LOUIE SILVESTRE SURIO</v>
      </c>
      <c r="I2626" s="1">
        <f>IFERROR(__xludf.DUMMYFUNCTION("""COMPUTED_VALUE"""),9668756799)</f>
        <v>9668756799</v>
      </c>
      <c r="J2626" s="1">
        <f>IFERROR(__xludf.DUMMYFUNCTION("""COMPUTED_VALUE"""),9934411376)</f>
        <v>9934411376</v>
      </c>
      <c r="K2626" s="1" t="str">
        <f>IFERROR(__xludf.DUMMYFUNCTION("""COMPUTED_VALUE"""),"louiesurio1@gmail.com")</f>
        <v>louiesurio1@gmail.com</v>
      </c>
      <c r="L2626" s="1" t="str">
        <f>IFERROR(__xludf.DUMMYFUNCTION("""COMPUTED_VALUE"""),"75")</f>
        <v>75</v>
      </c>
      <c r="M2626" s="1" t="str">
        <f>IFERROR(__xludf.DUMMYFUNCTION("""COMPUTED_VALUE"""),"SITIO PULO")</f>
        <v>SITIO PULO</v>
      </c>
      <c r="N2626" s="1"/>
      <c r="O2626" s="1" t="str">
        <f>IFERROR(__xludf.DUMMYFUNCTION("""COMPUTED_VALUE"""),"BUKAL")</f>
        <v>BUKAL</v>
      </c>
      <c r="P2626" s="1" t="str">
        <f>IFERROR(__xludf.DUMMYFUNCTION("""COMPUTED_VALUE"""),"MENDEZ")</f>
        <v>MENDEZ</v>
      </c>
      <c r="Q2626" s="1" t="str">
        <f>IFERROR(__xludf.DUMMYFUNCTION("""COMPUTED_VALUE"""),"CAVITE")</f>
        <v>CAVITE</v>
      </c>
      <c r="R2626" s="1" t="str">
        <f>IFERROR(__xludf.DUMMYFUNCTION("""COMPUTED_VALUE"""),"FIBR PLAN 1299")</f>
        <v>FIBR PLAN 1299</v>
      </c>
      <c r="S2626" s="1" t="str">
        <f>IFERROR(__xludf.DUMMYFUNCTION("""COMPUTED_VALUE"""),"APPROVED")</f>
        <v>APPROVED</v>
      </c>
      <c r="T2626" s="1" t="str">
        <f>IFERROR(__xludf.DUMMYFUNCTION("""COMPUTED_VALUE"""),"CLOSED")</f>
        <v>CLOSED</v>
      </c>
      <c r="U2626" s="1" t="str">
        <f>IFERROR(__xludf.DUMMYFUNCTION("""COMPUTED_VALUE"""),"POSTED")</f>
        <v>POSTED</v>
      </c>
      <c r="V2626" s="1"/>
      <c r="W2626" s="1"/>
    </row>
    <row r="2627" customHeight="1" spans="1:23">
      <c r="A2627" s="3">
        <f>IFERROR(__xludf.DUMMYFUNCTION("""COMPUTED_VALUE"""),46235)</f>
        <v>46235</v>
      </c>
      <c r="B2627" s="1" t="str">
        <f>IFERROR(__xludf.DUMMYFUNCTION("""COMPUTED_VALUE"""),"REMOLLO, LEA")</f>
        <v>REMOLLO, LEA</v>
      </c>
      <c r="C2627" s="1" t="str">
        <f>IFERROR(__xludf.DUMMYFUNCTION("""COMPUTED_VALUE"""),"FLA")</f>
        <v>FLA</v>
      </c>
      <c r="D2627" s="1" t="str">
        <f>IFERROR(__xludf.DUMMYFUNCTION("""COMPUTED_VALUE"""),"JERIC NAVARRO")</f>
        <v>JERIC NAVARRO</v>
      </c>
      <c r="E2627" s="1" t="str">
        <f>IFERROR(__xludf.DUMMYFUNCTION("""COMPUTED_VALUE"""),"PLDT / ONLINE")</f>
        <v>PLDT / ONLINE</v>
      </c>
      <c r="F2627" s="1">
        <f>IFERROR(__xludf.DUMMYFUNCTION("""COMPUTED_VALUE"""),2311445600)</f>
        <v>2311445600</v>
      </c>
      <c r="G2627" s="1"/>
      <c r="H2627" s="1" t="str">
        <f>IFERROR(__xludf.DUMMYFUNCTION("""COMPUTED_VALUE"""),"MICHAEL VIDAL DE PEDRO")</f>
        <v>MICHAEL VIDAL DE PEDRO</v>
      </c>
      <c r="I2627" s="1">
        <f>IFERROR(__xludf.DUMMYFUNCTION("""COMPUTED_VALUE"""),9770427784)</f>
        <v>9770427784</v>
      </c>
      <c r="J2627" s="1"/>
      <c r="K2627" s="1" t="str">
        <f>IFERROR(__xludf.DUMMYFUNCTION("""COMPUTED_VALUE"""),"mvidal7400@gmail.com")</f>
        <v>mvidal7400@gmail.com</v>
      </c>
      <c r="L2627" s="1" t="str">
        <f>IFERROR(__xludf.DUMMYFUNCTION("""COMPUTED_VALUE"""),"BLK 3 LOT 15")</f>
        <v>BLK 3 LOT 15</v>
      </c>
      <c r="M2627" s="1" t="str">
        <f>IFERROR(__xludf.DUMMYFUNCTION("""COMPUTED_VALUE"""),"TSARINA GRAND VILLAS")</f>
        <v>TSARINA GRAND VILLAS</v>
      </c>
      <c r="N2627" s="1"/>
      <c r="O2627" s="1" t="str">
        <f>IFERROR(__xludf.DUMMYFUNCTION("""COMPUTED_VALUE"""),"MANGGAHAN")</f>
        <v>MANGGAHAN</v>
      </c>
      <c r="P2627" s="1" t="str">
        <f>IFERROR(__xludf.DUMMYFUNCTION("""COMPUTED_VALUE"""),"GENERAL TRIAS")</f>
        <v>GENERAL TRIAS</v>
      </c>
      <c r="Q2627" s="1" t="str">
        <f>IFERROR(__xludf.DUMMYFUNCTION("""COMPUTED_VALUE"""),"CAVITE")</f>
        <v>CAVITE</v>
      </c>
      <c r="R2627" s="1" t="str">
        <f>IFERROR(__xludf.DUMMYFUNCTION("""COMPUTED_VALUE"""),"FIBR NETFLIX PLAN 1599")</f>
        <v>FIBR NETFLIX PLAN 1599</v>
      </c>
      <c r="S2627" s="1" t="str">
        <f>IFERROR(__xludf.DUMMYFUNCTION("""COMPUTED_VALUE"""),"APPROVED")</f>
        <v>APPROVED</v>
      </c>
      <c r="T2627" s="1" t="str">
        <f>IFERROR(__xludf.DUMMYFUNCTION("""COMPUTED_VALUE"""),"CANCELLED")</f>
        <v>CANCELLED</v>
      </c>
      <c r="U2627" s="1"/>
      <c r="V2627" s="1"/>
      <c r="W2627" s="1"/>
    </row>
    <row r="2628" customHeight="1" spans="1:23">
      <c r="A2628" s="3">
        <f>IFERROR(__xludf.DUMMYFUNCTION("""COMPUTED_VALUE"""),46236)</f>
        <v>46236</v>
      </c>
      <c r="B2628" s="1" t="str">
        <f>IFERROR(__xludf.DUMMYFUNCTION("""COMPUTED_VALUE"""),"ESCARCHA, MA ALMA  ESCOTO")</f>
        <v>ESCARCHA, MA ALMA  ESCOTO</v>
      </c>
      <c r="C2628" s="1" t="str">
        <f>IFERROR(__xludf.DUMMYFUNCTION("""COMPUTED_VALUE"""),"ORGANIC")</f>
        <v>ORGANIC</v>
      </c>
      <c r="D2628" s="1" t="str">
        <f>IFERROR(__xludf.DUMMYFUNCTION("""COMPUTED_VALUE"""),"REMOLLO LEA")</f>
        <v>REMOLLO LEA</v>
      </c>
      <c r="E2628" s="1" t="str">
        <f>IFERROR(__xludf.DUMMYFUNCTION("""COMPUTED_VALUE"""),"PLDT / H2H")</f>
        <v>PLDT / H2H</v>
      </c>
      <c r="F2628" s="1"/>
      <c r="G2628" s="1"/>
      <c r="H2628" s="1" t="str">
        <f>IFERROR(__xludf.DUMMYFUNCTION("""COMPUTED_VALUE"""),"EVANGELINA TORRES DE GUZMAN")</f>
        <v>EVANGELINA TORRES DE GUZMAN</v>
      </c>
      <c r="I2628" s="1">
        <f>IFERROR(__xludf.DUMMYFUNCTION("""COMPUTED_VALUE"""),9059164385)</f>
        <v>9059164385</v>
      </c>
      <c r="J2628" s="1"/>
      <c r="K2628" s="1" t="str">
        <f>IFERROR(__xludf.DUMMYFUNCTION("""COMPUTED_VALUE"""),"eva779109@gmail.com")</f>
        <v>eva779109@gmail.com</v>
      </c>
      <c r="L2628" s="1" t="str">
        <f>IFERROR(__xludf.DUMMYFUNCTION("""COMPUTED_VALUE"""),"21")</f>
        <v>21</v>
      </c>
      <c r="M2628" s="1" t="str">
        <f>IFERROR(__xludf.DUMMYFUNCTION("""COMPUTED_VALUE"""),"PUROK 5")</f>
        <v>PUROK 5</v>
      </c>
      <c r="N2628" s="1"/>
      <c r="O2628" s="1" t="str">
        <f>IFERROR(__xludf.DUMMYFUNCTION("""COMPUTED_VALUE"""),"ASISAN")</f>
        <v>ASISAN</v>
      </c>
      <c r="P2628" s="1" t="str">
        <f>IFERROR(__xludf.DUMMYFUNCTION("""COMPUTED_VALUE"""),"TAGAYTAY")</f>
        <v>TAGAYTAY</v>
      </c>
      <c r="Q2628" s="1" t="str">
        <f>IFERROR(__xludf.DUMMYFUNCTION("""COMPUTED_VALUE"""),"CAVITE")</f>
        <v>CAVITE</v>
      </c>
      <c r="R2628" s="1" t="str">
        <f>IFERROR(__xludf.DUMMYFUNCTION("""COMPUTED_VALUE"""),"FIBR UNLI ALL PLAN 999")</f>
        <v>FIBR UNLI ALL PLAN 999</v>
      </c>
      <c r="S2628" s="1" t="str">
        <f>IFERROR(__xludf.DUMMYFUNCTION("""COMPUTED_VALUE"""),"HOLD")</f>
        <v>HOLD</v>
      </c>
      <c r="T2628" s="1" t="str">
        <f>IFERROR(__xludf.DUMMYFUNCTION("""COMPUTED_VALUE"""),"#N/A")</f>
        <v>#N/A</v>
      </c>
      <c r="U2628" s="1" t="str">
        <f>IFERROR(__xludf.DUMMYFUNCTION("""COMPUTED_VALUE"""),"AS PER SUBS NAKAUSAP NMAN DAW NYA SI AGENT NA HOLD MUNA ")</f>
        <v>AS PER SUBS NAKAUSAP NMAN DAW NYA SI AGENT NA HOLD MUNA </v>
      </c>
      <c r="V2628" s="1"/>
      <c r="W2628" s="1"/>
    </row>
    <row r="2629" customHeight="1" spans="1:23">
      <c r="A2629" s="3">
        <f>IFERROR(__xludf.DUMMYFUNCTION("""COMPUTED_VALUE"""),46236)</f>
        <v>46236</v>
      </c>
      <c r="B2629" s="1" t="str">
        <f>IFERROR(__xludf.DUMMYFUNCTION("""COMPUTED_VALUE"""),"CADERAO, RONALD")</f>
        <v>CADERAO, RONALD</v>
      </c>
      <c r="C2629" s="1" t="str">
        <f>IFERROR(__xludf.DUMMYFUNCTION("""COMPUTED_VALUE"""),"ORGANIC")</f>
        <v>ORGANIC</v>
      </c>
      <c r="D2629" s="1" t="str">
        <f>IFERROR(__xludf.DUMMYFUNCTION("""COMPUTED_VALUE"""),"REMOLLO LEA")</f>
        <v>REMOLLO LEA</v>
      </c>
      <c r="E2629" s="1" t="str">
        <f>IFERROR(__xludf.DUMMYFUNCTION("""COMPUTED_VALUE"""),"PLDT / H2H")</f>
        <v>PLDT / H2H</v>
      </c>
      <c r="F2629" s="1">
        <f>IFERROR(__xludf.DUMMYFUNCTION("""COMPUTED_VALUE"""),2311458800)</f>
        <v>2311458800</v>
      </c>
      <c r="G2629" s="1"/>
      <c r="H2629" s="1" t="str">
        <f>IFERROR(__xludf.DUMMYFUNCTION("""COMPUTED_VALUE"""),"ABEGAIL AVILA REQUILA")</f>
        <v>ABEGAIL AVILA REQUILA</v>
      </c>
      <c r="I2629" s="1">
        <f>IFERROR(__xludf.DUMMYFUNCTION("""COMPUTED_VALUE"""),9995808252)</f>
        <v>9995808252</v>
      </c>
      <c r="J2629" s="1">
        <f>IFERROR(__xludf.DUMMYFUNCTION("""COMPUTED_VALUE"""),9525975124)</f>
        <v>9525975124</v>
      </c>
      <c r="K2629" s="1" t="str">
        <f>IFERROR(__xludf.DUMMYFUNCTION("""COMPUTED_VALUE"""),"gailjerredrequila@gmail.com")</f>
        <v>gailjerredrequila@gmail.com</v>
      </c>
      <c r="L2629" s="1" t="str">
        <f>IFERROR(__xludf.DUMMYFUNCTION("""COMPUTED_VALUE"""),"7")</f>
        <v>7</v>
      </c>
      <c r="M2629" s="1" t="str">
        <f>IFERROR(__xludf.DUMMYFUNCTION("""COMPUTED_VALUE"""),"PUROK 35")</f>
        <v>PUROK 35</v>
      </c>
      <c r="N2629" s="1"/>
      <c r="O2629" s="1" t="str">
        <f>IFERROR(__xludf.DUMMYFUNCTION("""COMPUTED_VALUE"""),"GUINHAWA SOUTH")</f>
        <v>GUINHAWA SOUTH</v>
      </c>
      <c r="P2629" s="1" t="str">
        <f>IFERROR(__xludf.DUMMYFUNCTION("""COMPUTED_VALUE"""),"TAGAYTAY")</f>
        <v>TAGAYTAY</v>
      </c>
      <c r="Q2629" s="1" t="str">
        <f>IFERROR(__xludf.DUMMYFUNCTION("""COMPUTED_VALUE"""),"CAVITE")</f>
        <v>CAVITE</v>
      </c>
      <c r="R2629" s="1" t="str">
        <f>IFERROR(__xludf.DUMMYFUNCTION("""COMPUTED_VALUE"""),"FIBR PLAN 1299")</f>
        <v>FIBR PLAN 1299</v>
      </c>
      <c r="S2629" s="1" t="str">
        <f>IFERROR(__xludf.DUMMYFUNCTION("""COMPUTED_VALUE"""),"APPROVED")</f>
        <v>APPROVED</v>
      </c>
      <c r="T2629" s="1" t="str">
        <f>IFERROR(__xludf.DUMMYFUNCTION("""COMPUTED_VALUE"""),"SUBS CANCELLED APPLICATION")</f>
        <v>SUBS CANCELLED APPLICATION</v>
      </c>
      <c r="U2629" s="1"/>
      <c r="V2629" s="1"/>
      <c r="W2629" s="1"/>
    </row>
    <row r="2630" customHeight="1" spans="1:23">
      <c r="A2630" s="3">
        <f>IFERROR(__xludf.DUMMYFUNCTION("""COMPUTED_VALUE"""),46236)</f>
        <v>46236</v>
      </c>
      <c r="B2630" s="1" t="str">
        <f>IFERROR(__xludf.DUMMYFUNCTION("""COMPUTED_VALUE"""),"CADERAO, RONALD")</f>
        <v>CADERAO, RONALD</v>
      </c>
      <c r="C2630" s="1" t="str">
        <f>IFERROR(__xludf.DUMMYFUNCTION("""COMPUTED_VALUE"""),"ORGANIC")</f>
        <v>ORGANIC</v>
      </c>
      <c r="D2630" s="1" t="str">
        <f>IFERROR(__xludf.DUMMYFUNCTION("""COMPUTED_VALUE"""),"REMOLLO LEA")</f>
        <v>REMOLLO LEA</v>
      </c>
      <c r="E2630" s="1" t="str">
        <f>IFERROR(__xludf.DUMMYFUNCTION("""COMPUTED_VALUE"""),"PLDT / H2H")</f>
        <v>PLDT / H2H</v>
      </c>
      <c r="F2630" s="1">
        <f>IFERROR(__xludf.DUMMYFUNCTION("""COMPUTED_VALUE"""),2311465701)</f>
        <v>2311465701</v>
      </c>
      <c r="G2630" s="1">
        <f>IFERROR(__xludf.DUMMYFUNCTION("""COMPUTED_VALUE"""),464921867004)</f>
        <v>464921867004</v>
      </c>
      <c r="H2630" s="1" t="str">
        <f>IFERROR(__xludf.DUMMYFUNCTION("""COMPUTED_VALUE"""),"ROXANNE BUEN")</f>
        <v>ROXANNE BUEN</v>
      </c>
      <c r="I2630" s="1">
        <f>IFERROR(__xludf.DUMMYFUNCTION("""COMPUTED_VALUE"""),9850194720)</f>
        <v>9850194720</v>
      </c>
      <c r="J2630" s="1"/>
      <c r="K2630" s="1" t="str">
        <f>IFERROR(__xludf.DUMMYFUNCTION("""COMPUTED_VALUE"""),"buenroxanne41@gmail.com")</f>
        <v>buenroxanne41@gmail.com</v>
      </c>
      <c r="L2630" s="1" t="str">
        <f>IFERROR(__xludf.DUMMYFUNCTION("""COMPUTED_VALUE"""),"85")</f>
        <v>85</v>
      </c>
      <c r="M2630" s="1" t="str">
        <f>IFERROR(__xludf.DUMMYFUNCTION("""COMPUTED_VALUE"""),"LAPURISIMA")</f>
        <v>LAPURISIMA</v>
      </c>
      <c r="N2630" s="1"/>
      <c r="O2630" s="1" t="str">
        <f>IFERROR(__xludf.DUMMYFUNCTION("""COMPUTED_VALUE"""),"PALOCPOC II")</f>
        <v>PALOCPOC II</v>
      </c>
      <c r="P2630" s="1" t="str">
        <f>IFERROR(__xludf.DUMMYFUNCTION("""COMPUTED_VALUE"""),"MENDEZ")</f>
        <v>MENDEZ</v>
      </c>
      <c r="Q2630" s="1" t="str">
        <f>IFERROR(__xludf.DUMMYFUNCTION("""COMPUTED_VALUE"""),"CAVITE")</f>
        <v>CAVITE</v>
      </c>
      <c r="R2630" s="1" t="str">
        <f>IFERROR(__xludf.DUMMYFUNCTION("""COMPUTED_VALUE"""),"FIBR UNLI ALL PLAN 999")</f>
        <v>FIBR UNLI ALL PLAN 999</v>
      </c>
      <c r="S2630" s="1" t="str">
        <f>IFERROR(__xludf.DUMMYFUNCTION("""COMPUTED_VALUE"""),"APPROVED")</f>
        <v>APPROVED</v>
      </c>
      <c r="T2630" s="1" t="str">
        <f>IFERROR(__xludf.DUMMYFUNCTION("""COMPUTED_VALUE"""),"CLOSED")</f>
        <v>CLOSED</v>
      </c>
      <c r="U2630" s="1" t="str">
        <f>IFERROR(__xludf.DUMMYFUNCTION("""COMPUTED_VALUE"""),"POSTED")</f>
        <v>POSTED</v>
      </c>
      <c r="V2630" s="1"/>
      <c r="W2630" s="1"/>
    </row>
    <row r="2631" customHeight="1" spans="1:23">
      <c r="A2631" s="3">
        <f>IFERROR(__xludf.DUMMYFUNCTION("""COMPUTED_VALUE"""),46236)</f>
        <v>46236</v>
      </c>
      <c r="B2631" s="1" t="str">
        <f>IFERROR(__xludf.DUMMYFUNCTION("""COMPUTED_VALUE"""),"FRANCISCO , ROSELYN")</f>
        <v>FRANCISCO , ROSELYN</v>
      </c>
      <c r="C2631" s="1" t="str">
        <f>IFERROR(__xludf.DUMMYFUNCTION("""COMPUTED_VALUE"""),"ORGANIC")</f>
        <v>ORGANIC</v>
      </c>
      <c r="D2631" s="1" t="str">
        <f>IFERROR(__xludf.DUMMYFUNCTION("""COMPUTED_VALUE"""),"REMOLLO LEA")</f>
        <v>REMOLLO LEA</v>
      </c>
      <c r="E2631" s="1" t="str">
        <f>IFERROR(__xludf.DUMMYFUNCTION("""COMPUTED_VALUE"""),"PLDT / ONLINE")</f>
        <v>PLDT / ONLINE</v>
      </c>
      <c r="F2631" s="1">
        <f>IFERROR(__xludf.DUMMYFUNCTION("""COMPUTED_VALUE"""),2311466042)</f>
        <v>2311466042</v>
      </c>
      <c r="G2631" s="1">
        <f>IFERROR(__xludf.DUMMYFUNCTION("""COMPUTED_VALUE"""),464920926004)</f>
        <v>464920926004</v>
      </c>
      <c r="H2631" s="1" t="str">
        <f>IFERROR(__xludf.DUMMYFUNCTION("""COMPUTED_VALUE"""),"JAY AR CUNANAN DAQUILAG")</f>
        <v>JAY AR CUNANAN DAQUILAG</v>
      </c>
      <c r="I2631" s="1">
        <f>IFERROR(__xludf.DUMMYFUNCTION("""COMPUTED_VALUE"""),9458590870)</f>
        <v>9458590870</v>
      </c>
      <c r="J2631" s="1">
        <f>IFERROR(__xludf.DUMMYFUNCTION("""COMPUTED_VALUE"""),9916642631)</f>
        <v>9916642631</v>
      </c>
      <c r="K2631" s="1" t="str">
        <f>IFERROR(__xludf.DUMMYFUNCTION("""COMPUTED_VALUE"""),"kawaiimejr@yahoo.com")</f>
        <v>kawaiimejr@yahoo.com</v>
      </c>
      <c r="L2631" s="1" t="str">
        <f>IFERROR(__xludf.DUMMYFUNCTION("""COMPUTED_VALUE"""),"765")</f>
        <v>765</v>
      </c>
      <c r="M2631" s="1" t="str">
        <f>IFERROR(__xludf.DUMMYFUNCTION("""COMPUTED_VALUE"""),"SABGBAT")</f>
        <v>SABGBAT</v>
      </c>
      <c r="N2631" s="1"/>
      <c r="O2631" s="1" t="str">
        <f>IFERROR(__xludf.DUMMYFUNCTION("""COMPUTED_VALUE"""),"PANTIHAN II (SAGBAT)")</f>
        <v>PANTIHAN II (SAGBAT)</v>
      </c>
      <c r="P2631" s="1" t="str">
        <f>IFERROR(__xludf.DUMMYFUNCTION("""COMPUTED_VALUE"""),"MARAGONDON")</f>
        <v>MARAGONDON</v>
      </c>
      <c r="Q2631" s="1" t="str">
        <f>IFERROR(__xludf.DUMMYFUNCTION("""COMPUTED_VALUE"""),"CAVITE")</f>
        <v>CAVITE</v>
      </c>
      <c r="R2631" s="1" t="str">
        <f>IFERROR(__xludf.DUMMYFUNCTION("""COMPUTED_VALUE"""),"FIBR PLAN 1299")</f>
        <v>FIBR PLAN 1299</v>
      </c>
      <c r="S2631" s="1" t="str">
        <f>IFERROR(__xludf.DUMMYFUNCTION("""COMPUTED_VALUE"""),"APPROVED")</f>
        <v>APPROVED</v>
      </c>
      <c r="T2631" s="1" t="str">
        <f>IFERROR(__xludf.DUMMYFUNCTION("""COMPUTED_VALUE"""),"CANCELLED")</f>
        <v>CANCELLED</v>
      </c>
      <c r="U2631" s="1"/>
      <c r="V2631" s="1"/>
      <c r="W2631" s="1"/>
    </row>
    <row r="2632" customHeight="1" spans="1:23">
      <c r="A2632" s="3">
        <f>IFERROR(__xludf.DUMMYFUNCTION("""COMPUTED_VALUE"""),46236)</f>
        <v>46236</v>
      </c>
      <c r="B2632" s="1" t="str">
        <f>IFERROR(__xludf.DUMMYFUNCTION("""COMPUTED_VALUE"""),"GABAY, MANUEL")</f>
        <v>GABAY, MANUEL</v>
      </c>
      <c r="C2632" s="1" t="str">
        <f>IFERROR(__xludf.DUMMYFUNCTION("""COMPUTED_VALUE"""),"FLA")</f>
        <v>FLA</v>
      </c>
      <c r="D2632" s="1" t="str">
        <f>IFERROR(__xludf.DUMMYFUNCTION("""COMPUTED_VALUE"""),"JERIC NAVARRO")</f>
        <v>JERIC NAVARRO</v>
      </c>
      <c r="E2632" s="1" t="str">
        <f>IFERROR(__xludf.DUMMYFUNCTION("""COMPUTED_VALUE"""),"PLDT / H2H")</f>
        <v>PLDT / H2H</v>
      </c>
      <c r="F2632" s="1">
        <f>IFERROR(__xludf.DUMMYFUNCTION("""COMPUTED_VALUE"""),2311466566)</f>
        <v>2311466566</v>
      </c>
      <c r="G2632" s="1">
        <f>IFERROR(__xludf.DUMMYFUNCTION("""COMPUTED_VALUE"""),464923632004)</f>
        <v>464923632004</v>
      </c>
      <c r="H2632" s="1" t="str">
        <f>IFERROR(__xludf.DUMMYFUNCTION("""COMPUTED_VALUE"""),"PAULA MAY ANZURES")</f>
        <v>PAULA MAY ANZURES</v>
      </c>
      <c r="I2632" s="1">
        <f>IFERROR(__xludf.DUMMYFUNCTION("""COMPUTED_VALUE"""),9696075218)</f>
        <v>9696075218</v>
      </c>
      <c r="J2632" s="1">
        <f>IFERROR(__xludf.DUMMYFUNCTION("""COMPUTED_VALUE"""),9498453724)</f>
        <v>9498453724</v>
      </c>
      <c r="K2632" s="1" t="str">
        <f>IFERROR(__xludf.DUMMYFUNCTION("""COMPUTED_VALUE"""),"anzures.paula26@gmail.com")</f>
        <v>anzures.paula26@gmail.com</v>
      </c>
      <c r="L2632" s="1" t="str">
        <f>IFERROR(__xludf.DUMMYFUNCTION("""COMPUTED_VALUE"""),"13")</f>
        <v>13</v>
      </c>
      <c r="M2632" s="1" t="str">
        <f>IFERROR(__xludf.DUMMYFUNCTION("""COMPUTED_VALUE"""),"PUROK 135")</f>
        <v>PUROK 135</v>
      </c>
      <c r="N2632" s="1"/>
      <c r="O2632" s="1" t="str">
        <f>IFERROR(__xludf.DUMMYFUNCTION("""COMPUTED_VALUE"""),"GUINHAWA NORTH")</f>
        <v>GUINHAWA NORTH</v>
      </c>
      <c r="P2632" s="1" t="str">
        <f>IFERROR(__xludf.DUMMYFUNCTION("""COMPUTED_VALUE"""),"TAGAYTAY")</f>
        <v>TAGAYTAY</v>
      </c>
      <c r="Q2632" s="1" t="str">
        <f>IFERROR(__xludf.DUMMYFUNCTION("""COMPUTED_VALUE"""),"CAVITE")</f>
        <v>CAVITE</v>
      </c>
      <c r="R2632" s="1" t="str">
        <f>IFERROR(__xludf.DUMMYFUNCTION("""COMPUTED_VALUE"""),"FIBR PLAN 1299")</f>
        <v>FIBR PLAN 1299</v>
      </c>
      <c r="S2632" s="1" t="str">
        <f>IFERROR(__xludf.DUMMYFUNCTION("""COMPUTED_VALUE"""),"APPROVED")</f>
        <v>APPROVED</v>
      </c>
      <c r="T2632" s="1" t="str">
        <f>IFERROR(__xludf.DUMMYFUNCTION("""COMPUTED_VALUE"""),"CLOSED")</f>
        <v>CLOSED</v>
      </c>
      <c r="U2632" s="1" t="str">
        <f>IFERROR(__xludf.DUMMYFUNCTION("""COMPUTED_VALUE"""),"POSTED")</f>
        <v>POSTED</v>
      </c>
      <c r="V2632" s="1"/>
      <c r="W2632" s="1"/>
    </row>
    <row r="2633" customHeight="1" spans="1:23">
      <c r="A2633" s="3">
        <f>IFERROR(__xludf.DUMMYFUNCTION("""COMPUTED_VALUE"""),46236)</f>
        <v>46236</v>
      </c>
      <c r="B2633" s="1" t="str">
        <f>IFERROR(__xludf.DUMMYFUNCTION("""COMPUTED_VALUE"""),"OPS WESLY")</f>
        <v>OPS WESLY</v>
      </c>
      <c r="C2633" s="1" t="str">
        <f>IFERROR(__xludf.DUMMYFUNCTION("""COMPUTED_VALUE"""),"LEADSTORE")</f>
        <v>LEADSTORE</v>
      </c>
      <c r="D2633" s="1" t="str">
        <f>IFERROR(__xludf.DUMMYFUNCTION("""COMPUTED_VALUE"""),"JERIC NAVARRO")</f>
        <v>JERIC NAVARRO</v>
      </c>
      <c r="E2633" s="1" t="str">
        <f>IFERROR(__xludf.DUMMYFUNCTION("""COMPUTED_VALUE"""),"PLDT / ONLINE")</f>
        <v>PLDT / ONLINE</v>
      </c>
      <c r="F2633" s="1">
        <f>IFERROR(__xludf.DUMMYFUNCTION("""COMPUTED_VALUE"""),2311484718)</f>
        <v>2311484718</v>
      </c>
      <c r="G2633" s="1">
        <f>IFERROR(__xludf.DUMMYFUNCTION("""COMPUTED_VALUE"""),465058093004)</f>
        <v>465058093004</v>
      </c>
      <c r="H2633" s="1" t="str">
        <f>IFERROR(__xludf.DUMMYFUNCTION("""COMPUTED_VALUE"""),"CHERYL COYME ENUMERABLES")</f>
        <v>CHERYL COYME ENUMERABLES</v>
      </c>
      <c r="I2633" s="1">
        <f>IFERROR(__xludf.DUMMYFUNCTION("""COMPUTED_VALUE"""),9771175744)</f>
        <v>9771175744</v>
      </c>
      <c r="J2633" s="1">
        <f>IFERROR(__xludf.DUMMYFUNCTION("""COMPUTED_VALUE"""),9776844960)</f>
        <v>9776844960</v>
      </c>
      <c r="K2633" s="1" t="str">
        <f>IFERROR(__xludf.DUMMYFUNCTION("""COMPUTED_VALUE"""),"seriya1986@gmail.com")</f>
        <v>seriya1986@gmail.com</v>
      </c>
      <c r="L2633" s="1" t="str">
        <f>IFERROR(__xludf.DUMMYFUNCTION("""COMPUTED_VALUE"""),"BLK 42 LOT 17")</f>
        <v>BLK 42 LOT 17</v>
      </c>
      <c r="M2633" s="1" t="str">
        <f>IFERROR(__xludf.DUMMYFUNCTION("""COMPUTED_VALUE"""),"PHASE 2")</f>
        <v>PHASE 2</v>
      </c>
      <c r="N2633" s="1" t="str">
        <f>IFERROR(__xludf.DUMMYFUNCTION("""COMPUTED_VALUE"""),"NORTHDALE")</f>
        <v>NORTHDALE</v>
      </c>
      <c r="O2633" s="1" t="str">
        <f>IFERROR(__xludf.DUMMYFUNCTION("""COMPUTED_VALUE"""),"SAN ROQUE")</f>
        <v>SAN ROQUE</v>
      </c>
      <c r="P2633" s="1" t="str">
        <f>IFERROR(__xludf.DUMMYFUNCTION("""COMPUTED_VALUE"""),"NAIC")</f>
        <v>NAIC</v>
      </c>
      <c r="Q2633" s="1" t="str">
        <f>IFERROR(__xludf.DUMMYFUNCTION("""COMPUTED_VALUE"""),"CAVITE")</f>
        <v>CAVITE</v>
      </c>
      <c r="R2633" s="1" t="str">
        <f>IFERROR(__xludf.DUMMYFUNCTION("""COMPUTED_VALUE"""),"FIBR PLAN 1299")</f>
        <v>FIBR PLAN 1299</v>
      </c>
      <c r="S2633" s="1" t="str">
        <f>IFERROR(__xludf.DUMMYFUNCTION("""COMPUTED_VALUE"""),"APPROVED")</f>
        <v>APPROVED</v>
      </c>
      <c r="T2633" s="1" t="str">
        <f>IFERROR(__xludf.DUMMYFUNCTION("""COMPUTED_VALUE"""),"CANCELLED")</f>
        <v>CANCELLED</v>
      </c>
      <c r="U2633" s="1"/>
      <c r="V2633" s="1"/>
      <c r="W2633" s="1"/>
    </row>
    <row r="2634" customHeight="1" spans="1:23">
      <c r="A2634" s="3">
        <f>IFERROR(__xludf.DUMMYFUNCTION("""COMPUTED_VALUE"""),46237)</f>
        <v>46237</v>
      </c>
      <c r="B2634" s="1" t="str">
        <f>IFERROR(__xludf.DUMMYFUNCTION("""COMPUTED_VALUE"""),"FARO, REFRANTA")</f>
        <v>FARO, REFRANTA</v>
      </c>
      <c r="C2634" s="1" t="str">
        <f>IFERROR(__xludf.DUMMYFUNCTION("""COMPUTED_VALUE"""),"FLA")</f>
        <v>FLA</v>
      </c>
      <c r="D2634" s="1" t="str">
        <f>IFERROR(__xludf.DUMMYFUNCTION("""COMPUTED_VALUE"""),"JERIC NAVARRO")</f>
        <v>JERIC NAVARRO</v>
      </c>
      <c r="E2634" s="1" t="str">
        <f>IFERROR(__xludf.DUMMYFUNCTION("""COMPUTED_VALUE"""),"PLDT / H2H")</f>
        <v>PLDT / H2H</v>
      </c>
      <c r="F2634" s="1">
        <f>IFERROR(__xludf.DUMMYFUNCTION("""COMPUTED_VALUE"""),2311478789)</f>
        <v>2311478789</v>
      </c>
      <c r="G2634" s="1">
        <f>IFERROR(__xludf.DUMMYFUNCTION("""COMPUTED_VALUE"""),465043568004)</f>
        <v>465043568004</v>
      </c>
      <c r="H2634" s="1" t="str">
        <f>IFERROR(__xludf.DUMMYFUNCTION("""COMPUTED_VALUE"""),"CLARISSE IDABAB TAGLAY")</f>
        <v>CLARISSE IDABAB TAGLAY</v>
      </c>
      <c r="I2634" s="1">
        <f>IFERROR(__xludf.DUMMYFUNCTION("""COMPUTED_VALUE"""),9606821883)</f>
        <v>9606821883</v>
      </c>
      <c r="J2634" s="1"/>
      <c r="K2634" s="1" t="str">
        <f>IFERROR(__xludf.DUMMYFUNCTION("""COMPUTED_VALUE"""),"taglayclang1016@gmail.com")</f>
        <v>taglayclang1016@gmail.com</v>
      </c>
      <c r="L2634" s="1" t="str">
        <f>IFERROR(__xludf.DUMMYFUNCTION("""COMPUTED_VALUE"""),"BLK 35 LOT 1")</f>
        <v>BLK 35 LOT 1</v>
      </c>
      <c r="M2634" s="1" t="str">
        <f>IFERROR(__xludf.DUMMYFUNCTION("""COMPUTED_VALUE"""),"POBLACION RD")</f>
        <v>POBLACION RD</v>
      </c>
      <c r="N2634" s="1"/>
      <c r="O2634" s="1" t="str">
        <f>IFERROR(__xludf.DUMMYFUNCTION("""COMPUTED_VALUE"""),"POBLACION III")</f>
        <v>POBLACION III</v>
      </c>
      <c r="P2634" s="1" t="str">
        <f>IFERROR(__xludf.DUMMYFUNCTION("""COMPUTED_VALUE"""),"GEN MARIANO ALVAREZ")</f>
        <v>GEN MARIANO ALVAREZ</v>
      </c>
      <c r="Q2634" s="1" t="str">
        <f>IFERROR(__xludf.DUMMYFUNCTION("""COMPUTED_VALUE"""),"CAVITE")</f>
        <v>CAVITE</v>
      </c>
      <c r="R2634" s="1" t="str">
        <f>IFERROR(__xludf.DUMMYFUNCTION("""COMPUTED_VALUE"""),"FIBR UNLI ALL PLAN 1499")</f>
        <v>FIBR UNLI ALL PLAN 1499</v>
      </c>
      <c r="S2634" s="1" t="str">
        <f>IFERROR(__xludf.DUMMYFUNCTION("""COMPUTED_VALUE"""),"APPROVED")</f>
        <v>APPROVED</v>
      </c>
      <c r="T2634" s="1" t="str">
        <f>IFERROR(__xludf.DUMMYFUNCTION("""COMPUTED_VALUE"""),"CLOSED")</f>
        <v>CLOSED</v>
      </c>
      <c r="U2634" s="1" t="str">
        <f>IFERROR(__xludf.DUMMYFUNCTION("""COMPUTED_VALUE"""),"POSTED")</f>
        <v>POSTED</v>
      </c>
      <c r="V2634" s="1"/>
      <c r="W2634" s="1"/>
    </row>
    <row r="2635" customHeight="1" spans="1:23">
      <c r="A2635" s="3">
        <f>IFERROR(__xludf.DUMMYFUNCTION("""COMPUTED_VALUE"""),46237)</f>
        <v>46237</v>
      </c>
      <c r="B2635" s="1" t="str">
        <f>IFERROR(__xludf.DUMMYFUNCTION("""COMPUTED_VALUE"""),"MALIWAT MARK ELVIN")</f>
        <v>MALIWAT MARK ELVIN</v>
      </c>
      <c r="C2635" s="1" t="str">
        <f>IFERROR(__xludf.DUMMYFUNCTION("""COMPUTED_VALUE"""),"FLA")</f>
        <v>FLA</v>
      </c>
      <c r="D2635" s="1" t="str">
        <f>IFERROR(__xludf.DUMMYFUNCTION("""COMPUTED_VALUE"""),"JERIC NAVARRO")</f>
        <v>JERIC NAVARRO</v>
      </c>
      <c r="E2635" s="1" t="str">
        <f>IFERROR(__xludf.DUMMYFUNCTION("""COMPUTED_VALUE"""),"PLDT / ONLINE")</f>
        <v>PLDT / ONLINE</v>
      </c>
      <c r="F2635" s="1">
        <f>IFERROR(__xludf.DUMMYFUNCTION("""COMPUTED_VALUE"""),2311480762)</f>
        <v>2311480762</v>
      </c>
      <c r="G2635" s="1">
        <f>IFERROR(__xludf.DUMMYFUNCTION("""COMPUTED_VALUE"""),465047650004)</f>
        <v>465047650004</v>
      </c>
      <c r="H2635" s="1" t="str">
        <f>IFERROR(__xludf.DUMMYFUNCTION("""COMPUTED_VALUE"""),"ALVIN COMEDIA TORRES")</f>
        <v>ALVIN COMEDIA TORRES</v>
      </c>
      <c r="I2635" s="1">
        <f>IFERROR(__xludf.DUMMYFUNCTION("""COMPUTED_VALUE"""),956560342)</f>
        <v>956560342</v>
      </c>
      <c r="J2635" s="1">
        <f>IFERROR(__xludf.DUMMYFUNCTION("""COMPUTED_VALUE"""),9704706985)</f>
        <v>9704706985</v>
      </c>
      <c r="K2635" s="1" t="str">
        <f>IFERROR(__xludf.DUMMYFUNCTION("""COMPUTED_VALUE"""),"alvintorrs@gmail.com")</f>
        <v>alvintorrs@gmail.com</v>
      </c>
      <c r="L2635" s="1" t="str">
        <f>IFERROR(__xludf.DUMMYFUNCTION("""COMPUTED_VALUE"""),"291")</f>
        <v>291</v>
      </c>
      <c r="M2635" s="1" t="str">
        <f>IFERROR(__xludf.DUMMYFUNCTION("""COMPUTED_VALUE"""),"AMBID")</f>
        <v>AMBID</v>
      </c>
      <c r="N2635" s="1"/>
      <c r="O2635" s="1" t="str">
        <f>IFERROR(__xludf.DUMMYFUNCTION("""COMPUTED_VALUE"""),"BILUSO")</f>
        <v>BILUSO</v>
      </c>
      <c r="P2635" s="1" t="str">
        <f>IFERROR(__xludf.DUMMYFUNCTION("""COMPUTED_VALUE"""),"SILANG")</f>
        <v>SILANG</v>
      </c>
      <c r="Q2635" s="1" t="str">
        <f>IFERROR(__xludf.DUMMYFUNCTION("""COMPUTED_VALUE"""),"CAVITE")</f>
        <v>CAVITE</v>
      </c>
      <c r="R2635" s="1" t="str">
        <f>IFERROR(__xludf.DUMMYFUNCTION("""COMPUTED_VALUE"""),"FIBR UNLI ALL PLAN 1499")</f>
        <v>FIBR UNLI ALL PLAN 1499</v>
      </c>
      <c r="S2635" s="1" t="str">
        <f>IFERROR(__xludf.DUMMYFUNCTION("""COMPUTED_VALUE"""),"APPROVED")</f>
        <v>APPROVED</v>
      </c>
      <c r="T2635" s="1" t="str">
        <f>IFERROR(__xludf.DUMMYFUNCTION("""COMPUTED_VALUE"""),"CLOSED")</f>
        <v>CLOSED</v>
      </c>
      <c r="U2635" s="1" t="str">
        <f>IFERROR(__xludf.DUMMYFUNCTION("""COMPUTED_VALUE"""),"POSTED")</f>
        <v>POSTED</v>
      </c>
      <c r="V2635" s="1"/>
      <c r="W2635" s="1"/>
    </row>
    <row r="2636" customHeight="1" spans="1:23">
      <c r="A2636" s="3">
        <f>IFERROR(__xludf.DUMMYFUNCTION("""COMPUTED_VALUE"""),46237)</f>
        <v>46237</v>
      </c>
      <c r="B2636" s="1" t="str">
        <f>IFERROR(__xludf.DUMMYFUNCTION("""COMPUTED_VALUE"""),"AYON MANUEL")</f>
        <v>AYON MANUEL</v>
      </c>
      <c r="C2636" s="1" t="str">
        <f>IFERROR(__xludf.DUMMYFUNCTION("""COMPUTED_VALUE"""),"FLA")</f>
        <v>FLA</v>
      </c>
      <c r="D2636" s="1" t="str">
        <f>IFERROR(__xludf.DUMMYFUNCTION("""COMPUTED_VALUE"""),"JERIC NAVARRO")</f>
        <v>JERIC NAVARRO</v>
      </c>
      <c r="E2636" s="1" t="str">
        <f>IFERROR(__xludf.DUMMYFUNCTION("""COMPUTED_VALUE"""),"PLDT / H2H")</f>
        <v>PLDT / H2H</v>
      </c>
      <c r="F2636" s="1">
        <f>IFERROR(__xludf.DUMMYFUNCTION("""COMPUTED_VALUE"""),2311484945)</f>
        <v>2311484945</v>
      </c>
      <c r="G2636" s="1">
        <f>IFERROR(__xludf.DUMMYFUNCTION("""COMPUTED_VALUE"""),465052884004)</f>
        <v>465052884004</v>
      </c>
      <c r="H2636" s="1" t="str">
        <f>IFERROR(__xludf.DUMMYFUNCTION("""COMPUTED_VALUE"""),"CARMONA ESTATES PHASE 11 HOA")</f>
        <v>CARMONA ESTATES PHASE 11 HOA</v>
      </c>
      <c r="I2636" s="1">
        <f>IFERROR(__xludf.DUMMYFUNCTION("""COMPUTED_VALUE"""),9126960877)</f>
        <v>9126960877</v>
      </c>
      <c r="J2636" s="1"/>
      <c r="K2636" s="1" t="str">
        <f>IFERROR(__xludf.DUMMYFUNCTION("""COMPUTED_VALUE"""),"cephase11hoa.2019@gmail.com")</f>
        <v>cephase11hoa.2019@gmail.com</v>
      </c>
      <c r="L2636" s="1" t="str">
        <f>IFERROR(__xludf.DUMMYFUNCTION("""COMPUTED_VALUE"""),"BLK 1")</f>
        <v>BLK 1</v>
      </c>
      <c r="M2636" s="1" t="str">
        <f>IFERROR(__xludf.DUMMYFUNCTION("""COMPUTED_VALUE"""),"PHASE 11")</f>
        <v>PHASE 11</v>
      </c>
      <c r="N2636" s="1" t="str">
        <f>IFERROR(__xludf.DUMMYFUNCTION("""COMPUTED_VALUE"""),"CARMONA ESTATE")</f>
        <v>CARMONA ESTATE</v>
      </c>
      <c r="O2636" s="1" t="str">
        <f>IFERROR(__xludf.DUMMYFUNCTION("""COMPUTED_VALUE"""),"LANTIC")</f>
        <v>LANTIC</v>
      </c>
      <c r="P2636" s="1" t="str">
        <f>IFERROR(__xludf.DUMMYFUNCTION("""COMPUTED_VALUE"""),"CARMONA")</f>
        <v>CARMONA</v>
      </c>
      <c r="Q2636" s="1" t="str">
        <f>IFERROR(__xludf.DUMMYFUNCTION("""COMPUTED_VALUE"""),"CAVITE")</f>
        <v>CAVITE</v>
      </c>
      <c r="R2636" s="1" t="str">
        <f>IFERROR(__xludf.DUMMYFUNCTION("""COMPUTED_VALUE"""),"HOME BIZ PLAN 1699")</f>
        <v>HOME BIZ PLAN 1699</v>
      </c>
      <c r="S2636" s="1" t="str">
        <f>IFERROR(__xludf.DUMMYFUNCTION("""COMPUTED_VALUE"""),"APPROVED")</f>
        <v>APPROVED</v>
      </c>
      <c r="T2636" s="1" t="str">
        <f>IFERROR(__xludf.DUMMYFUNCTION("""COMPUTED_VALUE"""),"CLOSED")</f>
        <v>CLOSED</v>
      </c>
      <c r="U2636" s="1" t="str">
        <f>IFERROR(__xludf.DUMMYFUNCTION("""COMPUTED_VALUE"""),"POSTED")</f>
        <v>POSTED</v>
      </c>
      <c r="V2636" s="1"/>
      <c r="W2636" s="1"/>
    </row>
    <row r="2637" customHeight="1" spans="1:23">
      <c r="A2637" s="3">
        <f>IFERROR(__xludf.DUMMYFUNCTION("""COMPUTED_VALUE"""),46237)</f>
        <v>46237</v>
      </c>
      <c r="B2637" s="1" t="str">
        <f>IFERROR(__xludf.DUMMYFUNCTION("""COMPUTED_VALUE"""),"BAQUIT ,JAZMIN")</f>
        <v>BAQUIT ,JAZMIN</v>
      </c>
      <c r="C2637" s="1" t="str">
        <f>IFERROR(__xludf.DUMMYFUNCTION("""COMPUTED_VALUE"""),"ORGANIC")</f>
        <v>ORGANIC</v>
      </c>
      <c r="D2637" s="1" t="str">
        <f>IFERROR(__xludf.DUMMYFUNCTION("""COMPUTED_VALUE"""),"REMOLLO LEA")</f>
        <v>REMOLLO LEA</v>
      </c>
      <c r="E2637" s="1" t="str">
        <f>IFERROR(__xludf.DUMMYFUNCTION("""COMPUTED_VALUE"""),"PLDT / H2H")</f>
        <v>PLDT / H2H</v>
      </c>
      <c r="F2637" s="1">
        <f>IFERROR(__xludf.DUMMYFUNCTION("""COMPUTED_VALUE"""),2311485871)</f>
        <v>2311485871</v>
      </c>
      <c r="G2637" s="1"/>
      <c r="H2637" s="1" t="str">
        <f>IFERROR(__xludf.DUMMYFUNCTION("""COMPUTED_VALUE"""),"ALFREDO PENALBA CUBIO JR")</f>
        <v>ALFREDO PENALBA CUBIO JR</v>
      </c>
      <c r="I2637" s="1">
        <f>IFERROR(__xludf.DUMMYFUNCTION("""COMPUTED_VALUE"""),9668822552)</f>
        <v>9668822552</v>
      </c>
      <c r="J2637" s="1"/>
      <c r="K2637" s="1" t="str">
        <f>IFERROR(__xludf.DUMMYFUNCTION("""COMPUTED_VALUE"""),"jackcubio05@yahoo.com")</f>
        <v>jackcubio05@yahoo.com</v>
      </c>
      <c r="L2637" s="1" t="str">
        <f>IFERROR(__xludf.DUMMYFUNCTION("""COMPUTED_VALUE"""),"37a")</f>
        <v>37a</v>
      </c>
      <c r="M2637" s="1" t="str">
        <f>IFERROR(__xludf.DUMMYFUNCTION("""COMPUTED_VALUE"""),"PANUNGYAN RD")</f>
        <v>PANUNGYAN RD</v>
      </c>
      <c r="N2637" s="1"/>
      <c r="O2637" s="1" t="str">
        <f>IFERROR(__xludf.DUMMYFUNCTION("""COMPUTED_VALUE"""),"PANUNGYAN II")</f>
        <v>PANUNGYAN II</v>
      </c>
      <c r="P2637" s="1" t="str">
        <f>IFERROR(__xludf.DUMMYFUNCTION("""COMPUTED_VALUE"""),"MENDEZ")</f>
        <v>MENDEZ</v>
      </c>
      <c r="Q2637" s="1" t="str">
        <f>IFERROR(__xludf.DUMMYFUNCTION("""COMPUTED_VALUE"""),"CAVITE")</f>
        <v>CAVITE</v>
      </c>
      <c r="R2637" s="1" t="str">
        <f>IFERROR(__xludf.DUMMYFUNCTION("""COMPUTED_VALUE"""),"FIBR PLAN 1299")</f>
        <v>FIBR PLAN 1299</v>
      </c>
      <c r="S2637" s="1" t="str">
        <f>IFERROR(__xludf.DUMMYFUNCTION("""COMPUTED_VALUE"""),"APPROVED")</f>
        <v>APPROVED</v>
      </c>
      <c r="T2637" s="1" t="str">
        <f>IFERROR(__xludf.DUMMYFUNCTION("""COMPUTED_VALUE"""),"CANCELLED")</f>
        <v>CANCELLED</v>
      </c>
      <c r="U2637" s="1"/>
      <c r="V2637" s="1"/>
      <c r="W2637" s="1"/>
    </row>
    <row r="2638" customHeight="1" spans="1:23">
      <c r="A2638" s="3">
        <f>IFERROR(__xludf.DUMMYFUNCTION("""COMPUTED_VALUE"""),46237)</f>
        <v>46237</v>
      </c>
      <c r="B2638" s="1" t="str">
        <f>IFERROR(__xludf.DUMMYFUNCTION("""COMPUTED_VALUE"""),"FRANCISCO , ROSELYN")</f>
        <v>FRANCISCO , ROSELYN</v>
      </c>
      <c r="C2638" s="1" t="str">
        <f>IFERROR(__xludf.DUMMYFUNCTION("""COMPUTED_VALUE"""),"ORGANIC")</f>
        <v>ORGANIC</v>
      </c>
      <c r="D2638" s="1" t="str">
        <f>IFERROR(__xludf.DUMMYFUNCTION("""COMPUTED_VALUE"""),"REMOLLO LEA")</f>
        <v>REMOLLO LEA</v>
      </c>
      <c r="E2638" s="1" t="str">
        <f>IFERROR(__xludf.DUMMYFUNCTION("""COMPUTED_VALUE"""),"PLDT / H2H")</f>
        <v>PLDT / H2H</v>
      </c>
      <c r="F2638" s="1">
        <f>IFERROR(__xludf.DUMMYFUNCTION("""COMPUTED_VALUE"""),2311488353)</f>
        <v>2311488353</v>
      </c>
      <c r="G2638" s="1">
        <f>IFERROR(__xludf.DUMMYFUNCTION("""COMPUTED_VALUE"""),465278102004)</f>
        <v>465278102004</v>
      </c>
      <c r="H2638" s="1" t="str">
        <f>IFERROR(__xludf.DUMMYFUNCTION("""COMPUTED_VALUE"""),"JERRICK ORCAJADA DE CASTRO")</f>
        <v>JERRICK ORCAJADA DE CASTRO</v>
      </c>
      <c r="I2638" s="1">
        <f>IFERROR(__xludf.DUMMYFUNCTION("""COMPUTED_VALUE"""),9245437646)</f>
        <v>9245437646</v>
      </c>
      <c r="J2638" s="1">
        <f>IFERROR(__xludf.DUMMYFUNCTION("""COMPUTED_VALUE"""),9770071251)</f>
        <v>9770071251</v>
      </c>
      <c r="K2638" s="1" t="str">
        <f>IFERROR(__xludf.DUMMYFUNCTION("""COMPUTED_VALUE"""),"descastroali@gmail.com")</f>
        <v>descastroali@gmail.com</v>
      </c>
      <c r="L2638" s="1" t="str">
        <f>IFERROR(__xludf.DUMMYFUNCTION("""COMPUTED_VALUE"""),"199")</f>
        <v>199</v>
      </c>
      <c r="M2638" s="1" t="str">
        <f>IFERROR(__xludf.DUMMYFUNCTION("""COMPUTED_VALUE"""),"GALICIA RD")</f>
        <v>GALICIA RD</v>
      </c>
      <c r="N2638" s="1"/>
      <c r="O2638" s="1" t="str">
        <f>IFERROR(__xludf.DUMMYFUNCTION("""COMPUTED_VALUE"""),"GALICIA III")</f>
        <v>GALICIA III</v>
      </c>
      <c r="P2638" s="1" t="str">
        <f>IFERROR(__xludf.DUMMYFUNCTION("""COMPUTED_VALUE"""),"MENDEZ")</f>
        <v>MENDEZ</v>
      </c>
      <c r="Q2638" s="1" t="str">
        <f>IFERROR(__xludf.DUMMYFUNCTION("""COMPUTED_VALUE"""),"CAVITE")</f>
        <v>CAVITE</v>
      </c>
      <c r="R2638" s="1" t="str">
        <f>IFERROR(__xludf.DUMMYFUNCTION("""COMPUTED_VALUE"""),"FIBR NETFLIX PLAN 1599")</f>
        <v>FIBR NETFLIX PLAN 1599</v>
      </c>
      <c r="S2638" s="1" t="str">
        <f>IFERROR(__xludf.DUMMYFUNCTION("""COMPUTED_VALUE"""),"APPROVED")</f>
        <v>APPROVED</v>
      </c>
      <c r="T2638" s="1" t="str">
        <f>IFERROR(__xludf.DUMMYFUNCTION("""COMPUTED_VALUE"""),"CANCELLED")</f>
        <v>CANCELLED</v>
      </c>
      <c r="U2638" s="1" t="str">
        <f>IFERROR(__xludf.DUMMYFUNCTION("""COMPUTED_VALUE"""),"PAID IN CSP")</f>
        <v>PAID IN CSP</v>
      </c>
      <c r="V2638" s="1"/>
      <c r="W2638" s="1"/>
    </row>
    <row r="2639" customHeight="1" spans="1:23">
      <c r="A2639" s="3">
        <f>IFERROR(__xludf.DUMMYFUNCTION("""COMPUTED_VALUE"""),46237)</f>
        <v>46237</v>
      </c>
      <c r="B2639" s="1" t="str">
        <f>IFERROR(__xludf.DUMMYFUNCTION("""COMPUTED_VALUE"""),"FRANCISCO , ROSELYN")</f>
        <v>FRANCISCO , ROSELYN</v>
      </c>
      <c r="C2639" s="1" t="str">
        <f>IFERROR(__xludf.DUMMYFUNCTION("""COMPUTED_VALUE"""),"ORGANIC")</f>
        <v>ORGANIC</v>
      </c>
      <c r="D2639" s="1" t="str">
        <f>IFERROR(__xludf.DUMMYFUNCTION("""COMPUTED_VALUE"""),"REMOLLO LEA")</f>
        <v>REMOLLO LEA</v>
      </c>
      <c r="E2639" s="1" t="str">
        <f>IFERROR(__xludf.DUMMYFUNCTION("""COMPUTED_VALUE"""),"PLDT / H2H")</f>
        <v>PLDT / H2H</v>
      </c>
      <c r="F2639" s="1">
        <f>IFERROR(__xludf.DUMMYFUNCTION("""COMPUTED_VALUE"""),2311489473)</f>
        <v>2311489473</v>
      </c>
      <c r="G2639" s="1">
        <f>IFERROR(__xludf.DUMMYFUNCTION("""COMPUTED_VALUE"""),465058445004)</f>
        <v>465058445004</v>
      </c>
      <c r="H2639" s="1" t="str">
        <f>IFERROR(__xludf.DUMMYFUNCTION("""COMPUTED_VALUE"""),"SARAH ACEDO ESTACIO")</f>
        <v>SARAH ACEDO ESTACIO</v>
      </c>
      <c r="I2639" s="1">
        <f>IFERROR(__xludf.DUMMYFUNCTION("""COMPUTED_VALUE"""),9913516740)</f>
        <v>9913516740</v>
      </c>
      <c r="J2639" s="1"/>
      <c r="K2639" s="1" t="str">
        <f>IFERROR(__xludf.DUMMYFUNCTION("""COMPUTED_VALUE"""),"eyzs@yahoo.com")</f>
        <v>eyzs@yahoo.com</v>
      </c>
      <c r="L2639" s="1" t="str">
        <f>IFERROR(__xludf.DUMMYFUNCTION("""COMPUTED_VALUE"""),"640")</f>
        <v>640</v>
      </c>
      <c r="M2639" s="1" t="str">
        <f>IFERROR(__xludf.DUMMYFUNCTION("""COMPUTED_VALUE"""),"PUROK 136")</f>
        <v>PUROK 136</v>
      </c>
      <c r="N2639" s="1"/>
      <c r="O2639" s="1" t="str">
        <f>IFERROR(__xludf.DUMMYFUNCTION("""COMPUTED_VALUE"""),"NEOGAN")</f>
        <v>NEOGAN</v>
      </c>
      <c r="P2639" s="1" t="str">
        <f>IFERROR(__xludf.DUMMYFUNCTION("""COMPUTED_VALUE"""),"TAGAYTAY")</f>
        <v>TAGAYTAY</v>
      </c>
      <c r="Q2639" s="1" t="str">
        <f>IFERROR(__xludf.DUMMYFUNCTION("""COMPUTED_VALUE"""),"CAVITE")</f>
        <v>CAVITE</v>
      </c>
      <c r="R2639" s="1" t="str">
        <f>IFERROR(__xludf.DUMMYFUNCTION("""COMPUTED_VALUE"""),"FIBR NETFLIX PLAN 1599")</f>
        <v>FIBR NETFLIX PLAN 1599</v>
      </c>
      <c r="S2639" s="1" t="str">
        <f>IFERROR(__xludf.DUMMYFUNCTION("""COMPUTED_VALUE"""),"APPROVED")</f>
        <v>APPROVED</v>
      </c>
      <c r="T2639" s="1" t="str">
        <f>IFERROR(__xludf.DUMMYFUNCTION("""COMPUTED_VALUE"""),"CLOSED")</f>
        <v>CLOSED</v>
      </c>
      <c r="U2639" s="1" t="str">
        <f>IFERROR(__xludf.DUMMYFUNCTION("""COMPUTED_VALUE"""),"POSTED")</f>
        <v>POSTED</v>
      </c>
      <c r="V2639" s="1"/>
      <c r="W2639" s="1"/>
    </row>
    <row r="2640" customHeight="1" spans="1:23">
      <c r="A2640" s="3">
        <f>IFERROR(__xludf.DUMMYFUNCTION("""COMPUTED_VALUE"""),46237)</f>
        <v>46237</v>
      </c>
      <c r="B2640" s="1" t="str">
        <f>IFERROR(__xludf.DUMMYFUNCTION("""COMPUTED_VALUE"""),"FRANCISCO , ROSELYN")</f>
        <v>FRANCISCO , ROSELYN</v>
      </c>
      <c r="C2640" s="1" t="str">
        <f>IFERROR(__xludf.DUMMYFUNCTION("""COMPUTED_VALUE"""),"ORGANIC")</f>
        <v>ORGANIC</v>
      </c>
      <c r="D2640" s="1" t="str">
        <f>IFERROR(__xludf.DUMMYFUNCTION("""COMPUTED_VALUE"""),"REMOLLO LEA")</f>
        <v>REMOLLO LEA</v>
      </c>
      <c r="E2640" s="1" t="str">
        <f>IFERROR(__xludf.DUMMYFUNCTION("""COMPUTED_VALUE"""),"PLDT / ONLINE")</f>
        <v>PLDT / ONLINE</v>
      </c>
      <c r="F2640" s="1">
        <f>IFERROR(__xludf.DUMMYFUNCTION("""COMPUTED_VALUE"""),2311490317)</f>
        <v>2311490317</v>
      </c>
      <c r="G2640" s="1">
        <f>IFERROR(__xludf.DUMMYFUNCTION("""COMPUTED_VALUE"""),465065332004)</f>
        <v>465065332004</v>
      </c>
      <c r="H2640" s="1" t="str">
        <f>IFERROR(__xludf.DUMMYFUNCTION("""COMPUTED_VALUE"""),"MARK JOSEPH CROOC GONZALES")</f>
        <v>MARK JOSEPH CROOC GONZALES</v>
      </c>
      <c r="I2640" s="1">
        <f>IFERROR(__xludf.DUMMYFUNCTION("""COMPUTED_VALUE"""),9122119486)</f>
        <v>9122119486</v>
      </c>
      <c r="J2640" s="1">
        <f>IFERROR(__xludf.DUMMYFUNCTION("""COMPUTED_VALUE"""),9094436550)</f>
        <v>9094436550</v>
      </c>
      <c r="K2640" s="1" t="str">
        <f>IFERROR(__xludf.DUMMYFUNCTION("""COMPUTED_VALUE"""),"gonzalesmerlita301964@gmail.com")</f>
        <v>gonzalesmerlita301964@gmail.com</v>
      </c>
      <c r="L2640" s="1" t="str">
        <f>IFERROR(__xludf.DUMMYFUNCTION("""COMPUTED_VALUE"""),"358")</f>
        <v>358</v>
      </c>
      <c r="M2640" s="1" t="str">
        <f>IFERROR(__xludf.DUMMYFUNCTION("""COMPUTED_VALUE"""),"PUROK 6")</f>
        <v>PUROK 6</v>
      </c>
      <c r="N2640" s="1"/>
      <c r="O2640" s="1" t="str">
        <f>IFERROR(__xludf.DUMMYFUNCTION("""COMPUTED_VALUE"""),"ALULOD")</f>
        <v>ALULOD</v>
      </c>
      <c r="P2640" s="1" t="str">
        <f>IFERROR(__xludf.DUMMYFUNCTION("""COMPUTED_VALUE"""),"INDANG")</f>
        <v>INDANG</v>
      </c>
      <c r="Q2640" s="1" t="str">
        <f>IFERROR(__xludf.DUMMYFUNCTION("""COMPUTED_VALUE"""),"CAVITE")</f>
        <v>CAVITE</v>
      </c>
      <c r="R2640" s="1" t="str">
        <f>IFERROR(__xludf.DUMMYFUNCTION("""COMPUTED_VALUE"""),"FIBR NETFLIX PLAN 1599")</f>
        <v>FIBR NETFLIX PLAN 1599</v>
      </c>
      <c r="S2640" s="1" t="str">
        <f>IFERROR(__xludf.DUMMYFUNCTION("""COMPUTED_VALUE"""),"APPROVED")</f>
        <v>APPROVED</v>
      </c>
      <c r="T2640" s="1" t="str">
        <f>IFERROR(__xludf.DUMMYFUNCTION("""COMPUTED_VALUE"""),"CLOSED")</f>
        <v>CLOSED</v>
      </c>
      <c r="U2640" s="1" t="str">
        <f>IFERROR(__xludf.DUMMYFUNCTION("""COMPUTED_VALUE"""),"POSTED")</f>
        <v>POSTED</v>
      </c>
      <c r="V2640" s="1"/>
      <c r="W2640" s="1"/>
    </row>
    <row r="2641" customHeight="1" spans="1:23">
      <c r="A2641" s="3">
        <f>IFERROR(__xludf.DUMMYFUNCTION("""COMPUTED_VALUE"""),46237)</f>
        <v>46237</v>
      </c>
      <c r="B2641" s="1" t="str">
        <f>IFERROR(__xludf.DUMMYFUNCTION("""COMPUTED_VALUE"""),"ESCARCHA, MA ALMA  ESCOTO")</f>
        <v>ESCARCHA, MA ALMA  ESCOTO</v>
      </c>
      <c r="C2641" s="1" t="str">
        <f>IFERROR(__xludf.DUMMYFUNCTION("""COMPUTED_VALUE"""),"ORGANIC")</f>
        <v>ORGANIC</v>
      </c>
      <c r="D2641" s="1" t="str">
        <f>IFERROR(__xludf.DUMMYFUNCTION("""COMPUTED_VALUE"""),"REMOLLO LEA")</f>
        <v>REMOLLO LEA</v>
      </c>
      <c r="E2641" s="1" t="str">
        <f>IFERROR(__xludf.DUMMYFUNCTION("""COMPUTED_VALUE"""),"PLDT / H2H")</f>
        <v>PLDT / H2H</v>
      </c>
      <c r="F2641" s="1">
        <f>IFERROR(__xludf.DUMMYFUNCTION("""COMPUTED_VALUE"""),2311491214)</f>
        <v>2311491214</v>
      </c>
      <c r="G2641" s="1">
        <f>IFERROR(__xludf.DUMMYFUNCTION("""COMPUTED_VALUE"""),465065187004)</f>
        <v>465065187004</v>
      </c>
      <c r="H2641" s="1" t="str">
        <f>IFERROR(__xludf.DUMMYFUNCTION("""COMPUTED_VALUE"""),"FERDINAND SOLANO DULAY")</f>
        <v>FERDINAND SOLANO DULAY</v>
      </c>
      <c r="I2641" s="1">
        <f>IFERROR(__xludf.DUMMYFUNCTION("""COMPUTED_VALUE"""),9950026554)</f>
        <v>9950026554</v>
      </c>
      <c r="J2641" s="1"/>
      <c r="K2641" s="1" t="str">
        <f>IFERROR(__xludf.DUMMYFUNCTION("""COMPUTED_VALUE"""),"yellowtag1314@gmail.com")</f>
        <v>yellowtag1314@gmail.com</v>
      </c>
      <c r="L2641" s="1" t="str">
        <f>IFERROR(__xludf.DUMMYFUNCTION("""COMPUTED_VALUE"""),"BLK 11A LOT 14")</f>
        <v>BLK 11A LOT 14</v>
      </c>
      <c r="M2641" s="1" t="str">
        <f>IFERROR(__xludf.DUMMYFUNCTION("""COMPUTED_VALUE"""),"JAMAICA ST")</f>
        <v>JAMAICA ST</v>
      </c>
      <c r="N2641" s="1" t="str">
        <f>IFERROR(__xludf.DUMMYFUNCTION("""COMPUTED_VALUE"""),"CASA MONTEVERDE")</f>
        <v>CASA MONTEVERDE</v>
      </c>
      <c r="O2641" s="1" t="str">
        <f>IFERROR(__xludf.DUMMYFUNCTION("""COMPUTED_VALUE"""),"FRANCISCO DE CASTRO (SUNSHINE VILL.)")</f>
        <v>FRANCISCO DE CASTRO (SUNSHINE VILL.)</v>
      </c>
      <c r="P2641" s="1" t="str">
        <f>IFERROR(__xludf.DUMMYFUNCTION("""COMPUTED_VALUE"""),"GEN MARIANO ALVAREZ")</f>
        <v>GEN MARIANO ALVAREZ</v>
      </c>
      <c r="Q2641" s="1" t="str">
        <f>IFERROR(__xludf.DUMMYFUNCTION("""COMPUTED_VALUE"""),"CAVITE")</f>
        <v>CAVITE</v>
      </c>
      <c r="R2641" s="1" t="str">
        <f>IFERROR(__xludf.DUMMYFUNCTION("""COMPUTED_VALUE"""),"FIBR PLAN 1299")</f>
        <v>FIBR PLAN 1299</v>
      </c>
      <c r="S2641" s="1" t="str">
        <f>IFERROR(__xludf.DUMMYFUNCTION("""COMPUTED_VALUE"""),"APPROVED")</f>
        <v>APPROVED</v>
      </c>
      <c r="T2641" s="1" t="str">
        <f>IFERROR(__xludf.DUMMYFUNCTION("""COMPUTED_VALUE"""),"CLOSED")</f>
        <v>CLOSED</v>
      </c>
      <c r="U2641" s="1" t="str">
        <f>IFERROR(__xludf.DUMMYFUNCTION("""COMPUTED_VALUE"""),"POSTED")</f>
        <v>POSTED</v>
      </c>
      <c r="V2641" s="1"/>
      <c r="W2641" s="1"/>
    </row>
    <row r="2642" customHeight="1" spans="1:23">
      <c r="A2642" s="3">
        <f>IFERROR(__xludf.DUMMYFUNCTION("""COMPUTED_VALUE"""),46237)</f>
        <v>46237</v>
      </c>
      <c r="B2642" s="1" t="str">
        <f>IFERROR(__xludf.DUMMYFUNCTION("""COMPUTED_VALUE"""),"GABAY, MANUEL")</f>
        <v>GABAY, MANUEL</v>
      </c>
      <c r="C2642" s="1" t="str">
        <f>IFERROR(__xludf.DUMMYFUNCTION("""COMPUTED_VALUE"""),"FLA")</f>
        <v>FLA</v>
      </c>
      <c r="D2642" s="1" t="str">
        <f>IFERROR(__xludf.DUMMYFUNCTION("""COMPUTED_VALUE"""),"JERIC NAVARRO")</f>
        <v>JERIC NAVARRO</v>
      </c>
      <c r="E2642" s="1" t="str">
        <f>IFERROR(__xludf.DUMMYFUNCTION("""COMPUTED_VALUE"""),"PLDT / ONLINE")</f>
        <v>PLDT / ONLINE</v>
      </c>
      <c r="F2642" s="1">
        <f>IFERROR(__xludf.DUMMYFUNCTION("""COMPUTED_VALUE"""),2311493628)</f>
        <v>2311493628</v>
      </c>
      <c r="G2642" s="1">
        <f>IFERROR(__xludf.DUMMYFUNCTION("""COMPUTED_VALUE"""),465079732004)</f>
        <v>465079732004</v>
      </c>
      <c r="H2642" s="1" t="str">
        <f>IFERROR(__xludf.DUMMYFUNCTION("""COMPUTED_VALUE"""),"JACKIELYN MOLINA SALTING")</f>
        <v>JACKIELYN MOLINA SALTING</v>
      </c>
      <c r="I2642" s="1">
        <f>IFERROR(__xludf.DUMMYFUNCTION("""COMPUTED_VALUE"""),9454507457)</f>
        <v>9454507457</v>
      </c>
      <c r="J2642" s="1">
        <f>IFERROR(__xludf.DUMMYFUNCTION("""COMPUTED_VALUE"""),9115320636)</f>
        <v>9115320636</v>
      </c>
      <c r="K2642" s="1" t="str">
        <f>IFERROR(__xludf.DUMMYFUNCTION("""COMPUTED_VALUE"""),"saltingjackielyn01@gmail.com")</f>
        <v>saltingjackielyn01@gmail.com</v>
      </c>
      <c r="L2642" s="1" t="str">
        <f>IFERROR(__xludf.DUMMYFUNCTION("""COMPUTED_VALUE"""),"BLK 23B LOT 15")</f>
        <v>BLK 23B LOT 15</v>
      </c>
      <c r="M2642" s="1" t="str">
        <f>IFERROR(__xludf.DUMMYFUNCTION("""COMPUTED_VALUE"""),"ANAHAW")</f>
        <v>ANAHAW</v>
      </c>
      <c r="N2642" s="1"/>
      <c r="O2642" s="1" t="str">
        <f>IFERROR(__xludf.DUMMYFUNCTION("""COMPUTED_VALUE"""),"ANAHAW I")</f>
        <v>ANAHAW I</v>
      </c>
      <c r="P2642" s="1" t="str">
        <f>IFERROR(__xludf.DUMMYFUNCTION("""COMPUTED_VALUE"""),"SILANG")</f>
        <v>SILANG</v>
      </c>
      <c r="Q2642" s="1" t="str">
        <f>IFERROR(__xludf.DUMMYFUNCTION("""COMPUTED_VALUE"""),"CAVITE")</f>
        <v>CAVITE</v>
      </c>
      <c r="R2642" s="1" t="str">
        <f>IFERROR(__xludf.DUMMYFUNCTION("""COMPUTED_VALUE"""),"FIBR PLAN 1299")</f>
        <v>FIBR PLAN 1299</v>
      </c>
      <c r="S2642" s="1" t="str">
        <f>IFERROR(__xludf.DUMMYFUNCTION("""COMPUTED_VALUE"""),"APPROVED")</f>
        <v>APPROVED</v>
      </c>
      <c r="T2642" s="1" t="str">
        <f>IFERROR(__xludf.DUMMYFUNCTION("""COMPUTED_VALUE"""),"CLOSED")</f>
        <v>CLOSED</v>
      </c>
      <c r="U2642" s="1" t="str">
        <f>IFERROR(__xludf.DUMMYFUNCTION("""COMPUTED_VALUE"""),"POSTED")</f>
        <v>POSTED</v>
      </c>
      <c r="V2642" s="1"/>
      <c r="W2642" s="1"/>
    </row>
    <row r="2643" customHeight="1" spans="1:23">
      <c r="A2643" s="3">
        <f>IFERROR(__xludf.DUMMYFUNCTION("""COMPUTED_VALUE"""),46238)</f>
        <v>46238</v>
      </c>
      <c r="B2643" s="1" t="str">
        <f>IFERROR(__xludf.DUMMYFUNCTION("""COMPUTED_VALUE"""),"IVNO, RAZZEL")</f>
        <v>IVNO, RAZZEL</v>
      </c>
      <c r="C2643" s="1" t="str">
        <f>IFERROR(__xludf.DUMMYFUNCTION("""COMPUTED_VALUE"""),"ORGANIC")</f>
        <v>ORGANIC</v>
      </c>
      <c r="D2643" s="1" t="str">
        <f>IFERROR(__xludf.DUMMYFUNCTION("""COMPUTED_VALUE"""),"REMOLLO LEA")</f>
        <v>REMOLLO LEA</v>
      </c>
      <c r="E2643" s="1" t="str">
        <f>IFERROR(__xludf.DUMMYFUNCTION("""COMPUTED_VALUE"""),"PLDT / H2H")</f>
        <v>PLDT / H2H</v>
      </c>
      <c r="F2643" s="1">
        <f>IFERROR(__xludf.DUMMYFUNCTION("""COMPUTED_VALUE"""),2311594870)</f>
        <v>2311594870</v>
      </c>
      <c r="G2643" s="1">
        <f>IFERROR(__xludf.DUMMYFUNCTION("""COMPUTED_VALUE"""),465511125004)</f>
        <v>465511125004</v>
      </c>
      <c r="H2643" s="1" t="str">
        <f>IFERROR(__xludf.DUMMYFUNCTION("""COMPUTED_VALUE"""),"ALBERT LIMOSNERO ROMERO")</f>
        <v>ALBERT LIMOSNERO ROMERO</v>
      </c>
      <c r="I2643" s="1">
        <f>IFERROR(__xludf.DUMMYFUNCTION("""COMPUTED_VALUE"""),9567016865)</f>
        <v>9567016865</v>
      </c>
      <c r="J2643" s="1"/>
      <c r="K2643" s="1" t="str">
        <f>IFERROR(__xludf.DUMMYFUNCTION("""COMPUTED_VALUE"""),"bert1261f@gmail.com")</f>
        <v>bert1261f@gmail.com</v>
      </c>
      <c r="L2643" s="1" t="str">
        <f>IFERROR(__xludf.DUMMYFUNCTION("""COMPUTED_VALUE"""),"BLK 6A")</f>
        <v>BLK 6A</v>
      </c>
      <c r="M2643" s="1" t="str">
        <f>IFERROR(__xludf.DUMMYFUNCTION("""COMPUTED_VALUE"""),"LIVELIHOOD")</f>
        <v>LIVELIHOOD</v>
      </c>
      <c r="N2643" s="1"/>
      <c r="O2643" s="1" t="str">
        <f>IFERROR(__xludf.DUMMYFUNCTION("""COMPUTED_VALUE"""),"SAN GABRIEL (AREA K)")</f>
        <v>SAN GABRIEL (AREA K)</v>
      </c>
      <c r="P2643" s="1" t="str">
        <f>IFERROR(__xludf.DUMMYFUNCTION("""COMPUTED_VALUE"""),"GEN MARIANO ALVAREZ")</f>
        <v>GEN MARIANO ALVAREZ</v>
      </c>
      <c r="Q2643" s="1" t="str">
        <f>IFERROR(__xludf.DUMMYFUNCTION("""COMPUTED_VALUE"""),"CAVITE")</f>
        <v>CAVITE</v>
      </c>
      <c r="R2643" s="1" t="str">
        <f>IFERROR(__xludf.DUMMYFUNCTION("""COMPUTED_VALUE"""),"FIBR PLAN 1299")</f>
        <v>FIBR PLAN 1299</v>
      </c>
      <c r="S2643" s="1" t="str">
        <f>IFERROR(__xludf.DUMMYFUNCTION("""COMPUTED_VALUE"""),"APPROVED")</f>
        <v>APPROVED</v>
      </c>
      <c r="T2643" s="1" t="str">
        <f>IFERROR(__xludf.DUMMYFUNCTION("""COMPUTED_VALUE"""),"CANCELLED")</f>
        <v>CANCELLED</v>
      </c>
      <c r="U2643" s="1"/>
      <c r="V2643" s="1"/>
      <c r="W2643" s="1"/>
    </row>
    <row r="2644" customHeight="1" spans="1:23">
      <c r="A2644" s="3">
        <f>IFERROR(__xludf.DUMMYFUNCTION("""COMPUTED_VALUE"""),46238)</f>
        <v>46238</v>
      </c>
      <c r="B2644" s="1" t="str">
        <f>IFERROR(__xludf.DUMMYFUNCTION("""COMPUTED_VALUE"""),"BAQUIT ,JAZMIN")</f>
        <v>BAQUIT ,JAZMIN</v>
      </c>
      <c r="C2644" s="1" t="str">
        <f>IFERROR(__xludf.DUMMYFUNCTION("""COMPUTED_VALUE"""),"ORGANIC")</f>
        <v>ORGANIC</v>
      </c>
      <c r="D2644" s="1" t="str">
        <f>IFERROR(__xludf.DUMMYFUNCTION("""COMPUTED_VALUE"""),"REMOLLO LEA")</f>
        <v>REMOLLO LEA</v>
      </c>
      <c r="E2644" s="1" t="str">
        <f>IFERROR(__xludf.DUMMYFUNCTION("""COMPUTED_VALUE"""),"PLDT / H2H")</f>
        <v>PLDT / H2H</v>
      </c>
      <c r="F2644" s="1">
        <f>IFERROR(__xludf.DUMMYFUNCTION("""COMPUTED_VALUE"""),2311510823)</f>
        <v>2311510823</v>
      </c>
      <c r="G2644" s="1">
        <f>IFERROR(__xludf.DUMMYFUNCTION("""COMPUTED_VALUE"""),465152895004)</f>
        <v>465152895004</v>
      </c>
      <c r="H2644" s="1" t="str">
        <f>IFERROR(__xludf.DUMMYFUNCTION("""COMPUTED_VALUE"""),"FERNANDO VIDA ROMILLA")</f>
        <v>FERNANDO VIDA ROMILLA</v>
      </c>
      <c r="I2644" s="1">
        <f>IFERROR(__xludf.DUMMYFUNCTION("""COMPUTED_VALUE"""),9668822552)</f>
        <v>9668822552</v>
      </c>
      <c r="J2644" s="1"/>
      <c r="K2644" s="1" t="str">
        <f>IFERROR(__xludf.DUMMYFUNCTION("""COMPUTED_VALUE"""),"lhyndeemaster@gmail.com")</f>
        <v>lhyndeemaster@gmail.com</v>
      </c>
      <c r="L2644" s="1" t="str">
        <f>IFERROR(__xludf.DUMMYFUNCTION("""COMPUTED_VALUE"""),"37a")</f>
        <v>37a</v>
      </c>
      <c r="M2644" s="1" t="str">
        <f>IFERROR(__xludf.DUMMYFUNCTION("""COMPUTED_VALUE"""),"PANUNGYAN RD")</f>
        <v>PANUNGYAN RD</v>
      </c>
      <c r="N2644" s="1"/>
      <c r="O2644" s="1" t="str">
        <f>IFERROR(__xludf.DUMMYFUNCTION("""COMPUTED_VALUE"""),"PANUNGYAN II")</f>
        <v>PANUNGYAN II</v>
      </c>
      <c r="P2644" s="1" t="str">
        <f>IFERROR(__xludf.DUMMYFUNCTION("""COMPUTED_VALUE"""),"MENDEZ")</f>
        <v>MENDEZ</v>
      </c>
      <c r="Q2644" s="1" t="str">
        <f>IFERROR(__xludf.DUMMYFUNCTION("""COMPUTED_VALUE"""),"CAVITE")</f>
        <v>CAVITE</v>
      </c>
      <c r="R2644" s="1" t="str">
        <f>IFERROR(__xludf.DUMMYFUNCTION("""COMPUTED_VALUE"""),"FIBR PLAN 1299")</f>
        <v>FIBR PLAN 1299</v>
      </c>
      <c r="S2644" s="1" t="str">
        <f>IFERROR(__xludf.DUMMYFUNCTION("""COMPUTED_VALUE"""),"APPROVED")</f>
        <v>APPROVED</v>
      </c>
      <c r="T2644" s="1" t="str">
        <f>IFERROR(__xludf.DUMMYFUNCTION("""COMPUTED_VALUE"""),"CLOSED")</f>
        <v>CLOSED</v>
      </c>
      <c r="U2644" s="1" t="str">
        <f>IFERROR(__xludf.DUMMYFUNCTION("""COMPUTED_VALUE"""),"POSTED")</f>
        <v>POSTED</v>
      </c>
      <c r="V2644" s="1"/>
      <c r="W2644" s="1"/>
    </row>
    <row r="2645" customHeight="1" spans="1:23">
      <c r="A2645" s="3">
        <f>IFERROR(__xludf.DUMMYFUNCTION("""COMPUTED_VALUE"""),46238)</f>
        <v>46238</v>
      </c>
      <c r="B2645" s="1" t="str">
        <f>IFERROR(__xludf.DUMMYFUNCTION("""COMPUTED_VALUE"""),"TAMAYO, MARY ROSE")</f>
        <v>TAMAYO, MARY ROSE</v>
      </c>
      <c r="C2645" s="1" t="str">
        <f>IFERROR(__xludf.DUMMYFUNCTION("""COMPUTED_VALUE"""),"ORGANIC")</f>
        <v>ORGANIC</v>
      </c>
      <c r="D2645" s="1" t="str">
        <f>IFERROR(__xludf.DUMMYFUNCTION("""COMPUTED_VALUE"""),"REMOLLO LEA")</f>
        <v>REMOLLO LEA</v>
      </c>
      <c r="E2645" s="1" t="str">
        <f>IFERROR(__xludf.DUMMYFUNCTION("""COMPUTED_VALUE"""),"PLDT / H2H")</f>
        <v>PLDT / H2H</v>
      </c>
      <c r="F2645" s="1">
        <f>IFERROR(__xludf.DUMMYFUNCTION("""COMPUTED_VALUE"""),2311515987)</f>
        <v>2311515987</v>
      </c>
      <c r="G2645" s="1">
        <f>IFERROR(__xludf.DUMMYFUNCTION("""COMPUTED_VALUE"""),465278820004)</f>
        <v>465278820004</v>
      </c>
      <c r="H2645" s="1" t="str">
        <f>IFERROR(__xludf.DUMMYFUNCTION("""COMPUTED_VALUE"""),"JUSTINE EMADEM DANAO")</f>
        <v>JUSTINE EMADEM DANAO</v>
      </c>
      <c r="I2645" s="1">
        <f>IFERROR(__xludf.DUMMYFUNCTION("""COMPUTED_VALUE"""),9128736102)</f>
        <v>9128736102</v>
      </c>
      <c r="J2645" s="1"/>
      <c r="K2645" s="1" t="str">
        <f>IFERROR(__xludf.DUMMYFUNCTION("""COMPUTED_VALUE"""),"mjc54220@gmal.com")</f>
        <v>mjc54220@gmal.com</v>
      </c>
      <c r="L2645" s="1" t="str">
        <f>IFERROR(__xludf.DUMMYFUNCTION("""COMPUTED_VALUE"""),"BLK 3 LOT 9B")</f>
        <v>BLK 3 LOT 9B</v>
      </c>
      <c r="M2645" s="1" t="str">
        <f>IFERROR(__xludf.DUMMYFUNCTION("""COMPUTED_VALUE"""),"PHSE 1")</f>
        <v>PHSE 1</v>
      </c>
      <c r="N2645" s="1" t="str">
        <f>IFERROR(__xludf.DUMMYFUNCTION("""COMPUTED_VALUE"""),"MONTEBELLO")</f>
        <v>MONTEBELLO</v>
      </c>
      <c r="O2645" s="1" t="str">
        <f>IFERROR(__xludf.DUMMYFUNCTION("""COMPUTED_VALUE"""),"AMUYONG")</f>
        <v>AMUYONG</v>
      </c>
      <c r="P2645" s="1" t="str">
        <f>IFERROR(__xludf.DUMMYFUNCTION("""COMPUTED_VALUE"""),"ALFONSO")</f>
        <v>ALFONSO</v>
      </c>
      <c r="Q2645" s="1" t="str">
        <f>IFERROR(__xludf.DUMMYFUNCTION("""COMPUTED_VALUE"""),"CAVITE")</f>
        <v>CAVITE</v>
      </c>
      <c r="R2645" s="1" t="str">
        <f>IFERROR(__xludf.DUMMYFUNCTION("""COMPUTED_VALUE"""),"FIBR PLAN 1299")</f>
        <v>FIBR PLAN 1299</v>
      </c>
      <c r="S2645" s="1" t="str">
        <f>IFERROR(__xludf.DUMMYFUNCTION("""COMPUTED_VALUE"""),"APPROVED")</f>
        <v>APPROVED</v>
      </c>
      <c r="T2645" s="1" t="str">
        <f>IFERROR(__xludf.DUMMYFUNCTION("""COMPUTED_VALUE"""),"CANCELLED")</f>
        <v>CANCELLED</v>
      </c>
      <c r="U2645" s="1"/>
      <c r="V2645" s="1"/>
      <c r="W2645" s="1"/>
    </row>
    <row r="2646" customHeight="1" spans="1:23">
      <c r="A2646" s="3">
        <f>IFERROR(__xludf.DUMMYFUNCTION("""COMPUTED_VALUE"""),46238)</f>
        <v>46238</v>
      </c>
      <c r="B2646" s="1" t="str">
        <f>IFERROR(__xludf.DUMMYFUNCTION("""COMPUTED_VALUE"""),"FRANCISCO , ROSELYN")</f>
        <v>FRANCISCO , ROSELYN</v>
      </c>
      <c r="C2646" s="1" t="str">
        <f>IFERROR(__xludf.DUMMYFUNCTION("""COMPUTED_VALUE"""),"ORGANIC")</f>
        <v>ORGANIC</v>
      </c>
      <c r="D2646" s="1" t="str">
        <f>IFERROR(__xludf.DUMMYFUNCTION("""COMPUTED_VALUE"""),"REMOLLO LEA")</f>
        <v>REMOLLO LEA</v>
      </c>
      <c r="E2646" s="1" t="str">
        <f>IFERROR(__xludf.DUMMYFUNCTION("""COMPUTED_VALUE"""),"PLDT / ONLINE")</f>
        <v>PLDT / ONLINE</v>
      </c>
      <c r="F2646" s="1">
        <f>IFERROR(__xludf.DUMMYFUNCTION("""COMPUTED_VALUE"""),2311509409)</f>
        <v>2311509409</v>
      </c>
      <c r="G2646" s="1">
        <f>IFERROR(__xludf.DUMMYFUNCTION("""COMPUTED_VALUE"""),465161117004)</f>
        <v>465161117004</v>
      </c>
      <c r="H2646" s="1" t="str">
        <f>IFERROR(__xludf.DUMMYFUNCTION("""COMPUTED_VALUE"""),"MINIANIE LAGRADA CHICA")</f>
        <v>MINIANIE LAGRADA CHICA</v>
      </c>
      <c r="I2646" s="1">
        <f>IFERROR(__xludf.DUMMYFUNCTION("""COMPUTED_VALUE"""),9753367570)</f>
        <v>9753367570</v>
      </c>
      <c r="J2646" s="1"/>
      <c r="K2646" s="1" t="str">
        <f>IFERROR(__xludf.DUMMYFUNCTION("""COMPUTED_VALUE"""),"pbpwnanie@gmail.com")</f>
        <v>pbpwnanie@gmail.com</v>
      </c>
      <c r="L2646" s="1" t="str">
        <f>IFERROR(__xludf.DUMMYFUNCTION("""COMPUTED_VALUE"""),"BLK 8 LOT 7")</f>
        <v>BLK 8 LOT 7</v>
      </c>
      <c r="M2646" s="1" t="str">
        <f>IFERROR(__xludf.DUMMYFUNCTION("""COMPUTED_VALUE"""),"PHASE 2")</f>
        <v>PHASE 2</v>
      </c>
      <c r="N2646" s="1" t="str">
        <f>IFERROR(__xludf.DUMMYFUNCTION("""COMPUTED_VALUE"""),"MABUHAY 200")</f>
        <v>MABUHAY 200</v>
      </c>
      <c r="O2646" s="1" t="str">
        <f>IFERROR(__xludf.DUMMYFUNCTION("""COMPUTED_VALUE"""),"PALIPARAN II")</f>
        <v>PALIPARAN II</v>
      </c>
      <c r="P2646" s="1" t="str">
        <f>IFERROR(__xludf.DUMMYFUNCTION("""COMPUTED_VALUE"""),"DASMARINAS")</f>
        <v>DASMARINAS</v>
      </c>
      <c r="Q2646" s="1" t="str">
        <f>IFERROR(__xludf.DUMMYFUNCTION("""COMPUTED_VALUE"""),"CAVITE")</f>
        <v>CAVITE</v>
      </c>
      <c r="R2646" s="1" t="str">
        <f>IFERROR(__xludf.DUMMYFUNCTION("""COMPUTED_VALUE"""),"FIBR NETFLIX PLAN 1599")</f>
        <v>FIBR NETFLIX PLAN 1599</v>
      </c>
      <c r="S2646" s="1" t="str">
        <f>IFERROR(__xludf.DUMMYFUNCTION("""COMPUTED_VALUE"""),"APPROVED")</f>
        <v>APPROVED</v>
      </c>
      <c r="T2646" s="1" t="str">
        <f>IFERROR(__xludf.DUMMYFUNCTION("""COMPUTED_VALUE"""),"CLOSED")</f>
        <v>CLOSED</v>
      </c>
      <c r="U2646" s="1" t="str">
        <f>IFERROR(__xludf.DUMMYFUNCTION("""COMPUTED_VALUE"""),"POSTED")</f>
        <v>POSTED</v>
      </c>
      <c r="V2646" s="1"/>
      <c r="W2646" s="1"/>
    </row>
    <row r="2647" customHeight="1" spans="1:23">
      <c r="A2647" s="3">
        <f>IFERROR(__xludf.DUMMYFUNCTION("""COMPUTED_VALUE"""),46238)</f>
        <v>46238</v>
      </c>
      <c r="B2647" s="1" t="str">
        <f>IFERROR(__xludf.DUMMYFUNCTION("""COMPUTED_VALUE"""),"ESCARCHA, MA ALMA  ESCOTO")</f>
        <v>ESCARCHA, MA ALMA  ESCOTO</v>
      </c>
      <c r="C2647" s="1" t="str">
        <f>IFERROR(__xludf.DUMMYFUNCTION("""COMPUTED_VALUE"""),"ORGANIC")</f>
        <v>ORGANIC</v>
      </c>
      <c r="D2647" s="1" t="str">
        <f>IFERROR(__xludf.DUMMYFUNCTION("""COMPUTED_VALUE"""),"REMOLLO LEA")</f>
        <v>REMOLLO LEA</v>
      </c>
      <c r="E2647" s="1" t="str">
        <f>IFERROR(__xludf.DUMMYFUNCTION("""COMPUTED_VALUE"""),"PLDT / H2H")</f>
        <v>PLDT / H2H</v>
      </c>
      <c r="F2647" s="1">
        <f>IFERROR(__xludf.DUMMYFUNCTION("""COMPUTED_VALUE"""),2311516770)</f>
        <v>2311516770</v>
      </c>
      <c r="G2647" s="1">
        <f>IFERROR(__xludf.DUMMYFUNCTION("""COMPUTED_VALUE"""),465157118004)</f>
        <v>465157118004</v>
      </c>
      <c r="H2647" s="1" t="str">
        <f>IFERROR(__xludf.DUMMYFUNCTION("""COMPUTED_VALUE"""),"RANDY CAPACIO BALBALOSA")</f>
        <v>RANDY CAPACIO BALBALOSA</v>
      </c>
      <c r="I2647" s="1">
        <f>IFERROR(__xludf.DUMMYFUNCTION("""COMPUTED_VALUE"""),9296302390)</f>
        <v>9296302390</v>
      </c>
      <c r="J2647" s="1"/>
      <c r="K2647" s="1" t="str">
        <f>IFERROR(__xludf.DUMMYFUNCTION("""COMPUTED_VALUE"""),"johnmichbalbosa123@gmail.com")</f>
        <v>johnmichbalbosa123@gmail.com</v>
      </c>
      <c r="L2647" s="1" t="str">
        <f>IFERROR(__xludf.DUMMYFUNCTION("""COMPUTED_VALUE"""),"83")</f>
        <v>83</v>
      </c>
      <c r="M2647" s="1" t="str">
        <f>IFERROR(__xludf.DUMMYFUNCTION("""COMPUTED_VALUE"""),"MARAAN")</f>
        <v>MARAAN</v>
      </c>
      <c r="N2647" s="1"/>
      <c r="O2647" s="1" t="str">
        <f>IFERROR(__xludf.DUMMYFUNCTION("""COMPUTED_VALUE"""),"GALICIA III")</f>
        <v>GALICIA III</v>
      </c>
      <c r="P2647" s="1" t="str">
        <f>IFERROR(__xludf.DUMMYFUNCTION("""COMPUTED_VALUE"""),"MENDEZ")</f>
        <v>MENDEZ</v>
      </c>
      <c r="Q2647" s="1" t="str">
        <f>IFERROR(__xludf.DUMMYFUNCTION("""COMPUTED_VALUE"""),"CAVITE")</f>
        <v>CAVITE</v>
      </c>
      <c r="R2647" s="1" t="str">
        <f>IFERROR(__xludf.DUMMYFUNCTION("""COMPUTED_VALUE"""),"FIBR UNLI ALL PLAN 1499")</f>
        <v>FIBR UNLI ALL PLAN 1499</v>
      </c>
      <c r="S2647" s="1" t="str">
        <f>IFERROR(__xludf.DUMMYFUNCTION("""COMPUTED_VALUE"""),"APPROVED")</f>
        <v>APPROVED</v>
      </c>
      <c r="T2647" s="1" t="str">
        <f>IFERROR(__xludf.DUMMYFUNCTION("""COMPUTED_VALUE"""),"CANCELLED")</f>
        <v>CANCELLED</v>
      </c>
      <c r="U2647" s="1"/>
      <c r="V2647" s="1"/>
      <c r="W2647" s="1"/>
    </row>
    <row r="2648" customHeight="1" spans="1:23">
      <c r="A2648" s="3">
        <f>IFERROR(__xludf.DUMMYFUNCTION("""COMPUTED_VALUE"""),46239)</f>
        <v>46239</v>
      </c>
      <c r="B2648" s="1" t="str">
        <f>IFERROR(__xludf.DUMMYFUNCTION("""COMPUTED_VALUE"""),"MAGDARAOG, KENNETH")</f>
        <v>MAGDARAOG, KENNETH</v>
      </c>
      <c r="C2648" s="1" t="str">
        <f>IFERROR(__xludf.DUMMYFUNCTION("""COMPUTED_VALUE"""),"ORGANIC")</f>
        <v>ORGANIC</v>
      </c>
      <c r="D2648" s="1" t="str">
        <f>IFERROR(__xludf.DUMMYFUNCTION("""COMPUTED_VALUE"""),"REMOLLO LEA")</f>
        <v>REMOLLO LEA</v>
      </c>
      <c r="E2648" s="1" t="str">
        <f>IFERROR(__xludf.DUMMYFUNCTION("""COMPUTED_VALUE"""),"PLDT / H2H")</f>
        <v>PLDT / H2H</v>
      </c>
      <c r="F2648" s="1">
        <f>IFERROR(__xludf.DUMMYFUNCTION("""COMPUTED_VALUE"""),2311543028)</f>
        <v>2311543028</v>
      </c>
      <c r="G2648" s="1"/>
      <c r="H2648" s="1" t="str">
        <f>IFERROR(__xludf.DUMMYFUNCTION("""COMPUTED_VALUE"""),"MA CECILIA MONZON PANTE")</f>
        <v>MA CECILIA MONZON PANTE</v>
      </c>
      <c r="I2648" s="1">
        <f>IFERROR(__xludf.DUMMYFUNCTION("""COMPUTED_VALUE"""),9197733742)</f>
        <v>9197733742</v>
      </c>
      <c r="J2648" s="1"/>
      <c r="K2648" s="1" t="str">
        <f>IFERROR(__xludf.DUMMYFUNCTION("""COMPUTED_VALUE"""),"macecillapante29@gmail.com")</f>
        <v>macecillapante29@gmail.com</v>
      </c>
      <c r="L2648" s="1" t="str">
        <f>IFERROR(__xludf.DUMMYFUNCTION("""COMPUTED_VALUE"""),"186")</f>
        <v>186</v>
      </c>
      <c r="M2648" s="1" t="str">
        <f>IFERROR(__xludf.DUMMYFUNCTION("""COMPUTED_VALUE"""),"RIZAL")</f>
        <v>RIZAL</v>
      </c>
      <c r="N2648" s="1"/>
      <c r="O2648" s="1" t="str">
        <f>IFERROR(__xludf.DUMMYFUNCTION("""COMPUTED_VALUE"""),"BARANGAY III (POB.)")</f>
        <v>BARANGAY III (POB.)</v>
      </c>
      <c r="P2648" s="1" t="str">
        <f>IFERROR(__xludf.DUMMYFUNCTION("""COMPUTED_VALUE"""),"ALFONSO")</f>
        <v>ALFONSO</v>
      </c>
      <c r="Q2648" s="1" t="str">
        <f>IFERROR(__xludf.DUMMYFUNCTION("""COMPUTED_VALUE"""),"CAVITE")</f>
        <v>CAVITE</v>
      </c>
      <c r="R2648" s="1" t="str">
        <f>IFERROR(__xludf.DUMMYFUNCTION("""COMPUTED_VALUE"""),"FIBR UNLI ALL PLAN 999")</f>
        <v>FIBR UNLI ALL PLAN 999</v>
      </c>
      <c r="S2648" s="1" t="str">
        <f>IFERROR(__xludf.DUMMYFUNCTION("""COMPUTED_VALUE"""),"APPROVED")</f>
        <v>APPROVED</v>
      </c>
      <c r="T2648" s="1" t="str">
        <f>IFERROR(__xludf.DUMMYFUNCTION("""COMPUTED_VALUE"""),"DISAPPROVED")</f>
        <v>DISAPPROVED</v>
      </c>
      <c r="U2648" s="1"/>
      <c r="V2648" s="1"/>
      <c r="W2648" s="1"/>
    </row>
    <row r="2649" customHeight="1" spans="1:23">
      <c r="A2649" s="3">
        <f>IFERROR(__xludf.DUMMYFUNCTION("""COMPUTED_VALUE"""),46239)</f>
        <v>46239</v>
      </c>
      <c r="B2649" s="1" t="str">
        <f>IFERROR(__xludf.DUMMYFUNCTION("""COMPUTED_VALUE"""),"CADERAO, RONALD")</f>
        <v>CADERAO, RONALD</v>
      </c>
      <c r="C2649" s="1" t="str">
        <f>IFERROR(__xludf.DUMMYFUNCTION("""COMPUTED_VALUE"""),"ORGANIC")</f>
        <v>ORGANIC</v>
      </c>
      <c r="D2649" s="1" t="str">
        <f>IFERROR(__xludf.DUMMYFUNCTION("""COMPUTED_VALUE"""),"REMOLLO LEA")</f>
        <v>REMOLLO LEA</v>
      </c>
      <c r="E2649" s="1" t="str">
        <f>IFERROR(__xludf.DUMMYFUNCTION("""COMPUTED_VALUE"""),"PLDT / H2H")</f>
        <v>PLDT / H2H</v>
      </c>
      <c r="F2649" s="1">
        <f>IFERROR(__xludf.DUMMYFUNCTION("""COMPUTED_VALUE"""),2311549466)</f>
        <v>2311549466</v>
      </c>
      <c r="G2649" s="1"/>
      <c r="H2649" s="1" t="str">
        <f>IFERROR(__xludf.DUMMYFUNCTION("""COMPUTED_VALUE"""),"MILTES LEGASPI TEMPLADO")</f>
        <v>MILTES LEGASPI TEMPLADO</v>
      </c>
      <c r="I2649" s="1">
        <f>IFERROR(__xludf.DUMMYFUNCTION("""COMPUTED_VALUE"""),9708670285)</f>
        <v>9708670285</v>
      </c>
      <c r="J2649" s="1"/>
      <c r="K2649" s="1" t="str">
        <f>IFERROR(__xludf.DUMMYFUNCTION("""COMPUTED_VALUE"""),"milterlegaspi18.ml@gmail.com")</f>
        <v>milterlegaspi18.ml@gmail.com</v>
      </c>
      <c r="L2649" s="1" t="str">
        <f>IFERROR(__xludf.DUMMYFUNCTION("""COMPUTED_VALUE"""),"139")</f>
        <v>139</v>
      </c>
      <c r="M2649" s="1" t="str">
        <f>IFERROR(__xludf.DUMMYFUNCTION("""COMPUTED_VALUE"""),"RIZAL")</f>
        <v>RIZAL</v>
      </c>
      <c r="N2649" s="1"/>
      <c r="O2649" s="1" t="str">
        <f>IFERROR(__xludf.DUMMYFUNCTION("""COMPUTED_VALUE"""),"BARANGAY III (POB.)")</f>
        <v>BARANGAY III (POB.)</v>
      </c>
      <c r="P2649" s="1" t="str">
        <f>IFERROR(__xludf.DUMMYFUNCTION("""COMPUTED_VALUE"""),"ALFONSO")</f>
        <v>ALFONSO</v>
      </c>
      <c r="Q2649" s="1" t="str">
        <f>IFERROR(__xludf.DUMMYFUNCTION("""COMPUTED_VALUE"""),"CAVITE")</f>
        <v>CAVITE</v>
      </c>
      <c r="R2649" s="1" t="str">
        <f>IFERROR(__xludf.DUMMYFUNCTION("""COMPUTED_VALUE"""),"FIBR UNLI ALL PLAN 999")</f>
        <v>FIBR UNLI ALL PLAN 999</v>
      </c>
      <c r="S2649" s="1" t="str">
        <f>IFERROR(__xludf.DUMMYFUNCTION("""COMPUTED_VALUE"""),"APPROVED")</f>
        <v>APPROVED</v>
      </c>
      <c r="T2649" s="1" t="str">
        <f>IFERROR(__xludf.DUMMYFUNCTION("""COMPUTED_VALUE"""),"CANCELLED")</f>
        <v>CANCELLED</v>
      </c>
      <c r="U2649" s="1"/>
      <c r="V2649" s="1"/>
      <c r="W2649" s="1"/>
    </row>
    <row r="2650" customHeight="1" spans="1:23">
      <c r="A2650" s="3">
        <f>IFERROR(__xludf.DUMMYFUNCTION("""COMPUTED_VALUE"""),46239)</f>
        <v>46239</v>
      </c>
      <c r="B2650" s="1" t="str">
        <f>IFERROR(__xludf.DUMMYFUNCTION("""COMPUTED_VALUE"""),"CADERAO, RONALD")</f>
        <v>CADERAO, RONALD</v>
      </c>
      <c r="C2650" s="1" t="str">
        <f>IFERROR(__xludf.DUMMYFUNCTION("""COMPUTED_VALUE"""),"ORGANIC")</f>
        <v>ORGANIC</v>
      </c>
      <c r="D2650" s="1" t="str">
        <f>IFERROR(__xludf.DUMMYFUNCTION("""COMPUTED_VALUE"""),"REMOLLO LEA")</f>
        <v>REMOLLO LEA</v>
      </c>
      <c r="E2650" s="1" t="str">
        <f>IFERROR(__xludf.DUMMYFUNCTION("""COMPUTED_VALUE"""),"PLDT / H2H")</f>
        <v>PLDT / H2H</v>
      </c>
      <c r="F2650" s="1">
        <f>IFERROR(__xludf.DUMMYFUNCTION("""COMPUTED_VALUE"""),2311551897)</f>
        <v>2311551897</v>
      </c>
      <c r="G2650" s="1">
        <f>IFERROR(__xludf.DUMMYFUNCTION("""COMPUTED_VALUE"""),465377415004)</f>
        <v>465377415004</v>
      </c>
      <c r="H2650" s="1" t="str">
        <f>IFERROR(__xludf.DUMMYFUNCTION("""COMPUTED_VALUE"""),"ROD STEPHEN KOBAYASHI BUNAOBRA")</f>
        <v>ROD STEPHEN KOBAYASHI BUNAOBRA</v>
      </c>
      <c r="I2650" s="1">
        <f>IFERROR(__xludf.DUMMYFUNCTION("""COMPUTED_VALUE"""),9056173115)</f>
        <v>9056173115</v>
      </c>
      <c r="J2650" s="1"/>
      <c r="K2650" s="1" t="str">
        <f>IFERROR(__xludf.DUMMYFUNCTION("""COMPUTED_VALUE"""),"rodstephen122699@gmail.com")</f>
        <v>rodstephen122699@gmail.com</v>
      </c>
      <c r="L2650" s="1" t="str">
        <f>IFERROR(__xludf.DUMMYFUNCTION("""COMPUTED_VALUE"""),"13")</f>
        <v>13</v>
      </c>
      <c r="M2650" s="1" t="str">
        <f>IFERROR(__xludf.DUMMYFUNCTION("""COMPUTED_VALUE"""),"CUADRA")</f>
        <v>CUADRA</v>
      </c>
      <c r="N2650" s="1"/>
      <c r="O2650" s="1" t="str">
        <f>IFERROR(__xludf.DUMMYFUNCTION("""COMPUTED_VALUE"""),"ANULING LEJOS II")</f>
        <v>ANULING LEJOS II</v>
      </c>
      <c r="P2650" s="1" t="str">
        <f>IFERROR(__xludf.DUMMYFUNCTION("""COMPUTED_VALUE"""),"MENDEZ")</f>
        <v>MENDEZ</v>
      </c>
      <c r="Q2650" s="1" t="str">
        <f>IFERROR(__xludf.DUMMYFUNCTION("""COMPUTED_VALUE"""),"CAVITE")</f>
        <v>CAVITE</v>
      </c>
      <c r="R2650" s="1" t="str">
        <f>IFERROR(__xludf.DUMMYFUNCTION("""COMPUTED_VALUE"""),"FIBR PLAN 2099")</f>
        <v>FIBR PLAN 2099</v>
      </c>
      <c r="S2650" s="1" t="str">
        <f>IFERROR(__xludf.DUMMYFUNCTION("""COMPUTED_VALUE"""),"APPROVED")</f>
        <v>APPROVED</v>
      </c>
      <c r="T2650" s="1" t="str">
        <f>IFERROR(__xludf.DUMMYFUNCTION("""COMPUTED_VALUE"""),"CLOSED")</f>
        <v>CLOSED</v>
      </c>
      <c r="U2650" s="1" t="str">
        <f>IFERROR(__xludf.DUMMYFUNCTION("""COMPUTED_VALUE"""),"POSTED")</f>
        <v>POSTED</v>
      </c>
      <c r="V2650" s="1"/>
      <c r="W2650" s="1"/>
    </row>
    <row r="2651" customHeight="1" spans="1:23">
      <c r="A2651" s="3">
        <f>IFERROR(__xludf.DUMMYFUNCTION("""COMPUTED_VALUE"""),46239)</f>
        <v>46239</v>
      </c>
      <c r="B2651" s="1" t="str">
        <f>IFERROR(__xludf.DUMMYFUNCTION("""COMPUTED_VALUE"""),"IVNO, RAZZEL")</f>
        <v>IVNO, RAZZEL</v>
      </c>
      <c r="C2651" s="1" t="str">
        <f>IFERROR(__xludf.DUMMYFUNCTION("""COMPUTED_VALUE"""),"ORGANIC")</f>
        <v>ORGANIC</v>
      </c>
      <c r="D2651" s="1" t="str">
        <f>IFERROR(__xludf.DUMMYFUNCTION("""COMPUTED_VALUE"""),"REMOLLO LEA")</f>
        <v>REMOLLO LEA</v>
      </c>
      <c r="E2651" s="1" t="str">
        <f>IFERROR(__xludf.DUMMYFUNCTION("""COMPUTED_VALUE"""),"PLDT / H2H")</f>
        <v>PLDT / H2H</v>
      </c>
      <c r="F2651" s="1">
        <f>IFERROR(__xludf.DUMMYFUNCTION("""COMPUTED_VALUE"""),2311552252)</f>
        <v>2311552252</v>
      </c>
      <c r="G2651" s="1"/>
      <c r="H2651" s="1" t="str">
        <f>IFERROR(__xludf.DUMMYFUNCTION("""COMPUTED_VALUE"""),"JESSIE BOY SALNGSANG ARIOLA")</f>
        <v>JESSIE BOY SALNGSANG ARIOLA</v>
      </c>
      <c r="I2651" s="1">
        <f>IFERROR(__xludf.DUMMYFUNCTION("""COMPUTED_VALUE"""),9171661799)</f>
        <v>9171661799</v>
      </c>
      <c r="J2651" s="1">
        <f>IFERROR(__xludf.DUMMYFUNCTION("""COMPUTED_VALUE"""),9289700873)</f>
        <v>9289700873</v>
      </c>
      <c r="K2651" s="1" t="str">
        <f>IFERROR(__xludf.DUMMYFUNCTION("""COMPUTED_VALUE"""),"jeremy.ariola14@gmail.com")</f>
        <v>jeremy.ariola14@gmail.com</v>
      </c>
      <c r="L2651" s="1" t="str">
        <f>IFERROR(__xludf.DUMMYFUNCTION("""COMPUTED_VALUE"""),"10")</f>
        <v>10</v>
      </c>
      <c r="M2651" s="1" t="str">
        <f>IFERROR(__xludf.DUMMYFUNCTION("""COMPUTED_VALUE"""),"MAGLABE DRIVE")</f>
        <v>MAGLABE DRIVE</v>
      </c>
      <c r="N2651" s="1"/>
      <c r="O2651" s="1" t="str">
        <f>IFERROR(__xludf.DUMMYFUNCTION("""COMPUTED_VALUE"""),"GUINHAWA SOUTH")</f>
        <v>GUINHAWA SOUTH</v>
      </c>
      <c r="P2651" s="1" t="str">
        <f>IFERROR(__xludf.DUMMYFUNCTION("""COMPUTED_VALUE"""),"TAGAYTAY")</f>
        <v>TAGAYTAY</v>
      </c>
      <c r="Q2651" s="1" t="str">
        <f>IFERROR(__xludf.DUMMYFUNCTION("""COMPUTED_VALUE"""),"CAVITE")</f>
        <v>CAVITE</v>
      </c>
      <c r="R2651" s="1" t="str">
        <f>IFERROR(__xludf.DUMMYFUNCTION("""COMPUTED_VALUE"""),"FIBR PLAN 1299")</f>
        <v>FIBR PLAN 1299</v>
      </c>
      <c r="S2651" s="1" t="str">
        <f>IFERROR(__xludf.DUMMYFUNCTION("""COMPUTED_VALUE"""),"APPROVED")</f>
        <v>APPROVED</v>
      </c>
      <c r="T2651" s="1" t="str">
        <f>IFERROR(__xludf.DUMMYFUNCTION("""COMPUTED_VALUE"""),"CANCELLED")</f>
        <v>CANCELLED</v>
      </c>
      <c r="U2651" s="1"/>
      <c r="V2651" s="1"/>
      <c r="W2651" s="1"/>
    </row>
    <row r="2652" customHeight="1" spans="1:23">
      <c r="A2652" s="3">
        <f>IFERROR(__xludf.DUMMYFUNCTION("""COMPUTED_VALUE"""),46239)</f>
        <v>46239</v>
      </c>
      <c r="B2652" s="1" t="str">
        <f>IFERROR(__xludf.DUMMYFUNCTION("""COMPUTED_VALUE"""),"MALIWAT MARK ELVIN")</f>
        <v>MALIWAT MARK ELVIN</v>
      </c>
      <c r="C2652" s="1" t="str">
        <f>IFERROR(__xludf.DUMMYFUNCTION("""COMPUTED_VALUE"""),"FLA")</f>
        <v>FLA</v>
      </c>
      <c r="D2652" s="1" t="str">
        <f>IFERROR(__xludf.DUMMYFUNCTION("""COMPUTED_VALUE"""),"JERIC NAVARRO")</f>
        <v>JERIC NAVARRO</v>
      </c>
      <c r="E2652" s="1" t="str">
        <f>IFERROR(__xludf.DUMMYFUNCTION("""COMPUTED_VALUE"""),"PLDT / ONLINE")</f>
        <v>PLDT / ONLINE</v>
      </c>
      <c r="F2652" s="1">
        <f>IFERROR(__xludf.DUMMYFUNCTION("""COMPUTED_VALUE"""),2311539355)</f>
        <v>2311539355</v>
      </c>
      <c r="G2652" s="1">
        <f>IFERROR(__xludf.DUMMYFUNCTION("""COMPUTED_VALUE"""),465312874004)</f>
        <v>465312874004</v>
      </c>
      <c r="H2652" s="1" t="str">
        <f>IFERROR(__xludf.DUMMYFUNCTION("""COMPUTED_VALUE"""),"GEMMA GIRAY BANTILO")</f>
        <v>GEMMA GIRAY BANTILO</v>
      </c>
      <c r="I2652" s="1">
        <f>IFERROR(__xludf.DUMMYFUNCTION("""COMPUTED_VALUE"""),9649861584)</f>
        <v>9649861584</v>
      </c>
      <c r="J2652" s="1"/>
      <c r="K2652" s="1" t="str">
        <f>IFERROR(__xludf.DUMMYFUNCTION("""COMPUTED_VALUE"""),"gemmabantillo2@gmail.com")</f>
        <v>gemmabantillo2@gmail.com</v>
      </c>
      <c r="L2652" s="1" t="str">
        <f>IFERROR(__xludf.DUMMYFUNCTION("""COMPUTED_VALUE"""),"1020")</f>
        <v>1020</v>
      </c>
      <c r="M2652" s="1" t="str">
        <f>IFERROR(__xludf.DUMMYFUNCTION("""COMPUTED_VALUE"""),"POBLACION RD")</f>
        <v>POBLACION RD</v>
      </c>
      <c r="N2652" s="1"/>
      <c r="O2652" s="1" t="str">
        <f>IFERROR(__xludf.DUMMYFUNCTION("""COMPUTED_VALUE"""),"POBLACION VII (BARANGAY VII)")</f>
        <v>POBLACION VII (BARANGAY VII)</v>
      </c>
      <c r="P2652" s="1" t="str">
        <f>IFERROR(__xludf.DUMMYFUNCTION("""COMPUTED_VALUE"""),"AMADEO")</f>
        <v>AMADEO</v>
      </c>
      <c r="Q2652" s="1" t="str">
        <f>IFERROR(__xludf.DUMMYFUNCTION("""COMPUTED_VALUE"""),"CAVITE")</f>
        <v>CAVITE</v>
      </c>
      <c r="R2652" s="1" t="str">
        <f>IFERROR(__xludf.DUMMYFUNCTION("""COMPUTED_VALUE"""),"FIBR PLAN 1299")</f>
        <v>FIBR PLAN 1299</v>
      </c>
      <c r="S2652" s="1" t="str">
        <f>IFERROR(__xludf.DUMMYFUNCTION("""COMPUTED_VALUE"""),"APPROVED")</f>
        <v>APPROVED</v>
      </c>
      <c r="T2652" s="1" t="str">
        <f>IFERROR(__xludf.DUMMYFUNCTION("""COMPUTED_VALUE"""),"CLOSED")</f>
        <v>CLOSED</v>
      </c>
      <c r="U2652" s="1" t="str">
        <f>IFERROR(__xludf.DUMMYFUNCTION("""COMPUTED_VALUE"""),"POSTED")</f>
        <v>POSTED</v>
      </c>
      <c r="V2652" s="1"/>
      <c r="W2652" s="1"/>
    </row>
    <row r="2653" customHeight="1" spans="1:23">
      <c r="A2653" s="3">
        <f>IFERROR(__xludf.DUMMYFUNCTION("""COMPUTED_VALUE"""),46239)</f>
        <v>46239</v>
      </c>
      <c r="B2653" s="1" t="str">
        <f>IFERROR(__xludf.DUMMYFUNCTION("""COMPUTED_VALUE"""),"MALIWAT MARK ELVIN")</f>
        <v>MALIWAT MARK ELVIN</v>
      </c>
      <c r="C2653" s="1" t="str">
        <f>IFERROR(__xludf.DUMMYFUNCTION("""COMPUTED_VALUE"""),"FLA")</f>
        <v>FLA</v>
      </c>
      <c r="D2653" s="1" t="str">
        <f>IFERROR(__xludf.DUMMYFUNCTION("""COMPUTED_VALUE"""),"JERIC NAVARRO")</f>
        <v>JERIC NAVARRO</v>
      </c>
      <c r="E2653" s="1" t="str">
        <f>IFERROR(__xludf.DUMMYFUNCTION("""COMPUTED_VALUE"""),"PLDT / ONLINE")</f>
        <v>PLDT / ONLINE</v>
      </c>
      <c r="F2653" s="1">
        <f>IFERROR(__xludf.DUMMYFUNCTION("""COMPUTED_VALUE"""),2311547304)</f>
        <v>2311547304</v>
      </c>
      <c r="G2653" s="1">
        <f>IFERROR(__xludf.DUMMYFUNCTION("""COMPUTED_VALUE"""),465288332004)</f>
        <v>465288332004</v>
      </c>
      <c r="H2653" s="1" t="str">
        <f>IFERROR(__xludf.DUMMYFUNCTION("""COMPUTED_VALUE"""),"ROSANA OCAMPO CANIZA")</f>
        <v>ROSANA OCAMPO CANIZA</v>
      </c>
      <c r="I2653" s="1">
        <f>IFERROR(__xludf.DUMMYFUNCTION("""COMPUTED_VALUE"""),9399106360)</f>
        <v>9399106360</v>
      </c>
      <c r="J2653" s="1">
        <f>IFERROR(__xludf.DUMMYFUNCTION("""COMPUTED_VALUE"""),9159351166)</f>
        <v>9159351166</v>
      </c>
      <c r="K2653" s="1" t="str">
        <f>IFERROR(__xludf.DUMMYFUNCTION("""COMPUTED_VALUE"""),"songtennis@gmail.com")</f>
        <v>songtennis@gmail.com</v>
      </c>
      <c r="L2653" s="1" t="str">
        <f>IFERROR(__xludf.DUMMYFUNCTION("""COMPUTED_VALUE"""),"9011")</f>
        <v>9011</v>
      </c>
      <c r="M2653" s="1" t="str">
        <f>IFERROR(__xludf.DUMMYFUNCTION("""COMPUTED_VALUE"""),"PUROK 5")</f>
        <v>PUROK 5</v>
      </c>
      <c r="N2653" s="1"/>
      <c r="O2653" s="1" t="str">
        <f>IFERROR(__xludf.DUMMYFUNCTION("""COMPUTED_VALUE"""),"KAYSUYO")</f>
        <v>KAYSUYO</v>
      </c>
      <c r="P2653" s="1" t="str">
        <f>IFERROR(__xludf.DUMMYFUNCTION("""COMPUTED_VALUE"""),"ALFONSO")</f>
        <v>ALFONSO</v>
      </c>
      <c r="Q2653" s="1" t="str">
        <f>IFERROR(__xludf.DUMMYFUNCTION("""COMPUTED_VALUE"""),"CAVITE")</f>
        <v>CAVITE</v>
      </c>
      <c r="R2653" s="1" t="str">
        <f>IFERROR(__xludf.DUMMYFUNCTION("""COMPUTED_VALUE"""),"FIBR PLAN 2699")</f>
        <v>FIBR PLAN 2699</v>
      </c>
      <c r="S2653" s="1" t="str">
        <f>IFERROR(__xludf.DUMMYFUNCTION("""COMPUTED_VALUE"""),"APPROVED")</f>
        <v>APPROVED</v>
      </c>
      <c r="T2653" s="1" t="str">
        <f>IFERROR(__xludf.DUMMYFUNCTION("""COMPUTED_VALUE"""),"CLOSED")</f>
        <v>CLOSED</v>
      </c>
      <c r="U2653" s="1"/>
      <c r="V2653" s="1"/>
      <c r="W2653" s="1"/>
    </row>
    <row r="2654" customHeight="1" spans="1:23">
      <c r="A2654" s="3">
        <f>IFERROR(__xludf.DUMMYFUNCTION("""COMPUTED_VALUE"""),46239)</f>
        <v>46239</v>
      </c>
      <c r="B2654" s="1" t="str">
        <f>IFERROR(__xludf.DUMMYFUNCTION("""COMPUTED_VALUE"""),"FRANCISCO , ROSELYN")</f>
        <v>FRANCISCO , ROSELYN</v>
      </c>
      <c r="C2654" s="1" t="str">
        <f>IFERROR(__xludf.DUMMYFUNCTION("""COMPUTED_VALUE"""),"ORGANIC")</f>
        <v>ORGANIC</v>
      </c>
      <c r="D2654" s="1" t="str">
        <f>IFERROR(__xludf.DUMMYFUNCTION("""COMPUTED_VALUE"""),"REMOLLO LEA")</f>
        <v>REMOLLO LEA</v>
      </c>
      <c r="E2654" s="1" t="str">
        <f>IFERROR(__xludf.DUMMYFUNCTION("""COMPUTED_VALUE"""),"PLDT / ONLINE")</f>
        <v>PLDT / ONLINE</v>
      </c>
      <c r="F2654" s="1">
        <f>IFERROR(__xludf.DUMMYFUNCTION("""COMPUTED_VALUE"""),2311550682)</f>
        <v>2311550682</v>
      </c>
      <c r="G2654" s="1">
        <f>IFERROR(__xludf.DUMMYFUNCTION("""COMPUTED_VALUE"""),465309801004)</f>
        <v>465309801004</v>
      </c>
      <c r="H2654" s="1" t="str">
        <f>IFERROR(__xludf.DUMMYFUNCTION("""COMPUTED_VALUE"""),"PAMELA CHRISTELLE MARQUEZ LECAROS")</f>
        <v>PAMELA CHRISTELLE MARQUEZ LECAROS</v>
      </c>
      <c r="I2654" s="1">
        <f>IFERROR(__xludf.DUMMYFUNCTION("""COMPUTED_VALUE"""),9369296165)</f>
        <v>9369296165</v>
      </c>
      <c r="J2654" s="1">
        <f>IFERROR(__xludf.DUMMYFUNCTION("""COMPUTED_VALUE"""),9158570569)</f>
        <v>9158570569</v>
      </c>
      <c r="K2654" s="1" t="str">
        <f>IFERROR(__xludf.DUMMYFUNCTION("""COMPUTED_VALUE"""),"pamiehearts16@gmail.com")</f>
        <v>pamiehearts16@gmail.com</v>
      </c>
      <c r="L2654" s="1" t="str">
        <f>IFERROR(__xludf.DUMMYFUNCTION("""COMPUTED_VALUE"""),"BLK 17 LOT 41")</f>
        <v>BLK 17 LOT 41</v>
      </c>
      <c r="M2654" s="1" t="str">
        <f>IFERROR(__xludf.DUMMYFUNCTION("""COMPUTED_VALUE"""),"PHASE 4")</f>
        <v>PHASE 4</v>
      </c>
      <c r="N2654" s="1" t="str">
        <f>IFERROR(__xludf.DUMMYFUNCTION("""COMPUTED_VALUE"""),"BUCANDALA")</f>
        <v>BUCANDALA</v>
      </c>
      <c r="O2654" s="1" t="str">
        <f>IFERROR(__xludf.DUMMYFUNCTION("""COMPUTED_VALUE"""),"ALAPAN II-B")</f>
        <v>ALAPAN II-B</v>
      </c>
      <c r="P2654" s="1" t="str">
        <f>IFERROR(__xludf.DUMMYFUNCTION("""COMPUTED_VALUE"""),"IMUS")</f>
        <v>IMUS</v>
      </c>
      <c r="Q2654" s="1" t="str">
        <f>IFERROR(__xludf.DUMMYFUNCTION("""COMPUTED_VALUE"""),"CAVITE")</f>
        <v>CAVITE</v>
      </c>
      <c r="R2654" s="1" t="str">
        <f>IFERROR(__xludf.DUMMYFUNCTION("""COMPUTED_VALUE"""),"FIBR PLAN 1299")</f>
        <v>FIBR PLAN 1299</v>
      </c>
      <c r="S2654" s="1" t="str">
        <f>IFERROR(__xludf.DUMMYFUNCTION("""COMPUTED_VALUE"""),"APPROVED")</f>
        <v>APPROVED</v>
      </c>
      <c r="T2654" s="1" t="str">
        <f>IFERROR(__xludf.DUMMYFUNCTION("""COMPUTED_VALUE"""),"CANCELLED")</f>
        <v>CANCELLED</v>
      </c>
      <c r="U2654" s="1"/>
      <c r="V2654" s="1"/>
      <c r="W2654" s="1"/>
    </row>
    <row r="2655" customHeight="1" spans="1:23">
      <c r="A2655" s="3">
        <f>IFERROR(__xludf.DUMMYFUNCTION("""COMPUTED_VALUE"""),46239)</f>
        <v>46239</v>
      </c>
      <c r="B2655" s="1" t="str">
        <f>IFERROR(__xludf.DUMMYFUNCTION("""COMPUTED_VALUE"""),"FRANCISCO , ROSELYN")</f>
        <v>FRANCISCO , ROSELYN</v>
      </c>
      <c r="C2655" s="1" t="str">
        <f>IFERROR(__xludf.DUMMYFUNCTION("""COMPUTED_VALUE"""),"ORGANIC")</f>
        <v>ORGANIC</v>
      </c>
      <c r="D2655" s="1" t="str">
        <f>IFERROR(__xludf.DUMMYFUNCTION("""COMPUTED_VALUE"""),"REMOLLO LEA")</f>
        <v>REMOLLO LEA</v>
      </c>
      <c r="E2655" s="1" t="str">
        <f>IFERROR(__xludf.DUMMYFUNCTION("""COMPUTED_VALUE"""),"PLDT / ONLINE")</f>
        <v>PLDT / ONLINE</v>
      </c>
      <c r="F2655" s="1">
        <f>IFERROR(__xludf.DUMMYFUNCTION("""COMPUTED_VALUE"""),2311540419)</f>
        <v>2311540419</v>
      </c>
      <c r="G2655" s="1">
        <f>IFERROR(__xludf.DUMMYFUNCTION("""COMPUTED_VALUE"""),465288111004)</f>
        <v>465288111004</v>
      </c>
      <c r="H2655" s="1" t="str">
        <f>IFERROR(__xludf.DUMMYFUNCTION("""COMPUTED_VALUE"""),"KEVIN NUNEZ SULAYAO")</f>
        <v>KEVIN NUNEZ SULAYAO</v>
      </c>
      <c r="I2655" s="1">
        <f>IFERROR(__xludf.DUMMYFUNCTION("""COMPUTED_VALUE"""),9757143739)</f>
        <v>9757143739</v>
      </c>
      <c r="J2655" s="1">
        <f>IFERROR(__xludf.DUMMYFUNCTION("""COMPUTED_VALUE"""),9915035230)</f>
        <v>9915035230</v>
      </c>
      <c r="K2655" s="1" t="str">
        <f>IFERROR(__xludf.DUMMYFUNCTION("""COMPUTED_VALUE"""),"rangersalayao21@gmail.com")</f>
        <v>rangersalayao21@gmail.com</v>
      </c>
      <c r="L2655" s="1" t="str">
        <f>IFERROR(__xludf.DUMMYFUNCTION("""COMPUTED_VALUE"""),"11b")</f>
        <v>11b</v>
      </c>
      <c r="M2655" s="1" t="str">
        <f>IFERROR(__xludf.DUMMYFUNCTION("""COMPUTED_VALUE"""),"SITIO MATABOK")</f>
        <v>SITIO MATABOK</v>
      </c>
      <c r="N2655" s="1"/>
      <c r="O2655" s="1" t="str">
        <f>IFERROR(__xludf.DUMMYFUNCTION("""COMPUTED_VALUE"""),"CALIBUYO")</f>
        <v>CALIBUYO</v>
      </c>
      <c r="P2655" s="1" t="str">
        <f>IFERROR(__xludf.DUMMYFUNCTION("""COMPUTED_VALUE"""),"TANZA")</f>
        <v>TANZA</v>
      </c>
      <c r="Q2655" s="1" t="str">
        <f>IFERROR(__xludf.DUMMYFUNCTION("""COMPUTED_VALUE"""),"CAVITE")</f>
        <v>CAVITE</v>
      </c>
      <c r="R2655" s="1" t="str">
        <f>IFERROR(__xludf.DUMMYFUNCTION("""COMPUTED_VALUE"""),"FIBR PLAN 1299")</f>
        <v>FIBR PLAN 1299</v>
      </c>
      <c r="S2655" s="1" t="str">
        <f>IFERROR(__xludf.DUMMYFUNCTION("""COMPUTED_VALUE"""),"APPROVED")</f>
        <v>APPROVED</v>
      </c>
      <c r="T2655" s="1" t="str">
        <f>IFERROR(__xludf.DUMMYFUNCTION("""COMPUTED_VALUE"""),"CANCELLED")</f>
        <v>CANCELLED</v>
      </c>
      <c r="U2655" s="1"/>
      <c r="V2655" s="1"/>
      <c r="W2655" s="1"/>
    </row>
    <row r="2656" customHeight="1" spans="1:23">
      <c r="A2656" s="3">
        <f>IFERROR(__xludf.DUMMYFUNCTION("""COMPUTED_VALUE"""),46239)</f>
        <v>46239</v>
      </c>
      <c r="B2656" s="1" t="str">
        <f>IFERROR(__xludf.DUMMYFUNCTION("""COMPUTED_VALUE"""),"IVNO, RAZZEL")</f>
        <v>IVNO, RAZZEL</v>
      </c>
      <c r="C2656" s="1" t="str">
        <f>IFERROR(__xludf.DUMMYFUNCTION("""COMPUTED_VALUE"""),"ORGANIC")</f>
        <v>ORGANIC</v>
      </c>
      <c r="D2656" s="1" t="str">
        <f>IFERROR(__xludf.DUMMYFUNCTION("""COMPUTED_VALUE"""),"REMOLLO LEA")</f>
        <v>REMOLLO LEA</v>
      </c>
      <c r="E2656" s="1" t="str">
        <f>IFERROR(__xludf.DUMMYFUNCTION("""COMPUTED_VALUE"""),"PLDT / H2H")</f>
        <v>PLDT / H2H</v>
      </c>
      <c r="F2656" s="1">
        <f>IFERROR(__xludf.DUMMYFUNCTION("""COMPUTED_VALUE"""),2311552826)</f>
        <v>2311552826</v>
      </c>
      <c r="G2656" s="1">
        <f>IFERROR(__xludf.DUMMYFUNCTION("""COMPUTED_VALUE"""),465289110004)</f>
        <v>465289110004</v>
      </c>
      <c r="H2656" s="1" t="str">
        <f>IFERROR(__xludf.DUMMYFUNCTION("""COMPUTED_VALUE"""),"AERON BRIXTER LOPEZ AURE")</f>
        <v>AERON BRIXTER LOPEZ AURE</v>
      </c>
      <c r="I2656" s="1">
        <f>IFERROR(__xludf.DUMMYFUNCTION("""COMPUTED_VALUE"""),9196503053)</f>
        <v>9196503053</v>
      </c>
      <c r="J2656" s="1"/>
      <c r="K2656" s="1" t="str">
        <f>IFERROR(__xludf.DUMMYFUNCTION("""COMPUTED_VALUE"""),"aeronbrixaure@gmail.com")</f>
        <v>aeronbrixaure@gmail.com</v>
      </c>
      <c r="L2656" s="1" t="str">
        <f>IFERROR(__xludf.DUMMYFUNCTION("""COMPUTED_VALUE"""),"16")</f>
        <v>16</v>
      </c>
      <c r="M2656" s="1" t="str">
        <f>IFERROR(__xludf.DUMMYFUNCTION("""COMPUTED_VALUE"""),"CAMERINO ")</f>
        <v>CAMERINO </v>
      </c>
      <c r="N2656" s="1"/>
      <c r="O2656" s="1" t="str">
        <f>IFERROR(__xludf.DUMMYFUNCTION("""COMPUTED_VALUE"""),"PAJO")</f>
        <v>PAJO</v>
      </c>
      <c r="P2656" s="1" t="str">
        <f>IFERROR(__xludf.DUMMYFUNCTION("""COMPUTED_VALUE"""),"ALFONSO")</f>
        <v>ALFONSO</v>
      </c>
      <c r="Q2656" s="1" t="str">
        <f>IFERROR(__xludf.DUMMYFUNCTION("""COMPUTED_VALUE"""),"CAVITE")</f>
        <v>CAVITE</v>
      </c>
      <c r="R2656" s="1" t="str">
        <f>IFERROR(__xludf.DUMMYFUNCTION("""COMPUTED_VALUE"""),"FIBR NETFLIX PLAN 1599")</f>
        <v>FIBR NETFLIX PLAN 1599</v>
      </c>
      <c r="S2656" s="1" t="str">
        <f>IFERROR(__xludf.DUMMYFUNCTION("""COMPUTED_VALUE"""),"APPROVED")</f>
        <v>APPROVED</v>
      </c>
      <c r="T2656" s="1" t="str">
        <f>IFERROR(__xludf.DUMMYFUNCTION("""COMPUTED_VALUE"""),"CLOSED")</f>
        <v>CLOSED</v>
      </c>
      <c r="U2656" s="1" t="str">
        <f>IFERROR(__xludf.DUMMYFUNCTION("""COMPUTED_VALUE"""),"POSTED")</f>
        <v>POSTED</v>
      </c>
      <c r="V2656" s="1"/>
      <c r="W2656" s="1"/>
    </row>
    <row r="2657" customHeight="1" spans="1:23">
      <c r="A2657" s="3">
        <f>IFERROR(__xludf.DUMMYFUNCTION("""COMPUTED_VALUE"""),46239)</f>
        <v>46239</v>
      </c>
      <c r="B2657" s="1" t="str">
        <f>IFERROR(__xludf.DUMMYFUNCTION("""COMPUTED_VALUE"""),"MALIWAT MARK ELVIN")</f>
        <v>MALIWAT MARK ELVIN</v>
      </c>
      <c r="C2657" s="1" t="str">
        <f>IFERROR(__xludf.DUMMYFUNCTION("""COMPUTED_VALUE"""),"FLA")</f>
        <v>FLA</v>
      </c>
      <c r="D2657" s="1" t="str">
        <f>IFERROR(__xludf.DUMMYFUNCTION("""COMPUTED_VALUE"""),"JERIC NAVARRO")</f>
        <v>JERIC NAVARRO</v>
      </c>
      <c r="E2657" s="1" t="str">
        <f>IFERROR(__xludf.DUMMYFUNCTION("""COMPUTED_VALUE"""),"PLDT / ONLINE")</f>
        <v>PLDT / ONLINE</v>
      </c>
      <c r="F2657" s="1">
        <f>IFERROR(__xludf.DUMMYFUNCTION("""COMPUTED_VALUE"""),2311551460)</f>
        <v>2311551460</v>
      </c>
      <c r="G2657" s="1"/>
      <c r="H2657" s="1" t="str">
        <f>IFERROR(__xludf.DUMMYFUNCTION("""COMPUTED_VALUE"""),"JOHN RAY MARQUEZ LECAROS")</f>
        <v>JOHN RAY MARQUEZ LECAROS</v>
      </c>
      <c r="I2657" s="1">
        <f>IFERROR(__xludf.DUMMYFUNCTION("""COMPUTED_VALUE"""),9162177848)</f>
        <v>9162177848</v>
      </c>
      <c r="J2657" s="1"/>
      <c r="K2657" s="1" t="str">
        <f>IFERROR(__xludf.DUMMYFUNCTION("""COMPUTED_VALUE"""),"johnray_lecaros@yahoo.com")</f>
        <v>johnray_lecaros@yahoo.com</v>
      </c>
      <c r="L2657" s="1" t="str">
        <f>IFERROR(__xludf.DUMMYFUNCTION("""COMPUTED_VALUE"""),"BLK 13 LOT 11")</f>
        <v>BLK 13 LOT 11</v>
      </c>
      <c r="M2657" s="1" t="str">
        <f>IFERROR(__xludf.DUMMYFUNCTION("""COMPUTED_VALUE"""),"PHASE 2")</f>
        <v>PHASE 2</v>
      </c>
      <c r="N2657" s="1" t="str">
        <f>IFERROR(__xludf.DUMMYFUNCTION("""COMPUTED_VALUE"""),"TIERA VISTA")</f>
        <v>TIERA VISTA</v>
      </c>
      <c r="O2657" s="1" t="str">
        <f>IFERROR(__xludf.DUMMYFUNCTION("""COMPUTED_VALUE"""),"SANTIAGO")</f>
        <v>SANTIAGO</v>
      </c>
      <c r="P2657" s="1" t="str">
        <f>IFERROR(__xludf.DUMMYFUNCTION("""COMPUTED_VALUE"""),"GENERAL TRIAS")</f>
        <v>GENERAL TRIAS</v>
      </c>
      <c r="Q2657" s="1" t="str">
        <f>IFERROR(__xludf.DUMMYFUNCTION("""COMPUTED_VALUE"""),"CAVITE")</f>
        <v>CAVITE</v>
      </c>
      <c r="R2657" s="1" t="str">
        <f>IFERROR(__xludf.DUMMYFUNCTION("""COMPUTED_VALUE"""),"FIBR PLAN 2099")</f>
        <v>FIBR PLAN 2099</v>
      </c>
      <c r="S2657" s="1" t="str">
        <f>IFERROR(__xludf.DUMMYFUNCTION("""COMPUTED_VALUE"""),"APPROVED")</f>
        <v>APPROVED</v>
      </c>
      <c r="T2657" s="1" t="str">
        <f>IFERROR(__xludf.DUMMYFUNCTION("""COMPUTED_VALUE"""),"CANCELLED")</f>
        <v>CANCELLED</v>
      </c>
      <c r="U2657" s="1"/>
      <c r="V2657" s="1"/>
      <c r="W2657" s="1"/>
    </row>
    <row r="2658" customHeight="1" spans="1:23">
      <c r="A2658" s="3">
        <f>IFERROR(__xludf.DUMMYFUNCTION("""COMPUTED_VALUE"""),46239)</f>
        <v>46239</v>
      </c>
      <c r="B2658" s="1" t="str">
        <f>IFERROR(__xludf.DUMMYFUNCTION("""COMPUTED_VALUE"""),"FRANCISCO , ROSELYN")</f>
        <v>FRANCISCO , ROSELYN</v>
      </c>
      <c r="C2658" s="1" t="str">
        <f>IFERROR(__xludf.DUMMYFUNCTION("""COMPUTED_VALUE"""),"ORGANIC")</f>
        <v>ORGANIC</v>
      </c>
      <c r="D2658" s="1" t="str">
        <f>IFERROR(__xludf.DUMMYFUNCTION("""COMPUTED_VALUE"""),"REMOLLO LEA")</f>
        <v>REMOLLO LEA</v>
      </c>
      <c r="E2658" s="1" t="str">
        <f>IFERROR(__xludf.DUMMYFUNCTION("""COMPUTED_VALUE"""),"PLDT / ONLINE")</f>
        <v>PLDT / ONLINE</v>
      </c>
      <c r="F2658" s="1">
        <f>IFERROR(__xludf.DUMMYFUNCTION("""COMPUTED_VALUE"""),2311542262)</f>
        <v>2311542262</v>
      </c>
      <c r="G2658" s="1">
        <f>IFERROR(__xludf.DUMMYFUNCTION("""COMPUTED_VALUE"""),465279616004)</f>
        <v>465279616004</v>
      </c>
      <c r="H2658" s="1" t="str">
        <f>IFERROR(__xludf.DUMMYFUNCTION("""COMPUTED_VALUE"""),"MANUELITO DANO PAVIA")</f>
        <v>MANUELITO DANO PAVIA</v>
      </c>
      <c r="I2658" s="1">
        <f>IFERROR(__xludf.DUMMYFUNCTION("""COMPUTED_VALUE"""),9473597665)</f>
        <v>9473597665</v>
      </c>
      <c r="J2658" s="1">
        <f>IFERROR(__xludf.DUMMYFUNCTION("""COMPUTED_VALUE"""),9959018809)</f>
        <v>9959018809</v>
      </c>
      <c r="K2658" s="1" t="str">
        <f>IFERROR(__xludf.DUMMYFUNCTION("""COMPUTED_VALUE"""),"tessa101814@gmail.com")</f>
        <v>tessa101814@gmail.com</v>
      </c>
      <c r="L2658" s="1" t="str">
        <f>IFERROR(__xludf.DUMMYFUNCTION("""COMPUTED_VALUE"""),"1349")</f>
        <v>1349</v>
      </c>
      <c r="M2658" s="1" t="str">
        <f>IFERROR(__xludf.DUMMYFUNCTION("""COMPUTED_VALUE"""),"JULIAN FELIFE")</f>
        <v>JULIAN FELIFE</v>
      </c>
      <c r="N2658" s="1"/>
      <c r="O2658" s="1" t="str">
        <f>IFERROR(__xludf.DUMMYFUNCTION("""COMPUTED_VALUE"""),"BARANGAY 51 (KAMAGONG)")</f>
        <v>BARANGAY 51 (KAMAGONG)</v>
      </c>
      <c r="P2658" s="1" t="str">
        <f>IFERROR(__xludf.DUMMYFUNCTION("""COMPUTED_VALUE"""),"CAVITE CITY")</f>
        <v>CAVITE CITY</v>
      </c>
      <c r="Q2658" s="1" t="str">
        <f>IFERROR(__xludf.DUMMYFUNCTION("""COMPUTED_VALUE"""),"CAVITE")</f>
        <v>CAVITE</v>
      </c>
      <c r="R2658" s="1" t="str">
        <f>IFERROR(__xludf.DUMMYFUNCTION("""COMPUTED_VALUE"""),"FIBR NETFLIX PLAN 1599")</f>
        <v>FIBR NETFLIX PLAN 1599</v>
      </c>
      <c r="S2658" s="1" t="str">
        <f>IFERROR(__xludf.DUMMYFUNCTION("""COMPUTED_VALUE"""),"APPROVED")</f>
        <v>APPROVED</v>
      </c>
      <c r="T2658" s="1" t="str">
        <f>IFERROR(__xludf.DUMMYFUNCTION("""COMPUTED_VALUE"""),"CLOSED")</f>
        <v>CLOSED</v>
      </c>
      <c r="U2658" s="1" t="str">
        <f>IFERROR(__xludf.DUMMYFUNCTION("""COMPUTED_VALUE"""),"POSTED")</f>
        <v>POSTED</v>
      </c>
      <c r="V2658" s="1"/>
      <c r="W2658" s="1"/>
    </row>
    <row r="2659" customHeight="1" spans="1:23">
      <c r="A2659" s="3">
        <f>IFERROR(__xludf.DUMMYFUNCTION("""COMPUTED_VALUE"""),46240)</f>
        <v>46240</v>
      </c>
      <c r="B2659" s="1" t="str">
        <f>IFERROR(__xludf.DUMMYFUNCTION("""COMPUTED_VALUE"""),"FRANCISCO , ROSELYN")</f>
        <v>FRANCISCO , ROSELYN</v>
      </c>
      <c r="C2659" s="1" t="str">
        <f>IFERROR(__xludf.DUMMYFUNCTION("""COMPUTED_VALUE"""),"ORGANIC")</f>
        <v>ORGANIC</v>
      </c>
      <c r="D2659" s="1" t="str">
        <f>IFERROR(__xludf.DUMMYFUNCTION("""COMPUTED_VALUE"""),"REMOLLO LEA")</f>
        <v>REMOLLO LEA</v>
      </c>
      <c r="E2659" s="1" t="str">
        <f>IFERROR(__xludf.DUMMYFUNCTION("""COMPUTED_VALUE"""),"PLDT / H2H")</f>
        <v>PLDT / H2H</v>
      </c>
      <c r="F2659" s="1">
        <f>IFERROR(__xludf.DUMMYFUNCTION("""COMPUTED_VALUE"""),2311576535)</f>
        <v>2311576535</v>
      </c>
      <c r="G2659" s="1">
        <f>IFERROR(__xludf.DUMMYFUNCTION("""COMPUTED_VALUE"""),465379659004)</f>
        <v>465379659004</v>
      </c>
      <c r="H2659" s="1" t="str">
        <f>IFERROR(__xludf.DUMMYFUNCTION("""COMPUTED_VALUE"""),"ROLAND JOSHUA CAINONG BAYBAY")</f>
        <v>ROLAND JOSHUA CAINONG BAYBAY</v>
      </c>
      <c r="I2659" s="1">
        <f>IFERROR(__xludf.DUMMYFUNCTION("""COMPUTED_VALUE"""),9352589722)</f>
        <v>9352589722</v>
      </c>
      <c r="J2659" s="1"/>
      <c r="K2659" s="1" t="str">
        <f>IFERROR(__xludf.DUMMYFUNCTION("""COMPUTED_VALUE"""),"joshuabaybay987@gmail.com")</f>
        <v>joshuabaybay987@gmail.com</v>
      </c>
      <c r="L2659" s="1" t="str">
        <f>IFERROR(__xludf.DUMMYFUNCTION("""COMPUTED_VALUE"""),"134")</f>
        <v>134</v>
      </c>
      <c r="M2659" s="1" t="str">
        <f>IFERROR(__xludf.DUMMYFUNCTION("""COMPUTED_VALUE"""),"MABINI")</f>
        <v>MABINI</v>
      </c>
      <c r="N2659" s="1"/>
      <c r="O2659" s="1" t="str">
        <f>IFERROR(__xludf.DUMMYFUNCTION("""COMPUTED_VALUE"""),"BARANGAY 5 (POB.)")</f>
        <v>BARANGAY 5 (POB.)</v>
      </c>
      <c r="P2659" s="1" t="str">
        <f>IFERROR(__xludf.DUMMYFUNCTION("""COMPUTED_VALUE"""),"AMADEO")</f>
        <v>AMADEO</v>
      </c>
      <c r="Q2659" s="1" t="str">
        <f>IFERROR(__xludf.DUMMYFUNCTION("""COMPUTED_VALUE"""),"CAVITE")</f>
        <v>CAVITE</v>
      </c>
      <c r="R2659" s="1" t="str">
        <f>IFERROR(__xludf.DUMMYFUNCTION("""COMPUTED_VALUE"""),"FIBR UNLI ALL PLAN 999")</f>
        <v>FIBR UNLI ALL PLAN 999</v>
      </c>
      <c r="S2659" s="1" t="str">
        <f>IFERROR(__xludf.DUMMYFUNCTION("""COMPUTED_VALUE"""),"APPROVED")</f>
        <v>APPROVED</v>
      </c>
      <c r="T2659" s="1" t="str">
        <f>IFERROR(__xludf.DUMMYFUNCTION("""COMPUTED_VALUE"""),"CLOSED")</f>
        <v>CLOSED</v>
      </c>
      <c r="U2659" s="1" t="str">
        <f>IFERROR(__xludf.DUMMYFUNCTION("""COMPUTED_VALUE"""),"POSTED")</f>
        <v>POSTED</v>
      </c>
      <c r="V2659" s="1"/>
      <c r="W2659" s="1"/>
    </row>
    <row r="2660" customHeight="1" spans="1:23">
      <c r="A2660" s="3">
        <f>IFERROR(__xludf.DUMMYFUNCTION("""COMPUTED_VALUE"""),46240)</f>
        <v>46240</v>
      </c>
      <c r="B2660" s="1" t="str">
        <f>IFERROR(__xludf.DUMMYFUNCTION("""COMPUTED_VALUE"""),"ESCARCHA, MA ALMA  ESCOTO")</f>
        <v>ESCARCHA, MA ALMA  ESCOTO</v>
      </c>
      <c r="C2660" s="1" t="str">
        <f>IFERROR(__xludf.DUMMYFUNCTION("""COMPUTED_VALUE"""),"ORGANIC")</f>
        <v>ORGANIC</v>
      </c>
      <c r="D2660" s="1" t="str">
        <f>IFERROR(__xludf.DUMMYFUNCTION("""COMPUTED_VALUE"""),"REMOLLO LEA")</f>
        <v>REMOLLO LEA</v>
      </c>
      <c r="E2660" s="1" t="str">
        <f>IFERROR(__xludf.DUMMYFUNCTION("""COMPUTED_VALUE"""),"PLDT / H2H")</f>
        <v>PLDT / H2H</v>
      </c>
      <c r="F2660" s="1">
        <f>IFERROR(__xludf.DUMMYFUNCTION("""COMPUTED_VALUE"""),2311577422)</f>
        <v>2311577422</v>
      </c>
      <c r="G2660" s="1"/>
      <c r="H2660" s="1" t="str">
        <f>IFERROR(__xludf.DUMMYFUNCTION("""COMPUTED_VALUE"""),"MA HELEN COLAS EVANGELSTA")</f>
        <v>MA HELEN COLAS EVANGELSTA</v>
      </c>
      <c r="I2660" s="1">
        <f>IFERROR(__xludf.DUMMYFUNCTION("""COMPUTED_VALUE"""),9389064837)</f>
        <v>9389064837</v>
      </c>
      <c r="J2660" s="1"/>
      <c r="K2660" s="1" t="str">
        <f>IFERROR(__xludf.DUMMYFUNCTION("""COMPUTED_VALUE"""),"helenevangelista22@gmail.com")</f>
        <v>helenevangelista22@gmail.com</v>
      </c>
      <c r="L2660" s="1" t="str">
        <f>IFERROR(__xludf.DUMMYFUNCTION("""COMPUTED_VALUE"""),"2332")</f>
        <v>2332</v>
      </c>
      <c r="M2660" s="1" t="str">
        <f>IFERROR(__xludf.DUMMYFUNCTION("""COMPUTED_VALUE"""),"PUROK 35")</f>
        <v>PUROK 35</v>
      </c>
      <c r="N2660" s="1"/>
      <c r="O2660" s="1" t="str">
        <f>IFERROR(__xludf.DUMMYFUNCTION("""COMPUTED_VALUE"""),"DAGATAN")</f>
        <v>DAGATAN</v>
      </c>
      <c r="P2660" s="1" t="str">
        <f>IFERROR(__xludf.DUMMYFUNCTION("""COMPUTED_VALUE"""),"SILANG")</f>
        <v>SILANG</v>
      </c>
      <c r="Q2660" s="1" t="str">
        <f>IFERROR(__xludf.DUMMYFUNCTION("""COMPUTED_VALUE"""),"CAVITE")</f>
        <v>CAVITE</v>
      </c>
      <c r="R2660" s="1" t="str">
        <f>IFERROR(__xludf.DUMMYFUNCTION("""COMPUTED_VALUE"""),"FIBR PLAN 1299")</f>
        <v>FIBR PLAN 1299</v>
      </c>
      <c r="S2660" s="1" t="str">
        <f>IFERROR(__xludf.DUMMYFUNCTION("""COMPUTED_VALUE"""),"APPROVED")</f>
        <v>APPROVED</v>
      </c>
      <c r="T2660" s="1" t="str">
        <f>IFERROR(__xludf.DUMMYFUNCTION("""COMPUTED_VALUE"""),"CANCELLED")</f>
        <v>CANCELLED</v>
      </c>
      <c r="U2660" s="1"/>
      <c r="V2660" s="1"/>
      <c r="W2660" s="1"/>
    </row>
    <row r="2661" customHeight="1" spans="1:23">
      <c r="A2661" s="3">
        <f>IFERROR(__xludf.DUMMYFUNCTION("""COMPUTED_VALUE"""),46240)</f>
        <v>46240</v>
      </c>
      <c r="B2661" s="1" t="str">
        <f>IFERROR(__xludf.DUMMYFUNCTION("""COMPUTED_VALUE"""),"FRANCISCO , ROSELYN")</f>
        <v>FRANCISCO , ROSELYN</v>
      </c>
      <c r="C2661" s="1" t="str">
        <f>IFERROR(__xludf.DUMMYFUNCTION("""COMPUTED_VALUE"""),"ORGANIC")</f>
        <v>ORGANIC</v>
      </c>
      <c r="D2661" s="1" t="str">
        <f>IFERROR(__xludf.DUMMYFUNCTION("""COMPUTED_VALUE"""),"REMOLLO LEA")</f>
        <v>REMOLLO LEA</v>
      </c>
      <c r="E2661" s="1" t="str">
        <f>IFERROR(__xludf.DUMMYFUNCTION("""COMPUTED_VALUE"""),"PLDT / H2H")</f>
        <v>PLDT / H2H</v>
      </c>
      <c r="F2661" s="1">
        <f>IFERROR(__xludf.DUMMYFUNCTION("""COMPUTED_VALUE"""),2311575908)</f>
        <v>2311575908</v>
      </c>
      <c r="G2661" s="1">
        <f>IFERROR(__xludf.DUMMYFUNCTION("""COMPUTED_VALUE"""),465377399004)</f>
        <v>465377399004</v>
      </c>
      <c r="H2661" s="1" t="str">
        <f>IFERROR(__xludf.DUMMYFUNCTION("""COMPUTED_VALUE"""),"MAXIMA RIVERA DAJAC")</f>
        <v>MAXIMA RIVERA DAJAC</v>
      </c>
      <c r="I2661" s="1">
        <f>IFERROR(__xludf.DUMMYFUNCTION("""COMPUTED_VALUE"""),9919142094)</f>
        <v>9919142094</v>
      </c>
      <c r="J2661" s="1">
        <f>IFERROR(__xludf.DUMMYFUNCTION("""COMPUTED_VALUE"""),9941154313)</f>
        <v>9941154313</v>
      </c>
      <c r="K2661" s="1" t="str">
        <f>IFERROR(__xludf.DUMMYFUNCTION("""COMPUTED_VALUE"""),"dajacedmarie930@gmail.com")</f>
        <v>dajacedmarie930@gmail.com</v>
      </c>
      <c r="L2661" s="1" t="str">
        <f>IFERROR(__xludf.DUMMYFUNCTION("""COMPUTED_VALUE"""),"9058")</f>
        <v>9058</v>
      </c>
      <c r="M2661" s="1" t="str">
        <f>IFERROR(__xludf.DUMMYFUNCTION("""COMPUTED_VALUE"""),"PUROK 2")</f>
        <v>PUROK 2</v>
      </c>
      <c r="N2661" s="1"/>
      <c r="O2661" s="1" t="str">
        <f>IFERROR(__xludf.DUMMYFUNCTION("""COMPUTED_VALUE"""),"SINALIW MALAKI")</f>
        <v>SINALIW MALAKI</v>
      </c>
      <c r="P2661" s="1" t="str">
        <f>IFERROR(__xludf.DUMMYFUNCTION("""COMPUTED_VALUE"""),"ALFONSO")</f>
        <v>ALFONSO</v>
      </c>
      <c r="Q2661" s="1" t="str">
        <f>IFERROR(__xludf.DUMMYFUNCTION("""COMPUTED_VALUE"""),"CAVITE")</f>
        <v>CAVITE</v>
      </c>
      <c r="R2661" s="1" t="str">
        <f>IFERROR(__xludf.DUMMYFUNCTION("""COMPUTED_VALUE"""),"FIBR UNLI ALL PLAN 999")</f>
        <v>FIBR UNLI ALL PLAN 999</v>
      </c>
      <c r="S2661" s="1" t="str">
        <f>IFERROR(__xludf.DUMMYFUNCTION("""COMPUTED_VALUE"""),"APPROVED")</f>
        <v>APPROVED</v>
      </c>
      <c r="T2661" s="1" t="str">
        <f>IFERROR(__xludf.DUMMYFUNCTION("""COMPUTED_VALUE"""),"CANCELLED")</f>
        <v>CANCELLED</v>
      </c>
      <c r="U2661" s="1"/>
      <c r="V2661" s="1"/>
      <c r="W2661" s="1"/>
    </row>
    <row r="2662" customHeight="1" spans="1:23">
      <c r="A2662" s="3">
        <f>IFERROR(__xludf.DUMMYFUNCTION("""COMPUTED_VALUE"""),46240)</f>
        <v>46240</v>
      </c>
      <c r="B2662" s="1" t="str">
        <f>IFERROR(__xludf.DUMMYFUNCTION("""COMPUTED_VALUE"""),"IVNO, RAZZEL")</f>
        <v>IVNO, RAZZEL</v>
      </c>
      <c r="C2662" s="1" t="str">
        <f>IFERROR(__xludf.DUMMYFUNCTION("""COMPUTED_VALUE"""),"ORGANIC")</f>
        <v>ORGANIC</v>
      </c>
      <c r="D2662" s="1" t="str">
        <f>IFERROR(__xludf.DUMMYFUNCTION("""COMPUTED_VALUE"""),"REMOLLO LEA")</f>
        <v>REMOLLO LEA</v>
      </c>
      <c r="E2662" s="1" t="str">
        <f>IFERROR(__xludf.DUMMYFUNCTION("""COMPUTED_VALUE"""),"PLDT / H2H")</f>
        <v>PLDT / H2H</v>
      </c>
      <c r="F2662" s="1">
        <f>IFERROR(__xludf.DUMMYFUNCTION("""COMPUTED_VALUE"""),2311648027)</f>
        <v>2311648027</v>
      </c>
      <c r="G2662" s="1">
        <f>IFERROR(__xludf.DUMMYFUNCTION("""COMPUTED_VALUE"""),465808958004)</f>
        <v>465808958004</v>
      </c>
      <c r="H2662" s="1" t="str">
        <f>IFERROR(__xludf.DUMMYFUNCTION("""COMPUTED_VALUE"""),"WILLIAM DILAG FENOMENO")</f>
        <v>WILLIAM DILAG FENOMENO</v>
      </c>
      <c r="I2662" s="1">
        <f>IFERROR(__xludf.DUMMYFUNCTION("""COMPUTED_VALUE"""),9919142094)</f>
        <v>9919142094</v>
      </c>
      <c r="J2662" s="1">
        <f>IFERROR(__xludf.DUMMYFUNCTION("""COMPUTED_VALUE"""),9941154313)</f>
        <v>9941154313</v>
      </c>
      <c r="K2662" s="1" t="str">
        <f>IFERROR(__xludf.DUMMYFUNCTION("""COMPUTED_VALUE"""),"anhphat260880@gmail.com")</f>
        <v>anhphat260880@gmail.com</v>
      </c>
      <c r="L2662" s="1" t="str">
        <f>IFERROR(__xludf.DUMMYFUNCTION("""COMPUTED_VALUE"""),"6705")</f>
        <v>6705</v>
      </c>
      <c r="M2662" s="1" t="str">
        <f>IFERROR(__xludf.DUMMYFUNCTION("""COMPUTED_VALUE"""),"ZAMORA")</f>
        <v>ZAMORA</v>
      </c>
      <c r="N2662" s="1"/>
      <c r="O2662" s="1" t="str">
        <f>IFERROR(__xludf.DUMMYFUNCTION("""COMPUTED_VALUE"""),"BARANGAY 4 (POB.)")</f>
        <v>BARANGAY 4 (POB.)</v>
      </c>
      <c r="P2662" s="1" t="str">
        <f>IFERROR(__xludf.DUMMYFUNCTION("""COMPUTED_VALUE"""),"AMADEO")</f>
        <v>AMADEO</v>
      </c>
      <c r="Q2662" s="1" t="str">
        <f>IFERROR(__xludf.DUMMYFUNCTION("""COMPUTED_VALUE"""),"CAVITE")</f>
        <v>CAVITE</v>
      </c>
      <c r="R2662" s="1" t="str">
        <f>IFERROR(__xludf.DUMMYFUNCTION("""COMPUTED_VALUE"""),"FIBR UNLI ALL PLAN 1499")</f>
        <v>FIBR UNLI ALL PLAN 1499</v>
      </c>
      <c r="S2662" s="1" t="str">
        <f>IFERROR(__xludf.DUMMYFUNCTION("""COMPUTED_VALUE"""),"APPROVED")</f>
        <v>APPROVED</v>
      </c>
      <c r="T2662" s="1" t="str">
        <f>IFERROR(__xludf.DUMMYFUNCTION("""COMPUTED_VALUE"""),"CLOSED")</f>
        <v>CLOSED</v>
      </c>
      <c r="U2662" s="1" t="str">
        <f>IFERROR(__xludf.DUMMYFUNCTION("""COMPUTED_VALUE"""),"POSTED")</f>
        <v>POSTED</v>
      </c>
      <c r="V2662" s="1"/>
      <c r="W2662" s="1"/>
    </row>
    <row r="2663" customHeight="1" spans="1:23">
      <c r="A2663" s="3">
        <f>IFERROR(__xludf.DUMMYFUNCTION("""COMPUTED_VALUE"""),46240)</f>
        <v>46240</v>
      </c>
      <c r="B2663" s="1" t="str">
        <f>IFERROR(__xludf.DUMMYFUNCTION("""COMPUTED_VALUE"""),"CONCEPCION, ALJAY")</f>
        <v>CONCEPCION, ALJAY</v>
      </c>
      <c r="C2663" s="1" t="str">
        <f>IFERROR(__xludf.DUMMYFUNCTION("""COMPUTED_VALUE"""),"ORGANIC")</f>
        <v>ORGANIC</v>
      </c>
      <c r="D2663" s="1" t="str">
        <f>IFERROR(__xludf.DUMMYFUNCTION("""COMPUTED_VALUE"""),"REMOLLO LEA")</f>
        <v>REMOLLO LEA</v>
      </c>
      <c r="E2663" s="1" t="str">
        <f>IFERROR(__xludf.DUMMYFUNCTION("""COMPUTED_VALUE"""),"PLDT / H2H")</f>
        <v>PLDT / H2H</v>
      </c>
      <c r="F2663" s="1"/>
      <c r="G2663" s="1"/>
      <c r="H2663" s="1" t="str">
        <f>IFERROR(__xludf.DUMMYFUNCTION("""COMPUTED_VALUE"""),"MARIA FATIMA CESAR CRISALDO")</f>
        <v>MARIA FATIMA CESAR CRISALDO</v>
      </c>
      <c r="I2663" s="1">
        <f>IFERROR(__xludf.DUMMYFUNCTION("""COMPUTED_VALUE"""),9499448674)</f>
        <v>9499448674</v>
      </c>
      <c r="J2663" s="1"/>
      <c r="K2663" s="1" t="str">
        <f>IFERROR(__xludf.DUMMYFUNCTION("""COMPUTED_VALUE"""),"fatimacrizaldo@gmail.com")</f>
        <v>fatimacrizaldo@gmail.com</v>
      </c>
      <c r="L2663" s="1" t="str">
        <f>IFERROR(__xludf.DUMMYFUNCTION("""COMPUTED_VALUE"""),"132")</f>
        <v>132</v>
      </c>
      <c r="M2663" s="1" t="str">
        <f>IFERROR(__xludf.DUMMYFUNCTION("""COMPUTED_VALUE"""),"SINALIW MALAKI")</f>
        <v>SINALIW MALAKI</v>
      </c>
      <c r="N2663" s="1"/>
      <c r="O2663" s="1" t="str">
        <f>IFERROR(__xludf.DUMMYFUNCTION("""COMPUTED_VALUE"""),"SINALIW MALAKI")</f>
        <v>SINALIW MALAKI</v>
      </c>
      <c r="P2663" s="1" t="str">
        <f>IFERROR(__xludf.DUMMYFUNCTION("""COMPUTED_VALUE"""),"ALFONSO")</f>
        <v>ALFONSO</v>
      </c>
      <c r="Q2663" s="1" t="str">
        <f>IFERROR(__xludf.DUMMYFUNCTION("""COMPUTED_VALUE"""),"CAVITE")</f>
        <v>CAVITE</v>
      </c>
      <c r="R2663" s="1" t="str">
        <f>IFERROR(__xludf.DUMMYFUNCTION("""COMPUTED_VALUE"""),"FIBR UNLI ALL PLAN 999")</f>
        <v>FIBR UNLI ALL PLAN 999</v>
      </c>
      <c r="S2663" s="1" t="str">
        <f>IFERROR(__xludf.DUMMYFUNCTION("""COMPUTED_VALUE"""),"RETURN FOR COMPLIANCE - AGENT")</f>
        <v>RETURN FOR COMPLIANCE - AGENT</v>
      </c>
      <c r="T2663" s="1" t="str">
        <f>IFERROR(__xludf.DUMMYFUNCTION("""COMPUTED_VALUE"""),"#N/A")</f>
        <v>#N/A</v>
      </c>
      <c r="U2663" s="1" t="str">
        <f>IFERROR(__xludf.DUMMYFUNCTION("""COMPUTED_VALUE"""),"TAMPERED ID // NOT READABLE INFO IN ID")</f>
        <v>TAMPERED ID // NOT READABLE INFO IN ID</v>
      </c>
      <c r="V2663" s="1"/>
      <c r="W2663" s="1"/>
    </row>
    <row r="2664" customHeight="1" spans="1:23">
      <c r="A2664" s="3">
        <f>IFERROR(__xludf.DUMMYFUNCTION("""COMPUTED_VALUE"""),46240)</f>
        <v>46240</v>
      </c>
      <c r="B2664" s="1" t="str">
        <f>IFERROR(__xludf.DUMMYFUNCTION("""COMPUTED_VALUE"""),"MANDUCDOC, MARIANE")</f>
        <v>MANDUCDOC, MARIANE</v>
      </c>
      <c r="C2664" s="1" t="str">
        <f>IFERROR(__xludf.DUMMYFUNCTION("""COMPUTED_VALUE"""),"ORGANIC")</f>
        <v>ORGANIC</v>
      </c>
      <c r="D2664" s="1" t="str">
        <f>IFERROR(__xludf.DUMMYFUNCTION("""COMPUTED_VALUE"""),"REMOLLO LEA")</f>
        <v>REMOLLO LEA</v>
      </c>
      <c r="E2664" s="1" t="str">
        <f>IFERROR(__xludf.DUMMYFUNCTION("""COMPUTED_VALUE"""),"PLDT / H2H")</f>
        <v>PLDT / H2H</v>
      </c>
      <c r="F2664" s="1">
        <f>IFERROR(__xludf.DUMMYFUNCTION("""COMPUTED_VALUE"""),2311581248)</f>
        <v>2311581248</v>
      </c>
      <c r="G2664" s="1">
        <f>IFERROR(__xludf.DUMMYFUNCTION("""COMPUTED_VALUE"""),465403711004)</f>
        <v>465403711004</v>
      </c>
      <c r="H2664" s="1" t="str">
        <f>IFERROR(__xludf.DUMMYFUNCTION("""COMPUTED_VALUE"""),"MARK JHUN FELIPE ORCE")</f>
        <v>MARK JHUN FELIPE ORCE</v>
      </c>
      <c r="I2664" s="1">
        <f>IFERROR(__xludf.DUMMYFUNCTION("""COMPUTED_VALUE"""),9663003310)</f>
        <v>9663003310</v>
      </c>
      <c r="J2664" s="1"/>
      <c r="K2664" s="1" t="str">
        <f>IFERROR(__xludf.DUMMYFUNCTION("""COMPUTED_VALUE"""),"markpardo0402@gmail.com")</f>
        <v>markpardo0402@gmail.com</v>
      </c>
      <c r="L2664" s="1" t="str">
        <f>IFERROR(__xludf.DUMMYFUNCTION("""COMPUTED_VALUE"""),"BLK 72 LOT 24")</f>
        <v>BLK 72 LOT 24</v>
      </c>
      <c r="M2664" s="1" t="str">
        <f>IFERROR(__xludf.DUMMYFUNCTION("""COMPUTED_VALUE"""),"IPIL")</f>
        <v>IPIL</v>
      </c>
      <c r="N2664" s="1"/>
      <c r="O2664" s="1" t="str">
        <f>IFERROR(__xludf.DUMMYFUNCTION("""COMPUTED_VALUE"""),"IPIL II")</f>
        <v>IPIL II</v>
      </c>
      <c r="P2664" s="1" t="str">
        <f>IFERROR(__xludf.DUMMYFUNCTION("""COMPUTED_VALUE"""),"SILANG")</f>
        <v>SILANG</v>
      </c>
      <c r="Q2664" s="1" t="str">
        <f>IFERROR(__xludf.DUMMYFUNCTION("""COMPUTED_VALUE"""),"CAVITE")</f>
        <v>CAVITE</v>
      </c>
      <c r="R2664" s="1" t="str">
        <f>IFERROR(__xludf.DUMMYFUNCTION("""COMPUTED_VALUE"""),"FIBR PLAN 1299")</f>
        <v>FIBR PLAN 1299</v>
      </c>
      <c r="S2664" s="1" t="str">
        <f>IFERROR(__xludf.DUMMYFUNCTION("""COMPUTED_VALUE"""),"APPROVED")</f>
        <v>APPROVED</v>
      </c>
      <c r="T2664" s="1" t="str">
        <f>IFERROR(__xludf.DUMMYFUNCTION("""COMPUTED_VALUE"""),"RPR")</f>
        <v>RPR</v>
      </c>
      <c r="U2664" s="1"/>
      <c r="V2664" s="1"/>
      <c r="W2664" s="1"/>
    </row>
    <row r="2665" customHeight="1" spans="1:23">
      <c r="A2665" s="3">
        <f>IFERROR(__xludf.DUMMYFUNCTION("""COMPUTED_VALUE"""),46240)</f>
        <v>46240</v>
      </c>
      <c r="B2665" s="1" t="str">
        <f>IFERROR(__xludf.DUMMYFUNCTION("""COMPUTED_VALUE"""),"ESCARCHA, MA ALMA  ESCOTO")</f>
        <v>ESCARCHA, MA ALMA  ESCOTO</v>
      </c>
      <c r="C2665" s="1" t="str">
        <f>IFERROR(__xludf.DUMMYFUNCTION("""COMPUTED_VALUE"""),"ORGANIC")</f>
        <v>ORGANIC</v>
      </c>
      <c r="D2665" s="1" t="str">
        <f>IFERROR(__xludf.DUMMYFUNCTION("""COMPUTED_VALUE"""),"REMOLLO LEA")</f>
        <v>REMOLLO LEA</v>
      </c>
      <c r="E2665" s="1" t="str">
        <f>IFERROR(__xludf.DUMMYFUNCTION("""COMPUTED_VALUE"""),"PLDT / H2H")</f>
        <v>PLDT / H2H</v>
      </c>
      <c r="F2665" s="1">
        <f>IFERROR(__xludf.DUMMYFUNCTION("""COMPUTED_VALUE"""),2311582478)</f>
        <v>2311582478</v>
      </c>
      <c r="G2665" s="1">
        <f>IFERROR(__xludf.DUMMYFUNCTION("""COMPUTED_VALUE"""),465405331004)</f>
        <v>465405331004</v>
      </c>
      <c r="H2665" s="1" t="str">
        <f>IFERROR(__xludf.DUMMYFUNCTION("""COMPUTED_VALUE"""),"ERWIN MACHINA CESAR JR")</f>
        <v>ERWIN MACHINA CESAR JR</v>
      </c>
      <c r="I2665" s="1">
        <f>IFERROR(__xludf.DUMMYFUNCTION("""COMPUTED_VALUE"""),9926427689)</f>
        <v>9926427689</v>
      </c>
      <c r="J2665" s="1"/>
      <c r="K2665" s="1" t="str">
        <f>IFERROR(__xludf.DUMMYFUNCTION("""COMPUTED_VALUE"""),"cesarerwin783@gmail.com")</f>
        <v>cesarerwin783@gmail.com</v>
      </c>
      <c r="L2665" s="1" t="str">
        <f>IFERROR(__xludf.DUMMYFUNCTION("""COMPUTED_VALUE"""),"BLK 77 LOT 20")</f>
        <v>BLK 77 LOT 20</v>
      </c>
      <c r="M2665" s="1" t="str">
        <f>IFERROR(__xludf.DUMMYFUNCTION("""COMPUTED_VALUE"""),"IPIL")</f>
        <v>IPIL</v>
      </c>
      <c r="N2665" s="1"/>
      <c r="O2665" s="1" t="str">
        <f>IFERROR(__xludf.DUMMYFUNCTION("""COMPUTED_VALUE"""),"IPIL II")</f>
        <v>IPIL II</v>
      </c>
      <c r="P2665" s="1" t="str">
        <f>IFERROR(__xludf.DUMMYFUNCTION("""COMPUTED_VALUE"""),"SILANG")</f>
        <v>SILANG</v>
      </c>
      <c r="Q2665" s="1" t="str">
        <f>IFERROR(__xludf.DUMMYFUNCTION("""COMPUTED_VALUE"""),"CAVITE")</f>
        <v>CAVITE</v>
      </c>
      <c r="R2665" s="1" t="str">
        <f>IFERROR(__xludf.DUMMYFUNCTION("""COMPUTED_VALUE"""),"FIBR UNLI ALL PLAN 999")</f>
        <v>FIBR UNLI ALL PLAN 999</v>
      </c>
      <c r="S2665" s="1" t="str">
        <f>IFERROR(__xludf.DUMMYFUNCTION("""COMPUTED_VALUE"""),"APPROVED")</f>
        <v>APPROVED</v>
      </c>
      <c r="T2665" s="1" t="str">
        <f>IFERROR(__xludf.DUMMYFUNCTION("""COMPUTED_VALUE"""),"CLOSED")</f>
        <v>CLOSED</v>
      </c>
      <c r="U2665" s="1" t="str">
        <f>IFERROR(__xludf.DUMMYFUNCTION("""COMPUTED_VALUE"""),"POSTED")</f>
        <v>POSTED</v>
      </c>
      <c r="V2665" s="1"/>
      <c r="W2665" s="1"/>
    </row>
    <row r="2666" customHeight="1" spans="1:23">
      <c r="A2666" s="3">
        <f>IFERROR(__xludf.DUMMYFUNCTION("""COMPUTED_VALUE"""),46240)</f>
        <v>46240</v>
      </c>
      <c r="B2666" s="1" t="str">
        <f>IFERROR(__xludf.DUMMYFUNCTION("""COMPUTED_VALUE"""),"TAMAYO, MARY ROSE")</f>
        <v>TAMAYO, MARY ROSE</v>
      </c>
      <c r="C2666" s="1" t="str">
        <f>IFERROR(__xludf.DUMMYFUNCTION("""COMPUTED_VALUE"""),"ORGANIC")</f>
        <v>ORGANIC</v>
      </c>
      <c r="D2666" s="1" t="str">
        <f>IFERROR(__xludf.DUMMYFUNCTION("""COMPUTED_VALUE"""),"REMOLLO LEA")</f>
        <v>REMOLLO LEA</v>
      </c>
      <c r="E2666" s="1" t="str">
        <f>IFERROR(__xludf.DUMMYFUNCTION("""COMPUTED_VALUE"""),"PLDT / H2H")</f>
        <v>PLDT / H2H</v>
      </c>
      <c r="F2666" s="1"/>
      <c r="G2666" s="1"/>
      <c r="H2666" s="1" t="str">
        <f>IFERROR(__xludf.DUMMYFUNCTION("""COMPUTED_VALUE"""),"RAYMOND PAWAL TUPPAL")</f>
        <v>RAYMOND PAWAL TUPPAL</v>
      </c>
      <c r="I2666" s="1">
        <f>IFERROR(__xludf.DUMMYFUNCTION("""COMPUTED_VALUE"""),9959618213)</f>
        <v>9959618213</v>
      </c>
      <c r="J2666" s="1">
        <f>IFERROR(__xludf.DUMMYFUNCTION("""COMPUTED_VALUE"""),9457245010)</f>
        <v>9457245010</v>
      </c>
      <c r="K2666" s="1" t="str">
        <f>IFERROR(__xludf.DUMMYFUNCTION("""COMPUTED_VALUE"""),"willymarbibipawal@gmail.com")</f>
        <v>willymarbibipawal@gmail.com</v>
      </c>
      <c r="L2666" s="1" t="str">
        <f>IFERROR(__xludf.DUMMYFUNCTION("""COMPUTED_VALUE"""),"BLK 76 LOT 3")</f>
        <v>BLK 76 LOT 3</v>
      </c>
      <c r="M2666" s="1" t="str">
        <f>IFERROR(__xludf.DUMMYFUNCTION("""COMPUTED_VALUE"""),"IPIL")</f>
        <v>IPIL</v>
      </c>
      <c r="N2666" s="1"/>
      <c r="O2666" s="1" t="str">
        <f>IFERROR(__xludf.DUMMYFUNCTION("""COMPUTED_VALUE"""),"IPIL II")</f>
        <v>IPIL II</v>
      </c>
      <c r="P2666" s="1" t="str">
        <f>IFERROR(__xludf.DUMMYFUNCTION("""COMPUTED_VALUE"""),"SILANG")</f>
        <v>SILANG</v>
      </c>
      <c r="Q2666" s="1" t="str">
        <f>IFERROR(__xludf.DUMMYFUNCTION("""COMPUTED_VALUE"""),"CAVITE")</f>
        <v>CAVITE</v>
      </c>
      <c r="R2666" s="1" t="str">
        <f>IFERROR(__xludf.DUMMYFUNCTION("""COMPUTED_VALUE"""),"FIBR UNLI ALL PLAN 999")</f>
        <v>FIBR UNLI ALL PLAN 999</v>
      </c>
      <c r="S2666" s="1" t="str">
        <f>IFERROR(__xludf.DUMMYFUNCTION("""COMPUTED_VALUE"""),"RETURN FOR COMPLIANCE - AGENT")</f>
        <v>RETURN FOR COMPLIANCE - AGENT</v>
      </c>
      <c r="T2666" s="1" t="str">
        <f>IFERROR(__xludf.DUMMYFUNCTION("""COMPUTED_VALUE"""),"#N/A")</f>
        <v>#N/A</v>
      </c>
      <c r="U2666" s="1" t="str">
        <f>IFERROR(__xludf.DUMMYFUNCTION("""COMPUTED_VALUE"""),"UNREADABLE UNSCANNABLE")</f>
        <v>UNREADABLE UNSCANNABLE</v>
      </c>
      <c r="V2666" s="1"/>
      <c r="W2666" s="1"/>
    </row>
    <row r="2667" customHeight="1" spans="1:23">
      <c r="A2667" s="3">
        <f>IFERROR(__xludf.DUMMYFUNCTION("""COMPUTED_VALUE"""),46241)</f>
        <v>46241</v>
      </c>
      <c r="B2667" s="1" t="str">
        <f>IFERROR(__xludf.DUMMYFUNCTION("""COMPUTED_VALUE"""),"FRANCISCO , ROSELYN")</f>
        <v>FRANCISCO , ROSELYN</v>
      </c>
      <c r="C2667" s="1" t="str">
        <f>IFERROR(__xludf.DUMMYFUNCTION("""COMPUTED_VALUE"""),"ORGANIC")</f>
        <v>ORGANIC</v>
      </c>
      <c r="D2667" s="1" t="str">
        <f>IFERROR(__xludf.DUMMYFUNCTION("""COMPUTED_VALUE"""),"REMOLLO LEA")</f>
        <v>REMOLLO LEA</v>
      </c>
      <c r="E2667" s="1" t="str">
        <f>IFERROR(__xludf.DUMMYFUNCTION("""COMPUTED_VALUE"""),"PLDT / ONLINE")</f>
        <v>PLDT / ONLINE</v>
      </c>
      <c r="F2667" s="1">
        <f>IFERROR(__xludf.DUMMYFUNCTION("""COMPUTED_VALUE"""),2311600268)</f>
        <v>2311600268</v>
      </c>
      <c r="G2667" s="1">
        <f>IFERROR(__xludf.DUMMYFUNCTION("""COMPUTED_VALUE"""),465536556004)</f>
        <v>465536556004</v>
      </c>
      <c r="H2667" s="1" t="str">
        <f>IFERROR(__xludf.DUMMYFUNCTION("""COMPUTED_VALUE"""),"GLORIA FLORES SAMPAYAN")</f>
        <v>GLORIA FLORES SAMPAYAN</v>
      </c>
      <c r="I2667" s="1">
        <f>IFERROR(__xludf.DUMMYFUNCTION("""COMPUTED_VALUE"""),9507312317)</f>
        <v>9507312317</v>
      </c>
      <c r="J2667" s="1">
        <f>IFERROR(__xludf.DUMMYFUNCTION("""COMPUTED_VALUE"""),9761087521)</f>
        <v>9761087521</v>
      </c>
      <c r="K2667" s="1" t="str">
        <f>IFERROR(__xludf.DUMMYFUNCTION("""COMPUTED_VALUE"""),"lhai23sampayan@gmail.com")</f>
        <v>lhai23sampayan@gmail.com</v>
      </c>
      <c r="L2667" s="1" t="str">
        <f>IFERROR(__xludf.DUMMYFUNCTION("""COMPUTED_VALUE"""),"BLK 7 LOT 83")</f>
        <v>BLK 7 LOT 83</v>
      </c>
      <c r="M2667" s="1" t="str">
        <f>IFERROR(__xludf.DUMMYFUNCTION("""COMPUTED_VALUE"""),"ROAD 1")</f>
        <v>ROAD 1</v>
      </c>
      <c r="N2667" s="1" t="str">
        <f>IFERROR(__xludf.DUMMYFUNCTION("""COMPUTED_VALUE"""),"MABUHAY 2000")</f>
        <v>MABUHAY 2000</v>
      </c>
      <c r="O2667" s="1" t="str">
        <f>IFERROR(__xludf.DUMMYFUNCTION("""COMPUTED_VALUE"""),"PALIPARAN III")</f>
        <v>PALIPARAN III</v>
      </c>
      <c r="P2667" s="1" t="str">
        <f>IFERROR(__xludf.DUMMYFUNCTION("""COMPUTED_VALUE"""),"DASMARINAS")</f>
        <v>DASMARINAS</v>
      </c>
      <c r="Q2667" s="1" t="str">
        <f>IFERROR(__xludf.DUMMYFUNCTION("""COMPUTED_VALUE"""),"CAVITE")</f>
        <v>CAVITE</v>
      </c>
      <c r="R2667" s="1" t="str">
        <f>IFERROR(__xludf.DUMMYFUNCTION("""COMPUTED_VALUE"""),"FIBR PLAN 1299")</f>
        <v>FIBR PLAN 1299</v>
      </c>
      <c r="S2667" s="1" t="str">
        <f>IFERROR(__xludf.DUMMYFUNCTION("""COMPUTED_VALUE"""),"APPROVED")</f>
        <v>APPROVED</v>
      </c>
      <c r="T2667" s="1" t="str">
        <f>IFERROR(__xludf.DUMMYFUNCTION("""COMPUTED_VALUE"""),"CLOSED")</f>
        <v>CLOSED</v>
      </c>
      <c r="U2667" s="1" t="str">
        <f>IFERROR(__xludf.DUMMYFUNCTION("""COMPUTED_VALUE"""),"POSTED")</f>
        <v>POSTED</v>
      </c>
      <c r="V2667" s="1"/>
      <c r="W2667" s="1"/>
    </row>
    <row r="2668" customHeight="1" spans="1:23">
      <c r="A2668" s="3">
        <f>IFERROR(__xludf.DUMMYFUNCTION("""COMPUTED_VALUE"""),46241)</f>
        <v>46241</v>
      </c>
      <c r="B2668" s="1" t="str">
        <f>IFERROR(__xludf.DUMMYFUNCTION("""COMPUTED_VALUE"""),"CARPIO, STEPHANIE NICOLE")</f>
        <v>CARPIO, STEPHANIE NICOLE</v>
      </c>
      <c r="C2668" s="1" t="str">
        <f>IFERROR(__xludf.DUMMYFUNCTION("""COMPUTED_VALUE"""),"FLA")</f>
        <v>FLA</v>
      </c>
      <c r="D2668" s="1" t="str">
        <f>IFERROR(__xludf.DUMMYFUNCTION("""COMPUTED_VALUE"""),"JERIC NAVARRO")</f>
        <v>JERIC NAVARRO</v>
      </c>
      <c r="E2668" s="1" t="str">
        <f>IFERROR(__xludf.DUMMYFUNCTION("""COMPUTED_VALUE"""),"PLDT / H2H")</f>
        <v>PLDT / H2H</v>
      </c>
      <c r="F2668" s="1">
        <f>IFERROR(__xludf.DUMMYFUNCTION("""COMPUTED_VALUE"""),2311598200)</f>
        <v>2311598200</v>
      </c>
      <c r="G2668" s="1">
        <f>IFERROR(__xludf.DUMMYFUNCTION("""COMPUTED_VALUE"""),465535551004)</f>
        <v>465535551004</v>
      </c>
      <c r="H2668" s="1" t="str">
        <f>IFERROR(__xludf.DUMMYFUNCTION("""COMPUTED_VALUE"""),"REYNAN PROUEL CASTILLON")</f>
        <v>REYNAN PROUEL CASTILLON</v>
      </c>
      <c r="I2668" s="1">
        <f>IFERROR(__xludf.DUMMYFUNCTION("""COMPUTED_VALUE"""),9456419550)</f>
        <v>9456419550</v>
      </c>
      <c r="J2668" s="1"/>
      <c r="K2668" s="1" t="str">
        <f>IFERROR(__xludf.DUMMYFUNCTION("""COMPUTED_VALUE"""),"cv48082@gmail.com")</f>
        <v>cv48082@gmail.com</v>
      </c>
      <c r="L2668" s="1" t="str">
        <f>IFERROR(__xludf.DUMMYFUNCTION("""COMPUTED_VALUE"""),"9135")</f>
        <v>9135</v>
      </c>
      <c r="M2668" s="1" t="str">
        <f>IFERROR(__xludf.DUMMYFUNCTION("""COMPUTED_VALUE"""),"HALAYHAY RD")</f>
        <v>HALAYHAY RD</v>
      </c>
      <c r="N2668" s="1"/>
      <c r="O2668" s="1" t="str">
        <f>IFERROR(__xludf.DUMMYFUNCTION("""COMPUTED_VALUE"""),"HALAYHAY")</f>
        <v>HALAYHAY</v>
      </c>
      <c r="P2668" s="1" t="str">
        <f>IFERROR(__xludf.DUMMYFUNCTION("""COMPUTED_VALUE"""),"TANZA")</f>
        <v>TANZA</v>
      </c>
      <c r="Q2668" s="1" t="str">
        <f>IFERROR(__xludf.DUMMYFUNCTION("""COMPUTED_VALUE"""),"CAVITE")</f>
        <v>CAVITE</v>
      </c>
      <c r="R2668" s="1" t="str">
        <f>IFERROR(__xludf.DUMMYFUNCTION("""COMPUTED_VALUE"""),"FIBR PLAN 2699")</f>
        <v>FIBR PLAN 2699</v>
      </c>
      <c r="S2668" s="1" t="str">
        <f>IFERROR(__xludf.DUMMYFUNCTION("""COMPUTED_VALUE"""),"APPROVED")</f>
        <v>APPROVED</v>
      </c>
      <c r="T2668" s="1" t="str">
        <f>IFERROR(__xludf.DUMMYFUNCTION("""COMPUTED_VALUE"""),"CANCELLED")</f>
        <v>CANCELLED</v>
      </c>
      <c r="U2668" s="1"/>
      <c r="V2668" s="1"/>
      <c r="W2668" s="1"/>
    </row>
    <row r="2669" customHeight="1" spans="1:23">
      <c r="A2669" s="3">
        <f>IFERROR(__xludf.DUMMYFUNCTION("""COMPUTED_VALUE"""),46241)</f>
        <v>46241</v>
      </c>
      <c r="B2669" s="1" t="str">
        <f>IFERROR(__xludf.DUMMYFUNCTION("""COMPUTED_VALUE"""),"GABAY, MANUEL")</f>
        <v>GABAY, MANUEL</v>
      </c>
      <c r="C2669" s="1" t="str">
        <f>IFERROR(__xludf.DUMMYFUNCTION("""COMPUTED_VALUE"""),"FLA")</f>
        <v>FLA</v>
      </c>
      <c r="D2669" s="1" t="str">
        <f>IFERROR(__xludf.DUMMYFUNCTION("""COMPUTED_VALUE"""),"JERIC NAVARRO")</f>
        <v>JERIC NAVARRO</v>
      </c>
      <c r="E2669" s="1" t="str">
        <f>IFERROR(__xludf.DUMMYFUNCTION("""COMPUTED_VALUE"""),"PLDT / H2H")</f>
        <v>PLDT / H2H</v>
      </c>
      <c r="F2669" s="1">
        <f>IFERROR(__xludf.DUMMYFUNCTION("""COMPUTED_VALUE"""),2311603732)</f>
        <v>2311603732</v>
      </c>
      <c r="G2669" s="1">
        <f>IFERROR(__xludf.DUMMYFUNCTION("""COMPUTED_VALUE"""),465539741004)</f>
        <v>465539741004</v>
      </c>
      <c r="H2669" s="1" t="str">
        <f>IFERROR(__xludf.DUMMYFUNCTION("""COMPUTED_VALUE"""),"NATHANIEL JACO BILLONES")</f>
        <v>NATHANIEL JACO BILLONES</v>
      </c>
      <c r="I2669" s="1">
        <f>IFERROR(__xludf.DUMMYFUNCTION("""COMPUTED_VALUE"""),9641911488)</f>
        <v>9641911488</v>
      </c>
      <c r="J2669" s="1">
        <f>IFERROR(__xludf.DUMMYFUNCTION("""COMPUTED_VALUE"""),9938712642)</f>
        <v>9938712642</v>
      </c>
      <c r="K2669" s="1" t="str">
        <f>IFERROR(__xludf.DUMMYFUNCTION("""COMPUTED_VALUE"""),"billlonesnathaniel04@gmail.com")</f>
        <v>billlonesnathaniel04@gmail.com</v>
      </c>
      <c r="L2669" s="1" t="str">
        <f>IFERROR(__xludf.DUMMYFUNCTION("""COMPUTED_VALUE"""),"439")</f>
        <v>439</v>
      </c>
      <c r="M2669" s="1" t="str">
        <f>IFERROR(__xludf.DUMMYFUNCTION("""COMPUTED_VALUE"""),"BLK 3A")</f>
        <v>BLK 3A</v>
      </c>
      <c r="N2669" s="1"/>
      <c r="O2669" s="1" t="str">
        <f>IFERROR(__xludf.DUMMYFUNCTION("""COMPUTED_VALUE"""),"FRANCISCO REYES")</f>
        <v>FRANCISCO REYES</v>
      </c>
      <c r="P2669" s="1" t="str">
        <f>IFERROR(__xludf.DUMMYFUNCTION("""COMPUTED_VALUE"""),"GEN MARIANO ALVAREZ")</f>
        <v>GEN MARIANO ALVAREZ</v>
      </c>
      <c r="Q2669" s="1" t="str">
        <f>IFERROR(__xludf.DUMMYFUNCTION("""COMPUTED_VALUE"""),"CAVITE")</f>
        <v>CAVITE</v>
      </c>
      <c r="R2669" s="1" t="str">
        <f>IFERROR(__xludf.DUMMYFUNCTION("""COMPUTED_VALUE"""),"FIBR PLAN 1299")</f>
        <v>FIBR PLAN 1299</v>
      </c>
      <c r="S2669" s="1" t="str">
        <f>IFERROR(__xludf.DUMMYFUNCTION("""COMPUTED_VALUE"""),"APPROVED")</f>
        <v>APPROVED</v>
      </c>
      <c r="T2669" s="1" t="str">
        <f>IFERROR(__xludf.DUMMYFUNCTION("""COMPUTED_VALUE"""),"CLOSED")</f>
        <v>CLOSED</v>
      </c>
      <c r="U2669" s="1" t="str">
        <f>IFERROR(__xludf.DUMMYFUNCTION("""COMPUTED_VALUE"""),"POSTED")</f>
        <v>POSTED</v>
      </c>
      <c r="V2669" s="1"/>
      <c r="W2669" s="1"/>
    </row>
    <row r="2670" customHeight="1" spans="1:23">
      <c r="A2670" s="3">
        <f>IFERROR(__xludf.DUMMYFUNCTION("""COMPUTED_VALUE"""),46241)</f>
        <v>46241</v>
      </c>
      <c r="B2670" s="1" t="str">
        <f>IFERROR(__xludf.DUMMYFUNCTION("""COMPUTED_VALUE"""),"TAMAYO, MARY ROSE")</f>
        <v>TAMAYO, MARY ROSE</v>
      </c>
      <c r="C2670" s="1" t="str">
        <f>IFERROR(__xludf.DUMMYFUNCTION("""COMPUTED_VALUE"""),"ORGANIC")</f>
        <v>ORGANIC</v>
      </c>
      <c r="D2670" s="1" t="str">
        <f>IFERROR(__xludf.DUMMYFUNCTION("""COMPUTED_VALUE"""),"REMOLLO LEA")</f>
        <v>REMOLLO LEA</v>
      </c>
      <c r="E2670" s="1" t="str">
        <f>IFERROR(__xludf.DUMMYFUNCTION("""COMPUTED_VALUE"""),"PLDT / H2H")</f>
        <v>PLDT / H2H</v>
      </c>
      <c r="F2670" s="1">
        <f>IFERROR(__xludf.DUMMYFUNCTION("""COMPUTED_VALUE"""),2311605133)</f>
        <v>2311605133</v>
      </c>
      <c r="G2670" s="1"/>
      <c r="H2670" s="1" t="str">
        <f>IFERROR(__xludf.DUMMYFUNCTION("""COMPUTED_VALUE"""),"CRISTOBAL MENDOZA TALATALA")</f>
        <v>CRISTOBAL MENDOZA TALATALA</v>
      </c>
      <c r="I2670" s="1">
        <f>IFERROR(__xludf.DUMMYFUNCTION("""COMPUTED_VALUE"""),9951927353)</f>
        <v>9951927353</v>
      </c>
      <c r="J2670" s="1">
        <f>IFERROR(__xludf.DUMMYFUNCTION("""COMPUTED_VALUE"""),9153768809)</f>
        <v>9153768809</v>
      </c>
      <c r="K2670" s="1" t="str">
        <f>IFERROR(__xludf.DUMMYFUNCTION("""COMPUTED_VALUE"""),"cristobaltalatala95@gmail.com")</f>
        <v>cristobaltalatala95@gmail.com</v>
      </c>
      <c r="L2670" s="1" t="str">
        <f>IFERROR(__xludf.DUMMYFUNCTION("""COMPUTED_VALUE"""),"22")</f>
        <v>22</v>
      </c>
      <c r="M2670" s="1" t="str">
        <f>IFERROR(__xludf.DUMMYFUNCTION("""COMPUTED_VALUE"""),"OLD BULIHAN")</f>
        <v>OLD BULIHAN</v>
      </c>
      <c r="N2670" s="1"/>
      <c r="O2670" s="1" t="str">
        <f>IFERROR(__xludf.DUMMYFUNCTION("""COMPUTED_VALUE"""),"BULIHAN")</f>
        <v>BULIHAN</v>
      </c>
      <c r="P2670" s="1" t="str">
        <f>IFERROR(__xludf.DUMMYFUNCTION("""COMPUTED_VALUE"""),"SILANG")</f>
        <v>SILANG</v>
      </c>
      <c r="Q2670" s="1" t="str">
        <f>IFERROR(__xludf.DUMMYFUNCTION("""COMPUTED_VALUE"""),"CAVITE")</f>
        <v>CAVITE</v>
      </c>
      <c r="R2670" s="1" t="str">
        <f>IFERROR(__xludf.DUMMYFUNCTION("""COMPUTED_VALUE"""),"FIBR PLAN 1299")</f>
        <v>FIBR PLAN 1299</v>
      </c>
      <c r="S2670" s="1" t="str">
        <f>IFERROR(__xludf.DUMMYFUNCTION("""COMPUTED_VALUE"""),"APPROVED")</f>
        <v>APPROVED</v>
      </c>
      <c r="T2670" s="1" t="str">
        <f>IFERROR(__xludf.DUMMYFUNCTION("""COMPUTED_VALUE"""),"CANCELLED")</f>
        <v>CANCELLED</v>
      </c>
      <c r="U2670" s="1"/>
      <c r="V2670" s="1"/>
      <c r="W2670" s="1"/>
    </row>
    <row r="2671" customHeight="1" spans="1:23">
      <c r="A2671" s="3">
        <f>IFERROR(__xludf.DUMMYFUNCTION("""COMPUTED_VALUE"""),46241)</f>
        <v>46241</v>
      </c>
      <c r="B2671" s="1" t="str">
        <f>IFERROR(__xludf.DUMMYFUNCTION("""COMPUTED_VALUE"""),"FRANCISCO , ROSELYN")</f>
        <v>FRANCISCO , ROSELYN</v>
      </c>
      <c r="C2671" s="1" t="str">
        <f>IFERROR(__xludf.DUMMYFUNCTION("""COMPUTED_VALUE"""),"ORGANIC")</f>
        <v>ORGANIC</v>
      </c>
      <c r="D2671" s="1" t="str">
        <f>IFERROR(__xludf.DUMMYFUNCTION("""COMPUTED_VALUE"""),"REMOLLO LEA")</f>
        <v>REMOLLO LEA</v>
      </c>
      <c r="E2671" s="1" t="str">
        <f>IFERROR(__xludf.DUMMYFUNCTION("""COMPUTED_VALUE"""),"PLDT / H2H")</f>
        <v>PLDT / H2H</v>
      </c>
      <c r="F2671" s="1">
        <f>IFERROR(__xludf.DUMMYFUNCTION("""COMPUTED_VALUE"""),2311604623)</f>
        <v>2311604623</v>
      </c>
      <c r="G2671" s="1">
        <f>IFERROR(__xludf.DUMMYFUNCTION("""COMPUTED_VALUE"""),465539727004)</f>
        <v>465539727004</v>
      </c>
      <c r="H2671" s="1" t="str">
        <f>IFERROR(__xludf.DUMMYFUNCTION("""COMPUTED_VALUE"""),"NICOLE ANN CARIN BUNI")</f>
        <v>NICOLE ANN CARIN BUNI</v>
      </c>
      <c r="I2671" s="1">
        <f>IFERROR(__xludf.DUMMYFUNCTION("""COMPUTED_VALUE"""),9701429144)</f>
        <v>9701429144</v>
      </c>
      <c r="J2671" s="1"/>
      <c r="K2671" s="1" t="str">
        <f>IFERROR(__xludf.DUMMYFUNCTION("""COMPUTED_VALUE"""),"divinagracia1500@gmail.com")</f>
        <v>divinagracia1500@gmail.com</v>
      </c>
      <c r="L2671" s="1" t="str">
        <f>IFERROR(__xludf.DUMMYFUNCTION("""COMPUTED_VALUE"""),"BLK 49 LOT 13")</f>
        <v>BLK 49 LOT 13</v>
      </c>
      <c r="M2671" s="1" t="str">
        <f>IFERROR(__xludf.DUMMYFUNCTION("""COMPUTED_VALUE"""),"PHASE 5")</f>
        <v>PHASE 5</v>
      </c>
      <c r="N2671" s="1"/>
      <c r="O2671" s="1" t="str">
        <f>IFERROR(__xludf.DUMMYFUNCTION("""COMPUTED_VALUE"""),"NARRA III")</f>
        <v>NARRA III</v>
      </c>
      <c r="P2671" s="1" t="str">
        <f>IFERROR(__xludf.DUMMYFUNCTION("""COMPUTED_VALUE"""),"SILANG")</f>
        <v>SILANG</v>
      </c>
      <c r="Q2671" s="1" t="str">
        <f>IFERROR(__xludf.DUMMYFUNCTION("""COMPUTED_VALUE"""),"CAVITE")</f>
        <v>CAVITE</v>
      </c>
      <c r="R2671" s="1" t="str">
        <f>IFERROR(__xludf.DUMMYFUNCTION("""COMPUTED_VALUE"""),"FIBR UNLI ALL PLAN 1499")</f>
        <v>FIBR UNLI ALL PLAN 1499</v>
      </c>
      <c r="S2671" s="1" t="str">
        <f>IFERROR(__xludf.DUMMYFUNCTION("""COMPUTED_VALUE"""),"APPROVED")</f>
        <v>APPROVED</v>
      </c>
      <c r="T2671" s="1" t="str">
        <f>IFERROR(__xludf.DUMMYFUNCTION("""COMPUTED_VALUE"""),"CLOSED")</f>
        <v>CLOSED</v>
      </c>
      <c r="U2671" s="1" t="str">
        <f>IFERROR(__xludf.DUMMYFUNCTION("""COMPUTED_VALUE"""),"POSTED")</f>
        <v>POSTED</v>
      </c>
      <c r="V2671" s="1"/>
      <c r="W2671" s="1"/>
    </row>
    <row r="2672" customHeight="1" spans="1:23">
      <c r="A2672" s="3">
        <f>IFERROR(__xludf.DUMMYFUNCTION("""COMPUTED_VALUE"""),46241)</f>
        <v>46241</v>
      </c>
      <c r="B2672" s="1" t="str">
        <f>IFERROR(__xludf.DUMMYFUNCTION("""COMPUTED_VALUE"""),"CADERAO, RONALD")</f>
        <v>CADERAO, RONALD</v>
      </c>
      <c r="C2672" s="1" t="str">
        <f>IFERROR(__xludf.DUMMYFUNCTION("""COMPUTED_VALUE"""),"ORGANIC")</f>
        <v>ORGANIC</v>
      </c>
      <c r="D2672" s="1" t="str">
        <f>IFERROR(__xludf.DUMMYFUNCTION("""COMPUTED_VALUE"""),"REMOLLO LEA")</f>
        <v>REMOLLO LEA</v>
      </c>
      <c r="E2672" s="1" t="str">
        <f>IFERROR(__xludf.DUMMYFUNCTION("""COMPUTED_VALUE"""),"PLDT / H2H")</f>
        <v>PLDT / H2H</v>
      </c>
      <c r="F2672" s="1">
        <f>IFERROR(__xludf.DUMMYFUNCTION("""COMPUTED_VALUE"""),2311602755)</f>
        <v>2311602755</v>
      </c>
      <c r="G2672" s="1">
        <f>IFERROR(__xludf.DUMMYFUNCTION("""COMPUTED_VALUE"""),465537832004)</f>
        <v>465537832004</v>
      </c>
      <c r="H2672" s="1" t="str">
        <f>IFERROR(__xludf.DUMMYFUNCTION("""COMPUTED_VALUE"""),"LARY ROMOSOD SALVADOR")</f>
        <v>LARY ROMOSOD SALVADOR</v>
      </c>
      <c r="I2672" s="1">
        <f>IFERROR(__xludf.DUMMYFUNCTION("""COMPUTED_VALUE"""),9453164650)</f>
        <v>9453164650</v>
      </c>
      <c r="J2672" s="1">
        <f>IFERROR(__xludf.DUMMYFUNCTION("""COMPUTED_VALUE"""),9776540206)</f>
        <v>9776540206</v>
      </c>
      <c r="K2672" s="1" t="str">
        <f>IFERROR(__xludf.DUMMYFUNCTION("""COMPUTED_VALUE"""),"lary.salvador0702@gmail.com")</f>
        <v>lary.salvador0702@gmail.com</v>
      </c>
      <c r="L2672" s="1" t="str">
        <f>IFERROR(__xludf.DUMMYFUNCTION("""COMPUTED_VALUE"""),"BLK 11 LOT 15")</f>
        <v>BLK 11 LOT 15</v>
      </c>
      <c r="M2672" s="1" t="str">
        <f>IFERROR(__xludf.DUMMYFUNCTION("""COMPUTED_VALUE"""),"ZONE 11")</f>
        <v>ZONE 11</v>
      </c>
      <c r="N2672" s="1"/>
      <c r="O2672" s="1" t="str">
        <f>IFERROR(__xludf.DUMMYFUNCTION("""COMPUTED_VALUE"""),"BULIHAN")</f>
        <v>BULIHAN</v>
      </c>
      <c r="P2672" s="1" t="str">
        <f>IFERROR(__xludf.DUMMYFUNCTION("""COMPUTED_VALUE"""),"SILANG")</f>
        <v>SILANG</v>
      </c>
      <c r="Q2672" s="1" t="str">
        <f>IFERROR(__xludf.DUMMYFUNCTION("""COMPUTED_VALUE"""),"CAVITE")</f>
        <v>CAVITE</v>
      </c>
      <c r="R2672" s="1" t="str">
        <f>IFERROR(__xludf.DUMMYFUNCTION("""COMPUTED_VALUE"""),"FIBR UNLI ALL PLAN 999")</f>
        <v>FIBR UNLI ALL PLAN 999</v>
      </c>
      <c r="S2672" s="1" t="str">
        <f>IFERROR(__xludf.DUMMYFUNCTION("""COMPUTED_VALUE"""),"APPROVED")</f>
        <v>APPROVED</v>
      </c>
      <c r="T2672" s="1" t="str">
        <f>IFERROR(__xludf.DUMMYFUNCTION("""COMPUTED_VALUE"""),"CLOSED")</f>
        <v>CLOSED</v>
      </c>
      <c r="U2672" s="1" t="str">
        <f>IFERROR(__xludf.DUMMYFUNCTION("""COMPUTED_VALUE"""),"POSTED")</f>
        <v>POSTED</v>
      </c>
      <c r="V2672" s="1"/>
      <c r="W2672" s="1"/>
    </row>
    <row r="2673" customHeight="1" spans="1:23">
      <c r="A2673" s="3">
        <f>IFERROR(__xludf.DUMMYFUNCTION("""COMPUTED_VALUE"""),46241)</f>
        <v>46241</v>
      </c>
      <c r="B2673" s="1" t="str">
        <f>IFERROR(__xludf.DUMMYFUNCTION("""COMPUTED_VALUE"""),"FRANCISCO , ROSELYN")</f>
        <v>FRANCISCO , ROSELYN</v>
      </c>
      <c r="C2673" s="1" t="str">
        <f>IFERROR(__xludf.DUMMYFUNCTION("""COMPUTED_VALUE"""),"ORGANIC")</f>
        <v>ORGANIC</v>
      </c>
      <c r="D2673" s="1" t="str">
        <f>IFERROR(__xludf.DUMMYFUNCTION("""COMPUTED_VALUE"""),"REMOLLO LEA")</f>
        <v>REMOLLO LEA</v>
      </c>
      <c r="E2673" s="1" t="str">
        <f>IFERROR(__xludf.DUMMYFUNCTION("""COMPUTED_VALUE"""),"PLDT / ONLINE")</f>
        <v>PLDT / ONLINE</v>
      </c>
      <c r="F2673" s="1">
        <f>IFERROR(__xludf.DUMMYFUNCTION("""COMPUTED_VALUE"""),2311605871)</f>
        <v>2311605871</v>
      </c>
      <c r="G2673" s="1">
        <f>IFERROR(__xludf.DUMMYFUNCTION("""COMPUTED_VALUE"""),465539506004)</f>
        <v>465539506004</v>
      </c>
      <c r="H2673" s="1" t="str">
        <f>IFERROR(__xludf.DUMMYFUNCTION("""COMPUTED_VALUE"""),"WARREN ASAS ORTILLA")</f>
        <v>WARREN ASAS ORTILLA</v>
      </c>
      <c r="I2673" s="1">
        <f>IFERROR(__xludf.DUMMYFUNCTION("""COMPUTED_VALUE"""),9972389524)</f>
        <v>9972389524</v>
      </c>
      <c r="J2673" s="1">
        <f>IFERROR(__xludf.DUMMYFUNCTION("""COMPUTED_VALUE"""),9456149722)</f>
        <v>9456149722</v>
      </c>
      <c r="K2673" s="1" t="str">
        <f>IFERROR(__xludf.DUMMYFUNCTION("""COMPUTED_VALUE"""),"warrenortilla13@gmail.com")</f>
        <v>warrenortilla13@gmail.com</v>
      </c>
      <c r="L2673" s="1" t="str">
        <f>IFERROR(__xludf.DUMMYFUNCTION("""COMPUTED_VALUE"""),"245")</f>
        <v>245</v>
      </c>
      <c r="M2673" s="1" t="str">
        <f>IFERROR(__xludf.DUMMYFUNCTION("""COMPUTED_VALUE"""),"PUROK 1")</f>
        <v>PUROK 1</v>
      </c>
      <c r="N2673" s="1"/>
      <c r="O2673" s="1" t="str">
        <f>IFERROR(__xludf.DUMMYFUNCTION("""COMPUTED_VALUE"""),"MATAAS NA LUPA (CHECKPOINT)")</f>
        <v>MATAAS NA LUPA (CHECKPOINT)</v>
      </c>
      <c r="P2673" s="1" t="str">
        <f>IFERROR(__xludf.DUMMYFUNCTION("""COMPUTED_VALUE"""),"INDANG")</f>
        <v>INDANG</v>
      </c>
      <c r="Q2673" s="1" t="str">
        <f>IFERROR(__xludf.DUMMYFUNCTION("""COMPUTED_VALUE"""),"CAVITE")</f>
        <v>CAVITE</v>
      </c>
      <c r="R2673" s="1" t="str">
        <f>IFERROR(__xludf.DUMMYFUNCTION("""COMPUTED_VALUE"""),"FIBR PLAN 1299")</f>
        <v>FIBR PLAN 1299</v>
      </c>
      <c r="S2673" s="1" t="str">
        <f>IFERROR(__xludf.DUMMYFUNCTION("""COMPUTED_VALUE"""),"APPROVED")</f>
        <v>APPROVED</v>
      </c>
      <c r="T2673" s="1" t="str">
        <f>IFERROR(__xludf.DUMMYFUNCTION("""COMPUTED_VALUE"""),"CANCELLED")</f>
        <v>CANCELLED</v>
      </c>
      <c r="U2673" s="1"/>
      <c r="V2673" s="1"/>
      <c r="W2673" s="1"/>
    </row>
    <row r="2674" customHeight="1" spans="1:23">
      <c r="A2674" s="3">
        <f>IFERROR(__xludf.DUMMYFUNCTION("""COMPUTED_VALUE"""),46242)</f>
        <v>46242</v>
      </c>
      <c r="B2674" s="1" t="str">
        <f>IFERROR(__xludf.DUMMYFUNCTION("""COMPUTED_VALUE"""),"ESCARCHA, MA ALMA  ESCOTO")</f>
        <v>ESCARCHA, MA ALMA  ESCOTO</v>
      </c>
      <c r="C2674" s="1" t="str">
        <f>IFERROR(__xludf.DUMMYFUNCTION("""COMPUTED_VALUE"""),"ORGANIC")</f>
        <v>ORGANIC</v>
      </c>
      <c r="D2674" s="1" t="str">
        <f>IFERROR(__xludf.DUMMYFUNCTION("""COMPUTED_VALUE"""),"REMOLLO LEA")</f>
        <v>REMOLLO LEA</v>
      </c>
      <c r="E2674" s="1" t="str">
        <f>IFERROR(__xludf.DUMMYFUNCTION("""COMPUTED_VALUE"""),"PLDT / H2H")</f>
        <v>PLDT / H2H</v>
      </c>
      <c r="F2674" s="1">
        <f>IFERROR(__xludf.DUMMYFUNCTION("""COMPUTED_VALUE"""),2311621421)</f>
        <v>2311621421</v>
      </c>
      <c r="G2674" s="1"/>
      <c r="H2674" s="1" t="str">
        <f>IFERROR(__xludf.DUMMYFUNCTION("""COMPUTED_VALUE"""),"VINCENT TUPPAL DOLOR")</f>
        <v>VINCENT TUPPAL DOLOR</v>
      </c>
      <c r="I2674" s="1">
        <f>IFERROR(__xludf.DUMMYFUNCTION("""COMPUTED_VALUE"""),9770865608)</f>
        <v>9770865608</v>
      </c>
      <c r="J2674" s="1">
        <f>IFERROR(__xludf.DUMMYFUNCTION("""COMPUTED_VALUE"""),9457245010)</f>
        <v>9457245010</v>
      </c>
      <c r="K2674" s="1" t="str">
        <f>IFERROR(__xludf.DUMMYFUNCTION("""COMPUTED_VALUE"""),"vincentdolor546@gmail.com")</f>
        <v>vincentdolor546@gmail.com</v>
      </c>
      <c r="L2674" s="1" t="str">
        <f>IFERROR(__xludf.DUMMYFUNCTION("""COMPUTED_VALUE"""),"BLK 76 LOT 3")</f>
        <v>BLK 76 LOT 3</v>
      </c>
      <c r="M2674" s="1" t="str">
        <f>IFERROR(__xludf.DUMMYFUNCTION("""COMPUTED_VALUE"""),"IPIL")</f>
        <v>IPIL</v>
      </c>
      <c r="N2674" s="1"/>
      <c r="O2674" s="1" t="str">
        <f>IFERROR(__xludf.DUMMYFUNCTION("""COMPUTED_VALUE"""),"IPIL II")</f>
        <v>IPIL II</v>
      </c>
      <c r="P2674" s="1" t="str">
        <f>IFERROR(__xludf.DUMMYFUNCTION("""COMPUTED_VALUE"""),"SILANG")</f>
        <v>SILANG</v>
      </c>
      <c r="Q2674" s="1" t="str">
        <f>IFERROR(__xludf.DUMMYFUNCTION("""COMPUTED_VALUE"""),"CAVITE")</f>
        <v>CAVITE</v>
      </c>
      <c r="R2674" s="1" t="str">
        <f>IFERROR(__xludf.DUMMYFUNCTION("""COMPUTED_VALUE"""),"FIBR UNLI ALL PLAN 999")</f>
        <v>FIBR UNLI ALL PLAN 999</v>
      </c>
      <c r="S2674" s="1" t="str">
        <f>IFERROR(__xludf.DUMMYFUNCTION("""COMPUTED_VALUE"""),"APPROVED")</f>
        <v>APPROVED</v>
      </c>
      <c r="T2674" s="1" t="str">
        <f>IFERROR(__xludf.DUMMYFUNCTION("""COMPUTED_VALUE"""),"DISAPPROVED")</f>
        <v>DISAPPROVED</v>
      </c>
      <c r="U2674" s="1"/>
      <c r="V2674" s="1"/>
      <c r="W2674" s="1"/>
    </row>
    <row r="2675" customHeight="1" spans="1:23">
      <c r="A2675" s="3">
        <f>IFERROR(__xludf.DUMMYFUNCTION("""COMPUTED_VALUE"""),46242)</f>
        <v>46242</v>
      </c>
      <c r="B2675" s="1" t="str">
        <f>IFERROR(__xludf.DUMMYFUNCTION("""COMPUTED_VALUE"""),"FARO, REFRANTA")</f>
        <v>FARO, REFRANTA</v>
      </c>
      <c r="C2675" s="1" t="str">
        <f>IFERROR(__xludf.DUMMYFUNCTION("""COMPUTED_VALUE"""),"FLA")</f>
        <v>FLA</v>
      </c>
      <c r="D2675" s="1" t="str">
        <f>IFERROR(__xludf.DUMMYFUNCTION("""COMPUTED_VALUE"""),"JERIC NAVARRO")</f>
        <v>JERIC NAVARRO</v>
      </c>
      <c r="E2675" s="1" t="str">
        <f>IFERROR(__xludf.DUMMYFUNCTION("""COMPUTED_VALUE"""),"PLDT / H2H")</f>
        <v>PLDT / H2H</v>
      </c>
      <c r="F2675" s="1">
        <f>IFERROR(__xludf.DUMMYFUNCTION("""COMPUTED_VALUE"""),2311622676)</f>
        <v>2311622676</v>
      </c>
      <c r="G2675" s="1">
        <f>IFERROR(__xludf.DUMMYFUNCTION("""COMPUTED_VALUE"""),465661842004)</f>
        <v>465661842004</v>
      </c>
      <c r="H2675" s="1" t="str">
        <f>IFERROR(__xludf.DUMMYFUNCTION("""COMPUTED_VALUE"""),"MAURICE CORNELIUS ORTIGUERO TESANI")</f>
        <v>MAURICE CORNELIUS ORTIGUERO TESANI</v>
      </c>
      <c r="I2675" s="1">
        <f>IFERROR(__xludf.DUMMYFUNCTION("""COMPUTED_VALUE"""),9605651919)</f>
        <v>9605651919</v>
      </c>
      <c r="J2675" s="1"/>
      <c r="K2675" s="1" t="str">
        <f>IFERROR(__xludf.DUMMYFUNCTION("""COMPUTED_VALUE"""),"mao.mao010412@gmail.com")</f>
        <v>mao.mao010412@gmail.com</v>
      </c>
      <c r="L2675" s="1" t="str">
        <f>IFERROR(__xludf.DUMMYFUNCTION("""COMPUTED_VALUE"""),"2102")</f>
        <v>2102</v>
      </c>
      <c r="M2675" s="1" t="str">
        <f>IFERROR(__xludf.DUMMYFUNCTION("""COMPUTED_VALUE"""),"ELEVE HOMES")</f>
        <v>ELEVE HOMES</v>
      </c>
      <c r="N2675" s="1"/>
      <c r="O2675" s="1" t="str">
        <f>IFERROR(__xludf.DUMMYFUNCTION("""COMPUTED_VALUE"""),"MAHARLIKA WEST")</f>
        <v>MAHARLIKA WEST</v>
      </c>
      <c r="P2675" s="1" t="str">
        <f>IFERROR(__xludf.DUMMYFUNCTION("""COMPUTED_VALUE"""),"TAGAYTAY")</f>
        <v>TAGAYTAY</v>
      </c>
      <c r="Q2675" s="1" t="str">
        <f>IFERROR(__xludf.DUMMYFUNCTION("""COMPUTED_VALUE"""),"CAVITE")</f>
        <v>CAVITE</v>
      </c>
      <c r="R2675" s="1" t="str">
        <f>IFERROR(__xludf.DUMMYFUNCTION("""COMPUTED_VALUE"""),"FIBR NETFLIX PLAN 1599")</f>
        <v>FIBR NETFLIX PLAN 1599</v>
      </c>
      <c r="S2675" s="1" t="str">
        <f>IFERROR(__xludf.DUMMYFUNCTION("""COMPUTED_VALUE"""),"APPROVED")</f>
        <v>APPROVED</v>
      </c>
      <c r="T2675" s="1" t="str">
        <f>IFERROR(__xludf.DUMMYFUNCTION("""COMPUTED_VALUE"""),"CLOSED")</f>
        <v>CLOSED</v>
      </c>
      <c r="U2675" s="1" t="str">
        <f>IFERROR(__xludf.DUMMYFUNCTION("""COMPUTED_VALUE"""),"POSTED")</f>
        <v>POSTED</v>
      </c>
      <c r="V2675" s="1"/>
      <c r="W2675" s="1"/>
    </row>
    <row r="2676" customHeight="1" spans="1:23">
      <c r="A2676" s="3">
        <f>IFERROR(__xludf.DUMMYFUNCTION("""COMPUTED_VALUE"""),46242)</f>
        <v>46242</v>
      </c>
      <c r="B2676" s="1" t="str">
        <f>IFERROR(__xludf.DUMMYFUNCTION("""COMPUTED_VALUE"""),"REMOLLO, LEA")</f>
        <v>REMOLLO, LEA</v>
      </c>
      <c r="C2676" s="1" t="str">
        <f>IFERROR(__xludf.DUMMYFUNCTION("""COMPUTED_VALUE"""),"FLA")</f>
        <v>FLA</v>
      </c>
      <c r="D2676" s="1" t="str">
        <f>IFERROR(__xludf.DUMMYFUNCTION("""COMPUTED_VALUE"""),"JERIC NAVARRO")</f>
        <v>JERIC NAVARRO</v>
      </c>
      <c r="E2676" s="1" t="str">
        <f>IFERROR(__xludf.DUMMYFUNCTION("""COMPUTED_VALUE"""),"PLDT / H2H")</f>
        <v>PLDT / H2H</v>
      </c>
      <c r="F2676" s="1">
        <f>IFERROR(__xludf.DUMMYFUNCTION("""COMPUTED_VALUE"""),2311624307)</f>
        <v>2311624307</v>
      </c>
      <c r="G2676" s="1">
        <f>IFERROR(__xludf.DUMMYFUNCTION("""COMPUTED_VALUE"""),465665200004)</f>
        <v>465665200004</v>
      </c>
      <c r="H2676" s="1" t="str">
        <f>IFERROR(__xludf.DUMMYFUNCTION("""COMPUTED_VALUE"""),"XANDER ESPENIDO CUADRA")</f>
        <v>XANDER ESPENIDO CUADRA</v>
      </c>
      <c r="I2676" s="1">
        <f>IFERROR(__xludf.DUMMYFUNCTION("""COMPUTED_VALUE"""),9192404833)</f>
        <v>9192404833</v>
      </c>
      <c r="J2676" s="1"/>
      <c r="K2676" s="1" t="str">
        <f>IFERROR(__xludf.DUMMYFUNCTION("""COMPUTED_VALUE"""),"xandercuadra0018@gmail.com")</f>
        <v>xandercuadra0018@gmail.com</v>
      </c>
      <c r="L2676" s="1" t="str">
        <f>IFERROR(__xludf.DUMMYFUNCTION("""COMPUTED_VALUE"""),"50B")</f>
        <v>50B</v>
      </c>
      <c r="M2676" s="1" t="str">
        <f>IFERROR(__xludf.DUMMYFUNCTION("""COMPUTED_VALUE"""),"SAINT JOSEPH")</f>
        <v>SAINT JOSEPH</v>
      </c>
      <c r="N2676" s="1"/>
      <c r="O2676" s="1" t="str">
        <f>IFERROR(__xludf.DUMMYFUNCTION("""COMPUTED_VALUE"""),"PANUNGYAN II")</f>
        <v>PANUNGYAN II</v>
      </c>
      <c r="P2676" s="1" t="str">
        <f>IFERROR(__xludf.DUMMYFUNCTION("""COMPUTED_VALUE"""),"MENDEZ")</f>
        <v>MENDEZ</v>
      </c>
      <c r="Q2676" s="1" t="str">
        <f>IFERROR(__xludf.DUMMYFUNCTION("""COMPUTED_VALUE"""),"CAVITE")</f>
        <v>CAVITE</v>
      </c>
      <c r="R2676" s="1" t="str">
        <f>IFERROR(__xludf.DUMMYFUNCTION("""COMPUTED_VALUE"""),"FIBR NETFLIX PLAN 1599")</f>
        <v>FIBR NETFLIX PLAN 1599</v>
      </c>
      <c r="S2676" s="1" t="str">
        <f>IFERROR(__xludf.DUMMYFUNCTION("""COMPUTED_VALUE"""),"APPROVED")</f>
        <v>APPROVED</v>
      </c>
      <c r="T2676" s="1" t="str">
        <f>IFERROR(__xludf.DUMMYFUNCTION("""COMPUTED_VALUE"""),"CLOSED")</f>
        <v>CLOSED</v>
      </c>
      <c r="U2676" s="1" t="str">
        <f>IFERROR(__xludf.DUMMYFUNCTION("""COMPUTED_VALUE"""),"POSTED")</f>
        <v>POSTED</v>
      </c>
      <c r="V2676" s="1"/>
      <c r="W2676" s="1"/>
    </row>
    <row r="2677" customHeight="1" spans="1:23">
      <c r="A2677" s="3">
        <f>IFERROR(__xludf.DUMMYFUNCTION("""COMPUTED_VALUE"""),46242)</f>
        <v>46242</v>
      </c>
      <c r="B2677" s="1" t="str">
        <f>IFERROR(__xludf.DUMMYFUNCTION("""COMPUTED_VALUE"""),"AYON MANUEL")</f>
        <v>AYON MANUEL</v>
      </c>
      <c r="C2677" s="1" t="str">
        <f>IFERROR(__xludf.DUMMYFUNCTION("""COMPUTED_VALUE"""),"FLA")</f>
        <v>FLA</v>
      </c>
      <c r="D2677" s="1" t="str">
        <f>IFERROR(__xludf.DUMMYFUNCTION("""COMPUTED_VALUE"""),"JERIC NAVARRO")</f>
        <v>JERIC NAVARRO</v>
      </c>
      <c r="E2677" s="1" t="str">
        <f>IFERROR(__xludf.DUMMYFUNCTION("""COMPUTED_VALUE"""),"PLDT / ONLINE")</f>
        <v>PLDT / ONLINE</v>
      </c>
      <c r="F2677" s="1">
        <f>IFERROR(__xludf.DUMMYFUNCTION("""COMPUTED_VALUE"""),2311621991)</f>
        <v>2311621991</v>
      </c>
      <c r="G2677" s="1">
        <f>IFERROR(__xludf.DUMMYFUNCTION("""COMPUTED_VALUE"""),465656470004)</f>
        <v>465656470004</v>
      </c>
      <c r="H2677" s="1" t="str">
        <f>IFERROR(__xludf.DUMMYFUNCTION("""COMPUTED_VALUE"""),"CHERRY MAE MARIANO NATALIO")</f>
        <v>CHERRY MAE MARIANO NATALIO</v>
      </c>
      <c r="I2677" s="1">
        <f>IFERROR(__xludf.DUMMYFUNCTION("""COMPUTED_VALUE"""),9270155102)</f>
        <v>9270155102</v>
      </c>
      <c r="J2677" s="1">
        <f>IFERROR(__xludf.DUMMYFUNCTION("""COMPUTED_VALUE"""),9484183093)</f>
        <v>9484183093</v>
      </c>
      <c r="K2677" s="1" t="str">
        <f>IFERROR(__xludf.DUMMYFUNCTION("""COMPUTED_VALUE"""),"cherrynatalio2024@gmai.com")</f>
        <v>cherrynatalio2024@gmai.com</v>
      </c>
      <c r="L2677" s="1" t="str">
        <f>IFERROR(__xludf.DUMMYFUNCTION("""COMPUTED_VALUE"""),"9097")</f>
        <v>9097</v>
      </c>
      <c r="M2677" s="1" t="str">
        <f>IFERROR(__xludf.DUMMYFUNCTION("""COMPUTED_VALUE"""),"CAMIAS")</f>
        <v>CAMIAS</v>
      </c>
      <c r="N2677" s="1" t="str">
        <f>IFERROR(__xludf.DUMMYFUNCTION("""COMPUTED_VALUE"""),"CORE HOUSE")</f>
        <v>CORE HOUSE</v>
      </c>
      <c r="O2677" s="1" t="str">
        <f>IFERROR(__xludf.DUMMYFUNCTION("""COMPUTED_VALUE"""),"BANCAL")</f>
        <v>BANCAL</v>
      </c>
      <c r="P2677" s="1" t="str">
        <f>IFERROR(__xludf.DUMMYFUNCTION("""COMPUTED_VALUE"""),"CARMONA")</f>
        <v>CARMONA</v>
      </c>
      <c r="Q2677" s="1" t="str">
        <f>IFERROR(__xludf.DUMMYFUNCTION("""COMPUTED_VALUE"""),"CAVITE")</f>
        <v>CAVITE</v>
      </c>
      <c r="R2677" s="1" t="str">
        <f>IFERROR(__xludf.DUMMYFUNCTION("""COMPUTED_VALUE"""),"FIBR PLAN 1299")</f>
        <v>FIBR PLAN 1299</v>
      </c>
      <c r="S2677" s="1" t="str">
        <f>IFERROR(__xludf.DUMMYFUNCTION("""COMPUTED_VALUE"""),"APPROVED")</f>
        <v>APPROVED</v>
      </c>
      <c r="T2677" s="1" t="str">
        <f>IFERROR(__xludf.DUMMYFUNCTION("""COMPUTED_VALUE"""),"CANCELLED")</f>
        <v>CANCELLED</v>
      </c>
      <c r="U2677" s="1"/>
      <c r="V2677" s="1"/>
      <c r="W2677" s="1"/>
    </row>
    <row r="2678" customHeight="1" spans="1:23">
      <c r="A2678" s="3">
        <f>IFERROR(__xludf.DUMMYFUNCTION("""COMPUTED_VALUE"""),46242)</f>
        <v>46242</v>
      </c>
      <c r="B2678" s="1" t="str">
        <f>IFERROR(__xludf.DUMMYFUNCTION("""COMPUTED_VALUE"""),"MALIWAT MARK ELVIN")</f>
        <v>MALIWAT MARK ELVIN</v>
      </c>
      <c r="C2678" s="1" t="str">
        <f>IFERROR(__xludf.DUMMYFUNCTION("""COMPUTED_VALUE"""),"FLA")</f>
        <v>FLA</v>
      </c>
      <c r="D2678" s="1" t="str">
        <f>IFERROR(__xludf.DUMMYFUNCTION("""COMPUTED_VALUE"""),"JERIC NAVARRO")</f>
        <v>JERIC NAVARRO</v>
      </c>
      <c r="E2678" s="1" t="str">
        <f>IFERROR(__xludf.DUMMYFUNCTION("""COMPUTED_VALUE"""),"PLDT / ONLINE")</f>
        <v>PLDT / ONLINE</v>
      </c>
      <c r="F2678" s="1">
        <f>IFERROR(__xludf.DUMMYFUNCTION("""COMPUTED_VALUE"""),2311631829)</f>
        <v>2311631829</v>
      </c>
      <c r="G2678" s="1">
        <f>IFERROR(__xludf.DUMMYFUNCTION("""COMPUTED_VALUE"""),466176333004)</f>
        <v>466176333004</v>
      </c>
      <c r="H2678" s="1" t="str">
        <f>IFERROR(__xludf.DUMMYFUNCTION("""COMPUTED_VALUE"""),"AYELLAH JAZ ALCANTARA SPARS")</f>
        <v>AYELLAH JAZ ALCANTARA SPARS</v>
      </c>
      <c r="I2678" s="1">
        <f>IFERROR(__xludf.DUMMYFUNCTION("""COMPUTED_VALUE"""),9981765169)</f>
        <v>9981765169</v>
      </c>
      <c r="J2678" s="1">
        <f>IFERROR(__xludf.DUMMYFUNCTION("""COMPUTED_VALUE"""),9393237744)</f>
        <v>9393237744</v>
      </c>
      <c r="K2678" s="1" t="str">
        <f>IFERROR(__xludf.DUMMYFUNCTION("""COMPUTED_VALUE"""),"sparksayellah@gmail.com")</f>
        <v>sparksayellah@gmail.com</v>
      </c>
      <c r="L2678" s="1" t="str">
        <f>IFERROR(__xludf.DUMMYFUNCTION("""COMPUTED_VALUE"""),"727")</f>
        <v>727</v>
      </c>
      <c r="M2678" s="1" t="str">
        <f>IFERROR(__xludf.DUMMYFUNCTION("""COMPUTED_VALUE"""),"TOWER 3")</f>
        <v>TOWER 3</v>
      </c>
      <c r="N2678" s="1" t="str">
        <f>IFERROR(__xludf.DUMMYFUNCTION("""COMPUTED_VALUE"""),"SMDC")</f>
        <v>SMDC</v>
      </c>
      <c r="O2678" s="1" t="str">
        <f>IFERROR(__xludf.DUMMYFUNCTION("""COMPUTED_VALUE"""),"MAHARLIKA WEST")</f>
        <v>MAHARLIKA WEST</v>
      </c>
      <c r="P2678" s="1" t="str">
        <f>IFERROR(__xludf.DUMMYFUNCTION("""COMPUTED_VALUE"""),"TAGAYTAY")</f>
        <v>TAGAYTAY</v>
      </c>
      <c r="Q2678" s="1" t="str">
        <f>IFERROR(__xludf.DUMMYFUNCTION("""COMPUTED_VALUE"""),"CAVITE")</f>
        <v>CAVITE</v>
      </c>
      <c r="R2678" s="1" t="str">
        <f>IFERROR(__xludf.DUMMYFUNCTION("""COMPUTED_VALUE"""),"FIBR PLAN 1299")</f>
        <v>FIBR PLAN 1299</v>
      </c>
      <c r="S2678" s="1" t="str">
        <f>IFERROR(__xludf.DUMMYFUNCTION("""COMPUTED_VALUE"""),"APPROVED")</f>
        <v>APPROVED</v>
      </c>
      <c r="T2678" s="1" t="str">
        <f>IFERROR(__xludf.DUMMYFUNCTION("""COMPUTED_VALUE"""),"CLOSED")</f>
        <v>CLOSED</v>
      </c>
      <c r="U2678" s="1" t="str">
        <f>IFERROR(__xludf.DUMMYFUNCTION("""COMPUTED_VALUE"""),"POSTED")</f>
        <v>POSTED</v>
      </c>
      <c r="V2678" s="1"/>
      <c r="W2678" s="1"/>
    </row>
    <row r="2679" customHeight="1" spans="1:23">
      <c r="A2679" s="3">
        <f>IFERROR(__xludf.DUMMYFUNCTION("""COMPUTED_VALUE"""),46242)</f>
        <v>46242</v>
      </c>
      <c r="B2679" s="1" t="str">
        <f>IFERROR(__xludf.DUMMYFUNCTION("""COMPUTED_VALUE"""),"ARIENA, LYKA")</f>
        <v>ARIENA, LYKA</v>
      </c>
      <c r="C2679" s="1" t="str">
        <f>IFERROR(__xludf.DUMMYFUNCTION("""COMPUTED_VALUE"""),"ORGANIC")</f>
        <v>ORGANIC</v>
      </c>
      <c r="D2679" s="1" t="str">
        <f>IFERROR(__xludf.DUMMYFUNCTION("""COMPUTED_VALUE"""),"REMOLLO LEA")</f>
        <v>REMOLLO LEA</v>
      </c>
      <c r="E2679" s="1" t="str">
        <f>IFERROR(__xludf.DUMMYFUNCTION("""COMPUTED_VALUE"""),"PLDT / H2H")</f>
        <v>PLDT / H2H</v>
      </c>
      <c r="F2679" s="1">
        <f>IFERROR(__xludf.DUMMYFUNCTION("""COMPUTED_VALUE"""),2311626683)</f>
        <v>2311626683</v>
      </c>
      <c r="G2679" s="1">
        <f>IFERROR(__xludf.DUMMYFUNCTION("""COMPUTED_VALUE"""),465669398004)</f>
        <v>465669398004</v>
      </c>
      <c r="H2679" s="1" t="str">
        <f>IFERROR(__xludf.DUMMYFUNCTION("""COMPUTED_VALUE"""),"JANNIELE PANGANIBAN ANONUEVO")</f>
        <v>JANNIELE PANGANIBAN ANONUEVO</v>
      </c>
      <c r="I2679" s="1">
        <f>IFERROR(__xludf.DUMMYFUNCTION("""COMPUTED_VALUE"""),9090023805)</f>
        <v>9090023805</v>
      </c>
      <c r="J2679" s="1"/>
      <c r="K2679" s="1" t="str">
        <f>IFERROR(__xludf.DUMMYFUNCTION("""COMPUTED_VALUE"""),"lhyzaeroles46@gmail.com")</f>
        <v>lhyzaeroles46@gmail.com</v>
      </c>
      <c r="L2679" s="1" t="str">
        <f>IFERROR(__xludf.DUMMYFUNCTION("""COMPUTED_VALUE"""),"110")</f>
        <v>110</v>
      </c>
      <c r="M2679" s="1" t="str">
        <f>IFERROR(__xludf.DUMMYFUNCTION("""COMPUTED_VALUE"""),"PUROK 1")</f>
        <v>PUROK 1</v>
      </c>
      <c r="N2679" s="1"/>
      <c r="O2679" s="1" t="str">
        <f>IFERROR(__xludf.DUMMYFUNCTION("""COMPUTED_VALUE"""),"SANTA TERESA")</f>
        <v>SANTA TERESA</v>
      </c>
      <c r="P2679" s="1" t="str">
        <f>IFERROR(__xludf.DUMMYFUNCTION("""COMPUTED_VALUE"""),"ALFONSO")</f>
        <v>ALFONSO</v>
      </c>
      <c r="Q2679" s="1" t="str">
        <f>IFERROR(__xludf.DUMMYFUNCTION("""COMPUTED_VALUE"""),"CAVITE")</f>
        <v>CAVITE</v>
      </c>
      <c r="R2679" s="1" t="str">
        <f>IFERROR(__xludf.DUMMYFUNCTION("""COMPUTED_VALUE"""),"FIBR PLAN 1299")</f>
        <v>FIBR PLAN 1299</v>
      </c>
      <c r="S2679" s="1" t="str">
        <f>IFERROR(__xludf.DUMMYFUNCTION("""COMPUTED_VALUE"""),"APPROVED")</f>
        <v>APPROVED</v>
      </c>
      <c r="T2679" s="1" t="str">
        <f>IFERROR(__xludf.DUMMYFUNCTION("""COMPUTED_VALUE"""),"CLOSED")</f>
        <v>CLOSED</v>
      </c>
      <c r="U2679" s="1" t="str">
        <f>IFERROR(__xludf.DUMMYFUNCTION("""COMPUTED_VALUE"""),"POSTED")</f>
        <v>POSTED</v>
      </c>
      <c r="V2679" s="1"/>
      <c r="W2679" s="1"/>
    </row>
    <row r="2680" customHeight="1" spans="1:23">
      <c r="A2680" s="3">
        <f>IFERROR(__xludf.DUMMYFUNCTION("""COMPUTED_VALUE"""),46242)</f>
        <v>46242</v>
      </c>
      <c r="B2680" s="1" t="str">
        <f>IFERROR(__xludf.DUMMYFUNCTION("""COMPUTED_VALUE"""),"ARIENA, LYKA")</f>
        <v>ARIENA, LYKA</v>
      </c>
      <c r="C2680" s="1" t="str">
        <f>IFERROR(__xludf.DUMMYFUNCTION("""COMPUTED_VALUE"""),"ORGANIC")</f>
        <v>ORGANIC</v>
      </c>
      <c r="D2680" s="1" t="str">
        <f>IFERROR(__xludf.DUMMYFUNCTION("""COMPUTED_VALUE"""),"REMOLLO LEA")</f>
        <v>REMOLLO LEA</v>
      </c>
      <c r="E2680" s="1" t="str">
        <f>IFERROR(__xludf.DUMMYFUNCTION("""COMPUTED_VALUE"""),"PLDT / H2H")</f>
        <v>PLDT / H2H</v>
      </c>
      <c r="F2680" s="1">
        <f>IFERROR(__xludf.DUMMYFUNCTION("""COMPUTED_VALUE"""),2311627404)</f>
        <v>2311627404</v>
      </c>
      <c r="G2680" s="1">
        <f>IFERROR(__xludf.DUMMYFUNCTION("""COMPUTED_VALUE"""),465675155004)</f>
        <v>465675155004</v>
      </c>
      <c r="H2680" s="1" t="str">
        <f>IFERROR(__xludf.DUMMYFUNCTION("""COMPUTED_VALUE"""),"BENJIE ANOCHE ANDRADA")</f>
        <v>BENJIE ANOCHE ANDRADA</v>
      </c>
      <c r="I2680" s="1">
        <f>IFERROR(__xludf.DUMMYFUNCTION("""COMPUTED_VALUE"""),9195911046)</f>
        <v>9195911046</v>
      </c>
      <c r="J2680" s="1"/>
      <c r="K2680" s="1" t="str">
        <f>IFERROR(__xludf.DUMMYFUNCTION("""COMPUTED_VALUE"""),"andradabenjie3@yahoo.com")</f>
        <v>andradabenjie3@yahoo.com</v>
      </c>
      <c r="L2680" s="1" t="str">
        <f>IFERROR(__xludf.DUMMYFUNCTION("""COMPUTED_VALUE"""),"36")</f>
        <v>36</v>
      </c>
      <c r="M2680" s="1" t="str">
        <f>IFERROR(__xludf.DUMMYFUNCTION("""COMPUTED_VALUE"""),"PANUNGYAN RD")</f>
        <v>PANUNGYAN RD</v>
      </c>
      <c r="N2680" s="1"/>
      <c r="O2680" s="1" t="str">
        <f>IFERROR(__xludf.DUMMYFUNCTION("""COMPUTED_VALUE"""),"PANUNGYAN II")</f>
        <v>PANUNGYAN II</v>
      </c>
      <c r="P2680" s="1" t="str">
        <f>IFERROR(__xludf.DUMMYFUNCTION("""COMPUTED_VALUE"""),"MENDEZ")</f>
        <v>MENDEZ</v>
      </c>
      <c r="Q2680" s="1" t="str">
        <f>IFERROR(__xludf.DUMMYFUNCTION("""COMPUTED_VALUE"""),"CAVITE")</f>
        <v>CAVITE</v>
      </c>
      <c r="R2680" s="1" t="str">
        <f>IFERROR(__xludf.DUMMYFUNCTION("""COMPUTED_VALUE"""),"FIBR PLAN 1299")</f>
        <v>FIBR PLAN 1299</v>
      </c>
      <c r="S2680" s="1" t="str">
        <f>IFERROR(__xludf.DUMMYFUNCTION("""COMPUTED_VALUE"""),"APPROVED")</f>
        <v>APPROVED</v>
      </c>
      <c r="T2680" s="1" t="str">
        <f>IFERROR(__xludf.DUMMYFUNCTION("""COMPUTED_VALUE"""),"CLOSED")</f>
        <v>CLOSED</v>
      </c>
      <c r="U2680" s="1" t="str">
        <f>IFERROR(__xludf.DUMMYFUNCTION("""COMPUTED_VALUE"""),"POSTED")</f>
        <v>POSTED</v>
      </c>
      <c r="V2680" s="1"/>
      <c r="W2680" s="1"/>
    </row>
    <row r="2681" customHeight="1" spans="1:23">
      <c r="A2681" s="3">
        <f>IFERROR(__xludf.DUMMYFUNCTION("""COMPUTED_VALUE"""),46242)</f>
        <v>46242</v>
      </c>
      <c r="B2681" s="1" t="str">
        <f>IFERROR(__xludf.DUMMYFUNCTION("""COMPUTED_VALUE"""),"GABAY, MANUEL")</f>
        <v>GABAY, MANUEL</v>
      </c>
      <c r="C2681" s="1" t="str">
        <f>IFERROR(__xludf.DUMMYFUNCTION("""COMPUTED_VALUE"""),"FLA")</f>
        <v>FLA</v>
      </c>
      <c r="D2681" s="1" t="str">
        <f>IFERROR(__xludf.DUMMYFUNCTION("""COMPUTED_VALUE"""),"JERIC NAVARRO")</f>
        <v>JERIC NAVARRO</v>
      </c>
      <c r="E2681" s="1" t="str">
        <f>IFERROR(__xludf.DUMMYFUNCTION("""COMPUTED_VALUE"""),"PLDT / H2H")</f>
        <v>PLDT / H2H</v>
      </c>
      <c r="F2681" s="1">
        <f>IFERROR(__xludf.DUMMYFUNCTION("""COMPUTED_VALUE"""),2311630406)</f>
        <v>2311630406</v>
      </c>
      <c r="G2681" s="1">
        <f>IFERROR(__xludf.DUMMYFUNCTION("""COMPUTED_VALUE"""),465695608004)</f>
        <v>465695608004</v>
      </c>
      <c r="H2681" s="1" t="str">
        <f>IFERROR(__xludf.DUMMYFUNCTION("""COMPUTED_VALUE"""),"MARK LORENZ GUILLEN CORTEZ")</f>
        <v>MARK LORENZ GUILLEN CORTEZ</v>
      </c>
      <c r="I2681" s="1">
        <f>IFERROR(__xludf.DUMMYFUNCTION("""COMPUTED_VALUE"""),9975867182)</f>
        <v>9975867182</v>
      </c>
      <c r="J2681" s="1">
        <f>IFERROR(__xludf.DUMMYFUNCTION("""COMPUTED_VALUE"""),9368840264)</f>
        <v>9368840264</v>
      </c>
      <c r="K2681" s="1" t="str">
        <f>IFERROR(__xludf.DUMMYFUNCTION("""COMPUTED_VALUE"""),"lorenzcortezz.99@gmail.com")</f>
        <v>lorenzcortezz.99@gmail.com</v>
      </c>
      <c r="L2681" s="1" t="str">
        <f>IFERROR(__xludf.DUMMYFUNCTION("""COMPUTED_VALUE"""),"3260")</f>
        <v>3260</v>
      </c>
      <c r="M2681" s="1" t="str">
        <f>IFERROR(__xludf.DUMMYFUNCTION("""COMPUTED_VALUE"""),"PATUTONG RD")</f>
        <v>PATUTONG RD</v>
      </c>
      <c r="N2681" s="1"/>
      <c r="O2681" s="1" t="str">
        <f>IFERROR(__xludf.DUMMYFUNCTION("""COMPUTED_VALUE"""),"PATUTONG MALAKI NORTH")</f>
        <v>PATUTONG MALAKI NORTH</v>
      </c>
      <c r="P2681" s="1" t="str">
        <f>IFERROR(__xludf.DUMMYFUNCTION("""COMPUTED_VALUE"""),"TAGAYTAY")</f>
        <v>TAGAYTAY</v>
      </c>
      <c r="Q2681" s="1" t="str">
        <f>IFERROR(__xludf.DUMMYFUNCTION("""COMPUTED_VALUE"""),"CAVITE")</f>
        <v>CAVITE</v>
      </c>
      <c r="R2681" s="1" t="str">
        <f>IFERROR(__xludf.DUMMYFUNCTION("""COMPUTED_VALUE"""),"FIBR UNLI ALL PLAN 1499")</f>
        <v>FIBR UNLI ALL PLAN 1499</v>
      </c>
      <c r="S2681" s="1" t="str">
        <f>IFERROR(__xludf.DUMMYFUNCTION("""COMPUTED_VALUE"""),"APPROVED")</f>
        <v>APPROVED</v>
      </c>
      <c r="T2681" s="1" t="str">
        <f>IFERROR(__xludf.DUMMYFUNCTION("""COMPUTED_VALUE"""),"CLOSED")</f>
        <v>CLOSED</v>
      </c>
      <c r="U2681" s="1" t="str">
        <f>IFERROR(__xludf.DUMMYFUNCTION("""COMPUTED_VALUE"""),"POSTED")</f>
        <v>POSTED</v>
      </c>
      <c r="V2681" s="1"/>
      <c r="W2681" s="1"/>
    </row>
    <row r="2682" customHeight="1" spans="1:23">
      <c r="A2682" s="3">
        <f>IFERROR(__xludf.DUMMYFUNCTION("""COMPUTED_VALUE"""),46242)</f>
        <v>46242</v>
      </c>
      <c r="B2682" s="1" t="str">
        <f>IFERROR(__xludf.DUMMYFUNCTION("""COMPUTED_VALUE"""),"FRANCISCO , ROSELYN")</f>
        <v>FRANCISCO , ROSELYN</v>
      </c>
      <c r="C2682" s="1" t="str">
        <f>IFERROR(__xludf.DUMMYFUNCTION("""COMPUTED_VALUE"""),"ORGANIC")</f>
        <v>ORGANIC</v>
      </c>
      <c r="D2682" s="1" t="str">
        <f>IFERROR(__xludf.DUMMYFUNCTION("""COMPUTED_VALUE"""),"REMOLLO LEA")</f>
        <v>REMOLLO LEA</v>
      </c>
      <c r="E2682" s="1" t="str">
        <f>IFERROR(__xludf.DUMMYFUNCTION("""COMPUTED_VALUE"""),"PLDT / ONLINE")</f>
        <v>PLDT / ONLINE</v>
      </c>
      <c r="F2682" s="1">
        <f>IFERROR(__xludf.DUMMYFUNCTION("""COMPUTED_VALUE"""),2311628381)</f>
        <v>2311628381</v>
      </c>
      <c r="G2682" s="1">
        <f>IFERROR(__xludf.DUMMYFUNCTION("""COMPUTED_VALUE"""),465676008004)</f>
        <v>465676008004</v>
      </c>
      <c r="H2682" s="1" t="str">
        <f>IFERROR(__xludf.DUMMYFUNCTION("""COMPUTED_VALUE"""),"RIZA IGBUHAY BRANZUELA")</f>
        <v>RIZA IGBUHAY BRANZUELA</v>
      </c>
      <c r="I2682" s="1">
        <f>IFERROR(__xludf.DUMMYFUNCTION("""COMPUTED_VALUE"""),9054383202)</f>
        <v>9054383202</v>
      </c>
      <c r="J2682" s="1">
        <f>IFERROR(__xludf.DUMMYFUNCTION("""COMPUTED_VALUE"""),9459625024)</f>
        <v>9459625024</v>
      </c>
      <c r="K2682" s="1" t="str">
        <f>IFERROR(__xludf.DUMMYFUNCTION("""COMPUTED_VALUE"""),"rizabranzeula27@gmail.com")</f>
        <v>rizabranzeula27@gmail.com</v>
      </c>
      <c r="L2682" s="1" t="str">
        <f>IFERROR(__xludf.DUMMYFUNCTION("""COMPUTED_VALUE"""),"BLK 70 LOT 27")</f>
        <v>BLK 70 LOT 27</v>
      </c>
      <c r="M2682" s="1" t="str">
        <f>IFERROR(__xludf.DUMMYFUNCTION("""COMPUTED_VALUE"""),"PUROK ")</f>
        <v>PUROK </v>
      </c>
      <c r="N2682" s="1"/>
      <c r="O2682" s="1" t="str">
        <f>IFERROR(__xludf.DUMMYFUNCTION("""COMPUTED_VALUE"""),"VICTORIA REYES")</f>
        <v>VICTORIA REYES</v>
      </c>
      <c r="P2682" s="1" t="str">
        <f>IFERROR(__xludf.DUMMYFUNCTION("""COMPUTED_VALUE"""),"DASMARINAS")</f>
        <v>DASMARINAS</v>
      </c>
      <c r="Q2682" s="1" t="str">
        <f>IFERROR(__xludf.DUMMYFUNCTION("""COMPUTED_VALUE"""),"CAVITE")</f>
        <v>CAVITE</v>
      </c>
      <c r="R2682" s="1" t="str">
        <f>IFERROR(__xludf.DUMMYFUNCTION("""COMPUTED_VALUE"""),"FIBR UNLI ALL PLAN 999")</f>
        <v>FIBR UNLI ALL PLAN 999</v>
      </c>
      <c r="S2682" s="1" t="str">
        <f>IFERROR(__xludf.DUMMYFUNCTION("""COMPUTED_VALUE"""),"APPROVED")</f>
        <v>APPROVED</v>
      </c>
      <c r="T2682" s="1" t="str">
        <f>IFERROR(__xludf.DUMMYFUNCTION("""COMPUTED_VALUE"""),"CANCELLED")</f>
        <v>CANCELLED</v>
      </c>
      <c r="U2682" s="1"/>
      <c r="V2682" s="1"/>
      <c r="W2682" s="1"/>
    </row>
    <row r="2683" customHeight="1" spans="1:23">
      <c r="A2683" s="3">
        <f>IFERROR(__xludf.DUMMYFUNCTION("""COMPUTED_VALUE"""),46242)</f>
        <v>46242</v>
      </c>
      <c r="B2683" s="1" t="str">
        <f>IFERROR(__xludf.DUMMYFUNCTION("""COMPUTED_VALUE"""),"FRANCISCO , ROSELYN")</f>
        <v>FRANCISCO , ROSELYN</v>
      </c>
      <c r="C2683" s="1" t="str">
        <f>IFERROR(__xludf.DUMMYFUNCTION("""COMPUTED_VALUE"""),"ORGANIC")</f>
        <v>ORGANIC</v>
      </c>
      <c r="D2683" s="1" t="str">
        <f>IFERROR(__xludf.DUMMYFUNCTION("""COMPUTED_VALUE"""),"REMOLLO LEA")</f>
        <v>REMOLLO LEA</v>
      </c>
      <c r="E2683" s="1" t="str">
        <f>IFERROR(__xludf.DUMMYFUNCTION("""COMPUTED_VALUE"""),"PLDT / H2H")</f>
        <v>PLDT / H2H</v>
      </c>
      <c r="F2683" s="1">
        <f>IFERROR(__xludf.DUMMYFUNCTION("""COMPUTED_VALUE"""),2311629833)</f>
        <v>2311629833</v>
      </c>
      <c r="G2683" s="1"/>
      <c r="H2683" s="1" t="str">
        <f>IFERROR(__xludf.DUMMYFUNCTION("""COMPUTED_VALUE"""),"LEANDRO WECESLAO DELACRUZ")</f>
        <v>LEANDRO WECESLAO DELACRUZ</v>
      </c>
      <c r="I2683" s="1">
        <f>IFERROR(__xludf.DUMMYFUNCTION("""COMPUTED_VALUE"""),9770780190)</f>
        <v>9770780190</v>
      </c>
      <c r="J2683" s="1">
        <f>IFERROR(__xludf.DUMMYFUNCTION("""COMPUTED_VALUE"""),9159338484)</f>
        <v>9159338484</v>
      </c>
      <c r="K2683" s="1" t="str">
        <f>IFERROR(__xludf.DUMMYFUNCTION("""COMPUTED_VALUE"""),"leode121900@gmail.com")</f>
        <v>leode121900@gmail.com</v>
      </c>
      <c r="L2683" s="1" t="str">
        <f>IFERROR(__xludf.DUMMYFUNCTION("""COMPUTED_VALUE"""),"BLK 12 LOT 5B")</f>
        <v>BLK 12 LOT 5B</v>
      </c>
      <c r="M2683" s="1" t="str">
        <f>IFERROR(__xludf.DUMMYFUNCTION("""COMPUTED_VALUE"""),"PHASE 2")</f>
        <v>PHASE 2</v>
      </c>
      <c r="N2683" s="1"/>
      <c r="O2683" s="1" t="str">
        <f>IFERROR(__xludf.DUMMYFUNCTION("""COMPUTED_VALUE"""),"ANAHAW I")</f>
        <v>ANAHAW I</v>
      </c>
      <c r="P2683" s="1" t="str">
        <f>IFERROR(__xludf.DUMMYFUNCTION("""COMPUTED_VALUE"""),"SILANG")</f>
        <v>SILANG</v>
      </c>
      <c r="Q2683" s="1" t="str">
        <f>IFERROR(__xludf.DUMMYFUNCTION("""COMPUTED_VALUE"""),"CAVITE")</f>
        <v>CAVITE</v>
      </c>
      <c r="R2683" s="1" t="str">
        <f>IFERROR(__xludf.DUMMYFUNCTION("""COMPUTED_VALUE"""),"FIBR UNLI ALL PLAN 1499")</f>
        <v>FIBR UNLI ALL PLAN 1499</v>
      </c>
      <c r="S2683" s="1" t="str">
        <f>IFERROR(__xludf.DUMMYFUNCTION("""COMPUTED_VALUE"""),"APPROVED")</f>
        <v>APPROVED</v>
      </c>
      <c r="T2683" s="1" t="str">
        <f>IFERROR(__xludf.DUMMYFUNCTION("""COMPUTED_VALUE"""),"DISAPPROVED")</f>
        <v>DISAPPROVED</v>
      </c>
      <c r="U2683" s="1"/>
      <c r="V2683" s="1"/>
      <c r="W2683" s="1"/>
    </row>
    <row r="2684" customHeight="1" spans="1:23">
      <c r="A2684" s="3">
        <f>IFERROR(__xludf.DUMMYFUNCTION("""COMPUTED_VALUE"""),46242)</f>
        <v>46242</v>
      </c>
      <c r="B2684" s="1" t="str">
        <f>IFERROR(__xludf.DUMMYFUNCTION("""COMPUTED_VALUE"""),"TAMAYO, MARY ROSE")</f>
        <v>TAMAYO, MARY ROSE</v>
      </c>
      <c r="C2684" s="1" t="str">
        <f>IFERROR(__xludf.DUMMYFUNCTION("""COMPUTED_VALUE"""),"ORGANIC")</f>
        <v>ORGANIC</v>
      </c>
      <c r="D2684" s="1" t="str">
        <f>IFERROR(__xludf.DUMMYFUNCTION("""COMPUTED_VALUE"""),"REMOLLO LEA")</f>
        <v>REMOLLO LEA</v>
      </c>
      <c r="E2684" s="1" t="str">
        <f>IFERROR(__xludf.DUMMYFUNCTION("""COMPUTED_VALUE"""),"PLDT / H2H")</f>
        <v>PLDT / H2H</v>
      </c>
      <c r="F2684" s="1">
        <f>IFERROR(__xludf.DUMMYFUNCTION("""COMPUTED_VALUE"""),2311630854)</f>
        <v>2311630854</v>
      </c>
      <c r="G2684" s="1">
        <f>IFERROR(__xludf.DUMMYFUNCTION("""COMPUTED_VALUE"""),465675047004)</f>
        <v>465675047004</v>
      </c>
      <c r="H2684" s="1" t="str">
        <f>IFERROR(__xludf.DUMMYFUNCTION("""COMPUTED_VALUE"""),"JANNE CRISTINE MANGALDAN TALATALA")</f>
        <v>JANNE CRISTINE MANGALDAN TALATALA</v>
      </c>
      <c r="I2684" s="1">
        <f>IFERROR(__xludf.DUMMYFUNCTION("""COMPUTED_VALUE"""),9564153457)</f>
        <v>9564153457</v>
      </c>
      <c r="J2684" s="1">
        <f>IFERROR(__xludf.DUMMYFUNCTION("""COMPUTED_VALUE"""),9153768809)</f>
        <v>9153768809</v>
      </c>
      <c r="K2684" s="1" t="str">
        <f>IFERROR(__xludf.DUMMYFUNCTION("""COMPUTED_VALUE"""),"jctalatala080229@gmai.com")</f>
        <v>jctalatala080229@gmai.com</v>
      </c>
      <c r="L2684" s="1" t="str">
        <f>IFERROR(__xludf.DUMMYFUNCTION("""COMPUTED_VALUE"""),"22")</f>
        <v>22</v>
      </c>
      <c r="M2684" s="1" t="str">
        <f>IFERROR(__xludf.DUMMYFUNCTION("""COMPUTED_VALUE"""),"GOVERNOR DRIVE")</f>
        <v>GOVERNOR DRIVE</v>
      </c>
      <c r="N2684" s="1"/>
      <c r="O2684" s="1" t="str">
        <f>IFERROR(__xludf.DUMMYFUNCTION("""COMPUTED_VALUE"""),"BULIHAN")</f>
        <v>BULIHAN</v>
      </c>
      <c r="P2684" s="1" t="str">
        <f>IFERROR(__xludf.DUMMYFUNCTION("""COMPUTED_VALUE"""),"SILANG")</f>
        <v>SILANG</v>
      </c>
      <c r="Q2684" s="1" t="str">
        <f>IFERROR(__xludf.DUMMYFUNCTION("""COMPUTED_VALUE"""),"CAVITE")</f>
        <v>CAVITE</v>
      </c>
      <c r="R2684" s="1" t="str">
        <f>IFERROR(__xludf.DUMMYFUNCTION("""COMPUTED_VALUE"""),"FIBR PLAN 1299")</f>
        <v>FIBR PLAN 1299</v>
      </c>
      <c r="S2684" s="1" t="str">
        <f>IFERROR(__xludf.DUMMYFUNCTION("""COMPUTED_VALUE"""),"APPROVED")</f>
        <v>APPROVED</v>
      </c>
      <c r="T2684" s="1" t="str">
        <f>IFERROR(__xludf.DUMMYFUNCTION("""COMPUTED_VALUE"""),"CLOSED")</f>
        <v>CLOSED</v>
      </c>
      <c r="U2684" s="1" t="str">
        <f>IFERROR(__xludf.DUMMYFUNCTION("""COMPUTED_VALUE"""),"POSTED")</f>
        <v>POSTED</v>
      </c>
      <c r="V2684" s="1"/>
      <c r="W2684" s="1"/>
    </row>
    <row r="2685" customHeight="1" spans="1:23">
      <c r="A2685" s="3">
        <f>IFERROR(__xludf.DUMMYFUNCTION("""COMPUTED_VALUE"""),46242)</f>
        <v>46242</v>
      </c>
      <c r="B2685" s="1" t="str">
        <f>IFERROR(__xludf.DUMMYFUNCTION("""COMPUTED_VALUE"""),"AYON MANUEL")</f>
        <v>AYON MANUEL</v>
      </c>
      <c r="C2685" s="1" t="str">
        <f>IFERROR(__xludf.DUMMYFUNCTION("""COMPUTED_VALUE"""),"FLA")</f>
        <v>FLA</v>
      </c>
      <c r="D2685" s="1" t="str">
        <f>IFERROR(__xludf.DUMMYFUNCTION("""COMPUTED_VALUE"""),"JERIC NAVARRO")</f>
        <v>JERIC NAVARRO</v>
      </c>
      <c r="E2685" s="1" t="str">
        <f>IFERROR(__xludf.DUMMYFUNCTION("""COMPUTED_VALUE"""),"PLDT / ONLINE")</f>
        <v>PLDT / ONLINE</v>
      </c>
      <c r="F2685" s="1">
        <f>IFERROR(__xludf.DUMMYFUNCTION("""COMPUTED_VALUE"""),2311705456)</f>
        <v>2311705456</v>
      </c>
      <c r="G2685" s="1"/>
      <c r="H2685" s="1" t="str">
        <f>IFERROR(__xludf.DUMMYFUNCTION("""COMPUTED_VALUE"""),"ALVIN IGUAL NAVARETTEE")</f>
        <v>ALVIN IGUAL NAVARETTEE</v>
      </c>
      <c r="I2685" s="1">
        <f>IFERROR(__xludf.DUMMYFUNCTION("""COMPUTED_VALUE"""),9913187093)</f>
        <v>9913187093</v>
      </c>
      <c r="J2685" s="1">
        <f>IFERROR(__xludf.DUMMYFUNCTION("""COMPUTED_VALUE"""),9977882905)</f>
        <v>9977882905</v>
      </c>
      <c r="K2685" s="1" t="str">
        <f>IFERROR(__xludf.DUMMYFUNCTION("""COMPUTED_VALUE"""),"alvinnavarette79@gmail.com")</f>
        <v>alvinnavarette79@gmail.com</v>
      </c>
      <c r="L2685" s="1" t="str">
        <f>IFERROR(__xludf.DUMMYFUNCTION("""COMPUTED_VALUE"""),"9122")</f>
        <v>9122</v>
      </c>
      <c r="M2685" s="1" t="str">
        <f>IFERROR(__xludf.DUMMYFUNCTION("""COMPUTED_VALUE"""),"PATINDIG ARAW")</f>
        <v>PATINDIG ARAW</v>
      </c>
      <c r="N2685" s="1"/>
      <c r="O2685" s="1" t="str">
        <f>IFERROR(__xludf.DUMMYFUNCTION("""COMPUTED_VALUE"""),"MILAGROSA")</f>
        <v>MILAGROSA</v>
      </c>
      <c r="P2685" s="1" t="str">
        <f>IFERROR(__xludf.DUMMYFUNCTION("""COMPUTED_VALUE"""),"CARMONA")</f>
        <v>CARMONA</v>
      </c>
      <c r="Q2685" s="1" t="str">
        <f>IFERROR(__xludf.DUMMYFUNCTION("""COMPUTED_VALUE"""),"CAVITE")</f>
        <v>CAVITE</v>
      </c>
      <c r="R2685" s="1" t="str">
        <f>IFERROR(__xludf.DUMMYFUNCTION("""COMPUTED_VALUE"""),"FIBR PLAN 1299")</f>
        <v>FIBR PLAN 1299</v>
      </c>
      <c r="S2685" s="1" t="str">
        <f>IFERROR(__xludf.DUMMYFUNCTION("""COMPUTED_VALUE"""),"APPROVED")</f>
        <v>APPROVED</v>
      </c>
      <c r="T2685" s="1" t="str">
        <f>IFERROR(__xludf.DUMMYFUNCTION("""COMPUTED_VALUE"""),"CANCELLED")</f>
        <v>CANCELLED</v>
      </c>
      <c r="U2685" s="1" t="str">
        <f>IFERROR(__xludf.DUMMYFUNCTION("""COMPUTED_VALUE"""),"PENDING FOR ENCODE")</f>
        <v>PENDING FOR ENCODE</v>
      </c>
      <c r="V2685" s="1"/>
      <c r="W2685" s="1"/>
    </row>
    <row r="2686" customHeight="1" spans="1:23">
      <c r="A2686" s="3">
        <f>IFERROR(__xludf.DUMMYFUNCTION("""COMPUTED_VALUE"""),46242)</f>
        <v>46242</v>
      </c>
      <c r="B2686" s="1" t="str">
        <f>IFERROR(__xludf.DUMMYFUNCTION("""COMPUTED_VALUE"""),"MALIWAT MARK ELVIN")</f>
        <v>MALIWAT MARK ELVIN</v>
      </c>
      <c r="C2686" s="1" t="str">
        <f>IFERROR(__xludf.DUMMYFUNCTION("""COMPUTED_VALUE"""),"FLA")</f>
        <v>FLA</v>
      </c>
      <c r="D2686" s="1" t="str">
        <f>IFERROR(__xludf.DUMMYFUNCTION("""COMPUTED_VALUE"""),"JERIC NAVARRO")</f>
        <v>JERIC NAVARRO</v>
      </c>
      <c r="E2686" s="1" t="str">
        <f>IFERROR(__xludf.DUMMYFUNCTION("""COMPUTED_VALUE"""),"PLDT / ONLINE")</f>
        <v>PLDT / ONLINE</v>
      </c>
      <c r="F2686" s="1">
        <f>IFERROR(__xludf.DUMMYFUNCTION("""COMPUTED_VALUE"""),2311644874)</f>
        <v>2311644874</v>
      </c>
      <c r="G2686" s="1">
        <f>IFERROR(__xludf.DUMMYFUNCTION("""COMPUTED_VALUE"""),465791547004)</f>
        <v>465791547004</v>
      </c>
      <c r="H2686" s="1" t="str">
        <f>IFERROR(__xludf.DUMMYFUNCTION("""COMPUTED_VALUE"""),"ELVINO SERVIDA HERNANDEZ")</f>
        <v>ELVINO SERVIDA HERNANDEZ</v>
      </c>
      <c r="I2686" s="1">
        <f>IFERROR(__xludf.DUMMYFUNCTION("""COMPUTED_VALUE"""),9453307127)</f>
        <v>9453307127</v>
      </c>
      <c r="J2686" s="1">
        <f>IFERROR(__xludf.DUMMYFUNCTION("""COMPUTED_VALUE"""),9950680844)</f>
        <v>9950680844</v>
      </c>
      <c r="K2686" s="1" t="str">
        <f>IFERROR(__xludf.DUMMYFUNCTION("""COMPUTED_VALUE"""),"maylyncamanag8@gmail.com")</f>
        <v>maylyncamanag8@gmail.com</v>
      </c>
      <c r="L2686" s="1" t="str">
        <f>IFERROR(__xludf.DUMMYFUNCTION("""COMPUTED_VALUE"""),"BLK 4 LOT 16")</f>
        <v>BLK 4 LOT 16</v>
      </c>
      <c r="M2686" s="1" t="str">
        <f>IFERROR(__xludf.DUMMYFUNCTION("""COMPUTED_VALUE"""),"PHASE 3")</f>
        <v>PHASE 3</v>
      </c>
      <c r="N2686" s="1" t="str">
        <f>IFERROR(__xludf.DUMMYFUNCTION("""COMPUTED_VALUE"""),"SOLAR HOMES")</f>
        <v>SOLAR HOMES</v>
      </c>
      <c r="O2686" s="1" t="str">
        <f>IFERROR(__xludf.DUMMYFUNCTION("""COMPUTED_VALUE"""),"LANGKAAN II")</f>
        <v>LANGKAAN II</v>
      </c>
      <c r="P2686" s="1" t="str">
        <f>IFERROR(__xludf.DUMMYFUNCTION("""COMPUTED_VALUE"""),"DASMARINAS")</f>
        <v>DASMARINAS</v>
      </c>
      <c r="Q2686" s="1" t="str">
        <f>IFERROR(__xludf.DUMMYFUNCTION("""COMPUTED_VALUE"""),"CAVITE")</f>
        <v>CAVITE</v>
      </c>
      <c r="R2686" s="1" t="str">
        <f>IFERROR(__xludf.DUMMYFUNCTION("""COMPUTED_VALUE"""),"FIBR PLAN 1299")</f>
        <v>FIBR PLAN 1299</v>
      </c>
      <c r="S2686" s="1" t="str">
        <f>IFERROR(__xludf.DUMMYFUNCTION("""COMPUTED_VALUE"""),"APPROVED")</f>
        <v>APPROVED</v>
      </c>
      <c r="T2686" s="1" t="str">
        <f>IFERROR(__xludf.DUMMYFUNCTION("""COMPUTED_VALUE"""),"CLOSED")</f>
        <v>CLOSED</v>
      </c>
      <c r="U2686" s="1" t="str">
        <f>IFERROR(__xludf.DUMMYFUNCTION("""COMPUTED_VALUE"""),"POSTED")</f>
        <v>POSTED</v>
      </c>
      <c r="V2686" s="1"/>
      <c r="W2686" s="1"/>
    </row>
    <row r="2687" customHeight="1" spans="1:23">
      <c r="A2687" s="3">
        <f>IFERROR(__xludf.DUMMYFUNCTION("""COMPUTED_VALUE"""),46243)</f>
        <v>46243</v>
      </c>
      <c r="B2687" s="1" t="str">
        <f>IFERROR(__xludf.DUMMYFUNCTION("""COMPUTED_VALUE"""),"ARIENA, LYKA")</f>
        <v>ARIENA, LYKA</v>
      </c>
      <c r="C2687" s="1" t="str">
        <f>IFERROR(__xludf.DUMMYFUNCTION("""COMPUTED_VALUE"""),"ORGANIC")</f>
        <v>ORGANIC</v>
      </c>
      <c r="D2687" s="1" t="str">
        <f>IFERROR(__xludf.DUMMYFUNCTION("""COMPUTED_VALUE"""),"REMOLLO LEA")</f>
        <v>REMOLLO LEA</v>
      </c>
      <c r="E2687" s="1" t="str">
        <f>IFERROR(__xludf.DUMMYFUNCTION("""COMPUTED_VALUE"""),"PLDT / H2H")</f>
        <v>PLDT / H2H</v>
      </c>
      <c r="F2687" s="1">
        <f>IFERROR(__xludf.DUMMYFUNCTION("""COMPUTED_VALUE"""),2311698810)</f>
        <v>2311698810</v>
      </c>
      <c r="G2687" s="1">
        <f>IFERROR(__xludf.DUMMYFUNCTION("""COMPUTED_VALUE"""),466044765004)</f>
        <v>466044765004</v>
      </c>
      <c r="H2687" s="1" t="str">
        <f>IFERROR(__xludf.DUMMYFUNCTION("""COMPUTED_VALUE"""),"SAMANTHA KIM ANDOR MALIG")</f>
        <v>SAMANTHA KIM ANDOR MALIG</v>
      </c>
      <c r="I2687" s="1">
        <f>IFERROR(__xludf.DUMMYFUNCTION("""COMPUTED_VALUE"""),9487392214)</f>
        <v>9487392214</v>
      </c>
      <c r="J2687" s="1"/>
      <c r="K2687" s="1" t="str">
        <f>IFERROR(__xludf.DUMMYFUNCTION("""COMPUTED_VALUE"""),"maligsamanthakim@gmail.com")</f>
        <v>maligsamanthakim@gmail.com</v>
      </c>
      <c r="L2687" s="1" t="str">
        <f>IFERROR(__xludf.DUMMYFUNCTION("""COMPUTED_VALUE"""),"490")</f>
        <v>490</v>
      </c>
      <c r="M2687" s="1" t="str">
        <f>IFERROR(__xludf.DUMMYFUNCTION("""COMPUTED_VALUE"""),"PINK")</f>
        <v>PINK</v>
      </c>
      <c r="N2687" s="1"/>
      <c r="O2687" s="1" t="str">
        <f>IFERROR(__xludf.DUMMYFUNCTION("""COMPUTED_VALUE"""),"SAN JOSE")</f>
        <v>SAN JOSE</v>
      </c>
      <c r="P2687" s="1" t="str">
        <f>IFERROR(__xludf.DUMMYFUNCTION("""COMPUTED_VALUE"""),"GEN MARIANO ALVAREZ")</f>
        <v>GEN MARIANO ALVAREZ</v>
      </c>
      <c r="Q2687" s="1" t="str">
        <f>IFERROR(__xludf.DUMMYFUNCTION("""COMPUTED_VALUE"""),"CAVITE")</f>
        <v>CAVITE</v>
      </c>
      <c r="R2687" s="1" t="str">
        <f>IFERROR(__xludf.DUMMYFUNCTION("""COMPUTED_VALUE"""),"FIBR PLAN 1299")</f>
        <v>FIBR PLAN 1299</v>
      </c>
      <c r="S2687" s="1" t="str">
        <f>IFERROR(__xludf.DUMMYFUNCTION("""COMPUTED_VALUE"""),"APPROVED")</f>
        <v>APPROVED</v>
      </c>
      <c r="T2687" s="1" t="str">
        <f>IFERROR(__xludf.DUMMYFUNCTION("""COMPUTED_VALUE"""),"CLOSED")</f>
        <v>CLOSED</v>
      </c>
      <c r="U2687" s="1" t="str">
        <f>IFERROR(__xludf.DUMMYFUNCTION("""COMPUTED_VALUE"""),"POSTED")</f>
        <v>POSTED</v>
      </c>
      <c r="V2687" s="1"/>
      <c r="W2687" s="1"/>
    </row>
    <row r="2688" customHeight="1" spans="1:23">
      <c r="A2688" s="3">
        <f>IFERROR(__xludf.DUMMYFUNCTION("""COMPUTED_VALUE"""),46243)</f>
        <v>46243</v>
      </c>
      <c r="B2688" s="1" t="str">
        <f>IFERROR(__xludf.DUMMYFUNCTION("""COMPUTED_VALUE"""),"FRANCISCO , ROSELYN")</f>
        <v>FRANCISCO , ROSELYN</v>
      </c>
      <c r="C2688" s="1" t="str">
        <f>IFERROR(__xludf.DUMMYFUNCTION("""COMPUTED_VALUE"""),"ORGANIC")</f>
        <v>ORGANIC</v>
      </c>
      <c r="D2688" s="1" t="str">
        <f>IFERROR(__xludf.DUMMYFUNCTION("""COMPUTED_VALUE"""),"REMOLLO LEA")</f>
        <v>REMOLLO LEA</v>
      </c>
      <c r="E2688" s="1" t="str">
        <f>IFERROR(__xludf.DUMMYFUNCTION("""COMPUTED_VALUE"""),"PLDT / H2H")</f>
        <v>PLDT / H2H</v>
      </c>
      <c r="F2688" s="1">
        <f>IFERROR(__xludf.DUMMYFUNCTION("""COMPUTED_VALUE"""),2311645818)</f>
        <v>2311645818</v>
      </c>
      <c r="G2688" s="1">
        <f>IFERROR(__xludf.DUMMYFUNCTION("""COMPUTED_VALUE"""),465802427004)</f>
        <v>465802427004</v>
      </c>
      <c r="H2688" s="1" t="str">
        <f>IFERROR(__xludf.DUMMYFUNCTION("""COMPUTED_VALUE"""),"WILLARD JOY CENAS BENDOL")</f>
        <v>WILLARD JOY CENAS BENDOL</v>
      </c>
      <c r="I2688" s="1">
        <f>IFERROR(__xludf.DUMMYFUNCTION("""COMPUTED_VALUE"""),9931982465)</f>
        <v>9931982465</v>
      </c>
      <c r="J2688" s="1"/>
      <c r="K2688" s="1" t="str">
        <f>IFERROR(__xludf.DUMMYFUNCTION("""COMPUTED_VALUE"""),"bendolwillardjoy@gmail.com")</f>
        <v>bendolwillardjoy@gmail.com</v>
      </c>
      <c r="L2688" s="1" t="str">
        <f>IFERROR(__xludf.DUMMYFUNCTION("""COMPUTED_VALUE"""),"17")</f>
        <v>17</v>
      </c>
      <c r="M2688" s="1" t="str">
        <f>IFERROR(__xludf.DUMMYFUNCTION("""COMPUTED_VALUE"""),"ILO ILO")</f>
        <v>ILO ILO</v>
      </c>
      <c r="N2688" s="1"/>
      <c r="O2688" s="1" t="str">
        <f>IFERROR(__xludf.DUMMYFUNCTION("""COMPUTED_VALUE"""),"FRANCISCO REYES")</f>
        <v>FRANCISCO REYES</v>
      </c>
      <c r="P2688" s="1" t="str">
        <f>IFERROR(__xludf.DUMMYFUNCTION("""COMPUTED_VALUE"""),"GEN MARIANO ALVAREZ")</f>
        <v>GEN MARIANO ALVAREZ</v>
      </c>
      <c r="Q2688" s="1" t="str">
        <f>IFERROR(__xludf.DUMMYFUNCTION("""COMPUTED_VALUE"""),"CAVITE")</f>
        <v>CAVITE</v>
      </c>
      <c r="R2688" s="1" t="str">
        <f>IFERROR(__xludf.DUMMYFUNCTION("""COMPUTED_VALUE"""),"FIBR UNLI ALL PLAN 999")</f>
        <v>FIBR UNLI ALL PLAN 999</v>
      </c>
      <c r="S2688" s="1" t="str">
        <f>IFERROR(__xludf.DUMMYFUNCTION("""COMPUTED_VALUE"""),"APPROVED")</f>
        <v>APPROVED</v>
      </c>
      <c r="T2688" s="1" t="str">
        <f>IFERROR(__xludf.DUMMYFUNCTION("""COMPUTED_VALUE"""),"CANCELLED")</f>
        <v>CANCELLED</v>
      </c>
      <c r="U2688" s="1"/>
      <c r="V2688" s="1"/>
      <c r="W2688" s="1"/>
    </row>
    <row r="2689" customHeight="1" spans="1:23">
      <c r="A2689" s="3">
        <f>IFERROR(__xludf.DUMMYFUNCTION("""COMPUTED_VALUE"""),46243)</f>
        <v>46243</v>
      </c>
      <c r="B2689" s="1" t="str">
        <f>IFERROR(__xludf.DUMMYFUNCTION("""COMPUTED_VALUE"""),"CADERAO, RONALD")</f>
        <v>CADERAO, RONALD</v>
      </c>
      <c r="C2689" s="1" t="str">
        <f>IFERROR(__xludf.DUMMYFUNCTION("""COMPUTED_VALUE"""),"ORGANIC")</f>
        <v>ORGANIC</v>
      </c>
      <c r="D2689" s="1" t="str">
        <f>IFERROR(__xludf.DUMMYFUNCTION("""COMPUTED_VALUE"""),"REMOLLO LEA")</f>
        <v>REMOLLO LEA</v>
      </c>
      <c r="E2689" s="1" t="str">
        <f>IFERROR(__xludf.DUMMYFUNCTION("""COMPUTED_VALUE"""),"PLDT / H2H")</f>
        <v>PLDT / H2H</v>
      </c>
      <c r="F2689" s="1">
        <f>IFERROR(__xludf.DUMMYFUNCTION("""COMPUTED_VALUE"""),2311646430)</f>
        <v>2311646430</v>
      </c>
      <c r="G2689" s="1"/>
      <c r="H2689" s="1" t="str">
        <f>IFERROR(__xludf.DUMMYFUNCTION("""COMPUTED_VALUE"""),"EDWIN BERNARDO VITALICIO")</f>
        <v>EDWIN BERNARDO VITALICIO</v>
      </c>
      <c r="I2689" s="1">
        <f>IFERROR(__xludf.DUMMYFUNCTION("""COMPUTED_VALUE"""),9298844425)</f>
        <v>9298844425</v>
      </c>
      <c r="J2689" s="1"/>
      <c r="K2689" s="1" t="str">
        <f>IFERROR(__xludf.DUMMYFUNCTION("""COMPUTED_VALUE"""),"levyjune2015@gmail.com")</f>
        <v>levyjune2015@gmail.com</v>
      </c>
      <c r="L2689" s="1" t="str">
        <f>IFERROR(__xludf.DUMMYFUNCTION("""COMPUTED_VALUE"""),"BLK 3A")</f>
        <v>BLK 3A</v>
      </c>
      <c r="M2689" s="1" t="str">
        <f>IFERROR(__xludf.DUMMYFUNCTION("""COMPUTED_VALUE"""),"FRANCISCO REYES")</f>
        <v>FRANCISCO REYES</v>
      </c>
      <c r="N2689" s="1"/>
      <c r="O2689" s="1" t="str">
        <f>IFERROR(__xludf.DUMMYFUNCTION("""COMPUTED_VALUE"""),"FRANCISCO REYES")</f>
        <v>FRANCISCO REYES</v>
      </c>
      <c r="P2689" s="1" t="str">
        <f>IFERROR(__xludf.DUMMYFUNCTION("""COMPUTED_VALUE"""),"GEN MARIANO ALVAREZ")</f>
        <v>GEN MARIANO ALVAREZ</v>
      </c>
      <c r="Q2689" s="1" t="str">
        <f>IFERROR(__xludf.DUMMYFUNCTION("""COMPUTED_VALUE"""),"CAVITE")</f>
        <v>CAVITE</v>
      </c>
      <c r="R2689" s="1" t="str">
        <f>IFERROR(__xludf.DUMMYFUNCTION("""COMPUTED_VALUE"""),"FIBR PLAN 1299")</f>
        <v>FIBR PLAN 1299</v>
      </c>
      <c r="S2689" s="1" t="str">
        <f>IFERROR(__xludf.DUMMYFUNCTION("""COMPUTED_VALUE"""),"APPROVED")</f>
        <v>APPROVED</v>
      </c>
      <c r="T2689" s="1" t="str">
        <f>IFERROR(__xludf.DUMMYFUNCTION("""COMPUTED_VALUE"""),"CANCELLED")</f>
        <v>CANCELLED</v>
      </c>
      <c r="U2689" s="1"/>
      <c r="V2689" s="1"/>
      <c r="W2689" s="1"/>
    </row>
    <row r="2690" customHeight="1" spans="1:23">
      <c r="A2690" s="3">
        <f>IFERROR(__xludf.DUMMYFUNCTION("""COMPUTED_VALUE"""),46243)</f>
        <v>46243</v>
      </c>
      <c r="B2690" s="1" t="str">
        <f>IFERROR(__xludf.DUMMYFUNCTION("""COMPUTED_VALUE"""),"MAGDARAOG, KENNETH")</f>
        <v>MAGDARAOG, KENNETH</v>
      </c>
      <c r="C2690" s="1" t="str">
        <f>IFERROR(__xludf.DUMMYFUNCTION("""COMPUTED_VALUE"""),"ORGANIC")</f>
        <v>ORGANIC</v>
      </c>
      <c r="D2690" s="1" t="str">
        <f>IFERROR(__xludf.DUMMYFUNCTION("""COMPUTED_VALUE"""),"REMOLLO LEA")</f>
        <v>REMOLLO LEA</v>
      </c>
      <c r="E2690" s="1" t="str">
        <f>IFERROR(__xludf.DUMMYFUNCTION("""COMPUTED_VALUE"""),"PLDT / H2H")</f>
        <v>PLDT / H2H</v>
      </c>
      <c r="F2690" s="1">
        <f>IFERROR(__xludf.DUMMYFUNCTION("""COMPUTED_VALUE"""),2311648392)</f>
        <v>2311648392</v>
      </c>
      <c r="G2690" s="1">
        <f>IFERROR(__xludf.DUMMYFUNCTION("""COMPUTED_VALUE"""),465798948004)</f>
        <v>465798948004</v>
      </c>
      <c r="H2690" s="1" t="str">
        <f>IFERROR(__xludf.DUMMYFUNCTION("""COMPUTED_VALUE"""),"JUNREL BOLANO PANGADLIN")</f>
        <v>JUNREL BOLANO PANGADLIN</v>
      </c>
      <c r="I2690" s="1">
        <f>IFERROR(__xludf.DUMMYFUNCTION("""COMPUTED_VALUE"""),9105894931)</f>
        <v>9105894931</v>
      </c>
      <c r="J2690" s="1"/>
      <c r="K2690" s="1" t="str">
        <f>IFERROR(__xludf.DUMMYFUNCTION("""COMPUTED_VALUE"""),"junrelpagadlin31@gmail.com")</f>
        <v>junrelpagadlin31@gmail.com</v>
      </c>
      <c r="L2690" s="1" t="str">
        <f>IFERROR(__xludf.DUMMYFUNCTION("""COMPUTED_VALUE"""),"557")</f>
        <v>557</v>
      </c>
      <c r="M2690" s="1" t="str">
        <f>IFERROR(__xludf.DUMMYFUNCTION("""COMPUTED_VALUE"""),"PALIGAWAN MATANDA")</f>
        <v>PALIGAWAN MATANDA</v>
      </c>
      <c r="N2690" s="1"/>
      <c r="O2690" s="1" t="str">
        <f>IFERROR(__xludf.DUMMYFUNCTION("""COMPUTED_VALUE"""),"LANTIC")</f>
        <v>LANTIC</v>
      </c>
      <c r="P2690" s="1" t="str">
        <f>IFERROR(__xludf.DUMMYFUNCTION("""COMPUTED_VALUE"""),"CARMONA")</f>
        <v>CARMONA</v>
      </c>
      <c r="Q2690" s="1" t="str">
        <f>IFERROR(__xludf.DUMMYFUNCTION("""COMPUTED_VALUE"""),"CAVITE")</f>
        <v>CAVITE</v>
      </c>
      <c r="R2690" s="1" t="str">
        <f>IFERROR(__xludf.DUMMYFUNCTION("""COMPUTED_VALUE"""),"FIBR UNLI ALL PLAN 999")</f>
        <v>FIBR UNLI ALL PLAN 999</v>
      </c>
      <c r="S2690" s="1" t="str">
        <f>IFERROR(__xludf.DUMMYFUNCTION("""COMPUTED_VALUE"""),"APPROVED")</f>
        <v>APPROVED</v>
      </c>
      <c r="T2690" s="1" t="str">
        <f>IFERROR(__xludf.DUMMYFUNCTION("""COMPUTED_VALUE"""),"CLOSED")</f>
        <v>CLOSED</v>
      </c>
      <c r="U2690" s="1" t="str">
        <f>IFERROR(__xludf.DUMMYFUNCTION("""COMPUTED_VALUE"""),"POSTED")</f>
        <v>POSTED</v>
      </c>
      <c r="V2690" s="1"/>
      <c r="W2690" s="1"/>
    </row>
    <row r="2691" customHeight="1" spans="1:23">
      <c r="A2691" s="3">
        <f>IFERROR(__xludf.DUMMYFUNCTION("""COMPUTED_VALUE"""),46243)</f>
        <v>46243</v>
      </c>
      <c r="B2691" s="1" t="str">
        <f>IFERROR(__xludf.DUMMYFUNCTION("""COMPUTED_VALUE"""),"CADERAO, RONALD")</f>
        <v>CADERAO, RONALD</v>
      </c>
      <c r="C2691" s="1" t="str">
        <f>IFERROR(__xludf.DUMMYFUNCTION("""COMPUTED_VALUE"""),"ORGANIC")</f>
        <v>ORGANIC</v>
      </c>
      <c r="D2691" s="1" t="str">
        <f>IFERROR(__xludf.DUMMYFUNCTION("""COMPUTED_VALUE"""),"REMOLLO LEA")</f>
        <v>REMOLLO LEA</v>
      </c>
      <c r="E2691" s="1" t="str">
        <f>IFERROR(__xludf.DUMMYFUNCTION("""COMPUTED_VALUE"""),"PLDT / H2H")</f>
        <v>PLDT / H2H</v>
      </c>
      <c r="F2691" s="1">
        <f>IFERROR(__xludf.DUMMYFUNCTION("""COMPUTED_VALUE"""),2311648655)</f>
        <v>2311648655</v>
      </c>
      <c r="G2691" s="1">
        <f>IFERROR(__xludf.DUMMYFUNCTION("""COMPUTED_VALUE"""),465802620004)</f>
        <v>465802620004</v>
      </c>
      <c r="H2691" s="1" t="str">
        <f>IFERROR(__xludf.DUMMYFUNCTION("""COMPUTED_VALUE"""),"CECIL SIBAYAN BASAS")</f>
        <v>CECIL SIBAYAN BASAS</v>
      </c>
      <c r="I2691" s="1">
        <f>IFERROR(__xludf.DUMMYFUNCTION("""COMPUTED_VALUE"""),9318765017)</f>
        <v>9318765017</v>
      </c>
      <c r="J2691" s="1">
        <f>IFERROR(__xludf.DUMMYFUNCTION("""COMPUTED_VALUE"""),975582707)</f>
        <v>975582707</v>
      </c>
      <c r="K2691" s="1" t="str">
        <f>IFERROR(__xludf.DUMMYFUNCTION("""COMPUTED_VALUE"""),"basascecilsibayan08@gmail.com")</f>
        <v>basascecilsibayan08@gmail.com</v>
      </c>
      <c r="L2691" s="1" t="str">
        <f>IFERROR(__xludf.DUMMYFUNCTION("""COMPUTED_VALUE"""),"BLK 11 LOT 12")</f>
        <v>BLK 11 LOT 12</v>
      </c>
      <c r="M2691" s="1" t="str">
        <f>IFERROR(__xludf.DUMMYFUNCTION("""COMPUTED_VALUE"""),"PALIGAWAN MATANDA")</f>
        <v>PALIGAWAN MATANDA</v>
      </c>
      <c r="N2691" s="1"/>
      <c r="O2691" s="1" t="str">
        <f>IFERROR(__xludf.DUMMYFUNCTION("""COMPUTED_VALUE"""),"LANTIC")</f>
        <v>LANTIC</v>
      </c>
      <c r="P2691" s="1" t="str">
        <f>IFERROR(__xludf.DUMMYFUNCTION("""COMPUTED_VALUE"""),"CARMONA")</f>
        <v>CARMONA</v>
      </c>
      <c r="Q2691" s="1" t="str">
        <f>IFERROR(__xludf.DUMMYFUNCTION("""COMPUTED_VALUE"""),"CAVITE")</f>
        <v>CAVITE</v>
      </c>
      <c r="R2691" s="1" t="str">
        <f>IFERROR(__xludf.DUMMYFUNCTION("""COMPUTED_VALUE"""),"FIBR UNLI ALL PLAN 1499")</f>
        <v>FIBR UNLI ALL PLAN 1499</v>
      </c>
      <c r="S2691" s="1" t="str">
        <f>IFERROR(__xludf.DUMMYFUNCTION("""COMPUTED_VALUE"""),"APPROVED")</f>
        <v>APPROVED</v>
      </c>
      <c r="T2691" s="1" t="str">
        <f>IFERROR(__xludf.DUMMYFUNCTION("""COMPUTED_VALUE"""),"CLOSED")</f>
        <v>CLOSED</v>
      </c>
      <c r="U2691" s="1" t="str">
        <f>IFERROR(__xludf.DUMMYFUNCTION("""COMPUTED_VALUE"""),"POSTED")</f>
        <v>POSTED</v>
      </c>
      <c r="V2691" s="1"/>
      <c r="W2691" s="1"/>
    </row>
    <row r="2692" customHeight="1" spans="1:23">
      <c r="A2692" s="3">
        <f>IFERROR(__xludf.DUMMYFUNCTION("""COMPUTED_VALUE"""),46243)</f>
        <v>46243</v>
      </c>
      <c r="B2692" s="1" t="str">
        <f>IFERROR(__xludf.DUMMYFUNCTION("""COMPUTED_VALUE"""),"FRANCISCO , ROSELYN")</f>
        <v>FRANCISCO , ROSELYN</v>
      </c>
      <c r="C2692" s="1" t="str">
        <f>IFERROR(__xludf.DUMMYFUNCTION("""COMPUTED_VALUE"""),"ORGANIC")</f>
        <v>ORGANIC</v>
      </c>
      <c r="D2692" s="1" t="str">
        <f>IFERROR(__xludf.DUMMYFUNCTION("""COMPUTED_VALUE"""),"REMOLLO LEA")</f>
        <v>REMOLLO LEA</v>
      </c>
      <c r="E2692" s="1" t="str">
        <f>IFERROR(__xludf.DUMMYFUNCTION("""COMPUTED_VALUE"""),"PLDT / H2H")</f>
        <v>PLDT / H2H</v>
      </c>
      <c r="F2692" s="1">
        <f>IFERROR(__xludf.DUMMYFUNCTION("""COMPUTED_VALUE"""),2311648918)</f>
        <v>2311648918</v>
      </c>
      <c r="G2692" s="1">
        <f>IFERROR(__xludf.DUMMYFUNCTION("""COMPUTED_VALUE"""),465806937004)</f>
        <v>465806937004</v>
      </c>
      <c r="H2692" s="1" t="str">
        <f>IFERROR(__xludf.DUMMYFUNCTION("""COMPUTED_VALUE"""),"EMELY RODRIGUEZ CORONG")</f>
        <v>EMELY RODRIGUEZ CORONG</v>
      </c>
      <c r="I2692" s="1">
        <f>IFERROR(__xludf.DUMMYFUNCTION("""COMPUTED_VALUE"""),9561233474)</f>
        <v>9561233474</v>
      </c>
      <c r="J2692" s="1"/>
      <c r="K2692" s="1" t="str">
        <f>IFERROR(__xludf.DUMMYFUNCTION("""COMPUTED_VALUE"""),"corongrandy1982@GMAIL.COM")</f>
        <v>corongrandy1982@GMAIL.COM</v>
      </c>
      <c r="L2692" s="1" t="str">
        <f>IFERROR(__xludf.DUMMYFUNCTION("""COMPUTED_VALUE"""),"BLK 5 LOT 10")</f>
        <v>BLK 5 LOT 10</v>
      </c>
      <c r="M2692" s="1" t="str">
        <f>IFERROR(__xludf.DUMMYFUNCTION("""COMPUTED_VALUE"""),"PALIGAWAN MATANDA")</f>
        <v>PALIGAWAN MATANDA</v>
      </c>
      <c r="N2692" s="1"/>
      <c r="O2692" s="1" t="str">
        <f>IFERROR(__xludf.DUMMYFUNCTION("""COMPUTED_VALUE"""),"LANTIC")</f>
        <v>LANTIC</v>
      </c>
      <c r="P2692" s="1" t="str">
        <f>IFERROR(__xludf.DUMMYFUNCTION("""COMPUTED_VALUE"""),"CARMONA")</f>
        <v>CARMONA</v>
      </c>
      <c r="Q2692" s="1" t="str">
        <f>IFERROR(__xludf.DUMMYFUNCTION("""COMPUTED_VALUE"""),"CAVITE")</f>
        <v>CAVITE</v>
      </c>
      <c r="R2692" s="1" t="str">
        <f>IFERROR(__xludf.DUMMYFUNCTION("""COMPUTED_VALUE"""),"FIBR UNLI ALL PLAN 999")</f>
        <v>FIBR UNLI ALL PLAN 999</v>
      </c>
      <c r="S2692" s="1" t="str">
        <f>IFERROR(__xludf.DUMMYFUNCTION("""COMPUTED_VALUE"""),"APPROVED")</f>
        <v>APPROVED</v>
      </c>
      <c r="T2692" s="1" t="str">
        <f>IFERROR(__xludf.DUMMYFUNCTION("""COMPUTED_VALUE"""),"CLOSED")</f>
        <v>CLOSED</v>
      </c>
      <c r="U2692" s="1" t="str">
        <f>IFERROR(__xludf.DUMMYFUNCTION("""COMPUTED_VALUE"""),"POSTED")</f>
        <v>POSTED</v>
      </c>
      <c r="V2692" s="1"/>
      <c r="W2692" s="1"/>
    </row>
    <row r="2693" customHeight="1" spans="1:23">
      <c r="A2693" s="3">
        <f>IFERROR(__xludf.DUMMYFUNCTION("""COMPUTED_VALUE"""),46243)</f>
        <v>46243</v>
      </c>
      <c r="B2693" s="1" t="str">
        <f>IFERROR(__xludf.DUMMYFUNCTION("""COMPUTED_VALUE"""),"TAMAYO, MARY ROSE")</f>
        <v>TAMAYO, MARY ROSE</v>
      </c>
      <c r="C2693" s="1" t="str">
        <f>IFERROR(__xludf.DUMMYFUNCTION("""COMPUTED_VALUE"""),"ORGANIC")</f>
        <v>ORGANIC</v>
      </c>
      <c r="D2693" s="1" t="str">
        <f>IFERROR(__xludf.DUMMYFUNCTION("""COMPUTED_VALUE"""),"REMOLLO LEA")</f>
        <v>REMOLLO LEA</v>
      </c>
      <c r="E2693" s="1" t="str">
        <f>IFERROR(__xludf.DUMMYFUNCTION("""COMPUTED_VALUE"""),"PLDT / H2H")</f>
        <v>PLDT / H2H</v>
      </c>
      <c r="F2693" s="1">
        <f>IFERROR(__xludf.DUMMYFUNCTION("""COMPUTED_VALUE"""),2311649182)</f>
        <v>2311649182</v>
      </c>
      <c r="G2693" s="1">
        <f>IFERROR(__xludf.DUMMYFUNCTION("""COMPUTED_VALUE"""),465805073004)</f>
        <v>465805073004</v>
      </c>
      <c r="H2693" s="1" t="str">
        <f>IFERROR(__xludf.DUMMYFUNCTION("""COMPUTED_VALUE"""),"ELDY HABOTAY PAREDES")</f>
        <v>ELDY HABOTAY PAREDES</v>
      </c>
      <c r="I2693" s="1">
        <f>IFERROR(__xludf.DUMMYFUNCTION("""COMPUTED_VALUE"""),9206682631)</f>
        <v>9206682631</v>
      </c>
      <c r="J2693" s="1"/>
      <c r="K2693" s="1" t="str">
        <f>IFERROR(__xludf.DUMMYFUNCTION("""COMPUTED_VALUE"""),"melanielagota320@gmail.com")</f>
        <v>melanielagota320@gmail.com</v>
      </c>
      <c r="L2693" s="1" t="str">
        <f>IFERROR(__xludf.DUMMYFUNCTION("""COMPUTED_VALUE"""),"BLK 1 LOT 5")</f>
        <v>BLK 1 LOT 5</v>
      </c>
      <c r="M2693" s="1" t="str">
        <f>IFERROR(__xludf.DUMMYFUNCTION("""COMPUTED_VALUE"""),"PALIGAWAN MATANDA")</f>
        <v>PALIGAWAN MATANDA</v>
      </c>
      <c r="N2693" s="1"/>
      <c r="O2693" s="1" t="str">
        <f>IFERROR(__xludf.DUMMYFUNCTION("""COMPUTED_VALUE"""),"LANTIC")</f>
        <v>LANTIC</v>
      </c>
      <c r="P2693" s="1" t="str">
        <f>IFERROR(__xludf.DUMMYFUNCTION("""COMPUTED_VALUE"""),"CARMONA")</f>
        <v>CARMONA</v>
      </c>
      <c r="Q2693" s="1" t="str">
        <f>IFERROR(__xludf.DUMMYFUNCTION("""COMPUTED_VALUE"""),"CAVITE")</f>
        <v>CAVITE</v>
      </c>
      <c r="R2693" s="1" t="str">
        <f>IFERROR(__xludf.DUMMYFUNCTION("""COMPUTED_VALUE"""),"FIBR UNLI ALL PLAN 999")</f>
        <v>FIBR UNLI ALL PLAN 999</v>
      </c>
      <c r="S2693" s="1" t="str">
        <f>IFERROR(__xludf.DUMMYFUNCTION("""COMPUTED_VALUE"""),"APPROVED")</f>
        <v>APPROVED</v>
      </c>
      <c r="T2693" s="1" t="str">
        <f>IFERROR(__xludf.DUMMYFUNCTION("""COMPUTED_VALUE"""),"CLOSED")</f>
        <v>CLOSED</v>
      </c>
      <c r="U2693" s="1" t="str">
        <f>IFERROR(__xludf.DUMMYFUNCTION("""COMPUTED_VALUE"""),"POSTED")</f>
        <v>POSTED</v>
      </c>
      <c r="V2693" s="1"/>
      <c r="W2693" s="1"/>
    </row>
    <row r="2694" customHeight="1" spans="1:23">
      <c r="A2694" s="3">
        <f>IFERROR(__xludf.DUMMYFUNCTION("""COMPUTED_VALUE"""),46243)</f>
        <v>46243</v>
      </c>
      <c r="B2694" s="1" t="str">
        <f>IFERROR(__xludf.DUMMYFUNCTION("""COMPUTED_VALUE"""),"BAQUIT ,JAZMIN")</f>
        <v>BAQUIT ,JAZMIN</v>
      </c>
      <c r="C2694" s="1" t="str">
        <f>IFERROR(__xludf.DUMMYFUNCTION("""COMPUTED_VALUE"""),"ORGANIC")</f>
        <v>ORGANIC</v>
      </c>
      <c r="D2694" s="1" t="str">
        <f>IFERROR(__xludf.DUMMYFUNCTION("""COMPUTED_VALUE"""),"REMOLLO LEA")</f>
        <v>REMOLLO LEA</v>
      </c>
      <c r="E2694" s="1" t="str">
        <f>IFERROR(__xludf.DUMMYFUNCTION("""COMPUTED_VALUE"""),"PLDT / H2H")</f>
        <v>PLDT / H2H</v>
      </c>
      <c r="F2694" s="1">
        <f>IFERROR(__xludf.DUMMYFUNCTION("""COMPUTED_VALUE"""),2311677424)</f>
        <v>2311677424</v>
      </c>
      <c r="G2694" s="1">
        <f>IFERROR(__xludf.DUMMYFUNCTION("""COMPUTED_VALUE"""),466045418004)</f>
        <v>466045418004</v>
      </c>
      <c r="H2694" s="1" t="str">
        <f>IFERROR(__xludf.DUMMYFUNCTION("""COMPUTED_VALUE"""),"HENRY RAYANDAYAN GALANG")</f>
        <v>HENRY RAYANDAYAN GALANG</v>
      </c>
      <c r="I2694" s="1">
        <f>IFERROR(__xludf.DUMMYFUNCTION("""COMPUTED_VALUE"""),9166836771)</f>
        <v>9166836771</v>
      </c>
      <c r="J2694" s="1"/>
      <c r="K2694" s="1" t="str">
        <f>IFERROR(__xludf.DUMMYFUNCTION("""COMPUTED_VALUE"""),"henrygalang1982@gmail.com")</f>
        <v>henrygalang1982@gmail.com</v>
      </c>
      <c r="L2694" s="1" t="str">
        <f>IFERROR(__xludf.DUMMYFUNCTION("""COMPUTED_VALUE"""),"BLK 34 LOT 11")</f>
        <v>BLK 34 LOT 11</v>
      </c>
      <c r="M2694" s="1" t="str">
        <f>IFERROR(__xludf.DUMMYFUNCTION("""COMPUTED_VALUE"""),"PULIDO")</f>
        <v>PULIDO</v>
      </c>
      <c r="N2694" s="1"/>
      <c r="O2694" s="1" t="str">
        <f>IFERROR(__xludf.DUMMYFUNCTION("""COMPUTED_VALUE"""),"BERNARDO PULIDO (AREA H)")</f>
        <v>BERNARDO PULIDO (AREA H)</v>
      </c>
      <c r="P2694" s="1" t="str">
        <f>IFERROR(__xludf.DUMMYFUNCTION("""COMPUTED_VALUE"""),"GEN MARIANO ALVAREZ")</f>
        <v>GEN MARIANO ALVAREZ</v>
      </c>
      <c r="Q2694" s="1" t="str">
        <f>IFERROR(__xludf.DUMMYFUNCTION("""COMPUTED_VALUE"""),"CAVITE")</f>
        <v>CAVITE</v>
      </c>
      <c r="R2694" s="1" t="str">
        <f>IFERROR(__xludf.DUMMYFUNCTION("""COMPUTED_VALUE"""),"FIBR UNLI ALL PLAN 999")</f>
        <v>FIBR UNLI ALL PLAN 999</v>
      </c>
      <c r="S2694" s="1" t="str">
        <f>IFERROR(__xludf.DUMMYFUNCTION("""COMPUTED_VALUE"""),"APPROVED")</f>
        <v>APPROVED</v>
      </c>
      <c r="T2694" s="1" t="str">
        <f>IFERROR(__xludf.DUMMYFUNCTION("""COMPUTED_VALUE"""),"CANCELLED")</f>
        <v>CANCELLED</v>
      </c>
      <c r="U2694" s="1"/>
      <c r="V2694" s="1"/>
      <c r="W2694" s="1"/>
    </row>
    <row r="2695" customHeight="1" spans="1:23">
      <c r="A2695" s="3">
        <f>IFERROR(__xludf.DUMMYFUNCTION("""COMPUTED_VALUE"""),46243)</f>
        <v>46243</v>
      </c>
      <c r="B2695" s="1" t="str">
        <f>IFERROR(__xludf.DUMMYFUNCTION("""COMPUTED_VALUE"""),"FRANCISCO , ROSELYN")</f>
        <v>FRANCISCO , ROSELYN</v>
      </c>
      <c r="C2695" s="1" t="str">
        <f>IFERROR(__xludf.DUMMYFUNCTION("""COMPUTED_VALUE"""),"ORGANIC")</f>
        <v>ORGANIC</v>
      </c>
      <c r="D2695" s="1" t="str">
        <f>IFERROR(__xludf.DUMMYFUNCTION("""COMPUTED_VALUE"""),"REMOLLO LEA")</f>
        <v>REMOLLO LEA</v>
      </c>
      <c r="E2695" s="1" t="str">
        <f>IFERROR(__xludf.DUMMYFUNCTION("""COMPUTED_VALUE"""),"PLDT / ONLINE")</f>
        <v>PLDT / ONLINE</v>
      </c>
      <c r="F2695" s="1">
        <f>IFERROR(__xludf.DUMMYFUNCTION("""COMPUTED_VALUE"""),2311652774)</f>
        <v>2311652774</v>
      </c>
      <c r="G2695" s="1">
        <f>IFERROR(__xludf.DUMMYFUNCTION("""COMPUTED_VALUE"""),465809911004)</f>
        <v>465809911004</v>
      </c>
      <c r="H2695" s="1" t="str">
        <f>IFERROR(__xludf.DUMMYFUNCTION("""COMPUTED_VALUE"""),"CABBEY SEAN JAURIGUE NOJARA")</f>
        <v>CABBEY SEAN JAURIGUE NOJARA</v>
      </c>
      <c r="I2695" s="1">
        <f>IFERROR(__xludf.DUMMYFUNCTION("""COMPUTED_VALUE"""),9452283000)</f>
        <v>9452283000</v>
      </c>
      <c r="J2695" s="1">
        <f>IFERROR(__xludf.DUMMYFUNCTION("""COMPUTED_VALUE"""),995986005)</f>
        <v>995986005</v>
      </c>
      <c r="K2695" s="1" t="str">
        <f>IFERROR(__xludf.DUMMYFUNCTION("""COMPUTED_VALUE"""),"cabbeyseannojara@gmail.com")</f>
        <v>cabbeyseannojara@gmail.com</v>
      </c>
      <c r="L2695" s="1" t="str">
        <f>IFERROR(__xludf.DUMMYFUNCTION("""COMPUTED_VALUE"""),"BLK 8 LOT 19")</f>
        <v>BLK 8 LOT 19</v>
      </c>
      <c r="M2695" s="1" t="str">
        <f>IFERROR(__xludf.DUMMYFUNCTION("""COMPUTED_VALUE"""),"CATLEYA")</f>
        <v>CATLEYA</v>
      </c>
      <c r="N2695" s="1" t="str">
        <f>IFERROR(__xludf.DUMMYFUNCTION("""COMPUTED_VALUE"""),"PARKDALE")</f>
        <v>PARKDALE</v>
      </c>
      <c r="O2695" s="1" t="str">
        <f>IFERROR(__xludf.DUMMYFUNCTION("""COMPUTED_VALUE"""),"ANABU I-A")</f>
        <v>ANABU I-A</v>
      </c>
      <c r="P2695" s="1" t="str">
        <f>IFERROR(__xludf.DUMMYFUNCTION("""COMPUTED_VALUE"""),"IMUS")</f>
        <v>IMUS</v>
      </c>
      <c r="Q2695" s="1" t="str">
        <f>IFERROR(__xludf.DUMMYFUNCTION("""COMPUTED_VALUE"""),"CAVITE")</f>
        <v>CAVITE</v>
      </c>
      <c r="R2695" s="1" t="str">
        <f>IFERROR(__xludf.DUMMYFUNCTION("""COMPUTED_VALUE"""),"FIBR PLAN 1299")</f>
        <v>FIBR PLAN 1299</v>
      </c>
      <c r="S2695" s="1" t="str">
        <f>IFERROR(__xludf.DUMMYFUNCTION("""COMPUTED_VALUE"""),"APPROVED")</f>
        <v>APPROVED</v>
      </c>
      <c r="T2695" s="1" t="str">
        <f>IFERROR(__xludf.DUMMYFUNCTION("""COMPUTED_VALUE"""),"CLOSED")</f>
        <v>CLOSED</v>
      </c>
      <c r="U2695" s="1" t="str">
        <f>IFERROR(__xludf.DUMMYFUNCTION("""COMPUTED_VALUE"""),"POSTED")</f>
        <v>POSTED</v>
      </c>
      <c r="V2695" s="1"/>
      <c r="W2695" s="1"/>
    </row>
    <row r="2696" customHeight="1" spans="1:23">
      <c r="A2696" s="3">
        <f>IFERROR(__xludf.DUMMYFUNCTION("""COMPUTED_VALUE"""),46244)</f>
        <v>46244</v>
      </c>
      <c r="B2696" s="1" t="str">
        <f>IFERROR(__xludf.DUMMYFUNCTION("""COMPUTED_VALUE"""),"CARPIO, STEPHANIE NICOLE")</f>
        <v>CARPIO, STEPHANIE NICOLE</v>
      </c>
      <c r="C2696" s="1" t="str">
        <f>IFERROR(__xludf.DUMMYFUNCTION("""COMPUTED_VALUE"""),"FLA")</f>
        <v>FLA</v>
      </c>
      <c r="D2696" s="1" t="str">
        <f>IFERROR(__xludf.DUMMYFUNCTION("""COMPUTED_VALUE"""),"JERIC NAVARRO")</f>
        <v>JERIC NAVARRO</v>
      </c>
      <c r="E2696" s="1" t="str">
        <f>IFERROR(__xludf.DUMMYFUNCTION("""COMPUTED_VALUE"""),"PLDT / H2H")</f>
        <v>PLDT / H2H</v>
      </c>
      <c r="F2696" s="1">
        <f>IFERROR(__xludf.DUMMYFUNCTION("""COMPUTED_VALUE"""),2311693760)</f>
        <v>2311693760</v>
      </c>
      <c r="G2696" s="1">
        <f>IFERROR(__xludf.DUMMYFUNCTION("""COMPUTED_VALUE"""),466046100004)</f>
        <v>466046100004</v>
      </c>
      <c r="H2696" s="1" t="str">
        <f>IFERROR(__xludf.DUMMYFUNCTION("""COMPUTED_VALUE""")," KARLA CRISTINA VALERO HERRERA")</f>
        <v> KARLA CRISTINA VALERO HERRERA</v>
      </c>
      <c r="I2696" s="1">
        <f>IFERROR(__xludf.DUMMYFUNCTION("""COMPUTED_VALUE"""),9173113613)</f>
        <v>9173113613</v>
      </c>
      <c r="J2696" s="1"/>
      <c r="K2696" s="1" t="str">
        <f>IFERROR(__xludf.DUMMYFUNCTION("""COMPUTED_VALUE"""),"kcvrivera@yhaoo.com")</f>
        <v>kcvrivera@yhaoo.com</v>
      </c>
      <c r="L2696" s="1" t="str">
        <f>IFERROR(__xludf.DUMMYFUNCTION("""COMPUTED_VALUE"""),"1244")</f>
        <v>1244</v>
      </c>
      <c r="M2696" s="1" t="str">
        <f>IFERROR(__xludf.DUMMYFUNCTION("""COMPUTED_VALUE"""),"J FELIPE")</f>
        <v>J FELIPE</v>
      </c>
      <c r="N2696" s="1"/>
      <c r="O2696" s="1" t="str">
        <f>IFERROR(__xludf.DUMMYFUNCTION("""COMPUTED_VALUE"""),"BARANGAY 31 (MAYA-MAYA)")</f>
        <v>BARANGAY 31 (MAYA-MAYA)</v>
      </c>
      <c r="P2696" s="1" t="str">
        <f>IFERROR(__xludf.DUMMYFUNCTION("""COMPUTED_VALUE"""),"CAVITE CITY")</f>
        <v>CAVITE CITY</v>
      </c>
      <c r="Q2696" s="1" t="str">
        <f>IFERROR(__xludf.DUMMYFUNCTION("""COMPUTED_VALUE"""),"CAVITE")</f>
        <v>CAVITE</v>
      </c>
      <c r="R2696" s="1" t="str">
        <f>IFERROR(__xludf.DUMMYFUNCTION("""COMPUTED_VALUE"""),"FIBR UNLI ALL PLAN 1899")</f>
        <v>FIBR UNLI ALL PLAN 1899</v>
      </c>
      <c r="S2696" s="1" t="str">
        <f>IFERROR(__xludf.DUMMYFUNCTION("""COMPUTED_VALUE"""),"APPROVED")</f>
        <v>APPROVED</v>
      </c>
      <c r="T2696" s="1" t="str">
        <f>IFERROR(__xludf.DUMMYFUNCTION("""COMPUTED_VALUE"""),"CLOSED")</f>
        <v>CLOSED</v>
      </c>
      <c r="U2696" s="1" t="str">
        <f>IFERROR(__xludf.DUMMYFUNCTION("""COMPUTED_VALUE"""),"POSTED")</f>
        <v>POSTED</v>
      </c>
      <c r="V2696" s="1"/>
      <c r="W2696" s="1"/>
    </row>
    <row r="2697" customHeight="1" spans="1:23">
      <c r="A2697" s="3">
        <f>IFERROR(__xludf.DUMMYFUNCTION("""COMPUTED_VALUE"""),46244)</f>
        <v>46244</v>
      </c>
      <c r="B2697" s="1" t="str">
        <f>IFERROR(__xludf.DUMMYFUNCTION("""COMPUTED_VALUE"""),"FRANCISCO , ROSELYN")</f>
        <v>FRANCISCO , ROSELYN</v>
      </c>
      <c r="C2697" s="1" t="str">
        <f>IFERROR(__xludf.DUMMYFUNCTION("""COMPUTED_VALUE"""),"ORGANIC")</f>
        <v>ORGANIC</v>
      </c>
      <c r="D2697" s="1" t="str">
        <f>IFERROR(__xludf.DUMMYFUNCTION("""COMPUTED_VALUE"""),"REMOLLO LEA")</f>
        <v>REMOLLO LEA</v>
      </c>
      <c r="E2697" s="1" t="str">
        <f>IFERROR(__xludf.DUMMYFUNCTION("""COMPUTED_VALUE"""),"PLDT / H2H")</f>
        <v>PLDT / H2H</v>
      </c>
      <c r="F2697" s="1">
        <f>IFERROR(__xludf.DUMMYFUNCTION("""COMPUTED_VALUE"""),2311667297)</f>
        <v>2311667297</v>
      </c>
      <c r="G2697" s="1"/>
      <c r="H2697" s="1" t="str">
        <f>IFERROR(__xludf.DUMMYFUNCTION("""COMPUTED_VALUE"""),"JOMARIE SALEN PUCIO")</f>
        <v>JOMARIE SALEN PUCIO</v>
      </c>
      <c r="I2697" s="1">
        <f>IFERROR(__xludf.DUMMYFUNCTION("""COMPUTED_VALUE"""),9771177585)</f>
        <v>9771177585</v>
      </c>
      <c r="J2697" s="1"/>
      <c r="K2697" s="1" t="str">
        <f>IFERROR(__xludf.DUMMYFUNCTION("""COMPUTED_VALUE"""),"puciojomarie209@gmail.com")</f>
        <v>puciojomarie209@gmail.com</v>
      </c>
      <c r="L2697" s="1" t="str">
        <f>IFERROR(__xludf.DUMMYFUNCTION("""COMPUTED_VALUE"""),"BLK 1 LOT 8")</f>
        <v>BLK 1 LOT 8</v>
      </c>
      <c r="M2697" s="1" t="str">
        <f>IFERROR(__xludf.DUMMYFUNCTION("""COMPUTED_VALUE"""),"PALIGAWAN MATANDA")</f>
        <v>PALIGAWAN MATANDA</v>
      </c>
      <c r="N2697" s="1"/>
      <c r="O2697" s="1" t="str">
        <f>IFERROR(__xludf.DUMMYFUNCTION("""COMPUTED_VALUE"""),"LANTIC")</f>
        <v>LANTIC</v>
      </c>
      <c r="P2697" s="1" t="str">
        <f>IFERROR(__xludf.DUMMYFUNCTION("""COMPUTED_VALUE"""),"CARMONA")</f>
        <v>CARMONA</v>
      </c>
      <c r="Q2697" s="1" t="str">
        <f>IFERROR(__xludf.DUMMYFUNCTION("""COMPUTED_VALUE"""),"CAVITE")</f>
        <v>CAVITE</v>
      </c>
      <c r="R2697" s="1" t="str">
        <f>IFERROR(__xludf.DUMMYFUNCTION("""COMPUTED_VALUE"""),"FIBR UNLI ALL PLAN 999")</f>
        <v>FIBR UNLI ALL PLAN 999</v>
      </c>
      <c r="S2697" s="1" t="str">
        <f>IFERROR(__xludf.DUMMYFUNCTION("""COMPUTED_VALUE"""),"APPROVED")</f>
        <v>APPROVED</v>
      </c>
      <c r="T2697" s="1" t="str">
        <f>IFERROR(__xludf.DUMMYFUNCTION("""COMPUTED_VALUE"""),"CANCELLED")</f>
        <v>CANCELLED</v>
      </c>
      <c r="U2697" s="1"/>
      <c r="V2697" s="1"/>
      <c r="W2697" s="1"/>
    </row>
    <row r="2698" customHeight="1" spans="1:23">
      <c r="A2698" s="3">
        <f>IFERROR(__xludf.DUMMYFUNCTION("""COMPUTED_VALUE"""),46244)</f>
        <v>46244</v>
      </c>
      <c r="B2698" s="1" t="str">
        <f>IFERROR(__xludf.DUMMYFUNCTION("""COMPUTED_VALUE"""),"AYON MANUEL")</f>
        <v>AYON MANUEL</v>
      </c>
      <c r="C2698" s="1" t="str">
        <f>IFERROR(__xludf.DUMMYFUNCTION("""COMPUTED_VALUE"""),"FLA")</f>
        <v>FLA</v>
      </c>
      <c r="D2698" s="1" t="str">
        <f>IFERROR(__xludf.DUMMYFUNCTION("""COMPUTED_VALUE"""),"JERIC NAVARRO")</f>
        <v>JERIC NAVARRO</v>
      </c>
      <c r="E2698" s="1" t="str">
        <f>IFERROR(__xludf.DUMMYFUNCTION("""COMPUTED_VALUE"""),"PLDT / H2H")</f>
        <v>PLDT / H2H</v>
      </c>
      <c r="F2698" s="1">
        <f>IFERROR(__xludf.DUMMYFUNCTION("""COMPUTED_VALUE"""),2311668269)</f>
        <v>2311668269</v>
      </c>
      <c r="G2698" s="1"/>
      <c r="H2698" s="1" t="str">
        <f>IFERROR(__xludf.DUMMYFUNCTION("""COMPUTED_VALUE"""),"MELINDY LAURIQUEZ PEJI")</f>
        <v>MELINDY LAURIQUEZ PEJI</v>
      </c>
      <c r="I2698" s="1">
        <f>IFERROR(__xludf.DUMMYFUNCTION("""COMPUTED_VALUE"""),9985334955)</f>
        <v>9985334955</v>
      </c>
      <c r="J2698" s="1">
        <f>IFERROR(__xludf.DUMMYFUNCTION("""COMPUTED_VALUE"""),9998848950)</f>
        <v>9998848950</v>
      </c>
      <c r="K2698" s="1" t="str">
        <f>IFERROR(__xludf.DUMMYFUNCTION("""COMPUTED_VALUE"""),"pejiml1121@gmail.com")</f>
        <v>pejiml1121@gmail.com</v>
      </c>
      <c r="L2698" s="1" t="str">
        <f>IFERROR(__xludf.DUMMYFUNCTION("""COMPUTED_VALUE"""),"BLK 4A LOT 1")</f>
        <v>BLK 4A LOT 1</v>
      </c>
      <c r="M2698" s="1" t="str">
        <f>IFERROR(__xludf.DUMMYFUNCTION("""COMPUTED_VALUE"""),"GREENWOODS")</f>
        <v>GREENWOODS</v>
      </c>
      <c r="N2698" s="1"/>
      <c r="O2698" s="1" t="str">
        <f>IFERROR(__xludf.DUMMYFUNCTION("""COMPUTED_VALUE"""),"SAMPALOC III")</f>
        <v>SAMPALOC III</v>
      </c>
      <c r="P2698" s="1" t="str">
        <f>IFERROR(__xludf.DUMMYFUNCTION("""COMPUTED_VALUE"""),"DASMARINAS")</f>
        <v>DASMARINAS</v>
      </c>
      <c r="Q2698" s="1" t="str">
        <f>IFERROR(__xludf.DUMMYFUNCTION("""COMPUTED_VALUE"""),"CAVITE")</f>
        <v>CAVITE</v>
      </c>
      <c r="R2698" s="1" t="str">
        <f>IFERROR(__xludf.DUMMYFUNCTION("""COMPUTED_VALUE"""),"FIBR NETFLIX PLAN 1599")</f>
        <v>FIBR NETFLIX PLAN 1599</v>
      </c>
      <c r="S2698" s="1" t="str">
        <f>IFERROR(__xludf.DUMMYFUNCTION("""COMPUTED_VALUE"""),"APPROVED")</f>
        <v>APPROVED</v>
      </c>
      <c r="T2698" s="1" t="str">
        <f>IFERROR(__xludf.DUMMYFUNCTION("""COMPUTED_VALUE"""),"CANCELLED")</f>
        <v>CANCELLED</v>
      </c>
      <c r="U2698" s="1"/>
      <c r="V2698" s="1"/>
      <c r="W2698" s="1"/>
    </row>
    <row r="2699" customHeight="1" spans="1:23">
      <c r="A2699" s="3">
        <f>IFERROR(__xludf.DUMMYFUNCTION("""COMPUTED_VALUE"""),46244)</f>
        <v>46244</v>
      </c>
      <c r="B2699" s="1" t="str">
        <f>IFERROR(__xludf.DUMMYFUNCTION("""COMPUTED_VALUE"""),"FRANCISCO , ROSELYN")</f>
        <v>FRANCISCO , ROSELYN</v>
      </c>
      <c r="C2699" s="1" t="str">
        <f>IFERROR(__xludf.DUMMYFUNCTION("""COMPUTED_VALUE"""),"ORGANIC")</f>
        <v>ORGANIC</v>
      </c>
      <c r="D2699" s="1" t="str">
        <f>IFERROR(__xludf.DUMMYFUNCTION("""COMPUTED_VALUE"""),"REMOLLO LEA")</f>
        <v>REMOLLO LEA</v>
      </c>
      <c r="E2699" s="1" t="str">
        <f>IFERROR(__xludf.DUMMYFUNCTION("""COMPUTED_VALUE"""),"PLDT / H2H")</f>
        <v>PLDT / H2H</v>
      </c>
      <c r="F2699" s="1">
        <f>IFERROR(__xludf.DUMMYFUNCTION("""COMPUTED_VALUE"""),2311667757)</f>
        <v>2311667757</v>
      </c>
      <c r="G2699" s="1">
        <f>IFERROR(__xludf.DUMMYFUNCTION("""COMPUTED_VALUE"""),465911772004)</f>
        <v>465911772004</v>
      </c>
      <c r="H2699" s="1" t="str">
        <f>IFERROR(__xludf.DUMMYFUNCTION("""COMPUTED_VALUE"""),"VANESA GAMBA NAMO")</f>
        <v>VANESA GAMBA NAMO</v>
      </c>
      <c r="I2699" s="1">
        <f>IFERROR(__xludf.DUMMYFUNCTION("""COMPUTED_VALUE"""),93838440411)</f>
        <v>93838440411</v>
      </c>
      <c r="J2699" s="1">
        <f>IFERROR(__xludf.DUMMYFUNCTION("""COMPUTED_VALUE"""),9553440411)</f>
        <v>9553440411</v>
      </c>
      <c r="K2699" s="1" t="str">
        <f>IFERROR(__xludf.DUMMYFUNCTION("""COMPUTED_VALUE"""),"leod94615@gmail.com")</f>
        <v>leod94615@gmail.com</v>
      </c>
      <c r="L2699" s="1" t="str">
        <f>IFERROR(__xludf.DUMMYFUNCTION("""COMPUTED_VALUE"""),"BLK 16 LOT 1")</f>
        <v>BLK 16 LOT 1</v>
      </c>
      <c r="M2699" s="1" t="str">
        <f>IFERROR(__xludf.DUMMYFUNCTION("""COMPUTED_VALUE"""),"PALIGAWAN MATANDA")</f>
        <v>PALIGAWAN MATANDA</v>
      </c>
      <c r="N2699" s="1"/>
      <c r="O2699" s="1" t="str">
        <f>IFERROR(__xludf.DUMMYFUNCTION("""COMPUTED_VALUE"""),"LANTIC")</f>
        <v>LANTIC</v>
      </c>
      <c r="P2699" s="1" t="str">
        <f>IFERROR(__xludf.DUMMYFUNCTION("""COMPUTED_VALUE"""),"CARMONA")</f>
        <v>CARMONA</v>
      </c>
      <c r="Q2699" s="1" t="str">
        <f>IFERROR(__xludf.DUMMYFUNCTION("""COMPUTED_VALUE"""),"CAVITE")</f>
        <v>CAVITE</v>
      </c>
      <c r="R2699" s="1" t="str">
        <f>IFERROR(__xludf.DUMMYFUNCTION("""COMPUTED_VALUE"""),"FIBR UNLI ALL PLAN 999")</f>
        <v>FIBR UNLI ALL PLAN 999</v>
      </c>
      <c r="S2699" s="1" t="str">
        <f>IFERROR(__xludf.DUMMYFUNCTION("""COMPUTED_VALUE"""),"APPROVED")</f>
        <v>APPROVED</v>
      </c>
      <c r="T2699" s="1" t="str">
        <f>IFERROR(__xludf.DUMMYFUNCTION("""COMPUTED_VALUE"""),"CLOSED")</f>
        <v>CLOSED</v>
      </c>
      <c r="U2699" s="1" t="str">
        <f>IFERROR(__xludf.DUMMYFUNCTION("""COMPUTED_VALUE"""),"POSTED")</f>
        <v>POSTED</v>
      </c>
      <c r="V2699" s="1"/>
      <c r="W2699" s="1"/>
    </row>
    <row r="2700" customHeight="1" spans="1:23">
      <c r="A2700" s="3">
        <f>IFERROR(__xludf.DUMMYFUNCTION("""COMPUTED_VALUE"""),46244)</f>
        <v>46244</v>
      </c>
      <c r="B2700" s="1" t="str">
        <f>IFERROR(__xludf.DUMMYFUNCTION("""COMPUTED_VALUE"""),"BAQUIT ,JAZMIN")</f>
        <v>BAQUIT ,JAZMIN</v>
      </c>
      <c r="C2700" s="1" t="str">
        <f>IFERROR(__xludf.DUMMYFUNCTION("""COMPUTED_VALUE"""),"ORGANIC")</f>
        <v>ORGANIC</v>
      </c>
      <c r="D2700" s="1" t="str">
        <f>IFERROR(__xludf.DUMMYFUNCTION("""COMPUTED_VALUE"""),"REMOLLO LEA")</f>
        <v>REMOLLO LEA</v>
      </c>
      <c r="E2700" s="1" t="str">
        <f>IFERROR(__xludf.DUMMYFUNCTION("""COMPUTED_VALUE"""),"PLDT / H2H")</f>
        <v>PLDT / H2H</v>
      </c>
      <c r="F2700" s="1">
        <f>IFERROR(__xludf.DUMMYFUNCTION("""COMPUTED_VALUE"""),2311669065)</f>
        <v>2311669065</v>
      </c>
      <c r="G2700" s="1">
        <f>IFERROR(__xludf.DUMMYFUNCTION("""COMPUTED_VALUE"""),465912181004)</f>
        <v>465912181004</v>
      </c>
      <c r="H2700" s="1" t="str">
        <f>IFERROR(__xludf.DUMMYFUNCTION("""COMPUTED_VALUE"""),"IAN MAY MOLINA CADALZO")</f>
        <v>IAN MAY MOLINA CADALZO</v>
      </c>
      <c r="I2700" s="1">
        <f>IFERROR(__xludf.DUMMYFUNCTION("""COMPUTED_VALUE"""),9277159856)</f>
        <v>9277159856</v>
      </c>
      <c r="J2700" s="1"/>
      <c r="K2700" s="1" t="str">
        <f>IFERROR(__xludf.DUMMYFUNCTION("""COMPUTED_VALUE"""),"ianmayc@gmail.com")</f>
        <v>ianmayc@gmail.com</v>
      </c>
      <c r="L2700" s="1" t="str">
        <f>IFERROR(__xludf.DUMMYFUNCTION("""COMPUTED_VALUE"""),"BLK 5 LOT 1")</f>
        <v>BLK 5 LOT 1</v>
      </c>
      <c r="M2700" s="1" t="str">
        <f>IFERROR(__xludf.DUMMYFUNCTION("""COMPUTED_VALUE"""),"PALIGAWAN MATANDA")</f>
        <v>PALIGAWAN MATANDA</v>
      </c>
      <c r="N2700" s="1"/>
      <c r="O2700" s="1" t="str">
        <f>IFERROR(__xludf.DUMMYFUNCTION("""COMPUTED_VALUE"""),"LANTIC")</f>
        <v>LANTIC</v>
      </c>
      <c r="P2700" s="1" t="str">
        <f>IFERROR(__xludf.DUMMYFUNCTION("""COMPUTED_VALUE"""),"CARMONA")</f>
        <v>CARMONA</v>
      </c>
      <c r="Q2700" s="1" t="str">
        <f>IFERROR(__xludf.DUMMYFUNCTION("""COMPUTED_VALUE"""),"CAVITE")</f>
        <v>CAVITE</v>
      </c>
      <c r="R2700" s="1" t="str">
        <f>IFERROR(__xludf.DUMMYFUNCTION("""COMPUTED_VALUE"""),"FIBR PLAN 1299")</f>
        <v>FIBR PLAN 1299</v>
      </c>
      <c r="S2700" s="1" t="str">
        <f>IFERROR(__xludf.DUMMYFUNCTION("""COMPUTED_VALUE"""),"APPROVED")</f>
        <v>APPROVED</v>
      </c>
      <c r="T2700" s="1" t="str">
        <f>IFERROR(__xludf.DUMMYFUNCTION("""COMPUTED_VALUE"""),"CLOSED")</f>
        <v>CLOSED</v>
      </c>
      <c r="U2700" s="1" t="str">
        <f>IFERROR(__xludf.DUMMYFUNCTION("""COMPUTED_VALUE"""),"POSTED")</f>
        <v>POSTED</v>
      </c>
      <c r="V2700" s="1"/>
      <c r="W2700" s="1"/>
    </row>
    <row r="2701" customHeight="1" spans="1:23">
      <c r="A2701" s="3">
        <f>IFERROR(__xludf.DUMMYFUNCTION("""COMPUTED_VALUE"""),46244)</f>
        <v>46244</v>
      </c>
      <c r="B2701" s="1" t="str">
        <f>IFERROR(__xludf.DUMMYFUNCTION("""COMPUTED_VALUE"""),"MAGDARAOG, KENNETH")</f>
        <v>MAGDARAOG, KENNETH</v>
      </c>
      <c r="C2701" s="1" t="str">
        <f>IFERROR(__xludf.DUMMYFUNCTION("""COMPUTED_VALUE"""),"ORGANIC")</f>
        <v>ORGANIC</v>
      </c>
      <c r="D2701" s="1" t="str">
        <f>IFERROR(__xludf.DUMMYFUNCTION("""COMPUTED_VALUE"""),"REMOLLO LEA")</f>
        <v>REMOLLO LEA</v>
      </c>
      <c r="E2701" s="1" t="str">
        <f>IFERROR(__xludf.DUMMYFUNCTION("""COMPUTED_VALUE"""),"PLDT / H2H")</f>
        <v>PLDT / H2H</v>
      </c>
      <c r="F2701" s="1">
        <f>IFERROR(__xludf.DUMMYFUNCTION("""COMPUTED_VALUE"""),2311674087)</f>
        <v>2311674087</v>
      </c>
      <c r="G2701" s="1"/>
      <c r="H2701" s="1" t="str">
        <f>IFERROR(__xludf.DUMMYFUNCTION("""COMPUTED_VALUE"""),"FORTUNATO GRET ATULI")</f>
        <v>FORTUNATO GRET ATULI</v>
      </c>
      <c r="I2701" s="1">
        <f>IFERROR(__xludf.DUMMYFUNCTION("""COMPUTED_VALUE"""),9675621197)</f>
        <v>9675621197</v>
      </c>
      <c r="J2701" s="1"/>
      <c r="K2701" s="1" t="str">
        <f>IFERROR(__xludf.DUMMYFUNCTION("""COMPUTED_VALUE"""),"furtunato@gmail.com")</f>
        <v>furtunato@gmail.com</v>
      </c>
      <c r="L2701" s="1" t="str">
        <f>IFERROR(__xludf.DUMMYFUNCTION("""COMPUTED_VALUE"""),"555")</f>
        <v>555</v>
      </c>
      <c r="M2701" s="1" t="str">
        <f>IFERROR(__xludf.DUMMYFUNCTION("""COMPUTED_VALUE"""),"VIRATA")</f>
        <v>VIRATA</v>
      </c>
      <c r="N2701" s="1"/>
      <c r="O2701" s="1" t="str">
        <f>IFERROR(__xludf.DUMMYFUNCTION("""COMPUTED_VALUE"""),"NICOLASA VIRATA (SAN JOSE)")</f>
        <v>NICOLASA VIRATA (SAN JOSE)</v>
      </c>
      <c r="P2701" s="1" t="str">
        <f>IFERROR(__xludf.DUMMYFUNCTION("""COMPUTED_VALUE"""),"GEN MARIANO ALVAREZ")</f>
        <v>GEN MARIANO ALVAREZ</v>
      </c>
      <c r="Q2701" s="1" t="str">
        <f>IFERROR(__xludf.DUMMYFUNCTION("""COMPUTED_VALUE"""),"CAVITE")</f>
        <v>CAVITE</v>
      </c>
      <c r="R2701" s="1" t="str">
        <f>IFERROR(__xludf.DUMMYFUNCTION("""COMPUTED_VALUE"""),"FIBR UNLI ALL PLAN 999")</f>
        <v>FIBR UNLI ALL PLAN 999</v>
      </c>
      <c r="S2701" s="1" t="str">
        <f>IFERROR(__xludf.DUMMYFUNCTION("""COMPUTED_VALUE"""),"APPROVED")</f>
        <v>APPROVED</v>
      </c>
      <c r="T2701" s="1" t="str">
        <f>IFERROR(__xludf.DUMMYFUNCTION("""COMPUTED_VALUE"""),"CANCELLED")</f>
        <v>CANCELLED</v>
      </c>
      <c r="U2701" s="1"/>
      <c r="V2701" s="1"/>
      <c r="W2701" s="1"/>
    </row>
    <row r="2702" customHeight="1" spans="1:23">
      <c r="A2702" s="3">
        <f>IFERROR(__xludf.DUMMYFUNCTION("""COMPUTED_VALUE"""),46244)</f>
        <v>46244</v>
      </c>
      <c r="B2702" s="1" t="str">
        <f>IFERROR(__xludf.DUMMYFUNCTION("""COMPUTED_VALUE"""),"ARIENA, LYKA")</f>
        <v>ARIENA, LYKA</v>
      </c>
      <c r="C2702" s="1" t="str">
        <f>IFERROR(__xludf.DUMMYFUNCTION("""COMPUTED_VALUE"""),"ORGANIC")</f>
        <v>ORGANIC</v>
      </c>
      <c r="D2702" s="1" t="str">
        <f>IFERROR(__xludf.DUMMYFUNCTION("""COMPUTED_VALUE"""),"REMOLLO LEA")</f>
        <v>REMOLLO LEA</v>
      </c>
      <c r="E2702" s="1" t="str">
        <f>IFERROR(__xludf.DUMMYFUNCTION("""COMPUTED_VALUE"""),"PLDT / H2H")</f>
        <v>PLDT / H2H</v>
      </c>
      <c r="F2702" s="1">
        <f>IFERROR(__xludf.DUMMYFUNCTION("""COMPUTED_VALUE"""),2311678350)</f>
        <v>2311678350</v>
      </c>
      <c r="G2702" s="1">
        <f>IFERROR(__xludf.DUMMYFUNCTION("""COMPUTED_VALUE"""),466052493004)</f>
        <v>466052493004</v>
      </c>
      <c r="H2702" s="1" t="str">
        <f>IFERROR(__xludf.DUMMYFUNCTION("""COMPUTED_VALUE"""),"BASILO LEOBANTE GARCIA")</f>
        <v>BASILO LEOBANTE GARCIA</v>
      </c>
      <c r="I2702" s="1">
        <f>IFERROR(__xludf.DUMMYFUNCTION("""COMPUTED_VALUE"""),9318662113)</f>
        <v>9318662113</v>
      </c>
      <c r="J2702" s="1"/>
      <c r="K2702" s="1" t="str">
        <f>IFERROR(__xludf.DUMMYFUNCTION("""COMPUTED_VALUE"""),"chloeseogarcia@gmail.com")</f>
        <v>chloeseogarcia@gmail.com</v>
      </c>
      <c r="L2702" s="1" t="str">
        <f>IFERROR(__xludf.DUMMYFUNCTION("""COMPUTED_VALUE"""),"BLK 22 LOT 10")</f>
        <v>BLK 22 LOT 10</v>
      </c>
      <c r="M2702" s="1" t="str">
        <f>IFERROR(__xludf.DUMMYFUNCTION("""COMPUTED_VALUE"""),"ANAHAW")</f>
        <v>ANAHAW</v>
      </c>
      <c r="N2702" s="1"/>
      <c r="O2702" s="1" t="str">
        <f>IFERROR(__xludf.DUMMYFUNCTION("""COMPUTED_VALUE"""),"ANAHAW I")</f>
        <v>ANAHAW I</v>
      </c>
      <c r="P2702" s="1" t="str">
        <f>IFERROR(__xludf.DUMMYFUNCTION("""COMPUTED_VALUE"""),"SILANG")</f>
        <v>SILANG</v>
      </c>
      <c r="Q2702" s="1" t="str">
        <f>IFERROR(__xludf.DUMMYFUNCTION("""COMPUTED_VALUE"""),"CAVITE")</f>
        <v>CAVITE</v>
      </c>
      <c r="R2702" s="1" t="str">
        <f>IFERROR(__xludf.DUMMYFUNCTION("""COMPUTED_VALUE"""),"FIBR UNLI ALL PLAN 999")</f>
        <v>FIBR UNLI ALL PLAN 999</v>
      </c>
      <c r="S2702" s="1" t="str">
        <f>IFERROR(__xludf.DUMMYFUNCTION("""COMPUTED_VALUE"""),"APPROVED")</f>
        <v>APPROVED</v>
      </c>
      <c r="T2702" s="1" t="str">
        <f>IFERROR(__xludf.DUMMYFUNCTION("""COMPUTED_VALUE"""),"CANCELLED")</f>
        <v>CANCELLED</v>
      </c>
      <c r="U2702" s="1"/>
      <c r="V2702" s="1"/>
      <c r="W2702" s="1"/>
    </row>
    <row r="2703" customHeight="1" spans="1:23">
      <c r="A2703" s="3">
        <f>IFERROR(__xludf.DUMMYFUNCTION("""COMPUTED_VALUE"""),46244)</f>
        <v>46244</v>
      </c>
      <c r="B2703" s="1" t="str">
        <f>IFERROR(__xludf.DUMMYFUNCTION("""COMPUTED_VALUE"""),"ARIENA, LYKA")</f>
        <v>ARIENA, LYKA</v>
      </c>
      <c r="C2703" s="1" t="str">
        <f>IFERROR(__xludf.DUMMYFUNCTION("""COMPUTED_VALUE"""),"ORGANIC")</f>
        <v>ORGANIC</v>
      </c>
      <c r="D2703" s="1" t="str">
        <f>IFERROR(__xludf.DUMMYFUNCTION("""COMPUTED_VALUE"""),"REMOLLO LEA")</f>
        <v>REMOLLO LEA</v>
      </c>
      <c r="E2703" s="1" t="str">
        <f>IFERROR(__xludf.DUMMYFUNCTION("""COMPUTED_VALUE"""),"PLDT / H2H")</f>
        <v>PLDT / H2H</v>
      </c>
      <c r="F2703" s="1">
        <f>IFERROR(__xludf.DUMMYFUNCTION("""COMPUTED_VALUE"""),2311678694)</f>
        <v>2311678694</v>
      </c>
      <c r="G2703" s="1">
        <f>IFERROR(__xludf.DUMMYFUNCTION("""COMPUTED_VALUE"""),466049541004)</f>
        <v>466049541004</v>
      </c>
      <c r="H2703" s="1" t="str">
        <f>IFERROR(__xludf.DUMMYFUNCTION("""COMPUTED_VALUE"""),"SANCHO CANIMO VELASCO")</f>
        <v>SANCHO CANIMO VELASCO</v>
      </c>
      <c r="I2703" s="1">
        <f>IFERROR(__xludf.DUMMYFUNCTION("""COMPUTED_VALUE"""),9764485443)</f>
        <v>9764485443</v>
      </c>
      <c r="J2703" s="1"/>
      <c r="K2703" s="1" t="str">
        <f>IFERROR(__xludf.DUMMYFUNCTION("""COMPUTED_VALUE"""),"sonnyvelasco8@gmail.com")</f>
        <v>sonnyvelasco8@gmail.com</v>
      </c>
      <c r="L2703" s="1" t="str">
        <f>IFERROR(__xludf.DUMMYFUNCTION("""COMPUTED_VALUE"""),"BLK 19 LOT 2")</f>
        <v>BLK 19 LOT 2</v>
      </c>
      <c r="M2703" s="1" t="str">
        <f>IFERROR(__xludf.DUMMYFUNCTION("""COMPUTED_VALUE"""),"POBLACION RD")</f>
        <v>POBLACION RD</v>
      </c>
      <c r="N2703" s="1"/>
      <c r="O2703" s="1" t="str">
        <f>IFERROR(__xludf.DUMMYFUNCTION("""COMPUTED_VALUE"""),"BARANGAY 3 POBLACION")</f>
        <v>BARANGAY 3 POBLACION</v>
      </c>
      <c r="P2703" s="1" t="str">
        <f>IFERROR(__xludf.DUMMYFUNCTION("""COMPUTED_VALUE"""),"GEN MARIANO ALVAREZ")</f>
        <v>GEN MARIANO ALVAREZ</v>
      </c>
      <c r="Q2703" s="1" t="str">
        <f>IFERROR(__xludf.DUMMYFUNCTION("""COMPUTED_VALUE"""),"CAVITE")</f>
        <v>CAVITE</v>
      </c>
      <c r="R2703" s="1" t="str">
        <f>IFERROR(__xludf.DUMMYFUNCTION("""COMPUTED_VALUE"""),"FIBR UNLI ALL PLAN 1499")</f>
        <v>FIBR UNLI ALL PLAN 1499</v>
      </c>
      <c r="S2703" s="1" t="str">
        <f>IFERROR(__xludf.DUMMYFUNCTION("""COMPUTED_VALUE"""),"APPROVED")</f>
        <v>APPROVED</v>
      </c>
      <c r="T2703" s="1" t="str">
        <f>IFERROR(__xludf.DUMMYFUNCTION("""COMPUTED_VALUE"""),"CANCELLED")</f>
        <v>CANCELLED</v>
      </c>
      <c r="U2703" s="1"/>
      <c r="V2703" s="1"/>
      <c r="W2703" s="1"/>
    </row>
    <row r="2704" customHeight="1" spans="1:23">
      <c r="A2704" s="3">
        <f>IFERROR(__xludf.DUMMYFUNCTION("""COMPUTED_VALUE"""),46244)</f>
        <v>46244</v>
      </c>
      <c r="B2704" s="1" t="str">
        <f>IFERROR(__xludf.DUMMYFUNCTION("""COMPUTED_VALUE"""),"TAMAYO, MARY ROSE")</f>
        <v>TAMAYO, MARY ROSE</v>
      </c>
      <c r="C2704" s="1" t="str">
        <f>IFERROR(__xludf.DUMMYFUNCTION("""COMPUTED_VALUE"""),"ORGANIC")</f>
        <v>ORGANIC</v>
      </c>
      <c r="D2704" s="1" t="str">
        <f>IFERROR(__xludf.DUMMYFUNCTION("""COMPUTED_VALUE"""),"REMOLLO LEA")</f>
        <v>REMOLLO LEA</v>
      </c>
      <c r="E2704" s="1" t="str">
        <f>IFERROR(__xludf.DUMMYFUNCTION("""COMPUTED_VALUE"""),"PLDT / H2H")</f>
        <v>PLDT / H2H</v>
      </c>
      <c r="F2704" s="1">
        <f>IFERROR(__xludf.DUMMYFUNCTION("""COMPUTED_VALUE"""),2311680887)</f>
        <v>2311680887</v>
      </c>
      <c r="G2704" s="1">
        <f>IFERROR(__xludf.DUMMYFUNCTION("""COMPUTED_VALUE"""),466048469004)</f>
        <v>466048469004</v>
      </c>
      <c r="H2704" s="1" t="str">
        <f>IFERROR(__xludf.DUMMYFUNCTION("""COMPUTED_VALUE"""),"JAYDEE VALERA RELINGADO")</f>
        <v>JAYDEE VALERA RELINGADO</v>
      </c>
      <c r="I2704" s="1">
        <f>IFERROR(__xludf.DUMMYFUNCTION("""COMPUTED_VALUE"""),9063389003)</f>
        <v>9063389003</v>
      </c>
      <c r="J2704" s="1"/>
      <c r="K2704" s="1" t="str">
        <f>IFERROR(__xludf.DUMMYFUNCTION("""COMPUTED_VALUE"""),"jdc.relingado@gmail.com")</f>
        <v>jdc.relingado@gmail.com</v>
      </c>
      <c r="L2704" s="1" t="str">
        <f>IFERROR(__xludf.DUMMYFUNCTION("""COMPUTED_VALUE"""),"BLK 2 LOT 29")</f>
        <v>BLK 2 LOT 29</v>
      </c>
      <c r="M2704" s="1" t="str">
        <f>IFERROR(__xludf.DUMMYFUNCTION("""COMPUTED_VALUE"""),"MERCURY ")</f>
        <v>MERCURY </v>
      </c>
      <c r="N2704" s="1"/>
      <c r="O2704" s="1" t="str">
        <f>IFERROR(__xludf.DUMMYFUNCTION("""COMPUTED_VALUE"""),"MOLINO IV")</f>
        <v>MOLINO IV</v>
      </c>
      <c r="P2704" s="1" t="str">
        <f>IFERROR(__xludf.DUMMYFUNCTION("""COMPUTED_VALUE"""),"BACOOR")</f>
        <v>BACOOR</v>
      </c>
      <c r="Q2704" s="1" t="str">
        <f>IFERROR(__xludf.DUMMYFUNCTION("""COMPUTED_VALUE"""),"CAVITE")</f>
        <v>CAVITE</v>
      </c>
      <c r="R2704" s="1" t="str">
        <f>IFERROR(__xludf.DUMMYFUNCTION("""COMPUTED_VALUE"""),"FIBR PLAN 1299")</f>
        <v>FIBR PLAN 1299</v>
      </c>
      <c r="S2704" s="1" t="str">
        <f>IFERROR(__xludf.DUMMYFUNCTION("""COMPUTED_VALUE"""),"APPROVED")</f>
        <v>APPROVED</v>
      </c>
      <c r="T2704" s="1" t="str">
        <f>IFERROR(__xludf.DUMMYFUNCTION("""COMPUTED_VALUE"""),"RPR")</f>
        <v>RPR</v>
      </c>
      <c r="U2704" s="1"/>
      <c r="V2704" s="1"/>
      <c r="W2704" s="1"/>
    </row>
    <row r="2705" customHeight="1" spans="1:23">
      <c r="A2705" s="3">
        <f>IFERROR(__xludf.DUMMYFUNCTION("""COMPUTED_VALUE"""),46245)</f>
        <v>46245</v>
      </c>
      <c r="B2705" s="1" t="str">
        <f>IFERROR(__xludf.DUMMYFUNCTION("""COMPUTED_VALUE"""),"AYON MANUEL")</f>
        <v>AYON MANUEL</v>
      </c>
      <c r="C2705" s="1" t="str">
        <f>IFERROR(__xludf.DUMMYFUNCTION("""COMPUTED_VALUE"""),"FLA")</f>
        <v>FLA</v>
      </c>
      <c r="D2705" s="1" t="str">
        <f>IFERROR(__xludf.DUMMYFUNCTION("""COMPUTED_VALUE"""),"JERIC NAVARRO")</f>
        <v>JERIC NAVARRO</v>
      </c>
      <c r="E2705" s="1" t="str">
        <f>IFERROR(__xludf.DUMMYFUNCTION("""COMPUTED_VALUE"""),"PLDT / H2H")</f>
        <v>PLDT / H2H</v>
      </c>
      <c r="F2705" s="1">
        <f>IFERROR(__xludf.DUMMYFUNCTION("""COMPUTED_VALUE"""),2311694327)</f>
        <v>2311694327</v>
      </c>
      <c r="G2705" s="1">
        <f>IFERROR(__xludf.DUMMYFUNCTION("""COMPUTED_VALUE"""),466043757004)</f>
        <v>466043757004</v>
      </c>
      <c r="H2705" s="1" t="str">
        <f>IFERROR(__xludf.DUMMYFUNCTION("""COMPUTED_VALUE"""),"BENJAMIN JR ALMENDRAS EUSEBIO ")</f>
        <v>BENJAMIN JR ALMENDRAS EUSEBIO </v>
      </c>
      <c r="I2705" s="1">
        <f>IFERROR(__xludf.DUMMYFUNCTION("""COMPUTED_VALUE"""),9568752011)</f>
        <v>9568752011</v>
      </c>
      <c r="J2705" s="1">
        <f>IFERROR(__xludf.DUMMYFUNCTION("""COMPUTED_VALUE"""),9192439256)</f>
        <v>9192439256</v>
      </c>
      <c r="K2705" s="1" t="str">
        <f>IFERROR(__xludf.DUMMYFUNCTION("""COMPUTED_VALUE"""),"benz_jr09@yahoo.com")</f>
        <v>benz_jr09@yahoo.com</v>
      </c>
      <c r="L2705" s="1" t="str">
        <f>IFERROR(__xludf.DUMMYFUNCTION("""COMPUTED_VALUE"""),"80")</f>
        <v>80</v>
      </c>
      <c r="M2705" s="1" t="str">
        <f>IFERROR(__xludf.DUMMYFUNCTION("""COMPUTED_VALUE"""),"PALIGAWAN  ")</f>
        <v>PALIGAWAN  </v>
      </c>
      <c r="N2705" s="1"/>
      <c r="O2705" s="1" t="str">
        <f>IFERROR(__xludf.DUMMYFUNCTION("""COMPUTED_VALUE"""),"PALIGAWAN")</f>
        <v>PALIGAWAN</v>
      </c>
      <c r="P2705" s="1" t="str">
        <f>IFERROR(__xludf.DUMMYFUNCTION("""COMPUTED_VALUE"""),"SILANG")</f>
        <v>SILANG</v>
      </c>
      <c r="Q2705" s="1" t="str">
        <f>IFERROR(__xludf.DUMMYFUNCTION("""COMPUTED_VALUE"""),"CAVITE")</f>
        <v>CAVITE</v>
      </c>
      <c r="R2705" s="1" t="str">
        <f>IFERROR(__xludf.DUMMYFUNCTION("""COMPUTED_VALUE"""),"FIBR UNLI ALL PLAN 1499")</f>
        <v>FIBR UNLI ALL PLAN 1499</v>
      </c>
      <c r="S2705" s="1" t="str">
        <f>IFERROR(__xludf.DUMMYFUNCTION("""COMPUTED_VALUE"""),"APPROVED")</f>
        <v>APPROVED</v>
      </c>
      <c r="T2705" s="1" t="str">
        <f>IFERROR(__xludf.DUMMYFUNCTION("""COMPUTED_VALUE"""),"CLOSED")</f>
        <v>CLOSED</v>
      </c>
      <c r="U2705" s="1" t="str">
        <f>IFERROR(__xludf.DUMMYFUNCTION("""COMPUTED_VALUE"""),"POSTED")</f>
        <v>POSTED</v>
      </c>
      <c r="V2705" s="1"/>
      <c r="W2705" s="1"/>
    </row>
    <row r="2706" customHeight="1" spans="1:23">
      <c r="A2706" s="3">
        <f>IFERROR(__xludf.DUMMYFUNCTION("""COMPUTED_VALUE"""),46245)</f>
        <v>46245</v>
      </c>
      <c r="B2706" s="1" t="str">
        <f>IFERROR(__xludf.DUMMYFUNCTION("""COMPUTED_VALUE"""),"CARPIO, STEPHANIE NICOLE")</f>
        <v>CARPIO, STEPHANIE NICOLE</v>
      </c>
      <c r="C2706" s="1" t="str">
        <f>IFERROR(__xludf.DUMMYFUNCTION("""COMPUTED_VALUE"""),"FLA")</f>
        <v>FLA</v>
      </c>
      <c r="D2706" s="1" t="str">
        <f>IFERROR(__xludf.DUMMYFUNCTION("""COMPUTED_VALUE"""),"JERIC NAVARRO")</f>
        <v>JERIC NAVARRO</v>
      </c>
      <c r="E2706" s="1" t="str">
        <f>IFERROR(__xludf.DUMMYFUNCTION("""COMPUTED_VALUE"""),"PLDT / H2H")</f>
        <v>PLDT / H2H</v>
      </c>
      <c r="F2706" s="1">
        <f>IFERROR(__xludf.DUMMYFUNCTION("""COMPUTED_VALUE"""),2311696725)</f>
        <v>2311696725</v>
      </c>
      <c r="G2706" s="1">
        <f>IFERROR(__xludf.DUMMYFUNCTION("""COMPUTED_VALUE"""),466177738004)</f>
        <v>466177738004</v>
      </c>
      <c r="H2706" s="1" t="str">
        <f>IFERROR(__xludf.DUMMYFUNCTION("""COMPUTED_VALUE"""),"JOHN LLYOD CASTILLO")</f>
        <v>JOHN LLYOD CASTILLO</v>
      </c>
      <c r="I2706" s="1">
        <f>IFERROR(__xludf.DUMMYFUNCTION("""COMPUTED_VALUE"""),9083197844)</f>
        <v>9083197844</v>
      </c>
      <c r="J2706" s="1"/>
      <c r="K2706" s="1" t="str">
        <f>IFERROR(__xludf.DUMMYFUNCTION("""COMPUTED_VALUE"""),"johnlloydmendoza@gmail.com")</f>
        <v>johnlloydmendoza@gmail.com</v>
      </c>
      <c r="L2706" s="1" t="str">
        <f>IFERROR(__xludf.DUMMYFUNCTION("""COMPUTED_VALUE"""),"711C")</f>
        <v>711C</v>
      </c>
      <c r="M2706" s="1" t="str">
        <f>IFERROR(__xludf.DUMMYFUNCTION("""COMPUTED_VALUE"""),"LT MARIO CASTRO")</f>
        <v>LT MARIO CASTRO</v>
      </c>
      <c r="N2706" s="1"/>
      <c r="O2706" s="1" t="str">
        <f>IFERROR(__xludf.DUMMYFUNCTION("""COMPUTED_VALUE"""),"BARANGAY 38 (SAMPAGUITA)")</f>
        <v>BARANGAY 38 (SAMPAGUITA)</v>
      </c>
      <c r="P2706" s="1" t="str">
        <f>IFERROR(__xludf.DUMMYFUNCTION("""COMPUTED_VALUE"""),"CAVITE CITY")</f>
        <v>CAVITE CITY</v>
      </c>
      <c r="Q2706" s="1" t="str">
        <f>IFERROR(__xludf.DUMMYFUNCTION("""COMPUTED_VALUE"""),"CAVITE")</f>
        <v>CAVITE</v>
      </c>
      <c r="R2706" s="1" t="str">
        <f>IFERROR(__xludf.DUMMYFUNCTION("""COMPUTED_VALUE"""),"FIBR NETFLIX PLAN 1599")</f>
        <v>FIBR NETFLIX PLAN 1599</v>
      </c>
      <c r="S2706" s="1" t="str">
        <f>IFERROR(__xludf.DUMMYFUNCTION("""COMPUTED_VALUE"""),"APPROVED")</f>
        <v>APPROVED</v>
      </c>
      <c r="T2706" s="1" t="str">
        <f>IFERROR(__xludf.DUMMYFUNCTION("""COMPUTED_VALUE"""),"CLOSED")</f>
        <v>CLOSED</v>
      </c>
      <c r="U2706" s="1" t="str">
        <f>IFERROR(__xludf.DUMMYFUNCTION("""COMPUTED_VALUE"""),"POSTED")</f>
        <v>POSTED</v>
      </c>
      <c r="V2706" s="1"/>
      <c r="W2706" s="1"/>
    </row>
    <row r="2707" customHeight="1" spans="1:23">
      <c r="A2707" s="3">
        <f>IFERROR(__xludf.DUMMYFUNCTION("""COMPUTED_VALUE"""),46245)</f>
        <v>46245</v>
      </c>
      <c r="B2707" s="1" t="str">
        <f>IFERROR(__xludf.DUMMYFUNCTION("""COMPUTED_VALUE"""),"FRANCISCO , ROSELYN")</f>
        <v>FRANCISCO , ROSELYN</v>
      </c>
      <c r="C2707" s="1" t="str">
        <f>IFERROR(__xludf.DUMMYFUNCTION("""COMPUTED_VALUE"""),"ORGANIC")</f>
        <v>ORGANIC</v>
      </c>
      <c r="D2707" s="1" t="str">
        <f>IFERROR(__xludf.DUMMYFUNCTION("""COMPUTED_VALUE"""),"REMOLLO LEA")</f>
        <v>REMOLLO LEA</v>
      </c>
      <c r="E2707" s="1" t="str">
        <f>IFERROR(__xludf.DUMMYFUNCTION("""COMPUTED_VALUE"""),"PLDT / ONLINE")</f>
        <v>PLDT / ONLINE</v>
      </c>
      <c r="F2707" s="1">
        <f>IFERROR(__xludf.DUMMYFUNCTION("""COMPUTED_VALUE"""),2311697964)</f>
        <v>2311697964</v>
      </c>
      <c r="G2707" s="1">
        <f>IFERROR(__xludf.DUMMYFUNCTION("""COMPUTED_VALUE"""),466074868004)</f>
        <v>466074868004</v>
      </c>
      <c r="H2707" s="1" t="str">
        <f>IFERROR(__xludf.DUMMYFUNCTION("""COMPUTED_VALUE"""),"RIZA LAZARTE SOLAYAO")</f>
        <v>RIZA LAZARTE SOLAYAO</v>
      </c>
      <c r="I2707" s="1">
        <f>IFERROR(__xludf.DUMMYFUNCTION("""COMPUTED_VALUE"""),9206762442)</f>
        <v>9206762442</v>
      </c>
      <c r="J2707" s="1"/>
      <c r="K2707" s="1" t="str">
        <f>IFERROR(__xludf.DUMMYFUNCTION("""COMPUTED_VALUE"""),"solayaorizza41@gmail.com")</f>
        <v>solayaorizza41@gmail.com</v>
      </c>
      <c r="L2707" s="1" t="str">
        <f>IFERROR(__xludf.DUMMYFUNCTION("""COMPUTED_VALUE"""),"BLK 183 LOT 28")</f>
        <v>BLK 183 LOT 28</v>
      </c>
      <c r="M2707" s="1" t="str">
        <f>IFERROR(__xludf.DUMMYFUNCTION("""COMPUTED_VALUE"""),"PHASE 1")</f>
        <v>PHASE 1</v>
      </c>
      <c r="N2707" s="1" t="str">
        <f>IFERROR(__xludf.DUMMYFUNCTION("""COMPUTED_VALUE"""),"MABUHAY CITY")</f>
        <v>MABUHAY CITY</v>
      </c>
      <c r="O2707" s="1" t="str">
        <f>IFERROR(__xludf.DUMMYFUNCTION("""COMPUTED_VALUE"""),"PALIPARAN III")</f>
        <v>PALIPARAN III</v>
      </c>
      <c r="P2707" s="1" t="str">
        <f>IFERROR(__xludf.DUMMYFUNCTION("""COMPUTED_VALUE"""),"DASMARINAS")</f>
        <v>DASMARINAS</v>
      </c>
      <c r="Q2707" s="1" t="str">
        <f>IFERROR(__xludf.DUMMYFUNCTION("""COMPUTED_VALUE"""),"CAVITE")</f>
        <v>CAVITE</v>
      </c>
      <c r="R2707" s="1" t="str">
        <f>IFERROR(__xludf.DUMMYFUNCTION("""COMPUTED_VALUE"""),"FIBR UNLI ALL PLAN 1499")</f>
        <v>FIBR UNLI ALL PLAN 1499</v>
      </c>
      <c r="S2707" s="1" t="str">
        <f>IFERROR(__xludf.DUMMYFUNCTION("""COMPUTED_VALUE"""),"APPROVED")</f>
        <v>APPROVED</v>
      </c>
      <c r="T2707" s="1" t="str">
        <f>IFERROR(__xludf.DUMMYFUNCTION("""COMPUTED_VALUE"""),"CLOSED")</f>
        <v>CLOSED</v>
      </c>
      <c r="U2707" s="1" t="str">
        <f>IFERROR(__xludf.DUMMYFUNCTION("""COMPUTED_VALUE"""),"POSTED")</f>
        <v>POSTED</v>
      </c>
      <c r="V2707" s="1"/>
      <c r="W2707" s="1"/>
    </row>
    <row r="2708" customHeight="1" spans="1:23">
      <c r="A2708" s="3">
        <f>IFERROR(__xludf.DUMMYFUNCTION("""COMPUTED_VALUE"""),46245)</f>
        <v>46245</v>
      </c>
      <c r="B2708" s="1" t="str">
        <f>IFERROR(__xludf.DUMMYFUNCTION("""COMPUTED_VALUE"""),"NAVARRO, JERIC")</f>
        <v>NAVARRO, JERIC</v>
      </c>
      <c r="C2708" s="1" t="str">
        <f>IFERROR(__xludf.DUMMYFUNCTION("""COMPUTED_VALUE"""),"FLA")</f>
        <v>FLA</v>
      </c>
      <c r="D2708" s="1" t="str">
        <f>IFERROR(__xludf.DUMMYFUNCTION("""COMPUTED_VALUE"""),"JERIC NAVARRO")</f>
        <v>JERIC NAVARRO</v>
      </c>
      <c r="E2708" s="1" t="str">
        <f>IFERROR(__xludf.DUMMYFUNCTION("""COMPUTED_VALUE"""),"PLDT / ONLINE")</f>
        <v>PLDT / ONLINE</v>
      </c>
      <c r="F2708" s="1">
        <f>IFERROR(__xludf.DUMMYFUNCTION("""COMPUTED_VALUE"""),2311701827)</f>
        <v>2311701827</v>
      </c>
      <c r="G2708" s="1">
        <f>IFERROR(__xludf.DUMMYFUNCTION("""COMPUTED_VALUE"""),466048371004)</f>
        <v>466048371004</v>
      </c>
      <c r="H2708" s="1" t="str">
        <f>IFERROR(__xludf.DUMMYFUNCTION("""COMPUTED_VALUE"""),"RAMNE LUIZE CHARLEMAGNE CAPINO ANCAYAN")</f>
        <v>RAMNE LUIZE CHARLEMAGNE CAPINO ANCAYAN</v>
      </c>
      <c r="I2708" s="1">
        <f>IFERROR(__xludf.DUMMYFUNCTION("""COMPUTED_VALUE"""),9085246593)</f>
        <v>9085246593</v>
      </c>
      <c r="J2708" s="1"/>
      <c r="K2708" s="1" t="str">
        <f>IFERROR(__xludf.DUMMYFUNCTION("""COMPUTED_VALUE"""),"cherlezancayan@gmail.com")</f>
        <v>cherlezancayan@gmail.com</v>
      </c>
      <c r="L2708" s="1" t="str">
        <f>IFERROR(__xludf.DUMMYFUNCTION("""COMPUTED_VALUE"""),"4J")</f>
        <v>4J</v>
      </c>
      <c r="M2708" s="1" t="str">
        <f>IFERROR(__xludf.DUMMYFUNCTION("""COMPUTED_VALUE"""),"PUROK 1C")</f>
        <v>PUROK 1C</v>
      </c>
      <c r="N2708" s="1"/>
      <c r="O2708" s="1" t="str">
        <f>IFERROR(__xludf.DUMMYFUNCTION("""COMPUTED_VALUE"""),"PUTING KAHOY")</f>
        <v>PUTING KAHOY</v>
      </c>
      <c r="P2708" s="1" t="str">
        <f>IFERROR(__xludf.DUMMYFUNCTION("""COMPUTED_VALUE"""),"SILANG")</f>
        <v>SILANG</v>
      </c>
      <c r="Q2708" s="1" t="str">
        <f>IFERROR(__xludf.DUMMYFUNCTION("""COMPUTED_VALUE"""),"CAVITE")</f>
        <v>CAVITE</v>
      </c>
      <c r="R2708" s="1" t="str">
        <f>IFERROR(__xludf.DUMMYFUNCTION("""COMPUTED_VALUE"""),"FIBR UNLI ALL PLAN 999")</f>
        <v>FIBR UNLI ALL PLAN 999</v>
      </c>
      <c r="S2708" s="1" t="str">
        <f>IFERROR(__xludf.DUMMYFUNCTION("""COMPUTED_VALUE"""),"APPROVED")</f>
        <v>APPROVED</v>
      </c>
      <c r="T2708" s="1" t="str">
        <f>IFERROR(__xludf.DUMMYFUNCTION("""COMPUTED_VALUE"""),"CLOSED")</f>
        <v>CLOSED</v>
      </c>
      <c r="U2708" s="1" t="str">
        <f>IFERROR(__xludf.DUMMYFUNCTION("""COMPUTED_VALUE"""),"POSTED")</f>
        <v>POSTED</v>
      </c>
      <c r="V2708" s="1"/>
      <c r="W2708" s="1"/>
    </row>
    <row r="2709" customHeight="1" spans="1:23">
      <c r="A2709" s="3">
        <f>IFERROR(__xludf.DUMMYFUNCTION("""COMPUTED_VALUE"""),46245)</f>
        <v>46245</v>
      </c>
      <c r="B2709" s="1" t="str">
        <f>IFERROR(__xludf.DUMMYFUNCTION("""COMPUTED_VALUE"""),"CADERAO, RONALD")</f>
        <v>CADERAO, RONALD</v>
      </c>
      <c r="C2709" s="1" t="str">
        <f>IFERROR(__xludf.DUMMYFUNCTION("""COMPUTED_VALUE"""),"ORGANIC")</f>
        <v>ORGANIC</v>
      </c>
      <c r="D2709" s="1" t="str">
        <f>IFERROR(__xludf.DUMMYFUNCTION("""COMPUTED_VALUE"""),"REMOLLO LEA")</f>
        <v>REMOLLO LEA</v>
      </c>
      <c r="E2709" s="1" t="str">
        <f>IFERROR(__xludf.DUMMYFUNCTION("""COMPUTED_VALUE"""),"PLDT / H2H")</f>
        <v>PLDT / H2H</v>
      </c>
      <c r="F2709" s="1">
        <f>IFERROR(__xludf.DUMMYFUNCTION("""COMPUTED_VALUE"""),2311702725)</f>
        <v>2311702725</v>
      </c>
      <c r="G2709" s="1">
        <f>IFERROR(__xludf.DUMMYFUNCTION("""COMPUTED_VALUE"""),466049649004)</f>
        <v>466049649004</v>
      </c>
      <c r="H2709" s="1" t="str">
        <f>IFERROR(__xludf.DUMMYFUNCTION("""COMPUTED_VALUE"""),"MKAELA RECANA RENZARES")</f>
        <v>MKAELA RECANA RENZARES</v>
      </c>
      <c r="I2709" s="1">
        <f>IFERROR(__xludf.DUMMYFUNCTION("""COMPUTED_VALUE"""),9943483571)</f>
        <v>9943483571</v>
      </c>
      <c r="J2709" s="1">
        <f>IFERROR(__xludf.DUMMYFUNCTION("""COMPUTED_VALUE"""),9127586214)</f>
        <v>9127586214</v>
      </c>
      <c r="K2709" s="1" t="str">
        <f>IFERROR(__xludf.DUMMYFUNCTION("""COMPUTED_VALUE"""),"mikaelarenzares@gmail.com")</f>
        <v>mikaelarenzares@gmail.com</v>
      </c>
      <c r="L2709" s="1" t="str">
        <f>IFERROR(__xludf.DUMMYFUNCTION("""COMPUTED_VALUE"""),"458")</f>
        <v>458</v>
      </c>
      <c r="M2709" s="1" t="str">
        <f>IFERROR(__xludf.DUMMYFUNCTION("""COMPUTED_VALUE"""),"MAYSILI")</f>
        <v>MAYSILI</v>
      </c>
      <c r="N2709" s="1"/>
      <c r="O2709" s="1" t="str">
        <f>IFERROR(__xludf.DUMMYFUNCTION("""COMPUTED_VALUE"""),"ASIS III")</f>
        <v>ASIS III</v>
      </c>
      <c r="P2709" s="1" t="str">
        <f>IFERROR(__xludf.DUMMYFUNCTION("""COMPUTED_VALUE"""),"MENDEZ")</f>
        <v>MENDEZ</v>
      </c>
      <c r="Q2709" s="1" t="str">
        <f>IFERROR(__xludf.DUMMYFUNCTION("""COMPUTED_VALUE"""),"CAVITE")</f>
        <v>CAVITE</v>
      </c>
      <c r="R2709" s="1" t="str">
        <f>IFERROR(__xludf.DUMMYFUNCTION("""COMPUTED_VALUE"""),"FIBR UNLI ALL PLAN 1499")</f>
        <v>FIBR UNLI ALL PLAN 1499</v>
      </c>
      <c r="S2709" s="1" t="str">
        <f>IFERROR(__xludf.DUMMYFUNCTION("""COMPUTED_VALUE"""),"APPROVED")</f>
        <v>APPROVED</v>
      </c>
      <c r="T2709" s="1" t="str">
        <f>IFERROR(__xludf.DUMMYFUNCTION("""COMPUTED_VALUE"""),"CANCELLED")</f>
        <v>CANCELLED</v>
      </c>
      <c r="U2709" s="1"/>
      <c r="V2709" s="1"/>
      <c r="W2709" s="1"/>
    </row>
    <row r="2710" customHeight="1" spans="1:23">
      <c r="A2710" s="3">
        <f>IFERROR(__xludf.DUMMYFUNCTION("""COMPUTED_VALUE"""),46245)</f>
        <v>46245</v>
      </c>
      <c r="B2710" s="1" t="str">
        <f>IFERROR(__xludf.DUMMYFUNCTION("""COMPUTED_VALUE"""),"ALINGARO, CINDY")</f>
        <v>ALINGARO, CINDY</v>
      </c>
      <c r="C2710" s="1" t="str">
        <f>IFERROR(__xludf.DUMMYFUNCTION("""COMPUTED_VALUE"""),"ORGANIC")</f>
        <v>ORGANIC</v>
      </c>
      <c r="D2710" s="1" t="str">
        <f>IFERROR(__xludf.DUMMYFUNCTION("""COMPUTED_VALUE"""),"REMOLLO LEA")</f>
        <v>REMOLLO LEA</v>
      </c>
      <c r="E2710" s="1" t="str">
        <f>IFERROR(__xludf.DUMMYFUNCTION("""COMPUTED_VALUE"""),"PLDT / ONLINE")</f>
        <v>PLDT / ONLINE</v>
      </c>
      <c r="F2710" s="1">
        <f>IFERROR(__xludf.DUMMYFUNCTION("""COMPUTED_VALUE"""),2311707385)</f>
        <v>2311707385</v>
      </c>
      <c r="G2710" s="1">
        <f>IFERROR(__xludf.DUMMYFUNCTION("""COMPUTED_VALUE"""),466199181004)</f>
        <v>466199181004</v>
      </c>
      <c r="H2710" s="1" t="str">
        <f>IFERROR(__xludf.DUMMYFUNCTION("""COMPUTED_VALUE"""),"BRYAN PATRICIO SILVA")</f>
        <v>BRYAN PATRICIO SILVA</v>
      </c>
      <c r="I2710" s="1">
        <f>IFERROR(__xludf.DUMMYFUNCTION("""COMPUTED_VALUE"""),9070372947)</f>
        <v>9070372947</v>
      </c>
      <c r="J2710" s="1">
        <f>IFERROR(__xludf.DUMMYFUNCTION("""COMPUTED_VALUE"""),9709375891)</f>
        <v>9709375891</v>
      </c>
      <c r="K2710" s="1" t="str">
        <f>IFERROR(__xludf.DUMMYFUNCTION("""COMPUTED_VALUE"""),"muscarosalinda@gmail.com")</f>
        <v>muscarosalinda@gmail.com</v>
      </c>
      <c r="L2710" s="1" t="str">
        <f>IFERROR(__xludf.DUMMYFUNCTION("""COMPUTED_VALUE"""),"BLK 2 LOT 52")</f>
        <v>BLK 2 LOT 52</v>
      </c>
      <c r="M2710" s="1" t="str">
        <f>IFERROR(__xludf.DUMMYFUNCTION("""COMPUTED_VALUE"""),"GRANADOS")</f>
        <v>GRANADOS</v>
      </c>
      <c r="N2710" s="1"/>
      <c r="O2710" s="1" t="str">
        <f>IFERROR(__xludf.DUMMYFUNCTION("""COMPUTED_VALUE"""),"PANTALEON GRANADOS (AREA G)")</f>
        <v>PANTALEON GRANADOS (AREA G)</v>
      </c>
      <c r="P2710" s="1" t="str">
        <f>IFERROR(__xludf.DUMMYFUNCTION("""COMPUTED_VALUE"""),"GEN MARIANO ALVAREZ")</f>
        <v>GEN MARIANO ALVAREZ</v>
      </c>
      <c r="Q2710" s="1" t="str">
        <f>IFERROR(__xludf.DUMMYFUNCTION("""COMPUTED_VALUE"""),"CAVITE")</f>
        <v>CAVITE</v>
      </c>
      <c r="R2710" s="1" t="str">
        <f>IFERROR(__xludf.DUMMYFUNCTION("""COMPUTED_VALUE"""),"FIBR PLAN 1299")</f>
        <v>FIBR PLAN 1299</v>
      </c>
      <c r="S2710" s="1" t="str">
        <f>IFERROR(__xludf.DUMMYFUNCTION("""COMPUTED_VALUE"""),"APPROVED")</f>
        <v>APPROVED</v>
      </c>
      <c r="T2710" s="1" t="str">
        <f>IFERROR(__xludf.DUMMYFUNCTION("""COMPUTED_VALUE"""),"CLOSED")</f>
        <v>CLOSED</v>
      </c>
      <c r="U2710" s="1" t="str">
        <f>IFERROR(__xludf.DUMMYFUNCTION("""COMPUTED_VALUE"""),"POSTED")</f>
        <v>POSTED</v>
      </c>
      <c r="V2710" s="1"/>
      <c r="W2710" s="1"/>
    </row>
    <row r="2711" customHeight="1" spans="1:23">
      <c r="A2711" s="3">
        <f>IFERROR(__xludf.DUMMYFUNCTION("""COMPUTED_VALUE"""),46245)</f>
        <v>46245</v>
      </c>
      <c r="B2711" s="1" t="str">
        <f>IFERROR(__xludf.DUMMYFUNCTION("""COMPUTED_VALUE"""),"AYON MANUEL")</f>
        <v>AYON MANUEL</v>
      </c>
      <c r="C2711" s="1" t="str">
        <f>IFERROR(__xludf.DUMMYFUNCTION("""COMPUTED_VALUE"""),"FLA")</f>
        <v>FLA</v>
      </c>
      <c r="D2711" s="1" t="str">
        <f>IFERROR(__xludf.DUMMYFUNCTION("""COMPUTED_VALUE"""),"JERIC NAVARRO")</f>
        <v>JERIC NAVARRO</v>
      </c>
      <c r="E2711" s="1" t="str">
        <f>IFERROR(__xludf.DUMMYFUNCTION("""COMPUTED_VALUE"""),"PLDT / ONLINE")</f>
        <v>PLDT / ONLINE</v>
      </c>
      <c r="F2711" s="1">
        <f>IFERROR(__xludf.DUMMYFUNCTION("""COMPUTED_VALUE"""),2311702351)</f>
        <v>2311702351</v>
      </c>
      <c r="G2711" s="1">
        <f>IFERROR(__xludf.DUMMYFUNCTION("""COMPUTED_VALUE"""),466074034004)</f>
        <v>466074034004</v>
      </c>
      <c r="H2711" s="1" t="str">
        <f>IFERROR(__xludf.DUMMYFUNCTION("""COMPUTED_VALUE"""),"MA, CRISTINA UMALI GUAPO")</f>
        <v>MA, CRISTINA UMALI GUAPO</v>
      </c>
      <c r="I2711" s="1">
        <f>IFERROR(__xludf.DUMMYFUNCTION("""COMPUTED_VALUE"""),9491310218)</f>
        <v>9491310218</v>
      </c>
      <c r="J2711" s="1">
        <f>IFERROR(__xludf.DUMMYFUNCTION("""COMPUTED_VALUE"""),9184761347)</f>
        <v>9184761347</v>
      </c>
      <c r="K2711" s="1" t="str">
        <f>IFERROR(__xludf.DUMMYFUNCTION("""COMPUTED_VALUE"""),"macristinaguapo@gmail.com")</f>
        <v>macristinaguapo@gmail.com</v>
      </c>
      <c r="L2711" s="1" t="str">
        <f>IFERROR(__xludf.DUMMYFUNCTION("""COMPUTED_VALUE"""),"2756")</f>
        <v>2756</v>
      </c>
      <c r="M2711" s="1" t="str">
        <f>IFERROR(__xludf.DUMMYFUNCTION("""COMPUTED_VALUE"""),"PUROK 5")</f>
        <v>PUROK 5</v>
      </c>
      <c r="N2711" s="1"/>
      <c r="O2711" s="1" t="str">
        <f>IFERROR(__xludf.DUMMYFUNCTION("""COMPUTED_VALUE"""),"BUCAL")</f>
        <v>BUCAL</v>
      </c>
      <c r="P2711" s="1" t="str">
        <f>IFERROR(__xludf.DUMMYFUNCTION("""COMPUTED_VALUE"""),"AMADEO")</f>
        <v>AMADEO</v>
      </c>
      <c r="Q2711" s="1" t="str">
        <f>IFERROR(__xludf.DUMMYFUNCTION("""COMPUTED_VALUE"""),"CAVITE")</f>
        <v>CAVITE</v>
      </c>
      <c r="R2711" s="1" t="str">
        <f>IFERROR(__xludf.DUMMYFUNCTION("""COMPUTED_VALUE"""),"FIBR UNLI ALL PLAN 999")</f>
        <v>FIBR UNLI ALL PLAN 999</v>
      </c>
      <c r="S2711" s="1" t="str">
        <f>IFERROR(__xludf.DUMMYFUNCTION("""COMPUTED_VALUE"""),"APPROVED")</f>
        <v>APPROVED</v>
      </c>
      <c r="T2711" s="1" t="str">
        <f>IFERROR(__xludf.DUMMYFUNCTION("""COMPUTED_VALUE"""),"CLOSED")</f>
        <v>CLOSED</v>
      </c>
      <c r="U2711" s="1" t="str">
        <f>IFERROR(__xludf.DUMMYFUNCTION("""COMPUTED_VALUE"""),"POSTED")</f>
        <v>POSTED</v>
      </c>
      <c r="V2711" s="1"/>
      <c r="W2711" s="1"/>
    </row>
    <row r="2712" customHeight="1" spans="1:23">
      <c r="A2712" s="3">
        <f>IFERROR(__xludf.DUMMYFUNCTION("""COMPUTED_VALUE"""),46245)</f>
        <v>46245</v>
      </c>
      <c r="B2712" s="1" t="str">
        <f>IFERROR(__xludf.DUMMYFUNCTION("""COMPUTED_VALUE"""),"MANDUCDOC, MARIANE")</f>
        <v>MANDUCDOC, MARIANE</v>
      </c>
      <c r="C2712" s="1" t="str">
        <f>IFERROR(__xludf.DUMMYFUNCTION("""COMPUTED_VALUE"""),"ORGANIC")</f>
        <v>ORGANIC</v>
      </c>
      <c r="D2712" s="1" t="str">
        <f>IFERROR(__xludf.DUMMYFUNCTION("""COMPUTED_VALUE"""),"REMOLLO LEA")</f>
        <v>REMOLLO LEA</v>
      </c>
      <c r="E2712" s="1" t="str">
        <f>IFERROR(__xludf.DUMMYFUNCTION("""COMPUTED_VALUE"""),"PLDT / H2H")</f>
        <v>PLDT / H2H</v>
      </c>
      <c r="F2712" s="1">
        <f>IFERROR(__xludf.DUMMYFUNCTION("""COMPUTED_VALUE"""),2311734439)</f>
        <v>2311734439</v>
      </c>
      <c r="G2712" s="1">
        <f>IFERROR(__xludf.DUMMYFUNCTION("""COMPUTED_VALUE"""),466328922004)</f>
        <v>466328922004</v>
      </c>
      <c r="H2712" s="1" t="str">
        <f>IFERROR(__xludf.DUMMYFUNCTION("""COMPUTED_VALUE"""),"ELMER HAPA DE GUZMAN")</f>
        <v>ELMER HAPA DE GUZMAN</v>
      </c>
      <c r="I2712" s="1">
        <f>IFERROR(__xludf.DUMMYFUNCTION("""COMPUTED_VALUE"""),9127573792)</f>
        <v>9127573792</v>
      </c>
      <c r="J2712" s="1">
        <f>IFERROR(__xludf.DUMMYFUNCTION("""COMPUTED_VALUE"""),9634432677)</f>
        <v>9634432677</v>
      </c>
      <c r="K2712" s="1" t="str">
        <f>IFERROR(__xludf.DUMMYFUNCTION("""COMPUTED_VALUE"""),"deguzmany166@gmail.com")</f>
        <v>deguzmany166@gmail.com</v>
      </c>
      <c r="L2712" s="1" t="str">
        <f>IFERROR(__xludf.DUMMYFUNCTION("""COMPUTED_VALUE"""),"BLK 22 LOT 14")</f>
        <v>BLK 22 LOT 14</v>
      </c>
      <c r="M2712" s="1" t="str">
        <f>IFERROR(__xludf.DUMMYFUNCTION("""COMPUTED_VALUE"""),"BULIHAN")</f>
        <v>BULIHAN</v>
      </c>
      <c r="N2712" s="1"/>
      <c r="O2712" s="1" t="str">
        <f>IFERROR(__xludf.DUMMYFUNCTION("""COMPUTED_VALUE"""),"NARRA I")</f>
        <v>NARRA I</v>
      </c>
      <c r="P2712" s="1" t="str">
        <f>IFERROR(__xludf.DUMMYFUNCTION("""COMPUTED_VALUE"""),"SILANG")</f>
        <v>SILANG</v>
      </c>
      <c r="Q2712" s="1" t="str">
        <f>IFERROR(__xludf.DUMMYFUNCTION("""COMPUTED_VALUE"""),"CAVITE")</f>
        <v>CAVITE</v>
      </c>
      <c r="R2712" s="1" t="str">
        <f>IFERROR(__xludf.DUMMYFUNCTION("""COMPUTED_VALUE"""),"FIBR UNLI ALL PLAN 999")</f>
        <v>FIBR UNLI ALL PLAN 999</v>
      </c>
      <c r="S2712" s="1" t="str">
        <f>IFERROR(__xludf.DUMMYFUNCTION("""COMPUTED_VALUE"""),"APPROVED")</f>
        <v>APPROVED</v>
      </c>
      <c r="T2712" s="1" t="str">
        <f>IFERROR(__xludf.DUMMYFUNCTION("""COMPUTED_VALUE"""),"CANCELLED")</f>
        <v>CANCELLED</v>
      </c>
      <c r="U2712" s="1"/>
      <c r="V2712" s="1"/>
      <c r="W2712" s="1"/>
    </row>
    <row r="2713" customHeight="1" spans="1:23">
      <c r="A2713" s="3">
        <f>IFERROR(__xludf.DUMMYFUNCTION("""COMPUTED_VALUE"""),46245)</f>
        <v>46245</v>
      </c>
      <c r="B2713" s="1" t="str">
        <f>IFERROR(__xludf.DUMMYFUNCTION("""COMPUTED_VALUE"""),"OPS WESLY")</f>
        <v>OPS WESLY</v>
      </c>
      <c r="C2713" s="1" t="str">
        <f>IFERROR(__xludf.DUMMYFUNCTION("""COMPUTED_VALUE"""),"OPS")</f>
        <v>OPS</v>
      </c>
      <c r="D2713" s="1" t="str">
        <f>IFERROR(__xludf.DUMMYFUNCTION("""COMPUTED_VALUE"""),"JERIC NAVARRO")</f>
        <v>JERIC NAVARRO</v>
      </c>
      <c r="E2713" s="1" t="str">
        <f>IFERROR(__xludf.DUMMYFUNCTION("""COMPUTED_VALUE"""),"PLDT / H2H")</f>
        <v>PLDT / H2H</v>
      </c>
      <c r="F2713" s="1">
        <f>IFERROR(__xludf.DUMMYFUNCTION("""COMPUTED_VALUE"""),2311723954)</f>
        <v>2311723954</v>
      </c>
      <c r="G2713" s="1">
        <f>IFERROR(__xludf.DUMMYFUNCTION("""COMPUTED_VALUE"""),466196274004)</f>
        <v>466196274004</v>
      </c>
      <c r="H2713" s="1" t="str">
        <f>IFERROR(__xludf.DUMMYFUNCTION("""COMPUTED_VALUE"""),"FERLINA GARCES TAMASHIGE")</f>
        <v>FERLINA GARCES TAMASHIGE</v>
      </c>
      <c r="I2713" s="1">
        <f>IFERROR(__xludf.DUMMYFUNCTION("""COMPUTED_VALUE"""),9929265701)</f>
        <v>9929265701</v>
      </c>
      <c r="J2713" s="1">
        <f>IFERROR(__xludf.DUMMYFUNCTION("""COMPUTED_VALUE"""),9175650995)</f>
        <v>9175650995</v>
      </c>
      <c r="K2713" s="1" t="str">
        <f>IFERROR(__xludf.DUMMYFUNCTION("""COMPUTED_VALUE"""),"lynettetamashige@gmail.com")</f>
        <v>lynettetamashige@gmail.com</v>
      </c>
      <c r="L2713" s="1" t="str">
        <f>IFERROR(__xludf.DUMMYFUNCTION("""COMPUTED_VALUE"""),"229")</f>
        <v>229</v>
      </c>
      <c r="M2713" s="1" t="str">
        <f>IFERROR(__xludf.DUMMYFUNCTION("""COMPUTED_VALUE"""),"STANFORD")</f>
        <v>STANFORD</v>
      </c>
      <c r="N2713" s="1"/>
      <c r="O2713" s="1" t="str">
        <f>IFERROR(__xludf.DUMMYFUNCTION("""COMPUTED_VALUE"""),"INCHICAN")</f>
        <v>INCHICAN</v>
      </c>
      <c r="P2713" s="1" t="str">
        <f>IFERROR(__xludf.DUMMYFUNCTION("""COMPUTED_VALUE"""),"SILANG")</f>
        <v>SILANG</v>
      </c>
      <c r="Q2713" s="1" t="str">
        <f>IFERROR(__xludf.DUMMYFUNCTION("""COMPUTED_VALUE"""),"CAVITE")</f>
        <v>CAVITE</v>
      </c>
      <c r="R2713" s="1" t="str">
        <f>IFERROR(__xludf.DUMMYFUNCTION("""COMPUTED_VALUE"""),"FIBR UNLI ALL PLAN 1499")</f>
        <v>FIBR UNLI ALL PLAN 1499</v>
      </c>
      <c r="S2713" s="1" t="str">
        <f>IFERROR(__xludf.DUMMYFUNCTION("""COMPUTED_VALUE"""),"APPROVED")</f>
        <v>APPROVED</v>
      </c>
      <c r="T2713" s="1" t="str">
        <f>IFERROR(__xludf.DUMMYFUNCTION("""COMPUTED_VALUE"""),"CLOSED")</f>
        <v>CLOSED</v>
      </c>
      <c r="U2713" s="1" t="str">
        <f>IFERROR(__xludf.DUMMYFUNCTION("""COMPUTED_VALUE"""),"POSTED")</f>
        <v>POSTED</v>
      </c>
      <c r="V2713" s="1"/>
      <c r="W2713" s="1"/>
    </row>
    <row r="2714" customHeight="1" spans="1:23">
      <c r="A2714" s="3">
        <f>IFERROR(__xludf.DUMMYFUNCTION("""COMPUTED_VALUE"""),46246)</f>
        <v>46246</v>
      </c>
      <c r="B2714" s="1" t="str">
        <f>IFERROR(__xludf.DUMMYFUNCTION("""COMPUTED_VALUE"""),"GABAY, MANUEL")</f>
        <v>GABAY, MANUEL</v>
      </c>
      <c r="C2714" s="1" t="str">
        <f>IFERROR(__xludf.DUMMYFUNCTION("""COMPUTED_VALUE"""),"FLA")</f>
        <v>FLA</v>
      </c>
      <c r="D2714" s="1" t="str">
        <f>IFERROR(__xludf.DUMMYFUNCTION("""COMPUTED_VALUE"""),"JERIC NAVARRO")</f>
        <v>JERIC NAVARRO</v>
      </c>
      <c r="E2714" s="1" t="str">
        <f>IFERROR(__xludf.DUMMYFUNCTION("""COMPUTED_VALUE"""),"PLDT / H2H")</f>
        <v>PLDT / H2H</v>
      </c>
      <c r="F2714" s="1">
        <f>IFERROR(__xludf.DUMMYFUNCTION("""COMPUTED_VALUE"""),2311720877)</f>
        <v>2311720877</v>
      </c>
      <c r="G2714" s="1">
        <f>IFERROR(__xludf.DUMMYFUNCTION("""COMPUTED_VALUE"""),466186766004)</f>
        <v>466186766004</v>
      </c>
      <c r="H2714" s="1" t="str">
        <f>IFERROR(__xludf.DUMMYFUNCTION("""COMPUTED_VALUE"""),"LORNA PASO TOLEDO")</f>
        <v>LORNA PASO TOLEDO</v>
      </c>
      <c r="I2714" s="1">
        <f>IFERROR(__xludf.DUMMYFUNCTION("""COMPUTED_VALUE"""),9950782604)</f>
        <v>9950782604</v>
      </c>
      <c r="J2714" s="1">
        <f>IFERROR(__xludf.DUMMYFUNCTION("""COMPUTED_VALUE"""),9159788617)</f>
        <v>9159788617</v>
      </c>
      <c r="K2714" s="1" t="str">
        <f>IFERROR(__xludf.DUMMYFUNCTION("""COMPUTED_VALUE"""),"normatoledo766@gmail.com")</f>
        <v>normatoledo766@gmail.com</v>
      </c>
      <c r="L2714" s="1" t="str">
        <f>IFERROR(__xludf.DUMMYFUNCTION("""COMPUTED_VALUE"""),"175")</f>
        <v>175</v>
      </c>
      <c r="M2714" s="1" t="str">
        <f>IFERROR(__xludf.DUMMYFUNCTION("""COMPUTED_VALUE"""),"SAN ISIDRO ")</f>
        <v>SAN ISIDRO </v>
      </c>
      <c r="N2714" s="1"/>
      <c r="O2714" s="1" t="str">
        <f>IFERROR(__xludf.DUMMYFUNCTION("""COMPUTED_VALUE"""),"PALOCPOC II")</f>
        <v>PALOCPOC II</v>
      </c>
      <c r="P2714" s="1" t="str">
        <f>IFERROR(__xludf.DUMMYFUNCTION("""COMPUTED_VALUE"""),"MENDEZ")</f>
        <v>MENDEZ</v>
      </c>
      <c r="Q2714" s="1" t="str">
        <f>IFERROR(__xludf.DUMMYFUNCTION("""COMPUTED_VALUE"""),"CAVITE")</f>
        <v>CAVITE</v>
      </c>
      <c r="R2714" s="1" t="str">
        <f>IFERROR(__xludf.DUMMYFUNCTION("""COMPUTED_VALUE"""),"FIBR UNLI ALL PLAN 1899")</f>
        <v>FIBR UNLI ALL PLAN 1899</v>
      </c>
      <c r="S2714" s="1" t="str">
        <f>IFERROR(__xludf.DUMMYFUNCTION("""COMPUTED_VALUE"""),"APPROVED")</f>
        <v>APPROVED</v>
      </c>
      <c r="T2714" s="1" t="str">
        <f>IFERROR(__xludf.DUMMYFUNCTION("""COMPUTED_VALUE"""),"CANCELLED")</f>
        <v>CANCELLED</v>
      </c>
      <c r="U2714" s="1"/>
      <c r="V2714" s="1"/>
      <c r="W2714" s="1"/>
    </row>
    <row r="2715" customHeight="1" spans="1:23">
      <c r="A2715" s="3">
        <f>IFERROR(__xludf.DUMMYFUNCTION("""COMPUTED_VALUE"""),46246)</f>
        <v>46246</v>
      </c>
      <c r="B2715" s="1" t="str">
        <f>IFERROR(__xludf.DUMMYFUNCTION("""COMPUTED_VALUE"""),"FRANCISCO , ROSELYN")</f>
        <v>FRANCISCO , ROSELYN</v>
      </c>
      <c r="C2715" s="1" t="str">
        <f>IFERROR(__xludf.DUMMYFUNCTION("""COMPUTED_VALUE"""),"ORGANIC")</f>
        <v>ORGANIC</v>
      </c>
      <c r="D2715" s="1" t="str">
        <f>IFERROR(__xludf.DUMMYFUNCTION("""COMPUTED_VALUE"""),"REMOLLO LEA")</f>
        <v>REMOLLO LEA</v>
      </c>
      <c r="E2715" s="1" t="str">
        <f>IFERROR(__xludf.DUMMYFUNCTION("""COMPUTED_VALUE"""),"PLDT / H2H")</f>
        <v>PLDT / H2H</v>
      </c>
      <c r="F2715" s="1">
        <f>IFERROR(__xludf.DUMMYFUNCTION("""COMPUTED_VALUE"""),2311724707)</f>
        <v>2311724707</v>
      </c>
      <c r="G2715" s="1">
        <f>IFERROR(__xludf.DUMMYFUNCTION("""COMPUTED_VALUE"""),466188511004)</f>
        <v>466188511004</v>
      </c>
      <c r="H2715" s="1" t="str">
        <f>IFERROR(__xludf.DUMMYFUNCTION("""COMPUTED_VALUE"""),"IAN CHRISTOPHER CALANG PUNZALAN")</f>
        <v>IAN CHRISTOPHER CALANG PUNZALAN</v>
      </c>
      <c r="I2715" s="1">
        <f>IFERROR(__xludf.DUMMYFUNCTION("""COMPUTED_VALUE"""),9161552619)</f>
        <v>9161552619</v>
      </c>
      <c r="J2715" s="1">
        <f>IFERROR(__xludf.DUMMYFUNCTION("""COMPUTED_VALUE"""),9658014869)</f>
        <v>9658014869</v>
      </c>
      <c r="K2715" s="1" t="str">
        <f>IFERROR(__xludf.DUMMYFUNCTION("""COMPUTED_VALUE"""),"ianchristopherpunzalan55@gmail.com")</f>
        <v>ianchristopherpunzalan55@gmail.com</v>
      </c>
      <c r="L2715" s="1" t="str">
        <f>IFERROR(__xludf.DUMMYFUNCTION("""COMPUTED_VALUE"""),"152")</f>
        <v>152</v>
      </c>
      <c r="M2715" s="1" t="str">
        <f>IFERROR(__xludf.DUMMYFUNCTION("""COMPUTED_VALUE"""),"LOURDES ")</f>
        <v>LOURDES </v>
      </c>
      <c r="N2715" s="1"/>
      <c r="O2715" s="1" t="str">
        <f>IFERROR(__xludf.DUMMYFUNCTION("""COMPUTED_VALUE"""),"MAITIM 2ND CENTRAL")</f>
        <v>MAITIM 2ND CENTRAL</v>
      </c>
      <c r="P2715" s="1" t="str">
        <f>IFERROR(__xludf.DUMMYFUNCTION("""COMPUTED_VALUE"""),"TAGAYTAY")</f>
        <v>TAGAYTAY</v>
      </c>
      <c r="Q2715" s="1" t="str">
        <f>IFERROR(__xludf.DUMMYFUNCTION("""COMPUTED_VALUE"""),"CAVITE")</f>
        <v>CAVITE</v>
      </c>
      <c r="R2715" s="1" t="str">
        <f>IFERROR(__xludf.DUMMYFUNCTION("""COMPUTED_VALUE"""),"FIBR PLAN 1299")</f>
        <v>FIBR PLAN 1299</v>
      </c>
      <c r="S2715" s="1" t="str">
        <f>IFERROR(__xludf.DUMMYFUNCTION("""COMPUTED_VALUE"""),"APPROVED")</f>
        <v>APPROVED</v>
      </c>
      <c r="T2715" s="1" t="str">
        <f>IFERROR(__xludf.DUMMYFUNCTION("""COMPUTED_VALUE"""),"CLOSED")</f>
        <v>CLOSED</v>
      </c>
      <c r="U2715" s="1" t="str">
        <f>IFERROR(__xludf.DUMMYFUNCTION("""COMPUTED_VALUE"""),"POSTED")</f>
        <v>POSTED</v>
      </c>
      <c r="V2715" s="1"/>
      <c r="W2715" s="1"/>
    </row>
    <row r="2716" customHeight="1" spans="1:23">
      <c r="A2716" s="3">
        <f>IFERROR(__xludf.DUMMYFUNCTION("""COMPUTED_VALUE"""),46246)</f>
        <v>46246</v>
      </c>
      <c r="B2716" s="1" t="str">
        <f>IFERROR(__xludf.DUMMYFUNCTION("""COMPUTED_VALUE"""),"FRANCISCO , ROSELYN")</f>
        <v>FRANCISCO , ROSELYN</v>
      </c>
      <c r="C2716" s="1" t="str">
        <f>IFERROR(__xludf.DUMMYFUNCTION("""COMPUTED_VALUE"""),"ORGANIC")</f>
        <v>ORGANIC</v>
      </c>
      <c r="D2716" s="1" t="str">
        <f>IFERROR(__xludf.DUMMYFUNCTION("""COMPUTED_VALUE"""),"REMOLLO LEA")</f>
        <v>REMOLLO LEA</v>
      </c>
      <c r="E2716" s="1" t="str">
        <f>IFERROR(__xludf.DUMMYFUNCTION("""COMPUTED_VALUE"""),"PLDT / H2H")</f>
        <v>PLDT / H2H</v>
      </c>
      <c r="F2716" s="1">
        <f>IFERROR(__xludf.DUMMYFUNCTION("""COMPUTED_VALUE"""),2311725307)</f>
        <v>2311725307</v>
      </c>
      <c r="G2716" s="1">
        <f>IFERROR(__xludf.DUMMYFUNCTION("""COMPUTED_VALUE"""),466189936004)</f>
        <v>466189936004</v>
      </c>
      <c r="H2716" s="1" t="str">
        <f>IFERROR(__xludf.DUMMYFUNCTION("""COMPUTED_VALUE"""),"MARITES MANLAPAS NIBAY")</f>
        <v>MARITES MANLAPAS NIBAY</v>
      </c>
      <c r="I2716" s="1">
        <f>IFERROR(__xludf.DUMMYFUNCTION("""COMPUTED_VALUE"""),9638873929)</f>
        <v>9638873929</v>
      </c>
      <c r="J2716" s="1">
        <f>IFERROR(__xludf.DUMMYFUNCTION("""COMPUTED_VALUE"""),9707857468)</f>
        <v>9707857468</v>
      </c>
      <c r="K2716" s="1" t="str">
        <f>IFERROR(__xludf.DUMMYFUNCTION("""COMPUTED_VALUE"""),"maritesmhatetmanlapasnibay@gmail.com")</f>
        <v>maritesmhatetmanlapasnibay@gmail.com</v>
      </c>
      <c r="L2716" s="1" t="str">
        <f>IFERROR(__xludf.DUMMYFUNCTION("""COMPUTED_VALUE"""),"151")</f>
        <v>151</v>
      </c>
      <c r="M2716" s="1" t="str">
        <f>IFERROR(__xludf.DUMMYFUNCTION("""COMPUTED_VALUE"""),"LOURDES ")</f>
        <v>LOURDES </v>
      </c>
      <c r="N2716" s="1"/>
      <c r="O2716" s="1" t="str">
        <f>IFERROR(__xludf.DUMMYFUNCTION("""COMPUTED_VALUE"""),"MAITIM 2ND CENTRAL")</f>
        <v>MAITIM 2ND CENTRAL</v>
      </c>
      <c r="P2716" s="1" t="str">
        <f>IFERROR(__xludf.DUMMYFUNCTION("""COMPUTED_VALUE"""),"TAGAYTAY")</f>
        <v>TAGAYTAY</v>
      </c>
      <c r="Q2716" s="1" t="str">
        <f>IFERROR(__xludf.DUMMYFUNCTION("""COMPUTED_VALUE"""),"CAVITE")</f>
        <v>CAVITE</v>
      </c>
      <c r="R2716" s="1" t="str">
        <f>IFERROR(__xludf.DUMMYFUNCTION("""COMPUTED_VALUE"""),"FIBR UNLI ALL PLAN 999")</f>
        <v>FIBR UNLI ALL PLAN 999</v>
      </c>
      <c r="S2716" s="1" t="str">
        <f>IFERROR(__xludf.DUMMYFUNCTION("""COMPUTED_VALUE"""),"APPROVED")</f>
        <v>APPROVED</v>
      </c>
      <c r="T2716" s="1" t="str">
        <f>IFERROR(__xludf.DUMMYFUNCTION("""COMPUTED_VALUE"""),"CLOSED")</f>
        <v>CLOSED</v>
      </c>
      <c r="U2716" s="1" t="str">
        <f>IFERROR(__xludf.DUMMYFUNCTION("""COMPUTED_VALUE"""),"POSTED")</f>
        <v>POSTED</v>
      </c>
      <c r="V2716" s="1"/>
      <c r="W2716" s="1"/>
    </row>
    <row r="2717" customHeight="1" spans="1:23">
      <c r="A2717" s="3">
        <f>IFERROR(__xludf.DUMMYFUNCTION("""COMPUTED_VALUE"""),46246)</f>
        <v>46246</v>
      </c>
      <c r="B2717" s="1" t="str">
        <f>IFERROR(__xludf.DUMMYFUNCTION("""COMPUTED_VALUE"""),"GABAY, MANUEL")</f>
        <v>GABAY, MANUEL</v>
      </c>
      <c r="C2717" s="1" t="str">
        <f>IFERROR(__xludf.DUMMYFUNCTION("""COMPUTED_VALUE"""),"FLA")</f>
        <v>FLA</v>
      </c>
      <c r="D2717" s="1" t="str">
        <f>IFERROR(__xludf.DUMMYFUNCTION("""COMPUTED_VALUE"""),"JERIC NAVARRO")</f>
        <v>JERIC NAVARRO</v>
      </c>
      <c r="E2717" s="1" t="str">
        <f>IFERROR(__xludf.DUMMYFUNCTION("""COMPUTED_VALUE"""),"PLDT / H2H")</f>
        <v>PLDT / H2H</v>
      </c>
      <c r="F2717" s="1">
        <f>IFERROR(__xludf.DUMMYFUNCTION("""COMPUTED_VALUE"""),2311726802)</f>
        <v>2311726802</v>
      </c>
      <c r="G2717" s="1">
        <f>IFERROR(__xludf.DUMMYFUNCTION("""COMPUTED_VALUE"""),466195426004)</f>
        <v>466195426004</v>
      </c>
      <c r="H2717" s="1" t="str">
        <f>IFERROR(__xludf.DUMMYFUNCTION("""COMPUTED_VALUE"""),"MARIA CECILIA BATA OLVIDO")</f>
        <v>MARIA CECILIA BATA OLVIDO</v>
      </c>
      <c r="I2717" s="1">
        <f>IFERROR(__xludf.DUMMYFUNCTION("""COMPUTED_VALUE"""),9082326882)</f>
        <v>9082326882</v>
      </c>
      <c r="J2717" s="1">
        <f>IFERROR(__xludf.DUMMYFUNCTION("""COMPUTED_VALUE"""),9155290927)</f>
        <v>9155290927</v>
      </c>
      <c r="K2717" s="1" t="str">
        <f>IFERROR(__xludf.DUMMYFUNCTION("""COMPUTED_VALUE"""),"olvidofrance30@gmail.com")</f>
        <v>olvidofrance30@gmail.com</v>
      </c>
      <c r="L2717" s="1" t="str">
        <f>IFERROR(__xludf.DUMMYFUNCTION("""COMPUTED_VALUE"""),"BLK 3 LOT 1")</f>
        <v>BLK 3 LOT 1</v>
      </c>
      <c r="M2717" s="1" t="str">
        <f>IFERROR(__xludf.DUMMYFUNCTION("""COMPUTED_VALUE"""),"UNIT 5")</f>
        <v>UNIT 5</v>
      </c>
      <c r="N2717" s="1" t="str">
        <f>IFERROR(__xludf.DUMMYFUNCTION("""COMPUTED_VALUE"""),"MANUELA VILLE")</f>
        <v>MANUELA VILLE</v>
      </c>
      <c r="O2717" s="1" t="str">
        <f>IFERROR(__xludf.DUMMYFUNCTION("""COMPUTED_VALUE"""),"SABUTAN")</f>
        <v>SABUTAN</v>
      </c>
      <c r="P2717" s="1" t="str">
        <f>IFERROR(__xludf.DUMMYFUNCTION("""COMPUTED_VALUE"""),"SILANG")</f>
        <v>SILANG</v>
      </c>
      <c r="Q2717" s="1" t="str">
        <f>IFERROR(__xludf.DUMMYFUNCTION("""COMPUTED_VALUE"""),"CAVITE")</f>
        <v>CAVITE</v>
      </c>
      <c r="R2717" s="1" t="str">
        <f>IFERROR(__xludf.DUMMYFUNCTION("""COMPUTED_VALUE"""),"FIBR UNLI ALL PLAN 1499")</f>
        <v>FIBR UNLI ALL PLAN 1499</v>
      </c>
      <c r="S2717" s="1" t="str">
        <f>IFERROR(__xludf.DUMMYFUNCTION("""COMPUTED_VALUE"""),"APPROVED")</f>
        <v>APPROVED</v>
      </c>
      <c r="T2717" s="1" t="str">
        <f>IFERROR(__xludf.DUMMYFUNCTION("""COMPUTED_VALUE"""),"CLOSED")</f>
        <v>CLOSED</v>
      </c>
      <c r="U2717" s="1" t="str">
        <f>IFERROR(__xludf.DUMMYFUNCTION("""COMPUTED_VALUE"""),"POSTED")</f>
        <v>POSTED</v>
      </c>
      <c r="V2717" s="1"/>
      <c r="W2717" s="1"/>
    </row>
    <row r="2718" customHeight="1" spans="1:23">
      <c r="A2718" s="3">
        <f>IFERROR(__xludf.DUMMYFUNCTION("""COMPUTED_VALUE"""),46246)</f>
        <v>46246</v>
      </c>
      <c r="B2718" s="1" t="str">
        <f>IFERROR(__xludf.DUMMYFUNCTION("""COMPUTED_VALUE"""),"AYON MANUEL")</f>
        <v>AYON MANUEL</v>
      </c>
      <c r="C2718" s="1" t="str">
        <f>IFERROR(__xludf.DUMMYFUNCTION("""COMPUTED_VALUE"""),"FLA")</f>
        <v>FLA</v>
      </c>
      <c r="D2718" s="1" t="str">
        <f>IFERROR(__xludf.DUMMYFUNCTION("""COMPUTED_VALUE"""),"JERIC NAVARRO")</f>
        <v>JERIC NAVARRO</v>
      </c>
      <c r="E2718" s="1" t="str">
        <f>IFERROR(__xludf.DUMMYFUNCTION("""COMPUTED_VALUE"""),"PLDT / H2H")</f>
        <v>PLDT / H2H</v>
      </c>
      <c r="F2718" s="1">
        <f>IFERROR(__xludf.DUMMYFUNCTION("""COMPUTED_VALUE"""),2311730975)</f>
        <v>2311730975</v>
      </c>
      <c r="G2718" s="1"/>
      <c r="H2718" s="1" t="str">
        <f>IFERROR(__xludf.DUMMYFUNCTION("""COMPUTED_VALUE"""),"MA CECILIA SAMUA CHO")</f>
        <v>MA CECILIA SAMUA CHO</v>
      </c>
      <c r="I2718" s="1">
        <f>IFERROR(__xludf.DUMMYFUNCTION("""COMPUTED_VALUE"""),9189356147)</f>
        <v>9189356147</v>
      </c>
      <c r="J2718" s="1">
        <f>IFERROR(__xludf.DUMMYFUNCTION("""COMPUTED_VALUE"""),917890443)</f>
        <v>917890443</v>
      </c>
      <c r="K2718" s="1" t="str">
        <f>IFERROR(__xludf.DUMMYFUNCTION("""COMPUTED_VALUE"""),"cecillecho@yourssypc.com")</f>
        <v>cecillecho@yourssypc.com</v>
      </c>
      <c r="L2718" s="1" t="str">
        <f>IFERROR(__xludf.DUMMYFUNCTION("""COMPUTED_VALUE"""),"BLK 2 LOT 13")</f>
        <v>BLK 2 LOT 13</v>
      </c>
      <c r="M2718" s="1" t="str">
        <f>IFERROR(__xludf.DUMMYFUNCTION("""COMPUTED_VALUE"""),"RIVEIRA ")</f>
        <v>RIVEIRA </v>
      </c>
      <c r="N2718" s="1" t="str">
        <f>IFERROR(__xludf.DUMMYFUNCTION("""COMPUTED_VALUE"""),"MANILA SOUTHWOODS")</f>
        <v>MANILA SOUTHWOODS</v>
      </c>
      <c r="O2718" s="1" t="str">
        <f>IFERROR(__xludf.DUMMYFUNCTION("""COMPUTED_VALUE"""),"CABILANG BAYBAY")</f>
        <v>CABILANG BAYBAY</v>
      </c>
      <c r="P2718" s="1" t="str">
        <f>IFERROR(__xludf.DUMMYFUNCTION("""COMPUTED_VALUE"""),"CITY")</f>
        <v>CITY</v>
      </c>
      <c r="Q2718" s="1" t="str">
        <f>IFERROR(__xludf.DUMMYFUNCTION("""COMPUTED_VALUE"""),"CAVITE")</f>
        <v>CAVITE</v>
      </c>
      <c r="R2718" s="1" t="str">
        <f>IFERROR(__xludf.DUMMYFUNCTION("""COMPUTED_VALUE"""),"FIBR PLAN 2699")</f>
        <v>FIBR PLAN 2699</v>
      </c>
      <c r="S2718" s="1" t="str">
        <f>IFERROR(__xludf.DUMMYFUNCTION("""COMPUTED_VALUE"""),"APPROVED")</f>
        <v>APPROVED</v>
      </c>
      <c r="T2718" s="1" t="str">
        <f>IFERROR(__xludf.DUMMYFUNCTION("""COMPUTED_VALUE"""),"CANCELLED")</f>
        <v>CANCELLED</v>
      </c>
      <c r="U2718" s="1"/>
      <c r="V2718" s="1"/>
      <c r="W2718" s="1"/>
    </row>
    <row r="2719" customHeight="1" spans="1:23">
      <c r="A2719" s="3">
        <f>IFERROR(__xludf.DUMMYFUNCTION("""COMPUTED_VALUE"""),46246)</f>
        <v>46246</v>
      </c>
      <c r="B2719" s="1" t="str">
        <f>IFERROR(__xludf.DUMMYFUNCTION("""COMPUTED_VALUE"""),"MAGDARAOG, KENNETH")</f>
        <v>MAGDARAOG, KENNETH</v>
      </c>
      <c r="C2719" s="1" t="str">
        <f>IFERROR(__xludf.DUMMYFUNCTION("""COMPUTED_VALUE"""),"ORGANIC")</f>
        <v>ORGANIC</v>
      </c>
      <c r="D2719" s="1" t="str">
        <f>IFERROR(__xludf.DUMMYFUNCTION("""COMPUTED_VALUE"""),"REMOLLO LEA")</f>
        <v>REMOLLO LEA</v>
      </c>
      <c r="E2719" s="1" t="str">
        <f>IFERROR(__xludf.DUMMYFUNCTION("""COMPUTED_VALUE"""),"PLDT / H2H")</f>
        <v>PLDT / H2H</v>
      </c>
      <c r="F2719" s="1">
        <f>IFERROR(__xludf.DUMMYFUNCTION("""COMPUTED_VALUE"""),2311732082)</f>
        <v>2311732082</v>
      </c>
      <c r="G2719" s="1">
        <f>IFERROR(__xludf.DUMMYFUNCTION("""COMPUTED_VALUE"""),466200834004)</f>
        <v>466200834004</v>
      </c>
      <c r="H2719" s="1" t="str">
        <f>IFERROR(__xludf.DUMMYFUNCTION("""COMPUTED_VALUE"""),"JUNILYN DOGOMEO OGATES")</f>
        <v>JUNILYN DOGOMEO OGATES</v>
      </c>
      <c r="I2719" s="1">
        <f>IFERROR(__xludf.DUMMYFUNCTION("""COMPUTED_VALUE"""),9675621197)</f>
        <v>9675621197</v>
      </c>
      <c r="J2719" s="1"/>
      <c r="K2719" s="1" t="str">
        <f>IFERROR(__xludf.DUMMYFUNCTION("""COMPUTED_VALUE"""),"judayatuli@gmail.com")</f>
        <v>judayatuli@gmail.com</v>
      </c>
      <c r="L2719" s="1" t="str">
        <f>IFERROR(__xludf.DUMMYFUNCTION("""COMPUTED_VALUE"""),"171")</f>
        <v>171</v>
      </c>
      <c r="M2719" s="1" t="str">
        <f>IFERROR(__xludf.DUMMYFUNCTION("""COMPUTED_VALUE"""),"SAN JOSE")</f>
        <v>SAN JOSE</v>
      </c>
      <c r="N2719" s="1"/>
      <c r="O2719" s="1" t="str">
        <f>IFERROR(__xludf.DUMMYFUNCTION("""COMPUTED_VALUE"""),"SAN JOSE")</f>
        <v>SAN JOSE</v>
      </c>
      <c r="P2719" s="1" t="str">
        <f>IFERROR(__xludf.DUMMYFUNCTION("""COMPUTED_VALUE"""),"GEN MARIANO ALVAREZ")</f>
        <v>GEN MARIANO ALVAREZ</v>
      </c>
      <c r="Q2719" s="1" t="str">
        <f>IFERROR(__xludf.DUMMYFUNCTION("""COMPUTED_VALUE"""),"CAVITE")</f>
        <v>CAVITE</v>
      </c>
      <c r="R2719" s="1" t="str">
        <f>IFERROR(__xludf.DUMMYFUNCTION("""COMPUTED_VALUE"""),"FIBR UNLI ALL PLAN 999")</f>
        <v>FIBR UNLI ALL PLAN 999</v>
      </c>
      <c r="S2719" s="1" t="str">
        <f>IFERROR(__xludf.DUMMYFUNCTION("""COMPUTED_VALUE"""),"APPROVED")</f>
        <v>APPROVED</v>
      </c>
      <c r="T2719" s="1" t="str">
        <f>IFERROR(__xludf.DUMMYFUNCTION("""COMPUTED_VALUE"""),"CLOSED")</f>
        <v>CLOSED</v>
      </c>
      <c r="U2719" s="1" t="str">
        <f>IFERROR(__xludf.DUMMYFUNCTION("""COMPUTED_VALUE"""),"POSTED")</f>
        <v>POSTED</v>
      </c>
      <c r="V2719" s="1"/>
      <c r="W2719" s="1"/>
    </row>
    <row r="2720" customHeight="1" spans="1:23">
      <c r="A2720" s="3">
        <f>IFERROR(__xludf.DUMMYFUNCTION("""COMPUTED_VALUE"""),46246)</f>
        <v>46246</v>
      </c>
      <c r="B2720" s="1" t="str">
        <f>IFERROR(__xludf.DUMMYFUNCTION("""COMPUTED_VALUE"""),"MAGDARAOG, KENNETH")</f>
        <v>MAGDARAOG, KENNETH</v>
      </c>
      <c r="C2720" s="1" t="str">
        <f>IFERROR(__xludf.DUMMYFUNCTION("""COMPUTED_VALUE"""),"ORGANIC")</f>
        <v>ORGANIC</v>
      </c>
      <c r="D2720" s="1" t="str">
        <f>IFERROR(__xludf.DUMMYFUNCTION("""COMPUTED_VALUE"""),"REMOLLO LEA")</f>
        <v>REMOLLO LEA</v>
      </c>
      <c r="E2720" s="1" t="str">
        <f>IFERROR(__xludf.DUMMYFUNCTION("""COMPUTED_VALUE"""),"PLDT / H2H")</f>
        <v>PLDT / H2H</v>
      </c>
      <c r="F2720" s="1">
        <f>IFERROR(__xludf.DUMMYFUNCTION("""COMPUTED_VALUE"""),2311733623)</f>
        <v>2311733623</v>
      </c>
      <c r="G2720" s="1">
        <f>IFERROR(__xludf.DUMMYFUNCTION("""COMPUTED_VALUE"""),466200716004)</f>
        <v>466200716004</v>
      </c>
      <c r="H2720" s="1" t="str">
        <f>IFERROR(__xludf.DUMMYFUNCTION("""COMPUTED_VALUE"""),"MADELINE OGATIS ABAINZA")</f>
        <v>MADELINE OGATIS ABAINZA</v>
      </c>
      <c r="I2720" s="1">
        <f>IFERROR(__xludf.DUMMYFUNCTION("""COMPUTED_VALUE"""),9852311445)</f>
        <v>9852311445</v>
      </c>
      <c r="J2720" s="1"/>
      <c r="K2720" s="1" t="str">
        <f>IFERROR(__xludf.DUMMYFUNCTION("""COMPUTED_VALUE"""),"anafeatuli11@gmail.com")</f>
        <v>anafeatuli11@gmail.com</v>
      </c>
      <c r="L2720" s="1" t="str">
        <f>IFERROR(__xludf.DUMMYFUNCTION("""COMPUTED_VALUE"""),"168")</f>
        <v>168</v>
      </c>
      <c r="M2720" s="1" t="str">
        <f>IFERROR(__xludf.DUMMYFUNCTION("""COMPUTED_VALUE"""),"NICOLASA RD")</f>
        <v>NICOLASA RD</v>
      </c>
      <c r="N2720" s="1"/>
      <c r="O2720" s="1" t="str">
        <f>IFERROR(__xludf.DUMMYFUNCTION("""COMPUTED_VALUE"""),"NICOLASA VIRATA (SAN JOSE)")</f>
        <v>NICOLASA VIRATA (SAN JOSE)</v>
      </c>
      <c r="P2720" s="1" t="str">
        <f>IFERROR(__xludf.DUMMYFUNCTION("""COMPUTED_VALUE"""),"GEN MARIANO ALVAREZ")</f>
        <v>GEN MARIANO ALVAREZ</v>
      </c>
      <c r="Q2720" s="1" t="str">
        <f>IFERROR(__xludf.DUMMYFUNCTION("""COMPUTED_VALUE"""),"CAVITE")</f>
        <v>CAVITE</v>
      </c>
      <c r="R2720" s="1" t="str">
        <f>IFERROR(__xludf.DUMMYFUNCTION("""COMPUTED_VALUE"""),"FIBR UNLI ALL PLAN 999")</f>
        <v>FIBR UNLI ALL PLAN 999</v>
      </c>
      <c r="S2720" s="1" t="str">
        <f>IFERROR(__xludf.DUMMYFUNCTION("""COMPUTED_VALUE"""),"APPROVED")</f>
        <v>APPROVED</v>
      </c>
      <c r="T2720" s="1" t="str">
        <f>IFERROR(__xludf.DUMMYFUNCTION("""COMPUTED_VALUE"""),"CLOSED")</f>
        <v>CLOSED</v>
      </c>
      <c r="U2720" s="1" t="str">
        <f>IFERROR(__xludf.DUMMYFUNCTION("""COMPUTED_VALUE"""),"POSTED")</f>
        <v>POSTED</v>
      </c>
      <c r="V2720" s="1"/>
      <c r="W2720" s="1"/>
    </row>
    <row r="2721" customHeight="1" spans="1:23">
      <c r="A2721" s="3">
        <f>IFERROR(__xludf.DUMMYFUNCTION("""COMPUTED_VALUE"""),46246)</f>
        <v>46246</v>
      </c>
      <c r="B2721" s="1" t="str">
        <f>IFERROR(__xludf.DUMMYFUNCTION("""COMPUTED_VALUE"""),"MAGDARAOG, KENNETH")</f>
        <v>MAGDARAOG, KENNETH</v>
      </c>
      <c r="C2721" s="1" t="str">
        <f>IFERROR(__xludf.DUMMYFUNCTION("""COMPUTED_VALUE"""),"FLA")</f>
        <v>FLA</v>
      </c>
      <c r="D2721" s="1" t="str">
        <f>IFERROR(__xludf.DUMMYFUNCTION("""COMPUTED_VALUE"""),"JERIC NAVARRO")</f>
        <v>JERIC NAVARRO</v>
      </c>
      <c r="E2721" s="1" t="str">
        <f>IFERROR(__xludf.DUMMYFUNCTION("""COMPUTED_VALUE"""),"PLDT / ONLINE")</f>
        <v>PLDT / ONLINE</v>
      </c>
      <c r="F2721" s="1">
        <f>IFERROR(__xludf.DUMMYFUNCTION("""COMPUTED_VALUE"""),2311737778)</f>
        <v>2311737778</v>
      </c>
      <c r="G2721" s="1"/>
      <c r="H2721" s="1" t="str">
        <f>IFERROR(__xludf.DUMMYFUNCTION("""COMPUTED_VALUE"""),"RICHARD CUARTERON CARACAS")</f>
        <v>RICHARD CUARTERON CARACAS</v>
      </c>
      <c r="I2721" s="1">
        <f>IFERROR(__xludf.DUMMYFUNCTION("""COMPUTED_VALUE"""),9175934326)</f>
        <v>9175934326</v>
      </c>
      <c r="J2721" s="1"/>
      <c r="K2721" s="1" t="str">
        <f>IFERROR(__xludf.DUMMYFUNCTION("""COMPUTED_VALUE"""),"rcaracas@gmail.com")</f>
        <v>rcaracas@gmail.com</v>
      </c>
      <c r="L2721" s="1" t="str">
        <f>IFERROR(__xludf.DUMMYFUNCTION("""COMPUTED_VALUE"""),"2233")</f>
        <v>2233</v>
      </c>
      <c r="M2721" s="1" t="str">
        <f>IFERROR(__xludf.DUMMYFUNCTION("""COMPUTED_VALUE"""),"TOWER 5")</f>
        <v>TOWER 5</v>
      </c>
      <c r="N2721" s="1" t="str">
        <f>IFERROR(__xludf.DUMMYFUNCTION("""COMPUTED_VALUE"""),"WIND RESIDENCES")</f>
        <v>WIND RESIDENCES</v>
      </c>
      <c r="O2721" s="1" t="str">
        <f>IFERROR(__xludf.DUMMYFUNCTION("""COMPUTED_VALUE"""),"MAHARLIKA WEST")</f>
        <v>MAHARLIKA WEST</v>
      </c>
      <c r="P2721" s="1" t="str">
        <f>IFERROR(__xludf.DUMMYFUNCTION("""COMPUTED_VALUE"""),"TAGAYTAY")</f>
        <v>TAGAYTAY</v>
      </c>
      <c r="Q2721" s="1" t="str">
        <f>IFERROR(__xludf.DUMMYFUNCTION("""COMPUTED_VALUE"""),"CAVITE")</f>
        <v>CAVITE</v>
      </c>
      <c r="R2721" s="1" t="str">
        <f>IFERROR(__xludf.DUMMYFUNCTION("""COMPUTED_VALUE"""),"FIBR UNLI ALL PLAN 1499")</f>
        <v>FIBR UNLI ALL PLAN 1499</v>
      </c>
      <c r="S2721" s="1" t="str">
        <f>IFERROR(__xludf.DUMMYFUNCTION("""COMPUTED_VALUE"""),"APPROVED")</f>
        <v>APPROVED</v>
      </c>
      <c r="T2721" s="1" t="str">
        <f>IFERROR(__xludf.DUMMYFUNCTION("""COMPUTED_VALUE"""),"DISAPPROVED")</f>
        <v>DISAPPROVED</v>
      </c>
      <c r="U2721" s="1"/>
      <c r="V2721" s="1"/>
      <c r="W2721" s="1"/>
    </row>
    <row r="2722" customHeight="1" spans="1:23">
      <c r="A2722" s="3">
        <f>IFERROR(__xludf.DUMMYFUNCTION("""COMPUTED_VALUE"""),46246)</f>
        <v>46246</v>
      </c>
      <c r="B2722" s="1" t="str">
        <f>IFERROR(__xludf.DUMMYFUNCTION("""COMPUTED_VALUE"""),"ALOS, CHARLS LAURENZ")</f>
        <v>ALOS, CHARLS LAURENZ</v>
      </c>
      <c r="C2722" s="1" t="str">
        <f>IFERROR(__xludf.DUMMYFUNCTION("""COMPUTED_VALUE"""),"ORGANIC")</f>
        <v>ORGANIC</v>
      </c>
      <c r="D2722" s="1" t="str">
        <f>IFERROR(__xludf.DUMMYFUNCTION("""COMPUTED_VALUE"""),"REMOLLO LEA")</f>
        <v>REMOLLO LEA</v>
      </c>
      <c r="E2722" s="1" t="str">
        <f>IFERROR(__xludf.DUMMYFUNCTION("""COMPUTED_VALUE"""),"PLDT / H2H")</f>
        <v>PLDT / H2H</v>
      </c>
      <c r="F2722" s="1">
        <f>IFERROR(__xludf.DUMMYFUNCTION("""COMPUTED_VALUE"""),2311737040)</f>
        <v>2311737040</v>
      </c>
      <c r="G2722" s="1">
        <f>IFERROR(__xludf.DUMMYFUNCTION("""COMPUTED_VALUE"""),466333218004)</f>
        <v>466333218004</v>
      </c>
      <c r="H2722" s="1" t="str">
        <f>IFERROR(__xludf.DUMMYFUNCTION("""COMPUTED_VALUE"""),"HENNESSY MHAE PENANO LADEZA")</f>
        <v>HENNESSY MHAE PENANO LADEZA</v>
      </c>
      <c r="I2722" s="1">
        <f>IFERROR(__xludf.DUMMYFUNCTION("""COMPUTED_VALUE"""),9518912858)</f>
        <v>9518912858</v>
      </c>
      <c r="J2722" s="1"/>
      <c r="K2722" s="1" t="str">
        <f>IFERROR(__xludf.DUMMYFUNCTION("""COMPUTED_VALUE"""),"hennessymhaeladeza3@gmail.com")</f>
        <v>hennessymhaeladeza3@gmail.com</v>
      </c>
      <c r="L2722" s="1" t="str">
        <f>IFERROR(__xludf.DUMMYFUNCTION("""COMPUTED_VALUE"""),"128")</f>
        <v>128</v>
      </c>
      <c r="M2722" s="1" t="str">
        <f>IFERROR(__xludf.DUMMYFUNCTION("""COMPUTED_VALUE"""),"TORRALBA")</f>
        <v>TORRALBA</v>
      </c>
      <c r="N2722" s="1"/>
      <c r="O2722" s="1" t="str">
        <f>IFERROR(__xludf.DUMMYFUNCTION("""COMPUTED_VALUE"""),"ALDIANO OLAES")</f>
        <v>ALDIANO OLAES</v>
      </c>
      <c r="P2722" s="1" t="str">
        <f>IFERROR(__xludf.DUMMYFUNCTION("""COMPUTED_VALUE"""),"GEN MARIANO ALVAREZ")</f>
        <v>GEN MARIANO ALVAREZ</v>
      </c>
      <c r="Q2722" s="1" t="str">
        <f>IFERROR(__xludf.DUMMYFUNCTION("""COMPUTED_VALUE"""),"CAVITE")</f>
        <v>CAVITE</v>
      </c>
      <c r="R2722" s="1" t="str">
        <f>IFERROR(__xludf.DUMMYFUNCTION("""COMPUTED_VALUE"""),"FIBR PLAN 1299")</f>
        <v>FIBR PLAN 1299</v>
      </c>
      <c r="S2722" s="1" t="str">
        <f>IFERROR(__xludf.DUMMYFUNCTION("""COMPUTED_VALUE"""),"APPROVED")</f>
        <v>APPROVED</v>
      </c>
      <c r="T2722" s="1" t="str">
        <f>IFERROR(__xludf.DUMMYFUNCTION("""COMPUTED_VALUE"""),"CLOSED")</f>
        <v>CLOSED</v>
      </c>
      <c r="U2722" s="1" t="str">
        <f>IFERROR(__xludf.DUMMYFUNCTION("""COMPUTED_VALUE"""),"POSTED")</f>
        <v>POSTED</v>
      </c>
      <c r="V2722" s="1"/>
      <c r="W2722" s="1"/>
    </row>
    <row r="2723" customHeight="1" spans="1:23">
      <c r="A2723" s="3">
        <f>IFERROR(__xludf.DUMMYFUNCTION("""COMPUTED_VALUE"""),46247)</f>
        <v>46247</v>
      </c>
      <c r="B2723" s="1" t="str">
        <f>IFERROR(__xludf.DUMMYFUNCTION("""COMPUTED_VALUE"""),"AYON MANUEL")</f>
        <v>AYON MANUEL</v>
      </c>
      <c r="C2723" s="1" t="str">
        <f>IFERROR(__xludf.DUMMYFUNCTION("""COMPUTED_VALUE"""),"FLA")</f>
        <v>FLA</v>
      </c>
      <c r="D2723" s="1" t="str">
        <f>IFERROR(__xludf.DUMMYFUNCTION("""COMPUTED_VALUE"""),"JERIC NAVARRO")</f>
        <v>JERIC NAVARRO</v>
      </c>
      <c r="E2723" s="1" t="str">
        <f>IFERROR(__xludf.DUMMYFUNCTION("""COMPUTED_VALUE"""),"PLDT / H2H")</f>
        <v>PLDT / H2H</v>
      </c>
      <c r="F2723" s="1">
        <f>IFERROR(__xludf.DUMMYFUNCTION("""COMPUTED_VALUE"""),2311755660)</f>
        <v>2311755660</v>
      </c>
      <c r="G2723" s="1"/>
      <c r="H2723" s="1" t="str">
        <f>IFERROR(__xludf.DUMMYFUNCTION("""COMPUTED_VALUE"""),"ANNNABELLE DIONGLOY MAHAMMED SELIM")</f>
        <v>ANNNABELLE DIONGLOY MAHAMMED SELIM</v>
      </c>
      <c r="I2723" s="1">
        <f>IFERROR(__xludf.DUMMYFUNCTION("""COMPUTED_VALUE"""),9063790432)</f>
        <v>9063790432</v>
      </c>
      <c r="J2723" s="1">
        <f>IFERROR(__xludf.DUMMYFUNCTION("""COMPUTED_VALUE"""),9176850599)</f>
        <v>9176850599</v>
      </c>
      <c r="K2723" s="1" t="str">
        <f>IFERROR(__xludf.DUMMYFUNCTION("""COMPUTED_VALUE"""),"annabelle831@yhaoo.com")</f>
        <v>annabelle831@yhaoo.com</v>
      </c>
      <c r="L2723" s="1" t="str">
        <f>IFERROR(__xludf.DUMMYFUNCTION("""COMPUTED_VALUE"""),"43b")</f>
        <v>43b</v>
      </c>
      <c r="M2723" s="1" t="str">
        <f>IFERROR(__xludf.DUMMYFUNCTION("""COMPUTED_VALUE"""),"MANILA SOUTHWOODS")</f>
        <v>MANILA SOUTHWOODS</v>
      </c>
      <c r="N2723" s="1"/>
      <c r="O2723" s="1" t="str">
        <f>IFERROR(__xludf.DUMMYFUNCTION("""COMPUTED_VALUE"""),"CABILANG BAYBAY")</f>
        <v>CABILANG BAYBAY</v>
      </c>
      <c r="P2723" s="1" t="str">
        <f>IFERROR(__xludf.DUMMYFUNCTION("""COMPUTED_VALUE"""),"CARMONA")</f>
        <v>CARMONA</v>
      </c>
      <c r="Q2723" s="1" t="str">
        <f>IFERROR(__xludf.DUMMYFUNCTION("""COMPUTED_VALUE"""),"CAVITE")</f>
        <v>CAVITE</v>
      </c>
      <c r="R2723" s="1" t="str">
        <f>IFERROR(__xludf.DUMMYFUNCTION("""COMPUTED_VALUE"""),"FIBR UNLI ALL PLAN 1499")</f>
        <v>FIBR UNLI ALL PLAN 1499</v>
      </c>
      <c r="S2723" s="1" t="str">
        <f>IFERROR(__xludf.DUMMYFUNCTION("""COMPUTED_VALUE"""),"APPROVED")</f>
        <v>APPROVED</v>
      </c>
      <c r="T2723" s="1" t="str">
        <f>IFERROR(__xludf.DUMMYFUNCTION("""COMPUTED_VALUE"""),"CANCELLED")</f>
        <v>CANCELLED</v>
      </c>
      <c r="U2723" s="1"/>
      <c r="V2723" s="1"/>
      <c r="W2723" s="1"/>
    </row>
    <row r="2724" customHeight="1" spans="1:23">
      <c r="A2724" s="3">
        <f>IFERROR(__xludf.DUMMYFUNCTION("""COMPUTED_VALUE"""),46247)</f>
        <v>46247</v>
      </c>
      <c r="B2724" s="1" t="str">
        <f>IFERROR(__xludf.DUMMYFUNCTION("""COMPUTED_VALUE"""),"GABAY, MANUEL")</f>
        <v>GABAY, MANUEL</v>
      </c>
      <c r="C2724" s="1" t="str">
        <f>IFERROR(__xludf.DUMMYFUNCTION("""COMPUTED_VALUE"""),"FLA")</f>
        <v>FLA</v>
      </c>
      <c r="D2724" s="1" t="str">
        <f>IFERROR(__xludf.DUMMYFUNCTION("""COMPUTED_VALUE"""),"JERIC NAVARRO")</f>
        <v>JERIC NAVARRO</v>
      </c>
      <c r="E2724" s="1" t="str">
        <f>IFERROR(__xludf.DUMMYFUNCTION("""COMPUTED_VALUE"""),"PLDT / H2H")</f>
        <v>PLDT / H2H</v>
      </c>
      <c r="F2724" s="1">
        <f>IFERROR(__xludf.DUMMYFUNCTION("""COMPUTED_VALUE"""),2311757057)</f>
        <v>2311757057</v>
      </c>
      <c r="G2724" s="1">
        <f>IFERROR(__xludf.DUMMYFUNCTION("""COMPUTED_VALUE"""),466329830004)</f>
        <v>466329830004</v>
      </c>
      <c r="H2724" s="1" t="str">
        <f>IFERROR(__xludf.DUMMYFUNCTION("""COMPUTED_VALUE"""),"JOECELYN AMANTE MORALES")</f>
        <v>JOECELYN AMANTE MORALES</v>
      </c>
      <c r="I2724" s="1">
        <f>IFERROR(__xludf.DUMMYFUNCTION("""COMPUTED_VALUE"""),9295420154)</f>
        <v>9295420154</v>
      </c>
      <c r="J2724" s="1">
        <f>IFERROR(__xludf.DUMMYFUNCTION("""COMPUTED_VALUE"""),9617205788)</f>
        <v>9617205788</v>
      </c>
      <c r="K2724" s="1" t="str">
        <f>IFERROR(__xludf.DUMMYFUNCTION("""COMPUTED_VALUE"""),"dadoomph@gmail.com")</f>
        <v>dadoomph@gmail.com</v>
      </c>
      <c r="L2724" s="1" t="str">
        <f>IFERROR(__xludf.DUMMYFUNCTION("""COMPUTED_VALUE"""),"9045")</f>
        <v>9045</v>
      </c>
      <c r="M2724" s="1" t="str">
        <f>IFERROR(__xludf.DUMMYFUNCTION("""COMPUTED_VALUE"""),"SITIO MUZON")</f>
        <v>SITIO MUZON</v>
      </c>
      <c r="N2724" s="1"/>
      <c r="O2724" s="1" t="str">
        <f>IFERROR(__xludf.DUMMYFUNCTION("""COMPUTED_VALUE"""),"PUTING KAHOY")</f>
        <v>PUTING KAHOY</v>
      </c>
      <c r="P2724" s="1" t="str">
        <f>IFERROR(__xludf.DUMMYFUNCTION("""COMPUTED_VALUE"""),"SILANG")</f>
        <v>SILANG</v>
      </c>
      <c r="Q2724" s="1" t="str">
        <f>IFERROR(__xludf.DUMMYFUNCTION("""COMPUTED_VALUE"""),"CAVITE")</f>
        <v>CAVITE</v>
      </c>
      <c r="R2724" s="1" t="str">
        <f>IFERROR(__xludf.DUMMYFUNCTION("""COMPUTED_VALUE"""),"FIBR NETFLIX PLAN 1599")</f>
        <v>FIBR NETFLIX PLAN 1599</v>
      </c>
      <c r="S2724" s="1" t="str">
        <f>IFERROR(__xludf.DUMMYFUNCTION("""COMPUTED_VALUE"""),"APPROVED")</f>
        <v>APPROVED</v>
      </c>
      <c r="T2724" s="1" t="str">
        <f>IFERROR(__xludf.DUMMYFUNCTION("""COMPUTED_VALUE"""),"CLOSED")</f>
        <v>CLOSED</v>
      </c>
      <c r="U2724" s="1" t="str">
        <f>IFERROR(__xludf.DUMMYFUNCTION("""COMPUTED_VALUE"""),"POSTED")</f>
        <v>POSTED</v>
      </c>
      <c r="V2724" s="1"/>
      <c r="W2724" s="1"/>
    </row>
    <row r="2725" customHeight="1" spans="1:23">
      <c r="A2725" s="3">
        <f>IFERROR(__xludf.DUMMYFUNCTION("""COMPUTED_VALUE"""),46247)</f>
        <v>46247</v>
      </c>
      <c r="B2725" s="1" t="str">
        <f>IFERROR(__xludf.DUMMYFUNCTION("""COMPUTED_VALUE"""),"BAQUIT ,JAZMIN")</f>
        <v>BAQUIT ,JAZMIN</v>
      </c>
      <c r="C2725" s="1" t="str">
        <f>IFERROR(__xludf.DUMMYFUNCTION("""COMPUTED_VALUE"""),"ORGANIC")</f>
        <v>ORGANIC</v>
      </c>
      <c r="D2725" s="1" t="str">
        <f>IFERROR(__xludf.DUMMYFUNCTION("""COMPUTED_VALUE"""),"REMOLLO LEA")</f>
        <v>REMOLLO LEA</v>
      </c>
      <c r="E2725" s="1" t="str">
        <f>IFERROR(__xludf.DUMMYFUNCTION("""COMPUTED_VALUE"""),"PLDT / H2H")</f>
        <v>PLDT / H2H</v>
      </c>
      <c r="F2725" s="1">
        <f>IFERROR(__xludf.DUMMYFUNCTION("""COMPUTED_VALUE"""),2311757595)</f>
        <v>2311757595</v>
      </c>
      <c r="G2725" s="1">
        <f>IFERROR(__xludf.DUMMYFUNCTION("""COMPUTED_VALUE"""),466329717004)</f>
        <v>466329717004</v>
      </c>
      <c r="H2725" s="1" t="str">
        <f>IFERROR(__xludf.DUMMYFUNCTION("""COMPUTED_VALUE"""),"NELMER SIMBAJON ALARCON")</f>
        <v>NELMER SIMBAJON ALARCON</v>
      </c>
      <c r="I2725" s="1">
        <f>IFERROR(__xludf.DUMMYFUNCTION("""COMPUTED_VALUE"""),9750287663)</f>
        <v>9750287663</v>
      </c>
      <c r="J2725" s="1"/>
      <c r="K2725" s="1" t="str">
        <f>IFERROR(__xludf.DUMMYFUNCTION("""COMPUTED_VALUE"""),"alarconnelmer@gmail.com")</f>
        <v>alarconnelmer@gmail.com</v>
      </c>
      <c r="L2725" s="1" t="str">
        <f>IFERROR(__xludf.DUMMYFUNCTION("""COMPUTED_VALUE"""),"78")</f>
        <v>78</v>
      </c>
      <c r="M2725" s="1" t="str">
        <f>IFERROR(__xludf.DUMMYFUNCTION("""COMPUTED_VALUE"""),"SITIO MUZON")</f>
        <v>SITIO MUZON</v>
      </c>
      <c r="N2725" s="1"/>
      <c r="O2725" s="1" t="str">
        <f>IFERROR(__xludf.DUMMYFUNCTION("""COMPUTED_VALUE"""),"PUTING KAHOY")</f>
        <v>PUTING KAHOY</v>
      </c>
      <c r="P2725" s="1" t="str">
        <f>IFERROR(__xludf.DUMMYFUNCTION("""COMPUTED_VALUE"""),"SILANG")</f>
        <v>SILANG</v>
      </c>
      <c r="Q2725" s="1" t="str">
        <f>IFERROR(__xludf.DUMMYFUNCTION("""COMPUTED_VALUE"""),"CAVITE")</f>
        <v>CAVITE</v>
      </c>
      <c r="R2725" s="1" t="str">
        <f>IFERROR(__xludf.DUMMYFUNCTION("""COMPUTED_VALUE"""),"FIBR PLAN 1299")</f>
        <v>FIBR PLAN 1299</v>
      </c>
      <c r="S2725" s="1" t="str">
        <f>IFERROR(__xludf.DUMMYFUNCTION("""COMPUTED_VALUE"""),"APPROVED")</f>
        <v>APPROVED</v>
      </c>
      <c r="T2725" s="1" t="str">
        <f>IFERROR(__xludf.DUMMYFUNCTION("""COMPUTED_VALUE"""),"CLOSED")</f>
        <v>CLOSED</v>
      </c>
      <c r="U2725" s="1" t="str">
        <f>IFERROR(__xludf.DUMMYFUNCTION("""COMPUTED_VALUE"""),"POSTED")</f>
        <v>POSTED</v>
      </c>
      <c r="V2725" s="1"/>
      <c r="W2725" s="1"/>
    </row>
    <row r="2726" customHeight="1" spans="1:23">
      <c r="A2726" s="3">
        <f>IFERROR(__xludf.DUMMYFUNCTION("""COMPUTED_VALUE"""),46247)</f>
        <v>46247</v>
      </c>
      <c r="B2726" s="1" t="str">
        <f>IFERROR(__xludf.DUMMYFUNCTION("""COMPUTED_VALUE"""),"FRANCISCO , ROSELYN")</f>
        <v>FRANCISCO , ROSELYN</v>
      </c>
      <c r="C2726" s="1" t="str">
        <f>IFERROR(__xludf.DUMMYFUNCTION("""COMPUTED_VALUE"""),"ORGANIC")</f>
        <v>ORGANIC</v>
      </c>
      <c r="D2726" s="1" t="str">
        <f>IFERROR(__xludf.DUMMYFUNCTION("""COMPUTED_VALUE"""),"REMOLLO LEA")</f>
        <v>REMOLLO LEA</v>
      </c>
      <c r="E2726" s="1" t="str">
        <f>IFERROR(__xludf.DUMMYFUNCTION("""COMPUTED_VALUE"""),"PLDT / H2H")</f>
        <v>PLDT / H2H</v>
      </c>
      <c r="F2726" s="1">
        <f>IFERROR(__xludf.DUMMYFUNCTION("""COMPUTED_VALUE"""),2311758945)</f>
        <v>2311758945</v>
      </c>
      <c r="G2726" s="1">
        <f>IFERROR(__xludf.DUMMYFUNCTION("""COMPUTED_VALUE"""),466331516004)</f>
        <v>466331516004</v>
      </c>
      <c r="H2726" s="1" t="str">
        <f>IFERROR(__xludf.DUMMYFUNCTION("""COMPUTED_VALUE"""),"DENNIS MERCADO HERNANDEZ")</f>
        <v>DENNIS MERCADO HERNANDEZ</v>
      </c>
      <c r="I2726" s="1">
        <f>IFERROR(__xludf.DUMMYFUNCTION("""COMPUTED_VALUE"""),9977457094)</f>
        <v>9977457094</v>
      </c>
      <c r="J2726" s="1">
        <f>IFERROR(__xludf.DUMMYFUNCTION("""COMPUTED_VALUE"""),9168743318)</f>
        <v>9168743318</v>
      </c>
      <c r="K2726" s="1" t="str">
        <f>IFERROR(__xludf.DUMMYFUNCTION("""COMPUTED_VALUE"""),"annjean042899@gmail.com")</f>
        <v>annjean042899@gmail.com</v>
      </c>
      <c r="L2726" s="1" t="str">
        <f>IFERROR(__xludf.DUMMYFUNCTION("""COMPUTED_VALUE"""),"117")</f>
        <v>117</v>
      </c>
      <c r="M2726" s="1" t="str">
        <f>IFERROR(__xludf.DUMMYFUNCTION("""COMPUTED_VALUE"""),"SITIO MUZON")</f>
        <v>SITIO MUZON</v>
      </c>
      <c r="N2726" s="1"/>
      <c r="O2726" s="1" t="str">
        <f>IFERROR(__xludf.DUMMYFUNCTION("""COMPUTED_VALUE"""),"PUTING KAHOY")</f>
        <v>PUTING KAHOY</v>
      </c>
      <c r="P2726" s="1" t="str">
        <f>IFERROR(__xludf.DUMMYFUNCTION("""COMPUTED_VALUE"""),"SILANG")</f>
        <v>SILANG</v>
      </c>
      <c r="Q2726" s="1" t="str">
        <f>IFERROR(__xludf.DUMMYFUNCTION("""COMPUTED_VALUE"""),"CAVITE")</f>
        <v>CAVITE</v>
      </c>
      <c r="R2726" s="1" t="str">
        <f>IFERROR(__xludf.DUMMYFUNCTION("""COMPUTED_VALUE"""),"FIBR PLAN 1299")</f>
        <v>FIBR PLAN 1299</v>
      </c>
      <c r="S2726" s="1" t="str">
        <f>IFERROR(__xludf.DUMMYFUNCTION("""COMPUTED_VALUE"""),"APPROVED")</f>
        <v>APPROVED</v>
      </c>
      <c r="T2726" s="1" t="str">
        <f>IFERROR(__xludf.DUMMYFUNCTION("""COMPUTED_VALUE"""),"CLOSED")</f>
        <v>CLOSED</v>
      </c>
      <c r="U2726" s="1" t="str">
        <f>IFERROR(__xludf.DUMMYFUNCTION("""COMPUTED_VALUE"""),"POSTED")</f>
        <v>POSTED</v>
      </c>
      <c r="V2726" s="1"/>
      <c r="W2726" s="1"/>
    </row>
    <row r="2727" customHeight="1" spans="1:23">
      <c r="A2727" s="3">
        <f>IFERROR(__xludf.DUMMYFUNCTION("""COMPUTED_VALUE"""),46247)</f>
        <v>46247</v>
      </c>
      <c r="B2727" s="1" t="str">
        <f>IFERROR(__xludf.DUMMYFUNCTION("""COMPUTED_VALUE"""),"REMOLLO, LEA")</f>
        <v>REMOLLO, LEA</v>
      </c>
      <c r="C2727" s="1" t="str">
        <f>IFERROR(__xludf.DUMMYFUNCTION("""COMPUTED_VALUE"""),"FLA")</f>
        <v>FLA</v>
      </c>
      <c r="D2727" s="1" t="str">
        <f>IFERROR(__xludf.DUMMYFUNCTION("""COMPUTED_VALUE"""),"JERIC NAVARRO")</f>
        <v>JERIC NAVARRO</v>
      </c>
      <c r="E2727" s="1" t="str">
        <f>IFERROR(__xludf.DUMMYFUNCTION("""COMPUTED_VALUE"""),"PLDT / ONLINE")</f>
        <v>PLDT / ONLINE</v>
      </c>
      <c r="F2727" s="1">
        <f>IFERROR(__xludf.DUMMYFUNCTION("""COMPUTED_VALUE"""),2311758597)</f>
        <v>2311758597</v>
      </c>
      <c r="G2727" s="1">
        <f>IFERROR(__xludf.DUMMYFUNCTION("""COMPUTED_VALUE"""),466365910004)</f>
        <v>466365910004</v>
      </c>
      <c r="H2727" s="1" t="str">
        <f>IFERROR(__xludf.DUMMYFUNCTION("""COMPUTED_VALUE"""),"JIEN ORTEGA ODIAME")</f>
        <v>JIEN ORTEGA ODIAME</v>
      </c>
      <c r="I2727" s="1">
        <f>IFERROR(__xludf.DUMMYFUNCTION("""COMPUTED_VALUE"""),9060897834)</f>
        <v>9060897834</v>
      </c>
      <c r="J2727" s="1"/>
      <c r="K2727" s="1" t="str">
        <f>IFERROR(__xludf.DUMMYFUNCTION("""COMPUTED_VALUE"""),"neijagetro@gmail.com")</f>
        <v>neijagetro@gmail.com</v>
      </c>
      <c r="L2727" s="1" t="str">
        <f>IFERROR(__xludf.DUMMYFUNCTION("""COMPUTED_VALUE"""),"68")</f>
        <v>68</v>
      </c>
      <c r="M2727" s="1" t="str">
        <f>IFERROR(__xludf.DUMMYFUNCTION("""COMPUTED_VALUE"""),"AGUINALDO HIGHWAY")</f>
        <v>AGUINALDO HIGHWAY</v>
      </c>
      <c r="N2727" s="1"/>
      <c r="O2727" s="1" t="str">
        <f>IFERROR(__xludf.DUMMYFUNCTION("""COMPUTED_VALUE"""),"MENDEZ CROSSING WEST")</f>
        <v>MENDEZ CROSSING WEST</v>
      </c>
      <c r="P2727" s="1" t="str">
        <f>IFERROR(__xludf.DUMMYFUNCTION("""COMPUTED_VALUE"""),"TAGAYTAY")</f>
        <v>TAGAYTAY</v>
      </c>
      <c r="Q2727" s="1" t="str">
        <f>IFERROR(__xludf.DUMMYFUNCTION("""COMPUTED_VALUE"""),"CAVITE")</f>
        <v>CAVITE</v>
      </c>
      <c r="R2727" s="1" t="str">
        <f>IFERROR(__xludf.DUMMYFUNCTION("""COMPUTED_VALUE"""),"FIBR UNLI ALL PLAN 2599")</f>
        <v>FIBR UNLI ALL PLAN 2599</v>
      </c>
      <c r="S2727" s="1" t="str">
        <f>IFERROR(__xludf.DUMMYFUNCTION("""COMPUTED_VALUE"""),"APPROVED")</f>
        <v>APPROVED</v>
      </c>
      <c r="T2727" s="1" t="str">
        <f>IFERROR(__xludf.DUMMYFUNCTION("""COMPUTED_VALUE"""),"CLOSED")</f>
        <v>CLOSED</v>
      </c>
      <c r="U2727" s="1" t="str">
        <f>IFERROR(__xludf.DUMMYFUNCTION("""COMPUTED_VALUE"""),"POSTED")</f>
        <v>POSTED</v>
      </c>
      <c r="V2727" s="1"/>
      <c r="W2727" s="1"/>
    </row>
    <row r="2728" customHeight="1" spans="1:23">
      <c r="A2728" s="3">
        <f>IFERROR(__xludf.DUMMYFUNCTION("""COMPUTED_VALUE"""),46247)</f>
        <v>46247</v>
      </c>
      <c r="B2728" s="1" t="str">
        <f>IFERROR(__xludf.DUMMYFUNCTION("""COMPUTED_VALUE"""),"IVNO, RAZZEL")</f>
        <v>IVNO, RAZZEL</v>
      </c>
      <c r="C2728" s="1" t="str">
        <f>IFERROR(__xludf.DUMMYFUNCTION("""COMPUTED_VALUE"""),"ORGANIC")</f>
        <v>ORGANIC</v>
      </c>
      <c r="D2728" s="1" t="str">
        <f>IFERROR(__xludf.DUMMYFUNCTION("""COMPUTED_VALUE"""),"REMOLLO LEA")</f>
        <v>REMOLLO LEA</v>
      </c>
      <c r="E2728" s="1" t="str">
        <f>IFERROR(__xludf.DUMMYFUNCTION("""COMPUTED_VALUE"""),"PLDT / ONLINE")</f>
        <v>PLDT / ONLINE</v>
      </c>
      <c r="F2728" s="1"/>
      <c r="G2728" s="1"/>
      <c r="H2728" s="1" t="str">
        <f>IFERROR(__xludf.DUMMYFUNCTION("""COMPUTED_VALUE"""),"GARYL HAMBRE RAFAS")</f>
        <v>GARYL HAMBRE RAFAS</v>
      </c>
      <c r="I2728" s="1">
        <f>IFERROR(__xludf.DUMMYFUNCTION("""COMPUTED_VALUE"""),9817309972)</f>
        <v>9817309972</v>
      </c>
      <c r="J2728" s="1"/>
      <c r="K2728" s="1" t="str">
        <f>IFERROR(__xludf.DUMMYFUNCTION("""COMPUTED_VALUE"""),"rafasxarren@gmail.com")</f>
        <v>rafasxarren@gmail.com</v>
      </c>
      <c r="L2728" s="1" t="str">
        <f>IFERROR(__xludf.DUMMYFUNCTION("""COMPUTED_VALUE"""),"BLK 11 LOT 5")</f>
        <v>BLK 11 LOT 5</v>
      </c>
      <c r="M2728" s="1" t="str">
        <f>IFERROR(__xludf.DUMMYFUNCTION("""COMPUTED_VALUE"""),"COUNTRY MEADOW")</f>
        <v>COUNTRY MEADOW</v>
      </c>
      <c r="N2728" s="1"/>
      <c r="O2728" s="1" t="str">
        <f>IFERROR(__xludf.DUMMYFUNCTION("""COMPUTED_VALUE"""),"SAN FRANCISCO")</f>
        <v>SAN FRANCISCO</v>
      </c>
      <c r="P2728" s="1" t="str">
        <f>IFERROR(__xludf.DUMMYFUNCTION("""COMPUTED_VALUE"""),"GENERAL TRIAS")</f>
        <v>GENERAL TRIAS</v>
      </c>
      <c r="Q2728" s="1" t="str">
        <f>IFERROR(__xludf.DUMMYFUNCTION("""COMPUTED_VALUE"""),"CAVITE")</f>
        <v>CAVITE</v>
      </c>
      <c r="R2728" s="1" t="str">
        <f>IFERROR(__xludf.DUMMYFUNCTION("""COMPUTED_VALUE"""),"FIBR UNLI ALL PLAN 999")</f>
        <v>FIBR UNLI ALL PLAN 999</v>
      </c>
      <c r="S2728" s="1" t="str">
        <f>IFERROR(__xludf.DUMMYFUNCTION("""COMPUTED_VALUE"""),"HOLD")</f>
        <v>HOLD</v>
      </c>
      <c r="T2728" s="1" t="str">
        <f>IFERROR(__xludf.DUMMYFUNCTION("""COMPUTED_VALUE"""),"#N/A")</f>
        <v>#N/A</v>
      </c>
      <c r="U2728" s="1" t="str">
        <f>IFERROR(__xludf.DUMMYFUNCTION("""COMPUTED_VALUE"""),"AS PER SUBS BAKIT DAW NEED NG OTP NA FORWARD NA PO SA AGENT YUNG LINK")</f>
        <v>AS PER SUBS BAKIT DAW NEED NG OTP NA FORWARD NA PO SA AGENT YUNG LINK</v>
      </c>
      <c r="V2728" s="1"/>
      <c r="W2728" s="1"/>
    </row>
    <row r="2729" customHeight="1" spans="1:23">
      <c r="A2729" s="3">
        <f>IFERROR(__xludf.DUMMYFUNCTION("""COMPUTED_VALUE"""),46247)</f>
        <v>46247</v>
      </c>
      <c r="B2729" s="1" t="str">
        <f>IFERROR(__xludf.DUMMYFUNCTION("""COMPUTED_VALUE"""),"ALOS, CHARLS LAURENZ")</f>
        <v>ALOS, CHARLS LAURENZ</v>
      </c>
      <c r="C2729" s="1" t="str">
        <f>IFERROR(__xludf.DUMMYFUNCTION("""COMPUTED_VALUE"""),"ORGANIC")</f>
        <v>ORGANIC</v>
      </c>
      <c r="D2729" s="1" t="str">
        <f>IFERROR(__xludf.DUMMYFUNCTION("""COMPUTED_VALUE"""),"REMOLLO LEA")</f>
        <v>REMOLLO LEA</v>
      </c>
      <c r="E2729" s="1" t="str">
        <f>IFERROR(__xludf.DUMMYFUNCTION("""COMPUTED_VALUE"""),"PLDT / H2H")</f>
        <v>PLDT / H2H</v>
      </c>
      <c r="F2729" s="1">
        <f>IFERROR(__xludf.DUMMYFUNCTION("""COMPUTED_VALUE"""),2311766882)</f>
        <v>2311766882</v>
      </c>
      <c r="G2729" s="1">
        <f>IFERROR(__xludf.DUMMYFUNCTION("""COMPUTED_VALUE"""),466340281004)</f>
        <v>466340281004</v>
      </c>
      <c r="H2729" s="1" t="str">
        <f>IFERROR(__xludf.DUMMYFUNCTION("""COMPUTED_VALUE"""),"ALLAN JR LOZANO ORLANES")</f>
        <v>ALLAN JR LOZANO ORLANES</v>
      </c>
      <c r="I2729" s="1">
        <f>IFERROR(__xludf.DUMMYFUNCTION("""COMPUTED_VALUE"""),9669376098)</f>
        <v>9669376098</v>
      </c>
      <c r="J2729" s="1"/>
      <c r="K2729" s="1" t="str">
        <f>IFERROR(__xludf.DUMMYFUNCTION("""COMPUTED_VALUE"""),"allanornales957@gmail.com")</f>
        <v>allanornales957@gmail.com</v>
      </c>
      <c r="L2729" s="1" t="str">
        <f>IFERROR(__xludf.DUMMYFUNCTION("""COMPUTED_VALUE"""),"3")</f>
        <v>3</v>
      </c>
      <c r="M2729" s="1" t="str">
        <f>IFERROR(__xludf.DUMMYFUNCTION("""COMPUTED_VALUE"""),"PALUGAWAN MATANDA")</f>
        <v>PALUGAWAN MATANDA</v>
      </c>
      <c r="N2729" s="1"/>
      <c r="O2729" s="1" t="str">
        <f>IFERROR(__xludf.DUMMYFUNCTION("""COMPUTED_VALUE"""),"LANTIC")</f>
        <v>LANTIC</v>
      </c>
      <c r="P2729" s="1" t="str">
        <f>IFERROR(__xludf.DUMMYFUNCTION("""COMPUTED_VALUE"""),"CARMONA")</f>
        <v>CARMONA</v>
      </c>
      <c r="Q2729" s="1" t="str">
        <f>IFERROR(__xludf.DUMMYFUNCTION("""COMPUTED_VALUE"""),"CAVITE")</f>
        <v>CAVITE</v>
      </c>
      <c r="R2729" s="1" t="str">
        <f>IFERROR(__xludf.DUMMYFUNCTION("""COMPUTED_VALUE"""),"FIBR UNLI ALL PLAN 999")</f>
        <v>FIBR UNLI ALL PLAN 999</v>
      </c>
      <c r="S2729" s="1" t="str">
        <f>IFERROR(__xludf.DUMMYFUNCTION("""COMPUTED_VALUE"""),"APPROVED")</f>
        <v>APPROVED</v>
      </c>
      <c r="T2729" s="1" t="str">
        <f>IFERROR(__xludf.DUMMYFUNCTION("""COMPUTED_VALUE"""),"CANCELLED")</f>
        <v>CANCELLED</v>
      </c>
      <c r="U2729" s="1"/>
      <c r="V2729" s="1"/>
      <c r="W2729" s="1"/>
    </row>
    <row r="2730" customHeight="1" spans="1:23">
      <c r="A2730" s="3">
        <f>IFERROR(__xludf.DUMMYFUNCTION("""COMPUTED_VALUE"""),46247)</f>
        <v>46247</v>
      </c>
      <c r="B2730" s="1" t="str">
        <f>IFERROR(__xludf.DUMMYFUNCTION("""COMPUTED_VALUE"""),"MALIWAT MARK ELVIN")</f>
        <v>MALIWAT MARK ELVIN</v>
      </c>
      <c r="C2730" s="1" t="str">
        <f>IFERROR(__xludf.DUMMYFUNCTION("""COMPUTED_VALUE"""),"FLA")</f>
        <v>FLA</v>
      </c>
      <c r="D2730" s="1" t="str">
        <f>IFERROR(__xludf.DUMMYFUNCTION("""COMPUTED_VALUE"""),"JERIC NAVARRO")</f>
        <v>JERIC NAVARRO</v>
      </c>
      <c r="E2730" s="1" t="str">
        <f>IFERROR(__xludf.DUMMYFUNCTION("""COMPUTED_VALUE"""),"PLDT / ONLINE")</f>
        <v>PLDT / ONLINE</v>
      </c>
      <c r="F2730" s="1">
        <f>IFERROR(__xludf.DUMMYFUNCTION("""COMPUTED_VALUE"""),2311789168)</f>
        <v>2311789168</v>
      </c>
      <c r="G2730" s="1">
        <f>IFERROR(__xludf.DUMMYFUNCTION("""COMPUTED_VALUE"""),466466572004)</f>
        <v>466466572004</v>
      </c>
      <c r="H2730" s="1" t="str">
        <f>IFERROR(__xludf.DUMMYFUNCTION("""COMPUTED_VALUE"""),"ROMAN JOSHUA ILAGAN")</f>
        <v>ROMAN JOSHUA ILAGAN</v>
      </c>
      <c r="I2730" s="1">
        <f>IFERROR(__xludf.DUMMYFUNCTION("""COMPUTED_VALUE"""),9463710747)</f>
        <v>9463710747</v>
      </c>
      <c r="J2730" s="1">
        <f>IFERROR(__xludf.DUMMYFUNCTION("""COMPUTED_VALUE"""),9102059690)</f>
        <v>9102059690</v>
      </c>
      <c r="K2730" s="1" t="str">
        <f>IFERROR(__xludf.DUMMYFUNCTION("""COMPUTED_VALUE"""),"rjoshuailagan@gmail.com")</f>
        <v>rjoshuailagan@gmail.com</v>
      </c>
      <c r="L2730" s="1" t="str">
        <f>IFERROR(__xludf.DUMMYFUNCTION("""COMPUTED_VALUE"""),"BLK 15 LOT 3")</f>
        <v>BLK 15 LOT 3</v>
      </c>
      <c r="M2730" s="1" t="str">
        <f>IFERROR(__xludf.DUMMYFUNCTION("""COMPUTED_VALUE"""),"PHASE 4")</f>
        <v>PHASE 4</v>
      </c>
      <c r="N2730" s="1" t="str">
        <f>IFERROR(__xludf.DUMMYFUNCTION("""COMPUTED_VALUE"""),"TERRAVERDE")</f>
        <v>TERRAVERDE</v>
      </c>
      <c r="O2730" s="1" t="str">
        <f>IFERROR(__xludf.DUMMYFUNCTION("""COMPUTED_VALUE"""),"BANCAL")</f>
        <v>BANCAL</v>
      </c>
      <c r="P2730" s="1" t="str">
        <f>IFERROR(__xludf.DUMMYFUNCTION("""COMPUTED_VALUE"""),"CARMONA")</f>
        <v>CARMONA</v>
      </c>
      <c r="Q2730" s="1" t="str">
        <f>IFERROR(__xludf.DUMMYFUNCTION("""COMPUTED_VALUE"""),"CAVITE")</f>
        <v>CAVITE</v>
      </c>
      <c r="R2730" s="1" t="str">
        <f>IFERROR(__xludf.DUMMYFUNCTION("""COMPUTED_VALUE"""),"FIBR PLAN 2699")</f>
        <v>FIBR PLAN 2699</v>
      </c>
      <c r="S2730" s="1" t="str">
        <f>IFERROR(__xludf.DUMMYFUNCTION("""COMPUTED_VALUE"""),"APPROVED")</f>
        <v>APPROVED</v>
      </c>
      <c r="T2730" s="1" t="str">
        <f>IFERROR(__xludf.DUMMYFUNCTION("""COMPUTED_VALUE"""),"CANCELLED")</f>
        <v>CANCELLED</v>
      </c>
      <c r="U2730" s="1"/>
      <c r="V2730" s="1"/>
      <c r="W2730" s="1"/>
    </row>
    <row r="2731" customHeight="1" spans="1:23">
      <c r="A2731" s="3">
        <f>IFERROR(__xludf.DUMMYFUNCTION("""COMPUTED_VALUE"""),46247)</f>
        <v>46247</v>
      </c>
      <c r="B2731" s="1" t="str">
        <f>IFERROR(__xludf.DUMMYFUNCTION("""COMPUTED_VALUE"""),"MANDUCDOC, MARIANE")</f>
        <v>MANDUCDOC, MARIANE</v>
      </c>
      <c r="C2731" s="1" t="str">
        <f>IFERROR(__xludf.DUMMYFUNCTION("""COMPUTED_VALUE"""),"ORGANIC")</f>
        <v>ORGANIC</v>
      </c>
      <c r="D2731" s="1" t="str">
        <f>IFERROR(__xludf.DUMMYFUNCTION("""COMPUTED_VALUE"""),"REMOLLO LEA")</f>
        <v>REMOLLO LEA</v>
      </c>
      <c r="E2731" s="1" t="str">
        <f>IFERROR(__xludf.DUMMYFUNCTION("""COMPUTED_VALUE"""),"PLDT / H2H")</f>
        <v>PLDT / H2H</v>
      </c>
      <c r="F2731" s="1">
        <f>IFERROR(__xludf.DUMMYFUNCTION("""COMPUTED_VALUE"""),2311768875)</f>
        <v>2311768875</v>
      </c>
      <c r="G2731" s="1">
        <f>IFERROR(__xludf.DUMMYFUNCTION("""COMPUTED_VALUE"""),466355664004)</f>
        <v>466355664004</v>
      </c>
      <c r="H2731" s="1" t="str">
        <f>IFERROR(__xludf.DUMMYFUNCTION("""COMPUTED_VALUE"""),"EDEN CANA FERNANDEZ")</f>
        <v>EDEN CANA FERNANDEZ</v>
      </c>
      <c r="I2731" s="1">
        <f>IFERROR(__xludf.DUMMYFUNCTION("""COMPUTED_VALUE"""),9648600797)</f>
        <v>9648600797</v>
      </c>
      <c r="J2731" s="1"/>
      <c r="K2731" s="1" t="str">
        <f>IFERROR(__xludf.DUMMYFUNCTION("""COMPUTED_VALUE"""),"eden.fernandez@rocketmail.com")</f>
        <v>eden.fernandez@rocketmail.com</v>
      </c>
      <c r="L2731" s="1" t="str">
        <f>IFERROR(__xludf.DUMMYFUNCTION("""COMPUTED_VALUE"""),"BLK 51 LOT 16")</f>
        <v>BLK 51 LOT 16</v>
      </c>
      <c r="M2731" s="1" t="str">
        <f>IFERROR(__xludf.DUMMYFUNCTION("""COMPUTED_VALUE"""),"PHASE 1B")</f>
        <v>PHASE 1B</v>
      </c>
      <c r="N2731" s="1"/>
      <c r="O2731" s="1" t="str">
        <f>IFERROR(__xludf.DUMMYFUNCTION("""COMPUTED_VALUE"""),"ACACIA")</f>
        <v>ACACIA</v>
      </c>
      <c r="P2731" s="1" t="str">
        <f>IFERROR(__xludf.DUMMYFUNCTION("""COMPUTED_VALUE"""),"SILANG")</f>
        <v>SILANG</v>
      </c>
      <c r="Q2731" s="1" t="str">
        <f>IFERROR(__xludf.DUMMYFUNCTION("""COMPUTED_VALUE"""),"CAVITE")</f>
        <v>CAVITE</v>
      </c>
      <c r="R2731" s="1" t="str">
        <f>IFERROR(__xludf.DUMMYFUNCTION("""COMPUTED_VALUE"""),"FIBR PLAN 1299")</f>
        <v>FIBR PLAN 1299</v>
      </c>
      <c r="S2731" s="1" t="str">
        <f>IFERROR(__xludf.DUMMYFUNCTION("""COMPUTED_VALUE"""),"APPROVED")</f>
        <v>APPROVED</v>
      </c>
      <c r="T2731" s="1" t="str">
        <f>IFERROR(__xludf.DUMMYFUNCTION("""COMPUTED_VALUE"""),"CANCELLED")</f>
        <v>CANCELLED</v>
      </c>
      <c r="U2731" s="1"/>
      <c r="V2731" s="1"/>
      <c r="W2731" s="1"/>
    </row>
    <row r="2732" customHeight="1" spans="1:23">
      <c r="A2732" s="3">
        <f>IFERROR(__xludf.DUMMYFUNCTION("""COMPUTED_VALUE"""),46247)</f>
        <v>46247</v>
      </c>
      <c r="B2732" s="1" t="str">
        <f>IFERROR(__xludf.DUMMYFUNCTION("""COMPUTED_VALUE"""),"NAVARRO, JERIC")</f>
        <v>NAVARRO, JERIC</v>
      </c>
      <c r="C2732" s="1" t="str">
        <f>IFERROR(__xludf.DUMMYFUNCTION("""COMPUTED_VALUE"""),"FLA")</f>
        <v>FLA</v>
      </c>
      <c r="D2732" s="1" t="str">
        <f>IFERROR(__xludf.DUMMYFUNCTION("""COMPUTED_VALUE"""),"JERIC NAVARRO")</f>
        <v>JERIC NAVARRO</v>
      </c>
      <c r="E2732" s="1" t="str">
        <f>IFERROR(__xludf.DUMMYFUNCTION("""COMPUTED_VALUE"""),"PLDT / H2H")</f>
        <v>PLDT / H2H</v>
      </c>
      <c r="F2732" s="1">
        <f>IFERROR(__xludf.DUMMYFUNCTION("""COMPUTED_VALUE"""),2311967211)</f>
        <v>2311967211</v>
      </c>
      <c r="G2732" s="1">
        <f>IFERROR(__xludf.DUMMYFUNCTION("""COMPUTED_VALUE"""),467505526004)</f>
        <v>467505526004</v>
      </c>
      <c r="H2732" s="1" t="str">
        <f>IFERROR(__xludf.DUMMYFUNCTION("""COMPUTED_VALUE"""),"JUNE FRANCIS ARNAMENTO RONO")</f>
        <v>JUNE FRANCIS ARNAMENTO RONO</v>
      </c>
      <c r="I2732" s="1">
        <f>IFERROR(__xludf.DUMMYFUNCTION("""COMPUTED_VALUE"""),9602084756)</f>
        <v>9602084756</v>
      </c>
      <c r="J2732" s="1"/>
      <c r="K2732" s="1" t="str">
        <f>IFERROR(__xludf.DUMMYFUNCTION("""COMPUTED_VALUE"""),"june@trigroups.us")</f>
        <v>june@trigroups.us</v>
      </c>
      <c r="L2732" s="1" t="str">
        <f>IFERROR(__xludf.DUMMYFUNCTION("""COMPUTED_VALUE"""),"BLK 4 LOT 15")</f>
        <v>BLK 4 LOT 15</v>
      </c>
      <c r="M2732" s="1" t="str">
        <f>IFERROR(__xludf.DUMMYFUNCTION("""COMPUTED_VALUE"""),"SHINJURU")</f>
        <v>SHINJURU</v>
      </c>
      <c r="N2732" s="1" t="str">
        <f>IFERROR(__xludf.DUMMYFUNCTION("""COMPUTED_VALUE"""),"TOKYO MANSIONS")</f>
        <v>TOKYO MANSIONS</v>
      </c>
      <c r="O2732" s="1" t="str">
        <f>IFERROR(__xludf.DUMMYFUNCTION("""COMPUTED_VALUE"""),"INCHICAN")</f>
        <v>INCHICAN</v>
      </c>
      <c r="P2732" s="1" t="str">
        <f>IFERROR(__xludf.DUMMYFUNCTION("""COMPUTED_VALUE"""),"SILANG")</f>
        <v>SILANG</v>
      </c>
      <c r="Q2732" s="1" t="str">
        <f>IFERROR(__xludf.DUMMYFUNCTION("""COMPUTED_VALUE"""),"CAVITE")</f>
        <v>CAVITE</v>
      </c>
      <c r="R2732" s="1" t="str">
        <f>IFERROR(__xludf.DUMMYFUNCTION("""COMPUTED_VALUE"""),"FIBR PLAN 2099")</f>
        <v>FIBR PLAN 2099</v>
      </c>
      <c r="S2732" s="1" t="str">
        <f>IFERROR(__xludf.DUMMYFUNCTION("""COMPUTED_VALUE"""),"HOLD")</f>
        <v>HOLD</v>
      </c>
      <c r="T2732" s="1" t="str">
        <f>IFERROR(__xludf.DUMMYFUNCTION("""COMPUTED_VALUE"""),"CLOSED")</f>
        <v>CLOSED</v>
      </c>
      <c r="U2732" s="1" t="str">
        <f>IFERROR(__xludf.DUMMYFUNCTION("""COMPUTED_VALUE"""),"IBA YUNG NUMBER NA NABIGAY SA MAY ARI NG EMAIL")</f>
        <v>IBA YUNG NUMBER NA NABIGAY SA MAY ARI NG EMAIL</v>
      </c>
      <c r="V2732" s="1"/>
      <c r="W2732" s="1"/>
    </row>
    <row r="2733" customHeight="1" spans="1:23">
      <c r="A2733" s="3">
        <f>IFERROR(__xludf.DUMMYFUNCTION("""COMPUTED_VALUE"""),46248)</f>
        <v>46248</v>
      </c>
      <c r="B2733" s="1" t="str">
        <f>IFERROR(__xludf.DUMMYFUNCTION("""COMPUTED_VALUE"""),"FRANCISCO , ROSELYN")</f>
        <v>FRANCISCO , ROSELYN</v>
      </c>
      <c r="C2733" s="1" t="str">
        <f>IFERROR(__xludf.DUMMYFUNCTION("""COMPUTED_VALUE"""),"ORGANIC")</f>
        <v>ORGANIC</v>
      </c>
      <c r="D2733" s="1" t="str">
        <f>IFERROR(__xludf.DUMMYFUNCTION("""COMPUTED_VALUE"""),"REMOLLO LEA")</f>
        <v>REMOLLO LEA</v>
      </c>
      <c r="E2733" s="1" t="str">
        <f>IFERROR(__xludf.DUMMYFUNCTION("""COMPUTED_VALUE"""),"PLDT / ONLINE")</f>
        <v>PLDT / ONLINE</v>
      </c>
      <c r="F2733" s="1">
        <f>IFERROR(__xludf.DUMMYFUNCTION("""COMPUTED_VALUE"""),2311783523)</f>
        <v>2311783523</v>
      </c>
      <c r="G2733" s="1">
        <f>IFERROR(__xludf.DUMMYFUNCTION("""COMPUTED_VALUE"""),466491671004)</f>
        <v>466491671004</v>
      </c>
      <c r="H2733" s="1" t="str">
        <f>IFERROR(__xludf.DUMMYFUNCTION("""COMPUTED_VALUE"""),"RASHEEL INOT BARANDA")</f>
        <v>RASHEEL INOT BARANDA</v>
      </c>
      <c r="I2733" s="1">
        <f>IFERROR(__xludf.DUMMYFUNCTION("""COMPUTED_VALUE"""),9561231137)</f>
        <v>9561231137</v>
      </c>
      <c r="J2733" s="1"/>
      <c r="K2733" s="1" t="str">
        <f>IFERROR(__xludf.DUMMYFUNCTION("""COMPUTED_VALUE"""),"rasheelbaranda06@gmail.com")</f>
        <v>rasheelbaranda06@gmail.com</v>
      </c>
      <c r="L2733" s="1" t="str">
        <f>IFERROR(__xludf.DUMMYFUNCTION("""COMPUTED_VALUE"""),"017-BL-013")</f>
        <v>017-BL-013</v>
      </c>
      <c r="M2733" s="1" t="str">
        <f>IFERROR(__xludf.DUMMYFUNCTION("""COMPUTED_VALUE"""),"MATAMPUHIN")</f>
        <v>MATAMPUHIN</v>
      </c>
      <c r="N2733" s="1"/>
      <c r="O2733" s="1" t="str">
        <f>IFERROR(__xludf.DUMMYFUNCTION("""COMPUTED_VALUE"""),"BERNARDO PULIDO (AREA H)")</f>
        <v>BERNARDO PULIDO (AREA H)</v>
      </c>
      <c r="P2733" s="1" t="str">
        <f>IFERROR(__xludf.DUMMYFUNCTION("""COMPUTED_VALUE"""),"GEN MARIANO ALVAREZ")</f>
        <v>GEN MARIANO ALVAREZ</v>
      </c>
      <c r="Q2733" s="1" t="str">
        <f>IFERROR(__xludf.DUMMYFUNCTION("""COMPUTED_VALUE"""),"CAVITE")</f>
        <v>CAVITE</v>
      </c>
      <c r="R2733" s="1" t="str">
        <f>IFERROR(__xludf.DUMMYFUNCTION("""COMPUTED_VALUE"""),"FIBR PLAN 1299")</f>
        <v>FIBR PLAN 1299</v>
      </c>
      <c r="S2733" s="1" t="str">
        <f>IFERROR(__xludf.DUMMYFUNCTION("""COMPUTED_VALUE"""),"APPROVED")</f>
        <v>APPROVED</v>
      </c>
      <c r="T2733" s="1" t="str">
        <f>IFERROR(__xludf.DUMMYFUNCTION("""COMPUTED_VALUE"""),"CLOSED")</f>
        <v>CLOSED</v>
      </c>
      <c r="U2733" s="1" t="str">
        <f>IFERROR(__xludf.DUMMYFUNCTION("""COMPUTED_VALUE"""),"POSTED")</f>
        <v>POSTED</v>
      </c>
      <c r="V2733" s="1"/>
      <c r="W2733" s="1"/>
    </row>
    <row r="2734" customHeight="1" spans="1:23">
      <c r="A2734" s="3">
        <f>IFERROR(__xludf.DUMMYFUNCTION("""COMPUTED_VALUE"""),46248)</f>
        <v>46248</v>
      </c>
      <c r="B2734" s="1" t="str">
        <f>IFERROR(__xludf.DUMMYFUNCTION("""COMPUTED_VALUE"""),"AYON MANUEL")</f>
        <v>AYON MANUEL</v>
      </c>
      <c r="C2734" s="1" t="str">
        <f>IFERROR(__xludf.DUMMYFUNCTION("""COMPUTED_VALUE"""),"FLA")</f>
        <v>FLA</v>
      </c>
      <c r="D2734" s="1" t="str">
        <f>IFERROR(__xludf.DUMMYFUNCTION("""COMPUTED_VALUE"""),"JERIC NAVARRO")</f>
        <v>JERIC NAVARRO</v>
      </c>
      <c r="E2734" s="1" t="str">
        <f>IFERROR(__xludf.DUMMYFUNCTION("""COMPUTED_VALUE"""),"PLDT / H2H")</f>
        <v>PLDT / H2H</v>
      </c>
      <c r="F2734" s="1">
        <f>IFERROR(__xludf.DUMMYFUNCTION("""COMPUTED_VALUE"""),2311784720)</f>
        <v>2311784720</v>
      </c>
      <c r="G2734" s="1">
        <f>IFERROR(__xludf.DUMMYFUNCTION("""COMPUTED_VALUE"""),466460230004)</f>
        <v>466460230004</v>
      </c>
      <c r="H2734" s="1" t="str">
        <f>IFERROR(__xludf.DUMMYFUNCTION("""COMPUTED_VALUE"""),"LINDA ESQUILONA DAPADAP")</f>
        <v>LINDA ESQUILONA DAPADAP</v>
      </c>
      <c r="I2734" s="1">
        <f>IFERROR(__xludf.DUMMYFUNCTION("""COMPUTED_VALUE"""),9958673258)</f>
        <v>9958673258</v>
      </c>
      <c r="J2734" s="1">
        <f>IFERROR(__xludf.DUMMYFUNCTION("""COMPUTED_VALUE"""),9524401441)</f>
        <v>9524401441</v>
      </c>
      <c r="K2734" s="1" t="str">
        <f>IFERROR(__xludf.DUMMYFUNCTION("""COMPUTED_VALUE"""),"dapadaplinda1985@gmail.com")</f>
        <v>dapadaplinda1985@gmail.com</v>
      </c>
      <c r="L2734" s="1" t="str">
        <f>IFERROR(__xludf.DUMMYFUNCTION("""COMPUTED_VALUE"""),"43B")</f>
        <v>43B</v>
      </c>
      <c r="M2734" s="1" t="str">
        <f>IFERROR(__xludf.DUMMYFUNCTION("""COMPUTED_VALUE"""),"MANILA SOUTHWOODS")</f>
        <v>MANILA SOUTHWOODS</v>
      </c>
      <c r="N2734" s="1" t="str">
        <f>IFERROR(__xludf.DUMMYFUNCTION("""COMPUTED_VALUE"""),"MANILA SOUTHWOODS GOLF VILLA")</f>
        <v>MANILA SOUTHWOODS GOLF VILLA</v>
      </c>
      <c r="O2734" s="1" t="str">
        <f>IFERROR(__xludf.DUMMYFUNCTION("""COMPUTED_VALUE"""),"CABILANG BAYBAY")</f>
        <v>CABILANG BAYBAY</v>
      </c>
      <c r="P2734" s="1" t="str">
        <f>IFERROR(__xludf.DUMMYFUNCTION("""COMPUTED_VALUE"""),"CARMONA")</f>
        <v>CARMONA</v>
      </c>
      <c r="Q2734" s="1" t="str">
        <f>IFERROR(__xludf.DUMMYFUNCTION("""COMPUTED_VALUE"""),"CAVITE")</f>
        <v>CAVITE</v>
      </c>
      <c r="R2734" s="1" t="str">
        <f>IFERROR(__xludf.DUMMYFUNCTION("""COMPUTED_VALUE"""),"FIBR UNLI ALL PLAN 1499")</f>
        <v>FIBR UNLI ALL PLAN 1499</v>
      </c>
      <c r="S2734" s="1" t="str">
        <f>IFERROR(__xludf.DUMMYFUNCTION("""COMPUTED_VALUE"""),"APPROVED")</f>
        <v>APPROVED</v>
      </c>
      <c r="T2734" s="1" t="str">
        <f>IFERROR(__xludf.DUMMYFUNCTION("""COMPUTED_VALUE"""),"CLOSED")</f>
        <v>CLOSED</v>
      </c>
      <c r="U2734" s="1" t="str">
        <f>IFERROR(__xludf.DUMMYFUNCTION("""COMPUTED_VALUE"""),"POSTED")</f>
        <v>POSTED</v>
      </c>
      <c r="V2734" s="1"/>
      <c r="W2734" s="1"/>
    </row>
    <row r="2735" customHeight="1" spans="1:23">
      <c r="A2735" s="3">
        <f>IFERROR(__xludf.DUMMYFUNCTION("""COMPUTED_VALUE"""),46248)</f>
        <v>46248</v>
      </c>
      <c r="B2735" s="1" t="str">
        <f>IFERROR(__xludf.DUMMYFUNCTION("""COMPUTED_VALUE"""),"GABAY, MANUEL")</f>
        <v>GABAY, MANUEL</v>
      </c>
      <c r="C2735" s="1" t="str">
        <f>IFERROR(__xludf.DUMMYFUNCTION("""COMPUTED_VALUE"""),"FLA")</f>
        <v>FLA</v>
      </c>
      <c r="D2735" s="1" t="str">
        <f>IFERROR(__xludf.DUMMYFUNCTION("""COMPUTED_VALUE"""),"JERIC NAVARRO")</f>
        <v>JERIC NAVARRO</v>
      </c>
      <c r="E2735" s="1" t="str">
        <f>IFERROR(__xludf.DUMMYFUNCTION("""COMPUTED_VALUE"""),"HOME BIZZ")</f>
        <v>HOME BIZZ</v>
      </c>
      <c r="F2735" s="1">
        <f>IFERROR(__xludf.DUMMYFUNCTION("""COMPUTED_VALUE"""),2311786084)</f>
        <v>2311786084</v>
      </c>
      <c r="G2735" s="1">
        <f>IFERROR(__xludf.DUMMYFUNCTION("""COMPUTED_VALUE"""),466462028004)</f>
        <v>466462028004</v>
      </c>
      <c r="H2735" s="1" t="str">
        <f>IFERROR(__xludf.DUMMYFUNCTION("""COMPUTED_VALUE"""),"ERUEL MALACAMAN ROLLON")</f>
        <v>ERUEL MALACAMAN ROLLON</v>
      </c>
      <c r="I2735" s="1">
        <f>IFERROR(__xludf.DUMMYFUNCTION("""COMPUTED_VALUE"""),9387169631)</f>
        <v>9387169631</v>
      </c>
      <c r="J2735" s="1">
        <f>IFERROR(__xludf.DUMMYFUNCTION("""COMPUTED_VALUE"""),9756236256)</f>
        <v>9756236256</v>
      </c>
      <c r="K2735" s="1" t="str">
        <f>IFERROR(__xludf.DUMMYFUNCTION("""COMPUTED_VALUE"""),"rollonmaricris93@gmail.com")</f>
        <v>rollonmaricris93@gmail.com</v>
      </c>
      <c r="L2735" s="1" t="str">
        <f>IFERROR(__xludf.DUMMYFUNCTION("""COMPUTED_VALUE"""),"96")</f>
        <v>96</v>
      </c>
      <c r="M2735" s="1" t="str">
        <f>IFERROR(__xludf.DUMMYFUNCTION("""COMPUTED_VALUE"""),"PUROK 2")</f>
        <v>PUROK 2</v>
      </c>
      <c r="N2735" s="1"/>
      <c r="O2735" s="1" t="str">
        <f>IFERROR(__xludf.DUMMYFUNCTION("""COMPUTED_VALUE"""),"SIKAT")</f>
        <v>SIKAT</v>
      </c>
      <c r="P2735" s="1" t="str">
        <f>IFERROR(__xludf.DUMMYFUNCTION("""COMPUTED_VALUE"""),"ALFONSO")</f>
        <v>ALFONSO</v>
      </c>
      <c r="Q2735" s="1" t="str">
        <f>IFERROR(__xludf.DUMMYFUNCTION("""COMPUTED_VALUE"""),"CAVITE")</f>
        <v>CAVITE</v>
      </c>
      <c r="R2735" s="1" t="str">
        <f>IFERROR(__xludf.DUMMYFUNCTION("""COMPUTED_VALUE"""),"FIBR PLAN 1299")</f>
        <v>FIBR PLAN 1299</v>
      </c>
      <c r="S2735" s="1" t="str">
        <f>IFERROR(__xludf.DUMMYFUNCTION("""COMPUTED_VALUE"""),"APPROVED")</f>
        <v>APPROVED</v>
      </c>
      <c r="T2735" s="1" t="str">
        <f>IFERROR(__xludf.DUMMYFUNCTION("""COMPUTED_VALUE"""),"CLOSED")</f>
        <v>CLOSED</v>
      </c>
      <c r="U2735" s="1" t="str">
        <f>IFERROR(__xludf.DUMMYFUNCTION("""COMPUTED_VALUE"""),"POSTED")</f>
        <v>POSTED</v>
      </c>
      <c r="V2735" s="1"/>
      <c r="W2735" s="1"/>
    </row>
    <row r="2736" customHeight="1" spans="1:23">
      <c r="A2736" s="3">
        <f>IFERROR(__xludf.DUMMYFUNCTION("""COMPUTED_VALUE"""),46248)</f>
        <v>46248</v>
      </c>
      <c r="B2736" s="1" t="str">
        <f>IFERROR(__xludf.DUMMYFUNCTION("""COMPUTED_VALUE"""),"MALIWAT MARK ELVIN")</f>
        <v>MALIWAT MARK ELVIN</v>
      </c>
      <c r="C2736" s="1" t="str">
        <f>IFERROR(__xludf.DUMMYFUNCTION("""COMPUTED_VALUE"""),"FLA")</f>
        <v>FLA</v>
      </c>
      <c r="D2736" s="1" t="str">
        <f>IFERROR(__xludf.DUMMYFUNCTION("""COMPUTED_VALUE"""),"JERIC NAVARRO")</f>
        <v>JERIC NAVARRO</v>
      </c>
      <c r="E2736" s="1" t="str">
        <f>IFERROR(__xludf.DUMMYFUNCTION("""COMPUTED_VALUE"""),"PLDT / ONLINE")</f>
        <v>PLDT / ONLINE</v>
      </c>
      <c r="F2736" s="1">
        <f>IFERROR(__xludf.DUMMYFUNCTION("""COMPUTED_VALUE"""),2311789168)</f>
        <v>2311789168</v>
      </c>
      <c r="G2736" s="1">
        <f>IFERROR(__xludf.DUMMYFUNCTION("""COMPUTED_VALUE"""),466466572004)</f>
        <v>466466572004</v>
      </c>
      <c r="H2736" s="1" t="str">
        <f>IFERROR(__xludf.DUMMYFUNCTION("""COMPUTED_VALUE"""),"ROMAN JOSHUA . ILAGAN")</f>
        <v>ROMAN JOSHUA . ILAGAN</v>
      </c>
      <c r="I2736" s="1">
        <f>IFERROR(__xludf.DUMMYFUNCTION("""COMPUTED_VALUE"""),9463710747)</f>
        <v>9463710747</v>
      </c>
      <c r="J2736" s="1">
        <f>IFERROR(__xludf.DUMMYFUNCTION("""COMPUTED_VALUE"""),9102059690)</f>
        <v>9102059690</v>
      </c>
      <c r="K2736" s="1" t="str">
        <f>IFERROR(__xludf.DUMMYFUNCTION("""COMPUTED_VALUE"""),"johnryanmarcellana346@gmail.com")</f>
        <v>johnryanmarcellana346@gmail.com</v>
      </c>
      <c r="L2736" s="1" t="str">
        <f>IFERROR(__xludf.DUMMYFUNCTION("""COMPUTED_VALUE"""),"015-BL-003")</f>
        <v>015-BL-003</v>
      </c>
      <c r="M2736" s="1" t="str">
        <f>IFERROR(__xludf.DUMMYFUNCTION("""COMPUTED_VALUE"""),"PHASE 4")</f>
        <v>PHASE 4</v>
      </c>
      <c r="N2736" s="1" t="str">
        <f>IFERROR(__xludf.DUMMYFUNCTION("""COMPUTED_VALUE"""),"TERRAVERDE  RESIDENCES")</f>
        <v>TERRAVERDE  RESIDENCES</v>
      </c>
      <c r="O2736" s="1" t="str">
        <f>IFERROR(__xludf.DUMMYFUNCTION("""COMPUTED_VALUE"""),"BANCAL")</f>
        <v>BANCAL</v>
      </c>
      <c r="P2736" s="1" t="str">
        <f>IFERROR(__xludf.DUMMYFUNCTION("""COMPUTED_VALUE"""),"CARMONA")</f>
        <v>CARMONA</v>
      </c>
      <c r="Q2736" s="1" t="str">
        <f>IFERROR(__xludf.DUMMYFUNCTION("""COMPUTED_VALUE"""),"CAVITE")</f>
        <v>CAVITE</v>
      </c>
      <c r="R2736" s="1" t="str">
        <f>IFERROR(__xludf.DUMMYFUNCTION("""COMPUTED_VALUE"""),"FIBR UNLI ALL PLAN 2599")</f>
        <v>FIBR UNLI ALL PLAN 2599</v>
      </c>
      <c r="S2736" s="1" t="str">
        <f>IFERROR(__xludf.DUMMYFUNCTION("""COMPUTED_VALUE"""),"APPROVED")</f>
        <v>APPROVED</v>
      </c>
      <c r="T2736" s="1" t="str">
        <f>IFERROR(__xludf.DUMMYFUNCTION("""COMPUTED_VALUE"""),"CANCELLED")</f>
        <v>CANCELLED</v>
      </c>
      <c r="U2736" s="1"/>
      <c r="V2736" s="1"/>
      <c r="W2736" s="1"/>
    </row>
    <row r="2737" customHeight="1" spans="1:23">
      <c r="A2737" s="3">
        <f>IFERROR(__xludf.DUMMYFUNCTION("""COMPUTED_VALUE"""),46248)</f>
        <v>46248</v>
      </c>
      <c r="B2737" s="1" t="str">
        <f>IFERROR(__xludf.DUMMYFUNCTION("""COMPUTED_VALUE"""),"REMOLLO, LEA")</f>
        <v>REMOLLO, LEA</v>
      </c>
      <c r="C2737" s="1" t="str">
        <f>IFERROR(__xludf.DUMMYFUNCTION("""COMPUTED_VALUE"""),"FLA")</f>
        <v>FLA</v>
      </c>
      <c r="D2737" s="1" t="str">
        <f>IFERROR(__xludf.DUMMYFUNCTION("""COMPUTED_VALUE"""),"JERIC NAVARRO")</f>
        <v>JERIC NAVARRO</v>
      </c>
      <c r="E2737" s="1" t="str">
        <f>IFERROR(__xludf.DUMMYFUNCTION("""COMPUTED_VALUE"""),"PLDT / H2H")</f>
        <v>PLDT / H2H</v>
      </c>
      <c r="F2737" s="1">
        <f>IFERROR(__xludf.DUMMYFUNCTION("""COMPUTED_VALUE"""),2311790491)</f>
        <v>2311790491</v>
      </c>
      <c r="G2737" s="1">
        <f>IFERROR(__xludf.DUMMYFUNCTION("""COMPUTED_VALUE"""),466466606004)</f>
        <v>466466606004</v>
      </c>
      <c r="H2737" s="1" t="str">
        <f>IFERROR(__xludf.DUMMYFUNCTION("""COMPUTED_VALUE"""),"MERCY BARET TORRES")</f>
        <v>MERCY BARET TORRES</v>
      </c>
      <c r="I2737" s="1">
        <f>IFERROR(__xludf.DUMMYFUNCTION("""COMPUTED_VALUE"""),9461483759)</f>
        <v>9461483759</v>
      </c>
      <c r="J2737" s="1"/>
      <c r="K2737" s="1" t="str">
        <f>IFERROR(__xludf.DUMMYFUNCTION("""COMPUTED_VALUE"""),"rasselfernandez91@gmail.com")</f>
        <v>rasselfernandez91@gmail.com</v>
      </c>
      <c r="L2737" s="1" t="str">
        <f>IFERROR(__xludf.DUMMYFUNCTION("""COMPUTED_VALUE"""),"63F")</f>
        <v>63F</v>
      </c>
      <c r="M2737" s="1" t="str">
        <f>IFERROR(__xludf.DUMMYFUNCTION("""COMPUTED_VALUE"""),"SITIO MUZON")</f>
        <v>SITIO MUZON</v>
      </c>
      <c r="N2737" s="1"/>
      <c r="O2737" s="1" t="str">
        <f>IFERROR(__xludf.DUMMYFUNCTION("""COMPUTED_VALUE"""),"PUTING KAHOY")</f>
        <v>PUTING KAHOY</v>
      </c>
      <c r="P2737" s="1" t="str">
        <f>IFERROR(__xludf.DUMMYFUNCTION("""COMPUTED_VALUE"""),"SILANG")</f>
        <v>SILANG</v>
      </c>
      <c r="Q2737" s="1" t="str">
        <f>IFERROR(__xludf.DUMMYFUNCTION("""COMPUTED_VALUE"""),"CAVITE")</f>
        <v>CAVITE</v>
      </c>
      <c r="R2737" s="1" t="str">
        <f>IFERROR(__xludf.DUMMYFUNCTION("""COMPUTED_VALUE"""),"FIBR PLAN 1299")</f>
        <v>FIBR PLAN 1299</v>
      </c>
      <c r="S2737" s="1" t="str">
        <f>IFERROR(__xludf.DUMMYFUNCTION("""COMPUTED_VALUE"""),"APPROVED")</f>
        <v>APPROVED</v>
      </c>
      <c r="T2737" s="1" t="str">
        <f>IFERROR(__xludf.DUMMYFUNCTION("""COMPUTED_VALUE"""),"CLOSED")</f>
        <v>CLOSED</v>
      </c>
      <c r="U2737" s="1" t="str">
        <f>IFERROR(__xludf.DUMMYFUNCTION("""COMPUTED_VALUE"""),"POSTED")</f>
        <v>POSTED</v>
      </c>
      <c r="V2737" s="1"/>
      <c r="W2737" s="1"/>
    </row>
    <row r="2738" customHeight="1" spans="1:23">
      <c r="A2738" s="3">
        <f>IFERROR(__xludf.DUMMYFUNCTION("""COMPUTED_VALUE"""),46248)</f>
        <v>46248</v>
      </c>
      <c r="B2738" s="1" t="str">
        <f>IFERROR(__xludf.DUMMYFUNCTION("""COMPUTED_VALUE"""),"MALIWAT MARK ELVIN")</f>
        <v>MALIWAT MARK ELVIN</v>
      </c>
      <c r="C2738" s="1" t="str">
        <f>IFERROR(__xludf.DUMMYFUNCTION("""COMPUTED_VALUE"""),"FLA")</f>
        <v>FLA</v>
      </c>
      <c r="D2738" s="1" t="str">
        <f>IFERROR(__xludf.DUMMYFUNCTION("""COMPUTED_VALUE"""),"JERIC NAVARRO")</f>
        <v>JERIC NAVARRO</v>
      </c>
      <c r="E2738" s="1" t="str">
        <f>IFERROR(__xludf.DUMMYFUNCTION("""COMPUTED_VALUE"""),"PLDT / ONLINE")</f>
        <v>PLDT / ONLINE</v>
      </c>
      <c r="F2738" s="1">
        <f>IFERROR(__xludf.DUMMYFUNCTION("""COMPUTED_VALUE"""),2311791498)</f>
        <v>2311791498</v>
      </c>
      <c r="G2738" s="1">
        <f>IFERROR(__xludf.DUMMYFUNCTION("""COMPUTED_VALUE"""),466585807004)</f>
        <v>466585807004</v>
      </c>
      <c r="H2738" s="1" t="str">
        <f>IFERROR(__xludf.DUMMYFUNCTION("""COMPUTED_VALUE"""),"ANDRIA . VALERA")</f>
        <v>ANDRIA . VALERA</v>
      </c>
      <c r="I2738" s="1">
        <f>IFERROR(__xludf.DUMMYFUNCTION("""COMPUTED_VALUE"""),9471047419)</f>
        <v>9471047419</v>
      </c>
      <c r="J2738" s="1">
        <f>IFERROR(__xludf.DUMMYFUNCTION("""COMPUTED_VALUE"""),9641149566)</f>
        <v>9641149566</v>
      </c>
      <c r="K2738" s="1" t="str">
        <f>IFERROR(__xludf.DUMMYFUNCTION("""COMPUTED_VALUE"""),"andria05valera@gmail.com")</f>
        <v>andria05valera@gmail.com</v>
      </c>
      <c r="L2738" s="1" t="str">
        <f>IFERROR(__xludf.DUMMYFUNCTION("""COMPUTED_VALUE"""),"L18-BL-EXT")</f>
        <v>L18-BL-EXT</v>
      </c>
      <c r="M2738" s="1" t="str">
        <f>IFERROR(__xludf.DUMMYFUNCTION("""COMPUTED_VALUE"""),"CLUSTER L")</f>
        <v>CLUSTER L</v>
      </c>
      <c r="N2738" s="1"/>
      <c r="O2738" s="1" t="str">
        <f>IFERROR(__xludf.DUMMYFUNCTION("""COMPUTED_VALUE"""),"EMMANUEL BERGADO I")</f>
        <v>EMMANUEL BERGADO I</v>
      </c>
      <c r="P2738" s="1" t="str">
        <f>IFERROR(__xludf.DUMMYFUNCTION("""COMPUTED_VALUE"""),"DASMARINAS")</f>
        <v>DASMARINAS</v>
      </c>
      <c r="Q2738" s="1" t="str">
        <f>IFERROR(__xludf.DUMMYFUNCTION("""COMPUTED_VALUE"""),"CAVITE")</f>
        <v>CAVITE</v>
      </c>
      <c r="R2738" s="1" t="str">
        <f>IFERROR(__xludf.DUMMYFUNCTION("""COMPUTED_VALUE"""),"FIBR UNLI ALL PLAN 1499")</f>
        <v>FIBR UNLI ALL PLAN 1499</v>
      </c>
      <c r="S2738" s="1" t="str">
        <f>IFERROR(__xludf.DUMMYFUNCTION("""COMPUTED_VALUE"""),"APPROVED")</f>
        <v>APPROVED</v>
      </c>
      <c r="T2738" s="1" t="str">
        <f>IFERROR(__xludf.DUMMYFUNCTION("""COMPUTED_VALUE"""),"CANCELLED")</f>
        <v>CANCELLED</v>
      </c>
      <c r="U2738" s="1"/>
      <c r="V2738" s="1"/>
      <c r="W2738" s="1"/>
    </row>
    <row r="2739" customHeight="1" spans="1:23">
      <c r="A2739" s="3">
        <f>IFERROR(__xludf.DUMMYFUNCTION("""COMPUTED_VALUE"""),46248)</f>
        <v>46248</v>
      </c>
      <c r="B2739" s="1" t="str">
        <f>IFERROR(__xludf.DUMMYFUNCTION("""COMPUTED_VALUE"""),"MAGDARAOG, KENNETH")</f>
        <v>MAGDARAOG, KENNETH</v>
      </c>
      <c r="C2739" s="1" t="str">
        <f>IFERROR(__xludf.DUMMYFUNCTION("""COMPUTED_VALUE"""),"ORGANIC")</f>
        <v>ORGANIC</v>
      </c>
      <c r="D2739" s="1" t="str">
        <f>IFERROR(__xludf.DUMMYFUNCTION("""COMPUTED_VALUE"""),"REMOLLO LEA")</f>
        <v>REMOLLO LEA</v>
      </c>
      <c r="E2739" s="1" t="str">
        <f>IFERROR(__xludf.DUMMYFUNCTION("""COMPUTED_VALUE"""),"PLDT / H2H")</f>
        <v>PLDT / H2H</v>
      </c>
      <c r="F2739" s="1">
        <f>IFERROR(__xludf.DUMMYFUNCTION("""COMPUTED_VALUE"""),2311792110)</f>
        <v>2311792110</v>
      </c>
      <c r="G2739" s="1">
        <f>IFERROR(__xludf.DUMMYFUNCTION("""COMPUTED_VALUE"""),466467874004)</f>
        <v>466467874004</v>
      </c>
      <c r="H2739" s="1" t="str">
        <f>IFERROR(__xludf.DUMMYFUNCTION("""COMPUTED_VALUE"""),"BRYAN ARVIE JAY BORJAL GELMO")</f>
        <v>BRYAN ARVIE JAY BORJAL GELMO</v>
      </c>
      <c r="I2739" s="1">
        <f>IFERROR(__xludf.DUMMYFUNCTION("""COMPUTED_VALUE"""),9380440673)</f>
        <v>9380440673</v>
      </c>
      <c r="J2739" s="1"/>
      <c r="K2739" s="1" t="str">
        <f>IFERROR(__xludf.DUMMYFUNCTION("""COMPUTED_VALUE"""),"arviegelmo2611@gmail.com")</f>
        <v>arviegelmo2611@gmail.com</v>
      </c>
      <c r="L2739" s="1" t="str">
        <f>IFERROR(__xludf.DUMMYFUNCTION("""COMPUTED_VALUE"""),"134")</f>
        <v>134</v>
      </c>
      <c r="M2739" s="1" t="str">
        <f>IFERROR(__xludf.DUMMYFUNCTION("""COMPUTED_VALUE"""),"CATTLEYA")</f>
        <v>CATTLEYA</v>
      </c>
      <c r="N2739" s="1"/>
      <c r="O2739" s="1" t="str">
        <f>IFERROR(__xludf.DUMMYFUNCTION("""COMPUTED_VALUE"""),"SAN MIGUEL II")</f>
        <v>SAN MIGUEL II</v>
      </c>
      <c r="P2739" s="1" t="str">
        <f>IFERROR(__xludf.DUMMYFUNCTION("""COMPUTED_VALUE"""),"SILANG")</f>
        <v>SILANG</v>
      </c>
      <c r="Q2739" s="1" t="str">
        <f>IFERROR(__xludf.DUMMYFUNCTION("""COMPUTED_VALUE"""),"CAVITE")</f>
        <v>CAVITE</v>
      </c>
      <c r="R2739" s="1" t="str">
        <f>IFERROR(__xludf.DUMMYFUNCTION("""COMPUTED_VALUE"""),"FIBR UNLI ALL PLAN 1499")</f>
        <v>FIBR UNLI ALL PLAN 1499</v>
      </c>
      <c r="S2739" s="1" t="str">
        <f>IFERROR(__xludf.DUMMYFUNCTION("""COMPUTED_VALUE"""),"APPROVED")</f>
        <v>APPROVED</v>
      </c>
      <c r="T2739" s="1" t="str">
        <f>IFERROR(__xludf.DUMMYFUNCTION("""COMPUTED_VALUE"""),"RPR")</f>
        <v>RPR</v>
      </c>
      <c r="U2739" s="1"/>
      <c r="V2739" s="1"/>
      <c r="W2739" s="1"/>
    </row>
    <row r="2740" customHeight="1" spans="1:23">
      <c r="A2740" s="3">
        <f>IFERROR(__xludf.DUMMYFUNCTION("""COMPUTED_VALUE"""),46248)</f>
        <v>46248</v>
      </c>
      <c r="B2740" s="1" t="str">
        <f>IFERROR(__xludf.DUMMYFUNCTION("""COMPUTED_VALUE"""),"CADERAO, RONALD")</f>
        <v>CADERAO, RONALD</v>
      </c>
      <c r="C2740" s="1" t="str">
        <f>IFERROR(__xludf.DUMMYFUNCTION("""COMPUTED_VALUE"""),"ORGANIC")</f>
        <v>ORGANIC</v>
      </c>
      <c r="D2740" s="1" t="str">
        <f>IFERROR(__xludf.DUMMYFUNCTION("""COMPUTED_VALUE"""),"REMOLLO LEA")</f>
        <v>REMOLLO LEA</v>
      </c>
      <c r="E2740" s="1" t="str">
        <f>IFERROR(__xludf.DUMMYFUNCTION("""COMPUTED_VALUE"""),"PLDT / H2H")</f>
        <v>PLDT / H2H</v>
      </c>
      <c r="F2740" s="1">
        <f>IFERROR(__xludf.DUMMYFUNCTION("""COMPUTED_VALUE"""),2311792447)</f>
        <v>2311792447</v>
      </c>
      <c r="G2740" s="1">
        <f>IFERROR(__xludf.DUMMYFUNCTION("""COMPUTED_VALUE"""),466472769004)</f>
        <v>466472769004</v>
      </c>
      <c r="H2740" s="1" t="str">
        <f>IFERROR(__xludf.DUMMYFUNCTION("""COMPUTED_VALUE"""),"ALLAN MILLAN BUNA")</f>
        <v>ALLAN MILLAN BUNA</v>
      </c>
      <c r="I2740" s="1">
        <f>IFERROR(__xludf.DUMMYFUNCTION("""COMPUTED_VALUE"""),9060637997)</f>
        <v>9060637997</v>
      </c>
      <c r="J2740" s="1"/>
      <c r="K2740" s="1" t="str">
        <f>IFERROR(__xludf.DUMMYFUNCTION("""COMPUTED_VALUE"""),"allanbuna@gmail.com")</f>
        <v>allanbuna@gmail.com</v>
      </c>
      <c r="L2740" s="1" t="str">
        <f>IFERROR(__xludf.DUMMYFUNCTION("""COMPUTED_VALUE"""),"33")</f>
        <v>33</v>
      </c>
      <c r="M2740" s="1" t="str">
        <f>IFERROR(__xludf.DUMMYFUNCTION("""COMPUTED_VALUE"""),"SITIO BANABA")</f>
        <v>SITIO BANABA</v>
      </c>
      <c r="N2740" s="1"/>
      <c r="O2740" s="1" t="str">
        <f>IFERROR(__xludf.DUMMYFUNCTION("""COMPUTED_VALUE"""),"SAN MIGUEL II")</f>
        <v>SAN MIGUEL II</v>
      </c>
      <c r="P2740" s="1" t="str">
        <f>IFERROR(__xludf.DUMMYFUNCTION("""COMPUTED_VALUE"""),"SILANG")</f>
        <v>SILANG</v>
      </c>
      <c r="Q2740" s="1" t="str">
        <f>IFERROR(__xludf.DUMMYFUNCTION("""COMPUTED_VALUE"""),"CAVITE")</f>
        <v>CAVITE</v>
      </c>
      <c r="R2740" s="1" t="str">
        <f>IFERROR(__xludf.DUMMYFUNCTION("""COMPUTED_VALUE"""),"FIBR UNLI ALL PLAN 999")</f>
        <v>FIBR UNLI ALL PLAN 999</v>
      </c>
      <c r="S2740" s="1" t="str">
        <f>IFERROR(__xludf.DUMMYFUNCTION("""COMPUTED_VALUE"""),"APPROVED")</f>
        <v>APPROVED</v>
      </c>
      <c r="T2740" s="1" t="str">
        <f>IFERROR(__xludf.DUMMYFUNCTION("""COMPUTED_VALUE"""),"CANCELLED")</f>
        <v>CANCELLED</v>
      </c>
      <c r="U2740" s="1"/>
      <c r="V2740" s="1"/>
      <c r="W2740" s="1"/>
    </row>
    <row r="2741" customHeight="1" spans="1:23">
      <c r="A2741" s="3">
        <f>IFERROR(__xludf.DUMMYFUNCTION("""COMPUTED_VALUE"""),46248)</f>
        <v>46248</v>
      </c>
      <c r="B2741" s="1" t="str">
        <f>IFERROR(__xludf.DUMMYFUNCTION("""COMPUTED_VALUE"""),"ARIENA, LYKA")</f>
        <v>ARIENA, LYKA</v>
      </c>
      <c r="C2741" s="1" t="str">
        <f>IFERROR(__xludf.DUMMYFUNCTION("""COMPUTED_VALUE"""),"ORGANIC")</f>
        <v>ORGANIC</v>
      </c>
      <c r="D2741" s="1" t="str">
        <f>IFERROR(__xludf.DUMMYFUNCTION("""COMPUTED_VALUE"""),"REMOLLO LEA")</f>
        <v>REMOLLO LEA</v>
      </c>
      <c r="E2741" s="1" t="str">
        <f>IFERROR(__xludf.DUMMYFUNCTION("""COMPUTED_VALUE"""),"PLDT / H2H")</f>
        <v>PLDT / H2H</v>
      </c>
      <c r="F2741" s="1">
        <f>IFERROR(__xludf.DUMMYFUNCTION("""COMPUTED_VALUE"""),2311793048)</f>
        <v>2311793048</v>
      </c>
      <c r="G2741" s="1">
        <f>IFERROR(__xludf.DUMMYFUNCTION("""COMPUTED_VALUE"""),466469866004)</f>
        <v>466469866004</v>
      </c>
      <c r="H2741" s="1" t="str">
        <f>IFERROR(__xludf.DUMMYFUNCTION("""COMPUTED_VALUE"""),"JANICE NUNEZ JARABA")</f>
        <v>JANICE NUNEZ JARABA</v>
      </c>
      <c r="I2741" s="1">
        <f>IFERROR(__xludf.DUMMYFUNCTION("""COMPUTED_VALUE"""),9701001302)</f>
        <v>9701001302</v>
      </c>
      <c r="J2741" s="1"/>
      <c r="K2741" s="1" t="str">
        <f>IFERROR(__xludf.DUMMYFUNCTION("""COMPUTED_VALUE"""),"jarabajanice8@gmail.com")</f>
        <v>jarabajanice8@gmail.com</v>
      </c>
      <c r="L2741" s="1" t="str">
        <f>IFERROR(__xludf.DUMMYFUNCTION("""COMPUTED_VALUE"""),"335")</f>
        <v>335</v>
      </c>
      <c r="M2741" s="1" t="str">
        <f>IFERROR(__xludf.DUMMYFUNCTION("""COMPUTED_VALUE"""),"SITIO BANABA")</f>
        <v>SITIO BANABA</v>
      </c>
      <c r="N2741" s="1" t="str">
        <f>IFERROR(__xludf.DUMMYFUNCTION("""COMPUTED_VALUE"""),"CI COMPOUND")</f>
        <v>CI COMPOUND</v>
      </c>
      <c r="O2741" s="1" t="str">
        <f>IFERROR(__xludf.DUMMYFUNCTION("""COMPUTED_VALUE"""),"SAN MIGUEL II")</f>
        <v>SAN MIGUEL II</v>
      </c>
      <c r="P2741" s="1" t="str">
        <f>IFERROR(__xludf.DUMMYFUNCTION("""COMPUTED_VALUE"""),"SILANG")</f>
        <v>SILANG</v>
      </c>
      <c r="Q2741" s="1" t="str">
        <f>IFERROR(__xludf.DUMMYFUNCTION("""COMPUTED_VALUE"""),"CAVITE")</f>
        <v>CAVITE</v>
      </c>
      <c r="R2741" s="1" t="str">
        <f>IFERROR(__xludf.DUMMYFUNCTION("""COMPUTED_VALUE"""),"FIBR UNLI ALL PLAN 999")</f>
        <v>FIBR UNLI ALL PLAN 999</v>
      </c>
      <c r="S2741" s="1" t="str">
        <f>IFERROR(__xludf.DUMMYFUNCTION("""COMPUTED_VALUE"""),"APPROVED")</f>
        <v>APPROVED</v>
      </c>
      <c r="T2741" s="1" t="str">
        <f>IFERROR(__xludf.DUMMYFUNCTION("""COMPUTED_VALUE"""),"ORDER CREATED")</f>
        <v>ORDER CREATED</v>
      </c>
      <c r="U2741" s="1"/>
      <c r="V2741" s="1"/>
      <c r="W2741" s="1"/>
    </row>
    <row r="2742" customHeight="1" spans="1:23">
      <c r="A2742" s="3">
        <f>IFERROR(__xludf.DUMMYFUNCTION("""COMPUTED_VALUE"""),46248)</f>
        <v>46248</v>
      </c>
      <c r="B2742" s="1" t="str">
        <f>IFERROR(__xludf.DUMMYFUNCTION("""COMPUTED_VALUE"""),"ALINGARO, CINDY")</f>
        <v>ALINGARO, CINDY</v>
      </c>
      <c r="C2742" s="1" t="str">
        <f>IFERROR(__xludf.DUMMYFUNCTION("""COMPUTED_VALUE"""),"ORGANIC")</f>
        <v>ORGANIC</v>
      </c>
      <c r="D2742" s="1" t="str">
        <f>IFERROR(__xludf.DUMMYFUNCTION("""COMPUTED_VALUE"""),"REMOLLO LEA")</f>
        <v>REMOLLO LEA</v>
      </c>
      <c r="E2742" s="1" t="str">
        <f>IFERROR(__xludf.DUMMYFUNCTION("""COMPUTED_VALUE"""),"PLDT / H2H")</f>
        <v>PLDT / H2H</v>
      </c>
      <c r="F2742" s="1">
        <f>IFERROR(__xludf.DUMMYFUNCTION("""COMPUTED_VALUE"""),2311793920)</f>
        <v>2311793920</v>
      </c>
      <c r="G2742" s="1">
        <f>IFERROR(__xludf.DUMMYFUNCTION("""COMPUTED_VALUE"""),466470270004)</f>
        <v>466470270004</v>
      </c>
      <c r="H2742" s="1" t="str">
        <f>IFERROR(__xludf.DUMMYFUNCTION("""COMPUTED_VALUE"""),"JESSA VILLANUEVA JAVIER")</f>
        <v>JESSA VILLANUEVA JAVIER</v>
      </c>
      <c r="I2742" s="1">
        <f>IFERROR(__xludf.DUMMYFUNCTION("""COMPUTED_VALUE"""),9852651812)</f>
        <v>9852651812</v>
      </c>
      <c r="J2742" s="1">
        <f>IFERROR(__xludf.DUMMYFUNCTION("""COMPUTED_VALUE"""),9704887954)</f>
        <v>9704887954</v>
      </c>
      <c r="K2742" s="1" t="str">
        <f>IFERROR(__xludf.DUMMYFUNCTION("""COMPUTED_VALUE"""),"jessajavier1998@yahoo.com")</f>
        <v>jessajavier1998@yahoo.com</v>
      </c>
      <c r="L2742" s="1" t="str">
        <f>IFERROR(__xludf.DUMMYFUNCTION("""COMPUTED_VALUE"""),"3099")</f>
        <v>3099</v>
      </c>
      <c r="M2742" s="1" t="str">
        <f>IFERROR(__xludf.DUMMYFUNCTION("""COMPUTED_VALUE"""),"BORROMEO")</f>
        <v>BORROMEO</v>
      </c>
      <c r="N2742" s="1"/>
      <c r="O2742" s="1" t="str">
        <f>IFERROR(__xludf.DUMMYFUNCTION("""COMPUTED_VALUE"""),"BILUSO")</f>
        <v>BILUSO</v>
      </c>
      <c r="P2742" s="1" t="str">
        <f>IFERROR(__xludf.DUMMYFUNCTION("""COMPUTED_VALUE"""),"SILANG")</f>
        <v>SILANG</v>
      </c>
      <c r="Q2742" s="1" t="str">
        <f>IFERROR(__xludf.DUMMYFUNCTION("""COMPUTED_VALUE"""),"CAVITE")</f>
        <v>CAVITE</v>
      </c>
      <c r="R2742" s="1" t="str">
        <f>IFERROR(__xludf.DUMMYFUNCTION("""COMPUTED_VALUE"""),"FIBR UNLI ALL PLAN 999")</f>
        <v>FIBR UNLI ALL PLAN 999</v>
      </c>
      <c r="S2742" s="1" t="str">
        <f>IFERROR(__xludf.DUMMYFUNCTION("""COMPUTED_VALUE"""),"APPROVED")</f>
        <v>APPROVED</v>
      </c>
      <c r="T2742" s="1" t="str">
        <f>IFERROR(__xludf.DUMMYFUNCTION("""COMPUTED_VALUE"""),"CLOSED")</f>
        <v>CLOSED</v>
      </c>
      <c r="U2742" s="1" t="str">
        <f>IFERROR(__xludf.DUMMYFUNCTION("""COMPUTED_VALUE"""),"POSTED")</f>
        <v>POSTED</v>
      </c>
      <c r="V2742" s="1"/>
      <c r="W2742" s="1"/>
    </row>
    <row r="2743" customHeight="1" spans="1:23">
      <c r="A2743" s="3">
        <f>IFERROR(__xludf.DUMMYFUNCTION("""COMPUTED_VALUE"""),46248)</f>
        <v>46248</v>
      </c>
      <c r="B2743" s="1" t="str">
        <f>IFERROR(__xludf.DUMMYFUNCTION("""COMPUTED_VALUE"""),"FRANCISCO , ROSELYN")</f>
        <v>FRANCISCO , ROSELYN</v>
      </c>
      <c r="C2743" s="1" t="str">
        <f>IFERROR(__xludf.DUMMYFUNCTION("""COMPUTED_VALUE"""),"ORGANIC")</f>
        <v>ORGANIC</v>
      </c>
      <c r="D2743" s="1" t="str">
        <f>IFERROR(__xludf.DUMMYFUNCTION("""COMPUTED_VALUE"""),"REMOLLO LEA")</f>
        <v>REMOLLO LEA</v>
      </c>
      <c r="E2743" s="1" t="str">
        <f>IFERROR(__xludf.DUMMYFUNCTION("""COMPUTED_VALUE"""),"PLDT / H2H")</f>
        <v>PLDT / H2H</v>
      </c>
      <c r="F2743" s="1">
        <f>IFERROR(__xludf.DUMMYFUNCTION("""COMPUTED_VALUE"""),2311794313)</f>
        <v>2311794313</v>
      </c>
      <c r="G2743" s="1">
        <f>IFERROR(__xludf.DUMMYFUNCTION("""COMPUTED_VALUE"""),466472605004)</f>
        <v>466472605004</v>
      </c>
      <c r="H2743" s="1" t="str">
        <f>IFERROR(__xludf.DUMMYFUNCTION("""COMPUTED_VALUE"""),"JOERIELYN LAGMAY PRECILLA")</f>
        <v>JOERIELYN LAGMAY PRECILLA</v>
      </c>
      <c r="I2743" s="1">
        <f>IFERROR(__xludf.DUMMYFUNCTION("""COMPUTED_VALUE"""),9615811798)</f>
        <v>9615811798</v>
      </c>
      <c r="J2743" s="1">
        <f>IFERROR(__xludf.DUMMYFUNCTION("""COMPUTED_VALUE"""),9457687433)</f>
        <v>9457687433</v>
      </c>
      <c r="K2743" s="1" t="str">
        <f>IFERROR(__xludf.DUMMYFUNCTION("""COMPUTED_VALUE"""),"joerielynprecilla@gmail.com")</f>
        <v>joerielynprecilla@gmail.com</v>
      </c>
      <c r="L2743" s="1" t="str">
        <f>IFERROR(__xludf.DUMMYFUNCTION("""COMPUTED_VALUE"""),"143-BL-006")</f>
        <v>143-BL-006</v>
      </c>
      <c r="M2743" s="1" t="str">
        <f>IFERROR(__xludf.DUMMYFUNCTION("""COMPUTED_VALUE"""),"ZONE 2")</f>
        <v>ZONE 2</v>
      </c>
      <c r="N2743" s="1"/>
      <c r="O2743" s="1" t="str">
        <f>IFERROR(__xludf.DUMMYFUNCTION("""COMPUTED_VALUE"""),"BULIHAN")</f>
        <v>BULIHAN</v>
      </c>
      <c r="P2743" s="1" t="str">
        <f>IFERROR(__xludf.DUMMYFUNCTION("""COMPUTED_VALUE"""),"SILANG")</f>
        <v>SILANG</v>
      </c>
      <c r="Q2743" s="1" t="str">
        <f>IFERROR(__xludf.DUMMYFUNCTION("""COMPUTED_VALUE"""),"CAVITE")</f>
        <v>CAVITE</v>
      </c>
      <c r="R2743" s="1" t="str">
        <f>IFERROR(__xludf.DUMMYFUNCTION("""COMPUTED_VALUE"""),"FIBR PLAN 1299")</f>
        <v>FIBR PLAN 1299</v>
      </c>
      <c r="S2743" s="1" t="str">
        <f>IFERROR(__xludf.DUMMYFUNCTION("""COMPUTED_VALUE"""),"APPROVED")</f>
        <v>APPROVED</v>
      </c>
      <c r="T2743" s="1" t="str">
        <f>IFERROR(__xludf.DUMMYFUNCTION("""COMPUTED_VALUE"""),"CANCELLED")</f>
        <v>CANCELLED</v>
      </c>
      <c r="U2743" s="1"/>
      <c r="V2743" s="1"/>
      <c r="W2743" s="1"/>
    </row>
    <row r="2744" customHeight="1" spans="1:23">
      <c r="A2744" s="3">
        <f>IFERROR(__xludf.DUMMYFUNCTION("""COMPUTED_VALUE"""),46249)</f>
        <v>46249</v>
      </c>
      <c r="B2744" s="1" t="str">
        <f>IFERROR(__xludf.DUMMYFUNCTION("""COMPUTED_VALUE"""),"TAMAYO, MARY ROSE")</f>
        <v>TAMAYO, MARY ROSE</v>
      </c>
      <c r="C2744" s="1" t="str">
        <f>IFERROR(__xludf.DUMMYFUNCTION("""COMPUTED_VALUE"""),"ORGANIC")</f>
        <v>ORGANIC</v>
      </c>
      <c r="D2744" s="1" t="str">
        <f>IFERROR(__xludf.DUMMYFUNCTION("""COMPUTED_VALUE"""),"REMOLLO LEA")</f>
        <v>REMOLLO LEA</v>
      </c>
      <c r="E2744" s="1" t="str">
        <f>IFERROR(__xludf.DUMMYFUNCTION("""COMPUTED_VALUE"""),"PLDT / H2H")</f>
        <v>PLDT / H2H</v>
      </c>
      <c r="F2744" s="1">
        <f>IFERROR(__xludf.DUMMYFUNCTION("""COMPUTED_VALUE"""),2311809410)</f>
        <v>2311809410</v>
      </c>
      <c r="G2744" s="1">
        <f>IFERROR(__xludf.DUMMYFUNCTION("""COMPUTED_VALUE"""),466589108004)</f>
        <v>466589108004</v>
      </c>
      <c r="H2744" s="1" t="str">
        <f>IFERROR(__xludf.DUMMYFUNCTION("""COMPUTED_VALUE"""),"ERICK LLAGAS")</f>
        <v>ERICK LLAGAS</v>
      </c>
      <c r="I2744" s="1">
        <f>IFERROR(__xludf.DUMMYFUNCTION("""COMPUTED_VALUE"""),938373603)</f>
        <v>938373603</v>
      </c>
      <c r="J2744" s="1">
        <f>IFERROR(__xludf.DUMMYFUNCTION("""COMPUTED_VALUE"""),9058436765)</f>
        <v>9058436765</v>
      </c>
      <c r="K2744" s="1" t="str">
        <f>IFERROR(__xludf.DUMMYFUNCTION("""COMPUTED_VALUE"""),"mz_sung815@gmail.com")</f>
        <v>mz_sung815@gmail.com</v>
      </c>
      <c r="L2744" s="1" t="str">
        <f>IFERROR(__xludf.DUMMYFUNCTION("""COMPUTED_VALUE"""),"BLK 44 LOT 4")</f>
        <v>BLK 44 LOT 4</v>
      </c>
      <c r="M2744" s="1" t="str">
        <f>IFERROR(__xludf.DUMMYFUNCTION("""COMPUTED_VALUE"""),"DIANA ST")</f>
        <v>DIANA ST</v>
      </c>
      <c r="N2744" s="1"/>
      <c r="O2744" s="1" t="str">
        <f>IFERROR(__xludf.DUMMYFUNCTION("""COMPUTED_VALUE"""),"KAPITAN KUA (AREA F)")</f>
        <v>KAPITAN KUA (AREA F)</v>
      </c>
      <c r="P2744" s="1" t="str">
        <f>IFERROR(__xludf.DUMMYFUNCTION("""COMPUTED_VALUE"""),"GEN MARIANO ALVAREZ")</f>
        <v>GEN MARIANO ALVAREZ</v>
      </c>
      <c r="Q2744" s="1" t="str">
        <f>IFERROR(__xludf.DUMMYFUNCTION("""COMPUTED_VALUE"""),"CAVITE")</f>
        <v>CAVITE</v>
      </c>
      <c r="R2744" s="1" t="str">
        <f>IFERROR(__xludf.DUMMYFUNCTION("""COMPUTED_VALUE"""),"FIBR UNLI ALL PLAN 999")</f>
        <v>FIBR UNLI ALL PLAN 999</v>
      </c>
      <c r="S2744" s="1" t="str">
        <f>IFERROR(__xludf.DUMMYFUNCTION("""COMPUTED_VALUE"""),"APPROVED")</f>
        <v>APPROVED</v>
      </c>
      <c r="T2744" s="1" t="str">
        <f>IFERROR(__xludf.DUMMYFUNCTION("""COMPUTED_VALUE"""),"CANCELLED")</f>
        <v>CANCELLED</v>
      </c>
      <c r="U2744" s="1"/>
      <c r="V2744" s="1"/>
      <c r="W2744" s="1"/>
    </row>
    <row r="2745" customHeight="1" spans="1:23">
      <c r="A2745" s="3">
        <f>IFERROR(__xludf.DUMMYFUNCTION("""COMPUTED_VALUE"""),46249)</f>
        <v>46249</v>
      </c>
      <c r="B2745" s="1" t="str">
        <f>IFERROR(__xludf.DUMMYFUNCTION("""COMPUTED_VALUE"""),"ESCARCHA, MA ALMA  ESCOTO")</f>
        <v>ESCARCHA, MA ALMA  ESCOTO</v>
      </c>
      <c r="C2745" s="1" t="str">
        <f>IFERROR(__xludf.DUMMYFUNCTION("""COMPUTED_VALUE"""),"ORGANIC")</f>
        <v>ORGANIC</v>
      </c>
      <c r="D2745" s="1" t="str">
        <f>IFERROR(__xludf.DUMMYFUNCTION("""COMPUTED_VALUE"""),"REMOLLO LEA")</f>
        <v>REMOLLO LEA</v>
      </c>
      <c r="E2745" s="1" t="str">
        <f>IFERROR(__xludf.DUMMYFUNCTION("""COMPUTED_VALUE"""),"PLDT / H2H")</f>
        <v>PLDT / H2H</v>
      </c>
      <c r="F2745" s="1">
        <f>IFERROR(__xludf.DUMMYFUNCTION("""COMPUTED_VALUE"""),2311811225)</f>
        <v>2311811225</v>
      </c>
      <c r="G2745" s="1">
        <f>IFERROR(__xludf.DUMMYFUNCTION("""COMPUTED_VALUE"""),466595723004)</f>
        <v>466595723004</v>
      </c>
      <c r="H2745" s="1" t="str">
        <f>IFERROR(__xludf.DUMMYFUNCTION("""COMPUTED_VALUE"""),"APRIL JOY MARBIBI DOLOR")</f>
        <v>APRIL JOY MARBIBI DOLOR</v>
      </c>
      <c r="I2745" s="1">
        <f>IFERROR(__xludf.DUMMYFUNCTION("""COMPUTED_VALUE"""),906355669)</f>
        <v>906355669</v>
      </c>
      <c r="J2745" s="1"/>
      <c r="K2745" s="1" t="str">
        <f>IFERROR(__xludf.DUMMYFUNCTION("""COMPUTED_VALUE"""),"aprildolor8@gmail.com")</f>
        <v>aprildolor8@gmail.com</v>
      </c>
      <c r="L2745" s="1" t="str">
        <f>IFERROR(__xludf.DUMMYFUNCTION("""COMPUTED_VALUE"""),"BLK 70 LOT 20")</f>
        <v>BLK 70 LOT 20</v>
      </c>
      <c r="M2745" s="1" t="str">
        <f>IFERROR(__xludf.DUMMYFUNCTION("""COMPUTED_VALUE"""),"IPIL")</f>
        <v>IPIL</v>
      </c>
      <c r="N2745" s="1"/>
      <c r="O2745" s="1" t="str">
        <f>IFERROR(__xludf.DUMMYFUNCTION("""COMPUTED_VALUE"""),"IPIL II")</f>
        <v>IPIL II</v>
      </c>
      <c r="P2745" s="1" t="str">
        <f>IFERROR(__xludf.DUMMYFUNCTION("""COMPUTED_VALUE"""),"SILANG")</f>
        <v>SILANG</v>
      </c>
      <c r="Q2745" s="1" t="str">
        <f>IFERROR(__xludf.DUMMYFUNCTION("""COMPUTED_VALUE"""),"CAVITE")</f>
        <v>CAVITE</v>
      </c>
      <c r="R2745" s="1" t="str">
        <f>IFERROR(__xludf.DUMMYFUNCTION("""COMPUTED_VALUE"""),"FIBR UNLI ALL PLAN 999")</f>
        <v>FIBR UNLI ALL PLAN 999</v>
      </c>
      <c r="S2745" s="1" t="str">
        <f>IFERROR(__xludf.DUMMYFUNCTION("""COMPUTED_VALUE"""),"APPROVED")</f>
        <v>APPROVED</v>
      </c>
      <c r="T2745" s="1" t="str">
        <f>IFERROR(__xludf.DUMMYFUNCTION("""COMPUTED_VALUE"""),"CLOSED")</f>
        <v>CLOSED</v>
      </c>
      <c r="U2745" s="1" t="str">
        <f>IFERROR(__xludf.DUMMYFUNCTION("""COMPUTED_VALUE"""),"POSTED")</f>
        <v>POSTED</v>
      </c>
      <c r="V2745" s="1"/>
      <c r="W2745" s="1"/>
    </row>
    <row r="2746" customHeight="1" spans="1:23">
      <c r="A2746" s="3">
        <f>IFERROR(__xludf.DUMMYFUNCTION("""COMPUTED_VALUE"""),46249)</f>
        <v>46249</v>
      </c>
      <c r="B2746" s="1" t="str">
        <f>IFERROR(__xludf.DUMMYFUNCTION("""COMPUTED_VALUE"""),"IVNO, RAZZEL")</f>
        <v>IVNO, RAZZEL</v>
      </c>
      <c r="C2746" s="1" t="str">
        <f>IFERROR(__xludf.DUMMYFUNCTION("""COMPUTED_VALUE"""),"ORGANIC")</f>
        <v>ORGANIC</v>
      </c>
      <c r="D2746" s="1" t="str">
        <f>IFERROR(__xludf.DUMMYFUNCTION("""COMPUTED_VALUE"""),"REMOLLO LEA")</f>
        <v>REMOLLO LEA</v>
      </c>
      <c r="E2746" s="1" t="str">
        <f>IFERROR(__xludf.DUMMYFUNCTION("""COMPUTED_VALUE"""),"PLDT / H2H")</f>
        <v>PLDT / H2H</v>
      </c>
      <c r="F2746" s="1"/>
      <c r="G2746" s="1"/>
      <c r="H2746" s="1" t="str">
        <f>IFERROR(__xludf.DUMMYFUNCTION("""COMPUTED_VALUE"""),"DELMA GA PALMA")</f>
        <v>DELMA GA PALMA</v>
      </c>
      <c r="I2746" s="1">
        <f>IFERROR(__xludf.DUMMYFUNCTION("""COMPUTED_VALUE"""),9556589412)</f>
        <v>9556589412</v>
      </c>
      <c r="J2746" s="1">
        <f>IFERROR(__xludf.DUMMYFUNCTION("""COMPUTED_VALUE"""),9619534317)</f>
        <v>9619534317</v>
      </c>
      <c r="K2746" s="1" t="str">
        <f>IFERROR(__xludf.DUMMYFUNCTION("""COMPUTED_VALUE"""),"paldedelmaga304@gmail.com")</f>
        <v>paldedelmaga304@gmail.com</v>
      </c>
      <c r="L2746" s="1" t="str">
        <f>IFERROR(__xludf.DUMMYFUNCTION("""COMPUTED_VALUE"""),"BLK 7 LOT 26")</f>
        <v>BLK 7 LOT 26</v>
      </c>
      <c r="M2746" s="1" t="str">
        <f>IFERROR(__xludf.DUMMYFUNCTION("""COMPUTED_VALUE"""),"AREA F")</f>
        <v>AREA F</v>
      </c>
      <c r="N2746" s="1"/>
      <c r="O2746" s="1" t="str">
        <f>IFERROR(__xludf.DUMMYFUNCTION("""COMPUTED_VALUE"""),"KAPITAN KUA (AREA F)")</f>
        <v>KAPITAN KUA (AREA F)</v>
      </c>
      <c r="P2746" s="1" t="str">
        <f>IFERROR(__xludf.DUMMYFUNCTION("""COMPUTED_VALUE"""),"GEN MARIANO ALVAREZ")</f>
        <v>GEN MARIANO ALVAREZ</v>
      </c>
      <c r="Q2746" s="1" t="str">
        <f>IFERROR(__xludf.DUMMYFUNCTION("""COMPUTED_VALUE"""),"CAVITE")</f>
        <v>CAVITE</v>
      </c>
      <c r="R2746" s="1" t="str">
        <f>IFERROR(__xludf.DUMMYFUNCTION("""COMPUTED_VALUE"""),"FIBR UNLI ALL PLAN 999")</f>
        <v>FIBR UNLI ALL PLAN 999</v>
      </c>
      <c r="S2746" s="1" t="str">
        <f>IFERROR(__xludf.DUMMYFUNCTION("""COMPUTED_VALUE"""),"RETURN FOR COMPLIANCE - AGENT")</f>
        <v>RETURN FOR COMPLIANCE - AGENT</v>
      </c>
      <c r="T2746" s="1" t="str">
        <f>IFERROR(__xludf.DUMMYFUNCTION("""COMPUTED_VALUE"""),"#N/A")</f>
        <v>#N/A</v>
      </c>
      <c r="U2746" s="1" t="str">
        <f>IFERROR(__xludf.DUMMYFUNCTION("""COMPUTED_VALUE"""),"UNSCANBLE QR")</f>
        <v>UNSCANBLE QR</v>
      </c>
      <c r="V2746" s="1"/>
      <c r="W2746" s="1"/>
    </row>
    <row r="2747" customHeight="1" spans="1:23">
      <c r="A2747" s="3">
        <f>IFERROR(__xludf.DUMMYFUNCTION("""COMPUTED_VALUE"""),46249)</f>
        <v>46249</v>
      </c>
      <c r="B2747" s="1" t="str">
        <f>IFERROR(__xludf.DUMMYFUNCTION("""COMPUTED_VALUE"""),"MALIWAT MARK ELVIN")</f>
        <v>MALIWAT MARK ELVIN</v>
      </c>
      <c r="C2747" s="1" t="str">
        <f>IFERROR(__xludf.DUMMYFUNCTION("""COMPUTED_VALUE"""),"FLA")</f>
        <v>FLA</v>
      </c>
      <c r="D2747" s="1" t="str">
        <f>IFERROR(__xludf.DUMMYFUNCTION("""COMPUTED_VALUE"""),"JERIC NAVARRO")</f>
        <v>JERIC NAVARRO</v>
      </c>
      <c r="E2747" s="1" t="str">
        <f>IFERROR(__xludf.DUMMYFUNCTION("""COMPUTED_VALUE"""),"PLDT / ONLINE")</f>
        <v>PLDT / ONLINE</v>
      </c>
      <c r="F2747" s="1">
        <f>IFERROR(__xludf.DUMMYFUNCTION("""COMPUTED_VALUE"""),2311816630)</f>
        <v>2311816630</v>
      </c>
      <c r="G2747" s="1">
        <f>IFERROR(__xludf.DUMMYFUNCTION("""COMPUTED_VALUE"""),466609882004)</f>
        <v>466609882004</v>
      </c>
      <c r="H2747" s="1" t="str">
        <f>IFERROR(__xludf.DUMMYFUNCTION("""COMPUTED_VALUE"""),"MAEDEN DIMARANAN PEREY")</f>
        <v>MAEDEN DIMARANAN PEREY</v>
      </c>
      <c r="I2747" s="1">
        <f>IFERROR(__xludf.DUMMYFUNCTION("""COMPUTED_VALUE"""),9623750192)</f>
        <v>9623750192</v>
      </c>
      <c r="J2747" s="1"/>
      <c r="K2747" s="1" t="str">
        <f>IFERROR(__xludf.DUMMYFUNCTION("""COMPUTED_VALUE"""),"perey@icloud.com")</f>
        <v>perey@icloud.com</v>
      </c>
      <c r="L2747" s="1" t="str">
        <f>IFERROR(__xludf.DUMMYFUNCTION("""COMPUTED_VALUE"""),"LOT 2920")</f>
        <v>LOT 2920</v>
      </c>
      <c r="M2747" s="1" t="str">
        <f>IFERROR(__xludf.DUMMYFUNCTION("""COMPUTED_VALUE"""),"CARASUCHI")</f>
        <v>CARASUCHI</v>
      </c>
      <c r="N2747" s="1"/>
      <c r="O2747" s="1" t="str">
        <f>IFERROR(__xludf.DUMMYFUNCTION("""COMPUTED_VALUE"""),"CARASUCHI")</f>
        <v>CARASUCHI</v>
      </c>
      <c r="P2747" s="1" t="str">
        <f>IFERROR(__xludf.DUMMYFUNCTION("""COMPUTED_VALUE"""),"INDANG")</f>
        <v>INDANG</v>
      </c>
      <c r="Q2747" s="1" t="str">
        <f>IFERROR(__xludf.DUMMYFUNCTION("""COMPUTED_VALUE"""),"CAVITE")</f>
        <v>CAVITE</v>
      </c>
      <c r="R2747" s="1" t="str">
        <f>IFERROR(__xludf.DUMMYFUNCTION("""COMPUTED_VALUE"""),"FIBR UNLI ALL PLAN 1499")</f>
        <v>FIBR UNLI ALL PLAN 1499</v>
      </c>
      <c r="S2747" s="1" t="str">
        <f>IFERROR(__xludf.DUMMYFUNCTION("""COMPUTED_VALUE"""),"APPROVED")</f>
        <v>APPROVED</v>
      </c>
      <c r="T2747" s="1" t="str">
        <f>IFERROR(__xludf.DUMMYFUNCTION("""COMPUTED_VALUE"""),"CANCELLED")</f>
        <v>CANCELLED</v>
      </c>
      <c r="U2747" s="1"/>
      <c r="V2747" s="1"/>
      <c r="W2747" s="1"/>
    </row>
    <row r="2748" customHeight="1" spans="1:23">
      <c r="A2748" s="3">
        <f>IFERROR(__xludf.DUMMYFUNCTION("""COMPUTED_VALUE"""),46249)</f>
        <v>46249</v>
      </c>
      <c r="B2748" s="1" t="str">
        <f>IFERROR(__xludf.DUMMYFUNCTION("""COMPUTED_VALUE"""),"ARIENA, LYKA")</f>
        <v>ARIENA, LYKA</v>
      </c>
      <c r="C2748" s="1" t="str">
        <f>IFERROR(__xludf.DUMMYFUNCTION("""COMPUTED_VALUE"""),"ORGANIC")</f>
        <v>ORGANIC</v>
      </c>
      <c r="D2748" s="1" t="str">
        <f>IFERROR(__xludf.DUMMYFUNCTION("""COMPUTED_VALUE"""),"REMOLLO LEA")</f>
        <v>REMOLLO LEA</v>
      </c>
      <c r="E2748" s="1" t="str">
        <f>IFERROR(__xludf.DUMMYFUNCTION("""COMPUTED_VALUE"""),"PLDT / H2H")</f>
        <v>PLDT / H2H</v>
      </c>
      <c r="F2748" s="1">
        <f>IFERROR(__xludf.DUMMYFUNCTION("""COMPUTED_VALUE"""),2311812674)</f>
        <v>2311812674</v>
      </c>
      <c r="G2748" s="1">
        <f>IFERROR(__xludf.DUMMYFUNCTION("""COMPUTED_VALUE"""),466598097004)</f>
        <v>466598097004</v>
      </c>
      <c r="H2748" s="1" t="str">
        <f>IFERROR(__xludf.DUMMYFUNCTION("""COMPUTED_VALUE"""),"FERDINAND CASTILLO MANALILI")</f>
        <v>FERDINAND CASTILLO MANALILI</v>
      </c>
      <c r="I2748" s="1">
        <f>IFERROR(__xludf.DUMMYFUNCTION("""COMPUTED_VALUE"""),960877011)</f>
        <v>960877011</v>
      </c>
      <c r="J2748" s="1"/>
      <c r="K2748" s="1" t="str">
        <f>IFERROR(__xludf.DUMMYFUNCTION("""COMPUTED_VALUE"""),"razonalyn4@gmail.com")</f>
        <v>razonalyn4@gmail.com</v>
      </c>
      <c r="L2748" s="1" t="str">
        <f>IFERROR(__xludf.DUMMYFUNCTION("""COMPUTED_VALUE"""),"BLK 9 LOT 6")</f>
        <v>BLK 9 LOT 6</v>
      </c>
      <c r="M2748" s="1" t="str">
        <f>IFERROR(__xludf.DUMMYFUNCTION("""COMPUTED_VALUE"""),"AREA F")</f>
        <v>AREA F</v>
      </c>
      <c r="N2748" s="1"/>
      <c r="O2748" s="1" t="str">
        <f>IFERROR(__xludf.DUMMYFUNCTION("""COMPUTED_VALUE"""),"BARANGAY 7 (KAPITAN KONG)")</f>
        <v>BARANGAY 7 (KAPITAN KONG)</v>
      </c>
      <c r="P2748" s="1" t="str">
        <f>IFERROR(__xludf.DUMMYFUNCTION("""COMPUTED_VALUE"""),"GEN MARIANO ALVAREZ")</f>
        <v>GEN MARIANO ALVAREZ</v>
      </c>
      <c r="Q2748" s="1" t="str">
        <f>IFERROR(__xludf.DUMMYFUNCTION("""COMPUTED_VALUE"""),"CAVITE")</f>
        <v>CAVITE</v>
      </c>
      <c r="R2748" s="1" t="str">
        <f>IFERROR(__xludf.DUMMYFUNCTION("""COMPUTED_VALUE"""),"FIBR PLAN 1299")</f>
        <v>FIBR PLAN 1299</v>
      </c>
      <c r="S2748" s="1" t="str">
        <f>IFERROR(__xludf.DUMMYFUNCTION("""COMPUTED_VALUE"""),"APPROVED")</f>
        <v>APPROVED</v>
      </c>
      <c r="T2748" s="1" t="str">
        <f>IFERROR(__xludf.DUMMYFUNCTION("""COMPUTED_VALUE"""),"CLOSED")</f>
        <v>CLOSED</v>
      </c>
      <c r="U2748" s="1" t="str">
        <f>IFERROR(__xludf.DUMMYFUNCTION("""COMPUTED_VALUE"""),"POSTED")</f>
        <v>POSTED</v>
      </c>
      <c r="V2748" s="1"/>
      <c r="W2748" s="1"/>
    </row>
    <row r="2749" customHeight="1" spans="1:23">
      <c r="A2749" s="3">
        <f>IFERROR(__xludf.DUMMYFUNCTION("""COMPUTED_VALUE"""),46249)</f>
        <v>46249</v>
      </c>
      <c r="B2749" s="1" t="str">
        <f>IFERROR(__xludf.DUMMYFUNCTION("""COMPUTED_VALUE"""),"FRANCISCO , ROSELYN")</f>
        <v>FRANCISCO , ROSELYN</v>
      </c>
      <c r="C2749" s="1" t="str">
        <f>IFERROR(__xludf.DUMMYFUNCTION("""COMPUTED_VALUE"""),"ORGANIC")</f>
        <v>ORGANIC</v>
      </c>
      <c r="D2749" s="1" t="str">
        <f>IFERROR(__xludf.DUMMYFUNCTION("""COMPUTED_VALUE"""),"REMOLLO LEA")</f>
        <v>REMOLLO LEA</v>
      </c>
      <c r="E2749" s="1" t="str">
        <f>IFERROR(__xludf.DUMMYFUNCTION("""COMPUTED_VALUE"""),"PLDT / H2H")</f>
        <v>PLDT / H2H</v>
      </c>
      <c r="F2749" s="1">
        <f>IFERROR(__xludf.DUMMYFUNCTION("""COMPUTED_VALUE"""),2311815993)</f>
        <v>2311815993</v>
      </c>
      <c r="G2749" s="1">
        <f>IFERROR(__xludf.DUMMYFUNCTION("""COMPUTED_VALUE"""),466607423004)</f>
        <v>466607423004</v>
      </c>
      <c r="H2749" s="1" t="str">
        <f>IFERROR(__xludf.DUMMYFUNCTION("""COMPUTED_VALUE"""),"OLIMPIO JR ATANANTE ALCALA")</f>
        <v>OLIMPIO JR ATANANTE ALCALA</v>
      </c>
      <c r="I2749" s="1">
        <f>IFERROR(__xludf.DUMMYFUNCTION("""COMPUTED_VALUE"""),9685765345)</f>
        <v>9685765345</v>
      </c>
      <c r="J2749" s="1"/>
      <c r="K2749" s="1" t="str">
        <f>IFERROR(__xludf.DUMMYFUNCTION("""COMPUTED_VALUE"""),"alcala.grace11@gmail.com")</f>
        <v>alcala.grace11@gmail.com</v>
      </c>
      <c r="L2749" s="1" t="str">
        <f>IFERROR(__xludf.DUMMYFUNCTION("""COMPUTED_VALUE"""),"144")</f>
        <v>144</v>
      </c>
      <c r="M2749" s="1" t="str">
        <f>IFERROR(__xludf.DUMMYFUNCTION("""COMPUTED_VALUE"""),"KALUBKOB")</f>
        <v>KALUBKOB</v>
      </c>
      <c r="N2749" s="1"/>
      <c r="O2749" s="1" t="str">
        <f>IFERROR(__xludf.DUMMYFUNCTION("""COMPUTED_VALUE"""),"KALUBKOB")</f>
        <v>KALUBKOB</v>
      </c>
      <c r="P2749" s="1" t="str">
        <f>IFERROR(__xludf.DUMMYFUNCTION("""COMPUTED_VALUE"""),"SILANG")</f>
        <v>SILANG</v>
      </c>
      <c r="Q2749" s="1" t="str">
        <f>IFERROR(__xludf.DUMMYFUNCTION("""COMPUTED_VALUE"""),"CAVITE")</f>
        <v>CAVITE</v>
      </c>
      <c r="R2749" s="1" t="str">
        <f>IFERROR(__xludf.DUMMYFUNCTION("""COMPUTED_VALUE"""),"FIBR UNLI ALL PLAN 1499")</f>
        <v>FIBR UNLI ALL PLAN 1499</v>
      </c>
      <c r="S2749" s="1" t="str">
        <f>IFERROR(__xludf.DUMMYFUNCTION("""COMPUTED_VALUE"""),"APPROVED")</f>
        <v>APPROVED</v>
      </c>
      <c r="T2749" s="1" t="str">
        <f>IFERROR(__xludf.DUMMYFUNCTION("""COMPUTED_VALUE"""),"CLOSED")</f>
        <v>CLOSED</v>
      </c>
      <c r="U2749" s="1" t="str">
        <f>IFERROR(__xludf.DUMMYFUNCTION("""COMPUTED_VALUE"""),"POSTED")</f>
        <v>POSTED</v>
      </c>
      <c r="V2749" s="1"/>
      <c r="W2749" s="1"/>
    </row>
    <row r="2750" customHeight="1" spans="1:23">
      <c r="A2750" s="3">
        <f>IFERROR(__xludf.DUMMYFUNCTION("""COMPUTED_VALUE"""),46249)</f>
        <v>46249</v>
      </c>
      <c r="B2750" s="1" t="str">
        <f>IFERROR(__xludf.DUMMYFUNCTION("""COMPUTED_VALUE"""),"ALOS, CHARLS LAURENZ")</f>
        <v>ALOS, CHARLS LAURENZ</v>
      </c>
      <c r="C2750" s="1" t="str">
        <f>IFERROR(__xludf.DUMMYFUNCTION("""COMPUTED_VALUE"""),"ORGANIC")</f>
        <v>ORGANIC</v>
      </c>
      <c r="D2750" s="1" t="str">
        <f>IFERROR(__xludf.DUMMYFUNCTION("""COMPUTED_VALUE"""),"REMOLLO LEA")</f>
        <v>REMOLLO LEA</v>
      </c>
      <c r="E2750" s="1" t="str">
        <f>IFERROR(__xludf.DUMMYFUNCTION("""COMPUTED_VALUE"""),"PLDT / H2H")</f>
        <v>PLDT / H2H</v>
      </c>
      <c r="F2750" s="1">
        <f>IFERROR(__xludf.DUMMYFUNCTION("""COMPUTED_VALUE"""),2311817289)</f>
        <v>2311817289</v>
      </c>
      <c r="G2750" s="1">
        <f>IFERROR(__xludf.DUMMYFUNCTION("""COMPUTED_VALUE"""),466653770004)</f>
        <v>466653770004</v>
      </c>
      <c r="H2750" s="1" t="str">
        <f>IFERROR(__xludf.DUMMYFUNCTION("""COMPUTED_VALUE"""),"MARK ANTHONY ATLAS")</f>
        <v>MARK ANTHONY ATLAS</v>
      </c>
      <c r="I2750" s="1">
        <f>IFERROR(__xludf.DUMMYFUNCTION("""COMPUTED_VALUE"""),9651857213)</f>
        <v>9651857213</v>
      </c>
      <c r="J2750" s="1"/>
      <c r="K2750" s="1" t="str">
        <f>IFERROR(__xludf.DUMMYFUNCTION("""COMPUTED_VALUE"""),"essiejubilo101517@gmail.com")</f>
        <v>essiejubilo101517@gmail.com</v>
      </c>
      <c r="L2750" s="1" t="str">
        <f>IFERROR(__xludf.DUMMYFUNCTION("""COMPUTED_VALUE"""),"113")</f>
        <v>113</v>
      </c>
      <c r="M2750" s="1" t="str">
        <f>IFERROR(__xludf.DUMMYFUNCTION("""COMPUTED_VALUE"""),"MIGUEL MOJICA")</f>
        <v>MIGUEL MOJICA</v>
      </c>
      <c r="N2750" s="1"/>
      <c r="O2750" s="1" t="str">
        <f>IFERROR(__xludf.DUMMYFUNCTION("""COMPUTED_VALUE"""),"MIGUEL MOJICA")</f>
        <v>MIGUEL MOJICA</v>
      </c>
      <c r="P2750" s="1" t="str">
        <f>IFERROR(__xludf.DUMMYFUNCTION("""COMPUTED_VALUE"""),"MENDEZ")</f>
        <v>MENDEZ</v>
      </c>
      <c r="Q2750" s="1" t="str">
        <f>IFERROR(__xludf.DUMMYFUNCTION("""COMPUTED_VALUE"""),"CAVITE")</f>
        <v>CAVITE</v>
      </c>
      <c r="R2750" s="1" t="str">
        <f>IFERROR(__xludf.DUMMYFUNCTION("""COMPUTED_VALUE"""),"FIBR UNLI ALL PLAN 1499")</f>
        <v>FIBR UNLI ALL PLAN 1499</v>
      </c>
      <c r="S2750" s="1" t="str">
        <f>IFERROR(__xludf.DUMMYFUNCTION("""COMPUTED_VALUE"""),"APPROVED")</f>
        <v>APPROVED</v>
      </c>
      <c r="T2750" s="1" t="str">
        <f>IFERROR(__xludf.DUMMYFUNCTION("""COMPUTED_VALUE"""),"CANCELLED")</f>
        <v>CANCELLED</v>
      </c>
      <c r="U2750" s="1"/>
      <c r="V2750" s="1"/>
      <c r="W2750" s="1"/>
    </row>
    <row r="2751" customHeight="1" spans="1:23">
      <c r="A2751" s="3">
        <f>IFERROR(__xludf.DUMMYFUNCTION("""COMPUTED_VALUE"""),46249)</f>
        <v>46249</v>
      </c>
      <c r="B2751" s="1" t="str">
        <f>IFERROR(__xludf.DUMMYFUNCTION("""COMPUTED_VALUE"""),"IVNO, RAZZEL")</f>
        <v>IVNO, RAZZEL</v>
      </c>
      <c r="C2751" s="1" t="str">
        <f>IFERROR(__xludf.DUMMYFUNCTION("""COMPUTED_VALUE"""),"ORGANIC")</f>
        <v>ORGANIC</v>
      </c>
      <c r="D2751" s="1" t="str">
        <f>IFERROR(__xludf.DUMMYFUNCTION("""COMPUTED_VALUE"""),"REMOLLO LEA")</f>
        <v>REMOLLO LEA</v>
      </c>
      <c r="E2751" s="1" t="str">
        <f>IFERROR(__xludf.DUMMYFUNCTION("""COMPUTED_VALUE"""),"PLDT / H2H")</f>
        <v>PLDT / H2H</v>
      </c>
      <c r="F2751" s="1">
        <f>IFERROR(__xludf.DUMMYFUNCTION("""COMPUTED_VALUE"""),2311818394)</f>
        <v>2311818394</v>
      </c>
      <c r="G2751" s="1">
        <f>IFERROR(__xludf.DUMMYFUNCTION("""COMPUTED_VALUE"""),466624867004)</f>
        <v>466624867004</v>
      </c>
      <c r="H2751" s="1" t="str">
        <f>IFERROR(__xludf.DUMMYFUNCTION("""COMPUTED_VALUE"""),"ROWENA ERTA JAVIER")</f>
        <v>ROWENA ERTA JAVIER</v>
      </c>
      <c r="I2751" s="1">
        <f>IFERROR(__xludf.DUMMYFUNCTION("""COMPUTED_VALUE"""),9397746589)</f>
        <v>9397746589</v>
      </c>
      <c r="J2751" s="1">
        <f>IFERROR(__xludf.DUMMYFUNCTION("""COMPUTED_VALUE"""),9929227791)</f>
        <v>9929227791</v>
      </c>
      <c r="K2751" s="1" t="str">
        <f>IFERROR(__xludf.DUMMYFUNCTION("""COMPUTED_VALUE"""),"rowenajavier011@gmail.com")</f>
        <v>rowenajavier011@gmail.com</v>
      </c>
      <c r="L2751" s="1" t="str">
        <f>IFERROR(__xludf.DUMMYFUNCTION("""COMPUTED_VALUE"""),"94")</f>
        <v>94</v>
      </c>
      <c r="M2751" s="1" t="str">
        <f>IFERROR(__xludf.DUMMYFUNCTION("""COMPUTED_VALUE"""),"KAYBAGAL RD")</f>
        <v>KAYBAGAL RD</v>
      </c>
      <c r="N2751" s="1"/>
      <c r="O2751" s="1" t="str">
        <f>IFERROR(__xludf.DUMMYFUNCTION("""COMPUTED_VALUE"""),"KAYBAGAL CENTRAL")</f>
        <v>KAYBAGAL CENTRAL</v>
      </c>
      <c r="P2751" s="1" t="str">
        <f>IFERROR(__xludf.DUMMYFUNCTION("""COMPUTED_VALUE"""),"TAGAYTAY")</f>
        <v>TAGAYTAY</v>
      </c>
      <c r="Q2751" s="1" t="str">
        <f>IFERROR(__xludf.DUMMYFUNCTION("""COMPUTED_VALUE"""),"CAVITE")</f>
        <v>CAVITE</v>
      </c>
      <c r="R2751" s="1" t="str">
        <f>IFERROR(__xludf.DUMMYFUNCTION("""COMPUTED_VALUE"""),"FIBR PLAN 1299")</f>
        <v>FIBR PLAN 1299</v>
      </c>
      <c r="S2751" s="1" t="str">
        <f>IFERROR(__xludf.DUMMYFUNCTION("""COMPUTED_VALUE"""),"APPROVED")</f>
        <v>APPROVED</v>
      </c>
      <c r="T2751" s="1" t="str">
        <f>IFERROR(__xludf.DUMMYFUNCTION("""COMPUTED_VALUE"""),"CANCELLED")</f>
        <v>CANCELLED</v>
      </c>
      <c r="U2751" s="1"/>
      <c r="V2751" s="1"/>
      <c r="W2751" s="1"/>
    </row>
    <row r="2752" customHeight="1" spans="1:23">
      <c r="A2752" s="3">
        <f>IFERROR(__xludf.DUMMYFUNCTION("""COMPUTED_VALUE"""),46249)</f>
        <v>46249</v>
      </c>
      <c r="B2752" s="1" t="str">
        <f>IFERROR(__xludf.DUMMYFUNCTION("""COMPUTED_VALUE"""),"LEADSTORE - ILANO, LIANDRO TEJAS")</f>
        <v>LEADSTORE - ILANO, LIANDRO TEJAS</v>
      </c>
      <c r="C2752" s="1" t="str">
        <f>IFERROR(__xludf.DUMMYFUNCTION("""COMPUTED_VALUE"""),"FLA")</f>
        <v>FLA</v>
      </c>
      <c r="D2752" s="1" t="str">
        <f>IFERROR(__xludf.DUMMYFUNCTION("""COMPUTED_VALUE"""),"JERIC NAVARRO")</f>
        <v>JERIC NAVARRO</v>
      </c>
      <c r="E2752" s="1" t="str">
        <f>IFERROR(__xludf.DUMMYFUNCTION("""COMPUTED_VALUE"""),"PLDT / ONLINE")</f>
        <v>PLDT / ONLINE</v>
      </c>
      <c r="F2752" s="1">
        <f>IFERROR(__xludf.DUMMYFUNCTION("""COMPUTED_VALUE"""),2311817807)</f>
        <v>2311817807</v>
      </c>
      <c r="G2752" s="1">
        <f>IFERROR(__xludf.DUMMYFUNCTION("""COMPUTED_VALUE"""),466712838004)</f>
        <v>466712838004</v>
      </c>
      <c r="H2752" s="1" t="str">
        <f>IFERROR(__xludf.DUMMYFUNCTION("""COMPUTED_VALUE"""),"VIRGINIA MAGPARANGALAN LAVADO")</f>
        <v>VIRGINIA MAGPARANGALAN LAVADO</v>
      </c>
      <c r="I2752" s="1">
        <f>IFERROR(__xludf.DUMMYFUNCTION("""COMPUTED_VALUE"""),9914874075)</f>
        <v>9914874075</v>
      </c>
      <c r="J2752" s="1">
        <f>IFERROR(__xludf.DUMMYFUNCTION("""COMPUTED_VALUE"""),9605167718)</f>
        <v>9605167718</v>
      </c>
      <c r="K2752" s="1" t="str">
        <f>IFERROR(__xludf.DUMMYFUNCTION("""COMPUTED_VALUE"""),"ajielavado@gmail.com")</f>
        <v>ajielavado@gmail.com</v>
      </c>
      <c r="L2752" s="1" t="str">
        <f>IFERROR(__xludf.DUMMYFUNCTION("""COMPUTED_VALUE"""),"BLK 20 LOT 58")</f>
        <v>BLK 20 LOT 58</v>
      </c>
      <c r="M2752" s="1" t="str">
        <f>IFERROR(__xludf.DUMMYFUNCTION("""COMPUTED_VALUE"""),"PIGEON ")</f>
        <v>PIGEON </v>
      </c>
      <c r="N2752" s="1" t="str">
        <f>IFERROR(__xludf.DUMMYFUNCTION("""COMPUTED_VALUE"""),"SOUTCREST")</f>
        <v>SOUTCREST</v>
      </c>
      <c r="O2752" s="1" t="str">
        <f>IFERROR(__xludf.DUMMYFUNCTION("""COMPUTED_VALUE"""),"SAN AGUSTIN II")</f>
        <v>SAN AGUSTIN II</v>
      </c>
      <c r="P2752" s="1" t="str">
        <f>IFERROR(__xludf.DUMMYFUNCTION("""COMPUTED_VALUE"""),"DASMARINAS")</f>
        <v>DASMARINAS</v>
      </c>
      <c r="Q2752" s="1" t="str">
        <f>IFERROR(__xludf.DUMMYFUNCTION("""COMPUTED_VALUE"""),"CAVITE")</f>
        <v>CAVITE</v>
      </c>
      <c r="R2752" s="1" t="str">
        <f>IFERROR(__xludf.DUMMYFUNCTION("""COMPUTED_VALUE"""),"FIBR PLAN 1299")</f>
        <v>FIBR PLAN 1299</v>
      </c>
      <c r="S2752" s="1" t="str">
        <f>IFERROR(__xludf.DUMMYFUNCTION("""COMPUTED_VALUE"""),"APPROVED")</f>
        <v>APPROVED</v>
      </c>
      <c r="T2752" s="1" t="str">
        <f>IFERROR(__xludf.DUMMYFUNCTION("""COMPUTED_VALUE"""),"CLOSED")</f>
        <v>CLOSED</v>
      </c>
      <c r="U2752" s="1" t="str">
        <f>IFERROR(__xludf.DUMMYFUNCTION("""COMPUTED_VALUE"""),"POSTED")</f>
        <v>POSTED</v>
      </c>
      <c r="V2752" s="1"/>
      <c r="W2752" s="1"/>
    </row>
    <row r="2753" customHeight="1" spans="1:23">
      <c r="A2753" s="3">
        <f>IFERROR(__xludf.DUMMYFUNCTION("""COMPUTED_VALUE"""),46249)</f>
        <v>46249</v>
      </c>
      <c r="B2753" s="1" t="str">
        <f>IFERROR(__xludf.DUMMYFUNCTION("""COMPUTED_VALUE"""),"DACALCAP RUBEN")</f>
        <v>DACALCAP RUBEN</v>
      </c>
      <c r="C2753" s="1" t="str">
        <f>IFERROR(__xludf.DUMMYFUNCTION("""COMPUTED_VALUE"""),"FLA")</f>
        <v>FLA</v>
      </c>
      <c r="D2753" s="1" t="str">
        <f>IFERROR(__xludf.DUMMYFUNCTION("""COMPUTED_VALUE"""),"JERIC NAVARRO")</f>
        <v>JERIC NAVARRO</v>
      </c>
      <c r="E2753" s="1" t="str">
        <f>IFERROR(__xludf.DUMMYFUNCTION("""COMPUTED_VALUE"""),"PLDT / H2H")</f>
        <v>PLDT / H2H</v>
      </c>
      <c r="F2753" s="1">
        <f>IFERROR(__xludf.DUMMYFUNCTION("""COMPUTED_VALUE"""),2311818786)</f>
        <v>2311818786</v>
      </c>
      <c r="G2753" s="1">
        <f>IFERROR(__xludf.DUMMYFUNCTION("""COMPUTED_VALUE"""),466605719004)</f>
        <v>466605719004</v>
      </c>
      <c r="H2753" s="1" t="str">
        <f>IFERROR(__xludf.DUMMYFUNCTION("""COMPUTED_VALUE"""),"JECILL VILLANUEVA VILLAFLORES")</f>
        <v>JECILL VILLANUEVA VILLAFLORES</v>
      </c>
      <c r="I2753" s="1">
        <f>IFERROR(__xludf.DUMMYFUNCTION("""COMPUTED_VALUE"""),9672713738)</f>
        <v>9672713738</v>
      </c>
      <c r="J2753" s="1">
        <f>IFERROR(__xludf.DUMMYFUNCTION("""COMPUTED_VALUE"""),9672713738)</f>
        <v>9672713738</v>
      </c>
      <c r="K2753" s="1" t="str">
        <f>IFERROR(__xludf.DUMMYFUNCTION("""COMPUTED_VALUE"""),"ilonajeanrodolfo28@gmail.com0")</f>
        <v>ilonajeanrodolfo28@gmail.com0</v>
      </c>
      <c r="L2753" s="1" t="str">
        <f>IFERROR(__xludf.DUMMYFUNCTION("""COMPUTED_VALUE"""),"8699")</f>
        <v>8699</v>
      </c>
      <c r="M2753" s="1" t="str">
        <f>IFERROR(__xludf.DUMMYFUNCTION("""COMPUTED_VALUE"""),"SITIO GITNA")</f>
        <v>SITIO GITNA</v>
      </c>
      <c r="N2753" s="1"/>
      <c r="O2753" s="1" t="str">
        <f>IFERROR(__xludf.DUMMYFUNCTION("""COMPUTED_VALUE"""),"TIBIG")</f>
        <v>TIBIG</v>
      </c>
      <c r="P2753" s="1" t="str">
        <f>IFERROR(__xludf.DUMMYFUNCTION("""COMPUTED_VALUE"""),"SILANG")</f>
        <v>SILANG</v>
      </c>
      <c r="Q2753" s="1" t="str">
        <f>IFERROR(__xludf.DUMMYFUNCTION("""COMPUTED_VALUE"""),"CAVITE")</f>
        <v>CAVITE</v>
      </c>
      <c r="R2753" s="1" t="str">
        <f>IFERROR(__xludf.DUMMYFUNCTION("""COMPUTED_VALUE"""),"FIBR NETFLIX PLAN 1599")</f>
        <v>FIBR NETFLIX PLAN 1599</v>
      </c>
      <c r="S2753" s="1" t="str">
        <f>IFERROR(__xludf.DUMMYFUNCTION("""COMPUTED_VALUE"""),"APPROVED")</f>
        <v>APPROVED</v>
      </c>
      <c r="T2753" s="1" t="str">
        <f>IFERROR(__xludf.DUMMYFUNCTION("""COMPUTED_VALUE"""),"CANCELLED")</f>
        <v>CANCELLED</v>
      </c>
      <c r="U2753" s="1"/>
      <c r="V2753" s="1"/>
      <c r="W2753" s="1"/>
    </row>
    <row r="2754" customHeight="1" spans="1:23">
      <c r="A2754" s="3">
        <f>IFERROR(__xludf.DUMMYFUNCTION("""COMPUTED_VALUE"""),46249)</f>
        <v>46249</v>
      </c>
      <c r="B2754" s="1" t="str">
        <f>IFERROR(__xludf.DUMMYFUNCTION("""COMPUTED_VALUE"""),"IVNO, RAZZEL")</f>
        <v>IVNO, RAZZEL</v>
      </c>
      <c r="C2754" s="1" t="str">
        <f>IFERROR(__xludf.DUMMYFUNCTION("""COMPUTED_VALUE"""),"ORGANIC")</f>
        <v>ORGANIC</v>
      </c>
      <c r="D2754" s="1" t="str">
        <f>IFERROR(__xludf.DUMMYFUNCTION("""COMPUTED_VALUE"""),"REMOLLO LEA")</f>
        <v>REMOLLO LEA</v>
      </c>
      <c r="E2754" s="1" t="str">
        <f>IFERROR(__xludf.DUMMYFUNCTION("""COMPUTED_VALUE"""),"PLDT / H2H")</f>
        <v>PLDT / H2H</v>
      </c>
      <c r="F2754" s="1">
        <f>IFERROR(__xludf.DUMMYFUNCTION("""COMPUTED_VALUE"""),2311820673)</f>
        <v>2311820673</v>
      </c>
      <c r="G2754" s="1">
        <f>IFERROR(__xludf.DUMMYFUNCTION("""COMPUTED_VALUE"""),466614781004)</f>
        <v>466614781004</v>
      </c>
      <c r="H2754" s="1" t="str">
        <f>IFERROR(__xludf.DUMMYFUNCTION("""COMPUTED_VALUE"""),"MA. CONNIE FABRIGAR BEGALON")</f>
        <v>MA. CONNIE FABRIGAR BEGALON</v>
      </c>
      <c r="I2754" s="1">
        <f>IFERROR(__xludf.DUMMYFUNCTION("""COMPUTED_VALUE"""),9244354528)</f>
        <v>9244354528</v>
      </c>
      <c r="J2754" s="1"/>
      <c r="K2754" s="1" t="str">
        <f>IFERROR(__xludf.DUMMYFUNCTION("""COMPUTED_VALUE"""),"mayannbigalan0529@gmail.com")</f>
        <v>mayannbigalan0529@gmail.com</v>
      </c>
      <c r="L2754" s="1" t="str">
        <f>IFERROR(__xludf.DUMMYFUNCTION("""COMPUTED_VALUE"""),"BLK 117 LOT 17")</f>
        <v>BLK 117 LOT 17</v>
      </c>
      <c r="M2754" s="1" t="str">
        <f>IFERROR(__xludf.DUMMYFUNCTION("""COMPUTED_VALUE"""),"ZONE 7")</f>
        <v>ZONE 7</v>
      </c>
      <c r="N2754" s="1" t="str">
        <f>IFERROR(__xludf.DUMMYFUNCTION("""COMPUTED_VALUE"""),"AFP HOUSING")</f>
        <v>AFP HOUSING</v>
      </c>
      <c r="O2754" s="1" t="str">
        <f>IFERROR(__xludf.DUMMYFUNCTION("""COMPUTED_VALUE"""),"BULIHAN")</f>
        <v>BULIHAN</v>
      </c>
      <c r="P2754" s="1" t="str">
        <f>IFERROR(__xludf.DUMMYFUNCTION("""COMPUTED_VALUE"""),"SILANG")</f>
        <v>SILANG</v>
      </c>
      <c r="Q2754" s="1" t="str">
        <f>IFERROR(__xludf.DUMMYFUNCTION("""COMPUTED_VALUE"""),"CAVITE")</f>
        <v>CAVITE</v>
      </c>
      <c r="R2754" s="1" t="str">
        <f>IFERROR(__xludf.DUMMYFUNCTION("""COMPUTED_VALUE"""),"FIBR PLAN 1299")</f>
        <v>FIBR PLAN 1299</v>
      </c>
      <c r="S2754" s="1" t="str">
        <f>IFERROR(__xludf.DUMMYFUNCTION("""COMPUTED_VALUE"""),"APPROVED")</f>
        <v>APPROVED</v>
      </c>
      <c r="T2754" s="1" t="str">
        <f>IFERROR(__xludf.DUMMYFUNCTION("""COMPUTED_VALUE"""),"CLOSED")</f>
        <v>CLOSED</v>
      </c>
      <c r="U2754" s="1" t="str">
        <f>IFERROR(__xludf.DUMMYFUNCTION("""COMPUTED_VALUE"""),"POSTED")</f>
        <v>POSTED</v>
      </c>
      <c r="V2754" s="1"/>
      <c r="W2754" s="1"/>
    </row>
    <row r="2755" customHeight="1" spans="1:23">
      <c r="A2755" s="3">
        <f>IFERROR(__xludf.DUMMYFUNCTION("""COMPUTED_VALUE"""),46250)</f>
        <v>46250</v>
      </c>
      <c r="B2755" s="1" t="str">
        <f>IFERROR(__xludf.DUMMYFUNCTION("""COMPUTED_VALUE"""),"REMOLLO, LEA")</f>
        <v>REMOLLO, LEA</v>
      </c>
      <c r="C2755" s="1" t="str">
        <f>IFERROR(__xludf.DUMMYFUNCTION("""COMPUTED_VALUE"""),"FLA")</f>
        <v>FLA</v>
      </c>
      <c r="D2755" s="1" t="str">
        <f>IFERROR(__xludf.DUMMYFUNCTION("""COMPUTED_VALUE"""),"JERIC NAVARRO")</f>
        <v>JERIC NAVARRO</v>
      </c>
      <c r="E2755" s="1" t="str">
        <f>IFERROR(__xludf.DUMMYFUNCTION("""COMPUTED_VALUE"""),"PLDT / H2H")</f>
        <v>PLDT / H2H</v>
      </c>
      <c r="F2755" s="1"/>
      <c r="G2755" s="1"/>
      <c r="H2755" s="1" t="str">
        <f>IFERROR(__xludf.DUMMYFUNCTION("""COMPUTED_VALUE"""),"NORHAMIN MAGDARA HADJI CASAN")</f>
        <v>NORHAMIN MAGDARA HADJI CASAN</v>
      </c>
      <c r="I2755" s="1">
        <f>IFERROR(__xludf.DUMMYFUNCTION("""COMPUTED_VALUE"""),9072373702)</f>
        <v>9072373702</v>
      </c>
      <c r="J2755" s="1"/>
      <c r="K2755" s="1" t="str">
        <f>IFERROR(__xludf.DUMMYFUNCTION("""COMPUTED_VALUE"""),"norhaminhadjicasan8@gmail.com")</f>
        <v>norhaminhadjicasan8@gmail.com</v>
      </c>
      <c r="L2755" s="1" t="str">
        <f>IFERROR(__xludf.DUMMYFUNCTION("""COMPUTED_VALUE"""),"BLK 20 LOT 11")</f>
        <v>BLK 20 LOT 11</v>
      </c>
      <c r="M2755" s="1" t="str">
        <f>IFERROR(__xludf.DUMMYFUNCTION("""COMPUTED_VALUE"""),"ZONE 11")</f>
        <v>ZONE 11</v>
      </c>
      <c r="N2755" s="1" t="str">
        <f>IFERROR(__xludf.DUMMYFUNCTION("""COMPUTED_VALUE"""),"AFP HOUSING")</f>
        <v>AFP HOUSING</v>
      </c>
      <c r="O2755" s="1" t="str">
        <f>IFERROR(__xludf.DUMMYFUNCTION("""COMPUTED_VALUE"""),"BULIHAN")</f>
        <v>BULIHAN</v>
      </c>
      <c r="P2755" s="1" t="str">
        <f>IFERROR(__xludf.DUMMYFUNCTION("""COMPUTED_VALUE"""),"SILANG")</f>
        <v>SILANG</v>
      </c>
      <c r="Q2755" s="1" t="str">
        <f>IFERROR(__xludf.DUMMYFUNCTION("""COMPUTED_VALUE"""),"CAVITE")</f>
        <v>CAVITE</v>
      </c>
      <c r="R2755" s="1" t="str">
        <f>IFERROR(__xludf.DUMMYFUNCTION("""COMPUTED_VALUE"""),"FIBR UNLI ALL PLAN 1499")</f>
        <v>FIBR UNLI ALL PLAN 1499</v>
      </c>
      <c r="S2755" s="1" t="str">
        <f>IFERROR(__xludf.DUMMYFUNCTION("""COMPUTED_VALUE"""),"APPROVED")</f>
        <v>APPROVED</v>
      </c>
      <c r="T2755" s="1" t="str">
        <f>IFERROR(__xludf.DUMMYFUNCTION("""COMPUTED_VALUE"""),"#N/A")</f>
        <v>#N/A</v>
      </c>
      <c r="U2755" s="1"/>
      <c r="V2755" s="1"/>
      <c r="W2755" s="1"/>
    </row>
    <row r="2756" customHeight="1" spans="1:23">
      <c r="A2756" s="3">
        <f>IFERROR(__xludf.DUMMYFUNCTION("""COMPUTED_VALUE"""),46250)</f>
        <v>46250</v>
      </c>
      <c r="B2756" s="1" t="str">
        <f>IFERROR(__xludf.DUMMYFUNCTION("""COMPUTED_VALUE"""),"ALINGARO, CINDY")</f>
        <v>ALINGARO, CINDY</v>
      </c>
      <c r="C2756" s="1" t="str">
        <f>IFERROR(__xludf.DUMMYFUNCTION("""COMPUTED_VALUE"""),"ORGANIC")</f>
        <v>ORGANIC</v>
      </c>
      <c r="D2756" s="1" t="str">
        <f>IFERROR(__xludf.DUMMYFUNCTION("""COMPUTED_VALUE"""),"REMOLLO LEA")</f>
        <v>REMOLLO LEA</v>
      </c>
      <c r="E2756" s="1" t="str">
        <f>IFERROR(__xludf.DUMMYFUNCTION("""COMPUTED_VALUE"""),"PLDT / H2H")</f>
        <v>PLDT / H2H</v>
      </c>
      <c r="F2756" s="1">
        <f>IFERROR(__xludf.DUMMYFUNCTION("""COMPUTED_VALUE"""),2311834474)</f>
        <v>2311834474</v>
      </c>
      <c r="G2756" s="1">
        <f>IFERROR(__xludf.DUMMYFUNCTION("""COMPUTED_VALUE"""),466715268004)</f>
        <v>466715268004</v>
      </c>
      <c r="H2756" s="1" t="str">
        <f>IFERROR(__xludf.DUMMYFUNCTION("""COMPUTED_VALUE"""),"HARVIJAY CAPISPISAN BAUTISTA")</f>
        <v>HARVIJAY CAPISPISAN BAUTISTA</v>
      </c>
      <c r="I2756" s="1">
        <f>IFERROR(__xludf.DUMMYFUNCTION("""COMPUTED_VALUE"""),9708530475)</f>
        <v>9708530475</v>
      </c>
      <c r="J2756" s="1"/>
      <c r="K2756" s="1" t="str">
        <f>IFERROR(__xludf.DUMMYFUNCTION("""COMPUTED_VALUE"""),"harveyharvey072429@gmail.com")</f>
        <v>harveyharvey072429@gmail.com</v>
      </c>
      <c r="L2756" s="1" t="str">
        <f>IFERROR(__xludf.DUMMYFUNCTION("""COMPUTED_VALUE"""),"366")</f>
        <v>366</v>
      </c>
      <c r="M2756" s="1" t="str">
        <f>IFERROR(__xludf.DUMMYFUNCTION("""COMPUTED_VALUE"""),"PUROK 6")</f>
        <v>PUROK 6</v>
      </c>
      <c r="N2756" s="1"/>
      <c r="O2756" s="1" t="str">
        <f>IFERROR(__xludf.DUMMYFUNCTION("""COMPUTED_VALUE"""),"LITLIT")</f>
        <v>LITLIT</v>
      </c>
      <c r="P2756" s="1" t="str">
        <f>IFERROR(__xludf.DUMMYFUNCTION("""COMPUTED_VALUE"""),"SILANG")</f>
        <v>SILANG</v>
      </c>
      <c r="Q2756" s="1" t="str">
        <f>IFERROR(__xludf.DUMMYFUNCTION("""COMPUTED_VALUE"""),"CAVITE")</f>
        <v>CAVITE</v>
      </c>
      <c r="R2756" s="1" t="str">
        <f>IFERROR(__xludf.DUMMYFUNCTION("""COMPUTED_VALUE"""),"FIBR UNLI ALL PLAN 999")</f>
        <v>FIBR UNLI ALL PLAN 999</v>
      </c>
      <c r="S2756" s="1" t="str">
        <f>IFERROR(__xludf.DUMMYFUNCTION("""COMPUTED_VALUE"""),"APPROVED")</f>
        <v>APPROVED</v>
      </c>
      <c r="T2756" s="1" t="str">
        <f>IFERROR(__xludf.DUMMYFUNCTION("""COMPUTED_VALUE"""),"CANCELLED")</f>
        <v>CANCELLED</v>
      </c>
      <c r="U2756" s="1"/>
      <c r="V2756" s="1"/>
      <c r="W2756" s="1"/>
    </row>
    <row r="2757" customHeight="1" spans="1:23">
      <c r="A2757" s="3">
        <f>IFERROR(__xludf.DUMMYFUNCTION("""COMPUTED_VALUE"""),46250)</f>
        <v>46250</v>
      </c>
      <c r="B2757" s="1" t="str">
        <f>IFERROR(__xludf.DUMMYFUNCTION("""COMPUTED_VALUE"""),"ALINGARO, CINDY")</f>
        <v>ALINGARO, CINDY</v>
      </c>
      <c r="C2757" s="1" t="str">
        <f>IFERROR(__xludf.DUMMYFUNCTION("""COMPUTED_VALUE"""),"ORGANIC")</f>
        <v>ORGANIC</v>
      </c>
      <c r="D2757" s="1" t="str">
        <f>IFERROR(__xludf.DUMMYFUNCTION("""COMPUTED_VALUE"""),"REMOLLO LEA")</f>
        <v>REMOLLO LEA</v>
      </c>
      <c r="E2757" s="1" t="str">
        <f>IFERROR(__xludf.DUMMYFUNCTION("""COMPUTED_VALUE"""),"PLDT / H2H")</f>
        <v>PLDT / H2H</v>
      </c>
      <c r="F2757" s="1">
        <f>IFERROR(__xludf.DUMMYFUNCTION("""COMPUTED_VALUE"""),2311834883)</f>
        <v>2311834883</v>
      </c>
      <c r="G2757" s="1">
        <f>IFERROR(__xludf.DUMMYFUNCTION("""COMPUTED_VALUE"""),466714883004)</f>
        <v>466714883004</v>
      </c>
      <c r="H2757" s="1" t="str">
        <f>IFERROR(__xludf.DUMMYFUNCTION("""COMPUTED_VALUE"""),"MELVIE BAYAS OLIMPIADA")</f>
        <v>MELVIE BAYAS OLIMPIADA</v>
      </c>
      <c r="I2757" s="1">
        <f>IFERROR(__xludf.DUMMYFUNCTION("""COMPUTED_VALUE"""),9357353467)</f>
        <v>9357353467</v>
      </c>
      <c r="J2757" s="1"/>
      <c r="K2757" s="1" t="str">
        <f>IFERROR(__xludf.DUMMYFUNCTION("""COMPUTED_VALUE"""),"melvzbayas@gmail.com")</f>
        <v>melvzbayas@gmail.com</v>
      </c>
      <c r="L2757" s="1" t="str">
        <f>IFERROR(__xludf.DUMMYFUNCTION("""COMPUTED_VALUE"""),"362a")</f>
        <v>362a</v>
      </c>
      <c r="M2757" s="1" t="str">
        <f>IFERROR(__xludf.DUMMYFUNCTION("""COMPUTED_VALUE"""),"PUROK 6")</f>
        <v>PUROK 6</v>
      </c>
      <c r="N2757" s="1"/>
      <c r="O2757" s="1" t="str">
        <f>IFERROR(__xludf.DUMMYFUNCTION("""COMPUTED_VALUE"""),"LITLIT")</f>
        <v>LITLIT</v>
      </c>
      <c r="P2757" s="1" t="str">
        <f>IFERROR(__xludf.DUMMYFUNCTION("""COMPUTED_VALUE"""),"SILANG")</f>
        <v>SILANG</v>
      </c>
      <c r="Q2757" s="1" t="str">
        <f>IFERROR(__xludf.DUMMYFUNCTION("""COMPUTED_VALUE"""),"CAVITE")</f>
        <v>CAVITE</v>
      </c>
      <c r="R2757" s="1" t="str">
        <f>IFERROR(__xludf.DUMMYFUNCTION("""COMPUTED_VALUE"""),"FIBR UNLI ALL PLAN 999")</f>
        <v>FIBR UNLI ALL PLAN 999</v>
      </c>
      <c r="S2757" s="1" t="str">
        <f>IFERROR(__xludf.DUMMYFUNCTION("""COMPUTED_VALUE"""),"APPROVED")</f>
        <v>APPROVED</v>
      </c>
      <c r="T2757" s="1" t="str">
        <f>IFERROR(__xludf.DUMMYFUNCTION("""COMPUTED_VALUE"""),"CANCELLED")</f>
        <v>CANCELLED</v>
      </c>
      <c r="U2757" s="1"/>
      <c r="V2757" s="1"/>
      <c r="W2757" s="1"/>
    </row>
    <row r="2758" customHeight="1" spans="1:23">
      <c r="A2758" s="3">
        <f>IFERROR(__xludf.DUMMYFUNCTION("""COMPUTED_VALUE"""),46250)</f>
        <v>46250</v>
      </c>
      <c r="B2758" s="1" t="str">
        <f>IFERROR(__xludf.DUMMYFUNCTION("""COMPUTED_VALUE"""),"CADERAO, RONALD")</f>
        <v>CADERAO, RONALD</v>
      </c>
      <c r="C2758" s="1" t="str">
        <f>IFERROR(__xludf.DUMMYFUNCTION("""COMPUTED_VALUE"""),"ORGANIC")</f>
        <v>ORGANIC</v>
      </c>
      <c r="D2758" s="1" t="str">
        <f>IFERROR(__xludf.DUMMYFUNCTION("""COMPUTED_VALUE"""),"REMOLLO LEA")</f>
        <v>REMOLLO LEA</v>
      </c>
      <c r="E2758" s="1" t="str">
        <f>IFERROR(__xludf.DUMMYFUNCTION("""COMPUTED_VALUE"""),"PLDT / H2H")</f>
        <v>PLDT / H2H</v>
      </c>
      <c r="F2758" s="1">
        <f>IFERROR(__xludf.DUMMYFUNCTION("""COMPUTED_VALUE"""),2311836859)</f>
        <v>2311836859</v>
      </c>
      <c r="G2758" s="1">
        <f>IFERROR(__xludf.DUMMYFUNCTION("""COMPUTED_VALUE"""),467246878004)</f>
        <v>467246878004</v>
      </c>
      <c r="H2758" s="1" t="str">
        <f>IFERROR(__xludf.DUMMYFUNCTION("""COMPUTED_VALUE"""),"JOCELYN ORQUIA AMADERO")</f>
        <v>JOCELYN ORQUIA AMADERO</v>
      </c>
      <c r="I2758" s="1">
        <f>IFERROR(__xludf.DUMMYFUNCTION("""COMPUTED_VALUE"""),9365889088)</f>
        <v>9365889088</v>
      </c>
      <c r="J2758" s="1">
        <f>IFERROR(__xludf.DUMMYFUNCTION("""COMPUTED_VALUE"""),9059095461)</f>
        <v>9059095461</v>
      </c>
      <c r="K2758" s="1" t="str">
        <f>IFERROR(__xludf.DUMMYFUNCTION("""COMPUTED_VALUE"""),"dawengfrancisco@gmail.com")</f>
        <v>dawengfrancisco@gmail.com</v>
      </c>
      <c r="L2758" s="1" t="str">
        <f>IFERROR(__xludf.DUMMYFUNCTION("""COMPUTED_VALUE"""),"9794")</f>
        <v>9794</v>
      </c>
      <c r="M2758" s="1" t="str">
        <f>IFERROR(__xludf.DUMMYFUNCTION("""COMPUTED_VALUE"""),"JP RIZAL")</f>
        <v>JP RIZAL</v>
      </c>
      <c r="N2758" s="1"/>
      <c r="O2758" s="1" t="str">
        <f>IFERROR(__xludf.DUMMYFUNCTION("""COMPUTED_VALUE"""),"BARANGAY 5 POBLACION")</f>
        <v>BARANGAY 5 POBLACION</v>
      </c>
      <c r="P2758" s="1" t="str">
        <f>IFERROR(__xludf.DUMMYFUNCTION("""COMPUTED_VALUE"""),"SILANG")</f>
        <v>SILANG</v>
      </c>
      <c r="Q2758" s="1" t="str">
        <f>IFERROR(__xludf.DUMMYFUNCTION("""COMPUTED_VALUE"""),"CAVITE")</f>
        <v>CAVITE</v>
      </c>
      <c r="R2758" s="1" t="str">
        <f>IFERROR(__xludf.DUMMYFUNCTION("""COMPUTED_VALUE"""),"FIBR UNLI ALL PLAN 999")</f>
        <v>FIBR UNLI ALL PLAN 999</v>
      </c>
      <c r="S2758" s="1" t="str">
        <f>IFERROR(__xludf.DUMMYFUNCTION("""COMPUTED_VALUE"""),"APPROVED")</f>
        <v>APPROVED</v>
      </c>
      <c r="T2758" s="1" t="str">
        <f>IFERROR(__xludf.DUMMYFUNCTION("""COMPUTED_VALUE"""),"CLOSED")</f>
        <v>CLOSED</v>
      </c>
      <c r="U2758" s="1" t="str">
        <f>IFERROR(__xludf.DUMMYFUNCTION("""COMPUTED_VALUE"""),"POSTED")</f>
        <v>POSTED</v>
      </c>
      <c r="V2758" s="1"/>
      <c r="W2758" s="1"/>
    </row>
    <row r="2759" customHeight="1" spans="1:23">
      <c r="A2759" s="3">
        <f>IFERROR(__xludf.DUMMYFUNCTION("""COMPUTED_VALUE"""),46250)</f>
        <v>46250</v>
      </c>
      <c r="B2759" s="1" t="str">
        <f>IFERROR(__xludf.DUMMYFUNCTION("""COMPUTED_VALUE"""),"MALIWAT MARK ELVIN")</f>
        <v>MALIWAT MARK ELVIN</v>
      </c>
      <c r="C2759" s="1" t="str">
        <f>IFERROR(__xludf.DUMMYFUNCTION("""COMPUTED_VALUE"""),"FLA")</f>
        <v>FLA</v>
      </c>
      <c r="D2759" s="1" t="str">
        <f>IFERROR(__xludf.DUMMYFUNCTION("""COMPUTED_VALUE"""),"JERIC NAVARRO")</f>
        <v>JERIC NAVARRO</v>
      </c>
      <c r="E2759" s="1" t="str">
        <f>IFERROR(__xludf.DUMMYFUNCTION("""COMPUTED_VALUE"""),"PLDT / ONLINE")</f>
        <v>PLDT / ONLINE</v>
      </c>
      <c r="F2759" s="1">
        <f>IFERROR(__xludf.DUMMYFUNCTION("""COMPUTED_VALUE"""),2311892919)</f>
        <v>2311892919</v>
      </c>
      <c r="G2759" s="1">
        <f>IFERROR(__xludf.DUMMYFUNCTION("""COMPUTED_VALUE"""),467025688004)</f>
        <v>467025688004</v>
      </c>
      <c r="H2759" s="1" t="str">
        <f>IFERROR(__xludf.DUMMYFUNCTION("""COMPUTED_VALUE"""),"MILLICENT ODILE BELTRAN MALAHITO ")</f>
        <v>MILLICENT ODILE BELTRAN MALAHITO </v>
      </c>
      <c r="I2759" s="1">
        <f>IFERROR(__xludf.DUMMYFUNCTION("""COMPUTED_VALUE"""),9218722121)</f>
        <v>9218722121</v>
      </c>
      <c r="J2759" s="1">
        <f>IFERROR(__xludf.DUMMYFUNCTION("""COMPUTED_VALUE"""),9606113910)</f>
        <v>9606113910</v>
      </c>
      <c r="K2759" s="1" t="str">
        <f>IFERROR(__xludf.DUMMYFUNCTION("""COMPUTED_VALUE"""),"jmalahito@gmail.com")</f>
        <v>jmalahito@gmail.com</v>
      </c>
      <c r="L2759" s="1" t="str">
        <f>IFERROR(__xludf.DUMMYFUNCTION("""COMPUTED_VALUE"""),"BLK 12 LOT 17")</f>
        <v>BLK 12 LOT 17</v>
      </c>
      <c r="M2759" s="1" t="str">
        <f>IFERROR(__xludf.DUMMYFUNCTION("""COMPUTED_VALUE"""),"PHASE 5")</f>
        <v>PHASE 5</v>
      </c>
      <c r="N2759" s="1" t="str">
        <f>IFERROR(__xludf.DUMMYFUNCTION("""COMPUTED_VALUE"""),"TERRAVERDE")</f>
        <v>TERRAVERDE</v>
      </c>
      <c r="O2759" s="1" t="str">
        <f>IFERROR(__xludf.DUMMYFUNCTION("""COMPUTED_VALUE"""),"BANCAL")</f>
        <v>BANCAL</v>
      </c>
      <c r="P2759" s="1" t="str">
        <f>IFERROR(__xludf.DUMMYFUNCTION("""COMPUTED_VALUE"""),"CARMONA")</f>
        <v>CARMONA</v>
      </c>
      <c r="Q2759" s="1" t="str">
        <f>IFERROR(__xludf.DUMMYFUNCTION("""COMPUTED_VALUE"""),"CAVITE")</f>
        <v>CAVITE</v>
      </c>
      <c r="R2759" s="1" t="str">
        <f>IFERROR(__xludf.DUMMYFUNCTION("""COMPUTED_VALUE"""),"FIBR UNLI ALL PLAN 1499")</f>
        <v>FIBR UNLI ALL PLAN 1499</v>
      </c>
      <c r="S2759" s="1" t="str">
        <f>IFERROR(__xludf.DUMMYFUNCTION("""COMPUTED_VALUE"""),"APPROVED")</f>
        <v>APPROVED</v>
      </c>
      <c r="T2759" s="1" t="str">
        <f>IFERROR(__xludf.DUMMYFUNCTION("""COMPUTED_VALUE"""),"CLOSED")</f>
        <v>CLOSED</v>
      </c>
      <c r="U2759" s="1" t="str">
        <f>IFERROR(__xludf.DUMMYFUNCTION("""COMPUTED_VALUE"""),"POSTED")</f>
        <v>POSTED</v>
      </c>
      <c r="V2759" s="1"/>
      <c r="W2759" s="1"/>
    </row>
    <row r="2760" customHeight="1" spans="1:23">
      <c r="A2760" s="3">
        <f>IFERROR(__xludf.DUMMYFUNCTION("""COMPUTED_VALUE"""),46250)</f>
        <v>46250</v>
      </c>
      <c r="B2760" s="1" t="str">
        <f>IFERROR(__xludf.DUMMYFUNCTION("""COMPUTED_VALUE"""),"ARIENA, LYKA")</f>
        <v>ARIENA, LYKA</v>
      </c>
      <c r="C2760" s="1" t="str">
        <f>IFERROR(__xludf.DUMMYFUNCTION("""COMPUTED_VALUE"""),"ORGANIC")</f>
        <v>ORGANIC</v>
      </c>
      <c r="D2760" s="1" t="str">
        <f>IFERROR(__xludf.DUMMYFUNCTION("""COMPUTED_VALUE"""),"REMOLLO LEA")</f>
        <v>REMOLLO LEA</v>
      </c>
      <c r="E2760" s="1" t="str">
        <f>IFERROR(__xludf.DUMMYFUNCTION("""COMPUTED_VALUE"""),"PLDT / H2H")</f>
        <v>PLDT / H2H</v>
      </c>
      <c r="F2760" s="1">
        <f>IFERROR(__xludf.DUMMYFUNCTION("""COMPUTED_VALUE"""),2311839236)</f>
        <v>2311839236</v>
      </c>
      <c r="G2760" s="1"/>
      <c r="H2760" s="1" t="str">
        <f>IFERROR(__xludf.DUMMYFUNCTION("""COMPUTED_VALUE"""),"RENIE ROSE POLIQUIT CAPARANGA")</f>
        <v>RENIE ROSE POLIQUIT CAPARANGA</v>
      </c>
      <c r="I2760" s="1">
        <f>IFERROR(__xludf.DUMMYFUNCTION("""COMPUTED_VALUE"""),9919380686)</f>
        <v>9919380686</v>
      </c>
      <c r="J2760" s="1"/>
      <c r="K2760" s="1" t="str">
        <f>IFERROR(__xludf.DUMMYFUNCTION("""COMPUTED_VALUE"""),"peanutbtler201@gmail.com")</f>
        <v>peanutbtler201@gmail.com</v>
      </c>
      <c r="L2760" s="1" t="str">
        <f>IFERROR(__xludf.DUMMYFUNCTION("""COMPUTED_VALUE"""),"BLK 6 LOT 6")</f>
        <v>BLK 6 LOT 6</v>
      </c>
      <c r="M2760" s="1" t="str">
        <f>IFERROR(__xludf.DUMMYFUNCTION("""COMPUTED_VALUE"""),"VERA CRUZ")</f>
        <v>VERA CRUZ</v>
      </c>
      <c r="N2760" s="1"/>
      <c r="O2760" s="1" t="str">
        <f>IFERROR(__xludf.DUMMYFUNCTION("""COMPUTED_VALUE"""),"RAMON CRUZ (AREA J)")</f>
        <v>RAMON CRUZ (AREA J)</v>
      </c>
      <c r="P2760" s="1" t="str">
        <f>IFERROR(__xludf.DUMMYFUNCTION("""COMPUTED_VALUE"""),"GEN MARIANO ALVAREZ")</f>
        <v>GEN MARIANO ALVAREZ</v>
      </c>
      <c r="Q2760" s="1" t="str">
        <f>IFERROR(__xludf.DUMMYFUNCTION("""COMPUTED_VALUE"""),"CAVITE")</f>
        <v>CAVITE</v>
      </c>
      <c r="R2760" s="1" t="str">
        <f>IFERROR(__xludf.DUMMYFUNCTION("""COMPUTED_VALUE"""),"FIBR UNLI ALL PLAN 999")</f>
        <v>FIBR UNLI ALL PLAN 999</v>
      </c>
      <c r="S2760" s="1" t="str">
        <f>IFERROR(__xludf.DUMMYFUNCTION("""COMPUTED_VALUE"""),"APPROVED")</f>
        <v>APPROVED</v>
      </c>
      <c r="T2760" s="1" t="str">
        <f>IFERROR(__xludf.DUMMYFUNCTION("""COMPUTED_VALUE"""),"CANCELLED")</f>
        <v>CANCELLED</v>
      </c>
      <c r="U2760" s="1"/>
      <c r="V2760" s="1"/>
      <c r="W2760" s="1"/>
    </row>
    <row r="2761" customHeight="1" spans="1:23">
      <c r="A2761" s="3">
        <f>IFERROR(__xludf.DUMMYFUNCTION("""COMPUTED_VALUE"""),46250)</f>
        <v>46250</v>
      </c>
      <c r="B2761" s="1" t="str">
        <f>IFERROR(__xludf.DUMMYFUNCTION("""COMPUTED_VALUE"""),"FRANCISCO , ROSELYN")</f>
        <v>FRANCISCO , ROSELYN</v>
      </c>
      <c r="C2761" s="1" t="str">
        <f>IFERROR(__xludf.DUMMYFUNCTION("""COMPUTED_VALUE"""),"ORGANIC")</f>
        <v>ORGANIC</v>
      </c>
      <c r="D2761" s="1" t="str">
        <f>IFERROR(__xludf.DUMMYFUNCTION("""COMPUTED_VALUE"""),"REMOLLO LEA")</f>
        <v>REMOLLO LEA</v>
      </c>
      <c r="E2761" s="1" t="str">
        <f>IFERROR(__xludf.DUMMYFUNCTION("""COMPUTED_VALUE"""),"PLDT / ONLINE")</f>
        <v>PLDT / ONLINE</v>
      </c>
      <c r="F2761" s="1">
        <f>IFERROR(__xludf.DUMMYFUNCTION("""COMPUTED_VALUE"""),2311840740)</f>
        <v>2311840740</v>
      </c>
      <c r="G2761" s="1"/>
      <c r="H2761" s="1" t="str">
        <f>IFERROR(__xludf.DUMMYFUNCTION("""COMPUTED_VALUE"""),"JUSFER DELOS SANTOS BUENAVENTURA")</f>
        <v>JUSFER DELOS SANTOS BUENAVENTURA</v>
      </c>
      <c r="I2761" s="1">
        <f>IFERROR(__xludf.DUMMYFUNCTION("""COMPUTED_VALUE"""),9552883434)</f>
        <v>9552883434</v>
      </c>
      <c r="J2761" s="1"/>
      <c r="K2761" s="1" t="str">
        <f>IFERROR(__xludf.DUMMYFUNCTION("""COMPUTED_VALUE"""),"jusferbuenaventura27@gmail.com")</f>
        <v>jusferbuenaventura27@gmail.com</v>
      </c>
      <c r="L2761" s="1" t="str">
        <f>IFERROR(__xludf.DUMMYFUNCTION("""COMPUTED_VALUE"""),"BLK 65 LOT 117")</f>
        <v>BLK 65 LOT 117</v>
      </c>
      <c r="M2761" s="1" t="str">
        <f>IFERROR(__xludf.DUMMYFUNCTION("""COMPUTED_VALUE"""),"CLUSTER 5")</f>
        <v>CLUSTER 5</v>
      </c>
      <c r="N2761" s="1" t="str">
        <f>IFERROR(__xludf.DUMMYFUNCTION("""COMPUTED_VALUE"""),"BELLA VISTA")</f>
        <v>BELLA VISTA</v>
      </c>
      <c r="O2761" s="1" t="str">
        <f>IFERROR(__xludf.DUMMYFUNCTION("""COMPUTED_VALUE"""),"SANTIAGO")</f>
        <v>SANTIAGO</v>
      </c>
      <c r="P2761" s="1" t="str">
        <f>IFERROR(__xludf.DUMMYFUNCTION("""COMPUTED_VALUE"""),"GENERAL TRIAS")</f>
        <v>GENERAL TRIAS</v>
      </c>
      <c r="Q2761" s="1" t="str">
        <f>IFERROR(__xludf.DUMMYFUNCTION("""COMPUTED_VALUE"""),"CAVITE")</f>
        <v>CAVITE</v>
      </c>
      <c r="R2761" s="1" t="str">
        <f>IFERROR(__xludf.DUMMYFUNCTION("""COMPUTED_VALUE"""),"FIBR PLAN 1699")</f>
        <v>FIBR PLAN 1699</v>
      </c>
      <c r="S2761" s="1" t="str">
        <f>IFERROR(__xludf.DUMMYFUNCTION("""COMPUTED_VALUE"""),"APPROVED")</f>
        <v>APPROVED</v>
      </c>
      <c r="T2761" s="1" t="str">
        <f>IFERROR(__xludf.DUMMYFUNCTION("""COMPUTED_VALUE"""),"CANCELLED")</f>
        <v>CANCELLED</v>
      </c>
      <c r="U2761" s="1"/>
      <c r="V2761" s="1"/>
      <c r="W2761" s="1"/>
    </row>
    <row r="2762" customHeight="1" spans="1:23">
      <c r="A2762" s="3">
        <f>IFERROR(__xludf.DUMMYFUNCTION("""COMPUTED_VALUE"""),46251)</f>
        <v>46251</v>
      </c>
      <c r="B2762" s="1" t="str">
        <f>IFERROR(__xludf.DUMMYFUNCTION("""COMPUTED_VALUE"""),"FRANCISCO , ROSELYN")</f>
        <v>FRANCISCO , ROSELYN</v>
      </c>
      <c r="C2762" s="1" t="str">
        <f>IFERROR(__xludf.DUMMYFUNCTION("""COMPUTED_VALUE"""),"ORGANIC")</f>
        <v>ORGANIC</v>
      </c>
      <c r="D2762" s="1" t="str">
        <f>IFERROR(__xludf.DUMMYFUNCTION("""COMPUTED_VALUE"""),"REMOLLO LEA")</f>
        <v>REMOLLO LEA</v>
      </c>
      <c r="E2762" s="1" t="str">
        <f>IFERROR(__xludf.DUMMYFUNCTION("""COMPUTED_VALUE"""),"PLDT / ONLINE")</f>
        <v>PLDT / ONLINE</v>
      </c>
      <c r="F2762" s="1">
        <f>IFERROR(__xludf.DUMMYFUNCTION("""COMPUTED_VALUE"""),2311853409)</f>
        <v>2311853409</v>
      </c>
      <c r="G2762" s="1">
        <f>IFERROR(__xludf.DUMMYFUNCTION("""COMPUTED_VALUE"""),466845838004)</f>
        <v>466845838004</v>
      </c>
      <c r="H2762" s="1" t="str">
        <f>IFERROR(__xludf.DUMMYFUNCTION("""COMPUTED_VALUE"""),"CHRISTIAN KYLE YSATAM ANGCAYA")</f>
        <v>CHRISTIAN KYLE YSATAM ANGCAYA</v>
      </c>
      <c r="I2762" s="1">
        <f>IFERROR(__xludf.DUMMYFUNCTION("""COMPUTED_VALUE"""),9566320409)</f>
        <v>9566320409</v>
      </c>
      <c r="J2762" s="1">
        <f>IFERROR(__xludf.DUMMYFUNCTION("""COMPUTED_VALUE"""),9624679902)</f>
        <v>9624679902</v>
      </c>
      <c r="K2762" s="1" t="str">
        <f>IFERROR(__xludf.DUMMYFUNCTION("""COMPUTED_VALUE"""),"sirchristiankyle.angcaya@gmail.com")</f>
        <v>sirchristiankyle.angcaya@gmail.com</v>
      </c>
      <c r="L2762" s="1" t="str">
        <f>IFERROR(__xludf.DUMMYFUNCTION("""COMPUTED_VALUE"""),"088-BL-017")</f>
        <v>088-BL-017</v>
      </c>
      <c r="M2762" s="1" t="str">
        <f>IFERROR(__xludf.DUMMYFUNCTION("""COMPUTED_VALUE"""),"BAHAY PANGARAP")</f>
        <v>BAHAY PANGARAP</v>
      </c>
      <c r="N2762" s="1" t="str">
        <f>IFERROR(__xludf.DUMMYFUNCTION("""COMPUTED_VALUE"""),"BAHAY PANGARAP SUBD")</f>
        <v>BAHAY PANGARAP SUBD</v>
      </c>
      <c r="O2762" s="1" t="str">
        <f>IFERROR(__xludf.DUMMYFUNCTION("""COMPUTED_VALUE"""),"SAMPALOC IV")</f>
        <v>SAMPALOC IV</v>
      </c>
      <c r="P2762" s="1" t="str">
        <f>IFERROR(__xludf.DUMMYFUNCTION("""COMPUTED_VALUE"""),"DASMARINAS")</f>
        <v>DASMARINAS</v>
      </c>
      <c r="Q2762" s="1" t="str">
        <f>IFERROR(__xludf.DUMMYFUNCTION("""COMPUTED_VALUE"""),"CAVITE")</f>
        <v>CAVITE</v>
      </c>
      <c r="R2762" s="1" t="str">
        <f>IFERROR(__xludf.DUMMYFUNCTION("""COMPUTED_VALUE"""),"FIBR PLAN 1299")</f>
        <v>FIBR PLAN 1299</v>
      </c>
      <c r="S2762" s="1" t="str">
        <f>IFERROR(__xludf.DUMMYFUNCTION("""COMPUTED_VALUE"""),"APPROVED")</f>
        <v>APPROVED</v>
      </c>
      <c r="T2762" s="1" t="str">
        <f>IFERROR(__xludf.DUMMYFUNCTION("""COMPUTED_VALUE"""),"CLOSED")</f>
        <v>CLOSED</v>
      </c>
      <c r="U2762" s="1" t="str">
        <f>IFERROR(__xludf.DUMMYFUNCTION("""COMPUTED_VALUE"""),"POSTED")</f>
        <v>POSTED</v>
      </c>
      <c r="V2762" s="1"/>
      <c r="W2762" s="1"/>
    </row>
    <row r="2763" customHeight="1" spans="1:23">
      <c r="A2763" s="3">
        <f>IFERROR(__xludf.DUMMYFUNCTION("""COMPUTED_VALUE"""),46251)</f>
        <v>46251</v>
      </c>
      <c r="B2763" s="1" t="str">
        <f>IFERROR(__xludf.DUMMYFUNCTION("""COMPUTED_VALUE"""),"ALOS, CHARLS LAURENZ")</f>
        <v>ALOS, CHARLS LAURENZ</v>
      </c>
      <c r="C2763" s="1" t="str">
        <f>IFERROR(__xludf.DUMMYFUNCTION("""COMPUTED_VALUE"""),"ORGANIC")</f>
        <v>ORGANIC</v>
      </c>
      <c r="D2763" s="1" t="str">
        <f>IFERROR(__xludf.DUMMYFUNCTION("""COMPUTED_VALUE"""),"REMOLLO LEA")</f>
        <v>REMOLLO LEA</v>
      </c>
      <c r="E2763" s="1" t="str">
        <f>IFERROR(__xludf.DUMMYFUNCTION("""COMPUTED_VALUE"""),"PLDT / H2H")</f>
        <v>PLDT / H2H</v>
      </c>
      <c r="F2763" s="1">
        <f>IFERROR(__xludf.DUMMYFUNCTION("""COMPUTED_VALUE"""),2311858648)</f>
        <v>2311858648</v>
      </c>
      <c r="G2763" s="1">
        <f>IFERROR(__xludf.DUMMYFUNCTION("""COMPUTED_VALUE"""),466846167004)</f>
        <v>466846167004</v>
      </c>
      <c r="H2763" s="1" t="str">
        <f>IFERROR(__xludf.DUMMYFUNCTION("""COMPUTED_VALUE"""),"RYAN TEANO TAMBOONG")</f>
        <v>RYAN TEANO TAMBOONG</v>
      </c>
      <c r="I2763" s="1">
        <f>IFERROR(__xludf.DUMMYFUNCTION("""COMPUTED_VALUE"""),9385140791)</f>
        <v>9385140791</v>
      </c>
      <c r="J2763" s="1"/>
      <c r="K2763" s="1" t="str">
        <f>IFERROR(__xludf.DUMMYFUNCTION("""COMPUTED_VALUE"""),"ryantamboong16@gmail.com")</f>
        <v>ryantamboong16@gmail.com</v>
      </c>
      <c r="L2763" s="1" t="str">
        <f>IFERROR(__xludf.DUMMYFUNCTION("""COMPUTED_VALUE"""),"150C")</f>
        <v>150C</v>
      </c>
      <c r="M2763" s="1" t="str">
        <f>IFERROR(__xludf.DUMMYFUNCTION("""COMPUTED_VALUE"""),"PUROK 3")</f>
        <v>PUROK 3</v>
      </c>
      <c r="N2763" s="1"/>
      <c r="O2763" s="1" t="str">
        <f>IFERROR(__xludf.DUMMYFUNCTION("""COMPUTED_VALUE"""),"BUCK ESTATE")</f>
        <v>BUCK ESTATE</v>
      </c>
      <c r="P2763" s="1" t="str">
        <f>IFERROR(__xludf.DUMMYFUNCTION("""COMPUTED_VALUE"""),"ALFONSO")</f>
        <v>ALFONSO</v>
      </c>
      <c r="Q2763" s="1" t="str">
        <f>IFERROR(__xludf.DUMMYFUNCTION("""COMPUTED_VALUE"""),"CAVITE")</f>
        <v>CAVITE</v>
      </c>
      <c r="R2763" s="1" t="str">
        <f>IFERROR(__xludf.DUMMYFUNCTION("""COMPUTED_VALUE"""),"FIBR PLAN 1299")</f>
        <v>FIBR PLAN 1299</v>
      </c>
      <c r="S2763" s="1" t="str">
        <f>IFERROR(__xludf.DUMMYFUNCTION("""COMPUTED_VALUE"""),"APPROVED")</f>
        <v>APPROVED</v>
      </c>
      <c r="T2763" s="1" t="str">
        <f>IFERROR(__xludf.DUMMYFUNCTION("""COMPUTED_VALUE"""),"CLOSED")</f>
        <v>CLOSED</v>
      </c>
      <c r="U2763" s="1" t="str">
        <f>IFERROR(__xludf.DUMMYFUNCTION("""COMPUTED_VALUE"""),"POSTED")</f>
        <v>POSTED</v>
      </c>
      <c r="V2763" s="1"/>
      <c r="W2763" s="1"/>
    </row>
    <row r="2764" customHeight="1" spans="1:23">
      <c r="A2764" s="3">
        <f>IFERROR(__xludf.DUMMYFUNCTION("""COMPUTED_VALUE"""),46251)</f>
        <v>46251</v>
      </c>
      <c r="B2764" s="1" t="str">
        <f>IFERROR(__xludf.DUMMYFUNCTION("""COMPUTED_VALUE"""),"MALIWAT MARK ELVIN")</f>
        <v>MALIWAT MARK ELVIN</v>
      </c>
      <c r="C2764" s="1" t="str">
        <f>IFERROR(__xludf.DUMMYFUNCTION("""COMPUTED_VALUE"""),"FLA")</f>
        <v>FLA</v>
      </c>
      <c r="D2764" s="1" t="str">
        <f>IFERROR(__xludf.DUMMYFUNCTION("""COMPUTED_VALUE"""),"JERIC NAVARRO")</f>
        <v>JERIC NAVARRO</v>
      </c>
      <c r="E2764" s="1" t="str">
        <f>IFERROR(__xludf.DUMMYFUNCTION("""COMPUTED_VALUE"""),"PLDT / ONLINE")</f>
        <v>PLDT / ONLINE</v>
      </c>
      <c r="F2764" s="1">
        <f>IFERROR(__xludf.DUMMYFUNCTION("""COMPUTED_VALUE"""),2311860999)</f>
        <v>2311860999</v>
      </c>
      <c r="G2764" s="1">
        <f>IFERROR(__xludf.DUMMYFUNCTION("""COMPUTED_VALUE"""),466851674004)</f>
        <v>466851674004</v>
      </c>
      <c r="H2764" s="1" t="str">
        <f>IFERROR(__xludf.DUMMYFUNCTION("""COMPUTED_VALUE"""),"CARMELITA MANUEL JOSECO")</f>
        <v>CARMELITA MANUEL JOSECO</v>
      </c>
      <c r="I2764" s="1">
        <f>IFERROR(__xludf.DUMMYFUNCTION("""COMPUTED_VALUE"""),9637174706)</f>
        <v>9637174706</v>
      </c>
      <c r="J2764" s="1">
        <f>IFERROR(__xludf.DUMMYFUNCTION("""COMPUTED_VALUE"""),9087861484)</f>
        <v>9087861484</v>
      </c>
      <c r="K2764" s="1" t="str">
        <f>IFERROR(__xludf.DUMMYFUNCTION("""COMPUTED_VALUE"""),"markchristiancruzado2@gmail.com")</f>
        <v>markchristiancruzado2@gmail.com</v>
      </c>
      <c r="L2764" s="1" t="str">
        <f>IFERROR(__xludf.DUMMYFUNCTION("""COMPUTED_VALUE"""),"12")</f>
        <v>12</v>
      </c>
      <c r="M2764" s="1" t="str">
        <f>IFERROR(__xludf.DUMMYFUNCTION("""COMPUTED_VALUE"""),"PUROK 1")</f>
        <v>PUROK 1</v>
      </c>
      <c r="N2764" s="1"/>
      <c r="O2764" s="1" t="str">
        <f>IFERROR(__xludf.DUMMYFUNCTION("""COMPUTED_VALUE"""),"MARAHAN I")</f>
        <v>MARAHAN I</v>
      </c>
      <c r="P2764" s="1" t="str">
        <f>IFERROR(__xludf.DUMMYFUNCTION("""COMPUTED_VALUE"""),"ALFONSO")</f>
        <v>ALFONSO</v>
      </c>
      <c r="Q2764" s="1" t="str">
        <f>IFERROR(__xludf.DUMMYFUNCTION("""COMPUTED_VALUE"""),"CAVITE")</f>
        <v>CAVITE</v>
      </c>
      <c r="R2764" s="1" t="str">
        <f>IFERROR(__xludf.DUMMYFUNCTION("""COMPUTED_VALUE"""),"FIBR UNLI ALL PLAN 1499")</f>
        <v>FIBR UNLI ALL PLAN 1499</v>
      </c>
      <c r="S2764" s="1" t="str">
        <f>IFERROR(__xludf.DUMMYFUNCTION("""COMPUTED_VALUE"""),"APPROVED")</f>
        <v>APPROVED</v>
      </c>
      <c r="T2764" s="1" t="str">
        <f>IFERROR(__xludf.DUMMYFUNCTION("""COMPUTED_VALUE"""),"CLOSED")</f>
        <v>CLOSED</v>
      </c>
      <c r="U2764" s="1" t="str">
        <f>IFERROR(__xludf.DUMMYFUNCTION("""COMPUTED_VALUE"""),"POSTED")</f>
        <v>POSTED</v>
      </c>
      <c r="V2764" s="1"/>
      <c r="W2764" s="1"/>
    </row>
    <row r="2765" customHeight="1" spans="1:23">
      <c r="A2765" s="3">
        <f>IFERROR(__xludf.DUMMYFUNCTION("""COMPUTED_VALUE"""),46251)</f>
        <v>46251</v>
      </c>
      <c r="B2765" s="1" t="str">
        <f>IFERROR(__xludf.DUMMYFUNCTION("""COMPUTED_VALUE"""),"ESCARCHA, MA ALMA  ESCOTO")</f>
        <v>ESCARCHA, MA ALMA  ESCOTO</v>
      </c>
      <c r="C2765" s="1" t="str">
        <f>IFERROR(__xludf.DUMMYFUNCTION("""COMPUTED_VALUE"""),"ORGANIC")</f>
        <v>ORGANIC</v>
      </c>
      <c r="D2765" s="1" t="str">
        <f>IFERROR(__xludf.DUMMYFUNCTION("""COMPUTED_VALUE"""),"REMOLLO LEA")</f>
        <v>REMOLLO LEA</v>
      </c>
      <c r="E2765" s="1" t="str">
        <f>IFERROR(__xludf.DUMMYFUNCTION("""COMPUTED_VALUE"""),"PLDT / H2H")</f>
        <v>PLDT / H2H</v>
      </c>
      <c r="F2765" s="1">
        <f>IFERROR(__xludf.DUMMYFUNCTION("""COMPUTED_VALUE"""),2311863289)</f>
        <v>2311863289</v>
      </c>
      <c r="G2765" s="1">
        <f>IFERROR(__xludf.DUMMYFUNCTION("""COMPUTED_VALUE"""),466860837004)</f>
        <v>466860837004</v>
      </c>
      <c r="H2765" s="1" t="str">
        <f>IFERROR(__xludf.DUMMYFUNCTION("""COMPUTED_VALUE"""),"DANICA ANGELA DE LA CRUZ CONSUELO")</f>
        <v>DANICA ANGELA DE LA CRUZ CONSUELO</v>
      </c>
      <c r="I2765" s="1">
        <f>IFERROR(__xludf.DUMMYFUNCTION("""COMPUTED_VALUE"""),9517068511)</f>
        <v>9517068511</v>
      </c>
      <c r="J2765" s="1"/>
      <c r="K2765" s="1" t="str">
        <f>IFERROR(__xludf.DUMMYFUNCTION("""COMPUTED_VALUE"""),"danicaangelac@gmail.com")</f>
        <v>danicaangelac@gmail.com</v>
      </c>
      <c r="L2765" s="1" t="str">
        <f>IFERROR(__xludf.DUMMYFUNCTION("""COMPUTED_VALUE"""),"354")</f>
        <v>354</v>
      </c>
      <c r="M2765" s="1" t="str">
        <f>IFERROR(__xludf.DUMMYFUNCTION("""COMPUTED_VALUE"""),"SITIO ILANG ILANG")</f>
        <v>SITIO ILANG ILANG</v>
      </c>
      <c r="N2765" s="1"/>
      <c r="O2765" s="1" t="str">
        <f>IFERROR(__xludf.DUMMYFUNCTION("""COMPUTED_VALUE"""),"BATAS")</f>
        <v>BATAS</v>
      </c>
      <c r="P2765" s="1" t="str">
        <f>IFERROR(__xludf.DUMMYFUNCTION("""COMPUTED_VALUE"""),"SILANG")</f>
        <v>SILANG</v>
      </c>
      <c r="Q2765" s="1" t="str">
        <f>IFERROR(__xludf.DUMMYFUNCTION("""COMPUTED_VALUE"""),"CAVITE")</f>
        <v>CAVITE</v>
      </c>
      <c r="R2765" s="1" t="str">
        <f>IFERROR(__xludf.DUMMYFUNCTION("""COMPUTED_VALUE"""),"FIBR UNLI ALL PLAN 999")</f>
        <v>FIBR UNLI ALL PLAN 999</v>
      </c>
      <c r="S2765" s="1" t="str">
        <f>IFERROR(__xludf.DUMMYFUNCTION("""COMPUTED_VALUE"""),"APPROVED")</f>
        <v>APPROVED</v>
      </c>
      <c r="T2765" s="1" t="str">
        <f>IFERROR(__xludf.DUMMYFUNCTION("""COMPUTED_VALUE"""),"CANCELLED")</f>
        <v>CANCELLED</v>
      </c>
      <c r="U2765" s="1"/>
      <c r="V2765" s="1"/>
      <c r="W2765" s="1"/>
    </row>
    <row r="2766" customHeight="1" spans="1:23">
      <c r="A2766" s="3">
        <f>IFERROR(__xludf.DUMMYFUNCTION("""COMPUTED_VALUE"""),46251)</f>
        <v>46251</v>
      </c>
      <c r="B2766" s="1" t="str">
        <f>IFERROR(__xludf.DUMMYFUNCTION("""COMPUTED_VALUE"""),"ALOS, CHARLS LAURENZ")</f>
        <v>ALOS, CHARLS LAURENZ</v>
      </c>
      <c r="C2766" s="1" t="str">
        <f>IFERROR(__xludf.DUMMYFUNCTION("""COMPUTED_VALUE"""),"ORGANIC")</f>
        <v>ORGANIC</v>
      </c>
      <c r="D2766" s="1" t="str">
        <f>IFERROR(__xludf.DUMMYFUNCTION("""COMPUTED_VALUE"""),"REMOLLO LEA")</f>
        <v>REMOLLO LEA</v>
      </c>
      <c r="E2766" s="1" t="str">
        <f>IFERROR(__xludf.DUMMYFUNCTION("""COMPUTED_VALUE"""),"PLDT / H2H")</f>
        <v>PLDT / H2H</v>
      </c>
      <c r="F2766" s="1">
        <f>IFERROR(__xludf.DUMMYFUNCTION("""COMPUTED_VALUE"""),2311863924)</f>
        <v>2311863924</v>
      </c>
      <c r="G2766" s="1">
        <f>IFERROR(__xludf.DUMMYFUNCTION("""COMPUTED_VALUE"""),466853922004)</f>
        <v>466853922004</v>
      </c>
      <c r="H2766" s="1" t="str">
        <f>IFERROR(__xludf.DUMMYFUNCTION("""COMPUTED_VALUE"""),"MARIE JANE MANDAL MIRANDA")</f>
        <v>MARIE JANE MANDAL MIRANDA</v>
      </c>
      <c r="I2766" s="1">
        <f>IFERROR(__xludf.DUMMYFUNCTION("""COMPUTED_VALUE"""),9928836775)</f>
        <v>9928836775</v>
      </c>
      <c r="J2766" s="1"/>
      <c r="K2766" s="1" t="str">
        <f>IFERROR(__xludf.DUMMYFUNCTION("""COMPUTED_VALUE"""),"mirandamariejane9@gmail.com")</f>
        <v>mirandamariejane9@gmail.com</v>
      </c>
      <c r="L2766" s="1" t="str">
        <f>IFERROR(__xludf.DUMMYFUNCTION("""COMPUTED_VALUE"""),"48A")</f>
        <v>48A</v>
      </c>
      <c r="M2766" s="1" t="str">
        <f>IFERROR(__xludf.DUMMYFUNCTION("""COMPUTED_VALUE"""),"LITLIT")</f>
        <v>LITLIT</v>
      </c>
      <c r="N2766" s="1"/>
      <c r="O2766" s="1" t="str">
        <f>IFERROR(__xludf.DUMMYFUNCTION("""COMPUTED_VALUE"""),"LITLIT")</f>
        <v>LITLIT</v>
      </c>
      <c r="P2766" s="1" t="str">
        <f>IFERROR(__xludf.DUMMYFUNCTION("""COMPUTED_VALUE"""),"SILANG")</f>
        <v>SILANG</v>
      </c>
      <c r="Q2766" s="1" t="str">
        <f>IFERROR(__xludf.DUMMYFUNCTION("""COMPUTED_VALUE"""),"CAVITE")</f>
        <v>CAVITE</v>
      </c>
      <c r="R2766" s="1" t="str">
        <f>IFERROR(__xludf.DUMMYFUNCTION("""COMPUTED_VALUE"""),"FIBR UNLI ALL PLAN 999")</f>
        <v>FIBR UNLI ALL PLAN 999</v>
      </c>
      <c r="S2766" s="1" t="str">
        <f>IFERROR(__xludf.DUMMYFUNCTION("""COMPUTED_VALUE"""),"APPROVED")</f>
        <v>APPROVED</v>
      </c>
      <c r="T2766" s="1" t="str">
        <f>IFERROR(__xludf.DUMMYFUNCTION("""COMPUTED_VALUE"""),"CLOSED")</f>
        <v>CLOSED</v>
      </c>
      <c r="U2766" s="1" t="str">
        <f>IFERROR(__xludf.DUMMYFUNCTION("""COMPUTED_VALUE"""),"POSTED")</f>
        <v>POSTED</v>
      </c>
      <c r="V2766" s="1"/>
      <c r="W2766" s="1"/>
    </row>
    <row r="2767" customHeight="1" spans="1:23">
      <c r="A2767" s="3">
        <f>IFERROR(__xludf.DUMMYFUNCTION("""COMPUTED_VALUE"""),46251)</f>
        <v>46251</v>
      </c>
      <c r="B2767" s="1" t="str">
        <f>IFERROR(__xludf.DUMMYFUNCTION("""COMPUTED_VALUE"""),"ALOS, CHARLS LAURENZ")</f>
        <v>ALOS, CHARLS LAURENZ</v>
      </c>
      <c r="C2767" s="1" t="str">
        <f>IFERROR(__xludf.DUMMYFUNCTION("""COMPUTED_VALUE"""),"ORGANIC")</f>
        <v>ORGANIC</v>
      </c>
      <c r="D2767" s="1" t="str">
        <f>IFERROR(__xludf.DUMMYFUNCTION("""COMPUTED_VALUE"""),"REMOLLO LEA")</f>
        <v>REMOLLO LEA</v>
      </c>
      <c r="E2767" s="1" t="str">
        <f>IFERROR(__xludf.DUMMYFUNCTION("""COMPUTED_VALUE"""),"PLDT / H2H")</f>
        <v>PLDT / H2H</v>
      </c>
      <c r="F2767" s="1">
        <f>IFERROR(__xludf.DUMMYFUNCTION("""COMPUTED_VALUE"""),2311865083)</f>
        <v>2311865083</v>
      </c>
      <c r="G2767" s="1">
        <f>IFERROR(__xludf.DUMMYFUNCTION("""COMPUTED_VALUE"""),466859568004)</f>
        <v>466859568004</v>
      </c>
      <c r="H2767" s="1" t="str">
        <f>IFERROR(__xludf.DUMMYFUNCTION("""COMPUTED_VALUE"""),"RHEALYN AMBOJIA DE LEON")</f>
        <v>RHEALYN AMBOJIA DE LEON</v>
      </c>
      <c r="I2767" s="1">
        <f>IFERROR(__xludf.DUMMYFUNCTION("""COMPUTED_VALUE"""),9069116650)</f>
        <v>9069116650</v>
      </c>
      <c r="J2767" s="1"/>
      <c r="K2767" s="1" t="str">
        <f>IFERROR(__xludf.DUMMYFUNCTION("""COMPUTED_VALUE"""),"rhead9938@gmail.com")</f>
        <v>rhead9938@gmail.com</v>
      </c>
      <c r="L2767" s="1" t="str">
        <f>IFERROR(__xludf.DUMMYFUNCTION("""COMPUTED_VALUE"""),"48B")</f>
        <v>48B</v>
      </c>
      <c r="M2767" s="1" t="str">
        <f>IFERROR(__xludf.DUMMYFUNCTION("""COMPUTED_VALUE"""),"LITLIT")</f>
        <v>LITLIT</v>
      </c>
      <c r="N2767" s="1"/>
      <c r="O2767" s="1" t="str">
        <f>IFERROR(__xludf.DUMMYFUNCTION("""COMPUTED_VALUE"""),"LITLIT")</f>
        <v>LITLIT</v>
      </c>
      <c r="P2767" s="1" t="str">
        <f>IFERROR(__xludf.DUMMYFUNCTION("""COMPUTED_VALUE"""),"SILANG")</f>
        <v>SILANG</v>
      </c>
      <c r="Q2767" s="1" t="str">
        <f>IFERROR(__xludf.DUMMYFUNCTION("""COMPUTED_VALUE"""),"CAVITE")</f>
        <v>CAVITE</v>
      </c>
      <c r="R2767" s="1" t="str">
        <f>IFERROR(__xludf.DUMMYFUNCTION("""COMPUTED_VALUE"""),"FIBR PLAN 1299")</f>
        <v>FIBR PLAN 1299</v>
      </c>
      <c r="S2767" s="1" t="str">
        <f>IFERROR(__xludf.DUMMYFUNCTION("""COMPUTED_VALUE"""),"APPROVED")</f>
        <v>APPROVED</v>
      </c>
      <c r="T2767" s="1" t="str">
        <f>IFERROR(__xludf.DUMMYFUNCTION("""COMPUTED_VALUE"""),"CLOSED")</f>
        <v>CLOSED</v>
      </c>
      <c r="U2767" s="1" t="str">
        <f>IFERROR(__xludf.DUMMYFUNCTION("""COMPUTED_VALUE"""),"POSTED")</f>
        <v>POSTED</v>
      </c>
      <c r="V2767" s="1"/>
      <c r="W2767" s="1"/>
    </row>
    <row r="2768" customHeight="1" spans="1:23">
      <c r="A2768" s="3">
        <f>IFERROR(__xludf.DUMMYFUNCTION("""COMPUTED_VALUE"""),46251)</f>
        <v>46251</v>
      </c>
      <c r="B2768" s="1" t="str">
        <f>IFERROR(__xludf.DUMMYFUNCTION("""COMPUTED_VALUE"""),"FRANCISCO , ROSELYN")</f>
        <v>FRANCISCO , ROSELYN</v>
      </c>
      <c r="C2768" s="1" t="str">
        <f>IFERROR(__xludf.DUMMYFUNCTION("""COMPUTED_VALUE"""),"ORGANIC")</f>
        <v>ORGANIC</v>
      </c>
      <c r="D2768" s="1" t="str">
        <f>IFERROR(__xludf.DUMMYFUNCTION("""COMPUTED_VALUE"""),"REMOLLO LEA")</f>
        <v>REMOLLO LEA</v>
      </c>
      <c r="E2768" s="1" t="str">
        <f>IFERROR(__xludf.DUMMYFUNCTION("""COMPUTED_VALUE"""),"PLDT / ONLINE")</f>
        <v>PLDT / ONLINE</v>
      </c>
      <c r="F2768" s="1">
        <f>IFERROR(__xludf.DUMMYFUNCTION("""COMPUTED_VALUE"""),2311889161)</f>
        <v>2311889161</v>
      </c>
      <c r="G2768" s="1">
        <f>IFERROR(__xludf.DUMMYFUNCTION("""COMPUTED_VALUE"""),467020851004)</f>
        <v>467020851004</v>
      </c>
      <c r="H2768" s="1" t="str">
        <f>IFERROR(__xludf.DUMMYFUNCTION("""COMPUTED_VALUE"""),"ROLAND CABANTUGAN SILVA")</f>
        <v>ROLAND CABANTUGAN SILVA</v>
      </c>
      <c r="I2768" s="1">
        <f>IFERROR(__xludf.DUMMYFUNCTION("""COMPUTED_VALUE"""),9910234290)</f>
        <v>9910234290</v>
      </c>
      <c r="J2768" s="1"/>
      <c r="K2768" s="1" t="str">
        <f>IFERROR(__xludf.DUMMYFUNCTION("""COMPUTED_VALUE"""),"babylynsilva20@gmail.com")</f>
        <v>babylynsilva20@gmail.com</v>
      </c>
      <c r="L2768" s="1" t="str">
        <f>IFERROR(__xludf.DUMMYFUNCTION("""COMPUTED_VALUE"""),"282")</f>
        <v>282</v>
      </c>
      <c r="M2768" s="1" t="str">
        <f>IFERROR(__xludf.DUMMYFUNCTION("""COMPUTED_VALUE"""),"PABAHAY 4")</f>
        <v>PABAHAY 4</v>
      </c>
      <c r="N2768" s="1"/>
      <c r="O2768" s="1" t="str">
        <f>IFERROR(__xludf.DUMMYFUNCTION("""COMPUTED_VALUE"""),"MENDEZ CROSSING WEST")</f>
        <v>MENDEZ CROSSING WEST</v>
      </c>
      <c r="P2768" s="1" t="str">
        <f>IFERROR(__xludf.DUMMYFUNCTION("""COMPUTED_VALUE"""),"TAGAYTAY")</f>
        <v>TAGAYTAY</v>
      </c>
      <c r="Q2768" s="1" t="str">
        <f>IFERROR(__xludf.DUMMYFUNCTION("""COMPUTED_VALUE"""),"CAVITE")</f>
        <v>CAVITE</v>
      </c>
      <c r="R2768" s="1" t="str">
        <f>IFERROR(__xludf.DUMMYFUNCTION("""COMPUTED_VALUE"""),"FIBR UNLI ALL PLAN 999")</f>
        <v>FIBR UNLI ALL PLAN 999</v>
      </c>
      <c r="S2768" s="1" t="str">
        <f>IFERROR(__xludf.DUMMYFUNCTION("""COMPUTED_VALUE"""),"APPROVED")</f>
        <v>APPROVED</v>
      </c>
      <c r="T2768" s="1" t="str">
        <f>IFERROR(__xludf.DUMMYFUNCTION("""COMPUTED_VALUE"""),"CANCELLED")</f>
        <v>CANCELLED</v>
      </c>
      <c r="U2768" s="1" t="str">
        <f>IFERROR(__xludf.DUMMYFUNCTION("""COMPUTED_VALUE"""),"OTP COMPLIANCE")</f>
        <v>OTP COMPLIANCE</v>
      </c>
      <c r="V2768" s="1"/>
      <c r="W2768" s="1"/>
    </row>
    <row r="2769" customHeight="1" spans="1:23">
      <c r="A2769" s="3">
        <f>IFERROR(__xludf.DUMMYFUNCTION("""COMPUTED_VALUE"""),46251)</f>
        <v>46251</v>
      </c>
      <c r="B2769" s="1" t="str">
        <f>IFERROR(__xludf.DUMMYFUNCTION("""COMPUTED_VALUE"""),"FRANCISCO , ROSELYN")</f>
        <v>FRANCISCO , ROSELYN</v>
      </c>
      <c r="C2769" s="1" t="str">
        <f>IFERROR(__xludf.DUMMYFUNCTION("""COMPUTED_VALUE"""),"ORGANIC")</f>
        <v>ORGANIC</v>
      </c>
      <c r="D2769" s="1" t="str">
        <f>IFERROR(__xludf.DUMMYFUNCTION("""COMPUTED_VALUE"""),"REMOLLO LEA")</f>
        <v>REMOLLO LEA</v>
      </c>
      <c r="E2769" s="1" t="str">
        <f>IFERROR(__xludf.DUMMYFUNCTION("""COMPUTED_VALUE"""),"PLDT / ONLINE")</f>
        <v>PLDT / ONLINE</v>
      </c>
      <c r="F2769" s="1"/>
      <c r="G2769" s="1"/>
      <c r="H2769" s="1" t="str">
        <f>IFERROR(__xludf.DUMMYFUNCTION("""COMPUTED_VALUE"""),"FRED JASON DUNGCA")</f>
        <v>FRED JASON DUNGCA</v>
      </c>
      <c r="I2769" s="1">
        <f>IFERROR(__xludf.DUMMYFUNCTION("""COMPUTED_VALUE"""),9657583209)</f>
        <v>9657583209</v>
      </c>
      <c r="J2769" s="1"/>
      <c r="K2769" s="1" t="str">
        <f>IFERROR(__xludf.DUMMYFUNCTION("""COMPUTED_VALUE"""),"derfjaysond@gmail.com")</f>
        <v>derfjaysond@gmail.com</v>
      </c>
      <c r="L2769" s="1" t="str">
        <f>IFERROR(__xludf.DUMMYFUNCTION("""COMPUTED_VALUE"""),"002-BL-024")</f>
        <v>002-BL-024</v>
      </c>
      <c r="M2769" s="1" t="str">
        <f>IFERROR(__xludf.DUMMYFUNCTION("""COMPUTED_VALUE"""),"ARMSTRONG VILLAGE")</f>
        <v>ARMSTRONG VILLAGE</v>
      </c>
      <c r="N2769" s="1" t="str">
        <f>IFERROR(__xludf.DUMMYFUNCTION("""COMPUTED_VALUE"""),"ARMSTRONG VILLAGE")</f>
        <v>ARMSTRONG VILLAGE</v>
      </c>
      <c r="O2769" s="1" t="str">
        <f>IFERROR(__xludf.DUMMYFUNCTION("""COMPUTED_VALUE"""),"SALAWAG")</f>
        <v>SALAWAG</v>
      </c>
      <c r="P2769" s="1" t="str">
        <f>IFERROR(__xludf.DUMMYFUNCTION("""COMPUTED_VALUE"""),"DASMARINAS")</f>
        <v>DASMARINAS</v>
      </c>
      <c r="Q2769" s="1" t="str">
        <f>IFERROR(__xludf.DUMMYFUNCTION("""COMPUTED_VALUE"""),"CAVITE")</f>
        <v>CAVITE</v>
      </c>
      <c r="R2769" s="1" t="str">
        <f>IFERROR(__xludf.DUMMYFUNCTION("""COMPUTED_VALUE"""),"FIBR UNLI ALL PLAN 1499")</f>
        <v>FIBR UNLI ALL PLAN 1499</v>
      </c>
      <c r="S2769" s="1" t="str">
        <f>IFERROR(__xludf.DUMMYFUNCTION("""COMPUTED_VALUE"""),"CANCELLED ")</f>
        <v>CANCELLED </v>
      </c>
      <c r="T2769" s="1" t="str">
        <f>IFERROR(__xludf.DUMMYFUNCTION("""COMPUTED_VALUE"""),"#N/A")</f>
        <v>#N/A</v>
      </c>
      <c r="U2769" s="1" t="str">
        <f>IFERROR(__xludf.DUMMYFUNCTION("""COMPUTED_VALUE"""),"OTP COMPLIANCE")</f>
        <v>OTP COMPLIANCE</v>
      </c>
      <c r="V2769" s="1"/>
      <c r="W2769" s="1"/>
    </row>
    <row r="2770" customHeight="1" spans="1:23">
      <c r="A2770" s="3">
        <f>IFERROR(__xludf.DUMMYFUNCTION("""COMPUTED_VALUE"""),46251)</f>
        <v>46251</v>
      </c>
      <c r="B2770" s="1" t="str">
        <f>IFERROR(__xludf.DUMMYFUNCTION("""COMPUTED_VALUE"""),"MALIWAT MARK ELVIN")</f>
        <v>MALIWAT MARK ELVIN</v>
      </c>
      <c r="C2770" s="1" t="str">
        <f>IFERROR(__xludf.DUMMYFUNCTION("""COMPUTED_VALUE"""),"FLA")</f>
        <v>FLA</v>
      </c>
      <c r="D2770" s="1" t="str">
        <f>IFERROR(__xludf.DUMMYFUNCTION("""COMPUTED_VALUE"""),"JERIC NAVARRO")</f>
        <v>JERIC NAVARRO</v>
      </c>
      <c r="E2770" s="1" t="str">
        <f>IFERROR(__xludf.DUMMYFUNCTION("""COMPUTED_VALUE"""),"PLDT / ONLINE")</f>
        <v>PLDT / ONLINE</v>
      </c>
      <c r="F2770" s="1"/>
      <c r="G2770" s="1"/>
      <c r="H2770" s="1" t="str">
        <f>IFERROR(__xludf.DUMMYFUNCTION("""COMPUTED_VALUE"""),"MARITES LABIAN ESTUPIN")</f>
        <v>MARITES LABIAN ESTUPIN</v>
      </c>
      <c r="I2770" s="1">
        <f>IFERROR(__xludf.DUMMYFUNCTION("""COMPUTED_VALUE"""),9054978987)</f>
        <v>9054978987</v>
      </c>
      <c r="J2770" s="1"/>
      <c r="K2770" s="1" t="str">
        <f>IFERROR(__xludf.DUMMYFUNCTION("""COMPUTED_VALUE"""),"maritesestupin@hotmail.com")</f>
        <v>maritesestupin@hotmail.com</v>
      </c>
      <c r="L2770" s="1" t="str">
        <f>IFERROR(__xludf.DUMMYFUNCTION("""COMPUTED_VALUE"""),"1")</f>
        <v>1</v>
      </c>
      <c r="M2770" s="1" t="str">
        <f>IFERROR(__xludf.DUMMYFUNCTION("""COMPUTED_VALUE"""),"JOSE ABAD SANTOS")</f>
        <v>JOSE ABAD SANTOS</v>
      </c>
      <c r="N2770" s="1"/>
      <c r="O2770" s="1" t="str">
        <f>IFERROR(__xludf.DUMMYFUNCTION("""COMPUTED_VALUE"""),"SALITRAN I")</f>
        <v>SALITRAN I</v>
      </c>
      <c r="P2770" s="1" t="str">
        <f>IFERROR(__xludf.DUMMYFUNCTION("""COMPUTED_VALUE"""),"DASMARINAS")</f>
        <v>DASMARINAS</v>
      </c>
      <c r="Q2770" s="1" t="str">
        <f>IFERROR(__xludf.DUMMYFUNCTION("""COMPUTED_VALUE"""),"CAVITE")</f>
        <v>CAVITE</v>
      </c>
      <c r="R2770" s="1" t="str">
        <f>IFERROR(__xludf.DUMMYFUNCTION("""COMPUTED_VALUE"""),"FIBR UNLI ALL PLAN 1499")</f>
        <v>FIBR UNLI ALL PLAN 1499</v>
      </c>
      <c r="S2770" s="1" t="str">
        <f>IFERROR(__xludf.DUMMYFUNCTION("""COMPUTED_VALUE"""),"HOLD")</f>
        <v>HOLD</v>
      </c>
      <c r="T2770" s="1" t="str">
        <f>IFERROR(__xludf.DUMMYFUNCTION("""COMPUTED_VALUE"""),"#N/A")</f>
        <v>#N/A</v>
      </c>
      <c r="U2770" s="1" t="str">
        <f>IFERROR(__xludf.DUMMYFUNCTION("""COMPUTED_VALUE"""),"OTP COMPLIANCE")</f>
        <v>OTP COMPLIANCE</v>
      </c>
      <c r="V2770" s="1"/>
      <c r="W2770" s="1"/>
    </row>
    <row r="2771" customHeight="1" spans="1:23">
      <c r="A2771" s="3">
        <f>IFERROR(__xludf.DUMMYFUNCTION("""COMPUTED_VALUE"""),46251)</f>
        <v>46251</v>
      </c>
      <c r="B2771" s="1" t="str">
        <f>IFERROR(__xludf.DUMMYFUNCTION("""COMPUTED_VALUE"""),"ESCARCHA, MA ALMA  ESCOTO")</f>
        <v>ESCARCHA, MA ALMA  ESCOTO</v>
      </c>
      <c r="C2771" s="1" t="str">
        <f>IFERROR(__xludf.DUMMYFUNCTION("""COMPUTED_VALUE"""),"ORGANIC")</f>
        <v>ORGANIC</v>
      </c>
      <c r="D2771" s="1" t="str">
        <f>IFERROR(__xludf.DUMMYFUNCTION("""COMPUTED_VALUE"""),"REMOLLO LEA")</f>
        <v>REMOLLO LEA</v>
      </c>
      <c r="E2771" s="1" t="str">
        <f>IFERROR(__xludf.DUMMYFUNCTION("""COMPUTED_VALUE"""),"PLDT / H2H")</f>
        <v>PLDT / H2H</v>
      </c>
      <c r="F2771" s="1">
        <f>IFERROR(__xludf.DUMMYFUNCTION("""COMPUTED_VALUE"""),2311892355)</f>
        <v>2311892355</v>
      </c>
      <c r="G2771" s="1">
        <f>IFERROR(__xludf.DUMMYFUNCTION("""COMPUTED_VALUE"""),467028697004)</f>
        <v>467028697004</v>
      </c>
      <c r="H2771" s="1" t="str">
        <f>IFERROR(__xludf.DUMMYFUNCTION("""COMPUTED_VALUE"""),"FARIDA SALASAIN SABTAL")</f>
        <v>FARIDA SALASAIN SABTAL</v>
      </c>
      <c r="I2771" s="1">
        <f>IFERROR(__xludf.DUMMYFUNCTION("""COMPUTED_VALUE"""),2311892355)</f>
        <v>2311892355</v>
      </c>
      <c r="J2771" s="1">
        <f>IFERROR(__xludf.DUMMYFUNCTION("""COMPUTED_VALUE"""),467028697004)</f>
        <v>467028697004</v>
      </c>
      <c r="K2771" s="1" t="str">
        <f>IFERROR(__xludf.DUMMYFUNCTION("""COMPUTED_VALUE"""),"salasainfrida52@gmail.com")</f>
        <v>salasainfrida52@gmail.com</v>
      </c>
      <c r="L2771" s="1" t="str">
        <f>IFERROR(__xludf.DUMMYFUNCTION("""COMPUTED_VALUE"""),"r18")</f>
        <v>r18</v>
      </c>
      <c r="M2771" s="1" t="str">
        <f>IFERROR(__xludf.DUMMYFUNCTION("""COMPUTED_VALUE"""),"DAANG BATAS")</f>
        <v>DAANG BATAS</v>
      </c>
      <c r="N2771" s="1"/>
      <c r="O2771" s="1" t="str">
        <f>IFERROR(__xludf.DUMMYFUNCTION("""COMPUTED_VALUE"""),"KALUBKOB")</f>
        <v>KALUBKOB</v>
      </c>
      <c r="P2771" s="1" t="str">
        <f>IFERROR(__xludf.DUMMYFUNCTION("""COMPUTED_VALUE"""),"SILANG")</f>
        <v>SILANG</v>
      </c>
      <c r="Q2771" s="1" t="str">
        <f>IFERROR(__xludf.DUMMYFUNCTION("""COMPUTED_VALUE"""),"CAVITE")</f>
        <v>CAVITE</v>
      </c>
      <c r="R2771" s="1" t="str">
        <f>IFERROR(__xludf.DUMMYFUNCTION("""COMPUTED_VALUE"""),"FIBR PLAN 1299")</f>
        <v>FIBR PLAN 1299</v>
      </c>
      <c r="S2771" s="1" t="str">
        <f>IFERROR(__xludf.DUMMYFUNCTION("""COMPUTED_VALUE"""),"APPROVED")</f>
        <v>APPROVED</v>
      </c>
      <c r="T2771" s="1" t="str">
        <f>IFERROR(__xludf.DUMMYFUNCTION("""COMPUTED_VALUE"""),"RPR")</f>
        <v>RPR</v>
      </c>
      <c r="U2771" s="1"/>
      <c r="V2771" s="1"/>
      <c r="W2771" s="1"/>
    </row>
    <row r="2772" customHeight="1" spans="1:23">
      <c r="A2772" s="3">
        <f>IFERROR(__xludf.DUMMYFUNCTION("""COMPUTED_VALUE"""),46251)</f>
        <v>46251</v>
      </c>
      <c r="B2772" s="1" t="str">
        <f>IFERROR(__xludf.DUMMYFUNCTION("""COMPUTED_VALUE"""),"MALIWAT MARK ELVIN")</f>
        <v>MALIWAT MARK ELVIN</v>
      </c>
      <c r="C2772" s="1" t="str">
        <f>IFERROR(__xludf.DUMMYFUNCTION("""COMPUTED_VALUE"""),"FLA")</f>
        <v>FLA</v>
      </c>
      <c r="D2772" s="1" t="str">
        <f>IFERROR(__xludf.DUMMYFUNCTION("""COMPUTED_VALUE"""),"JERIC NAVARRO")</f>
        <v>JERIC NAVARRO</v>
      </c>
      <c r="E2772" s="1" t="str">
        <f>IFERROR(__xludf.DUMMYFUNCTION("""COMPUTED_VALUE"""),"PLDT / ONLINE")</f>
        <v>PLDT / ONLINE</v>
      </c>
      <c r="F2772" s="1"/>
      <c r="G2772" s="1"/>
      <c r="H2772" s="1" t="str">
        <f>IFERROR(__xludf.DUMMYFUNCTION("""COMPUTED_VALUE"""),"PIA JOIE RESURRECCION NUESTRO")</f>
        <v>PIA JOIE RESURRECCION NUESTRO</v>
      </c>
      <c r="I2772" s="1">
        <f>IFERROR(__xludf.DUMMYFUNCTION("""COMPUTED_VALUE"""),9457707541)</f>
        <v>9457707541</v>
      </c>
      <c r="J2772" s="1">
        <f>IFERROR(__xludf.DUMMYFUNCTION("""COMPUTED_VALUE"""),9953784636)</f>
        <v>9953784636</v>
      </c>
      <c r="K2772" s="1" t="str">
        <f>IFERROR(__xludf.DUMMYFUNCTION("""COMPUTED_VALUE"""),"piajrn@gmail.com")</f>
        <v>piajrn@gmail.com</v>
      </c>
      <c r="L2772" s="1" t="str">
        <f>IFERROR(__xludf.DUMMYFUNCTION("""COMPUTED_VALUE"""),"081B")</f>
        <v>081B</v>
      </c>
      <c r="M2772" s="1" t="str">
        <f>IFERROR(__xludf.DUMMYFUNCTION("""COMPUTED_VALUE"""),"TAYWANAK ILAYA")</f>
        <v>TAYWANAK ILAYA</v>
      </c>
      <c r="N2772" s="1"/>
      <c r="O2772" s="1" t="str">
        <f>IFERROR(__xludf.DUMMYFUNCTION("""COMPUTED_VALUE"""),"TAYWANAK ILAYA")</f>
        <v>TAYWANAK ILAYA</v>
      </c>
      <c r="P2772" s="1" t="str">
        <f>IFERROR(__xludf.DUMMYFUNCTION("""COMPUTED_VALUE"""),"ALFONSO")</f>
        <v>ALFONSO</v>
      </c>
      <c r="Q2772" s="1" t="str">
        <f>IFERROR(__xludf.DUMMYFUNCTION("""COMPUTED_VALUE"""),"CAVITE")</f>
        <v>CAVITE</v>
      </c>
      <c r="R2772" s="1" t="str">
        <f>IFERROR(__xludf.DUMMYFUNCTION("""COMPUTED_VALUE"""),"FIBR NETFLIX PLAN 1599")</f>
        <v>FIBR NETFLIX PLAN 1599</v>
      </c>
      <c r="S2772" s="1" t="str">
        <f>IFERROR(__xludf.DUMMYFUNCTION("""COMPUTED_VALUE"""),"HOLD")</f>
        <v>HOLD</v>
      </c>
      <c r="T2772" s="1" t="str">
        <f>IFERROR(__xludf.DUMMYFUNCTION("""COMPUTED_VALUE"""),"#N/A")</f>
        <v>#N/A</v>
      </c>
      <c r="U2772" s="1" t="str">
        <f>IFERROR(__xludf.DUMMYFUNCTION("""COMPUTED_VALUE"""),"OTP COMPLIANCE")</f>
        <v>OTP COMPLIANCE</v>
      </c>
      <c r="V2772" s="1"/>
      <c r="W2772" s="1"/>
    </row>
    <row r="2773" customHeight="1" spans="1:23">
      <c r="A2773" s="3">
        <f>IFERROR(__xludf.DUMMYFUNCTION("""COMPUTED_VALUE"""),46252)</f>
        <v>46252</v>
      </c>
      <c r="B2773" s="1" t="str">
        <f>IFERROR(__xludf.DUMMYFUNCTION("""COMPUTED_VALUE"""),"MALIWAT MARK ELVIN")</f>
        <v>MALIWAT MARK ELVIN</v>
      </c>
      <c r="C2773" s="1" t="str">
        <f>IFERROR(__xludf.DUMMYFUNCTION("""COMPUTED_VALUE"""),"FLA")</f>
        <v>FLA</v>
      </c>
      <c r="D2773" s="1" t="str">
        <f>IFERROR(__xludf.DUMMYFUNCTION("""COMPUTED_VALUE"""),"JERIC NAVARRO")</f>
        <v>JERIC NAVARRO</v>
      </c>
      <c r="E2773" s="1" t="str">
        <f>IFERROR(__xludf.DUMMYFUNCTION("""COMPUTED_VALUE"""),"PLDT / ONLINE")</f>
        <v>PLDT / ONLINE</v>
      </c>
      <c r="F2773" s="1">
        <f>IFERROR(__xludf.DUMMYFUNCTION("""COMPUTED_VALUE"""),2311883571)</f>
        <v>2311883571</v>
      </c>
      <c r="G2773" s="1">
        <f>IFERROR(__xludf.DUMMYFUNCTION("""COMPUTED_VALUE"""),467084371004)</f>
        <v>467084371004</v>
      </c>
      <c r="H2773" s="1" t="str">
        <f>IFERROR(__xludf.DUMMYFUNCTION("""COMPUTED_VALUE"""),"JANELLE CALLEJA ALMANZA")</f>
        <v>JANELLE CALLEJA ALMANZA</v>
      </c>
      <c r="I2773" s="1">
        <f>IFERROR(__xludf.DUMMYFUNCTION("""COMPUTED_VALUE"""),9103962353)</f>
        <v>9103962353</v>
      </c>
      <c r="J2773" s="1"/>
      <c r="K2773" s="1" t="str">
        <f>IFERROR(__xludf.DUMMYFUNCTION("""COMPUTED_VALUE"""),"almanzajanelle58@gmial.com")</f>
        <v>almanzajanelle58@gmial.com</v>
      </c>
      <c r="L2773" s="1" t="str">
        <f>IFERROR(__xludf.DUMMYFUNCTION("""COMPUTED_VALUE"""),"BLK 9 LOT 36")</f>
        <v>BLK 9 LOT 36</v>
      </c>
      <c r="M2773" s="1" t="str">
        <f>IFERROR(__xludf.DUMMYFUNCTION("""COMPUTED_VALUE"""),"ZONE 11")</f>
        <v>ZONE 11</v>
      </c>
      <c r="N2773" s="1" t="str">
        <f>IFERROR(__xludf.DUMMYFUNCTION("""COMPUTED_VALUE"""),"BAUTISTA")</f>
        <v>BAUTISTA</v>
      </c>
      <c r="O2773" s="1" t="str">
        <f>IFERROR(__xludf.DUMMYFUNCTION("""COMPUTED_VALUE"""),"SAMPALOC IV")</f>
        <v>SAMPALOC IV</v>
      </c>
      <c r="P2773" s="1" t="str">
        <f>IFERROR(__xludf.DUMMYFUNCTION("""COMPUTED_VALUE"""),"DASMARINAS")</f>
        <v>DASMARINAS</v>
      </c>
      <c r="Q2773" s="1" t="str">
        <f>IFERROR(__xludf.DUMMYFUNCTION("""COMPUTED_VALUE"""),"CAVITE")</f>
        <v>CAVITE</v>
      </c>
      <c r="R2773" s="1" t="str">
        <f>IFERROR(__xludf.DUMMYFUNCTION("""COMPUTED_VALUE"""),"FIBR PLAN 1299")</f>
        <v>FIBR PLAN 1299</v>
      </c>
      <c r="S2773" s="1" t="str">
        <f>IFERROR(__xludf.DUMMYFUNCTION("""COMPUTED_VALUE"""),"APPROVED")</f>
        <v>APPROVED</v>
      </c>
      <c r="T2773" s="1" t="str">
        <f>IFERROR(__xludf.DUMMYFUNCTION("""COMPUTED_VALUE"""),"CLOSED")</f>
        <v>CLOSED</v>
      </c>
      <c r="U2773" s="1" t="str">
        <f>IFERROR(__xludf.DUMMYFUNCTION("""COMPUTED_VALUE"""),"POSTED")</f>
        <v>POSTED</v>
      </c>
      <c r="V2773" s="1"/>
      <c r="W2773" s="1"/>
    </row>
    <row r="2774" customHeight="1" spans="1:23">
      <c r="A2774" s="3">
        <f>IFERROR(__xludf.DUMMYFUNCTION("""COMPUTED_VALUE"""),46252)</f>
        <v>46252</v>
      </c>
      <c r="B2774" s="1" t="str">
        <f>IFERROR(__xludf.DUMMYFUNCTION("""COMPUTED_VALUE"""),"AYON MANUEL")</f>
        <v>AYON MANUEL</v>
      </c>
      <c r="C2774" s="1" t="str">
        <f>IFERROR(__xludf.DUMMYFUNCTION("""COMPUTED_VALUE"""),"FLA")</f>
        <v>FLA</v>
      </c>
      <c r="D2774" s="1" t="str">
        <f>IFERROR(__xludf.DUMMYFUNCTION("""COMPUTED_VALUE"""),"JERIC NAVARRO")</f>
        <v>JERIC NAVARRO</v>
      </c>
      <c r="E2774" s="1" t="str">
        <f>IFERROR(__xludf.DUMMYFUNCTION("""COMPUTED_VALUE"""),"PLDT / ONLINE")</f>
        <v>PLDT / ONLINE</v>
      </c>
      <c r="F2774" s="1">
        <f>IFERROR(__xludf.DUMMYFUNCTION("""COMPUTED_VALUE"""),2311971902)</f>
        <v>2311971902</v>
      </c>
      <c r="G2774" s="1">
        <f>IFERROR(__xludf.DUMMYFUNCTION("""COMPUTED_VALUE"""),467403961004)</f>
        <v>467403961004</v>
      </c>
      <c r="H2774" s="1" t="str">
        <f>IFERROR(__xludf.DUMMYFUNCTION("""COMPUTED_VALUE"""),"ROBERT BETCO RONCAL")</f>
        <v>ROBERT BETCO RONCAL</v>
      </c>
      <c r="I2774" s="1">
        <f>IFERROR(__xludf.DUMMYFUNCTION("""COMPUTED_VALUE"""),9507535728)</f>
        <v>9507535728</v>
      </c>
      <c r="J2774" s="1">
        <f>IFERROR(__xludf.DUMMYFUNCTION("""COMPUTED_VALUE"""),9534227677)</f>
        <v>9534227677</v>
      </c>
      <c r="K2774" s="1" t="str">
        <f>IFERROR(__xludf.DUMMYFUNCTION("""COMPUTED_VALUE"""),"rhobertrncal06@gmail.com")</f>
        <v>rhobertrncal06@gmail.com</v>
      </c>
      <c r="L2774" s="1" t="str">
        <f>IFERROR(__xludf.DUMMYFUNCTION("""COMPUTED_VALUE"""),"31D")</f>
        <v>31D</v>
      </c>
      <c r="M2774" s="1" t="str">
        <f>IFERROR(__xludf.DUMMYFUNCTION("""COMPUTED_VALUE"""),"PUROK 2")</f>
        <v>PUROK 2</v>
      </c>
      <c r="N2774" s="1"/>
      <c r="O2774" s="1" t="str">
        <f>IFERROR(__xludf.DUMMYFUNCTION("""COMPUTED_VALUE"""),"BILUSO")</f>
        <v>BILUSO</v>
      </c>
      <c r="P2774" s="1" t="str">
        <f>IFERROR(__xludf.DUMMYFUNCTION("""COMPUTED_VALUE"""),"SILANG")</f>
        <v>SILANG</v>
      </c>
      <c r="Q2774" s="1" t="str">
        <f>IFERROR(__xludf.DUMMYFUNCTION("""COMPUTED_VALUE"""),"CAVITE")</f>
        <v>CAVITE</v>
      </c>
      <c r="R2774" s="1" t="str">
        <f>IFERROR(__xludf.DUMMYFUNCTION("""COMPUTED_VALUE"""),"FIBR NETFLIX PLAN 1599")</f>
        <v>FIBR NETFLIX PLAN 1599</v>
      </c>
      <c r="S2774" s="1" t="str">
        <f>IFERROR(__xludf.DUMMYFUNCTION("""COMPUTED_VALUE"""),"APPROVED")</f>
        <v>APPROVED</v>
      </c>
      <c r="T2774" s="1" t="str">
        <f>IFERROR(__xludf.DUMMYFUNCTION("""COMPUTED_VALUE"""),"CLOSED")</f>
        <v>CLOSED</v>
      </c>
      <c r="U2774" s="1" t="str">
        <f>IFERROR(__xludf.DUMMYFUNCTION("""COMPUTED_VALUE"""),"POSTED")</f>
        <v>POSTED</v>
      </c>
      <c r="V2774" s="1"/>
      <c r="W2774" s="1"/>
    </row>
    <row r="2775" customHeight="1" spans="1:23">
      <c r="A2775" s="3">
        <f>IFERROR(__xludf.DUMMYFUNCTION("""COMPUTED_VALUE"""),46252)</f>
        <v>46252</v>
      </c>
      <c r="B2775" s="1" t="str">
        <f>IFERROR(__xludf.DUMMYFUNCTION("""COMPUTED_VALUE"""),"ALINGARO, CINDY")</f>
        <v>ALINGARO, CINDY</v>
      </c>
      <c r="C2775" s="1" t="str">
        <f>IFERROR(__xludf.DUMMYFUNCTION("""COMPUTED_VALUE"""),"ORGANIC")</f>
        <v>ORGANIC</v>
      </c>
      <c r="D2775" s="1" t="str">
        <f>IFERROR(__xludf.DUMMYFUNCTION("""COMPUTED_VALUE"""),"REMOLLO LEA")</f>
        <v>REMOLLO LEA</v>
      </c>
      <c r="E2775" s="1" t="str">
        <f>IFERROR(__xludf.DUMMYFUNCTION("""COMPUTED_VALUE"""),"PLDT / ONLINE")</f>
        <v>PLDT / ONLINE</v>
      </c>
      <c r="F2775" s="1">
        <f>IFERROR(__xludf.DUMMYFUNCTION("""COMPUTED_VALUE"""),2311882821)</f>
        <v>2311882821</v>
      </c>
      <c r="G2775" s="1">
        <f>IFERROR(__xludf.DUMMYFUNCTION("""COMPUTED_VALUE"""),467016783004)</f>
        <v>467016783004</v>
      </c>
      <c r="H2775" s="1" t="str">
        <f>IFERROR(__xludf.DUMMYFUNCTION("""COMPUTED_VALUE"""),"ALFINA GA EUPENA")</f>
        <v>ALFINA GA EUPENA</v>
      </c>
      <c r="I2775" s="1">
        <f>IFERROR(__xludf.DUMMYFUNCTION("""COMPUTED_VALUE"""),9702423594)</f>
        <v>9702423594</v>
      </c>
      <c r="J2775" s="1">
        <f>IFERROR(__xludf.DUMMYFUNCTION("""COMPUTED_VALUE"""),9851762901)</f>
        <v>9851762901</v>
      </c>
      <c r="K2775" s="1" t="str">
        <f>IFERROR(__xludf.DUMMYFUNCTION("""COMPUTED_VALUE"""),"eupeniajrm@gmail.com")</f>
        <v>eupeniajrm@gmail.com</v>
      </c>
      <c r="L2775" s="1" t="str">
        <f>IFERROR(__xludf.DUMMYFUNCTION("""COMPUTED_VALUE"""),"BLK 9 EXCESS LOT")</f>
        <v>BLK 9 EXCESS LOT</v>
      </c>
      <c r="M2775" s="1" t="str">
        <f>IFERROR(__xludf.DUMMYFUNCTION("""COMPUTED_VALUE"""),"AREA F")</f>
        <v>AREA F</v>
      </c>
      <c r="N2775" s="1"/>
      <c r="O2775" s="1" t="str">
        <f>IFERROR(__xludf.DUMMYFUNCTION("""COMPUTED_VALUE"""),"KAPITAN KUA (AREA F)")</f>
        <v>KAPITAN KUA (AREA F)</v>
      </c>
      <c r="P2775" s="1" t="str">
        <f>IFERROR(__xludf.DUMMYFUNCTION("""COMPUTED_VALUE"""),"GEN MARIANO ALVAREZ")</f>
        <v>GEN MARIANO ALVAREZ</v>
      </c>
      <c r="Q2775" s="1" t="str">
        <f>IFERROR(__xludf.DUMMYFUNCTION("""COMPUTED_VALUE"""),"CAVITE")</f>
        <v>CAVITE</v>
      </c>
      <c r="R2775" s="1" t="str">
        <f>IFERROR(__xludf.DUMMYFUNCTION("""COMPUTED_VALUE"""),"FIBR UNLI ALL PLAN 999")</f>
        <v>FIBR UNLI ALL PLAN 999</v>
      </c>
      <c r="S2775" s="1" t="str">
        <f>IFERROR(__xludf.DUMMYFUNCTION("""COMPUTED_VALUE"""),"APPROVED")</f>
        <v>APPROVED</v>
      </c>
      <c r="T2775" s="1" t="str">
        <f>IFERROR(__xludf.DUMMYFUNCTION("""COMPUTED_VALUE"""),"CANCELLED")</f>
        <v>CANCELLED</v>
      </c>
      <c r="U2775" s="1"/>
      <c r="V2775" s="1"/>
      <c r="W2775" s="1"/>
    </row>
    <row r="2776" customHeight="1" spans="1:23">
      <c r="A2776" s="3">
        <f>IFERROR(__xludf.DUMMYFUNCTION("""COMPUTED_VALUE"""),46252)</f>
        <v>46252</v>
      </c>
      <c r="B2776" s="1" t="str">
        <f>IFERROR(__xludf.DUMMYFUNCTION("""COMPUTED_VALUE"""),"ESCARCHA, MA ALMA  ESCOTO")</f>
        <v>ESCARCHA, MA ALMA  ESCOTO</v>
      </c>
      <c r="C2776" s="1" t="str">
        <f>IFERROR(__xludf.DUMMYFUNCTION("""COMPUTED_VALUE"""),"ORGANIC")</f>
        <v>ORGANIC</v>
      </c>
      <c r="D2776" s="1" t="str">
        <f>IFERROR(__xludf.DUMMYFUNCTION("""COMPUTED_VALUE"""),"REMOLLO LEA")</f>
        <v>REMOLLO LEA</v>
      </c>
      <c r="E2776" s="1" t="str">
        <f>IFERROR(__xludf.DUMMYFUNCTION("""COMPUTED_VALUE"""),"PLDT / H2H")</f>
        <v>PLDT / H2H</v>
      </c>
      <c r="F2776" s="1"/>
      <c r="G2776" s="1"/>
      <c r="H2776" s="1" t="str">
        <f>IFERROR(__xludf.DUMMYFUNCTION("""COMPUTED_VALUE"""),"MARIA DEL MAR DE GUZMAN IBANEZ")</f>
        <v>MARIA DEL MAR DE GUZMAN IBANEZ</v>
      </c>
      <c r="I2776" s="1">
        <f>IFERROR(__xludf.DUMMYFUNCTION("""COMPUTED_VALUE"""),9456884561)</f>
        <v>9456884561</v>
      </c>
      <c r="J2776" s="1">
        <f>IFERROR(__xludf.DUMMYFUNCTION("""COMPUTED_VALUE"""),9543143491)</f>
        <v>9543143491</v>
      </c>
      <c r="K2776" s="1" t="str">
        <f>IFERROR(__xludf.DUMMYFUNCTION("""COMPUTED_VALUE"""),"ybanezmariadelmar28@gmail.com")</f>
        <v>ybanezmariadelmar28@gmail.com</v>
      </c>
      <c r="L2776" s="1" t="str">
        <f>IFERROR(__xludf.DUMMYFUNCTION("""COMPUTED_VALUE"""),"BLK 20 LOT 8")</f>
        <v>BLK 20 LOT 8</v>
      </c>
      <c r="M2776" s="1" t="str">
        <f>IFERROR(__xludf.DUMMYFUNCTION("""COMPUTED_VALUE"""),"YAKAL")</f>
        <v>YAKAL</v>
      </c>
      <c r="N2776" s="1"/>
      <c r="O2776" s="1" t="str">
        <f>IFERROR(__xludf.DUMMYFUNCTION("""COMPUTED_VALUE"""),"YAKAL")</f>
        <v>YAKAL</v>
      </c>
      <c r="P2776" s="1" t="str">
        <f>IFERROR(__xludf.DUMMYFUNCTION("""COMPUTED_VALUE"""),"SILANG")</f>
        <v>SILANG</v>
      </c>
      <c r="Q2776" s="1" t="str">
        <f>IFERROR(__xludf.DUMMYFUNCTION("""COMPUTED_VALUE"""),"CAVITE")</f>
        <v>CAVITE</v>
      </c>
      <c r="R2776" s="1" t="str">
        <f>IFERROR(__xludf.DUMMYFUNCTION("""COMPUTED_VALUE"""),"FIBR UNLI ALL PLAN 999")</f>
        <v>FIBR UNLI ALL PLAN 999</v>
      </c>
      <c r="S2776" s="1" t="str">
        <f>IFERROR(__xludf.DUMMYFUNCTION("""COMPUTED_VALUE"""),"CANCELLED ")</f>
        <v>CANCELLED </v>
      </c>
      <c r="T2776" s="1" t="str">
        <f>IFERROR(__xludf.DUMMYFUNCTION("""COMPUTED_VALUE"""),"#N/A")</f>
        <v>#N/A</v>
      </c>
      <c r="U2776" s="1" t="str">
        <f>IFERROR(__xludf.DUMMYFUNCTION("""COMPUTED_VALUE"""),"AS PER SUBS AKALA DAW NYA WALANG ADVANCE PAYMENT")</f>
        <v>AS PER SUBS AKALA DAW NYA WALANG ADVANCE PAYMENT</v>
      </c>
      <c r="V2776" s="1"/>
      <c r="W2776" s="1"/>
    </row>
    <row r="2777" customHeight="1" spans="1:23">
      <c r="A2777" s="3">
        <f>IFERROR(__xludf.DUMMYFUNCTION("""COMPUTED_VALUE"""),46252)</f>
        <v>46252</v>
      </c>
      <c r="B2777" s="1" t="str">
        <f>IFERROR(__xludf.DUMMYFUNCTION("""COMPUTED_VALUE"""),"CARPIO, STEPHANIE NICOLE")</f>
        <v>CARPIO, STEPHANIE NICOLE</v>
      </c>
      <c r="C2777" s="1" t="str">
        <f>IFERROR(__xludf.DUMMYFUNCTION("""COMPUTED_VALUE"""),"FLA")</f>
        <v>FLA</v>
      </c>
      <c r="D2777" s="1" t="str">
        <f>IFERROR(__xludf.DUMMYFUNCTION("""COMPUTED_VALUE"""),"JERIC NAVARRO")</f>
        <v>JERIC NAVARRO</v>
      </c>
      <c r="E2777" s="1" t="str">
        <f>IFERROR(__xludf.DUMMYFUNCTION("""COMPUTED_VALUE"""),"PLDT / H2H")</f>
        <v>PLDT / H2H</v>
      </c>
      <c r="F2777" s="1">
        <f>IFERROR(__xludf.DUMMYFUNCTION("""COMPUTED_VALUE"""),2311884974)</f>
        <v>2311884974</v>
      </c>
      <c r="G2777" s="1">
        <f>IFERROR(__xludf.DUMMYFUNCTION("""COMPUTED_VALUE"""),467013822004)</f>
        <v>467013822004</v>
      </c>
      <c r="H2777" s="1" t="str">
        <f>IFERROR(__xludf.DUMMYFUNCTION("""COMPUTED_VALUE"""),"PRIAN CLAUDIO RYES")</f>
        <v>PRIAN CLAUDIO RYES</v>
      </c>
      <c r="I2777" s="1">
        <f>IFERROR(__xludf.DUMMYFUNCTION("""COMPUTED_VALUE"""),9602021178)</f>
        <v>9602021178</v>
      </c>
      <c r="J2777" s="1"/>
      <c r="K2777" s="1" t="str">
        <f>IFERROR(__xludf.DUMMYFUNCTION("""COMPUTED_VALUE"""),"reyesprian@gmail.com")</f>
        <v>reyesprian@gmail.com</v>
      </c>
      <c r="L2777" s="1" t="str">
        <f>IFERROR(__xludf.DUMMYFUNCTION("""COMPUTED_VALUE"""),"368")</f>
        <v>368</v>
      </c>
      <c r="M2777" s="1" t="str">
        <f>IFERROR(__xludf.DUMMYFUNCTION("""COMPUTED_VALUE"""),"MARSELLA")</f>
        <v>MARSELLA</v>
      </c>
      <c r="N2777" s="1"/>
      <c r="O2777" s="1" t="str">
        <f>IFERROR(__xludf.DUMMYFUNCTION("""COMPUTED_VALUE"""),"SALCEDO I")</f>
        <v>SALCEDO I</v>
      </c>
      <c r="P2777" s="1" t="str">
        <f>IFERROR(__xludf.DUMMYFUNCTION("""COMPUTED_VALUE"""),"NOVELETA")</f>
        <v>NOVELETA</v>
      </c>
      <c r="Q2777" s="1" t="str">
        <f>IFERROR(__xludf.DUMMYFUNCTION("""COMPUTED_VALUE"""),"CAVITE")</f>
        <v>CAVITE</v>
      </c>
      <c r="R2777" s="1" t="str">
        <f>IFERROR(__xludf.DUMMYFUNCTION("""COMPUTED_VALUE"""),"FIBR UNLI ALL PLAN 1499")</f>
        <v>FIBR UNLI ALL PLAN 1499</v>
      </c>
      <c r="S2777" s="1" t="str">
        <f>IFERROR(__xludf.DUMMYFUNCTION("""COMPUTED_VALUE"""),"APPROVED")</f>
        <v>APPROVED</v>
      </c>
      <c r="T2777" s="1" t="str">
        <f>IFERROR(__xludf.DUMMYFUNCTION("""COMPUTED_VALUE"""),"CLOSED")</f>
        <v>CLOSED</v>
      </c>
      <c r="U2777" s="1" t="str">
        <f>IFERROR(__xludf.DUMMYFUNCTION("""COMPUTED_VALUE"""),"POSTED")</f>
        <v>POSTED</v>
      </c>
      <c r="V2777" s="1"/>
      <c r="W2777" s="1"/>
    </row>
    <row r="2778" customHeight="1" spans="1:23">
      <c r="A2778" s="3">
        <f>IFERROR(__xludf.DUMMYFUNCTION("""COMPUTED_VALUE"""),46252)</f>
        <v>46252</v>
      </c>
      <c r="B2778" s="1" t="str">
        <f>IFERROR(__xludf.DUMMYFUNCTION("""COMPUTED_VALUE"""),"MALIWAT MARK ELVIN")</f>
        <v>MALIWAT MARK ELVIN</v>
      </c>
      <c r="C2778" s="1" t="str">
        <f>IFERROR(__xludf.DUMMYFUNCTION("""COMPUTED_VALUE"""),"FLA")</f>
        <v>FLA</v>
      </c>
      <c r="D2778" s="1" t="str">
        <f>IFERROR(__xludf.DUMMYFUNCTION("""COMPUTED_VALUE"""),"JERIC NAVARRO")</f>
        <v>JERIC NAVARRO</v>
      </c>
      <c r="E2778" s="1" t="str">
        <f>IFERROR(__xludf.DUMMYFUNCTION("""COMPUTED_VALUE"""),"PLDT / ONLINE")</f>
        <v>PLDT / ONLINE</v>
      </c>
      <c r="F2778" s="1">
        <f>IFERROR(__xludf.DUMMYFUNCTION("""COMPUTED_VALUE"""),2311874541)</f>
        <v>2311874541</v>
      </c>
      <c r="G2778" s="1">
        <f>IFERROR(__xludf.DUMMYFUNCTION("""COMPUTED_VALUE"""),467057553004)</f>
        <v>467057553004</v>
      </c>
      <c r="H2778" s="1" t="str">
        <f>IFERROR(__xludf.DUMMYFUNCTION("""COMPUTED_VALUE"""),"STEPHEN PONCE CAITOR")</f>
        <v>STEPHEN PONCE CAITOR</v>
      </c>
      <c r="I2778" s="1">
        <f>IFERROR(__xludf.DUMMYFUNCTION("""COMPUTED_VALUE"""),9930166288)</f>
        <v>9930166288</v>
      </c>
      <c r="J2778" s="1"/>
      <c r="K2778" s="1" t="str">
        <f>IFERROR(__xludf.DUMMYFUNCTION("""COMPUTED_VALUE"""),"ludevicoc@gmail.com")</f>
        <v>ludevicoc@gmail.com</v>
      </c>
      <c r="L2778" s="1" t="str">
        <f>IFERROR(__xludf.DUMMYFUNCTION("""COMPUTED_VALUE"""),"BLK 48 LOT 20")</f>
        <v>BLK 48 LOT 20</v>
      </c>
      <c r="M2778" s="1" t="str">
        <f>IFERROR(__xludf.DUMMYFUNCTION("""COMPUTED_VALUE"""),"ST ISIDORE")</f>
        <v>ST ISIDORE</v>
      </c>
      <c r="N2778" s="1" t="str">
        <f>IFERROR(__xludf.DUMMYFUNCTION("""COMPUTED_VALUE"""),"WINDWARD")</f>
        <v>WINDWARD</v>
      </c>
      <c r="O2778" s="1" t="str">
        <f>IFERROR(__xludf.DUMMYFUNCTION("""COMPUTED_VALUE"""),"BUROL I")</f>
        <v>BUROL I</v>
      </c>
      <c r="P2778" s="1" t="str">
        <f>IFERROR(__xludf.DUMMYFUNCTION("""COMPUTED_VALUE"""),"DASMARINAS")</f>
        <v>DASMARINAS</v>
      </c>
      <c r="Q2778" s="1" t="str">
        <f>IFERROR(__xludf.DUMMYFUNCTION("""COMPUTED_VALUE"""),"CAVITE")</f>
        <v>CAVITE</v>
      </c>
      <c r="R2778" s="1" t="str">
        <f>IFERROR(__xludf.DUMMYFUNCTION("""COMPUTED_VALUE"""),"FIBR PLAN 1699")</f>
        <v>FIBR PLAN 1699</v>
      </c>
      <c r="S2778" s="1" t="str">
        <f>IFERROR(__xludf.DUMMYFUNCTION("""COMPUTED_VALUE"""),"APPROVED")</f>
        <v>APPROVED</v>
      </c>
      <c r="T2778" s="1" t="str">
        <f>IFERROR(__xludf.DUMMYFUNCTION("""COMPUTED_VALUE"""),"CLOSED")</f>
        <v>CLOSED</v>
      </c>
      <c r="U2778" s="1" t="str">
        <f>IFERROR(__xludf.DUMMYFUNCTION("""COMPUTED_VALUE"""),"POSTED")</f>
        <v>POSTED</v>
      </c>
      <c r="V2778" s="1"/>
      <c r="W2778" s="1"/>
    </row>
    <row r="2779" customHeight="1" spans="1:23">
      <c r="A2779" s="3">
        <f>IFERROR(__xludf.DUMMYFUNCTION("""COMPUTED_VALUE"""),46252)</f>
        <v>46252</v>
      </c>
      <c r="B2779" s="1" t="str">
        <f>IFERROR(__xludf.DUMMYFUNCTION("""COMPUTED_VALUE"""),"FRANCISCO , ROSELYN")</f>
        <v>FRANCISCO , ROSELYN</v>
      </c>
      <c r="C2779" s="1" t="str">
        <f>IFERROR(__xludf.DUMMYFUNCTION("""COMPUTED_VALUE"""),"ORGANIC")</f>
        <v>ORGANIC</v>
      </c>
      <c r="D2779" s="1" t="str">
        <f>IFERROR(__xludf.DUMMYFUNCTION("""COMPUTED_VALUE"""),"REMOLLO LEA")</f>
        <v>REMOLLO LEA</v>
      </c>
      <c r="E2779" s="1" t="str">
        <f>IFERROR(__xludf.DUMMYFUNCTION("""COMPUTED_VALUE"""),"HOME BIZZ")</f>
        <v>HOME BIZZ</v>
      </c>
      <c r="F2779" s="1"/>
      <c r="G2779" s="1"/>
      <c r="H2779" s="1" t="str">
        <f>IFERROR(__xludf.DUMMYFUNCTION("""COMPUTED_VALUE"""),"ECOCOOL AIRCON INSTALLATION SERVICES")</f>
        <v>ECOCOOL AIRCON INSTALLATION SERVICES</v>
      </c>
      <c r="I2779" s="1">
        <f>IFERROR(__xludf.DUMMYFUNCTION("""COMPUTED_VALUE"""),9569856162)</f>
        <v>9569856162</v>
      </c>
      <c r="J2779" s="1">
        <f>IFERROR(__xludf.DUMMYFUNCTION("""COMPUTED_VALUE"""),9553162671)</f>
        <v>9553162671</v>
      </c>
      <c r="K2779" s="1" t="str">
        <f>IFERROR(__xludf.DUMMYFUNCTION("""COMPUTED_VALUE"""),"ecocoolair.corp@gmail.com")</f>
        <v>ecocoolair.corp@gmail.com</v>
      </c>
      <c r="L2779" s="1" t="str">
        <f>IFERROR(__xludf.DUMMYFUNCTION("""COMPUTED_VALUE"""),"UNIT 2")</f>
        <v>UNIT 2</v>
      </c>
      <c r="M2779" s="1" t="str">
        <f>IFERROR(__xludf.DUMMYFUNCTION("""COMPUTED_VALUE"""),"GROUND FLOOR")</f>
        <v>GROUND FLOOR</v>
      </c>
      <c r="N2779" s="1"/>
      <c r="O2779" s="1" t="str">
        <f>IFERROR(__xludf.DUMMYFUNCTION("""COMPUTED_VALUE"""),"MOLINO II")</f>
        <v>MOLINO II</v>
      </c>
      <c r="P2779" s="1" t="str">
        <f>IFERROR(__xludf.DUMMYFUNCTION("""COMPUTED_VALUE"""),"BACOOR")</f>
        <v>BACOOR</v>
      </c>
      <c r="Q2779" s="1" t="str">
        <f>IFERROR(__xludf.DUMMYFUNCTION("""COMPUTED_VALUE"""),"CAVITE")</f>
        <v>CAVITE</v>
      </c>
      <c r="R2779" s="1" t="str">
        <f>IFERROR(__xludf.DUMMYFUNCTION("""COMPUTED_VALUE"""),"HOME BIZ PLAN 1299")</f>
        <v>HOME BIZ PLAN 1299</v>
      </c>
      <c r="S2779" s="1" t="str">
        <f>IFERROR(__xludf.DUMMYFUNCTION("""COMPUTED_VALUE"""),"HOLD")</f>
        <v>HOLD</v>
      </c>
      <c r="T2779" s="1" t="str">
        <f>IFERROR(__xludf.DUMMYFUNCTION("""COMPUTED_VALUE"""),"#N/A")</f>
        <v>#N/A</v>
      </c>
      <c r="U2779" s="1"/>
      <c r="V2779" s="1"/>
      <c r="W2779" s="1"/>
    </row>
    <row r="2780" customHeight="1" spans="1:23">
      <c r="A2780" s="3">
        <f>IFERROR(__xludf.DUMMYFUNCTION("""COMPUTED_VALUE"""),46252)</f>
        <v>46252</v>
      </c>
      <c r="B2780" s="1" t="str">
        <f>IFERROR(__xludf.DUMMYFUNCTION("""COMPUTED_VALUE"""),"FRANCISCO , ROSELYN")</f>
        <v>FRANCISCO , ROSELYN</v>
      </c>
      <c r="C2780" s="1" t="str">
        <f>IFERROR(__xludf.DUMMYFUNCTION("""COMPUTED_VALUE"""),"ORGANIC")</f>
        <v>ORGANIC</v>
      </c>
      <c r="D2780" s="1" t="str">
        <f>IFERROR(__xludf.DUMMYFUNCTION("""COMPUTED_VALUE"""),"REMOLLO LEA")</f>
        <v>REMOLLO LEA</v>
      </c>
      <c r="E2780" s="1" t="str">
        <f>IFERROR(__xludf.DUMMYFUNCTION("""COMPUTED_VALUE"""),"PLDT / ONLINE")</f>
        <v>PLDT / ONLINE</v>
      </c>
      <c r="F2780" s="1">
        <f>IFERROR(__xludf.DUMMYFUNCTION("""COMPUTED_VALUE"""),2311895812)</f>
        <v>2311895812</v>
      </c>
      <c r="G2780" s="1">
        <f>IFERROR(__xludf.DUMMYFUNCTION("""COMPUTED_VALUE"""),467049961004)</f>
        <v>467049961004</v>
      </c>
      <c r="H2780" s="1" t="str">
        <f>IFERROR(__xludf.DUMMYFUNCTION("""COMPUTED_VALUE"""),"JENIE GERAS DE DIOS")</f>
        <v>JENIE GERAS DE DIOS</v>
      </c>
      <c r="I2780" s="1">
        <f>IFERROR(__xludf.DUMMYFUNCTION("""COMPUTED_VALUE"""),9940377320)</f>
        <v>9940377320</v>
      </c>
      <c r="J2780" s="1">
        <f>IFERROR(__xludf.DUMMYFUNCTION("""COMPUTED_VALUE"""),9919108155)</f>
        <v>9919108155</v>
      </c>
      <c r="K2780" s="1" t="str">
        <f>IFERROR(__xludf.DUMMYFUNCTION("""COMPUTED_VALUE"""),"jeniededios92@gmail.com")</f>
        <v>jeniededios92@gmail.com</v>
      </c>
      <c r="L2780" s="1" t="str">
        <f>IFERROR(__xludf.DUMMYFUNCTION("""COMPUTED_VALUE"""),"BLK 18 LOT 20")</f>
        <v>BLK 18 LOT 20</v>
      </c>
      <c r="M2780" s="1" t="str">
        <f>IFERROR(__xludf.DUMMYFUNCTION("""COMPUTED_VALUE"""),"ANAHAW RD")</f>
        <v>ANAHAW RD</v>
      </c>
      <c r="N2780" s="1"/>
      <c r="O2780" s="1" t="str">
        <f>IFERROR(__xludf.DUMMYFUNCTION("""COMPUTED_VALUE"""),"ANAHAW I")</f>
        <v>ANAHAW I</v>
      </c>
      <c r="P2780" s="1" t="str">
        <f>IFERROR(__xludf.DUMMYFUNCTION("""COMPUTED_VALUE"""),"SILANG")</f>
        <v>SILANG</v>
      </c>
      <c r="Q2780" s="1" t="str">
        <f>IFERROR(__xludf.DUMMYFUNCTION("""COMPUTED_VALUE"""),"CAVITE")</f>
        <v>CAVITE</v>
      </c>
      <c r="R2780" s="1" t="str">
        <f>IFERROR(__xludf.DUMMYFUNCTION("""COMPUTED_VALUE"""),"FIBR PLAN 1299")</f>
        <v>FIBR PLAN 1299</v>
      </c>
      <c r="S2780" s="1" t="str">
        <f>IFERROR(__xludf.DUMMYFUNCTION("""COMPUTED_VALUE"""),"APPROVED")</f>
        <v>APPROVED</v>
      </c>
      <c r="T2780" s="1" t="str">
        <f>IFERROR(__xludf.DUMMYFUNCTION("""COMPUTED_VALUE"""),"CLOSED")</f>
        <v>CLOSED</v>
      </c>
      <c r="U2780" s="1" t="str">
        <f>IFERROR(__xludf.DUMMYFUNCTION("""COMPUTED_VALUE"""),"POSTED")</f>
        <v>POSTED</v>
      </c>
      <c r="V2780" s="1"/>
      <c r="W2780" s="1"/>
    </row>
    <row r="2781" customHeight="1" spans="1:23">
      <c r="A2781" s="3">
        <f>IFERROR(__xludf.DUMMYFUNCTION("""COMPUTED_VALUE"""),46253)</f>
        <v>46253</v>
      </c>
      <c r="B2781" s="1" t="str">
        <f>IFERROR(__xludf.DUMMYFUNCTION("""COMPUTED_VALUE"""),"FRANCISCO , ROSELYN")</f>
        <v>FRANCISCO , ROSELYN</v>
      </c>
      <c r="C2781" s="1" t="str">
        <f>IFERROR(__xludf.DUMMYFUNCTION("""COMPUTED_VALUE"""),"ORGANIC")</f>
        <v>ORGANIC</v>
      </c>
      <c r="D2781" s="1" t="str">
        <f>IFERROR(__xludf.DUMMYFUNCTION("""COMPUTED_VALUE"""),"REMOLLO LEA")</f>
        <v>REMOLLO LEA</v>
      </c>
      <c r="E2781" s="1" t="str">
        <f>IFERROR(__xludf.DUMMYFUNCTION("""COMPUTED_VALUE"""),"PLDT / ONLINE")</f>
        <v>PLDT / ONLINE</v>
      </c>
      <c r="F2781" s="1">
        <f>IFERROR(__xludf.DUMMYFUNCTION("""COMPUTED_VALUE"""),2311912579)</f>
        <v>2311912579</v>
      </c>
      <c r="G2781" s="1">
        <f>IFERROR(__xludf.DUMMYFUNCTION("""COMPUTED_VALUE"""),467136771004)</f>
        <v>467136771004</v>
      </c>
      <c r="H2781" s="1" t="str">
        <f>IFERROR(__xludf.DUMMYFUNCTION("""COMPUTED_VALUE"""),"MARY JANE EUSEBIO TADURAN")</f>
        <v>MARY JANE EUSEBIO TADURAN</v>
      </c>
      <c r="I2781" s="1">
        <f>IFERROR(__xludf.DUMMYFUNCTION("""COMPUTED_VALUE"""),9922661267)</f>
        <v>9922661267</v>
      </c>
      <c r="J2781" s="1">
        <f>IFERROR(__xludf.DUMMYFUNCTION("""COMPUTED_VALUE"""),9157796667)</f>
        <v>9157796667</v>
      </c>
      <c r="K2781" s="1" t="str">
        <f>IFERROR(__xludf.DUMMYFUNCTION("""COMPUTED_VALUE"""),"maryjanetauduran1967@gmail.com")</f>
        <v>maryjanetauduran1967@gmail.com</v>
      </c>
      <c r="L2781" s="1" t="str">
        <f>IFERROR(__xludf.DUMMYFUNCTION("""COMPUTED_VALUE"""),"BLK 27 LOT 1")</f>
        <v>BLK 27 LOT 1</v>
      </c>
      <c r="M2781" s="1" t="str">
        <f>IFERROR(__xludf.DUMMYFUNCTION("""COMPUTED_VALUE"""),"CASA AMAYA SOUTH")</f>
        <v>CASA AMAYA SOUTH</v>
      </c>
      <c r="N2781" s="1"/>
      <c r="O2781" s="1" t="str">
        <f>IFERROR(__xludf.DUMMYFUNCTION("""COMPUTED_VALUE"""),"AMAYA I")</f>
        <v>AMAYA I</v>
      </c>
      <c r="P2781" s="1" t="str">
        <f>IFERROR(__xludf.DUMMYFUNCTION("""COMPUTED_VALUE"""),"TANZA")</f>
        <v>TANZA</v>
      </c>
      <c r="Q2781" s="1" t="str">
        <f>IFERROR(__xludf.DUMMYFUNCTION("""COMPUTED_VALUE"""),"CAVITE")</f>
        <v>CAVITE</v>
      </c>
      <c r="R2781" s="1" t="str">
        <f>IFERROR(__xludf.DUMMYFUNCTION("""COMPUTED_VALUE"""),"FIBR PLAN 1699")</f>
        <v>FIBR PLAN 1699</v>
      </c>
      <c r="S2781" s="1" t="str">
        <f>IFERROR(__xludf.DUMMYFUNCTION("""COMPUTED_VALUE"""),"APPROVED")</f>
        <v>APPROVED</v>
      </c>
      <c r="T2781" s="1" t="str">
        <f>IFERROR(__xludf.DUMMYFUNCTION("""COMPUTED_VALUE"""),"CLOSED")</f>
        <v>CLOSED</v>
      </c>
      <c r="U2781" s="1" t="str">
        <f>IFERROR(__xludf.DUMMYFUNCTION("""COMPUTED_VALUE"""),"POSTED")</f>
        <v>POSTED</v>
      </c>
      <c r="V2781" s="1"/>
      <c r="W2781" s="1"/>
    </row>
    <row r="2782" customHeight="1" spans="1:23">
      <c r="A2782" s="3">
        <f>IFERROR(__xludf.DUMMYFUNCTION("""COMPUTED_VALUE"""),46253)</f>
        <v>46253</v>
      </c>
      <c r="B2782" s="1" t="str">
        <f>IFERROR(__xludf.DUMMYFUNCTION("""COMPUTED_VALUE"""),"ALINGARO, CINDY")</f>
        <v>ALINGARO, CINDY</v>
      </c>
      <c r="C2782" s="1" t="str">
        <f>IFERROR(__xludf.DUMMYFUNCTION("""COMPUTED_VALUE"""),"ORGANIC")</f>
        <v>ORGANIC</v>
      </c>
      <c r="D2782" s="1" t="str">
        <f>IFERROR(__xludf.DUMMYFUNCTION("""COMPUTED_VALUE"""),"REMOLLO LEA")</f>
        <v>REMOLLO LEA</v>
      </c>
      <c r="E2782" s="1" t="str">
        <f>IFERROR(__xludf.DUMMYFUNCTION("""COMPUTED_VALUE"""),"PLDT / H2H")</f>
        <v>PLDT / H2H</v>
      </c>
      <c r="F2782" s="1">
        <f>IFERROR(__xludf.DUMMYFUNCTION("""COMPUTED_VALUE"""),2311915007)</f>
        <v>2311915007</v>
      </c>
      <c r="G2782" s="1">
        <f>IFERROR(__xludf.DUMMYFUNCTION("""COMPUTED_VALUE"""),467137247004)</f>
        <v>467137247004</v>
      </c>
      <c r="H2782" s="1" t="str">
        <f>IFERROR(__xludf.DUMMYFUNCTION("""COMPUTED_VALUE"""),"CHRISTOPHER HONOR VILLAMINO")</f>
        <v>CHRISTOPHER HONOR VILLAMINO</v>
      </c>
      <c r="I2782" s="1">
        <f>IFERROR(__xludf.DUMMYFUNCTION("""COMPUTED_VALUE"""),9851760218)</f>
        <v>9851760218</v>
      </c>
      <c r="J2782" s="1">
        <f>IFERROR(__xludf.DUMMYFUNCTION("""COMPUTED_VALUE"""),639309228832)</f>
        <v>639309228832</v>
      </c>
      <c r="K2782" s="1" t="str">
        <f>IFERROR(__xludf.DUMMYFUNCTION("""COMPUTED_VALUE"""),"villaminoaljhon7@gmail.com")</f>
        <v>villaminoaljhon7@gmail.com</v>
      </c>
      <c r="L2782" s="1" t="str">
        <f>IFERROR(__xludf.DUMMYFUNCTION("""COMPUTED_VALUE"""),"390")</f>
        <v>390</v>
      </c>
      <c r="M2782" s="1" t="str">
        <f>IFERROR(__xludf.DUMMYFUNCTION("""COMPUTED_VALUE"""),"MUNTING ILOG")</f>
        <v>MUNTING ILOG</v>
      </c>
      <c r="N2782" s="1"/>
      <c r="O2782" s="1" t="str">
        <f>IFERROR(__xludf.DUMMYFUNCTION("""COMPUTED_VALUE"""),"MUNTING ILOG")</f>
        <v>MUNTING ILOG</v>
      </c>
      <c r="P2782" s="1" t="str">
        <f>IFERROR(__xludf.DUMMYFUNCTION("""COMPUTED_VALUE"""),"SILANG")</f>
        <v>SILANG</v>
      </c>
      <c r="Q2782" s="1" t="str">
        <f>IFERROR(__xludf.DUMMYFUNCTION("""COMPUTED_VALUE"""),"CAVITE")</f>
        <v>CAVITE</v>
      </c>
      <c r="R2782" s="1" t="str">
        <f>IFERROR(__xludf.DUMMYFUNCTION("""COMPUTED_VALUE"""),"FIBR UNLI ALL PLAN 999")</f>
        <v>FIBR UNLI ALL PLAN 999</v>
      </c>
      <c r="S2782" s="1" t="str">
        <f>IFERROR(__xludf.DUMMYFUNCTION("""COMPUTED_VALUE"""),"APPROVED")</f>
        <v>APPROVED</v>
      </c>
      <c r="T2782" s="1" t="str">
        <f>IFERROR(__xludf.DUMMYFUNCTION("""COMPUTED_VALUE"""),"CLOSED")</f>
        <v>CLOSED</v>
      </c>
      <c r="U2782" s="1" t="str">
        <f>IFERROR(__xludf.DUMMYFUNCTION("""COMPUTED_VALUE"""),"POSTED")</f>
        <v>POSTED</v>
      </c>
      <c r="V2782" s="1"/>
      <c r="W2782" s="1"/>
    </row>
    <row r="2783" customHeight="1" spans="1:23">
      <c r="A2783" s="3">
        <f>IFERROR(__xludf.DUMMYFUNCTION("""COMPUTED_VALUE"""),46253)</f>
        <v>46253</v>
      </c>
      <c r="B2783" s="1" t="str">
        <f>IFERROR(__xludf.DUMMYFUNCTION("""COMPUTED_VALUE"""),"ESCARCHA, MA ALMA  ESCOTO")</f>
        <v>ESCARCHA, MA ALMA  ESCOTO</v>
      </c>
      <c r="C2783" s="1" t="str">
        <f>IFERROR(__xludf.DUMMYFUNCTION("""COMPUTED_VALUE"""),"ORGANIC")</f>
        <v>ORGANIC</v>
      </c>
      <c r="D2783" s="1" t="str">
        <f>IFERROR(__xludf.DUMMYFUNCTION("""COMPUTED_VALUE"""),"REMOLLO LEA")</f>
        <v>REMOLLO LEA</v>
      </c>
      <c r="E2783" s="1" t="str">
        <f>IFERROR(__xludf.DUMMYFUNCTION("""COMPUTED_VALUE"""),"PLDT / H2H")</f>
        <v>PLDT / H2H</v>
      </c>
      <c r="F2783" s="1">
        <f>IFERROR(__xludf.DUMMYFUNCTION("""COMPUTED_VALUE"""),2311915403)</f>
        <v>2311915403</v>
      </c>
      <c r="G2783" s="1">
        <f>IFERROR(__xludf.DUMMYFUNCTION("""COMPUTED_VALUE"""),467137912004)</f>
        <v>467137912004</v>
      </c>
      <c r="H2783" s="1" t="str">
        <f>IFERROR(__xludf.DUMMYFUNCTION("""COMPUTED_VALUE"""),"TRINIDAD ABRIGO CENDANA")</f>
        <v>TRINIDAD ABRIGO CENDANA</v>
      </c>
      <c r="I2783" s="1">
        <f>IFERROR(__xludf.DUMMYFUNCTION("""COMPUTED_VALUE"""),9328487438)</f>
        <v>9328487438</v>
      </c>
      <c r="J2783" s="1"/>
      <c r="K2783" s="1" t="str">
        <f>IFERROR(__xludf.DUMMYFUNCTION("""COMPUTED_VALUE"""),"zenyram2020@gmail.com")</f>
        <v>zenyram2020@gmail.com</v>
      </c>
      <c r="L2783" s="1" t="str">
        <f>IFERROR(__xludf.DUMMYFUNCTION("""COMPUTED_VALUE"""),"256")</f>
        <v>256</v>
      </c>
      <c r="M2783" s="1" t="str">
        <f>IFERROR(__xludf.DUMMYFUNCTION("""COMPUTED_VALUE"""),"MUNTING ILOG")</f>
        <v>MUNTING ILOG</v>
      </c>
      <c r="N2783" s="1"/>
      <c r="O2783" s="1" t="str">
        <f>IFERROR(__xludf.DUMMYFUNCTION("""COMPUTED_VALUE"""),"MUNTING ILOG")</f>
        <v>MUNTING ILOG</v>
      </c>
      <c r="P2783" s="1" t="str">
        <f>IFERROR(__xludf.DUMMYFUNCTION("""COMPUTED_VALUE"""),"SILANG")</f>
        <v>SILANG</v>
      </c>
      <c r="Q2783" s="1" t="str">
        <f>IFERROR(__xludf.DUMMYFUNCTION("""COMPUTED_VALUE"""),"CAVITE")</f>
        <v>CAVITE</v>
      </c>
      <c r="R2783" s="1" t="str">
        <f>IFERROR(__xludf.DUMMYFUNCTION("""COMPUTED_VALUE"""),"FIBR UNLI ALL PLAN 1499")</f>
        <v>FIBR UNLI ALL PLAN 1499</v>
      </c>
      <c r="S2783" s="1" t="str">
        <f>IFERROR(__xludf.DUMMYFUNCTION("""COMPUTED_VALUE"""),"APPROVED")</f>
        <v>APPROVED</v>
      </c>
      <c r="T2783" s="1" t="str">
        <f>IFERROR(__xludf.DUMMYFUNCTION("""COMPUTED_VALUE"""),"CLOSED")</f>
        <v>CLOSED</v>
      </c>
      <c r="U2783" s="1" t="str">
        <f>IFERROR(__xludf.DUMMYFUNCTION("""COMPUTED_VALUE"""),"POSTED")</f>
        <v>POSTED</v>
      </c>
      <c r="V2783" s="1"/>
      <c r="W2783" s="1"/>
    </row>
    <row r="2784" customHeight="1" spans="1:23">
      <c r="A2784" s="3">
        <f>IFERROR(__xludf.DUMMYFUNCTION("""COMPUTED_VALUE"""),46253)</f>
        <v>46253</v>
      </c>
      <c r="B2784" s="1" t="str">
        <f>IFERROR(__xludf.DUMMYFUNCTION("""COMPUTED_VALUE"""),"AYON MANUEL")</f>
        <v>AYON MANUEL</v>
      </c>
      <c r="C2784" s="1" t="str">
        <f>IFERROR(__xludf.DUMMYFUNCTION("""COMPUTED_VALUE"""),"FLA")</f>
        <v>FLA</v>
      </c>
      <c r="D2784" s="1" t="str">
        <f>IFERROR(__xludf.DUMMYFUNCTION("""COMPUTED_VALUE"""),"JERIC NAVARRO")</f>
        <v>JERIC NAVARRO</v>
      </c>
      <c r="E2784" s="1" t="str">
        <f>IFERROR(__xludf.DUMMYFUNCTION("""COMPUTED_VALUE"""),"PLDT / H2H")</f>
        <v>PLDT / H2H</v>
      </c>
      <c r="F2784" s="1">
        <f>IFERROR(__xludf.DUMMYFUNCTION("""COMPUTED_VALUE"""),2311915403)</f>
        <v>2311915403</v>
      </c>
      <c r="G2784" s="1">
        <f>IFERROR(__xludf.DUMMYFUNCTION("""COMPUTED_VALUE"""),467137912004)</f>
        <v>467137912004</v>
      </c>
      <c r="H2784" s="1" t="str">
        <f>IFERROR(__xludf.DUMMYFUNCTION("""COMPUTED_VALUE"""),"MAGELLE KRIS CORTEZ MACABEO")</f>
        <v>MAGELLE KRIS CORTEZ MACABEO</v>
      </c>
      <c r="I2784" s="1">
        <f>IFERROR(__xludf.DUMMYFUNCTION("""COMPUTED_VALUE"""),9176213157)</f>
        <v>9176213157</v>
      </c>
      <c r="J2784" s="1">
        <f>IFERROR(__xludf.DUMMYFUNCTION("""COMPUTED_VALUE"""),9175427180)</f>
        <v>9175427180</v>
      </c>
      <c r="K2784" s="1" t="str">
        <f>IFERROR(__xludf.DUMMYFUNCTION("""COMPUTED_VALUE"""),"magellemacbeo@yhaoo.com")</f>
        <v>magellemacbeo@yhaoo.com</v>
      </c>
      <c r="L2784" s="1" t="str">
        <f>IFERROR(__xludf.DUMMYFUNCTION("""COMPUTED_VALUE"""),"BLK 2 LOT 9")</f>
        <v>BLK 2 LOT 9</v>
      </c>
      <c r="M2784" s="1" t="str">
        <f>IFERROR(__xludf.DUMMYFUNCTION("""COMPUTED_VALUE"""),"PHASE 5")</f>
        <v>PHASE 5</v>
      </c>
      <c r="N2784" s="1" t="str">
        <f>IFERROR(__xludf.DUMMYFUNCTION("""COMPUTED_VALUE"""),"TERRAVERDE")</f>
        <v>TERRAVERDE</v>
      </c>
      <c r="O2784" s="1" t="str">
        <f>IFERROR(__xludf.DUMMYFUNCTION("""COMPUTED_VALUE"""),"BANCAL")</f>
        <v>BANCAL</v>
      </c>
      <c r="P2784" s="1" t="str">
        <f>IFERROR(__xludf.DUMMYFUNCTION("""COMPUTED_VALUE"""),"CARMONA")</f>
        <v>CARMONA</v>
      </c>
      <c r="Q2784" s="1" t="str">
        <f>IFERROR(__xludf.DUMMYFUNCTION("""COMPUTED_VALUE"""),"CAVITE")</f>
        <v>CAVITE</v>
      </c>
      <c r="R2784" s="1" t="str">
        <f>IFERROR(__xludf.DUMMYFUNCTION("""COMPUTED_VALUE"""),"FIBR PLAN 1299")</f>
        <v>FIBR PLAN 1299</v>
      </c>
      <c r="S2784" s="1" t="str">
        <f>IFERROR(__xludf.DUMMYFUNCTION("""COMPUTED_VALUE"""),"APPROVED")</f>
        <v>APPROVED</v>
      </c>
      <c r="T2784" s="1" t="str">
        <f>IFERROR(__xludf.DUMMYFUNCTION("""COMPUTED_VALUE"""),"CLOSED")</f>
        <v>CLOSED</v>
      </c>
      <c r="U2784" s="1" t="str">
        <f>IFERROR(__xludf.DUMMYFUNCTION("""COMPUTED_VALUE"""),"POSTED")</f>
        <v>POSTED</v>
      </c>
      <c r="V2784" s="1"/>
      <c r="W2784" s="1"/>
    </row>
    <row r="2785" customHeight="1" spans="1:23">
      <c r="A2785" s="3">
        <f>IFERROR(__xludf.DUMMYFUNCTION("""COMPUTED_VALUE"""),46253)</f>
        <v>46253</v>
      </c>
      <c r="B2785" s="1" t="str">
        <f>IFERROR(__xludf.DUMMYFUNCTION("""COMPUTED_VALUE"""),"FRANCISCO , ROSELYN")</f>
        <v>FRANCISCO , ROSELYN</v>
      </c>
      <c r="C2785" s="1" t="str">
        <f>IFERROR(__xludf.DUMMYFUNCTION("""COMPUTED_VALUE"""),"ORGANIC")</f>
        <v>ORGANIC</v>
      </c>
      <c r="D2785" s="1" t="str">
        <f>IFERROR(__xludf.DUMMYFUNCTION("""COMPUTED_VALUE"""),"REMOLLO LEA")</f>
        <v>REMOLLO LEA</v>
      </c>
      <c r="E2785" s="1" t="str">
        <f>IFERROR(__xludf.DUMMYFUNCTION("""COMPUTED_VALUE"""),"PLDT / H2H")</f>
        <v>PLDT / H2H</v>
      </c>
      <c r="F2785" s="1">
        <f>IFERROR(__xludf.DUMMYFUNCTION("""COMPUTED_VALUE"""),2311917044)</f>
        <v>2311917044</v>
      </c>
      <c r="G2785" s="1"/>
      <c r="H2785" s="1" t="str">
        <f>IFERROR(__xludf.DUMMYFUNCTION("""COMPUTED_VALUE"""),"LESTER BENITEZ ANIT")</f>
        <v>LESTER BENITEZ ANIT</v>
      </c>
      <c r="I2785" s="1">
        <f>IFERROR(__xludf.DUMMYFUNCTION("""COMPUTED_VALUE"""),9384187145)</f>
        <v>9384187145</v>
      </c>
      <c r="J2785" s="1"/>
      <c r="K2785" s="1" t="str">
        <f>IFERROR(__xludf.DUMMYFUNCTION("""COMPUTED_VALUE"""),"lesteranit30@gmail.com")</f>
        <v>lesteranit30@gmail.com</v>
      </c>
      <c r="L2785" s="1" t="str">
        <f>IFERROR(__xludf.DUMMYFUNCTION("""COMPUTED_VALUE"""),"202")</f>
        <v>202</v>
      </c>
      <c r="M2785" s="1" t="str">
        <f>IFERROR(__xludf.DUMMYFUNCTION("""COMPUTED_VALUE"""),"V MORALES")</f>
        <v>V MORALES</v>
      </c>
      <c r="N2785" s="1"/>
      <c r="O2785" s="1" t="str">
        <f>IFERROR(__xludf.DUMMYFUNCTION("""COMPUTED_VALUE"""),"SAN JUAN (SAN JUAN I)")</f>
        <v>SAN JUAN (SAN JUAN I)</v>
      </c>
      <c r="P2785" s="1" t="str">
        <f>IFERROR(__xludf.DUMMYFUNCTION("""COMPUTED_VALUE"""),"TERNATE")</f>
        <v>TERNATE</v>
      </c>
      <c r="Q2785" s="1" t="str">
        <f>IFERROR(__xludf.DUMMYFUNCTION("""COMPUTED_VALUE"""),"CAVITE")</f>
        <v>CAVITE</v>
      </c>
      <c r="R2785" s="1" t="str">
        <f>IFERROR(__xludf.DUMMYFUNCTION("""COMPUTED_VALUE"""),"FIBR UNLI ALL PLAN 999")</f>
        <v>FIBR UNLI ALL PLAN 999</v>
      </c>
      <c r="S2785" s="1" t="str">
        <f>IFERROR(__xludf.DUMMYFUNCTION("""COMPUTED_VALUE"""),"APPROVED")</f>
        <v>APPROVED</v>
      </c>
      <c r="T2785" s="1" t="str">
        <f>IFERROR(__xludf.DUMMYFUNCTION("""COMPUTED_VALUE"""),"CANCELLED")</f>
        <v>CANCELLED</v>
      </c>
      <c r="U2785" s="1"/>
      <c r="V2785" s="1"/>
      <c r="W2785" s="1"/>
    </row>
    <row r="2786" customHeight="1" spans="1:23">
      <c r="A2786" s="3">
        <f>IFERROR(__xludf.DUMMYFUNCTION("""COMPUTED_VALUE"""),46253)</f>
        <v>46253</v>
      </c>
      <c r="B2786" s="1" t="str">
        <f>IFERROR(__xludf.DUMMYFUNCTION("""COMPUTED_VALUE"""),"ESCARCHA, MA ALMA  ESCOTO")</f>
        <v>ESCARCHA, MA ALMA  ESCOTO</v>
      </c>
      <c r="C2786" s="1" t="str">
        <f>IFERROR(__xludf.DUMMYFUNCTION("""COMPUTED_VALUE"""),"ORGANIC")</f>
        <v>ORGANIC</v>
      </c>
      <c r="D2786" s="1" t="str">
        <f>IFERROR(__xludf.DUMMYFUNCTION("""COMPUTED_VALUE"""),"REMOLLO LEA")</f>
        <v>REMOLLO LEA</v>
      </c>
      <c r="E2786" s="1" t="str">
        <f>IFERROR(__xludf.DUMMYFUNCTION("""COMPUTED_VALUE"""),"PLDT / H2H")</f>
        <v>PLDT / H2H</v>
      </c>
      <c r="F2786" s="1">
        <f>IFERROR(__xludf.DUMMYFUNCTION("""COMPUTED_VALUE"""),2311919887)</f>
        <v>2311919887</v>
      </c>
      <c r="G2786" s="1">
        <f>IFERROR(__xludf.DUMMYFUNCTION("""COMPUTED_VALUE"""),467138333004)</f>
        <v>467138333004</v>
      </c>
      <c r="H2786" s="1" t="str">
        <f>IFERROR(__xludf.DUMMYFUNCTION("""COMPUTED_VALUE"""),"NELLIE MIRABENO BENASA")</f>
        <v>NELLIE MIRABENO BENASA</v>
      </c>
      <c r="I2786" s="1">
        <f>IFERROR(__xludf.DUMMYFUNCTION("""COMPUTED_VALUE"""),9534233843)</f>
        <v>9534233843</v>
      </c>
      <c r="J2786" s="1">
        <f>IFERROR(__xludf.DUMMYFUNCTION("""COMPUTED_VALUE"""),9166990239)</f>
        <v>9166990239</v>
      </c>
      <c r="K2786" s="1" t="str">
        <f>IFERROR(__xludf.DUMMYFUNCTION("""COMPUTED_VALUE"""),"neniebenasa6@gmail.com")</f>
        <v>neniebenasa6@gmail.com</v>
      </c>
      <c r="L2786" s="1" t="str">
        <f>IFERROR(__xludf.DUMMYFUNCTION("""COMPUTED_VALUE"""),"BLK 45 LOT 00")</f>
        <v>BLK 45 LOT 00</v>
      </c>
      <c r="M2786" s="1" t="str">
        <f>IFERROR(__xludf.DUMMYFUNCTION("""COMPUTED_VALUE"""),"PHASE 6")</f>
        <v>PHASE 6</v>
      </c>
      <c r="N2786" s="1"/>
      <c r="O2786" s="1" t="str">
        <f>IFERROR(__xludf.DUMMYFUNCTION("""COMPUTED_VALUE"""),"BANABA")</f>
        <v>BANABA</v>
      </c>
      <c r="P2786" s="1" t="str">
        <f>IFERROR(__xludf.DUMMYFUNCTION("""COMPUTED_VALUE"""),"SILANG")</f>
        <v>SILANG</v>
      </c>
      <c r="Q2786" s="1" t="str">
        <f>IFERROR(__xludf.DUMMYFUNCTION("""COMPUTED_VALUE"""),"CAVITE")</f>
        <v>CAVITE</v>
      </c>
      <c r="R2786" s="1" t="str">
        <f>IFERROR(__xludf.DUMMYFUNCTION("""COMPUTED_VALUE"""),"FIBR PLAN 1299")</f>
        <v>FIBR PLAN 1299</v>
      </c>
      <c r="S2786" s="1" t="str">
        <f>IFERROR(__xludf.DUMMYFUNCTION("""COMPUTED_VALUE"""),"APPROVED")</f>
        <v>APPROVED</v>
      </c>
      <c r="T2786" s="1" t="str">
        <f>IFERROR(__xludf.DUMMYFUNCTION("""COMPUTED_VALUE"""),"CLOSED")</f>
        <v>CLOSED</v>
      </c>
      <c r="U2786" s="1" t="str">
        <f>IFERROR(__xludf.DUMMYFUNCTION("""COMPUTED_VALUE"""),"POSTED")</f>
        <v>POSTED</v>
      </c>
      <c r="V2786" s="1"/>
      <c r="W2786" s="1"/>
    </row>
    <row r="2787" customHeight="1" spans="1:23">
      <c r="A2787" s="3">
        <f>IFERROR(__xludf.DUMMYFUNCTION("""COMPUTED_VALUE"""),46253)</f>
        <v>46253</v>
      </c>
      <c r="B2787" s="1" t="str">
        <f>IFERROR(__xludf.DUMMYFUNCTION("""COMPUTED_VALUE"""),"RIVERA, AIRIZH JOY")</f>
        <v>RIVERA, AIRIZH JOY</v>
      </c>
      <c r="C2787" s="1" t="str">
        <f>IFERROR(__xludf.DUMMYFUNCTION("""COMPUTED_VALUE"""),"ORGANIC")</f>
        <v>ORGANIC</v>
      </c>
      <c r="D2787" s="1" t="str">
        <f>IFERROR(__xludf.DUMMYFUNCTION("""COMPUTED_VALUE"""),"REMOLLO LEA")</f>
        <v>REMOLLO LEA</v>
      </c>
      <c r="E2787" s="1" t="str">
        <f>IFERROR(__xludf.DUMMYFUNCTION("""COMPUTED_VALUE"""),"PLDT / H2H")</f>
        <v>PLDT / H2H</v>
      </c>
      <c r="F2787" s="1">
        <f>IFERROR(__xludf.DUMMYFUNCTION("""COMPUTED_VALUE"""),2311921822)</f>
        <v>2311921822</v>
      </c>
      <c r="G2787" s="1">
        <f>IFERROR(__xludf.DUMMYFUNCTION("""COMPUTED_VALUE"""),467144225004)</f>
        <v>467144225004</v>
      </c>
      <c r="H2787" s="1" t="str">
        <f>IFERROR(__xludf.DUMMYFUNCTION("""COMPUTED_VALUE"""),"ROYCE MICHAEL PANGANIBAN VILLELA")</f>
        <v>ROYCE MICHAEL PANGANIBAN VILLELA</v>
      </c>
      <c r="I2787" s="1">
        <f>IFERROR(__xludf.DUMMYFUNCTION("""COMPUTED_VALUE"""),9208314420)</f>
        <v>9208314420</v>
      </c>
      <c r="J2787" s="1">
        <f>IFERROR(__xludf.DUMMYFUNCTION("""COMPUTED_VALUE"""),9345185490)</f>
        <v>9345185490</v>
      </c>
      <c r="K2787" s="1" t="str">
        <f>IFERROR(__xludf.DUMMYFUNCTION("""COMPUTED_VALUE"""),"abriavillela1001@gmail.com")</f>
        <v>abriavillela1001@gmail.com</v>
      </c>
      <c r="L2787" s="1" t="str">
        <f>IFERROR(__xludf.DUMMYFUNCTION("""COMPUTED_VALUE"""),"9799")</f>
        <v>9799</v>
      </c>
      <c r="M2787" s="1" t="str">
        <f>IFERROR(__xludf.DUMMYFUNCTION("""COMPUTED_VALUE"""),"PUROK 77")</f>
        <v>PUROK 77</v>
      </c>
      <c r="N2787" s="1"/>
      <c r="O2787" s="1" t="str">
        <f>IFERROR(__xludf.DUMMYFUNCTION("""COMPUTED_VALUE"""),"KAYBAGAL SOUTH (POB.)")</f>
        <v>KAYBAGAL SOUTH (POB.)</v>
      </c>
      <c r="P2787" s="1" t="str">
        <f>IFERROR(__xludf.DUMMYFUNCTION("""COMPUTED_VALUE"""),"TAGAYTAY")</f>
        <v>TAGAYTAY</v>
      </c>
      <c r="Q2787" s="1" t="str">
        <f>IFERROR(__xludf.DUMMYFUNCTION("""COMPUTED_VALUE"""),"CAVITE")</f>
        <v>CAVITE</v>
      </c>
      <c r="R2787" s="1" t="str">
        <f>IFERROR(__xludf.DUMMYFUNCTION("""COMPUTED_VALUE"""),"FIBR UNLI ALL PLAN 999")</f>
        <v>FIBR UNLI ALL PLAN 999</v>
      </c>
      <c r="S2787" s="1" t="str">
        <f>IFERROR(__xludf.DUMMYFUNCTION("""COMPUTED_VALUE"""),"APPROVED")</f>
        <v>APPROVED</v>
      </c>
      <c r="T2787" s="1" t="str">
        <f>IFERROR(__xludf.DUMMYFUNCTION("""COMPUTED_VALUE"""),"CANCELLED")</f>
        <v>CANCELLED</v>
      </c>
      <c r="U2787" s="1"/>
      <c r="V2787" s="1"/>
      <c r="W2787" s="1"/>
    </row>
    <row r="2788" customHeight="1" spans="1:23">
      <c r="A2788" s="3">
        <f>IFERROR(__xludf.DUMMYFUNCTION("""COMPUTED_VALUE"""),46253)</f>
        <v>46253</v>
      </c>
      <c r="B2788" s="1" t="str">
        <f>IFERROR(__xludf.DUMMYFUNCTION("""COMPUTED_VALUE"""),"OPS WESLY")</f>
        <v>OPS WESLY</v>
      </c>
      <c r="C2788" s="1" t="str">
        <f>IFERROR(__xludf.DUMMYFUNCTION("""COMPUTED_VALUE"""),"FLA")</f>
        <v>FLA</v>
      </c>
      <c r="D2788" s="1" t="str">
        <f>IFERROR(__xludf.DUMMYFUNCTION("""COMPUTED_VALUE"""),"JERIC NAVARRO")</f>
        <v>JERIC NAVARRO</v>
      </c>
      <c r="E2788" s="1" t="str">
        <f>IFERROR(__xludf.DUMMYFUNCTION("""COMPUTED_VALUE"""),"PLDT / ONLINE")</f>
        <v>PLDT / ONLINE</v>
      </c>
      <c r="F2788" s="1">
        <f>IFERROR(__xludf.DUMMYFUNCTION("""COMPUTED_VALUE"""),2311924148)</f>
        <v>2311924148</v>
      </c>
      <c r="G2788" s="1"/>
      <c r="H2788" s="1" t="str">
        <f>IFERROR(__xludf.DUMMYFUNCTION("""COMPUTED_VALUE"""),"EUNICE PENALBA CHO")</f>
        <v>EUNICE PENALBA CHO</v>
      </c>
      <c r="I2788" s="1">
        <f>IFERROR(__xludf.DUMMYFUNCTION("""COMPUTED_VALUE"""),9065765215)</f>
        <v>9065765215</v>
      </c>
      <c r="J2788" s="1">
        <f>IFERROR(__xludf.DUMMYFUNCTION("""COMPUTED_VALUE"""),9158890005)</f>
        <v>9158890005</v>
      </c>
      <c r="K2788" s="1" t="str">
        <f>IFERROR(__xludf.DUMMYFUNCTION("""COMPUTED_VALUE"""),"eunice.cho.ec@gmail.com")</f>
        <v>eunice.cho.ec@gmail.com</v>
      </c>
      <c r="L2788" s="1" t="str">
        <f>IFERROR(__xludf.DUMMYFUNCTION("""COMPUTED_VALUE"""),"BLK 6 LOT 38")</f>
        <v>BLK 6 LOT 38</v>
      </c>
      <c r="M2788" s="1" t="str">
        <f>IFERROR(__xludf.DUMMYFUNCTION("""COMPUTED_VALUE"""),"SOUTHRIDGE ")</f>
        <v>SOUTHRIDGE </v>
      </c>
      <c r="N2788" s="1"/>
      <c r="O2788" s="1" t="str">
        <f>IFERROR(__xludf.DUMMYFUNCTION("""COMPUTED_VALUE"""),"SUNGAY NORTH")</f>
        <v>SUNGAY NORTH</v>
      </c>
      <c r="P2788" s="1" t="str">
        <f>IFERROR(__xludf.DUMMYFUNCTION("""COMPUTED_VALUE"""),"TAGAYTAY")</f>
        <v>TAGAYTAY</v>
      </c>
      <c r="Q2788" s="1" t="str">
        <f>IFERROR(__xludf.DUMMYFUNCTION("""COMPUTED_VALUE"""),"CAVITE")</f>
        <v>CAVITE</v>
      </c>
      <c r="R2788" s="1" t="str">
        <f>IFERROR(__xludf.DUMMYFUNCTION("""COMPUTED_VALUE"""),"FIBR PLAN 1699")</f>
        <v>FIBR PLAN 1699</v>
      </c>
      <c r="S2788" s="1" t="str">
        <f>IFERROR(__xludf.DUMMYFUNCTION("""COMPUTED_VALUE"""),"APPROVED")</f>
        <v>APPROVED</v>
      </c>
      <c r="T2788" s="1" t="str">
        <f>IFERROR(__xludf.DUMMYFUNCTION("""COMPUTED_VALUE"""),"CANCELLED")</f>
        <v>CANCELLED</v>
      </c>
      <c r="U2788" s="1"/>
      <c r="V2788" s="1"/>
      <c r="W2788" s="1"/>
    </row>
    <row r="2789" customHeight="1" spans="1:23">
      <c r="A2789" s="3">
        <f>IFERROR(__xludf.DUMMYFUNCTION("""COMPUTED_VALUE"""),46253)</f>
        <v>46253</v>
      </c>
      <c r="B2789" s="1" t="str">
        <f>IFERROR(__xludf.DUMMYFUNCTION("""COMPUTED_VALUE"""),"ALOS, CHARLS LAURENZ")</f>
        <v>ALOS, CHARLS LAURENZ</v>
      </c>
      <c r="C2789" s="1" t="str">
        <f>IFERROR(__xludf.DUMMYFUNCTION("""COMPUTED_VALUE"""),"ORGANIC")</f>
        <v>ORGANIC</v>
      </c>
      <c r="D2789" s="1" t="str">
        <f>IFERROR(__xludf.DUMMYFUNCTION("""COMPUTED_VALUE"""),"REMOLLO LEA")</f>
        <v>REMOLLO LEA</v>
      </c>
      <c r="E2789" s="1" t="str">
        <f>IFERROR(__xludf.DUMMYFUNCTION("""COMPUTED_VALUE"""),"PLDT / H2H")</f>
        <v>PLDT / H2H</v>
      </c>
      <c r="F2789" s="1">
        <f>IFERROR(__xludf.DUMMYFUNCTION("""COMPUTED_VALUE"""),2311929176)</f>
        <v>2311929176</v>
      </c>
      <c r="G2789" s="1">
        <f>IFERROR(__xludf.DUMMYFUNCTION("""COMPUTED_VALUE"""),467256311004)</f>
        <v>467256311004</v>
      </c>
      <c r="H2789" s="1" t="str">
        <f>IFERROR(__xludf.DUMMYFUNCTION("""COMPUTED_VALUE"""),"APRIL SHAINE ALOG REBATE")</f>
        <v>APRIL SHAINE ALOG REBATE</v>
      </c>
      <c r="I2789" s="1">
        <f>IFERROR(__xludf.DUMMYFUNCTION("""COMPUTED_VALUE"""),9456233522)</f>
        <v>9456233522</v>
      </c>
      <c r="J2789" s="1">
        <f>IFERROR(__xludf.DUMMYFUNCTION("""COMPUTED_VALUE"""),9301474377)</f>
        <v>9301474377</v>
      </c>
      <c r="K2789" s="1" t="str">
        <f>IFERROR(__xludf.DUMMYFUNCTION("""COMPUTED_VALUE"""),"aprilshaine.rebate@gmail.com")</f>
        <v>aprilshaine.rebate@gmail.com</v>
      </c>
      <c r="L2789" s="1" t="str">
        <f>IFERROR(__xludf.DUMMYFUNCTION("""COMPUTED_VALUE"""),"BLK 54 LOT 58")</f>
        <v>BLK 54 LOT 58</v>
      </c>
      <c r="M2789" s="1" t="str">
        <f>IFERROR(__xludf.DUMMYFUNCTION("""COMPUTED_VALUE"""),"PHASE 4")</f>
        <v>PHASE 4</v>
      </c>
      <c r="N2789" s="1" t="str">
        <f>IFERROR(__xludf.DUMMYFUNCTION("""COMPUTED_VALUE"""),"ALTATIERRA")</f>
        <v>ALTATIERRA</v>
      </c>
      <c r="O2789" s="1" t="str">
        <f>IFERROR(__xludf.DUMMYFUNCTION("""COMPUTED_VALUE"""),"ALDIANO OLAES")</f>
        <v>ALDIANO OLAES</v>
      </c>
      <c r="P2789" s="1" t="str">
        <f>IFERROR(__xludf.DUMMYFUNCTION("""COMPUTED_VALUE"""),"GEN MARIANO ALVAREZ")</f>
        <v>GEN MARIANO ALVAREZ</v>
      </c>
      <c r="Q2789" s="1" t="str">
        <f>IFERROR(__xludf.DUMMYFUNCTION("""COMPUTED_VALUE"""),"CAVITE")</f>
        <v>CAVITE</v>
      </c>
      <c r="R2789" s="1" t="str">
        <f>IFERROR(__xludf.DUMMYFUNCTION("""COMPUTED_VALUE"""),"FIBR UNLI ALL PLAN 1899")</f>
        <v>FIBR UNLI ALL PLAN 1899</v>
      </c>
      <c r="S2789" s="1" t="str">
        <f>IFERROR(__xludf.DUMMYFUNCTION("""COMPUTED_VALUE"""),"APPROVED")</f>
        <v>APPROVED</v>
      </c>
      <c r="T2789" s="1" t="str">
        <f>IFERROR(__xludf.DUMMYFUNCTION("""COMPUTED_VALUE"""),"RPR")</f>
        <v>RPR</v>
      </c>
      <c r="U2789" s="1"/>
      <c r="V2789" s="1"/>
      <c r="W2789" s="1"/>
    </row>
    <row r="2790" customHeight="1" spans="1:23">
      <c r="A2790" s="3">
        <f>IFERROR(__xludf.DUMMYFUNCTION("""COMPUTED_VALUE"""),46253)</f>
        <v>46253</v>
      </c>
      <c r="B2790" s="1" t="str">
        <f>IFERROR(__xludf.DUMMYFUNCTION("""COMPUTED_VALUE"""),"CADERAO, RONALD")</f>
        <v>CADERAO, RONALD</v>
      </c>
      <c r="C2790" s="1" t="str">
        <f>IFERROR(__xludf.DUMMYFUNCTION("""COMPUTED_VALUE"""),"ORGANIC")</f>
        <v>ORGANIC</v>
      </c>
      <c r="D2790" s="1" t="str">
        <f>IFERROR(__xludf.DUMMYFUNCTION("""COMPUTED_VALUE"""),"REMOLLO LEA")</f>
        <v>REMOLLO LEA</v>
      </c>
      <c r="E2790" s="1" t="str">
        <f>IFERROR(__xludf.DUMMYFUNCTION("""COMPUTED_VALUE"""),"PLDT / H2H")</f>
        <v>PLDT / H2H</v>
      </c>
      <c r="F2790" s="1">
        <f>IFERROR(__xludf.DUMMYFUNCTION("""COMPUTED_VALUE"""),2311930301)</f>
        <v>2311930301</v>
      </c>
      <c r="G2790" s="1"/>
      <c r="H2790" s="1" t="str">
        <f>IFERROR(__xludf.DUMMYFUNCTION("""COMPUTED_VALUE"""),"MELISSA TAN ITLIONG")</f>
        <v>MELISSA TAN ITLIONG</v>
      </c>
      <c r="I2790" s="1">
        <f>IFERROR(__xludf.DUMMYFUNCTION("""COMPUTED_VALUE"""),97744088175)</f>
        <v>97744088175</v>
      </c>
      <c r="J2790" s="1"/>
      <c r="K2790" s="1" t="str">
        <f>IFERROR(__xludf.DUMMYFUNCTION("""COMPUTED_VALUE"""),"1982.melissa@gmail.com")</f>
        <v>1982.melissa@gmail.com</v>
      </c>
      <c r="L2790" s="1" t="str">
        <f>IFERROR(__xludf.DUMMYFUNCTION("""COMPUTED_VALUE"""),"BLK 50 LOT 155")</f>
        <v>BLK 50 LOT 155</v>
      </c>
      <c r="M2790" s="1" t="str">
        <f>IFERROR(__xludf.DUMMYFUNCTION("""COMPUTED_VALUE"""),"PHASE 3")</f>
        <v>PHASE 3</v>
      </c>
      <c r="N2790" s="1" t="str">
        <f>IFERROR(__xludf.DUMMYFUNCTION("""COMPUTED_VALUE"""),"ALTATIERRA")</f>
        <v>ALTATIERRA</v>
      </c>
      <c r="O2790" s="1" t="str">
        <f>IFERROR(__xludf.DUMMYFUNCTION("""COMPUTED_VALUE"""),"ALDIANO OLAES")</f>
        <v>ALDIANO OLAES</v>
      </c>
      <c r="P2790" s="1" t="str">
        <f>IFERROR(__xludf.DUMMYFUNCTION("""COMPUTED_VALUE"""),"GEN MARIANO ALVAREZ")</f>
        <v>GEN MARIANO ALVAREZ</v>
      </c>
      <c r="Q2790" s="1" t="str">
        <f>IFERROR(__xludf.DUMMYFUNCTION("""COMPUTED_VALUE"""),"CAVITE")</f>
        <v>CAVITE</v>
      </c>
      <c r="R2790" s="1" t="str">
        <f>IFERROR(__xludf.DUMMYFUNCTION("""COMPUTED_VALUE"""),"FIBR UNLI ALL PLAN 1499")</f>
        <v>FIBR UNLI ALL PLAN 1499</v>
      </c>
      <c r="S2790" s="1" t="str">
        <f>IFERROR(__xludf.DUMMYFUNCTION("""COMPUTED_VALUE"""),"APPROVED")</f>
        <v>APPROVED</v>
      </c>
      <c r="T2790" s="1" t="str">
        <f>IFERROR(__xludf.DUMMYFUNCTION("""COMPUTED_VALUE"""),"CANCELLED")</f>
        <v>CANCELLED</v>
      </c>
      <c r="U2790" s="1"/>
      <c r="V2790" s="1"/>
      <c r="W2790" s="1"/>
    </row>
    <row r="2791" customHeight="1" spans="1:23">
      <c r="A2791" s="3">
        <f>IFERROR(__xludf.DUMMYFUNCTION("""COMPUTED_VALUE"""),46253)</f>
        <v>46253</v>
      </c>
      <c r="B2791" s="1" t="str">
        <f>IFERROR(__xludf.DUMMYFUNCTION("""COMPUTED_VALUE"""),"RIVERA, AIRIZH JOY")</f>
        <v>RIVERA, AIRIZH JOY</v>
      </c>
      <c r="C2791" s="1" t="str">
        <f>IFERROR(__xludf.DUMMYFUNCTION("""COMPUTED_VALUE"""),"ORGANIC")</f>
        <v>ORGANIC</v>
      </c>
      <c r="D2791" s="1" t="str">
        <f>IFERROR(__xludf.DUMMYFUNCTION("""COMPUTED_VALUE"""),"REMOLLO LEA")</f>
        <v>REMOLLO LEA</v>
      </c>
      <c r="E2791" s="1" t="str">
        <f>IFERROR(__xludf.DUMMYFUNCTION("""COMPUTED_VALUE"""),"PLDT / H2H")</f>
        <v>PLDT / H2H</v>
      </c>
      <c r="F2791" s="1">
        <f>IFERROR(__xludf.DUMMYFUNCTION("""COMPUTED_VALUE"""),2311930910)</f>
        <v>2311930910</v>
      </c>
      <c r="G2791" s="1">
        <f>IFERROR(__xludf.DUMMYFUNCTION("""COMPUTED_VALUE"""),467145957004)</f>
        <v>467145957004</v>
      </c>
      <c r="H2791" s="1" t="str">
        <f>IFERROR(__xludf.DUMMYFUNCTION("""COMPUTED_VALUE"""),"ARLYN CUADRA LOPEZ")</f>
        <v>ARLYN CUADRA LOPEZ</v>
      </c>
      <c r="I2791" s="1">
        <f>IFERROR(__xludf.DUMMYFUNCTION("""COMPUTED_VALUE"""),9944662554)</f>
        <v>9944662554</v>
      </c>
      <c r="J2791" s="1">
        <f>IFERROR(__xludf.DUMMYFUNCTION("""COMPUTED_VALUE"""),9507281992)</f>
        <v>9507281992</v>
      </c>
      <c r="K2791" s="1" t="str">
        <f>IFERROR(__xludf.DUMMYFUNCTION("""COMPUTED_VALUE"""),"fresnidojayson@gmail.com")</f>
        <v>fresnidojayson@gmail.com</v>
      </c>
      <c r="L2791" s="1" t="str">
        <f>IFERROR(__xludf.DUMMYFUNCTION("""COMPUTED_VALUE"""),"BLK 32 LOT 8")</f>
        <v>BLK 32 LOT 8</v>
      </c>
      <c r="M2791" s="1" t="str">
        <f>IFERROR(__xludf.DUMMYFUNCTION("""COMPUTED_VALUE"""),"SALUD")</f>
        <v>SALUD</v>
      </c>
      <c r="N2791" s="1"/>
      <c r="O2791" s="1" t="str">
        <f>IFERROR(__xludf.DUMMYFUNCTION("""COMPUTED_VALUE"""),"INOCENCIO SALUD")</f>
        <v>INOCENCIO SALUD</v>
      </c>
      <c r="P2791" s="1" t="str">
        <f>IFERROR(__xludf.DUMMYFUNCTION("""COMPUTED_VALUE"""),"GEN MARIANO ALVAREZ")</f>
        <v>GEN MARIANO ALVAREZ</v>
      </c>
      <c r="Q2791" s="1" t="str">
        <f>IFERROR(__xludf.DUMMYFUNCTION("""COMPUTED_VALUE"""),"CAVITE")</f>
        <v>CAVITE</v>
      </c>
      <c r="R2791" s="1" t="str">
        <f>IFERROR(__xludf.DUMMYFUNCTION("""COMPUTED_VALUE"""),"FIBR PLAN 1299")</f>
        <v>FIBR PLAN 1299</v>
      </c>
      <c r="S2791" s="1" t="str">
        <f>IFERROR(__xludf.DUMMYFUNCTION("""COMPUTED_VALUE"""),"APPROVED")</f>
        <v>APPROVED</v>
      </c>
      <c r="T2791" s="1" t="str">
        <f>IFERROR(__xludf.DUMMYFUNCTION("""COMPUTED_VALUE"""),"CLOSED")</f>
        <v>CLOSED</v>
      </c>
      <c r="U2791" s="1" t="str">
        <f>IFERROR(__xludf.DUMMYFUNCTION("""COMPUTED_VALUE"""),"POSTED")</f>
        <v>POSTED</v>
      </c>
      <c r="V2791" s="1"/>
      <c r="W2791" s="1"/>
    </row>
    <row r="2792" customHeight="1" spans="1:23">
      <c r="A2792" s="3">
        <f>IFERROR(__xludf.DUMMYFUNCTION("""COMPUTED_VALUE"""),46253)</f>
        <v>46253</v>
      </c>
      <c r="B2792" s="1" t="str">
        <f>IFERROR(__xludf.DUMMYFUNCTION("""COMPUTED_VALUE"""),"AYON MANUEL")</f>
        <v>AYON MANUEL</v>
      </c>
      <c r="C2792" s="1" t="str">
        <f>IFERROR(__xludf.DUMMYFUNCTION("""COMPUTED_VALUE"""),"FLA")</f>
        <v>FLA</v>
      </c>
      <c r="D2792" s="1" t="str">
        <f>IFERROR(__xludf.DUMMYFUNCTION("""COMPUTED_VALUE"""),"JERIC NAVARRO")</f>
        <v>JERIC NAVARRO</v>
      </c>
      <c r="E2792" s="1" t="str">
        <f>IFERROR(__xludf.DUMMYFUNCTION("""COMPUTED_VALUE"""),"PLDT / ONLINE")</f>
        <v>PLDT / ONLINE</v>
      </c>
      <c r="F2792" s="1"/>
      <c r="G2792" s="1"/>
      <c r="H2792" s="1" t="str">
        <f>IFERROR(__xludf.DUMMYFUNCTION("""COMPUTED_VALUE"""),"DINDO SASUTIL WASAWAS")</f>
        <v>DINDO SASUTIL WASAWAS</v>
      </c>
      <c r="I2792" s="1">
        <f>IFERROR(__xludf.DUMMYFUNCTION("""COMPUTED_VALUE"""),9553954628)</f>
        <v>9553954628</v>
      </c>
      <c r="J2792" s="1">
        <f>IFERROR(__xludf.DUMMYFUNCTION("""COMPUTED_VALUE"""),953954629)</f>
        <v>953954629</v>
      </c>
      <c r="K2792" s="1" t="str">
        <f>IFERROR(__xludf.DUMMYFUNCTION("""COMPUTED_VALUE"""),"wasawasaldin940@gmail.com")</f>
        <v>wasawasaldin940@gmail.com</v>
      </c>
      <c r="L2792" s="1" t="str">
        <f>IFERROR(__xludf.DUMMYFUNCTION("""COMPUTED_VALUE"""),"4120")</f>
        <v>4120</v>
      </c>
      <c r="M2792" s="1" t="str">
        <f>IFERROR(__xludf.DUMMYFUNCTION("""COMPUTED_VALUE"""),"PUROK 212")</f>
        <v>PUROK 212</v>
      </c>
      <c r="N2792" s="1"/>
      <c r="O2792" s="1" t="str">
        <f>IFERROR(__xludf.DUMMYFUNCTION("""COMPUTED_VALUE"""),"ZAMBAL")</f>
        <v>ZAMBAL</v>
      </c>
      <c r="P2792" s="1" t="str">
        <f>IFERROR(__xludf.DUMMYFUNCTION("""COMPUTED_VALUE"""),"TAGAYTAY")</f>
        <v>TAGAYTAY</v>
      </c>
      <c r="Q2792" s="1" t="str">
        <f>IFERROR(__xludf.DUMMYFUNCTION("""COMPUTED_VALUE"""),"CAVITE")</f>
        <v>CAVITE</v>
      </c>
      <c r="R2792" s="1" t="str">
        <f>IFERROR(__xludf.DUMMYFUNCTION("""COMPUTED_VALUE"""),"FIBR PLAN 1299")</f>
        <v>FIBR PLAN 1299</v>
      </c>
      <c r="S2792" s="1" t="str">
        <f>IFERROR(__xludf.DUMMYFUNCTION("""COMPUTED_VALUE"""),"HOLD")</f>
        <v>HOLD</v>
      </c>
      <c r="T2792" s="1" t="str">
        <f>IFERROR(__xludf.DUMMYFUNCTION("""COMPUTED_VALUE"""),"#N/A")</f>
        <v>#N/A</v>
      </c>
      <c r="U2792" s="1" t="str">
        <f>IFERROR(__xludf.DUMMYFUNCTION("""COMPUTED_VALUE"""),"OTP COMPLIANCE")</f>
        <v>OTP COMPLIANCE</v>
      </c>
      <c r="V2792" s="1"/>
      <c r="W2792" s="1"/>
    </row>
    <row r="2793" customHeight="1" spans="1:23">
      <c r="A2793" s="3">
        <f>IFERROR(__xludf.DUMMYFUNCTION("""COMPUTED_VALUE"""),46253)</f>
        <v>46253</v>
      </c>
      <c r="B2793" s="1" t="str">
        <f>IFERROR(__xludf.DUMMYFUNCTION("""COMPUTED_VALUE"""),"FRANCISCO , ROSELYN")</f>
        <v>FRANCISCO , ROSELYN</v>
      </c>
      <c r="C2793" s="1" t="str">
        <f>IFERROR(__xludf.DUMMYFUNCTION("""COMPUTED_VALUE"""),"ORGANIC")</f>
        <v>ORGANIC</v>
      </c>
      <c r="D2793" s="1" t="str">
        <f>IFERROR(__xludf.DUMMYFUNCTION("""COMPUTED_VALUE"""),"REMOLLO LEA")</f>
        <v>REMOLLO LEA</v>
      </c>
      <c r="E2793" s="1" t="str">
        <f>IFERROR(__xludf.DUMMYFUNCTION("""COMPUTED_VALUE"""),"PLDT / H2H")</f>
        <v>PLDT / H2H</v>
      </c>
      <c r="F2793" s="1">
        <f>IFERROR(__xludf.DUMMYFUNCTION("""COMPUTED_VALUE"""),2311931515)</f>
        <v>2311931515</v>
      </c>
      <c r="G2793" s="1">
        <f>IFERROR(__xludf.DUMMYFUNCTION("""COMPUTED_VALUE"""),467144251004)</f>
        <v>467144251004</v>
      </c>
      <c r="H2793" s="1" t="str">
        <f>IFERROR(__xludf.DUMMYFUNCTION("""COMPUTED_VALUE"""),"REDIMER JR BACO GATUS")</f>
        <v>REDIMER JR BACO GATUS</v>
      </c>
      <c r="I2793" s="1">
        <f>IFERROR(__xludf.DUMMYFUNCTION("""COMPUTED_VALUE"""),9562670323)</f>
        <v>9562670323</v>
      </c>
      <c r="J2793" s="1"/>
      <c r="K2793" s="1" t="str">
        <f>IFERROR(__xludf.DUMMYFUNCTION("""COMPUTED_VALUE"""),"gatusredimer198@gmail.com")</f>
        <v>gatusredimer198@gmail.com</v>
      </c>
      <c r="L2793" s="1" t="str">
        <f>IFERROR(__xludf.DUMMYFUNCTION("""COMPUTED_VALUE"""),"98")</f>
        <v>98</v>
      </c>
      <c r="M2793" s="1" t="str">
        <f>IFERROR(__xludf.DUMMYFUNCTION("""COMPUTED_VALUE"""),"PHASE 1")</f>
        <v>PHASE 1</v>
      </c>
      <c r="N2793" s="1"/>
      <c r="O2793" s="1" t="str">
        <f>IFERROR(__xludf.DUMMYFUNCTION("""COMPUTED_VALUE"""),"ACACIA")</f>
        <v>ACACIA</v>
      </c>
      <c r="P2793" s="1" t="str">
        <f>IFERROR(__xludf.DUMMYFUNCTION("""COMPUTED_VALUE"""),"SILANG")</f>
        <v>SILANG</v>
      </c>
      <c r="Q2793" s="1" t="str">
        <f>IFERROR(__xludf.DUMMYFUNCTION("""COMPUTED_VALUE"""),"CAVITE")</f>
        <v>CAVITE</v>
      </c>
      <c r="R2793" s="1" t="str">
        <f>IFERROR(__xludf.DUMMYFUNCTION("""COMPUTED_VALUE"""),"FIBR PLAN 1299")</f>
        <v>FIBR PLAN 1299</v>
      </c>
      <c r="S2793" s="1" t="str">
        <f>IFERROR(__xludf.DUMMYFUNCTION("""COMPUTED_VALUE"""),"APPROVED")</f>
        <v>APPROVED</v>
      </c>
      <c r="T2793" s="1" t="str">
        <f>IFERROR(__xludf.DUMMYFUNCTION("""COMPUTED_VALUE"""),"CLOSED")</f>
        <v>CLOSED</v>
      </c>
      <c r="U2793" s="1" t="str">
        <f>IFERROR(__xludf.DUMMYFUNCTION("""COMPUTED_VALUE"""),"POSTED")</f>
        <v>POSTED</v>
      </c>
      <c r="V2793" s="1"/>
      <c r="W2793" s="1"/>
    </row>
    <row r="2794" customHeight="1" spans="1:23">
      <c r="A2794" s="3">
        <f>IFERROR(__xludf.DUMMYFUNCTION("""COMPUTED_VALUE"""),46253)</f>
        <v>46253</v>
      </c>
      <c r="B2794" s="1" t="str">
        <f>IFERROR(__xludf.DUMMYFUNCTION("""COMPUTED_VALUE"""),"BAQUIT ,JAZMIN")</f>
        <v>BAQUIT ,JAZMIN</v>
      </c>
      <c r="C2794" s="1" t="str">
        <f>IFERROR(__xludf.DUMMYFUNCTION("""COMPUTED_VALUE"""),"ORGANIC")</f>
        <v>ORGANIC</v>
      </c>
      <c r="D2794" s="1" t="str">
        <f>IFERROR(__xludf.DUMMYFUNCTION("""COMPUTED_VALUE"""),"REMOLLO LEA")</f>
        <v>REMOLLO LEA</v>
      </c>
      <c r="E2794" s="1" t="str">
        <f>IFERROR(__xludf.DUMMYFUNCTION("""COMPUTED_VALUE"""),"PLDT / H2H")</f>
        <v>PLDT / H2H</v>
      </c>
      <c r="F2794" s="1">
        <f>IFERROR(__xludf.DUMMYFUNCTION("""COMPUTED_VALUE"""),2311943281)</f>
        <v>2311943281</v>
      </c>
      <c r="G2794" s="1">
        <f>IFERROR(__xludf.DUMMYFUNCTION("""COMPUTED_VALUE"""),467254520004)</f>
        <v>467254520004</v>
      </c>
      <c r="H2794" s="1" t="str">
        <f>IFERROR(__xludf.DUMMYFUNCTION("""COMPUTED_VALUE"""),"ROLLY JR TIERNE MARTORILLAS")</f>
        <v>ROLLY JR TIERNE MARTORILLAS</v>
      </c>
      <c r="I2794" s="1">
        <f>IFERROR(__xludf.DUMMYFUNCTION("""COMPUTED_VALUE"""),9752014132)</f>
        <v>9752014132</v>
      </c>
      <c r="J2794" s="1"/>
      <c r="K2794" s="1" t="str">
        <f>IFERROR(__xludf.DUMMYFUNCTION("""COMPUTED_VALUE"""),"rooly17@gmall.com")</f>
        <v>rooly17@gmall.com</v>
      </c>
      <c r="L2794" s="1" t="str">
        <f>IFERROR(__xludf.DUMMYFUNCTION("""COMPUTED_VALUE"""),"BLK 3 LOT 2")</f>
        <v>BLK 3 LOT 2</v>
      </c>
      <c r="M2794" s="1" t="str">
        <f>IFERROR(__xludf.DUMMYFUNCTION("""COMPUTED_VALUE"""),"BUKLURAN")</f>
        <v>BUKLURAN</v>
      </c>
      <c r="N2794" s="1"/>
      <c r="O2794" s="1" t="str">
        <f>IFERROR(__xludf.DUMMYFUNCTION("""COMPUTED_VALUE"""),"BULIHAN")</f>
        <v>BULIHAN</v>
      </c>
      <c r="P2794" s="1" t="str">
        <f>IFERROR(__xludf.DUMMYFUNCTION("""COMPUTED_VALUE"""),"SILANG")</f>
        <v>SILANG</v>
      </c>
      <c r="Q2794" s="1" t="str">
        <f>IFERROR(__xludf.DUMMYFUNCTION("""COMPUTED_VALUE"""),"CAVITE")</f>
        <v>CAVITE</v>
      </c>
      <c r="R2794" s="1" t="str">
        <f>IFERROR(__xludf.DUMMYFUNCTION("""COMPUTED_VALUE"""),"FIBR PLAN 1299")</f>
        <v>FIBR PLAN 1299</v>
      </c>
      <c r="S2794" s="1" t="str">
        <f>IFERROR(__xludf.DUMMYFUNCTION("""COMPUTED_VALUE"""),"APPROVED")</f>
        <v>APPROVED</v>
      </c>
      <c r="T2794" s="1" t="str">
        <f>IFERROR(__xludf.DUMMYFUNCTION("""COMPUTED_VALUE"""),"RPR")</f>
        <v>RPR</v>
      </c>
      <c r="U2794" s="1"/>
      <c r="V2794" s="1"/>
      <c r="W2794" s="1"/>
    </row>
    <row r="2795" customHeight="1" spans="1:23">
      <c r="A2795" s="3">
        <f>IFERROR(__xludf.DUMMYFUNCTION("""COMPUTED_VALUE"""),46254)</f>
        <v>46254</v>
      </c>
      <c r="B2795" s="1" t="str">
        <f>IFERROR(__xludf.DUMMYFUNCTION("""COMPUTED_VALUE"""),"CARPIO, STEPHANIE NICOLE")</f>
        <v>CARPIO, STEPHANIE NICOLE</v>
      </c>
      <c r="C2795" s="1" t="str">
        <f>IFERROR(__xludf.DUMMYFUNCTION("""COMPUTED_VALUE"""),"FLA")</f>
        <v>FLA</v>
      </c>
      <c r="D2795" s="1" t="str">
        <f>IFERROR(__xludf.DUMMYFUNCTION("""COMPUTED_VALUE"""),"JERIC NAVARRO")</f>
        <v>JERIC NAVARRO</v>
      </c>
      <c r="E2795" s="1" t="str">
        <f>IFERROR(__xludf.DUMMYFUNCTION("""COMPUTED_VALUE"""),"PLDT / H2H")</f>
        <v>PLDT / H2H</v>
      </c>
      <c r="F2795" s="1">
        <f>IFERROR(__xludf.DUMMYFUNCTION("""COMPUTED_VALUE"""),2311945493)</f>
        <v>2311945493</v>
      </c>
      <c r="G2795" s="1">
        <f>IFERROR(__xludf.DUMMYFUNCTION("""COMPUTED_VALUE"""),467261990004)</f>
        <v>467261990004</v>
      </c>
      <c r="H2795" s="1" t="str">
        <f>IFERROR(__xludf.DUMMYFUNCTION("""COMPUTED_VALUE"""),"ALLAN RAY RIVERA DE GUZMAN")</f>
        <v>ALLAN RAY RIVERA DE GUZMAN</v>
      </c>
      <c r="I2795" s="1">
        <f>IFERROR(__xludf.DUMMYFUNCTION("""COMPUTED_VALUE"""),9157154236)</f>
        <v>9157154236</v>
      </c>
      <c r="J2795" s="1"/>
      <c r="K2795" s="1" t="str">
        <f>IFERROR(__xludf.DUMMYFUNCTION("""COMPUTED_VALUE"""),"allanray.r.deguzman@gmail.com")</f>
        <v>allanray.r.deguzman@gmail.com</v>
      </c>
      <c r="L2795" s="1" t="str">
        <f>IFERROR(__xludf.DUMMYFUNCTION("""COMPUTED_VALUE"""),"266")</f>
        <v>266</v>
      </c>
      <c r="M2795" s="1" t="str">
        <f>IFERROR(__xludf.DUMMYFUNCTION("""COMPUTED_VALUE"""),"H DEL TRABAJO")</f>
        <v>H DEL TRABAJO</v>
      </c>
      <c r="N2795" s="1"/>
      <c r="O2795" s="1" t="str">
        <f>IFERROR(__xludf.DUMMYFUNCTION("""COMPUTED_VALUE"""),"BARANGAY 44 (MALIGAYA)")</f>
        <v>BARANGAY 44 (MALIGAYA)</v>
      </c>
      <c r="P2795" s="1" t="str">
        <f>IFERROR(__xludf.DUMMYFUNCTION("""COMPUTED_VALUE"""),"CAVITE CITY")</f>
        <v>CAVITE CITY</v>
      </c>
      <c r="Q2795" s="1" t="str">
        <f>IFERROR(__xludf.DUMMYFUNCTION("""COMPUTED_VALUE"""),"CAVITE")</f>
        <v>CAVITE</v>
      </c>
      <c r="R2795" s="1" t="str">
        <f>IFERROR(__xludf.DUMMYFUNCTION("""COMPUTED_VALUE"""),"FIBR NETFLIX PLAN 1599")</f>
        <v>FIBR NETFLIX PLAN 1599</v>
      </c>
      <c r="S2795" s="1" t="str">
        <f>IFERROR(__xludf.DUMMYFUNCTION("""COMPUTED_VALUE"""),"APPROVED")</f>
        <v>APPROVED</v>
      </c>
      <c r="T2795" s="1" t="str">
        <f>IFERROR(__xludf.DUMMYFUNCTION("""COMPUTED_VALUE"""),"CLOSED")</f>
        <v>CLOSED</v>
      </c>
      <c r="U2795" s="1" t="str">
        <f>IFERROR(__xludf.DUMMYFUNCTION("""COMPUTED_VALUE"""),"POSTED")</f>
        <v>POSTED</v>
      </c>
      <c r="V2795" s="1"/>
      <c r="W2795" s="1"/>
    </row>
    <row r="2796" customHeight="1" spans="1:23">
      <c r="A2796" s="3">
        <f>IFERROR(__xludf.DUMMYFUNCTION("""COMPUTED_VALUE"""),46254)</f>
        <v>46254</v>
      </c>
      <c r="B2796" s="1" t="str">
        <f>IFERROR(__xludf.DUMMYFUNCTION("""COMPUTED_VALUE"""),"MAGDARAOG, KENNETH")</f>
        <v>MAGDARAOG, KENNETH</v>
      </c>
      <c r="C2796" s="1" t="str">
        <f>IFERROR(__xludf.DUMMYFUNCTION("""COMPUTED_VALUE"""),"ORGANIC")</f>
        <v>ORGANIC</v>
      </c>
      <c r="D2796" s="1" t="str">
        <f>IFERROR(__xludf.DUMMYFUNCTION("""COMPUTED_VALUE"""),"REMOLLO LEA")</f>
        <v>REMOLLO LEA</v>
      </c>
      <c r="E2796" s="1" t="str">
        <f>IFERROR(__xludf.DUMMYFUNCTION("""COMPUTED_VALUE"""),"PLDT / H2H")</f>
        <v>PLDT / H2H</v>
      </c>
      <c r="F2796" s="1">
        <f>IFERROR(__xludf.DUMMYFUNCTION("""COMPUTED_VALUE"""),2311946019)</f>
        <v>2311946019</v>
      </c>
      <c r="G2796" s="1">
        <f>IFERROR(__xludf.DUMMYFUNCTION("""COMPUTED_VALUE"""),467259052004)</f>
        <v>467259052004</v>
      </c>
      <c r="H2796" s="1" t="str">
        <f>IFERROR(__xludf.DUMMYFUNCTION("""COMPUTED_VALUE"""),"VANNESSA ROSE BORNEL RAMIREZ")</f>
        <v>VANNESSA ROSE BORNEL RAMIREZ</v>
      </c>
      <c r="I2796" s="1">
        <f>IFERROR(__xludf.DUMMYFUNCTION("""COMPUTED_VALUE"""),9765714988)</f>
        <v>9765714988</v>
      </c>
      <c r="J2796" s="1">
        <f>IFERROR(__xludf.DUMMYFUNCTION("""COMPUTED_VALUE"""),9166223624)</f>
        <v>9166223624</v>
      </c>
      <c r="K2796" s="1" t="str">
        <f>IFERROR(__xludf.DUMMYFUNCTION("""COMPUTED_VALUE"""),"vannrose25@gmail.com")</f>
        <v>vannrose25@gmail.com</v>
      </c>
      <c r="L2796" s="1" t="str">
        <f>IFERROR(__xludf.DUMMYFUNCTION("""COMPUTED_VALUE"""),"BLK 36 LOT 7")</f>
        <v>BLK 36 LOT 7</v>
      </c>
      <c r="M2796" s="1" t="str">
        <f>IFERROR(__xludf.DUMMYFUNCTION("""COMPUTED_VALUE"""),"PH6")</f>
        <v>PH6</v>
      </c>
      <c r="N2796" s="1"/>
      <c r="O2796" s="1" t="str">
        <f>IFERROR(__xludf.DUMMYFUNCTION("""COMPUTED_VALUE"""),"BANABA")</f>
        <v>BANABA</v>
      </c>
      <c r="P2796" s="1" t="str">
        <f>IFERROR(__xludf.DUMMYFUNCTION("""COMPUTED_VALUE"""),"SILANG")</f>
        <v>SILANG</v>
      </c>
      <c r="Q2796" s="1" t="str">
        <f>IFERROR(__xludf.DUMMYFUNCTION("""COMPUTED_VALUE"""),"CAVITE")</f>
        <v>CAVITE</v>
      </c>
      <c r="R2796" s="1" t="str">
        <f>IFERROR(__xludf.DUMMYFUNCTION("""COMPUTED_VALUE"""),"FIBR PLAN 1299")</f>
        <v>FIBR PLAN 1299</v>
      </c>
      <c r="S2796" s="1" t="str">
        <f>IFERROR(__xludf.DUMMYFUNCTION("""COMPUTED_VALUE"""),"APPROVED")</f>
        <v>APPROVED</v>
      </c>
      <c r="T2796" s="1" t="str">
        <f>IFERROR(__xludf.DUMMYFUNCTION("""COMPUTED_VALUE"""),"CLOSED")</f>
        <v>CLOSED</v>
      </c>
      <c r="U2796" s="1" t="str">
        <f>IFERROR(__xludf.DUMMYFUNCTION("""COMPUTED_VALUE"""),"POSTED")</f>
        <v>POSTED</v>
      </c>
      <c r="V2796" s="1"/>
      <c r="W2796" s="1"/>
    </row>
    <row r="2797" customHeight="1" spans="1:23">
      <c r="A2797" s="3">
        <f>IFERROR(__xludf.DUMMYFUNCTION("""COMPUTED_VALUE"""),46254)</f>
        <v>46254</v>
      </c>
      <c r="B2797" s="1" t="str">
        <f>IFERROR(__xludf.DUMMYFUNCTION("""COMPUTED_VALUE"""),"ALINGARO, CINDY")</f>
        <v>ALINGARO, CINDY</v>
      </c>
      <c r="C2797" s="1" t="str">
        <f>IFERROR(__xludf.DUMMYFUNCTION("""COMPUTED_VALUE"""),"ORGANIC")</f>
        <v>ORGANIC</v>
      </c>
      <c r="D2797" s="1" t="str">
        <f>IFERROR(__xludf.DUMMYFUNCTION("""COMPUTED_VALUE"""),"REMOLLO LEA")</f>
        <v>REMOLLO LEA</v>
      </c>
      <c r="E2797" s="1" t="str">
        <f>IFERROR(__xludf.DUMMYFUNCTION("""COMPUTED_VALUE"""),"PLDT / H2H")</f>
        <v>PLDT / H2H</v>
      </c>
      <c r="F2797" s="1">
        <f>IFERROR(__xludf.DUMMYFUNCTION("""COMPUTED_VALUE"""),2311946811)</f>
        <v>2311946811</v>
      </c>
      <c r="G2797" s="1">
        <f>IFERROR(__xludf.DUMMYFUNCTION("""COMPUTED_VALUE"""),467259929004)</f>
        <v>467259929004</v>
      </c>
      <c r="H2797" s="1" t="str">
        <f>IFERROR(__xludf.DUMMYFUNCTION("""COMPUTED_VALUE"""),"LUDY TRINIDAD MADERAZO")</f>
        <v>LUDY TRINIDAD MADERAZO</v>
      </c>
      <c r="I2797" s="1">
        <f>IFERROR(__xludf.DUMMYFUNCTION("""COMPUTED_VALUE"""),639669934726)</f>
        <v>639669934726</v>
      </c>
      <c r="J2797" s="1">
        <f>IFERROR(__xludf.DUMMYFUNCTION("""COMPUTED_VALUE"""),639564766367)</f>
        <v>639564766367</v>
      </c>
      <c r="K2797" s="1"/>
      <c r="L2797" s="1" t="str">
        <f>IFERROR(__xludf.DUMMYFUNCTION("""COMPUTED_VALUE"""),"700")</f>
        <v>700</v>
      </c>
      <c r="M2797" s="1" t="str">
        <f>IFERROR(__xludf.DUMMYFUNCTION("""COMPUTED_VALUE"""),"LEDESMA")</f>
        <v>LEDESMA</v>
      </c>
      <c r="N2797" s="1"/>
      <c r="O2797" s="1" t="str">
        <f>IFERROR(__xludf.DUMMYFUNCTION("""COMPUTED_VALUE"""),"MADUYA")</f>
        <v>MADUYA</v>
      </c>
      <c r="P2797" s="1" t="str">
        <f>IFERROR(__xludf.DUMMYFUNCTION("""COMPUTED_VALUE"""),"CARMONA")</f>
        <v>CARMONA</v>
      </c>
      <c r="Q2797" s="1" t="str">
        <f>IFERROR(__xludf.DUMMYFUNCTION("""COMPUTED_VALUE"""),"CAVITE")</f>
        <v>CAVITE</v>
      </c>
      <c r="R2797" s="1" t="str">
        <f>IFERROR(__xludf.DUMMYFUNCTION("""COMPUTED_VALUE"""),"FIBR NETFLIX PLAN 1599")</f>
        <v>FIBR NETFLIX PLAN 1599</v>
      </c>
      <c r="S2797" s="1" t="str">
        <f>IFERROR(__xludf.DUMMYFUNCTION("""COMPUTED_VALUE"""),"APPROVED")</f>
        <v>APPROVED</v>
      </c>
      <c r="T2797" s="1" t="str">
        <f>IFERROR(__xludf.DUMMYFUNCTION("""COMPUTED_VALUE"""),"CANCELLED")</f>
        <v>CANCELLED</v>
      </c>
      <c r="U2797" s="1" t="str">
        <f>IFERROR(__xludf.DUMMYFUNCTION("""COMPUTED_VALUE"""),"NO PAYMENT")</f>
        <v>NO PAYMENT</v>
      </c>
      <c r="V2797" s="1"/>
      <c r="W2797" s="1"/>
    </row>
    <row r="2798" customHeight="1" spans="1:23">
      <c r="A2798" s="3">
        <f>IFERROR(__xludf.DUMMYFUNCTION("""COMPUTED_VALUE"""),46254)</f>
        <v>46254</v>
      </c>
      <c r="B2798" s="1" t="str">
        <f>IFERROR(__xludf.DUMMYFUNCTION("""COMPUTED_VALUE"""),"FRANCISCO , ROSELYN")</f>
        <v>FRANCISCO , ROSELYN</v>
      </c>
      <c r="C2798" s="1" t="str">
        <f>IFERROR(__xludf.DUMMYFUNCTION("""COMPUTED_VALUE"""),"ORGANIC")</f>
        <v>ORGANIC</v>
      </c>
      <c r="D2798" s="1" t="str">
        <f>IFERROR(__xludf.DUMMYFUNCTION("""COMPUTED_VALUE"""),"REMOLLO LEA")</f>
        <v>REMOLLO LEA</v>
      </c>
      <c r="E2798" s="1" t="str">
        <f>IFERROR(__xludf.DUMMYFUNCTION("""COMPUTED_VALUE"""),"PLDT / H2H")</f>
        <v>PLDT / H2H</v>
      </c>
      <c r="F2798" s="1">
        <f>IFERROR(__xludf.DUMMYFUNCTION("""COMPUTED_VALUE"""),2311947936)</f>
        <v>2311947936</v>
      </c>
      <c r="G2798" s="1"/>
      <c r="H2798" s="1" t="str">
        <f>IFERROR(__xludf.DUMMYFUNCTION("""COMPUTED_VALUE"""),"SEAN MATHEW . LOMONGO")</f>
        <v>SEAN MATHEW . LOMONGO</v>
      </c>
      <c r="I2798" s="1">
        <f>IFERROR(__xludf.DUMMYFUNCTION("""COMPUTED_VALUE"""),639757984479)</f>
        <v>639757984479</v>
      </c>
      <c r="J2798" s="1">
        <f>IFERROR(__xludf.DUMMYFUNCTION("""COMPUTED_VALUE"""),639150979888)</f>
        <v>639150979888</v>
      </c>
      <c r="K2798" s="1"/>
      <c r="L2798" s="1" t="str">
        <f>IFERROR(__xludf.DUMMYFUNCTION("""COMPUTED_VALUE"""),"508")</f>
        <v>508</v>
      </c>
      <c r="M2798" s="1" t="str">
        <f>IFERROR(__xludf.DUMMYFUNCTION("""COMPUTED_VALUE"""),"GEN TRIAS DRIVE")</f>
        <v>GEN TRIAS DRIVE</v>
      </c>
      <c r="N2798" s="1"/>
      <c r="O2798" s="1" t="str">
        <f>IFERROR(__xludf.DUMMYFUNCTION("""COMPUTED_VALUE"""),"SAN JUAN II")</f>
        <v>SAN JUAN II</v>
      </c>
      <c r="P2798" s="1" t="str">
        <f>IFERROR(__xludf.DUMMYFUNCTION("""COMPUTED_VALUE"""),"GENERAL TRIAS")</f>
        <v>GENERAL TRIAS</v>
      </c>
      <c r="Q2798" s="1" t="str">
        <f>IFERROR(__xludf.DUMMYFUNCTION("""COMPUTED_VALUE"""),"CAVITE")</f>
        <v>CAVITE</v>
      </c>
      <c r="R2798" s="1" t="str">
        <f>IFERROR(__xludf.DUMMYFUNCTION("""COMPUTED_VALUE"""),"FIBR UNLI ALL PLAN 999")</f>
        <v>FIBR UNLI ALL PLAN 999</v>
      </c>
      <c r="S2798" s="1" t="str">
        <f>IFERROR(__xludf.DUMMYFUNCTION("""COMPUTED_VALUE"""),"APPROVED")</f>
        <v>APPROVED</v>
      </c>
      <c r="T2798" s="1" t="str">
        <f>IFERROR(__xludf.DUMMYFUNCTION("""COMPUTED_VALUE"""),"DISAPPROVED")</f>
        <v>DISAPPROVED</v>
      </c>
      <c r="U2798" s="1"/>
      <c r="V2798" s="1"/>
      <c r="W2798" s="1"/>
    </row>
    <row r="2799" customHeight="1" spans="1:23">
      <c r="A2799" s="3">
        <f>IFERROR(__xludf.DUMMYFUNCTION("""COMPUTED_VALUE"""),46254)</f>
        <v>46254</v>
      </c>
      <c r="B2799" s="1" t="str">
        <f>IFERROR(__xludf.DUMMYFUNCTION("""COMPUTED_VALUE"""),"IVNO, RAZZEL")</f>
        <v>IVNO, RAZZEL</v>
      </c>
      <c r="C2799" s="1" t="str">
        <f>IFERROR(__xludf.DUMMYFUNCTION("""COMPUTED_VALUE"""),"ORGANIC")</f>
        <v>ORGANIC</v>
      </c>
      <c r="D2799" s="1" t="str">
        <f>IFERROR(__xludf.DUMMYFUNCTION("""COMPUTED_VALUE"""),"REMOLLO LEA")</f>
        <v>REMOLLO LEA</v>
      </c>
      <c r="E2799" s="1" t="str">
        <f>IFERROR(__xludf.DUMMYFUNCTION("""COMPUTED_VALUE"""),"PLDT / H2H")</f>
        <v>PLDT / H2H</v>
      </c>
      <c r="F2799" s="1">
        <f>IFERROR(__xludf.DUMMYFUNCTION("""COMPUTED_VALUE"""),2311949601)</f>
        <v>2311949601</v>
      </c>
      <c r="G2799" s="1">
        <f>IFERROR(__xludf.DUMMYFUNCTION("""COMPUTED_VALUE"""),467263520004)</f>
        <v>467263520004</v>
      </c>
      <c r="H2799" s="1" t="str">
        <f>IFERROR(__xludf.DUMMYFUNCTION("""COMPUTED_VALUE"""),"JOANNA KATE . OLAYVAR")</f>
        <v>JOANNA KATE . OLAYVAR</v>
      </c>
      <c r="I2799" s="1">
        <f>IFERROR(__xludf.DUMMYFUNCTION("""COMPUTED_VALUE"""),639759894876)</f>
        <v>639759894876</v>
      </c>
      <c r="J2799" s="1">
        <f>IFERROR(__xludf.DUMMYFUNCTION("""COMPUTED_VALUE"""),639755451924)</f>
        <v>639755451924</v>
      </c>
      <c r="K2799" s="1"/>
      <c r="L2799" s="1" t="str">
        <f>IFERROR(__xludf.DUMMYFUNCTION("""COMPUTED_VALUE"""),"010-BL-002")</f>
        <v>010-BL-002</v>
      </c>
      <c r="M2799" s="1" t="str">
        <f>IFERROR(__xludf.DUMMYFUNCTION("""COMPUTED_VALUE"""),"PHASE 2")</f>
        <v>PHASE 2</v>
      </c>
      <c r="N2799" s="1"/>
      <c r="O2799" s="1" t="str">
        <f>IFERROR(__xludf.DUMMYFUNCTION("""COMPUTED_VALUE"""),"MILAGROSA")</f>
        <v>MILAGROSA</v>
      </c>
      <c r="P2799" s="1" t="str">
        <f>IFERROR(__xludf.DUMMYFUNCTION("""COMPUTED_VALUE"""),"CARMONA")</f>
        <v>CARMONA</v>
      </c>
      <c r="Q2799" s="1" t="str">
        <f>IFERROR(__xludf.DUMMYFUNCTION("""COMPUTED_VALUE"""),"CAVITE")</f>
        <v>CAVITE</v>
      </c>
      <c r="R2799" s="1" t="str">
        <f>IFERROR(__xludf.DUMMYFUNCTION("""COMPUTED_VALUE"""),"FIBR UNLI ALL PLAN 999")</f>
        <v>FIBR UNLI ALL PLAN 999</v>
      </c>
      <c r="S2799" s="1" t="str">
        <f>IFERROR(__xludf.DUMMYFUNCTION("""COMPUTED_VALUE"""),"APPROVED")</f>
        <v>APPROVED</v>
      </c>
      <c r="T2799" s="1" t="str">
        <f>IFERROR(__xludf.DUMMYFUNCTION("""COMPUTED_VALUE"""),"CANCELLED")</f>
        <v>CANCELLED</v>
      </c>
      <c r="U2799" s="1"/>
      <c r="V2799" s="1"/>
      <c r="W2799" s="1"/>
    </row>
    <row r="2800" customHeight="1" spans="1:23">
      <c r="A2800" s="3">
        <f>IFERROR(__xludf.DUMMYFUNCTION("""COMPUTED_VALUE"""),46254)</f>
        <v>46254</v>
      </c>
      <c r="B2800" s="1" t="str">
        <f>IFERROR(__xludf.DUMMYFUNCTION("""COMPUTED_VALUE"""),"DENACO, RODNEY")</f>
        <v>DENACO, RODNEY</v>
      </c>
      <c r="C2800" s="1" t="str">
        <f>IFERROR(__xludf.DUMMYFUNCTION("""COMPUTED_VALUE"""),"ORGANIC")</f>
        <v>ORGANIC</v>
      </c>
      <c r="D2800" s="1" t="str">
        <f>IFERROR(__xludf.DUMMYFUNCTION("""COMPUTED_VALUE"""),"REMOLLO LEA")</f>
        <v>REMOLLO LEA</v>
      </c>
      <c r="E2800" s="1" t="str">
        <f>IFERROR(__xludf.DUMMYFUNCTION("""COMPUTED_VALUE"""),"PLDT / H2H")</f>
        <v>PLDT / H2H</v>
      </c>
      <c r="F2800" s="1">
        <f>IFERROR(__xludf.DUMMYFUNCTION("""COMPUTED_VALUE"""),2311950551)</f>
        <v>2311950551</v>
      </c>
      <c r="G2800" s="1">
        <f>IFERROR(__xludf.DUMMYFUNCTION("""COMPUTED_VALUE"""),467263916004)</f>
        <v>467263916004</v>
      </c>
      <c r="H2800" s="1" t="str">
        <f>IFERROR(__xludf.DUMMYFUNCTION("""COMPUTED_VALUE"""),"PORFIRIO OYTAS CAPANAYAN")</f>
        <v>PORFIRIO OYTAS CAPANAYAN</v>
      </c>
      <c r="I2800" s="1">
        <f>IFERROR(__xludf.DUMMYFUNCTION("""COMPUTED_VALUE"""),639932104284)</f>
        <v>639932104284</v>
      </c>
      <c r="J2800" s="1"/>
      <c r="K2800" s="1"/>
      <c r="L2800" s="1" t="str">
        <f>IFERROR(__xludf.DUMMYFUNCTION("""COMPUTED_VALUE"""),"011-BL-001")</f>
        <v>011-BL-001</v>
      </c>
      <c r="M2800" s="1" t="str">
        <f>IFERROR(__xludf.DUMMYFUNCTION("""COMPUTED_VALUE"""),"PHASE 2")</f>
        <v>PHASE 2</v>
      </c>
      <c r="N2800" s="1"/>
      <c r="O2800" s="1" t="str">
        <f>IFERROR(__xludf.DUMMYFUNCTION("""COMPUTED_VALUE"""),"MILAGROSA")</f>
        <v>MILAGROSA</v>
      </c>
      <c r="P2800" s="1" t="str">
        <f>IFERROR(__xludf.DUMMYFUNCTION("""COMPUTED_VALUE"""),"CARMONA")</f>
        <v>CARMONA</v>
      </c>
      <c r="Q2800" s="1" t="str">
        <f>IFERROR(__xludf.DUMMYFUNCTION("""COMPUTED_VALUE"""),"CAVITE")</f>
        <v>CAVITE</v>
      </c>
      <c r="R2800" s="1" t="str">
        <f>IFERROR(__xludf.DUMMYFUNCTION("""COMPUTED_VALUE"""),"FIBR UNLI ALL PLAN 1499")</f>
        <v>FIBR UNLI ALL PLAN 1499</v>
      </c>
      <c r="S2800" s="1" t="str">
        <f>IFERROR(__xludf.DUMMYFUNCTION("""COMPUTED_VALUE"""),"APPROVED")</f>
        <v>APPROVED</v>
      </c>
      <c r="T2800" s="1" t="str">
        <f>IFERROR(__xludf.DUMMYFUNCTION("""COMPUTED_VALUE"""),"CLOSED")</f>
        <v>CLOSED</v>
      </c>
      <c r="U2800" s="1" t="str">
        <f>IFERROR(__xludf.DUMMYFUNCTION("""COMPUTED_VALUE"""),"POSTED")</f>
        <v>POSTED</v>
      </c>
      <c r="V2800" s="1"/>
      <c r="W2800" s="1"/>
    </row>
    <row r="2801" customHeight="1" spans="1:23">
      <c r="A2801" s="3">
        <f>IFERROR(__xludf.DUMMYFUNCTION("""COMPUTED_VALUE"""),46254)</f>
        <v>46254</v>
      </c>
      <c r="B2801" s="1" t="str">
        <f>IFERROR(__xludf.DUMMYFUNCTION("""COMPUTED_VALUE"""),"OPS WESLY")</f>
        <v>OPS WESLY</v>
      </c>
      <c r="C2801" s="1" t="str">
        <f>IFERROR(__xludf.DUMMYFUNCTION("""COMPUTED_VALUE"""),"FLA")</f>
        <v>FLA</v>
      </c>
      <c r="D2801" s="1" t="str">
        <f>IFERROR(__xludf.DUMMYFUNCTION("""COMPUTED_VALUE"""),"JERIC NAVARRO")</f>
        <v>JERIC NAVARRO</v>
      </c>
      <c r="E2801" s="1" t="str">
        <f>IFERROR(__xludf.DUMMYFUNCTION("""COMPUTED_VALUE"""),"PLDT / H2H")</f>
        <v>PLDT / H2H</v>
      </c>
      <c r="F2801" s="1">
        <f>IFERROR(__xludf.DUMMYFUNCTION("""COMPUTED_VALUE"""),2311951632)</f>
        <v>2311951632</v>
      </c>
      <c r="G2801" s="1">
        <f>IFERROR(__xludf.DUMMYFUNCTION("""COMPUTED_VALUE"""),467269026004)</f>
        <v>467269026004</v>
      </c>
      <c r="H2801" s="1" t="str">
        <f>IFERROR(__xludf.DUMMYFUNCTION("""COMPUTED_VALUE""")," ILL HO CHO")</f>
        <v> ILL HO CHO</v>
      </c>
      <c r="I2801" s="1">
        <f>IFERROR(__xludf.DUMMYFUNCTION("""COMPUTED_VALUE"""),639065765215)</f>
        <v>639065765215</v>
      </c>
      <c r="J2801" s="1">
        <f>IFERROR(__xludf.DUMMYFUNCTION("""COMPUTED_VALUE"""),639158890005)</f>
        <v>639158890005</v>
      </c>
      <c r="K2801" s="1"/>
      <c r="L2801" s="1" t="str">
        <f>IFERROR(__xludf.DUMMYFUNCTION("""COMPUTED_VALUE"""),"006-BL-038")</f>
        <v>006-BL-038</v>
      </c>
      <c r="M2801" s="1" t="str">
        <f>IFERROR(__xludf.DUMMYFUNCTION("""COMPUTED_VALUE"""),"SOUTHRIDGE")</f>
        <v>SOUTHRIDGE</v>
      </c>
      <c r="N2801" s="1" t="str">
        <f>IFERROR(__xludf.DUMMYFUNCTION("""COMPUTED_VALUE"""),"SOUTHRIDGE SUBDIVISION")</f>
        <v>SOUTHRIDGE SUBDIVISION</v>
      </c>
      <c r="O2801" s="1" t="str">
        <f>IFERROR(__xludf.DUMMYFUNCTION("""COMPUTED_VALUE"""),"SUNGAY NORTH")</f>
        <v>SUNGAY NORTH</v>
      </c>
      <c r="P2801" s="1" t="str">
        <f>IFERROR(__xludf.DUMMYFUNCTION("""COMPUTED_VALUE"""),"TAGAYTAY")</f>
        <v>TAGAYTAY</v>
      </c>
      <c r="Q2801" s="1" t="str">
        <f>IFERROR(__xludf.DUMMYFUNCTION("""COMPUTED_VALUE"""),"CAVITE")</f>
        <v>CAVITE</v>
      </c>
      <c r="R2801" s="1" t="str">
        <f>IFERROR(__xludf.DUMMYFUNCTION("""COMPUTED_VALUE"""),"FIBR PLAN 1699")</f>
        <v>FIBR PLAN 1699</v>
      </c>
      <c r="S2801" s="1" t="str">
        <f>IFERROR(__xludf.DUMMYFUNCTION("""COMPUTED_VALUE"""),"APPROVED")</f>
        <v>APPROVED</v>
      </c>
      <c r="T2801" s="1" t="str">
        <f>IFERROR(__xludf.DUMMYFUNCTION("""COMPUTED_VALUE"""),"CLOSED")</f>
        <v>CLOSED</v>
      </c>
      <c r="U2801" s="1" t="str">
        <f>IFERROR(__xludf.DUMMYFUNCTION("""COMPUTED_VALUE"""),"POSTED")</f>
        <v>POSTED</v>
      </c>
      <c r="V2801" s="1"/>
      <c r="W2801" s="1"/>
    </row>
    <row r="2802" customHeight="1" spans="1:23">
      <c r="A2802" s="3">
        <f>IFERROR(__xludf.DUMMYFUNCTION("""COMPUTED_VALUE"""),46254)</f>
        <v>46254</v>
      </c>
      <c r="B2802" s="1" t="str">
        <f>IFERROR(__xludf.DUMMYFUNCTION("""COMPUTED_VALUE"""),"FRANCISCO , ROSELYN")</f>
        <v>FRANCISCO , ROSELYN</v>
      </c>
      <c r="C2802" s="1" t="str">
        <f>IFERROR(__xludf.DUMMYFUNCTION("""COMPUTED_VALUE"""),"ORGANIC")</f>
        <v>ORGANIC</v>
      </c>
      <c r="D2802" s="1" t="str">
        <f>IFERROR(__xludf.DUMMYFUNCTION("""COMPUTED_VALUE"""),"REMOLLO LEA")</f>
        <v>REMOLLO LEA</v>
      </c>
      <c r="E2802" s="1" t="str">
        <f>IFERROR(__xludf.DUMMYFUNCTION("""COMPUTED_VALUE"""),"PLDT / H2H")</f>
        <v>PLDT / H2H</v>
      </c>
      <c r="F2802" s="1">
        <f>IFERROR(__xludf.DUMMYFUNCTION("""COMPUTED_VALUE"""),2311956561)</f>
        <v>2311956561</v>
      </c>
      <c r="G2802" s="1">
        <f>IFERROR(__xludf.DUMMYFUNCTION("""COMPUTED_VALUE"""),467306765004)</f>
        <v>467306765004</v>
      </c>
      <c r="H2802" s="1" t="str">
        <f>IFERROR(__xludf.DUMMYFUNCTION("""COMPUTED_VALUE""")," JIEXXELL JECIEL ANIT")</f>
        <v> JIEXXELL JECIEL ANIT</v>
      </c>
      <c r="I2802" s="1">
        <f>IFERROR(__xludf.DUMMYFUNCTION("""COMPUTED_VALUE"""),639979867180)</f>
        <v>639979867180</v>
      </c>
      <c r="J2802" s="1"/>
      <c r="K2802" s="1" t="str">
        <f>IFERROR(__xludf.DUMMYFUNCTION("""COMPUTED_VALUE"""),"jexiellejeciel@gmail.com")</f>
        <v>jexiellejeciel@gmail.com</v>
      </c>
      <c r="L2802" s="1" t="str">
        <f>IFERROR(__xludf.DUMMYFUNCTION("""COMPUTED_VALUE"""),"202")</f>
        <v>202</v>
      </c>
      <c r="M2802" s="1" t="str">
        <f>IFERROR(__xludf.DUMMYFUNCTION("""COMPUTED_VALUE"""),"MORALES")</f>
        <v>MORALES</v>
      </c>
      <c r="N2802" s="1"/>
      <c r="O2802" s="1" t="str">
        <f>IFERROR(__xludf.DUMMYFUNCTION("""COMPUTED_VALUE"""),"SAN JUAN I")</f>
        <v>SAN JUAN I</v>
      </c>
      <c r="P2802" s="1" t="str">
        <f>IFERROR(__xludf.DUMMYFUNCTION("""COMPUTED_VALUE"""),"TERNATE")</f>
        <v>TERNATE</v>
      </c>
      <c r="Q2802" s="1" t="str">
        <f>IFERROR(__xludf.DUMMYFUNCTION("""COMPUTED_VALUE"""),"CAVITE")</f>
        <v>CAVITE</v>
      </c>
      <c r="R2802" s="1" t="str">
        <f>IFERROR(__xludf.DUMMYFUNCTION("""COMPUTED_VALUE"""),"FIBR UNLI ALL PLAN 999")</f>
        <v>FIBR UNLI ALL PLAN 999</v>
      </c>
      <c r="S2802" s="1" t="str">
        <f>IFERROR(__xludf.DUMMYFUNCTION("""COMPUTED_VALUE"""),"APPROVED")</f>
        <v>APPROVED</v>
      </c>
      <c r="T2802" s="1" t="str">
        <f>IFERROR(__xludf.DUMMYFUNCTION("""COMPUTED_VALUE"""),"CLOSED")</f>
        <v>CLOSED</v>
      </c>
      <c r="U2802" s="1" t="str">
        <f>IFERROR(__xludf.DUMMYFUNCTION("""COMPUTED_VALUE"""),"POSTED")</f>
        <v>POSTED</v>
      </c>
      <c r="V2802" s="1"/>
      <c r="W2802" s="1"/>
    </row>
    <row r="2803" customHeight="1" spans="1:23">
      <c r="A2803" s="3">
        <f>IFERROR(__xludf.DUMMYFUNCTION("""COMPUTED_VALUE"""),46254)</f>
        <v>46254</v>
      </c>
      <c r="B2803" s="1" t="str">
        <f>IFERROR(__xludf.DUMMYFUNCTION("""COMPUTED_VALUE"""),"FRANCISCO , ROSELYN")</f>
        <v>FRANCISCO , ROSELYN</v>
      </c>
      <c r="C2803" s="1" t="str">
        <f>IFERROR(__xludf.DUMMYFUNCTION("""COMPUTED_VALUE"""),"ORGANIC")</f>
        <v>ORGANIC</v>
      </c>
      <c r="D2803" s="1" t="str">
        <f>IFERROR(__xludf.DUMMYFUNCTION("""COMPUTED_VALUE"""),"REMOLLO LEA")</f>
        <v>REMOLLO LEA</v>
      </c>
      <c r="E2803" s="1" t="str">
        <f>IFERROR(__xludf.DUMMYFUNCTION("""COMPUTED_VALUE"""),"PLDT / H2H")</f>
        <v>PLDT / H2H</v>
      </c>
      <c r="F2803" s="1">
        <f>IFERROR(__xludf.DUMMYFUNCTION("""COMPUTED_VALUE"""),2311955135)</f>
        <v>2311955135</v>
      </c>
      <c r="G2803" s="1">
        <f>IFERROR(__xludf.DUMMYFUNCTION("""COMPUTED_VALUE"""),467293283004)</f>
        <v>467293283004</v>
      </c>
      <c r="H2803" s="1" t="str">
        <f>IFERROR(__xludf.DUMMYFUNCTION("""COMPUTED_VALUE"""),"JOHN FELIX DELA CRUZ SUELAN")</f>
        <v>JOHN FELIX DELA CRUZ SUELAN</v>
      </c>
      <c r="I2803" s="1">
        <f>IFERROR(__xludf.DUMMYFUNCTION("""COMPUTED_VALUE"""),639776759418)</f>
        <v>639776759418</v>
      </c>
      <c r="J2803" s="1"/>
      <c r="K2803" s="1"/>
      <c r="L2803" s="1" t="str">
        <f>IFERROR(__xludf.DUMMYFUNCTION("""COMPUTED_VALUE"""),"18F")</f>
        <v>18F</v>
      </c>
      <c r="M2803" s="1" t="str">
        <f>IFERROR(__xludf.DUMMYFUNCTION("""COMPUTED_VALUE"""),"SARABIA AGUINALDO")</f>
        <v>SARABIA AGUINALDO</v>
      </c>
      <c r="N2803" s="1"/>
      <c r="O2803" s="1" t="str">
        <f>IFERROR(__xludf.DUMMYFUNCTION("""COMPUTED_VALUE"""),"MENDEZ CROSSING EAST")</f>
        <v>MENDEZ CROSSING EAST</v>
      </c>
      <c r="P2803" s="1" t="str">
        <f>IFERROR(__xludf.DUMMYFUNCTION("""COMPUTED_VALUE"""),"TAGAYTAY")</f>
        <v>TAGAYTAY</v>
      </c>
      <c r="Q2803" s="1" t="str">
        <f>IFERROR(__xludf.DUMMYFUNCTION("""COMPUTED_VALUE"""),"CAVITE")</f>
        <v>CAVITE</v>
      </c>
      <c r="R2803" s="1" t="str">
        <f>IFERROR(__xludf.DUMMYFUNCTION("""COMPUTED_VALUE"""),"FIBR UNLI ALL PLAN 1499")</f>
        <v>FIBR UNLI ALL PLAN 1499</v>
      </c>
      <c r="S2803" s="1" t="str">
        <f>IFERROR(__xludf.DUMMYFUNCTION("""COMPUTED_VALUE"""),"APPROVED")</f>
        <v>APPROVED</v>
      </c>
      <c r="T2803" s="1" t="str">
        <f>IFERROR(__xludf.DUMMYFUNCTION("""COMPUTED_VALUE"""),"CLOSED")</f>
        <v>CLOSED</v>
      </c>
      <c r="U2803" s="1" t="str">
        <f>IFERROR(__xludf.DUMMYFUNCTION("""COMPUTED_VALUE"""),"POSTED")</f>
        <v>POSTED</v>
      </c>
      <c r="V2803" s="1"/>
      <c r="W2803" s="1"/>
    </row>
    <row r="2804" customHeight="1" spans="1:23">
      <c r="A2804" s="3">
        <f>IFERROR(__xludf.DUMMYFUNCTION("""COMPUTED_VALUE"""),46254)</f>
        <v>46254</v>
      </c>
      <c r="B2804" s="1" t="str">
        <f>IFERROR(__xludf.DUMMYFUNCTION("""COMPUTED_VALUE"""),"FRANCISCO , ROSELYN")</f>
        <v>FRANCISCO , ROSELYN</v>
      </c>
      <c r="C2804" s="1" t="str">
        <f>IFERROR(__xludf.DUMMYFUNCTION("""COMPUTED_VALUE"""),"ORGANIC")</f>
        <v>ORGANIC</v>
      </c>
      <c r="D2804" s="1" t="str">
        <f>IFERROR(__xludf.DUMMYFUNCTION("""COMPUTED_VALUE"""),"REMOLLO LEA")</f>
        <v>REMOLLO LEA</v>
      </c>
      <c r="E2804" s="1" t="str">
        <f>IFERROR(__xludf.DUMMYFUNCTION("""COMPUTED_VALUE"""),"PLDT / H2H")</f>
        <v>PLDT / H2H</v>
      </c>
      <c r="F2804" s="1">
        <f>IFERROR(__xludf.DUMMYFUNCTION("""COMPUTED_VALUE"""),2311954536)</f>
        <v>2311954536</v>
      </c>
      <c r="G2804" s="1">
        <f>IFERROR(__xludf.DUMMYFUNCTION("""COMPUTED_VALUE"""),467266933004)</f>
        <v>467266933004</v>
      </c>
      <c r="H2804" s="1" t="str">
        <f>IFERROR(__xludf.DUMMYFUNCTION("""COMPUTED_VALUE"""),"JOH CARL DELA CRUZ SUELAN")</f>
        <v>JOH CARL DELA CRUZ SUELAN</v>
      </c>
      <c r="I2804" s="1">
        <f>IFERROR(__xludf.DUMMYFUNCTION("""COMPUTED_VALUE"""),639638063875)</f>
        <v>639638063875</v>
      </c>
      <c r="J2804" s="1"/>
      <c r="K2804" s="1"/>
      <c r="L2804" s="1" t="str">
        <f>IFERROR(__xludf.DUMMYFUNCTION("""COMPUTED_VALUE"""),"79")</f>
        <v>79</v>
      </c>
      <c r="M2804" s="1" t="str">
        <f>IFERROR(__xludf.DUMMYFUNCTION("""COMPUTED_VALUE"""),"PUROK 2")</f>
        <v>PUROK 2</v>
      </c>
      <c r="N2804" s="1"/>
      <c r="O2804" s="1" t="str">
        <f>IFERROR(__xludf.DUMMYFUNCTION("""COMPUTED_VALUE"""),"SIKAT")</f>
        <v>SIKAT</v>
      </c>
      <c r="P2804" s="1" t="str">
        <f>IFERROR(__xludf.DUMMYFUNCTION("""COMPUTED_VALUE"""),"ALFONSO")</f>
        <v>ALFONSO</v>
      </c>
      <c r="Q2804" s="1" t="str">
        <f>IFERROR(__xludf.DUMMYFUNCTION("""COMPUTED_VALUE"""),"CAVITE")</f>
        <v>CAVITE</v>
      </c>
      <c r="R2804" s="1" t="str">
        <f>IFERROR(__xludf.DUMMYFUNCTION("""COMPUTED_VALUE"""),"FIBR UNLI ALL PLAN 999")</f>
        <v>FIBR UNLI ALL PLAN 999</v>
      </c>
      <c r="S2804" s="1" t="str">
        <f>IFERROR(__xludf.DUMMYFUNCTION("""COMPUTED_VALUE"""),"APPROVED")</f>
        <v>APPROVED</v>
      </c>
      <c r="T2804" s="1" t="str">
        <f>IFERROR(__xludf.DUMMYFUNCTION("""COMPUTED_VALUE"""),"CLOSED")</f>
        <v>CLOSED</v>
      </c>
      <c r="U2804" s="1" t="str">
        <f>IFERROR(__xludf.DUMMYFUNCTION("""COMPUTED_VALUE"""),"POSTED")</f>
        <v>POSTED</v>
      </c>
      <c r="V2804" s="1"/>
      <c r="W2804" s="1"/>
    </row>
    <row r="2805" customHeight="1" spans="1:23">
      <c r="A2805" s="3">
        <f>IFERROR(__xludf.DUMMYFUNCTION("""COMPUTED_VALUE"""),46254)</f>
        <v>46254</v>
      </c>
      <c r="B2805" s="1" t="str">
        <f>IFERROR(__xludf.DUMMYFUNCTION("""COMPUTED_VALUE"""),"DENACO, RODNEY")</f>
        <v>DENACO, RODNEY</v>
      </c>
      <c r="C2805" s="1" t="str">
        <f>IFERROR(__xludf.DUMMYFUNCTION("""COMPUTED_VALUE"""),"ORGANIC")</f>
        <v>ORGANIC</v>
      </c>
      <c r="D2805" s="1" t="str">
        <f>IFERROR(__xludf.DUMMYFUNCTION("""COMPUTED_VALUE"""),"REMOLLO LEA")</f>
        <v>REMOLLO LEA</v>
      </c>
      <c r="E2805" s="1" t="str">
        <f>IFERROR(__xludf.DUMMYFUNCTION("""COMPUTED_VALUE"""),"PLDT / H2H")</f>
        <v>PLDT / H2H</v>
      </c>
      <c r="F2805" s="1">
        <f>IFERROR(__xludf.DUMMYFUNCTION("""COMPUTED_VALUE"""),2311953416)</f>
        <v>2311953416</v>
      </c>
      <c r="G2805" s="1">
        <f>IFERROR(__xludf.DUMMYFUNCTION("""COMPUTED_VALUE"""),467266198004)</f>
        <v>467266198004</v>
      </c>
      <c r="H2805" s="1" t="str">
        <f>IFERROR(__xludf.DUMMYFUNCTION("""COMPUTED_VALUE"""),"DANIEL BASILIO MORAL")</f>
        <v>DANIEL BASILIO MORAL</v>
      </c>
      <c r="I2805" s="1">
        <f>IFERROR(__xludf.DUMMYFUNCTION("""COMPUTED_VALUE"""),639155561600)</f>
        <v>639155561600</v>
      </c>
      <c r="J2805" s="1">
        <f>IFERROR(__xludf.DUMMYFUNCTION("""COMPUTED_VALUE"""),639276464352)</f>
        <v>639276464352</v>
      </c>
      <c r="K2805" s="1"/>
      <c r="L2805" s="1" t="str">
        <f>IFERROR(__xludf.DUMMYFUNCTION("""COMPUTED_VALUE"""),"2010")</f>
        <v>2010</v>
      </c>
      <c r="M2805" s="1" t="str">
        <f>IFERROR(__xludf.DUMMYFUNCTION("""COMPUTED_VALUE"""),"LUKSUHIN IBABA")</f>
        <v>LUKSUHIN IBABA</v>
      </c>
      <c r="N2805" s="1"/>
      <c r="O2805" s="1" t="str">
        <f>IFERROR(__xludf.DUMMYFUNCTION("""COMPUTED_VALUE"""),"LUKSUHIN")</f>
        <v>LUKSUHIN</v>
      </c>
      <c r="P2805" s="1" t="str">
        <f>IFERROR(__xludf.DUMMYFUNCTION("""COMPUTED_VALUE"""),"ALFONSO")</f>
        <v>ALFONSO</v>
      </c>
      <c r="Q2805" s="1" t="str">
        <f>IFERROR(__xludf.DUMMYFUNCTION("""COMPUTED_VALUE"""),"CAVITE")</f>
        <v>CAVITE</v>
      </c>
      <c r="R2805" s="1" t="str">
        <f>IFERROR(__xludf.DUMMYFUNCTION("""COMPUTED_VALUE"""),"FIBR UNLI ALL PLAN 1499")</f>
        <v>FIBR UNLI ALL PLAN 1499</v>
      </c>
      <c r="S2805" s="1" t="str">
        <f>IFERROR(__xludf.DUMMYFUNCTION("""COMPUTED_VALUE"""),"APPROVED")</f>
        <v>APPROVED</v>
      </c>
      <c r="T2805" s="1" t="str">
        <f>IFERROR(__xludf.DUMMYFUNCTION("""COMPUTED_VALUE"""),"CLOSED")</f>
        <v>CLOSED</v>
      </c>
      <c r="U2805" s="1" t="str">
        <f>IFERROR(__xludf.DUMMYFUNCTION("""COMPUTED_VALUE"""),"POSTED")</f>
        <v>POSTED</v>
      </c>
      <c r="V2805" s="1"/>
      <c r="W2805" s="1"/>
    </row>
    <row r="2806" customHeight="1" spans="1:23">
      <c r="A2806" s="3">
        <f>IFERROR(__xludf.DUMMYFUNCTION("""COMPUTED_VALUE"""),46254)</f>
        <v>46254</v>
      </c>
      <c r="B2806" s="1" t="str">
        <f>IFERROR(__xludf.DUMMYFUNCTION("""COMPUTED_VALUE"""),"ALOS, CHARLS LAURENZ")</f>
        <v>ALOS, CHARLS LAURENZ</v>
      </c>
      <c r="C2806" s="1" t="str">
        <f>IFERROR(__xludf.DUMMYFUNCTION("""COMPUTED_VALUE"""),"ORGANIC")</f>
        <v>ORGANIC</v>
      </c>
      <c r="D2806" s="1" t="str">
        <f>IFERROR(__xludf.DUMMYFUNCTION("""COMPUTED_VALUE"""),"REMOLLO LEA")</f>
        <v>REMOLLO LEA</v>
      </c>
      <c r="E2806" s="1" t="str">
        <f>IFERROR(__xludf.DUMMYFUNCTION("""COMPUTED_VALUE"""),"PLDT / H2H")</f>
        <v>PLDT / H2H</v>
      </c>
      <c r="F2806" s="1">
        <f>IFERROR(__xludf.DUMMYFUNCTION("""COMPUTED_VALUE"""),2311953474)</f>
        <v>2311953474</v>
      </c>
      <c r="G2806" s="1">
        <f>IFERROR(__xludf.DUMMYFUNCTION("""COMPUTED_VALUE"""),467273287004)</f>
        <v>467273287004</v>
      </c>
      <c r="H2806" s="1" t="str">
        <f>IFERROR(__xludf.DUMMYFUNCTION("""COMPUTED_VALUE"""),"GILBERT SICAPORE TOLENTINO")</f>
        <v>GILBERT SICAPORE TOLENTINO</v>
      </c>
      <c r="I2806" s="1">
        <f>IFERROR(__xludf.DUMMYFUNCTION("""COMPUTED_VALUE"""),639649967548)</f>
        <v>639649967548</v>
      </c>
      <c r="J2806" s="1">
        <f>IFERROR(__xludf.DUMMYFUNCTION("""COMPUTED_VALUE"""),639101239559)</f>
        <v>639101239559</v>
      </c>
      <c r="K2806" s="1"/>
      <c r="L2806" s="1" t="str">
        <f>IFERROR(__xludf.DUMMYFUNCTION("""COMPUTED_VALUE"""),"59")</f>
        <v>59</v>
      </c>
      <c r="M2806" s="1" t="str">
        <f>IFERROR(__xludf.DUMMYFUNCTION("""COMPUTED_VALUE"""),"PUROK 1")</f>
        <v>PUROK 1</v>
      </c>
      <c r="N2806" s="1"/>
      <c r="O2806" s="1" t="str">
        <f>IFERROR(__xludf.DUMMYFUNCTION("""COMPUTED_VALUE"""),"LUKSUHIN")</f>
        <v>LUKSUHIN</v>
      </c>
      <c r="P2806" s="1" t="str">
        <f>IFERROR(__xludf.DUMMYFUNCTION("""COMPUTED_VALUE"""),"ALFONSO")</f>
        <v>ALFONSO</v>
      </c>
      <c r="Q2806" s="1" t="str">
        <f>IFERROR(__xludf.DUMMYFUNCTION("""COMPUTED_VALUE"""),"CAVITE")</f>
        <v>CAVITE</v>
      </c>
      <c r="R2806" s="1" t="str">
        <f>IFERROR(__xludf.DUMMYFUNCTION("""COMPUTED_VALUE"""),"FIBR UNLI ALL PLAN 999")</f>
        <v>FIBR UNLI ALL PLAN 999</v>
      </c>
      <c r="S2806" s="1" t="str">
        <f>IFERROR(__xludf.DUMMYFUNCTION("""COMPUTED_VALUE"""),"APPROVED")</f>
        <v>APPROVED</v>
      </c>
      <c r="T2806" s="1" t="str">
        <f>IFERROR(__xludf.DUMMYFUNCTION("""COMPUTED_VALUE"""),"CLOSED")</f>
        <v>CLOSED</v>
      </c>
      <c r="U2806" s="1" t="str">
        <f>IFERROR(__xludf.DUMMYFUNCTION("""COMPUTED_VALUE"""),"POSTED")</f>
        <v>POSTED</v>
      </c>
      <c r="V2806" s="1"/>
      <c r="W2806" s="1"/>
    </row>
    <row r="2807" customHeight="1" spans="1:23">
      <c r="A2807" s="3">
        <f>IFERROR(__xludf.DUMMYFUNCTION("""COMPUTED_VALUE"""),46254)</f>
        <v>46254</v>
      </c>
      <c r="B2807" s="1" t="str">
        <f>IFERROR(__xludf.DUMMYFUNCTION("""COMPUTED_VALUE"""),"ARIENA, LYKA")</f>
        <v>ARIENA, LYKA</v>
      </c>
      <c r="C2807" s="1" t="str">
        <f>IFERROR(__xludf.DUMMYFUNCTION("""COMPUTED_VALUE"""),"ORGANIC")</f>
        <v>ORGANIC</v>
      </c>
      <c r="D2807" s="1" t="str">
        <f>IFERROR(__xludf.DUMMYFUNCTION("""COMPUTED_VALUE"""),"REMOLLO LEA")</f>
        <v>REMOLLO LEA</v>
      </c>
      <c r="E2807" s="1" t="str">
        <f>IFERROR(__xludf.DUMMYFUNCTION("""COMPUTED_VALUE"""),"RED FIBER")</f>
        <v>RED FIBER</v>
      </c>
      <c r="F2807" s="1"/>
      <c r="G2807" s="1"/>
      <c r="H2807" s="1" t="str">
        <f>IFERROR(__xludf.DUMMYFUNCTION("""COMPUTED_VALUE"""),"CATHERINE TIBAYAN ALINSUNURIN ")</f>
        <v>CATHERINE TIBAYAN ALINSUNURIN </v>
      </c>
      <c r="I2807" s="1">
        <f>IFERROR(__xludf.DUMMYFUNCTION("""COMPUTED_VALUE"""),9435633918)</f>
        <v>9435633918</v>
      </c>
      <c r="J2807" s="1">
        <f>IFERROR(__xludf.DUMMYFUNCTION("""COMPUTED_VALUE"""),9074929717)</f>
        <v>9074929717</v>
      </c>
      <c r="K2807" s="1" t="str">
        <f>IFERROR(__xludf.DUMMYFUNCTION("""COMPUTED_VALUE"""),"alinsunurinjaysie@gmail.com")</f>
        <v>alinsunurinjaysie@gmail.com</v>
      </c>
      <c r="L2807" s="1" t="str">
        <f>IFERROR(__xludf.DUMMYFUNCTION("""COMPUTED_VALUE"""),"99")</f>
        <v>99</v>
      </c>
      <c r="M2807" s="1" t="str">
        <f>IFERROR(__xludf.DUMMYFUNCTION("""COMPUTED_VALUE"""),"GREGORIO")</f>
        <v>GREGORIO</v>
      </c>
      <c r="N2807" s="1"/>
      <c r="O2807" s="1" t="str">
        <f>IFERROR(__xludf.DUMMYFUNCTION("""COMPUTED_VALUE"""),"ULAT")</f>
        <v>ULAT</v>
      </c>
      <c r="P2807" s="1" t="str">
        <f>IFERROR(__xludf.DUMMYFUNCTION("""COMPUTED_VALUE"""),"SILANG")</f>
        <v>SILANG</v>
      </c>
      <c r="Q2807" s="1" t="str">
        <f>IFERROR(__xludf.DUMMYFUNCTION("""COMPUTED_VALUE"""),"CAVITE")</f>
        <v>CAVITE</v>
      </c>
      <c r="R2807" s="1" t="str">
        <f>IFERROR(__xludf.DUMMYFUNCTION("""COMPUTED_VALUE"""),"RED PLAN 1000")</f>
        <v>RED PLAN 1000</v>
      </c>
      <c r="S2807" s="1" t="str">
        <f>IFERROR(__xludf.DUMMYFUNCTION("""COMPUTED_VALUE"""),"APPROVED")</f>
        <v>APPROVED</v>
      </c>
      <c r="T2807" s="1" t="str">
        <f>IFERROR(__xludf.DUMMYFUNCTION("""COMPUTED_VALUE"""),"PENDING EMAIL VERIF")</f>
        <v>PENDING EMAIL VERIF</v>
      </c>
      <c r="U2807" s="1" t="str">
        <f>IFERROR(__xludf.DUMMYFUNCTION("""COMPUTED_VALUE"""),"PENDING EMAIL")</f>
        <v>PENDING EMAIL</v>
      </c>
      <c r="V2807" s="1"/>
      <c r="W2807" s="1"/>
    </row>
    <row r="2808" customHeight="1" spans="1:23">
      <c r="A2808" s="3">
        <f>IFERROR(__xludf.DUMMYFUNCTION("""COMPUTED_VALUE"""),46254)</f>
        <v>46254</v>
      </c>
      <c r="B2808" s="1" t="str">
        <f>IFERROR(__xludf.DUMMYFUNCTION("""COMPUTED_VALUE"""),"RIVERA, AIRIZH JOY")</f>
        <v>RIVERA, AIRIZH JOY</v>
      </c>
      <c r="C2808" s="1" t="str">
        <f>IFERROR(__xludf.DUMMYFUNCTION("""COMPUTED_VALUE"""),"ORGANIC")</f>
        <v>ORGANIC</v>
      </c>
      <c r="D2808" s="1" t="str">
        <f>IFERROR(__xludf.DUMMYFUNCTION("""COMPUTED_VALUE"""),"REMOLLO LEA")</f>
        <v>REMOLLO LEA</v>
      </c>
      <c r="E2808" s="1" t="str">
        <f>IFERROR(__xludf.DUMMYFUNCTION("""COMPUTED_VALUE"""),"RED FIBER")</f>
        <v>RED FIBER</v>
      </c>
      <c r="F2808" s="1"/>
      <c r="G2808" s="1"/>
      <c r="H2808" s="1" t="str">
        <f>IFERROR(__xludf.DUMMYFUNCTION("""COMPUTED_VALUE"""),"ROBERTO MENDOZA HERNANDEZ")</f>
        <v>ROBERTO MENDOZA HERNANDEZ</v>
      </c>
      <c r="I2808" s="1">
        <f>IFERROR(__xludf.DUMMYFUNCTION("""COMPUTED_VALUE"""),9392282310)</f>
        <v>9392282310</v>
      </c>
      <c r="J2808" s="1">
        <f>IFERROR(__xludf.DUMMYFUNCTION("""COMPUTED_VALUE"""),94251772082)</f>
        <v>94251772082</v>
      </c>
      <c r="K2808" s="1" t="str">
        <f>IFERROR(__xludf.DUMMYFUNCTION("""COMPUTED_VALUE"""),"fernandezlinya3@gmail.com")</f>
        <v>fernandezlinya3@gmail.com</v>
      </c>
      <c r="L2808" s="1" t="str">
        <f>IFERROR(__xludf.DUMMYFUNCTION("""COMPUTED_VALUE"""),"208")</f>
        <v>208</v>
      </c>
      <c r="M2808" s="1" t="str">
        <f>IFERROR(__xludf.DUMMYFUNCTION("""COMPUTED_VALUE"""),"TAHIBO")</f>
        <v>TAHIBO</v>
      </c>
      <c r="N2808" s="1"/>
      <c r="O2808" s="1" t="str">
        <f>IFERROR(__xludf.DUMMYFUNCTION("""COMPUTED_VALUE"""),"ULAT")</f>
        <v>ULAT</v>
      </c>
      <c r="P2808" s="1" t="str">
        <f>IFERROR(__xludf.DUMMYFUNCTION("""COMPUTED_VALUE"""),"SILANG")</f>
        <v>SILANG</v>
      </c>
      <c r="Q2808" s="1" t="str">
        <f>IFERROR(__xludf.DUMMYFUNCTION("""COMPUTED_VALUE"""),"CAVITE")</f>
        <v>CAVITE</v>
      </c>
      <c r="R2808" s="1" t="str">
        <f>IFERROR(__xludf.DUMMYFUNCTION("""COMPUTED_VALUE"""),"RED PLAN 1000")</f>
        <v>RED PLAN 1000</v>
      </c>
      <c r="S2808" s="1" t="str">
        <f>IFERROR(__xludf.DUMMYFUNCTION("""COMPUTED_VALUE"""),"HOLD")</f>
        <v>HOLD</v>
      </c>
      <c r="T2808" s="1"/>
      <c r="U2808" s="1"/>
      <c r="V2808" s="1"/>
      <c r="W2808" s="1"/>
    </row>
    <row r="2809" customHeight="1" spans="1:23">
      <c r="A2809" s="3">
        <f>IFERROR(__xludf.DUMMYFUNCTION("""COMPUTED_VALUE"""),46254)</f>
        <v>46254</v>
      </c>
      <c r="B2809" s="1" t="str">
        <f>IFERROR(__xludf.DUMMYFUNCTION("""COMPUTED_VALUE"""),"GABAY, MANUEL")</f>
        <v>GABAY, MANUEL</v>
      </c>
      <c r="C2809" s="1" t="str">
        <f>IFERROR(__xludf.DUMMYFUNCTION("""COMPUTED_VALUE"""),"FLA")</f>
        <v>FLA</v>
      </c>
      <c r="D2809" s="1" t="str">
        <f>IFERROR(__xludf.DUMMYFUNCTION("""COMPUTED_VALUE"""),"JERIC NAVARRO")</f>
        <v>JERIC NAVARRO</v>
      </c>
      <c r="E2809" s="1" t="str">
        <f>IFERROR(__xludf.DUMMYFUNCTION("""COMPUTED_VALUE"""),"RED FIBER")</f>
        <v>RED FIBER</v>
      </c>
      <c r="F2809" s="1"/>
      <c r="G2809" s="1"/>
      <c r="H2809" s="1" t="str">
        <f>IFERROR(__xludf.DUMMYFUNCTION("""COMPUTED_VALUE"""),"PATERNO BUSTAMANTE BUCO JR")</f>
        <v>PATERNO BUSTAMANTE BUCO JR</v>
      </c>
      <c r="I2809" s="1">
        <f>IFERROR(__xludf.DUMMYFUNCTION("""COMPUTED_VALUE"""),9204627840)</f>
        <v>9204627840</v>
      </c>
      <c r="J2809" s="1">
        <f>IFERROR(__xludf.DUMMYFUNCTION("""COMPUTED_VALUE"""),9560034761)</f>
        <v>9560034761</v>
      </c>
      <c r="K2809" s="1" t="str">
        <f>IFERROR(__xludf.DUMMYFUNCTION("""COMPUTED_VALUE"""),"paternobuco0823@gmail.com")</f>
        <v>paternobuco0823@gmail.com</v>
      </c>
      <c r="L2809" s="1" t="str">
        <f>IFERROR(__xludf.DUMMYFUNCTION("""COMPUTED_VALUE"""),"9086")</f>
        <v>9086</v>
      </c>
      <c r="M2809" s="1" t="str">
        <f>IFERROR(__xludf.DUMMYFUNCTION("""COMPUTED_VALUE"""),"LUCSUHIN SULSUGIN")</f>
        <v>LUCSUHIN SULSUGIN</v>
      </c>
      <c r="N2809" s="1"/>
      <c r="O2809" s="1" t="str">
        <f>IFERROR(__xludf.DUMMYFUNCTION("""COMPUTED_VALUE"""),"LUKSUHIN")</f>
        <v>LUKSUHIN</v>
      </c>
      <c r="P2809" s="1" t="str">
        <f>IFERROR(__xludf.DUMMYFUNCTION("""COMPUTED_VALUE"""),"ALFONSO")</f>
        <v>ALFONSO</v>
      </c>
      <c r="Q2809" s="1" t="str">
        <f>IFERROR(__xludf.DUMMYFUNCTION("""COMPUTED_VALUE"""),"CAVITE")</f>
        <v>CAVITE</v>
      </c>
      <c r="R2809" s="1" t="str">
        <f>IFERROR(__xludf.DUMMYFUNCTION("""COMPUTED_VALUE"""),"RED PLAN 1000")</f>
        <v>RED PLAN 1000</v>
      </c>
      <c r="S2809" s="1" t="str">
        <f>IFERROR(__xludf.DUMMYFUNCTION("""COMPUTED_VALUE"""),"APPROVED")</f>
        <v>APPROVED</v>
      </c>
      <c r="T2809" s="1" t="str">
        <f>IFERROR(__xludf.DUMMYFUNCTION("""COMPUTED_VALUE"""),"#N/A")</f>
        <v>#N/A</v>
      </c>
      <c r="U2809" s="1"/>
      <c r="V2809" s="1"/>
      <c r="W2809" s="1"/>
    </row>
    <row r="2810" customHeight="1" spans="1:23">
      <c r="A2810" s="3">
        <f>IFERROR(__xludf.DUMMYFUNCTION("""COMPUTED_VALUE"""),46254)</f>
        <v>46254</v>
      </c>
      <c r="B2810" s="1" t="str">
        <f>IFERROR(__xludf.DUMMYFUNCTION("""COMPUTED_VALUE"""),"ESCARCHA, MA ALMA  ESCOTO")</f>
        <v>ESCARCHA, MA ALMA  ESCOTO</v>
      </c>
      <c r="C2810" s="1" t="str">
        <f>IFERROR(__xludf.DUMMYFUNCTION("""COMPUTED_VALUE"""),"ORGANIC")</f>
        <v>ORGANIC</v>
      </c>
      <c r="D2810" s="1" t="str">
        <f>IFERROR(__xludf.DUMMYFUNCTION("""COMPUTED_VALUE"""),"REMOLLO LEA")</f>
        <v>REMOLLO LEA</v>
      </c>
      <c r="E2810" s="1" t="str">
        <f>IFERROR(__xludf.DUMMYFUNCTION("""COMPUTED_VALUE"""),"PLDT / H2H")</f>
        <v>PLDT / H2H</v>
      </c>
      <c r="F2810" s="1"/>
      <c r="G2810" s="1"/>
      <c r="H2810" s="1" t="str">
        <f>IFERROR(__xludf.DUMMYFUNCTION("""COMPUTED_VALUE"""),"KRISTOPHER ALIPAR ALCANSADO")</f>
        <v>KRISTOPHER ALIPAR ALCANSADO</v>
      </c>
      <c r="I2810" s="1">
        <f>IFERROR(__xludf.DUMMYFUNCTION("""COMPUTED_VALUE"""),9675710631)</f>
        <v>9675710631</v>
      </c>
      <c r="J2810" s="1"/>
      <c r="K2810" s="1" t="str">
        <f>IFERROR(__xludf.DUMMYFUNCTION("""COMPUTED_VALUE"""),"toperalipar28@gmail.com")</f>
        <v>toperalipar28@gmail.com</v>
      </c>
      <c r="L2810" s="1" t="str">
        <f>IFERROR(__xludf.DUMMYFUNCTION("""COMPUTED_VALUE"""),"29")</f>
        <v>29</v>
      </c>
      <c r="M2810" s="1" t="str">
        <f>IFERROR(__xludf.DUMMYFUNCTION("""COMPUTED_VALUE"""),"KALUBKOB")</f>
        <v>KALUBKOB</v>
      </c>
      <c r="N2810" s="1"/>
      <c r="O2810" s="1" t="str">
        <f>IFERROR(__xludf.DUMMYFUNCTION("""COMPUTED_VALUE"""),"ASIS I")</f>
        <v>ASIS I</v>
      </c>
      <c r="P2810" s="1" t="str">
        <f>IFERROR(__xludf.DUMMYFUNCTION("""COMPUTED_VALUE"""),"MENDEZ")</f>
        <v>MENDEZ</v>
      </c>
      <c r="Q2810" s="1" t="str">
        <f>IFERROR(__xludf.DUMMYFUNCTION("""COMPUTED_VALUE"""),"CAVITE")</f>
        <v>CAVITE</v>
      </c>
      <c r="R2810" s="1" t="str">
        <f>IFERROR(__xludf.DUMMYFUNCTION("""COMPUTED_VALUE"""),"FIBR UNLI ALL PLAN 999")</f>
        <v>FIBR UNLI ALL PLAN 999</v>
      </c>
      <c r="S2810" s="1" t="str">
        <f>IFERROR(__xludf.DUMMYFUNCTION("""COMPUTED_VALUE"""),"RETURN FOR COMPLIANCE - AGENT")</f>
        <v>RETURN FOR COMPLIANCE - AGENT</v>
      </c>
      <c r="T2810" s="1"/>
      <c r="U2810" s="1" t="str">
        <f>IFERROR(__xludf.DUMMYFUNCTION("""COMPUTED_VALUE"""),"hindi available asawa nya na makausap")</f>
        <v>hindi available asawa nya na makausap</v>
      </c>
      <c r="V2810" s="1"/>
      <c r="W2810" s="1"/>
    </row>
    <row r="2811" customHeight="1" spans="1:23">
      <c r="A2811" s="3">
        <f>IFERROR(__xludf.DUMMYFUNCTION("""COMPUTED_VALUE"""),46254)</f>
        <v>46254</v>
      </c>
      <c r="B2811" s="1" t="str">
        <f>IFERROR(__xludf.DUMMYFUNCTION("""COMPUTED_VALUE"""),"GABAY, MANUEL")</f>
        <v>GABAY, MANUEL</v>
      </c>
      <c r="C2811" s="1" t="str">
        <f>IFERROR(__xludf.DUMMYFUNCTION("""COMPUTED_VALUE"""),"FLA")</f>
        <v>FLA</v>
      </c>
      <c r="D2811" s="1" t="str">
        <f>IFERROR(__xludf.DUMMYFUNCTION("""COMPUTED_VALUE"""),"JERIC NAVARRO")</f>
        <v>JERIC NAVARRO</v>
      </c>
      <c r="E2811" s="1" t="str">
        <f>IFERROR(__xludf.DUMMYFUNCTION("""COMPUTED_VALUE"""),"RED FIBER")</f>
        <v>RED FIBER</v>
      </c>
      <c r="F2811" s="1"/>
      <c r="G2811" s="1"/>
      <c r="H2811" s="1" t="str">
        <f>IFERROR(__xludf.DUMMYFUNCTION("""COMPUTED_VALUE"""),"RAINER LLOYD FELLO CERNERO")</f>
        <v>RAINER LLOYD FELLO CERNERO</v>
      </c>
      <c r="I2811" s="1">
        <f>IFERROR(__xludf.DUMMYFUNCTION("""COMPUTED_VALUE"""),9301959673)</f>
        <v>9301959673</v>
      </c>
      <c r="J2811" s="1">
        <f>IFERROR(__xludf.DUMMYFUNCTION("""COMPUTED_VALUE"""),9075992278)</f>
        <v>9075992278</v>
      </c>
      <c r="K2811" s="1" t="str">
        <f>IFERROR(__xludf.DUMMYFUNCTION("""COMPUTED_VALUE"""),"cernerolion@gmail.com")</f>
        <v>cernerolion@gmail.com</v>
      </c>
      <c r="L2811" s="1" t="str">
        <f>IFERROR(__xludf.DUMMYFUNCTION("""COMPUTED_VALUE"""),"6892 C")</f>
        <v>6892 C</v>
      </c>
      <c r="M2811" s="1" t="str">
        <f>IFERROR(__xludf.DUMMYFUNCTION("""COMPUTED_VALUE"""),"PUROK 5")</f>
        <v>PUROK 5</v>
      </c>
      <c r="N2811" s="1"/>
      <c r="O2811" s="1" t="str">
        <f>IFERROR(__xludf.DUMMYFUNCTION("""COMPUTED_VALUE"""),"ULAT")</f>
        <v>ULAT</v>
      </c>
      <c r="P2811" s="1" t="str">
        <f>IFERROR(__xludf.DUMMYFUNCTION("""COMPUTED_VALUE"""),"SILANG")</f>
        <v>SILANG</v>
      </c>
      <c r="Q2811" s="1" t="str">
        <f>IFERROR(__xludf.DUMMYFUNCTION("""COMPUTED_VALUE"""),"CAVITE")</f>
        <v>CAVITE</v>
      </c>
      <c r="R2811" s="1" t="str">
        <f>IFERROR(__xludf.DUMMYFUNCTION("""COMPUTED_VALUE"""),"RED PLAN 1000")</f>
        <v>RED PLAN 1000</v>
      </c>
      <c r="S2811" s="1" t="str">
        <f>IFERROR(__xludf.DUMMYFUNCTION("""COMPUTED_VALUE"""),"APPROVED")</f>
        <v>APPROVED</v>
      </c>
      <c r="T2811" s="1"/>
      <c r="U2811" s="1"/>
      <c r="V2811" s="1"/>
      <c r="W2811" s="1"/>
    </row>
    <row r="2812" customHeight="1" spans="1:23">
      <c r="A2812" s="3">
        <f>IFERROR(__xludf.DUMMYFUNCTION("""COMPUTED_VALUE"""),46255)</f>
        <v>46255</v>
      </c>
      <c r="B2812" s="1" t="str">
        <f>IFERROR(__xludf.DUMMYFUNCTION("""COMPUTED_VALUE"""),"IVNO, RAZZEL")</f>
        <v>IVNO, RAZZEL</v>
      </c>
      <c r="C2812" s="1" t="str">
        <f>IFERROR(__xludf.DUMMYFUNCTION("""COMPUTED_VALUE"""),"ORGANIC")</f>
        <v>ORGANIC</v>
      </c>
      <c r="D2812" s="1" t="str">
        <f>IFERROR(__xludf.DUMMYFUNCTION("""COMPUTED_VALUE"""),"REMOLLO LEA")</f>
        <v>REMOLLO LEA</v>
      </c>
      <c r="E2812" s="1" t="str">
        <f>IFERROR(__xludf.DUMMYFUNCTION("""COMPUTED_VALUE"""),"PLDT / H2H")</f>
        <v>PLDT / H2H</v>
      </c>
      <c r="F2812" s="1">
        <f>IFERROR(__xludf.DUMMYFUNCTION("""COMPUTED_VALUE"""),2311976990)</f>
        <v>2311976990</v>
      </c>
      <c r="G2812" s="1">
        <f>IFERROR(__xludf.DUMMYFUNCTION("""COMPUTED_VALUE"""),467431085004)</f>
        <v>467431085004</v>
      </c>
      <c r="H2812" s="1" t="str">
        <f>IFERROR(__xludf.DUMMYFUNCTION("""COMPUTED_VALUE"""),"JOSELITO SEVELLINO ALOLOR")</f>
        <v>JOSELITO SEVELLINO ALOLOR</v>
      </c>
      <c r="I2812" s="1">
        <f>IFERROR(__xludf.DUMMYFUNCTION("""COMPUTED_VALUE"""),9753406826)</f>
        <v>9753406826</v>
      </c>
      <c r="J2812" s="1">
        <f>IFERROR(__xludf.DUMMYFUNCTION("""COMPUTED_VALUE"""),9532954145)</f>
        <v>9532954145</v>
      </c>
      <c r="K2812" s="1" t="str">
        <f>IFERROR(__xludf.DUMMYFUNCTION("""COMPUTED_VALUE"""),"robertobueta99@gmail.com")</f>
        <v>robertobueta99@gmail.com</v>
      </c>
      <c r="L2812" s="1" t="str">
        <f>IFERROR(__xludf.DUMMYFUNCTION("""COMPUTED_VALUE"""),"BLK 2 LOT 26")</f>
        <v>BLK 2 LOT 26</v>
      </c>
      <c r="M2812" s="1" t="str">
        <f>IFERROR(__xludf.DUMMYFUNCTION("""COMPUTED_VALUE"""),"RUBY ")</f>
        <v>RUBY </v>
      </c>
      <c r="N2812" s="1"/>
      <c r="O2812" s="1" t="str">
        <f>IFERROR(__xludf.DUMMYFUNCTION("""COMPUTED_VALUE"""),"MARCELINO MEMIJE")</f>
        <v>MARCELINO MEMIJE</v>
      </c>
      <c r="P2812" s="1" t="str">
        <f>IFERROR(__xludf.DUMMYFUNCTION("""COMPUTED_VALUE"""),"GEN MARIANO ALVAREZ")</f>
        <v>GEN MARIANO ALVAREZ</v>
      </c>
      <c r="Q2812" s="1" t="str">
        <f>IFERROR(__xludf.DUMMYFUNCTION("""COMPUTED_VALUE"""),"CAVITE")</f>
        <v>CAVITE</v>
      </c>
      <c r="R2812" s="1" t="str">
        <f>IFERROR(__xludf.DUMMYFUNCTION("""COMPUTED_VALUE"""),"FIBR UNLI ALL PLAN 999")</f>
        <v>FIBR UNLI ALL PLAN 999</v>
      </c>
      <c r="S2812" s="1" t="str">
        <f>IFERROR(__xludf.DUMMYFUNCTION("""COMPUTED_VALUE"""),"APPROVED")</f>
        <v>APPROVED</v>
      </c>
      <c r="T2812" s="1" t="str">
        <f>IFERROR(__xludf.DUMMYFUNCTION("""COMPUTED_VALUE"""),"CANCELLED")</f>
        <v>CANCELLED</v>
      </c>
      <c r="U2812" s="1"/>
      <c r="V2812" s="1"/>
      <c r="W2812" s="1"/>
    </row>
    <row r="2813" customHeight="1" spans="1:23">
      <c r="A2813" s="3">
        <f>IFERROR(__xludf.DUMMYFUNCTION("""COMPUTED_VALUE"""),46255)</f>
        <v>46255</v>
      </c>
      <c r="B2813" s="1" t="str">
        <f>IFERROR(__xludf.DUMMYFUNCTION("""COMPUTED_VALUE"""),"MALIWAT MARK ELVIN")</f>
        <v>MALIWAT MARK ELVIN</v>
      </c>
      <c r="C2813" s="1" t="str">
        <f>IFERROR(__xludf.DUMMYFUNCTION("""COMPUTED_VALUE"""),"FLA")</f>
        <v>FLA</v>
      </c>
      <c r="D2813" s="1" t="str">
        <f>IFERROR(__xludf.DUMMYFUNCTION("""COMPUTED_VALUE"""),"JERIC NAVARRO")</f>
        <v>JERIC NAVARRO</v>
      </c>
      <c r="E2813" s="1" t="str">
        <f>IFERROR(__xludf.DUMMYFUNCTION("""COMPUTED_VALUE"""),"PLDT / ONLINE")</f>
        <v>PLDT / ONLINE</v>
      </c>
      <c r="F2813" s="1">
        <f>IFERROR(__xludf.DUMMYFUNCTION("""COMPUTED_VALUE"""),2311969225)</f>
        <v>2311969225</v>
      </c>
      <c r="G2813" s="1">
        <f>IFERROR(__xludf.DUMMYFUNCTION("""COMPUTED_VALUE"""),467403849004)</f>
        <v>467403849004</v>
      </c>
      <c r="H2813" s="1" t="str">
        <f>IFERROR(__xludf.DUMMYFUNCTION("""COMPUTED_VALUE"""),"MARITES OCAMPO AYROSO")</f>
        <v>MARITES OCAMPO AYROSO</v>
      </c>
      <c r="I2813" s="1">
        <f>IFERROR(__xludf.DUMMYFUNCTION("""COMPUTED_VALUE"""),9069427409)</f>
        <v>9069427409</v>
      </c>
      <c r="J2813" s="1">
        <f>IFERROR(__xludf.DUMMYFUNCTION("""COMPUTED_VALUE"""),9243027765)</f>
        <v>9243027765</v>
      </c>
      <c r="K2813" s="1" t="str">
        <f>IFERROR(__xludf.DUMMYFUNCTION("""COMPUTED_VALUE"""),"maritesayroso@yhaoo.com")</f>
        <v>maritesayroso@yhaoo.com</v>
      </c>
      <c r="L2813" s="1" t="str">
        <f>IFERROR(__xludf.DUMMYFUNCTION("""COMPUTED_VALUE"""),"925")</f>
        <v>925</v>
      </c>
      <c r="M2813" s="1" t="str">
        <f>IFERROR(__xludf.DUMMYFUNCTION("""COMPUTED_VALUE"""),"TOWER 3")</f>
        <v>TOWER 3</v>
      </c>
      <c r="N2813" s="1" t="str">
        <f>IFERROR(__xludf.DUMMYFUNCTION("""COMPUTED_VALUE"""),"SMDC MAHARLIKA ")</f>
        <v>SMDC MAHARLIKA </v>
      </c>
      <c r="O2813" s="1" t="str">
        <f>IFERROR(__xludf.DUMMYFUNCTION("""COMPUTED_VALUE"""),"MAHARLIKA WEST")</f>
        <v>MAHARLIKA WEST</v>
      </c>
      <c r="P2813" s="1" t="str">
        <f>IFERROR(__xludf.DUMMYFUNCTION("""COMPUTED_VALUE"""),"TAGAYTAY")</f>
        <v>TAGAYTAY</v>
      </c>
      <c r="Q2813" s="1" t="str">
        <f>IFERROR(__xludf.DUMMYFUNCTION("""COMPUTED_VALUE"""),"CAVITE")</f>
        <v>CAVITE</v>
      </c>
      <c r="R2813" s="1" t="str">
        <f>IFERROR(__xludf.DUMMYFUNCTION("""COMPUTED_VALUE"""),"FIBR UNLI ALL PLAN 1499")</f>
        <v>FIBR UNLI ALL PLAN 1499</v>
      </c>
      <c r="S2813" s="1" t="str">
        <f>IFERROR(__xludf.DUMMYFUNCTION("""COMPUTED_VALUE"""),"APPROVED")</f>
        <v>APPROVED</v>
      </c>
      <c r="T2813" s="1" t="str">
        <f>IFERROR(__xludf.DUMMYFUNCTION("""COMPUTED_VALUE"""),"CLOSED")</f>
        <v>CLOSED</v>
      </c>
      <c r="U2813" s="1" t="str">
        <f>IFERROR(__xludf.DUMMYFUNCTION("""COMPUTED_VALUE"""),"POSTED")</f>
        <v>POSTED</v>
      </c>
      <c r="V2813" s="1"/>
      <c r="W2813" s="1"/>
    </row>
    <row r="2814" customHeight="1" spans="1:23">
      <c r="A2814" s="3">
        <f>IFERROR(__xludf.DUMMYFUNCTION("""COMPUTED_VALUE"""),46255)</f>
        <v>46255</v>
      </c>
      <c r="B2814" s="1" t="str">
        <f>IFERROR(__xludf.DUMMYFUNCTION("""COMPUTED_VALUE"""),"MALIWAT MARK ELVIN")</f>
        <v>MALIWAT MARK ELVIN</v>
      </c>
      <c r="C2814" s="1" t="str">
        <f>IFERROR(__xludf.DUMMYFUNCTION("""COMPUTED_VALUE"""),"FLA")</f>
        <v>FLA</v>
      </c>
      <c r="D2814" s="1" t="str">
        <f>IFERROR(__xludf.DUMMYFUNCTION("""COMPUTED_VALUE"""),"JERIC NAVARRO")</f>
        <v>JERIC NAVARRO</v>
      </c>
      <c r="E2814" s="1" t="str">
        <f>IFERROR(__xludf.DUMMYFUNCTION("""COMPUTED_VALUE"""),"PLDT / ONLINE")</f>
        <v>PLDT / ONLINE</v>
      </c>
      <c r="F2814" s="1">
        <f>IFERROR(__xludf.DUMMYFUNCTION("""COMPUTED_VALUE"""),2311971337)</f>
        <v>2311971337</v>
      </c>
      <c r="G2814" s="1">
        <f>IFERROR(__xludf.DUMMYFUNCTION("""COMPUTED_VALUE"""),467405653004)</f>
        <v>467405653004</v>
      </c>
      <c r="H2814" s="1" t="str">
        <f>IFERROR(__xludf.DUMMYFUNCTION("""COMPUTED_VALUE"""),"NARRISE HERNANDEZ BAYAS")</f>
        <v>NARRISE HERNANDEZ BAYAS</v>
      </c>
      <c r="I2814" s="1">
        <f>IFERROR(__xludf.DUMMYFUNCTION("""COMPUTED_VALUE"""),9602052441)</f>
        <v>9602052441</v>
      </c>
      <c r="J2814" s="1"/>
      <c r="K2814" s="1" t="str">
        <f>IFERROR(__xludf.DUMMYFUNCTION("""COMPUTED_VALUE"""),"narissebayas@gmail.com")</f>
        <v>narissebayas@gmail.com</v>
      </c>
      <c r="L2814" s="1" t="str">
        <f>IFERROR(__xludf.DUMMYFUNCTION("""COMPUTED_VALUE"""),"2032")</f>
        <v>2032</v>
      </c>
      <c r="M2814" s="1" t="str">
        <f>IFERROR(__xludf.DUMMYFUNCTION("""COMPUTED_VALUE"""),"TOWER 1")</f>
        <v>TOWER 1</v>
      </c>
      <c r="N2814" s="1" t="str">
        <f>IFERROR(__xludf.DUMMYFUNCTION("""COMPUTED_VALUE"""),"SMDC MAHARLIKA ")</f>
        <v>SMDC MAHARLIKA </v>
      </c>
      <c r="O2814" s="1" t="str">
        <f>IFERROR(__xludf.DUMMYFUNCTION("""COMPUTED_VALUE"""),"MAHARLIKA WEST")</f>
        <v>MAHARLIKA WEST</v>
      </c>
      <c r="P2814" s="1" t="str">
        <f>IFERROR(__xludf.DUMMYFUNCTION("""COMPUTED_VALUE"""),"TAGAYTAY")</f>
        <v>TAGAYTAY</v>
      </c>
      <c r="Q2814" s="1" t="str">
        <f>IFERROR(__xludf.DUMMYFUNCTION("""COMPUTED_VALUE"""),"CAVITE")</f>
        <v>CAVITE</v>
      </c>
      <c r="R2814" s="1" t="str">
        <f>IFERROR(__xludf.DUMMYFUNCTION("""COMPUTED_VALUE"""),"FIBR PLAN 1299")</f>
        <v>FIBR PLAN 1299</v>
      </c>
      <c r="S2814" s="1" t="str">
        <f>IFERROR(__xludf.DUMMYFUNCTION("""COMPUTED_VALUE"""),"APPROVED")</f>
        <v>APPROVED</v>
      </c>
      <c r="T2814" s="1" t="str">
        <f>IFERROR(__xludf.DUMMYFUNCTION("""COMPUTED_VALUE"""),"CLOSED")</f>
        <v>CLOSED</v>
      </c>
      <c r="U2814" s="1" t="str">
        <f>IFERROR(__xludf.DUMMYFUNCTION("""COMPUTED_VALUE"""),"POSTED")</f>
        <v>POSTED</v>
      </c>
      <c r="V2814" s="1"/>
      <c r="W2814" s="1"/>
    </row>
    <row r="2815" customHeight="1" spans="1:23">
      <c r="A2815" s="3">
        <f>IFERROR(__xludf.DUMMYFUNCTION("""COMPUTED_VALUE"""),46255)</f>
        <v>46255</v>
      </c>
      <c r="B2815" s="1" t="str">
        <f>IFERROR(__xludf.DUMMYFUNCTION("""COMPUTED_VALUE"""),"BAQUIT ,JAZMIN")</f>
        <v>BAQUIT ,JAZMIN</v>
      </c>
      <c r="C2815" s="1" t="str">
        <f>IFERROR(__xludf.DUMMYFUNCTION("""COMPUTED_VALUE"""),"ORGANIC")</f>
        <v>ORGANIC</v>
      </c>
      <c r="D2815" s="1" t="str">
        <f>IFERROR(__xludf.DUMMYFUNCTION("""COMPUTED_VALUE"""),"REMOLLO LEA")</f>
        <v>REMOLLO LEA</v>
      </c>
      <c r="E2815" s="1" t="str">
        <f>IFERROR(__xludf.DUMMYFUNCTION("""COMPUTED_VALUE"""),"PLDT / H2H")</f>
        <v>PLDT / H2H</v>
      </c>
      <c r="F2815" s="1">
        <f>IFERROR(__xludf.DUMMYFUNCTION("""COMPUTED_VALUE"""),2311969553)</f>
        <v>2311969553</v>
      </c>
      <c r="G2815" s="1">
        <f>IFERROR(__xludf.DUMMYFUNCTION("""COMPUTED_VALUE"""),467403970004)</f>
        <v>467403970004</v>
      </c>
      <c r="H2815" s="1" t="str">
        <f>IFERROR(__xludf.DUMMYFUNCTION("""COMPUTED_VALUE"""),"JOHN ARVIN SILOS ESTRADA")</f>
        <v>JOHN ARVIN SILOS ESTRADA</v>
      </c>
      <c r="I2815" s="1">
        <f>IFERROR(__xludf.DUMMYFUNCTION("""COMPUTED_VALUE"""),9555726103)</f>
        <v>9555726103</v>
      </c>
      <c r="J2815" s="1"/>
      <c r="K2815" s="1" t="str">
        <f>IFERROR(__xludf.DUMMYFUNCTION("""COMPUTED_VALUE"""),"arvinestrada0804@gmail.com")</f>
        <v>arvinestrada0804@gmail.com</v>
      </c>
      <c r="L2815" s="1" t="str">
        <f>IFERROR(__xludf.DUMMYFUNCTION("""COMPUTED_VALUE"""),"1506")</f>
        <v>1506</v>
      </c>
      <c r="M2815" s="1" t="str">
        <f>IFERROR(__xludf.DUMMYFUNCTION("""COMPUTED_VALUE"""),"ZAMORA")</f>
        <v>ZAMORA</v>
      </c>
      <c r="N2815" s="1"/>
      <c r="O2815" s="1" t="str">
        <f>IFERROR(__xludf.DUMMYFUNCTION("""COMPUTED_VALUE"""),"MABUHAY")</f>
        <v>MABUHAY</v>
      </c>
      <c r="P2815" s="1" t="str">
        <f>IFERROR(__xludf.DUMMYFUNCTION("""COMPUTED_VALUE"""),"CARMONA")</f>
        <v>CARMONA</v>
      </c>
      <c r="Q2815" s="1" t="str">
        <f>IFERROR(__xludf.DUMMYFUNCTION("""COMPUTED_VALUE"""),"CAVITE")</f>
        <v>CAVITE</v>
      </c>
      <c r="R2815" s="1" t="str">
        <f>IFERROR(__xludf.DUMMYFUNCTION("""COMPUTED_VALUE"""),"FIBR PLAN 1299")</f>
        <v>FIBR PLAN 1299</v>
      </c>
      <c r="S2815" s="1" t="str">
        <f>IFERROR(__xludf.DUMMYFUNCTION("""COMPUTED_VALUE"""),"APPROVED")</f>
        <v>APPROVED</v>
      </c>
      <c r="T2815" s="1" t="str">
        <f>IFERROR(__xludf.DUMMYFUNCTION("""COMPUTED_VALUE"""),"RPR")</f>
        <v>RPR</v>
      </c>
      <c r="U2815" s="1"/>
      <c r="V2815" s="1"/>
      <c r="W2815" s="1"/>
    </row>
    <row r="2816" customHeight="1" spans="1:23">
      <c r="A2816" s="3">
        <f>IFERROR(__xludf.DUMMYFUNCTION("""COMPUTED_VALUE"""),46255)</f>
        <v>46255</v>
      </c>
      <c r="B2816" s="1" t="str">
        <f>IFERROR(__xludf.DUMMYFUNCTION("""COMPUTED_VALUE"""),"TAMAYO, MARY ROSE")</f>
        <v>TAMAYO, MARY ROSE</v>
      </c>
      <c r="C2816" s="1" t="str">
        <f>IFERROR(__xludf.DUMMYFUNCTION("""COMPUTED_VALUE"""),"ORGANIC")</f>
        <v>ORGANIC</v>
      </c>
      <c r="D2816" s="1" t="str">
        <f>IFERROR(__xludf.DUMMYFUNCTION("""COMPUTED_VALUE"""),"REMOLLO LEA")</f>
        <v>REMOLLO LEA</v>
      </c>
      <c r="E2816" s="1" t="str">
        <f>IFERROR(__xludf.DUMMYFUNCTION("""COMPUTED_VALUE"""),"PLDT / H2H")</f>
        <v>PLDT / H2H</v>
      </c>
      <c r="F2816" s="1">
        <f>IFERROR(__xludf.DUMMYFUNCTION("""COMPUTED_VALUE"""),2311970777)</f>
        <v>2311970777</v>
      </c>
      <c r="G2816" s="1">
        <f>IFERROR(__xludf.DUMMYFUNCTION("""COMPUTED_VALUE"""),467403145004)</f>
        <v>467403145004</v>
      </c>
      <c r="H2816" s="1" t="str">
        <f>IFERROR(__xludf.DUMMYFUNCTION("""COMPUTED_VALUE"""),"KAYVIN APOLINARIO ALVAREZ")</f>
        <v>KAYVIN APOLINARIO ALVAREZ</v>
      </c>
      <c r="I2816" s="1">
        <f>IFERROR(__xludf.DUMMYFUNCTION("""COMPUTED_VALUE"""),926756070)</f>
        <v>926756070</v>
      </c>
      <c r="J2816" s="1">
        <f>IFERROR(__xludf.DUMMYFUNCTION("""COMPUTED_VALUE"""),9704958930)</f>
        <v>9704958930</v>
      </c>
      <c r="K2816" s="1" t="str">
        <f>IFERROR(__xludf.DUMMYFUNCTION("""COMPUTED_VALUE"""),"apolinariokevin062@gmail.com")</f>
        <v>apolinariokevin062@gmail.com</v>
      </c>
      <c r="L2816" s="1" t="str">
        <f>IFERROR(__xludf.DUMMYFUNCTION("""COMPUTED_VALUE"""),"BLK 13 LOT 25")</f>
        <v>BLK 13 LOT 25</v>
      </c>
      <c r="M2816" s="1" t="str">
        <f>IFERROR(__xludf.DUMMYFUNCTION("""COMPUTED_VALUE"""),"LANTIC")</f>
        <v>LANTIC</v>
      </c>
      <c r="N2816" s="1"/>
      <c r="O2816" s="1" t="str">
        <f>IFERROR(__xludf.DUMMYFUNCTION("""COMPUTED_VALUE"""),"LANTIC")</f>
        <v>LANTIC</v>
      </c>
      <c r="P2816" s="1" t="str">
        <f>IFERROR(__xludf.DUMMYFUNCTION("""COMPUTED_VALUE"""),"CARMONA")</f>
        <v>CARMONA</v>
      </c>
      <c r="Q2816" s="1" t="str">
        <f>IFERROR(__xludf.DUMMYFUNCTION("""COMPUTED_VALUE"""),"CAVITE")</f>
        <v>CAVITE</v>
      </c>
      <c r="R2816" s="1" t="str">
        <f>IFERROR(__xludf.DUMMYFUNCTION("""COMPUTED_VALUE"""),"FIBR UNLI ALL PLAN 999")</f>
        <v>FIBR UNLI ALL PLAN 999</v>
      </c>
      <c r="S2816" s="1" t="str">
        <f>IFERROR(__xludf.DUMMYFUNCTION("""COMPUTED_VALUE"""),"APPROVED")</f>
        <v>APPROVED</v>
      </c>
      <c r="T2816" s="1" t="str">
        <f>IFERROR(__xludf.DUMMYFUNCTION("""COMPUTED_VALUE"""),"RPR")</f>
        <v>RPR</v>
      </c>
      <c r="U2816" s="1"/>
      <c r="V2816" s="1"/>
      <c r="W2816" s="1"/>
    </row>
    <row r="2817" customHeight="1" spans="1:23">
      <c r="A2817" s="3">
        <f>IFERROR(__xludf.DUMMYFUNCTION("""COMPUTED_VALUE"""),46255)</f>
        <v>46255</v>
      </c>
      <c r="B2817" s="1" t="str">
        <f>IFERROR(__xludf.DUMMYFUNCTION("""COMPUTED_VALUE"""),"IVNO, RAZZEL")</f>
        <v>IVNO, RAZZEL</v>
      </c>
      <c r="C2817" s="1" t="str">
        <f>IFERROR(__xludf.DUMMYFUNCTION("""COMPUTED_VALUE"""),"ORGANIC")</f>
        <v>ORGANIC</v>
      </c>
      <c r="D2817" s="1" t="str">
        <f>IFERROR(__xludf.DUMMYFUNCTION("""COMPUTED_VALUE"""),"REMOLLO LEA")</f>
        <v>REMOLLO LEA</v>
      </c>
      <c r="E2817" s="1" t="str">
        <f>IFERROR(__xludf.DUMMYFUNCTION("""COMPUTED_VALUE"""),"PLDT / H2H")</f>
        <v>PLDT / H2H</v>
      </c>
      <c r="F2817" s="1">
        <f>IFERROR(__xludf.DUMMYFUNCTION("""COMPUTED_VALUE"""),2311974342)</f>
        <v>2311974342</v>
      </c>
      <c r="G2817" s="1"/>
      <c r="H2817" s="1" t="str">
        <f>IFERROR(__xludf.DUMMYFUNCTION("""COMPUTED_VALUE"""),"ROMNIC ORTAZON SACAY")</f>
        <v>ROMNIC ORTAZON SACAY</v>
      </c>
      <c r="I2817" s="1">
        <f>IFERROR(__xludf.DUMMYFUNCTION("""COMPUTED_VALUE"""),9914606078)</f>
        <v>9914606078</v>
      </c>
      <c r="J2817" s="1">
        <f>IFERROR(__xludf.DUMMYFUNCTION("""COMPUTED_VALUE"""),9756257931)</f>
        <v>9756257931</v>
      </c>
      <c r="K2817" s="1" t="str">
        <f>IFERROR(__xludf.DUMMYFUNCTION("""COMPUTED_VALUE"""),"renato90@gmail.com")</f>
        <v>renato90@gmail.com</v>
      </c>
      <c r="L2817" s="1" t="str">
        <f>IFERROR(__xludf.DUMMYFUNCTION("""COMPUTED_VALUE"""),"BLK 13 LOT 79")</f>
        <v>BLK 13 LOT 79</v>
      </c>
      <c r="M2817" s="1" t="str">
        <f>IFERROR(__xludf.DUMMYFUNCTION("""COMPUTED_VALUE"""),"CALIUMPANG")</f>
        <v>CALIUMPANG</v>
      </c>
      <c r="N2817" s="1"/>
      <c r="O2817" s="1" t="str">
        <f>IFERROR(__xludf.DUMMYFUNCTION("""COMPUTED_VALUE"""),"LANTIC")</f>
        <v>LANTIC</v>
      </c>
      <c r="P2817" s="1" t="str">
        <f>IFERROR(__xludf.DUMMYFUNCTION("""COMPUTED_VALUE"""),"CARMONA")</f>
        <v>CARMONA</v>
      </c>
      <c r="Q2817" s="1" t="str">
        <f>IFERROR(__xludf.DUMMYFUNCTION("""COMPUTED_VALUE"""),"CAVITE")</f>
        <v>CAVITE</v>
      </c>
      <c r="R2817" s="1" t="str">
        <f>IFERROR(__xludf.DUMMYFUNCTION("""COMPUTED_VALUE"""),"FIBR PLAN 1299")</f>
        <v>FIBR PLAN 1299</v>
      </c>
      <c r="S2817" s="1" t="str">
        <f>IFERROR(__xludf.DUMMYFUNCTION("""COMPUTED_VALUE"""),"APPROVED")</f>
        <v>APPROVED</v>
      </c>
      <c r="T2817" s="1" t="str">
        <f>IFERROR(__xludf.DUMMYFUNCTION("""COMPUTED_VALUE"""),"CANCELLED")</f>
        <v>CANCELLED</v>
      </c>
      <c r="U2817" s="1"/>
      <c r="V2817" s="1"/>
      <c r="W2817" s="1"/>
    </row>
    <row r="2818" customHeight="1" spans="1:23">
      <c r="A2818" s="3">
        <f>IFERROR(__xludf.DUMMYFUNCTION("""COMPUTED_VALUE"""),46255)</f>
        <v>46255</v>
      </c>
      <c r="B2818" s="1" t="str">
        <f>IFERROR(__xludf.DUMMYFUNCTION("""COMPUTED_VALUE"""),"DENACO, RODNEY")</f>
        <v>DENACO, RODNEY</v>
      </c>
      <c r="C2818" s="1" t="str">
        <f>IFERROR(__xludf.DUMMYFUNCTION("""COMPUTED_VALUE"""),"ORGANIC")</f>
        <v>ORGANIC</v>
      </c>
      <c r="D2818" s="1" t="str">
        <f>IFERROR(__xludf.DUMMYFUNCTION("""COMPUTED_VALUE"""),"REMOLLO LEA")</f>
        <v>REMOLLO LEA</v>
      </c>
      <c r="E2818" s="1" t="str">
        <f>IFERROR(__xludf.DUMMYFUNCTION("""COMPUTED_VALUE"""),"PLDT / H2H")</f>
        <v>PLDT / H2H</v>
      </c>
      <c r="F2818" s="1">
        <f>IFERROR(__xludf.DUMMYFUNCTION("""COMPUTED_VALUE"""),2311974741)</f>
        <v>2311974741</v>
      </c>
      <c r="G2818" s="1">
        <f>IFERROR(__xludf.DUMMYFUNCTION("""COMPUTED_VALUE"""),467408633004)</f>
        <v>467408633004</v>
      </c>
      <c r="H2818" s="1" t="str">
        <f>IFERROR(__xludf.DUMMYFUNCTION("""COMPUTED_VALUE"""),"VILMA PASION USON")</f>
        <v>VILMA PASION USON</v>
      </c>
      <c r="I2818" s="1">
        <f>IFERROR(__xludf.DUMMYFUNCTION("""COMPUTED_VALUE"""),9652134139)</f>
        <v>9652134139</v>
      </c>
      <c r="J2818" s="1"/>
      <c r="K2818" s="1" t="str">
        <f>IFERROR(__xludf.DUMMYFUNCTION("""COMPUTED_VALUE"""),"vilmauson@gmail.com")</f>
        <v>vilmauson@gmail.com</v>
      </c>
      <c r="L2818" s="1" t="str">
        <f>IFERROR(__xludf.DUMMYFUNCTION("""COMPUTED_VALUE"""),"9064")</f>
        <v>9064</v>
      </c>
      <c r="M2818" s="1" t="str">
        <f>IFERROR(__xludf.DUMMYFUNCTION("""COMPUTED_VALUE"""),"CALUMPANG")</f>
        <v>CALUMPANG</v>
      </c>
      <c r="N2818" s="1"/>
      <c r="O2818" s="1" t="str">
        <f>IFERROR(__xludf.DUMMYFUNCTION("""COMPUTED_VALUE"""),"LANTIC")</f>
        <v>LANTIC</v>
      </c>
      <c r="P2818" s="1" t="str">
        <f>IFERROR(__xludf.DUMMYFUNCTION("""COMPUTED_VALUE"""),"CARMONA")</f>
        <v>CARMONA</v>
      </c>
      <c r="Q2818" s="1" t="str">
        <f>IFERROR(__xludf.DUMMYFUNCTION("""COMPUTED_VALUE"""),"CAVITE")</f>
        <v>CAVITE</v>
      </c>
      <c r="R2818" s="1" t="str">
        <f>IFERROR(__xludf.DUMMYFUNCTION("""COMPUTED_VALUE"""),"FIBR UNLI ALL PLAN 999")</f>
        <v>FIBR UNLI ALL PLAN 999</v>
      </c>
      <c r="S2818" s="1" t="str">
        <f>IFERROR(__xludf.DUMMYFUNCTION("""COMPUTED_VALUE"""),"APPROVED")</f>
        <v>APPROVED</v>
      </c>
      <c r="T2818" s="1" t="str">
        <f>IFERROR(__xludf.DUMMYFUNCTION("""COMPUTED_VALUE"""),"CANCELLED")</f>
        <v>CANCELLED</v>
      </c>
      <c r="U2818" s="1"/>
      <c r="V2818" s="1"/>
      <c r="W2818" s="1"/>
    </row>
    <row r="2819" customHeight="1" spans="1:23">
      <c r="A2819" s="3">
        <f>IFERROR(__xludf.DUMMYFUNCTION("""COMPUTED_VALUE"""),46255)</f>
        <v>46255</v>
      </c>
      <c r="B2819" s="1" t="str">
        <f>IFERROR(__xludf.DUMMYFUNCTION("""COMPUTED_VALUE"""),"FRANCISCO , ROSELYN")</f>
        <v>FRANCISCO , ROSELYN</v>
      </c>
      <c r="C2819" s="1" t="str">
        <f>IFERROR(__xludf.DUMMYFUNCTION("""COMPUTED_VALUE"""),"ORGANIC")</f>
        <v>ORGANIC</v>
      </c>
      <c r="D2819" s="1" t="str">
        <f>IFERROR(__xludf.DUMMYFUNCTION("""COMPUTED_VALUE"""),"REMOLLO LEA")</f>
        <v>REMOLLO LEA</v>
      </c>
      <c r="E2819" s="1" t="str">
        <f>IFERROR(__xludf.DUMMYFUNCTION("""COMPUTED_VALUE"""),"PLDT / H2H")</f>
        <v>PLDT / H2H</v>
      </c>
      <c r="F2819" s="1">
        <f>IFERROR(__xludf.DUMMYFUNCTION("""COMPUTED_VALUE"""),2311980867)</f>
        <v>2311980867</v>
      </c>
      <c r="G2819" s="1">
        <f>IFERROR(__xludf.DUMMYFUNCTION("""COMPUTED_VALUE"""),467491880004)</f>
        <v>467491880004</v>
      </c>
      <c r="H2819" s="1" t="str">
        <f>IFERROR(__xludf.DUMMYFUNCTION("""COMPUTED_VALUE"""),"JEFFREY ASILO NAVIA")</f>
        <v>JEFFREY ASILO NAVIA</v>
      </c>
      <c r="I2819" s="1">
        <f>IFERROR(__xludf.DUMMYFUNCTION("""COMPUTED_VALUE"""),9451074469)</f>
        <v>9451074469</v>
      </c>
      <c r="J2819" s="1"/>
      <c r="K2819" s="1" t="str">
        <f>IFERROR(__xludf.DUMMYFUNCTION("""COMPUTED_VALUE"""),"elkyuranavia@gmail.com")</f>
        <v>elkyuranavia@gmail.com</v>
      </c>
      <c r="L2819" s="1" t="str">
        <f>IFERROR(__xludf.DUMMYFUNCTION("""COMPUTED_VALUE"""),"282")</f>
        <v>282</v>
      </c>
      <c r="M2819" s="1" t="str">
        <f>IFERROR(__xludf.DUMMYFUNCTION("""COMPUTED_VALUE"""),"PLATINUM VILLE")</f>
        <v>PLATINUM VILLE</v>
      </c>
      <c r="N2819" s="1"/>
      <c r="O2819" s="1" t="str">
        <f>IFERROR(__xludf.DUMMYFUNCTION("""COMPUTED_VALUE"""),"SAN NICOLAS III")</f>
        <v>SAN NICOLAS III</v>
      </c>
      <c r="P2819" s="1" t="str">
        <f>IFERROR(__xludf.DUMMYFUNCTION("""COMPUTED_VALUE"""),"BACOOR")</f>
        <v>BACOOR</v>
      </c>
      <c r="Q2819" s="1" t="str">
        <f>IFERROR(__xludf.DUMMYFUNCTION("""COMPUTED_VALUE"""),"CAVITE")</f>
        <v>CAVITE</v>
      </c>
      <c r="R2819" s="1" t="str">
        <f>IFERROR(__xludf.DUMMYFUNCTION("""COMPUTED_VALUE"""),"FIBR UNLI ALL PLAN 999")</f>
        <v>FIBR UNLI ALL PLAN 999</v>
      </c>
      <c r="S2819" s="1" t="str">
        <f>IFERROR(__xludf.DUMMYFUNCTION("""COMPUTED_VALUE"""),"APPROVED")</f>
        <v>APPROVED</v>
      </c>
      <c r="T2819" s="1" t="str">
        <f>IFERROR(__xludf.DUMMYFUNCTION("""COMPUTED_VALUE"""),"CLOSED")</f>
        <v>CLOSED</v>
      </c>
      <c r="U2819" s="1" t="str">
        <f>IFERROR(__xludf.DUMMYFUNCTION("""COMPUTED_VALUE"""),"POSTED")</f>
        <v>POSTED</v>
      </c>
      <c r="V2819" s="1"/>
      <c r="W2819" s="1"/>
    </row>
    <row r="2820" customHeight="1" spans="1:23">
      <c r="A2820" s="3">
        <f>IFERROR(__xludf.DUMMYFUNCTION("""COMPUTED_VALUE"""),46255)</f>
        <v>46255</v>
      </c>
      <c r="B2820" s="1" t="str">
        <f>IFERROR(__xludf.DUMMYFUNCTION("""COMPUTED_VALUE"""),"AYON MANUEL")</f>
        <v>AYON MANUEL</v>
      </c>
      <c r="C2820" s="1" t="str">
        <f>IFERROR(__xludf.DUMMYFUNCTION("""COMPUTED_VALUE"""),"FLA")</f>
        <v>FLA</v>
      </c>
      <c r="D2820" s="1" t="str">
        <f>IFERROR(__xludf.DUMMYFUNCTION("""COMPUTED_VALUE"""),"JERIC NAVARRO")</f>
        <v>JERIC NAVARRO</v>
      </c>
      <c r="E2820" s="1" t="str">
        <f>IFERROR(__xludf.DUMMYFUNCTION("""COMPUTED_VALUE"""),"HOME BIZZ")</f>
        <v>HOME BIZZ</v>
      </c>
      <c r="F2820" s="1">
        <f>IFERROR(__xludf.DUMMYFUNCTION("""COMPUTED_VALUE"""),2311976522)</f>
        <v>2311976522</v>
      </c>
      <c r="G2820" s="1">
        <f>IFERROR(__xludf.DUMMYFUNCTION("""COMPUTED_VALUE"""),467415818004)</f>
        <v>467415818004</v>
      </c>
      <c r="H2820" s="1" t="str">
        <f>IFERROR(__xludf.DUMMYFUNCTION("""COMPUTED_VALUE"""),"MRA MARALIT TRUCKING SERVICES")</f>
        <v>MRA MARALIT TRUCKING SERVICES</v>
      </c>
      <c r="I2820" s="1">
        <f>IFERROR(__xludf.DUMMYFUNCTION("""COMPUTED_VALUE"""),9614434940)</f>
        <v>9614434940</v>
      </c>
      <c r="J2820" s="1">
        <f>IFERROR(__xludf.DUMMYFUNCTION("""COMPUTED_VALUE"""),9614474932)</f>
        <v>9614474932</v>
      </c>
      <c r="K2820" s="1" t="str">
        <f>IFERROR(__xludf.DUMMYFUNCTION("""COMPUTED_VALUE"""),"mra.trakingservices@gmail.com")</f>
        <v>mra.trakingservices@gmail.com</v>
      </c>
      <c r="L2820" s="1" t="str">
        <f>IFERROR(__xludf.DUMMYFUNCTION("""COMPUTED_VALUE"""),"BLK 3")</f>
        <v>BLK 3</v>
      </c>
      <c r="M2820" s="1" t="str">
        <f>IFERROR(__xludf.DUMMYFUNCTION("""COMPUTED_VALUE"""),"SABUTAN PALIPARAN RD")</f>
        <v>SABUTAN PALIPARAN RD</v>
      </c>
      <c r="N2820" s="1"/>
      <c r="O2820" s="1" t="str">
        <f>IFERROR(__xludf.DUMMYFUNCTION("""COMPUTED_VALUE"""),"SABUTAN")</f>
        <v>SABUTAN</v>
      </c>
      <c r="P2820" s="1" t="str">
        <f>IFERROR(__xludf.DUMMYFUNCTION("""COMPUTED_VALUE"""),"SILANG")</f>
        <v>SILANG</v>
      </c>
      <c r="Q2820" s="1" t="str">
        <f>IFERROR(__xludf.DUMMYFUNCTION("""COMPUTED_VALUE"""),"CAVITE")</f>
        <v>CAVITE</v>
      </c>
      <c r="R2820" s="1" t="str">
        <f>IFERROR(__xludf.DUMMYFUNCTION("""COMPUTED_VALUE"""),"HOME BIZ PLAN 1699")</f>
        <v>HOME BIZ PLAN 1699</v>
      </c>
      <c r="S2820" s="1" t="str">
        <f>IFERROR(__xludf.DUMMYFUNCTION("""COMPUTED_VALUE"""),"APPROVED")</f>
        <v>APPROVED</v>
      </c>
      <c r="T2820" s="1" t="str">
        <f>IFERROR(__xludf.DUMMYFUNCTION("""COMPUTED_VALUE"""),"CLOSED")</f>
        <v>CLOSED</v>
      </c>
      <c r="U2820" s="1"/>
      <c r="V2820" s="1"/>
      <c r="W2820" s="1"/>
    </row>
    <row r="2821" customHeight="1" spans="1:23">
      <c r="A2821" s="3">
        <f>IFERROR(__xludf.DUMMYFUNCTION("""COMPUTED_VALUE"""),46255)</f>
        <v>46255</v>
      </c>
      <c r="B2821" s="1" t="str">
        <f>IFERROR(__xludf.DUMMYFUNCTION("""COMPUTED_VALUE"""),"FRANCISCO , ROSELYN")</f>
        <v>FRANCISCO , ROSELYN</v>
      </c>
      <c r="C2821" s="1" t="str">
        <f>IFERROR(__xludf.DUMMYFUNCTION("""COMPUTED_VALUE"""),"ORGANIC")</f>
        <v>ORGANIC</v>
      </c>
      <c r="D2821" s="1" t="str">
        <f>IFERROR(__xludf.DUMMYFUNCTION("""COMPUTED_VALUE"""),"REMOLLO LEA")</f>
        <v>REMOLLO LEA</v>
      </c>
      <c r="E2821" s="1" t="str">
        <f>IFERROR(__xludf.DUMMYFUNCTION("""COMPUTED_VALUE"""),"PLDT / H2H")</f>
        <v>PLDT / H2H</v>
      </c>
      <c r="F2821" s="1">
        <f>IFERROR(__xludf.DUMMYFUNCTION("""COMPUTED_VALUE"""),2311975208)</f>
        <v>2311975208</v>
      </c>
      <c r="G2821" s="1">
        <f>IFERROR(__xludf.DUMMYFUNCTION("""COMPUTED_VALUE"""),467409683004)</f>
        <v>467409683004</v>
      </c>
      <c r="H2821" s="1" t="str">
        <f>IFERROR(__xludf.DUMMYFUNCTION("""COMPUTED_VALUE"""),"EDITHA MARAAN VIDAMO")</f>
        <v>EDITHA MARAAN VIDAMO</v>
      </c>
      <c r="I2821" s="1">
        <f>IFERROR(__xludf.DUMMYFUNCTION("""COMPUTED_VALUE"""),9562855793)</f>
        <v>9562855793</v>
      </c>
      <c r="J2821" s="1">
        <f>IFERROR(__xludf.DUMMYFUNCTION("""COMPUTED_VALUE"""),9524425609)</f>
        <v>9524425609</v>
      </c>
      <c r="K2821" s="1" t="str">
        <f>IFERROR(__xludf.DUMMYFUNCTION("""COMPUTED_VALUE"""),"edithavidamo@gmail.com")</f>
        <v>edithavidamo@gmail.com</v>
      </c>
      <c r="L2821" s="1" t="str">
        <f>IFERROR(__xludf.DUMMYFUNCTION("""COMPUTED_VALUE"""),"923")</f>
        <v>923</v>
      </c>
      <c r="M2821" s="1" t="str">
        <f>IFERROR(__xludf.DUMMYFUNCTION("""COMPUTED_VALUE"""),"MAYSILI")</f>
        <v>MAYSILI</v>
      </c>
      <c r="N2821" s="1"/>
      <c r="O2821" s="1" t="str">
        <f>IFERROR(__xludf.DUMMYFUNCTION("""COMPUTED_VALUE"""),"ASIS III")</f>
        <v>ASIS III</v>
      </c>
      <c r="P2821" s="1" t="str">
        <f>IFERROR(__xludf.DUMMYFUNCTION("""COMPUTED_VALUE"""),"MENDEZ")</f>
        <v>MENDEZ</v>
      </c>
      <c r="Q2821" s="1" t="str">
        <f>IFERROR(__xludf.DUMMYFUNCTION("""COMPUTED_VALUE"""),"CAVITE")</f>
        <v>CAVITE</v>
      </c>
      <c r="R2821" s="1" t="str">
        <f>IFERROR(__xludf.DUMMYFUNCTION("""COMPUTED_VALUE"""),"FIBR UNLI ALL PLAN 1499")</f>
        <v>FIBR UNLI ALL PLAN 1499</v>
      </c>
      <c r="S2821" s="1" t="str">
        <f>IFERROR(__xludf.DUMMYFUNCTION("""COMPUTED_VALUE"""),"APPROVED")</f>
        <v>APPROVED</v>
      </c>
      <c r="T2821" s="1" t="str">
        <f>IFERROR(__xludf.DUMMYFUNCTION("""COMPUTED_VALUE"""),"CLOSED")</f>
        <v>CLOSED</v>
      </c>
      <c r="U2821" s="1"/>
      <c r="V2821" s="1"/>
      <c r="W2821" s="1"/>
    </row>
    <row r="2822" customHeight="1" spans="1:23">
      <c r="A2822" s="3">
        <f>IFERROR(__xludf.DUMMYFUNCTION("""COMPUTED_VALUE"""),46255)</f>
        <v>46255</v>
      </c>
      <c r="B2822" s="1" t="str">
        <f>IFERROR(__xludf.DUMMYFUNCTION("""COMPUTED_VALUE"""),"IVNO, RAZZEL")</f>
        <v>IVNO, RAZZEL</v>
      </c>
      <c r="C2822" s="1" t="str">
        <f>IFERROR(__xludf.DUMMYFUNCTION("""COMPUTED_VALUE"""),"ORGANIC")</f>
        <v>ORGANIC</v>
      </c>
      <c r="D2822" s="1" t="str">
        <f>IFERROR(__xludf.DUMMYFUNCTION("""COMPUTED_VALUE"""),"REMOLLO LEA")</f>
        <v>REMOLLO LEA</v>
      </c>
      <c r="E2822" s="1" t="str">
        <f>IFERROR(__xludf.DUMMYFUNCTION("""COMPUTED_VALUE"""),"PLDT / H2H")</f>
        <v>PLDT / H2H</v>
      </c>
      <c r="F2822" s="1">
        <f>IFERROR(__xludf.DUMMYFUNCTION("""COMPUTED_VALUE"""),2311977277)</f>
        <v>2311977277</v>
      </c>
      <c r="G2822" s="1">
        <f>IFERROR(__xludf.DUMMYFUNCTION("""COMPUTED_VALUE"""),467410358004)</f>
        <v>467410358004</v>
      </c>
      <c r="H2822" s="1" t="str">
        <f>IFERROR(__xludf.DUMMYFUNCTION("""COMPUTED_VALUE"""),"JOENARD ZAFE SABINO")</f>
        <v>JOENARD ZAFE SABINO</v>
      </c>
      <c r="I2822" s="1">
        <f>IFERROR(__xludf.DUMMYFUNCTION("""COMPUTED_VALUE"""),9098588982)</f>
        <v>9098588982</v>
      </c>
      <c r="J2822" s="1">
        <f>IFERROR(__xludf.DUMMYFUNCTION("""COMPUTED_VALUE"""),9534227278)</f>
        <v>9534227278</v>
      </c>
      <c r="K2822" s="1" t="str">
        <f>IFERROR(__xludf.DUMMYFUNCTION("""COMPUTED_VALUE"""),"joenardsabino54@gmail.com")</f>
        <v>joenardsabino54@gmail.com</v>
      </c>
      <c r="L2822" s="1" t="str">
        <f>IFERROR(__xludf.DUMMYFUNCTION("""COMPUTED_VALUE"""),"212")</f>
        <v>212</v>
      </c>
      <c r="M2822" s="1" t="str">
        <f>IFERROR(__xludf.DUMMYFUNCTION("""COMPUTED_VALUE"""),"MAYSILI")</f>
        <v>MAYSILI</v>
      </c>
      <c r="N2822" s="1"/>
      <c r="O2822" s="1" t="str">
        <f>IFERROR(__xludf.DUMMYFUNCTION("""COMPUTED_VALUE"""),"ASIS III")</f>
        <v>ASIS III</v>
      </c>
      <c r="P2822" s="1" t="str">
        <f>IFERROR(__xludf.DUMMYFUNCTION("""COMPUTED_VALUE"""),"MENDEZ")</f>
        <v>MENDEZ</v>
      </c>
      <c r="Q2822" s="1" t="str">
        <f>IFERROR(__xludf.DUMMYFUNCTION("""COMPUTED_VALUE"""),"CAVITE")</f>
        <v>CAVITE</v>
      </c>
      <c r="R2822" s="1" t="str">
        <f>IFERROR(__xludf.DUMMYFUNCTION("""COMPUTED_VALUE"""),"FIBR PLAN 1299")</f>
        <v>FIBR PLAN 1299</v>
      </c>
      <c r="S2822" s="1" t="str">
        <f>IFERROR(__xludf.DUMMYFUNCTION("""COMPUTED_VALUE"""),"APPROVED")</f>
        <v>APPROVED</v>
      </c>
      <c r="T2822" s="1" t="str">
        <f>IFERROR(__xludf.DUMMYFUNCTION("""COMPUTED_VALUE"""),"CANCELLED")</f>
        <v>CANCELLED</v>
      </c>
      <c r="U2822" s="1" t="str">
        <f>IFERROR(__xludf.DUMMYFUNCTION("""COMPUTED_VALUE"""),"NO PAYMENT")</f>
        <v>NO PAYMENT</v>
      </c>
      <c r="V2822" s="1"/>
      <c r="W2822" s="1"/>
    </row>
    <row r="2823" customHeight="1" spans="1:23">
      <c r="A2823" s="3">
        <f>IFERROR(__xludf.DUMMYFUNCTION("""COMPUTED_VALUE"""),46255)</f>
        <v>46255</v>
      </c>
      <c r="B2823" s="1" t="str">
        <f>IFERROR(__xludf.DUMMYFUNCTION("""COMPUTED_VALUE"""),"GABAY, MANUEL")</f>
        <v>GABAY, MANUEL</v>
      </c>
      <c r="C2823" s="1" t="str">
        <f>IFERROR(__xludf.DUMMYFUNCTION("""COMPUTED_VALUE"""),"FLA")</f>
        <v>FLA</v>
      </c>
      <c r="D2823" s="1" t="str">
        <f>IFERROR(__xludf.DUMMYFUNCTION("""COMPUTED_VALUE"""),"JERIC NAVARRO")</f>
        <v>JERIC NAVARRO</v>
      </c>
      <c r="E2823" s="1" t="str">
        <f>IFERROR(__xludf.DUMMYFUNCTION("""COMPUTED_VALUE"""),"PLDT / H2H")</f>
        <v>PLDT / H2H</v>
      </c>
      <c r="F2823" s="1">
        <f>IFERROR(__xludf.DUMMYFUNCTION("""COMPUTED_VALUE"""),2311977686)</f>
        <v>2311977686</v>
      </c>
      <c r="G2823" s="1">
        <f>IFERROR(__xludf.DUMMYFUNCTION("""COMPUTED_VALUE"""),467413625004)</f>
        <v>467413625004</v>
      </c>
      <c r="H2823" s="1" t="str">
        <f>IFERROR(__xludf.DUMMYFUNCTION("""COMPUTED_VALUE"""),"DARWIN FERRER RODIL")</f>
        <v>DARWIN FERRER RODIL</v>
      </c>
      <c r="I2823" s="1">
        <f>IFERROR(__xludf.DUMMYFUNCTION("""COMPUTED_VALUE"""),9638649963)</f>
        <v>9638649963</v>
      </c>
      <c r="J2823" s="1">
        <f>IFERROR(__xludf.DUMMYFUNCTION("""COMPUTED_VALUE"""),9944639199)</f>
        <v>9944639199</v>
      </c>
      <c r="K2823" s="1" t="str">
        <f>IFERROR(__xludf.DUMMYFUNCTION("""COMPUTED_VALUE"""),"ferrerdarwin00@gmail.com")</f>
        <v>ferrerdarwin00@gmail.com</v>
      </c>
      <c r="L2823" s="1" t="str">
        <f>IFERROR(__xludf.DUMMYFUNCTION("""COMPUTED_VALUE"""),"BLK 4 LOT 12")</f>
        <v>BLK 4 LOT 12</v>
      </c>
      <c r="M2823" s="1" t="str">
        <f>IFERROR(__xludf.DUMMYFUNCTION("""COMPUTED_VALUE"""),"PABAHAY 4")</f>
        <v>PABAHAY 4</v>
      </c>
      <c r="N2823" s="1"/>
      <c r="O2823" s="1" t="str">
        <f>IFERROR(__xludf.DUMMYFUNCTION("""COMPUTED_VALUE"""),"ZAMBAL")</f>
        <v>ZAMBAL</v>
      </c>
      <c r="P2823" s="1" t="str">
        <f>IFERROR(__xludf.DUMMYFUNCTION("""COMPUTED_VALUE"""),"TAGAYTAY")</f>
        <v>TAGAYTAY</v>
      </c>
      <c r="Q2823" s="1" t="str">
        <f>IFERROR(__xludf.DUMMYFUNCTION("""COMPUTED_VALUE"""),"CAVITE")</f>
        <v>CAVITE</v>
      </c>
      <c r="R2823" s="1" t="str">
        <f>IFERROR(__xludf.DUMMYFUNCTION("""COMPUTED_VALUE"""),"FIBR UNLI ALL PLAN 1499")</f>
        <v>FIBR UNLI ALL PLAN 1499</v>
      </c>
      <c r="S2823" s="1" t="str">
        <f>IFERROR(__xludf.DUMMYFUNCTION("""COMPUTED_VALUE"""),"APPROVED")</f>
        <v>APPROVED</v>
      </c>
      <c r="T2823" s="1" t="str">
        <f>IFERROR(__xludf.DUMMYFUNCTION("""COMPUTED_VALUE"""),"CLOSED")</f>
        <v>CLOSED</v>
      </c>
      <c r="U2823" s="1" t="str">
        <f>IFERROR(__xludf.DUMMYFUNCTION("""COMPUTED_VALUE"""),"POSTED")</f>
        <v>POSTED</v>
      </c>
      <c r="V2823" s="1"/>
      <c r="W2823" s="1"/>
    </row>
    <row r="2824" customHeight="1" spans="1:23">
      <c r="A2824" s="3">
        <f>IFERROR(__xludf.DUMMYFUNCTION("""COMPUTED_VALUE"""),46255)</f>
        <v>46255</v>
      </c>
      <c r="B2824" s="1" t="str">
        <f>IFERROR(__xludf.DUMMYFUNCTION("""COMPUTED_VALUE"""),"LUPENA , KARL")</f>
        <v>LUPENA , KARL</v>
      </c>
      <c r="C2824" s="1" t="str">
        <f>IFERROR(__xludf.DUMMYFUNCTION("""COMPUTED_VALUE"""),"ORGANIC")</f>
        <v>ORGANIC</v>
      </c>
      <c r="D2824" s="1" t="str">
        <f>IFERROR(__xludf.DUMMYFUNCTION("""COMPUTED_VALUE"""),"MICHALE GARCIA")</f>
        <v>MICHALE GARCIA</v>
      </c>
      <c r="E2824" s="1" t="str">
        <f>IFERROR(__xludf.DUMMYFUNCTION("""COMPUTED_VALUE"""),"PLDT / H2H")</f>
        <v>PLDT / H2H</v>
      </c>
      <c r="F2824" s="1">
        <f>IFERROR(__xludf.DUMMYFUNCTION("""COMPUTED_VALUE"""),2311978184)</f>
        <v>2311978184</v>
      </c>
      <c r="G2824" s="1"/>
      <c r="H2824" s="1" t="str">
        <f>IFERROR(__xludf.DUMMYFUNCTION("""COMPUTED_VALUE"""),"JOSEIPHINE GAIL SILAYAN VITERBO")</f>
        <v>JOSEIPHINE GAIL SILAYAN VITERBO</v>
      </c>
      <c r="I2824" s="1">
        <f>IFERROR(__xludf.DUMMYFUNCTION("""COMPUTED_VALUE"""),9452741857)</f>
        <v>9452741857</v>
      </c>
      <c r="J2824" s="1">
        <f>IFERROR(__xludf.DUMMYFUNCTION("""COMPUTED_VALUE"""),9531683842)</f>
        <v>9531683842</v>
      </c>
      <c r="K2824" s="1" t="str">
        <f>IFERROR(__xludf.DUMMYFUNCTION("""COMPUTED_VALUE"""),"udochukwuugwu8@gmail.com")</f>
        <v>udochukwuugwu8@gmail.com</v>
      </c>
      <c r="L2824" s="1" t="str">
        <f>IFERROR(__xludf.DUMMYFUNCTION("""COMPUTED_VALUE"""),"BLK 21 LOT 76")</f>
        <v>BLK 21 LOT 76</v>
      </c>
      <c r="M2824" s="1" t="str">
        <f>IFERROR(__xludf.DUMMYFUNCTION("""COMPUTED_VALUE"""),"PHASE 2 ")</f>
        <v>PHASE 2 </v>
      </c>
      <c r="N2824" s="1" t="str">
        <f>IFERROR(__xludf.DUMMYFUNCTION("""COMPUTED_VALUE"""),"AMAYA BREEZE")</f>
        <v>AMAYA BREEZE</v>
      </c>
      <c r="O2824" s="1" t="str">
        <f>IFERROR(__xludf.DUMMYFUNCTION("""COMPUTED_VALUE"""),"AMAYA II")</f>
        <v>AMAYA II</v>
      </c>
      <c r="P2824" s="1" t="str">
        <f>IFERROR(__xludf.DUMMYFUNCTION("""COMPUTED_VALUE"""),"TANZA")</f>
        <v>TANZA</v>
      </c>
      <c r="Q2824" s="1" t="str">
        <f>IFERROR(__xludf.DUMMYFUNCTION("""COMPUTED_VALUE"""),"CAVITE")</f>
        <v>CAVITE</v>
      </c>
      <c r="R2824" s="1" t="str">
        <f>IFERROR(__xludf.DUMMYFUNCTION("""COMPUTED_VALUE"""),"FIBR UNLI ALL PLAN 999")</f>
        <v>FIBR UNLI ALL PLAN 999</v>
      </c>
      <c r="S2824" s="1" t="str">
        <f>IFERROR(__xludf.DUMMYFUNCTION("""COMPUTED_VALUE"""),"APPROVED")</f>
        <v>APPROVED</v>
      </c>
      <c r="T2824" s="1" t="str">
        <f>IFERROR(__xludf.DUMMYFUNCTION("""COMPUTED_VALUE"""),"DISAPPROVED")</f>
        <v>DISAPPROVED</v>
      </c>
      <c r="U2824" s="1"/>
      <c r="V2824" s="1"/>
      <c r="W2824" s="1"/>
    </row>
    <row r="2825" customHeight="1" spans="1:23">
      <c r="A2825" s="3">
        <f>IFERROR(__xludf.DUMMYFUNCTION("""COMPUTED_VALUE"""),46255)</f>
        <v>46255</v>
      </c>
      <c r="B2825" s="1" t="str">
        <f>IFERROR(__xludf.DUMMYFUNCTION("""COMPUTED_VALUE"""),"ALOS, CHARLS LAURENZ")</f>
        <v>ALOS, CHARLS LAURENZ</v>
      </c>
      <c r="C2825" s="1" t="str">
        <f>IFERROR(__xludf.DUMMYFUNCTION("""COMPUTED_VALUE"""),"ORGANIC")</f>
        <v>ORGANIC</v>
      </c>
      <c r="D2825" s="1" t="str">
        <f>IFERROR(__xludf.DUMMYFUNCTION("""COMPUTED_VALUE"""),"REMOLLO LEA")</f>
        <v>REMOLLO LEA</v>
      </c>
      <c r="E2825" s="1" t="str">
        <f>IFERROR(__xludf.DUMMYFUNCTION("""COMPUTED_VALUE"""),"PLDT / H2H")</f>
        <v>PLDT / H2H</v>
      </c>
      <c r="F2825" s="1">
        <f>IFERROR(__xludf.DUMMYFUNCTION("""COMPUTED_VALUE"""),2311978165)</f>
        <v>2311978165</v>
      </c>
      <c r="G2825" s="1">
        <f>IFERROR(__xludf.DUMMYFUNCTION("""COMPUTED_VALUE"""),467414262004)</f>
        <v>467414262004</v>
      </c>
      <c r="H2825" s="1" t="str">
        <f>IFERROR(__xludf.DUMMYFUNCTION("""COMPUTED_VALUE"""),"REYNESTO VILLANUEVA REYNOSO")</f>
        <v>REYNESTO VILLANUEVA REYNOSO</v>
      </c>
      <c r="I2825" s="1">
        <f>IFERROR(__xludf.DUMMYFUNCTION("""COMPUTED_VALUE"""),9270446531)</f>
        <v>9270446531</v>
      </c>
      <c r="J2825" s="1"/>
      <c r="K2825" s="1" t="str">
        <f>IFERROR(__xludf.DUMMYFUNCTION("""COMPUTED_VALUE"""),"reynosoprincesskeith@gmail.com")</f>
        <v>reynosoprincesskeith@gmail.com</v>
      </c>
      <c r="L2825" s="1" t="str">
        <f>IFERROR(__xludf.DUMMYFUNCTION("""COMPUTED_VALUE"""),"284")</f>
        <v>284</v>
      </c>
      <c r="M2825" s="1" t="str">
        <f>IFERROR(__xludf.DUMMYFUNCTION("""COMPUTED_VALUE"""),"PIER ")</f>
        <v>PIER </v>
      </c>
      <c r="N2825" s="1"/>
      <c r="O2825" s="1" t="str">
        <f>IFERROR(__xludf.DUMMYFUNCTION("""COMPUTED_VALUE"""),"MARAHAN I")</f>
        <v>MARAHAN I</v>
      </c>
      <c r="P2825" s="1" t="str">
        <f>IFERROR(__xludf.DUMMYFUNCTION("""COMPUTED_VALUE"""),"ALFONSO")</f>
        <v>ALFONSO</v>
      </c>
      <c r="Q2825" s="1" t="str">
        <f>IFERROR(__xludf.DUMMYFUNCTION("""COMPUTED_VALUE"""),"CAVITE")</f>
        <v>CAVITE</v>
      </c>
      <c r="R2825" s="1" t="str">
        <f>IFERROR(__xludf.DUMMYFUNCTION("""COMPUTED_VALUE"""),"FIBR PLAN 1299")</f>
        <v>FIBR PLAN 1299</v>
      </c>
      <c r="S2825" s="1" t="str">
        <f>IFERROR(__xludf.DUMMYFUNCTION("""COMPUTED_VALUE"""),"APPROVED")</f>
        <v>APPROVED</v>
      </c>
      <c r="T2825" s="1" t="str">
        <f>IFERROR(__xludf.DUMMYFUNCTION("""COMPUTED_VALUE"""),"CLOSED")</f>
        <v>CLOSED</v>
      </c>
      <c r="U2825" s="1" t="str">
        <f>IFERROR(__xludf.DUMMYFUNCTION("""COMPUTED_VALUE"""),"POSTED")</f>
        <v>POSTED</v>
      </c>
      <c r="V2825" s="1"/>
      <c r="W2825" s="1"/>
    </row>
    <row r="2826" customHeight="1" spans="1:23">
      <c r="A2826" s="3">
        <f>IFERROR(__xludf.DUMMYFUNCTION("""COMPUTED_VALUE"""),46255)</f>
        <v>46255</v>
      </c>
      <c r="B2826" s="1" t="str">
        <f>IFERROR(__xludf.DUMMYFUNCTION("""COMPUTED_VALUE"""),"ESCARCHA, MA ALMA  ESCOTO")</f>
        <v>ESCARCHA, MA ALMA  ESCOTO</v>
      </c>
      <c r="C2826" s="1" t="str">
        <f>IFERROR(__xludf.DUMMYFUNCTION("""COMPUTED_VALUE"""),"ORGANIC")</f>
        <v>ORGANIC</v>
      </c>
      <c r="D2826" s="1" t="str">
        <f>IFERROR(__xludf.DUMMYFUNCTION("""COMPUTED_VALUE"""),"REMOLLO LEA")</f>
        <v>REMOLLO LEA</v>
      </c>
      <c r="E2826" s="1" t="str">
        <f>IFERROR(__xludf.DUMMYFUNCTION("""COMPUTED_VALUE"""),"PLDT / H2H")</f>
        <v>PLDT / H2H</v>
      </c>
      <c r="F2826" s="1">
        <f>IFERROR(__xludf.DUMMYFUNCTION("""COMPUTED_VALUE"""),2311978760)</f>
        <v>2311978760</v>
      </c>
      <c r="G2826" s="1">
        <f>IFERROR(__xludf.DUMMYFUNCTION("""COMPUTED_VALUE"""),467413984004)</f>
        <v>467413984004</v>
      </c>
      <c r="H2826" s="1" t="str">
        <f>IFERROR(__xludf.DUMMYFUNCTION("""COMPUTED_VALUE"""),"JONALYN RAMOS CUNANAN")</f>
        <v>JONALYN RAMOS CUNANAN</v>
      </c>
      <c r="I2826" s="1">
        <f>IFERROR(__xludf.DUMMYFUNCTION("""COMPUTED_VALUE"""),9702072633)</f>
        <v>9702072633</v>
      </c>
      <c r="J2826" s="1"/>
      <c r="K2826" s="1" t="str">
        <f>IFERROR(__xludf.DUMMYFUNCTION("""COMPUTED_VALUE"""),"joecelyncunanan1@gmail.com")</f>
        <v>joecelyncunanan1@gmail.com</v>
      </c>
      <c r="L2826" s="1" t="str">
        <f>IFERROR(__xludf.DUMMYFUNCTION("""COMPUTED_VALUE"""),"289")</f>
        <v>289</v>
      </c>
      <c r="M2826" s="1" t="str">
        <f>IFERROR(__xludf.DUMMYFUNCTION("""COMPUTED_VALUE"""),"PIER ")</f>
        <v>PIER </v>
      </c>
      <c r="N2826" s="1"/>
      <c r="O2826" s="1" t="str">
        <f>IFERROR(__xludf.DUMMYFUNCTION("""COMPUTED_VALUE"""),"MARAHAN I")</f>
        <v>MARAHAN I</v>
      </c>
      <c r="P2826" s="1" t="str">
        <f>IFERROR(__xludf.DUMMYFUNCTION("""COMPUTED_VALUE"""),"ALFONSO")</f>
        <v>ALFONSO</v>
      </c>
      <c r="Q2826" s="1" t="str">
        <f>IFERROR(__xludf.DUMMYFUNCTION("""COMPUTED_VALUE"""),"CAVITE")</f>
        <v>CAVITE</v>
      </c>
      <c r="R2826" s="1" t="str">
        <f>IFERROR(__xludf.DUMMYFUNCTION("""COMPUTED_VALUE"""),"FIBR NETFLIX PLAN 1599")</f>
        <v>FIBR NETFLIX PLAN 1599</v>
      </c>
      <c r="S2826" s="1" t="str">
        <f>IFERROR(__xludf.DUMMYFUNCTION("""COMPUTED_VALUE"""),"APPROVED")</f>
        <v>APPROVED</v>
      </c>
      <c r="T2826" s="1" t="str">
        <f>IFERROR(__xludf.DUMMYFUNCTION("""COMPUTED_VALUE"""),"CANCELLED")</f>
        <v>CANCELLED</v>
      </c>
      <c r="U2826" s="1" t="str">
        <f>IFERROR(__xludf.DUMMYFUNCTION("""COMPUTED_VALUE"""),"NO PAYMENT")</f>
        <v>NO PAYMENT</v>
      </c>
      <c r="V2826" s="1"/>
      <c r="W2826" s="1"/>
    </row>
    <row r="2827" customHeight="1" spans="1:23">
      <c r="A2827" s="3">
        <f>IFERROR(__xludf.DUMMYFUNCTION("""COMPUTED_VALUE"""),46255)</f>
        <v>46255</v>
      </c>
      <c r="B2827" s="1" t="str">
        <f>IFERROR(__xludf.DUMMYFUNCTION("""COMPUTED_VALUE"""),"DENACO, RODNEY")</f>
        <v>DENACO, RODNEY</v>
      </c>
      <c r="C2827" s="1" t="str">
        <f>IFERROR(__xludf.DUMMYFUNCTION("""COMPUTED_VALUE"""),"ORGANIC")</f>
        <v>ORGANIC</v>
      </c>
      <c r="D2827" s="1" t="str">
        <f>IFERROR(__xludf.DUMMYFUNCTION("""COMPUTED_VALUE"""),"REMOLLO LEA")</f>
        <v>REMOLLO LEA</v>
      </c>
      <c r="E2827" s="1" t="str">
        <f>IFERROR(__xludf.DUMMYFUNCTION("""COMPUTED_VALUE"""),"PLDT / H2H")</f>
        <v>PLDT / H2H</v>
      </c>
      <c r="F2827" s="1">
        <f>IFERROR(__xludf.DUMMYFUNCTION("""COMPUTED_VALUE"""),2311979946)</f>
        <v>2311979946</v>
      </c>
      <c r="G2827" s="1">
        <f>IFERROR(__xludf.DUMMYFUNCTION("""COMPUTED_VALUE"""),467415245004)</f>
        <v>467415245004</v>
      </c>
      <c r="H2827" s="1" t="str">
        <f>IFERROR(__xludf.DUMMYFUNCTION("""COMPUTED_VALUE"""),"ERIKA ARAGON VALLE")</f>
        <v>ERIKA ARAGON VALLE</v>
      </c>
      <c r="I2827" s="1">
        <f>IFERROR(__xludf.DUMMYFUNCTION("""COMPUTED_VALUE"""),9850570177)</f>
        <v>9850570177</v>
      </c>
      <c r="J2827" s="1">
        <f>IFERROR(__xludf.DUMMYFUNCTION("""COMPUTED_VALUE"""),9367695889)</f>
        <v>9367695889</v>
      </c>
      <c r="K2827" s="1" t="str">
        <f>IFERROR(__xludf.DUMMYFUNCTION("""COMPUTED_VALUE"""),"erikavalle486@gmail.com")</f>
        <v>erikavalle486@gmail.com</v>
      </c>
      <c r="L2827" s="1" t="str">
        <f>IFERROR(__xludf.DUMMYFUNCTION("""COMPUTED_VALUE"""),"156")</f>
        <v>156</v>
      </c>
      <c r="M2827" s="1" t="str">
        <f>IFERROR(__xludf.DUMMYFUNCTION("""COMPUTED_VALUE"""),"MAYSILI")</f>
        <v>MAYSILI</v>
      </c>
      <c r="N2827" s="1"/>
      <c r="O2827" s="1" t="str">
        <f>IFERROR(__xludf.DUMMYFUNCTION("""COMPUTED_VALUE"""),"ASIS III")</f>
        <v>ASIS III</v>
      </c>
      <c r="P2827" s="1" t="str">
        <f>IFERROR(__xludf.DUMMYFUNCTION("""COMPUTED_VALUE"""),"MENDEZ")</f>
        <v>MENDEZ</v>
      </c>
      <c r="Q2827" s="1" t="str">
        <f>IFERROR(__xludf.DUMMYFUNCTION("""COMPUTED_VALUE"""),"CAVITE")</f>
        <v>CAVITE</v>
      </c>
      <c r="R2827" s="1" t="str">
        <f>IFERROR(__xludf.DUMMYFUNCTION("""COMPUTED_VALUE"""),"FIBR PLAN 1299")</f>
        <v>FIBR PLAN 1299</v>
      </c>
      <c r="S2827" s="1" t="str">
        <f>IFERROR(__xludf.DUMMYFUNCTION("""COMPUTED_VALUE"""),"APPROVED")</f>
        <v>APPROVED</v>
      </c>
      <c r="T2827" s="1" t="str">
        <f>IFERROR(__xludf.DUMMYFUNCTION("""COMPUTED_VALUE"""),"CANCELLED")</f>
        <v>CANCELLED</v>
      </c>
      <c r="U2827" s="1" t="str">
        <f>IFERROR(__xludf.DUMMYFUNCTION("""COMPUTED_VALUE"""),"NO PAYMENT")</f>
        <v>NO PAYMENT</v>
      </c>
      <c r="V2827" s="1"/>
      <c r="W2827" s="1"/>
    </row>
    <row r="2828" customHeight="1" spans="1:23">
      <c r="A2828" s="3">
        <f>IFERROR(__xludf.DUMMYFUNCTION("""COMPUTED_VALUE"""),46255)</f>
        <v>46255</v>
      </c>
      <c r="B2828" s="1" t="str">
        <f>IFERROR(__xludf.DUMMYFUNCTION("""COMPUTED_VALUE"""),"MANDUCDOC, MARIANE")</f>
        <v>MANDUCDOC, MARIANE</v>
      </c>
      <c r="C2828" s="1" t="str">
        <f>IFERROR(__xludf.DUMMYFUNCTION("""COMPUTED_VALUE"""),"ORGANIC")</f>
        <v>ORGANIC</v>
      </c>
      <c r="D2828" s="1" t="str">
        <f>IFERROR(__xludf.DUMMYFUNCTION("""COMPUTED_VALUE"""),"REMOLLO LEA")</f>
        <v>REMOLLO LEA</v>
      </c>
      <c r="E2828" s="1" t="str">
        <f>IFERROR(__xludf.DUMMYFUNCTION("""COMPUTED_VALUE"""),"PLDT / H2H")</f>
        <v>PLDT / H2H</v>
      </c>
      <c r="F2828" s="1">
        <f>IFERROR(__xludf.DUMMYFUNCTION("""COMPUTED_VALUE"""),2311980692)</f>
        <v>2311980692</v>
      </c>
      <c r="G2828" s="1">
        <f>IFERROR(__xludf.DUMMYFUNCTION("""COMPUTED_VALUE"""),467492162004)</f>
        <v>467492162004</v>
      </c>
      <c r="H2828" s="1" t="str">
        <f>IFERROR(__xludf.DUMMYFUNCTION("""COMPUTED_VALUE"""),"KAEDE CRIZELLE MABUTOL MANZANO")</f>
        <v>KAEDE CRIZELLE MABUTOL MANZANO</v>
      </c>
      <c r="I2828" s="1">
        <f>IFERROR(__xludf.DUMMYFUNCTION("""COMPUTED_VALUE"""),9608722795)</f>
        <v>9608722795</v>
      </c>
      <c r="J2828" s="1"/>
      <c r="K2828" s="1" t="str">
        <f>IFERROR(__xludf.DUMMYFUNCTION("""COMPUTED_VALUE"""),"kaedecrizellemanazano@gmail.com")</f>
        <v>kaedecrizellemanazano@gmail.com</v>
      </c>
      <c r="L2828" s="1" t="str">
        <f>IFERROR(__xludf.DUMMYFUNCTION("""COMPUTED_VALUE"""),"BLK 18 LOT 11")</f>
        <v>BLK 18 LOT 11</v>
      </c>
      <c r="M2828" s="1" t="str">
        <f>IFERROR(__xludf.DUMMYFUNCTION("""COMPUTED_VALUE"""),"YAKAL")</f>
        <v>YAKAL</v>
      </c>
      <c r="N2828" s="1"/>
      <c r="O2828" s="1" t="str">
        <f>IFERROR(__xludf.DUMMYFUNCTION("""COMPUTED_VALUE"""),"YAKAL")</f>
        <v>YAKAL</v>
      </c>
      <c r="P2828" s="1" t="str">
        <f>IFERROR(__xludf.DUMMYFUNCTION("""COMPUTED_VALUE"""),"SILANG")</f>
        <v>SILANG</v>
      </c>
      <c r="Q2828" s="1" t="str">
        <f>IFERROR(__xludf.DUMMYFUNCTION("""COMPUTED_VALUE"""),"CAVITE")</f>
        <v>CAVITE</v>
      </c>
      <c r="R2828" s="1" t="str">
        <f>IFERROR(__xludf.DUMMYFUNCTION("""COMPUTED_VALUE"""),"FIBR PLAN 1299")</f>
        <v>FIBR PLAN 1299</v>
      </c>
      <c r="S2828" s="1" t="str">
        <f>IFERROR(__xludf.DUMMYFUNCTION("""COMPUTED_VALUE"""),"APPROVED")</f>
        <v>APPROVED</v>
      </c>
      <c r="T2828" s="1" t="str">
        <f>IFERROR(__xludf.DUMMYFUNCTION("""COMPUTED_VALUE"""),"CLOSED")</f>
        <v>CLOSED</v>
      </c>
      <c r="U2828" s="1" t="str">
        <f>IFERROR(__xludf.DUMMYFUNCTION("""COMPUTED_VALUE"""),"POSTED")</f>
        <v>POSTED</v>
      </c>
      <c r="V2828" s="1"/>
      <c r="W2828" s="1"/>
    </row>
    <row r="2829" customHeight="1" spans="1:23">
      <c r="A2829" s="3">
        <f>IFERROR(__xludf.DUMMYFUNCTION("""COMPUTED_VALUE"""),46255)</f>
        <v>46255</v>
      </c>
      <c r="B2829" s="1" t="str">
        <f>IFERROR(__xludf.DUMMYFUNCTION("""COMPUTED_VALUE"""),"TAMAYO, MARY ROSE")</f>
        <v>TAMAYO, MARY ROSE</v>
      </c>
      <c r="C2829" s="1" t="str">
        <f>IFERROR(__xludf.DUMMYFUNCTION("""COMPUTED_VALUE"""),"ORGANIC")</f>
        <v>ORGANIC</v>
      </c>
      <c r="D2829" s="1" t="str">
        <f>IFERROR(__xludf.DUMMYFUNCTION("""COMPUTED_VALUE"""),"REMOLLO LEA")</f>
        <v>REMOLLO LEA</v>
      </c>
      <c r="E2829" s="1" t="str">
        <f>IFERROR(__xludf.DUMMYFUNCTION("""COMPUTED_VALUE"""),"PLDT / H2H")</f>
        <v>PLDT / H2H</v>
      </c>
      <c r="F2829" s="1">
        <f>IFERROR(__xludf.DUMMYFUNCTION("""COMPUTED_VALUE"""),2311993550)</f>
        <v>2311993550</v>
      </c>
      <c r="G2829" s="1">
        <f>IFERROR(__xludf.DUMMYFUNCTION("""COMPUTED_VALUE"""),467514206004)</f>
        <v>467514206004</v>
      </c>
      <c r="H2829" s="1" t="str">
        <f>IFERROR(__xludf.DUMMYFUNCTION("""COMPUTED_VALUE"""),"XENNA LLANOS ROSALES")</f>
        <v>XENNA LLANOS ROSALES</v>
      </c>
      <c r="I2829" s="1">
        <f>IFERROR(__xludf.DUMMYFUNCTION("""COMPUTED_VALUE"""),9063181661)</f>
        <v>9063181661</v>
      </c>
      <c r="J2829" s="1"/>
      <c r="K2829" s="1" t="str">
        <f>IFERROR(__xludf.DUMMYFUNCTION("""COMPUTED_VALUE"""),"xenarosales010@gmail.com")</f>
        <v>xenarosales010@gmail.com</v>
      </c>
      <c r="L2829" s="1" t="str">
        <f>IFERROR(__xludf.DUMMYFUNCTION("""COMPUTED_VALUE"""),"BLK 55 LOT 11")</f>
        <v>BLK 55 LOT 11</v>
      </c>
      <c r="M2829" s="1" t="str">
        <f>IFERROR(__xludf.DUMMYFUNCTION("""COMPUTED_VALUE"""),"PHASE 5")</f>
        <v>PHASE 5</v>
      </c>
      <c r="N2829" s="1"/>
      <c r="O2829" s="1" t="str">
        <f>IFERROR(__xludf.DUMMYFUNCTION("""COMPUTED_VALUE"""),"NARRA III")</f>
        <v>NARRA III</v>
      </c>
      <c r="P2829" s="1" t="str">
        <f>IFERROR(__xludf.DUMMYFUNCTION("""COMPUTED_VALUE"""),"SILANG")</f>
        <v>SILANG</v>
      </c>
      <c r="Q2829" s="1" t="str">
        <f>IFERROR(__xludf.DUMMYFUNCTION("""COMPUTED_VALUE"""),"CAVITE")</f>
        <v>CAVITE</v>
      </c>
      <c r="R2829" s="1" t="str">
        <f>IFERROR(__xludf.DUMMYFUNCTION("""COMPUTED_VALUE"""),"FIBR UNLI ALL PLAN 999")</f>
        <v>FIBR UNLI ALL PLAN 999</v>
      </c>
      <c r="S2829" s="1" t="str">
        <f>IFERROR(__xludf.DUMMYFUNCTION("""COMPUTED_VALUE"""),"APPROVED")</f>
        <v>APPROVED</v>
      </c>
      <c r="T2829" s="1" t="str">
        <f>IFERROR(__xludf.DUMMYFUNCTION("""COMPUTED_VALUE"""),"CLOSED")</f>
        <v>CLOSED</v>
      </c>
      <c r="U2829" s="1" t="str">
        <f>IFERROR(__xludf.DUMMYFUNCTION("""COMPUTED_VALUE"""),"POSTED")</f>
        <v>POSTED</v>
      </c>
      <c r="V2829" s="1"/>
      <c r="W2829" s="1"/>
    </row>
    <row r="2830" customHeight="1" spans="1:23">
      <c r="A2830" s="3">
        <f>IFERROR(__xludf.DUMMYFUNCTION("""COMPUTED_VALUE"""),46255)</f>
        <v>46255</v>
      </c>
      <c r="B2830" s="1" t="str">
        <f>IFERROR(__xludf.DUMMYFUNCTION("""COMPUTED_VALUE"""),"ALINGARO, CINDY")</f>
        <v>ALINGARO, CINDY</v>
      </c>
      <c r="C2830" s="1" t="str">
        <f>IFERROR(__xludf.DUMMYFUNCTION("""COMPUTED_VALUE"""),"ORGANIC")</f>
        <v>ORGANIC</v>
      </c>
      <c r="D2830" s="1" t="str">
        <f>IFERROR(__xludf.DUMMYFUNCTION("""COMPUTED_VALUE"""),"REMOLLO LEA")</f>
        <v>REMOLLO LEA</v>
      </c>
      <c r="E2830" s="1" t="str">
        <f>IFERROR(__xludf.DUMMYFUNCTION("""COMPUTED_VALUE"""),"PLDT / H2H")</f>
        <v>PLDT / H2H</v>
      </c>
      <c r="F2830" s="1">
        <f>IFERROR(__xludf.DUMMYFUNCTION("""COMPUTED_VALUE"""),2311981163)</f>
        <v>2311981163</v>
      </c>
      <c r="G2830" s="1">
        <f>IFERROR(__xludf.DUMMYFUNCTION("""COMPUTED_VALUE"""),467492075004)</f>
        <v>467492075004</v>
      </c>
      <c r="H2830" s="1" t="str">
        <f>IFERROR(__xludf.DUMMYFUNCTION("""COMPUTED_VALUE"""),"RENALYN MAUNA LAGARTO")</f>
        <v>RENALYN MAUNA LAGARTO</v>
      </c>
      <c r="I2830" s="1">
        <f>IFERROR(__xludf.DUMMYFUNCTION("""COMPUTED_VALUE"""),9917716883)</f>
        <v>9917716883</v>
      </c>
      <c r="J2830" s="1">
        <f>IFERROR(__xludf.DUMMYFUNCTION("""COMPUTED_VALUE"""),9917716882)</f>
        <v>9917716882</v>
      </c>
      <c r="K2830" s="1" t="str">
        <f>IFERROR(__xludf.DUMMYFUNCTION("""COMPUTED_VALUE"""),"nylanerbenarez@gmail.com")</f>
        <v>nylanerbenarez@gmail.com</v>
      </c>
      <c r="L2830" s="1" t="str">
        <f>IFERROR(__xludf.DUMMYFUNCTION("""COMPUTED_VALUE"""),"BLK 28 LOT 18")</f>
        <v>BLK 28 LOT 18</v>
      </c>
      <c r="M2830" s="1" t="str">
        <f>IFERROR(__xludf.DUMMYFUNCTION("""COMPUTED_VALUE"""),"CREEK SIDE")</f>
        <v>CREEK SIDE</v>
      </c>
      <c r="N2830" s="1"/>
      <c r="O2830" s="1" t="str">
        <f>IFERROR(__xludf.DUMMYFUNCTION("""COMPUTED_VALUE"""),"BERNARDO PULIDO (AREA H)")</f>
        <v>BERNARDO PULIDO (AREA H)</v>
      </c>
      <c r="P2830" s="1" t="str">
        <f>IFERROR(__xludf.DUMMYFUNCTION("""COMPUTED_VALUE"""),"GEN MARIANO ALVAREZ")</f>
        <v>GEN MARIANO ALVAREZ</v>
      </c>
      <c r="Q2830" s="1" t="str">
        <f>IFERROR(__xludf.DUMMYFUNCTION("""COMPUTED_VALUE"""),"CAVITE")</f>
        <v>CAVITE</v>
      </c>
      <c r="R2830" s="1" t="str">
        <f>IFERROR(__xludf.DUMMYFUNCTION("""COMPUTED_VALUE"""),"FIBR UNLI ALL PLAN 999")</f>
        <v>FIBR UNLI ALL PLAN 999</v>
      </c>
      <c r="S2830" s="1" t="str">
        <f>IFERROR(__xludf.DUMMYFUNCTION("""COMPUTED_VALUE"""),"APPROVED")</f>
        <v>APPROVED</v>
      </c>
      <c r="T2830" s="1" t="str">
        <f>IFERROR(__xludf.DUMMYFUNCTION("""COMPUTED_VALUE"""),"CLOSED")</f>
        <v>CLOSED</v>
      </c>
      <c r="U2830" s="1" t="str">
        <f>IFERROR(__xludf.DUMMYFUNCTION("""COMPUTED_VALUE"""),"POSTED")</f>
        <v>POSTED</v>
      </c>
      <c r="V2830" s="1"/>
      <c r="W2830" s="1"/>
    </row>
    <row r="2831" customHeight="1" spans="1:23">
      <c r="A2831" s="3">
        <f>IFERROR(__xludf.DUMMYFUNCTION("""COMPUTED_VALUE"""),46256)</f>
        <v>46256</v>
      </c>
      <c r="B2831" s="1" t="str">
        <f>IFERROR(__xludf.DUMMYFUNCTION("""COMPUTED_VALUE"""),"CADERAO, RONALD")</f>
        <v>CADERAO, RONALD</v>
      </c>
      <c r="C2831" s="1" t="str">
        <f>IFERROR(__xludf.DUMMYFUNCTION("""COMPUTED_VALUE"""),"ORGANIC")</f>
        <v>ORGANIC</v>
      </c>
      <c r="D2831" s="1" t="str">
        <f>IFERROR(__xludf.DUMMYFUNCTION("""COMPUTED_VALUE"""),"REMOLLO LEA")</f>
        <v>REMOLLO LEA</v>
      </c>
      <c r="E2831" s="1" t="str">
        <f>IFERROR(__xludf.DUMMYFUNCTION("""COMPUTED_VALUE"""),"PLDT / H2H")</f>
        <v>PLDT / H2H</v>
      </c>
      <c r="F2831" s="1"/>
      <c r="G2831" s="1"/>
      <c r="H2831" s="1" t="str">
        <f>IFERROR(__xludf.DUMMYFUNCTION("""COMPUTED_VALUE"""),"KAI MAJAL TEANIO DIMAS")</f>
        <v>KAI MAJAL TEANIO DIMAS</v>
      </c>
      <c r="I2831" s="1">
        <f>IFERROR(__xludf.DUMMYFUNCTION("""COMPUTED_VALUE"""),9553824121)</f>
        <v>9553824121</v>
      </c>
      <c r="J2831" s="1">
        <f>IFERROR(__xludf.DUMMYFUNCTION("""COMPUTED_VALUE"""),9650642637)</f>
        <v>9650642637</v>
      </c>
      <c r="K2831" s="1" t="str">
        <f>IFERROR(__xludf.DUMMYFUNCTION("""COMPUTED_VALUE"""),"kaimajald@gmail.com")</f>
        <v>kaimajald@gmail.com</v>
      </c>
      <c r="L2831" s="1" t="str">
        <f>IFERROR(__xludf.DUMMYFUNCTION("""COMPUTED_VALUE"""),"122")</f>
        <v>122</v>
      </c>
      <c r="M2831" s="1" t="str">
        <f>IFERROR(__xludf.DUMMYFUNCTION("""COMPUTED_VALUE"""),"PUROK 6")</f>
        <v>PUROK 6</v>
      </c>
      <c r="N2831" s="1"/>
      <c r="O2831" s="1" t="str">
        <f>IFERROR(__xludf.DUMMYFUNCTION("""COMPUTED_VALUE"""),"ULAT")</f>
        <v>ULAT</v>
      </c>
      <c r="P2831" s="1" t="str">
        <f>IFERROR(__xludf.DUMMYFUNCTION("""COMPUTED_VALUE"""),"SILANG")</f>
        <v>SILANG</v>
      </c>
      <c r="Q2831" s="1" t="str">
        <f>IFERROR(__xludf.DUMMYFUNCTION("""COMPUTED_VALUE"""),"CAVITE")</f>
        <v>CAVITE</v>
      </c>
      <c r="R2831" s="1" t="str">
        <f>IFERROR(__xludf.DUMMYFUNCTION("""COMPUTED_VALUE"""),"RED PLAN 1000")</f>
        <v>RED PLAN 1000</v>
      </c>
      <c r="S2831" s="1" t="str">
        <f>IFERROR(__xludf.DUMMYFUNCTION("""COMPUTED_VALUE"""),"APPROVED")</f>
        <v>APPROVED</v>
      </c>
      <c r="T2831" s="1" t="str">
        <f>IFERROR(__xludf.DUMMYFUNCTION("""COMPUTED_VALUE"""),"#N/A")</f>
        <v>#N/A</v>
      </c>
      <c r="U2831" s="1"/>
      <c r="V2831" s="1"/>
      <c r="W2831" s="1"/>
    </row>
    <row r="2832" customHeight="1" spans="1:23">
      <c r="A2832" s="3">
        <f>IFERROR(__xludf.DUMMYFUNCTION("""COMPUTED_VALUE"""),46256)</f>
        <v>46256</v>
      </c>
      <c r="B2832" s="1" t="str">
        <f>IFERROR(__xludf.DUMMYFUNCTION("""COMPUTED_VALUE"""),"MALIWAT MARK ELVIN")</f>
        <v>MALIWAT MARK ELVIN</v>
      </c>
      <c r="C2832" s="1" t="str">
        <f>IFERROR(__xludf.DUMMYFUNCTION("""COMPUTED_VALUE"""),"FLA")</f>
        <v>FLA</v>
      </c>
      <c r="D2832" s="1" t="str">
        <f>IFERROR(__xludf.DUMMYFUNCTION("""COMPUTED_VALUE"""),"JERIC NAVARRO")</f>
        <v>JERIC NAVARRO</v>
      </c>
      <c r="E2832" s="1" t="str">
        <f>IFERROR(__xludf.DUMMYFUNCTION("""COMPUTED_VALUE"""),"PLDT / ONLINE")</f>
        <v>PLDT / ONLINE</v>
      </c>
      <c r="F2832" s="1">
        <f>IFERROR(__xludf.DUMMYFUNCTION("""COMPUTED_VALUE"""),2311994859)</f>
        <v>2311994859</v>
      </c>
      <c r="G2832" s="1">
        <f>IFERROR(__xludf.DUMMYFUNCTION("""COMPUTED_VALUE"""),467506433004)</f>
        <v>467506433004</v>
      </c>
      <c r="H2832" s="1" t="str">
        <f>IFERROR(__xludf.DUMMYFUNCTION("""COMPUTED_VALUE"""),"CHRISTOPHER ESTOESTA ABLAN")</f>
        <v>CHRISTOPHER ESTOESTA ABLAN</v>
      </c>
      <c r="I2832" s="1">
        <f>IFERROR(__xludf.DUMMYFUNCTION("""COMPUTED_VALUE"""),9163244144)</f>
        <v>9163244144</v>
      </c>
      <c r="J2832" s="1">
        <f>IFERROR(__xludf.DUMMYFUNCTION("""COMPUTED_VALUE"""),9071158796)</f>
        <v>9071158796</v>
      </c>
      <c r="K2832" s="1" t="str">
        <f>IFERROR(__xludf.DUMMYFUNCTION("""COMPUTED_VALUE"""),"chkrishz11hkosh@yahoo.com")</f>
        <v>chkrishz11hkosh@yahoo.com</v>
      </c>
      <c r="L2832" s="1" t="str">
        <f>IFERROR(__xludf.DUMMYFUNCTION("""COMPUTED_VALUE"""),"BLK 16 LOT 4")</f>
        <v>BLK 16 LOT 4</v>
      </c>
      <c r="M2832" s="1" t="str">
        <f>IFERROR(__xludf.DUMMYFUNCTION("""COMPUTED_VALUE"""),"PHASE 5")</f>
        <v>PHASE 5</v>
      </c>
      <c r="N2832" s="1" t="str">
        <f>IFERROR(__xludf.DUMMYFUNCTION("""COMPUTED_VALUE"""),"CIUDAD")</f>
        <v>CIUDAD</v>
      </c>
      <c r="O2832" s="1" t="str">
        <f>IFERROR(__xludf.DUMMYFUNCTION("""COMPUTED_VALUE"""),"SABANG")</f>
        <v>SABANG</v>
      </c>
      <c r="P2832" s="1" t="str">
        <f>IFERROR(__xludf.DUMMYFUNCTION("""COMPUTED_VALUE"""),"NAIC")</f>
        <v>NAIC</v>
      </c>
      <c r="Q2832" s="1" t="str">
        <f>IFERROR(__xludf.DUMMYFUNCTION("""COMPUTED_VALUE"""),"CAVITE")</f>
        <v>CAVITE</v>
      </c>
      <c r="R2832" s="1" t="str">
        <f>IFERROR(__xludf.DUMMYFUNCTION("""COMPUTED_VALUE"""),"FIBR PLAN 1299")</f>
        <v>FIBR PLAN 1299</v>
      </c>
      <c r="S2832" s="1" t="str">
        <f>IFERROR(__xludf.DUMMYFUNCTION("""COMPUTED_VALUE"""),"APPROVED")</f>
        <v>APPROVED</v>
      </c>
      <c r="T2832" s="1" t="str">
        <f>IFERROR(__xludf.DUMMYFUNCTION("""COMPUTED_VALUE"""),"CANCELLED")</f>
        <v>CANCELLED</v>
      </c>
      <c r="U2832" s="1"/>
      <c r="V2832" s="1"/>
      <c r="W2832" s="1"/>
    </row>
    <row r="2833" customHeight="1" spans="1:23">
      <c r="A2833" s="3">
        <f>IFERROR(__xludf.DUMMYFUNCTION("""COMPUTED_VALUE"""),46256)</f>
        <v>46256</v>
      </c>
      <c r="B2833" s="1" t="str">
        <f>IFERROR(__xludf.DUMMYFUNCTION("""COMPUTED_VALUE"""),"MORADOS, MARVIN")</f>
        <v>MORADOS, MARVIN</v>
      </c>
      <c r="C2833" s="1" t="str">
        <f>IFERROR(__xludf.DUMMYFUNCTION("""COMPUTED_VALUE"""),"ORGANIC")</f>
        <v>ORGANIC</v>
      </c>
      <c r="D2833" s="1" t="str">
        <f>IFERROR(__xludf.DUMMYFUNCTION("""COMPUTED_VALUE"""),"MICHALE GARCIA")</f>
        <v>MICHALE GARCIA</v>
      </c>
      <c r="E2833" s="1" t="str">
        <f>IFERROR(__xludf.DUMMYFUNCTION("""COMPUTED_VALUE"""),"PLDT / ONLINE")</f>
        <v>PLDT / ONLINE</v>
      </c>
      <c r="F2833" s="1">
        <f>IFERROR(__xludf.DUMMYFUNCTION("""COMPUTED_VALUE"""),2311994854)</f>
        <v>2311994854</v>
      </c>
      <c r="G2833" s="1">
        <f>IFERROR(__xludf.DUMMYFUNCTION("""COMPUTED_VALUE"""),467507884004)</f>
        <v>467507884004</v>
      </c>
      <c r="H2833" s="1" t="str">
        <f>IFERROR(__xludf.DUMMYFUNCTION("""COMPUTED_VALUE"""),"FRANCESCA DONITA SIDAMON PEREZ")</f>
        <v>FRANCESCA DONITA SIDAMON PEREZ</v>
      </c>
      <c r="I2833" s="1">
        <f>IFERROR(__xludf.DUMMYFUNCTION("""COMPUTED_VALUE"""),9655093694)</f>
        <v>9655093694</v>
      </c>
      <c r="J2833" s="1">
        <f>IFERROR(__xludf.DUMMYFUNCTION("""COMPUTED_VALUE"""),965546952)</f>
        <v>965546952</v>
      </c>
      <c r="K2833" s="1" t="str">
        <f>IFERROR(__xludf.DUMMYFUNCTION("""COMPUTED_VALUE"""),"francesca7306@gmail.com")</f>
        <v>francesca7306@gmail.com</v>
      </c>
      <c r="L2833" s="1" t="str">
        <f>IFERROR(__xludf.DUMMYFUNCTION("""COMPUTED_VALUE"""),"235")</f>
        <v>235</v>
      </c>
      <c r="M2833" s="1" t="str">
        <f>IFERROR(__xludf.DUMMYFUNCTION("""COMPUTED_VALUE"""),"PUNTA 2")</f>
        <v>PUNTA 2</v>
      </c>
      <c r="N2833" s="1"/>
      <c r="O2833" s="1" t="str">
        <f>IFERROR(__xludf.DUMMYFUNCTION("""COMPUTED_VALUE"""),"PUNTA II")</f>
        <v>PUNTA II</v>
      </c>
      <c r="P2833" s="1" t="str">
        <f>IFERROR(__xludf.DUMMYFUNCTION("""COMPUTED_VALUE"""),"TANZA")</f>
        <v>TANZA</v>
      </c>
      <c r="Q2833" s="1" t="str">
        <f>IFERROR(__xludf.DUMMYFUNCTION("""COMPUTED_VALUE"""),"CAVITE")</f>
        <v>CAVITE</v>
      </c>
      <c r="R2833" s="1" t="str">
        <f>IFERROR(__xludf.DUMMYFUNCTION("""COMPUTED_VALUE"""),"FIBR PLAN 1299")</f>
        <v>FIBR PLAN 1299</v>
      </c>
      <c r="S2833" s="1" t="str">
        <f>IFERROR(__xludf.DUMMYFUNCTION("""COMPUTED_VALUE"""),"APPROVED")</f>
        <v>APPROVED</v>
      </c>
      <c r="T2833" s="1" t="str">
        <f>IFERROR(__xludf.DUMMYFUNCTION("""COMPUTED_VALUE"""),"CLOSED")</f>
        <v>CLOSED</v>
      </c>
      <c r="U2833" s="1" t="str">
        <f>IFERROR(__xludf.DUMMYFUNCTION("""COMPUTED_VALUE"""),"POSTED")</f>
        <v>POSTED</v>
      </c>
      <c r="V2833" s="1"/>
      <c r="W2833" s="1"/>
    </row>
    <row r="2834" customHeight="1" spans="1:23">
      <c r="A2834" s="3">
        <f>IFERROR(__xludf.DUMMYFUNCTION("""COMPUTED_VALUE"""),46256)</f>
        <v>46256</v>
      </c>
      <c r="B2834" s="1" t="str">
        <f>IFERROR(__xludf.DUMMYFUNCTION("""COMPUTED_VALUE"""),"IVNO, RAZZEL")</f>
        <v>IVNO, RAZZEL</v>
      </c>
      <c r="C2834" s="1" t="str">
        <f>IFERROR(__xludf.DUMMYFUNCTION("""COMPUTED_VALUE"""),"ORGANIC")</f>
        <v>ORGANIC</v>
      </c>
      <c r="D2834" s="1" t="str">
        <f>IFERROR(__xludf.DUMMYFUNCTION("""COMPUTED_VALUE"""),"REMOLLO LEA")</f>
        <v>REMOLLO LEA</v>
      </c>
      <c r="E2834" s="1" t="str">
        <f>IFERROR(__xludf.DUMMYFUNCTION("""COMPUTED_VALUE"""),"PLDT / H2H")</f>
        <v>PLDT / H2H</v>
      </c>
      <c r="F2834" s="1">
        <f>IFERROR(__xludf.DUMMYFUNCTION("""COMPUTED_VALUE"""),2311996514)</f>
        <v>2311996514</v>
      </c>
      <c r="G2834" s="1">
        <f>IFERROR(__xludf.DUMMYFUNCTION("""COMPUTED_VALUE"""),467648934004)</f>
        <v>467648934004</v>
      </c>
      <c r="H2834" s="1" t="str">
        <f>IFERROR(__xludf.DUMMYFUNCTION("""COMPUTED_VALUE"""),"ANNA MARIA GLO LOREN SMITH")</f>
        <v>ANNA MARIA GLO LOREN SMITH</v>
      </c>
      <c r="I2834" s="1">
        <f>IFERROR(__xludf.DUMMYFUNCTION("""COMPUTED_VALUE"""),9278918060)</f>
        <v>9278918060</v>
      </c>
      <c r="J2834" s="1">
        <f>IFERROR(__xludf.DUMMYFUNCTION("""COMPUTED_VALUE"""),9563578819)</f>
        <v>9563578819</v>
      </c>
      <c r="K2834" s="1" t="str">
        <f>IFERROR(__xludf.DUMMYFUNCTION("""COMPUTED_VALUE"""),"annamariasmith@gmail.com")</f>
        <v>annamariasmith@gmail.com</v>
      </c>
      <c r="L2834" s="1" t="str">
        <f>IFERROR(__xludf.DUMMYFUNCTION("""COMPUTED_VALUE"""),"834")</f>
        <v>834</v>
      </c>
      <c r="M2834" s="1" t="str">
        <f>IFERROR(__xludf.DUMMYFUNCTION("""COMPUTED_VALUE"""),"PUROK 3")</f>
        <v>PUROK 3</v>
      </c>
      <c r="N2834" s="1"/>
      <c r="O2834" s="1" t="str">
        <f>IFERROR(__xludf.DUMMYFUNCTION("""COMPUTED_VALUE"""),"TAPIA")</f>
        <v>TAPIA</v>
      </c>
      <c r="P2834" s="1" t="str">
        <f>IFERROR(__xludf.DUMMYFUNCTION("""COMPUTED_VALUE"""),"GENERAL TRIAS")</f>
        <v>GENERAL TRIAS</v>
      </c>
      <c r="Q2834" s="1" t="str">
        <f>IFERROR(__xludf.DUMMYFUNCTION("""COMPUTED_VALUE"""),"CAVITE")</f>
        <v>CAVITE</v>
      </c>
      <c r="R2834" s="1" t="str">
        <f>IFERROR(__xludf.DUMMYFUNCTION("""COMPUTED_VALUE"""),"FIBR UNLI ALL PLAN 1499")</f>
        <v>FIBR UNLI ALL PLAN 1499</v>
      </c>
      <c r="S2834" s="1" t="str">
        <f>IFERROR(__xludf.DUMMYFUNCTION("""COMPUTED_VALUE"""),"APPROVED")</f>
        <v>APPROVED</v>
      </c>
      <c r="T2834" s="1" t="str">
        <f>IFERROR(__xludf.DUMMYFUNCTION("""COMPUTED_VALUE"""),"CLOSED")</f>
        <v>CLOSED</v>
      </c>
      <c r="U2834" s="1" t="str">
        <f>IFERROR(__xludf.DUMMYFUNCTION("""COMPUTED_VALUE"""),"POSTED")</f>
        <v>POSTED</v>
      </c>
      <c r="V2834" s="1"/>
      <c r="W2834" s="1"/>
    </row>
    <row r="2835" customHeight="1" spans="1:23">
      <c r="A2835" s="3">
        <f>IFERROR(__xludf.DUMMYFUNCTION("""COMPUTED_VALUE"""),46256)</f>
        <v>46256</v>
      </c>
      <c r="B2835" s="1" t="str">
        <f>IFERROR(__xludf.DUMMYFUNCTION("""COMPUTED_VALUE"""),"ESCARCHA, MA ALMA  ESCOTO")</f>
        <v>ESCARCHA, MA ALMA  ESCOTO</v>
      </c>
      <c r="C2835" s="1" t="str">
        <f>IFERROR(__xludf.DUMMYFUNCTION("""COMPUTED_VALUE"""),"ORGANIC")</f>
        <v>ORGANIC</v>
      </c>
      <c r="D2835" s="1" t="str">
        <f>IFERROR(__xludf.DUMMYFUNCTION("""COMPUTED_VALUE"""),"REMOLLO LEA")</f>
        <v>REMOLLO LEA</v>
      </c>
      <c r="E2835" s="1" t="str">
        <f>IFERROR(__xludf.DUMMYFUNCTION("""COMPUTED_VALUE"""),"PLDT / H2H")</f>
        <v>PLDT / H2H</v>
      </c>
      <c r="F2835" s="1">
        <f>IFERROR(__xludf.DUMMYFUNCTION("""COMPUTED_VALUE"""),2312000998)</f>
        <v>2312000998</v>
      </c>
      <c r="G2835" s="1">
        <f>IFERROR(__xludf.DUMMYFUNCTION("""COMPUTED_VALUE"""),467509106004)</f>
        <v>467509106004</v>
      </c>
      <c r="H2835" s="1" t="str">
        <f>IFERROR(__xludf.DUMMYFUNCTION("""COMPUTED_VALUE"""),"JAY CRUZ DISCHOSO")</f>
        <v>JAY CRUZ DISCHOSO</v>
      </c>
      <c r="I2835" s="1">
        <f>IFERROR(__xludf.DUMMYFUNCTION("""COMPUTED_VALUE"""),9058063364)</f>
        <v>9058063364</v>
      </c>
      <c r="J2835" s="1"/>
      <c r="K2835" s="1" t="str">
        <f>IFERROR(__xludf.DUMMYFUNCTION("""COMPUTED_VALUE"""),"jessagarcia032793@gmail.com")</f>
        <v>jessagarcia032793@gmail.com</v>
      </c>
      <c r="L2835" s="1" t="str">
        <f>IFERROR(__xludf.DUMMYFUNCTION("""COMPUTED_VALUE"""),"228")</f>
        <v>228</v>
      </c>
      <c r="M2835" s="1" t="str">
        <f>IFERROR(__xludf.DUMMYFUNCTION("""COMPUTED_VALUE"""),"PUROK 2")</f>
        <v>PUROK 2</v>
      </c>
      <c r="N2835" s="1"/>
      <c r="O2835" s="1" t="str">
        <f>IFERROR(__xludf.DUMMYFUNCTION("""COMPUTED_VALUE"""),"SANTOL")</f>
        <v>SANTOL</v>
      </c>
      <c r="P2835" s="1" t="str">
        <f>IFERROR(__xludf.DUMMYFUNCTION("""COMPUTED_VALUE"""),"SILANG")</f>
        <v>SILANG</v>
      </c>
      <c r="Q2835" s="1" t="str">
        <f>IFERROR(__xludf.DUMMYFUNCTION("""COMPUTED_VALUE"""),"CAVITE")</f>
        <v>CAVITE</v>
      </c>
      <c r="R2835" s="1" t="str">
        <f>IFERROR(__xludf.DUMMYFUNCTION("""COMPUTED_VALUE"""),"FIBR PLAN 1299")</f>
        <v>FIBR PLAN 1299</v>
      </c>
      <c r="S2835" s="1" t="str">
        <f>IFERROR(__xludf.DUMMYFUNCTION("""COMPUTED_VALUE"""),"APPROVED")</f>
        <v>APPROVED</v>
      </c>
      <c r="T2835" s="1" t="str">
        <f>IFERROR(__xludf.DUMMYFUNCTION("""COMPUTED_VALUE"""),"CLOSED")</f>
        <v>CLOSED</v>
      </c>
      <c r="U2835" s="1" t="str">
        <f>IFERROR(__xludf.DUMMYFUNCTION("""COMPUTED_VALUE"""),"POSTED")</f>
        <v>POSTED</v>
      </c>
      <c r="V2835" s="1"/>
      <c r="W2835" s="1"/>
    </row>
    <row r="2836" customHeight="1" spans="1:23">
      <c r="A2836" s="3">
        <f>IFERROR(__xludf.DUMMYFUNCTION("""COMPUTED_VALUE"""),46256)</f>
        <v>46256</v>
      </c>
      <c r="B2836" s="1" t="str">
        <f>IFERROR(__xludf.DUMMYFUNCTION("""COMPUTED_VALUE"""),"CADERAO, RONALD")</f>
        <v>CADERAO, RONALD</v>
      </c>
      <c r="C2836" s="1" t="str">
        <f>IFERROR(__xludf.DUMMYFUNCTION("""COMPUTED_VALUE"""),"ORGANIC")</f>
        <v>ORGANIC</v>
      </c>
      <c r="D2836" s="1" t="str">
        <f>IFERROR(__xludf.DUMMYFUNCTION("""COMPUTED_VALUE"""),"REMOLLO LEA")</f>
        <v>REMOLLO LEA</v>
      </c>
      <c r="E2836" s="1" t="str">
        <f>IFERROR(__xludf.DUMMYFUNCTION("""COMPUTED_VALUE"""),"PLDT BK EXPRESS")</f>
        <v>PLDT BK EXPRESS</v>
      </c>
      <c r="F2836" s="1">
        <f>IFERROR(__xludf.DUMMYFUNCTION("""COMPUTED_VALUE"""),2311997037)</f>
        <v>2311997037</v>
      </c>
      <c r="G2836" s="1">
        <f>IFERROR(__xludf.DUMMYFUNCTION("""COMPUTED_VALUE"""),467505803004)</f>
        <v>467505803004</v>
      </c>
      <c r="H2836" s="1" t="str">
        <f>IFERROR(__xludf.DUMMYFUNCTION("""COMPUTED_VALUE"""),"LECARTE OLARAN")</f>
        <v>LECARTE OLARAN</v>
      </c>
      <c r="I2836" s="1">
        <f>IFERROR(__xludf.DUMMYFUNCTION("""COMPUTED_VALUE"""),9812564987)</f>
        <v>9812564987</v>
      </c>
      <c r="J2836" s="1">
        <f>IFERROR(__xludf.DUMMYFUNCTION("""COMPUTED_VALUE"""),9453260783)</f>
        <v>9453260783</v>
      </c>
      <c r="K2836" s="1" t="str">
        <f>IFERROR(__xludf.DUMMYFUNCTION("""COMPUTED_VALUE"""),"olaranlecerte@gmail.com")</f>
        <v>olaranlecerte@gmail.com</v>
      </c>
      <c r="L2836" s="1" t="str">
        <f>IFERROR(__xludf.DUMMYFUNCTION("""COMPUTED_VALUE"""),"220")</f>
        <v>220</v>
      </c>
      <c r="M2836" s="1" t="str">
        <f>IFERROR(__xludf.DUMMYFUNCTION("""COMPUTED_VALUE"""),"PUROK 2")</f>
        <v>PUROK 2</v>
      </c>
      <c r="N2836" s="1"/>
      <c r="O2836" s="1" t="str">
        <f>IFERROR(__xludf.DUMMYFUNCTION("""COMPUTED_VALUE"""),"SANTOL")</f>
        <v>SANTOL</v>
      </c>
      <c r="P2836" s="1" t="str">
        <f>IFERROR(__xludf.DUMMYFUNCTION("""COMPUTED_VALUE"""),"SILANG")</f>
        <v>SILANG</v>
      </c>
      <c r="Q2836" s="1" t="str">
        <f>IFERROR(__xludf.DUMMYFUNCTION("""COMPUTED_VALUE"""),"CAVITE")</f>
        <v>CAVITE</v>
      </c>
      <c r="R2836" s="1" t="str">
        <f>IFERROR(__xludf.DUMMYFUNCTION("""COMPUTED_VALUE"""),"FIBR PLAN 1299")</f>
        <v>FIBR PLAN 1299</v>
      </c>
      <c r="S2836" s="1" t="str">
        <f>IFERROR(__xludf.DUMMYFUNCTION("""COMPUTED_VALUE"""),"APPROVED")</f>
        <v>APPROVED</v>
      </c>
      <c r="T2836" s="1" t="str">
        <f>IFERROR(__xludf.DUMMYFUNCTION("""COMPUTED_VALUE"""),"CLOSED")</f>
        <v>CLOSED</v>
      </c>
      <c r="U2836" s="1" t="str">
        <f>IFERROR(__xludf.DUMMYFUNCTION("""COMPUTED_VALUE"""),"POSTED")</f>
        <v>POSTED</v>
      </c>
      <c r="V2836" s="1"/>
      <c r="W2836" s="1"/>
    </row>
    <row r="2837" customHeight="1" spans="1:23">
      <c r="A2837" s="3">
        <f>IFERROR(__xludf.DUMMYFUNCTION("""COMPUTED_VALUE"""),46256)</f>
        <v>46256</v>
      </c>
      <c r="B2837" s="1" t="str">
        <f>IFERROR(__xludf.DUMMYFUNCTION("""COMPUTED_VALUE"""),"IVNO, RAZZEL")</f>
        <v>IVNO, RAZZEL</v>
      </c>
      <c r="C2837" s="1" t="str">
        <f>IFERROR(__xludf.DUMMYFUNCTION("""COMPUTED_VALUE"""),"ORGANIC")</f>
        <v>ORGANIC</v>
      </c>
      <c r="D2837" s="1" t="str">
        <f>IFERROR(__xludf.DUMMYFUNCTION("""COMPUTED_VALUE"""),"REMOLLO LEA")</f>
        <v>REMOLLO LEA</v>
      </c>
      <c r="E2837" s="1" t="str">
        <f>IFERROR(__xludf.DUMMYFUNCTION("""COMPUTED_VALUE"""),"PLDT BK EXPRESS")</f>
        <v>PLDT BK EXPRESS</v>
      </c>
      <c r="F2837" s="1">
        <f>IFERROR(__xludf.DUMMYFUNCTION("""COMPUTED_VALUE"""),2311999849)</f>
        <v>2311999849</v>
      </c>
      <c r="G2837" s="1">
        <f>IFERROR(__xludf.DUMMYFUNCTION("""COMPUTED_VALUE"""),467508912004)</f>
        <v>467508912004</v>
      </c>
      <c r="H2837" s="1" t="str">
        <f>IFERROR(__xludf.DUMMYFUNCTION("""COMPUTED_VALUE"""),"HONEY GRACE PITAO FLORES")</f>
        <v>HONEY GRACE PITAO FLORES</v>
      </c>
      <c r="I2837" s="1">
        <f>IFERROR(__xludf.DUMMYFUNCTION("""COMPUTED_VALUE"""),9240461502)</f>
        <v>9240461502</v>
      </c>
      <c r="J2837" s="1">
        <f>IFERROR(__xludf.DUMMYFUNCTION("""COMPUTED_VALUE"""),9206361593)</f>
        <v>9206361593</v>
      </c>
      <c r="K2837" s="1" t="str">
        <f>IFERROR(__xludf.DUMMYFUNCTION("""COMPUTED_VALUE"""),"tristanpuentenegra@gmail.com")</f>
        <v>tristanpuentenegra@gmail.com</v>
      </c>
      <c r="L2837" s="1" t="str">
        <f>IFERROR(__xludf.DUMMYFUNCTION("""COMPUTED_VALUE"""),"BLK 12 LOT 28")</f>
        <v>BLK 12 LOT 28</v>
      </c>
      <c r="M2837" s="1" t="str">
        <f>IFERROR(__xludf.DUMMYFUNCTION("""COMPUTED_VALUE"""),"ANAHAW")</f>
        <v>ANAHAW</v>
      </c>
      <c r="N2837" s="1"/>
      <c r="O2837" s="1" t="str">
        <f>IFERROR(__xludf.DUMMYFUNCTION("""COMPUTED_VALUE"""),"ANAHAW I")</f>
        <v>ANAHAW I</v>
      </c>
      <c r="P2837" s="1" t="str">
        <f>IFERROR(__xludf.DUMMYFUNCTION("""COMPUTED_VALUE"""),"SILANG")</f>
        <v>SILANG</v>
      </c>
      <c r="Q2837" s="1" t="str">
        <f>IFERROR(__xludf.DUMMYFUNCTION("""COMPUTED_VALUE"""),"CAVITE")</f>
        <v>CAVITE</v>
      </c>
      <c r="R2837" s="1" t="str">
        <f>IFERROR(__xludf.DUMMYFUNCTION("""COMPUTED_VALUE"""),"FIBR UNLI ALL PLAN 1499")</f>
        <v>FIBR UNLI ALL PLAN 1499</v>
      </c>
      <c r="S2837" s="1" t="str">
        <f>IFERROR(__xludf.DUMMYFUNCTION("""COMPUTED_VALUE"""),"APPROVED")</f>
        <v>APPROVED</v>
      </c>
      <c r="T2837" s="1" t="str">
        <f>IFERROR(__xludf.DUMMYFUNCTION("""COMPUTED_VALUE"""),"RPR")</f>
        <v>RPR</v>
      </c>
      <c r="U2837" s="1"/>
      <c r="V2837" s="1"/>
      <c r="W2837" s="1"/>
    </row>
    <row r="2838" customHeight="1" spans="1:23">
      <c r="A2838" s="3">
        <f>IFERROR(__xludf.DUMMYFUNCTION("""COMPUTED_VALUE"""),46256)</f>
        <v>46256</v>
      </c>
      <c r="B2838" s="1" t="str">
        <f>IFERROR(__xludf.DUMMYFUNCTION("""COMPUTED_VALUE"""),"CADERAO, RONALD")</f>
        <v>CADERAO, RONALD</v>
      </c>
      <c r="C2838" s="1" t="str">
        <f>IFERROR(__xludf.DUMMYFUNCTION("""COMPUTED_VALUE"""),"ORGANIC")</f>
        <v>ORGANIC</v>
      </c>
      <c r="D2838" s="1" t="str">
        <f>IFERROR(__xludf.DUMMYFUNCTION("""COMPUTED_VALUE"""),"REMOLLO LEA")</f>
        <v>REMOLLO LEA</v>
      </c>
      <c r="E2838" s="1" t="str">
        <f>IFERROR(__xludf.DUMMYFUNCTION("""COMPUTED_VALUE"""),"PLDT / H2H")</f>
        <v>PLDT / H2H</v>
      </c>
      <c r="F2838" s="1">
        <f>IFERROR(__xludf.DUMMYFUNCTION("""COMPUTED_VALUE"""),2312001737)</f>
        <v>2312001737</v>
      </c>
      <c r="G2838" s="1">
        <f>IFERROR(__xludf.DUMMYFUNCTION("""COMPUTED_VALUE"""),467519016004)</f>
        <v>467519016004</v>
      </c>
      <c r="H2838" s="1" t="str">
        <f>IFERROR(__xludf.DUMMYFUNCTION("""COMPUTED_VALUE"""),"MARY JANE ERILLA GALARDE")</f>
        <v>MARY JANE ERILLA GALARDE</v>
      </c>
      <c r="I2838" s="1">
        <f>IFERROR(__xludf.DUMMYFUNCTION("""COMPUTED_VALUE"""),9925343402)</f>
        <v>9925343402</v>
      </c>
      <c r="J2838" s="1">
        <f>IFERROR(__xludf.DUMMYFUNCTION("""COMPUTED_VALUE"""),9467171684)</f>
        <v>9467171684</v>
      </c>
      <c r="K2838" s="1" t="str">
        <f>IFERROR(__xludf.DUMMYFUNCTION("""COMPUTED_VALUE"""),"maryjanegalrde@gmail.com")</f>
        <v>maryjanegalrde@gmail.com</v>
      </c>
      <c r="L2838" s="1" t="str">
        <f>IFERROR(__xludf.DUMMYFUNCTION("""COMPUTED_VALUE"""),"154")</f>
        <v>154</v>
      </c>
      <c r="M2838" s="1" t="str">
        <f>IFERROR(__xludf.DUMMYFUNCTION("""COMPUTED_VALUE"""),"BATINO COMPOUND")</f>
        <v>BATINO COMPOUND</v>
      </c>
      <c r="N2838" s="1"/>
      <c r="O2838" s="1" t="str">
        <f>IFERROR(__xludf.DUMMYFUNCTION("""COMPUTED_VALUE"""),"BALUBAD")</f>
        <v>BALUBAD</v>
      </c>
      <c r="P2838" s="1" t="str">
        <f>IFERROR(__xludf.DUMMYFUNCTION("""COMPUTED_VALUE"""),"SILANG")</f>
        <v>SILANG</v>
      </c>
      <c r="Q2838" s="1" t="str">
        <f>IFERROR(__xludf.DUMMYFUNCTION("""COMPUTED_VALUE"""),"CAVITE")</f>
        <v>CAVITE</v>
      </c>
      <c r="R2838" s="1" t="str">
        <f>IFERROR(__xludf.DUMMYFUNCTION("""COMPUTED_VALUE"""),"FIBR UNLI ALL PLAN 1499")</f>
        <v>FIBR UNLI ALL PLAN 1499</v>
      </c>
      <c r="S2838" s="1" t="str">
        <f>IFERROR(__xludf.DUMMYFUNCTION("""COMPUTED_VALUE"""),"APPROVED")</f>
        <v>APPROVED</v>
      </c>
      <c r="T2838" s="1" t="str">
        <f>IFERROR(__xludf.DUMMYFUNCTION("""COMPUTED_VALUE"""),"FOR CANCELLATION")</f>
        <v>FOR CANCELLATION</v>
      </c>
      <c r="U2838" s="1"/>
      <c r="V2838" s="1"/>
      <c r="W2838" s="1"/>
    </row>
    <row r="2839" customHeight="1" spans="1:23">
      <c r="A2839" s="3">
        <f>IFERROR(__xludf.DUMMYFUNCTION("""COMPUTED_VALUE"""),46256)</f>
        <v>46256</v>
      </c>
      <c r="B2839" s="1" t="str">
        <f>IFERROR(__xludf.DUMMYFUNCTION("""COMPUTED_VALUE"""),"MORADOS, MARVIN")</f>
        <v>MORADOS, MARVIN</v>
      </c>
      <c r="C2839" s="1" t="str">
        <f>IFERROR(__xludf.DUMMYFUNCTION("""COMPUTED_VALUE"""),"ORGANIC")</f>
        <v>ORGANIC</v>
      </c>
      <c r="D2839" s="1" t="str">
        <f>IFERROR(__xludf.DUMMYFUNCTION("""COMPUTED_VALUE"""),"MICHALE GARCIA")</f>
        <v>MICHALE GARCIA</v>
      </c>
      <c r="E2839" s="1" t="str">
        <f>IFERROR(__xludf.DUMMYFUNCTION("""COMPUTED_VALUE"""),"PLDT / H2H")</f>
        <v>PLDT / H2H</v>
      </c>
      <c r="F2839" s="1">
        <f>IFERROR(__xludf.DUMMYFUNCTION("""COMPUTED_VALUE"""),2311999724)</f>
        <v>2311999724</v>
      </c>
      <c r="G2839" s="1">
        <f>IFERROR(__xludf.DUMMYFUNCTION("""COMPUTED_VALUE"""),467627408004)</f>
        <v>467627408004</v>
      </c>
      <c r="H2839" s="1" t="str">
        <f>IFERROR(__xludf.DUMMYFUNCTION("""COMPUTED_VALUE"""),"CHERRY ALIBADO CASTRO")</f>
        <v>CHERRY ALIBADO CASTRO</v>
      </c>
      <c r="I2839" s="1">
        <f>IFERROR(__xludf.DUMMYFUNCTION("""COMPUTED_VALUE"""),9670898501)</f>
        <v>9670898501</v>
      </c>
      <c r="J2839" s="1">
        <f>IFERROR(__xludf.DUMMYFUNCTION("""COMPUTED_VALUE"""),9565631632)</f>
        <v>9565631632</v>
      </c>
      <c r="K2839" s="1" t="str">
        <f>IFERROR(__xludf.DUMMYFUNCTION("""COMPUTED_VALUE"""),"cherryalabado03@gmail.com")</f>
        <v>cherryalabado03@gmail.com</v>
      </c>
      <c r="L2839" s="1" t="str">
        <f>IFERROR(__xludf.DUMMYFUNCTION("""COMPUTED_VALUE"""),"BLK 8 LOT 10")</f>
        <v>BLK 8 LOT 10</v>
      </c>
      <c r="M2839" s="1" t="str">
        <f>IFERROR(__xludf.DUMMYFUNCTION("""COMPUTED_VALUE"""),"BRIER")</f>
        <v>BRIER</v>
      </c>
      <c r="N2839" s="1"/>
      <c r="O2839" s="1" t="str">
        <f>IFERROR(__xludf.DUMMYFUNCTION("""COMPUTED_VALUE"""),"NAVARRO")</f>
        <v>NAVARRO</v>
      </c>
      <c r="P2839" s="1" t="str">
        <f>IFERROR(__xludf.DUMMYFUNCTION("""COMPUTED_VALUE"""),"GENERAL TRIAS")</f>
        <v>GENERAL TRIAS</v>
      </c>
      <c r="Q2839" s="1" t="str">
        <f>IFERROR(__xludf.DUMMYFUNCTION("""COMPUTED_VALUE"""),"CAVITE")</f>
        <v>CAVITE</v>
      </c>
      <c r="R2839" s="1" t="str">
        <f>IFERROR(__xludf.DUMMYFUNCTION("""COMPUTED_VALUE"""),"FIBR PLAN 1299")</f>
        <v>FIBR PLAN 1299</v>
      </c>
      <c r="S2839" s="1" t="str">
        <f>IFERROR(__xludf.DUMMYFUNCTION("""COMPUTED_VALUE"""),"APPROVED")</f>
        <v>APPROVED</v>
      </c>
      <c r="T2839" s="1" t="str">
        <f>IFERROR(__xludf.DUMMYFUNCTION("""COMPUTED_VALUE"""),"FOR CALL OUT RSO")</f>
        <v>FOR CALL OUT RSO</v>
      </c>
      <c r="U2839" s="1" t="str">
        <f>IFERROR(__xludf.DUMMYFUNCTION("""COMPUTED_VALUE"""),"POSTED")</f>
        <v>POSTED</v>
      </c>
      <c r="V2839" s="1"/>
      <c r="W2839" s="1"/>
    </row>
    <row r="2840" customHeight="1" spans="1:23">
      <c r="A2840" s="3">
        <f>IFERROR(__xludf.DUMMYFUNCTION("""COMPUTED_VALUE"""),46256)</f>
        <v>46256</v>
      </c>
      <c r="B2840" s="1" t="str">
        <f>IFERROR(__xludf.DUMMYFUNCTION("""COMPUTED_VALUE"""),"DENACO, RODNEY")</f>
        <v>DENACO, RODNEY</v>
      </c>
      <c r="C2840" s="1" t="str">
        <f>IFERROR(__xludf.DUMMYFUNCTION("""COMPUTED_VALUE"""),"ORGANIC")</f>
        <v>ORGANIC</v>
      </c>
      <c r="D2840" s="1" t="str">
        <f>IFERROR(__xludf.DUMMYFUNCTION("""COMPUTED_VALUE"""),"REMOLLO LEA")</f>
        <v>REMOLLO LEA</v>
      </c>
      <c r="E2840" s="1" t="str">
        <f>IFERROR(__xludf.DUMMYFUNCTION("""COMPUTED_VALUE"""),"PLDT / H2H")</f>
        <v>PLDT / H2H</v>
      </c>
      <c r="F2840" s="1">
        <f>IFERROR(__xludf.DUMMYFUNCTION("""COMPUTED_VALUE"""),2312002299)</f>
        <v>2312002299</v>
      </c>
      <c r="G2840" s="1">
        <f>IFERROR(__xludf.DUMMYFUNCTION("""COMPUTED_VALUE"""),467515211004)</f>
        <v>467515211004</v>
      </c>
      <c r="H2840" s="1" t="str">
        <f>IFERROR(__xludf.DUMMYFUNCTION("""COMPUTED_VALUE"""),"LORIVEL FABELANA FLORES")</f>
        <v>LORIVEL FABELANA FLORES</v>
      </c>
      <c r="I2840" s="1">
        <f>IFERROR(__xludf.DUMMYFUNCTION("""COMPUTED_VALUE"""),9186131624)</f>
        <v>9186131624</v>
      </c>
      <c r="J2840" s="1">
        <f>IFERROR(__xludf.DUMMYFUNCTION("""COMPUTED_VALUE"""),9668802100)</f>
        <v>9668802100</v>
      </c>
      <c r="K2840" s="1" t="str">
        <f>IFERROR(__xludf.DUMMYFUNCTION("""COMPUTED_VALUE"""),"floreslorivel@gmail.com")</f>
        <v>floreslorivel@gmail.com</v>
      </c>
      <c r="L2840" s="1" t="str">
        <f>IFERROR(__xludf.DUMMYFUNCTION("""COMPUTED_VALUE"""),"BLK 3 LOT 13")</f>
        <v>BLK 3 LOT 13</v>
      </c>
      <c r="M2840" s="1" t="str">
        <f>IFERROR(__xludf.DUMMYFUNCTION("""COMPUTED_VALUE"""),"POLAND")</f>
        <v>POLAND</v>
      </c>
      <c r="N2840" s="1" t="str">
        <f>IFERROR(__xludf.DUMMYFUNCTION("""COMPUTED_VALUE"""),"MANDARIN")</f>
        <v>MANDARIN</v>
      </c>
      <c r="O2840" s="1" t="str">
        <f>IFERROR(__xludf.DUMMYFUNCTION("""COMPUTED_VALUE"""),"FRANCISCO DE CASTRO (SUNSHINE VILL.)")</f>
        <v>FRANCISCO DE CASTRO (SUNSHINE VILL.)</v>
      </c>
      <c r="P2840" s="1" t="str">
        <f>IFERROR(__xludf.DUMMYFUNCTION("""COMPUTED_VALUE"""),"GEN MARIANO ALVAREZ")</f>
        <v>GEN MARIANO ALVAREZ</v>
      </c>
      <c r="Q2840" s="1" t="str">
        <f>IFERROR(__xludf.DUMMYFUNCTION("""COMPUTED_VALUE"""),"CAVITE")</f>
        <v>CAVITE</v>
      </c>
      <c r="R2840" s="1" t="str">
        <f>IFERROR(__xludf.DUMMYFUNCTION("""COMPUTED_VALUE"""),"FIBR UNLI ALL PLAN 1499")</f>
        <v>FIBR UNLI ALL PLAN 1499</v>
      </c>
      <c r="S2840" s="1" t="str">
        <f>IFERROR(__xludf.DUMMYFUNCTION("""COMPUTED_VALUE"""),"APPROVED")</f>
        <v>APPROVED</v>
      </c>
      <c r="T2840" s="1" t="str">
        <f>IFERROR(__xludf.DUMMYFUNCTION("""COMPUTED_VALUE"""),"FOR CANCELLATION")</f>
        <v>FOR CANCELLATION</v>
      </c>
      <c r="U2840" s="1" t="str">
        <f>IFERROR(__xludf.DUMMYFUNCTION("""COMPUTED_VALUE"""),"NO PAYMENT")</f>
        <v>NO PAYMENT</v>
      </c>
      <c r="V2840" s="1"/>
      <c r="W2840" s="1"/>
    </row>
    <row r="2841" customHeight="1" spans="1:23">
      <c r="A2841" s="3">
        <f>IFERROR(__xludf.DUMMYFUNCTION("""COMPUTED_VALUE"""),46256)</f>
        <v>46256</v>
      </c>
      <c r="B2841" s="1" t="str">
        <f>IFERROR(__xludf.DUMMYFUNCTION("""COMPUTED_VALUE"""),"FRANCISCO , ROSELYN")</f>
        <v>FRANCISCO , ROSELYN</v>
      </c>
      <c r="C2841" s="1" t="str">
        <f>IFERROR(__xludf.DUMMYFUNCTION("""COMPUTED_VALUE"""),"ORGANIC")</f>
        <v>ORGANIC</v>
      </c>
      <c r="D2841" s="1" t="str">
        <f>IFERROR(__xludf.DUMMYFUNCTION("""COMPUTED_VALUE"""),"REMOLLO LEA")</f>
        <v>REMOLLO LEA</v>
      </c>
      <c r="E2841" s="1" t="str">
        <f>IFERROR(__xludf.DUMMYFUNCTION("""COMPUTED_VALUE"""),"RED FIBER")</f>
        <v>RED FIBER</v>
      </c>
      <c r="F2841" s="1"/>
      <c r="G2841" s="1"/>
      <c r="H2841" s="1" t="str">
        <f>IFERROR(__xludf.DUMMYFUNCTION("""COMPUTED_VALUE"""),"MARJORIE ROJA GASCO")</f>
        <v>MARJORIE ROJA GASCO</v>
      </c>
      <c r="I2841" s="1">
        <f>IFERROR(__xludf.DUMMYFUNCTION("""COMPUTED_VALUE"""),9707572406)</f>
        <v>9707572406</v>
      </c>
      <c r="J2841" s="1"/>
      <c r="K2841" s="1" t="str">
        <f>IFERROR(__xludf.DUMMYFUNCTION("""COMPUTED_VALUE"""),"marjoriegasco64@gmail.com")</f>
        <v>marjoriegasco64@gmail.com</v>
      </c>
      <c r="L2841" s="1" t="str">
        <f>IFERROR(__xludf.DUMMYFUNCTION("""COMPUTED_VALUE"""),"BLK 6 LOT 38")</f>
        <v>BLK 6 LOT 38</v>
      </c>
      <c r="M2841" s="1" t="str">
        <f>IFERROR(__xludf.DUMMYFUNCTION("""COMPUTED_VALUE"""),"PHASE 2")</f>
        <v>PHASE 2</v>
      </c>
      <c r="N2841" s="1" t="str">
        <f>IFERROR(__xludf.DUMMYFUNCTION("""COMPUTED_VALUE"""),"WESTWOODS")</f>
        <v>WESTWOODS</v>
      </c>
      <c r="O2841" s="1" t="str">
        <f>IFERROR(__xludf.DUMMYFUNCTION("""COMPUTED_VALUE"""),"LANGKAAN I")</f>
        <v>LANGKAAN I</v>
      </c>
      <c r="P2841" s="1" t="str">
        <f>IFERROR(__xludf.DUMMYFUNCTION("""COMPUTED_VALUE"""),"DASMARINAS")</f>
        <v>DASMARINAS</v>
      </c>
      <c r="Q2841" s="1" t="str">
        <f>IFERROR(__xludf.DUMMYFUNCTION("""COMPUTED_VALUE"""),"CAVITE")</f>
        <v>CAVITE</v>
      </c>
      <c r="R2841" s="1" t="str">
        <f>IFERROR(__xludf.DUMMYFUNCTION("""COMPUTED_VALUE"""),"RED PLAN 1000")</f>
        <v>RED PLAN 1000</v>
      </c>
      <c r="S2841" s="1" t="str">
        <f>IFERROR(__xludf.DUMMYFUNCTION("""COMPUTED_VALUE"""),"APPROVED")</f>
        <v>APPROVED</v>
      </c>
      <c r="T2841" s="1" t="str">
        <f>IFERROR(__xludf.DUMMYFUNCTION("""COMPUTED_VALUE"""),"PAID")</f>
        <v>PAID</v>
      </c>
      <c r="U2841" s="1" t="str">
        <f>IFERROR(__xludf.DUMMYFUNCTION("""COMPUTED_VALUE"""),"PAID VIA GCASH")</f>
        <v>PAID VIA GCASH</v>
      </c>
      <c r="V2841" s="1"/>
      <c r="W2841" s="1"/>
    </row>
    <row r="2842" customHeight="1" spans="1:23">
      <c r="A2842" s="3">
        <f>IFERROR(__xludf.DUMMYFUNCTION("""COMPUTED_VALUE"""),46256)</f>
        <v>46256</v>
      </c>
      <c r="B2842" s="1" t="str">
        <f>IFERROR(__xludf.DUMMYFUNCTION("""COMPUTED_VALUE"""),"RIVERA, AIRIZH JOY")</f>
        <v>RIVERA, AIRIZH JOY</v>
      </c>
      <c r="C2842" s="1" t="str">
        <f>IFERROR(__xludf.DUMMYFUNCTION("""COMPUTED_VALUE"""),"ORGANIC")</f>
        <v>ORGANIC</v>
      </c>
      <c r="D2842" s="1" t="str">
        <f>IFERROR(__xludf.DUMMYFUNCTION("""COMPUTED_VALUE"""),"REMOLLO LEA")</f>
        <v>REMOLLO LEA</v>
      </c>
      <c r="E2842" s="1" t="str">
        <f>IFERROR(__xludf.DUMMYFUNCTION("""COMPUTED_VALUE"""),"PLDT / H2H")</f>
        <v>PLDT / H2H</v>
      </c>
      <c r="F2842" s="1">
        <f>IFERROR(__xludf.DUMMYFUNCTION("""COMPUTED_VALUE"""),2312003171)</f>
        <v>2312003171</v>
      </c>
      <c r="G2842" s="1">
        <f>IFERROR(__xludf.DUMMYFUNCTION("""COMPUTED_VALUE"""),467514427004)</f>
        <v>467514427004</v>
      </c>
      <c r="H2842" s="1" t="str">
        <f>IFERROR(__xludf.DUMMYFUNCTION("""COMPUTED_VALUE"""),"MAY ANN DELA CRUZ GARCIA")</f>
        <v>MAY ANN DELA CRUZ GARCIA</v>
      </c>
      <c r="I2842" s="1">
        <f>IFERROR(__xludf.DUMMYFUNCTION("""COMPUTED_VALUE"""),9150648991)</f>
        <v>9150648991</v>
      </c>
      <c r="J2842" s="1">
        <f>IFERROR(__xludf.DUMMYFUNCTION("""COMPUTED_VALUE"""),9240464370)</f>
        <v>9240464370</v>
      </c>
      <c r="K2842" s="1" t="str">
        <f>IFERROR(__xludf.DUMMYFUNCTION("""COMPUTED_VALUE"""),"kimrivera206@yhaoo.com")</f>
        <v>kimrivera206@yhaoo.com</v>
      </c>
      <c r="L2842" s="1" t="str">
        <f>IFERROR(__xludf.DUMMYFUNCTION("""COMPUTED_VALUE"""),"4202")</f>
        <v>4202</v>
      </c>
      <c r="M2842" s="1" t="str">
        <f>IFERROR(__xludf.DUMMYFUNCTION("""COMPUTED_VALUE"""),"LUKSUHIN IBABA")</f>
        <v>LUKSUHIN IBABA</v>
      </c>
      <c r="N2842" s="1"/>
      <c r="O2842" s="1" t="str">
        <f>IFERROR(__xludf.DUMMYFUNCTION("""COMPUTED_VALUE"""),"LUKSUHIN")</f>
        <v>LUKSUHIN</v>
      </c>
      <c r="P2842" s="1" t="str">
        <f>IFERROR(__xludf.DUMMYFUNCTION("""COMPUTED_VALUE"""),"ALFONSO")</f>
        <v>ALFONSO</v>
      </c>
      <c r="Q2842" s="1" t="str">
        <f>IFERROR(__xludf.DUMMYFUNCTION("""COMPUTED_VALUE"""),"CAVITE")</f>
        <v>CAVITE</v>
      </c>
      <c r="R2842" s="1" t="str">
        <f>IFERROR(__xludf.DUMMYFUNCTION("""COMPUTED_VALUE"""),"FIBR UNLI ALL PLAN 999")</f>
        <v>FIBR UNLI ALL PLAN 999</v>
      </c>
      <c r="S2842" s="1" t="str">
        <f>IFERROR(__xludf.DUMMYFUNCTION("""COMPUTED_VALUE"""),"APPROVED")</f>
        <v>APPROVED</v>
      </c>
      <c r="T2842" s="1" t="str">
        <f>IFERROR(__xludf.DUMMYFUNCTION("""COMPUTED_VALUE"""),"CANCELLED")</f>
        <v>CANCELLED</v>
      </c>
      <c r="U2842" s="1" t="str">
        <f>IFERROR(__xludf.DUMMYFUNCTION("""COMPUTED_VALUE"""),"PAID VIA GCASH")</f>
        <v>PAID VIA GCASH</v>
      </c>
      <c r="V2842" s="1"/>
      <c r="W2842" s="1"/>
    </row>
    <row r="2843" customHeight="1" spans="1:23">
      <c r="A2843" s="3">
        <f>IFERROR(__xludf.DUMMYFUNCTION("""COMPUTED_VALUE"""),46256)</f>
        <v>46256</v>
      </c>
      <c r="B2843" s="1" t="str">
        <f>IFERROR(__xludf.DUMMYFUNCTION("""COMPUTED_VALUE"""),"DACALCAP RUBEN")</f>
        <v>DACALCAP RUBEN</v>
      </c>
      <c r="C2843" s="1" t="str">
        <f>IFERROR(__xludf.DUMMYFUNCTION("""COMPUTED_VALUE"""),"FLA")</f>
        <v>FLA</v>
      </c>
      <c r="D2843" s="1" t="str">
        <f>IFERROR(__xludf.DUMMYFUNCTION("""COMPUTED_VALUE"""),"JERIC NAVARRO")</f>
        <v>JERIC NAVARRO</v>
      </c>
      <c r="E2843" s="1" t="str">
        <f>IFERROR(__xludf.DUMMYFUNCTION("""COMPUTED_VALUE"""),"PLDT / H2H")</f>
        <v>PLDT / H2H</v>
      </c>
      <c r="F2843" s="1">
        <f>IFERROR(__xludf.DUMMYFUNCTION("""COMPUTED_VALUE"""),2312003863)</f>
        <v>2312003863</v>
      </c>
      <c r="G2843" s="1">
        <f>IFERROR(__xludf.DUMMYFUNCTION("""COMPUTED_VALUE"""),467648142004)</f>
        <v>467648142004</v>
      </c>
      <c r="H2843" s="1" t="str">
        <f>IFERROR(__xludf.DUMMYFUNCTION("""COMPUTED_VALUE"""),"MARICRIS CAPILI DURAN")</f>
        <v>MARICRIS CAPILI DURAN</v>
      </c>
      <c r="I2843" s="1">
        <f>IFERROR(__xludf.DUMMYFUNCTION("""COMPUTED_VALUE"""),9317501616)</f>
        <v>9317501616</v>
      </c>
      <c r="J2843" s="1">
        <f>IFERROR(__xludf.DUMMYFUNCTION("""COMPUTED_VALUE"""),9106417725)</f>
        <v>9106417725</v>
      </c>
      <c r="K2843" s="1" t="str">
        <f>IFERROR(__xludf.DUMMYFUNCTION("""COMPUTED_VALUE"""),"maricrismast@gmail.com")</f>
        <v>maricrismast@gmail.com</v>
      </c>
      <c r="L2843" s="1" t="str">
        <f>IFERROR(__xludf.DUMMYFUNCTION("""COMPUTED_VALUE"""),"59c")</f>
        <v>59c</v>
      </c>
      <c r="M2843" s="1" t="str">
        <f>IFERROR(__xludf.DUMMYFUNCTION("""COMPUTED_VALUE"""),"PUROK 1")</f>
        <v>PUROK 1</v>
      </c>
      <c r="N2843" s="1"/>
      <c r="O2843" s="1" t="str">
        <f>IFERROR(__xludf.DUMMYFUNCTION("""COMPUTED_VALUE"""),"LALAAN I")</f>
        <v>LALAAN I</v>
      </c>
      <c r="P2843" s="1" t="str">
        <f>IFERROR(__xludf.DUMMYFUNCTION("""COMPUTED_VALUE"""),"SILANG")</f>
        <v>SILANG</v>
      </c>
      <c r="Q2843" s="1" t="str">
        <f>IFERROR(__xludf.DUMMYFUNCTION("""COMPUTED_VALUE"""),"CAVITE")</f>
        <v>CAVITE</v>
      </c>
      <c r="R2843" s="1" t="str">
        <f>IFERROR(__xludf.DUMMYFUNCTION("""COMPUTED_VALUE"""),"FIBR UNLI ALL PLAN 1499")</f>
        <v>FIBR UNLI ALL PLAN 1499</v>
      </c>
      <c r="S2843" s="1" t="str">
        <f>IFERROR(__xludf.DUMMYFUNCTION("""COMPUTED_VALUE"""),"APPROVED")</f>
        <v>APPROVED</v>
      </c>
      <c r="T2843" s="1" t="str">
        <f>IFERROR(__xludf.DUMMYFUNCTION("""COMPUTED_VALUE"""),"CLOSED")</f>
        <v>CLOSED</v>
      </c>
      <c r="U2843" s="1" t="str">
        <f>IFERROR(__xludf.DUMMYFUNCTION("""COMPUTED_VALUE"""),"POSTED")</f>
        <v>POSTED</v>
      </c>
      <c r="V2843" s="1"/>
      <c r="W2843" s="1"/>
    </row>
    <row r="2844" customHeight="1" spans="1:23">
      <c r="A2844" s="3">
        <f>IFERROR(__xludf.DUMMYFUNCTION("""COMPUTED_VALUE"""),46256)</f>
        <v>46256</v>
      </c>
      <c r="B2844" s="1" t="str">
        <f>IFERROR(__xludf.DUMMYFUNCTION("""COMPUTED_VALUE"""),"ALOS, CHARLS LAURENZ")</f>
        <v>ALOS, CHARLS LAURENZ</v>
      </c>
      <c r="C2844" s="1" t="str">
        <f>IFERROR(__xludf.DUMMYFUNCTION("""COMPUTED_VALUE"""),"ORGANIC")</f>
        <v>ORGANIC</v>
      </c>
      <c r="D2844" s="1" t="str">
        <f>IFERROR(__xludf.DUMMYFUNCTION("""COMPUTED_VALUE"""),"REMOLLO LEA")</f>
        <v>REMOLLO LEA</v>
      </c>
      <c r="E2844" s="1" t="str">
        <f>IFERROR(__xludf.DUMMYFUNCTION("""COMPUTED_VALUE"""),"PLDT / H2H")</f>
        <v>PLDT / H2H</v>
      </c>
      <c r="F2844" s="1">
        <f>IFERROR(__xludf.DUMMYFUNCTION("""COMPUTED_VALUE"""),2312005003)</f>
        <v>2312005003</v>
      </c>
      <c r="G2844" s="1">
        <f>IFERROR(__xludf.DUMMYFUNCTION("""COMPUTED_VALUE"""),467521145004)</f>
        <v>467521145004</v>
      </c>
      <c r="H2844" s="1" t="str">
        <f>IFERROR(__xludf.DUMMYFUNCTION("""COMPUTED_VALUE"""),"MARIANN DIZON")</f>
        <v>MARIANN DIZON</v>
      </c>
      <c r="I2844" s="1">
        <f>IFERROR(__xludf.DUMMYFUNCTION("""COMPUTED_VALUE"""),9560328089)</f>
        <v>9560328089</v>
      </c>
      <c r="J2844" s="1"/>
      <c r="K2844" s="1" t="str">
        <f>IFERROR(__xludf.DUMMYFUNCTION("""COMPUTED_VALUE"""),"sottoderick7@gmail.com")</f>
        <v>sottoderick7@gmail.com</v>
      </c>
      <c r="L2844" s="1" t="str">
        <f>IFERROR(__xludf.DUMMYFUNCTION("""COMPUTED_VALUE"""),"BLK 2 LOT 2")</f>
        <v>BLK 2 LOT 2</v>
      </c>
      <c r="M2844" s="1" t="str">
        <f>IFERROR(__xludf.DUMMYFUNCTION("""COMPUTED_VALUE"""),"ZONE 11")</f>
        <v>ZONE 11</v>
      </c>
      <c r="N2844" s="1"/>
      <c r="O2844" s="1" t="str">
        <f>IFERROR(__xludf.DUMMYFUNCTION("""COMPUTED_VALUE"""),"BULIHAN")</f>
        <v>BULIHAN</v>
      </c>
      <c r="P2844" s="1" t="str">
        <f>IFERROR(__xludf.DUMMYFUNCTION("""COMPUTED_VALUE"""),"SILANG")</f>
        <v>SILANG</v>
      </c>
      <c r="Q2844" s="1" t="str">
        <f>IFERROR(__xludf.DUMMYFUNCTION("""COMPUTED_VALUE"""),"CAVITE")</f>
        <v>CAVITE</v>
      </c>
      <c r="R2844" s="1" t="str">
        <f>IFERROR(__xludf.DUMMYFUNCTION("""COMPUTED_VALUE"""),"FIBR UNLI ALL PLAN 999")</f>
        <v>FIBR UNLI ALL PLAN 999</v>
      </c>
      <c r="S2844" s="1" t="str">
        <f>IFERROR(__xludf.DUMMYFUNCTION("""COMPUTED_VALUE"""),"APPROVED")</f>
        <v>APPROVED</v>
      </c>
      <c r="T2844" s="1" t="str">
        <f>IFERROR(__xludf.DUMMYFUNCTION("""COMPUTED_VALUE"""),"RPR")</f>
        <v>RPR</v>
      </c>
      <c r="U2844" s="1"/>
      <c r="V2844" s="1"/>
      <c r="W2844" s="1"/>
    </row>
    <row r="2845" customHeight="1" spans="1:23">
      <c r="A2845" s="3">
        <f>IFERROR(__xludf.DUMMYFUNCTION("""COMPUTED_VALUE"""),46256)</f>
        <v>46256</v>
      </c>
      <c r="B2845" s="1" t="str">
        <f>IFERROR(__xludf.DUMMYFUNCTION("""COMPUTED_VALUE"""),"MAGDARAOG, KENNETH")</f>
        <v>MAGDARAOG, KENNETH</v>
      </c>
      <c r="C2845" s="1" t="str">
        <f>IFERROR(__xludf.DUMMYFUNCTION("""COMPUTED_VALUE"""),"ORGANIC")</f>
        <v>ORGANIC</v>
      </c>
      <c r="D2845" s="1" t="str">
        <f>IFERROR(__xludf.DUMMYFUNCTION("""COMPUTED_VALUE"""),"REMOLLO LEA")</f>
        <v>REMOLLO LEA</v>
      </c>
      <c r="E2845" s="1" t="str">
        <f>IFERROR(__xludf.DUMMYFUNCTION("""COMPUTED_VALUE"""),"PLDT / H2H")</f>
        <v>PLDT / H2H</v>
      </c>
      <c r="F2845" s="1">
        <f>IFERROR(__xludf.DUMMYFUNCTION("""COMPUTED_VALUE"""),2312005559)</f>
        <v>2312005559</v>
      </c>
      <c r="G2845" s="1"/>
      <c r="H2845" s="1" t="str">
        <f>IFERROR(__xludf.DUMMYFUNCTION("""COMPUTED_VALUE"""),"JENALYN VILLAR TORRES")</f>
        <v>JENALYN VILLAR TORRES</v>
      </c>
      <c r="I2845" s="1">
        <f>IFERROR(__xludf.DUMMYFUNCTION("""COMPUTED_VALUE"""),9532531206)</f>
        <v>9532531206</v>
      </c>
      <c r="J2845" s="1">
        <f>IFERROR(__xludf.DUMMYFUNCTION("""COMPUTED_VALUE"""),9684795899)</f>
        <v>9684795899</v>
      </c>
      <c r="K2845" s="1" t="str">
        <f>IFERROR(__xludf.DUMMYFUNCTION("""COMPUTED_VALUE"""),"jenalyntorres@gmail.com")</f>
        <v>jenalyntorres@gmail.com</v>
      </c>
      <c r="L2845" s="1" t="str">
        <f>IFERROR(__xludf.DUMMYFUNCTION("""COMPUTED_VALUE"""),"BLK 38 LOT 20")</f>
        <v>BLK 38 LOT 20</v>
      </c>
      <c r="M2845" s="1" t="str">
        <f>IFERROR(__xludf.DUMMYFUNCTION("""COMPUTED_VALUE"""),"PHASE 5B")</f>
        <v>PHASE 5B</v>
      </c>
      <c r="N2845" s="1"/>
      <c r="O2845" s="1" t="str">
        <f>IFERROR(__xludf.DUMMYFUNCTION("""COMPUTED_VALUE"""),"NARRA III")</f>
        <v>NARRA III</v>
      </c>
      <c r="P2845" s="1" t="str">
        <f>IFERROR(__xludf.DUMMYFUNCTION("""COMPUTED_VALUE"""),"SILANG")</f>
        <v>SILANG</v>
      </c>
      <c r="Q2845" s="1" t="str">
        <f>IFERROR(__xludf.DUMMYFUNCTION("""COMPUTED_VALUE"""),"CAVITE")</f>
        <v>CAVITE</v>
      </c>
      <c r="R2845" s="1" t="str">
        <f>IFERROR(__xludf.DUMMYFUNCTION("""COMPUTED_VALUE"""),"FIBR UNLI ALL PLAN 999")</f>
        <v>FIBR UNLI ALL PLAN 999</v>
      </c>
      <c r="S2845" s="1" t="str">
        <f>IFERROR(__xludf.DUMMYFUNCTION("""COMPUTED_VALUE"""),"APPROVED")</f>
        <v>APPROVED</v>
      </c>
      <c r="T2845" s="1" t="str">
        <f>IFERROR(__xludf.DUMMYFUNCTION("""COMPUTED_VALUE"""),"DISAPPROVED")</f>
        <v>DISAPPROVED</v>
      </c>
      <c r="U2845" s="1"/>
      <c r="V2845" s="1"/>
      <c r="W2845" s="1"/>
    </row>
    <row r="2846" customHeight="1" spans="1:23">
      <c r="A2846" s="3">
        <f>IFERROR(__xludf.DUMMYFUNCTION("""COMPUTED_VALUE"""),46257)</f>
        <v>46257</v>
      </c>
      <c r="B2846" s="1" t="str">
        <f>IFERROR(__xludf.DUMMYFUNCTION("""COMPUTED_VALUE"""),"AYON MANUEL")</f>
        <v>AYON MANUEL</v>
      </c>
      <c r="C2846" s="1" t="str">
        <f>IFERROR(__xludf.DUMMYFUNCTION("""COMPUTED_VALUE"""),"FLA")</f>
        <v>FLA</v>
      </c>
      <c r="D2846" s="1" t="str">
        <f>IFERROR(__xludf.DUMMYFUNCTION("""COMPUTED_VALUE"""),"JERIC NAVARRO")</f>
        <v>JERIC NAVARRO</v>
      </c>
      <c r="E2846" s="1" t="str">
        <f>IFERROR(__xludf.DUMMYFUNCTION("""COMPUTED_VALUE"""),"PLDT / H2H")</f>
        <v>PLDT / H2H</v>
      </c>
      <c r="F2846" s="1"/>
      <c r="G2846" s="1"/>
      <c r="H2846" s="1" t="str">
        <f>IFERROR(__xludf.DUMMYFUNCTION("""COMPUTED_VALUE"""),"JEWELS CUERESMA CORONEL")</f>
        <v>JEWELS CUERESMA CORONEL</v>
      </c>
      <c r="I2846" s="1">
        <f>IFERROR(__xludf.DUMMYFUNCTION("""COMPUTED_VALUE"""),9075218236)</f>
        <v>9075218236</v>
      </c>
      <c r="J2846" s="1">
        <f>IFERROR(__xludf.DUMMYFUNCTION("""COMPUTED_VALUE"""),9099975982)</f>
        <v>9099975982</v>
      </c>
      <c r="K2846" s="1" t="str">
        <f>IFERROR(__xludf.DUMMYFUNCTION("""COMPUTED_VALUE"""),"jeljewels10512@gmail.com")</f>
        <v>jeljewels10512@gmail.com</v>
      </c>
      <c r="L2846" s="1" t="str">
        <f>IFERROR(__xludf.DUMMYFUNCTION("""COMPUTED_VALUE"""),"BLK 36 LOT 5")</f>
        <v>BLK 36 LOT 5</v>
      </c>
      <c r="M2846" s="1" t="str">
        <f>IFERROR(__xludf.DUMMYFUNCTION("""COMPUTED_VALUE"""),"BRON")</f>
        <v>BRON</v>
      </c>
      <c r="N2846" s="1"/>
      <c r="O2846" s="1" t="str">
        <f>IFERROR(__xludf.DUMMYFUNCTION("""COMPUTED_VALUE"""),"KAPITAN KUA (AREA F)")</f>
        <v>KAPITAN KUA (AREA F)</v>
      </c>
      <c r="P2846" s="1" t="str">
        <f>IFERROR(__xludf.DUMMYFUNCTION("""COMPUTED_VALUE"""),"GEN MARIANO ALVAREZ")</f>
        <v>GEN MARIANO ALVAREZ</v>
      </c>
      <c r="Q2846" s="1" t="str">
        <f>IFERROR(__xludf.DUMMYFUNCTION("""COMPUTED_VALUE"""),"CAVITE")</f>
        <v>CAVITE</v>
      </c>
      <c r="R2846" s="1" t="str">
        <f>IFERROR(__xludf.DUMMYFUNCTION("""COMPUTED_VALUE"""),"FIBR UNLI ALL PLAN 1499")</f>
        <v>FIBR UNLI ALL PLAN 1499</v>
      </c>
      <c r="S2846" s="1" t="str">
        <f>IFERROR(__xludf.DUMMYFUNCTION("""COMPUTED_VALUE"""),"APPROVED")</f>
        <v>APPROVED</v>
      </c>
      <c r="T2846" s="1" t="str">
        <f>IFERROR(__xludf.DUMMYFUNCTION("""COMPUTED_VALUE"""),"#N/A")</f>
        <v>#N/A</v>
      </c>
      <c r="U2846" s="1"/>
      <c r="V2846" s="1"/>
      <c r="W2846" s="1"/>
    </row>
    <row r="2847" customHeight="1" spans="1:23">
      <c r="A2847" s="3">
        <f>IFERROR(__xludf.DUMMYFUNCTION("""COMPUTED_VALUE"""),46257)</f>
        <v>46257</v>
      </c>
      <c r="B2847" s="1" t="str">
        <f>IFERROR(__xludf.DUMMYFUNCTION("""COMPUTED_VALUE"""),"MAGDARAOG, KENNETH")</f>
        <v>MAGDARAOG, KENNETH</v>
      </c>
      <c r="C2847" s="1" t="str">
        <f>IFERROR(__xludf.DUMMYFUNCTION("""COMPUTED_VALUE"""),"ORGANIC")</f>
        <v>ORGANIC</v>
      </c>
      <c r="D2847" s="1" t="str">
        <f>IFERROR(__xludf.DUMMYFUNCTION("""COMPUTED_VALUE"""),"REMOLLO LEA")</f>
        <v>REMOLLO LEA</v>
      </c>
      <c r="E2847" s="1" t="str">
        <f>IFERROR(__xludf.DUMMYFUNCTION("""COMPUTED_VALUE"""),"PLDT / H2H")</f>
        <v>PLDT / H2H</v>
      </c>
      <c r="F2847" s="1">
        <f>IFERROR(__xludf.DUMMYFUNCTION("""COMPUTED_VALUE"""),2312018866)</f>
        <v>2312018866</v>
      </c>
      <c r="G2847" s="1">
        <f>IFERROR(__xludf.DUMMYFUNCTION("""COMPUTED_VALUE"""),467635262004)</f>
        <v>467635262004</v>
      </c>
      <c r="H2847" s="1" t="str">
        <f>IFERROR(__xludf.DUMMYFUNCTION("""COMPUTED_VALUE"""),"GIL TANO MEDINA")</f>
        <v>GIL TANO MEDINA</v>
      </c>
      <c r="I2847" s="1">
        <f>IFERROR(__xludf.DUMMYFUNCTION("""COMPUTED_VALUE"""),9817919479)</f>
        <v>9817919479</v>
      </c>
      <c r="J2847" s="1">
        <f>IFERROR(__xludf.DUMMYFUNCTION("""COMPUTED_VALUE"""),9813800469)</f>
        <v>9813800469</v>
      </c>
      <c r="K2847" s="1" t="str">
        <f>IFERROR(__xludf.DUMMYFUNCTION("""COMPUTED_VALUE"""),"panganr104@gmail.com")</f>
        <v>panganr104@gmail.com</v>
      </c>
      <c r="L2847" s="1" t="str">
        <f>IFERROR(__xludf.DUMMYFUNCTION("""COMPUTED_VALUE"""),"BLK 41 LOT 13")</f>
        <v>BLK 41 LOT 13</v>
      </c>
      <c r="M2847" s="1" t="str">
        <f>IFERROR(__xludf.DUMMYFUNCTION("""COMPUTED_VALUE"""),"OLAES")</f>
        <v>OLAES</v>
      </c>
      <c r="N2847" s="1"/>
      <c r="O2847" s="1" t="str">
        <f>IFERROR(__xludf.DUMMYFUNCTION("""COMPUTED_VALUE"""),"ALDIANO OLAES")</f>
        <v>ALDIANO OLAES</v>
      </c>
      <c r="P2847" s="1" t="str">
        <f>IFERROR(__xludf.DUMMYFUNCTION("""COMPUTED_VALUE"""),"GEN MARIANO ALVAREZ")</f>
        <v>GEN MARIANO ALVAREZ</v>
      </c>
      <c r="Q2847" s="1" t="str">
        <f>IFERROR(__xludf.DUMMYFUNCTION("""COMPUTED_VALUE"""),"CAVITE")</f>
        <v>CAVITE</v>
      </c>
      <c r="R2847" s="1" t="str">
        <f>IFERROR(__xludf.DUMMYFUNCTION("""COMPUTED_VALUE"""),"FIBR UNLI ALL PLAN 999")</f>
        <v>FIBR UNLI ALL PLAN 999</v>
      </c>
      <c r="S2847" s="1" t="str">
        <f>IFERROR(__xludf.DUMMYFUNCTION("""COMPUTED_VALUE"""),"APPROVED")</f>
        <v>APPROVED</v>
      </c>
      <c r="T2847" s="1" t="str">
        <f>IFERROR(__xludf.DUMMYFUNCTION("""COMPUTED_VALUE"""),"FOR CANCELLATION")</f>
        <v>FOR CANCELLATION</v>
      </c>
      <c r="U2847" s="1"/>
      <c r="V2847" s="1"/>
      <c r="W2847" s="1"/>
    </row>
    <row r="2848" customHeight="1" spans="1:23">
      <c r="A2848" s="3">
        <f>IFERROR(__xludf.DUMMYFUNCTION("""COMPUTED_VALUE"""),46257)</f>
        <v>46257</v>
      </c>
      <c r="B2848" s="1" t="str">
        <f>IFERROR(__xludf.DUMMYFUNCTION("""COMPUTED_VALUE"""),"ARIENA, LYKA")</f>
        <v>ARIENA, LYKA</v>
      </c>
      <c r="C2848" s="1" t="str">
        <f>IFERROR(__xludf.DUMMYFUNCTION("""COMPUTED_VALUE"""),"ORGANIC")</f>
        <v>ORGANIC</v>
      </c>
      <c r="D2848" s="1" t="str">
        <f>IFERROR(__xludf.DUMMYFUNCTION("""COMPUTED_VALUE"""),"REMOLLO LEA")</f>
        <v>REMOLLO LEA</v>
      </c>
      <c r="E2848" s="1" t="str">
        <f>IFERROR(__xludf.DUMMYFUNCTION("""COMPUTED_VALUE"""),"PLDT / H2H")</f>
        <v>PLDT / H2H</v>
      </c>
      <c r="F2848" s="1">
        <f>IFERROR(__xludf.DUMMYFUNCTION("""COMPUTED_VALUE"""),2312024376)</f>
        <v>2312024376</v>
      </c>
      <c r="G2848" s="1"/>
      <c r="H2848" s="1" t="str">
        <f>IFERROR(__xludf.DUMMYFUNCTION("""COMPUTED_VALUE"""),"ISABEL SORIANO VERGARA")</f>
        <v>ISABEL SORIANO VERGARA</v>
      </c>
      <c r="I2848" s="1">
        <f>IFERROR(__xludf.DUMMYFUNCTION("""COMPUTED_VALUE"""),9464131984)</f>
        <v>9464131984</v>
      </c>
      <c r="J2848" s="1">
        <f>IFERROR(__xludf.DUMMYFUNCTION("""COMPUTED_VALUE"""),9462513468)</f>
        <v>9462513468</v>
      </c>
      <c r="K2848" s="1" t="str">
        <f>IFERROR(__xludf.DUMMYFUNCTION("""COMPUTED_VALUE"""),"vergara@mymesiah.ph.education")</f>
        <v>vergara@mymesiah.ph.education</v>
      </c>
      <c r="L2848" s="1" t="str">
        <f>IFERROR(__xludf.DUMMYFUNCTION("""COMPUTED_VALUE"""),"BLK 30 LOT 2")</f>
        <v>BLK 30 LOT 2</v>
      </c>
      <c r="M2848" s="1" t="str">
        <f>IFERROR(__xludf.DUMMYFUNCTION("""COMPUTED_VALUE"""),"SALUD")</f>
        <v>SALUD</v>
      </c>
      <c r="N2848" s="1"/>
      <c r="O2848" s="1" t="str">
        <f>IFERROR(__xludf.DUMMYFUNCTION("""COMPUTED_VALUE"""),"INOCENCIO SALUD")</f>
        <v>INOCENCIO SALUD</v>
      </c>
      <c r="P2848" s="1" t="str">
        <f>IFERROR(__xludf.DUMMYFUNCTION("""COMPUTED_VALUE"""),"GEN MARIANO ALVAREZ")</f>
        <v>GEN MARIANO ALVAREZ</v>
      </c>
      <c r="Q2848" s="1" t="str">
        <f>IFERROR(__xludf.DUMMYFUNCTION("""COMPUTED_VALUE"""),"CAVITE")</f>
        <v>CAVITE</v>
      </c>
      <c r="R2848" s="1" t="str">
        <f>IFERROR(__xludf.DUMMYFUNCTION("""COMPUTED_VALUE"""),"FIBR UNLI ALL PLAN 999")</f>
        <v>FIBR UNLI ALL PLAN 999</v>
      </c>
      <c r="S2848" s="1" t="str">
        <f>IFERROR(__xludf.DUMMYFUNCTION("""COMPUTED_VALUE"""),"APPROVED")</f>
        <v>APPROVED</v>
      </c>
      <c r="T2848" s="1" t="str">
        <f>IFERROR(__xludf.DUMMYFUNCTION("""COMPUTED_VALUE"""),"NO BL ACCOUNT CREATION")</f>
        <v>NO BL ACCOUNT CREATION</v>
      </c>
      <c r="U2848" s="1"/>
      <c r="V2848" s="1"/>
      <c r="W2848" s="1"/>
    </row>
    <row r="2849" customHeight="1" spans="1:23">
      <c r="A2849" s="3">
        <f>IFERROR(__xludf.DUMMYFUNCTION("""COMPUTED_VALUE"""),46257)</f>
        <v>46257</v>
      </c>
      <c r="B2849" s="1" t="str">
        <f>IFERROR(__xludf.DUMMYFUNCTION("""COMPUTED_VALUE"""),"GABAY, MANUEL")</f>
        <v>GABAY, MANUEL</v>
      </c>
      <c r="C2849" s="1" t="str">
        <f>IFERROR(__xludf.DUMMYFUNCTION("""COMPUTED_VALUE"""),"FLA")</f>
        <v>FLA</v>
      </c>
      <c r="D2849" s="1" t="str">
        <f>IFERROR(__xludf.DUMMYFUNCTION("""COMPUTED_VALUE"""),"JERIC NAVARRO")</f>
        <v>JERIC NAVARRO</v>
      </c>
      <c r="E2849" s="1" t="str">
        <f>IFERROR(__xludf.DUMMYFUNCTION("""COMPUTED_VALUE"""),"PLDT / H2H")</f>
        <v>PLDT / H2H</v>
      </c>
      <c r="F2849" s="1">
        <f>IFERROR(__xludf.DUMMYFUNCTION("""COMPUTED_VALUE"""),2312024702)</f>
        <v>2312024702</v>
      </c>
      <c r="G2849" s="1">
        <f>IFERROR(__xludf.DUMMYFUNCTION("""COMPUTED_VALUE"""),467791197004)</f>
        <v>467791197004</v>
      </c>
      <c r="H2849" s="1" t="str">
        <f>IFERROR(__xludf.DUMMYFUNCTION("""COMPUTED_VALUE"""),"NARRY ROCA BARRION")</f>
        <v>NARRY ROCA BARRION</v>
      </c>
      <c r="I2849" s="1">
        <f>IFERROR(__xludf.DUMMYFUNCTION("""COMPUTED_VALUE"""),9553151642)</f>
        <v>9553151642</v>
      </c>
      <c r="J2849" s="1">
        <f>IFERROR(__xludf.DUMMYFUNCTION("""COMPUTED_VALUE"""),9756462922)</f>
        <v>9756462922</v>
      </c>
      <c r="K2849" s="1" t="str">
        <f>IFERROR(__xludf.DUMMYFUNCTION("""COMPUTED_VALUE"""),"barrionsheenarose5@gmail.com")</f>
        <v>barrionsheenarose5@gmail.com</v>
      </c>
      <c r="L2849" s="1" t="str">
        <f>IFERROR(__xludf.DUMMYFUNCTION("""COMPUTED_VALUE"""),"270")</f>
        <v>270</v>
      </c>
      <c r="M2849" s="1" t="str">
        <f>IFERROR(__xludf.DUMMYFUNCTION("""COMPUTED_VALUE"""),"GUANG MIN")</f>
        <v>GUANG MIN</v>
      </c>
      <c r="N2849" s="1"/>
      <c r="O2849" s="1" t="str">
        <f>IFERROR(__xludf.DUMMYFUNCTION("""COMPUTED_VALUE"""),"GALICIA III")</f>
        <v>GALICIA III</v>
      </c>
      <c r="P2849" s="1" t="str">
        <f>IFERROR(__xludf.DUMMYFUNCTION("""COMPUTED_VALUE"""),"MENDEZ")</f>
        <v>MENDEZ</v>
      </c>
      <c r="Q2849" s="1" t="str">
        <f>IFERROR(__xludf.DUMMYFUNCTION("""COMPUTED_VALUE"""),"CAVITE")</f>
        <v>CAVITE</v>
      </c>
      <c r="R2849" s="1" t="str">
        <f>IFERROR(__xludf.DUMMYFUNCTION("""COMPUTED_VALUE"""),"FIBR UNLI ALL PLAN 999")</f>
        <v>FIBR UNLI ALL PLAN 999</v>
      </c>
      <c r="S2849" s="1" t="str">
        <f>IFERROR(__xludf.DUMMYFUNCTION("""COMPUTED_VALUE"""),"APPROVED")</f>
        <v>APPROVED</v>
      </c>
      <c r="T2849" s="1" t="str">
        <f>IFERROR(__xludf.DUMMYFUNCTION("""COMPUTED_VALUE"""),"CANCELLED")</f>
        <v>CANCELLED</v>
      </c>
      <c r="U2849" s="1"/>
      <c r="V2849" s="1"/>
      <c r="W2849" s="1"/>
    </row>
    <row r="2850" customHeight="1" spans="1:23">
      <c r="A2850" s="3">
        <f>IFERROR(__xludf.DUMMYFUNCTION("""COMPUTED_VALUE"""),46257)</f>
        <v>46257</v>
      </c>
      <c r="B2850" s="1" t="str">
        <f>IFERROR(__xludf.DUMMYFUNCTION("""COMPUTED_VALUE"""),"ESCARCHA, MA ALMA  ESCOTO")</f>
        <v>ESCARCHA, MA ALMA  ESCOTO</v>
      </c>
      <c r="C2850" s="1" t="str">
        <f>IFERROR(__xludf.DUMMYFUNCTION("""COMPUTED_VALUE"""),"ORGANIC")</f>
        <v>ORGANIC</v>
      </c>
      <c r="D2850" s="1" t="str">
        <f>IFERROR(__xludf.DUMMYFUNCTION("""COMPUTED_VALUE"""),"REMOLLO LEA")</f>
        <v>REMOLLO LEA</v>
      </c>
      <c r="E2850" s="1" t="str">
        <f>IFERROR(__xludf.DUMMYFUNCTION("""COMPUTED_VALUE"""),"PLDT / H2H")</f>
        <v>PLDT / H2H</v>
      </c>
      <c r="F2850" s="1">
        <f>IFERROR(__xludf.DUMMYFUNCTION("""COMPUTED_VALUE"""),2312024949)</f>
        <v>2312024949</v>
      </c>
      <c r="G2850" s="1"/>
      <c r="H2850" s="1" t="str">
        <f>IFERROR(__xludf.DUMMYFUNCTION("""COMPUTED_VALUE"""),"JOVELYN MARTINEZ LOJERA")</f>
        <v>JOVELYN MARTINEZ LOJERA</v>
      </c>
      <c r="I2850" s="1">
        <f>IFERROR(__xludf.DUMMYFUNCTION("""COMPUTED_VALUE"""),9455225965)</f>
        <v>9455225965</v>
      </c>
      <c r="J2850" s="1"/>
      <c r="K2850" s="1" t="str">
        <f>IFERROR(__xludf.DUMMYFUNCTION("""COMPUTED_VALUE"""),"joviemartinez14@gmail.com")</f>
        <v>joviemartinez14@gmail.com</v>
      </c>
      <c r="L2850" s="1" t="str">
        <f>IFERROR(__xludf.DUMMYFUNCTION("""COMPUTED_VALUE"""),"29a")</f>
        <v>29a</v>
      </c>
      <c r="M2850" s="1" t="str">
        <f>IFERROR(__xludf.DUMMYFUNCTION("""COMPUTED_VALUE"""),"KALUBKOB")</f>
        <v>KALUBKOB</v>
      </c>
      <c r="N2850" s="1"/>
      <c r="O2850" s="1" t="str">
        <f>IFERROR(__xludf.DUMMYFUNCTION("""COMPUTED_VALUE"""),"ASIS I")</f>
        <v>ASIS I</v>
      </c>
      <c r="P2850" s="1" t="str">
        <f>IFERROR(__xludf.DUMMYFUNCTION("""COMPUTED_VALUE"""),"MENDEZ")</f>
        <v>MENDEZ</v>
      </c>
      <c r="Q2850" s="1" t="str">
        <f>IFERROR(__xludf.DUMMYFUNCTION("""COMPUTED_VALUE"""),"CAVITE")</f>
        <v>CAVITE</v>
      </c>
      <c r="R2850" s="1" t="str">
        <f>IFERROR(__xludf.DUMMYFUNCTION("""COMPUTED_VALUE"""),"FIBR UNLI ALL PLAN 999")</f>
        <v>FIBR UNLI ALL PLAN 999</v>
      </c>
      <c r="S2850" s="1" t="str">
        <f>IFERROR(__xludf.DUMMYFUNCTION("""COMPUTED_VALUE"""),"APPROVED")</f>
        <v>APPROVED</v>
      </c>
      <c r="T2850" s="1" t="str">
        <f>IFERROR(__xludf.DUMMYFUNCTION("""COMPUTED_VALUE"""),"CANCELLED")</f>
        <v>CANCELLED</v>
      </c>
      <c r="U2850" s="1"/>
      <c r="V2850" s="1"/>
      <c r="W2850" s="1"/>
    </row>
    <row r="2851" customHeight="1" spans="1:23">
      <c r="A2851" s="3">
        <f>IFERROR(__xludf.DUMMYFUNCTION("""COMPUTED_VALUE"""),46257)</f>
        <v>46257</v>
      </c>
      <c r="B2851" s="1" t="str">
        <f>IFERROR(__xludf.DUMMYFUNCTION("""COMPUTED_VALUE"""),"ALOS, CHARLS LAURENZ")</f>
        <v>ALOS, CHARLS LAURENZ</v>
      </c>
      <c r="C2851" s="1" t="str">
        <f>IFERROR(__xludf.DUMMYFUNCTION("""COMPUTED_VALUE"""),"ORGANIC")</f>
        <v>ORGANIC</v>
      </c>
      <c r="D2851" s="1" t="str">
        <f>IFERROR(__xludf.DUMMYFUNCTION("""COMPUTED_VALUE"""),"REMOLLO LEA")</f>
        <v>REMOLLO LEA</v>
      </c>
      <c r="E2851" s="1" t="str">
        <f>IFERROR(__xludf.DUMMYFUNCTION("""COMPUTED_VALUE"""),"RED FIBER")</f>
        <v>RED FIBER</v>
      </c>
      <c r="F2851" s="1"/>
      <c r="G2851" s="1"/>
      <c r="H2851" s="1" t="str">
        <f>IFERROR(__xludf.DUMMYFUNCTION("""COMPUTED_VALUE"""),"RICO ABEDES NULLIA")</f>
        <v>RICO ABEDES NULLIA</v>
      </c>
      <c r="I2851" s="1">
        <f>IFERROR(__xludf.DUMMYFUNCTION("""COMPUTED_VALUE"""),9303736317)</f>
        <v>9303736317</v>
      </c>
      <c r="J2851" s="1"/>
      <c r="K2851" s="1" t="str">
        <f>IFERROR(__xludf.DUMMYFUNCTION("""COMPUTED_VALUE"""),"ricsnulla@gmail.com")</f>
        <v>ricsnulla@gmail.com</v>
      </c>
      <c r="L2851" s="1" t="str">
        <f>IFERROR(__xludf.DUMMYFUNCTION("""COMPUTED_VALUE"""),"333")</f>
        <v>333</v>
      </c>
      <c r="M2851" s="1" t="str">
        <f>IFERROR(__xludf.DUMMYFUNCTION("""COMPUTED_VALUE"""),"MABINI")</f>
        <v>MABINI</v>
      </c>
      <c r="N2851" s="1"/>
      <c r="O2851" s="1" t="str">
        <f>IFERROR(__xludf.DUMMYFUNCTION("""COMPUTED_VALUE"""),"POBLACION III")</f>
        <v>POBLACION III</v>
      </c>
      <c r="P2851" s="1" t="str">
        <f>IFERROR(__xludf.DUMMYFUNCTION("""COMPUTED_VALUE"""),"MENDEZ")</f>
        <v>MENDEZ</v>
      </c>
      <c r="Q2851" s="1" t="str">
        <f>IFERROR(__xludf.DUMMYFUNCTION("""COMPUTED_VALUE"""),"CAVITE")</f>
        <v>CAVITE</v>
      </c>
      <c r="R2851" s="1" t="str">
        <f>IFERROR(__xludf.DUMMYFUNCTION("""COMPUTED_VALUE"""),"RED PLAN 1000")</f>
        <v>RED PLAN 1000</v>
      </c>
      <c r="S2851" s="1" t="str">
        <f>IFERROR(__xludf.DUMMYFUNCTION("""COMPUTED_VALUE"""),"APPROVED")</f>
        <v>APPROVED</v>
      </c>
      <c r="T2851" s="1" t="str">
        <f>IFERROR(__xludf.DUMMYFUNCTION("""COMPUTED_VALUE"""),"PENDING EMAIL VERIF")</f>
        <v>PENDING EMAIL VERIF</v>
      </c>
      <c r="U2851" s="1" t="str">
        <f>IFERROR(__xludf.DUMMYFUNCTION("""COMPUTED_VALUE"""),"PENDING EMAIL")</f>
        <v>PENDING EMAIL</v>
      </c>
      <c r="V2851" s="1"/>
      <c r="W2851" s="1"/>
    </row>
    <row r="2852" customHeight="1" spans="1:23">
      <c r="A2852" s="3">
        <f>IFERROR(__xludf.DUMMYFUNCTION("""COMPUTED_VALUE"""),46257)</f>
        <v>46257</v>
      </c>
      <c r="B2852" s="1" t="str">
        <f>IFERROR(__xludf.DUMMYFUNCTION("""COMPUTED_VALUE"""),"TAMAYO, MARY ROSE")</f>
        <v>TAMAYO, MARY ROSE</v>
      </c>
      <c r="C2852" s="1" t="str">
        <f>IFERROR(__xludf.DUMMYFUNCTION("""COMPUTED_VALUE"""),"ORGANIC")</f>
        <v>ORGANIC</v>
      </c>
      <c r="D2852" s="1" t="str">
        <f>IFERROR(__xludf.DUMMYFUNCTION("""COMPUTED_VALUE"""),"REMOLLO LEA")</f>
        <v>REMOLLO LEA</v>
      </c>
      <c r="E2852" s="1" t="str">
        <f>IFERROR(__xludf.DUMMYFUNCTION("""COMPUTED_VALUE"""),"PLDT / H2H")</f>
        <v>PLDT / H2H</v>
      </c>
      <c r="F2852" s="1">
        <f>IFERROR(__xludf.DUMMYFUNCTION("""COMPUTED_VALUE"""),2312026636)</f>
        <v>2312026636</v>
      </c>
      <c r="G2852" s="1">
        <f>IFERROR(__xludf.DUMMYFUNCTION("""COMPUTED_VALUE"""),467791369004)</f>
        <v>467791369004</v>
      </c>
      <c r="H2852" s="1" t="str">
        <f>IFERROR(__xludf.DUMMYFUNCTION("""COMPUTED_VALUE"""),"KENNETH ALONZO RENA")</f>
        <v>KENNETH ALONZO RENA</v>
      </c>
      <c r="I2852" s="1">
        <f>IFERROR(__xludf.DUMMYFUNCTION("""COMPUTED_VALUE"""),9560334475)</f>
        <v>9560334475</v>
      </c>
      <c r="J2852" s="1">
        <f>IFERROR(__xludf.DUMMYFUNCTION("""COMPUTED_VALUE"""),9065034982)</f>
        <v>9065034982</v>
      </c>
      <c r="K2852" s="1" t="str">
        <f>IFERROR(__xludf.DUMMYFUNCTION("""COMPUTED_VALUE"""),"caiden.162830@gmail.com")</f>
        <v>caiden.162830@gmail.com</v>
      </c>
      <c r="L2852" s="1" t="str">
        <f>IFERROR(__xludf.DUMMYFUNCTION("""COMPUTED_VALUE"""),"BLK 48 LOT 26")</f>
        <v>BLK 48 LOT 26</v>
      </c>
      <c r="M2852" s="1" t="str">
        <f>IFERROR(__xludf.DUMMYFUNCTION("""COMPUTED_VALUE"""),"NARRA")</f>
        <v>NARRA</v>
      </c>
      <c r="N2852" s="1"/>
      <c r="O2852" s="1" t="str">
        <f>IFERROR(__xludf.DUMMYFUNCTION("""COMPUTED_VALUE"""),"NARRA III")</f>
        <v>NARRA III</v>
      </c>
      <c r="P2852" s="1" t="str">
        <f>IFERROR(__xludf.DUMMYFUNCTION("""COMPUTED_VALUE"""),"SILANG")</f>
        <v>SILANG</v>
      </c>
      <c r="Q2852" s="1" t="str">
        <f>IFERROR(__xludf.DUMMYFUNCTION("""COMPUTED_VALUE"""),"CAVITE")</f>
        <v>CAVITE</v>
      </c>
      <c r="R2852" s="1" t="str">
        <f>IFERROR(__xludf.DUMMYFUNCTION("""COMPUTED_VALUE"""),"FIBR UNLI ALL PLAN 999")</f>
        <v>FIBR UNLI ALL PLAN 999</v>
      </c>
      <c r="S2852" s="1" t="str">
        <f>IFERROR(__xludf.DUMMYFUNCTION("""COMPUTED_VALUE"""),"APPROVED")</f>
        <v>APPROVED</v>
      </c>
      <c r="T2852" s="1" t="str">
        <f>IFERROR(__xludf.DUMMYFUNCTION("""COMPUTED_VALUE"""),"CLOSED")</f>
        <v>CLOSED</v>
      </c>
      <c r="U2852" s="1" t="str">
        <f>IFERROR(__xludf.DUMMYFUNCTION("""COMPUTED_VALUE"""),"POSTED")</f>
        <v>POSTED</v>
      </c>
      <c r="V2852" s="1"/>
      <c r="W2852" s="1"/>
    </row>
    <row r="2853" customHeight="1" spans="1:23">
      <c r="A2853" s="3">
        <f>IFERROR(__xludf.DUMMYFUNCTION("""COMPUTED_VALUE"""),46257)</f>
        <v>46257</v>
      </c>
      <c r="B2853" s="1" t="str">
        <f>IFERROR(__xludf.DUMMYFUNCTION("""COMPUTED_VALUE"""),"MANDUCDOC, MARIANE")</f>
        <v>MANDUCDOC, MARIANE</v>
      </c>
      <c r="C2853" s="1" t="str">
        <f>IFERROR(__xludf.DUMMYFUNCTION("""COMPUTED_VALUE"""),"ORGANIC")</f>
        <v>ORGANIC</v>
      </c>
      <c r="D2853" s="1" t="str">
        <f>IFERROR(__xludf.DUMMYFUNCTION("""COMPUTED_VALUE"""),"REMOLLO LEA")</f>
        <v>REMOLLO LEA</v>
      </c>
      <c r="E2853" s="1" t="str">
        <f>IFERROR(__xludf.DUMMYFUNCTION("""COMPUTED_VALUE"""),"PLDT / H2H")</f>
        <v>PLDT / H2H</v>
      </c>
      <c r="F2853" s="1">
        <f>IFERROR(__xludf.DUMMYFUNCTION("""COMPUTED_VALUE"""),2312026921)</f>
        <v>2312026921</v>
      </c>
      <c r="G2853" s="1">
        <f>IFERROR(__xludf.DUMMYFUNCTION("""COMPUTED_VALUE"""),467648116004)</f>
        <v>467648116004</v>
      </c>
      <c r="H2853" s="1" t="str">
        <f>IFERROR(__xludf.DUMMYFUNCTION("""COMPUTED_VALUE"""),"JAYVIE GERMONES ABORDO")</f>
        <v>JAYVIE GERMONES ABORDO</v>
      </c>
      <c r="I2853" s="1">
        <f>IFERROR(__xludf.DUMMYFUNCTION("""COMPUTED_VALUE"""),9203602496)</f>
        <v>9203602496</v>
      </c>
      <c r="J2853" s="1">
        <f>IFERROR(__xludf.DUMMYFUNCTION("""COMPUTED_VALUE"""),9398331869)</f>
        <v>9398331869</v>
      </c>
      <c r="K2853" s="1" t="str">
        <f>IFERROR(__xludf.DUMMYFUNCTION("""COMPUTED_VALUE"""),"yuusha11sama@gmail.com")</f>
        <v>yuusha11sama@gmail.com</v>
      </c>
      <c r="L2853" s="1" t="str">
        <f>IFERROR(__xludf.DUMMYFUNCTION("""COMPUTED_VALUE"""),"BLK 30 LOT 11")</f>
        <v>BLK 30 LOT 11</v>
      </c>
      <c r="M2853" s="1" t="str">
        <f>IFERROR(__xludf.DUMMYFUNCTION("""COMPUTED_VALUE"""),"SALUD")</f>
        <v>SALUD</v>
      </c>
      <c r="N2853" s="1"/>
      <c r="O2853" s="1" t="str">
        <f>IFERROR(__xludf.DUMMYFUNCTION("""COMPUTED_VALUE"""),"INOCENCIO SALUD")</f>
        <v>INOCENCIO SALUD</v>
      </c>
      <c r="P2853" s="1" t="str">
        <f>IFERROR(__xludf.DUMMYFUNCTION("""COMPUTED_VALUE"""),"GEN MARIANO ALVAREZ")</f>
        <v>GEN MARIANO ALVAREZ</v>
      </c>
      <c r="Q2853" s="1" t="str">
        <f>IFERROR(__xludf.DUMMYFUNCTION("""COMPUTED_VALUE"""),"CAVITE")</f>
        <v>CAVITE</v>
      </c>
      <c r="R2853" s="1" t="str">
        <f>IFERROR(__xludf.DUMMYFUNCTION("""COMPUTED_VALUE"""),"FIBR UNLI ALL PLAN 999")</f>
        <v>FIBR UNLI ALL PLAN 999</v>
      </c>
      <c r="S2853" s="1" t="str">
        <f>IFERROR(__xludf.DUMMYFUNCTION("""COMPUTED_VALUE"""),"APPROVED")</f>
        <v>APPROVED</v>
      </c>
      <c r="T2853" s="1" t="str">
        <f>IFERROR(__xludf.DUMMYFUNCTION("""COMPUTED_VALUE"""),"CLOSED")</f>
        <v>CLOSED</v>
      </c>
      <c r="U2853" s="1" t="str">
        <f>IFERROR(__xludf.DUMMYFUNCTION("""COMPUTED_VALUE"""),"POSTED")</f>
        <v>POSTED</v>
      </c>
      <c r="V2853" s="1"/>
      <c r="W2853" s="1"/>
    </row>
    <row r="2854" customHeight="1" spans="1:23">
      <c r="A2854" s="3">
        <f>IFERROR(__xludf.DUMMYFUNCTION("""COMPUTED_VALUE"""),46257)</f>
        <v>46257</v>
      </c>
      <c r="B2854" s="1" t="str">
        <f>IFERROR(__xludf.DUMMYFUNCTION("""COMPUTED_VALUE"""),"MALIWAT MARK ELVIN")</f>
        <v>MALIWAT MARK ELVIN</v>
      </c>
      <c r="C2854" s="1" t="str">
        <f>IFERROR(__xludf.DUMMYFUNCTION("""COMPUTED_VALUE"""),"FLA")</f>
        <v>FLA</v>
      </c>
      <c r="D2854" s="1" t="str">
        <f>IFERROR(__xludf.DUMMYFUNCTION("""COMPUTED_VALUE"""),"JERIC NAVARRO")</f>
        <v>JERIC NAVARRO</v>
      </c>
      <c r="E2854" s="1" t="str">
        <f>IFERROR(__xludf.DUMMYFUNCTION("""COMPUTED_VALUE"""),"PLDT / ONLINE")</f>
        <v>PLDT / ONLINE</v>
      </c>
      <c r="F2854" s="1">
        <f>IFERROR(__xludf.DUMMYFUNCTION("""COMPUTED_VALUE"""),2312023967)</f>
        <v>2312023967</v>
      </c>
      <c r="G2854" s="1">
        <f>IFERROR(__xludf.DUMMYFUNCTION("""COMPUTED_VALUE"""),467641791004)</f>
        <v>467641791004</v>
      </c>
      <c r="H2854" s="1" t="str">
        <f>IFERROR(__xludf.DUMMYFUNCTION("""COMPUTED_VALUE"""),"JUNNEL ANCIRO LAMBRINTO")</f>
        <v>JUNNEL ANCIRO LAMBRINTO</v>
      </c>
      <c r="I2854" s="1">
        <f>IFERROR(__xludf.DUMMYFUNCTION("""COMPUTED_VALUE"""),9924173220)</f>
        <v>9924173220</v>
      </c>
      <c r="J2854" s="1">
        <f>IFERROR(__xludf.DUMMYFUNCTION("""COMPUTED_VALUE"""),9532301357)</f>
        <v>9532301357</v>
      </c>
      <c r="K2854" s="1" t="str">
        <f>IFERROR(__xludf.DUMMYFUNCTION("""COMPUTED_VALUE"""),"jlambrinto0001@gmail.com")</f>
        <v>jlambrinto0001@gmail.com</v>
      </c>
      <c r="L2854" s="1" t="str">
        <f>IFERROR(__xludf.DUMMYFUNCTION("""COMPUTED_VALUE"""),"BLK 50 LOT 42")</f>
        <v>BLK 50 LOT 42</v>
      </c>
      <c r="M2854" s="1" t="str">
        <f>IFERROR(__xludf.DUMMYFUNCTION("""COMPUTED_VALUE"""),"PLUTO")</f>
        <v>PLUTO</v>
      </c>
      <c r="N2854" s="1" t="str">
        <f>IFERROR(__xludf.DUMMYFUNCTION("""COMPUTED_VALUE"""),"CHRV")</f>
        <v>CHRV</v>
      </c>
      <c r="O2854" s="1" t="str">
        <f>IFERROR(__xludf.DUMMYFUNCTION("""COMPUTED_VALUE"""),"LANGKAAN II")</f>
        <v>LANGKAAN II</v>
      </c>
      <c r="P2854" s="1" t="str">
        <f>IFERROR(__xludf.DUMMYFUNCTION("""COMPUTED_VALUE"""),"DASMARINAS")</f>
        <v>DASMARINAS</v>
      </c>
      <c r="Q2854" s="1" t="str">
        <f>IFERROR(__xludf.DUMMYFUNCTION("""COMPUTED_VALUE"""),"CAVITE")</f>
        <v>CAVITE</v>
      </c>
      <c r="R2854" s="1" t="str">
        <f>IFERROR(__xludf.DUMMYFUNCTION("""COMPUTED_VALUE"""),"FIBR PLAN 1299")</f>
        <v>FIBR PLAN 1299</v>
      </c>
      <c r="S2854" s="1" t="str">
        <f>IFERROR(__xludf.DUMMYFUNCTION("""COMPUTED_VALUE"""),"APPROVED")</f>
        <v>APPROVED</v>
      </c>
      <c r="T2854" s="1" t="str">
        <f>IFERROR(__xludf.DUMMYFUNCTION("""COMPUTED_VALUE"""),"CLOSED")</f>
        <v>CLOSED</v>
      </c>
      <c r="U2854" s="1" t="str">
        <f>IFERROR(__xludf.DUMMYFUNCTION("""COMPUTED_VALUE"""),"POSTED")</f>
        <v>POSTED</v>
      </c>
      <c r="V2854" s="1"/>
      <c r="W2854" s="1"/>
    </row>
    <row r="2855" customHeight="1" spans="1:23">
      <c r="A2855" s="3">
        <f>IFERROR(__xludf.DUMMYFUNCTION("""COMPUTED_VALUE"""),46257)</f>
        <v>46257</v>
      </c>
      <c r="B2855" s="1" t="str">
        <f>IFERROR(__xludf.DUMMYFUNCTION("""COMPUTED_VALUE"""),"LUPENA , KARL")</f>
        <v>LUPENA , KARL</v>
      </c>
      <c r="C2855" s="1" t="str">
        <f>IFERROR(__xludf.DUMMYFUNCTION("""COMPUTED_VALUE"""),"ORGANIC")</f>
        <v>ORGANIC</v>
      </c>
      <c r="D2855" s="1" t="str">
        <f>IFERROR(__xludf.DUMMYFUNCTION("""COMPUTED_VALUE"""),"JERIC NAVARRO")</f>
        <v>JERIC NAVARRO</v>
      </c>
      <c r="E2855" s="1" t="str">
        <f>IFERROR(__xludf.DUMMYFUNCTION("""COMPUTED_VALUE"""),"PLDT / ONLINE")</f>
        <v>PLDT / ONLINE</v>
      </c>
      <c r="F2855" s="1">
        <f>IFERROR(__xludf.DUMMYFUNCTION("""COMPUTED_VALUE"""),2312023128)</f>
        <v>2312023128</v>
      </c>
      <c r="G2855" s="1">
        <f>IFERROR(__xludf.DUMMYFUNCTION("""COMPUTED_VALUE"""),467638981004)</f>
        <v>467638981004</v>
      </c>
      <c r="H2855" s="1" t="str">
        <f>IFERROR(__xludf.DUMMYFUNCTION("""COMPUTED_VALUE"""),"ROSSANA CASTILLO RIVERA")</f>
        <v>ROSSANA CASTILLO RIVERA</v>
      </c>
      <c r="I2855" s="1">
        <f>IFERROR(__xludf.DUMMYFUNCTION("""COMPUTED_VALUE"""),9615071640)</f>
        <v>9615071640</v>
      </c>
      <c r="J2855" s="1"/>
      <c r="K2855" s="1" t="str">
        <f>IFERROR(__xludf.DUMMYFUNCTION("""COMPUTED_VALUE"""),"0123rossana@gmail.com")</f>
        <v>0123rossana@gmail.com</v>
      </c>
      <c r="L2855" s="1" t="str">
        <f>IFERROR(__xludf.DUMMYFUNCTION("""COMPUTED_VALUE"""),"BLK 31 LOT 16")</f>
        <v>BLK 31 LOT 16</v>
      </c>
      <c r="M2855" s="1" t="str">
        <f>IFERROR(__xludf.DUMMYFUNCTION("""COMPUTED_VALUE"""),"GOLDEN HORIZON")</f>
        <v>GOLDEN HORIZON</v>
      </c>
      <c r="N2855" s="1"/>
      <c r="O2855" s="1" t="str">
        <f>IFERROR(__xludf.DUMMYFUNCTION("""COMPUTED_VALUE"""),"HUGO PEREZ")</f>
        <v>HUGO PEREZ</v>
      </c>
      <c r="P2855" s="1" t="str">
        <f>IFERROR(__xludf.DUMMYFUNCTION("""COMPUTED_VALUE"""),"TRECE MARTIRES")</f>
        <v>TRECE MARTIRES</v>
      </c>
      <c r="Q2855" s="1" t="str">
        <f>IFERROR(__xludf.DUMMYFUNCTION("""COMPUTED_VALUE"""),"CAVITE")</f>
        <v>CAVITE</v>
      </c>
      <c r="R2855" s="1" t="str">
        <f>IFERROR(__xludf.DUMMYFUNCTION("""COMPUTED_VALUE"""),"FIBR PLAN 1299")</f>
        <v>FIBR PLAN 1299</v>
      </c>
      <c r="S2855" s="1" t="str">
        <f>IFERROR(__xludf.DUMMYFUNCTION("""COMPUTED_VALUE"""),"APPROVED")</f>
        <v>APPROVED</v>
      </c>
      <c r="T2855" s="1" t="str">
        <f>IFERROR(__xludf.DUMMYFUNCTION("""COMPUTED_VALUE"""),"CANCELLED")</f>
        <v>CANCELLED</v>
      </c>
      <c r="U2855" s="1" t="str">
        <f>IFERROR(__xludf.DUMMYFUNCTION("""COMPUTED_VALUE"""),"PAID VIA GCASH")</f>
        <v>PAID VIA GCASH</v>
      </c>
      <c r="V2855" s="1"/>
      <c r="W2855" s="1"/>
    </row>
    <row r="2856" customHeight="1" spans="1:23">
      <c r="A2856" s="3">
        <f>IFERROR(__xludf.DUMMYFUNCTION("""COMPUTED_VALUE"""),46257)</f>
        <v>46257</v>
      </c>
      <c r="B2856" s="1" t="str">
        <f>IFERROR(__xludf.DUMMYFUNCTION("""COMPUTED_VALUE"""),"FRANCISCO , ROSELYN")</f>
        <v>FRANCISCO , ROSELYN</v>
      </c>
      <c r="C2856" s="1" t="str">
        <f>IFERROR(__xludf.DUMMYFUNCTION("""COMPUTED_VALUE"""),"ORGANIC")</f>
        <v>ORGANIC</v>
      </c>
      <c r="D2856" s="1" t="str">
        <f>IFERROR(__xludf.DUMMYFUNCTION("""COMPUTED_VALUE"""),"REMOLLO LEA")</f>
        <v>REMOLLO LEA</v>
      </c>
      <c r="E2856" s="1" t="str">
        <f>IFERROR(__xludf.DUMMYFUNCTION("""COMPUTED_VALUE"""),"PLDT / H2H")</f>
        <v>PLDT / H2H</v>
      </c>
      <c r="F2856" s="1">
        <f>IFERROR(__xludf.DUMMYFUNCTION("""COMPUTED_VALUE"""),2312023628)</f>
        <v>2312023628</v>
      </c>
      <c r="G2856" s="1">
        <f>IFERROR(__xludf.DUMMYFUNCTION("""COMPUTED_VALUE"""),467638328004)</f>
        <v>467638328004</v>
      </c>
      <c r="H2856" s="1" t="str">
        <f>IFERROR(__xludf.DUMMYFUNCTION("""COMPUTED_VALUE"""),"KEZREEL ESPINOSA ZAMORA")</f>
        <v>KEZREEL ESPINOSA ZAMORA</v>
      </c>
      <c r="I2856" s="1">
        <f>IFERROR(__xludf.DUMMYFUNCTION("""COMPUTED_VALUE"""),9926266847)</f>
        <v>9926266847</v>
      </c>
      <c r="J2856" s="1">
        <f>IFERROR(__xludf.DUMMYFUNCTION("""COMPUTED_VALUE"""),9462547636)</f>
        <v>9462547636</v>
      </c>
      <c r="K2856" s="1" t="str">
        <f>IFERROR(__xludf.DUMMYFUNCTION("""COMPUTED_VALUE"""),"leazam2026@gmail.com")</f>
        <v>leazam2026@gmail.com</v>
      </c>
      <c r="L2856" s="1" t="str">
        <f>IFERROR(__xludf.DUMMYFUNCTION("""COMPUTED_VALUE"""),"BLK 22 LOT 39")</f>
        <v>BLK 22 LOT 39</v>
      </c>
      <c r="M2856" s="1" t="str">
        <f>IFERROR(__xludf.DUMMYFUNCTION("""COMPUTED_VALUE"""),"GOLDEN CITY PHASE 10")</f>
        <v>GOLDEN CITY PHASE 10</v>
      </c>
      <c r="N2856" s="1"/>
      <c r="O2856" s="1" t="str">
        <f>IFERROR(__xludf.DUMMYFUNCTION("""COMPUTED_VALUE"""),"SALAWAG")</f>
        <v>SALAWAG</v>
      </c>
      <c r="P2856" s="1" t="str">
        <f>IFERROR(__xludf.DUMMYFUNCTION("""COMPUTED_VALUE"""),"DASMARINAS")</f>
        <v>DASMARINAS</v>
      </c>
      <c r="Q2856" s="1" t="str">
        <f>IFERROR(__xludf.DUMMYFUNCTION("""COMPUTED_VALUE"""),"CAVITE")</f>
        <v>CAVITE</v>
      </c>
      <c r="R2856" s="1" t="str">
        <f>IFERROR(__xludf.DUMMYFUNCTION("""COMPUTED_VALUE"""),"FIBR PLAN 1299")</f>
        <v>FIBR PLAN 1299</v>
      </c>
      <c r="S2856" s="1" t="str">
        <f>IFERROR(__xludf.DUMMYFUNCTION("""COMPUTED_VALUE"""),"APPROVED")</f>
        <v>APPROVED</v>
      </c>
      <c r="T2856" s="1" t="str">
        <f>IFERROR(__xludf.DUMMYFUNCTION("""COMPUTED_VALUE"""),"CANCELLED")</f>
        <v>CANCELLED</v>
      </c>
      <c r="U2856" s="1"/>
      <c r="V2856" s="1"/>
      <c r="W2856" s="1"/>
    </row>
    <row r="2857" customHeight="1" spans="1:23">
      <c r="A2857" s="3">
        <f>IFERROR(__xludf.DUMMYFUNCTION("""COMPUTED_VALUE"""),46257)</f>
        <v>46257</v>
      </c>
      <c r="B2857" s="1" t="str">
        <f>IFERROR(__xludf.DUMMYFUNCTION("""COMPUTED_VALUE"""),"ESCARCHA, MA ALMA  ESCOTO")</f>
        <v>ESCARCHA, MA ALMA  ESCOTO</v>
      </c>
      <c r="C2857" s="1" t="str">
        <f>IFERROR(__xludf.DUMMYFUNCTION("""COMPUTED_VALUE"""),"ORGANIC")</f>
        <v>ORGANIC</v>
      </c>
      <c r="D2857" s="1" t="str">
        <f>IFERROR(__xludf.DUMMYFUNCTION("""COMPUTED_VALUE"""),"REMOLLO LEA")</f>
        <v>REMOLLO LEA</v>
      </c>
      <c r="E2857" s="1" t="str">
        <f>IFERROR(__xludf.DUMMYFUNCTION("""COMPUTED_VALUE"""),"PLDT / H2H")</f>
        <v>PLDT / H2H</v>
      </c>
      <c r="F2857" s="1">
        <f>IFERROR(__xludf.DUMMYFUNCTION("""COMPUTED_VALUE"""),2312037308)</f>
        <v>2312037308</v>
      </c>
      <c r="G2857" s="1">
        <f>IFERROR(__xludf.DUMMYFUNCTION("""COMPUTED_VALUE"""),467770057004)</f>
        <v>467770057004</v>
      </c>
      <c r="H2857" s="1" t="str">
        <f>IFERROR(__xludf.DUMMYFUNCTION("""COMPUTED_VALUE"""),"RANDY CERDINA CAMPOSANO")</f>
        <v>RANDY CERDINA CAMPOSANO</v>
      </c>
      <c r="I2857" s="1">
        <f>IFERROR(__xludf.DUMMYFUNCTION("""COMPUTED_VALUE"""),9525263223)</f>
        <v>9525263223</v>
      </c>
      <c r="J2857" s="1"/>
      <c r="K2857" s="1" t="str">
        <f>IFERROR(__xludf.DUMMYFUNCTION("""COMPUTED_VALUE"""),"ellamaefrias9@gmail.com")</f>
        <v>ellamaefrias9@gmail.com</v>
      </c>
      <c r="L2857" s="1" t="str">
        <f>IFERROR(__xludf.DUMMYFUNCTION("""COMPUTED_VALUE"""),"BLK 38")</f>
        <v>BLK 38</v>
      </c>
      <c r="M2857" s="1" t="str">
        <f>IFERROR(__xludf.DUMMYFUNCTION("""COMPUTED_VALUE"""),"EXCESS LOT")</f>
        <v>EXCESS LOT</v>
      </c>
      <c r="N2857" s="1"/>
      <c r="O2857" s="1" t="str">
        <f>IFERROR(__xludf.DUMMYFUNCTION("""COMPUTED_VALUE"""),"ALDIANO OLAES")</f>
        <v>ALDIANO OLAES</v>
      </c>
      <c r="P2857" s="1" t="str">
        <f>IFERROR(__xludf.DUMMYFUNCTION("""COMPUTED_VALUE"""),"GEN MARIANO ALVAREZ")</f>
        <v>GEN MARIANO ALVAREZ</v>
      </c>
      <c r="Q2857" s="1" t="str">
        <f>IFERROR(__xludf.DUMMYFUNCTION("""COMPUTED_VALUE"""),"CAVITE")</f>
        <v>CAVITE</v>
      </c>
      <c r="R2857" s="1" t="str">
        <f>IFERROR(__xludf.DUMMYFUNCTION("""COMPUTED_VALUE"""),"FIBR UNLI ALL PLAN 1499")</f>
        <v>FIBR UNLI ALL PLAN 1499</v>
      </c>
      <c r="S2857" s="1" t="str">
        <f>IFERROR(__xludf.DUMMYFUNCTION("""COMPUTED_VALUE"""),"APPROVED")</f>
        <v>APPROVED</v>
      </c>
      <c r="T2857" s="1" t="str">
        <f>IFERROR(__xludf.DUMMYFUNCTION("""COMPUTED_VALUE"""),"CLOSED")</f>
        <v>CLOSED</v>
      </c>
      <c r="U2857" s="1" t="str">
        <f>IFERROR(__xludf.DUMMYFUNCTION("""COMPUTED_VALUE"""),"POSTED")</f>
        <v>POSTED</v>
      </c>
      <c r="V2857" s="1"/>
      <c r="W2857" s="1"/>
    </row>
    <row r="2858" customHeight="1" spans="1:23">
      <c r="A2858" s="3">
        <f>IFERROR(__xludf.DUMMYFUNCTION("""COMPUTED_VALUE"""),46257)</f>
        <v>46257</v>
      </c>
      <c r="B2858" s="1" t="str">
        <f>IFERROR(__xludf.DUMMYFUNCTION("""COMPUTED_VALUE"""),"ALOS, CHARLS LAURENZ")</f>
        <v>ALOS, CHARLS LAURENZ</v>
      </c>
      <c r="C2858" s="1" t="str">
        <f>IFERROR(__xludf.DUMMYFUNCTION("""COMPUTED_VALUE"""),"ORGANIC")</f>
        <v>ORGANIC</v>
      </c>
      <c r="D2858" s="1" t="str">
        <f>IFERROR(__xludf.DUMMYFUNCTION("""COMPUTED_VALUE"""),"REMOLLO LEA")</f>
        <v>REMOLLO LEA</v>
      </c>
      <c r="E2858" s="1" t="str">
        <f>IFERROR(__xludf.DUMMYFUNCTION("""COMPUTED_VALUE"""),"PLDT / H2H")</f>
        <v>PLDT / H2H</v>
      </c>
      <c r="F2858" s="1">
        <f>IFERROR(__xludf.DUMMYFUNCTION("""COMPUTED_VALUE"""),2312027599)</f>
        <v>2312027599</v>
      </c>
      <c r="G2858" s="1">
        <f>IFERROR(__xludf.DUMMYFUNCTION("""COMPUTED_VALUE"""),467652113004)</f>
        <v>467652113004</v>
      </c>
      <c r="H2858" s="1" t="str">
        <f>IFERROR(__xludf.DUMMYFUNCTION("""COMPUTED_VALUE"""),"LOUIELYN MAE PAREDES TORRES")</f>
        <v>LOUIELYN MAE PAREDES TORRES</v>
      </c>
      <c r="I2858" s="1">
        <f>IFERROR(__xludf.DUMMYFUNCTION("""COMPUTED_VALUE"""),9758460485)</f>
        <v>9758460485</v>
      </c>
      <c r="J2858" s="1"/>
      <c r="K2858" s="1" t="str">
        <f>IFERROR(__xludf.DUMMYFUNCTION("""COMPUTED_VALUE"""),"yluielyntorres@gmail.com")</f>
        <v>yluielyntorres@gmail.com</v>
      </c>
      <c r="L2858" s="1" t="str">
        <f>IFERROR(__xludf.DUMMYFUNCTION("""COMPUTED_VALUE"""),"BLK 44 ")</f>
        <v>BLK 44 </v>
      </c>
      <c r="M2858" s="1" t="str">
        <f>IFERROR(__xludf.DUMMYFUNCTION("""COMPUTED_VALUE"""),"EXCESS LOT")</f>
        <v>EXCESS LOT</v>
      </c>
      <c r="N2858" s="1"/>
      <c r="O2858" s="1" t="str">
        <f>IFERROR(__xludf.DUMMYFUNCTION("""COMPUTED_VALUE"""),"BARANGAY 5 (POB.)")</f>
        <v>BARANGAY 5 (POB.)</v>
      </c>
      <c r="P2858" s="1" t="str">
        <f>IFERROR(__xludf.DUMMYFUNCTION("""COMPUTED_VALUE"""),"GEN MARIANO ALVAREZ")</f>
        <v>GEN MARIANO ALVAREZ</v>
      </c>
      <c r="Q2858" s="1" t="str">
        <f>IFERROR(__xludf.DUMMYFUNCTION("""COMPUTED_VALUE"""),"CAVITE")</f>
        <v>CAVITE</v>
      </c>
      <c r="R2858" s="1" t="str">
        <f>IFERROR(__xludf.DUMMYFUNCTION("""COMPUTED_VALUE"""),"FIBR UNLI ALL PLAN 999")</f>
        <v>FIBR UNLI ALL PLAN 999</v>
      </c>
      <c r="S2858" s="1" t="str">
        <f>IFERROR(__xludf.DUMMYFUNCTION("""COMPUTED_VALUE"""),"APPROVED")</f>
        <v>APPROVED</v>
      </c>
      <c r="T2858" s="1" t="str">
        <f>IFERROR(__xludf.DUMMYFUNCTION("""COMPUTED_VALUE"""),"CLOSED")</f>
        <v>CLOSED</v>
      </c>
      <c r="U2858" s="1" t="str">
        <f>IFERROR(__xludf.DUMMYFUNCTION("""COMPUTED_VALUE"""),"POSTED")</f>
        <v>POSTED</v>
      </c>
      <c r="V2858" s="1"/>
      <c r="W2858" s="1"/>
    </row>
    <row r="2859" customHeight="1" spans="1:23">
      <c r="A2859" s="3">
        <f>IFERROR(__xludf.DUMMYFUNCTION("""COMPUTED_VALUE"""),46257)</f>
        <v>46257</v>
      </c>
      <c r="B2859" s="1" t="str">
        <f>IFERROR(__xludf.DUMMYFUNCTION("""COMPUTED_VALUE"""),"RIVERA, AIRIZH JOY")</f>
        <v>RIVERA, AIRIZH JOY</v>
      </c>
      <c r="C2859" s="1" t="str">
        <f>IFERROR(__xludf.DUMMYFUNCTION("""COMPUTED_VALUE"""),"ORGANIC")</f>
        <v>ORGANIC</v>
      </c>
      <c r="D2859" s="1" t="str">
        <f>IFERROR(__xludf.DUMMYFUNCTION("""COMPUTED_VALUE"""),"REMOLLO LEA")</f>
        <v>REMOLLO LEA</v>
      </c>
      <c r="E2859" s="1" t="str">
        <f>IFERROR(__xludf.DUMMYFUNCTION("""COMPUTED_VALUE"""),"PLDT / H2H")</f>
        <v>PLDT / H2H</v>
      </c>
      <c r="F2859" s="1">
        <f>IFERROR(__xludf.DUMMYFUNCTION("""COMPUTED_VALUE"""),2312027528)</f>
        <v>2312027528</v>
      </c>
      <c r="G2859" s="1">
        <f>IFERROR(__xludf.DUMMYFUNCTION("""COMPUTED_VALUE"""),467652385004)</f>
        <v>467652385004</v>
      </c>
      <c r="H2859" s="1" t="str">
        <f>IFERROR(__xludf.DUMMYFUNCTION("""COMPUTED_VALUE"""),"AJAY PATRICK BAMUYA HATE")</f>
        <v>AJAY PATRICK BAMUYA HATE</v>
      </c>
      <c r="I2859" s="1">
        <f>IFERROR(__xludf.DUMMYFUNCTION("""COMPUTED_VALUE"""),9754449300)</f>
        <v>9754449300</v>
      </c>
      <c r="J2859" s="1">
        <f>IFERROR(__xludf.DUMMYFUNCTION("""COMPUTED_VALUE"""),9977122823)</f>
        <v>9977122823</v>
      </c>
      <c r="K2859" s="1" t="str">
        <f>IFERROR(__xludf.DUMMYFUNCTION("""COMPUTED_VALUE"""),"rhinaro60545@gmail.com")</f>
        <v>rhinaro60545@gmail.com</v>
      </c>
      <c r="L2859" s="1" t="str">
        <f>IFERROR(__xludf.DUMMYFUNCTION("""COMPUTED_VALUE"""),"BLK 29 LOT 19")</f>
        <v>BLK 29 LOT 19</v>
      </c>
      <c r="M2859" s="1" t="str">
        <f>IFERROR(__xludf.DUMMYFUNCTION("""COMPUTED_VALUE"""),"GAVINO MADERAN")</f>
        <v>GAVINO MADERAN</v>
      </c>
      <c r="N2859" s="1"/>
      <c r="O2859" s="1" t="str">
        <f>IFERROR(__xludf.DUMMYFUNCTION("""COMPUTED_VALUE"""),"GAVINO MADERAN")</f>
        <v>GAVINO MADERAN</v>
      </c>
      <c r="P2859" s="1" t="str">
        <f>IFERROR(__xludf.DUMMYFUNCTION("""COMPUTED_VALUE"""),"GEN MARIANO ALVAREZ")</f>
        <v>GEN MARIANO ALVAREZ</v>
      </c>
      <c r="Q2859" s="1" t="str">
        <f>IFERROR(__xludf.DUMMYFUNCTION("""COMPUTED_VALUE"""),"CAVITE")</f>
        <v>CAVITE</v>
      </c>
      <c r="R2859" s="1" t="str">
        <f>IFERROR(__xludf.DUMMYFUNCTION("""COMPUTED_VALUE"""),"FIBR UNLI ALL PLAN 999")</f>
        <v>FIBR UNLI ALL PLAN 999</v>
      </c>
      <c r="S2859" s="1" t="str">
        <f>IFERROR(__xludf.DUMMYFUNCTION("""COMPUTED_VALUE"""),"APPROVED")</f>
        <v>APPROVED</v>
      </c>
      <c r="T2859" s="1" t="str">
        <f>IFERROR(__xludf.DUMMYFUNCTION("""COMPUTED_VALUE"""),"FOR CANCELLATION")</f>
        <v>FOR CANCELLATION</v>
      </c>
      <c r="U2859" s="1"/>
      <c r="V2859" s="1"/>
      <c r="W2859" s="1"/>
    </row>
    <row r="2860" customHeight="1" spans="1:23">
      <c r="A2860" s="3">
        <f>IFERROR(__xludf.DUMMYFUNCTION("""COMPUTED_VALUE"""),46258)</f>
        <v>46258</v>
      </c>
      <c r="B2860" s="1" t="str">
        <f>IFERROR(__xludf.DUMMYFUNCTION("""COMPUTED_VALUE"""),"MALIWAT MARK ELVIN")</f>
        <v>MALIWAT MARK ELVIN</v>
      </c>
      <c r="C2860" s="1" t="str">
        <f>IFERROR(__xludf.DUMMYFUNCTION("""COMPUTED_VALUE"""),"FLA")</f>
        <v>FLA</v>
      </c>
      <c r="D2860" s="1" t="str">
        <f>IFERROR(__xludf.DUMMYFUNCTION("""COMPUTED_VALUE"""),"JERIC NAVARRO")</f>
        <v>JERIC NAVARRO</v>
      </c>
      <c r="E2860" s="1" t="str">
        <f>IFERROR(__xludf.DUMMYFUNCTION("""COMPUTED_VALUE"""),"PLDT / ONLINE")</f>
        <v>PLDT / ONLINE</v>
      </c>
      <c r="F2860" s="1">
        <f>IFERROR(__xludf.DUMMYFUNCTION("""COMPUTED_VALUE"""),2312046958)</f>
        <v>2312046958</v>
      </c>
      <c r="G2860" s="1"/>
      <c r="H2860" s="1" t="str">
        <f>IFERROR(__xludf.DUMMYFUNCTION("""COMPUTED_VALUE""")," EGBERT ALLAN MONTEVERDE RIVERA")</f>
        <v> EGBERT ALLAN MONTEVERDE RIVERA</v>
      </c>
      <c r="I2860" s="1">
        <f>IFERROR(__xludf.DUMMYFUNCTION("""COMPUTED_VALUE"""),639175572298)</f>
        <v>639175572298</v>
      </c>
      <c r="J2860" s="1">
        <f>IFERROR(__xludf.DUMMYFUNCTION("""COMPUTED_VALUE"""),639175511365)</f>
        <v>639175511365</v>
      </c>
      <c r="K2860" s="1" t="str">
        <f>IFERROR(__xludf.DUMMYFUNCTION("""COMPUTED_VALUE"""),"ebet_101865@yahoo.com.ph")</f>
        <v>ebet_101865@yahoo.com.ph</v>
      </c>
      <c r="L2860" s="1" t="str">
        <f>IFERROR(__xludf.DUMMYFUNCTION("""COMPUTED_VALUE"""),"32")</f>
        <v>32</v>
      </c>
      <c r="M2860" s="1" t="str">
        <f>IFERROR(__xludf.DUMMYFUNCTION("""COMPUTED_VALUE"""),"BURGOS")</f>
        <v>BURGOS</v>
      </c>
      <c r="N2860" s="1" t="str">
        <f>IFERROR(__xludf.DUMMYFUNCTION("""COMPUTED_VALUE"""),"NONA PROPERTY")</f>
        <v>NONA PROPERTY</v>
      </c>
      <c r="O2860" s="1" t="str">
        <f>IFERROR(__xludf.DUMMYFUNCTION("""COMPUTED_VALUE"""),"BARANGAY 1 (POB.)")</f>
        <v>BARANGAY 1 (POB.)</v>
      </c>
      <c r="P2860" s="1" t="str">
        <f>IFERROR(__xludf.DUMMYFUNCTION("""COMPUTED_VALUE"""),"ALFONSO")</f>
        <v>ALFONSO</v>
      </c>
      <c r="Q2860" s="1" t="str">
        <f>IFERROR(__xludf.DUMMYFUNCTION("""COMPUTED_VALUE"""),"CAVITE")</f>
        <v>CAVITE</v>
      </c>
      <c r="R2860" s="1" t="str">
        <f>IFERROR(__xludf.DUMMYFUNCTION("""COMPUTED_VALUE"""),"FIBR UNLI ALL PLAN 999")</f>
        <v>FIBR UNLI ALL PLAN 999</v>
      </c>
      <c r="S2860" s="1" t="str">
        <f>IFERROR(__xludf.DUMMYFUNCTION("""COMPUTED_VALUE"""),"APPROVED")</f>
        <v>APPROVED</v>
      </c>
      <c r="T2860" s="1" t="str">
        <f>IFERROR(__xludf.DUMMYFUNCTION("""COMPUTED_VALUE"""),"SFS VALIDATION")</f>
        <v>SFS VALIDATION</v>
      </c>
      <c r="U2860" s="1"/>
      <c r="V2860" s="1"/>
      <c r="W2860" s="1"/>
    </row>
    <row r="2861" customHeight="1" spans="1:23">
      <c r="A2861" s="3">
        <f>IFERROR(__xludf.DUMMYFUNCTION("""COMPUTED_VALUE"""),46258)</f>
        <v>46258</v>
      </c>
      <c r="B2861" s="1" t="str">
        <f>IFERROR(__xludf.DUMMYFUNCTION("""COMPUTED_VALUE"""),"FRANCISCO , ROSELYN")</f>
        <v>FRANCISCO , ROSELYN</v>
      </c>
      <c r="C2861" s="1" t="str">
        <f>IFERROR(__xludf.DUMMYFUNCTION("""COMPUTED_VALUE"""),"ORGANIC")</f>
        <v>ORGANIC</v>
      </c>
      <c r="D2861" s="1" t="str">
        <f>IFERROR(__xludf.DUMMYFUNCTION("""COMPUTED_VALUE"""),"REMOLLO LEA")</f>
        <v>REMOLLO LEA</v>
      </c>
      <c r="E2861" s="1" t="str">
        <f>IFERROR(__xludf.DUMMYFUNCTION("""COMPUTED_VALUE"""),"PLDT / ONLINE")</f>
        <v>PLDT / ONLINE</v>
      </c>
      <c r="F2861" s="1">
        <f>IFERROR(__xludf.DUMMYFUNCTION("""COMPUTED_VALUE"""),2312039188)</f>
        <v>2312039188</v>
      </c>
      <c r="G2861" s="1">
        <f>IFERROR(__xludf.DUMMYFUNCTION("""COMPUTED_VALUE"""),467791174004)</f>
        <v>467791174004</v>
      </c>
      <c r="H2861" s="1" t="str">
        <f>IFERROR(__xludf.DUMMYFUNCTION("""COMPUTED_VALUE"""),"DONNA MAE CASTILLANO BUMANGLAG")</f>
        <v>DONNA MAE CASTILLANO BUMANGLAG</v>
      </c>
      <c r="I2861" s="1">
        <f>IFERROR(__xludf.DUMMYFUNCTION("""COMPUTED_VALUE"""),639087858551)</f>
        <v>639087858551</v>
      </c>
      <c r="J2861" s="1">
        <f>IFERROR(__xludf.DUMMYFUNCTION("""COMPUTED_VALUE"""),639542560545)</f>
        <v>639542560545</v>
      </c>
      <c r="K2861" s="1" t="str">
        <f>IFERROR(__xludf.DUMMYFUNCTION("""COMPUTED_VALUE"""),"donnabumanglag0508@gmail.com")</f>
        <v>donnabumanglag0508@gmail.com</v>
      </c>
      <c r="L2861" s="1" t="str">
        <f>IFERROR(__xludf.DUMMYFUNCTION("""COMPUTED_VALUE"""),"055-BL-019")</f>
        <v>055-BL-019</v>
      </c>
      <c r="M2861" s="1" t="str">
        <f>IFERROR(__xludf.DUMMYFUNCTION("""COMPUTED_VALUE"""),"ACACIA")</f>
        <v>ACACIA</v>
      </c>
      <c r="N2861" s="1" t="str">
        <f>IFERROR(__xludf.DUMMYFUNCTION("""COMPUTED_VALUE"""),"BEL ALDEA")</f>
        <v>BEL ALDEA</v>
      </c>
      <c r="O2861" s="1" t="str">
        <f>IFERROR(__xludf.DUMMYFUNCTION("""COMPUTED_VALUE"""),"SAN FRANCISCO")</f>
        <v>SAN FRANCISCO</v>
      </c>
      <c r="P2861" s="1" t="str">
        <f>IFERROR(__xludf.DUMMYFUNCTION("""COMPUTED_VALUE"""),"GENERAL TRIAS")</f>
        <v>GENERAL TRIAS</v>
      </c>
      <c r="Q2861" s="1" t="str">
        <f>IFERROR(__xludf.DUMMYFUNCTION("""COMPUTED_VALUE"""),"CAVITE")</f>
        <v>CAVITE</v>
      </c>
      <c r="R2861" s="1" t="str">
        <f>IFERROR(__xludf.DUMMYFUNCTION("""COMPUTED_VALUE"""),"FIBR UNLI ALL PLAN 1499")</f>
        <v>FIBR UNLI ALL PLAN 1499</v>
      </c>
      <c r="S2861" s="1" t="str">
        <f>IFERROR(__xludf.DUMMYFUNCTION("""COMPUTED_VALUE"""),"APPROVED")</f>
        <v>APPROVED</v>
      </c>
      <c r="T2861" s="1" t="str">
        <f>IFERROR(__xludf.DUMMYFUNCTION("""COMPUTED_VALUE"""),"ORDER IN PROGRESS")</f>
        <v>ORDER IN PROGRESS</v>
      </c>
      <c r="U2861" s="1"/>
      <c r="V2861" s="1"/>
      <c r="W2861" s="1"/>
    </row>
    <row r="2862" customHeight="1" spans="1:23">
      <c r="A2862" s="3">
        <f>IFERROR(__xludf.DUMMYFUNCTION("""COMPUTED_VALUE"""),46258)</f>
        <v>46258</v>
      </c>
      <c r="B2862" s="1" t="str">
        <f>IFERROR(__xludf.DUMMYFUNCTION("""COMPUTED_VALUE"""),"DENACO, RODNEY")</f>
        <v>DENACO, RODNEY</v>
      </c>
      <c r="C2862" s="1" t="str">
        <f>IFERROR(__xludf.DUMMYFUNCTION("""COMPUTED_VALUE"""),"ORGANIC")</f>
        <v>ORGANIC</v>
      </c>
      <c r="D2862" s="1" t="str">
        <f>IFERROR(__xludf.DUMMYFUNCTION("""COMPUTED_VALUE"""),"REMOLLO LEA")</f>
        <v>REMOLLO LEA</v>
      </c>
      <c r="E2862" s="1" t="str">
        <f>IFERROR(__xludf.DUMMYFUNCTION("""COMPUTED_VALUE"""),"PLDT / H2H")</f>
        <v>PLDT / H2H</v>
      </c>
      <c r="F2862" s="1">
        <f>IFERROR(__xludf.DUMMYFUNCTION("""COMPUTED_VALUE"""),2312040112)</f>
        <v>2312040112</v>
      </c>
      <c r="G2862" s="1">
        <f>IFERROR(__xludf.DUMMYFUNCTION("""COMPUTED_VALUE"""),467794455004)</f>
        <v>467794455004</v>
      </c>
      <c r="H2862" s="1" t="str">
        <f>IFERROR(__xludf.DUMMYFUNCTION("""COMPUTED_VALUE"""),"NOELBERT DIPAZ REGIS")</f>
        <v>NOELBERT DIPAZ REGIS</v>
      </c>
      <c r="I2862" s="1">
        <f>IFERROR(__xludf.DUMMYFUNCTION("""COMPUTED_VALUE"""),639953791387)</f>
        <v>639953791387</v>
      </c>
      <c r="J2862" s="1">
        <f>IFERROR(__xludf.DUMMYFUNCTION("""COMPUTED_VALUE"""),639213714751)</f>
        <v>639213714751</v>
      </c>
      <c r="K2862" s="1"/>
      <c r="L2862" s="1" t="str">
        <f>IFERROR(__xludf.DUMMYFUNCTION("""COMPUTED_VALUE"""),"407")</f>
        <v>407</v>
      </c>
      <c r="M2862" s="1" t="str">
        <f>IFERROR(__xludf.DUMMYFUNCTION("""COMPUTED_VALUE"""),"MUNTING ILOG")</f>
        <v>MUNTING ILOG</v>
      </c>
      <c r="N2862" s="1"/>
      <c r="O2862" s="1" t="str">
        <f>IFERROR(__xludf.DUMMYFUNCTION("""COMPUTED_VALUE"""),"MUNTING ILOG")</f>
        <v>MUNTING ILOG</v>
      </c>
      <c r="P2862" s="1" t="str">
        <f>IFERROR(__xludf.DUMMYFUNCTION("""COMPUTED_VALUE"""),"SILANG")</f>
        <v>SILANG</v>
      </c>
      <c r="Q2862" s="1" t="str">
        <f>IFERROR(__xludf.DUMMYFUNCTION("""COMPUTED_VALUE"""),"CAVITE")</f>
        <v>CAVITE</v>
      </c>
      <c r="R2862" s="1" t="str">
        <f>IFERROR(__xludf.DUMMYFUNCTION("""COMPUTED_VALUE"""),"FIBR UNLI ALL PLAN 999")</f>
        <v>FIBR UNLI ALL PLAN 999</v>
      </c>
      <c r="S2862" s="1" t="str">
        <f>IFERROR(__xludf.DUMMYFUNCTION("""COMPUTED_VALUE"""),"APPROVED")</f>
        <v>APPROVED</v>
      </c>
      <c r="T2862" s="1" t="str">
        <f>IFERROR(__xludf.DUMMYFUNCTION("""COMPUTED_VALUE"""),"CANCELLED")</f>
        <v>CANCELLED</v>
      </c>
      <c r="U2862" s="1"/>
      <c r="V2862" s="1"/>
      <c r="W2862" s="1"/>
    </row>
    <row r="2863" customHeight="1" spans="1:23">
      <c r="A2863" s="3">
        <f>IFERROR(__xludf.DUMMYFUNCTION("""COMPUTED_VALUE"""),46258)</f>
        <v>46258</v>
      </c>
      <c r="B2863" s="1" t="str">
        <f>IFERROR(__xludf.DUMMYFUNCTION("""COMPUTED_VALUE"""),"FRANCISCO , ROSELYN")</f>
        <v>FRANCISCO , ROSELYN</v>
      </c>
      <c r="C2863" s="1" t="str">
        <f>IFERROR(__xludf.DUMMYFUNCTION("""COMPUTED_VALUE"""),"ORGANIC")</f>
        <v>ORGANIC</v>
      </c>
      <c r="D2863" s="1" t="str">
        <f>IFERROR(__xludf.DUMMYFUNCTION("""COMPUTED_VALUE"""),"REMOLLO LEA")</f>
        <v>REMOLLO LEA</v>
      </c>
      <c r="E2863" s="1" t="str">
        <f>IFERROR(__xludf.DUMMYFUNCTION("""COMPUTED_VALUE"""),"PLDT / ONLINE")</f>
        <v>PLDT / ONLINE</v>
      </c>
      <c r="F2863" s="1">
        <f>IFERROR(__xludf.DUMMYFUNCTION("""COMPUTED_VALUE"""),2312041347)</f>
        <v>2312041347</v>
      </c>
      <c r="G2863" s="1"/>
      <c r="H2863" s="1" t="str">
        <f>IFERROR(__xludf.DUMMYFUNCTION("""COMPUTED_VALUE"""),"JENNINA AMEER DENIKKA DELA CRUZ DIESTA")</f>
        <v>JENNINA AMEER DENIKKA DELA CRUZ DIESTA</v>
      </c>
      <c r="I2863" s="1">
        <f>IFERROR(__xludf.DUMMYFUNCTION("""COMPUTED_VALUE"""),639364320798)</f>
        <v>639364320798</v>
      </c>
      <c r="J2863" s="1">
        <f>IFERROR(__xludf.DUMMYFUNCTION("""COMPUTED_VALUE"""),639123959073)</f>
        <v>639123959073</v>
      </c>
      <c r="K2863" s="1"/>
      <c r="L2863" s="1" t="str">
        <f>IFERROR(__xludf.DUMMYFUNCTION("""COMPUTED_VALUE"""),"001-BL-016")</f>
        <v>001-BL-016</v>
      </c>
      <c r="M2863" s="1" t="str">
        <f>IFERROR(__xludf.DUMMYFUNCTION("""COMPUTED_VALUE"""),"PHASE 5")</f>
        <v>PHASE 5</v>
      </c>
      <c r="N2863" s="1" t="str">
        <f>IFERROR(__xludf.DUMMYFUNCTION("""COMPUTED_VALUE"""),"GOLDEN CITY")</f>
        <v>GOLDEN CITY</v>
      </c>
      <c r="O2863" s="1" t="str">
        <f>IFERROR(__xludf.DUMMYFUNCTION("""COMPUTED_VALUE"""),"SALAWAG")</f>
        <v>SALAWAG</v>
      </c>
      <c r="P2863" s="1" t="str">
        <f>IFERROR(__xludf.DUMMYFUNCTION("""COMPUTED_VALUE"""),"DASMARINAS")</f>
        <v>DASMARINAS</v>
      </c>
      <c r="Q2863" s="1" t="str">
        <f>IFERROR(__xludf.DUMMYFUNCTION("""COMPUTED_VALUE"""),"CAVITE")</f>
        <v>CAVITE</v>
      </c>
      <c r="R2863" s="1" t="str">
        <f>IFERROR(__xludf.DUMMYFUNCTION("""COMPUTED_VALUE"""),"FIBR UNLI ALL PLAN 999")</f>
        <v>FIBR UNLI ALL PLAN 999</v>
      </c>
      <c r="S2863" s="1" t="str">
        <f>IFERROR(__xludf.DUMMYFUNCTION("""COMPUTED_VALUE"""),"APPROVED")</f>
        <v>APPROVED</v>
      </c>
      <c r="T2863" s="1" t="str">
        <f>IFERROR(__xludf.DUMMYFUNCTION("""COMPUTED_VALUE"""),"CANCELLED")</f>
        <v>CANCELLED</v>
      </c>
      <c r="U2863" s="1"/>
      <c r="V2863" s="1"/>
      <c r="W2863" s="1"/>
    </row>
    <row r="2864" customHeight="1" spans="1:23">
      <c r="A2864" s="3">
        <f>IFERROR(__xludf.DUMMYFUNCTION("""COMPUTED_VALUE"""),46258)</f>
        <v>46258</v>
      </c>
      <c r="B2864" s="1" t="str">
        <f>IFERROR(__xludf.DUMMYFUNCTION("""COMPUTED_VALUE"""),"AYON MANUEL")</f>
        <v>AYON MANUEL</v>
      </c>
      <c r="C2864" s="1" t="str">
        <f>IFERROR(__xludf.DUMMYFUNCTION("""COMPUTED_VALUE"""),"FLA")</f>
        <v>FLA</v>
      </c>
      <c r="D2864" s="1" t="str">
        <f>IFERROR(__xludf.DUMMYFUNCTION("""COMPUTED_VALUE"""),"JERIC NAVARRO")</f>
        <v>JERIC NAVARRO</v>
      </c>
      <c r="E2864" s="1" t="str">
        <f>IFERROR(__xludf.DUMMYFUNCTION("""COMPUTED_VALUE"""),"PLDT / H2H")</f>
        <v>PLDT / H2H</v>
      </c>
      <c r="F2864" s="1">
        <f>IFERROR(__xludf.DUMMYFUNCTION("""COMPUTED_VALUE"""),2312042099)</f>
        <v>2312042099</v>
      </c>
      <c r="G2864" s="1">
        <f>IFERROR(__xludf.DUMMYFUNCTION("""COMPUTED_VALUE"""),467791568004)</f>
        <v>467791568004</v>
      </c>
      <c r="H2864" s="1" t="str">
        <f>IFERROR(__xludf.DUMMYFUNCTION("""COMPUTED_VALUE"""),"NINA KATLINA VALERA NUNEZ")</f>
        <v>NINA KATLINA VALERA NUNEZ</v>
      </c>
      <c r="I2864" s="1">
        <f>IFERROR(__xludf.DUMMYFUNCTION("""COMPUTED_VALUE"""),639209695257)</f>
        <v>639209695257</v>
      </c>
      <c r="J2864" s="1">
        <f>IFERROR(__xludf.DUMMYFUNCTION("""COMPUTED_VALUE"""),639156758220)</f>
        <v>639156758220</v>
      </c>
      <c r="K2864" s="1"/>
      <c r="L2864" s="1" t="str">
        <f>IFERROR(__xludf.DUMMYFUNCTION("""COMPUTED_VALUE"""),"024-BL-037")</f>
        <v>024-BL-037</v>
      </c>
      <c r="M2864" s="1" t="str">
        <f>IFERROR(__xludf.DUMMYFUNCTION("""COMPUTED_VALUE"""),"PHASE 3")</f>
        <v>PHASE 3</v>
      </c>
      <c r="N2864" s="1" t="str">
        <f>IFERROR(__xludf.DUMMYFUNCTION("""COMPUTED_VALUE"""),"TERRAVERDE  RESIDENCES")</f>
        <v>TERRAVERDE  RESIDENCES</v>
      </c>
      <c r="O2864" s="1" t="str">
        <f>IFERROR(__xludf.DUMMYFUNCTION("""COMPUTED_VALUE"""),"BANCAL")</f>
        <v>BANCAL</v>
      </c>
      <c r="P2864" s="1" t="str">
        <f>IFERROR(__xludf.DUMMYFUNCTION("""COMPUTED_VALUE"""),"CARMONA")</f>
        <v>CARMONA</v>
      </c>
      <c r="Q2864" s="1" t="str">
        <f>IFERROR(__xludf.DUMMYFUNCTION("""COMPUTED_VALUE"""),"CAVITE")</f>
        <v>CAVITE</v>
      </c>
      <c r="R2864" s="1" t="str">
        <f>IFERROR(__xludf.DUMMYFUNCTION("""COMPUTED_VALUE"""),"FIBR PLAN 1299")</f>
        <v>FIBR PLAN 1299</v>
      </c>
      <c r="S2864" s="1" t="str">
        <f>IFERROR(__xludf.DUMMYFUNCTION("""COMPUTED_VALUE"""),"APPROVED")</f>
        <v>APPROVED</v>
      </c>
      <c r="T2864" s="1" t="str">
        <f>IFERROR(__xludf.DUMMYFUNCTION("""COMPUTED_VALUE"""),"CANCELLED")</f>
        <v>CANCELLED</v>
      </c>
      <c r="U2864" s="1"/>
      <c r="V2864" s="1"/>
      <c r="W2864" s="1"/>
    </row>
    <row r="2865" customHeight="1" spans="1:23">
      <c r="A2865" s="3">
        <f>IFERROR(__xludf.DUMMYFUNCTION("""COMPUTED_VALUE"""),46258)</f>
        <v>46258</v>
      </c>
      <c r="B2865" s="1" t="str">
        <f>IFERROR(__xludf.DUMMYFUNCTION("""COMPUTED_VALUE"""),"ARIENA, LYKA")</f>
        <v>ARIENA, LYKA</v>
      </c>
      <c r="C2865" s="1" t="str">
        <f>IFERROR(__xludf.DUMMYFUNCTION("""COMPUTED_VALUE"""),"ORGANIC")</f>
        <v>ORGANIC</v>
      </c>
      <c r="D2865" s="1" t="str">
        <f>IFERROR(__xludf.DUMMYFUNCTION("""COMPUTED_VALUE"""),"REMOLLO LEA")</f>
        <v>REMOLLO LEA</v>
      </c>
      <c r="E2865" s="1" t="str">
        <f>IFERROR(__xludf.DUMMYFUNCTION("""COMPUTED_VALUE"""),"PLDT / H2H")</f>
        <v>PLDT / H2H</v>
      </c>
      <c r="F2865" s="1">
        <f>IFERROR(__xludf.DUMMYFUNCTION("""COMPUTED_VALUE"""),2312042484)</f>
        <v>2312042484</v>
      </c>
      <c r="G2865" s="1">
        <f>IFERROR(__xludf.DUMMYFUNCTION("""COMPUTED_VALUE"""),467785585004)</f>
        <v>467785585004</v>
      </c>
      <c r="H2865" s="1" t="str">
        <f>IFERROR(__xludf.DUMMYFUNCTION("""COMPUTED_VALUE"""),"ROSE ANN TERCERO NABOR")</f>
        <v>ROSE ANN TERCERO NABOR</v>
      </c>
      <c r="I2865" s="1">
        <f>IFERROR(__xludf.DUMMYFUNCTION("""COMPUTED_VALUE"""),639345864216)</f>
        <v>639345864216</v>
      </c>
      <c r="J2865" s="1"/>
      <c r="K2865" s="1"/>
      <c r="L2865" s="1" t="str">
        <f>IFERROR(__xludf.DUMMYFUNCTION("""COMPUTED_VALUE"""),"255")</f>
        <v>255</v>
      </c>
      <c r="M2865" s="1" t="str">
        <f>IFERROR(__xludf.DUMMYFUNCTION("""COMPUTED_VALUE"""),"KALYE PUTOL")</f>
        <v>KALYE PUTOL</v>
      </c>
      <c r="N2865" s="1"/>
      <c r="O2865" s="1" t="str">
        <f>IFERROR(__xludf.DUMMYFUNCTION("""COMPUTED_VALUE"""),"TIBIG")</f>
        <v>TIBIG</v>
      </c>
      <c r="P2865" s="1" t="str">
        <f>IFERROR(__xludf.DUMMYFUNCTION("""COMPUTED_VALUE"""),"SILANG")</f>
        <v>SILANG</v>
      </c>
      <c r="Q2865" s="1" t="str">
        <f>IFERROR(__xludf.DUMMYFUNCTION("""COMPUTED_VALUE"""),"CAVITE")</f>
        <v>CAVITE</v>
      </c>
      <c r="R2865" s="1" t="str">
        <f>IFERROR(__xludf.DUMMYFUNCTION("""COMPUTED_VALUE"""),"FIBR UNLI ALL PLAN 1499")</f>
        <v>FIBR UNLI ALL PLAN 1499</v>
      </c>
      <c r="S2865" s="1" t="str">
        <f>IFERROR(__xludf.DUMMYFUNCTION("""COMPUTED_VALUE"""),"APPROVED")</f>
        <v>APPROVED</v>
      </c>
      <c r="T2865" s="1" t="str">
        <f>IFERROR(__xludf.DUMMYFUNCTION("""COMPUTED_VALUE"""),"CLOSED")</f>
        <v>CLOSED</v>
      </c>
      <c r="U2865" s="1" t="str">
        <f>IFERROR(__xludf.DUMMYFUNCTION("""COMPUTED_VALUE"""),"POSTED")</f>
        <v>POSTED</v>
      </c>
      <c r="V2865" s="1"/>
      <c r="W2865" s="1"/>
    </row>
    <row r="2866" customHeight="1" spans="1:23">
      <c r="A2866" s="3">
        <f>IFERROR(__xludf.DUMMYFUNCTION("""COMPUTED_VALUE"""),46258)</f>
        <v>46258</v>
      </c>
      <c r="B2866" s="1" t="str">
        <f>IFERROR(__xludf.DUMMYFUNCTION("""COMPUTED_VALUE"""),"CADERAO, RONALD")</f>
        <v>CADERAO, RONALD</v>
      </c>
      <c r="C2866" s="1" t="str">
        <f>IFERROR(__xludf.DUMMYFUNCTION("""COMPUTED_VALUE"""),"ORGANIC")</f>
        <v>ORGANIC</v>
      </c>
      <c r="D2866" s="1" t="str">
        <f>IFERROR(__xludf.DUMMYFUNCTION("""COMPUTED_VALUE"""),"REMOLLO LEA")</f>
        <v>REMOLLO LEA</v>
      </c>
      <c r="E2866" s="1" t="str">
        <f>IFERROR(__xludf.DUMMYFUNCTION("""COMPUTED_VALUE"""),"PLDT / H2H")</f>
        <v>PLDT / H2H</v>
      </c>
      <c r="F2866" s="1">
        <f>IFERROR(__xludf.DUMMYFUNCTION("""COMPUTED_VALUE"""),2312044398)</f>
        <v>2312044398</v>
      </c>
      <c r="G2866" s="1">
        <f>IFERROR(__xludf.DUMMYFUNCTION("""COMPUTED_VALUE"""),467787351004)</f>
        <v>467787351004</v>
      </c>
      <c r="H2866" s="1" t="str">
        <f>IFERROR(__xludf.DUMMYFUNCTION("""COMPUTED_VALUE"""),"NERISSA BAYONA BERSABAL")</f>
        <v>NERISSA BAYONA BERSABAL</v>
      </c>
      <c r="I2866" s="1">
        <f>IFERROR(__xludf.DUMMYFUNCTION("""COMPUTED_VALUE"""),639184666520)</f>
        <v>639184666520</v>
      </c>
      <c r="J2866" s="1">
        <f>IFERROR(__xludf.DUMMYFUNCTION("""COMPUTED_VALUE"""),639475741531)</f>
        <v>639475741531</v>
      </c>
      <c r="K2866" s="1"/>
      <c r="L2866" s="1" t="str">
        <f>IFERROR(__xludf.DUMMYFUNCTION("""COMPUTED_VALUE"""),"112")</f>
        <v>112</v>
      </c>
      <c r="M2866" s="1" t="str">
        <f>IFERROR(__xludf.DUMMYFUNCTION("""COMPUTED_VALUE"""),"MATROGATE")</f>
        <v>MATROGATE</v>
      </c>
      <c r="N2866" s="1"/>
      <c r="O2866" s="1" t="str">
        <f>IFERROR(__xludf.DUMMYFUNCTION("""COMPUTED_VALUE"""),"TIBIG")</f>
        <v>TIBIG</v>
      </c>
      <c r="P2866" s="1" t="str">
        <f>IFERROR(__xludf.DUMMYFUNCTION("""COMPUTED_VALUE"""),"SILANG")</f>
        <v>SILANG</v>
      </c>
      <c r="Q2866" s="1" t="str">
        <f>IFERROR(__xludf.DUMMYFUNCTION("""COMPUTED_VALUE"""),"CAVITE")</f>
        <v>CAVITE</v>
      </c>
      <c r="R2866" s="1" t="str">
        <f>IFERROR(__xludf.DUMMYFUNCTION("""COMPUTED_VALUE"""),"FIBR UNLI ALL PLAN 1499")</f>
        <v>FIBR UNLI ALL PLAN 1499</v>
      </c>
      <c r="S2866" s="1" t="str">
        <f>IFERROR(__xludf.DUMMYFUNCTION("""COMPUTED_VALUE"""),"APPROVED")</f>
        <v>APPROVED</v>
      </c>
      <c r="T2866" s="1" t="str">
        <f>IFERROR(__xludf.DUMMYFUNCTION("""COMPUTED_VALUE"""),"RPR")</f>
        <v>RPR</v>
      </c>
      <c r="U2866" s="1"/>
      <c r="V2866" s="1"/>
      <c r="W2866" s="1"/>
    </row>
    <row r="2867" customHeight="1" spans="1:23">
      <c r="A2867" s="3">
        <f>IFERROR(__xludf.DUMMYFUNCTION("""COMPUTED_VALUE"""),46258)</f>
        <v>46258</v>
      </c>
      <c r="B2867" s="1" t="str">
        <f>IFERROR(__xludf.DUMMYFUNCTION("""COMPUTED_VALUE"""),"FRANCISCO , ROSELYN")</f>
        <v>FRANCISCO , ROSELYN</v>
      </c>
      <c r="C2867" s="1" t="str">
        <f>IFERROR(__xludf.DUMMYFUNCTION("""COMPUTED_VALUE"""),"ORGANIC")</f>
        <v>ORGANIC</v>
      </c>
      <c r="D2867" s="1" t="str">
        <f>IFERROR(__xludf.DUMMYFUNCTION("""COMPUTED_VALUE"""),"REMOLLO LEA")</f>
        <v>REMOLLO LEA</v>
      </c>
      <c r="E2867" s="1" t="str">
        <f>IFERROR(__xludf.DUMMYFUNCTION("""COMPUTED_VALUE"""),"PLDT / ONLINE")</f>
        <v>PLDT / ONLINE</v>
      </c>
      <c r="F2867" s="1">
        <f>IFERROR(__xludf.DUMMYFUNCTION("""COMPUTED_VALUE"""),2312046287)</f>
        <v>2312046287</v>
      </c>
      <c r="G2867" s="1">
        <f>IFERROR(__xludf.DUMMYFUNCTION("""COMPUTED_VALUE"""),467792385004)</f>
        <v>467792385004</v>
      </c>
      <c r="H2867" s="1" t="str">
        <f>IFERROR(__xludf.DUMMYFUNCTION("""COMPUTED_VALUE"""),"GRACE ANN ISRAEL MALABAYABAS")</f>
        <v>GRACE ANN ISRAEL MALABAYABAS</v>
      </c>
      <c r="I2867" s="1">
        <f>IFERROR(__xludf.DUMMYFUNCTION("""COMPUTED_VALUE"""),639541842519)</f>
        <v>639541842519</v>
      </c>
      <c r="J2867" s="1">
        <f>IFERROR(__xludf.DUMMYFUNCTION("""COMPUTED_VALUE"""),639605156804)</f>
        <v>639605156804</v>
      </c>
      <c r="K2867" s="1"/>
      <c r="L2867" s="1" t="str">
        <f>IFERROR(__xludf.DUMMYFUNCTION("""COMPUTED_VALUE"""),"055-BL-010")</f>
        <v>055-BL-010</v>
      </c>
      <c r="M2867" s="1" t="str">
        <f>IFERROR(__xludf.DUMMYFUNCTION("""COMPUTED_VALUE"""),"GOLDEN MILES")</f>
        <v>GOLDEN MILES</v>
      </c>
      <c r="N2867" s="1"/>
      <c r="O2867" s="1" t="str">
        <f>IFERROR(__xludf.DUMMYFUNCTION("""COMPUTED_VALUE"""),"SALAWAG")</f>
        <v>SALAWAG</v>
      </c>
      <c r="P2867" s="1" t="str">
        <f>IFERROR(__xludf.DUMMYFUNCTION("""COMPUTED_VALUE"""),"DASMARINAS")</f>
        <v>DASMARINAS</v>
      </c>
      <c r="Q2867" s="1" t="str">
        <f>IFERROR(__xludf.DUMMYFUNCTION("""COMPUTED_VALUE"""),"CAVITE")</f>
        <v>CAVITE</v>
      </c>
      <c r="R2867" s="1" t="str">
        <f>IFERROR(__xludf.DUMMYFUNCTION("""COMPUTED_VALUE"""),"FIBR UNLI ALL PLAN 999")</f>
        <v>FIBR UNLI ALL PLAN 999</v>
      </c>
      <c r="S2867" s="1" t="str">
        <f>IFERROR(__xludf.DUMMYFUNCTION("""COMPUTED_VALUE"""),"APPROVED")</f>
        <v>APPROVED</v>
      </c>
      <c r="T2867" s="1" t="str">
        <f>IFERROR(__xludf.DUMMYFUNCTION("""COMPUTED_VALUE"""),"CLOSED")</f>
        <v>CLOSED</v>
      </c>
      <c r="U2867" s="1" t="str">
        <f>IFERROR(__xludf.DUMMYFUNCTION("""COMPUTED_VALUE"""),"POSTED")</f>
        <v>POSTED</v>
      </c>
      <c r="V2867" s="1"/>
      <c r="W2867" s="1"/>
    </row>
    <row r="2868" customHeight="1" spans="1:23">
      <c r="A2868" s="3">
        <f>IFERROR(__xludf.DUMMYFUNCTION("""COMPUTED_VALUE"""),46258)</f>
        <v>46258</v>
      </c>
      <c r="B2868" s="1" t="str">
        <f>IFERROR(__xludf.DUMMYFUNCTION("""COMPUTED_VALUE"""),"BAQUIT ,JAZMIN")</f>
        <v>BAQUIT ,JAZMIN</v>
      </c>
      <c r="C2868" s="1" t="str">
        <f>IFERROR(__xludf.DUMMYFUNCTION("""COMPUTED_VALUE"""),"ORGANIC")</f>
        <v>ORGANIC</v>
      </c>
      <c r="D2868" s="1" t="str">
        <f>IFERROR(__xludf.DUMMYFUNCTION("""COMPUTED_VALUE"""),"REMOLLO LEA")</f>
        <v>REMOLLO LEA</v>
      </c>
      <c r="E2868" s="1" t="str">
        <f>IFERROR(__xludf.DUMMYFUNCTION("""COMPUTED_VALUE"""),"PLDT / H2H")</f>
        <v>PLDT / H2H</v>
      </c>
      <c r="F2868" s="1">
        <f>IFERROR(__xludf.DUMMYFUNCTION("""COMPUTED_VALUE"""),2312046947)</f>
        <v>2312046947</v>
      </c>
      <c r="G2868" s="1">
        <f>IFERROR(__xludf.DUMMYFUNCTION("""COMPUTED_VALUE"""),467794353004)</f>
        <v>467794353004</v>
      </c>
      <c r="H2868" s="1" t="str">
        <f>IFERROR(__xludf.DUMMYFUNCTION("""COMPUTED_VALUE"""),"JECILL VILLANUEVA VILLAFLORES")</f>
        <v>JECILL VILLANUEVA VILLAFLORES</v>
      </c>
      <c r="I2868" s="1">
        <f>IFERROR(__xludf.DUMMYFUNCTION("""COMPUTED_VALUE"""),639686866489)</f>
        <v>639686866489</v>
      </c>
      <c r="J2868" s="1"/>
      <c r="K2868" s="1"/>
      <c r="L2868" s="1" t="str">
        <f>IFERROR(__xludf.DUMMYFUNCTION("""COMPUTED_VALUE"""),"84")</f>
        <v>84</v>
      </c>
      <c r="M2868" s="1" t="str">
        <f>IFERROR(__xludf.DUMMYFUNCTION("""COMPUTED_VALUE"""),"TIBIG")</f>
        <v>TIBIG</v>
      </c>
      <c r="N2868" s="1"/>
      <c r="O2868" s="1" t="str">
        <f>IFERROR(__xludf.DUMMYFUNCTION("""COMPUTED_VALUE"""),"TIBIG")</f>
        <v>TIBIG</v>
      </c>
      <c r="P2868" s="1" t="str">
        <f>IFERROR(__xludf.DUMMYFUNCTION("""COMPUTED_VALUE"""),"SILANG")</f>
        <v>SILANG</v>
      </c>
      <c r="Q2868" s="1" t="str">
        <f>IFERROR(__xludf.DUMMYFUNCTION("""COMPUTED_VALUE"""),"CAVITE")</f>
        <v>CAVITE</v>
      </c>
      <c r="R2868" s="1" t="str">
        <f>IFERROR(__xludf.DUMMYFUNCTION("""COMPUTED_VALUE"""),"FIBR UNLI ALL PLAN 1499")</f>
        <v>FIBR UNLI ALL PLAN 1499</v>
      </c>
      <c r="S2868" s="1" t="str">
        <f>IFERROR(__xludf.DUMMYFUNCTION("""COMPUTED_VALUE"""),"APPROVED")</f>
        <v>APPROVED</v>
      </c>
      <c r="T2868" s="1" t="str">
        <f>IFERROR(__xludf.DUMMYFUNCTION("""COMPUTED_VALUE"""),"CLOSED")</f>
        <v>CLOSED</v>
      </c>
      <c r="U2868" s="1" t="str">
        <f>IFERROR(__xludf.DUMMYFUNCTION("""COMPUTED_VALUE"""),"POSTED")</f>
        <v>POSTED</v>
      </c>
      <c r="V2868" s="1"/>
      <c r="W2868" s="1"/>
    </row>
    <row r="2869" customHeight="1" spans="1:23">
      <c r="A2869" s="3">
        <f>IFERROR(__xludf.DUMMYFUNCTION("""COMPUTED_VALUE"""),46258)</f>
        <v>46258</v>
      </c>
      <c r="B2869" s="1" t="str">
        <f>IFERROR(__xludf.DUMMYFUNCTION("""COMPUTED_VALUE"""),"TAMAYO, MARY ROSE")</f>
        <v>TAMAYO, MARY ROSE</v>
      </c>
      <c r="C2869" s="1" t="str">
        <f>IFERROR(__xludf.DUMMYFUNCTION("""COMPUTED_VALUE"""),"ORGANIC")</f>
        <v>ORGANIC</v>
      </c>
      <c r="D2869" s="1" t="str">
        <f>IFERROR(__xludf.DUMMYFUNCTION("""COMPUTED_VALUE"""),"REMOLLO LEA")</f>
        <v>REMOLLO LEA</v>
      </c>
      <c r="E2869" s="1" t="str">
        <f>IFERROR(__xludf.DUMMYFUNCTION("""COMPUTED_VALUE"""),"PLDT / H2H")</f>
        <v>PLDT / H2H</v>
      </c>
      <c r="F2869" s="1">
        <f>IFERROR(__xludf.DUMMYFUNCTION("""COMPUTED_VALUE"""),2312047453)</f>
        <v>2312047453</v>
      </c>
      <c r="G2869" s="1"/>
      <c r="H2869" s="1" t="str">
        <f>IFERROR(__xludf.DUMMYFUNCTION("""COMPUTED_VALUE"""),"ELIZABETH MACHA TRINIDAD")</f>
        <v>ELIZABETH MACHA TRINIDAD</v>
      </c>
      <c r="I2869" s="1">
        <f>IFERROR(__xludf.DUMMYFUNCTION("""COMPUTED_VALUE"""),639614238609)</f>
        <v>639614238609</v>
      </c>
      <c r="J2869" s="1"/>
      <c r="K2869" s="1"/>
      <c r="L2869" s="1" t="str">
        <f>IFERROR(__xludf.DUMMYFUNCTION("""COMPUTED_VALUE"""),"1325")</f>
        <v>1325</v>
      </c>
      <c r="M2869" s="1" t="str">
        <f>IFERROR(__xludf.DUMMYFUNCTION("""COMPUTED_VALUE"""),"LANTIC")</f>
        <v>LANTIC</v>
      </c>
      <c r="N2869" s="1"/>
      <c r="O2869" s="1" t="str">
        <f>IFERROR(__xludf.DUMMYFUNCTION("""COMPUTED_VALUE"""),"LANTIC")</f>
        <v>LANTIC</v>
      </c>
      <c r="P2869" s="1" t="str">
        <f>IFERROR(__xludf.DUMMYFUNCTION("""COMPUTED_VALUE"""),"CARMONA")</f>
        <v>CARMONA</v>
      </c>
      <c r="Q2869" s="1" t="str">
        <f>IFERROR(__xludf.DUMMYFUNCTION("""COMPUTED_VALUE"""),"CAVITE")</f>
        <v>CAVITE</v>
      </c>
      <c r="R2869" s="1" t="str">
        <f>IFERROR(__xludf.DUMMYFUNCTION("""COMPUTED_VALUE"""),"FIBR UNLI ALL PLAN 999")</f>
        <v>FIBR UNLI ALL PLAN 999</v>
      </c>
      <c r="S2869" s="1" t="str">
        <f>IFERROR(__xludf.DUMMYFUNCTION("""COMPUTED_VALUE"""),"APPROVED")</f>
        <v>APPROVED</v>
      </c>
      <c r="T2869" s="1" t="str">
        <f>IFERROR(__xludf.DUMMYFUNCTION("""COMPUTED_VALUE"""),"CANCELLED")</f>
        <v>CANCELLED</v>
      </c>
      <c r="U2869" s="1"/>
      <c r="V2869" s="1"/>
      <c r="W2869" s="1"/>
    </row>
    <row r="2870" customHeight="1" spans="1:23">
      <c r="A2870" s="3">
        <f>IFERROR(__xludf.DUMMYFUNCTION("""COMPUTED_VALUE"""),46258)</f>
        <v>46258</v>
      </c>
      <c r="B2870" s="1" t="str">
        <f>IFERROR(__xludf.DUMMYFUNCTION("""COMPUTED_VALUE"""),"MALIWAT MARK ELVIN")</f>
        <v>MALIWAT MARK ELVIN</v>
      </c>
      <c r="C2870" s="1" t="str">
        <f>IFERROR(__xludf.DUMMYFUNCTION("""COMPUTED_VALUE"""),"FLA")</f>
        <v>FLA</v>
      </c>
      <c r="D2870" s="1" t="str">
        <f>IFERROR(__xludf.DUMMYFUNCTION("""COMPUTED_VALUE"""),"JERIC NAVARRO")</f>
        <v>JERIC NAVARRO</v>
      </c>
      <c r="E2870" s="1" t="str">
        <f>IFERROR(__xludf.DUMMYFUNCTION("""COMPUTED_VALUE"""),"PLDT / ONLINE")</f>
        <v>PLDT / ONLINE</v>
      </c>
      <c r="F2870" s="1">
        <f>IFERROR(__xludf.DUMMYFUNCTION("""COMPUTED_VALUE"""),2312048528)</f>
        <v>2312048528</v>
      </c>
      <c r="G2870" s="1">
        <f>IFERROR(__xludf.DUMMYFUNCTION("""COMPUTED_VALUE"""),467792427004)</f>
        <v>467792427004</v>
      </c>
      <c r="H2870" s="1" t="str">
        <f>IFERROR(__xludf.DUMMYFUNCTION("""COMPUTED_VALUE"""),"LORENZO ANGELES POSTRADO")</f>
        <v>LORENZO ANGELES POSTRADO</v>
      </c>
      <c r="I2870" s="1">
        <f>IFERROR(__xludf.DUMMYFUNCTION("""COMPUTED_VALUE"""),639759485254)</f>
        <v>639759485254</v>
      </c>
      <c r="J2870" s="1">
        <f>IFERROR(__xludf.DUMMYFUNCTION("""COMPUTED_VALUE"""),639947187528)</f>
        <v>639947187528</v>
      </c>
      <c r="K2870" s="1"/>
      <c r="L2870" s="1" t="str">
        <f>IFERROR(__xludf.DUMMYFUNCTION("""COMPUTED_VALUE"""),"022-BL-000")</f>
        <v>022-BL-000</v>
      </c>
      <c r="M2870" s="1" t="str">
        <f>IFERROR(__xludf.DUMMYFUNCTION("""COMPUTED_VALUE"""),"STRAWBERRY HILLS EXT")</f>
        <v>STRAWBERRY HILLS EXT</v>
      </c>
      <c r="N2870" s="1"/>
      <c r="O2870" s="1" t="str">
        <f>IFERROR(__xludf.DUMMYFUNCTION("""COMPUTED_VALUE"""),"FRANCISCO REYES")</f>
        <v>FRANCISCO REYES</v>
      </c>
      <c r="P2870" s="1" t="str">
        <f>IFERROR(__xludf.DUMMYFUNCTION("""COMPUTED_VALUE"""),"GEN MARIANO ALVAREZ")</f>
        <v>GEN MARIANO ALVAREZ</v>
      </c>
      <c r="Q2870" s="1" t="str">
        <f>IFERROR(__xludf.DUMMYFUNCTION("""COMPUTED_VALUE"""),"CAVITE")</f>
        <v>CAVITE</v>
      </c>
      <c r="R2870" s="1" t="str">
        <f>IFERROR(__xludf.DUMMYFUNCTION("""COMPUTED_VALUE"""),"FIBR UNLI ALL PLAN 1499")</f>
        <v>FIBR UNLI ALL PLAN 1499</v>
      </c>
      <c r="S2870" s="1" t="str">
        <f>IFERROR(__xludf.DUMMYFUNCTION("""COMPUTED_VALUE"""),"APPROVED")</f>
        <v>APPROVED</v>
      </c>
      <c r="T2870" s="1" t="str">
        <f>IFERROR(__xludf.DUMMYFUNCTION("""COMPUTED_VALUE"""),"CLOSED")</f>
        <v>CLOSED</v>
      </c>
      <c r="U2870" s="1" t="str">
        <f>IFERROR(__xludf.DUMMYFUNCTION("""COMPUTED_VALUE"""),"POSTED")</f>
        <v>POSTED</v>
      </c>
      <c r="V2870" s="1"/>
      <c r="W2870" s="1"/>
    </row>
    <row r="2871" customHeight="1" spans="1:23">
      <c r="A2871" s="3">
        <f>IFERROR(__xludf.DUMMYFUNCTION("""COMPUTED_VALUE"""),46258)</f>
        <v>46258</v>
      </c>
      <c r="B2871" s="1" t="str">
        <f>IFERROR(__xludf.DUMMYFUNCTION("""COMPUTED_VALUE"""),"MANDUCDOC, MARIANE")</f>
        <v>MANDUCDOC, MARIANE</v>
      </c>
      <c r="C2871" s="1" t="str">
        <f>IFERROR(__xludf.DUMMYFUNCTION("""COMPUTED_VALUE"""),"ORGANIC")</f>
        <v>ORGANIC</v>
      </c>
      <c r="D2871" s="1" t="str">
        <f>IFERROR(__xludf.DUMMYFUNCTION("""COMPUTED_VALUE"""),"REMOLLO LEA")</f>
        <v>REMOLLO LEA</v>
      </c>
      <c r="E2871" s="1" t="str">
        <f>IFERROR(__xludf.DUMMYFUNCTION("""COMPUTED_VALUE"""),"PLDT / H2H")</f>
        <v>PLDT / H2H</v>
      </c>
      <c r="F2871" s="1">
        <f>IFERROR(__xludf.DUMMYFUNCTION("""COMPUTED_VALUE"""),2312049638)</f>
        <v>2312049638</v>
      </c>
      <c r="G2871" s="1">
        <f>IFERROR(__xludf.DUMMYFUNCTION("""COMPUTED_VALUE"""),467851826004)</f>
        <v>467851826004</v>
      </c>
      <c r="H2871" s="1" t="str">
        <f>IFERROR(__xludf.DUMMYFUNCTION("""COMPUTED_VALUE"""),"MARY JANE . OLAZO")</f>
        <v>MARY JANE . OLAZO</v>
      </c>
      <c r="I2871" s="1">
        <f>IFERROR(__xludf.DUMMYFUNCTION("""COMPUTED_VALUE"""),639859867880)</f>
        <v>639859867880</v>
      </c>
      <c r="J2871" s="1">
        <f>IFERROR(__xludf.DUMMYFUNCTION("""COMPUTED_VALUE"""),639671379957)</f>
        <v>639671379957</v>
      </c>
      <c r="K2871" s="1"/>
      <c r="L2871" s="1" t="str">
        <f>IFERROR(__xludf.DUMMYFUNCTION("""COMPUTED_VALUE"""),"10269")</f>
        <v>10269</v>
      </c>
      <c r="M2871" s="1" t="str">
        <f>IFERROR(__xludf.DUMMYFUNCTION("""COMPUTED_VALUE"""),"SAN ANTONIO")</f>
        <v>SAN ANTONIO</v>
      </c>
      <c r="N2871" s="1"/>
      <c r="O2871" s="1" t="str">
        <f>IFERROR(__xludf.DUMMYFUNCTION("""COMPUTED_VALUE"""),"CABILANG BAYBAY")</f>
        <v>CABILANG BAYBAY</v>
      </c>
      <c r="P2871" s="1" t="str">
        <f>IFERROR(__xludf.DUMMYFUNCTION("""COMPUTED_VALUE"""),"CARMONA")</f>
        <v>CARMONA</v>
      </c>
      <c r="Q2871" s="1" t="str">
        <f>IFERROR(__xludf.DUMMYFUNCTION("""COMPUTED_VALUE"""),"CAVITE")</f>
        <v>CAVITE</v>
      </c>
      <c r="R2871" s="1" t="str">
        <f>IFERROR(__xludf.DUMMYFUNCTION("""COMPUTED_VALUE"""),"FIBR PLAN 1299")</f>
        <v>FIBR PLAN 1299</v>
      </c>
      <c r="S2871" s="1" t="str">
        <f>IFERROR(__xludf.DUMMYFUNCTION("""COMPUTED_VALUE"""),"APPROVED")</f>
        <v>APPROVED</v>
      </c>
      <c r="T2871" s="1" t="str">
        <f>IFERROR(__xludf.DUMMYFUNCTION("""COMPUTED_VALUE"""),"PAID")</f>
        <v>PAID</v>
      </c>
      <c r="U2871" s="1"/>
      <c r="V2871" s="1"/>
      <c r="W2871" s="1"/>
    </row>
    <row r="2872" customHeight="1" spans="1:23">
      <c r="A2872" s="3">
        <f>IFERROR(__xludf.DUMMYFUNCTION("""COMPUTED_VALUE"""),46258)</f>
        <v>46258</v>
      </c>
      <c r="B2872" s="1" t="str">
        <f>IFERROR(__xludf.DUMMYFUNCTION("""COMPUTED_VALUE"""),"CADERAO, RONALD")</f>
        <v>CADERAO, RONALD</v>
      </c>
      <c r="C2872" s="1" t="str">
        <f>IFERROR(__xludf.DUMMYFUNCTION("""COMPUTED_VALUE"""),"ORGANIC")</f>
        <v>ORGANIC</v>
      </c>
      <c r="D2872" s="1" t="str">
        <f>IFERROR(__xludf.DUMMYFUNCTION("""COMPUTED_VALUE"""),"REMOLLO LEA")</f>
        <v>REMOLLO LEA</v>
      </c>
      <c r="E2872" s="1" t="str">
        <f>IFERROR(__xludf.DUMMYFUNCTION("""COMPUTED_VALUE"""),"PLDT / H2H")</f>
        <v>PLDT / H2H</v>
      </c>
      <c r="F2872" s="1">
        <f>IFERROR(__xludf.DUMMYFUNCTION("""COMPUTED_VALUE"""),2312050144)</f>
        <v>2312050144</v>
      </c>
      <c r="G2872" s="1">
        <f>IFERROR(__xludf.DUMMYFUNCTION("""COMPUTED_VALUE"""),467794108004)</f>
        <v>467794108004</v>
      </c>
      <c r="H2872" s="1" t="str">
        <f>IFERROR(__xludf.DUMMYFUNCTION("""COMPUTED_VALUE"""),"MARY CRIS ESPERA GOLEZ")</f>
        <v>MARY CRIS ESPERA GOLEZ</v>
      </c>
      <c r="I2872" s="1">
        <f>IFERROR(__xludf.DUMMYFUNCTION("""COMPUTED_VALUE"""),639859979349)</f>
        <v>639859979349</v>
      </c>
      <c r="J2872" s="1">
        <f>IFERROR(__xludf.DUMMYFUNCTION("""COMPUTED_VALUE"""),639455237126)</f>
        <v>639455237126</v>
      </c>
      <c r="K2872" s="1"/>
      <c r="L2872" s="1" t="str">
        <f>IFERROR(__xludf.DUMMYFUNCTION("""COMPUTED_VALUE"""),"54")</f>
        <v>54</v>
      </c>
      <c r="M2872" s="1" t="str">
        <f>IFERROR(__xludf.DUMMYFUNCTION("""COMPUTED_VALUE"""),"BULIHAN")</f>
        <v>BULIHAN</v>
      </c>
      <c r="N2872" s="1"/>
      <c r="O2872" s="1" t="str">
        <f>IFERROR(__xludf.DUMMYFUNCTION("""COMPUTED_VALUE"""),"BULIHAN")</f>
        <v>BULIHAN</v>
      </c>
      <c r="P2872" s="1" t="str">
        <f>IFERROR(__xludf.DUMMYFUNCTION("""COMPUTED_VALUE"""),"SILANG")</f>
        <v>SILANG</v>
      </c>
      <c r="Q2872" s="1" t="str">
        <f>IFERROR(__xludf.DUMMYFUNCTION("""COMPUTED_VALUE"""),"CAVITE")</f>
        <v>CAVITE</v>
      </c>
      <c r="R2872" s="1" t="str">
        <f>IFERROR(__xludf.DUMMYFUNCTION("""COMPUTED_VALUE"""),"FIBR PLAN 1299")</f>
        <v>FIBR PLAN 1299</v>
      </c>
      <c r="S2872" s="1" t="str">
        <f>IFERROR(__xludf.DUMMYFUNCTION("""COMPUTED_VALUE"""),"APPROVED")</f>
        <v>APPROVED</v>
      </c>
      <c r="T2872" s="1" t="str">
        <f>IFERROR(__xludf.DUMMYFUNCTION("""COMPUTED_VALUE"""),"CLOSED")</f>
        <v>CLOSED</v>
      </c>
      <c r="U2872" s="1"/>
      <c r="V2872" s="1"/>
      <c r="W2872" s="1"/>
    </row>
    <row r="2873" customHeight="1" spans="1:23">
      <c r="A2873" s="3">
        <f>IFERROR(__xludf.DUMMYFUNCTION("""COMPUTED_VALUE"""),46258)</f>
        <v>46258</v>
      </c>
      <c r="B2873" s="1" t="str">
        <f>IFERROR(__xludf.DUMMYFUNCTION("""COMPUTED_VALUE"""),"ALOS, CHARLS LAURENZ")</f>
        <v>ALOS, CHARLS LAURENZ</v>
      </c>
      <c r="C2873" s="1" t="str">
        <f>IFERROR(__xludf.DUMMYFUNCTION("""COMPUTED_VALUE"""),"ORGANIC")</f>
        <v>ORGANIC</v>
      </c>
      <c r="D2873" s="1" t="str">
        <f>IFERROR(__xludf.DUMMYFUNCTION("""COMPUTED_VALUE"""),"REMOLLO LEA")</f>
        <v>REMOLLO LEA</v>
      </c>
      <c r="E2873" s="1" t="str">
        <f>IFERROR(__xludf.DUMMYFUNCTION("""COMPUTED_VALUE"""),"PLDT / ONLINE")</f>
        <v>PLDT / ONLINE</v>
      </c>
      <c r="F2873" s="1">
        <f>IFERROR(__xludf.DUMMYFUNCTION("""COMPUTED_VALUE"""),2312050572)</f>
        <v>2312050572</v>
      </c>
      <c r="G2873" s="1">
        <f>IFERROR(__xludf.DUMMYFUNCTION("""COMPUTED_VALUE"""),467795535004)</f>
        <v>467795535004</v>
      </c>
      <c r="H2873" s="1" t="str">
        <f>IFERROR(__xludf.DUMMYFUNCTION("""COMPUTED_VALUE"""),"HELBERT BORDEOS FLORES")</f>
        <v>HELBERT BORDEOS FLORES</v>
      </c>
      <c r="I2873" s="1">
        <f>IFERROR(__xludf.DUMMYFUNCTION("""COMPUTED_VALUE"""),639943166151)</f>
        <v>639943166151</v>
      </c>
      <c r="J2873" s="1">
        <f>IFERROR(__xludf.DUMMYFUNCTION("""COMPUTED_VALUE"""),639169987836)</f>
        <v>639169987836</v>
      </c>
      <c r="K2873" s="1"/>
      <c r="L2873" s="1" t="str">
        <f>IFERROR(__xludf.DUMMYFUNCTION("""COMPUTED_VALUE"""),"9086")</f>
        <v>9086</v>
      </c>
      <c r="M2873" s="1" t="str">
        <f>IFERROR(__xludf.DUMMYFUNCTION("""COMPUTED_VALUE"""),"SAN PEDRO")</f>
        <v>SAN PEDRO</v>
      </c>
      <c r="N2873" s="1"/>
      <c r="O2873" s="1" t="str">
        <f>IFERROR(__xludf.DUMMYFUNCTION("""COMPUTED_VALUE"""),"MIGUEL MOJICA")</f>
        <v>MIGUEL MOJICA</v>
      </c>
      <c r="P2873" s="1" t="str">
        <f>IFERROR(__xludf.DUMMYFUNCTION("""COMPUTED_VALUE"""),"MENDEZ")</f>
        <v>MENDEZ</v>
      </c>
      <c r="Q2873" s="1" t="str">
        <f>IFERROR(__xludf.DUMMYFUNCTION("""COMPUTED_VALUE"""),"CAVITE")</f>
        <v>CAVITE</v>
      </c>
      <c r="R2873" s="1" t="str">
        <f>IFERROR(__xludf.DUMMYFUNCTION("""COMPUTED_VALUE"""),"FIBR NETFLIX PLAN 1599")</f>
        <v>FIBR NETFLIX PLAN 1599</v>
      </c>
      <c r="S2873" s="1" t="str">
        <f>IFERROR(__xludf.DUMMYFUNCTION("""COMPUTED_VALUE"""),"APPROVED")</f>
        <v>APPROVED</v>
      </c>
      <c r="T2873" s="1" t="str">
        <f>IFERROR(__xludf.DUMMYFUNCTION("""COMPUTED_VALUE"""),"CLOSED")</f>
        <v>CLOSED</v>
      </c>
      <c r="U2873" s="1" t="str">
        <f>IFERROR(__xludf.DUMMYFUNCTION("""COMPUTED_VALUE"""),"POSTED")</f>
        <v>POSTED</v>
      </c>
      <c r="V2873" s="1"/>
      <c r="W2873" s="1"/>
    </row>
    <row r="2874" customHeight="1" spans="1:23">
      <c r="A2874" s="3">
        <f>IFERROR(__xludf.DUMMYFUNCTION("""COMPUTED_VALUE"""),46258)</f>
        <v>46258</v>
      </c>
      <c r="B2874" s="1" t="str">
        <f>IFERROR(__xludf.DUMMYFUNCTION("""COMPUTED_VALUE"""),"RIVERA, AIRIZH JOY")</f>
        <v>RIVERA, AIRIZH JOY</v>
      </c>
      <c r="C2874" s="1" t="str">
        <f>IFERROR(__xludf.DUMMYFUNCTION("""COMPUTED_VALUE"""),"ORGANIC")</f>
        <v>ORGANIC</v>
      </c>
      <c r="D2874" s="1" t="str">
        <f>IFERROR(__xludf.DUMMYFUNCTION("""COMPUTED_VALUE"""),"REMOLLO LEA")</f>
        <v>REMOLLO LEA</v>
      </c>
      <c r="E2874" s="1" t="str">
        <f>IFERROR(__xludf.DUMMYFUNCTION("""COMPUTED_VALUE"""),"PLDT / ONLINE")</f>
        <v>PLDT / ONLINE</v>
      </c>
      <c r="F2874" s="1">
        <f>IFERROR(__xludf.DUMMYFUNCTION("""COMPUTED_VALUE"""),2312101833)</f>
        <v>2312101833</v>
      </c>
      <c r="G2874" s="1">
        <f>IFERROR(__xludf.DUMMYFUNCTION("""COMPUTED_VALUE"""),468008787004)</f>
        <v>468008787004</v>
      </c>
      <c r="H2874" s="1" t="str">
        <f>IFERROR(__xludf.DUMMYFUNCTION("""COMPUTED_VALUE"""),"TERESITA ROSALES GARCIA")</f>
        <v>TERESITA ROSALES GARCIA</v>
      </c>
      <c r="I2874" s="1">
        <f>IFERROR(__xludf.DUMMYFUNCTION("""COMPUTED_VALUE"""),639560338841)</f>
        <v>639560338841</v>
      </c>
      <c r="J2874" s="1">
        <f>IFERROR(__xludf.DUMMYFUNCTION("""COMPUTED_VALUE"""),639095894430)</f>
        <v>639095894430</v>
      </c>
      <c r="K2874" s="1"/>
      <c r="L2874" s="1" t="str">
        <f>IFERROR(__xludf.DUMMYFUNCTION("""COMPUTED_VALUE"""),"4")</f>
        <v>4</v>
      </c>
      <c r="M2874" s="1" t="str">
        <f>IFERROR(__xludf.DUMMYFUNCTION("""COMPUTED_VALUE"""),"PINAGLINTIKAN")</f>
        <v>PINAGLINTIKAN</v>
      </c>
      <c r="N2874" s="1"/>
      <c r="O2874" s="1" t="str">
        <f>IFERROR(__xludf.DUMMYFUNCTION("""COMPUTED_VALUE"""),"BARANGAY 5 (POB.)")</f>
        <v>BARANGAY 5 (POB.)</v>
      </c>
      <c r="P2874" s="1" t="str">
        <f>IFERROR(__xludf.DUMMYFUNCTION("""COMPUTED_VALUE"""),"AMADEO")</f>
        <v>AMADEO</v>
      </c>
      <c r="Q2874" s="1" t="str">
        <f>IFERROR(__xludf.DUMMYFUNCTION("""COMPUTED_VALUE"""),"CAVITE")</f>
        <v>CAVITE</v>
      </c>
      <c r="R2874" s="1" t="str">
        <f>IFERROR(__xludf.DUMMYFUNCTION("""COMPUTED_VALUE"""),"FIBR UNLI ALL PLAN 999")</f>
        <v>FIBR UNLI ALL PLAN 999</v>
      </c>
      <c r="S2874" s="1" t="str">
        <f>IFERROR(__xludf.DUMMYFUNCTION("""COMPUTED_VALUE"""),"APPROVED")</f>
        <v>APPROVED</v>
      </c>
      <c r="T2874" s="1" t="str">
        <f>IFERROR(__xludf.DUMMYFUNCTION("""COMPUTED_VALUE"""),"CANCELLED")</f>
        <v>CANCELLED</v>
      </c>
      <c r="U2874" s="1"/>
      <c r="V2874" s="1"/>
      <c r="W2874" s="1"/>
    </row>
    <row r="2875" customHeight="1" spans="1:23">
      <c r="A2875" s="3">
        <f>IFERROR(__xludf.DUMMYFUNCTION("""COMPUTED_VALUE"""),46258)</f>
        <v>46258</v>
      </c>
      <c r="B2875" s="1" t="str">
        <f>IFERROR(__xludf.DUMMYFUNCTION("""COMPUTED_VALUE"""),"TAMAYO, MARY ROSE")</f>
        <v>TAMAYO, MARY ROSE</v>
      </c>
      <c r="C2875" s="1" t="str">
        <f>IFERROR(__xludf.DUMMYFUNCTION("""COMPUTED_VALUE"""),"ORGANIC")</f>
        <v>ORGANIC</v>
      </c>
      <c r="D2875" s="1" t="str">
        <f>IFERROR(__xludf.DUMMYFUNCTION("""COMPUTED_VALUE"""),"REMOLLO LEA")</f>
        <v>REMOLLO LEA</v>
      </c>
      <c r="E2875" s="1" t="str">
        <f>IFERROR(__xludf.DUMMYFUNCTION("""COMPUTED_VALUE"""),"PLDT / ONLINE")</f>
        <v>PLDT / ONLINE</v>
      </c>
      <c r="F2875" s="1"/>
      <c r="G2875" s="1"/>
      <c r="H2875" s="1" t="str">
        <f>IFERROR(__xludf.DUMMYFUNCTION("""COMPUTED_VALUE"""),"JENNY ANNE GUMIRAN GUMIRAN")</f>
        <v>JENNY ANNE GUMIRAN GUMIRAN</v>
      </c>
      <c r="I2875" s="1"/>
      <c r="J2875" s="1"/>
      <c r="K2875" s="1"/>
      <c r="L2875" s="1"/>
      <c r="M2875" s="1"/>
      <c r="N2875" s="1"/>
      <c r="O2875" s="1" t="str">
        <f>IFERROR(__xludf.DUMMYFUNCTION("""COMPUTED_VALUE"""),"SALAWAG")</f>
        <v>SALAWAG</v>
      </c>
      <c r="P2875" s="1" t="str">
        <f>IFERROR(__xludf.DUMMYFUNCTION("""COMPUTED_VALUE"""),"DASMARINAS")</f>
        <v>DASMARINAS</v>
      </c>
      <c r="Q2875" s="1" t="str">
        <f>IFERROR(__xludf.DUMMYFUNCTION("""COMPUTED_VALUE"""),"CAVITE")</f>
        <v>CAVITE</v>
      </c>
      <c r="R2875" s="1"/>
      <c r="S2875" s="1" t="str">
        <f>IFERROR(__xludf.DUMMYFUNCTION("""COMPUTED_VALUE"""),"RETURN FOR COMPLIANCE - AGENT")</f>
        <v>RETURN FOR COMPLIANCE - AGENT</v>
      </c>
      <c r="T2875" s="1" t="str">
        <f>IFERROR(__xludf.DUMMYFUNCTION("""COMPUTED_VALUE"""),"FOR CUSTOMER COMPLIANCE HOMEBZ APPLICATION")</f>
        <v>FOR CUSTOMER COMPLIANCE HOMEBZ APPLICATION</v>
      </c>
      <c r="U2875" s="1"/>
      <c r="V2875" s="1"/>
      <c r="W2875" s="1"/>
    </row>
    <row r="2876" customHeight="1" spans="1:23">
      <c r="A2876" s="3">
        <f>IFERROR(__xludf.DUMMYFUNCTION("""COMPUTED_VALUE"""),46258)</f>
        <v>46258</v>
      </c>
      <c r="B2876" s="1" t="str">
        <f>IFERROR(__xludf.DUMMYFUNCTION("""COMPUTED_VALUE"""),"ALINGARO, CINDY")</f>
        <v>ALINGARO, CINDY</v>
      </c>
      <c r="C2876" s="1" t="str">
        <f>IFERROR(__xludf.DUMMYFUNCTION("""COMPUTED_VALUE"""),"ORGANIC")</f>
        <v>ORGANIC</v>
      </c>
      <c r="D2876" s="1" t="str">
        <f>IFERROR(__xludf.DUMMYFUNCTION("""COMPUTED_VALUE"""),"REMOLLO LEA")</f>
        <v>REMOLLO LEA</v>
      </c>
      <c r="E2876" s="1" t="str">
        <f>IFERROR(__xludf.DUMMYFUNCTION("""COMPUTED_VALUE"""),"PLDT / H2H")</f>
        <v>PLDT / H2H</v>
      </c>
      <c r="F2876" s="1">
        <f>IFERROR(__xludf.DUMMYFUNCTION("""COMPUTED_VALUE"""),2312068447)</f>
        <v>2312068447</v>
      </c>
      <c r="G2876" s="1">
        <f>IFERROR(__xludf.DUMMYFUNCTION("""COMPUTED_VALUE"""),467893967004)</f>
        <v>467893967004</v>
      </c>
      <c r="H2876" s="1" t="str">
        <f>IFERROR(__xludf.DUMMYFUNCTION("""COMPUTED_VALUE"""),"MARICAR C PANGANIBAN")</f>
        <v>MARICAR C PANGANIBAN</v>
      </c>
      <c r="I2876" s="1">
        <f>IFERROR(__xludf.DUMMYFUNCTION("""COMPUTED_VALUE"""),9667066394)</f>
        <v>9667066394</v>
      </c>
      <c r="J2876" s="1">
        <f>IFERROR(__xludf.DUMMYFUNCTION("""COMPUTED_VALUE"""),9953249510)</f>
        <v>9953249510</v>
      </c>
      <c r="K2876" s="1" t="str">
        <f>IFERROR(__xludf.DUMMYFUNCTION("""COMPUTED_VALUE"""),"maricarpanganiban@gamil.cpm")</f>
        <v>maricarpanganiban@gamil.cpm</v>
      </c>
      <c r="L2876" s="1" t="str">
        <f>IFERROR(__xludf.DUMMYFUNCTION("""COMPUTED_VALUE"""),"225")</f>
        <v>225</v>
      </c>
      <c r="M2876" s="1" t="str">
        <f>IFERROR(__xludf.DUMMYFUNCTION("""COMPUTED_VALUE"""),"HALFWAY")</f>
        <v>HALFWAY</v>
      </c>
      <c r="N2876" s="1"/>
      <c r="O2876" s="1" t="str">
        <f>IFERROR(__xludf.DUMMYFUNCTION("""COMPUTED_VALUE"""),"MUNTING ILOG")</f>
        <v>MUNTING ILOG</v>
      </c>
      <c r="P2876" s="1" t="str">
        <f>IFERROR(__xludf.DUMMYFUNCTION("""COMPUTED_VALUE"""),"SILANG")</f>
        <v>SILANG</v>
      </c>
      <c r="Q2876" s="1" t="str">
        <f>IFERROR(__xludf.DUMMYFUNCTION("""COMPUTED_VALUE"""),"CAVITE")</f>
        <v>CAVITE</v>
      </c>
      <c r="R2876" s="1" t="str">
        <f>IFERROR(__xludf.DUMMYFUNCTION("""COMPUTED_VALUE"""),"FIBR UNLI ALL PLAN 999")</f>
        <v>FIBR UNLI ALL PLAN 999</v>
      </c>
      <c r="S2876" s="1" t="str">
        <f>IFERROR(__xludf.DUMMYFUNCTION("""COMPUTED_VALUE"""),"APPROVED")</f>
        <v>APPROVED</v>
      </c>
      <c r="T2876" s="1" t="str">
        <f>IFERROR(__xludf.DUMMYFUNCTION("""COMPUTED_VALUE"""),"FOR PAYMENT")</f>
        <v>FOR PAYMENT</v>
      </c>
      <c r="U2876" s="1"/>
      <c r="V2876" s="1"/>
      <c r="W2876" s="1"/>
    </row>
    <row r="2877" customHeight="1" spans="1:23">
      <c r="A2877" s="3">
        <f>IFERROR(__xludf.DUMMYFUNCTION("""COMPUTED_VALUE"""),46259)</f>
        <v>46259</v>
      </c>
      <c r="B2877" s="1" t="str">
        <f>IFERROR(__xludf.DUMMYFUNCTION("""COMPUTED_VALUE"""),"TAMAYO, MARY ROSE")</f>
        <v>TAMAYO, MARY ROSE</v>
      </c>
      <c r="C2877" s="1" t="str">
        <f>IFERROR(__xludf.DUMMYFUNCTION("""COMPUTED_VALUE"""),"ORGANIC")</f>
        <v>ORGANIC</v>
      </c>
      <c r="D2877" s="1" t="str">
        <f>IFERROR(__xludf.DUMMYFUNCTION("""COMPUTED_VALUE"""),"REMOLLO LEA")</f>
        <v>REMOLLO LEA</v>
      </c>
      <c r="E2877" s="1" t="str">
        <f>IFERROR(__xludf.DUMMYFUNCTION("""COMPUTED_VALUE"""),"PLDT / H2H")</f>
        <v>PLDT / H2H</v>
      </c>
      <c r="F2877" s="1">
        <f>IFERROR(__xludf.DUMMYFUNCTION("""COMPUTED_VALUE"""),2312068955)</f>
        <v>2312068955</v>
      </c>
      <c r="G2877" s="1">
        <f>IFERROR(__xludf.DUMMYFUNCTION("""COMPUTED_VALUE"""),467900598004)</f>
        <v>467900598004</v>
      </c>
      <c r="H2877" s="1" t="str">
        <f>IFERROR(__xludf.DUMMYFUNCTION("""COMPUTED_VALUE"""),"JANYETH JR PASIDAS SERRANO ")</f>
        <v>JANYETH JR PASIDAS SERRANO </v>
      </c>
      <c r="I2877" s="1">
        <f>IFERROR(__xludf.DUMMYFUNCTION("""COMPUTED_VALUE"""),9380532925)</f>
        <v>9380532925</v>
      </c>
      <c r="J2877" s="1">
        <f>IFERROR(__xludf.DUMMYFUNCTION("""COMPUTED_VALUE"""),9939309230)</f>
        <v>9939309230</v>
      </c>
      <c r="K2877" s="1" t="str">
        <f>IFERROR(__xludf.DUMMYFUNCTION("""COMPUTED_VALUE"""),"janyethserrano8@gmail.com")</f>
        <v>janyethserrano8@gmail.com</v>
      </c>
      <c r="L2877" s="1" t="str">
        <f>IFERROR(__xludf.DUMMYFUNCTION("""COMPUTED_VALUE"""),"BLK 23 LOT 6")</f>
        <v>BLK 23 LOT 6</v>
      </c>
      <c r="M2877" s="1" t="str">
        <f>IFERROR(__xludf.DUMMYFUNCTION("""COMPUTED_VALUE"""),"PHASE 1")</f>
        <v>PHASE 1</v>
      </c>
      <c r="N2877" s="1"/>
      <c r="O2877" s="1" t="str">
        <f>IFERROR(__xludf.DUMMYFUNCTION("""COMPUTED_VALUE"""),"ACACIA")</f>
        <v>ACACIA</v>
      </c>
      <c r="P2877" s="1" t="str">
        <f>IFERROR(__xludf.DUMMYFUNCTION("""COMPUTED_VALUE"""),"SILANG")</f>
        <v>SILANG</v>
      </c>
      <c r="Q2877" s="1" t="str">
        <f>IFERROR(__xludf.DUMMYFUNCTION("""COMPUTED_VALUE"""),"CAVITE")</f>
        <v>CAVITE</v>
      </c>
      <c r="R2877" s="1" t="str">
        <f>IFERROR(__xludf.DUMMYFUNCTION("""COMPUTED_VALUE"""),"FIBR UNLI ALL PLAN 999")</f>
        <v>FIBR UNLI ALL PLAN 999</v>
      </c>
      <c r="S2877" s="1" t="str">
        <f>IFERROR(__xludf.DUMMYFUNCTION("""COMPUTED_VALUE"""),"APPROVED")</f>
        <v>APPROVED</v>
      </c>
      <c r="T2877" s="1" t="str">
        <f>IFERROR(__xludf.DUMMYFUNCTION("""COMPUTED_VALUE"""),"CLOSED")</f>
        <v>CLOSED</v>
      </c>
      <c r="U2877" s="1" t="str">
        <f>IFERROR(__xludf.DUMMYFUNCTION("""COMPUTED_VALUE"""),"POSTED")</f>
        <v>POSTED</v>
      </c>
      <c r="V2877" s="1"/>
      <c r="W2877" s="1"/>
    </row>
    <row r="2878" customHeight="1" spans="1:23">
      <c r="A2878" s="3">
        <f>IFERROR(__xludf.DUMMYFUNCTION("""COMPUTED_VALUE"""),46259)</f>
        <v>46259</v>
      </c>
      <c r="B2878" s="1" t="str">
        <f>IFERROR(__xludf.DUMMYFUNCTION("""COMPUTED_VALUE"""),"GABAY, MANUEL")</f>
        <v>GABAY, MANUEL</v>
      </c>
      <c r="C2878" s="1" t="str">
        <f>IFERROR(__xludf.DUMMYFUNCTION("""COMPUTED_VALUE"""),"FLA")</f>
        <v>FLA</v>
      </c>
      <c r="D2878" s="1" t="str">
        <f>IFERROR(__xludf.DUMMYFUNCTION("""COMPUTED_VALUE"""),"JERIC NAVARRO")</f>
        <v>JERIC NAVARRO</v>
      </c>
      <c r="E2878" s="1" t="str">
        <f>IFERROR(__xludf.DUMMYFUNCTION("""COMPUTED_VALUE"""),"PLDT / H2H")</f>
        <v>PLDT / H2H</v>
      </c>
      <c r="F2878" s="1">
        <f>IFERROR(__xludf.DUMMYFUNCTION("""COMPUTED_VALUE"""),2312070538)</f>
        <v>2312070538</v>
      </c>
      <c r="G2878" s="1">
        <f>IFERROR(__xludf.DUMMYFUNCTION("""COMPUTED_VALUE"""),467898447004)</f>
        <v>467898447004</v>
      </c>
      <c r="H2878" s="1" t="str">
        <f>IFERROR(__xludf.DUMMYFUNCTION("""COMPUTED_VALUE"""),"LUISITO CARAGATAN VERTUDEZ")</f>
        <v>LUISITO CARAGATAN VERTUDEZ</v>
      </c>
      <c r="I2878" s="1">
        <f>IFERROR(__xludf.DUMMYFUNCTION("""COMPUTED_VALUE"""),9513002658)</f>
        <v>9513002658</v>
      </c>
      <c r="J2878" s="1">
        <f>IFERROR(__xludf.DUMMYFUNCTION("""COMPUTED_VALUE"""),946040040)</f>
        <v>946040040</v>
      </c>
      <c r="K2878" s="1" t="str">
        <f>IFERROR(__xludf.DUMMYFUNCTION("""COMPUTED_VALUE"""),"louievertudez08@gmail.com")</f>
        <v>louievertudez08@gmail.com</v>
      </c>
      <c r="L2878" s="1" t="str">
        <f>IFERROR(__xludf.DUMMYFUNCTION("""COMPUTED_VALUE"""),"23")</f>
        <v>23</v>
      </c>
      <c r="M2878" s="1" t="str">
        <f>IFERROR(__xludf.DUMMYFUNCTION("""COMPUTED_VALUE"""),"PUROK 1")</f>
        <v>PUROK 1</v>
      </c>
      <c r="N2878" s="1"/>
      <c r="O2878" s="1" t="str">
        <f>IFERROR(__xludf.DUMMYFUNCTION("""COMPUTED_VALUE"""),"MALAKING TATYAO")</f>
        <v>MALAKING TATYAO</v>
      </c>
      <c r="P2878" s="1" t="str">
        <f>IFERROR(__xludf.DUMMYFUNCTION("""COMPUTED_VALUE"""),"SILANG")</f>
        <v>SILANG</v>
      </c>
      <c r="Q2878" s="1" t="str">
        <f>IFERROR(__xludf.DUMMYFUNCTION("""COMPUTED_VALUE"""),"CAVITE")</f>
        <v>CAVITE</v>
      </c>
      <c r="R2878" s="1" t="str">
        <f>IFERROR(__xludf.DUMMYFUNCTION("""COMPUTED_VALUE"""),"FIBR UNLI ALL PLAN 1499")</f>
        <v>FIBR UNLI ALL PLAN 1499</v>
      </c>
      <c r="S2878" s="1" t="str">
        <f>IFERROR(__xludf.DUMMYFUNCTION("""COMPUTED_VALUE"""),"APPROVED")</f>
        <v>APPROVED</v>
      </c>
      <c r="T2878" s="1" t="str">
        <f>IFERROR(__xludf.DUMMYFUNCTION("""COMPUTED_VALUE"""),"RPR")</f>
        <v>RPR</v>
      </c>
      <c r="U2878" s="1"/>
      <c r="V2878" s="1"/>
      <c r="W2878" s="1"/>
    </row>
    <row r="2879" customHeight="1" spans="1:23">
      <c r="A2879" s="3">
        <f>IFERROR(__xludf.DUMMYFUNCTION("""COMPUTED_VALUE"""),46259)</f>
        <v>46259</v>
      </c>
      <c r="B2879" s="1" t="str">
        <f>IFERROR(__xludf.DUMMYFUNCTION("""COMPUTED_VALUE"""),"MAGDARAOG, KENNETH")</f>
        <v>MAGDARAOG, KENNETH</v>
      </c>
      <c r="C2879" s="1" t="str">
        <f>IFERROR(__xludf.DUMMYFUNCTION("""COMPUTED_VALUE"""),"ORGANIC")</f>
        <v>ORGANIC</v>
      </c>
      <c r="D2879" s="1" t="str">
        <f>IFERROR(__xludf.DUMMYFUNCTION("""COMPUTED_VALUE"""),"REMOLLO LEA")</f>
        <v>REMOLLO LEA</v>
      </c>
      <c r="E2879" s="1" t="str">
        <f>IFERROR(__xludf.DUMMYFUNCTION("""COMPUTED_VALUE"""),"PLDT / H2H")</f>
        <v>PLDT / H2H</v>
      </c>
      <c r="F2879" s="1">
        <f>IFERROR(__xludf.DUMMYFUNCTION("""COMPUTED_VALUE"""),2312071742)</f>
        <v>2312071742</v>
      </c>
      <c r="G2879" s="1">
        <f>IFERROR(__xludf.DUMMYFUNCTION("""COMPUTED_VALUE"""),467908751004)</f>
        <v>467908751004</v>
      </c>
      <c r="H2879" s="1" t="str">
        <f>IFERROR(__xludf.DUMMYFUNCTION("""COMPUTED_VALUE"""),"JENNY ROSE DAYGO VELLEJOS")</f>
        <v>JENNY ROSE DAYGO VELLEJOS</v>
      </c>
      <c r="I2879" s="1">
        <f>IFERROR(__xludf.DUMMYFUNCTION("""COMPUTED_VALUE"""),9506029087)</f>
        <v>9506029087</v>
      </c>
      <c r="J2879" s="1">
        <f>IFERROR(__xludf.DUMMYFUNCTION("""COMPUTED_VALUE"""),9854828792)</f>
        <v>9854828792</v>
      </c>
      <c r="K2879" s="1" t="str">
        <f>IFERROR(__xludf.DUMMYFUNCTION("""COMPUTED_VALUE"""),"jennyrosevellejos@gmail.com")</f>
        <v>jennyrosevellejos@gmail.com</v>
      </c>
      <c r="L2879" s="1" t="str">
        <f>IFERROR(__xludf.DUMMYFUNCTION("""COMPUTED_VALUE"""),"50")</f>
        <v>50</v>
      </c>
      <c r="M2879" s="1" t="str">
        <f>IFERROR(__xludf.DUMMYFUNCTION("""COMPUTED_VALUE"""),"PHASE 5")</f>
        <v>PHASE 5</v>
      </c>
      <c r="N2879" s="1"/>
      <c r="O2879" s="1" t="str">
        <f>IFERROR(__xludf.DUMMYFUNCTION("""COMPUTED_VALUE"""),"NARRA III")</f>
        <v>NARRA III</v>
      </c>
      <c r="P2879" s="1" t="str">
        <f>IFERROR(__xludf.DUMMYFUNCTION("""COMPUTED_VALUE"""),"SILANG")</f>
        <v>SILANG</v>
      </c>
      <c r="Q2879" s="1" t="str">
        <f>IFERROR(__xludf.DUMMYFUNCTION("""COMPUTED_VALUE"""),"CAVITE")</f>
        <v>CAVITE</v>
      </c>
      <c r="R2879" s="1" t="str">
        <f>IFERROR(__xludf.DUMMYFUNCTION("""COMPUTED_VALUE"""),"FIBR UNLI ALL PLAN 999")</f>
        <v>FIBR UNLI ALL PLAN 999</v>
      </c>
      <c r="S2879" s="1" t="str">
        <f>IFERROR(__xludf.DUMMYFUNCTION("""COMPUTED_VALUE"""),"APPROVED")</f>
        <v>APPROVED</v>
      </c>
      <c r="T2879" s="1" t="str">
        <f>IFERROR(__xludf.DUMMYFUNCTION("""COMPUTED_VALUE"""),"CANCELLED")</f>
        <v>CANCELLED</v>
      </c>
      <c r="U2879" s="1"/>
      <c r="V2879" s="1"/>
      <c r="W2879" s="1"/>
    </row>
    <row r="2880" customHeight="1" spans="1:23">
      <c r="A2880" s="3">
        <f>IFERROR(__xludf.DUMMYFUNCTION("""COMPUTED_VALUE"""),46259)</f>
        <v>46259</v>
      </c>
      <c r="B2880" s="1" t="str">
        <f>IFERROR(__xludf.DUMMYFUNCTION("""COMPUTED_VALUE"""),"MAGDARAOG, KENNETH")</f>
        <v>MAGDARAOG, KENNETH</v>
      </c>
      <c r="C2880" s="1" t="str">
        <f>IFERROR(__xludf.DUMMYFUNCTION("""COMPUTED_VALUE"""),"ORGANIC")</f>
        <v>ORGANIC</v>
      </c>
      <c r="D2880" s="1" t="str">
        <f>IFERROR(__xludf.DUMMYFUNCTION("""COMPUTED_VALUE"""),"REMOLLO LEA")</f>
        <v>REMOLLO LEA</v>
      </c>
      <c r="E2880" s="1" t="str">
        <f>IFERROR(__xludf.DUMMYFUNCTION("""COMPUTED_VALUE"""),"PLDT / H2H")</f>
        <v>PLDT / H2H</v>
      </c>
      <c r="F2880" s="1">
        <f>IFERROR(__xludf.DUMMYFUNCTION("""COMPUTED_VALUE"""),2312072876)</f>
        <v>2312072876</v>
      </c>
      <c r="G2880" s="1"/>
      <c r="H2880" s="1" t="str">
        <f>IFERROR(__xludf.DUMMYFUNCTION("""COMPUTED_VALUE"""),"ELIZEL ANDAYA CASTRO")</f>
        <v>ELIZEL ANDAYA CASTRO</v>
      </c>
      <c r="I2880" s="1">
        <f>IFERROR(__xludf.DUMMYFUNCTION("""COMPUTED_VALUE"""),9753969919)</f>
        <v>9753969919</v>
      </c>
      <c r="J2880" s="1"/>
      <c r="K2880" s="1" t="str">
        <f>IFERROR(__xludf.DUMMYFUNCTION("""COMPUTED_VALUE"""),"elizelcatro31@gmail.com")</f>
        <v>elizelcatro31@gmail.com</v>
      </c>
      <c r="L2880" s="1" t="str">
        <f>IFERROR(__xludf.DUMMYFUNCTION("""COMPUTED_VALUE"""),"BLK 38 LOT 20")</f>
        <v>BLK 38 LOT 20</v>
      </c>
      <c r="M2880" s="1" t="str">
        <f>IFERROR(__xludf.DUMMYFUNCTION("""COMPUTED_VALUE"""),"PHASE 5")</f>
        <v>PHASE 5</v>
      </c>
      <c r="N2880" s="1"/>
      <c r="O2880" s="1" t="str">
        <f>IFERROR(__xludf.DUMMYFUNCTION("""COMPUTED_VALUE"""),"NARRA III")</f>
        <v>NARRA III</v>
      </c>
      <c r="P2880" s="1" t="str">
        <f>IFERROR(__xludf.DUMMYFUNCTION("""COMPUTED_VALUE"""),"SILANG")</f>
        <v>SILANG</v>
      </c>
      <c r="Q2880" s="1" t="str">
        <f>IFERROR(__xludf.DUMMYFUNCTION("""COMPUTED_VALUE"""),"CAVITE")</f>
        <v>CAVITE</v>
      </c>
      <c r="R2880" s="1" t="str">
        <f>IFERROR(__xludf.DUMMYFUNCTION("""COMPUTED_VALUE"""),"FIBR UNLI ALL PLAN 999")</f>
        <v>FIBR UNLI ALL PLAN 999</v>
      </c>
      <c r="S2880" s="1" t="str">
        <f>IFERROR(__xludf.DUMMYFUNCTION("""COMPUTED_VALUE"""),"APPROVED")</f>
        <v>APPROVED</v>
      </c>
      <c r="T2880" s="1" t="str">
        <f>IFERROR(__xludf.DUMMYFUNCTION("""COMPUTED_VALUE"""),"CANCELLED")</f>
        <v>CANCELLED</v>
      </c>
      <c r="U2880" s="1"/>
      <c r="V2880" s="1"/>
      <c r="W2880" s="1"/>
    </row>
    <row r="2881" customHeight="1" spans="1:23">
      <c r="A2881" s="3">
        <f>IFERROR(__xludf.DUMMYFUNCTION("""COMPUTED_VALUE"""),46259)</f>
        <v>46259</v>
      </c>
      <c r="B2881" s="1" t="str">
        <f>IFERROR(__xludf.DUMMYFUNCTION("""COMPUTED_VALUE"""),"DENACO, RODNEY")</f>
        <v>DENACO, RODNEY</v>
      </c>
      <c r="C2881" s="1" t="str">
        <f>IFERROR(__xludf.DUMMYFUNCTION("""COMPUTED_VALUE"""),"ORGANIC")</f>
        <v>ORGANIC</v>
      </c>
      <c r="D2881" s="1" t="str">
        <f>IFERROR(__xludf.DUMMYFUNCTION("""COMPUTED_VALUE"""),"REMOLLO LEA")</f>
        <v>REMOLLO LEA</v>
      </c>
      <c r="E2881" s="1" t="str">
        <f>IFERROR(__xludf.DUMMYFUNCTION("""COMPUTED_VALUE"""),"PLDT / H2H")</f>
        <v>PLDT / H2H</v>
      </c>
      <c r="F2881" s="1">
        <f>IFERROR(__xludf.DUMMYFUNCTION("""COMPUTED_VALUE"""),2312073764)</f>
        <v>2312073764</v>
      </c>
      <c r="G2881" s="1">
        <f>IFERROR(__xludf.DUMMYFUNCTION("""COMPUTED_VALUE"""),467902098004)</f>
        <v>467902098004</v>
      </c>
      <c r="H2881" s="1" t="str">
        <f>IFERROR(__xludf.DUMMYFUNCTION("""COMPUTED_VALUE"""),"MIAMOR GENESIS ALMEDA")</f>
        <v>MIAMOR GENESIS ALMEDA</v>
      </c>
      <c r="I2881" s="1">
        <f>IFERROR(__xludf.DUMMYFUNCTION("""COMPUTED_VALUE"""),9298132923)</f>
        <v>9298132923</v>
      </c>
      <c r="J2881" s="1"/>
      <c r="K2881" s="1" t="str">
        <f>IFERROR(__xludf.DUMMYFUNCTION("""COMPUTED_VALUE"""),"miamoralmeda08@gmail.com")</f>
        <v>miamoralmeda08@gmail.com</v>
      </c>
      <c r="L2881" s="1" t="str">
        <f>IFERROR(__xludf.DUMMYFUNCTION("""COMPUTED_VALUE"""),"300")</f>
        <v>300</v>
      </c>
      <c r="M2881" s="1" t="str">
        <f>IFERROR(__xludf.DUMMYFUNCTION("""COMPUTED_VALUE"""),"MUNTING ILOG")</f>
        <v>MUNTING ILOG</v>
      </c>
      <c r="N2881" s="1"/>
      <c r="O2881" s="1" t="str">
        <f>IFERROR(__xludf.DUMMYFUNCTION("""COMPUTED_VALUE"""),"MUNTING ILOG")</f>
        <v>MUNTING ILOG</v>
      </c>
      <c r="P2881" s="1" t="str">
        <f>IFERROR(__xludf.DUMMYFUNCTION("""COMPUTED_VALUE"""),"SILANG")</f>
        <v>SILANG</v>
      </c>
      <c r="Q2881" s="1" t="str">
        <f>IFERROR(__xludf.DUMMYFUNCTION("""COMPUTED_VALUE"""),"CAVITE")</f>
        <v>CAVITE</v>
      </c>
      <c r="R2881" s="1" t="str">
        <f>IFERROR(__xludf.DUMMYFUNCTION("""COMPUTED_VALUE"""),"FIBR UNLI ALL PLAN 999")</f>
        <v>FIBR UNLI ALL PLAN 999</v>
      </c>
      <c r="S2881" s="1" t="str">
        <f>IFERROR(__xludf.DUMMYFUNCTION("""COMPUTED_VALUE"""),"APPROVED")</f>
        <v>APPROVED</v>
      </c>
      <c r="T2881" s="1" t="str">
        <f>IFERROR(__xludf.DUMMYFUNCTION("""COMPUTED_VALUE"""),"CLOSED")</f>
        <v>CLOSED</v>
      </c>
      <c r="U2881" s="1" t="str">
        <f>IFERROR(__xludf.DUMMYFUNCTION("""COMPUTED_VALUE"""),"POSTED")</f>
        <v>POSTED</v>
      </c>
      <c r="V2881" s="1"/>
      <c r="W2881" s="1"/>
    </row>
    <row r="2882" customHeight="1" spans="1:23">
      <c r="A2882" s="3">
        <f>IFERROR(__xludf.DUMMYFUNCTION("""COMPUTED_VALUE"""),46259)</f>
        <v>46259</v>
      </c>
      <c r="B2882" s="1" t="str">
        <f>IFERROR(__xludf.DUMMYFUNCTION("""COMPUTED_VALUE"""),"ALOS, CHARLS LAURENZ")</f>
        <v>ALOS, CHARLS LAURENZ</v>
      </c>
      <c r="C2882" s="1" t="str">
        <f>IFERROR(__xludf.DUMMYFUNCTION("""COMPUTED_VALUE"""),"ORGANIC")</f>
        <v>ORGANIC</v>
      </c>
      <c r="D2882" s="1" t="str">
        <f>IFERROR(__xludf.DUMMYFUNCTION("""COMPUTED_VALUE"""),"REMOLLO LEA")</f>
        <v>REMOLLO LEA</v>
      </c>
      <c r="E2882" s="1" t="str">
        <f>IFERROR(__xludf.DUMMYFUNCTION("""COMPUTED_VALUE"""),"PLDT / H2H")</f>
        <v>PLDT / H2H</v>
      </c>
      <c r="F2882" s="1">
        <f>IFERROR(__xludf.DUMMYFUNCTION("""COMPUTED_VALUE"""),2312076049)</f>
        <v>2312076049</v>
      </c>
      <c r="G2882" s="1"/>
      <c r="H2882" s="1" t="str">
        <f>IFERROR(__xludf.DUMMYFUNCTION("""COMPUTED_VALUE"""),"REGLEND GUHITING DE ASIS")</f>
        <v>REGLEND GUHITING DE ASIS</v>
      </c>
      <c r="I2882" s="1">
        <f>IFERROR(__xludf.DUMMYFUNCTION("""COMPUTED_VALUE"""),9456316550)</f>
        <v>9456316550</v>
      </c>
      <c r="J2882" s="1"/>
      <c r="K2882" s="1" t="str">
        <f>IFERROR(__xludf.DUMMYFUNCTION("""COMPUTED_VALUE"""),"regkenddeasis02@gmail.com")</f>
        <v>regkenddeasis02@gmail.com</v>
      </c>
      <c r="L2882" s="1" t="str">
        <f>IFERROR(__xludf.DUMMYFUNCTION("""COMPUTED_VALUE"""),"32a")</f>
        <v>32a</v>
      </c>
      <c r="M2882" s="1" t="str">
        <f>IFERROR(__xludf.DUMMYFUNCTION("""COMPUTED_VALUE"""),"LITLIT")</f>
        <v>LITLIT</v>
      </c>
      <c r="N2882" s="1"/>
      <c r="O2882" s="1" t="str">
        <f>IFERROR(__xludf.DUMMYFUNCTION("""COMPUTED_VALUE"""),"LITLIT")</f>
        <v>LITLIT</v>
      </c>
      <c r="P2882" s="1" t="str">
        <f>IFERROR(__xludf.DUMMYFUNCTION("""COMPUTED_VALUE"""),"SILANG")</f>
        <v>SILANG</v>
      </c>
      <c r="Q2882" s="1" t="str">
        <f>IFERROR(__xludf.DUMMYFUNCTION("""COMPUTED_VALUE"""),"CAVITE")</f>
        <v>CAVITE</v>
      </c>
      <c r="R2882" s="1" t="str">
        <f>IFERROR(__xludf.DUMMYFUNCTION("""COMPUTED_VALUE"""),"FIBR PLAN 1299")</f>
        <v>FIBR PLAN 1299</v>
      </c>
      <c r="S2882" s="1" t="str">
        <f>IFERROR(__xludf.DUMMYFUNCTION("""COMPUTED_VALUE"""),"APPROVED")</f>
        <v>APPROVED</v>
      </c>
      <c r="T2882" s="1" t="str">
        <f>IFERROR(__xludf.DUMMYFUNCTION("""COMPUTED_VALUE"""),"CANCELLED")</f>
        <v>CANCELLED</v>
      </c>
      <c r="U2882" s="1"/>
      <c r="V2882" s="1"/>
      <c r="W2882" s="1"/>
    </row>
    <row r="2883" customHeight="1" spans="1:23">
      <c r="A2883" s="3">
        <f>IFERROR(__xludf.DUMMYFUNCTION("""COMPUTED_VALUE"""),46259)</f>
        <v>46259</v>
      </c>
      <c r="B2883" s="1" t="str">
        <f>IFERROR(__xludf.DUMMYFUNCTION("""COMPUTED_VALUE"""),"DE GUZMAN , GENALYN")</f>
        <v>DE GUZMAN , GENALYN</v>
      </c>
      <c r="C2883" s="1" t="str">
        <f>IFERROR(__xludf.DUMMYFUNCTION("""COMPUTED_VALUE"""),"FLA")</f>
        <v>FLA</v>
      </c>
      <c r="D2883" s="1" t="str">
        <f>IFERROR(__xludf.DUMMYFUNCTION("""COMPUTED_VALUE"""),"JERIC NAVARRO")</f>
        <v>JERIC NAVARRO</v>
      </c>
      <c r="E2883" s="1" t="str">
        <f>IFERROR(__xludf.DUMMYFUNCTION("""COMPUTED_VALUE"""),"PLDT / ONLINE")</f>
        <v>PLDT / ONLINE</v>
      </c>
      <c r="F2883" s="1">
        <f>IFERROR(__xludf.DUMMYFUNCTION("""COMPUTED_VALUE"""),2312076512)</f>
        <v>2312076512</v>
      </c>
      <c r="G2883" s="1"/>
      <c r="H2883" s="1" t="str">
        <f>IFERROR(__xludf.DUMMYFUNCTION("""COMPUTED_VALUE"""),"DARLEEN MACAALAY VILLA")</f>
        <v>DARLEEN MACAALAY VILLA</v>
      </c>
      <c r="I2883" s="1">
        <f>IFERROR(__xludf.DUMMYFUNCTION("""COMPUTED_VALUE"""),9451231055)</f>
        <v>9451231055</v>
      </c>
      <c r="J2883" s="1">
        <f>IFERROR(__xludf.DUMMYFUNCTION("""COMPUTED_VALUE"""),9155493496)</f>
        <v>9155493496</v>
      </c>
      <c r="K2883" s="1" t="str">
        <f>IFERROR(__xludf.DUMMYFUNCTION("""COMPUTED_VALUE"""),"devilladarleen1@gmail.com")</f>
        <v>devilladarleen1@gmail.com</v>
      </c>
      <c r="L2883" s="1" t="str">
        <f>IFERROR(__xludf.DUMMYFUNCTION("""COMPUTED_VALUE"""),"6")</f>
        <v>6</v>
      </c>
      <c r="M2883" s="1" t="str">
        <f>IFERROR(__xludf.DUMMYFUNCTION("""COMPUTED_VALUE"""),"OSORIO")</f>
        <v>OSORIO</v>
      </c>
      <c r="N2883" s="1"/>
      <c r="O2883" s="1" t="str">
        <f>IFERROR(__xludf.DUMMYFUNCTION("""COMPUTED_VALUE"""),"BARANGAY V (POB.)")</f>
        <v>BARANGAY V (POB.)</v>
      </c>
      <c r="P2883" s="1" t="str">
        <f>IFERROR(__xludf.DUMMYFUNCTION("""COMPUTED_VALUE"""),"MENDEZ")</f>
        <v>MENDEZ</v>
      </c>
      <c r="Q2883" s="1" t="str">
        <f>IFERROR(__xludf.DUMMYFUNCTION("""COMPUTED_VALUE"""),"CAVITE")</f>
        <v>CAVITE</v>
      </c>
      <c r="R2883" s="1" t="str">
        <f>IFERROR(__xludf.DUMMYFUNCTION("""COMPUTED_VALUE"""),"FIBR UNLI ALL PLAN 1499")</f>
        <v>FIBR UNLI ALL PLAN 1499</v>
      </c>
      <c r="S2883" s="1" t="str">
        <f>IFERROR(__xludf.DUMMYFUNCTION("""COMPUTED_VALUE"""),"APPROVED")</f>
        <v>APPROVED</v>
      </c>
      <c r="T2883" s="1" t="str">
        <f>IFERROR(__xludf.DUMMYFUNCTION("""COMPUTED_VALUE"""),"CANCELLED")</f>
        <v>CANCELLED</v>
      </c>
      <c r="U2883" s="1"/>
      <c r="V2883" s="1"/>
      <c r="W2883" s="1"/>
    </row>
    <row r="2884" customHeight="1" spans="1:23">
      <c r="A2884" s="3">
        <f>IFERROR(__xludf.DUMMYFUNCTION("""COMPUTED_VALUE"""),46259)</f>
        <v>46259</v>
      </c>
      <c r="B2884" s="1" t="str">
        <f>IFERROR(__xludf.DUMMYFUNCTION("""COMPUTED_VALUE"""),"ESCARCHA, MA ALMA  ESCOTO")</f>
        <v>ESCARCHA, MA ALMA  ESCOTO</v>
      </c>
      <c r="C2884" s="1" t="str">
        <f>IFERROR(__xludf.DUMMYFUNCTION("""COMPUTED_VALUE"""),"ORGANIC")</f>
        <v>ORGANIC</v>
      </c>
      <c r="D2884" s="1" t="str">
        <f>IFERROR(__xludf.DUMMYFUNCTION("""COMPUTED_VALUE"""),"REMOLLO LEA")</f>
        <v>REMOLLO LEA</v>
      </c>
      <c r="E2884" s="1" t="str">
        <f>IFERROR(__xludf.DUMMYFUNCTION("""COMPUTED_VALUE"""),"PLDT / H2H")</f>
        <v>PLDT / H2H</v>
      </c>
      <c r="F2884" s="1">
        <f>IFERROR(__xludf.DUMMYFUNCTION("""COMPUTED_VALUE"""),2312077205)</f>
        <v>2312077205</v>
      </c>
      <c r="G2884" s="1">
        <f>IFERROR(__xludf.DUMMYFUNCTION("""COMPUTED_VALUE"""),467905874004)</f>
        <v>467905874004</v>
      </c>
      <c r="H2884" s="1" t="str">
        <f>IFERROR(__xludf.DUMMYFUNCTION("""COMPUTED_VALUE"""),"ANTHONETTE ANDALES ABLING")</f>
        <v>ANTHONETTE ANDALES ABLING</v>
      </c>
      <c r="I2884" s="1">
        <f>IFERROR(__xludf.DUMMYFUNCTION("""COMPUTED_VALUE"""),9398173391)</f>
        <v>9398173391</v>
      </c>
      <c r="J2884" s="1">
        <f>IFERROR(__xludf.DUMMYFUNCTION("""COMPUTED_VALUE"""),9153154413)</f>
        <v>9153154413</v>
      </c>
      <c r="K2884" s="1" t="str">
        <f>IFERROR(__xludf.DUMMYFUNCTION("""COMPUTED_VALUE"""),"anthonetteabling@gmail.com")</f>
        <v>anthonetteabling@gmail.com</v>
      </c>
      <c r="L2884" s="1" t="str">
        <f>IFERROR(__xludf.DUMMYFUNCTION("""COMPUTED_VALUE"""),"75")</f>
        <v>75</v>
      </c>
      <c r="M2884" s="1" t="str">
        <f>IFERROR(__xludf.DUMMYFUNCTION("""COMPUTED_VALUE"""),"PUROK 211")</f>
        <v>PUROK 211</v>
      </c>
      <c r="N2884" s="1"/>
      <c r="O2884" s="1" t="str">
        <f>IFERROR(__xludf.DUMMYFUNCTION("""COMPUTED_VALUE"""),"ZAMBAL")</f>
        <v>ZAMBAL</v>
      </c>
      <c r="P2884" s="1" t="str">
        <f>IFERROR(__xludf.DUMMYFUNCTION("""COMPUTED_VALUE"""),"TAGAYTAY")</f>
        <v>TAGAYTAY</v>
      </c>
      <c r="Q2884" s="1" t="str">
        <f>IFERROR(__xludf.DUMMYFUNCTION("""COMPUTED_VALUE"""),"CAVITE")</f>
        <v>CAVITE</v>
      </c>
      <c r="R2884" s="1" t="str">
        <f>IFERROR(__xludf.DUMMYFUNCTION("""COMPUTED_VALUE"""),"FIBR UNLI ALL PLAN 999")</f>
        <v>FIBR UNLI ALL PLAN 999</v>
      </c>
      <c r="S2884" s="1" t="str">
        <f>IFERROR(__xludf.DUMMYFUNCTION("""COMPUTED_VALUE"""),"APPROVED")</f>
        <v>APPROVED</v>
      </c>
      <c r="T2884" s="1" t="str">
        <f>IFERROR(__xludf.DUMMYFUNCTION("""COMPUTED_VALUE"""),"CLOSED")</f>
        <v>CLOSED</v>
      </c>
      <c r="U2884" s="1" t="str">
        <f>IFERROR(__xludf.DUMMYFUNCTION("""COMPUTED_VALUE"""),"POSTED")</f>
        <v>POSTED</v>
      </c>
      <c r="V2884" s="1"/>
      <c r="W2884" s="1"/>
    </row>
    <row r="2885" customHeight="1" spans="1:23">
      <c r="A2885" s="3">
        <f>IFERROR(__xludf.DUMMYFUNCTION("""COMPUTED_VALUE"""),46259)</f>
        <v>46259</v>
      </c>
      <c r="B2885" s="1" t="str">
        <f>IFERROR(__xludf.DUMMYFUNCTION("""COMPUTED_VALUE"""),"CADERAO, RONALD")</f>
        <v>CADERAO, RONALD</v>
      </c>
      <c r="C2885" s="1" t="str">
        <f>IFERROR(__xludf.DUMMYFUNCTION("""COMPUTED_VALUE"""),"ORGANIC")</f>
        <v>ORGANIC</v>
      </c>
      <c r="D2885" s="1" t="str">
        <f>IFERROR(__xludf.DUMMYFUNCTION("""COMPUTED_VALUE"""),"REMOLLO LEA")</f>
        <v>REMOLLO LEA</v>
      </c>
      <c r="E2885" s="1" t="str">
        <f>IFERROR(__xludf.DUMMYFUNCTION("""COMPUTED_VALUE"""),"PLDT / H2H")</f>
        <v>PLDT / H2H</v>
      </c>
      <c r="F2885" s="1">
        <f>IFERROR(__xludf.DUMMYFUNCTION("""COMPUTED_VALUE"""),2312081062)</f>
        <v>2312081062</v>
      </c>
      <c r="G2885" s="1">
        <f>IFERROR(__xludf.DUMMYFUNCTION("""COMPUTED_VALUE"""),467927809004)</f>
        <v>467927809004</v>
      </c>
      <c r="H2885" s="1" t="str">
        <f>IFERROR(__xludf.DUMMYFUNCTION("""COMPUTED_VALUE"""),"MICHAEL BENISEN MEDINA")</f>
        <v>MICHAEL BENISEN MEDINA</v>
      </c>
      <c r="I2885" s="1">
        <f>IFERROR(__xludf.DUMMYFUNCTION("""COMPUTED_VALUE"""),9569145459)</f>
        <v>9569145459</v>
      </c>
      <c r="J2885" s="1"/>
      <c r="K2885" s="1" t="str">
        <f>IFERROR(__xludf.DUMMYFUNCTION("""COMPUTED_VALUE"""),"michaelmedina007550@gmai.com")</f>
        <v>michaelmedina007550@gmai.com</v>
      </c>
      <c r="L2885" s="1" t="str">
        <f>IFERROR(__xludf.DUMMYFUNCTION("""COMPUTED_VALUE"""),"BLK 2 LOT 7")</f>
        <v>BLK 2 LOT 7</v>
      </c>
      <c r="M2885" s="1" t="str">
        <f>IFERROR(__xludf.DUMMYFUNCTION("""COMPUTED_VALUE"""),"PABAHAY ")</f>
        <v>PABAHAY </v>
      </c>
      <c r="N2885" s="1"/>
      <c r="O2885" s="1" t="str">
        <f>IFERROR(__xludf.DUMMYFUNCTION("""COMPUTED_VALUE"""),"TOLENTINO EAST")</f>
        <v>TOLENTINO EAST</v>
      </c>
      <c r="P2885" s="1" t="str">
        <f>IFERROR(__xludf.DUMMYFUNCTION("""COMPUTED_VALUE"""),"TAGAYTAY")</f>
        <v>TAGAYTAY</v>
      </c>
      <c r="Q2885" s="1" t="str">
        <f>IFERROR(__xludf.DUMMYFUNCTION("""COMPUTED_VALUE"""),"CAVITE")</f>
        <v>CAVITE</v>
      </c>
      <c r="R2885" s="1" t="str">
        <f>IFERROR(__xludf.DUMMYFUNCTION("""COMPUTED_VALUE"""),"FIBR UNLI ALL PLAN 999")</f>
        <v>FIBR UNLI ALL PLAN 999</v>
      </c>
      <c r="S2885" s="1" t="str">
        <f>IFERROR(__xludf.DUMMYFUNCTION("""COMPUTED_VALUE"""),"APPROVED")</f>
        <v>APPROVED</v>
      </c>
      <c r="T2885" s="1" t="str">
        <f>IFERROR(__xludf.DUMMYFUNCTION("""COMPUTED_VALUE"""),"CANCELLED")</f>
        <v>CANCELLED</v>
      </c>
      <c r="U2885" s="1"/>
      <c r="V2885" s="1"/>
      <c r="W2885" s="1"/>
    </row>
    <row r="2886" customHeight="1" spans="1:23">
      <c r="A2886" s="3">
        <f>IFERROR(__xludf.DUMMYFUNCTION("""COMPUTED_VALUE"""),46259)</f>
        <v>46259</v>
      </c>
      <c r="B2886" s="1" t="str">
        <f>IFERROR(__xludf.DUMMYFUNCTION("""COMPUTED_VALUE"""),"IVNO, RAZZEL")</f>
        <v>IVNO, RAZZEL</v>
      </c>
      <c r="C2886" s="1" t="str">
        <f>IFERROR(__xludf.DUMMYFUNCTION("""COMPUTED_VALUE"""),"ORGANIC")</f>
        <v>ORGANIC</v>
      </c>
      <c r="D2886" s="1" t="str">
        <f>IFERROR(__xludf.DUMMYFUNCTION("""COMPUTED_VALUE"""),"REMOLLO LEA")</f>
        <v>REMOLLO LEA</v>
      </c>
      <c r="E2886" s="1" t="str">
        <f>IFERROR(__xludf.DUMMYFUNCTION("""COMPUTED_VALUE"""),"PLDT / H2H")</f>
        <v>PLDT / H2H</v>
      </c>
      <c r="F2886" s="1">
        <f>IFERROR(__xludf.DUMMYFUNCTION("""COMPUTED_VALUE"""),2312081880)</f>
        <v>2312081880</v>
      </c>
      <c r="G2886" s="1">
        <f>IFERROR(__xludf.DUMMYFUNCTION("""COMPUTED_VALUE"""),467911715004)</f>
        <v>467911715004</v>
      </c>
      <c r="H2886" s="1" t="str">
        <f>IFERROR(__xludf.DUMMYFUNCTION("""COMPUTED_VALUE"""),"GAIL MAIKELA MENDOZA ESMEN")</f>
        <v>GAIL MAIKELA MENDOZA ESMEN</v>
      </c>
      <c r="I2886" s="1">
        <f>IFERROR(__xludf.DUMMYFUNCTION("""COMPUTED_VALUE"""),9615690594)</f>
        <v>9615690594</v>
      </c>
      <c r="J2886" s="1">
        <f>IFERROR(__xludf.DUMMYFUNCTION("""COMPUTED_VALUE"""),9950267216)</f>
        <v>9950267216</v>
      </c>
      <c r="K2886" s="1" t="str">
        <f>IFERROR(__xludf.DUMMYFUNCTION("""COMPUTED_VALUE"""),"gmikaelamsmn@gmail.com")</f>
        <v>gmikaelamsmn@gmail.com</v>
      </c>
      <c r="L2886" s="1" t="str">
        <f>IFERROR(__xludf.DUMMYFUNCTION("""COMPUTED_VALUE"""),"87")</f>
        <v>87</v>
      </c>
      <c r="M2886" s="1" t="str">
        <f>IFERROR(__xludf.DUMMYFUNCTION("""COMPUTED_VALUE"""),"MONTOYA")</f>
        <v>MONTOYA</v>
      </c>
      <c r="N2886" s="1"/>
      <c r="O2886" s="1" t="str">
        <f>IFERROR(__xludf.DUMMYFUNCTION("""COMPUTED_VALUE"""),"BARANGAY IV (POB.)")</f>
        <v>BARANGAY IV (POB.)</v>
      </c>
      <c r="P2886" s="1" t="str">
        <f>IFERROR(__xludf.DUMMYFUNCTION("""COMPUTED_VALUE"""),"SILANG")</f>
        <v>SILANG</v>
      </c>
      <c r="Q2886" s="1" t="str">
        <f>IFERROR(__xludf.DUMMYFUNCTION("""COMPUTED_VALUE"""),"CAVITE")</f>
        <v>CAVITE</v>
      </c>
      <c r="R2886" s="1" t="str">
        <f>IFERROR(__xludf.DUMMYFUNCTION("""COMPUTED_VALUE"""),"FIBR UNLI ALL PLAN 1499")</f>
        <v>FIBR UNLI ALL PLAN 1499</v>
      </c>
      <c r="S2886" s="1" t="str">
        <f>IFERROR(__xludf.DUMMYFUNCTION("""COMPUTED_VALUE"""),"APPROVED")</f>
        <v>APPROVED</v>
      </c>
      <c r="T2886" s="1" t="str">
        <f>IFERROR(__xludf.DUMMYFUNCTION("""COMPUTED_VALUE"""),"CLOSED")</f>
        <v>CLOSED</v>
      </c>
      <c r="U2886" s="1" t="str">
        <f>IFERROR(__xludf.DUMMYFUNCTION("""COMPUTED_VALUE"""),"POSTED")</f>
        <v>POSTED</v>
      </c>
      <c r="V2886" s="1"/>
      <c r="W2886" s="1"/>
    </row>
    <row r="2887" customHeight="1" spans="1:23">
      <c r="A2887" s="3">
        <f>IFERROR(__xludf.DUMMYFUNCTION("""COMPUTED_VALUE"""),46260)</f>
        <v>46260</v>
      </c>
      <c r="B2887" s="1" t="str">
        <f>IFERROR(__xludf.DUMMYFUNCTION("""COMPUTED_VALUE"""),"CARPIO, STEPHANIE NICOLE")</f>
        <v>CARPIO, STEPHANIE NICOLE</v>
      </c>
      <c r="C2887" s="1" t="str">
        <f>IFERROR(__xludf.DUMMYFUNCTION("""COMPUTED_VALUE"""),"FLA")</f>
        <v>FLA</v>
      </c>
      <c r="D2887" s="1" t="str">
        <f>IFERROR(__xludf.DUMMYFUNCTION("""COMPUTED_VALUE"""),"JERIC NAVARRO")</f>
        <v>JERIC NAVARRO</v>
      </c>
      <c r="E2887" s="1" t="str">
        <f>IFERROR(__xludf.DUMMYFUNCTION("""COMPUTED_VALUE"""),"PLDT / H2H")</f>
        <v>PLDT / H2H</v>
      </c>
      <c r="F2887" s="1">
        <f>IFERROR(__xludf.DUMMYFUNCTION("""COMPUTED_VALUE"""),2312103725)</f>
        <v>2312103725</v>
      </c>
      <c r="G2887" s="1">
        <f>IFERROR(__xludf.DUMMYFUNCTION("""COMPUTED_VALUE"""),468005723004)</f>
        <v>468005723004</v>
      </c>
      <c r="H2887" s="1" t="str">
        <f>IFERROR(__xludf.DUMMYFUNCTION("""COMPUTED_VALUE"""),"MERLIN MANARIN OFIAZA")</f>
        <v>MERLIN MANARIN OFIAZA</v>
      </c>
      <c r="I2887" s="1">
        <f>IFERROR(__xludf.DUMMYFUNCTION("""COMPUTED_VALUE"""),9158849638)</f>
        <v>9158849638</v>
      </c>
      <c r="J2887" s="1"/>
      <c r="K2887" s="1" t="str">
        <f>IFERROR(__xludf.DUMMYFUNCTION("""COMPUTED_VALUE"""),"jondhell1998@gmail.com")</f>
        <v>jondhell1998@gmail.com</v>
      </c>
      <c r="L2887" s="1" t="str">
        <f>IFERROR(__xludf.DUMMYFUNCTION("""COMPUTED_VALUE"""),"607B")</f>
        <v>607B</v>
      </c>
      <c r="M2887" s="1" t="str">
        <f>IFERROR(__xludf.DUMMYFUNCTION("""COMPUTED_VALUE"""),"SANCHEZ")</f>
        <v>SANCHEZ</v>
      </c>
      <c r="N2887" s="1"/>
      <c r="O2887" s="1" t="str">
        <f>IFERROR(__xludf.DUMMYFUNCTION("""COMPUTED_VALUE"""),"BARANGAY 51 (KAMAGONG)")</f>
        <v>BARANGAY 51 (KAMAGONG)</v>
      </c>
      <c r="P2887" s="1" t="str">
        <f>IFERROR(__xludf.DUMMYFUNCTION("""COMPUTED_VALUE"""),"CAVITE CITY")</f>
        <v>CAVITE CITY</v>
      </c>
      <c r="Q2887" s="1" t="str">
        <f>IFERROR(__xludf.DUMMYFUNCTION("""COMPUTED_VALUE"""),"CAVITE")</f>
        <v>CAVITE</v>
      </c>
      <c r="R2887" s="1" t="str">
        <f>IFERROR(__xludf.DUMMYFUNCTION("""COMPUTED_VALUE"""),"FIBR UNLI ALL PLAN 1499")</f>
        <v>FIBR UNLI ALL PLAN 1499</v>
      </c>
      <c r="S2887" s="1" t="str">
        <f>IFERROR(__xludf.DUMMYFUNCTION("""COMPUTED_VALUE"""),"APPROVED")</f>
        <v>APPROVED</v>
      </c>
      <c r="T2887" s="1" t="str">
        <f>IFERROR(__xludf.DUMMYFUNCTION("""COMPUTED_VALUE"""),"CLOSED")</f>
        <v>CLOSED</v>
      </c>
      <c r="U2887" s="1"/>
      <c r="V2887" s="1"/>
      <c r="W2887" s="1"/>
    </row>
    <row r="2888" customHeight="1" spans="1:23">
      <c r="A2888" s="3">
        <f>IFERROR(__xludf.DUMMYFUNCTION("""COMPUTED_VALUE"""),46260)</f>
        <v>46260</v>
      </c>
      <c r="B2888" s="1" t="str">
        <f>IFERROR(__xludf.DUMMYFUNCTION("""COMPUTED_VALUE"""),"ALOS, CHARLS LAURENZ")</f>
        <v>ALOS, CHARLS LAURENZ</v>
      </c>
      <c r="C2888" s="1" t="str">
        <f>IFERROR(__xludf.DUMMYFUNCTION("""COMPUTED_VALUE"""),"ORGANIC")</f>
        <v>ORGANIC</v>
      </c>
      <c r="D2888" s="1" t="str">
        <f>IFERROR(__xludf.DUMMYFUNCTION("""COMPUTED_VALUE"""),"REMOLLO LEA")</f>
        <v>REMOLLO LEA</v>
      </c>
      <c r="E2888" s="1" t="str">
        <f>IFERROR(__xludf.DUMMYFUNCTION("""COMPUTED_VALUE"""),"PLDT / H2H")</f>
        <v>PLDT / H2H</v>
      </c>
      <c r="F2888" s="1">
        <f>IFERROR(__xludf.DUMMYFUNCTION("""COMPUTED_VALUE"""),2312104615)</f>
        <v>2312104615</v>
      </c>
      <c r="G2888" s="1"/>
      <c r="H2888" s="1" t="str">
        <f>IFERROR(__xludf.DUMMYFUNCTION("""COMPUTED_VALUE"""),"CHERY GIL CAPUNO DELEN")</f>
        <v>CHERY GIL CAPUNO DELEN</v>
      </c>
      <c r="I2888" s="1">
        <f>IFERROR(__xludf.DUMMYFUNCTION("""COMPUTED_VALUE"""),9278054453)</f>
        <v>9278054453</v>
      </c>
      <c r="J2888" s="1"/>
      <c r="K2888" s="1" t="str">
        <f>IFERROR(__xludf.DUMMYFUNCTION("""COMPUTED_VALUE"""),"capunocherrygil03032023@gmail.com")</f>
        <v>capunocherrygil03032023@gmail.com</v>
      </c>
      <c r="L2888" s="1" t="str">
        <f>IFERROR(__xludf.DUMMYFUNCTION("""COMPUTED_VALUE"""),"83")</f>
        <v>83</v>
      </c>
      <c r="M2888" s="1" t="str">
        <f>IFERROR(__xludf.DUMMYFUNCTION("""COMPUTED_VALUE"""),"PUROK 7")</f>
        <v>PUROK 7</v>
      </c>
      <c r="N2888" s="1"/>
      <c r="O2888" s="1" t="str">
        <f>IFERROR(__xludf.DUMMYFUNCTION("""COMPUTED_VALUE"""),"LITLIT")</f>
        <v>LITLIT</v>
      </c>
      <c r="P2888" s="1" t="str">
        <f>IFERROR(__xludf.DUMMYFUNCTION("""COMPUTED_VALUE"""),"SILANG")</f>
        <v>SILANG</v>
      </c>
      <c r="Q2888" s="1" t="str">
        <f>IFERROR(__xludf.DUMMYFUNCTION("""COMPUTED_VALUE"""),"CAVITE")</f>
        <v>CAVITE</v>
      </c>
      <c r="R2888" s="1" t="str">
        <f>IFERROR(__xludf.DUMMYFUNCTION("""COMPUTED_VALUE"""),"FIBR UNLI ALL PLAN 999")</f>
        <v>FIBR UNLI ALL PLAN 999</v>
      </c>
      <c r="S2888" s="1" t="str">
        <f>IFERROR(__xludf.DUMMYFUNCTION("""COMPUTED_VALUE"""),"APPROVED")</f>
        <v>APPROVED</v>
      </c>
      <c r="T2888" s="1" t="str">
        <f>IFERROR(__xludf.DUMMYFUNCTION("""COMPUTED_VALUE"""),"CANCELLED")</f>
        <v>CANCELLED</v>
      </c>
      <c r="U2888" s="1"/>
      <c r="V2888" s="1"/>
      <c r="W2888" s="1"/>
    </row>
    <row r="2889" customHeight="1" spans="1:23">
      <c r="A2889" s="3">
        <f>IFERROR(__xludf.DUMMYFUNCTION("""COMPUTED_VALUE"""),46260)</f>
        <v>46260</v>
      </c>
      <c r="B2889" s="1" t="str">
        <f>IFERROR(__xludf.DUMMYFUNCTION("""COMPUTED_VALUE"""),"ESCARCHA, MA ALMA  ESCOTO")</f>
        <v>ESCARCHA, MA ALMA  ESCOTO</v>
      </c>
      <c r="C2889" s="1" t="str">
        <f>IFERROR(__xludf.DUMMYFUNCTION("""COMPUTED_VALUE"""),"ORGANIC")</f>
        <v>ORGANIC</v>
      </c>
      <c r="D2889" s="1" t="str">
        <f>IFERROR(__xludf.DUMMYFUNCTION("""COMPUTED_VALUE"""),"REMOLLO LEA")</f>
        <v>REMOLLO LEA</v>
      </c>
      <c r="E2889" s="1" t="str">
        <f>IFERROR(__xludf.DUMMYFUNCTION("""COMPUTED_VALUE"""),"PLDT / H2H")</f>
        <v>PLDT / H2H</v>
      </c>
      <c r="F2889" s="1">
        <f>IFERROR(__xludf.DUMMYFUNCTION("""COMPUTED_VALUE"""),2312120037)</f>
        <v>2312120037</v>
      </c>
      <c r="G2889" s="1">
        <f>IFERROR(__xludf.DUMMYFUNCTION("""COMPUTED_VALUE"""),468037719004)</f>
        <v>468037719004</v>
      </c>
      <c r="H2889" s="1" t="str">
        <f>IFERROR(__xludf.DUMMYFUNCTION("""COMPUTED_VALUE"""),"CZARINA MARIE CALMERIN QUILAO")</f>
        <v>CZARINA MARIE CALMERIN QUILAO</v>
      </c>
      <c r="I2889" s="1">
        <f>IFERROR(__xludf.DUMMYFUNCTION("""COMPUTED_VALUE"""),9560490769)</f>
        <v>9560490769</v>
      </c>
      <c r="J2889" s="1">
        <f>IFERROR(__xludf.DUMMYFUNCTION("""COMPUTED_VALUE"""),9638094067)</f>
        <v>9638094067</v>
      </c>
      <c r="K2889" s="1" t="str">
        <f>IFERROR(__xludf.DUMMYFUNCTION("""COMPUTED_VALUE"""),"czrinasocmed@gmail.com")</f>
        <v>czrinasocmed@gmail.com</v>
      </c>
      <c r="L2889" s="1" t="str">
        <f>IFERROR(__xludf.DUMMYFUNCTION("""COMPUTED_VALUE"""),"51")</f>
        <v>51</v>
      </c>
      <c r="M2889" s="1" t="str">
        <f>IFERROR(__xludf.DUMMYFUNCTION("""COMPUTED_VALUE"""),"PASONG MATANDA")</f>
        <v>PASONG MATANDA</v>
      </c>
      <c r="N2889" s="1"/>
      <c r="O2889" s="1" t="str">
        <f>IFERROR(__xludf.DUMMYFUNCTION("""COMPUTED_VALUE"""),"BARANGAY 5 POBLACION")</f>
        <v>BARANGAY 5 POBLACION</v>
      </c>
      <c r="P2889" s="1" t="str">
        <f>IFERROR(__xludf.DUMMYFUNCTION("""COMPUTED_VALUE"""),"AMADEO")</f>
        <v>AMADEO</v>
      </c>
      <c r="Q2889" s="1" t="str">
        <f>IFERROR(__xludf.DUMMYFUNCTION("""COMPUTED_VALUE"""),"CAVITE")</f>
        <v>CAVITE</v>
      </c>
      <c r="R2889" s="1" t="str">
        <f>IFERROR(__xludf.DUMMYFUNCTION("""COMPUTED_VALUE"""),"FIBR PLAN 1299")</f>
        <v>FIBR PLAN 1299</v>
      </c>
      <c r="S2889" s="1" t="str">
        <f>IFERROR(__xludf.DUMMYFUNCTION("""COMPUTED_VALUE"""),"APPROVED")</f>
        <v>APPROVED</v>
      </c>
      <c r="T2889" s="1" t="str">
        <f>IFERROR(__xludf.DUMMYFUNCTION("""COMPUTED_VALUE"""),"CLOSED")</f>
        <v>CLOSED</v>
      </c>
      <c r="U2889" s="1"/>
      <c r="V2889" s="1"/>
      <c r="W2889" s="1"/>
    </row>
    <row r="2890" customHeight="1" spans="1:23">
      <c r="A2890" s="3">
        <f>IFERROR(__xludf.DUMMYFUNCTION("""COMPUTED_VALUE"""),46260)</f>
        <v>46260</v>
      </c>
      <c r="B2890" s="1" t="str">
        <f>IFERROR(__xludf.DUMMYFUNCTION("""COMPUTED_VALUE"""),"MANDUCDOC, MARIANE")</f>
        <v>MANDUCDOC, MARIANE</v>
      </c>
      <c r="C2890" s="1" t="str">
        <f>IFERROR(__xludf.DUMMYFUNCTION("""COMPUTED_VALUE"""),"ORGANIC")</f>
        <v>ORGANIC</v>
      </c>
      <c r="D2890" s="1" t="str">
        <f>IFERROR(__xludf.DUMMYFUNCTION("""COMPUTED_VALUE"""),"REMOLLO LEA")</f>
        <v>REMOLLO LEA</v>
      </c>
      <c r="E2890" s="1" t="str">
        <f>IFERROR(__xludf.DUMMYFUNCTION("""COMPUTED_VALUE"""),"PLDT / H2H")</f>
        <v>PLDT / H2H</v>
      </c>
      <c r="F2890" s="1">
        <f>IFERROR(__xludf.DUMMYFUNCTION("""COMPUTED_VALUE"""),2312119910)</f>
        <v>2312119910</v>
      </c>
      <c r="G2890" s="1">
        <f>IFERROR(__xludf.DUMMYFUNCTION("""COMPUTED_VALUE"""),468040152004)</f>
        <v>468040152004</v>
      </c>
      <c r="H2890" s="1" t="str">
        <f>IFERROR(__xludf.DUMMYFUNCTION("""COMPUTED_VALUE"""),"RAFAEL ARIOLA DELA TORRE")</f>
        <v>RAFAEL ARIOLA DELA TORRE</v>
      </c>
      <c r="I2890" s="1">
        <f>IFERROR(__xludf.DUMMYFUNCTION("""COMPUTED_VALUE"""),9658023513)</f>
        <v>9658023513</v>
      </c>
      <c r="J2890" s="1"/>
      <c r="K2890" s="1" t="str">
        <f>IFERROR(__xludf.DUMMYFUNCTION("""COMPUTED_VALUE"""),"raffydelatorre@gmail.com")</f>
        <v>raffydelatorre@gmail.com</v>
      </c>
      <c r="L2890" s="1" t="str">
        <f>IFERROR(__xludf.DUMMYFUNCTION("""COMPUTED_VALUE"""),"399")</f>
        <v>399</v>
      </c>
      <c r="M2890" s="1" t="str">
        <f>IFERROR(__xludf.DUMMYFUNCTION("""COMPUTED_VALUE"""),"PUROK 137")</f>
        <v>PUROK 137</v>
      </c>
      <c r="N2890" s="1"/>
      <c r="O2890" s="1" t="str">
        <f>IFERROR(__xludf.DUMMYFUNCTION("""COMPUTED_VALUE"""),"NEOGAN")</f>
        <v>NEOGAN</v>
      </c>
      <c r="P2890" s="1" t="str">
        <f>IFERROR(__xludf.DUMMYFUNCTION("""COMPUTED_VALUE"""),"TAGAYTAY")</f>
        <v>TAGAYTAY</v>
      </c>
      <c r="Q2890" s="1" t="str">
        <f>IFERROR(__xludf.DUMMYFUNCTION("""COMPUTED_VALUE"""),"CAVITE")</f>
        <v>CAVITE</v>
      </c>
      <c r="R2890" s="1" t="str">
        <f>IFERROR(__xludf.DUMMYFUNCTION("""COMPUTED_VALUE"""),"FIBR UNLI ALL PLAN 999")</f>
        <v>FIBR UNLI ALL PLAN 999</v>
      </c>
      <c r="S2890" s="1" t="str">
        <f>IFERROR(__xludf.DUMMYFUNCTION("""COMPUTED_VALUE"""),"APPROVED")</f>
        <v>APPROVED</v>
      </c>
      <c r="T2890" s="1" t="str">
        <f>IFERROR(__xludf.DUMMYFUNCTION("""COMPUTED_VALUE"""),"CLOSED")</f>
        <v>CLOSED</v>
      </c>
      <c r="U2890" s="1" t="str">
        <f>IFERROR(__xludf.DUMMYFUNCTION("""COMPUTED_VALUE"""),"POSTED")</f>
        <v>POSTED</v>
      </c>
      <c r="V2890" s="1"/>
      <c r="W2890" s="1"/>
    </row>
    <row r="2891" customHeight="1" spans="1:23">
      <c r="A2891" s="3">
        <f>IFERROR(__xludf.DUMMYFUNCTION("""COMPUTED_VALUE"""),46260)</f>
        <v>46260</v>
      </c>
      <c r="B2891" s="1" t="str">
        <f>IFERROR(__xludf.DUMMYFUNCTION("""COMPUTED_VALUE"""),"ESCARCHA, MA ALMA  ESCOTO")</f>
        <v>ESCARCHA, MA ALMA  ESCOTO</v>
      </c>
      <c r="C2891" s="1" t="str">
        <f>IFERROR(__xludf.DUMMYFUNCTION("""COMPUTED_VALUE"""),"ORGANIC")</f>
        <v>ORGANIC</v>
      </c>
      <c r="D2891" s="1" t="str">
        <f>IFERROR(__xludf.DUMMYFUNCTION("""COMPUTED_VALUE"""),"REMOLLO LEA")</f>
        <v>REMOLLO LEA</v>
      </c>
      <c r="E2891" s="1" t="str">
        <f>IFERROR(__xludf.DUMMYFUNCTION("""COMPUTED_VALUE"""),"PLDT / H2H")</f>
        <v>PLDT / H2H</v>
      </c>
      <c r="F2891" s="1">
        <f>IFERROR(__xludf.DUMMYFUNCTION("""COMPUTED_VALUE"""),2312119772)</f>
        <v>2312119772</v>
      </c>
      <c r="G2891" s="1">
        <f>IFERROR(__xludf.DUMMYFUNCTION("""COMPUTED_VALUE"""),468037397004)</f>
        <v>468037397004</v>
      </c>
      <c r="H2891" s="1" t="str">
        <f>IFERROR(__xludf.DUMMYFUNCTION("""COMPUTED_VALUE"""),"JHON CEDRICK PANGANIBAN VILLELA")</f>
        <v>JHON CEDRICK PANGANIBAN VILLELA</v>
      </c>
      <c r="I2891" s="1">
        <f>IFERROR(__xludf.DUMMYFUNCTION("""COMPUTED_VALUE"""),9946152093)</f>
        <v>9946152093</v>
      </c>
      <c r="J2891" s="1"/>
      <c r="K2891" s="1" t="str">
        <f>IFERROR(__xludf.DUMMYFUNCTION("""COMPUTED_VALUE"""),"cedrickvillela54@gmail.com")</f>
        <v>cedrickvillela54@gmail.com</v>
      </c>
      <c r="L2891" s="1" t="str">
        <f>IFERROR(__xludf.DUMMYFUNCTION("""COMPUTED_VALUE"""),"88")</f>
        <v>88</v>
      </c>
      <c r="M2891" s="1" t="str">
        <f>IFERROR(__xludf.DUMMYFUNCTION("""COMPUTED_VALUE"""),"PUROK 77")</f>
        <v>PUROK 77</v>
      </c>
      <c r="N2891" s="1"/>
      <c r="O2891" s="1" t="str">
        <f>IFERROR(__xludf.DUMMYFUNCTION("""COMPUTED_VALUE"""),"KAYBAGAL SOUTH (POB.)")</f>
        <v>KAYBAGAL SOUTH (POB.)</v>
      </c>
      <c r="P2891" s="1" t="str">
        <f>IFERROR(__xludf.DUMMYFUNCTION("""COMPUTED_VALUE"""),"TAGAYTAY")</f>
        <v>TAGAYTAY</v>
      </c>
      <c r="Q2891" s="1" t="str">
        <f>IFERROR(__xludf.DUMMYFUNCTION("""COMPUTED_VALUE"""),"CAVITE")</f>
        <v>CAVITE</v>
      </c>
      <c r="R2891" s="1" t="str">
        <f>IFERROR(__xludf.DUMMYFUNCTION("""COMPUTED_VALUE"""),"FIBR PLAN 1299")</f>
        <v>FIBR PLAN 1299</v>
      </c>
      <c r="S2891" s="1" t="str">
        <f>IFERROR(__xludf.DUMMYFUNCTION("""COMPUTED_VALUE"""),"APPROVED")</f>
        <v>APPROVED</v>
      </c>
      <c r="T2891" s="1" t="str">
        <f>IFERROR(__xludf.DUMMYFUNCTION("""COMPUTED_VALUE"""),"CANCELLED")</f>
        <v>CANCELLED</v>
      </c>
      <c r="U2891" s="1"/>
      <c r="V2891" s="1"/>
      <c r="W2891" s="1"/>
    </row>
    <row r="2892" customHeight="1" spans="1:23">
      <c r="A2892" s="3">
        <f>IFERROR(__xludf.DUMMYFUNCTION("""COMPUTED_VALUE"""),46260)</f>
        <v>46260</v>
      </c>
      <c r="B2892" s="1" t="str">
        <f>IFERROR(__xludf.DUMMYFUNCTION("""COMPUTED_VALUE"""),"MAGDARAOG, KENNETH")</f>
        <v>MAGDARAOG, KENNETH</v>
      </c>
      <c r="C2892" s="1" t="str">
        <f>IFERROR(__xludf.DUMMYFUNCTION("""COMPUTED_VALUE"""),"ORGANIC")</f>
        <v>ORGANIC</v>
      </c>
      <c r="D2892" s="1" t="str">
        <f>IFERROR(__xludf.DUMMYFUNCTION("""COMPUTED_VALUE"""),"REMOLLO LEA")</f>
        <v>REMOLLO LEA</v>
      </c>
      <c r="E2892" s="1" t="str">
        <f>IFERROR(__xludf.DUMMYFUNCTION("""COMPUTED_VALUE"""),"PLDT / H2H")</f>
        <v>PLDT / H2H</v>
      </c>
      <c r="F2892" s="1">
        <f>IFERROR(__xludf.DUMMYFUNCTION("""COMPUTED_VALUE"""),2312119520)</f>
        <v>2312119520</v>
      </c>
      <c r="G2892" s="1">
        <f>IFERROR(__xludf.DUMMYFUNCTION("""COMPUTED_VALUE"""),468247243004)</f>
        <v>468247243004</v>
      </c>
      <c r="H2892" s="1" t="str">
        <f>IFERROR(__xludf.DUMMYFUNCTION("""COMPUTED_VALUE"""),"TIRSO JR CARPENA TORRES")</f>
        <v>TIRSO JR CARPENA TORRES</v>
      </c>
      <c r="I2892" s="1">
        <f>IFERROR(__xludf.DUMMYFUNCTION("""COMPUTED_VALUE"""),9753969902)</f>
        <v>9753969902</v>
      </c>
      <c r="J2892" s="1">
        <f>IFERROR(__xludf.DUMMYFUNCTION("""COMPUTED_VALUE"""),9359109002)</f>
        <v>9359109002</v>
      </c>
      <c r="K2892" s="1" t="str">
        <f>IFERROR(__xludf.DUMMYFUNCTION("""COMPUTED_VALUE"""),"jenalyntorres@gmail.com")</f>
        <v>jenalyntorres@gmail.com</v>
      </c>
      <c r="L2892" s="1" t="str">
        <f>IFERROR(__xludf.DUMMYFUNCTION("""COMPUTED_VALUE"""),"52")</f>
        <v>52</v>
      </c>
      <c r="M2892" s="1" t="str">
        <f>IFERROR(__xludf.DUMMYFUNCTION("""COMPUTED_VALUE"""),"NARRA")</f>
        <v>NARRA</v>
      </c>
      <c r="N2892" s="1"/>
      <c r="O2892" s="1" t="str">
        <f>IFERROR(__xludf.DUMMYFUNCTION("""COMPUTED_VALUE"""),"NARRA III")</f>
        <v>NARRA III</v>
      </c>
      <c r="P2892" s="1" t="str">
        <f>IFERROR(__xludf.DUMMYFUNCTION("""COMPUTED_VALUE"""),"SILANG")</f>
        <v>SILANG</v>
      </c>
      <c r="Q2892" s="1" t="str">
        <f>IFERROR(__xludf.DUMMYFUNCTION("""COMPUTED_VALUE"""),"CAVITE")</f>
        <v>CAVITE</v>
      </c>
      <c r="R2892" s="1" t="str">
        <f>IFERROR(__xludf.DUMMYFUNCTION("""COMPUTED_VALUE"""),"FIBR UNLI ALL PLAN 999")</f>
        <v>FIBR UNLI ALL PLAN 999</v>
      </c>
      <c r="S2892" s="1" t="str">
        <f>IFERROR(__xludf.DUMMYFUNCTION("""COMPUTED_VALUE"""),"APPROVED")</f>
        <v>APPROVED</v>
      </c>
      <c r="T2892" s="1" t="str">
        <f>IFERROR(__xludf.DUMMYFUNCTION("""COMPUTED_VALUE"""),"CANCELLED")</f>
        <v>CANCELLED</v>
      </c>
      <c r="U2892" s="1"/>
      <c r="V2892" s="1"/>
      <c r="W2892" s="1"/>
    </row>
    <row r="2893" customHeight="1" spans="1:23">
      <c r="A2893" s="3">
        <f>IFERROR(__xludf.DUMMYFUNCTION("""COMPUTED_VALUE"""),46260)</f>
        <v>46260</v>
      </c>
      <c r="B2893" s="1" t="str">
        <f>IFERROR(__xludf.DUMMYFUNCTION("""COMPUTED_VALUE"""),"ARIENA, LYKA")</f>
        <v>ARIENA, LYKA</v>
      </c>
      <c r="C2893" s="1" t="str">
        <f>IFERROR(__xludf.DUMMYFUNCTION("""COMPUTED_VALUE"""),"ORGANIC")</f>
        <v>ORGANIC</v>
      </c>
      <c r="D2893" s="1" t="str">
        <f>IFERROR(__xludf.DUMMYFUNCTION("""COMPUTED_VALUE"""),"REMOLLO LEA")</f>
        <v>REMOLLO LEA</v>
      </c>
      <c r="E2893" s="1" t="str">
        <f>IFERROR(__xludf.DUMMYFUNCTION("""COMPUTED_VALUE"""),"PLDT / H2H")</f>
        <v>PLDT / H2H</v>
      </c>
      <c r="F2893" s="1">
        <f>IFERROR(__xludf.DUMMYFUNCTION("""COMPUTED_VALUE"""),2312119162)</f>
        <v>2312119162</v>
      </c>
      <c r="G2893" s="1">
        <f>IFERROR(__xludf.DUMMYFUNCTION("""COMPUTED_VALUE"""),468245154004)</f>
        <v>468245154004</v>
      </c>
      <c r="H2893" s="1" t="str">
        <f>IFERROR(__xludf.DUMMYFUNCTION("""COMPUTED_VALUE"""),"GERMIN MARCELIN CONDOHAN")</f>
        <v>GERMIN MARCELIN CONDOHAN</v>
      </c>
      <c r="I2893" s="1">
        <f>IFERROR(__xludf.DUMMYFUNCTION("""COMPUTED_VALUE"""),9511601139)</f>
        <v>9511601139</v>
      </c>
      <c r="J2893" s="1">
        <f>IFERROR(__xludf.DUMMYFUNCTION("""COMPUTED_VALUE"""),9462513468)</f>
        <v>9462513468</v>
      </c>
      <c r="K2893" s="1" t="str">
        <f>IFERROR(__xludf.DUMMYFUNCTION("""COMPUTED_VALUE"""),"isabelvergara637@gmail.com")</f>
        <v>isabelvergara637@gmail.com</v>
      </c>
      <c r="L2893" s="1" t="str">
        <f>IFERROR(__xludf.DUMMYFUNCTION("""COMPUTED_VALUE"""),"BLK 30 LOT 2")</f>
        <v>BLK 30 LOT 2</v>
      </c>
      <c r="M2893" s="1" t="str">
        <f>IFERROR(__xludf.DUMMYFUNCTION("""COMPUTED_VALUE"""),"SALUD")</f>
        <v>SALUD</v>
      </c>
      <c r="N2893" s="1"/>
      <c r="O2893" s="1" t="str">
        <f>IFERROR(__xludf.DUMMYFUNCTION("""COMPUTED_VALUE"""),"INOCENCIO SALUD")</f>
        <v>INOCENCIO SALUD</v>
      </c>
      <c r="P2893" s="1" t="str">
        <f>IFERROR(__xludf.DUMMYFUNCTION("""COMPUTED_VALUE"""),"GEN MARIANO ALVAREZ")</f>
        <v>GEN MARIANO ALVAREZ</v>
      </c>
      <c r="Q2893" s="1" t="str">
        <f>IFERROR(__xludf.DUMMYFUNCTION("""COMPUTED_VALUE"""),"CAVITE")</f>
        <v>CAVITE</v>
      </c>
      <c r="R2893" s="1" t="str">
        <f>IFERROR(__xludf.DUMMYFUNCTION("""COMPUTED_VALUE"""),"FIBR UNLI ALL PLAN 999")</f>
        <v>FIBR UNLI ALL PLAN 999</v>
      </c>
      <c r="S2893" s="1" t="str">
        <f>IFERROR(__xludf.DUMMYFUNCTION("""COMPUTED_VALUE"""),"APPROVED")</f>
        <v>APPROVED</v>
      </c>
      <c r="T2893" s="1" t="str">
        <f>IFERROR(__xludf.DUMMYFUNCTION("""COMPUTED_VALUE"""),"CANCELLED")</f>
        <v>CANCELLED</v>
      </c>
      <c r="U2893" s="1"/>
      <c r="V2893" s="1"/>
      <c r="W2893" s="1"/>
    </row>
    <row r="2894" customHeight="1" spans="1:23">
      <c r="A2894" s="3">
        <f>IFERROR(__xludf.DUMMYFUNCTION("""COMPUTED_VALUE"""),46260)</f>
        <v>46260</v>
      </c>
      <c r="B2894" s="1" t="str">
        <f>IFERROR(__xludf.DUMMYFUNCTION("""COMPUTED_VALUE"""),"FRANCISCO , ROSELYN")</f>
        <v>FRANCISCO , ROSELYN</v>
      </c>
      <c r="C2894" s="1" t="str">
        <f>IFERROR(__xludf.DUMMYFUNCTION("""COMPUTED_VALUE"""),"ORGANIC")</f>
        <v>ORGANIC</v>
      </c>
      <c r="D2894" s="1" t="str">
        <f>IFERROR(__xludf.DUMMYFUNCTION("""COMPUTED_VALUE"""),"REMOLLO LEA")</f>
        <v>REMOLLO LEA</v>
      </c>
      <c r="E2894" s="1" t="str">
        <f>IFERROR(__xludf.DUMMYFUNCTION("""COMPUTED_VALUE"""),"PLDT / H2H")</f>
        <v>PLDT / H2H</v>
      </c>
      <c r="F2894" s="1">
        <f>IFERROR(__xludf.DUMMYFUNCTION("""COMPUTED_VALUE"""),2312120197)</f>
        <v>2312120197</v>
      </c>
      <c r="G2894" s="1">
        <f>IFERROR(__xludf.DUMMYFUNCTION("""COMPUTED_VALUE"""),468038111004)</f>
        <v>468038111004</v>
      </c>
      <c r="H2894" s="1" t="str">
        <f>IFERROR(__xludf.DUMMYFUNCTION("""COMPUTED_VALUE"""),"JAIMEERIN ABANILLA MENDOZA")</f>
        <v>JAIMEERIN ABANILLA MENDOZA</v>
      </c>
      <c r="I2894" s="1">
        <f>IFERROR(__xludf.DUMMYFUNCTION("""COMPUTED_VALUE"""),9087397657)</f>
        <v>9087397657</v>
      </c>
      <c r="J2894" s="1"/>
      <c r="K2894" s="1" t="str">
        <f>IFERROR(__xludf.DUMMYFUNCTION("""COMPUTED_VALUE"""),"jimboyrockbmendoza@gmail.com")</f>
        <v>jimboyrockbmendoza@gmail.com</v>
      </c>
      <c r="L2894" s="1" t="str">
        <f>IFERROR(__xludf.DUMMYFUNCTION("""COMPUTED_VALUE"""),"25")</f>
        <v>25</v>
      </c>
      <c r="M2894" s="1" t="str">
        <f>IFERROR(__xludf.DUMMYFUNCTION("""COMPUTED_VALUE"""),"PUROK 5")</f>
        <v>PUROK 5</v>
      </c>
      <c r="N2894" s="1"/>
      <c r="O2894" s="1" t="str">
        <f>IFERROR(__xludf.DUMMYFUNCTION("""COMPUTED_VALUE"""),"BILUSO")</f>
        <v>BILUSO</v>
      </c>
      <c r="P2894" s="1" t="str">
        <f>IFERROR(__xludf.DUMMYFUNCTION("""COMPUTED_VALUE"""),"SILANG")</f>
        <v>SILANG</v>
      </c>
      <c r="Q2894" s="1" t="str">
        <f>IFERROR(__xludf.DUMMYFUNCTION("""COMPUTED_VALUE"""),"CAVITE")</f>
        <v>CAVITE</v>
      </c>
      <c r="R2894" s="1" t="str">
        <f>IFERROR(__xludf.DUMMYFUNCTION("""COMPUTED_VALUE"""),"FIBR UNLI ALL PLAN 999")</f>
        <v>FIBR UNLI ALL PLAN 999</v>
      </c>
      <c r="S2894" s="1" t="str">
        <f>IFERROR(__xludf.DUMMYFUNCTION("""COMPUTED_VALUE"""),"APPROVED")</f>
        <v>APPROVED</v>
      </c>
      <c r="T2894" s="1" t="str">
        <f>IFERROR(__xludf.DUMMYFUNCTION("""COMPUTED_VALUE"""),"CLOSED")</f>
        <v>CLOSED</v>
      </c>
      <c r="U2894" s="1" t="str">
        <f>IFERROR(__xludf.DUMMYFUNCTION("""COMPUTED_VALUE"""),"POSTED")</f>
        <v>POSTED</v>
      </c>
      <c r="V2894" s="1"/>
      <c r="W2894" s="1"/>
    </row>
    <row r="2895" customHeight="1" spans="1:23">
      <c r="A2895" s="3">
        <f>IFERROR(__xludf.DUMMYFUNCTION("""COMPUTED_VALUE"""),46260)</f>
        <v>46260</v>
      </c>
      <c r="B2895" s="1" t="str">
        <f>IFERROR(__xludf.DUMMYFUNCTION("""COMPUTED_VALUE"""),"MALIWAT MARK ELVIN")</f>
        <v>MALIWAT MARK ELVIN</v>
      </c>
      <c r="C2895" s="1" t="str">
        <f>IFERROR(__xludf.DUMMYFUNCTION("""COMPUTED_VALUE"""),"FLA")</f>
        <v>FLA</v>
      </c>
      <c r="D2895" s="1" t="str">
        <f>IFERROR(__xludf.DUMMYFUNCTION("""COMPUTED_VALUE"""),"JERIC NAVARRO")</f>
        <v>JERIC NAVARRO</v>
      </c>
      <c r="E2895" s="1" t="str">
        <f>IFERROR(__xludf.DUMMYFUNCTION("""COMPUTED_VALUE"""),"PLDT / ONLINE")</f>
        <v>PLDT / ONLINE</v>
      </c>
      <c r="F2895" s="1">
        <f>IFERROR(__xludf.DUMMYFUNCTION("""COMPUTED_VALUE"""),2312118835)</f>
        <v>2312118835</v>
      </c>
      <c r="G2895" s="1">
        <f>IFERROR(__xludf.DUMMYFUNCTION("""COMPUTED_VALUE"""),468028746004)</f>
        <v>468028746004</v>
      </c>
      <c r="H2895" s="1" t="str">
        <f>IFERROR(__xludf.DUMMYFUNCTION("""COMPUTED_VALUE"""),"JAENIELL WENDY YLAGAN BAYLON")</f>
        <v>JAENIELL WENDY YLAGAN BAYLON</v>
      </c>
      <c r="I2895" s="1">
        <f>IFERROR(__xludf.DUMMYFUNCTION("""COMPUTED_VALUE"""),9756637274)</f>
        <v>9756637274</v>
      </c>
      <c r="J2895" s="1">
        <f>IFERROR(__xludf.DUMMYFUNCTION("""COMPUTED_VALUE"""),9392087931)</f>
        <v>9392087931</v>
      </c>
      <c r="K2895" s="1" t="str">
        <f>IFERROR(__xludf.DUMMYFUNCTION("""COMPUTED_VALUE"""),"jaenielwendy.jw@gmail.com")</f>
        <v>jaenielwendy.jw@gmail.com</v>
      </c>
      <c r="L2895" s="1" t="str">
        <f>IFERROR(__xludf.DUMMYFUNCTION("""COMPUTED_VALUE"""),"211")</f>
        <v>211</v>
      </c>
      <c r="M2895" s="1" t="str">
        <f>IFERROR(__xludf.DUMMYFUNCTION("""COMPUTED_VALUE"""),"BUGAAN")</f>
        <v>BUGAAN</v>
      </c>
      <c r="N2895" s="1"/>
      <c r="O2895" s="1" t="str">
        <f>IFERROR(__xludf.DUMMYFUNCTION("""COMPUTED_VALUE"""),"POBLACION III")</f>
        <v>POBLACION III</v>
      </c>
      <c r="P2895" s="1" t="str">
        <f>IFERROR(__xludf.DUMMYFUNCTION("""COMPUTED_VALUE"""),"ALFONSO")</f>
        <v>ALFONSO</v>
      </c>
      <c r="Q2895" s="1" t="str">
        <f>IFERROR(__xludf.DUMMYFUNCTION("""COMPUTED_VALUE"""),"CAVITE")</f>
        <v>CAVITE</v>
      </c>
      <c r="R2895" s="1" t="str">
        <f>IFERROR(__xludf.DUMMYFUNCTION("""COMPUTED_VALUE"""),"FIBR PLAN 1299")</f>
        <v>FIBR PLAN 1299</v>
      </c>
      <c r="S2895" s="1" t="str">
        <f>IFERROR(__xludf.DUMMYFUNCTION("""COMPUTED_VALUE"""),"APPROVED")</f>
        <v>APPROVED</v>
      </c>
      <c r="T2895" s="1" t="str">
        <f>IFERROR(__xludf.DUMMYFUNCTION("""COMPUTED_VALUE"""),"CLOSED")</f>
        <v>CLOSED</v>
      </c>
      <c r="U2895" s="1" t="str">
        <f>IFERROR(__xludf.DUMMYFUNCTION("""COMPUTED_VALUE"""),"POSTED")</f>
        <v>POSTED</v>
      </c>
      <c r="V2895" s="1"/>
      <c r="W2895" s="1"/>
    </row>
    <row r="2896" customHeight="1" spans="1:23">
      <c r="A2896" s="3">
        <f>IFERROR(__xludf.DUMMYFUNCTION("""COMPUTED_VALUE"""),46260)</f>
        <v>46260</v>
      </c>
      <c r="B2896" s="1" t="str">
        <f>IFERROR(__xludf.DUMMYFUNCTION("""COMPUTED_VALUE"""),"AYON MANUEL")</f>
        <v>AYON MANUEL</v>
      </c>
      <c r="C2896" s="1" t="str">
        <f>IFERROR(__xludf.DUMMYFUNCTION("""COMPUTED_VALUE"""),"FLA")</f>
        <v>FLA</v>
      </c>
      <c r="D2896" s="1" t="str">
        <f>IFERROR(__xludf.DUMMYFUNCTION("""COMPUTED_VALUE"""),"JERIC NAVARRO")</f>
        <v>JERIC NAVARRO</v>
      </c>
      <c r="E2896" s="1" t="str">
        <f>IFERROR(__xludf.DUMMYFUNCTION("""COMPUTED_VALUE"""),"PLDT / ONLINE")</f>
        <v>PLDT / ONLINE</v>
      </c>
      <c r="F2896" s="1">
        <f>IFERROR(__xludf.DUMMYFUNCTION("""COMPUTED_VALUE"""),2312118591)</f>
        <v>2312118591</v>
      </c>
      <c r="G2896" s="1">
        <f>IFERROR(__xludf.DUMMYFUNCTION("""COMPUTED_VALUE"""),468037689004)</f>
        <v>468037689004</v>
      </c>
      <c r="H2896" s="1" t="str">
        <f>IFERROR(__xludf.DUMMYFUNCTION("""COMPUTED_VALUE"""),"DENNIS SALUDO BITO")</f>
        <v>DENNIS SALUDO BITO</v>
      </c>
      <c r="I2896" s="1">
        <f>IFERROR(__xludf.DUMMYFUNCTION("""COMPUTED_VALUE"""),9186860725)</f>
        <v>9186860725</v>
      </c>
      <c r="J2896" s="1">
        <f>IFERROR(__xludf.DUMMYFUNCTION("""COMPUTED_VALUE"""),9615548304)</f>
        <v>9615548304</v>
      </c>
      <c r="K2896" s="1" t="str">
        <f>IFERROR(__xludf.DUMMYFUNCTION("""COMPUTED_VALUE"""),"dennisbito@gmail.com")</f>
        <v>dennisbito@gmail.com</v>
      </c>
      <c r="L2896" s="1" t="str">
        <f>IFERROR(__xludf.DUMMYFUNCTION("""COMPUTED_VALUE"""),"1030")</f>
        <v>1030</v>
      </c>
      <c r="M2896" s="1" t="str">
        <f>IFERROR(__xludf.DUMMYFUNCTION("""COMPUTED_VALUE"""),"ADELFA")</f>
        <v>ADELFA</v>
      </c>
      <c r="N2896" s="1"/>
      <c r="O2896" s="1" t="str">
        <f>IFERROR(__xludf.DUMMYFUNCTION("""COMPUTED_VALUE"""),"MADUYA")</f>
        <v>MADUYA</v>
      </c>
      <c r="P2896" s="1" t="str">
        <f>IFERROR(__xludf.DUMMYFUNCTION("""COMPUTED_VALUE"""),"CARMONA")</f>
        <v>CARMONA</v>
      </c>
      <c r="Q2896" s="1" t="str">
        <f>IFERROR(__xludf.DUMMYFUNCTION("""COMPUTED_VALUE"""),"CAVITE")</f>
        <v>CAVITE</v>
      </c>
      <c r="R2896" s="1" t="str">
        <f>IFERROR(__xludf.DUMMYFUNCTION("""COMPUTED_VALUE"""),"FIBR UNLI ALL PLAN 1499")</f>
        <v>FIBR UNLI ALL PLAN 1499</v>
      </c>
      <c r="S2896" s="1" t="str">
        <f>IFERROR(__xludf.DUMMYFUNCTION("""COMPUTED_VALUE"""),"APPROVED")</f>
        <v>APPROVED</v>
      </c>
      <c r="T2896" s="1" t="str">
        <f>IFERROR(__xludf.DUMMYFUNCTION("""COMPUTED_VALUE"""),"cloSED")</f>
        <v>cloSED</v>
      </c>
      <c r="U2896" s="1"/>
      <c r="V2896" s="1"/>
      <c r="W2896" s="1"/>
    </row>
    <row r="2897" customHeight="1" spans="1:23">
      <c r="A2897" s="3">
        <f>IFERROR(__xludf.DUMMYFUNCTION("""COMPUTED_VALUE"""),46261)</f>
        <v>46261</v>
      </c>
      <c r="B2897" s="1" t="str">
        <f>IFERROR(__xludf.DUMMYFUNCTION("""COMPUTED_VALUE"""),"ALOS, CHARLS LAURENZ")</f>
        <v>ALOS, CHARLS LAURENZ</v>
      </c>
      <c r="C2897" s="1" t="str">
        <f>IFERROR(__xludf.DUMMYFUNCTION("""COMPUTED_VALUE"""),"ORGANIC")</f>
        <v>ORGANIC</v>
      </c>
      <c r="D2897" s="1" t="str">
        <f>IFERROR(__xludf.DUMMYFUNCTION("""COMPUTED_VALUE"""),"REMOLLO LEA")</f>
        <v>REMOLLO LEA</v>
      </c>
      <c r="E2897" s="1" t="str">
        <f>IFERROR(__xludf.DUMMYFUNCTION("""COMPUTED_VALUE"""),"PLDT / H2H")</f>
        <v>PLDT / H2H</v>
      </c>
      <c r="F2897" s="1">
        <f>IFERROR(__xludf.DUMMYFUNCTION("""COMPUTED_VALUE"""),2312131346)</f>
        <v>2312131346</v>
      </c>
      <c r="G2897" s="1">
        <f>IFERROR(__xludf.DUMMYFUNCTION("""COMPUTED_VALUE"""),468118983004)</f>
        <v>468118983004</v>
      </c>
      <c r="H2897" s="1" t="str">
        <f>IFERROR(__xludf.DUMMYFUNCTION("""COMPUTED_VALUE"""),"MILDRED FLORIDA OBRA")</f>
        <v>MILDRED FLORIDA OBRA</v>
      </c>
      <c r="I2897" s="1">
        <f>IFERROR(__xludf.DUMMYFUNCTION("""COMPUTED_VALUE"""),9701156449)</f>
        <v>9701156449</v>
      </c>
      <c r="J2897" s="1"/>
      <c r="K2897" s="1" t="str">
        <f>IFERROR(__xludf.DUMMYFUNCTION("""COMPUTED_VALUE"""),"mobra890@gmail.com")</f>
        <v>mobra890@gmail.com</v>
      </c>
      <c r="L2897" s="1" t="str">
        <f>IFERROR(__xludf.DUMMYFUNCTION("""COMPUTED_VALUE"""),"BLK 2 LOT 2")</f>
        <v>BLK 2 LOT 2</v>
      </c>
      <c r="M2897" s="1" t="str">
        <f>IFERROR(__xludf.DUMMYFUNCTION("""COMPUTED_VALUE"""),"GREEN LAND")</f>
        <v>GREEN LAND</v>
      </c>
      <c r="N2897" s="1" t="str">
        <f>IFERROR(__xludf.DUMMYFUNCTION("""COMPUTED_VALUE"""),"CASA MONTEVERDE")</f>
        <v>CASA MONTEVERDE</v>
      </c>
      <c r="O2897" s="1" t="str">
        <f>IFERROR(__xludf.DUMMYFUNCTION("""COMPUTED_VALUE"""),"FRANCISCO (SAN FRANCISCO)")</f>
        <v>FRANCISCO (SAN FRANCISCO)</v>
      </c>
      <c r="P2897" s="1" t="str">
        <f>IFERROR(__xludf.DUMMYFUNCTION("""COMPUTED_VALUE"""),"GEN MARIANO ALVAREZ")</f>
        <v>GEN MARIANO ALVAREZ</v>
      </c>
      <c r="Q2897" s="1" t="str">
        <f>IFERROR(__xludf.DUMMYFUNCTION("""COMPUTED_VALUE"""),"CAVITE")</f>
        <v>CAVITE</v>
      </c>
      <c r="R2897" s="1" t="str">
        <f>IFERROR(__xludf.DUMMYFUNCTION("""COMPUTED_VALUE"""),"FIBR UNLI ALL PLAN 1499")</f>
        <v>FIBR UNLI ALL PLAN 1499</v>
      </c>
      <c r="S2897" s="1" t="str">
        <f>IFERROR(__xludf.DUMMYFUNCTION("""COMPUTED_VALUE"""),"APPROVED")</f>
        <v>APPROVED</v>
      </c>
      <c r="T2897" s="1" t="str">
        <f>IFERROR(__xludf.DUMMYFUNCTION("""COMPUTED_VALUE"""),"CANCELLED")</f>
        <v>CANCELLED</v>
      </c>
      <c r="U2897" s="1"/>
      <c r="V2897" s="1"/>
      <c r="W2897" s="1"/>
    </row>
    <row r="2898" customHeight="1" spans="1:23">
      <c r="A2898" s="3">
        <f>IFERROR(__xludf.DUMMYFUNCTION("""COMPUTED_VALUE"""),46261)</f>
        <v>46261</v>
      </c>
      <c r="B2898" s="1" t="str">
        <f>IFERROR(__xludf.DUMMYFUNCTION("""COMPUTED_VALUE"""),"FRANCISCO , ROSELYN")</f>
        <v>FRANCISCO , ROSELYN</v>
      </c>
      <c r="C2898" s="1" t="str">
        <f>IFERROR(__xludf.DUMMYFUNCTION("""COMPUTED_VALUE"""),"ORGANIC")</f>
        <v>ORGANIC</v>
      </c>
      <c r="D2898" s="1" t="str">
        <f>IFERROR(__xludf.DUMMYFUNCTION("""COMPUTED_VALUE"""),"REMOLLO LEA")</f>
        <v>REMOLLO LEA</v>
      </c>
      <c r="E2898" s="1" t="str">
        <f>IFERROR(__xludf.DUMMYFUNCTION("""COMPUTED_VALUE"""),"PLDT / H2H")</f>
        <v>PLDT / H2H</v>
      </c>
      <c r="F2898" s="1">
        <f>IFERROR(__xludf.DUMMYFUNCTION("""COMPUTED_VALUE"""),2312137656)</f>
        <v>2312137656</v>
      </c>
      <c r="G2898" s="1">
        <f>IFERROR(__xludf.DUMMYFUNCTION("""COMPUTED_VALUE"""),468122711004)</f>
        <v>468122711004</v>
      </c>
      <c r="H2898" s="1" t="str">
        <f>IFERROR(__xludf.DUMMYFUNCTION("""COMPUTED_VALUE"""),"JOAN MALSI QUILANG")</f>
        <v>JOAN MALSI QUILANG</v>
      </c>
      <c r="I2898" s="1">
        <f>IFERROR(__xludf.DUMMYFUNCTION("""COMPUTED_VALUE"""),9931253672)</f>
        <v>9931253672</v>
      </c>
      <c r="J2898" s="1">
        <f>IFERROR(__xludf.DUMMYFUNCTION("""COMPUTED_VALUE"""),9558140780)</f>
        <v>9558140780</v>
      </c>
      <c r="K2898" s="1" t="str">
        <f>IFERROR(__xludf.DUMMYFUNCTION("""COMPUTED_VALUE"""),"joanquizorg21@gmail.com")</f>
        <v>joanquizorg21@gmail.com</v>
      </c>
      <c r="L2898" s="1" t="str">
        <f>IFERROR(__xludf.DUMMYFUNCTION("""COMPUTED_VALUE"""),"2")</f>
        <v>2</v>
      </c>
      <c r="M2898" s="1" t="str">
        <f>IFERROR(__xludf.DUMMYFUNCTION("""COMPUTED_VALUE"""),"PUROK 26")</f>
        <v>PUROK 26</v>
      </c>
      <c r="N2898" s="1"/>
      <c r="O2898" s="1" t="str">
        <f>IFERROR(__xludf.DUMMYFUNCTION("""COMPUTED_VALUE"""),"SAN FRANCISCO")</f>
        <v>SAN FRANCISCO</v>
      </c>
      <c r="P2898" s="1" t="str">
        <f>IFERROR(__xludf.DUMMYFUNCTION("""COMPUTED_VALUE"""),"TAGAYTAY")</f>
        <v>TAGAYTAY</v>
      </c>
      <c r="Q2898" s="1" t="str">
        <f>IFERROR(__xludf.DUMMYFUNCTION("""COMPUTED_VALUE"""),"CAVITE")</f>
        <v>CAVITE</v>
      </c>
      <c r="R2898" s="1" t="str">
        <f>IFERROR(__xludf.DUMMYFUNCTION("""COMPUTED_VALUE"""),"FIBR PLAN 1299")</f>
        <v>FIBR PLAN 1299</v>
      </c>
      <c r="S2898" s="1" t="str">
        <f>IFERROR(__xludf.DUMMYFUNCTION("""COMPUTED_VALUE"""),"APPROVED")</f>
        <v>APPROVED</v>
      </c>
      <c r="T2898" s="1" t="str">
        <f>IFERROR(__xludf.DUMMYFUNCTION("""COMPUTED_VALUE"""),"CLOSED")</f>
        <v>CLOSED</v>
      </c>
      <c r="U2898" s="1" t="str">
        <f>IFERROR(__xludf.DUMMYFUNCTION("""COMPUTED_VALUE"""),"POSTED")</f>
        <v>POSTED</v>
      </c>
      <c r="V2898" s="1"/>
      <c r="W2898" s="1"/>
    </row>
    <row r="2899" customHeight="1" spans="1:23">
      <c r="A2899" s="3">
        <f>IFERROR(__xludf.DUMMYFUNCTION("""COMPUTED_VALUE"""),46261)</f>
        <v>46261</v>
      </c>
      <c r="B2899" s="1" t="str">
        <f>IFERROR(__xludf.DUMMYFUNCTION("""COMPUTED_VALUE"""),"TAMAYO, MARY ROSE")</f>
        <v>TAMAYO, MARY ROSE</v>
      </c>
      <c r="C2899" s="1" t="str">
        <f>IFERROR(__xludf.DUMMYFUNCTION("""COMPUTED_VALUE"""),"ORGANIC")</f>
        <v>ORGANIC</v>
      </c>
      <c r="D2899" s="1" t="str">
        <f>IFERROR(__xludf.DUMMYFUNCTION("""COMPUTED_VALUE"""),"REMOLLO LEA")</f>
        <v>REMOLLO LEA</v>
      </c>
      <c r="E2899" s="1" t="str">
        <f>IFERROR(__xludf.DUMMYFUNCTION("""COMPUTED_VALUE"""),"PLDT / H2H")</f>
        <v>PLDT / H2H</v>
      </c>
      <c r="F2899" s="1">
        <f>IFERROR(__xludf.DUMMYFUNCTION("""COMPUTED_VALUE"""),2312140243)</f>
        <v>2312140243</v>
      </c>
      <c r="G2899" s="1">
        <f>IFERROR(__xludf.DUMMYFUNCTION("""COMPUTED_VALUE"""),468126056004)</f>
        <v>468126056004</v>
      </c>
      <c r="H2899" s="1" t="str">
        <f>IFERROR(__xludf.DUMMYFUNCTION("""COMPUTED_VALUE"""),"ELIZA GRACE MACHA TRINIDAD")</f>
        <v>ELIZA GRACE MACHA TRINIDAD</v>
      </c>
      <c r="I2899" s="1">
        <f>IFERROR(__xludf.DUMMYFUNCTION("""COMPUTED_VALUE"""),9614238609)</f>
        <v>9614238609</v>
      </c>
      <c r="J2899" s="1"/>
      <c r="K2899" s="1" t="str">
        <f>IFERROR(__xludf.DUMMYFUNCTION("""COMPUTED_VALUE"""),"elizabethtrinidad14@gmail.com")</f>
        <v>elizabethtrinidad14@gmail.com</v>
      </c>
      <c r="L2899" s="1" t="str">
        <f>IFERROR(__xludf.DUMMYFUNCTION("""COMPUTED_VALUE"""),"1325")</f>
        <v>1325</v>
      </c>
      <c r="M2899" s="1" t="str">
        <f>IFERROR(__xludf.DUMMYFUNCTION("""COMPUTED_VALUE"""),"LANTIC")</f>
        <v>LANTIC</v>
      </c>
      <c r="N2899" s="1"/>
      <c r="O2899" s="1" t="str">
        <f>IFERROR(__xludf.DUMMYFUNCTION("""COMPUTED_VALUE"""),"LANTIC")</f>
        <v>LANTIC</v>
      </c>
      <c r="P2899" s="1" t="str">
        <f>IFERROR(__xludf.DUMMYFUNCTION("""COMPUTED_VALUE"""),"CARMONA")</f>
        <v>CARMONA</v>
      </c>
      <c r="Q2899" s="1" t="str">
        <f>IFERROR(__xludf.DUMMYFUNCTION("""COMPUTED_VALUE"""),"CAVITE")</f>
        <v>CAVITE</v>
      </c>
      <c r="R2899" s="1" t="str">
        <f>IFERROR(__xludf.DUMMYFUNCTION("""COMPUTED_VALUE"""),"FIBR UNLI ALL PLAN 999")</f>
        <v>FIBR UNLI ALL PLAN 999</v>
      </c>
      <c r="S2899" s="1" t="str">
        <f>IFERROR(__xludf.DUMMYFUNCTION("""COMPUTED_VALUE"""),"APPROVED")</f>
        <v>APPROVED</v>
      </c>
      <c r="T2899" s="1" t="str">
        <f>IFERROR(__xludf.DUMMYFUNCTION("""COMPUTED_VALUE"""),"CANCELLED")</f>
        <v>CANCELLED</v>
      </c>
      <c r="U2899" s="1"/>
      <c r="V2899" s="1"/>
      <c r="W2899" s="1"/>
    </row>
    <row r="2900" customHeight="1" spans="1:23">
      <c r="A2900" s="3">
        <f>IFERROR(__xludf.DUMMYFUNCTION("""COMPUTED_VALUE"""),46261)</f>
        <v>46261</v>
      </c>
      <c r="B2900" s="1" t="str">
        <f>IFERROR(__xludf.DUMMYFUNCTION("""COMPUTED_VALUE"""),"MALIWAT MARK ELVIN")</f>
        <v>MALIWAT MARK ELVIN</v>
      </c>
      <c r="C2900" s="1" t="str">
        <f>IFERROR(__xludf.DUMMYFUNCTION("""COMPUTED_VALUE"""),"FLA")</f>
        <v>FLA</v>
      </c>
      <c r="D2900" s="1" t="str">
        <f>IFERROR(__xludf.DUMMYFUNCTION("""COMPUTED_VALUE"""),"JERIC NAVARRO")</f>
        <v>JERIC NAVARRO</v>
      </c>
      <c r="E2900" s="1" t="str">
        <f>IFERROR(__xludf.DUMMYFUNCTION("""COMPUTED_VALUE"""),"PLDT / ONLINE")</f>
        <v>PLDT / ONLINE</v>
      </c>
      <c r="F2900" s="1">
        <f>IFERROR(__xludf.DUMMYFUNCTION("""COMPUTED_VALUE"""),2312133678)</f>
        <v>2312133678</v>
      </c>
      <c r="G2900" s="1">
        <f>IFERROR(__xludf.DUMMYFUNCTION("""COMPUTED_VALUE"""),468149720004)</f>
        <v>468149720004</v>
      </c>
      <c r="H2900" s="1" t="str">
        <f>IFERROR(__xludf.DUMMYFUNCTION("""COMPUTED_VALUE"""),"DAVE ARTAJO VILLANAS")</f>
        <v>DAVE ARTAJO VILLANAS</v>
      </c>
      <c r="I2900" s="1">
        <f>IFERROR(__xludf.DUMMYFUNCTION("""COMPUTED_VALUE"""),9630544397)</f>
        <v>9630544397</v>
      </c>
      <c r="J2900" s="1">
        <f>IFERROR(__xludf.DUMMYFUNCTION("""COMPUTED_VALUE"""),9702886459)</f>
        <v>9702886459</v>
      </c>
      <c r="K2900" s="1"/>
      <c r="L2900" s="1" t="str">
        <f>IFERROR(__xludf.DUMMYFUNCTION("""COMPUTED_VALUE"""),"BLK 20 LOT 6")</f>
        <v>BLK 20 LOT 6</v>
      </c>
      <c r="M2900" s="1" t="str">
        <f>IFERROR(__xludf.DUMMYFUNCTION("""COMPUTED_VALUE"""),"VERA CRUZ")</f>
        <v>VERA CRUZ</v>
      </c>
      <c r="N2900" s="1"/>
      <c r="O2900" s="1" t="str">
        <f>IFERROR(__xludf.DUMMYFUNCTION("""COMPUTED_VALUE"""),"RAMON CRUZ (AREA J)")</f>
        <v>RAMON CRUZ (AREA J)</v>
      </c>
      <c r="P2900" s="1" t="str">
        <f>IFERROR(__xludf.DUMMYFUNCTION("""COMPUTED_VALUE"""),"GEN MARIANO ALVAREZ")</f>
        <v>GEN MARIANO ALVAREZ</v>
      </c>
      <c r="Q2900" s="1" t="str">
        <f>IFERROR(__xludf.DUMMYFUNCTION("""COMPUTED_VALUE"""),"CAVITE")</f>
        <v>CAVITE</v>
      </c>
      <c r="R2900" s="1" t="str">
        <f>IFERROR(__xludf.DUMMYFUNCTION("""COMPUTED_VALUE"""),"FIBR UNLI ALL PLAN 999")</f>
        <v>FIBR UNLI ALL PLAN 999</v>
      </c>
      <c r="S2900" s="1" t="str">
        <f>IFERROR(__xludf.DUMMYFUNCTION("""COMPUTED_VALUE"""),"APPROVED")</f>
        <v>APPROVED</v>
      </c>
      <c r="T2900" s="1" t="str">
        <f>IFERROR(__xludf.DUMMYFUNCTION("""COMPUTED_VALUE"""),"CLOSED")</f>
        <v>CLOSED</v>
      </c>
      <c r="U2900" s="1" t="str">
        <f>IFERROR(__xludf.DUMMYFUNCTION("""COMPUTED_VALUE"""),"POSTED")</f>
        <v>POSTED</v>
      </c>
      <c r="V2900" s="1"/>
      <c r="W2900" s="1"/>
    </row>
    <row r="2901" customHeight="1" spans="1:23">
      <c r="A2901" s="3">
        <f>IFERROR(__xludf.DUMMYFUNCTION("""COMPUTED_VALUE"""),46261)</f>
        <v>46261</v>
      </c>
      <c r="B2901" s="1" t="str">
        <f>IFERROR(__xludf.DUMMYFUNCTION("""COMPUTED_VALUE"""),"CARPIO, STEPHANIE NICOLE")</f>
        <v>CARPIO, STEPHANIE NICOLE</v>
      </c>
      <c r="C2901" s="1" t="str">
        <f>IFERROR(__xludf.DUMMYFUNCTION("""COMPUTED_VALUE"""),"FLA")</f>
        <v>FLA</v>
      </c>
      <c r="D2901" s="1" t="str">
        <f>IFERROR(__xludf.DUMMYFUNCTION("""COMPUTED_VALUE"""),"JERIC NAVARRO")</f>
        <v>JERIC NAVARRO</v>
      </c>
      <c r="E2901" s="1" t="str">
        <f>IFERROR(__xludf.DUMMYFUNCTION("""COMPUTED_VALUE"""),"PLDT / H2H")</f>
        <v>PLDT / H2H</v>
      </c>
      <c r="F2901" s="1">
        <f>IFERROR(__xludf.DUMMYFUNCTION("""COMPUTED_VALUE"""),2312134185)</f>
        <v>2312134185</v>
      </c>
      <c r="G2901" s="1">
        <f>IFERROR(__xludf.DUMMYFUNCTION("""COMPUTED_VALUE"""),468119356004)</f>
        <v>468119356004</v>
      </c>
      <c r="H2901" s="1" t="str">
        <f>IFERROR(__xludf.DUMMYFUNCTION("""COMPUTED_VALUE"""),"FE ALEGRE LEGARTO")</f>
        <v>FE ALEGRE LEGARTO</v>
      </c>
      <c r="I2901" s="1">
        <f>IFERROR(__xludf.DUMMYFUNCTION("""COMPUTED_VALUE"""),9945628596)</f>
        <v>9945628596</v>
      </c>
      <c r="J2901" s="1"/>
      <c r="K2901" s="1" t="str">
        <f>IFERROR(__xludf.DUMMYFUNCTION("""COMPUTED_VALUE"""),"felagato@yahoo.com")</f>
        <v>felagato@yahoo.com</v>
      </c>
      <c r="L2901" s="1" t="str">
        <f>IFERROR(__xludf.DUMMYFUNCTION("""COMPUTED_VALUE"""),"6054")</f>
        <v>6054</v>
      </c>
      <c r="M2901" s="1" t="str">
        <f>IFERROR(__xludf.DUMMYFUNCTION("""COMPUTED_VALUE"""),"DONES ")</f>
        <v>DONES </v>
      </c>
      <c r="N2901" s="1"/>
      <c r="O2901" s="1" t="str">
        <f>IFERROR(__xludf.DUMMYFUNCTION("""COMPUTED_VALUE"""),"BARANGAY 42-C (PINAGBUKLOD C)")</f>
        <v>BARANGAY 42-C (PINAGBUKLOD C)</v>
      </c>
      <c r="P2901" s="1" t="str">
        <f>IFERROR(__xludf.DUMMYFUNCTION("""COMPUTED_VALUE"""),"CAVITE CITY")</f>
        <v>CAVITE CITY</v>
      </c>
      <c r="Q2901" s="1" t="str">
        <f>IFERROR(__xludf.DUMMYFUNCTION("""COMPUTED_VALUE"""),"CAVITE")</f>
        <v>CAVITE</v>
      </c>
      <c r="R2901" s="1" t="str">
        <f>IFERROR(__xludf.DUMMYFUNCTION("""COMPUTED_VALUE"""),"FIBR UNLI ALL PLAN 1499")</f>
        <v>FIBR UNLI ALL PLAN 1499</v>
      </c>
      <c r="S2901" s="1" t="str">
        <f>IFERROR(__xludf.DUMMYFUNCTION("""COMPUTED_VALUE"""),"APPROVED")</f>
        <v>APPROVED</v>
      </c>
      <c r="T2901" s="1" t="str">
        <f>IFERROR(__xludf.DUMMYFUNCTION("""COMPUTED_VALUE"""),"CLOSED")</f>
        <v>CLOSED</v>
      </c>
      <c r="U2901" s="1"/>
      <c r="V2901" s="1"/>
      <c r="W2901" s="1"/>
    </row>
    <row r="2902" customHeight="1" spans="1:23">
      <c r="A2902" s="3">
        <f>IFERROR(__xludf.DUMMYFUNCTION("""COMPUTED_VALUE"""),46261)</f>
        <v>46261</v>
      </c>
      <c r="B2902" s="1" t="str">
        <f>IFERROR(__xludf.DUMMYFUNCTION("""COMPUTED_VALUE"""),"MALIWAT MARK ELVIN")</f>
        <v>MALIWAT MARK ELVIN</v>
      </c>
      <c r="C2902" s="1" t="str">
        <f>IFERROR(__xludf.DUMMYFUNCTION("""COMPUTED_VALUE"""),"FLA")</f>
        <v>FLA</v>
      </c>
      <c r="D2902" s="1" t="str">
        <f>IFERROR(__xludf.DUMMYFUNCTION("""COMPUTED_VALUE"""),"JERIC NAVARRO")</f>
        <v>JERIC NAVARRO</v>
      </c>
      <c r="E2902" s="1" t="str">
        <f>IFERROR(__xludf.DUMMYFUNCTION("""COMPUTED_VALUE"""),"PLDT / ONLINE")</f>
        <v>PLDT / ONLINE</v>
      </c>
      <c r="F2902" s="1">
        <f>IFERROR(__xludf.DUMMYFUNCTION("""COMPUTED_VALUE"""),2312141096)</f>
        <v>2312141096</v>
      </c>
      <c r="G2902" s="1"/>
      <c r="H2902" s="1" t="str">
        <f>IFERROR(__xludf.DUMMYFUNCTION("""COMPUTED_VALUE"""),"JUNIE PAOLA PACANAN BAYANI")</f>
        <v>JUNIE PAOLA PACANAN BAYANI</v>
      </c>
      <c r="I2902" s="1">
        <f>IFERROR(__xludf.DUMMYFUNCTION("""COMPUTED_VALUE"""),9621270726)</f>
        <v>9621270726</v>
      </c>
      <c r="J2902" s="1">
        <f>IFERROR(__xludf.DUMMYFUNCTION("""COMPUTED_VALUE"""),9273609333)</f>
        <v>9273609333</v>
      </c>
      <c r="K2902" s="1" t="str">
        <f>IFERROR(__xludf.DUMMYFUNCTION("""COMPUTED_VALUE"""),"leonard.arren117@gmail.com")</f>
        <v>leonard.arren117@gmail.com</v>
      </c>
      <c r="L2902" s="1" t="str">
        <f>IFERROR(__xludf.DUMMYFUNCTION("""COMPUTED_VALUE"""),"BLK 31 LOT 3")</f>
        <v>BLK 31 LOT 3</v>
      </c>
      <c r="M2902" s="1" t="str">
        <f>IFERROR(__xludf.DUMMYFUNCTION("""COMPUTED_VALUE"""),"AARON")</f>
        <v>AARON</v>
      </c>
      <c r="N2902" s="1" t="str">
        <f>IFERROR(__xludf.DUMMYFUNCTION("""COMPUTED_VALUE"""),"ELLISTON PLACE")</f>
        <v>ELLISTON PLACE</v>
      </c>
      <c r="O2902" s="1" t="str">
        <f>IFERROR(__xludf.DUMMYFUNCTION("""COMPUTED_VALUE"""),"PASONG CAMACHILE II")</f>
        <v>PASONG CAMACHILE II</v>
      </c>
      <c r="P2902" s="1" t="str">
        <f>IFERROR(__xludf.DUMMYFUNCTION("""COMPUTED_VALUE"""),"GENERAL TRIAS")</f>
        <v>GENERAL TRIAS</v>
      </c>
      <c r="Q2902" s="1" t="str">
        <f>IFERROR(__xludf.DUMMYFUNCTION("""COMPUTED_VALUE"""),"CAVITE")</f>
        <v>CAVITE</v>
      </c>
      <c r="R2902" s="1" t="str">
        <f>IFERROR(__xludf.DUMMYFUNCTION("""COMPUTED_VALUE"""),"FIBR UNLI ALL PLAN 2599")</f>
        <v>FIBR UNLI ALL PLAN 2599</v>
      </c>
      <c r="S2902" s="1" t="str">
        <f>IFERROR(__xludf.DUMMYFUNCTION("""COMPUTED_VALUE"""),"APPROVED")</f>
        <v>APPROVED</v>
      </c>
      <c r="T2902" s="1" t="str">
        <f>IFERROR(__xludf.DUMMYFUNCTION("""COMPUTED_VALUE"""),"CANCELLED")</f>
        <v>CANCELLED</v>
      </c>
      <c r="U2902" s="1"/>
      <c r="V2902" s="1"/>
      <c r="W2902" s="1"/>
    </row>
    <row r="2903" customHeight="1" spans="1:23">
      <c r="A2903" s="3">
        <f>IFERROR(__xludf.DUMMYFUNCTION("""COMPUTED_VALUE"""),46261)</f>
        <v>46261</v>
      </c>
      <c r="B2903" s="1" t="str">
        <f>IFERROR(__xludf.DUMMYFUNCTION("""COMPUTED_VALUE"""),"ARIENA, LYKA")</f>
        <v>ARIENA, LYKA</v>
      </c>
      <c r="C2903" s="1" t="str">
        <f>IFERROR(__xludf.DUMMYFUNCTION("""COMPUTED_VALUE"""),"ORGANIC")</f>
        <v>ORGANIC</v>
      </c>
      <c r="D2903" s="1" t="str">
        <f>IFERROR(__xludf.DUMMYFUNCTION("""COMPUTED_VALUE"""),"REMOLLO LEA")</f>
        <v>REMOLLO LEA</v>
      </c>
      <c r="E2903" s="1" t="str">
        <f>IFERROR(__xludf.DUMMYFUNCTION("""COMPUTED_VALUE"""),"PLDT / H2H")</f>
        <v>PLDT / H2H</v>
      </c>
      <c r="F2903" s="1">
        <f>IFERROR(__xludf.DUMMYFUNCTION("""COMPUTED_VALUE"""),2312140599)</f>
        <v>2312140599</v>
      </c>
      <c r="G2903" s="1">
        <f>IFERROR(__xludf.DUMMYFUNCTION("""COMPUTED_VALUE"""),468123846004)</f>
        <v>468123846004</v>
      </c>
      <c r="H2903" s="1" t="str">
        <f>IFERROR(__xludf.DUMMYFUNCTION("""COMPUTED_VALUE"""),"SOTERA LIZARDO DIONISIO")</f>
        <v>SOTERA LIZARDO DIONISIO</v>
      </c>
      <c r="I2903" s="1">
        <f>IFERROR(__xludf.DUMMYFUNCTION("""COMPUTED_VALUE"""),9270610847)</f>
        <v>9270610847</v>
      </c>
      <c r="J2903" s="1">
        <f>IFERROR(__xludf.DUMMYFUNCTION("""COMPUTED_VALUE"""),9971533968)</f>
        <v>9971533968</v>
      </c>
      <c r="K2903" s="1" t="str">
        <f>IFERROR(__xludf.DUMMYFUNCTION("""COMPUTED_VALUE"""),"lizardomarkangelo3@gmail.com")</f>
        <v>lizardomarkangelo3@gmail.com</v>
      </c>
      <c r="L2903" s="1" t="str">
        <f>IFERROR(__xludf.DUMMYFUNCTION("""COMPUTED_VALUE"""),"61")</f>
        <v>61</v>
      </c>
      <c r="M2903" s="1" t="str">
        <f>IFERROR(__xludf.DUMMYFUNCTION("""COMPUTED_VALUE"""),"SITIO MUZON")</f>
        <v>SITIO MUZON</v>
      </c>
      <c r="N2903" s="1"/>
      <c r="O2903" s="1" t="str">
        <f>IFERROR(__xludf.DUMMYFUNCTION("""COMPUTED_VALUE"""),"PUTING KAHOY")</f>
        <v>PUTING KAHOY</v>
      </c>
      <c r="P2903" s="1" t="str">
        <f>IFERROR(__xludf.DUMMYFUNCTION("""COMPUTED_VALUE"""),"SILANG")</f>
        <v>SILANG</v>
      </c>
      <c r="Q2903" s="1" t="str">
        <f>IFERROR(__xludf.DUMMYFUNCTION("""COMPUTED_VALUE"""),"CAVITE")</f>
        <v>CAVITE</v>
      </c>
      <c r="R2903" s="1" t="str">
        <f>IFERROR(__xludf.DUMMYFUNCTION("""COMPUTED_VALUE"""),"FIBR UNLI ALL PLAN 1499")</f>
        <v>FIBR UNLI ALL PLAN 1499</v>
      </c>
      <c r="S2903" s="1" t="str">
        <f>IFERROR(__xludf.DUMMYFUNCTION("""COMPUTED_VALUE"""),"APPROVED")</f>
        <v>APPROVED</v>
      </c>
      <c r="T2903" s="1" t="str">
        <f>IFERROR(__xludf.DUMMYFUNCTION("""COMPUTED_VALUE"""),"CLOSED")</f>
        <v>CLOSED</v>
      </c>
      <c r="U2903" s="1" t="str">
        <f>IFERROR(__xludf.DUMMYFUNCTION("""COMPUTED_VALUE"""),"POSTED")</f>
        <v>POSTED</v>
      </c>
      <c r="V2903" s="1"/>
      <c r="W2903" s="1"/>
    </row>
    <row r="2904" customHeight="1" spans="1:23">
      <c r="A2904" s="3">
        <f>IFERROR(__xludf.DUMMYFUNCTION("""COMPUTED_VALUE"""),46261)</f>
        <v>46261</v>
      </c>
      <c r="B2904" s="1" t="str">
        <f>IFERROR(__xludf.DUMMYFUNCTION("""COMPUTED_VALUE"""),"ALOS, CHARLS LAURENZ")</f>
        <v>ALOS, CHARLS LAURENZ</v>
      </c>
      <c r="C2904" s="1" t="str">
        <f>IFERROR(__xludf.DUMMYFUNCTION("""COMPUTED_VALUE"""),"ORGANIC")</f>
        <v>ORGANIC</v>
      </c>
      <c r="D2904" s="1" t="str">
        <f>IFERROR(__xludf.DUMMYFUNCTION("""COMPUTED_VALUE"""),"REMOLLO LEA")</f>
        <v>REMOLLO LEA</v>
      </c>
      <c r="E2904" s="1" t="str">
        <f>IFERROR(__xludf.DUMMYFUNCTION("""COMPUTED_VALUE"""),"PLDT / H2H")</f>
        <v>PLDT / H2H</v>
      </c>
      <c r="F2904" s="1">
        <f>IFERROR(__xludf.DUMMYFUNCTION("""COMPUTED_VALUE"""),2312142456)</f>
        <v>2312142456</v>
      </c>
      <c r="G2904" s="1">
        <f>IFERROR(__xludf.DUMMYFUNCTION("""COMPUTED_VALUE"""),468125711004)</f>
        <v>468125711004</v>
      </c>
      <c r="H2904" s="1" t="str">
        <f>IFERROR(__xludf.DUMMYFUNCTION("""COMPUTED_VALUE"""),"EVANGELINE PEREZ MUNCHUA")</f>
        <v>EVANGELINE PEREZ MUNCHUA</v>
      </c>
      <c r="I2904" s="1">
        <f>IFERROR(__xludf.DUMMYFUNCTION("""COMPUTED_VALUE"""),9102948485)</f>
        <v>9102948485</v>
      </c>
      <c r="J2904" s="1"/>
      <c r="K2904" s="1" t="str">
        <f>IFERROR(__xludf.DUMMYFUNCTION("""COMPUTED_VALUE"""),"capunocherrygil03032023@gmail.com")</f>
        <v>capunocherrygil03032023@gmail.com</v>
      </c>
      <c r="L2904" s="1" t="str">
        <f>IFERROR(__xludf.DUMMYFUNCTION("""COMPUTED_VALUE"""),"312")</f>
        <v>312</v>
      </c>
      <c r="M2904" s="1" t="str">
        <f>IFERROR(__xludf.DUMMYFUNCTION("""COMPUTED_VALUE"""),"PUROK 7")</f>
        <v>PUROK 7</v>
      </c>
      <c r="N2904" s="1"/>
      <c r="O2904" s="1" t="str">
        <f>IFERROR(__xludf.DUMMYFUNCTION("""COMPUTED_VALUE"""),"LITLIT")</f>
        <v>LITLIT</v>
      </c>
      <c r="P2904" s="1" t="str">
        <f>IFERROR(__xludf.DUMMYFUNCTION("""COMPUTED_VALUE"""),"SILANG")</f>
        <v>SILANG</v>
      </c>
      <c r="Q2904" s="1" t="str">
        <f>IFERROR(__xludf.DUMMYFUNCTION("""COMPUTED_VALUE"""),"CAVITE")</f>
        <v>CAVITE</v>
      </c>
      <c r="R2904" s="1" t="str">
        <f>IFERROR(__xludf.DUMMYFUNCTION("""COMPUTED_VALUE"""),"FIBR UNLI ALL PLAN 999")</f>
        <v>FIBR UNLI ALL PLAN 999</v>
      </c>
      <c r="S2904" s="1" t="str">
        <f>IFERROR(__xludf.DUMMYFUNCTION("""COMPUTED_VALUE"""),"APPROVED")</f>
        <v>APPROVED</v>
      </c>
      <c r="T2904" s="1" t="str">
        <f>IFERROR(__xludf.DUMMYFUNCTION("""COMPUTED_VALUE"""),"CLOSED")</f>
        <v>CLOSED</v>
      </c>
      <c r="U2904" s="1" t="str">
        <f>IFERROR(__xludf.DUMMYFUNCTION("""COMPUTED_VALUE"""),"POSTED")</f>
        <v>POSTED</v>
      </c>
      <c r="V2904" s="1"/>
      <c r="W2904" s="1"/>
    </row>
    <row r="2905" customHeight="1" spans="1:23">
      <c r="A2905" s="3">
        <f>IFERROR(__xludf.DUMMYFUNCTION("""COMPUTED_VALUE"""),46261)</f>
        <v>46261</v>
      </c>
      <c r="B2905" s="1" t="str">
        <f>IFERROR(__xludf.DUMMYFUNCTION("""COMPUTED_VALUE"""),"DENACO, RODNEY")</f>
        <v>DENACO, RODNEY</v>
      </c>
      <c r="C2905" s="1" t="str">
        <f>IFERROR(__xludf.DUMMYFUNCTION("""COMPUTED_VALUE"""),"ORGANIC")</f>
        <v>ORGANIC</v>
      </c>
      <c r="D2905" s="1" t="str">
        <f>IFERROR(__xludf.DUMMYFUNCTION("""COMPUTED_VALUE"""),"REMOLLO LEA")</f>
        <v>REMOLLO LEA</v>
      </c>
      <c r="E2905" s="1" t="str">
        <f>IFERROR(__xludf.DUMMYFUNCTION("""COMPUTED_VALUE"""),"PLDT / H2H")</f>
        <v>PLDT / H2H</v>
      </c>
      <c r="F2905" s="1">
        <f>IFERROR(__xludf.DUMMYFUNCTION("""COMPUTED_VALUE"""),2312143377)</f>
        <v>2312143377</v>
      </c>
      <c r="G2905" s="1"/>
      <c r="H2905" s="1" t="str">
        <f>IFERROR(__xludf.DUMMYFUNCTION("""COMPUTED_VALUE"""),"SHERYL BETACHE MALAIT")</f>
        <v>SHERYL BETACHE MALAIT</v>
      </c>
      <c r="I2905" s="1">
        <f>IFERROR(__xludf.DUMMYFUNCTION("""COMPUTED_VALUE"""),9458033631)</f>
        <v>9458033631</v>
      </c>
      <c r="J2905" s="1">
        <f>IFERROR(__xludf.DUMMYFUNCTION("""COMPUTED_VALUE"""),9773793102)</f>
        <v>9773793102</v>
      </c>
      <c r="K2905" s="1" t="str">
        <f>IFERROR(__xludf.DUMMYFUNCTION("""COMPUTED_VALUE"""),"saraharnado@gmail.com")</f>
        <v>saraharnado@gmail.com</v>
      </c>
      <c r="L2905" s="1" t="str">
        <f>IFERROR(__xludf.DUMMYFUNCTION("""COMPUTED_VALUE"""),"13")</f>
        <v>13</v>
      </c>
      <c r="M2905" s="1" t="str">
        <f>IFERROR(__xludf.DUMMYFUNCTION("""COMPUTED_VALUE"""),"ANTONIO")</f>
        <v>ANTONIO</v>
      </c>
      <c r="N2905" s="1" t="str">
        <f>IFERROR(__xludf.DUMMYFUNCTION("""COMPUTED_VALUE"""),"MARY ANNE VILLAGE")</f>
        <v>MARY ANNE VILLAGE</v>
      </c>
      <c r="O2905" s="1" t="str">
        <f>IFERROR(__xludf.DUMMYFUNCTION("""COMPUTED_VALUE"""),"POBLACION V (BARANGAY V)")</f>
        <v>POBLACION V (BARANGAY V)</v>
      </c>
      <c r="P2905" s="1" t="str">
        <f>IFERROR(__xludf.DUMMYFUNCTION("""COMPUTED_VALUE"""),"SILANG")</f>
        <v>SILANG</v>
      </c>
      <c r="Q2905" s="1" t="str">
        <f>IFERROR(__xludf.DUMMYFUNCTION("""COMPUTED_VALUE"""),"CAVITE")</f>
        <v>CAVITE</v>
      </c>
      <c r="R2905" s="1" t="str">
        <f>IFERROR(__xludf.DUMMYFUNCTION("""COMPUTED_VALUE"""),"FIBR UNLI ALL PLAN 999")</f>
        <v>FIBR UNLI ALL PLAN 999</v>
      </c>
      <c r="S2905" s="1" t="str">
        <f>IFERROR(__xludf.DUMMYFUNCTION("""COMPUTED_VALUE"""),"APPROVED")</f>
        <v>APPROVED</v>
      </c>
      <c r="T2905" s="1" t="str">
        <f>IFERROR(__xludf.DUMMYFUNCTION("""COMPUTED_VALUE"""),"CANCELLED")</f>
        <v>CANCELLED</v>
      </c>
      <c r="U2905" s="1"/>
      <c r="V2905" s="1"/>
      <c r="W2905" s="1"/>
    </row>
    <row r="2906" customHeight="1" spans="1:23">
      <c r="A2906" s="3">
        <f>IFERROR(__xludf.DUMMYFUNCTION("""COMPUTED_VALUE"""),46261)</f>
        <v>46261</v>
      </c>
      <c r="B2906" s="1" t="str">
        <f>IFERROR(__xludf.DUMMYFUNCTION("""COMPUTED_VALUE"""),"DENACO, RODNEY")</f>
        <v>DENACO, RODNEY</v>
      </c>
      <c r="C2906" s="1" t="str">
        <f>IFERROR(__xludf.DUMMYFUNCTION("""COMPUTED_VALUE"""),"ORGANIC")</f>
        <v>ORGANIC</v>
      </c>
      <c r="D2906" s="1" t="str">
        <f>IFERROR(__xludf.DUMMYFUNCTION("""COMPUTED_VALUE"""),"REMOLLO LEA")</f>
        <v>REMOLLO LEA</v>
      </c>
      <c r="E2906" s="1" t="str">
        <f>IFERROR(__xludf.DUMMYFUNCTION("""COMPUTED_VALUE"""),"PLDT / H2H")</f>
        <v>PLDT / H2H</v>
      </c>
      <c r="F2906" s="1">
        <f>IFERROR(__xludf.DUMMYFUNCTION("""COMPUTED_VALUE"""),2312143967)</f>
        <v>2312143967</v>
      </c>
      <c r="G2906" s="1">
        <f>IFERROR(__xludf.DUMMYFUNCTION("""COMPUTED_VALUE"""),468245802004)</f>
        <v>468245802004</v>
      </c>
      <c r="H2906" s="1" t="str">
        <f>IFERROR(__xludf.DUMMYFUNCTION("""COMPUTED_VALUE"""),"MYRNA MORCO DABU")</f>
        <v>MYRNA MORCO DABU</v>
      </c>
      <c r="I2906" s="1">
        <f>IFERROR(__xludf.DUMMYFUNCTION("""COMPUTED_VALUE"""),9566589984)</f>
        <v>9566589984</v>
      </c>
      <c r="J2906" s="1"/>
      <c r="K2906" s="1" t="str">
        <f>IFERROR(__xludf.DUMMYFUNCTION("""COMPUTED_VALUE"""),"myrdabu@gmail.com")</f>
        <v>myrdabu@gmail.com</v>
      </c>
      <c r="L2906" s="1" t="str">
        <f>IFERROR(__xludf.DUMMYFUNCTION("""COMPUTED_VALUE"""),"9029")</f>
        <v>9029</v>
      </c>
      <c r="M2906" s="1" t="str">
        <f>IFERROR(__xludf.DUMMYFUNCTION("""COMPUTED_VALUE"""),"ANTONIO")</f>
        <v>ANTONIO</v>
      </c>
      <c r="N2906" s="1"/>
      <c r="O2906" s="1" t="str">
        <f>IFERROR(__xludf.DUMMYFUNCTION("""COMPUTED_VALUE"""),"POBLACION V (BARANGAY V)")</f>
        <v>POBLACION V (BARANGAY V)</v>
      </c>
      <c r="P2906" s="1" t="str">
        <f>IFERROR(__xludf.DUMMYFUNCTION("""COMPUTED_VALUE"""),"SILANG")</f>
        <v>SILANG</v>
      </c>
      <c r="Q2906" s="1" t="str">
        <f>IFERROR(__xludf.DUMMYFUNCTION("""COMPUTED_VALUE"""),"CAVITE")</f>
        <v>CAVITE</v>
      </c>
      <c r="R2906" s="1" t="str">
        <f>IFERROR(__xludf.DUMMYFUNCTION("""COMPUTED_VALUE"""),"FIBR UNLI ALL PLAN 999")</f>
        <v>FIBR UNLI ALL PLAN 999</v>
      </c>
      <c r="S2906" s="1" t="str">
        <f>IFERROR(__xludf.DUMMYFUNCTION("""COMPUTED_VALUE"""),"APPROVED")</f>
        <v>APPROVED</v>
      </c>
      <c r="T2906" s="1" t="str">
        <f>IFERROR(__xludf.DUMMYFUNCTION("""COMPUTED_VALUE"""),"CANCELLED")</f>
        <v>CANCELLED</v>
      </c>
      <c r="U2906" s="1"/>
      <c r="V2906" s="1"/>
      <c r="W2906" s="1"/>
    </row>
    <row r="2907" customHeight="1" spans="1:23">
      <c r="A2907" s="3">
        <f>IFERROR(__xludf.DUMMYFUNCTION("""COMPUTED_VALUE"""),46261)</f>
        <v>46261</v>
      </c>
      <c r="B2907" s="1" t="str">
        <f>IFERROR(__xludf.DUMMYFUNCTION("""COMPUTED_VALUE"""),"RIVERA, AIRIZH JOY")</f>
        <v>RIVERA, AIRIZH JOY</v>
      </c>
      <c r="C2907" s="1" t="str">
        <f>IFERROR(__xludf.DUMMYFUNCTION("""COMPUTED_VALUE"""),"ORGANIC")</f>
        <v>ORGANIC</v>
      </c>
      <c r="D2907" s="1" t="str">
        <f>IFERROR(__xludf.DUMMYFUNCTION("""COMPUTED_VALUE"""),"REMOLLO LEA")</f>
        <v>REMOLLO LEA</v>
      </c>
      <c r="E2907" s="1" t="str">
        <f>IFERROR(__xludf.DUMMYFUNCTION("""COMPUTED_VALUE"""),"PLDT / H2H")</f>
        <v>PLDT / H2H</v>
      </c>
      <c r="F2907" s="1">
        <f>IFERROR(__xludf.DUMMYFUNCTION("""COMPUTED_VALUE"""),2312145943)</f>
        <v>2312145943</v>
      </c>
      <c r="G2907" s="1">
        <f>IFERROR(__xludf.DUMMYFUNCTION("""COMPUTED_VALUE"""),468143959004)</f>
        <v>468143959004</v>
      </c>
      <c r="H2907" s="1" t="str">
        <f>IFERROR(__xludf.DUMMYFUNCTION("""COMPUTED_VALUE"""),"ANNE MARGARET TABLIZO MIJARES")</f>
        <v>ANNE MARGARET TABLIZO MIJARES</v>
      </c>
      <c r="I2907" s="1">
        <f>IFERROR(__xludf.DUMMYFUNCTION("""COMPUTED_VALUE"""),9185588494)</f>
        <v>9185588494</v>
      </c>
      <c r="J2907" s="1"/>
      <c r="K2907" s="1" t="str">
        <f>IFERROR(__xludf.DUMMYFUNCTION("""COMPUTED_VALUE"""),"margaretann1908@gmail.com")</f>
        <v>margaretann1908@gmail.com</v>
      </c>
      <c r="L2907" s="1" t="str">
        <f>IFERROR(__xludf.DUMMYFUNCTION("""COMPUTED_VALUE"""),"BLK 11 LOT 14")</f>
        <v>BLK 11 LOT 14</v>
      </c>
      <c r="M2907" s="1" t="str">
        <f>IFERROR(__xludf.DUMMYFUNCTION("""COMPUTED_VALUE"""),"PANAMA")</f>
        <v>PANAMA</v>
      </c>
      <c r="N2907" s="1" t="str">
        <f>IFERROR(__xludf.DUMMYFUNCTION("""COMPUTED_VALUE"""),"CASA MONTEVERDE")</f>
        <v>CASA MONTEVERDE</v>
      </c>
      <c r="O2907" s="1" t="str">
        <f>IFERROR(__xludf.DUMMYFUNCTION("""COMPUTED_VALUE"""),"FRANCISCO DE CASTRO (SUNSHINE VILL.)")</f>
        <v>FRANCISCO DE CASTRO (SUNSHINE VILL.)</v>
      </c>
      <c r="P2907" s="1" t="str">
        <f>IFERROR(__xludf.DUMMYFUNCTION("""COMPUTED_VALUE"""),"GENERAL EMILIO AGUINALDO")</f>
        <v>GENERAL EMILIO AGUINALDO</v>
      </c>
      <c r="Q2907" s="1" t="str">
        <f>IFERROR(__xludf.DUMMYFUNCTION("""COMPUTED_VALUE"""),"CAVITE")</f>
        <v>CAVITE</v>
      </c>
      <c r="R2907" s="1" t="str">
        <f>IFERROR(__xludf.DUMMYFUNCTION("""COMPUTED_VALUE"""),"FIBR UNLI ALL PLAN 999")</f>
        <v>FIBR UNLI ALL PLAN 999</v>
      </c>
      <c r="S2907" s="1" t="str">
        <f>IFERROR(__xludf.DUMMYFUNCTION("""COMPUTED_VALUE"""),"APPROVED")</f>
        <v>APPROVED</v>
      </c>
      <c r="T2907" s="1" t="str">
        <f>IFERROR(__xludf.DUMMYFUNCTION("""COMPUTED_VALUE"""),"CLOSED")</f>
        <v>CLOSED</v>
      </c>
      <c r="U2907" s="1" t="str">
        <f>IFERROR(__xludf.DUMMYFUNCTION("""COMPUTED_VALUE"""),"POSTED")</f>
        <v>POSTED</v>
      </c>
      <c r="V2907" s="1"/>
      <c r="W2907" s="1"/>
    </row>
    <row r="2908" customHeight="1" spans="1:23">
      <c r="A2908" s="3">
        <f>IFERROR(__xludf.DUMMYFUNCTION("""COMPUTED_VALUE"""),46262)</f>
        <v>46262</v>
      </c>
      <c r="B2908" s="1" t="str">
        <f>IFERROR(__xludf.DUMMYFUNCTION("""COMPUTED_VALUE"""),"ARNESTO, FRANZ IVAN")</f>
        <v>ARNESTO, FRANZ IVAN</v>
      </c>
      <c r="C2908" s="1" t="str">
        <f>IFERROR(__xludf.DUMMYFUNCTION("""COMPUTED_VALUE"""),"ORGANIC")</f>
        <v>ORGANIC</v>
      </c>
      <c r="D2908" s="1" t="str">
        <f>IFERROR(__xludf.DUMMYFUNCTION("""COMPUTED_VALUE"""),"JERIC NAVARRO")</f>
        <v>JERIC NAVARRO</v>
      </c>
      <c r="E2908" s="1" t="str">
        <f>IFERROR(__xludf.DUMMYFUNCTION("""COMPUTED_VALUE"""),"PLDT / H2H")</f>
        <v>PLDT / H2H</v>
      </c>
      <c r="F2908" s="1">
        <f>IFERROR(__xludf.DUMMYFUNCTION("""COMPUTED_VALUE"""),2312207389)</f>
        <v>2312207389</v>
      </c>
      <c r="G2908" s="1"/>
      <c r="H2908" s="1" t="str">
        <f>IFERROR(__xludf.DUMMYFUNCTION("""COMPUTED_VALUE"""),"NESTOR REGIS GARCIA")</f>
        <v>NESTOR REGIS GARCIA</v>
      </c>
      <c r="I2908" s="1">
        <f>IFERROR(__xludf.DUMMYFUNCTION("""COMPUTED_VALUE"""),9670131392)</f>
        <v>9670131392</v>
      </c>
      <c r="J2908" s="1">
        <f>IFERROR(__xludf.DUMMYFUNCTION("""COMPUTED_VALUE"""),9267802577)</f>
        <v>9267802577</v>
      </c>
      <c r="K2908" s="1" t="str">
        <f>IFERROR(__xludf.DUMMYFUNCTION("""COMPUTED_VALUE"""),"nestorrgarcia060660@gmail.com")</f>
        <v>nestorrgarcia060660@gmail.com</v>
      </c>
      <c r="L2908" s="1" t="str">
        <f>IFERROR(__xludf.DUMMYFUNCTION("""COMPUTED_VALUE"""),"BLK 21 LOT 15")</f>
        <v>BLK 21 LOT 15</v>
      </c>
      <c r="M2908" s="1" t="str">
        <f>IFERROR(__xludf.DUMMYFUNCTION("""COMPUTED_VALUE"""),"PH1")</f>
        <v>PH1</v>
      </c>
      <c r="N2908" s="1" t="str">
        <f>IFERROR(__xludf.DUMMYFUNCTION("""COMPUTED_VALUE"""),"AMAYA BREEZE")</f>
        <v>AMAYA BREEZE</v>
      </c>
      <c r="O2908" s="1" t="str">
        <f>IFERROR(__xludf.DUMMYFUNCTION("""COMPUTED_VALUE"""),"AMAYA II")</f>
        <v>AMAYA II</v>
      </c>
      <c r="P2908" s="1" t="str">
        <f>IFERROR(__xludf.DUMMYFUNCTION("""COMPUTED_VALUE"""),"TANZA")</f>
        <v>TANZA</v>
      </c>
      <c r="Q2908" s="1" t="str">
        <f>IFERROR(__xludf.DUMMYFUNCTION("""COMPUTED_VALUE"""),"CAVITE")</f>
        <v>CAVITE</v>
      </c>
      <c r="R2908" s="1" t="str">
        <f>IFERROR(__xludf.DUMMYFUNCTION("""COMPUTED_VALUE"""),"FIBR NETFLIX PLAN 1599")</f>
        <v>FIBR NETFLIX PLAN 1599</v>
      </c>
      <c r="S2908" s="1" t="str">
        <f>IFERROR(__xludf.DUMMYFUNCTION("""COMPUTED_VALUE"""),"APPROVED")</f>
        <v>APPROVED</v>
      </c>
      <c r="T2908" s="1" t="str">
        <f>IFERROR(__xludf.DUMMYFUNCTION("""COMPUTED_VALUE"""),"CANCELLED")</f>
        <v>CANCELLED</v>
      </c>
      <c r="U2908" s="1" t="str">
        <f>IFERROR(__xludf.DUMMYFUNCTION("""COMPUTED_VALUE"""),"CBR UNCONTACTABLE")</f>
        <v>CBR UNCONTACTABLE</v>
      </c>
      <c r="V2908" s="1"/>
      <c r="W2908" s="1"/>
    </row>
    <row r="2909" customHeight="1" spans="1:23">
      <c r="A2909" s="3">
        <f>IFERROR(__xludf.DUMMYFUNCTION("""COMPUTED_VALUE"""),46262)</f>
        <v>46262</v>
      </c>
      <c r="B2909" s="1" t="str">
        <f>IFERROR(__xludf.DUMMYFUNCTION("""COMPUTED_VALUE"""),"ALOS, CHARLS LAURENZ")</f>
        <v>ALOS, CHARLS LAURENZ</v>
      </c>
      <c r="C2909" s="1" t="str">
        <f>IFERROR(__xludf.DUMMYFUNCTION("""COMPUTED_VALUE"""),"ORGANIC")</f>
        <v>ORGANIC</v>
      </c>
      <c r="D2909" s="1" t="str">
        <f>IFERROR(__xludf.DUMMYFUNCTION("""COMPUTED_VALUE"""),"REMOLLO LEA")</f>
        <v>REMOLLO LEA</v>
      </c>
      <c r="E2909" s="1" t="str">
        <f>IFERROR(__xludf.DUMMYFUNCTION("""COMPUTED_VALUE"""),"PLDT / H2H")</f>
        <v>PLDT / H2H</v>
      </c>
      <c r="F2909" s="1">
        <f>IFERROR(__xludf.DUMMYFUNCTION("""COMPUTED_VALUE"""),2312158166)</f>
        <v>2312158166</v>
      </c>
      <c r="G2909" s="1"/>
      <c r="H2909" s="1" t="str">
        <f>IFERROR(__xludf.DUMMYFUNCTION("""COMPUTED_VALUE"""),"JOSE JR JUMADIAO ROMERO")</f>
        <v>JOSE JR JUMADIAO ROMERO</v>
      </c>
      <c r="I2909" s="1">
        <f>IFERROR(__xludf.DUMMYFUNCTION("""COMPUTED_VALUE"""),639910570831)</f>
        <v>639910570831</v>
      </c>
      <c r="J2909" s="1"/>
      <c r="K2909" s="1" t="str">
        <f>IFERROR(__xludf.DUMMYFUNCTION("""COMPUTED_VALUE"""),"romerojoey67@gmail.com")</f>
        <v>romerojoey67@gmail.com</v>
      </c>
      <c r="L2909" s="1" t="str">
        <f>IFERROR(__xludf.DUMMYFUNCTION("""COMPUTED_VALUE"""),"575")</f>
        <v>575</v>
      </c>
      <c r="M2909" s="1" t="str">
        <f>IFERROR(__xludf.DUMMYFUNCTION("""COMPUTED_VALUE"""),"SITIO AYUNGINAN")</f>
        <v>SITIO AYUNGINAN</v>
      </c>
      <c r="N2909" s="1" t="str">
        <f>IFERROR(__xludf.DUMMYFUNCTION("""COMPUTED_VALUE"""),"#N/A")</f>
        <v>#N/A</v>
      </c>
      <c r="O2909" s="1" t="str">
        <f>IFERROR(__xludf.DUMMYFUNCTION("""COMPUTED_VALUE"""),"TALON")</f>
        <v>TALON</v>
      </c>
      <c r="P2909" s="1" t="str">
        <f>IFERROR(__xludf.DUMMYFUNCTION("""COMPUTED_VALUE"""),"AMADEO")</f>
        <v>AMADEO</v>
      </c>
      <c r="Q2909" s="1" t="str">
        <f>IFERROR(__xludf.DUMMYFUNCTION("""COMPUTED_VALUE"""),"CAVITE")</f>
        <v>CAVITE</v>
      </c>
      <c r="R2909" s="1" t="str">
        <f>IFERROR(__xludf.DUMMYFUNCTION("""COMPUTED_VALUE"""),"FIBR UNLI ALL PLAN 999")</f>
        <v>FIBR UNLI ALL PLAN 999</v>
      </c>
      <c r="S2909" s="1" t="str">
        <f>IFERROR(__xludf.DUMMYFUNCTION("""COMPUTED_VALUE"""),"APPROVED")</f>
        <v>APPROVED</v>
      </c>
      <c r="T2909" s="1" t="str">
        <f>IFERROR(__xludf.DUMMYFUNCTION("""COMPUTED_VALUE"""),"CANCELLED")</f>
        <v>CANCELLED</v>
      </c>
      <c r="U2909" s="1"/>
      <c r="V2909" s="1"/>
      <c r="W2909" s="1"/>
    </row>
    <row r="2910" customHeight="1" spans="1:23">
      <c r="A2910" s="3">
        <f>IFERROR(__xludf.DUMMYFUNCTION("""COMPUTED_VALUE"""),46262)</f>
        <v>46262</v>
      </c>
      <c r="B2910" s="1" t="str">
        <f>IFERROR(__xludf.DUMMYFUNCTION("""COMPUTED_VALUE"""),"FRANCISCO , ROSELYN")</f>
        <v>FRANCISCO , ROSELYN</v>
      </c>
      <c r="C2910" s="1" t="str">
        <f>IFERROR(__xludf.DUMMYFUNCTION("""COMPUTED_VALUE"""),"ORGANIC")</f>
        <v>ORGANIC</v>
      </c>
      <c r="D2910" s="1" t="str">
        <f>IFERROR(__xludf.DUMMYFUNCTION("""COMPUTED_VALUE"""),"REMOLLO LEA")</f>
        <v>REMOLLO LEA</v>
      </c>
      <c r="E2910" s="1" t="str">
        <f>IFERROR(__xludf.DUMMYFUNCTION("""COMPUTED_VALUE"""),"PLDT / H2H")</f>
        <v>PLDT / H2H</v>
      </c>
      <c r="F2910" s="1">
        <f>IFERROR(__xludf.DUMMYFUNCTION("""COMPUTED_VALUE"""),2312160075)</f>
        <v>2312160075</v>
      </c>
      <c r="G2910" s="1">
        <f>IFERROR(__xludf.DUMMYFUNCTION("""COMPUTED_VALUE"""),468269749004)</f>
        <v>468269749004</v>
      </c>
      <c r="H2910" s="1" t="str">
        <f>IFERROR(__xludf.DUMMYFUNCTION("""COMPUTED_VALUE"""),"REDCEL BUHAY RAMILO")</f>
        <v>REDCEL BUHAY RAMILO</v>
      </c>
      <c r="I2910" s="1">
        <f>IFERROR(__xludf.DUMMYFUNCTION("""COMPUTED_VALUE"""),639475627124)</f>
        <v>639475627124</v>
      </c>
      <c r="J2910" s="1"/>
      <c r="K2910" s="1" t="str">
        <f>IFERROR(__xludf.DUMMYFUNCTION("""COMPUTED_VALUE"""),"buhayiteng@gmail.com")</f>
        <v>buhayiteng@gmail.com</v>
      </c>
      <c r="L2910" s="1" t="str">
        <f>IFERROR(__xludf.DUMMYFUNCTION("""COMPUTED_VALUE"""),"231-BL-017")</f>
        <v>231-BL-017</v>
      </c>
      <c r="M2910" s="1" t="str">
        <f>IFERROR(__xludf.DUMMYFUNCTION("""COMPUTED_VALUE"""),"BALAI")</f>
        <v>BALAI</v>
      </c>
      <c r="N2910" s="1" t="str">
        <f>IFERROR(__xludf.DUMMYFUNCTION("""COMPUTED_VALUE"""),"#N/A")</f>
        <v>#N/A</v>
      </c>
      <c r="O2910" s="1" t="str">
        <f>IFERROR(__xludf.DUMMYFUNCTION("""COMPUTED_VALUE"""),"MALAINEN BAGO")</f>
        <v>MALAINEN BAGO</v>
      </c>
      <c r="P2910" s="1" t="str">
        <f>IFERROR(__xludf.DUMMYFUNCTION("""COMPUTED_VALUE"""),"NAIC")</f>
        <v>NAIC</v>
      </c>
      <c r="Q2910" s="1" t="str">
        <f>IFERROR(__xludf.DUMMYFUNCTION("""COMPUTED_VALUE"""),"CAVITE")</f>
        <v>CAVITE</v>
      </c>
      <c r="R2910" s="1" t="str">
        <f>IFERROR(__xludf.DUMMYFUNCTION("""COMPUTED_VALUE"""),"FIBR UNLI ALL PLAN 999")</f>
        <v>FIBR UNLI ALL PLAN 999</v>
      </c>
      <c r="S2910" s="1" t="str">
        <f>IFERROR(__xludf.DUMMYFUNCTION("""COMPUTED_VALUE"""),"APPROVED")</f>
        <v>APPROVED</v>
      </c>
      <c r="T2910" s="1" t="str">
        <f>IFERROR(__xludf.DUMMYFUNCTION("""COMPUTED_VALUE"""),"CANCELLED")</f>
        <v>CANCELLED</v>
      </c>
      <c r="U2910" s="1" t="str">
        <f>IFERROR(__xludf.DUMMYFUNCTION("""COMPUTED_VALUE"""),"CHANGE EMAIL")</f>
        <v>CHANGE EMAIL</v>
      </c>
      <c r="V2910" s="1"/>
      <c r="W2910" s="1"/>
    </row>
    <row r="2911" customHeight="1" spans="1:23">
      <c r="A2911" s="3">
        <f>IFERROR(__xludf.DUMMYFUNCTION("""COMPUTED_VALUE"""),46262)</f>
        <v>46262</v>
      </c>
      <c r="B2911" s="1" t="str">
        <f>IFERROR(__xludf.DUMMYFUNCTION("""COMPUTED_VALUE"""),"RIVERA, AIRIZH JOY")</f>
        <v>RIVERA, AIRIZH JOY</v>
      </c>
      <c r="C2911" s="1" t="str">
        <f>IFERROR(__xludf.DUMMYFUNCTION("""COMPUTED_VALUE"""),"ORGANIC")</f>
        <v>ORGANIC</v>
      </c>
      <c r="D2911" s="1" t="str">
        <f>IFERROR(__xludf.DUMMYFUNCTION("""COMPUTED_VALUE"""),"REMOLLO LEA")</f>
        <v>REMOLLO LEA</v>
      </c>
      <c r="E2911" s="1" t="str">
        <f>IFERROR(__xludf.DUMMYFUNCTION("""COMPUTED_VALUE"""),"PLDT / H2H")</f>
        <v>PLDT / H2H</v>
      </c>
      <c r="F2911" s="1">
        <f>IFERROR(__xludf.DUMMYFUNCTION("""COMPUTED_VALUE"""),2312160605)</f>
        <v>2312160605</v>
      </c>
      <c r="G2911" s="1"/>
      <c r="H2911" s="1" t="str">
        <f>IFERROR(__xludf.DUMMYFUNCTION("""COMPUTED_VALUE"""),"WENDY MAR FLORES ALTAMIA")</f>
        <v>WENDY MAR FLORES ALTAMIA</v>
      </c>
      <c r="I2911" s="1">
        <f>IFERROR(__xludf.DUMMYFUNCTION("""COMPUTED_VALUE"""),639505539044)</f>
        <v>639505539044</v>
      </c>
      <c r="J2911" s="1"/>
      <c r="K2911" s="1" t="str">
        <f>IFERROR(__xludf.DUMMYFUNCTION("""COMPUTED_VALUE"""),"marwendyaltamia@gmail.com")</f>
        <v>marwendyaltamia@gmail.com</v>
      </c>
      <c r="L2911" s="1" t="str">
        <f>IFERROR(__xludf.DUMMYFUNCTION("""COMPUTED_VALUE"""),"E02-BL-016")</f>
        <v>E02-BL-016</v>
      </c>
      <c r="M2911" s="1" t="str">
        <f>IFERROR(__xludf.DUMMYFUNCTION("""COMPUTED_VALUE"""),"SAN MATEO")</f>
        <v>SAN MATEO</v>
      </c>
      <c r="N2911" s="1" t="str">
        <f>IFERROR(__xludf.DUMMYFUNCTION("""COMPUTED_VALUE"""),"#N/A")</f>
        <v>#N/A</v>
      </c>
      <c r="O2911" s="1" t="str">
        <f>IFERROR(__xludf.DUMMYFUNCTION("""COMPUTED_VALUE"""),"SAN MATEO")</f>
        <v>SAN MATEO</v>
      </c>
      <c r="P2911" s="1" t="str">
        <f>IFERROR(__xludf.DUMMYFUNCTION("""COMPUTED_VALUE"""),"DASMARINAS")</f>
        <v>DASMARINAS</v>
      </c>
      <c r="Q2911" s="1" t="str">
        <f>IFERROR(__xludf.DUMMYFUNCTION("""COMPUTED_VALUE"""),"CAVITE")</f>
        <v>CAVITE</v>
      </c>
      <c r="R2911" s="1" t="str">
        <f>IFERROR(__xludf.DUMMYFUNCTION("""COMPUTED_VALUE"""),"FIBR PLAN 2099")</f>
        <v>FIBR PLAN 2099</v>
      </c>
      <c r="S2911" s="1" t="str">
        <f>IFERROR(__xludf.DUMMYFUNCTION("""COMPUTED_VALUE"""),"APPROVED")</f>
        <v>APPROVED</v>
      </c>
      <c r="T2911" s="1" t="str">
        <f>IFERROR(__xludf.DUMMYFUNCTION("""COMPUTED_VALUE"""),"REENCODED")</f>
        <v>REENCODED</v>
      </c>
      <c r="U2911" s="1" t="str">
        <f>IFERROR(__xludf.DUMMYFUNCTION("""COMPUTED_VALUE"""),"CBR UNCONTACTED")</f>
        <v>CBR UNCONTACTED</v>
      </c>
      <c r="V2911" s="1"/>
      <c r="W2911" s="1"/>
    </row>
    <row r="2912" customHeight="1" spans="1:23">
      <c r="A2912" s="3">
        <f>IFERROR(__xludf.DUMMYFUNCTION("""COMPUTED_VALUE"""),46262)</f>
        <v>46262</v>
      </c>
      <c r="B2912" s="1" t="str">
        <f>IFERROR(__xludf.DUMMYFUNCTION("""COMPUTED_VALUE"""),"BAQUIT ,JAZMIN")</f>
        <v>BAQUIT ,JAZMIN</v>
      </c>
      <c r="C2912" s="1" t="str">
        <f>IFERROR(__xludf.DUMMYFUNCTION("""COMPUTED_VALUE"""),"ORGANIC")</f>
        <v>ORGANIC</v>
      </c>
      <c r="D2912" s="1" t="str">
        <f>IFERROR(__xludf.DUMMYFUNCTION("""COMPUTED_VALUE"""),"REMOLLO LEA")</f>
        <v>REMOLLO LEA</v>
      </c>
      <c r="E2912" s="1" t="str">
        <f>IFERROR(__xludf.DUMMYFUNCTION("""COMPUTED_VALUE"""),"PLDT / H2H")</f>
        <v>PLDT / H2H</v>
      </c>
      <c r="F2912" s="1">
        <f>IFERROR(__xludf.DUMMYFUNCTION("""COMPUTED_VALUE"""),2312161987)</f>
        <v>2312161987</v>
      </c>
      <c r="G2912" s="1">
        <f>IFERROR(__xludf.DUMMYFUNCTION("""COMPUTED_VALUE"""),468268304004)</f>
        <v>468268304004</v>
      </c>
      <c r="H2912" s="1" t="str">
        <f>IFERROR(__xludf.DUMMYFUNCTION("""COMPUTED_VALUE"""),"MILAGROS ABALOS TRONO")</f>
        <v>MILAGROS ABALOS TRONO</v>
      </c>
      <c r="I2912" s="1">
        <f>IFERROR(__xludf.DUMMYFUNCTION("""COMPUTED_VALUE"""),639303780383)</f>
        <v>639303780383</v>
      </c>
      <c r="J2912" s="1"/>
      <c r="K2912" s="1" t="str">
        <f>IFERROR(__xludf.DUMMYFUNCTION("""COMPUTED_VALUE"""),"jesustimtimanjr1968@gmail.com")</f>
        <v>jesustimtimanjr1968@gmail.com</v>
      </c>
      <c r="L2912" s="1" t="str">
        <f>IFERROR(__xludf.DUMMYFUNCTION("""COMPUTED_VALUE"""),"202A / 029-BL-004")</f>
        <v>202A / 029-BL-004</v>
      </c>
      <c r="M2912" s="1" t="str">
        <f>IFERROR(__xludf.DUMMYFUNCTION("""COMPUTED_VALUE"""),"INOCENCIO SALUD")</f>
        <v>INOCENCIO SALUD</v>
      </c>
      <c r="N2912" s="1" t="str">
        <f>IFERROR(__xludf.DUMMYFUNCTION("""COMPUTED_VALUE"""),"#N/A")</f>
        <v>#N/A</v>
      </c>
      <c r="O2912" s="1" t="str">
        <f>IFERROR(__xludf.DUMMYFUNCTION("""COMPUTED_VALUE"""),"INOCENCIO SALUD")</f>
        <v>INOCENCIO SALUD</v>
      </c>
      <c r="P2912" s="1" t="str">
        <f>IFERROR(__xludf.DUMMYFUNCTION("""COMPUTED_VALUE"""),"GEN MARIANO ALVAREZ")</f>
        <v>GEN MARIANO ALVAREZ</v>
      </c>
      <c r="Q2912" s="1" t="str">
        <f>IFERROR(__xludf.DUMMYFUNCTION("""COMPUTED_VALUE"""),"CAVITE")</f>
        <v>CAVITE</v>
      </c>
      <c r="R2912" s="1" t="str">
        <f>IFERROR(__xludf.DUMMYFUNCTION("""COMPUTED_VALUE"""),"FIBR UNLI ALL PLAN 999")</f>
        <v>FIBR UNLI ALL PLAN 999</v>
      </c>
      <c r="S2912" s="1" t="str">
        <f>IFERROR(__xludf.DUMMYFUNCTION("""COMPUTED_VALUE"""),"APPROVED")</f>
        <v>APPROVED</v>
      </c>
      <c r="T2912" s="1" t="str">
        <f>IFERROR(__xludf.DUMMYFUNCTION("""COMPUTED_VALUE"""),"CLOSED")</f>
        <v>CLOSED</v>
      </c>
      <c r="U2912" s="1" t="str">
        <f>IFERROR(__xludf.DUMMYFUNCTION("""COMPUTED_VALUE"""),"POSTED")</f>
        <v>POSTED</v>
      </c>
      <c r="V2912" s="1"/>
      <c r="W2912" s="1"/>
    </row>
    <row r="2913" customHeight="1" spans="1:23">
      <c r="A2913" s="3">
        <f>IFERROR(__xludf.DUMMYFUNCTION("""COMPUTED_VALUE"""),46262)</f>
        <v>46262</v>
      </c>
      <c r="B2913" s="1" t="str">
        <f>IFERROR(__xludf.DUMMYFUNCTION("""COMPUTED_VALUE"""),"FARO, REFRANTA")</f>
        <v>FARO, REFRANTA</v>
      </c>
      <c r="C2913" s="1" t="str">
        <f>IFERROR(__xludf.DUMMYFUNCTION("""COMPUTED_VALUE"""),"FLA")</f>
        <v>FLA</v>
      </c>
      <c r="D2913" s="1" t="str">
        <f>IFERROR(__xludf.DUMMYFUNCTION("""COMPUTED_VALUE"""),"JERIC NAVARRO")</f>
        <v>JERIC NAVARRO</v>
      </c>
      <c r="E2913" s="1" t="str">
        <f>IFERROR(__xludf.DUMMYFUNCTION("""COMPUTED_VALUE"""),"PLDT / H2H")</f>
        <v>PLDT / H2H</v>
      </c>
      <c r="F2913" s="1">
        <f>IFERROR(__xludf.DUMMYFUNCTION("""COMPUTED_VALUE"""),2312164216)</f>
        <v>2312164216</v>
      </c>
      <c r="G2913" s="1"/>
      <c r="H2913" s="1" t="str">
        <f>IFERROR(__xludf.DUMMYFUNCTION("""COMPUTED_VALUE"""),"MA LORETA AUSTRIA DELAS ALAS")</f>
        <v>MA LORETA AUSTRIA DELAS ALAS</v>
      </c>
      <c r="I2913" s="1">
        <f>IFERROR(__xludf.DUMMYFUNCTION("""COMPUTED_VALUE"""),639995302750)</f>
        <v>639995302750</v>
      </c>
      <c r="J2913" s="1">
        <f>IFERROR(__xludf.DUMMYFUNCTION("""COMPUTED_VALUE"""),639661948730)</f>
        <v>639661948730</v>
      </c>
      <c r="K2913" s="1" t="str">
        <f>IFERROR(__xludf.DUMMYFUNCTION("""COMPUTED_VALUE"""),"bhrdreatycorp@gmail.com")</f>
        <v>bhrdreatycorp@gmail.com</v>
      </c>
      <c r="L2913" s="1" t="str">
        <f>IFERROR(__xludf.DUMMYFUNCTION("""COMPUTED_VALUE"""),"2092")</f>
        <v>2092</v>
      </c>
      <c r="M2913" s="1" t="str">
        <f>IFERROR(__xludf.DUMMYFUNCTION("""COMPUTED_VALUE"""),"ELEVE HOMES")</f>
        <v>ELEVE HOMES</v>
      </c>
      <c r="N2913" s="1" t="str">
        <f>IFERROR(__xludf.DUMMYFUNCTION("""COMPUTED_VALUE"""),"#N/A")</f>
        <v>#N/A</v>
      </c>
      <c r="O2913" s="1" t="str">
        <f>IFERROR(__xludf.DUMMYFUNCTION("""COMPUTED_VALUE"""),"MAHARLIKA WEST")</f>
        <v>MAHARLIKA WEST</v>
      </c>
      <c r="P2913" s="1" t="str">
        <f>IFERROR(__xludf.DUMMYFUNCTION("""COMPUTED_VALUE"""),"TAGAYTAY")</f>
        <v>TAGAYTAY</v>
      </c>
      <c r="Q2913" s="1" t="str">
        <f>IFERROR(__xludf.DUMMYFUNCTION("""COMPUTED_VALUE"""),"CAVITE")</f>
        <v>CAVITE</v>
      </c>
      <c r="R2913" s="1" t="str">
        <f>IFERROR(__xludf.DUMMYFUNCTION("""COMPUTED_VALUE"""),"FIBR NETFLIX PLAN 1599")</f>
        <v>FIBR NETFLIX PLAN 1599</v>
      </c>
      <c r="S2913" s="1" t="str">
        <f>IFERROR(__xludf.DUMMYFUNCTION("""COMPUTED_VALUE"""),"APPROVED")</f>
        <v>APPROVED</v>
      </c>
      <c r="T2913" s="1" t="str">
        <f>IFERROR(__xludf.DUMMYFUNCTION("""COMPUTED_VALUE"""),"CANCELLED")</f>
        <v>CANCELLED</v>
      </c>
      <c r="U2913" s="1"/>
      <c r="V2913" s="1"/>
      <c r="W2913" s="1"/>
    </row>
    <row r="2914" customHeight="1" spans="1:23">
      <c r="A2914" s="3">
        <f>IFERROR(__xludf.DUMMYFUNCTION("""COMPUTED_VALUE"""),46262)</f>
        <v>46262</v>
      </c>
      <c r="B2914" s="1" t="str">
        <f>IFERROR(__xludf.DUMMYFUNCTION("""COMPUTED_VALUE"""),"ALOS, CHARLS LAURENZ")</f>
        <v>ALOS, CHARLS LAURENZ</v>
      </c>
      <c r="C2914" s="1" t="str">
        <f>IFERROR(__xludf.DUMMYFUNCTION("""COMPUTED_VALUE"""),"ORGANIC")</f>
        <v>ORGANIC</v>
      </c>
      <c r="D2914" s="1" t="str">
        <f>IFERROR(__xludf.DUMMYFUNCTION("""COMPUTED_VALUE"""),"REMOLLO LEA")</f>
        <v>REMOLLO LEA</v>
      </c>
      <c r="E2914" s="1" t="str">
        <f>IFERROR(__xludf.DUMMYFUNCTION("""COMPUTED_VALUE"""),"PLDT / H2H")</f>
        <v>PLDT / H2H</v>
      </c>
      <c r="F2914" s="1">
        <f>IFERROR(__xludf.DUMMYFUNCTION("""COMPUTED_VALUE"""),2312164735)</f>
        <v>2312164735</v>
      </c>
      <c r="G2914" s="1">
        <f>IFERROR(__xludf.DUMMYFUNCTION("""COMPUTED_VALUE"""),468272845004)</f>
        <v>468272845004</v>
      </c>
      <c r="H2914" s="1" t="str">
        <f>IFERROR(__xludf.DUMMYFUNCTION("""COMPUTED_VALUE"""),"RINA ACLAO TOBIAS")</f>
        <v>RINA ACLAO TOBIAS</v>
      </c>
      <c r="I2914" s="1">
        <f>IFERROR(__xludf.DUMMYFUNCTION("""COMPUTED_VALUE"""),639660145151)</f>
        <v>639660145151</v>
      </c>
      <c r="J2914" s="1"/>
      <c r="K2914" s="1" t="str">
        <f>IFERROR(__xludf.DUMMYFUNCTION("""COMPUTED_VALUE"""),"rina14tobias@gmail.com")</f>
        <v>rina14tobias@gmail.com</v>
      </c>
      <c r="L2914" s="1" t="str">
        <f>IFERROR(__xludf.DUMMYFUNCTION("""COMPUTED_VALUE"""),"028-BL-005")</f>
        <v>028-BL-005</v>
      </c>
      <c r="M2914" s="1" t="str">
        <f>IFERROR(__xludf.DUMMYFUNCTION("""COMPUTED_VALUE"""),"ZONE 11")</f>
        <v>ZONE 11</v>
      </c>
      <c r="N2914" s="1" t="str">
        <f>IFERROR(__xludf.DUMMYFUNCTION("""COMPUTED_VALUE"""),"#N/A")</f>
        <v>#N/A</v>
      </c>
      <c r="O2914" s="1" t="str">
        <f>IFERROR(__xludf.DUMMYFUNCTION("""COMPUTED_VALUE"""),"BULIHAN")</f>
        <v>BULIHAN</v>
      </c>
      <c r="P2914" s="1" t="str">
        <f>IFERROR(__xludf.DUMMYFUNCTION("""COMPUTED_VALUE"""),"SILANG")</f>
        <v>SILANG</v>
      </c>
      <c r="Q2914" s="1" t="str">
        <f>IFERROR(__xludf.DUMMYFUNCTION("""COMPUTED_VALUE"""),"CAVITE")</f>
        <v>CAVITE</v>
      </c>
      <c r="R2914" s="1" t="str">
        <f>IFERROR(__xludf.DUMMYFUNCTION("""COMPUTED_VALUE"""),"FIBR UNLI ALL PLAN 999")</f>
        <v>FIBR UNLI ALL PLAN 999</v>
      </c>
      <c r="S2914" s="1" t="str">
        <f>IFERROR(__xludf.DUMMYFUNCTION("""COMPUTED_VALUE"""),"APPROVED")</f>
        <v>APPROVED</v>
      </c>
      <c r="T2914" s="1" t="str">
        <f>IFERROR(__xludf.DUMMYFUNCTION("""COMPUTED_VALUE"""),"CLOSED")</f>
        <v>CLOSED</v>
      </c>
      <c r="U2914" s="1" t="str">
        <f>IFERROR(__xludf.DUMMYFUNCTION("""COMPUTED_VALUE"""),"POSTED")</f>
        <v>POSTED</v>
      </c>
      <c r="V2914" s="1"/>
      <c r="W2914" s="1"/>
    </row>
    <row r="2915" customHeight="1" spans="1:23">
      <c r="A2915" s="3">
        <f>IFERROR(__xludf.DUMMYFUNCTION("""COMPUTED_VALUE"""),46262)</f>
        <v>46262</v>
      </c>
      <c r="B2915" s="1" t="str">
        <f>IFERROR(__xludf.DUMMYFUNCTION("""COMPUTED_VALUE"""),"FRANCISCO , ROSELYN")</f>
        <v>FRANCISCO , ROSELYN</v>
      </c>
      <c r="C2915" s="1" t="str">
        <f>IFERROR(__xludf.DUMMYFUNCTION("""COMPUTED_VALUE"""),"ORGANIC")</f>
        <v>ORGANIC</v>
      </c>
      <c r="D2915" s="1" t="str">
        <f>IFERROR(__xludf.DUMMYFUNCTION("""COMPUTED_VALUE"""),"REMOLLO LEA")</f>
        <v>REMOLLO LEA</v>
      </c>
      <c r="E2915" s="1" t="str">
        <f>IFERROR(__xludf.DUMMYFUNCTION("""COMPUTED_VALUE"""),"RED FIBER")</f>
        <v>RED FIBER</v>
      </c>
      <c r="F2915" s="1"/>
      <c r="G2915" s="1"/>
      <c r="H2915" s="1" t="str">
        <f>IFERROR(__xludf.DUMMYFUNCTION("""COMPUTED_VALUE"""),"RONALD MATHEW GARCIA MIRALLES")</f>
        <v>RONALD MATHEW GARCIA MIRALLES</v>
      </c>
      <c r="I2915" s="1">
        <f>IFERROR(__xludf.DUMMYFUNCTION("""COMPUTED_VALUE"""),9476236320)</f>
        <v>9476236320</v>
      </c>
      <c r="J2915" s="1">
        <f>IFERROR(__xludf.DUMMYFUNCTION("""COMPUTED_VALUE"""),9162085133)</f>
        <v>9162085133</v>
      </c>
      <c r="K2915" s="1" t="str">
        <f>IFERROR(__xludf.DUMMYFUNCTION("""COMPUTED_VALUE"""),"mattmirales16@gmail.com")</f>
        <v>mattmirales16@gmail.com</v>
      </c>
      <c r="L2915" s="1" t="str">
        <f>IFERROR(__xludf.DUMMYFUNCTION("""COMPUTED_VALUE"""),"31")</f>
        <v>31</v>
      </c>
      <c r="M2915" s="1" t="str">
        <f>IFERROR(__xludf.DUMMYFUNCTION("""COMPUTED_VALUE"""),"CM DELOS REYES")</f>
        <v>CM DELOS REYES</v>
      </c>
      <c r="N2915" s="1" t="str">
        <f>IFERROR(__xludf.DUMMYFUNCTION("""COMPUTED_VALUE"""),"#N/A")</f>
        <v>#N/A</v>
      </c>
      <c r="O2915" s="1" t="str">
        <f>IFERROR(__xludf.DUMMYFUNCTION("""COMPUTED_VALUE"""),"BARANGAY 6 (POB.)")</f>
        <v>BARANGAY 6 (POB.)</v>
      </c>
      <c r="P2915" s="1" t="str">
        <f>IFERROR(__xludf.DUMMYFUNCTION("""COMPUTED_VALUE"""),"AMADEO")</f>
        <v>AMADEO</v>
      </c>
      <c r="Q2915" s="1" t="str">
        <f>IFERROR(__xludf.DUMMYFUNCTION("""COMPUTED_VALUE"""),"CAVITE")</f>
        <v>CAVITE</v>
      </c>
      <c r="R2915" s="1" t="str">
        <f>IFERROR(__xludf.DUMMYFUNCTION("""COMPUTED_VALUE"""),"RED PLAN 1400")</f>
        <v>RED PLAN 1400</v>
      </c>
      <c r="S2915" s="1" t="str">
        <f>IFERROR(__xludf.DUMMYFUNCTION("""COMPUTED_VALUE"""),"APPROVED")</f>
        <v>APPROVED</v>
      </c>
      <c r="T2915" s="1" t="str">
        <f>IFERROR(__xludf.DUMMYFUNCTION("""COMPUTED_VALUE"""),"PAID")</f>
        <v>PAID</v>
      </c>
      <c r="U2915" s="1" t="str">
        <f>IFERROR(__xludf.DUMMYFUNCTION("""COMPUTED_VALUE"""),"PAID VIA GCASH")</f>
        <v>PAID VIA GCASH</v>
      </c>
      <c r="V2915" s="1"/>
      <c r="W2915" s="1"/>
    </row>
    <row r="2916" customHeight="1" spans="1:23">
      <c r="A2916" s="3">
        <f>IFERROR(__xludf.DUMMYFUNCTION("""COMPUTED_VALUE"""),46262)</f>
        <v>46262</v>
      </c>
      <c r="B2916" s="1" t="str">
        <f>IFERROR(__xludf.DUMMYFUNCTION("""COMPUTED_VALUE"""),"ESCARCHA, MA ALMA  ESCOTO")</f>
        <v>ESCARCHA, MA ALMA  ESCOTO</v>
      </c>
      <c r="C2916" s="1" t="str">
        <f>IFERROR(__xludf.DUMMYFUNCTION("""COMPUTED_VALUE"""),"ORGANIC")</f>
        <v>ORGANIC</v>
      </c>
      <c r="D2916" s="1" t="str">
        <f>IFERROR(__xludf.DUMMYFUNCTION("""COMPUTED_VALUE"""),"REMOLLO LEA")</f>
        <v>REMOLLO LEA</v>
      </c>
      <c r="E2916" s="1" t="str">
        <f>IFERROR(__xludf.DUMMYFUNCTION("""COMPUTED_VALUE"""),"PLDT / H2H")</f>
        <v>PLDT / H2H</v>
      </c>
      <c r="F2916" s="1">
        <f>IFERROR(__xludf.DUMMYFUNCTION("""COMPUTED_VALUE"""),2312165367)</f>
        <v>2312165367</v>
      </c>
      <c r="G2916" s="1">
        <f>IFERROR(__xludf.DUMMYFUNCTION("""COMPUTED_VALUE"""),468272037004)</f>
        <v>468272037004</v>
      </c>
      <c r="H2916" s="1" t="str">
        <f>IFERROR(__xludf.DUMMYFUNCTION("""COMPUTED_VALUE"""),"ANDREA ANDALES SELENCIO")</f>
        <v>ANDREA ANDALES SELENCIO</v>
      </c>
      <c r="I2916" s="1">
        <f>IFERROR(__xludf.DUMMYFUNCTION("""COMPUTED_VALUE"""),639241889282)</f>
        <v>639241889282</v>
      </c>
      <c r="J2916" s="1"/>
      <c r="K2916" s="1" t="str">
        <f>IFERROR(__xludf.DUMMYFUNCTION("""COMPUTED_VALUE"""),"sonycaringgan@gmail.com")</f>
        <v>sonycaringgan@gmail.com</v>
      </c>
      <c r="L2916" s="1" t="str">
        <f>IFERROR(__xludf.DUMMYFUNCTION("""COMPUTED_VALUE"""),"79")</f>
        <v>79</v>
      </c>
      <c r="M2916" s="1" t="str">
        <f>IFERROR(__xludf.DUMMYFUNCTION("""COMPUTED_VALUE"""),"PUROK 211")</f>
        <v>PUROK 211</v>
      </c>
      <c r="N2916" s="1" t="str">
        <f>IFERROR(__xludf.DUMMYFUNCTION("""COMPUTED_VALUE"""),"#N/A")</f>
        <v>#N/A</v>
      </c>
      <c r="O2916" s="1" t="str">
        <f>IFERROR(__xludf.DUMMYFUNCTION("""COMPUTED_VALUE"""),"ZAMBAL")</f>
        <v>ZAMBAL</v>
      </c>
      <c r="P2916" s="1" t="str">
        <f>IFERROR(__xludf.DUMMYFUNCTION("""COMPUTED_VALUE"""),"TAGAYTAY")</f>
        <v>TAGAYTAY</v>
      </c>
      <c r="Q2916" s="1" t="str">
        <f>IFERROR(__xludf.DUMMYFUNCTION("""COMPUTED_VALUE"""),"CAVITE")</f>
        <v>CAVITE</v>
      </c>
      <c r="R2916" s="1" t="str">
        <f>IFERROR(__xludf.DUMMYFUNCTION("""COMPUTED_VALUE"""),"FIBR PLAN 1299")</f>
        <v>FIBR PLAN 1299</v>
      </c>
      <c r="S2916" s="1" t="str">
        <f>IFERROR(__xludf.DUMMYFUNCTION("""COMPUTED_VALUE"""),"APPROVED")</f>
        <v>APPROVED</v>
      </c>
      <c r="T2916" s="1" t="str">
        <f>IFERROR(__xludf.DUMMYFUNCTION("""COMPUTED_VALUE"""),"CANCELLED")</f>
        <v>CANCELLED</v>
      </c>
      <c r="U2916" s="1"/>
      <c r="V2916" s="1"/>
      <c r="W2916" s="1"/>
    </row>
    <row r="2917" customHeight="1" spans="1:23">
      <c r="A2917" s="3">
        <f>IFERROR(__xludf.DUMMYFUNCTION("""COMPUTED_VALUE"""),46262)</f>
        <v>46262</v>
      </c>
      <c r="B2917" s="1" t="str">
        <f>IFERROR(__xludf.DUMMYFUNCTION("""COMPUTED_VALUE"""),"AYON MANUEL")</f>
        <v>AYON MANUEL</v>
      </c>
      <c r="C2917" s="1" t="str">
        <f>IFERROR(__xludf.DUMMYFUNCTION("""COMPUTED_VALUE"""),"FLA")</f>
        <v>FLA</v>
      </c>
      <c r="D2917" s="1" t="str">
        <f>IFERROR(__xludf.DUMMYFUNCTION("""COMPUTED_VALUE"""),"JERIC NAVARRO")</f>
        <v>JERIC NAVARRO</v>
      </c>
      <c r="E2917" s="1" t="str">
        <f>IFERROR(__xludf.DUMMYFUNCTION("""COMPUTED_VALUE"""),"PLDT / H2H")</f>
        <v>PLDT / H2H</v>
      </c>
      <c r="F2917" s="1">
        <f>IFERROR(__xludf.DUMMYFUNCTION("""COMPUTED_VALUE"""),2312166305)</f>
        <v>2312166305</v>
      </c>
      <c r="G2917" s="1">
        <f>IFERROR(__xludf.DUMMYFUNCTION("""COMPUTED_VALUE"""),468287473004)</f>
        <v>468287473004</v>
      </c>
      <c r="H2917" s="1" t="str">
        <f>IFERROR(__xludf.DUMMYFUNCTION("""COMPUTED_VALUE"""),"FAITH . LOPEZ")</f>
        <v>FAITH . LOPEZ</v>
      </c>
      <c r="I2917" s="1">
        <f>IFERROR(__xludf.DUMMYFUNCTION("""COMPUTED_VALUE"""),639059172091)</f>
        <v>639059172091</v>
      </c>
      <c r="J2917" s="1">
        <f>IFERROR(__xludf.DUMMYFUNCTION("""COMPUTED_VALUE"""),639481535512)</f>
        <v>639481535512</v>
      </c>
      <c r="K2917" s="1" t="str">
        <f>IFERROR(__xludf.DUMMYFUNCTION("""COMPUTED_VALUE"""),"fibeaux95@gmail.com")</f>
        <v>fibeaux95@gmail.com</v>
      </c>
      <c r="L2917" s="1" t="str">
        <f>IFERROR(__xludf.DUMMYFUNCTION("""COMPUTED_VALUE"""),"9043")</f>
        <v>9043</v>
      </c>
      <c r="M2917" s="1" t="str">
        <f>IFERROR(__xludf.DUMMYFUNCTION("""COMPUTED_VALUE"""),"LLAMADO")</f>
        <v>LLAMADO</v>
      </c>
      <c r="N2917" s="1" t="str">
        <f>IFERROR(__xludf.DUMMYFUNCTION("""COMPUTED_VALUE"""),"#N/A")</f>
        <v>#N/A</v>
      </c>
      <c r="O2917" s="1" t="str">
        <f>IFERROR(__xludf.DUMMYFUNCTION("""COMPUTED_VALUE"""),"ASIS III")</f>
        <v>ASIS III</v>
      </c>
      <c r="P2917" s="1" t="str">
        <f>IFERROR(__xludf.DUMMYFUNCTION("""COMPUTED_VALUE"""),"MENDEZ")</f>
        <v>MENDEZ</v>
      </c>
      <c r="Q2917" s="1" t="str">
        <f>IFERROR(__xludf.DUMMYFUNCTION("""COMPUTED_VALUE"""),"CAVITE")</f>
        <v>CAVITE</v>
      </c>
      <c r="R2917" s="1" t="str">
        <f>IFERROR(__xludf.DUMMYFUNCTION("""COMPUTED_VALUE"""),"FIBR UNLI ALL PLAN 1499")</f>
        <v>FIBR UNLI ALL PLAN 1499</v>
      </c>
      <c r="S2917" s="1" t="str">
        <f>IFERROR(__xludf.DUMMYFUNCTION("""COMPUTED_VALUE"""),"APPROVED")</f>
        <v>APPROVED</v>
      </c>
      <c r="T2917" s="1" t="str">
        <f>IFERROR(__xludf.DUMMYFUNCTION("""COMPUTED_VALUE"""),"CANCELLED")</f>
        <v>CANCELLED</v>
      </c>
      <c r="U2917" s="1"/>
      <c r="V2917" s="1"/>
      <c r="W2917" s="1"/>
    </row>
    <row r="2918" customHeight="1" spans="1:23">
      <c r="A2918" s="3">
        <f>IFERROR(__xludf.DUMMYFUNCTION("""COMPUTED_VALUE"""),46262)</f>
        <v>46262</v>
      </c>
      <c r="B2918" s="1" t="str">
        <f>IFERROR(__xludf.DUMMYFUNCTION("""COMPUTED_VALUE"""),"CADERAO, RONALD")</f>
        <v>CADERAO, RONALD</v>
      </c>
      <c r="C2918" s="1" t="str">
        <f>IFERROR(__xludf.DUMMYFUNCTION("""COMPUTED_VALUE"""),"ORGANIC")</f>
        <v>ORGANIC</v>
      </c>
      <c r="D2918" s="1" t="str">
        <f>IFERROR(__xludf.DUMMYFUNCTION("""COMPUTED_VALUE"""),"REMOLLO LEA")</f>
        <v>REMOLLO LEA</v>
      </c>
      <c r="E2918" s="1" t="str">
        <f>IFERROR(__xludf.DUMMYFUNCTION("""COMPUTED_VALUE"""),"PLDT / H2H")</f>
        <v>PLDT / H2H</v>
      </c>
      <c r="F2918" s="1">
        <f>IFERROR(__xludf.DUMMYFUNCTION("""COMPUTED_VALUE"""),2312166767)</f>
        <v>2312166767</v>
      </c>
      <c r="G2918" s="1"/>
      <c r="H2918" s="1" t="str">
        <f>IFERROR(__xludf.DUMMYFUNCTION("""COMPUTED_VALUE"""),"MIKE CHAVENTE MORALES")</f>
        <v>MIKE CHAVENTE MORALES</v>
      </c>
      <c r="I2918" s="1">
        <f>IFERROR(__xludf.DUMMYFUNCTION("""COMPUTED_VALUE"""),639218526885)</f>
        <v>639218526885</v>
      </c>
      <c r="J2918" s="1"/>
      <c r="K2918" s="1" t="str">
        <f>IFERROR(__xludf.DUMMYFUNCTION("""COMPUTED_VALUE"""),"moralesmikee02@gmail.com")</f>
        <v>moralesmikee02@gmail.com</v>
      </c>
      <c r="L2918" s="1" t="str">
        <f>IFERROR(__xludf.DUMMYFUNCTION("""COMPUTED_VALUE"""),"350B / 001-BL-EXC")</f>
        <v>350B / 001-BL-EXC</v>
      </c>
      <c r="M2918" s="1" t="str">
        <f>IFERROR(__xludf.DUMMYFUNCTION("""COMPUTED_VALUE"""),"ATAR ")</f>
        <v>ATAR </v>
      </c>
      <c r="N2918" s="1" t="str">
        <f>IFERROR(__xludf.DUMMYFUNCTION("""COMPUTED_VALUE"""),"#N/A")</f>
        <v>#N/A</v>
      </c>
      <c r="O2918" s="1" t="str">
        <f>IFERROR(__xludf.DUMMYFUNCTION("""COMPUTED_VALUE"""),"KAPITAN KUA (AREA F)")</f>
        <v>KAPITAN KUA (AREA F)</v>
      </c>
      <c r="P2918" s="1" t="str">
        <f>IFERROR(__xludf.DUMMYFUNCTION("""COMPUTED_VALUE"""),"GEN MARIANO ALVAREZ")</f>
        <v>GEN MARIANO ALVAREZ</v>
      </c>
      <c r="Q2918" s="1" t="str">
        <f>IFERROR(__xludf.DUMMYFUNCTION("""COMPUTED_VALUE"""),"CAVITE")</f>
        <v>CAVITE</v>
      </c>
      <c r="R2918" s="1" t="str">
        <f>IFERROR(__xludf.DUMMYFUNCTION("""COMPUTED_VALUE"""),"FIBR PLAN 1299")</f>
        <v>FIBR PLAN 1299</v>
      </c>
      <c r="S2918" s="1" t="str">
        <f>IFERROR(__xludf.DUMMYFUNCTION("""COMPUTED_VALUE"""),"APPROVED")</f>
        <v>APPROVED</v>
      </c>
      <c r="T2918" s="1" t="str">
        <f>IFERROR(__xludf.DUMMYFUNCTION("""COMPUTED_VALUE"""),"CANCELLED")</f>
        <v>CANCELLED</v>
      </c>
      <c r="U2918" s="1"/>
      <c r="V2918" s="1"/>
      <c r="W2918" s="1"/>
    </row>
    <row r="2919" customHeight="1" spans="1:23">
      <c r="A2919" s="3">
        <f>IFERROR(__xludf.DUMMYFUNCTION("""COMPUTED_VALUE"""),46263)</f>
        <v>46263</v>
      </c>
      <c r="B2919" s="1" t="str">
        <f>IFERROR(__xludf.DUMMYFUNCTION("""COMPUTED_VALUE"""),"GABAY, MANUEL")</f>
        <v>GABAY, MANUEL</v>
      </c>
      <c r="C2919" s="1" t="str">
        <f>IFERROR(__xludf.DUMMYFUNCTION("""COMPUTED_VALUE"""),"FLA")</f>
        <v>FLA</v>
      </c>
      <c r="D2919" s="1" t="str">
        <f>IFERROR(__xludf.DUMMYFUNCTION("""COMPUTED_VALUE"""),"JERIC NAVARRO")</f>
        <v>JERIC NAVARRO</v>
      </c>
      <c r="E2919" s="1" t="str">
        <f>IFERROR(__xludf.DUMMYFUNCTION("""COMPUTED_VALUE"""),"PLDT / ONLINE")</f>
        <v>PLDT / ONLINE</v>
      </c>
      <c r="F2919" s="1">
        <f>IFERROR(__xludf.DUMMYFUNCTION("""COMPUTED_VALUE"""),2312181725)</f>
        <v>2312181725</v>
      </c>
      <c r="G2919" s="1">
        <f>IFERROR(__xludf.DUMMYFUNCTION("""COMPUTED_VALUE"""),468403819004)</f>
        <v>468403819004</v>
      </c>
      <c r="H2919" s="1" t="str">
        <f>IFERROR(__xludf.DUMMYFUNCTION("""COMPUTED_VALUE"""),"SHEILA MANATAD FERNANDICO")</f>
        <v>SHEILA MANATAD FERNANDICO</v>
      </c>
      <c r="I2919" s="1">
        <f>IFERROR(__xludf.DUMMYFUNCTION("""COMPUTED_VALUE"""),967779650)</f>
        <v>967779650</v>
      </c>
      <c r="J2919" s="1">
        <f>IFERROR(__xludf.DUMMYFUNCTION("""COMPUTED_VALUE"""),9923950955)</f>
        <v>9923950955</v>
      </c>
      <c r="K2919" s="1" t="str">
        <f>IFERROR(__xludf.DUMMYFUNCTION("""COMPUTED_VALUE"""),"shielaaprilhannah1428@gmail.com")</f>
        <v>shielaaprilhannah1428@gmail.com</v>
      </c>
      <c r="L2919" s="1" t="str">
        <f>IFERROR(__xludf.DUMMYFUNCTION("""COMPUTED_VALUE"""),"BLK 29 LOT 36")</f>
        <v>BLK 29 LOT 36</v>
      </c>
      <c r="M2919" s="1" t="str">
        <f>IFERROR(__xludf.DUMMYFUNCTION("""COMPUTED_VALUE"""),"PARIS")</f>
        <v>PARIS</v>
      </c>
      <c r="N2919" s="1" t="str">
        <f>IFERROR(__xludf.DUMMYFUNCTION("""COMPUTED_VALUE"""),"SAN MARINO")</f>
        <v>SAN MARINO</v>
      </c>
      <c r="O2919" s="1" t="str">
        <f>IFERROR(__xludf.DUMMYFUNCTION("""COMPUTED_VALUE"""),"SALAWAG")</f>
        <v>SALAWAG</v>
      </c>
      <c r="P2919" s="1" t="str">
        <f>IFERROR(__xludf.DUMMYFUNCTION("""COMPUTED_VALUE"""),"DASMARINAS")</f>
        <v>DASMARINAS</v>
      </c>
      <c r="Q2919" s="1" t="str">
        <f>IFERROR(__xludf.DUMMYFUNCTION("""COMPUTED_VALUE"""),"CAVITE")</f>
        <v>CAVITE</v>
      </c>
      <c r="R2919" s="1" t="str">
        <f>IFERROR(__xludf.DUMMYFUNCTION("""COMPUTED_VALUE"""),"FIBR UNLI ALL PLAN 1499")</f>
        <v>FIBR UNLI ALL PLAN 1499</v>
      </c>
      <c r="S2919" s="1" t="str">
        <f>IFERROR(__xludf.DUMMYFUNCTION("""COMPUTED_VALUE"""),"APPROVED")</f>
        <v>APPROVED</v>
      </c>
      <c r="T2919" s="1" t="str">
        <f>IFERROR(__xludf.DUMMYFUNCTION("""COMPUTED_VALUE"""),"CLOSED")</f>
        <v>CLOSED</v>
      </c>
      <c r="U2919" s="1"/>
      <c r="V2919" s="1"/>
      <c r="W2919" s="1"/>
    </row>
    <row r="2920" customHeight="1" spans="1:23">
      <c r="A2920" s="3">
        <f>IFERROR(__xludf.DUMMYFUNCTION("""COMPUTED_VALUE"""),46263)</f>
        <v>46263</v>
      </c>
      <c r="B2920" s="1" t="str">
        <f>IFERROR(__xludf.DUMMYFUNCTION("""COMPUTED_VALUE"""),"BAQUIT ,JAZMIN")</f>
        <v>BAQUIT ,JAZMIN</v>
      </c>
      <c r="C2920" s="1" t="str">
        <f>IFERROR(__xludf.DUMMYFUNCTION("""COMPUTED_VALUE"""),"ORGANIC")</f>
        <v>ORGANIC</v>
      </c>
      <c r="D2920" s="1" t="str">
        <f>IFERROR(__xludf.DUMMYFUNCTION("""COMPUTED_VALUE"""),"REMOLLO LEA")</f>
        <v>REMOLLO LEA</v>
      </c>
      <c r="E2920" s="1" t="str">
        <f>IFERROR(__xludf.DUMMYFUNCTION("""COMPUTED_VALUE"""),"PLDT / ONLINE")</f>
        <v>PLDT / ONLINE</v>
      </c>
      <c r="F2920" s="1">
        <f>IFERROR(__xludf.DUMMYFUNCTION("""COMPUTED_VALUE"""),2312182143)</f>
        <v>2312182143</v>
      </c>
      <c r="G2920" s="1"/>
      <c r="H2920" s="1" t="str">
        <f>IFERROR(__xludf.DUMMYFUNCTION("""COMPUTED_VALUE"""),"AIRA SHAINNE GUARDAJARA MACABEBE")</f>
        <v>AIRA SHAINNE GUARDAJARA MACABEBE</v>
      </c>
      <c r="I2920" s="1">
        <f>IFERROR(__xludf.DUMMYFUNCTION("""COMPUTED_VALUE"""),9674390564)</f>
        <v>9674390564</v>
      </c>
      <c r="J2920" s="1">
        <f>IFERROR(__xludf.DUMMYFUNCTION("""COMPUTED_VALUE"""),9932301176)</f>
        <v>9932301176</v>
      </c>
      <c r="K2920" s="1" t="str">
        <f>IFERROR(__xludf.DUMMYFUNCTION("""COMPUTED_VALUE"""),"airashaineguardajara@gmail.com")</f>
        <v>airashaineguardajara@gmail.com</v>
      </c>
      <c r="L2920" s="1" t="str">
        <f>IFERROR(__xludf.DUMMYFUNCTION("""COMPUTED_VALUE"""),"BLK 20 LOT 6")</f>
        <v>BLK 20 LOT 6</v>
      </c>
      <c r="M2920" s="1" t="str">
        <f>IFERROR(__xludf.DUMMYFUNCTION("""COMPUTED_VALUE"""),"VERA CRUZ")</f>
        <v>VERA CRUZ</v>
      </c>
      <c r="N2920" s="1" t="str">
        <f>IFERROR(__xludf.DUMMYFUNCTION("""COMPUTED_VALUE"""),"#N/A")</f>
        <v>#N/A</v>
      </c>
      <c r="O2920" s="1" t="str">
        <f>IFERROR(__xludf.DUMMYFUNCTION("""COMPUTED_VALUE"""),"RAMON CRUZ (AREA J)")</f>
        <v>RAMON CRUZ (AREA J)</v>
      </c>
      <c r="P2920" s="1" t="str">
        <f>IFERROR(__xludf.DUMMYFUNCTION("""COMPUTED_VALUE"""),"GEN MARIANO ALVAREZ")</f>
        <v>GEN MARIANO ALVAREZ</v>
      </c>
      <c r="Q2920" s="1" t="str">
        <f>IFERROR(__xludf.DUMMYFUNCTION("""COMPUTED_VALUE"""),"CAVITE")</f>
        <v>CAVITE</v>
      </c>
      <c r="R2920" s="1" t="str">
        <f>IFERROR(__xludf.DUMMYFUNCTION("""COMPUTED_VALUE"""),"FIBR UNLI ALL PLAN 999")</f>
        <v>FIBR UNLI ALL PLAN 999</v>
      </c>
      <c r="S2920" s="1" t="str">
        <f>IFERROR(__xludf.DUMMYFUNCTION("""COMPUTED_VALUE"""),"APPROVED")</f>
        <v>APPROVED</v>
      </c>
      <c r="T2920" s="1" t="str">
        <f>IFERROR(__xludf.DUMMYFUNCTION("""COMPUTED_VALUE"""),"CANCELLED")</f>
        <v>CANCELLED</v>
      </c>
      <c r="U2920" s="1"/>
      <c r="V2920" s="1"/>
      <c r="W2920" s="1"/>
    </row>
    <row r="2921" customHeight="1" spans="1:23">
      <c r="A2921" s="3">
        <f>IFERROR(__xludf.DUMMYFUNCTION("""COMPUTED_VALUE"""),46263)</f>
        <v>46263</v>
      </c>
      <c r="B2921" s="1" t="str">
        <f>IFERROR(__xludf.DUMMYFUNCTION("""COMPUTED_VALUE"""),"REMOLLO, LEA")</f>
        <v>REMOLLO, LEA</v>
      </c>
      <c r="C2921" s="1" t="str">
        <f>IFERROR(__xludf.DUMMYFUNCTION("""COMPUTED_VALUE"""),"FLA")</f>
        <v>FLA</v>
      </c>
      <c r="D2921" s="1" t="str">
        <f>IFERROR(__xludf.DUMMYFUNCTION("""COMPUTED_VALUE"""),"JERIC NAVARRO")</f>
        <v>JERIC NAVARRO</v>
      </c>
      <c r="E2921" s="1" t="str">
        <f>IFERROR(__xludf.DUMMYFUNCTION("""COMPUTED_VALUE"""),"PLDT / ONLINE")</f>
        <v>PLDT / ONLINE</v>
      </c>
      <c r="F2921" s="1">
        <f>IFERROR(__xludf.DUMMYFUNCTION("""COMPUTED_VALUE"""),2312193130)</f>
        <v>2312193130</v>
      </c>
      <c r="G2921" s="1">
        <f>IFERROR(__xludf.DUMMYFUNCTION("""COMPUTED_VALUE"""),468423626004)</f>
        <v>468423626004</v>
      </c>
      <c r="H2921" s="1" t="str">
        <f>IFERROR(__xludf.DUMMYFUNCTION("""COMPUTED_VALUE"""),"SARINA BANTOG BUNCAR")</f>
        <v>SARINA BANTOG BUNCAR</v>
      </c>
      <c r="I2921" s="1">
        <f>IFERROR(__xludf.DUMMYFUNCTION("""COMPUTED_VALUE"""),9676153903)</f>
        <v>9676153903</v>
      </c>
      <c r="J2921" s="1"/>
      <c r="K2921" s="1" t="str">
        <f>IFERROR(__xludf.DUMMYFUNCTION("""COMPUTED_VALUE"""),"sakinabongcar@gmail.com")</f>
        <v>sakinabongcar@gmail.com</v>
      </c>
      <c r="L2921" s="1" t="str">
        <f>IFERROR(__xludf.DUMMYFUNCTION("""COMPUTED_VALUE"""),"BLK 119 LOT 11")</f>
        <v>BLK 119 LOT 11</v>
      </c>
      <c r="M2921" s="1" t="str">
        <f>IFERROR(__xludf.DUMMYFUNCTION("""COMPUTED_VALUE"""),"ZONE 7")</f>
        <v>ZONE 7</v>
      </c>
      <c r="N2921" s="1" t="str">
        <f>IFERROR(__xludf.DUMMYFUNCTION("""COMPUTED_VALUE"""),"#N/A")</f>
        <v>#N/A</v>
      </c>
      <c r="O2921" s="1" t="str">
        <f>IFERROR(__xludf.DUMMYFUNCTION("""COMPUTED_VALUE"""),"BULIHAN")</f>
        <v>BULIHAN</v>
      </c>
      <c r="P2921" s="1" t="str">
        <f>IFERROR(__xludf.DUMMYFUNCTION("""COMPUTED_VALUE"""),"SILANG")</f>
        <v>SILANG</v>
      </c>
      <c r="Q2921" s="1" t="str">
        <f>IFERROR(__xludf.DUMMYFUNCTION("""COMPUTED_VALUE"""),"CAVITE")</f>
        <v>CAVITE</v>
      </c>
      <c r="R2921" s="1" t="str">
        <f>IFERROR(__xludf.DUMMYFUNCTION("""COMPUTED_VALUE"""),"FIBR PLAN 1299")</f>
        <v>FIBR PLAN 1299</v>
      </c>
      <c r="S2921" s="1" t="str">
        <f>IFERROR(__xludf.DUMMYFUNCTION("""COMPUTED_VALUE"""),"APPROVED")</f>
        <v>APPROVED</v>
      </c>
      <c r="T2921" s="1" t="str">
        <f>IFERROR(__xludf.DUMMYFUNCTION("""COMPUTED_VALUE"""),"CLOSED")</f>
        <v>CLOSED</v>
      </c>
      <c r="U2921" s="1"/>
      <c r="V2921" s="1"/>
      <c r="W2921" s="1"/>
    </row>
    <row r="2922" customHeight="1" spans="1:23">
      <c r="A2922" s="3">
        <f>IFERROR(__xludf.DUMMYFUNCTION("""COMPUTED_VALUE"""),46263)</f>
        <v>46263</v>
      </c>
      <c r="B2922" s="1" t="str">
        <f>IFERROR(__xludf.DUMMYFUNCTION("""COMPUTED_VALUE"""),"REMOLLO, LEA")</f>
        <v>REMOLLO, LEA</v>
      </c>
      <c r="C2922" s="1" t="str">
        <f>IFERROR(__xludf.DUMMYFUNCTION("""COMPUTED_VALUE"""),"FLA")</f>
        <v>FLA</v>
      </c>
      <c r="D2922" s="1" t="str">
        <f>IFERROR(__xludf.DUMMYFUNCTION("""COMPUTED_VALUE"""),"JERIC NAVARRO")</f>
        <v>JERIC NAVARRO</v>
      </c>
      <c r="E2922" s="1" t="str">
        <f>IFERROR(__xludf.DUMMYFUNCTION("""COMPUTED_VALUE"""),"PLDT / ONLINE")</f>
        <v>PLDT / ONLINE</v>
      </c>
      <c r="F2922" s="1">
        <f>IFERROR(__xludf.DUMMYFUNCTION("""COMPUTED_VALUE"""),2312190229)</f>
        <v>2312190229</v>
      </c>
      <c r="G2922" s="1">
        <f>IFERROR(__xludf.DUMMYFUNCTION("""COMPUTED_VALUE"""),468420516004)</f>
        <v>468420516004</v>
      </c>
      <c r="H2922" s="1" t="str">
        <f>IFERROR(__xludf.DUMMYFUNCTION("""COMPUTED_VALUE"""),"SUSIE GERREO TUONAN")</f>
        <v>SUSIE GERREO TUONAN</v>
      </c>
      <c r="I2922" s="1">
        <f>IFERROR(__xludf.DUMMYFUNCTION("""COMPUTED_VALUE"""),9127124842)</f>
        <v>9127124842</v>
      </c>
      <c r="J2922" s="1"/>
      <c r="K2922" s="1" t="str">
        <f>IFERROR(__xludf.DUMMYFUNCTION("""COMPUTED_VALUE"""),"gsagisabad@gmail.com")</f>
        <v>gsagisabad@gmail.com</v>
      </c>
      <c r="L2922" s="1" t="str">
        <f>IFERROR(__xludf.DUMMYFUNCTION("""COMPUTED_VALUE"""),"BLK 26 LOT 11")</f>
        <v>BLK 26 LOT 11</v>
      </c>
      <c r="M2922" s="1" t="str">
        <f>IFERROR(__xludf.DUMMYFUNCTION("""COMPUTED_VALUE"""),"PHASE 6")</f>
        <v>PHASE 6</v>
      </c>
      <c r="N2922" s="1" t="str">
        <f>IFERROR(__xludf.DUMMYFUNCTION("""COMPUTED_VALUE"""),"#N/A")</f>
        <v>#N/A</v>
      </c>
      <c r="O2922" s="1" t="str">
        <f>IFERROR(__xludf.DUMMYFUNCTION("""COMPUTED_VALUE"""),"BANABA")</f>
        <v>BANABA</v>
      </c>
      <c r="P2922" s="1" t="str">
        <f>IFERROR(__xludf.DUMMYFUNCTION("""COMPUTED_VALUE"""),"SILANG")</f>
        <v>SILANG</v>
      </c>
      <c r="Q2922" s="1" t="str">
        <f>IFERROR(__xludf.DUMMYFUNCTION("""COMPUTED_VALUE"""),"CAVITE")</f>
        <v>CAVITE</v>
      </c>
      <c r="R2922" s="1" t="str">
        <f>IFERROR(__xludf.DUMMYFUNCTION("""COMPUTED_VALUE"""),"FIBR PLAN 1299")</f>
        <v>FIBR PLAN 1299</v>
      </c>
      <c r="S2922" s="1" t="str">
        <f>IFERROR(__xludf.DUMMYFUNCTION("""COMPUTED_VALUE"""),"APPROVED")</f>
        <v>APPROVED</v>
      </c>
      <c r="T2922" s="1" t="str">
        <f>IFERROR(__xludf.DUMMYFUNCTION("""COMPUTED_VALUE"""),"CLOSED")</f>
        <v>CLOSED</v>
      </c>
      <c r="U2922" s="1"/>
      <c r="V2922" s="1"/>
      <c r="W2922" s="1"/>
    </row>
    <row r="2923" customHeight="1" spans="1:23">
      <c r="A2923" s="3">
        <f>IFERROR(__xludf.DUMMYFUNCTION("""COMPUTED_VALUE"""),46263)</f>
        <v>46263</v>
      </c>
      <c r="B2923" s="1" t="str">
        <f>IFERROR(__xludf.DUMMYFUNCTION("""COMPUTED_VALUE"""),"YOLANGCO, JOLO")</f>
        <v>YOLANGCO, JOLO</v>
      </c>
      <c r="C2923" s="1" t="str">
        <f>IFERROR(__xludf.DUMMYFUNCTION("""COMPUTED_VALUE"""),"ORGANIC")</f>
        <v>ORGANIC</v>
      </c>
      <c r="D2923" s="1" t="str">
        <f>IFERROR(__xludf.DUMMYFUNCTION("""COMPUTED_VALUE"""),"MICHALE GARCIA")</f>
        <v>MICHALE GARCIA</v>
      </c>
      <c r="E2923" s="1" t="str">
        <f>IFERROR(__xludf.DUMMYFUNCTION("""COMPUTED_VALUE"""),"PLDT / ONLINE")</f>
        <v>PLDT / ONLINE</v>
      </c>
      <c r="F2923" s="1">
        <f>IFERROR(__xludf.DUMMYFUNCTION("""COMPUTED_VALUE"""),2312190274)</f>
        <v>2312190274</v>
      </c>
      <c r="G2923" s="1">
        <f>IFERROR(__xludf.DUMMYFUNCTION("""COMPUTED_VALUE"""),468418311004)</f>
        <v>468418311004</v>
      </c>
      <c r="H2923" s="1" t="str">
        <f>IFERROR(__xludf.DUMMYFUNCTION("""COMPUTED_VALUE"""),"JULIUS JOHN DE LIMA JACOB")</f>
        <v>JULIUS JOHN DE LIMA JACOB</v>
      </c>
      <c r="I2923" s="1">
        <f>IFERROR(__xludf.DUMMYFUNCTION("""COMPUTED_VALUE"""),639758220725)</f>
        <v>639758220725</v>
      </c>
      <c r="J2923" s="1"/>
      <c r="K2923" s="1"/>
      <c r="L2923" s="1" t="str">
        <f>IFERROR(__xludf.DUMMYFUNCTION("""COMPUTED_VALUE"""),"056-BL-015")</f>
        <v>056-BL-015</v>
      </c>
      <c r="M2923" s="1" t="str">
        <f>IFERROR(__xludf.DUMMYFUNCTION("""COMPUTED_VALUE"""),"VALENCIA")</f>
        <v>VALENCIA</v>
      </c>
      <c r="N2923" s="1" t="str">
        <f>IFERROR(__xludf.DUMMYFUNCTION("""COMPUTED_VALUE"""),"#N/A")</f>
        <v>#N/A</v>
      </c>
      <c r="O2923" s="1" t="str">
        <f>IFERROR(__xludf.DUMMYFUNCTION("""COMPUTED_VALUE"""),"HUGO PEREZ")</f>
        <v>HUGO PEREZ</v>
      </c>
      <c r="P2923" s="1" t="str">
        <f>IFERROR(__xludf.DUMMYFUNCTION("""COMPUTED_VALUE"""),"TRECE MARTIRES")</f>
        <v>TRECE MARTIRES</v>
      </c>
      <c r="Q2923" s="1" t="str">
        <f>IFERROR(__xludf.DUMMYFUNCTION("""COMPUTED_VALUE"""),"CAVITE")</f>
        <v>CAVITE</v>
      </c>
      <c r="R2923" s="1" t="str">
        <f>IFERROR(__xludf.DUMMYFUNCTION("""COMPUTED_VALUE"""),"FIBR UNLI ALL PLAN 1499")</f>
        <v>FIBR UNLI ALL PLAN 1499</v>
      </c>
      <c r="S2923" s="1" t="str">
        <f>IFERROR(__xludf.DUMMYFUNCTION("""COMPUTED_VALUE"""),"APPROVED")</f>
        <v>APPROVED</v>
      </c>
      <c r="T2923" s="1" t="str">
        <f>IFERROR(__xludf.DUMMYFUNCTION("""COMPUTED_VALUE"""),"CANCELLED")</f>
        <v>CANCELLED</v>
      </c>
      <c r="U2923" s="1"/>
      <c r="V2923" s="1"/>
      <c r="W2923" s="1"/>
    </row>
    <row r="2924" customHeight="1" spans="1:23">
      <c r="A2924" s="3">
        <f>IFERROR(__xludf.DUMMYFUNCTION("""COMPUTED_VALUE"""),46263)</f>
        <v>46263</v>
      </c>
      <c r="B2924" s="1" t="str">
        <f>IFERROR(__xludf.DUMMYFUNCTION("""COMPUTED_VALUE"""),"MALIWAT MARK ELVIN")</f>
        <v>MALIWAT MARK ELVIN</v>
      </c>
      <c r="C2924" s="1" t="str">
        <f>IFERROR(__xludf.DUMMYFUNCTION("""COMPUTED_VALUE"""),"FLA")</f>
        <v>FLA</v>
      </c>
      <c r="D2924" s="1" t="str">
        <f>IFERROR(__xludf.DUMMYFUNCTION("""COMPUTED_VALUE"""),"JERIC NAVARRO")</f>
        <v>JERIC NAVARRO</v>
      </c>
      <c r="E2924" s="1" t="str">
        <f>IFERROR(__xludf.DUMMYFUNCTION("""COMPUTED_VALUE"""),"PLDT / ONLINE")</f>
        <v>PLDT / ONLINE</v>
      </c>
      <c r="F2924" s="1">
        <f>IFERROR(__xludf.DUMMYFUNCTION("""COMPUTED_VALUE"""),2312190354)</f>
        <v>2312190354</v>
      </c>
      <c r="G2924" s="1">
        <f>IFERROR(__xludf.DUMMYFUNCTION("""COMPUTED_VALUE"""),468422136004)</f>
        <v>468422136004</v>
      </c>
      <c r="H2924" s="1" t="str">
        <f>IFERROR(__xludf.DUMMYFUNCTION("""COMPUTED_VALUE"""),"AAREN FRANCO LEONARDO")</f>
        <v>AAREN FRANCO LEONARDO</v>
      </c>
      <c r="I2924" s="1">
        <f>IFERROR(__xludf.DUMMYFUNCTION("""COMPUTED_VALUE"""),639621270726)</f>
        <v>639621270726</v>
      </c>
      <c r="J2924" s="1"/>
      <c r="K2924" s="1"/>
      <c r="L2924" s="1" t="str">
        <f>IFERROR(__xludf.DUMMYFUNCTION("""COMPUTED_VALUE"""),"031-BL-003")</f>
        <v>031-BL-003</v>
      </c>
      <c r="M2924" s="1" t="str">
        <f>IFERROR(__xludf.DUMMYFUNCTION("""COMPUTED_VALUE"""),"AARON")</f>
        <v>AARON</v>
      </c>
      <c r="N2924" s="1" t="str">
        <f>IFERROR(__xludf.DUMMYFUNCTION("""COMPUTED_VALUE"""),"#N/A")</f>
        <v>#N/A</v>
      </c>
      <c r="O2924" s="1" t="str">
        <f>IFERROR(__xludf.DUMMYFUNCTION("""COMPUTED_VALUE"""),"PASONG CAMACHILE II")</f>
        <v>PASONG CAMACHILE II</v>
      </c>
      <c r="P2924" s="1" t="str">
        <f>IFERROR(__xludf.DUMMYFUNCTION("""COMPUTED_VALUE"""),"GENERAL TRIAS")</f>
        <v>GENERAL TRIAS</v>
      </c>
      <c r="Q2924" s="1" t="str">
        <f>IFERROR(__xludf.DUMMYFUNCTION("""COMPUTED_VALUE"""),"CAVITE")</f>
        <v>CAVITE</v>
      </c>
      <c r="R2924" s="1" t="str">
        <f>IFERROR(__xludf.DUMMYFUNCTION("""COMPUTED_VALUE"""),"FIBR UNLI ALL PLAN 2599")</f>
        <v>FIBR UNLI ALL PLAN 2599</v>
      </c>
      <c r="S2924" s="1" t="str">
        <f>IFERROR(__xludf.DUMMYFUNCTION("""COMPUTED_VALUE"""),"APPROVED")</f>
        <v>APPROVED</v>
      </c>
      <c r="T2924" s="1" t="str">
        <f>IFERROR(__xludf.DUMMYFUNCTION("""COMPUTED_VALUE"""),"CANCELLED")</f>
        <v>CANCELLED</v>
      </c>
      <c r="U2924" s="1"/>
      <c r="V2924" s="1"/>
      <c r="W2924" s="1"/>
    </row>
    <row r="2925" customHeight="1" spans="1:23">
      <c r="A2925" s="3">
        <f>IFERROR(__xludf.DUMMYFUNCTION("""COMPUTED_VALUE"""),46263)</f>
        <v>46263</v>
      </c>
      <c r="B2925" s="1" t="str">
        <f>IFERROR(__xludf.DUMMYFUNCTION("""COMPUTED_VALUE"""),"BONZA, LEE")</f>
        <v>BONZA, LEE</v>
      </c>
      <c r="C2925" s="1" t="str">
        <f>IFERROR(__xludf.DUMMYFUNCTION("""COMPUTED_VALUE"""),"ORGANIC")</f>
        <v>ORGANIC</v>
      </c>
      <c r="D2925" s="1" t="str">
        <f>IFERROR(__xludf.DUMMYFUNCTION("""COMPUTED_VALUE"""),"MICHALE GARCIA")</f>
        <v>MICHALE GARCIA</v>
      </c>
      <c r="E2925" s="1" t="str">
        <f>IFERROR(__xludf.DUMMYFUNCTION("""COMPUTED_VALUE"""),"PLDT / ONLINE")</f>
        <v>PLDT / ONLINE</v>
      </c>
      <c r="F2925" s="1">
        <f>IFERROR(__xludf.DUMMYFUNCTION("""COMPUTED_VALUE"""),2312188183)</f>
        <v>2312188183</v>
      </c>
      <c r="G2925" s="1">
        <f>IFERROR(__xludf.DUMMYFUNCTION("""COMPUTED_VALUE"""),468420428004)</f>
        <v>468420428004</v>
      </c>
      <c r="H2925" s="1" t="str">
        <f>IFERROR(__xludf.DUMMYFUNCTION("""COMPUTED_VALUE"""),"MARK JOSEPH PALASPAS IBANEZ")</f>
        <v>MARK JOSEPH PALASPAS IBANEZ</v>
      </c>
      <c r="I2925" s="1">
        <f>IFERROR(__xludf.DUMMYFUNCTION("""COMPUTED_VALUE"""),639670016283)</f>
        <v>639670016283</v>
      </c>
      <c r="J2925" s="1"/>
      <c r="K2925" s="1"/>
      <c r="L2925" s="1" t="str">
        <f>IFERROR(__xludf.DUMMYFUNCTION("""COMPUTED_VALUE"""),"002-BL-024")</f>
        <v>002-BL-024</v>
      </c>
      <c r="M2925" s="1" t="str">
        <f>IFERROR(__xludf.DUMMYFUNCTION("""COMPUTED_VALUE"""),"VILLA MONTEVERDE")</f>
        <v>VILLA MONTEVERDE</v>
      </c>
      <c r="N2925" s="1" t="str">
        <f>IFERROR(__xludf.DUMMYFUNCTION("""COMPUTED_VALUE"""),"#N/A")</f>
        <v>#N/A</v>
      </c>
      <c r="O2925" s="1" t="str">
        <f>IFERROR(__xludf.DUMMYFUNCTION("""COMPUTED_VALUE"""),"MULAWIN")</f>
        <v>MULAWIN</v>
      </c>
      <c r="P2925" s="1" t="str">
        <f>IFERROR(__xludf.DUMMYFUNCTION("""COMPUTED_VALUE"""),"TANZA")</f>
        <v>TANZA</v>
      </c>
      <c r="Q2925" s="1" t="str">
        <f>IFERROR(__xludf.DUMMYFUNCTION("""COMPUTED_VALUE"""),"CAVITE")</f>
        <v>CAVITE</v>
      </c>
      <c r="R2925" s="1" t="str">
        <f>IFERROR(__xludf.DUMMYFUNCTION("""COMPUTED_VALUE"""),"FIBR UNLI ALL PLAN 1499")</f>
        <v>FIBR UNLI ALL PLAN 1499</v>
      </c>
      <c r="S2925" s="1" t="str">
        <f>IFERROR(__xludf.DUMMYFUNCTION("""COMPUTED_VALUE"""),"APPROVED")</f>
        <v>APPROVED</v>
      </c>
      <c r="T2925" s="1" t="str">
        <f>IFERROR(__xludf.DUMMYFUNCTION("""COMPUTED_VALUE"""),"CANCELLED")</f>
        <v>CANCELLED</v>
      </c>
      <c r="U2925" s="1"/>
      <c r="V2925" s="1"/>
      <c r="W2925" s="1"/>
    </row>
    <row r="2926" customHeight="1" spans="1:23">
      <c r="A2926" s="3">
        <f>IFERROR(__xludf.DUMMYFUNCTION("""COMPUTED_VALUE"""),46263)</f>
        <v>46263</v>
      </c>
      <c r="B2926" s="1" t="str">
        <f>IFERROR(__xludf.DUMMYFUNCTION("""COMPUTED_VALUE"""),"BAQUIT ,JAZMIN")</f>
        <v>BAQUIT ,JAZMIN</v>
      </c>
      <c r="C2926" s="1" t="str">
        <f>IFERROR(__xludf.DUMMYFUNCTION("""COMPUTED_VALUE"""),"ORGANIC")</f>
        <v>ORGANIC</v>
      </c>
      <c r="D2926" s="1" t="str">
        <f>IFERROR(__xludf.DUMMYFUNCTION("""COMPUTED_VALUE"""),"REMOLLO LEA")</f>
        <v>REMOLLO LEA</v>
      </c>
      <c r="E2926" s="1" t="str">
        <f>IFERROR(__xludf.DUMMYFUNCTION("""COMPUTED_VALUE"""),"PLDT / ONLINE")</f>
        <v>PLDT / ONLINE</v>
      </c>
      <c r="F2926" s="1">
        <f>IFERROR(__xludf.DUMMYFUNCTION("""COMPUTED_VALUE"""),2312191070)</f>
        <v>2312191070</v>
      </c>
      <c r="G2926" s="1">
        <f>IFERROR(__xludf.DUMMYFUNCTION("""COMPUTED_VALUE"""),468422410004)</f>
        <v>468422410004</v>
      </c>
      <c r="H2926" s="1" t="str">
        <f>IFERROR(__xludf.DUMMYFUNCTION("""COMPUTED_VALUE"""),"CHESTER FLORIDA OBRA")</f>
        <v>CHESTER FLORIDA OBRA</v>
      </c>
      <c r="I2926" s="1">
        <f>IFERROR(__xludf.DUMMYFUNCTION("""COMPUTED_VALUE"""),9974175069)</f>
        <v>9974175069</v>
      </c>
      <c r="J2926" s="1">
        <f>IFERROR(__xludf.DUMMYFUNCTION("""COMPUTED_VALUE"""),9701156449)</f>
        <v>9701156449</v>
      </c>
      <c r="K2926" s="1" t="str">
        <f>IFERROR(__xludf.DUMMYFUNCTION("""COMPUTED_VALUE"""),"chesterobra809@gmail.com")</f>
        <v>chesterobra809@gmail.com</v>
      </c>
      <c r="L2926" s="1" t="str">
        <f>IFERROR(__xludf.DUMMYFUNCTION("""COMPUTED_VALUE"""),"BLK 2 LOT 2")</f>
        <v>BLK 2 LOT 2</v>
      </c>
      <c r="M2926" s="1" t="str">
        <f>IFERROR(__xludf.DUMMYFUNCTION("""COMPUTED_VALUE"""),"GREEN LAND")</f>
        <v>GREEN LAND</v>
      </c>
      <c r="N2926" s="1" t="str">
        <f>IFERROR(__xludf.DUMMYFUNCTION("""COMPUTED_VALUE"""),"CASA MONTEVERDE")</f>
        <v>CASA MONTEVERDE</v>
      </c>
      <c r="O2926" s="1" t="str">
        <f>IFERROR(__xludf.DUMMYFUNCTION("""COMPUTED_VALUE"""),"FRANCISCO DE CASTRO (SUNSHINE VILL.)")</f>
        <v>FRANCISCO DE CASTRO (SUNSHINE VILL.)</v>
      </c>
      <c r="P2926" s="1" t="str">
        <f>IFERROR(__xludf.DUMMYFUNCTION("""COMPUTED_VALUE"""),"GEN MARIANO ALVAREZ")</f>
        <v>GEN MARIANO ALVAREZ</v>
      </c>
      <c r="Q2926" s="1" t="str">
        <f>IFERROR(__xludf.DUMMYFUNCTION("""COMPUTED_VALUE"""),"CAVITE")</f>
        <v>CAVITE</v>
      </c>
      <c r="R2926" s="1" t="str">
        <f>IFERROR(__xludf.DUMMYFUNCTION("""COMPUTED_VALUE"""),"FIBR UNLI ALL PLAN 1499")</f>
        <v>FIBR UNLI ALL PLAN 1499</v>
      </c>
      <c r="S2926" s="1" t="str">
        <f>IFERROR(__xludf.DUMMYFUNCTION("""COMPUTED_VALUE"""),"APPROVED")</f>
        <v>APPROVED</v>
      </c>
      <c r="T2926" s="1" t="str">
        <f>IFERROR(__xludf.DUMMYFUNCTION("""COMPUTED_VALUE"""),"CLOSED")</f>
        <v>CLOSED</v>
      </c>
      <c r="U2926" s="1" t="str">
        <f>IFERROR(__xludf.DUMMYFUNCTION("""COMPUTED_VALUE"""),"POSTED")</f>
        <v>POSTED</v>
      </c>
      <c r="V2926" s="1"/>
      <c r="W2926" s="1"/>
    </row>
    <row r="2927" customHeight="1" spans="1:23">
      <c r="A2927" s="3">
        <f>IFERROR(__xludf.DUMMYFUNCTION("""COMPUTED_VALUE"""),46263)</f>
        <v>46263</v>
      </c>
      <c r="B2927" s="1" t="str">
        <f>IFERROR(__xludf.DUMMYFUNCTION("""COMPUTED_VALUE"""),"MALIWAT MARK ELVIN")</f>
        <v>MALIWAT MARK ELVIN</v>
      </c>
      <c r="C2927" s="1" t="str">
        <f>IFERROR(__xludf.DUMMYFUNCTION("""COMPUTED_VALUE"""),"FLA")</f>
        <v>FLA</v>
      </c>
      <c r="D2927" s="1" t="str">
        <f>IFERROR(__xludf.DUMMYFUNCTION("""COMPUTED_VALUE"""),"JERIC NAVARRO")</f>
        <v>JERIC NAVARRO</v>
      </c>
      <c r="E2927" s="1" t="str">
        <f>IFERROR(__xludf.DUMMYFUNCTION("""COMPUTED_VALUE"""),"PLDT / ONLINE")</f>
        <v>PLDT / ONLINE</v>
      </c>
      <c r="F2927" s="1">
        <f>IFERROR(__xludf.DUMMYFUNCTION("""COMPUTED_VALUE"""),2312191661)</f>
        <v>2312191661</v>
      </c>
      <c r="G2927" s="1"/>
      <c r="H2927" s="1" t="str">
        <f>IFERROR(__xludf.DUMMYFUNCTION("""COMPUTED_VALUE"""),"ALONA BAUDILLA RAMOS")</f>
        <v>ALONA BAUDILLA RAMOS</v>
      </c>
      <c r="I2927" s="1">
        <f>IFERROR(__xludf.DUMMYFUNCTION("""COMPUTED_VALUE"""),9388653002)</f>
        <v>9388653002</v>
      </c>
      <c r="J2927" s="1"/>
      <c r="K2927" s="1" t="str">
        <f>IFERROR(__xludf.DUMMYFUNCTION("""COMPUTED_VALUE"""),"alonaramos62@gmail.com")</f>
        <v>alonaramos62@gmail.com</v>
      </c>
      <c r="L2927" s="1" t="str">
        <f>IFERROR(__xludf.DUMMYFUNCTION("""COMPUTED_VALUE"""),"BLK 23 LOT 18")</f>
        <v>BLK 23 LOT 18</v>
      </c>
      <c r="M2927" s="1" t="str">
        <f>IFERROR(__xludf.DUMMYFUNCTION("""COMPUTED_VALUE"""),"PILI")</f>
        <v>PILI</v>
      </c>
      <c r="N2927" s="1" t="str">
        <f>IFERROR(__xludf.DUMMYFUNCTION("""COMPUTED_VALUE"""),"#N/A")</f>
        <v>#N/A</v>
      </c>
      <c r="O2927" s="1" t="str">
        <f>IFERROR(__xludf.DUMMYFUNCTION("""COMPUTED_VALUE"""),"BARANGAY 3 POBLACION")</f>
        <v>BARANGAY 3 POBLACION</v>
      </c>
      <c r="P2927" s="1" t="str">
        <f>IFERROR(__xludf.DUMMYFUNCTION("""COMPUTED_VALUE"""),"GEN MARIANO ALVAREZ")</f>
        <v>GEN MARIANO ALVAREZ</v>
      </c>
      <c r="Q2927" s="1" t="str">
        <f>IFERROR(__xludf.DUMMYFUNCTION("""COMPUTED_VALUE"""),"CAVITE")</f>
        <v>CAVITE</v>
      </c>
      <c r="R2927" s="1" t="str">
        <f>IFERROR(__xludf.DUMMYFUNCTION("""COMPUTED_VALUE"""),"FIBR UNLI ALL PLAN 999")</f>
        <v>FIBR UNLI ALL PLAN 999</v>
      </c>
      <c r="S2927" s="1" t="str">
        <f>IFERROR(__xludf.DUMMYFUNCTION("""COMPUTED_VALUE"""),"CANCELLED ")</f>
        <v>CANCELLED </v>
      </c>
      <c r="T2927" s="1" t="str">
        <f>IFERROR(__xludf.DUMMYFUNCTION("""COMPUTED_VALUE"""),"SUBS_CANCEL REQUEST")</f>
        <v>SUBS_CANCEL REQUEST</v>
      </c>
      <c r="U2927" s="1"/>
      <c r="V2927" s="1"/>
      <c r="W2927" s="1"/>
    </row>
    <row r="2928" customHeight="1" spans="1:23">
      <c r="A2928" s="3">
        <f>IFERROR(__xludf.DUMMYFUNCTION("""COMPUTED_VALUE"""),46263)</f>
        <v>46263</v>
      </c>
      <c r="B2928" s="1" t="str">
        <f>IFERROR(__xludf.DUMMYFUNCTION("""COMPUTED_VALUE"""),"FRANCISCO , ROSELYN")</f>
        <v>FRANCISCO , ROSELYN</v>
      </c>
      <c r="C2928" s="1" t="str">
        <f>IFERROR(__xludf.DUMMYFUNCTION("""COMPUTED_VALUE"""),"ORGANIC")</f>
        <v>ORGANIC</v>
      </c>
      <c r="D2928" s="1" t="str">
        <f>IFERROR(__xludf.DUMMYFUNCTION("""COMPUTED_VALUE"""),"REMOLLO LEA")</f>
        <v>REMOLLO LEA</v>
      </c>
      <c r="E2928" s="1" t="str">
        <f>IFERROR(__xludf.DUMMYFUNCTION("""COMPUTED_VALUE"""),"PLDT / ONLINE")</f>
        <v>PLDT / ONLINE</v>
      </c>
      <c r="F2928" s="1">
        <f>IFERROR(__xludf.DUMMYFUNCTION("""COMPUTED_VALUE"""),2312191661)</f>
        <v>2312191661</v>
      </c>
      <c r="G2928" s="1"/>
      <c r="H2928" s="1" t="str">
        <f>IFERROR(__xludf.DUMMYFUNCTION("""COMPUTED_VALUE"""),"CHRISTIAN ORCLINE ORDNONEZ")</f>
        <v>CHRISTIAN ORCLINE ORDNONEZ</v>
      </c>
      <c r="I2928" s="1">
        <f>IFERROR(__xludf.DUMMYFUNCTION("""COMPUTED_VALUE"""),9606954282)</f>
        <v>9606954282</v>
      </c>
      <c r="J2928" s="1"/>
      <c r="K2928" s="1" t="str">
        <f>IFERROR(__xludf.DUMMYFUNCTION("""COMPUTED_VALUE"""),"iichanpaulordonez@gmail.com")</f>
        <v>iichanpaulordonez@gmail.com</v>
      </c>
      <c r="L2928" s="1" t="str">
        <f>IFERROR(__xludf.DUMMYFUNCTION("""COMPUTED_VALUE"""),"156")</f>
        <v>156</v>
      </c>
      <c r="M2928" s="1" t="str">
        <f>IFERROR(__xludf.DUMMYFUNCTION("""COMPUTED_VALUE"""),"MARSEILLE")</f>
        <v>MARSEILLE</v>
      </c>
      <c r="N2928" s="1" t="str">
        <f>IFERROR(__xludf.DUMMYFUNCTION("""COMPUTED_VALUE"""),"#REF!")</f>
        <v>#REF!</v>
      </c>
      <c r="O2928" s="1" t="str">
        <f>IFERROR(__xludf.DUMMYFUNCTION("""COMPUTED_VALUE"""),"BAGBAG II")</f>
        <v>BAGBAG II</v>
      </c>
      <c r="P2928" s="1" t="str">
        <f>IFERROR(__xludf.DUMMYFUNCTION("""COMPUTED_VALUE"""),"ROSARIO")</f>
        <v>ROSARIO</v>
      </c>
      <c r="Q2928" s="1" t="str">
        <f>IFERROR(__xludf.DUMMYFUNCTION("""COMPUTED_VALUE"""),"CAVITE")</f>
        <v>CAVITE</v>
      </c>
      <c r="R2928" s="1" t="str">
        <f>IFERROR(__xludf.DUMMYFUNCTION("""COMPUTED_VALUE"""),"FIBR UNLI ALL PLAN 1499")</f>
        <v>FIBR UNLI ALL PLAN 1499</v>
      </c>
      <c r="S2928" s="1" t="str">
        <f>IFERROR(__xludf.DUMMYFUNCTION("""COMPUTED_VALUE"""),"APPROVED")</f>
        <v>APPROVED</v>
      </c>
      <c r="T2928" s="1" t="str">
        <f>IFERROR(__xludf.DUMMYFUNCTION("""COMPUTED_VALUE"""),"SUBS_CANCEL REQUEST")</f>
        <v>SUBS_CANCEL REQUEST</v>
      </c>
      <c r="U2928" s="1"/>
      <c r="V2928" s="1"/>
      <c r="W2928" s="1"/>
    </row>
    <row r="2929" customHeight="1" spans="1:23">
      <c r="A2929" s="3">
        <f>IFERROR(__xludf.DUMMYFUNCTION("""COMPUTED_VALUE"""),46263)</f>
        <v>46263</v>
      </c>
      <c r="B2929" s="1" t="str">
        <f>IFERROR(__xludf.DUMMYFUNCTION("""COMPUTED_VALUE"""),"REMOLLO, LEA")</f>
        <v>REMOLLO, LEA</v>
      </c>
      <c r="C2929" s="1" t="str">
        <f>IFERROR(__xludf.DUMMYFUNCTION("""COMPUTED_VALUE"""),"FLA")</f>
        <v>FLA</v>
      </c>
      <c r="D2929" s="1" t="str">
        <f>IFERROR(__xludf.DUMMYFUNCTION("""COMPUTED_VALUE"""),"JERIC NAVARRO")</f>
        <v>JERIC NAVARRO</v>
      </c>
      <c r="E2929" s="1" t="str">
        <f>IFERROR(__xludf.DUMMYFUNCTION("""COMPUTED_VALUE"""),"PLDT / ONLINE")</f>
        <v>PLDT / ONLINE</v>
      </c>
      <c r="F2929" s="1"/>
      <c r="G2929" s="1"/>
      <c r="H2929" s="1" t="str">
        <f>IFERROR(__xludf.DUMMYFUNCTION("""COMPUTED_VALUE"""),"JENNIFER RAMOS NUGUID")</f>
        <v>JENNIFER RAMOS NUGUID</v>
      </c>
      <c r="I2929" s="1">
        <f>IFERROR(__xludf.DUMMYFUNCTION("""COMPUTED_VALUE"""),9915046730)</f>
        <v>9915046730</v>
      </c>
      <c r="J2929" s="1"/>
      <c r="K2929" s="1" t="str">
        <f>IFERROR(__xludf.DUMMYFUNCTION("""COMPUTED_VALUE"""),"nuguidjennifer0921@yahoo.com")</f>
        <v>nuguidjennifer0921@yahoo.com</v>
      </c>
      <c r="L2929" s="1" t="str">
        <f>IFERROR(__xludf.DUMMYFUNCTION("""COMPUTED_VALUE"""),"UNIT M")</f>
        <v>UNIT M</v>
      </c>
      <c r="M2929" s="1" t="str">
        <f>IFERROR(__xludf.DUMMYFUNCTION("""COMPUTED_VALUE"""),"NIA RD")</f>
        <v>NIA RD</v>
      </c>
      <c r="N2929" s="1" t="str">
        <f>IFERROR(__xludf.DUMMYFUNCTION("""COMPUTED_VALUE"""),"#N/A")</f>
        <v>#N/A</v>
      </c>
      <c r="O2929" s="1" t="str">
        <f>IFERROR(__xludf.DUMMYFUNCTION("""COMPUTED_VALUE"""),"SALAWAG")</f>
        <v>SALAWAG</v>
      </c>
      <c r="P2929" s="1" t="str">
        <f>IFERROR(__xludf.DUMMYFUNCTION("""COMPUTED_VALUE"""),"DASMARINAS")</f>
        <v>DASMARINAS</v>
      </c>
      <c r="Q2929" s="1" t="str">
        <f>IFERROR(__xludf.DUMMYFUNCTION("""COMPUTED_VALUE"""),"CAVITE")</f>
        <v>CAVITE</v>
      </c>
      <c r="R2929" s="1" t="str">
        <f>IFERROR(__xludf.DUMMYFUNCTION("""COMPUTED_VALUE"""),"FIBR UNLI ALL PLAN 999")</f>
        <v>FIBR UNLI ALL PLAN 999</v>
      </c>
      <c r="S2929" s="1" t="str">
        <f>IFERROR(__xludf.DUMMYFUNCTION("""COMPUTED_VALUE"""),"HOLD")</f>
        <v>HOLD</v>
      </c>
      <c r="T2929" s="1" t="str">
        <f>IFERROR(__xludf.DUMMYFUNCTION("""COMPUTED_VALUE"""),"#N/A")</f>
        <v>#N/A</v>
      </c>
      <c r="U2929" s="1"/>
      <c r="V2929" s="1"/>
      <c r="W2929" s="1"/>
    </row>
    <row r="2930" customHeight="1" spans="1:23">
      <c r="A2930" s="3">
        <f>IFERROR(__xludf.DUMMYFUNCTION("""COMPUTED_VALUE"""),46263)</f>
        <v>46263</v>
      </c>
      <c r="B2930" s="1" t="str">
        <f>IFERROR(__xludf.DUMMYFUNCTION("""COMPUTED_VALUE"""),"REMOLLO, LEA")</f>
        <v>REMOLLO, LEA</v>
      </c>
      <c r="C2930" s="1" t="str">
        <f>IFERROR(__xludf.DUMMYFUNCTION("""COMPUTED_VALUE"""),"FLA")</f>
        <v>FLA</v>
      </c>
      <c r="D2930" s="1" t="str">
        <f>IFERROR(__xludf.DUMMYFUNCTION("""COMPUTED_VALUE"""),"JERIC NAVARRO")</f>
        <v>JERIC NAVARRO</v>
      </c>
      <c r="E2930" s="1" t="str">
        <f>IFERROR(__xludf.DUMMYFUNCTION("""COMPUTED_VALUE"""),"PLDT / ONLINE")</f>
        <v>PLDT / ONLINE</v>
      </c>
      <c r="F2930" s="1">
        <f>IFERROR(__xludf.DUMMYFUNCTION("""COMPUTED_VALUE"""),2312207727)</f>
        <v>2312207727</v>
      </c>
      <c r="G2930" s="1">
        <f>IFERROR(__xludf.DUMMYFUNCTION("""COMPUTED_VALUE"""),468543000004)</f>
        <v>468543000004</v>
      </c>
      <c r="H2930" s="1" t="str">
        <f>IFERROR(__xludf.DUMMYFUNCTION("""COMPUTED_VALUE"""),"LIEZEL FLORES LEGASPI")</f>
        <v>LIEZEL FLORES LEGASPI</v>
      </c>
      <c r="I2930" s="1">
        <f>IFERROR(__xludf.DUMMYFUNCTION("""COMPUTED_VALUE"""),9453046319)</f>
        <v>9453046319</v>
      </c>
      <c r="J2930" s="1"/>
      <c r="K2930" s="1" t="str">
        <f>IFERROR(__xludf.DUMMYFUNCTION("""COMPUTED_VALUE"""),"liezel0826legaspi@gmail.com")</f>
        <v>liezel0826legaspi@gmail.com</v>
      </c>
      <c r="L2930" s="1" t="str">
        <f>IFERROR(__xludf.DUMMYFUNCTION("""COMPUTED_VALUE"""),"BLK 11 LOT 9")</f>
        <v>BLK 11 LOT 9</v>
      </c>
      <c r="M2930" s="1" t="str">
        <f>IFERROR(__xludf.DUMMYFUNCTION("""COMPUTED_VALUE"""),"PHASE 6")</f>
        <v>PHASE 6</v>
      </c>
      <c r="N2930" s="1" t="str">
        <f>IFERROR(__xludf.DUMMYFUNCTION("""COMPUTED_VALUE"""),"#N/A")</f>
        <v>#N/A</v>
      </c>
      <c r="O2930" s="1" t="str">
        <f>IFERROR(__xludf.DUMMYFUNCTION("""COMPUTED_VALUE"""),"BANABA")</f>
        <v>BANABA</v>
      </c>
      <c r="P2930" s="1" t="str">
        <f>IFERROR(__xludf.DUMMYFUNCTION("""COMPUTED_VALUE"""),"SILANG")</f>
        <v>SILANG</v>
      </c>
      <c r="Q2930" s="1" t="str">
        <f>IFERROR(__xludf.DUMMYFUNCTION("""COMPUTED_VALUE"""),"CAVITE")</f>
        <v>CAVITE</v>
      </c>
      <c r="R2930" s="1" t="str">
        <f>IFERROR(__xludf.DUMMYFUNCTION("""COMPUTED_VALUE"""),"FIBR UNLI ALL PLAN 1499")</f>
        <v>FIBR UNLI ALL PLAN 1499</v>
      </c>
      <c r="S2930" s="1" t="str">
        <f>IFERROR(__xludf.DUMMYFUNCTION("""COMPUTED_VALUE"""),"APPROVED")</f>
        <v>APPROVED</v>
      </c>
      <c r="T2930" s="1" t="str">
        <f>IFERROR(__xludf.DUMMYFUNCTION("""COMPUTED_VALUE"""),"CLOSED")</f>
        <v>CLOSED</v>
      </c>
      <c r="U2930" s="1"/>
      <c r="V2930" s="1"/>
      <c r="W2930" s="1"/>
    </row>
    <row r="2931" customHeight="1" spans="1:23">
      <c r="A2931" s="3">
        <f>IFERROR(__xludf.DUMMYFUNCTION("""COMPUTED_VALUE"""),46263)</f>
        <v>46263</v>
      </c>
      <c r="B2931" s="1" t="str">
        <f>IFERROR(__xludf.DUMMYFUNCTION("""COMPUTED_VALUE"""),"ARIENA, LYKA")</f>
        <v>ARIENA, LYKA</v>
      </c>
      <c r="C2931" s="1" t="str">
        <f>IFERROR(__xludf.DUMMYFUNCTION("""COMPUTED_VALUE"""),"ORGANIC")</f>
        <v>ORGANIC</v>
      </c>
      <c r="D2931" s="1" t="str">
        <f>IFERROR(__xludf.DUMMYFUNCTION("""COMPUTED_VALUE"""),"REMOLLO LEA")</f>
        <v>REMOLLO LEA</v>
      </c>
      <c r="E2931" s="1" t="str">
        <f>IFERROR(__xludf.DUMMYFUNCTION("""COMPUTED_VALUE"""),"PLDT / ONLINE")</f>
        <v>PLDT / ONLINE</v>
      </c>
      <c r="F2931" s="1">
        <f>IFERROR(__xludf.DUMMYFUNCTION("""COMPUTED_VALUE"""),2312193421)</f>
        <v>2312193421</v>
      </c>
      <c r="G2931" s="1"/>
      <c r="H2931" s="1" t="str">
        <f>IFERROR(__xludf.DUMMYFUNCTION("""COMPUTED_VALUE"""),"JEROBOAM CANO ANORE")</f>
        <v>JEROBOAM CANO ANORE</v>
      </c>
      <c r="I2931" s="1">
        <f>IFERROR(__xludf.DUMMYFUNCTION("""COMPUTED_VALUE"""),93806224482)</f>
        <v>93806224482</v>
      </c>
      <c r="J2931" s="1"/>
      <c r="K2931" s="1" t="str">
        <f>IFERROR(__xludf.DUMMYFUNCTION("""COMPUTED_VALUE"""),"ellloveyou0318@gmail.com")</f>
        <v>ellloveyou0318@gmail.com</v>
      </c>
      <c r="L2931" s="1" t="str">
        <f>IFERROR(__xludf.DUMMYFUNCTION("""COMPUTED_VALUE"""),"BLK 1 LOT 11")</f>
        <v>BLK 1 LOT 11</v>
      </c>
      <c r="M2931" s="1" t="str">
        <f>IFERROR(__xludf.DUMMYFUNCTION("""COMPUTED_VALUE"""),"MERCEDS ")</f>
        <v>MERCEDS </v>
      </c>
      <c r="N2931" s="1" t="str">
        <f>IFERROR(__xludf.DUMMYFUNCTION("""COMPUTED_VALUE"""),"VILLA LUISA")</f>
        <v>VILLA LUISA</v>
      </c>
      <c r="O2931" s="1" t="str">
        <f>IFERROR(__xludf.DUMMYFUNCTION("""COMPUTED_VALUE"""),"SAN AGUSTIN III")</f>
        <v>SAN AGUSTIN III</v>
      </c>
      <c r="P2931" s="1" t="str">
        <f>IFERROR(__xludf.DUMMYFUNCTION("""COMPUTED_VALUE"""),"DASMARINAS")</f>
        <v>DASMARINAS</v>
      </c>
      <c r="Q2931" s="1" t="str">
        <f>IFERROR(__xludf.DUMMYFUNCTION("""COMPUTED_VALUE"""),"CAVITE")</f>
        <v>CAVITE</v>
      </c>
      <c r="R2931" s="1" t="str">
        <f>IFERROR(__xludf.DUMMYFUNCTION("""COMPUTED_VALUE"""),"FIBR UNLI ALL PLAN 1499")</f>
        <v>FIBR UNLI ALL PLAN 1499</v>
      </c>
      <c r="S2931" s="1" t="str">
        <f>IFERROR(__xludf.DUMMYFUNCTION("""COMPUTED_VALUE"""),"APPROVED")</f>
        <v>APPROVED</v>
      </c>
      <c r="T2931" s="1" t="str">
        <f>IFERROR(__xludf.DUMMYFUNCTION("""COMPUTED_VALUE"""),"CANCELLED")</f>
        <v>CANCELLED</v>
      </c>
      <c r="U2931" s="1"/>
      <c r="V2931" s="1"/>
      <c r="W2931" s="1"/>
    </row>
    <row r="2932" customHeight="1" spans="1:23">
      <c r="A2932" s="3">
        <f>IFERROR(__xludf.DUMMYFUNCTION("""COMPUTED_VALUE"""),46263)</f>
        <v>46263</v>
      </c>
      <c r="B2932" s="1" t="str">
        <f>IFERROR(__xludf.DUMMYFUNCTION("""COMPUTED_VALUE"""),"ALOS, CHARLS LAURENZ")</f>
        <v>ALOS, CHARLS LAURENZ</v>
      </c>
      <c r="C2932" s="1" t="str">
        <f>IFERROR(__xludf.DUMMYFUNCTION("""COMPUTED_VALUE"""),"ORGANIC")</f>
        <v>ORGANIC</v>
      </c>
      <c r="D2932" s="1" t="str">
        <f>IFERROR(__xludf.DUMMYFUNCTION("""COMPUTED_VALUE"""),"REMOLLO LEA")</f>
        <v>REMOLLO LEA</v>
      </c>
      <c r="E2932" s="1" t="str">
        <f>IFERROR(__xludf.DUMMYFUNCTION("""COMPUTED_VALUE"""),"PLDT / ONLINE")</f>
        <v>PLDT / ONLINE</v>
      </c>
      <c r="F2932" s="1"/>
      <c r="G2932" s="1"/>
      <c r="H2932" s="1" t="str">
        <f>IFERROR(__xludf.DUMMYFUNCTION("""COMPUTED_VALUE"""),"ALVARO COMSTI OLIQUINO")</f>
        <v>ALVARO COMSTI OLIQUINO</v>
      </c>
      <c r="I2932" s="1">
        <f>IFERROR(__xludf.DUMMYFUNCTION("""COMPUTED_VALUE"""),9568355928)</f>
        <v>9568355928</v>
      </c>
      <c r="J2932" s="1">
        <f>IFERROR(__xludf.DUMMYFUNCTION("""COMPUTED_VALUE"""),9925903125)</f>
        <v>9925903125</v>
      </c>
      <c r="K2932" s="1" t="str">
        <f>IFERROR(__xludf.DUMMYFUNCTION("""COMPUTED_VALUE"""),"acoliquino03241980@icloud.com")</f>
        <v>acoliquino03241980@icloud.com</v>
      </c>
      <c r="L2932" s="1" t="str">
        <f>IFERROR(__xludf.DUMMYFUNCTION("""COMPUTED_VALUE"""),"APARTMENT B")</f>
        <v>APARTMENT B</v>
      </c>
      <c r="M2932" s="1" t="str">
        <f>IFERROR(__xludf.DUMMYFUNCTION("""COMPUTED_VALUE"""),"BIGA")</f>
        <v>BIGA</v>
      </c>
      <c r="N2932" s="1" t="str">
        <f>IFERROR(__xludf.DUMMYFUNCTION("""COMPUTED_VALUE"""),"#N/A")</f>
        <v>#N/A</v>
      </c>
      <c r="O2932" s="1" t="str">
        <f>IFERROR(__xludf.DUMMYFUNCTION("""COMPUTED_VALUE"""),"BIGA I")</f>
        <v>BIGA I</v>
      </c>
      <c r="P2932" s="1" t="str">
        <f>IFERROR(__xludf.DUMMYFUNCTION("""COMPUTED_VALUE"""),"SILANG")</f>
        <v>SILANG</v>
      </c>
      <c r="Q2932" s="1" t="str">
        <f>IFERROR(__xludf.DUMMYFUNCTION("""COMPUTED_VALUE"""),"CAVITE")</f>
        <v>CAVITE</v>
      </c>
      <c r="R2932" s="1" t="str">
        <f>IFERROR(__xludf.DUMMYFUNCTION("""COMPUTED_VALUE"""),"FIBR PLAN 1299")</f>
        <v>FIBR PLAN 1299</v>
      </c>
      <c r="S2932" s="1" t="str">
        <f>IFERROR(__xludf.DUMMYFUNCTION("""COMPUTED_VALUE"""),"CANCELLED ")</f>
        <v>CANCELLED </v>
      </c>
      <c r="T2932" s="1" t="str">
        <f>IFERROR(__xludf.DUMMYFUNCTION("""COMPUTED_VALUE"""),"#N/A")</f>
        <v>#N/A</v>
      </c>
      <c r="U2932" s="1" t="str">
        <f>IFERROR(__xludf.DUMMYFUNCTION("""COMPUTED_VALUE"""),"drop call di napaliwanag ang installation fee")</f>
        <v>drop call di napaliwanag ang installation fee</v>
      </c>
      <c r="V2932" s="1"/>
      <c r="W2932" s="1"/>
    </row>
    <row r="2933" customHeight="1" spans="1:23">
      <c r="A2933" s="3">
        <f>IFERROR(__xludf.DUMMYFUNCTION("""COMPUTED_VALUE"""),46264)</f>
        <v>46264</v>
      </c>
      <c r="B2933" s="1" t="str">
        <f>IFERROR(__xludf.DUMMYFUNCTION("""COMPUTED_VALUE"""),"GABAY, MANUEL")</f>
        <v>GABAY, MANUEL</v>
      </c>
      <c r="C2933" s="1" t="str">
        <f>IFERROR(__xludf.DUMMYFUNCTION("""COMPUTED_VALUE"""),"FLA")</f>
        <v>FLA</v>
      </c>
      <c r="D2933" s="1" t="str">
        <f>IFERROR(__xludf.DUMMYFUNCTION("""COMPUTED_VALUE"""),"JERIC NAVARRO")</f>
        <v>JERIC NAVARRO</v>
      </c>
      <c r="E2933" s="1" t="str">
        <f>IFERROR(__xludf.DUMMYFUNCTION("""COMPUTED_VALUE"""),"PLDT / H2H")</f>
        <v>PLDT / H2H</v>
      </c>
      <c r="F2933" s="1">
        <f>IFERROR(__xludf.DUMMYFUNCTION("""COMPUTED_VALUE"""),2312208594)</f>
        <v>2312208594</v>
      </c>
      <c r="G2933" s="1">
        <f>IFERROR(__xludf.DUMMYFUNCTION("""COMPUTED_VALUE"""),468544081004)</f>
        <v>468544081004</v>
      </c>
      <c r="H2933" s="1" t="str">
        <f>IFERROR(__xludf.DUMMYFUNCTION("""COMPUTED_VALUE"""),"ARTHURO ISON PISTANO")</f>
        <v>ARTHURO ISON PISTANO</v>
      </c>
      <c r="I2933" s="1">
        <f>IFERROR(__xludf.DUMMYFUNCTION("""COMPUTED_VALUE"""),639614998458)</f>
        <v>639614998458</v>
      </c>
      <c r="J2933" s="1">
        <f>IFERROR(__xludf.DUMMYFUNCTION("""COMPUTED_VALUE"""),69533166796)</f>
        <v>69533166796</v>
      </c>
      <c r="K2933" s="1" t="str">
        <f>IFERROR(__xludf.DUMMYFUNCTION("""COMPUTED_VALUE"""),"jupistano@gmail.com")</f>
        <v>jupistano@gmail.com</v>
      </c>
      <c r="L2933" s="1" t="str">
        <f>IFERROR(__xludf.DUMMYFUNCTION("""COMPUTED_VALUE"""),"103A")</f>
        <v>103A</v>
      </c>
      <c r="M2933" s="1" t="str">
        <f>IFERROR(__xludf.DUMMYFUNCTION("""COMPUTED_VALUE"""),"ALFONZO")</f>
        <v>ALFONZO</v>
      </c>
      <c r="N2933" s="1" t="str">
        <f>IFERROR(__xludf.DUMMYFUNCTION("""COMPUTED_VALUE"""),"#N/A")</f>
        <v>#N/A</v>
      </c>
      <c r="O2933" s="1" t="str">
        <f>IFERROR(__xludf.DUMMYFUNCTION("""COMPUTED_VALUE"""),"GALICIA III")</f>
        <v>GALICIA III</v>
      </c>
      <c r="P2933" s="1" t="str">
        <f>IFERROR(__xludf.DUMMYFUNCTION("""COMPUTED_VALUE"""),"MENDEZ")</f>
        <v>MENDEZ</v>
      </c>
      <c r="Q2933" s="1" t="str">
        <f>IFERROR(__xludf.DUMMYFUNCTION("""COMPUTED_VALUE"""),"CAVITE")</f>
        <v>CAVITE</v>
      </c>
      <c r="R2933" s="1" t="str">
        <f>IFERROR(__xludf.DUMMYFUNCTION("""COMPUTED_VALUE"""),"FIBR UNLI ALL PLAN 1499")</f>
        <v>FIBR UNLI ALL PLAN 1499</v>
      </c>
      <c r="S2933" s="1" t="str">
        <f>IFERROR(__xludf.DUMMYFUNCTION("""COMPUTED_VALUE"""),"APPROVED")</f>
        <v>APPROVED</v>
      </c>
      <c r="T2933" s="1" t="str">
        <f>IFERROR(__xludf.DUMMYFUNCTION("""COMPUTED_VALUE"""),"CLOSED")</f>
        <v>CLOSED</v>
      </c>
      <c r="U2933" s="1"/>
      <c r="V2933" s="1"/>
      <c r="W2933" s="1"/>
    </row>
    <row r="2934" customHeight="1" spans="1:23">
      <c r="A2934" s="3">
        <f>IFERROR(__xludf.DUMMYFUNCTION("""COMPUTED_VALUE"""),46264)</f>
        <v>46264</v>
      </c>
      <c r="B2934" s="1" t="str">
        <f>IFERROR(__xludf.DUMMYFUNCTION("""COMPUTED_VALUE"""),"CADERAO, RONALD")</f>
        <v>CADERAO, RONALD</v>
      </c>
      <c r="C2934" s="1" t="str">
        <f>IFERROR(__xludf.DUMMYFUNCTION("""COMPUTED_VALUE"""),"ORGANIC")</f>
        <v>ORGANIC</v>
      </c>
      <c r="D2934" s="1" t="str">
        <f>IFERROR(__xludf.DUMMYFUNCTION("""COMPUTED_VALUE"""),"REMOLLO LEA")</f>
        <v>REMOLLO LEA</v>
      </c>
      <c r="E2934" s="1" t="str">
        <f>IFERROR(__xludf.DUMMYFUNCTION("""COMPUTED_VALUE"""),"PLDT / H2H")</f>
        <v>PLDT / H2H</v>
      </c>
      <c r="F2934" s="1">
        <f>IFERROR(__xludf.DUMMYFUNCTION("""COMPUTED_VALUE"""),2312208974)</f>
        <v>2312208974</v>
      </c>
      <c r="G2934" s="1">
        <f>IFERROR(__xludf.DUMMYFUNCTION("""COMPUTED_VALUE"""),468545809004)</f>
        <v>468545809004</v>
      </c>
      <c r="H2934" s="1" t="str">
        <f>IFERROR(__xludf.DUMMYFUNCTION("""COMPUTED_VALUE"""),"SALVACION ABAD CHAVENTE")</f>
        <v>SALVACION ABAD CHAVENTE</v>
      </c>
      <c r="I2934" s="1">
        <f>IFERROR(__xludf.DUMMYFUNCTION("""COMPUTED_VALUE"""),639218526885)</f>
        <v>639218526885</v>
      </c>
      <c r="J2934" s="1">
        <f>IFERROR(__xludf.DUMMYFUNCTION("""COMPUTED_VALUE"""),9608539585)</f>
        <v>9608539585</v>
      </c>
      <c r="K2934" s="1" t="str">
        <f>IFERROR(__xludf.DUMMYFUNCTION("""COMPUTED_VALUE"""),"moralesmikee02@gmail.com")</f>
        <v>moralesmikee02@gmail.com</v>
      </c>
      <c r="L2934" s="1" t="str">
        <f>IFERROR(__xludf.DUMMYFUNCTION("""COMPUTED_VALUE"""),"350B")</f>
        <v>350B</v>
      </c>
      <c r="M2934" s="1" t="str">
        <f>IFERROR(__xludf.DUMMYFUNCTION("""COMPUTED_VALUE"""),"ATAR")</f>
        <v>ATAR</v>
      </c>
      <c r="N2934" s="1" t="str">
        <f>IFERROR(__xludf.DUMMYFUNCTION("""COMPUTED_VALUE"""),"#N/A")</f>
        <v>#N/A</v>
      </c>
      <c r="O2934" s="1" t="str">
        <f>IFERROR(__xludf.DUMMYFUNCTION("""COMPUTED_VALUE"""),"KAPITAN KUA (AREA F)")</f>
        <v>KAPITAN KUA (AREA F)</v>
      </c>
      <c r="P2934" s="1" t="str">
        <f>IFERROR(__xludf.DUMMYFUNCTION("""COMPUTED_VALUE"""),"GEN MARIANO ALVAREZ")</f>
        <v>GEN MARIANO ALVAREZ</v>
      </c>
      <c r="Q2934" s="1" t="str">
        <f>IFERROR(__xludf.DUMMYFUNCTION("""COMPUTED_VALUE"""),"CAVITE")</f>
        <v>CAVITE</v>
      </c>
      <c r="R2934" s="1" t="str">
        <f>IFERROR(__xludf.DUMMYFUNCTION("""COMPUTED_VALUE"""),"FIBR UNLI ALL PLAN 999")</f>
        <v>FIBR UNLI ALL PLAN 999</v>
      </c>
      <c r="S2934" s="1" t="str">
        <f>IFERROR(__xludf.DUMMYFUNCTION("""COMPUTED_VALUE"""),"APPROVED")</f>
        <v>APPROVED</v>
      </c>
      <c r="T2934" s="1" t="str">
        <f>IFERROR(__xludf.DUMMYFUNCTION("""COMPUTED_VALUE"""),"CANCELLED")</f>
        <v>CANCELLED</v>
      </c>
      <c r="U2934" s="1"/>
      <c r="V2934" s="1"/>
      <c r="W2934" s="1"/>
    </row>
    <row r="2935" customHeight="1" spans="1:23">
      <c r="A2935" s="3">
        <f>IFERROR(__xludf.DUMMYFUNCTION("""COMPUTED_VALUE"""),46264)</f>
        <v>46264</v>
      </c>
      <c r="B2935" s="1" t="str">
        <f>IFERROR(__xludf.DUMMYFUNCTION("""COMPUTED_VALUE"""),"CADERAO, RONALD")</f>
        <v>CADERAO, RONALD</v>
      </c>
      <c r="C2935" s="1" t="str">
        <f>IFERROR(__xludf.DUMMYFUNCTION("""COMPUTED_VALUE"""),"ORGANIC")</f>
        <v>ORGANIC</v>
      </c>
      <c r="D2935" s="1" t="str">
        <f>IFERROR(__xludf.DUMMYFUNCTION("""COMPUTED_VALUE"""),"REMOLLO LEA")</f>
        <v>REMOLLO LEA</v>
      </c>
      <c r="E2935" s="1" t="str">
        <f>IFERROR(__xludf.DUMMYFUNCTION("""COMPUTED_VALUE"""),"PLDT / H2H")</f>
        <v>PLDT / H2H</v>
      </c>
      <c r="F2935" s="1">
        <f>IFERROR(__xludf.DUMMYFUNCTION("""COMPUTED_VALUE"""),2312210649)</f>
        <v>2312210649</v>
      </c>
      <c r="G2935" s="1">
        <f>IFERROR(__xludf.DUMMYFUNCTION("""COMPUTED_VALUE"""),468547102004)</f>
        <v>468547102004</v>
      </c>
      <c r="H2935" s="1" t="str">
        <f>IFERROR(__xludf.DUMMYFUNCTION("""COMPUTED_VALUE"""),"JHANA MIGUELA CREDO RAGACION")</f>
        <v>JHANA MIGUELA CREDO RAGACION</v>
      </c>
      <c r="I2935" s="1">
        <f>IFERROR(__xludf.DUMMYFUNCTION("""COMPUTED_VALUE"""),9631058239)</f>
        <v>9631058239</v>
      </c>
      <c r="J2935" s="1"/>
      <c r="K2935" s="1" t="str">
        <f>IFERROR(__xludf.DUMMYFUNCTION("""COMPUTED_VALUE"""),"credojhana07@gmail.com")</f>
        <v>credojhana07@gmail.com</v>
      </c>
      <c r="L2935" s="1" t="str">
        <f>IFERROR(__xludf.DUMMYFUNCTION("""COMPUTED_VALUE"""),"64")</f>
        <v>64</v>
      </c>
      <c r="M2935" s="1" t="str">
        <f>IFERROR(__xludf.DUMMYFUNCTION("""COMPUTED_VALUE"""),"ZAMORA")</f>
        <v>ZAMORA</v>
      </c>
      <c r="N2935" s="1" t="str">
        <f>IFERROR(__xludf.DUMMYFUNCTION("""COMPUTED_VALUE"""),"#N/A")</f>
        <v>#N/A</v>
      </c>
      <c r="O2935" s="1" t="str">
        <f>IFERROR(__xludf.DUMMYFUNCTION("""COMPUTED_VALUE"""),"BARANGAY IV (POB.)")</f>
        <v>BARANGAY IV (POB.)</v>
      </c>
      <c r="P2935" s="1" t="str">
        <f>IFERROR(__xludf.DUMMYFUNCTION("""COMPUTED_VALUE"""),"ALFONSO")</f>
        <v>ALFONSO</v>
      </c>
      <c r="Q2935" s="1" t="str">
        <f>IFERROR(__xludf.DUMMYFUNCTION("""COMPUTED_VALUE"""),"CAVITE")</f>
        <v>CAVITE</v>
      </c>
      <c r="R2935" s="1" t="str">
        <f>IFERROR(__xludf.DUMMYFUNCTION("""COMPUTED_VALUE"""),"FIBR PLAN 1299")</f>
        <v>FIBR PLAN 1299</v>
      </c>
      <c r="S2935" s="1" t="str">
        <f>IFERROR(__xludf.DUMMYFUNCTION("""COMPUTED_VALUE"""),"APPROVED")</f>
        <v>APPROVED</v>
      </c>
      <c r="T2935" s="1" t="str">
        <f>IFERROR(__xludf.DUMMYFUNCTION("""COMPUTED_VALUE"""),"CLOSED")</f>
        <v>CLOSED</v>
      </c>
      <c r="U2935" s="1"/>
      <c r="V2935" s="1"/>
      <c r="W2935" s="1"/>
    </row>
    <row r="2936" customHeight="1" spans="1:23">
      <c r="A2936" s="3">
        <f>IFERROR(__xludf.DUMMYFUNCTION("""COMPUTED_VALUE"""),46264)</f>
        <v>46264</v>
      </c>
      <c r="B2936" s="1" t="str">
        <f>IFERROR(__xludf.DUMMYFUNCTION("""COMPUTED_VALUE"""),"AYON MANUEL")</f>
        <v>AYON MANUEL</v>
      </c>
      <c r="C2936" s="1" t="str">
        <f>IFERROR(__xludf.DUMMYFUNCTION("""COMPUTED_VALUE"""),"FLA")</f>
        <v>FLA</v>
      </c>
      <c r="D2936" s="1" t="str">
        <f>IFERROR(__xludf.DUMMYFUNCTION("""COMPUTED_VALUE"""),"JERIC NAVARRO")</f>
        <v>JERIC NAVARRO</v>
      </c>
      <c r="E2936" s="1" t="str">
        <f>IFERROR(__xludf.DUMMYFUNCTION("""COMPUTED_VALUE"""),"HOME BIZZ")</f>
        <v>HOME BIZZ</v>
      </c>
      <c r="F2936" s="1">
        <f>IFERROR(__xludf.DUMMYFUNCTION("""COMPUTED_VALUE"""),2312209642)</f>
        <v>2312209642</v>
      </c>
      <c r="G2936" s="1">
        <f>IFERROR(__xludf.DUMMYFUNCTION("""COMPUTED_VALUE"""),468545650004)</f>
        <v>468545650004</v>
      </c>
      <c r="H2936" s="1" t="str">
        <f>IFERROR(__xludf.DUMMYFUNCTION("""COMPUTED_VALUE"""),"CHECK EN JOO SOUTH FRIED CHICKEN HOUSE ")</f>
        <v>CHECK EN JOO SOUTH FRIED CHICKEN HOUSE </v>
      </c>
      <c r="I2936" s="1">
        <f>IFERROR(__xludf.DUMMYFUNCTION("""COMPUTED_VALUE"""),9055089248)</f>
        <v>9055089248</v>
      </c>
      <c r="J2936" s="1"/>
      <c r="K2936" s="1" t="str">
        <f>IFERROR(__xludf.DUMMYFUNCTION("""COMPUTED_VALUE"""),"ennaig20@gmail.com")</f>
        <v>ennaig20@gmail.com</v>
      </c>
      <c r="L2936" s="1" t="str">
        <f>IFERROR(__xludf.DUMMYFUNCTION("""COMPUTED_VALUE"""),"210")</f>
        <v>210</v>
      </c>
      <c r="M2936" s="1" t="str">
        <f>IFERROR(__xludf.DUMMYFUNCTION("""COMPUTED_VALUE"""),"ZONE 10")</f>
        <v>ZONE 10</v>
      </c>
      <c r="N2936" s="1" t="str">
        <f>IFERROR(__xludf.DUMMYFUNCTION("""COMPUTED_VALUE"""),"AFP")</f>
        <v>AFP</v>
      </c>
      <c r="O2936" s="1" t="str">
        <f>IFERROR(__xludf.DUMMYFUNCTION("""COMPUTED_VALUE"""),"BULIHAN")</f>
        <v>BULIHAN</v>
      </c>
      <c r="P2936" s="1" t="str">
        <f>IFERROR(__xludf.DUMMYFUNCTION("""COMPUTED_VALUE"""),"SILANG")</f>
        <v>SILANG</v>
      </c>
      <c r="Q2936" s="1" t="str">
        <f>IFERROR(__xludf.DUMMYFUNCTION("""COMPUTED_VALUE"""),"CAVITE")</f>
        <v>CAVITE</v>
      </c>
      <c r="R2936" s="1" t="str">
        <f>IFERROR(__xludf.DUMMYFUNCTION("""COMPUTED_VALUE"""),"HOME BIZ PLAN 1299")</f>
        <v>HOME BIZ PLAN 1299</v>
      </c>
      <c r="S2936" s="1" t="str">
        <f>IFERROR(__xludf.DUMMYFUNCTION("""COMPUTED_VALUE"""),"APPROVED")</f>
        <v>APPROVED</v>
      </c>
      <c r="T2936" s="1" t="str">
        <f>IFERROR(__xludf.DUMMYFUNCTION("""COMPUTED_VALUE"""),"CLOSED")</f>
        <v>CLOSED</v>
      </c>
      <c r="U2936" s="1"/>
      <c r="V2936" s="1"/>
      <c r="W2936" s="1"/>
    </row>
    <row r="2937" customHeight="1" spans="1:23">
      <c r="A2937" s="3">
        <f>IFERROR(__xludf.DUMMYFUNCTION("""COMPUTED_VALUE"""),46264)</f>
        <v>46264</v>
      </c>
      <c r="B2937" s="1" t="str">
        <f>IFERROR(__xludf.DUMMYFUNCTION("""COMPUTED_VALUE"""),"MALIWAT MARK ELVIN")</f>
        <v>MALIWAT MARK ELVIN</v>
      </c>
      <c r="C2937" s="1" t="str">
        <f>IFERROR(__xludf.DUMMYFUNCTION("""COMPUTED_VALUE"""),"FLA")</f>
        <v>FLA</v>
      </c>
      <c r="D2937" s="1" t="str">
        <f>IFERROR(__xludf.DUMMYFUNCTION("""COMPUTED_VALUE"""),"JERIC NAVARRO")</f>
        <v>JERIC NAVARRO</v>
      </c>
      <c r="E2937" s="1" t="str">
        <f>IFERROR(__xludf.DUMMYFUNCTION("""COMPUTED_VALUE"""),"PLDT / ONLINE")</f>
        <v>PLDT / ONLINE</v>
      </c>
      <c r="F2937" s="1">
        <f>IFERROR(__xludf.DUMMYFUNCTION("""COMPUTED_VALUE"""),2312211218)</f>
        <v>2312211218</v>
      </c>
      <c r="G2937" s="1">
        <f>IFERROR(__xludf.DUMMYFUNCTION("""COMPUTED_VALUE"""),468548558004)</f>
        <v>468548558004</v>
      </c>
      <c r="H2937" s="1" t="str">
        <f>IFERROR(__xludf.DUMMYFUNCTION("""COMPUTED_VALUE"""),"JHON KURT ACUNA DEMAKILING ")</f>
        <v>JHON KURT ACUNA DEMAKILING </v>
      </c>
      <c r="I2937" s="1">
        <f>IFERROR(__xludf.DUMMYFUNCTION("""COMPUTED_VALUE"""),9914215360)</f>
        <v>9914215360</v>
      </c>
      <c r="J2937" s="1"/>
      <c r="K2937" s="1" t="str">
        <f>IFERROR(__xludf.DUMMYFUNCTION("""COMPUTED_VALUE"""),"demakilingjhonkurt@gmail.com")</f>
        <v>demakilingjhonkurt@gmail.com</v>
      </c>
      <c r="L2937" s="1" t="str">
        <f>IFERROR(__xludf.DUMMYFUNCTION("""COMPUTED_VALUE"""),"2334")</f>
        <v>2334</v>
      </c>
      <c r="M2937" s="1" t="str">
        <f>IFERROR(__xludf.DUMMYFUNCTION("""COMPUTED_VALUE"""),"TOWER 1")</f>
        <v>TOWER 1</v>
      </c>
      <c r="N2937" s="1" t="str">
        <f>IFERROR(__xludf.DUMMYFUNCTION("""COMPUTED_VALUE"""),"SMDC")</f>
        <v>SMDC</v>
      </c>
      <c r="O2937" s="1" t="str">
        <f>IFERROR(__xludf.DUMMYFUNCTION("""COMPUTED_VALUE"""),"MAHARLIKA WEST")</f>
        <v>MAHARLIKA WEST</v>
      </c>
      <c r="P2937" s="1" t="str">
        <f>IFERROR(__xludf.DUMMYFUNCTION("""COMPUTED_VALUE"""),"TAGAYTAY")</f>
        <v>TAGAYTAY</v>
      </c>
      <c r="Q2937" s="1" t="str">
        <f>IFERROR(__xludf.DUMMYFUNCTION("""COMPUTED_VALUE"""),"CAVITE")</f>
        <v>CAVITE</v>
      </c>
      <c r="R2937" s="1" t="str">
        <f>IFERROR(__xludf.DUMMYFUNCTION("""COMPUTED_VALUE"""),"FIBR PLAN 1699")</f>
        <v>FIBR PLAN 1699</v>
      </c>
      <c r="S2937" s="1" t="str">
        <f>IFERROR(__xludf.DUMMYFUNCTION("""COMPUTED_VALUE"""),"APPROVED")</f>
        <v>APPROVED</v>
      </c>
      <c r="T2937" s="1" t="str">
        <f>IFERROR(__xludf.DUMMYFUNCTION("""COMPUTED_VALUE"""),"CLOSED")</f>
        <v>CLOSED</v>
      </c>
      <c r="U2937" s="1"/>
      <c r="V2937" s="1"/>
      <c r="W2937" s="1"/>
    </row>
    <row r="2938" customHeight="1" spans="1:23">
      <c r="A2938" s="3">
        <f>IFERROR(__xludf.DUMMYFUNCTION("""COMPUTED_VALUE"""),46264)</f>
        <v>46264</v>
      </c>
      <c r="B2938" s="1" t="str">
        <f>IFERROR(__xludf.DUMMYFUNCTION("""COMPUTED_VALUE"""),"ALOS, CHARLS LAURENZ")</f>
        <v>ALOS, CHARLS LAURENZ</v>
      </c>
      <c r="C2938" s="1" t="str">
        <f>IFERROR(__xludf.DUMMYFUNCTION("""COMPUTED_VALUE"""),"ORGANIC")</f>
        <v>ORGANIC</v>
      </c>
      <c r="D2938" s="1" t="str">
        <f>IFERROR(__xludf.DUMMYFUNCTION("""COMPUTED_VALUE"""),"REMOLLO LEA")</f>
        <v>REMOLLO LEA</v>
      </c>
      <c r="E2938" s="1" t="str">
        <f>IFERROR(__xludf.DUMMYFUNCTION("""COMPUTED_VALUE"""),"PLDT / H2H")</f>
        <v>PLDT / H2H</v>
      </c>
      <c r="F2938" s="1">
        <f>IFERROR(__xludf.DUMMYFUNCTION("""COMPUTED_VALUE"""),2312212246)</f>
        <v>2312212246</v>
      </c>
      <c r="G2938" s="1">
        <f>IFERROR(__xludf.DUMMYFUNCTION("""COMPUTED_VALUE"""),468549137004)</f>
        <v>468549137004</v>
      </c>
      <c r="H2938" s="1" t="str">
        <f>IFERROR(__xludf.DUMMYFUNCTION("""COMPUTED_VALUE"""),"MANALO SR RIVERAL MAHUSAY")</f>
        <v>MANALO SR RIVERAL MAHUSAY</v>
      </c>
      <c r="I2938" s="1">
        <f>IFERROR(__xludf.DUMMYFUNCTION("""COMPUTED_VALUE"""),9535575041)</f>
        <v>9535575041</v>
      </c>
      <c r="J2938" s="1"/>
      <c r="K2938" s="1" t="str">
        <f>IFERROR(__xludf.DUMMYFUNCTION("""COMPUTED_VALUE"""),"saliotnica@gmail.com")</f>
        <v>saliotnica@gmail.com</v>
      </c>
      <c r="L2938" s="1" t="str">
        <f>IFERROR(__xludf.DUMMYFUNCTION("""COMPUTED_VALUE"""),"8192")</f>
        <v>8192</v>
      </c>
      <c r="M2938" s="1" t="str">
        <f>IFERROR(__xludf.DUMMYFUNCTION("""COMPUTED_VALUE"""),"PUROK 2")</f>
        <v>PUROK 2</v>
      </c>
      <c r="N2938" s="1" t="str">
        <f>IFERROR(__xludf.DUMMYFUNCTION("""COMPUTED_VALUE"""),"#N/A")</f>
        <v>#N/A</v>
      </c>
      <c r="O2938" s="1" t="str">
        <f>IFERROR(__xludf.DUMMYFUNCTION("""COMPUTED_VALUE"""),"HUKAY")</f>
        <v>HUKAY</v>
      </c>
      <c r="P2938" s="1" t="str">
        <f>IFERROR(__xludf.DUMMYFUNCTION("""COMPUTED_VALUE"""),"SILANG")</f>
        <v>SILANG</v>
      </c>
      <c r="Q2938" s="1" t="str">
        <f>IFERROR(__xludf.DUMMYFUNCTION("""COMPUTED_VALUE"""),"CAVITE")</f>
        <v>CAVITE</v>
      </c>
      <c r="R2938" s="1" t="str">
        <f>IFERROR(__xludf.DUMMYFUNCTION("""COMPUTED_VALUE"""),"FIBR PLAN 1299")</f>
        <v>FIBR PLAN 1299</v>
      </c>
      <c r="S2938" s="1" t="str">
        <f>IFERROR(__xludf.DUMMYFUNCTION("""COMPUTED_VALUE"""),"APPROVED")</f>
        <v>APPROVED</v>
      </c>
      <c r="T2938" s="1" t="str">
        <f>IFERROR(__xludf.DUMMYFUNCTION("""COMPUTED_VALUE"""),"CANCELLED")</f>
        <v>CANCELLED</v>
      </c>
      <c r="U2938" s="1"/>
      <c r="V2938" s="1"/>
      <c r="W2938" s="1"/>
    </row>
    <row r="2939" customHeight="1" spans="1:23">
      <c r="A2939" s="3">
        <f>IFERROR(__xludf.DUMMYFUNCTION("""COMPUTED_VALUE"""),46264)</f>
        <v>46264</v>
      </c>
      <c r="B2939" s="1" t="str">
        <f>IFERROR(__xludf.DUMMYFUNCTION("""COMPUTED_VALUE"""),"FRANCISCO , ROSELYN")</f>
        <v>FRANCISCO , ROSELYN</v>
      </c>
      <c r="C2939" s="1" t="str">
        <f>IFERROR(__xludf.DUMMYFUNCTION("""COMPUTED_VALUE"""),"ORGANIC")</f>
        <v>ORGANIC</v>
      </c>
      <c r="D2939" s="1" t="str">
        <f>IFERROR(__xludf.DUMMYFUNCTION("""COMPUTED_VALUE"""),"REMOLLO LEA")</f>
        <v>REMOLLO LEA</v>
      </c>
      <c r="E2939" s="1" t="str">
        <f>IFERROR(__xludf.DUMMYFUNCTION("""COMPUTED_VALUE"""),"PLDT / H2H")</f>
        <v>PLDT / H2H</v>
      </c>
      <c r="F2939" s="1">
        <f>IFERROR(__xludf.DUMMYFUNCTION("""COMPUTED_VALUE"""),2312217391)</f>
        <v>2312217391</v>
      </c>
      <c r="G2939" s="1">
        <f>IFERROR(__xludf.DUMMYFUNCTION("""COMPUTED_VALUE"""),468552292004)</f>
        <v>468552292004</v>
      </c>
      <c r="H2939" s="1" t="str">
        <f>IFERROR(__xludf.DUMMYFUNCTION("""COMPUTED_VALUE"""),"SHANE MARIE LIZANO SAGURAN")</f>
        <v>SHANE MARIE LIZANO SAGURAN</v>
      </c>
      <c r="I2939" s="1">
        <f>IFERROR(__xludf.DUMMYFUNCTION("""COMPUTED_VALUE"""),9095493393)</f>
        <v>9095493393</v>
      </c>
      <c r="J2939" s="1">
        <f>IFERROR(__xludf.DUMMYFUNCTION("""COMPUTED_VALUE"""),9638480718)</f>
        <v>9638480718</v>
      </c>
      <c r="K2939" s="1" t="str">
        <f>IFERROR(__xludf.DUMMYFUNCTION("""COMPUTED_VALUE"""),"saguranshane93@gmail.com")</f>
        <v>saguranshane93@gmail.com</v>
      </c>
      <c r="L2939" s="1" t="str">
        <f>IFERROR(__xludf.DUMMYFUNCTION("""COMPUTED_VALUE"""),"BLK 25 LOT 27")</f>
        <v>BLK 25 LOT 27</v>
      </c>
      <c r="M2939" s="1" t="str">
        <f>IFERROR(__xludf.DUMMYFUNCTION("""COMPUTED_VALUE"""),"VIRATA")</f>
        <v>VIRATA</v>
      </c>
      <c r="N2939" s="1" t="str">
        <f>IFERROR(__xludf.DUMMYFUNCTION("""COMPUTED_VALUE"""),"#N/A")</f>
        <v>#N/A</v>
      </c>
      <c r="O2939" s="1" t="str">
        <f>IFERROR(__xludf.DUMMYFUNCTION("""COMPUTED_VALUE"""),"NICOLASA VIRATA (SAN JOSE)")</f>
        <v>NICOLASA VIRATA (SAN JOSE)</v>
      </c>
      <c r="P2939" s="1" t="str">
        <f>IFERROR(__xludf.DUMMYFUNCTION("""COMPUTED_VALUE"""),"GEN MARIANO ALVAREZ")</f>
        <v>GEN MARIANO ALVAREZ</v>
      </c>
      <c r="Q2939" s="1" t="str">
        <f>IFERROR(__xludf.DUMMYFUNCTION("""COMPUTED_VALUE"""),"CAVITE")</f>
        <v>CAVITE</v>
      </c>
      <c r="R2939" s="1" t="str">
        <f>IFERROR(__xludf.DUMMYFUNCTION("""COMPUTED_VALUE"""),"FIBR PLAN 1299")</f>
        <v>FIBR PLAN 1299</v>
      </c>
      <c r="S2939" s="1" t="str">
        <f>IFERROR(__xludf.DUMMYFUNCTION("""COMPUTED_VALUE"""),"APPROVED")</f>
        <v>APPROVED</v>
      </c>
      <c r="T2939" s="1" t="str">
        <f>IFERROR(__xludf.DUMMYFUNCTION("""COMPUTED_VALUE"""),"CLOSED")</f>
        <v>CLOSED</v>
      </c>
      <c r="U2939" s="1"/>
      <c r="V2939" s="1"/>
      <c r="W2939" s="1"/>
    </row>
    <row r="2940" customHeight="1" spans="1:23">
      <c r="A2940" s="3">
        <f>IFERROR(__xludf.DUMMYFUNCTION("""COMPUTED_VALUE"""),46264)</f>
        <v>46264</v>
      </c>
      <c r="B2940" s="1" t="str">
        <f>IFERROR(__xludf.DUMMYFUNCTION("""COMPUTED_VALUE"""),"GABAY, MANUEL")</f>
        <v>GABAY, MANUEL</v>
      </c>
      <c r="C2940" s="1" t="str">
        <f>IFERROR(__xludf.DUMMYFUNCTION("""COMPUTED_VALUE"""),"FLA")</f>
        <v>FLA</v>
      </c>
      <c r="D2940" s="1" t="str">
        <f>IFERROR(__xludf.DUMMYFUNCTION("""COMPUTED_VALUE"""),"JERIC NAVARRO")</f>
        <v>JERIC NAVARRO</v>
      </c>
      <c r="E2940" s="1" t="str">
        <f>IFERROR(__xludf.DUMMYFUNCTION("""COMPUTED_VALUE"""),"PLDT / H2H")</f>
        <v>PLDT / H2H</v>
      </c>
      <c r="F2940" s="1">
        <f>IFERROR(__xludf.DUMMYFUNCTION("""COMPUTED_VALUE"""),2312219091)</f>
        <v>2312219091</v>
      </c>
      <c r="G2940" s="1">
        <f>IFERROR(__xludf.DUMMYFUNCTION("""COMPUTED_VALUE"""),468557399004)</f>
        <v>468557399004</v>
      </c>
      <c r="H2940" s="1" t="str">
        <f>IFERROR(__xludf.DUMMYFUNCTION("""COMPUTED_VALUE"""),"JIRAH MAE MAG ARO TERUEL")</f>
        <v>JIRAH MAE MAG ARO TERUEL</v>
      </c>
      <c r="I2940" s="1">
        <f>IFERROR(__xludf.DUMMYFUNCTION("""COMPUTED_VALUE"""),9763992519)</f>
        <v>9763992519</v>
      </c>
      <c r="J2940" s="1">
        <f>IFERROR(__xludf.DUMMYFUNCTION("""COMPUTED_VALUE"""),9926139351)</f>
        <v>9926139351</v>
      </c>
      <c r="K2940" s="1" t="str">
        <f>IFERROR(__xludf.DUMMYFUNCTION("""COMPUTED_VALUE"""),"jirahmaeteruel111@gmail.com")</f>
        <v>jirahmaeteruel111@gmail.com</v>
      </c>
      <c r="L2940" s="1" t="str">
        <f>IFERROR(__xludf.DUMMYFUNCTION("""COMPUTED_VALUE"""),"BLK 6 LOT 5")</f>
        <v>BLK 6 LOT 5</v>
      </c>
      <c r="M2940" s="1" t="str">
        <f>IFERROR(__xludf.DUMMYFUNCTION("""COMPUTED_VALUE"""),"F REYES")</f>
        <v>F REYES</v>
      </c>
      <c r="N2940" s="1" t="str">
        <f>IFERROR(__xludf.DUMMYFUNCTION("""COMPUTED_VALUE"""),"#N/A")</f>
        <v>#N/A</v>
      </c>
      <c r="O2940" s="1" t="str">
        <f>IFERROR(__xludf.DUMMYFUNCTION("""COMPUTED_VALUE"""),"FRANCISCO REYES")</f>
        <v>FRANCISCO REYES</v>
      </c>
      <c r="P2940" s="1" t="str">
        <f>IFERROR(__xludf.DUMMYFUNCTION("""COMPUTED_VALUE"""),"GEN MARIANO ALVAREZ")</f>
        <v>GEN MARIANO ALVAREZ</v>
      </c>
      <c r="Q2940" s="1" t="str">
        <f>IFERROR(__xludf.DUMMYFUNCTION("""COMPUTED_VALUE"""),"CAVITE")</f>
        <v>CAVITE</v>
      </c>
      <c r="R2940" s="1" t="str">
        <f>IFERROR(__xludf.DUMMYFUNCTION("""COMPUTED_VALUE"""),"FIBR UNLI ALL PLAN 1499")</f>
        <v>FIBR UNLI ALL PLAN 1499</v>
      </c>
      <c r="S2940" s="1" t="str">
        <f>IFERROR(__xludf.DUMMYFUNCTION("""COMPUTED_VALUE"""),"APPROVED")</f>
        <v>APPROVED</v>
      </c>
      <c r="T2940" s="1" t="str">
        <f>IFERROR(__xludf.DUMMYFUNCTION("""COMPUTED_VALUE"""),"AFD")</f>
        <v>AFD</v>
      </c>
      <c r="U2940" s="1"/>
      <c r="V2940" s="1"/>
      <c r="W2940" s="1"/>
    </row>
    <row r="2941" customHeight="1" spans="1:23">
      <c r="A2941" s="3">
        <f>IFERROR(__xludf.DUMMYFUNCTION("""COMPUTED_VALUE"""),46264)</f>
        <v>46264</v>
      </c>
      <c r="B2941" s="1" t="str">
        <f>IFERROR(__xludf.DUMMYFUNCTION("""COMPUTED_VALUE"""),"ESCARCHA, MA ALMA  ESCOTO")</f>
        <v>ESCARCHA, MA ALMA  ESCOTO</v>
      </c>
      <c r="C2941" s="1" t="str">
        <f>IFERROR(__xludf.DUMMYFUNCTION("""COMPUTED_VALUE"""),"ORGANIC")</f>
        <v>ORGANIC</v>
      </c>
      <c r="D2941" s="1" t="str">
        <f>IFERROR(__xludf.DUMMYFUNCTION("""COMPUTED_VALUE"""),"REMOLLO LEA")</f>
        <v>REMOLLO LEA</v>
      </c>
      <c r="E2941" s="1" t="str">
        <f>IFERROR(__xludf.DUMMYFUNCTION("""COMPUTED_VALUE"""),"PLDT / H2H")</f>
        <v>PLDT / H2H</v>
      </c>
      <c r="F2941" s="1">
        <f>IFERROR(__xludf.DUMMYFUNCTION("""COMPUTED_VALUE"""),2312219468)</f>
        <v>2312219468</v>
      </c>
      <c r="G2941" s="1">
        <f>IFERROR(__xludf.DUMMYFUNCTION("""COMPUTED_VALUE"""),468557050004)</f>
        <v>468557050004</v>
      </c>
      <c r="H2941" s="1" t="str">
        <f>IFERROR(__xludf.DUMMYFUNCTION("""COMPUTED_VALUE"""),"MARLENE ABUSCA TERRADO")</f>
        <v>MARLENE ABUSCA TERRADO</v>
      </c>
      <c r="I2941" s="1">
        <f>IFERROR(__xludf.DUMMYFUNCTION("""COMPUTED_VALUE"""),9207280270)</f>
        <v>9207280270</v>
      </c>
      <c r="J2941" s="1">
        <f>IFERROR(__xludf.DUMMYFUNCTION("""COMPUTED_VALUE"""),9506426702)</f>
        <v>9506426702</v>
      </c>
      <c r="K2941" s="1" t="str">
        <f>IFERROR(__xludf.DUMMYFUNCTION("""COMPUTED_VALUE"""),"jeszuterrado74@gmail.com")</f>
        <v>jeszuterrado74@gmail.com</v>
      </c>
      <c r="L2941" s="1" t="str">
        <f>IFERROR(__xludf.DUMMYFUNCTION("""COMPUTED_VALUE"""),"BLK 9")</f>
        <v>BLK 9</v>
      </c>
      <c r="M2941" s="1" t="str">
        <f>IFERROR(__xludf.DUMMYFUNCTION("""COMPUTED_VALUE"""),"EXCESS LOT")</f>
        <v>EXCESS LOT</v>
      </c>
      <c r="N2941" s="1" t="str">
        <f>IFERROR(__xludf.DUMMYFUNCTION("""COMPUTED_VALUE"""),"#N/A")</f>
        <v>#N/A</v>
      </c>
      <c r="O2941" s="1" t="str">
        <f>IFERROR(__xludf.DUMMYFUNCTION("""COMPUTED_VALUE"""),"FRANCISCO REYES")</f>
        <v>FRANCISCO REYES</v>
      </c>
      <c r="P2941" s="1" t="str">
        <f>IFERROR(__xludf.DUMMYFUNCTION("""COMPUTED_VALUE"""),"GEN MARIANO ALVAREZ")</f>
        <v>GEN MARIANO ALVAREZ</v>
      </c>
      <c r="Q2941" s="1" t="str">
        <f>IFERROR(__xludf.DUMMYFUNCTION("""COMPUTED_VALUE"""),"CAVITE")</f>
        <v>CAVITE</v>
      </c>
      <c r="R2941" s="1" t="str">
        <f>IFERROR(__xludf.DUMMYFUNCTION("""COMPUTED_VALUE"""),"FIBR UNLI ALL PLAN 999")</f>
        <v>FIBR UNLI ALL PLAN 999</v>
      </c>
      <c r="S2941" s="1" t="str">
        <f>IFERROR(__xludf.DUMMYFUNCTION("""COMPUTED_VALUE"""),"APPROVED")</f>
        <v>APPROVED</v>
      </c>
      <c r="T2941" s="1" t="str">
        <f>IFERROR(__xludf.DUMMYFUNCTION("""COMPUTED_VALUE"""),"CANCELLED")</f>
        <v>CANCELLED</v>
      </c>
      <c r="U2941" s="1"/>
      <c r="V2941" s="1"/>
      <c r="W2941" s="1"/>
    </row>
    <row r="2942" customHeight="1" spans="1:23">
      <c r="A2942" s="3">
        <f>IFERROR(__xludf.DUMMYFUNCTION("""COMPUTED_VALUE"""),46264)</f>
        <v>46264</v>
      </c>
      <c r="B2942" s="1" t="str">
        <f>IFERROR(__xludf.DUMMYFUNCTION("""COMPUTED_VALUE"""),"ARIENA, LYKA")</f>
        <v>ARIENA, LYKA</v>
      </c>
      <c r="C2942" s="1" t="str">
        <f>IFERROR(__xludf.DUMMYFUNCTION("""COMPUTED_VALUE"""),"ORGANIC")</f>
        <v>ORGANIC</v>
      </c>
      <c r="D2942" s="1" t="str">
        <f>IFERROR(__xludf.DUMMYFUNCTION("""COMPUTED_VALUE"""),"REMOLLO LEA")</f>
        <v>REMOLLO LEA</v>
      </c>
      <c r="E2942" s="1" t="str">
        <f>IFERROR(__xludf.DUMMYFUNCTION("""COMPUTED_VALUE"""),"PLDT / ONLINE")</f>
        <v>PLDT / ONLINE</v>
      </c>
      <c r="F2942" s="1">
        <f>IFERROR(__xludf.DUMMYFUNCTION("""COMPUTED_VALUE"""),2312219761)</f>
        <v>2312219761</v>
      </c>
      <c r="G2942" s="1">
        <f>IFERROR(__xludf.DUMMYFUNCTION("""COMPUTED_VALUE"""),468558060004)</f>
        <v>468558060004</v>
      </c>
      <c r="H2942" s="1" t="str">
        <f>IFERROR(__xludf.DUMMYFUNCTION("""COMPUTED_VALUE"""),"ROSALIE CARAGA SIMBAJON")</f>
        <v>ROSALIE CARAGA SIMBAJON</v>
      </c>
      <c r="I2942" s="1">
        <f>IFERROR(__xludf.DUMMYFUNCTION("""COMPUTED_VALUE"""),9703965572)</f>
        <v>9703965572</v>
      </c>
      <c r="J2942" s="1"/>
      <c r="K2942" s="1" t="str">
        <f>IFERROR(__xludf.DUMMYFUNCTION("""COMPUTED_VALUE"""),"jerosaliezech1223@gmail.com")</f>
        <v>jerosaliezech1223@gmail.com</v>
      </c>
      <c r="L2942" s="1" t="str">
        <f>IFERROR(__xludf.DUMMYFUNCTION("""COMPUTED_VALUE"""),"BLK 1 LOT 11")</f>
        <v>BLK 1 LOT 11</v>
      </c>
      <c r="M2942" s="1" t="str">
        <f>IFERROR(__xludf.DUMMYFUNCTION("""COMPUTED_VALUE"""),"MERCEDS ")</f>
        <v>MERCEDS </v>
      </c>
      <c r="N2942" s="1" t="str">
        <f>IFERROR(__xludf.DUMMYFUNCTION("""COMPUTED_VALUE"""),"VILLA LUISA")</f>
        <v>VILLA LUISA</v>
      </c>
      <c r="O2942" s="1" t="str">
        <f>IFERROR(__xludf.DUMMYFUNCTION("""COMPUTED_VALUE"""),"SAN AGUSTIN III")</f>
        <v>SAN AGUSTIN III</v>
      </c>
      <c r="P2942" s="1" t="str">
        <f>IFERROR(__xludf.DUMMYFUNCTION("""COMPUTED_VALUE"""),"DASMARINAS")</f>
        <v>DASMARINAS</v>
      </c>
      <c r="Q2942" s="1" t="str">
        <f>IFERROR(__xludf.DUMMYFUNCTION("""COMPUTED_VALUE"""),"CAVITE")</f>
        <v>CAVITE</v>
      </c>
      <c r="R2942" s="1" t="str">
        <f>IFERROR(__xludf.DUMMYFUNCTION("""COMPUTED_VALUE"""),"FIBR UNLI ALL PLAN 1499")</f>
        <v>FIBR UNLI ALL PLAN 1499</v>
      </c>
      <c r="S2942" s="1" t="str">
        <f>IFERROR(__xludf.DUMMYFUNCTION("""COMPUTED_VALUE"""),"APPROVED")</f>
        <v>APPROVED</v>
      </c>
      <c r="T2942" s="1" t="str">
        <f>IFERROR(__xludf.DUMMYFUNCTION("""COMPUTED_VALUE"""),"CLOSED")</f>
        <v>CLOSED</v>
      </c>
      <c r="U2942" s="1"/>
      <c r="V2942" s="1"/>
      <c r="W2942" s="1"/>
    </row>
    <row r="2943" customHeight="1" spans="1:23">
      <c r="A2943" s="3">
        <f>IFERROR(__xludf.DUMMYFUNCTION("""COMPUTED_VALUE"""),46264)</f>
        <v>46264</v>
      </c>
      <c r="B2943" s="1" t="str">
        <f>IFERROR(__xludf.DUMMYFUNCTION("""COMPUTED_VALUE"""),"DENACO, RODNEY")</f>
        <v>DENACO, RODNEY</v>
      </c>
      <c r="C2943" s="1" t="str">
        <f>IFERROR(__xludf.DUMMYFUNCTION("""COMPUTED_VALUE"""),"ORGANIC")</f>
        <v>ORGANIC</v>
      </c>
      <c r="D2943" s="1" t="str">
        <f>IFERROR(__xludf.DUMMYFUNCTION("""COMPUTED_VALUE"""),"REMOLLO LEA")</f>
        <v>REMOLLO LEA</v>
      </c>
      <c r="E2943" s="1" t="str">
        <f>IFERROR(__xludf.DUMMYFUNCTION("""COMPUTED_VALUE"""),"PLDT / H2H")</f>
        <v>PLDT / H2H</v>
      </c>
      <c r="F2943" s="1">
        <f>IFERROR(__xludf.DUMMYFUNCTION("""COMPUTED_VALUE"""),2312219957)</f>
        <v>2312219957</v>
      </c>
      <c r="G2943" s="1"/>
      <c r="H2943" s="1" t="str">
        <f>IFERROR(__xludf.DUMMYFUNCTION("""COMPUTED_VALUE"""),"RELINDA DE GUIA ILMEDO")</f>
        <v>RELINDA DE GUIA ILMEDO</v>
      </c>
      <c r="I2943" s="1">
        <f>IFERROR(__xludf.DUMMYFUNCTION("""COMPUTED_VALUE"""),9851826331)</f>
        <v>9851826331</v>
      </c>
      <c r="J2943" s="1">
        <f>IFERROR(__xludf.DUMMYFUNCTION("""COMPUTED_VALUE"""),9638068708)</f>
        <v>9638068708</v>
      </c>
      <c r="K2943" s="1" t="str">
        <f>IFERROR(__xludf.DUMMYFUNCTION("""COMPUTED_VALUE"""),"congelove33@gmail.com")</f>
        <v>congelove33@gmail.com</v>
      </c>
      <c r="L2943" s="1" t="str">
        <f>IFERROR(__xludf.DUMMYFUNCTION("""COMPUTED_VALUE"""),"BLK 9A LOT 63")</f>
        <v>BLK 9A LOT 63</v>
      </c>
      <c r="M2943" s="1" t="str">
        <f>IFERROR(__xludf.DUMMYFUNCTION("""COMPUTED_VALUE"""),"VIRATA")</f>
        <v>VIRATA</v>
      </c>
      <c r="N2943" s="1" t="str">
        <f>IFERROR(__xludf.DUMMYFUNCTION("""COMPUTED_VALUE"""),"#N/A")</f>
        <v>#N/A</v>
      </c>
      <c r="O2943" s="1" t="str">
        <f>IFERROR(__xludf.DUMMYFUNCTION("""COMPUTED_VALUE"""),"NICOLASA VIRATA (SAN JOSE)")</f>
        <v>NICOLASA VIRATA (SAN JOSE)</v>
      </c>
      <c r="P2943" s="1" t="str">
        <f>IFERROR(__xludf.DUMMYFUNCTION("""COMPUTED_VALUE"""),"GEN MARIANO ALVAREZ")</f>
        <v>GEN MARIANO ALVAREZ</v>
      </c>
      <c r="Q2943" s="1" t="str">
        <f>IFERROR(__xludf.DUMMYFUNCTION("""COMPUTED_VALUE"""),"CAVITE")</f>
        <v>CAVITE</v>
      </c>
      <c r="R2943" s="1" t="str">
        <f>IFERROR(__xludf.DUMMYFUNCTION("""COMPUTED_VALUE"""),"FIBR UNLI ALL PLAN 999")</f>
        <v>FIBR UNLI ALL PLAN 999</v>
      </c>
      <c r="S2943" s="1" t="str">
        <f>IFERROR(__xludf.DUMMYFUNCTION("""COMPUTED_VALUE"""),"APPROVED")</f>
        <v>APPROVED</v>
      </c>
      <c r="T2943" s="1" t="str">
        <f>IFERROR(__xludf.DUMMYFUNCTION("""COMPUTED_VALUE"""),"CANCELLED")</f>
        <v>CANCELLED</v>
      </c>
      <c r="U2943" s="1"/>
      <c r="V2943" s="1"/>
      <c r="W2943" s="1"/>
    </row>
    <row r="2944" customHeight="1" spans="1:23">
      <c r="A2944" s="3">
        <f>IFERROR(__xludf.DUMMYFUNCTION("""COMPUTED_VALUE"""),46265)</f>
        <v>46265</v>
      </c>
      <c r="B2944" s="1" t="str">
        <f>IFERROR(__xludf.DUMMYFUNCTION("""COMPUTED_VALUE"""),"MALIWAT MARK ELVIN")</f>
        <v>MALIWAT MARK ELVIN</v>
      </c>
      <c r="C2944" s="1" t="str">
        <f>IFERROR(__xludf.DUMMYFUNCTION("""COMPUTED_VALUE"""),"FLA")</f>
        <v>FLA</v>
      </c>
      <c r="D2944" s="1" t="str">
        <f>IFERROR(__xludf.DUMMYFUNCTION("""COMPUTED_VALUE"""),"JERIC NAVARRO")</f>
        <v>JERIC NAVARRO</v>
      </c>
      <c r="E2944" s="1" t="str">
        <f>IFERROR(__xludf.DUMMYFUNCTION("""COMPUTED_VALUE"""),"PLDT / ONLINE")</f>
        <v>PLDT / ONLINE</v>
      </c>
      <c r="F2944" s="1">
        <f>IFERROR(__xludf.DUMMYFUNCTION("""COMPUTED_VALUE"""),2312248200)</f>
        <v>2312248200</v>
      </c>
      <c r="G2944" s="1">
        <f>IFERROR(__xludf.DUMMYFUNCTION("""COMPUTED_VALUE"""),468708315004)</f>
        <v>468708315004</v>
      </c>
      <c r="H2944" s="1" t="str">
        <f>IFERROR(__xludf.DUMMYFUNCTION("""COMPUTED_VALUE"""),"JENNY MALIMBAN BENCITO")</f>
        <v>JENNY MALIMBAN BENCITO</v>
      </c>
      <c r="I2944" s="1">
        <f>IFERROR(__xludf.DUMMYFUNCTION("""COMPUTED_VALUE"""),639518912069)</f>
        <v>639518912069</v>
      </c>
      <c r="J2944" s="1"/>
      <c r="K2944" s="1" t="str">
        <f>IFERROR(__xludf.DUMMYFUNCTION("""COMPUTED_VALUE"""),"bencitojenny10@gmail.com")</f>
        <v>bencitojenny10@gmail.com</v>
      </c>
      <c r="L2944" s="1" t="str">
        <f>IFERROR(__xludf.DUMMYFUNCTION("""COMPUTED_VALUE"""),"33")</f>
        <v>33</v>
      </c>
      <c r="M2944" s="1" t="str">
        <f>IFERROR(__xludf.DUMMYFUNCTION("""COMPUTED_VALUE"""),"PUROK 2")</f>
        <v>PUROK 2</v>
      </c>
      <c r="N2944" s="1" t="str">
        <f>IFERROR(__xludf.DUMMYFUNCTION("""COMPUTED_VALUE"""),"#N/A")</f>
        <v>#N/A</v>
      </c>
      <c r="O2944" s="1" t="str">
        <f>IFERROR(__xludf.DUMMYFUNCTION("""COMPUTED_VALUE"""),"KAYMISAS")</f>
        <v>KAYMISAS</v>
      </c>
      <c r="P2944" s="1" t="str">
        <f>IFERROR(__xludf.DUMMYFUNCTION("""COMPUTED_VALUE"""),"GENERAL EMILIO AGUINALDO")</f>
        <v>GENERAL EMILIO AGUINALDO</v>
      </c>
      <c r="Q2944" s="1" t="str">
        <f>IFERROR(__xludf.DUMMYFUNCTION("""COMPUTED_VALUE"""),"CAVITE")</f>
        <v>CAVITE</v>
      </c>
      <c r="R2944" s="1" t="str">
        <f>IFERROR(__xludf.DUMMYFUNCTION("""COMPUTED_VALUE"""),"FIBR UNLI ALL PLAN 1499")</f>
        <v>FIBR UNLI ALL PLAN 1499</v>
      </c>
      <c r="S2944" s="1" t="str">
        <f>IFERROR(__xludf.DUMMYFUNCTION("""COMPUTED_VALUE"""),"APPROVED")</f>
        <v>APPROVED</v>
      </c>
      <c r="T2944" s="1" t="str">
        <f>IFERROR(__xludf.DUMMYFUNCTION("""COMPUTED_VALUE"""),"CANCELLED")</f>
        <v>CANCELLED</v>
      </c>
      <c r="U2944" s="1"/>
      <c r="V2944" s="1"/>
      <c r="W2944" s="1"/>
    </row>
    <row r="2945" customHeight="1" spans="1:23">
      <c r="A2945" s="3">
        <f>IFERROR(__xludf.DUMMYFUNCTION("""COMPUTED_VALUE"""),46265)</f>
        <v>46265</v>
      </c>
      <c r="B2945" s="1" t="str">
        <f>IFERROR(__xludf.DUMMYFUNCTION("""COMPUTED_VALUE"""),"MALIWAT MARK ELVIN")</f>
        <v>MALIWAT MARK ELVIN</v>
      </c>
      <c r="C2945" s="1" t="str">
        <f>IFERROR(__xludf.DUMMYFUNCTION("""COMPUTED_VALUE"""),"FLA")</f>
        <v>FLA</v>
      </c>
      <c r="D2945" s="1" t="str">
        <f>IFERROR(__xludf.DUMMYFUNCTION("""COMPUTED_VALUE"""),"JERIC NAVARRO")</f>
        <v>JERIC NAVARRO</v>
      </c>
      <c r="E2945" s="1" t="str">
        <f>IFERROR(__xludf.DUMMYFUNCTION("""COMPUTED_VALUE"""),"PLDT / ONLINE")</f>
        <v>PLDT / ONLINE</v>
      </c>
      <c r="F2945" s="1">
        <f>IFERROR(__xludf.DUMMYFUNCTION("""COMPUTED_VALUE"""),2312234835)</f>
        <v>2312234835</v>
      </c>
      <c r="G2945" s="1"/>
      <c r="H2945" s="1" t="str">
        <f>IFERROR(__xludf.DUMMYFUNCTION("""COMPUTED_VALUE"""),"ROSE ANN TAGLE AMULONG")</f>
        <v>ROSE ANN TAGLE AMULONG</v>
      </c>
      <c r="I2945" s="1">
        <f>IFERROR(__xludf.DUMMYFUNCTION("""COMPUTED_VALUE"""),9242157178)</f>
        <v>9242157178</v>
      </c>
      <c r="J2945" s="1">
        <f>IFERROR(__xludf.DUMMYFUNCTION("""COMPUTED_VALUE"""),9171799898)</f>
        <v>9171799898</v>
      </c>
      <c r="K2945" s="1" t="str">
        <f>IFERROR(__xludf.DUMMYFUNCTION("""COMPUTED_VALUE"""),"anne@gensaicarreer.com")</f>
        <v>anne@gensaicarreer.com</v>
      </c>
      <c r="L2945" s="1" t="str">
        <f>IFERROR(__xludf.DUMMYFUNCTION("""COMPUTED_VALUE"""),"117c")</f>
        <v>117c</v>
      </c>
      <c r="M2945" s="1" t="str">
        <f>IFERROR(__xludf.DUMMYFUNCTION("""COMPUTED_VALUE"""),"C5")</f>
        <v>C5</v>
      </c>
      <c r="N2945" s="1" t="str">
        <f>IFERROR(__xludf.DUMMYFUNCTION("""COMPUTED_VALUE"""),"#N/A")</f>
        <v>#N/A</v>
      </c>
      <c r="O2945" s="1" t="str">
        <f>IFERROR(__xludf.DUMMYFUNCTION("""COMPUTED_VALUE"""),"LUKSUHIN")</f>
        <v>LUKSUHIN</v>
      </c>
      <c r="P2945" s="1" t="str">
        <f>IFERROR(__xludf.DUMMYFUNCTION("""COMPUTED_VALUE"""),"ALFONSO")</f>
        <v>ALFONSO</v>
      </c>
      <c r="Q2945" s="1" t="str">
        <f>IFERROR(__xludf.DUMMYFUNCTION("""COMPUTED_VALUE"""),"CAVITE")</f>
        <v>CAVITE</v>
      </c>
      <c r="R2945" s="1" t="str">
        <f>IFERROR(__xludf.DUMMYFUNCTION("""COMPUTED_VALUE"""),"FIBR PLAN 1299")</f>
        <v>FIBR PLAN 1299</v>
      </c>
      <c r="S2945" s="1" t="str">
        <f>IFERROR(__xludf.DUMMYFUNCTION("""COMPUTED_VALUE"""),"APPROVED")</f>
        <v>APPROVED</v>
      </c>
      <c r="T2945" s="1" t="str">
        <f>IFERROR(__xludf.DUMMYFUNCTION("""COMPUTED_VALUE"""),"CANCELLED")</f>
        <v>CANCELLED</v>
      </c>
      <c r="U2945" s="1"/>
      <c r="V2945" s="1"/>
      <c r="W2945" s="1"/>
    </row>
    <row r="2946" customHeight="1" spans="1:23">
      <c r="A2946" s="3">
        <f>IFERROR(__xludf.DUMMYFUNCTION("""COMPUTED_VALUE"""),46265)</f>
        <v>46265</v>
      </c>
      <c r="B2946" s="1" t="str">
        <f>IFERROR(__xludf.DUMMYFUNCTION("""COMPUTED_VALUE"""),"DENACO, RODNEY")</f>
        <v>DENACO, RODNEY</v>
      </c>
      <c r="C2946" s="1" t="str">
        <f>IFERROR(__xludf.DUMMYFUNCTION("""COMPUTED_VALUE"""),"ORGANIC")</f>
        <v>ORGANIC</v>
      </c>
      <c r="D2946" s="1" t="str">
        <f>IFERROR(__xludf.DUMMYFUNCTION("""COMPUTED_VALUE"""),"REMOLLO LEA")</f>
        <v>REMOLLO LEA</v>
      </c>
      <c r="E2946" s="1" t="str">
        <f>IFERROR(__xludf.DUMMYFUNCTION("""COMPUTED_VALUE"""),"PLDT / H2H")</f>
        <v>PLDT / H2H</v>
      </c>
      <c r="F2946" s="1">
        <f>IFERROR(__xludf.DUMMYFUNCTION("""COMPUTED_VALUE"""),2312235330)</f>
        <v>2312235330</v>
      </c>
      <c r="G2946" s="1">
        <f>IFERROR(__xludf.DUMMYFUNCTION("""COMPUTED_VALUE"""),468681816004)</f>
        <v>468681816004</v>
      </c>
      <c r="H2946" s="1" t="str">
        <f>IFERROR(__xludf.DUMMYFUNCTION("""COMPUTED_VALUE"""),"CONCHITA BETACHE MALAIT")</f>
        <v>CONCHITA BETACHE MALAIT</v>
      </c>
      <c r="I2946" s="1">
        <f>IFERROR(__xludf.DUMMYFUNCTION("""COMPUTED_VALUE"""),639458033631)</f>
        <v>639458033631</v>
      </c>
      <c r="J2946" s="1">
        <f>IFERROR(__xludf.DUMMYFUNCTION("""COMPUTED_VALUE"""),9773793102)</f>
        <v>9773793102</v>
      </c>
      <c r="K2946" s="1" t="str">
        <f>IFERROR(__xludf.DUMMYFUNCTION("""COMPUTED_VALUE"""),"saraharmado@gmail.com")</f>
        <v>saraharmado@gmail.com</v>
      </c>
      <c r="L2946" s="1" t="str">
        <f>IFERROR(__xludf.DUMMYFUNCTION("""COMPUTED_VALUE"""),"8P")</f>
        <v>8P</v>
      </c>
      <c r="M2946" s="1" t="str">
        <f>IFERROR(__xludf.DUMMYFUNCTION("""COMPUTED_VALUE"""),"ANTONIO")</f>
        <v>ANTONIO</v>
      </c>
      <c r="N2946" s="1" t="str">
        <f>IFERROR(__xludf.DUMMYFUNCTION("""COMPUTED_VALUE"""),"MARY ANN VILLE")</f>
        <v>MARY ANN VILLE</v>
      </c>
      <c r="O2946" s="1" t="str">
        <f>IFERROR(__xludf.DUMMYFUNCTION("""COMPUTED_VALUE"""),"BARANGAY 5 POBLACION")</f>
        <v>BARANGAY 5 POBLACION</v>
      </c>
      <c r="P2946" s="1" t="str">
        <f>IFERROR(__xludf.DUMMYFUNCTION("""COMPUTED_VALUE"""),"SILANG")</f>
        <v>SILANG</v>
      </c>
      <c r="Q2946" s="1" t="str">
        <f>IFERROR(__xludf.DUMMYFUNCTION("""COMPUTED_VALUE"""),"CAVITE")</f>
        <v>CAVITE</v>
      </c>
      <c r="R2946" s="1" t="str">
        <f>IFERROR(__xludf.DUMMYFUNCTION("""COMPUTED_VALUE"""),"FIBR UNLI ALL PLAN 999")</f>
        <v>FIBR UNLI ALL PLAN 999</v>
      </c>
      <c r="S2946" s="1" t="str">
        <f>IFERROR(__xludf.DUMMYFUNCTION("""COMPUTED_VALUE"""),"APPROVED")</f>
        <v>APPROVED</v>
      </c>
      <c r="T2946" s="1" t="str">
        <f>IFERROR(__xludf.DUMMYFUNCTION("""COMPUTED_VALUE"""),"CANCELLED")</f>
        <v>CANCELLED</v>
      </c>
      <c r="U2946" s="1"/>
      <c r="V2946" s="1"/>
      <c r="W2946" s="1"/>
    </row>
    <row r="2947" customHeight="1" spans="1:23">
      <c r="A2947" s="3">
        <f>IFERROR(__xludf.DUMMYFUNCTION("""COMPUTED_VALUE"""),46265)</f>
        <v>46265</v>
      </c>
      <c r="B2947" s="1" t="str">
        <f>IFERROR(__xludf.DUMMYFUNCTION("""COMPUTED_VALUE"""),"FRANCISCO , ROSELYN")</f>
        <v>FRANCISCO , ROSELYN</v>
      </c>
      <c r="C2947" s="1" t="str">
        <f>IFERROR(__xludf.DUMMYFUNCTION("""COMPUTED_VALUE"""),"ORGANIC")</f>
        <v>ORGANIC</v>
      </c>
      <c r="D2947" s="1" t="str">
        <f>IFERROR(__xludf.DUMMYFUNCTION("""COMPUTED_VALUE"""),"REMOLLO LEA")</f>
        <v>REMOLLO LEA</v>
      </c>
      <c r="E2947" s="1" t="str">
        <f>IFERROR(__xludf.DUMMYFUNCTION("""COMPUTED_VALUE"""),"PLDT / H2H")</f>
        <v>PLDT / H2H</v>
      </c>
      <c r="F2947" s="1">
        <f>IFERROR(__xludf.DUMMYFUNCTION("""COMPUTED_VALUE"""),2312237065)</f>
        <v>2312237065</v>
      </c>
      <c r="G2947" s="1">
        <f>IFERROR(__xludf.DUMMYFUNCTION("""COMPUTED_VALUE"""),468682203004)</f>
        <v>468682203004</v>
      </c>
      <c r="H2947" s="1" t="str">
        <f>IFERROR(__xludf.DUMMYFUNCTION("""COMPUTED_VALUE"""),"ARNEL JR PAGUERGAN MENDOZA")</f>
        <v>ARNEL JR PAGUERGAN MENDOZA</v>
      </c>
      <c r="I2947" s="1">
        <f>IFERROR(__xludf.DUMMYFUNCTION("""COMPUTED_VALUE"""),9169985471)</f>
        <v>9169985471</v>
      </c>
      <c r="J2947" s="1">
        <f>IFERROR(__xludf.DUMMYFUNCTION("""COMPUTED_VALUE"""),9859862251)</f>
        <v>9859862251</v>
      </c>
      <c r="K2947" s="1" t="str">
        <f>IFERROR(__xludf.DUMMYFUNCTION("""COMPUTED_VALUE"""),"arnelm623@gmail.com")</f>
        <v>arnelm623@gmail.com</v>
      </c>
      <c r="L2947" s="1" t="str">
        <f>IFERROR(__xludf.DUMMYFUNCTION("""COMPUTED_VALUE"""),"BLK 10 LOT 28")</f>
        <v>BLK 10 LOT 28</v>
      </c>
      <c r="M2947" s="1" t="str">
        <f>IFERROR(__xludf.DUMMYFUNCTION("""COMPUTED_VALUE"""),"CHOPLOT")</f>
        <v>CHOPLOT</v>
      </c>
      <c r="N2947" s="1" t="str">
        <f>IFERROR(__xludf.DUMMYFUNCTION("""COMPUTED_VALUE"""),"#N/A")</f>
        <v>#N/A</v>
      </c>
      <c r="O2947" s="1" t="str">
        <f>IFERROR(__xludf.DUMMYFUNCTION("""COMPUTED_VALUE"""),"PALIPARAN III")</f>
        <v>PALIPARAN III</v>
      </c>
      <c r="P2947" s="1" t="str">
        <f>IFERROR(__xludf.DUMMYFUNCTION("""COMPUTED_VALUE"""),"DASMARINAS")</f>
        <v>DASMARINAS</v>
      </c>
      <c r="Q2947" s="1" t="str">
        <f>IFERROR(__xludf.DUMMYFUNCTION("""COMPUTED_VALUE"""),"CAVITE")</f>
        <v>CAVITE</v>
      </c>
      <c r="R2947" s="1" t="str">
        <f>IFERROR(__xludf.DUMMYFUNCTION("""COMPUTED_VALUE"""),"FIBR UNLI ALL PLAN 999")</f>
        <v>FIBR UNLI ALL PLAN 999</v>
      </c>
      <c r="S2947" s="1" t="str">
        <f>IFERROR(__xludf.DUMMYFUNCTION("""COMPUTED_VALUE"""),"APPROVED")</f>
        <v>APPROVED</v>
      </c>
      <c r="T2947" s="1" t="str">
        <f>IFERROR(__xludf.DUMMYFUNCTION("""COMPUTED_VALUE"""),"CANCELLED")</f>
        <v>CANCELLED</v>
      </c>
      <c r="U2947" s="1"/>
      <c r="V2947" s="1"/>
      <c r="W2947" s="1"/>
    </row>
    <row r="2948" customHeight="1" spans="1:23">
      <c r="A2948" s="3">
        <f>IFERROR(__xludf.DUMMYFUNCTION("""COMPUTED_VALUE"""),46265)</f>
        <v>46265</v>
      </c>
      <c r="B2948" s="1" t="str">
        <f>IFERROR(__xludf.DUMMYFUNCTION("""COMPUTED_VALUE"""),"TAMAYO, MARY ROSE")</f>
        <v>TAMAYO, MARY ROSE</v>
      </c>
      <c r="C2948" s="1" t="str">
        <f>IFERROR(__xludf.DUMMYFUNCTION("""COMPUTED_VALUE"""),"ORGANIC")</f>
        <v>ORGANIC</v>
      </c>
      <c r="D2948" s="1" t="str">
        <f>IFERROR(__xludf.DUMMYFUNCTION("""COMPUTED_VALUE"""),"REMOLLO LEA")</f>
        <v>REMOLLO LEA</v>
      </c>
      <c r="E2948" s="1" t="str">
        <f>IFERROR(__xludf.DUMMYFUNCTION("""COMPUTED_VALUE"""),"PLDT / H2H")</f>
        <v>PLDT / H2H</v>
      </c>
      <c r="F2948" s="1">
        <f>IFERROR(__xludf.DUMMYFUNCTION("""COMPUTED_VALUE"""),2312242328)</f>
        <v>2312242328</v>
      </c>
      <c r="G2948" s="1">
        <f>IFERROR(__xludf.DUMMYFUNCTION("""COMPUTED_VALUE"""),468687702004)</f>
        <v>468687702004</v>
      </c>
      <c r="H2948" s="1" t="str">
        <f>IFERROR(__xludf.DUMMYFUNCTION("""COMPUTED_VALUE"""),"RANDY GARCIA PADILLA")</f>
        <v>RANDY GARCIA PADILLA</v>
      </c>
      <c r="I2948" s="1">
        <f>IFERROR(__xludf.DUMMYFUNCTION("""COMPUTED_VALUE"""),9976606487)</f>
        <v>9976606487</v>
      </c>
      <c r="J2948" s="1">
        <f>IFERROR(__xludf.DUMMYFUNCTION("""COMPUTED_VALUE"""),9389800103)</f>
        <v>9389800103</v>
      </c>
      <c r="K2948" s="1" t="str">
        <f>IFERROR(__xludf.DUMMYFUNCTION("""COMPUTED_VALUE"""),"ranzpadilla102@gmai.com")</f>
        <v>ranzpadilla102@gmai.com</v>
      </c>
      <c r="L2948" s="1" t="str">
        <f>IFERROR(__xludf.DUMMYFUNCTION("""COMPUTED_VALUE"""),"27")</f>
        <v>27</v>
      </c>
      <c r="M2948" s="1" t="str">
        <f>IFERROR(__xludf.DUMMYFUNCTION("""COMPUTED_VALUE"""),"PUROK 1")</f>
        <v>PUROK 1</v>
      </c>
      <c r="N2948" s="1" t="str">
        <f>IFERROR(__xludf.DUMMYFUNCTION("""COMPUTED_VALUE"""),"#N/A")</f>
        <v>#N/A</v>
      </c>
      <c r="O2948" s="1" t="str">
        <f>IFERROR(__xludf.DUMMYFUNCTION("""COMPUTED_VALUE"""),"TAYWANAK IBABA")</f>
        <v>TAYWANAK IBABA</v>
      </c>
      <c r="P2948" s="1" t="str">
        <f>IFERROR(__xludf.DUMMYFUNCTION("""COMPUTED_VALUE"""),"ALFONSO")</f>
        <v>ALFONSO</v>
      </c>
      <c r="Q2948" s="1" t="str">
        <f>IFERROR(__xludf.DUMMYFUNCTION("""COMPUTED_VALUE"""),"CAVITE")</f>
        <v>CAVITE</v>
      </c>
      <c r="R2948" s="1" t="str">
        <f>IFERROR(__xludf.DUMMYFUNCTION("""COMPUTED_VALUE"""),"FIBR PLAN 1299")</f>
        <v>FIBR PLAN 1299</v>
      </c>
      <c r="S2948" s="1" t="str">
        <f>IFERROR(__xludf.DUMMYFUNCTION("""COMPUTED_VALUE"""),"APPROVED")</f>
        <v>APPROVED</v>
      </c>
      <c r="T2948" s="1" t="str">
        <f>IFERROR(__xludf.DUMMYFUNCTION("""COMPUTED_VALUE"""),"CLOSED")</f>
        <v>CLOSED</v>
      </c>
      <c r="U2948" s="1" t="str">
        <f>IFERROR(__xludf.DUMMYFUNCTION("""COMPUTED_VALUE"""),"POSTED")</f>
        <v>POSTED</v>
      </c>
      <c r="V2948" s="1"/>
      <c r="W2948" s="1"/>
    </row>
    <row r="2949" customHeight="1" spans="1:23">
      <c r="A2949" s="3">
        <f>IFERROR(__xludf.DUMMYFUNCTION("""COMPUTED_VALUE"""),46265)</f>
        <v>46265</v>
      </c>
      <c r="B2949" s="1" t="str">
        <f>IFERROR(__xludf.DUMMYFUNCTION("""COMPUTED_VALUE"""),"MAGDARAOG, KENNETH")</f>
        <v>MAGDARAOG, KENNETH</v>
      </c>
      <c r="C2949" s="1" t="str">
        <f>IFERROR(__xludf.DUMMYFUNCTION("""COMPUTED_VALUE"""),"ORGANIC")</f>
        <v>ORGANIC</v>
      </c>
      <c r="D2949" s="1" t="str">
        <f>IFERROR(__xludf.DUMMYFUNCTION("""COMPUTED_VALUE"""),"REMOLLO LEA")</f>
        <v>REMOLLO LEA</v>
      </c>
      <c r="E2949" s="1" t="str">
        <f>IFERROR(__xludf.DUMMYFUNCTION("""COMPUTED_VALUE"""),"PLDT / H2H")</f>
        <v>PLDT / H2H</v>
      </c>
      <c r="F2949" s="1">
        <f>IFERROR(__xludf.DUMMYFUNCTION("""COMPUTED_VALUE"""),2312243109)</f>
        <v>2312243109</v>
      </c>
      <c r="G2949" s="1">
        <f>IFERROR(__xludf.DUMMYFUNCTION("""COMPUTED_VALUE"""),468713350004)</f>
        <v>468713350004</v>
      </c>
      <c r="H2949" s="1" t="str">
        <f>IFERROR(__xludf.DUMMYFUNCTION("""COMPUTED_VALUE"""),"RANNEL ANZANO MENDOZA")</f>
        <v>RANNEL ANZANO MENDOZA</v>
      </c>
      <c r="I2949" s="1">
        <f>IFERROR(__xludf.DUMMYFUNCTION("""COMPUTED_VALUE"""),9665965235)</f>
        <v>9665965235</v>
      </c>
      <c r="J2949" s="1">
        <f>IFERROR(__xludf.DUMMYFUNCTION("""COMPUTED_VALUE"""),9396052138)</f>
        <v>9396052138</v>
      </c>
      <c r="K2949" s="1" t="str">
        <f>IFERROR(__xludf.DUMMYFUNCTION("""COMPUTED_VALUE"""),"nhellmendoza180@gmail.com")</f>
        <v>nhellmendoza180@gmail.com</v>
      </c>
      <c r="L2949" s="1" t="str">
        <f>IFERROR(__xludf.DUMMYFUNCTION("""COMPUTED_VALUE"""),"37")</f>
        <v>37</v>
      </c>
      <c r="M2949" s="1" t="str">
        <f>IFERROR(__xludf.DUMMYFUNCTION("""COMPUTED_VALUE"""),"MORALES APPT")</f>
        <v>MORALES APPT</v>
      </c>
      <c r="N2949" s="1" t="str">
        <f>IFERROR(__xludf.DUMMYFUNCTION("""COMPUTED_VALUE"""),"#N/A")</f>
        <v>#N/A</v>
      </c>
      <c r="O2949" s="1" t="str">
        <f>IFERROR(__xludf.DUMMYFUNCTION("""COMPUTED_VALUE"""),"MANGAS I")</f>
        <v>MANGAS I</v>
      </c>
      <c r="P2949" s="1" t="str">
        <f>IFERROR(__xludf.DUMMYFUNCTION("""COMPUTED_VALUE"""),"ALFONSO")</f>
        <v>ALFONSO</v>
      </c>
      <c r="Q2949" s="1" t="str">
        <f>IFERROR(__xludf.DUMMYFUNCTION("""COMPUTED_VALUE"""),"CAVITE")</f>
        <v>CAVITE</v>
      </c>
      <c r="R2949" s="1" t="str">
        <f>IFERROR(__xludf.DUMMYFUNCTION("""COMPUTED_VALUE"""),"FIBR PLAN 1299")</f>
        <v>FIBR PLAN 1299</v>
      </c>
      <c r="S2949" s="1" t="str">
        <f>IFERROR(__xludf.DUMMYFUNCTION("""COMPUTED_VALUE"""),"APPROVED")</f>
        <v>APPROVED</v>
      </c>
      <c r="T2949" s="1" t="str">
        <f>IFERROR(__xludf.DUMMYFUNCTION("""COMPUTED_VALUE"""),"CANCELLED")</f>
        <v>CANCELLED</v>
      </c>
      <c r="U2949" s="1"/>
      <c r="V2949" s="1"/>
      <c r="W2949" s="1"/>
    </row>
    <row r="2950" customHeight="1" spans="1:23">
      <c r="A2950" s="3">
        <f>IFERROR(__xludf.DUMMYFUNCTION("""COMPUTED_VALUE"""),46265)</f>
        <v>46265</v>
      </c>
      <c r="B2950" s="1" t="str">
        <f>IFERROR(__xludf.DUMMYFUNCTION("""COMPUTED_VALUE"""),"ARIENA, LYKA")</f>
        <v>ARIENA, LYKA</v>
      </c>
      <c r="C2950" s="1" t="str">
        <f>IFERROR(__xludf.DUMMYFUNCTION("""COMPUTED_VALUE"""),"ORGANIC")</f>
        <v>ORGANIC</v>
      </c>
      <c r="D2950" s="1" t="str">
        <f>IFERROR(__xludf.DUMMYFUNCTION("""COMPUTED_VALUE"""),"REMOLLO LEA")</f>
        <v>REMOLLO LEA</v>
      </c>
      <c r="E2950" s="1" t="str">
        <f>IFERROR(__xludf.DUMMYFUNCTION("""COMPUTED_VALUE"""),"PLDT / H2H")</f>
        <v>PLDT / H2H</v>
      </c>
      <c r="F2950" s="1">
        <f>IFERROR(__xludf.DUMMYFUNCTION("""COMPUTED_VALUE"""),2312243583)</f>
        <v>2312243583</v>
      </c>
      <c r="G2950" s="1">
        <f>IFERROR(__xludf.DUMMYFUNCTION("""COMPUTED_VALUE"""),468687710004)</f>
        <v>468687710004</v>
      </c>
      <c r="H2950" s="1" t="str">
        <f>IFERROR(__xludf.DUMMYFUNCTION("""COMPUTED_VALUE"""),"ARLENE FLORESTO LIM")</f>
        <v>ARLENE FLORESTO LIM</v>
      </c>
      <c r="I2950" s="1">
        <f>IFERROR(__xludf.DUMMYFUNCTION("""COMPUTED_VALUE"""),9563797468)</f>
        <v>9563797468</v>
      </c>
      <c r="J2950" s="1"/>
      <c r="K2950" s="1" t="str">
        <f>IFERROR(__xludf.DUMMYFUNCTION("""COMPUTED_VALUE"""),"arlenefloresto-lim@gmail.com")</f>
        <v>arlenefloresto-lim@gmail.com</v>
      </c>
      <c r="L2950" s="1" t="str">
        <f>IFERROR(__xludf.DUMMYFUNCTION("""COMPUTED_VALUE"""),"20c")</f>
        <v>20c</v>
      </c>
      <c r="M2950" s="1" t="str">
        <f>IFERROR(__xludf.DUMMYFUNCTION("""COMPUTED_VALUE"""),"LAND OF CHAPS")</f>
        <v>LAND OF CHAPS</v>
      </c>
      <c r="N2950" s="1" t="str">
        <f>IFERROR(__xludf.DUMMYFUNCTION("""COMPUTED_VALUE"""),"#N/A")</f>
        <v>#N/A</v>
      </c>
      <c r="O2950" s="1" t="str">
        <f>IFERROR(__xludf.DUMMYFUNCTION("""COMPUTED_VALUE"""),"ESPERANZA ILAYA")</f>
        <v>ESPERANZA ILAYA</v>
      </c>
      <c r="P2950" s="1" t="str">
        <f>IFERROR(__xludf.DUMMYFUNCTION("""COMPUTED_VALUE"""),"ALFONSO")</f>
        <v>ALFONSO</v>
      </c>
      <c r="Q2950" s="1" t="str">
        <f>IFERROR(__xludf.DUMMYFUNCTION("""COMPUTED_VALUE"""),"CAVITE")</f>
        <v>CAVITE</v>
      </c>
      <c r="R2950" s="1" t="str">
        <f>IFERROR(__xludf.DUMMYFUNCTION("""COMPUTED_VALUE"""),"FIBR UNLI ALL PLAN 2599")</f>
        <v>FIBR UNLI ALL PLAN 2599</v>
      </c>
      <c r="S2950" s="1" t="str">
        <f>IFERROR(__xludf.DUMMYFUNCTION("""COMPUTED_VALUE"""),"APPROVED")</f>
        <v>APPROVED</v>
      </c>
      <c r="T2950" s="1" t="str">
        <f>IFERROR(__xludf.DUMMYFUNCTION("""COMPUTED_VALUE"""),"CANCELLED")</f>
        <v>CANCELLED</v>
      </c>
      <c r="U2950" s="1"/>
      <c r="V2950" s="1"/>
      <c r="W2950" s="1"/>
    </row>
    <row r="2951" customHeight="1" spans="1:23">
      <c r="A2951" s="3">
        <f>IFERROR(__xludf.DUMMYFUNCTION("""COMPUTED_VALUE"""),46265)</f>
        <v>46265</v>
      </c>
      <c r="B2951" s="1" t="str">
        <f>IFERROR(__xludf.DUMMYFUNCTION("""COMPUTED_VALUE"""),"CADERAO, RONALD")</f>
        <v>CADERAO, RONALD</v>
      </c>
      <c r="C2951" s="1" t="str">
        <f>IFERROR(__xludf.DUMMYFUNCTION("""COMPUTED_VALUE"""),"ORGANIC")</f>
        <v>ORGANIC</v>
      </c>
      <c r="D2951" s="1" t="str">
        <f>IFERROR(__xludf.DUMMYFUNCTION("""COMPUTED_VALUE"""),"REMOLLO LEA")</f>
        <v>REMOLLO LEA</v>
      </c>
      <c r="E2951" s="1" t="str">
        <f>IFERROR(__xludf.DUMMYFUNCTION("""COMPUTED_VALUE"""),"PLDT / H2H")</f>
        <v>PLDT / H2H</v>
      </c>
      <c r="F2951" s="1">
        <f>IFERROR(__xludf.DUMMYFUNCTION("""COMPUTED_VALUE"""),2312243839)</f>
        <v>2312243839</v>
      </c>
      <c r="G2951" s="1">
        <f>IFERROR(__xludf.DUMMYFUNCTION("""COMPUTED_VALUE"""),468687601004)</f>
        <v>468687601004</v>
      </c>
      <c r="H2951" s="1" t="str">
        <f>IFERROR(__xludf.DUMMYFUNCTION("""COMPUTED_VALUE"""),"MARIA MAURENE CRISTAL GARCIA")</f>
        <v>MARIA MAURENE CRISTAL GARCIA</v>
      </c>
      <c r="I2951" s="1">
        <f>IFERROR(__xludf.DUMMYFUNCTION("""COMPUTED_VALUE"""),9358070931)</f>
        <v>9358070931</v>
      </c>
      <c r="J2951" s="1">
        <f>IFERROR(__xludf.DUMMYFUNCTION("""COMPUTED_VALUE"""),9634596437)</f>
        <v>9634596437</v>
      </c>
      <c r="K2951" s="1" t="str">
        <f>IFERROR(__xludf.DUMMYFUNCTION("""COMPUTED_VALUE"""),"maurenegarcia25@gmail.com")</f>
        <v>maurenegarcia25@gmail.com</v>
      </c>
      <c r="L2951" s="1" t="str">
        <f>IFERROR(__xludf.DUMMYFUNCTION("""COMPUTED_VALUE"""),"35")</f>
        <v>35</v>
      </c>
      <c r="M2951" s="1" t="str">
        <f>IFERROR(__xludf.DUMMYFUNCTION("""COMPUTED_VALUE"""),"POBLACION")</f>
        <v>POBLACION</v>
      </c>
      <c r="N2951" s="1" t="str">
        <f>IFERROR(__xludf.DUMMYFUNCTION("""COMPUTED_VALUE"""),"#N/A")</f>
        <v>#N/A</v>
      </c>
      <c r="O2951" s="1" t="str">
        <f>IFERROR(__xludf.DUMMYFUNCTION("""COMPUTED_VALUE"""),"BARANGAY V (POB.)")</f>
        <v>BARANGAY V (POB.)</v>
      </c>
      <c r="P2951" s="1" t="str">
        <f>IFERROR(__xludf.DUMMYFUNCTION("""COMPUTED_VALUE"""),"AMADEO")</f>
        <v>AMADEO</v>
      </c>
      <c r="Q2951" s="1" t="str">
        <f>IFERROR(__xludf.DUMMYFUNCTION("""COMPUTED_VALUE"""),"CAVITE")</f>
        <v>CAVITE</v>
      </c>
      <c r="R2951" s="1" t="str">
        <f>IFERROR(__xludf.DUMMYFUNCTION("""COMPUTED_VALUE"""),"FIBR PLAN 1299")</f>
        <v>FIBR PLAN 1299</v>
      </c>
      <c r="S2951" s="1" t="str">
        <f>IFERROR(__xludf.DUMMYFUNCTION("""COMPUTED_VALUE"""),"APPROVED")</f>
        <v>APPROVED</v>
      </c>
      <c r="T2951" s="1" t="str">
        <f>IFERROR(__xludf.DUMMYFUNCTION("""COMPUTED_VALUE"""),"CLOSED")</f>
        <v>CLOSED</v>
      </c>
      <c r="U2951" s="1" t="str">
        <f>IFERROR(__xludf.DUMMYFUNCTION("""COMPUTED_VALUE"""),"POSTED")</f>
        <v>POSTED</v>
      </c>
      <c r="V2951" s="1"/>
      <c r="W2951" s="1"/>
    </row>
    <row r="2952" customHeight="1" spans="1:23">
      <c r="A2952" s="3">
        <f>IFERROR(__xludf.DUMMYFUNCTION("""COMPUTED_VALUE"""),46265)</f>
        <v>46265</v>
      </c>
      <c r="B2952" s="1" t="str">
        <f>IFERROR(__xludf.DUMMYFUNCTION("""COMPUTED_VALUE"""),"BAQUIT ,JAZMIN")</f>
        <v>BAQUIT ,JAZMIN</v>
      </c>
      <c r="C2952" s="1" t="str">
        <f>IFERROR(__xludf.DUMMYFUNCTION("""COMPUTED_VALUE"""),"ORGANIC")</f>
        <v>ORGANIC</v>
      </c>
      <c r="D2952" s="1" t="str">
        <f>IFERROR(__xludf.DUMMYFUNCTION("""COMPUTED_VALUE"""),"REMOLLO LEA")</f>
        <v>REMOLLO LEA</v>
      </c>
      <c r="E2952" s="1" t="str">
        <f>IFERROR(__xludf.DUMMYFUNCTION("""COMPUTED_VALUE"""),"PLDT / H2H")</f>
        <v>PLDT / H2H</v>
      </c>
      <c r="F2952" s="1">
        <f>IFERROR(__xludf.DUMMYFUNCTION("""COMPUTED_VALUE"""),2312245609)</f>
        <v>2312245609</v>
      </c>
      <c r="G2952" s="1">
        <f>IFERROR(__xludf.DUMMYFUNCTION("""COMPUTED_VALUE"""),468692145004)</f>
        <v>468692145004</v>
      </c>
      <c r="H2952" s="1" t="str">
        <f>IFERROR(__xludf.DUMMYFUNCTION("""COMPUTED_VALUE"""),"PHILIP REY NUNEZ AMBROCIO")</f>
        <v>PHILIP REY NUNEZ AMBROCIO</v>
      </c>
      <c r="I2952" s="1">
        <f>IFERROR(__xludf.DUMMYFUNCTION("""COMPUTED_VALUE"""),9275449220)</f>
        <v>9275449220</v>
      </c>
      <c r="J2952" s="1"/>
      <c r="K2952" s="1" t="str">
        <f>IFERROR(__xludf.DUMMYFUNCTION("""COMPUTED_VALUE"""),"philiprey04286@gmail.com")</f>
        <v>philiprey04286@gmail.com</v>
      </c>
      <c r="L2952" s="1" t="str">
        <f>IFERROR(__xludf.DUMMYFUNCTION("""COMPUTED_VALUE"""),"BLK 6 LOT 25")</f>
        <v>BLK 6 LOT 25</v>
      </c>
      <c r="M2952" s="1" t="str">
        <f>IFERROR(__xludf.DUMMYFUNCTION("""COMPUTED_VALUE"""),"RAFAEL")</f>
        <v>RAFAEL</v>
      </c>
      <c r="N2952" s="1" t="str">
        <f>IFERROR(__xludf.DUMMYFUNCTION("""COMPUTED_VALUE"""),"#N/A")</f>
        <v>#N/A</v>
      </c>
      <c r="O2952" s="1" t="str">
        <f>IFERROR(__xludf.DUMMYFUNCTION("""COMPUTED_VALUE"""),"SAN GABRIEL (AREA K)")</f>
        <v>SAN GABRIEL (AREA K)</v>
      </c>
      <c r="P2952" s="1" t="str">
        <f>IFERROR(__xludf.DUMMYFUNCTION("""COMPUTED_VALUE"""),"GEN MARIANO ALVAREZ")</f>
        <v>GEN MARIANO ALVAREZ</v>
      </c>
      <c r="Q2952" s="1" t="str">
        <f>IFERROR(__xludf.DUMMYFUNCTION("""COMPUTED_VALUE"""),"CAVITE")</f>
        <v>CAVITE</v>
      </c>
      <c r="R2952" s="1" t="str">
        <f>IFERROR(__xludf.DUMMYFUNCTION("""COMPUTED_VALUE"""),"FIBR NETFLIX PLAN 1599")</f>
        <v>FIBR NETFLIX PLAN 1599</v>
      </c>
      <c r="S2952" s="1" t="str">
        <f>IFERROR(__xludf.DUMMYFUNCTION("""COMPUTED_VALUE"""),"APPROVED")</f>
        <v>APPROVED</v>
      </c>
      <c r="T2952" s="1" t="str">
        <f>IFERROR(__xludf.DUMMYFUNCTION("""COMPUTED_VALUE"""),"RPR")</f>
        <v>RPR</v>
      </c>
      <c r="U2952" s="1"/>
      <c r="V2952" s="1"/>
      <c r="W2952" s="1"/>
    </row>
    <row r="2953" customHeight="1" spans="1:23">
      <c r="A2953" s="3">
        <f>IFERROR(__xludf.DUMMYFUNCTION("""COMPUTED_VALUE"""),46265)</f>
        <v>46265</v>
      </c>
      <c r="B2953" s="1" t="str">
        <f>IFERROR(__xludf.DUMMYFUNCTION("""COMPUTED_VALUE"""),"DENACO, RODNEY")</f>
        <v>DENACO, RODNEY</v>
      </c>
      <c r="C2953" s="1" t="str">
        <f>IFERROR(__xludf.DUMMYFUNCTION("""COMPUTED_VALUE"""),"ORGANIC")</f>
        <v>ORGANIC</v>
      </c>
      <c r="D2953" s="1" t="str">
        <f>IFERROR(__xludf.DUMMYFUNCTION("""COMPUTED_VALUE"""),"REMOLLO LEA")</f>
        <v>REMOLLO LEA</v>
      </c>
      <c r="E2953" s="1" t="str">
        <f>IFERROR(__xludf.DUMMYFUNCTION("""COMPUTED_VALUE"""),"PLDT / H2H")</f>
        <v>PLDT / H2H</v>
      </c>
      <c r="F2953" s="1">
        <f>IFERROR(__xludf.DUMMYFUNCTION("""COMPUTED_VALUE"""),2312263342)</f>
        <v>2312263342</v>
      </c>
      <c r="G2953" s="1">
        <f>IFERROR(__xludf.DUMMYFUNCTION("""COMPUTED_VALUE"""),468802848004)</f>
        <v>468802848004</v>
      </c>
      <c r="H2953" s="1" t="str">
        <f>IFERROR(__xludf.DUMMYFUNCTION("""COMPUTED_VALUE"""),"PEPITO JR ANAHAW BALISCAO")</f>
        <v>PEPITO JR ANAHAW BALISCAO</v>
      </c>
      <c r="I2953" s="1">
        <f>IFERROR(__xludf.DUMMYFUNCTION("""COMPUTED_VALUE"""),9659214014)</f>
        <v>9659214014</v>
      </c>
      <c r="J2953" s="1">
        <f>IFERROR(__xludf.DUMMYFUNCTION("""COMPUTED_VALUE"""),9169961501)</f>
        <v>9169961501</v>
      </c>
      <c r="K2953" s="1" t="str">
        <f>IFERROR(__xludf.DUMMYFUNCTION("""COMPUTED_VALUE"""),"jhayarbalisco@gmail.com")</f>
        <v>jhayarbalisco@gmail.com</v>
      </c>
      <c r="L2953" s="1" t="str">
        <f>IFERROR(__xludf.DUMMYFUNCTION("""COMPUTED_VALUE"""),"335")</f>
        <v>335</v>
      </c>
      <c r="M2953" s="1" t="str">
        <f>IFERROR(__xludf.DUMMYFUNCTION("""COMPUTED_VALUE"""),"PUROK 4")</f>
        <v>PUROK 4</v>
      </c>
      <c r="N2953" s="1" t="str">
        <f>IFERROR(__xludf.DUMMYFUNCTION("""COMPUTED_VALUE"""),"#N/A")</f>
        <v>#N/A</v>
      </c>
      <c r="O2953" s="1" t="str">
        <f>IFERROR(__xludf.DUMMYFUNCTION("""COMPUTED_VALUE"""),"MUNTING ILOG")</f>
        <v>MUNTING ILOG</v>
      </c>
      <c r="P2953" s="1" t="str">
        <f>IFERROR(__xludf.DUMMYFUNCTION("""COMPUTED_VALUE"""),"SILANG")</f>
        <v>SILANG</v>
      </c>
      <c r="Q2953" s="1" t="str">
        <f>IFERROR(__xludf.DUMMYFUNCTION("""COMPUTED_VALUE"""),"CAVITE")</f>
        <v>CAVITE</v>
      </c>
      <c r="R2953" s="1" t="str">
        <f>IFERROR(__xludf.DUMMYFUNCTION("""COMPUTED_VALUE"""),"FIBR UNLI ALL PLAN 999")</f>
        <v>FIBR UNLI ALL PLAN 999</v>
      </c>
      <c r="S2953" s="1" t="str">
        <f>IFERROR(__xludf.DUMMYFUNCTION("""COMPUTED_VALUE"""),"APPROVED")</f>
        <v>APPROVED</v>
      </c>
      <c r="T2953" s="1" t="str">
        <f>IFERROR(__xludf.DUMMYFUNCTION("""COMPUTED_VALUE"""),"PAID")</f>
        <v>PAID</v>
      </c>
      <c r="U2953" s="1" t="str">
        <f>IFERROR(__xludf.DUMMYFUNCTION("""COMPUTED_VALUE"""),"PAID VIA GCASH KULANG 50")</f>
        <v>PAID VIA GCASH KULANG 50</v>
      </c>
      <c r="V2953" s="1"/>
      <c r="W2953" s="1"/>
    </row>
    <row r="2954" customHeight="1" spans="1:23">
      <c r="A2954" s="3">
        <f>IFERROR(__xludf.DUMMYFUNCTION("""COMPUTED_VALUE"""),46265)</f>
        <v>46265</v>
      </c>
      <c r="B2954" s="1" t="str">
        <f>IFERROR(__xludf.DUMMYFUNCTION("""COMPUTED_VALUE"""),"MALIWAT MARK ELVIN")</f>
        <v>MALIWAT MARK ELVIN</v>
      </c>
      <c r="C2954" s="1" t="str">
        <f>IFERROR(__xludf.DUMMYFUNCTION("""COMPUTED_VALUE"""),"FLA")</f>
        <v>FLA</v>
      </c>
      <c r="D2954" s="1" t="str">
        <f>IFERROR(__xludf.DUMMYFUNCTION("""COMPUTED_VALUE"""),"JERIC NAVARRO")</f>
        <v>JERIC NAVARRO</v>
      </c>
      <c r="E2954" s="1" t="str">
        <f>IFERROR(__xludf.DUMMYFUNCTION("""COMPUTED_VALUE"""),"PLDT / ONLINE")</f>
        <v>PLDT / ONLINE</v>
      </c>
      <c r="F2954" s="1"/>
      <c r="G2954" s="1"/>
      <c r="H2954" s="1" t="str">
        <f>IFERROR(__xludf.DUMMYFUNCTION("""COMPUTED_VALUE"""),"ROMEO PENASLOSA OLASIMAN JR")</f>
        <v>ROMEO PENASLOSA OLASIMAN JR</v>
      </c>
      <c r="I2954" s="1">
        <f>IFERROR(__xludf.DUMMYFUNCTION("""COMPUTED_VALUE"""),9649824090)</f>
        <v>9649824090</v>
      </c>
      <c r="J2954" s="1">
        <f>IFERROR(__xludf.DUMMYFUNCTION("""COMPUTED_VALUE"""),9509660472)</f>
        <v>9509660472</v>
      </c>
      <c r="K2954" s="1" t="str">
        <f>IFERROR(__xludf.DUMMYFUNCTION("""COMPUTED_VALUE"""),"olasimanromeo85.@gmail.com")</f>
        <v>olasimanromeo85.@gmail.com</v>
      </c>
      <c r="L2954" s="1" t="str">
        <f>IFERROR(__xludf.DUMMYFUNCTION("""COMPUTED_VALUE"""),"BLK 1 LOT 19")</f>
        <v>BLK 1 LOT 19</v>
      </c>
      <c r="M2954" s="1" t="str">
        <f>IFERROR(__xludf.DUMMYFUNCTION("""COMPUTED_VALUE"""),"HAPPY VALLEY")</f>
        <v>HAPPY VALLEY</v>
      </c>
      <c r="N2954" s="1" t="str">
        <f>IFERROR(__xludf.DUMMYFUNCTION("""COMPUTED_VALUE"""),"#N/A")</f>
        <v>#N/A</v>
      </c>
      <c r="O2954" s="1" t="str">
        <f>IFERROR(__xludf.DUMMYFUNCTION("""COMPUTED_VALUE"""),"RAMON CRUZ (AREA J)")</f>
        <v>RAMON CRUZ (AREA J)</v>
      </c>
      <c r="P2954" s="1" t="str">
        <f>IFERROR(__xludf.DUMMYFUNCTION("""COMPUTED_VALUE"""),"GEN MARIANO ALVAREZ")</f>
        <v>GEN MARIANO ALVAREZ</v>
      </c>
      <c r="Q2954" s="1" t="str">
        <f>IFERROR(__xludf.DUMMYFUNCTION("""COMPUTED_VALUE"""),"CAVITE")</f>
        <v>CAVITE</v>
      </c>
      <c r="R2954" s="1" t="str">
        <f>IFERROR(__xludf.DUMMYFUNCTION("""COMPUTED_VALUE"""),"FIBR UNLI ALL PLAN 1499")</f>
        <v>FIBR UNLI ALL PLAN 1499</v>
      </c>
      <c r="S2954" s="1" t="str">
        <f>IFERROR(__xludf.DUMMYFUNCTION("""COMPUTED_VALUE"""),"HOLD")</f>
        <v>HOLD</v>
      </c>
      <c r="T2954" s="1" t="str">
        <f>IFERROR(__xludf.DUMMYFUNCTION("""COMPUTED_VALUE"""),"#N/A")</f>
        <v>#N/A</v>
      </c>
      <c r="U2954" s="1"/>
      <c r="V2954" s="1"/>
      <c r="W2954" s="1"/>
    </row>
    <row r="2955" customHeight="1" spans="1:23">
      <c r="A2955" s="3">
        <f>IFERROR(__xludf.DUMMYFUNCTION("""COMPUTED_VALUE"""),46265)</f>
        <v>46265</v>
      </c>
      <c r="B2955" s="1" t="str">
        <f>IFERROR(__xludf.DUMMYFUNCTION("""COMPUTED_VALUE"""),"GABAY, MANUEL")</f>
        <v>GABAY, MANUEL</v>
      </c>
      <c r="C2955" s="1" t="str">
        <f>IFERROR(__xludf.DUMMYFUNCTION("""COMPUTED_VALUE"""),"FLA")</f>
        <v>FLA</v>
      </c>
      <c r="D2955" s="1" t="str">
        <f>IFERROR(__xludf.DUMMYFUNCTION("""COMPUTED_VALUE"""),"JERIC NAVARRO")</f>
        <v>JERIC NAVARRO</v>
      </c>
      <c r="E2955" s="1" t="str">
        <f>IFERROR(__xludf.DUMMYFUNCTION("""COMPUTED_VALUE"""),"PLDT / H2H")</f>
        <v>PLDT / H2H</v>
      </c>
      <c r="F2955" s="1">
        <f>IFERROR(__xludf.DUMMYFUNCTION("""COMPUTED_VALUE"""),2312293393)</f>
        <v>2312293393</v>
      </c>
      <c r="G2955" s="1">
        <f>IFERROR(__xludf.DUMMYFUNCTION("""COMPUTED_VALUE"""),468924588004)</f>
        <v>468924588004</v>
      </c>
      <c r="H2955" s="1" t="str">
        <f>IFERROR(__xludf.DUMMYFUNCTION("""COMPUTED_VALUE"""),"MARCELINO GUEVARRA LISTANCO")</f>
        <v>MARCELINO GUEVARRA LISTANCO</v>
      </c>
      <c r="I2955" s="1">
        <f>IFERROR(__xludf.DUMMYFUNCTION("""COMPUTED_VALUE"""),9456874744)</f>
        <v>9456874744</v>
      </c>
      <c r="J2955" s="1">
        <f>IFERROR(__xludf.DUMMYFUNCTION("""COMPUTED_VALUE"""),9369087116)</f>
        <v>9369087116</v>
      </c>
      <c r="K2955" s="1" t="str">
        <f>IFERROR(__xludf.DUMMYFUNCTION("""COMPUTED_VALUE"""),"listancomarcelino57@gmail.com")</f>
        <v>listancomarcelino57@gmail.com</v>
      </c>
      <c r="L2955" s="1" t="str">
        <f>IFERROR(__xludf.DUMMYFUNCTION("""COMPUTED_VALUE"""),"449")</f>
        <v>449</v>
      </c>
      <c r="M2955" s="1" t="str">
        <f>IFERROR(__xludf.DUMMYFUNCTION("""COMPUTED_VALUE"""),"PUROK 3")</f>
        <v>PUROK 3</v>
      </c>
      <c r="N2955" s="1" t="str">
        <f>IFERROR(__xludf.DUMMYFUNCTION("""COMPUTED_VALUE"""),"#N/A")</f>
        <v>#N/A</v>
      </c>
      <c r="O2955" s="1" t="str">
        <f>IFERROR(__xludf.DUMMYFUNCTION("""COMPUTED_VALUE"""),"IBA")</f>
        <v>IBA</v>
      </c>
      <c r="P2955" s="1" t="str">
        <f>IFERROR(__xludf.DUMMYFUNCTION("""COMPUTED_VALUE"""),"SILANG")</f>
        <v>SILANG</v>
      </c>
      <c r="Q2955" s="1" t="str">
        <f>IFERROR(__xludf.DUMMYFUNCTION("""COMPUTED_VALUE"""),"CAVITE")</f>
        <v>CAVITE</v>
      </c>
      <c r="R2955" s="1" t="str">
        <f>IFERROR(__xludf.DUMMYFUNCTION("""COMPUTED_VALUE"""),"FIBR UNLI ALL PLAN 1499")</f>
        <v>FIBR UNLI ALL PLAN 1499</v>
      </c>
      <c r="S2955" s="1" t="str">
        <f>IFERROR(__xludf.DUMMYFUNCTION("""COMPUTED_VALUE"""),"APPROVED")</f>
        <v>APPROVED</v>
      </c>
      <c r="T2955" s="1" t="str">
        <f>IFERROR(__xludf.DUMMYFUNCTION("""COMPUTED_VALUE"""),"CLOSED")</f>
        <v>CLOSED</v>
      </c>
      <c r="U2955" s="1" t="str">
        <f>IFERROR(__xludf.DUMMYFUNCTION("""COMPUTED_VALUE"""),"POSTED")</f>
        <v>POSTED</v>
      </c>
      <c r="V2955" s="1"/>
      <c r="W2955" s="1"/>
    </row>
    <row r="2956" customHeight="1" spans="1:23">
      <c r="A2956" s="3">
        <f>IFERROR(__xludf.DUMMYFUNCTION("""COMPUTED_VALUE"""),46265)</f>
        <v>46265</v>
      </c>
      <c r="B2956" s="1" t="str">
        <f>IFERROR(__xludf.DUMMYFUNCTION("""COMPUTED_VALUE"""),"FRANCISCO , ROSELYN")</f>
        <v>FRANCISCO , ROSELYN</v>
      </c>
      <c r="C2956" s="1" t="str">
        <f>IFERROR(__xludf.DUMMYFUNCTION("""COMPUTED_VALUE"""),"ORGANIC")</f>
        <v>ORGANIC</v>
      </c>
      <c r="D2956" s="1" t="str">
        <f>IFERROR(__xludf.DUMMYFUNCTION("""COMPUTED_VALUE"""),"REMOLLO LEA")</f>
        <v>REMOLLO LEA</v>
      </c>
      <c r="E2956" s="1" t="str">
        <f>IFERROR(__xludf.DUMMYFUNCTION("""COMPUTED_VALUE"""),"PLDT / ONLINE")</f>
        <v>PLDT / ONLINE</v>
      </c>
      <c r="F2956" s="1">
        <f>IFERROR(__xludf.DUMMYFUNCTION("""COMPUTED_VALUE"""),2312247203)</f>
        <v>2312247203</v>
      </c>
      <c r="G2956" s="1">
        <f>IFERROR(__xludf.DUMMYFUNCTION("""COMPUTED_VALUE"""),468693525004)</f>
        <v>468693525004</v>
      </c>
      <c r="H2956" s="1" t="str">
        <f>IFERROR(__xludf.DUMMYFUNCTION("""COMPUTED_VALUE"""),"EDRICK BALASTA ANTICRISTO")</f>
        <v>EDRICK BALASTA ANTICRISTO</v>
      </c>
      <c r="I2956" s="1">
        <f>IFERROR(__xludf.DUMMYFUNCTION("""COMPUTED_VALUE"""),9197733852)</f>
        <v>9197733852</v>
      </c>
      <c r="J2956" s="1"/>
      <c r="K2956" s="1" t="str">
        <f>IFERROR(__xludf.DUMMYFUNCTION("""COMPUTED_VALUE"""),"josephloreto234@gmail.com")</f>
        <v>josephloreto234@gmail.com</v>
      </c>
      <c r="L2956" s="1" t="str">
        <f>IFERROR(__xludf.DUMMYFUNCTION("""COMPUTED_VALUE"""),"236")</f>
        <v>236</v>
      </c>
      <c r="M2956" s="1" t="str">
        <f>IFERROR(__xludf.DUMMYFUNCTION("""COMPUTED_VALUE"""),"PIER")</f>
        <v>PIER</v>
      </c>
      <c r="N2956" s="1" t="str">
        <f>IFERROR(__xludf.DUMMYFUNCTION("""COMPUTED_VALUE"""),"#N/A")</f>
        <v>#N/A</v>
      </c>
      <c r="O2956" s="1" t="str">
        <f>IFERROR(__xludf.DUMMYFUNCTION("""COMPUTED_VALUE"""),"MARAHAN I")</f>
        <v>MARAHAN I</v>
      </c>
      <c r="P2956" s="1" t="str">
        <f>IFERROR(__xludf.DUMMYFUNCTION("""COMPUTED_VALUE"""),"ALFONSO")</f>
        <v>ALFONSO</v>
      </c>
      <c r="Q2956" s="1" t="str">
        <f>IFERROR(__xludf.DUMMYFUNCTION("""COMPUTED_VALUE"""),"CAVITE")</f>
        <v>CAVITE</v>
      </c>
      <c r="R2956" s="1" t="str">
        <f>IFERROR(__xludf.DUMMYFUNCTION("""COMPUTED_VALUE"""),"FIBR UNLI ALL PLAN 999")</f>
        <v>FIBR UNLI ALL PLAN 999</v>
      </c>
      <c r="S2956" s="1" t="str">
        <f>IFERROR(__xludf.DUMMYFUNCTION("""COMPUTED_VALUE"""),"APPROVED")</f>
        <v>APPROVED</v>
      </c>
      <c r="T2956" s="1" t="str">
        <f>IFERROR(__xludf.DUMMYFUNCTION("""COMPUTED_VALUE"""),"CLOSED")</f>
        <v>CLOSED</v>
      </c>
      <c r="U2956" s="1" t="str">
        <f>IFERROR(__xludf.DUMMYFUNCTION("""COMPUTED_VALUE"""),"POSTED")</f>
        <v>POSTED</v>
      </c>
      <c r="V2956" s="1"/>
      <c r="W2956" s="1"/>
    </row>
    <row r="2957" customHeight="1" spans="1:23">
      <c r="A2957" s="3">
        <f>IFERROR(__xludf.DUMMYFUNCTION("""COMPUTED_VALUE"""),46266)</f>
        <v>46266</v>
      </c>
      <c r="B2957" s="1" t="str">
        <f>IFERROR(__xludf.DUMMYFUNCTION("""COMPUTED_VALUE"""),"AYON MANUEL")</f>
        <v>AYON MANUEL</v>
      </c>
      <c r="C2957" s="1" t="str">
        <f>IFERROR(__xludf.DUMMYFUNCTION("""COMPUTED_VALUE"""),"FLA")</f>
        <v>FLA</v>
      </c>
      <c r="D2957" s="1" t="str">
        <f>IFERROR(__xludf.DUMMYFUNCTION("""COMPUTED_VALUE"""),"JERIC NAVARRO")</f>
        <v>JERIC NAVARRO</v>
      </c>
      <c r="E2957" s="1" t="str">
        <f>IFERROR(__xludf.DUMMYFUNCTION("""COMPUTED_VALUE"""),"PLDT / ONLINE")</f>
        <v>PLDT / ONLINE</v>
      </c>
      <c r="F2957" s="1"/>
      <c r="G2957" s="1"/>
      <c r="H2957" s="1" t="str">
        <f>IFERROR(__xludf.DUMMYFUNCTION("""COMPUTED_VALUE"""),"#N/A")</f>
        <v>#N/A</v>
      </c>
      <c r="I2957" s="1">
        <f>IFERROR(__xludf.DUMMYFUNCTION("""COMPUTED_VALUE"""),9197706051)</f>
        <v>9197706051</v>
      </c>
      <c r="J2957" s="1">
        <f>IFERROR(__xludf.DUMMYFUNCTION("""COMPUTED_VALUE"""),9617619037)</f>
        <v>9617619037</v>
      </c>
      <c r="K2957" s="1" t="str">
        <f>IFERROR(__xludf.DUMMYFUNCTION("""COMPUTED_VALUE"""),"rbvairias2021@gmail.com")</f>
        <v>rbvairias2021@gmail.com</v>
      </c>
      <c r="L2957" s="1" t="str">
        <f>IFERROR(__xludf.DUMMYFUNCTION("""COMPUTED_VALUE"""),"26")</f>
        <v>26</v>
      </c>
      <c r="M2957" s="1" t="str">
        <f>IFERROR(__xludf.DUMMYFUNCTION("""COMPUTED_VALUE"""),"PUROK 1")</f>
        <v>PUROK 1</v>
      </c>
      <c r="N2957" s="1" t="str">
        <f>IFERROR(__xludf.DUMMYFUNCTION("""COMPUTED_VALUE"""),"#N/A")</f>
        <v>#N/A</v>
      </c>
      <c r="O2957" s="1" t="str">
        <f>IFERROR(__xludf.DUMMYFUNCTION("""COMPUTED_VALUE"""),"SINALIW MALAKI")</f>
        <v>SINALIW MALAKI</v>
      </c>
      <c r="P2957" s="1" t="str">
        <f>IFERROR(__xludf.DUMMYFUNCTION("""COMPUTED_VALUE"""),"ALFONSO")</f>
        <v>ALFONSO</v>
      </c>
      <c r="Q2957" s="1" t="str">
        <f>IFERROR(__xludf.DUMMYFUNCTION("""COMPUTED_VALUE"""),"CAVITE")</f>
        <v>CAVITE</v>
      </c>
      <c r="R2957" s="1" t="str">
        <f>IFERROR(__xludf.DUMMYFUNCTION("""COMPUTED_VALUE"""),"FIBR UNLI ALL PLAN 1499")</f>
        <v>FIBR UNLI ALL PLAN 1499</v>
      </c>
      <c r="S2957" s="1" t="str">
        <f>IFERROR(__xludf.DUMMYFUNCTION("""COMPUTED_VALUE"""),"APPROVED")</f>
        <v>APPROVED</v>
      </c>
      <c r="T2957" s="1" t="str">
        <f>IFERROR(__xludf.DUMMYFUNCTION("""COMPUTED_VALUE"""),"#N/A")</f>
        <v>#N/A</v>
      </c>
      <c r="U2957" s="1" t="str">
        <f>IFERROR(__xludf.DUMMYFUNCTION("""COMPUTED_VALUE"""),"POSTED")</f>
        <v>POSTED</v>
      </c>
      <c r="V2957" s="1"/>
      <c r="W2957" s="1"/>
    </row>
    <row r="2958" customHeight="1" spans="1:23">
      <c r="A2958" s="3">
        <f>IFERROR(__xludf.DUMMYFUNCTION("""COMPUTED_VALUE"""),46266)</f>
        <v>46266</v>
      </c>
      <c r="B2958" s="1" t="str">
        <f>IFERROR(__xludf.DUMMYFUNCTION("""COMPUTED_VALUE"""),"ALOS, CHARLS LAURENZ")</f>
        <v>ALOS, CHARLS LAURENZ</v>
      </c>
      <c r="C2958" s="1" t="str">
        <f>IFERROR(__xludf.DUMMYFUNCTION("""COMPUTED_VALUE"""),"ORGANIC")</f>
        <v>ORGANIC</v>
      </c>
      <c r="D2958" s="1" t="str">
        <f>IFERROR(__xludf.DUMMYFUNCTION("""COMPUTED_VALUE"""),"REMOLLO LEA")</f>
        <v>REMOLLO LEA</v>
      </c>
      <c r="E2958" s="1" t="str">
        <f>IFERROR(__xludf.DUMMYFUNCTION("""COMPUTED_VALUE"""),"PLDT / H2H")</f>
        <v>PLDT / H2H</v>
      </c>
      <c r="F2958" s="1"/>
      <c r="G2958" s="1"/>
      <c r="H2958" s="1" t="str">
        <f>IFERROR(__xludf.DUMMYFUNCTION("""COMPUTED_VALUE"""),"#N/A")</f>
        <v>#N/A</v>
      </c>
      <c r="I2958" s="1">
        <f>IFERROR(__xludf.DUMMYFUNCTION("""COMPUTED_VALUE"""),9931492257)</f>
        <v>9931492257</v>
      </c>
      <c r="J2958" s="1">
        <f>IFERROR(__xludf.DUMMYFUNCTION("""COMPUTED_VALUE"""),9453828406)</f>
        <v>9453828406</v>
      </c>
      <c r="K2958" s="1" t="str">
        <f>IFERROR(__xludf.DUMMYFUNCTION("""COMPUTED_VALUE"""),"samuelgaboy.12345@gmail.com")</f>
        <v>samuelgaboy.12345@gmail.com</v>
      </c>
      <c r="L2958" s="1" t="str">
        <f>IFERROR(__xludf.DUMMYFUNCTION("""COMPUTED_VALUE"""),"BLK 4B LOT 18")</f>
        <v>BLK 4B LOT 18</v>
      </c>
      <c r="M2958" s="1" t="str">
        <f>IFERROR(__xludf.DUMMYFUNCTION("""COMPUTED_VALUE"""),"APPARTMENT")</f>
        <v>APPARTMENT</v>
      </c>
      <c r="N2958" s="1" t="str">
        <f>IFERROR(__xludf.DUMMYFUNCTION("""COMPUTED_VALUE"""),"#N/A")</f>
        <v>#N/A</v>
      </c>
      <c r="O2958" s="1" t="str">
        <f>IFERROR(__xludf.DUMMYFUNCTION("""COMPUTED_VALUE"""),"GREGORIA DE JESUS")</f>
        <v>GREGORIA DE JESUS</v>
      </c>
      <c r="P2958" s="1" t="str">
        <f>IFERROR(__xludf.DUMMYFUNCTION("""COMPUTED_VALUE"""),"GEN MARIANO ALVAREZ")</f>
        <v>GEN MARIANO ALVAREZ</v>
      </c>
      <c r="Q2958" s="1" t="str">
        <f>IFERROR(__xludf.DUMMYFUNCTION("""COMPUTED_VALUE"""),"CAVITE")</f>
        <v>CAVITE</v>
      </c>
      <c r="R2958" s="1" t="str">
        <f>IFERROR(__xludf.DUMMYFUNCTION("""COMPUTED_VALUE"""),"FIBR PLAN 1299")</f>
        <v>FIBR PLAN 1299</v>
      </c>
      <c r="S2958" s="1" t="str">
        <f>IFERROR(__xludf.DUMMYFUNCTION("""COMPUTED_VALUE"""),"APPROVED")</f>
        <v>APPROVED</v>
      </c>
      <c r="T2958" s="1" t="str">
        <f>IFERROR(__xludf.DUMMYFUNCTION("""COMPUTED_VALUE"""),"#N/A")</f>
        <v>#N/A</v>
      </c>
      <c r="U2958" s="1" t="str">
        <f>IFERROR(__xludf.DUMMYFUNCTION("""COMPUTED_VALUE"""),"POSTED")</f>
        <v>POSTED</v>
      </c>
      <c r="V2958" s="1"/>
      <c r="W2958" s="1"/>
    </row>
    <row r="2959" customHeight="1" spans="1:23">
      <c r="A2959" s="3">
        <f>IFERROR(__xludf.DUMMYFUNCTION("""COMPUTED_VALUE"""),46266)</f>
        <v>46266</v>
      </c>
      <c r="B2959" s="1" t="str">
        <f>IFERROR(__xludf.DUMMYFUNCTION("""COMPUTED_VALUE"""),"ESCARCHA, MA ALMA  ESCOTO")</f>
        <v>ESCARCHA, MA ALMA  ESCOTO</v>
      </c>
      <c r="C2959" s="1" t="str">
        <f>IFERROR(__xludf.DUMMYFUNCTION("""COMPUTED_VALUE"""),"ORGANIC")</f>
        <v>ORGANIC</v>
      </c>
      <c r="D2959" s="1" t="str">
        <f>IFERROR(__xludf.DUMMYFUNCTION("""COMPUTED_VALUE"""),"REMOLLO LEA")</f>
        <v>REMOLLO LEA</v>
      </c>
      <c r="E2959" s="1" t="str">
        <f>IFERROR(__xludf.DUMMYFUNCTION("""COMPUTED_VALUE"""),"PLDT / H2H")</f>
        <v>PLDT / H2H</v>
      </c>
      <c r="F2959" s="1"/>
      <c r="G2959" s="1"/>
      <c r="H2959" s="1" t="str">
        <f>IFERROR(__xludf.DUMMYFUNCTION("""COMPUTED_VALUE"""),"#N/A")</f>
        <v>#N/A</v>
      </c>
      <c r="I2959" s="1">
        <f>IFERROR(__xludf.DUMMYFUNCTION("""COMPUTED_VALUE"""),9949261762)</f>
        <v>9949261762</v>
      </c>
      <c r="J2959" s="1"/>
      <c r="K2959" s="1" t="str">
        <f>IFERROR(__xludf.DUMMYFUNCTION("""COMPUTED_VALUE"""),"sonnyboycolete@gmail.com")</f>
        <v>sonnyboycolete@gmail.com</v>
      </c>
      <c r="L2959" s="1" t="str">
        <f>IFERROR(__xludf.DUMMYFUNCTION("""COMPUTED_VALUE"""),"BLK 29 LOT 1")</f>
        <v>BLK 29 LOT 1</v>
      </c>
      <c r="M2959" s="1" t="str">
        <f>IFERROR(__xludf.DUMMYFUNCTION("""COMPUTED_VALUE"""),"MAIN RD")</f>
        <v>MAIN RD</v>
      </c>
      <c r="N2959" s="1" t="str">
        <f>IFERROR(__xludf.DUMMYFUNCTION("""COMPUTED_VALUE"""),"#N/A")</f>
        <v>#N/A</v>
      </c>
      <c r="O2959" s="1" t="str">
        <f>IFERROR(__xludf.DUMMYFUNCTION("""COMPUTED_VALUE"""),"BERNARDO PULIDO (AREA H)")</f>
        <v>BERNARDO PULIDO (AREA H)</v>
      </c>
      <c r="P2959" s="1" t="str">
        <f>IFERROR(__xludf.DUMMYFUNCTION("""COMPUTED_VALUE"""),"GEN MARIANO ALVAREZ")</f>
        <v>GEN MARIANO ALVAREZ</v>
      </c>
      <c r="Q2959" s="1" t="str">
        <f>IFERROR(__xludf.DUMMYFUNCTION("""COMPUTED_VALUE"""),"CAVITE")</f>
        <v>CAVITE</v>
      </c>
      <c r="R2959" s="1" t="str">
        <f>IFERROR(__xludf.DUMMYFUNCTION("""COMPUTED_VALUE"""),"FIBR UNLI ALL PLAN 999")</f>
        <v>FIBR UNLI ALL PLAN 999</v>
      </c>
      <c r="S2959" s="1" t="str">
        <f>IFERROR(__xludf.DUMMYFUNCTION("""COMPUTED_VALUE"""),"APPROVED")</f>
        <v>APPROVED</v>
      </c>
      <c r="T2959" s="1" t="str">
        <f>IFERROR(__xludf.DUMMYFUNCTION("""COMPUTED_VALUE"""),"#N/A")</f>
        <v>#N/A</v>
      </c>
      <c r="U2959" s="1"/>
      <c r="V2959" s="1"/>
      <c r="W2959" s="1"/>
    </row>
    <row r="2960" customHeight="1" spans="1:23">
      <c r="A2960" s="3">
        <f>IFERROR(__xludf.DUMMYFUNCTION("""COMPUTED_VALUE"""),46266)</f>
        <v>46266</v>
      </c>
      <c r="B2960" s="1" t="str">
        <f>IFERROR(__xludf.DUMMYFUNCTION("""COMPUTED_VALUE"""),"ALINGARO, CINDY")</f>
        <v>ALINGARO, CINDY</v>
      </c>
      <c r="C2960" s="1" t="str">
        <f>IFERROR(__xludf.DUMMYFUNCTION("""COMPUTED_VALUE"""),"FLA")</f>
        <v>FLA</v>
      </c>
      <c r="D2960" s="1" t="str">
        <f>IFERROR(__xludf.DUMMYFUNCTION("""COMPUTED_VALUE"""),"JERIC NAVARRO")</f>
        <v>JERIC NAVARRO</v>
      </c>
      <c r="E2960" s="1" t="str">
        <f>IFERROR(__xludf.DUMMYFUNCTION("""COMPUTED_VALUE"""),"PLDT / H2H")</f>
        <v>PLDT / H2H</v>
      </c>
      <c r="F2960" s="1"/>
      <c r="G2960" s="1"/>
      <c r="H2960" s="1" t="str">
        <f>IFERROR(__xludf.DUMMYFUNCTION("""COMPUTED_VALUE"""),"#N/A")</f>
        <v>#N/A</v>
      </c>
      <c r="I2960" s="1">
        <f>IFERROR(__xludf.DUMMYFUNCTION("""COMPUTED_VALUE"""),9074659260)</f>
        <v>9074659260</v>
      </c>
      <c r="J2960" s="1">
        <f>IFERROR(__xludf.DUMMYFUNCTION("""COMPUTED_VALUE"""),9171799898)</f>
        <v>9171799898</v>
      </c>
      <c r="K2960" s="1" t="str">
        <f>IFERROR(__xludf.DUMMYFUNCTION("""COMPUTED_VALUE"""),"jovanpayadan20@gmail.com")</f>
        <v>jovanpayadan20@gmail.com</v>
      </c>
      <c r="L2960" s="1" t="str">
        <f>IFERROR(__xludf.DUMMYFUNCTION("""COMPUTED_VALUE"""),"513a")</f>
        <v>513a</v>
      </c>
      <c r="M2960" s="1" t="str">
        <f>IFERROR(__xludf.DUMMYFUNCTION("""COMPUTED_VALUE"""),"C5")</f>
        <v>C5</v>
      </c>
      <c r="N2960" s="1" t="str">
        <f>IFERROR(__xludf.DUMMYFUNCTION("""COMPUTED_VALUE"""),"#N/A")</f>
        <v>#N/A</v>
      </c>
      <c r="O2960" s="1" t="str">
        <f>IFERROR(__xludf.DUMMYFUNCTION("""COMPUTED_VALUE"""),"LUKSUHIN")</f>
        <v>LUKSUHIN</v>
      </c>
      <c r="P2960" s="1" t="str">
        <f>IFERROR(__xludf.DUMMYFUNCTION("""COMPUTED_VALUE"""),"ALFONSO")</f>
        <v>ALFONSO</v>
      </c>
      <c r="Q2960" s="1" t="str">
        <f>IFERROR(__xludf.DUMMYFUNCTION("""COMPUTED_VALUE"""),"CAVITE")</f>
        <v>CAVITE</v>
      </c>
      <c r="R2960" s="1" t="str">
        <f>IFERROR(__xludf.DUMMYFUNCTION("""COMPUTED_VALUE"""),"FIBR PLAN 1299")</f>
        <v>FIBR PLAN 1299</v>
      </c>
      <c r="S2960" s="1" t="str">
        <f>IFERROR(__xludf.DUMMYFUNCTION("""COMPUTED_VALUE"""),"APPROVED")</f>
        <v>APPROVED</v>
      </c>
      <c r="T2960" s="1" t="str">
        <f>IFERROR(__xludf.DUMMYFUNCTION("""COMPUTED_VALUE"""),"#N/A")</f>
        <v>#N/A</v>
      </c>
      <c r="U2960" s="1"/>
      <c r="V2960" s="1"/>
      <c r="W2960" s="1"/>
    </row>
    <row r="2961" customHeight="1" spans="1:23">
      <c r="A2961" s="3">
        <f>IFERROR(__xludf.DUMMYFUNCTION("""COMPUTED_VALUE"""),46266)</f>
        <v>46266</v>
      </c>
      <c r="B2961" s="1" t="str">
        <f>IFERROR(__xludf.DUMMYFUNCTION("""COMPUTED_VALUE"""),"ESCARCHA, MA ALMA  ESCOTO")</f>
        <v>ESCARCHA, MA ALMA  ESCOTO</v>
      </c>
      <c r="C2961" s="1" t="str">
        <f>IFERROR(__xludf.DUMMYFUNCTION("""COMPUTED_VALUE"""),"ORGANIC")</f>
        <v>ORGANIC</v>
      </c>
      <c r="D2961" s="1" t="str">
        <f>IFERROR(__xludf.DUMMYFUNCTION("""COMPUTED_VALUE"""),"REMOLLO LEA")</f>
        <v>REMOLLO LEA</v>
      </c>
      <c r="E2961" s="1" t="str">
        <f>IFERROR(__xludf.DUMMYFUNCTION("""COMPUTED_VALUE"""),"PLDT / H2H")</f>
        <v>PLDT / H2H</v>
      </c>
      <c r="F2961" s="1"/>
      <c r="G2961" s="1"/>
      <c r="H2961" s="1" t="str">
        <f>IFERROR(__xludf.DUMMYFUNCTION("""COMPUTED_VALUE"""),"#N/A")</f>
        <v>#N/A</v>
      </c>
      <c r="I2961" s="1">
        <f>IFERROR(__xludf.DUMMYFUNCTION("""COMPUTED_VALUE"""),9910420466)</f>
        <v>9910420466</v>
      </c>
      <c r="J2961" s="1"/>
      <c r="K2961" s="1" t="str">
        <f>IFERROR(__xludf.DUMMYFUNCTION("""COMPUTED_VALUE"""),"romiferolino@gmail.com")</f>
        <v>romiferolino@gmail.com</v>
      </c>
      <c r="L2961" s="1" t="str">
        <f>IFERROR(__xludf.DUMMYFUNCTION("""COMPUTED_VALUE"""),"156")</f>
        <v>156</v>
      </c>
      <c r="M2961" s="1" t="str">
        <f>IFERROR(__xludf.DUMMYFUNCTION("""COMPUTED_VALUE"""),"QUINTO RD")</f>
        <v>QUINTO RD</v>
      </c>
      <c r="N2961" s="1" t="str">
        <f>IFERROR(__xludf.DUMMYFUNCTION("""COMPUTED_VALUE"""),"#N/A")</f>
        <v>#N/A</v>
      </c>
      <c r="O2961" s="1" t="str">
        <f>IFERROR(__xludf.DUMMYFUNCTION("""COMPUTED_VALUE"""),"MARAHAN II")</f>
        <v>MARAHAN II</v>
      </c>
      <c r="P2961" s="1" t="str">
        <f>IFERROR(__xludf.DUMMYFUNCTION("""COMPUTED_VALUE"""),"ALFONSO")</f>
        <v>ALFONSO</v>
      </c>
      <c r="Q2961" s="1" t="str">
        <f>IFERROR(__xludf.DUMMYFUNCTION("""COMPUTED_VALUE"""),"CAVITE")</f>
        <v>CAVITE</v>
      </c>
      <c r="R2961" s="1" t="str">
        <f>IFERROR(__xludf.DUMMYFUNCTION("""COMPUTED_VALUE"""),"FIBR UNLI ALL PLAN 999")</f>
        <v>FIBR UNLI ALL PLAN 999</v>
      </c>
      <c r="S2961" s="1" t="str">
        <f>IFERROR(__xludf.DUMMYFUNCTION("""COMPUTED_VALUE"""),"APPROVED")</f>
        <v>APPROVED</v>
      </c>
      <c r="T2961" s="1" t="str">
        <f>IFERROR(__xludf.DUMMYFUNCTION("""COMPUTED_VALUE"""),"#N/A")</f>
        <v>#N/A</v>
      </c>
      <c r="U2961" s="1" t="str">
        <f>IFERROR(__xludf.DUMMYFUNCTION("""COMPUTED_VALUE"""),"POSTED")</f>
        <v>POSTED</v>
      </c>
      <c r="V2961" s="1"/>
      <c r="W2961" s="1"/>
    </row>
    <row r="2962" customHeight="1" spans="1:23">
      <c r="A2962" s="3">
        <f>IFERROR(__xludf.DUMMYFUNCTION("""COMPUTED_VALUE"""),46266)</f>
        <v>46266</v>
      </c>
      <c r="B2962" s="1" t="str">
        <f>IFERROR(__xludf.DUMMYFUNCTION("""COMPUTED_VALUE"""),"OPS WESLY")</f>
        <v>OPS WESLY</v>
      </c>
      <c r="C2962" s="1" t="str">
        <f>IFERROR(__xludf.DUMMYFUNCTION("""COMPUTED_VALUE"""),"FLA")</f>
        <v>FLA</v>
      </c>
      <c r="D2962" s="1" t="str">
        <f>IFERROR(__xludf.DUMMYFUNCTION("""COMPUTED_VALUE"""),"JERIC NAVARRO")</f>
        <v>JERIC NAVARRO</v>
      </c>
      <c r="E2962" s="1" t="str">
        <f>IFERROR(__xludf.DUMMYFUNCTION("""COMPUTED_VALUE"""),"PLDT / ONLINE")</f>
        <v>PLDT / ONLINE</v>
      </c>
      <c r="F2962" s="1"/>
      <c r="G2962" s="1"/>
      <c r="H2962" s="1" t="str">
        <f>IFERROR(__xludf.DUMMYFUNCTION("""COMPUTED_VALUE"""),"#N/A")</f>
        <v>#N/A</v>
      </c>
      <c r="I2962" s="1">
        <f>IFERROR(__xludf.DUMMYFUNCTION("""COMPUTED_VALUE"""),9773866651)</f>
        <v>9773866651</v>
      </c>
      <c r="J2962" s="1">
        <f>IFERROR(__xludf.DUMMYFUNCTION("""COMPUTED_VALUE"""),9167927345)</f>
        <v>9167927345</v>
      </c>
      <c r="K2962" s="1" t="str">
        <f>IFERROR(__xludf.DUMMYFUNCTION("""COMPUTED_VALUE"""),"erisbasilio@gmail.com")</f>
        <v>erisbasilio@gmail.com</v>
      </c>
      <c r="L2962" s="1" t="str">
        <f>IFERROR(__xludf.DUMMYFUNCTION("""COMPUTED_VALUE"""),"9018")</f>
        <v>9018</v>
      </c>
      <c r="M2962" s="1" t="str">
        <f>IFERROR(__xludf.DUMMYFUNCTION("""COMPUTED_VALUE"""),"TIBAYAN")</f>
        <v>TIBAYAN</v>
      </c>
      <c r="N2962" s="1" t="str">
        <f>IFERROR(__xludf.DUMMYFUNCTION("""COMPUTED_VALUE"""),"#N/A")</f>
        <v>#N/A</v>
      </c>
      <c r="O2962" s="1" t="str">
        <f>IFERROR(__xludf.DUMMYFUNCTION("""COMPUTED_VALUE"""),"LUMIL")</f>
        <v>LUMIL</v>
      </c>
      <c r="P2962" s="1" t="str">
        <f>IFERROR(__xludf.DUMMYFUNCTION("""COMPUTED_VALUE"""),"SILANG")</f>
        <v>SILANG</v>
      </c>
      <c r="Q2962" s="1" t="str">
        <f>IFERROR(__xludf.DUMMYFUNCTION("""COMPUTED_VALUE"""),"CAVITE")</f>
        <v>CAVITE</v>
      </c>
      <c r="R2962" s="1" t="str">
        <f>IFERROR(__xludf.DUMMYFUNCTION("""COMPUTED_VALUE"""),"FIBR PLAN 1699")</f>
        <v>FIBR PLAN 1699</v>
      </c>
      <c r="S2962" s="1" t="str">
        <f>IFERROR(__xludf.DUMMYFUNCTION("""COMPUTED_VALUE"""),"APPROVED")</f>
        <v>APPROVED</v>
      </c>
      <c r="T2962" s="1" t="str">
        <f>IFERROR(__xludf.DUMMYFUNCTION("""COMPUTED_VALUE"""),"#N/A")</f>
        <v>#N/A</v>
      </c>
      <c r="U2962" s="1" t="str">
        <f>IFERROR(__xludf.DUMMYFUNCTION("""COMPUTED_VALUE"""),"POSTED")</f>
        <v>POSTED</v>
      </c>
      <c r="V2962" s="1"/>
      <c r="W2962" s="1"/>
    </row>
    <row r="2963" customHeight="1" spans="1:23">
      <c r="A2963" s="3">
        <f>IFERROR(__xludf.DUMMYFUNCTION("""COMPUTED_VALUE"""),46266)</f>
        <v>46266</v>
      </c>
      <c r="B2963" s="1" t="str">
        <f>IFERROR(__xludf.DUMMYFUNCTION("""COMPUTED_VALUE"""),"ALOS, CHARLS LAURENZ")</f>
        <v>ALOS, CHARLS LAURENZ</v>
      </c>
      <c r="C2963" s="1" t="str">
        <f>IFERROR(__xludf.DUMMYFUNCTION("""COMPUTED_VALUE"""),"ORGANIC")</f>
        <v>ORGANIC</v>
      </c>
      <c r="D2963" s="1" t="str">
        <f>IFERROR(__xludf.DUMMYFUNCTION("""COMPUTED_VALUE"""),"REMOLLO LEA")</f>
        <v>REMOLLO LEA</v>
      </c>
      <c r="E2963" s="1" t="str">
        <f>IFERROR(__xludf.DUMMYFUNCTION("""COMPUTED_VALUE"""),"PLDT / H2H")</f>
        <v>PLDT / H2H</v>
      </c>
      <c r="F2963" s="1"/>
      <c r="G2963" s="1"/>
      <c r="H2963" s="1" t="str">
        <f>IFERROR(__xludf.DUMMYFUNCTION("""COMPUTED_VALUE"""),"#N/A")</f>
        <v>#N/A</v>
      </c>
      <c r="I2963" s="1">
        <f>IFERROR(__xludf.DUMMYFUNCTION("""COMPUTED_VALUE"""),9604085013)</f>
        <v>9604085013</v>
      </c>
      <c r="J2963" s="1">
        <f>IFERROR(__xludf.DUMMYFUNCTION("""COMPUTED_VALUE"""),9603786496)</f>
        <v>9603786496</v>
      </c>
      <c r="K2963" s="1" t="str">
        <f>IFERROR(__xludf.DUMMYFUNCTION("""COMPUTED_VALUE"""),"vangeehouse121160@gmail.com")</f>
        <v>vangeehouse121160@gmail.com</v>
      </c>
      <c r="L2963" s="1" t="str">
        <f>IFERROR(__xludf.DUMMYFUNCTION("""COMPUTED_VALUE"""),"23")</f>
        <v>23</v>
      </c>
      <c r="M2963" s="1" t="str">
        <f>IFERROR(__xludf.DUMMYFUNCTION("""COMPUTED_VALUE"""),"SAN PEDRO ")</f>
        <v>SAN PEDRO </v>
      </c>
      <c r="N2963" s="1" t="str">
        <f>IFERROR(__xludf.DUMMYFUNCTION("""COMPUTED_VALUE"""),"#N/A")</f>
        <v>#N/A</v>
      </c>
      <c r="O2963" s="1" t="str">
        <f>IFERROR(__xludf.DUMMYFUNCTION("""COMPUTED_VALUE"""),"BUKAL")</f>
        <v>BUKAL</v>
      </c>
      <c r="P2963" s="1" t="str">
        <f>IFERROR(__xludf.DUMMYFUNCTION("""COMPUTED_VALUE"""),"MENDEZ")</f>
        <v>MENDEZ</v>
      </c>
      <c r="Q2963" s="1" t="str">
        <f>IFERROR(__xludf.DUMMYFUNCTION("""COMPUTED_VALUE"""),"CAVITE")</f>
        <v>CAVITE</v>
      </c>
      <c r="R2963" s="1" t="str">
        <f>IFERROR(__xludf.DUMMYFUNCTION("""COMPUTED_VALUE"""),"FIBR UNLI ALL PLAN 999")</f>
        <v>FIBR UNLI ALL PLAN 999</v>
      </c>
      <c r="S2963" s="1" t="str">
        <f>IFERROR(__xludf.DUMMYFUNCTION("""COMPUTED_VALUE"""),"APPROVED")</f>
        <v>APPROVED</v>
      </c>
      <c r="T2963" s="1" t="str">
        <f>IFERROR(__xludf.DUMMYFUNCTION("""COMPUTED_VALUE"""),"#N/A")</f>
        <v>#N/A</v>
      </c>
      <c r="U2963" s="1" t="str">
        <f>IFERROR(__xludf.DUMMYFUNCTION("""COMPUTED_VALUE"""),"POSTED")</f>
        <v>POSTED</v>
      </c>
      <c r="V2963" s="1"/>
      <c r="W2963" s="1"/>
    </row>
    <row r="2964" customHeight="1" spans="1:23">
      <c r="A2964" s="3">
        <f>IFERROR(__xludf.DUMMYFUNCTION("""COMPUTED_VALUE"""),46266)</f>
        <v>46266</v>
      </c>
      <c r="B2964" s="1" t="str">
        <f>IFERROR(__xludf.DUMMYFUNCTION("""COMPUTED_VALUE"""),"MAGDARAOG, KENNETH")</f>
        <v>MAGDARAOG, KENNETH</v>
      </c>
      <c r="C2964" s="1" t="str">
        <f>IFERROR(__xludf.DUMMYFUNCTION("""COMPUTED_VALUE"""),"ORGANIC")</f>
        <v>ORGANIC</v>
      </c>
      <c r="D2964" s="1" t="str">
        <f>IFERROR(__xludf.DUMMYFUNCTION("""COMPUTED_VALUE"""),"REMOLLO LEA")</f>
        <v>REMOLLO LEA</v>
      </c>
      <c r="E2964" s="1" t="str">
        <f>IFERROR(__xludf.DUMMYFUNCTION("""COMPUTED_VALUE"""),"PLDT / H2H")</f>
        <v>PLDT / H2H</v>
      </c>
      <c r="F2964" s="1"/>
      <c r="G2964" s="1"/>
      <c r="H2964" s="1" t="str">
        <f>IFERROR(__xludf.DUMMYFUNCTION("""COMPUTED_VALUE"""),"#N/A")</f>
        <v>#N/A</v>
      </c>
      <c r="I2964" s="1">
        <f>IFERROR(__xludf.DUMMYFUNCTION("""COMPUTED_VALUE"""),9677161163)</f>
        <v>9677161163</v>
      </c>
      <c r="J2964" s="1">
        <f>IFERROR(__xludf.DUMMYFUNCTION("""COMPUTED_VALUE"""),9154606353)</f>
        <v>9154606353</v>
      </c>
      <c r="K2964" s="1" t="str">
        <f>IFERROR(__xludf.DUMMYFUNCTION("""COMPUTED_VALUE"""),"belinoflor57@gmail.com")</f>
        <v>belinoflor57@gmail.com</v>
      </c>
      <c r="L2964" s="1" t="str">
        <f>IFERROR(__xludf.DUMMYFUNCTION("""COMPUTED_VALUE"""),"54")</f>
        <v>54</v>
      </c>
      <c r="M2964" s="1" t="str">
        <f>IFERROR(__xludf.DUMMYFUNCTION("""COMPUTED_VALUE"""),"GUINHAWA")</f>
        <v>GUINHAWA</v>
      </c>
      <c r="N2964" s="1" t="str">
        <f>IFERROR(__xludf.DUMMYFUNCTION("""COMPUTED_VALUE"""),"#N/A")</f>
        <v>#N/A</v>
      </c>
      <c r="O2964" s="1" t="str">
        <f>IFERROR(__xludf.DUMMYFUNCTION("""COMPUTED_VALUE"""),"GUINHAWA NORTH")</f>
        <v>GUINHAWA NORTH</v>
      </c>
      <c r="P2964" s="1" t="str">
        <f>IFERROR(__xludf.DUMMYFUNCTION("""COMPUTED_VALUE"""),"TAGAYTAY")</f>
        <v>TAGAYTAY</v>
      </c>
      <c r="Q2964" s="1" t="str">
        <f>IFERROR(__xludf.DUMMYFUNCTION("""COMPUTED_VALUE"""),"CAVITE")</f>
        <v>CAVITE</v>
      </c>
      <c r="R2964" s="1" t="str">
        <f>IFERROR(__xludf.DUMMYFUNCTION("""COMPUTED_VALUE"""),"FIBR PLAN 1299")</f>
        <v>FIBR PLAN 1299</v>
      </c>
      <c r="S2964" s="1" t="str">
        <f>IFERROR(__xludf.DUMMYFUNCTION("""COMPUTED_VALUE"""),"APPROVED")</f>
        <v>APPROVED</v>
      </c>
      <c r="T2964" s="1" t="str">
        <f>IFERROR(__xludf.DUMMYFUNCTION("""COMPUTED_VALUE"""),"#N/A")</f>
        <v>#N/A</v>
      </c>
      <c r="U2964" s="1"/>
      <c r="V2964" s="1"/>
      <c r="W2964" s="1"/>
    </row>
    <row r="2965" customHeight="1" spans="1:23">
      <c r="A2965" s="3">
        <f>IFERROR(__xludf.DUMMYFUNCTION("""COMPUTED_VALUE"""),46266)</f>
        <v>46266</v>
      </c>
      <c r="B2965" s="1" t="str">
        <f>IFERROR(__xludf.DUMMYFUNCTION("""COMPUTED_VALUE"""),"REMOLLO, LEA")</f>
        <v>REMOLLO, LEA</v>
      </c>
      <c r="C2965" s="1" t="str">
        <f>IFERROR(__xludf.DUMMYFUNCTION("""COMPUTED_VALUE"""),"FLA")</f>
        <v>FLA</v>
      </c>
      <c r="D2965" s="1" t="str">
        <f>IFERROR(__xludf.DUMMYFUNCTION("""COMPUTED_VALUE"""),"JERIC NAVARRO")</f>
        <v>JERIC NAVARRO</v>
      </c>
      <c r="E2965" s="1" t="str">
        <f>IFERROR(__xludf.DUMMYFUNCTION("""COMPUTED_VALUE"""),"PLDT / H2H")</f>
        <v>PLDT / H2H</v>
      </c>
      <c r="F2965" s="1"/>
      <c r="G2965" s="1"/>
      <c r="H2965" s="1" t="str">
        <f>IFERROR(__xludf.DUMMYFUNCTION("""COMPUTED_VALUE"""),"#N/A")</f>
        <v>#N/A</v>
      </c>
      <c r="I2965" s="1">
        <f>IFERROR(__xludf.DUMMYFUNCTION("""COMPUTED_VALUE"""),9381726342)</f>
        <v>9381726342</v>
      </c>
      <c r="J2965" s="1"/>
      <c r="K2965" s="1" t="str">
        <f>IFERROR(__xludf.DUMMYFUNCTION("""COMPUTED_VALUE"""),"monalizasuod11@gmail.com")</f>
        <v>monalizasuod11@gmail.com</v>
      </c>
      <c r="L2965" s="1" t="str">
        <f>IFERROR(__xludf.DUMMYFUNCTION("""COMPUTED_VALUE"""),"BLK 132 LOT 10")</f>
        <v>BLK 132 LOT 10</v>
      </c>
      <c r="M2965" s="1" t="str">
        <f>IFERROR(__xludf.DUMMYFUNCTION("""COMPUTED_VALUE"""),"ZONE 9")</f>
        <v>ZONE 9</v>
      </c>
      <c r="N2965" s="1" t="str">
        <f>IFERROR(__xludf.DUMMYFUNCTION("""COMPUTED_VALUE"""),"AFP HOUSING")</f>
        <v>AFP HOUSING</v>
      </c>
      <c r="O2965" s="1" t="str">
        <f>IFERROR(__xludf.DUMMYFUNCTION("""COMPUTED_VALUE"""),"BULIHAN")</f>
        <v>BULIHAN</v>
      </c>
      <c r="P2965" s="1" t="str">
        <f>IFERROR(__xludf.DUMMYFUNCTION("""COMPUTED_VALUE"""),"SILANG")</f>
        <v>SILANG</v>
      </c>
      <c r="Q2965" s="1" t="str">
        <f>IFERROR(__xludf.DUMMYFUNCTION("""COMPUTED_VALUE"""),"CAVITE")</f>
        <v>CAVITE</v>
      </c>
      <c r="R2965" s="1" t="str">
        <f>IFERROR(__xludf.DUMMYFUNCTION("""COMPUTED_VALUE"""),"FIBR PLAN 1299")</f>
        <v>FIBR PLAN 1299</v>
      </c>
      <c r="S2965" s="1" t="str">
        <f>IFERROR(__xludf.DUMMYFUNCTION("""COMPUTED_VALUE"""),"APPROVED")</f>
        <v>APPROVED</v>
      </c>
      <c r="T2965" s="1" t="str">
        <f>IFERROR(__xludf.DUMMYFUNCTION("""COMPUTED_VALUE"""),"#N/A")</f>
        <v>#N/A</v>
      </c>
      <c r="U2965" s="1" t="str">
        <f>IFERROR(__xludf.DUMMYFUNCTION("""COMPUTED_VALUE"""),"POSTED")</f>
        <v>POSTED</v>
      </c>
      <c r="V2965" s="1"/>
      <c r="W2965" s="1"/>
    </row>
    <row r="2966" customHeight="1" spans="1:23">
      <c r="A2966" s="3">
        <f>IFERROR(__xludf.DUMMYFUNCTION("""COMPUTED_VALUE"""),46266)</f>
        <v>46266</v>
      </c>
      <c r="B2966" s="1" t="str">
        <f>IFERROR(__xludf.DUMMYFUNCTION("""COMPUTED_VALUE"""),"MAGDARAOG, KENNETH")</f>
        <v>MAGDARAOG, KENNETH</v>
      </c>
      <c r="C2966" s="1" t="str">
        <f>IFERROR(__xludf.DUMMYFUNCTION("""COMPUTED_VALUE"""),"ORGANIC")</f>
        <v>ORGANIC</v>
      </c>
      <c r="D2966" s="1" t="str">
        <f>IFERROR(__xludf.DUMMYFUNCTION("""COMPUTED_VALUE"""),"REMOLLO LEA")</f>
        <v>REMOLLO LEA</v>
      </c>
      <c r="E2966" s="1" t="str">
        <f>IFERROR(__xludf.DUMMYFUNCTION("""COMPUTED_VALUE"""),"PLDT / H2H")</f>
        <v>PLDT / H2H</v>
      </c>
      <c r="F2966" s="1"/>
      <c r="G2966" s="1">
        <f>IFERROR(__xludf.DUMMYFUNCTION("""COMPUTED_VALUE"""),2312281715)</f>
        <v>2312281715</v>
      </c>
      <c r="H2966" s="1" t="str">
        <f>IFERROR(__xludf.DUMMYFUNCTION("""COMPUTED_VALUE"""),"#N/A")</f>
        <v>#N/A</v>
      </c>
      <c r="I2966" s="1">
        <f>IFERROR(__xludf.DUMMYFUNCTION("""COMPUTED_VALUE"""),9096516475)</f>
        <v>9096516475</v>
      </c>
      <c r="J2966" s="1"/>
      <c r="K2966" s="1" t="str">
        <f>IFERROR(__xludf.DUMMYFUNCTION("""COMPUTED_VALUE"""),"manzanojollybelle@gmail.com")</f>
        <v>manzanojollybelle@gmail.com</v>
      </c>
      <c r="L2966" s="1" t="str">
        <f>IFERROR(__xludf.DUMMYFUNCTION("""COMPUTED_VALUE"""),"5")</f>
        <v>5</v>
      </c>
      <c r="M2966" s="1" t="str">
        <f>IFERROR(__xludf.DUMMYFUNCTION("""COMPUTED_VALUE"""),"NARRA ")</f>
        <v>NARRA </v>
      </c>
      <c r="N2966" s="1" t="str">
        <f>IFERROR(__xludf.DUMMYFUNCTION("""COMPUTED_VALUE"""),"#N/A")</f>
        <v>#N/A</v>
      </c>
      <c r="O2966" s="1" t="str">
        <f>IFERROR(__xludf.DUMMYFUNCTION("""COMPUTED_VALUE"""),"NARRA I")</f>
        <v>NARRA I</v>
      </c>
      <c r="P2966" s="1" t="str">
        <f>IFERROR(__xludf.DUMMYFUNCTION("""COMPUTED_VALUE"""),"SILANG")</f>
        <v>SILANG</v>
      </c>
      <c r="Q2966" s="1" t="str">
        <f>IFERROR(__xludf.DUMMYFUNCTION("""COMPUTED_VALUE"""),"CAVITE")</f>
        <v>CAVITE</v>
      </c>
      <c r="R2966" s="1" t="str">
        <f>IFERROR(__xludf.DUMMYFUNCTION("""COMPUTED_VALUE"""),"FIBR UNLI ALL PLAN 999")</f>
        <v>FIBR UNLI ALL PLAN 999</v>
      </c>
      <c r="S2966" s="1" t="str">
        <f>IFERROR(__xludf.DUMMYFUNCTION("""COMPUTED_VALUE"""),"APPROVED")</f>
        <v>APPROVED</v>
      </c>
      <c r="T2966" s="1" t="str">
        <f>IFERROR(__xludf.DUMMYFUNCTION("""COMPUTED_VALUE"""),"#N/A")</f>
        <v>#N/A</v>
      </c>
      <c r="U2966" s="1"/>
      <c r="V2966" s="1"/>
      <c r="W2966" s="1"/>
    </row>
    <row r="2967" customHeight="1" spans="1:23">
      <c r="A2967" s="3">
        <f>IFERROR(__xludf.DUMMYFUNCTION("""COMPUTED_VALUE"""),46267)</f>
        <v>46267</v>
      </c>
      <c r="B2967" s="1" t="str">
        <f>IFERROR(__xludf.DUMMYFUNCTION("""COMPUTED_VALUE"""),"ARNESTO, FRANZ IVAN")</f>
        <v>ARNESTO, FRANZ IVAN</v>
      </c>
      <c r="C2967" s="1" t="str">
        <f>IFERROR(__xludf.DUMMYFUNCTION("""COMPUTED_VALUE"""),"FLA")</f>
        <v>FLA</v>
      </c>
      <c r="D2967" s="1" t="str">
        <f>IFERROR(__xludf.DUMMYFUNCTION("""COMPUTED_VALUE"""),"JERIC NAVARRO")</f>
        <v>JERIC NAVARRO</v>
      </c>
      <c r="E2967" s="1" t="str">
        <f>IFERROR(__xludf.DUMMYFUNCTION("""COMPUTED_VALUE"""),"PLDT / ONLINE")</f>
        <v>PLDT / ONLINE</v>
      </c>
      <c r="F2967" s="1"/>
      <c r="G2967" s="1"/>
      <c r="H2967" s="1" t="str">
        <f>IFERROR(__xludf.DUMMYFUNCTION("""COMPUTED_VALUE"""),"#N/A")</f>
        <v>#N/A</v>
      </c>
      <c r="I2967" s="1">
        <f>IFERROR(__xludf.DUMMYFUNCTION("""COMPUTED_VALUE"""),639567941303)</f>
        <v>639567941303</v>
      </c>
      <c r="J2967" s="1">
        <f>IFERROR(__xludf.DUMMYFUNCTION("""COMPUTED_VALUE"""),9560052765)</f>
        <v>9560052765</v>
      </c>
      <c r="K2967" s="1" t="str">
        <f>IFERROR(__xludf.DUMMYFUNCTION("""COMPUTED_VALUE"""),"maryazur04@gmail.com")</f>
        <v>maryazur04@gmail.com</v>
      </c>
      <c r="L2967" s="1" t="str">
        <f>IFERROR(__xludf.DUMMYFUNCTION("""COMPUTED_VALUE"""),"#N/A")</f>
        <v>#N/A</v>
      </c>
      <c r="M2967" s="1" t="str">
        <f>IFERROR(__xludf.DUMMYFUNCTION("""COMPUTED_VALUE"""),"#N/A")</f>
        <v>#N/A</v>
      </c>
      <c r="N2967" s="1" t="str">
        <f>IFERROR(__xludf.DUMMYFUNCTION("""COMPUTED_VALUE"""),"LANCASTER NEW CITY")</f>
        <v>LANCASTER NEW CITY</v>
      </c>
      <c r="O2967" s="1" t="str">
        <f>IFERROR(__xludf.DUMMYFUNCTION("""COMPUTED_VALUE"""),"PASONG CAMACHILE I")</f>
        <v>PASONG CAMACHILE I</v>
      </c>
      <c r="P2967" s="1" t="str">
        <f>IFERROR(__xludf.DUMMYFUNCTION("""COMPUTED_VALUE"""),"GENERAL TRIAS")</f>
        <v>GENERAL TRIAS</v>
      </c>
      <c r="Q2967" s="1" t="str">
        <f>IFERROR(__xludf.DUMMYFUNCTION("""COMPUTED_VALUE"""),"CAVITE")</f>
        <v>CAVITE</v>
      </c>
      <c r="R2967" s="1" t="str">
        <f>IFERROR(__xludf.DUMMYFUNCTION("""COMPUTED_VALUE"""),"FIBR PLAN 1699")</f>
        <v>FIBR PLAN 1699</v>
      </c>
      <c r="S2967" s="1" t="str">
        <f>IFERROR(__xludf.DUMMYFUNCTION("""COMPUTED_VALUE"""),"APPROVED")</f>
        <v>APPROVED</v>
      </c>
      <c r="T2967" s="1" t="str">
        <f>IFERROR(__xludf.DUMMYFUNCTION("""COMPUTED_VALUE"""),"#N/A")</f>
        <v>#N/A</v>
      </c>
      <c r="U2967" s="1"/>
      <c r="V2967" s="1"/>
      <c r="W2967" s="1"/>
    </row>
    <row r="2968" customHeight="1" spans="1:23">
      <c r="A2968" s="3">
        <f>IFERROR(__xludf.DUMMYFUNCTION("""COMPUTED_VALUE"""),46267)</f>
        <v>46267</v>
      </c>
      <c r="B2968" s="1" t="str">
        <f>IFERROR(__xludf.DUMMYFUNCTION("""COMPUTED_VALUE"""),"FRANCISCO , ROSELYN")</f>
        <v>FRANCISCO , ROSELYN</v>
      </c>
      <c r="C2968" s="1" t="str">
        <f>IFERROR(__xludf.DUMMYFUNCTION("""COMPUTED_VALUE"""),"ORGANIC")</f>
        <v>ORGANIC</v>
      </c>
      <c r="D2968" s="1" t="str">
        <f>IFERROR(__xludf.DUMMYFUNCTION("""COMPUTED_VALUE"""),"REMOLLO LEA")</f>
        <v>REMOLLO LEA</v>
      </c>
      <c r="E2968" s="1" t="str">
        <f>IFERROR(__xludf.DUMMYFUNCTION("""COMPUTED_VALUE"""),"PLDT / H2H")</f>
        <v>PLDT / H2H</v>
      </c>
      <c r="F2968" s="1"/>
      <c r="G2968" s="1"/>
      <c r="H2968" s="1" t="str">
        <f>IFERROR(__xludf.DUMMYFUNCTION("""COMPUTED_VALUE"""),"#N/A")</f>
        <v>#N/A</v>
      </c>
      <c r="I2968" s="1">
        <f>IFERROR(__xludf.DUMMYFUNCTION("""COMPUTED_VALUE"""),639636001215)</f>
        <v>639636001215</v>
      </c>
      <c r="J2968" s="1">
        <f>IFERROR(__xludf.DUMMYFUNCTION("""COMPUTED_VALUE"""),9552979796)</f>
        <v>9552979796</v>
      </c>
      <c r="K2968" s="1" t="str">
        <f>IFERROR(__xludf.DUMMYFUNCTION("""COMPUTED_VALUE"""),"velsacoreinziazariel@gmail.com")</f>
        <v>velsacoreinziazariel@gmail.com</v>
      </c>
      <c r="L2968" s="1" t="str">
        <f>IFERROR(__xludf.DUMMYFUNCTION("""COMPUTED_VALUE"""),"#N/A")</f>
        <v>#N/A</v>
      </c>
      <c r="M2968" s="1" t="str">
        <f>IFERROR(__xludf.DUMMYFUNCTION("""COMPUTED_VALUE"""),"#N/A")</f>
        <v>#N/A</v>
      </c>
      <c r="N2968" s="1" t="str">
        <f>IFERROR(__xludf.DUMMYFUNCTION("""COMPUTED_VALUE"""),"#N/A")</f>
        <v>#N/A</v>
      </c>
      <c r="O2968" s="1" t="str">
        <f>IFERROR(__xludf.DUMMYFUNCTION("""COMPUTED_VALUE"""),"GAVINO MADERAN")</f>
        <v>GAVINO MADERAN</v>
      </c>
      <c r="P2968" s="1" t="str">
        <f>IFERROR(__xludf.DUMMYFUNCTION("""COMPUTED_VALUE"""),"GEN MARIANO ALVAREZ")</f>
        <v>GEN MARIANO ALVAREZ</v>
      </c>
      <c r="Q2968" s="1" t="str">
        <f>IFERROR(__xludf.DUMMYFUNCTION("""COMPUTED_VALUE"""),"CAVITE")</f>
        <v>CAVITE</v>
      </c>
      <c r="R2968" s="1" t="str">
        <f>IFERROR(__xludf.DUMMYFUNCTION("""COMPUTED_VALUE"""),"FIBR PLAN 1299")</f>
        <v>FIBR PLAN 1299</v>
      </c>
      <c r="S2968" s="1" t="str">
        <f>IFERROR(__xludf.DUMMYFUNCTION("""COMPUTED_VALUE"""),"APPROVED")</f>
        <v>APPROVED</v>
      </c>
      <c r="T2968" s="1" t="str">
        <f>IFERROR(__xludf.DUMMYFUNCTION("""COMPUTED_VALUE"""),"#N/A")</f>
        <v>#N/A</v>
      </c>
      <c r="U2968" s="1" t="str">
        <f>IFERROR(__xludf.DUMMYFUNCTION("""COMPUTED_VALUE"""),"POSTED")</f>
        <v>POSTED</v>
      </c>
      <c r="V2968" s="1"/>
      <c r="W2968" s="1"/>
    </row>
    <row r="2969" customHeight="1" spans="1:23">
      <c r="A2969" s="3">
        <f>IFERROR(__xludf.DUMMYFUNCTION("""COMPUTED_VALUE"""),46267)</f>
        <v>46267</v>
      </c>
      <c r="B2969" s="1" t="str">
        <f>IFERROR(__xludf.DUMMYFUNCTION("""COMPUTED_VALUE"""),"ESCARCHA, MA ALMA  ESCOTO")</f>
        <v>ESCARCHA, MA ALMA  ESCOTO</v>
      </c>
      <c r="C2969" s="1" t="str">
        <f>IFERROR(__xludf.DUMMYFUNCTION("""COMPUTED_VALUE"""),"ORGANIC")</f>
        <v>ORGANIC</v>
      </c>
      <c r="D2969" s="1" t="str">
        <f>IFERROR(__xludf.DUMMYFUNCTION("""COMPUTED_VALUE"""),"REMOLLO LEA")</f>
        <v>REMOLLO LEA</v>
      </c>
      <c r="E2969" s="1" t="str">
        <f>IFERROR(__xludf.DUMMYFUNCTION("""COMPUTED_VALUE"""),"PLDT / H2H")</f>
        <v>PLDT / H2H</v>
      </c>
      <c r="F2969" s="1"/>
      <c r="G2969" s="1"/>
      <c r="H2969" s="1" t="str">
        <f>IFERROR(__xludf.DUMMYFUNCTION("""COMPUTED_VALUE"""),"#N/A")</f>
        <v>#N/A</v>
      </c>
      <c r="I2969" s="1">
        <f>IFERROR(__xludf.DUMMYFUNCTION("""COMPUTED_VALUE"""),639358538317)</f>
        <v>639358538317</v>
      </c>
      <c r="J2969" s="1"/>
      <c r="K2969" s="1" t="str">
        <f>IFERROR(__xludf.DUMMYFUNCTION("""COMPUTED_VALUE"""),"mariongjhunesari@gmail.com")</f>
        <v>mariongjhunesari@gmail.com</v>
      </c>
      <c r="L2969" s="1" t="str">
        <f>IFERROR(__xludf.DUMMYFUNCTION("""COMPUTED_VALUE"""),"#N/A")</f>
        <v>#N/A</v>
      </c>
      <c r="M2969" s="1" t="str">
        <f>IFERROR(__xludf.DUMMYFUNCTION("""COMPUTED_VALUE"""),"#N/A")</f>
        <v>#N/A</v>
      </c>
      <c r="N2969" s="1" t="str">
        <f>IFERROR(__xludf.DUMMYFUNCTION("""COMPUTED_VALUE"""),"#N/A")</f>
        <v>#N/A</v>
      </c>
      <c r="O2969" s="1" t="str">
        <f>IFERROR(__xludf.DUMMYFUNCTION("""COMPUTED_VALUE"""),"BUKAL")</f>
        <v>BUKAL</v>
      </c>
      <c r="P2969" s="1" t="str">
        <f>IFERROR(__xludf.DUMMYFUNCTION("""COMPUTED_VALUE"""),"AMADEO")</f>
        <v>AMADEO</v>
      </c>
      <c r="Q2969" s="1" t="str">
        <f>IFERROR(__xludf.DUMMYFUNCTION("""COMPUTED_VALUE"""),"CAVITE")</f>
        <v>CAVITE</v>
      </c>
      <c r="R2969" s="1" t="str">
        <f>IFERROR(__xludf.DUMMYFUNCTION("""COMPUTED_VALUE"""),"FIBR UNLI ALL PLAN 999")</f>
        <v>FIBR UNLI ALL PLAN 999</v>
      </c>
      <c r="S2969" s="1" t="str">
        <f>IFERROR(__xludf.DUMMYFUNCTION("""COMPUTED_VALUE"""),"APPROVED")</f>
        <v>APPROVED</v>
      </c>
      <c r="T2969" s="1" t="str">
        <f>IFERROR(__xludf.DUMMYFUNCTION("""COMPUTED_VALUE"""),"#N/A")</f>
        <v>#N/A</v>
      </c>
      <c r="U2969" s="1" t="str">
        <f>IFERROR(__xludf.DUMMYFUNCTION("""COMPUTED_VALUE"""),"POSTED")</f>
        <v>POSTED</v>
      </c>
      <c r="V2969" s="1"/>
      <c r="W2969" s="1"/>
    </row>
    <row r="2970" customHeight="1" spans="1:23">
      <c r="A2970" s="3">
        <f>IFERROR(__xludf.DUMMYFUNCTION("""COMPUTED_VALUE"""),46267)</f>
        <v>46267</v>
      </c>
      <c r="B2970" s="1" t="str">
        <f>IFERROR(__xludf.DUMMYFUNCTION("""COMPUTED_VALUE"""),"MALIWAT MARK ELVIN")</f>
        <v>MALIWAT MARK ELVIN</v>
      </c>
      <c r="C2970" s="1" t="str">
        <f>IFERROR(__xludf.DUMMYFUNCTION("""COMPUTED_VALUE"""),"FLA")</f>
        <v>FLA</v>
      </c>
      <c r="D2970" s="1" t="str">
        <f>IFERROR(__xludf.DUMMYFUNCTION("""COMPUTED_VALUE"""),"JERIC NAVARRO")</f>
        <v>JERIC NAVARRO</v>
      </c>
      <c r="E2970" s="1" t="str">
        <f>IFERROR(__xludf.DUMMYFUNCTION("""COMPUTED_VALUE"""),"PLDT / ONLINE")</f>
        <v>PLDT / ONLINE</v>
      </c>
      <c r="F2970" s="1"/>
      <c r="G2970" s="1"/>
      <c r="H2970" s="1" t="str">
        <f>IFERROR(__xludf.DUMMYFUNCTION("""COMPUTED_VALUE"""),"#N/A")</f>
        <v>#N/A</v>
      </c>
      <c r="I2970" s="1">
        <f>IFERROR(__xludf.DUMMYFUNCTION("""COMPUTED_VALUE"""),9277416572)</f>
        <v>9277416572</v>
      </c>
      <c r="J2970" s="1">
        <f>IFERROR(__xludf.DUMMYFUNCTION("""COMPUTED_VALUE"""),95091227909)</f>
        <v>95091227909</v>
      </c>
      <c r="K2970" s="1" t="str">
        <f>IFERROR(__xludf.DUMMYFUNCTION("""COMPUTED_VALUE"""),"abagonalvin21@gmail.com")</f>
        <v>abagonalvin21@gmail.com</v>
      </c>
      <c r="L2970" s="1" t="str">
        <f>IFERROR(__xludf.DUMMYFUNCTION("""COMPUTED_VALUE"""),"3715")</f>
        <v>3715</v>
      </c>
      <c r="M2970" s="1" t="str">
        <f>IFERROR(__xludf.DUMMYFUNCTION("""COMPUTED_VALUE"""),"LAVANDER")</f>
        <v>LAVANDER</v>
      </c>
      <c r="N2970" s="1" t="str">
        <f>IFERROR(__xludf.DUMMYFUNCTION("""COMPUTED_VALUE"""),"#N/A")</f>
        <v>#N/A</v>
      </c>
      <c r="O2970" s="1" t="str">
        <f>IFERROR(__xludf.DUMMYFUNCTION("""COMPUTED_VALUE"""),"BUROL III")</f>
        <v>BUROL III</v>
      </c>
      <c r="P2970" s="1" t="str">
        <f>IFERROR(__xludf.DUMMYFUNCTION("""COMPUTED_VALUE"""),"DASMARINAS")</f>
        <v>DASMARINAS</v>
      </c>
      <c r="Q2970" s="1" t="str">
        <f>IFERROR(__xludf.DUMMYFUNCTION("""COMPUTED_VALUE"""),"CAVITE")</f>
        <v>CAVITE</v>
      </c>
      <c r="R2970" s="1" t="str">
        <f>IFERROR(__xludf.DUMMYFUNCTION("""COMPUTED_VALUE"""),"FIBR PLAN 1299")</f>
        <v>FIBR PLAN 1299</v>
      </c>
      <c r="S2970" s="1" t="str">
        <f>IFERROR(__xludf.DUMMYFUNCTION("""COMPUTED_VALUE"""),"APPROVED")</f>
        <v>APPROVED</v>
      </c>
      <c r="T2970" s="1" t="str">
        <f>IFERROR(__xludf.DUMMYFUNCTION("""COMPUTED_VALUE"""),"#N/A")</f>
        <v>#N/A</v>
      </c>
      <c r="U2970" s="1"/>
      <c r="V2970" s="1"/>
      <c r="W2970" s="1"/>
    </row>
    <row r="2971" customHeight="1" spans="1:23">
      <c r="A2971" s="3">
        <f>IFERROR(__xludf.DUMMYFUNCTION("""COMPUTED_VALUE"""),46267)</f>
        <v>46267</v>
      </c>
      <c r="B2971" s="1" t="str">
        <f>IFERROR(__xludf.DUMMYFUNCTION("""COMPUTED_VALUE"""),"ALINGARO, CINDY")</f>
        <v>ALINGARO, CINDY</v>
      </c>
      <c r="C2971" s="1" t="str">
        <f>IFERROR(__xludf.DUMMYFUNCTION("""COMPUTED_VALUE"""),"FLA")</f>
        <v>FLA</v>
      </c>
      <c r="D2971" s="1" t="str">
        <f>IFERROR(__xludf.DUMMYFUNCTION("""COMPUTED_VALUE"""),"JERIC NAVARRO")</f>
        <v>JERIC NAVARRO</v>
      </c>
      <c r="E2971" s="1" t="str">
        <f>IFERROR(__xludf.DUMMYFUNCTION("""COMPUTED_VALUE"""),"PLDT / H2H")</f>
        <v>PLDT / H2H</v>
      </c>
      <c r="F2971" s="1"/>
      <c r="G2971" s="1"/>
      <c r="H2971" s="1" t="str">
        <f>IFERROR(__xludf.DUMMYFUNCTION("""COMPUTED_VALUE"""),"#N/A")</f>
        <v>#N/A</v>
      </c>
      <c r="I2971" s="1">
        <f>IFERROR(__xludf.DUMMYFUNCTION("""COMPUTED_VALUE"""),9929227791)</f>
        <v>9929227791</v>
      </c>
      <c r="J2971" s="1">
        <f>IFERROR(__xludf.DUMMYFUNCTION("""COMPUTED_VALUE"""),9397746589)</f>
        <v>9397746589</v>
      </c>
      <c r="K2971" s="1" t="str">
        <f>IFERROR(__xludf.DUMMYFUNCTION("""COMPUTED_VALUE"""),"rowenajavier011@gmail.com")</f>
        <v>rowenajavier011@gmail.com</v>
      </c>
      <c r="L2971" s="1" t="str">
        <f>IFERROR(__xludf.DUMMYFUNCTION("""COMPUTED_VALUE"""),"94")</f>
        <v>94</v>
      </c>
      <c r="M2971" s="1" t="str">
        <f>IFERROR(__xludf.DUMMYFUNCTION("""COMPUTED_VALUE"""),"KAYBAGAL")</f>
        <v>KAYBAGAL</v>
      </c>
      <c r="N2971" s="1" t="str">
        <f>IFERROR(__xludf.DUMMYFUNCTION("""COMPUTED_VALUE"""),"#N/A")</f>
        <v>#N/A</v>
      </c>
      <c r="O2971" s="1" t="str">
        <f>IFERROR(__xludf.DUMMYFUNCTION("""COMPUTED_VALUE"""),"KAYBAGAL CENTRAL")</f>
        <v>KAYBAGAL CENTRAL</v>
      </c>
      <c r="P2971" s="1" t="str">
        <f>IFERROR(__xludf.DUMMYFUNCTION("""COMPUTED_VALUE"""),"TAGAYTAY")</f>
        <v>TAGAYTAY</v>
      </c>
      <c r="Q2971" s="1" t="str">
        <f>IFERROR(__xludf.DUMMYFUNCTION("""COMPUTED_VALUE"""),"CAVITE")</f>
        <v>CAVITE</v>
      </c>
      <c r="R2971" s="1" t="str">
        <f>IFERROR(__xludf.DUMMYFUNCTION("""COMPUTED_VALUE"""),"FIBR PLAN 1299")</f>
        <v>FIBR PLAN 1299</v>
      </c>
      <c r="S2971" s="1" t="str">
        <f>IFERROR(__xludf.DUMMYFUNCTION("""COMPUTED_VALUE"""),"APPROVED")</f>
        <v>APPROVED</v>
      </c>
      <c r="T2971" s="1" t="str">
        <f>IFERROR(__xludf.DUMMYFUNCTION("""COMPUTED_VALUE"""),"#N/A")</f>
        <v>#N/A</v>
      </c>
      <c r="U2971" s="1" t="str">
        <f>IFERROR(__xludf.DUMMYFUNCTION("""COMPUTED_VALUE"""),"POSTED")</f>
        <v>POSTED</v>
      </c>
      <c r="V2971" s="1"/>
      <c r="W2971" s="1"/>
    </row>
    <row r="2972" customHeight="1" spans="1:23">
      <c r="A2972" s="3">
        <f>IFERROR(__xludf.DUMMYFUNCTION("""COMPUTED_VALUE"""),46267)</f>
        <v>46267</v>
      </c>
      <c r="B2972" s="1" t="str">
        <f>IFERROR(__xludf.DUMMYFUNCTION("""COMPUTED_VALUE"""),"ALOS, CHARLS LAURENZ")</f>
        <v>ALOS, CHARLS LAURENZ</v>
      </c>
      <c r="C2972" s="1" t="str">
        <f>IFERROR(__xludf.DUMMYFUNCTION("""COMPUTED_VALUE"""),"ORGANIC")</f>
        <v>ORGANIC</v>
      </c>
      <c r="D2972" s="1" t="str">
        <f>IFERROR(__xludf.DUMMYFUNCTION("""COMPUTED_VALUE"""),"REMOLLO LEA")</f>
        <v>REMOLLO LEA</v>
      </c>
      <c r="E2972" s="1" t="str">
        <f>IFERROR(__xludf.DUMMYFUNCTION("""COMPUTED_VALUE"""),"RED FIBER")</f>
        <v>RED FIBER</v>
      </c>
      <c r="F2972" s="1"/>
      <c r="G2972" s="1"/>
      <c r="H2972" s="1" t="str">
        <f>IFERROR(__xludf.DUMMYFUNCTION("""COMPUTED_VALUE"""),"CS1350608 / WO0910325")</f>
        <v>CS1350608 / WO0910325</v>
      </c>
      <c r="I2972" s="1">
        <f>IFERROR(__xludf.DUMMYFUNCTION("""COMPUTED_VALUE"""),9958846690)</f>
        <v>9958846690</v>
      </c>
      <c r="J2972" s="1"/>
      <c r="K2972" s="1" t="str">
        <f>IFERROR(__xludf.DUMMYFUNCTION("""COMPUTED_VALUE"""),"apollodustindeleon86@gmail.com")</f>
        <v>apollodustindeleon86@gmail.com</v>
      </c>
      <c r="L2972" s="1" t="str">
        <f>IFERROR(__xludf.DUMMYFUNCTION("""COMPUTED_VALUE"""),"339")</f>
        <v>339</v>
      </c>
      <c r="M2972" s="1" t="str">
        <f>IFERROR(__xludf.DUMMYFUNCTION("""COMPUTED_VALUE"""),"TOMAGAN ")</f>
        <v>TOMAGAN </v>
      </c>
      <c r="N2972" s="1" t="str">
        <f>IFERROR(__xludf.DUMMYFUNCTION("""COMPUTED_VALUE"""),"#N/A")</f>
        <v>#N/A</v>
      </c>
      <c r="O2972" s="1" t="str">
        <f>IFERROR(__xludf.DUMMYFUNCTION("""COMPUTED_VALUE"""),"SALABAN")</f>
        <v>SALABAN</v>
      </c>
      <c r="P2972" s="1" t="str">
        <f>IFERROR(__xludf.DUMMYFUNCTION("""COMPUTED_VALUE"""),"AMADEO")</f>
        <v>AMADEO</v>
      </c>
      <c r="Q2972" s="1" t="str">
        <f>IFERROR(__xludf.DUMMYFUNCTION("""COMPUTED_VALUE"""),"CAVITE")</f>
        <v>CAVITE</v>
      </c>
      <c r="R2972" s="1" t="str">
        <f>IFERROR(__xludf.DUMMYFUNCTION("""COMPUTED_VALUE"""),"FIBR UNLI ALL PLAN 1499")</f>
        <v>FIBR UNLI ALL PLAN 1499</v>
      </c>
      <c r="S2972" s="1" t="str">
        <f>IFERROR(__xludf.DUMMYFUNCTION("""COMPUTED_VALUE"""),"APPROVED")</f>
        <v>APPROVED</v>
      </c>
      <c r="T2972" s="1" t="str">
        <f>IFERROR(__xludf.DUMMYFUNCTION("""COMPUTED_VALUE"""),"#N/A")</f>
        <v>#N/A</v>
      </c>
      <c r="U2972" s="1" t="str">
        <f>IFERROR(__xludf.DUMMYFUNCTION("""COMPUTED_VALUE"""),"PAID VIA GCASH")</f>
        <v>PAID VIA GCASH</v>
      </c>
      <c r="V2972" s="1"/>
      <c r="W2972" s="1"/>
    </row>
    <row r="2973" customHeight="1" spans="1:23">
      <c r="A2973" s="3">
        <f>IFERROR(__xludf.DUMMYFUNCTION("""COMPUTED_VALUE"""),46267)</f>
        <v>46267</v>
      </c>
      <c r="B2973" s="1" t="str">
        <f>IFERROR(__xludf.DUMMYFUNCTION("""COMPUTED_VALUE"""),"CADERAO, RONALD")</f>
        <v>CADERAO, RONALD</v>
      </c>
      <c r="C2973" s="1" t="str">
        <f>IFERROR(__xludf.DUMMYFUNCTION("""COMPUTED_VALUE"""),"ORGANIC")</f>
        <v>ORGANIC</v>
      </c>
      <c r="D2973" s="1" t="str">
        <f>IFERROR(__xludf.DUMMYFUNCTION("""COMPUTED_VALUE"""),"REMOLLO LEA")</f>
        <v>REMOLLO LEA</v>
      </c>
      <c r="E2973" s="1" t="str">
        <f>IFERROR(__xludf.DUMMYFUNCTION("""COMPUTED_VALUE"""),"PLDT / ONLINE")</f>
        <v>PLDT / ONLINE</v>
      </c>
      <c r="F2973" s="1"/>
      <c r="G2973" s="1"/>
      <c r="H2973" s="1" t="str">
        <f>IFERROR(__xludf.DUMMYFUNCTION("""COMPUTED_VALUE"""),"#N/A")</f>
        <v>#N/A</v>
      </c>
      <c r="I2973" s="1">
        <f>IFERROR(__xludf.DUMMYFUNCTION("""COMPUTED_VALUE"""),639305093739)</f>
        <v>639305093739</v>
      </c>
      <c r="J2973" s="1"/>
      <c r="K2973" s="1" t="str">
        <f>IFERROR(__xludf.DUMMYFUNCTION("""COMPUTED_VALUE"""),"charmainelacida@gmail.com")</f>
        <v>charmainelacida@gmail.com</v>
      </c>
      <c r="L2973" s="1" t="str">
        <f>IFERROR(__xludf.DUMMYFUNCTION("""COMPUTED_VALUE"""),"#N/A")</f>
        <v>#N/A</v>
      </c>
      <c r="M2973" s="1" t="str">
        <f>IFERROR(__xludf.DUMMYFUNCTION("""COMPUTED_VALUE"""),"#N/A")</f>
        <v>#N/A</v>
      </c>
      <c r="N2973" s="1" t="str">
        <f>IFERROR(__xludf.DUMMYFUNCTION("""COMPUTED_VALUE"""),"#N/A")</f>
        <v>#N/A</v>
      </c>
      <c r="O2973" s="1" t="str">
        <f>IFERROR(__xludf.DUMMYFUNCTION("""COMPUTED_VALUE"""),"SAN SIMON (BARANGAY 7)")</f>
        <v>SAN SIMON (BARANGAY 7)</v>
      </c>
      <c r="P2973" s="1" t="str">
        <f>IFERROR(__xludf.DUMMYFUNCTION("""COMPUTED_VALUE"""),"DASMARINAS")</f>
        <v>DASMARINAS</v>
      </c>
      <c r="Q2973" s="1" t="str">
        <f>IFERROR(__xludf.DUMMYFUNCTION("""COMPUTED_VALUE"""),"CAVITE")</f>
        <v>CAVITE</v>
      </c>
      <c r="R2973" s="1" t="str">
        <f>IFERROR(__xludf.DUMMYFUNCTION("""COMPUTED_VALUE"""),"FIBR PLAN 1299")</f>
        <v>FIBR PLAN 1299</v>
      </c>
      <c r="S2973" s="1" t="str">
        <f>IFERROR(__xludf.DUMMYFUNCTION("""COMPUTED_VALUE"""),"APPROVED")</f>
        <v>APPROVED</v>
      </c>
      <c r="T2973" s="1" t="str">
        <f>IFERROR(__xludf.DUMMYFUNCTION("""COMPUTED_VALUE"""),"#N/A")</f>
        <v>#N/A</v>
      </c>
      <c r="U2973" s="1"/>
      <c r="V2973" s="1"/>
      <c r="W2973" s="1"/>
    </row>
    <row r="2974" customHeight="1" spans="1:23">
      <c r="A2974" s="3">
        <f>IFERROR(__xludf.DUMMYFUNCTION("""COMPUTED_VALUE"""),46267)</f>
        <v>46267</v>
      </c>
      <c r="B2974" s="1" t="str">
        <f>IFERROR(__xludf.DUMMYFUNCTION("""COMPUTED_VALUE"""),"ESCARCHA, MA ALMA  ESCOTO")</f>
        <v>ESCARCHA, MA ALMA  ESCOTO</v>
      </c>
      <c r="C2974" s="1" t="str">
        <f>IFERROR(__xludf.DUMMYFUNCTION("""COMPUTED_VALUE"""),"ORGANIC")</f>
        <v>ORGANIC</v>
      </c>
      <c r="D2974" s="1" t="str">
        <f>IFERROR(__xludf.DUMMYFUNCTION("""COMPUTED_VALUE"""),"REMOLLO LEA")</f>
        <v>REMOLLO LEA</v>
      </c>
      <c r="E2974" s="1" t="str">
        <f>IFERROR(__xludf.DUMMYFUNCTION("""COMPUTED_VALUE"""),"PLDT / H2H")</f>
        <v>PLDT / H2H</v>
      </c>
      <c r="F2974" s="1"/>
      <c r="G2974" s="1"/>
      <c r="H2974" s="1" t="str">
        <f>IFERROR(__xludf.DUMMYFUNCTION("""COMPUTED_VALUE"""),"#N/A")</f>
        <v>#N/A</v>
      </c>
      <c r="I2974" s="1">
        <f>IFERROR(__xludf.DUMMYFUNCTION("""COMPUTED_VALUE"""),99315301012)</f>
        <v>99315301012</v>
      </c>
      <c r="J2974" s="1"/>
      <c r="K2974" s="1" t="str">
        <f>IFERROR(__xludf.DUMMYFUNCTION("""COMPUTED_VALUE"""),"athanzednanreh1989@gmail.com")</f>
        <v>athanzednanreh1989@gmail.com</v>
      </c>
      <c r="L2974" s="1" t="str">
        <f>IFERROR(__xludf.DUMMYFUNCTION("""COMPUTED_VALUE"""),"32A")</f>
        <v>32A</v>
      </c>
      <c r="M2974" s="1" t="str">
        <f>IFERROR(__xludf.DUMMYFUNCTION("""COMPUTED_VALUE"""),"STRAWBERRY")</f>
        <v>STRAWBERRY</v>
      </c>
      <c r="N2974" s="1" t="str">
        <f>IFERROR(__xludf.DUMMYFUNCTION("""COMPUTED_VALUE"""),"#N/A")</f>
        <v>#N/A</v>
      </c>
      <c r="O2974" s="1" t="str">
        <f>IFERROR(__xludf.DUMMYFUNCTION("""COMPUTED_VALUE"""),"FRANCISCO REYES")</f>
        <v>FRANCISCO REYES</v>
      </c>
      <c r="P2974" s="1" t="str">
        <f>IFERROR(__xludf.DUMMYFUNCTION("""COMPUTED_VALUE"""),"GENERAL EMILIO AGUINALDO")</f>
        <v>GENERAL EMILIO AGUINALDO</v>
      </c>
      <c r="Q2974" s="1" t="str">
        <f>IFERROR(__xludf.DUMMYFUNCTION("""COMPUTED_VALUE"""),"CAVITE")</f>
        <v>CAVITE</v>
      </c>
      <c r="R2974" s="1" t="str">
        <f>IFERROR(__xludf.DUMMYFUNCTION("""COMPUTED_VALUE"""),"FIBR UNLI ALL PLAN 999")</f>
        <v>FIBR UNLI ALL PLAN 999</v>
      </c>
      <c r="S2974" s="1" t="str">
        <f>IFERROR(__xludf.DUMMYFUNCTION("""COMPUTED_VALUE"""),"APPROVED")</f>
        <v>APPROVED</v>
      </c>
      <c r="T2974" s="1" t="str">
        <f>IFERROR(__xludf.DUMMYFUNCTION("""COMPUTED_VALUE"""),"#N/A")</f>
        <v>#N/A</v>
      </c>
      <c r="U2974" s="1" t="str">
        <f>IFERROR(__xludf.DUMMYFUNCTION("""COMPUTED_VALUE"""),"POSTED")</f>
        <v>POSTED</v>
      </c>
      <c r="V2974" s="1"/>
      <c r="W2974" s="1"/>
    </row>
    <row r="2975" customHeight="1" spans="1:23">
      <c r="A2975" s="3">
        <f>IFERROR(__xludf.DUMMYFUNCTION("""COMPUTED_VALUE"""),46267)</f>
        <v>46267</v>
      </c>
      <c r="B2975" s="1" t="str">
        <f>IFERROR(__xludf.DUMMYFUNCTION("""COMPUTED_VALUE"""),"AYON MANUEL")</f>
        <v>AYON MANUEL</v>
      </c>
      <c r="C2975" s="1" t="str">
        <f>IFERROR(__xludf.DUMMYFUNCTION("""COMPUTED_VALUE"""),"FLA")</f>
        <v>FLA</v>
      </c>
      <c r="D2975" s="1" t="str">
        <f>IFERROR(__xludf.DUMMYFUNCTION("""COMPUTED_VALUE"""),"JERIC NAVARRO")</f>
        <v>JERIC NAVARRO</v>
      </c>
      <c r="E2975" s="1" t="str">
        <f>IFERROR(__xludf.DUMMYFUNCTION("""COMPUTED_VALUE"""),"PLDT / H2H")</f>
        <v>PLDT / H2H</v>
      </c>
      <c r="F2975" s="1"/>
      <c r="G2975" s="1"/>
      <c r="H2975" s="1" t="str">
        <f>IFERROR(__xludf.DUMMYFUNCTION("""COMPUTED_VALUE"""),"#N/A")</f>
        <v>#N/A</v>
      </c>
      <c r="I2975" s="1">
        <f>IFERROR(__xludf.DUMMYFUNCTION("""COMPUTED_VALUE"""),9497126924)</f>
        <v>9497126924</v>
      </c>
      <c r="J2975" s="1">
        <f>IFERROR(__xludf.DUMMYFUNCTION("""COMPUTED_VALUE"""),9654314828)</f>
        <v>9654314828</v>
      </c>
      <c r="K2975" s="1" t="str">
        <f>IFERROR(__xludf.DUMMYFUNCTION("""COMPUTED_VALUE"""),"melrtel@gmail.com")</f>
        <v>melrtel@gmail.com</v>
      </c>
      <c r="L2975" s="1" t="str">
        <f>IFERROR(__xludf.DUMMYFUNCTION("""COMPUTED_VALUE"""),"9028")</f>
        <v>9028</v>
      </c>
      <c r="M2975" s="1" t="str">
        <f>IFERROR(__xludf.DUMMYFUNCTION("""COMPUTED_VALUE"""),"SALAZAR RD")</f>
        <v>SALAZAR RD</v>
      </c>
      <c r="N2975" s="1" t="str">
        <f>IFERROR(__xludf.DUMMYFUNCTION("""COMPUTED_VALUE"""),"#N/A")</f>
        <v>#N/A</v>
      </c>
      <c r="O2975" s="1" t="str">
        <f>IFERROR(__xludf.DUMMYFUNCTION("""COMPUTED_VALUE"""),"BUKAL")</f>
        <v>BUKAL</v>
      </c>
      <c r="P2975" s="1" t="str">
        <f>IFERROR(__xludf.DUMMYFUNCTION("""COMPUTED_VALUE"""),"MENDEZ")</f>
        <v>MENDEZ</v>
      </c>
      <c r="Q2975" s="1" t="str">
        <f>IFERROR(__xludf.DUMMYFUNCTION("""COMPUTED_VALUE"""),"CAVITE")</f>
        <v>CAVITE</v>
      </c>
      <c r="R2975" s="1" t="str">
        <f>IFERROR(__xludf.DUMMYFUNCTION("""COMPUTED_VALUE"""),"FIBR UNLI ALL PLAN 999")</f>
        <v>FIBR UNLI ALL PLAN 999</v>
      </c>
      <c r="S2975" s="1" t="str">
        <f>IFERROR(__xludf.DUMMYFUNCTION("""COMPUTED_VALUE"""),"APPROVED")</f>
        <v>APPROVED</v>
      </c>
      <c r="T2975" s="1" t="str">
        <f>IFERROR(__xludf.DUMMYFUNCTION("""COMPUTED_VALUE"""),"#N/A")</f>
        <v>#N/A</v>
      </c>
      <c r="U2975" s="1" t="str">
        <f>IFERROR(__xludf.DUMMYFUNCTION("""COMPUTED_VALUE"""),"POSTED")</f>
        <v>POSTED</v>
      </c>
      <c r="V2975" s="1"/>
      <c r="W2975" s="1"/>
    </row>
    <row r="2976" customHeight="1" spans="1:23">
      <c r="A2976" s="3">
        <f>IFERROR(__xludf.DUMMYFUNCTION("""COMPUTED_VALUE"""),46267)</f>
        <v>46267</v>
      </c>
      <c r="B2976" s="1" t="str">
        <f>IFERROR(__xludf.DUMMYFUNCTION("""COMPUTED_VALUE"""),"REMOLLO, LEA")</f>
        <v>REMOLLO, LEA</v>
      </c>
      <c r="C2976" s="1" t="str">
        <f>IFERROR(__xludf.DUMMYFUNCTION("""COMPUTED_VALUE"""),"FLA")</f>
        <v>FLA</v>
      </c>
      <c r="D2976" s="1" t="str">
        <f>IFERROR(__xludf.DUMMYFUNCTION("""COMPUTED_VALUE"""),"JERIC NAVARRO")</f>
        <v>JERIC NAVARRO</v>
      </c>
      <c r="E2976" s="1" t="str">
        <f>IFERROR(__xludf.DUMMYFUNCTION("""COMPUTED_VALUE"""),"PLDT / H2H")</f>
        <v>PLDT / H2H</v>
      </c>
      <c r="F2976" s="1"/>
      <c r="G2976" s="1"/>
      <c r="H2976" s="1" t="str">
        <f>IFERROR(__xludf.DUMMYFUNCTION("""COMPUTED_VALUE"""),"#N/A")</f>
        <v>#N/A</v>
      </c>
      <c r="I2976" s="1">
        <f>IFERROR(__xludf.DUMMYFUNCTION("""COMPUTED_VALUE"""),9452953243)</f>
        <v>9452953243</v>
      </c>
      <c r="J2976" s="1"/>
      <c r="K2976" s="1" t="str">
        <f>IFERROR(__xludf.DUMMYFUNCTION("""COMPUTED_VALUE"""),"rinaconde72@gmail.com")</f>
        <v>rinaconde72@gmail.com</v>
      </c>
      <c r="L2976" s="1" t="str">
        <f>IFERROR(__xludf.DUMMYFUNCTION("""COMPUTED_VALUE"""),"BLK 20 LOT 1")</f>
        <v>BLK 20 LOT 1</v>
      </c>
      <c r="M2976" s="1" t="str">
        <f>IFERROR(__xludf.DUMMYFUNCTION("""COMPUTED_VALUE"""),"BUKLURAN")</f>
        <v>BUKLURAN</v>
      </c>
      <c r="N2976" s="1" t="str">
        <f>IFERROR(__xludf.DUMMYFUNCTION("""COMPUTED_VALUE"""),"#N/A")</f>
        <v>#N/A</v>
      </c>
      <c r="O2976" s="1" t="str">
        <f>IFERROR(__xludf.DUMMYFUNCTION("""COMPUTED_VALUE"""),"BULIHAN")</f>
        <v>BULIHAN</v>
      </c>
      <c r="P2976" s="1" t="str">
        <f>IFERROR(__xludf.DUMMYFUNCTION("""COMPUTED_VALUE"""),"SILANG")</f>
        <v>SILANG</v>
      </c>
      <c r="Q2976" s="1" t="str">
        <f>IFERROR(__xludf.DUMMYFUNCTION("""COMPUTED_VALUE"""),"CAVITE")</f>
        <v>CAVITE</v>
      </c>
      <c r="R2976" s="1" t="str">
        <f>IFERROR(__xludf.DUMMYFUNCTION("""COMPUTED_VALUE"""),"FIBR NETFLIX PLAN 1599")</f>
        <v>FIBR NETFLIX PLAN 1599</v>
      </c>
      <c r="S2976" s="1" t="str">
        <f>IFERROR(__xludf.DUMMYFUNCTION("""COMPUTED_VALUE"""),"APPROVED")</f>
        <v>APPROVED</v>
      </c>
      <c r="T2976" s="1" t="str">
        <f>IFERROR(__xludf.DUMMYFUNCTION("""COMPUTED_VALUE"""),"#N/A")</f>
        <v>#N/A</v>
      </c>
      <c r="U2976" s="1" t="str">
        <f>IFERROR(__xludf.DUMMYFUNCTION("""COMPUTED_VALUE"""),"POSTED")</f>
        <v>POSTED</v>
      </c>
      <c r="V2976" s="1"/>
      <c r="W2976" s="1"/>
    </row>
    <row r="2977" customHeight="1" spans="1:23">
      <c r="A2977" s="3">
        <f>IFERROR(__xludf.DUMMYFUNCTION("""COMPUTED_VALUE"""),46267)</f>
        <v>46267</v>
      </c>
      <c r="B2977" s="1" t="str">
        <f>IFERROR(__xludf.DUMMYFUNCTION("""COMPUTED_VALUE"""),"FRANCISCO , ROSELYN")</f>
        <v>FRANCISCO , ROSELYN</v>
      </c>
      <c r="C2977" s="1" t="str">
        <f>IFERROR(__xludf.DUMMYFUNCTION("""COMPUTED_VALUE"""),"ORGANIC")</f>
        <v>ORGANIC</v>
      </c>
      <c r="D2977" s="1" t="str">
        <f>IFERROR(__xludf.DUMMYFUNCTION("""COMPUTED_VALUE"""),"REMOLLO LEA")</f>
        <v>REMOLLO LEA</v>
      </c>
      <c r="E2977" s="1" t="str">
        <f>IFERROR(__xludf.DUMMYFUNCTION("""COMPUTED_VALUE"""),"PLDT / H2H")</f>
        <v>PLDT / H2H</v>
      </c>
      <c r="F2977" s="1"/>
      <c r="G2977" s="1"/>
      <c r="H2977" s="1" t="str">
        <f>IFERROR(__xludf.DUMMYFUNCTION("""COMPUTED_VALUE"""),"#N/A")</f>
        <v>#N/A</v>
      </c>
      <c r="I2977" s="1">
        <f>IFERROR(__xludf.DUMMYFUNCTION("""COMPUTED_VALUE"""),9278591072)</f>
        <v>9278591072</v>
      </c>
      <c r="J2977" s="1"/>
      <c r="K2977" s="1" t="str">
        <f>IFERROR(__xludf.DUMMYFUNCTION("""COMPUTED_VALUE"""),"edmonde;acruz91@gmail.com")</f>
        <v>edmonde;acruz91@gmail.com</v>
      </c>
      <c r="L2977" s="1" t="str">
        <f>IFERROR(__xludf.DUMMYFUNCTION("""COMPUTED_VALUE"""),"BLK 270 LOT 11")</f>
        <v>BLK 270 LOT 11</v>
      </c>
      <c r="M2977" s="1" t="str">
        <f>IFERROR(__xludf.DUMMYFUNCTION("""COMPUTED_VALUE"""),"ZONE 10")</f>
        <v>ZONE 10</v>
      </c>
      <c r="N2977" s="1" t="str">
        <f>IFERROR(__xludf.DUMMYFUNCTION("""COMPUTED_VALUE"""),"AFP HOUSING")</f>
        <v>AFP HOUSING</v>
      </c>
      <c r="O2977" s="1" t="str">
        <f>IFERROR(__xludf.DUMMYFUNCTION("""COMPUTED_VALUE"""),"BULIHAN")</f>
        <v>BULIHAN</v>
      </c>
      <c r="P2977" s="1" t="str">
        <f>IFERROR(__xludf.DUMMYFUNCTION("""COMPUTED_VALUE"""),"SILANG")</f>
        <v>SILANG</v>
      </c>
      <c r="Q2977" s="1" t="str">
        <f>IFERROR(__xludf.DUMMYFUNCTION("""COMPUTED_VALUE"""),"CAVITE")</f>
        <v>CAVITE</v>
      </c>
      <c r="R2977" s="1" t="str">
        <f>IFERROR(__xludf.DUMMYFUNCTION("""COMPUTED_VALUE"""),"FIBR UNLI ALL PLAN 999")</f>
        <v>FIBR UNLI ALL PLAN 999</v>
      </c>
      <c r="S2977" s="1" t="str">
        <f>IFERROR(__xludf.DUMMYFUNCTION("""COMPUTED_VALUE"""),"APPROVED")</f>
        <v>APPROVED</v>
      </c>
      <c r="T2977" s="1" t="str">
        <f>IFERROR(__xludf.DUMMYFUNCTION("""COMPUTED_VALUE"""),"#N/A")</f>
        <v>#N/A</v>
      </c>
      <c r="U2977" s="1" t="str">
        <f>IFERROR(__xludf.DUMMYFUNCTION("""COMPUTED_VALUE"""),"POSTED")</f>
        <v>POSTED</v>
      </c>
      <c r="V2977" s="1"/>
      <c r="W2977" s="1"/>
    </row>
    <row r="2978" customHeight="1" spans="1:23">
      <c r="A2978" s="3">
        <f>IFERROR(__xludf.DUMMYFUNCTION("""COMPUTED_VALUE"""),46267)</f>
        <v>46267</v>
      </c>
      <c r="B2978" s="1" t="str">
        <f>IFERROR(__xludf.DUMMYFUNCTION("""COMPUTED_VALUE"""),"ARIENA, LYKA")</f>
        <v>ARIENA, LYKA</v>
      </c>
      <c r="C2978" s="1" t="str">
        <f>IFERROR(__xludf.DUMMYFUNCTION("""COMPUTED_VALUE"""),"ORGANIC")</f>
        <v>ORGANIC</v>
      </c>
      <c r="D2978" s="1" t="str">
        <f>IFERROR(__xludf.DUMMYFUNCTION("""COMPUTED_VALUE"""),"REMOLLO LEA")</f>
        <v>REMOLLO LEA</v>
      </c>
      <c r="E2978" s="1" t="str">
        <f>IFERROR(__xludf.DUMMYFUNCTION("""COMPUTED_VALUE"""),"PLDT / H2H")</f>
        <v>PLDT / H2H</v>
      </c>
      <c r="F2978" s="1"/>
      <c r="G2978" s="1"/>
      <c r="H2978" s="1" t="str">
        <f>IFERROR(__xludf.DUMMYFUNCTION("""COMPUTED_VALUE"""),"#N/A")</f>
        <v>#N/A</v>
      </c>
      <c r="I2978" s="1">
        <f>IFERROR(__xludf.DUMMYFUNCTION("""COMPUTED_VALUE"""),9533679576)</f>
        <v>9533679576</v>
      </c>
      <c r="J2978" s="1"/>
      <c r="K2978" s="1" t="str">
        <f>IFERROR(__xludf.DUMMYFUNCTION("""COMPUTED_VALUE"""),"garymacasinag09@gmail.com")</f>
        <v>garymacasinag09@gmail.com</v>
      </c>
      <c r="L2978" s="1" t="str">
        <f>IFERROR(__xludf.DUMMYFUNCTION("""COMPUTED_VALUE"""),"BLK 8 LOT 22")</f>
        <v>BLK 8 LOT 22</v>
      </c>
      <c r="M2978" s="1" t="str">
        <f>IFERROR(__xludf.DUMMYFUNCTION("""COMPUTED_VALUE"""),"BUKLURAN")</f>
        <v>BUKLURAN</v>
      </c>
      <c r="N2978" s="1" t="str">
        <f>IFERROR(__xludf.DUMMYFUNCTION("""COMPUTED_VALUE"""),"#N/A")</f>
        <v>#N/A</v>
      </c>
      <c r="O2978" s="1" t="str">
        <f>IFERROR(__xludf.DUMMYFUNCTION("""COMPUTED_VALUE"""),"BULIHAN")</f>
        <v>BULIHAN</v>
      </c>
      <c r="P2978" s="1" t="str">
        <f>IFERROR(__xludf.DUMMYFUNCTION("""COMPUTED_VALUE"""),"SILANG")</f>
        <v>SILANG</v>
      </c>
      <c r="Q2978" s="1" t="str">
        <f>IFERROR(__xludf.DUMMYFUNCTION("""COMPUTED_VALUE"""),"CAVITE")</f>
        <v>CAVITE</v>
      </c>
      <c r="R2978" s="1" t="str">
        <f>IFERROR(__xludf.DUMMYFUNCTION("""COMPUTED_VALUE"""),"FIBR UNLI ALL PLAN 1499")</f>
        <v>FIBR UNLI ALL PLAN 1499</v>
      </c>
      <c r="S2978" s="1" t="str">
        <f>IFERROR(__xludf.DUMMYFUNCTION("""COMPUTED_VALUE"""),"APPROVED")</f>
        <v>APPROVED</v>
      </c>
      <c r="T2978" s="1" t="str">
        <f>IFERROR(__xludf.DUMMYFUNCTION("""COMPUTED_VALUE"""),"#N/A")</f>
        <v>#N/A</v>
      </c>
      <c r="U2978" s="1" t="str">
        <f>IFERROR(__xludf.DUMMYFUNCTION("""COMPUTED_VALUE"""),"POSTED")</f>
        <v>POSTED</v>
      </c>
      <c r="V2978" s="1"/>
      <c r="W2978" s="1"/>
    </row>
    <row r="2979" customHeight="1" spans="1:23">
      <c r="A2979" s="3">
        <f>IFERROR(__xludf.DUMMYFUNCTION("""COMPUTED_VALUE"""),46267)</f>
        <v>46267</v>
      </c>
      <c r="B2979" s="1" t="str">
        <f>IFERROR(__xludf.DUMMYFUNCTION("""COMPUTED_VALUE"""),"GABAY, MANUEL")</f>
        <v>GABAY, MANUEL</v>
      </c>
      <c r="C2979" s="1" t="str">
        <f>IFERROR(__xludf.DUMMYFUNCTION("""COMPUTED_VALUE"""),"FLA")</f>
        <v>FLA</v>
      </c>
      <c r="D2979" s="1" t="str">
        <f>IFERROR(__xludf.DUMMYFUNCTION("""COMPUTED_VALUE"""),"JERIC NAVARRO")</f>
        <v>JERIC NAVARRO</v>
      </c>
      <c r="E2979" s="1" t="str">
        <f>IFERROR(__xludf.DUMMYFUNCTION("""COMPUTED_VALUE"""),"PLDT / H2H")</f>
        <v>PLDT / H2H</v>
      </c>
      <c r="F2979" s="1"/>
      <c r="G2979" s="1"/>
      <c r="H2979" s="1" t="str">
        <f>IFERROR(__xludf.DUMMYFUNCTION("""COMPUTED_VALUE"""),"#N/A")</f>
        <v>#N/A</v>
      </c>
      <c r="I2979" s="1">
        <f>IFERROR(__xludf.DUMMYFUNCTION("""COMPUTED_VALUE"""),9914729726)</f>
        <v>9914729726</v>
      </c>
      <c r="J2979" s="1">
        <f>IFERROR(__xludf.DUMMYFUNCTION("""COMPUTED_VALUE"""),9480399855)</f>
        <v>9480399855</v>
      </c>
      <c r="K2979" s="1" t="str">
        <f>IFERROR(__xludf.DUMMYFUNCTION("""COMPUTED_VALUE"""),"reborngadgetrepairshop@gmail.com")</f>
        <v>reborngadgetrepairshop@gmail.com</v>
      </c>
      <c r="L2979" s="1" t="str">
        <f>IFERROR(__xludf.DUMMYFUNCTION("""COMPUTED_VALUE"""),"BLK 19 LOT 18")</f>
        <v>BLK 19 LOT 18</v>
      </c>
      <c r="M2979" s="1" t="str">
        <f>IFERROR(__xludf.DUMMYFUNCTION("""COMPUTED_VALUE"""),"TARTARIA")</f>
        <v>TARTARIA</v>
      </c>
      <c r="N2979" s="1" t="str">
        <f>IFERROR(__xludf.DUMMYFUNCTION("""COMPUTED_VALUE"""),"#N/A")</f>
        <v>#N/A</v>
      </c>
      <c r="O2979" s="1" t="str">
        <f>IFERROR(__xludf.DUMMYFUNCTION("""COMPUTED_VALUE"""),"TARTARIA")</f>
        <v>TARTARIA</v>
      </c>
      <c r="P2979" s="1" t="str">
        <f>IFERROR(__xludf.DUMMYFUNCTION("""COMPUTED_VALUE"""),"SILANG")</f>
        <v>SILANG</v>
      </c>
      <c r="Q2979" s="1" t="str">
        <f>IFERROR(__xludf.DUMMYFUNCTION("""COMPUTED_VALUE"""),"CAVITE")</f>
        <v>CAVITE</v>
      </c>
      <c r="R2979" s="1" t="str">
        <f>IFERROR(__xludf.DUMMYFUNCTION("""COMPUTED_VALUE"""),"FIBR PLAN 1299")</f>
        <v>FIBR PLAN 1299</v>
      </c>
      <c r="S2979" s="1" t="str">
        <f>IFERROR(__xludf.DUMMYFUNCTION("""COMPUTED_VALUE"""),"APPROVED")</f>
        <v>APPROVED</v>
      </c>
      <c r="T2979" s="1" t="str">
        <f>IFERROR(__xludf.DUMMYFUNCTION("""COMPUTED_VALUE"""),"#N/A")</f>
        <v>#N/A</v>
      </c>
      <c r="U2979" s="1" t="str">
        <f>IFERROR(__xludf.DUMMYFUNCTION("""COMPUTED_VALUE"""),"POSTED")</f>
        <v>POSTED</v>
      </c>
      <c r="V2979" s="1"/>
      <c r="W2979" s="1"/>
    </row>
    <row r="2980" customHeight="1" spans="1:23">
      <c r="A2980" s="3">
        <f>IFERROR(__xludf.DUMMYFUNCTION("""COMPUTED_VALUE"""),46267)</f>
        <v>46267</v>
      </c>
      <c r="B2980" s="1" t="str">
        <f>IFERROR(__xludf.DUMMYFUNCTION("""COMPUTED_VALUE"""),"MENDOZA, PRINCESS ")</f>
        <v>MENDOZA, PRINCESS </v>
      </c>
      <c r="C2980" s="1" t="str">
        <f>IFERROR(__xludf.DUMMYFUNCTION("""COMPUTED_VALUE"""),"ORGANIC")</f>
        <v>ORGANIC</v>
      </c>
      <c r="D2980" s="1" t="str">
        <f>IFERROR(__xludf.DUMMYFUNCTION("""COMPUTED_VALUE"""),"REMOLLO LEA")</f>
        <v>REMOLLO LEA</v>
      </c>
      <c r="E2980" s="1" t="str">
        <f>IFERROR(__xludf.DUMMYFUNCTION("""COMPUTED_VALUE"""),"PLDT / H2H")</f>
        <v>PLDT / H2H</v>
      </c>
      <c r="F2980" s="1"/>
      <c r="G2980" s="1"/>
      <c r="H2980" s="1" t="str">
        <f>IFERROR(__xludf.DUMMYFUNCTION("""COMPUTED_VALUE"""),"#N/A")</f>
        <v>#N/A</v>
      </c>
      <c r="I2980" s="1">
        <f>IFERROR(__xludf.DUMMYFUNCTION("""COMPUTED_VALUE"""),9307406544)</f>
        <v>9307406544</v>
      </c>
      <c r="J2980" s="1">
        <f>IFERROR(__xludf.DUMMYFUNCTION("""COMPUTED_VALUE"""),9514872480)</f>
        <v>9514872480</v>
      </c>
      <c r="K2980" s="1" t="str">
        <f>IFERROR(__xludf.DUMMYFUNCTION("""COMPUTED_VALUE"""),"anason@gmail.com")</f>
        <v>anason@gmail.com</v>
      </c>
      <c r="L2980" s="1" t="str">
        <f>IFERROR(__xludf.DUMMYFUNCTION("""COMPUTED_VALUE"""),"58")</f>
        <v>58</v>
      </c>
      <c r="M2980" s="1" t="str">
        <f>IFERROR(__xludf.DUMMYFUNCTION("""COMPUTED_VALUE"""),"SITIO")</f>
        <v>SITIO</v>
      </c>
      <c r="N2980" s="1" t="str">
        <f>IFERROR(__xludf.DUMMYFUNCTION("""COMPUTED_VALUE"""),"#N/A")</f>
        <v>#N/A</v>
      </c>
      <c r="O2980" s="1" t="str">
        <f>IFERROR(__xludf.DUMMYFUNCTION("""COMPUTED_VALUE"""),"MAGUYAM")</f>
        <v>MAGUYAM</v>
      </c>
      <c r="P2980" s="1" t="str">
        <f>IFERROR(__xludf.DUMMYFUNCTION("""COMPUTED_VALUE"""),"SILANG")</f>
        <v>SILANG</v>
      </c>
      <c r="Q2980" s="1" t="str">
        <f>IFERROR(__xludf.DUMMYFUNCTION("""COMPUTED_VALUE"""),"CAVITE")</f>
        <v>CAVITE</v>
      </c>
      <c r="R2980" s="1" t="str">
        <f>IFERROR(__xludf.DUMMYFUNCTION("""COMPUTED_VALUE"""),"FIBR UNLI ALL PLAN 999")</f>
        <v>FIBR UNLI ALL PLAN 999</v>
      </c>
      <c r="S2980" s="1" t="str">
        <f>IFERROR(__xludf.DUMMYFUNCTION("""COMPUTED_VALUE"""),"APPROVED")</f>
        <v>APPROVED</v>
      </c>
      <c r="T2980" s="1" t="str">
        <f>IFERROR(__xludf.DUMMYFUNCTION("""COMPUTED_VALUE"""),"#N/A")</f>
        <v>#N/A</v>
      </c>
      <c r="U2980" s="1"/>
      <c r="V2980" s="1"/>
      <c r="W2980" s="1"/>
    </row>
    <row r="2981" customHeight="1" spans="1:23">
      <c r="A2981" s="3">
        <f>IFERROR(__xludf.DUMMYFUNCTION("""COMPUTED_VALUE"""),46267)</f>
        <v>46267</v>
      </c>
      <c r="B2981" s="1" t="str">
        <f>IFERROR(__xludf.DUMMYFUNCTION("""COMPUTED_VALUE"""),"CADERAO, RONALD")</f>
        <v>CADERAO, RONALD</v>
      </c>
      <c r="C2981" s="1" t="str">
        <f>IFERROR(__xludf.DUMMYFUNCTION("""COMPUTED_VALUE"""),"ORGANIC")</f>
        <v>ORGANIC</v>
      </c>
      <c r="D2981" s="1" t="str">
        <f>IFERROR(__xludf.DUMMYFUNCTION("""COMPUTED_VALUE"""),"REMOLLO LEA")</f>
        <v>REMOLLO LEA</v>
      </c>
      <c r="E2981" s="1" t="str">
        <f>IFERROR(__xludf.DUMMYFUNCTION("""COMPUTED_VALUE"""),"PLDT / H2H")</f>
        <v>PLDT / H2H</v>
      </c>
      <c r="F2981" s="1"/>
      <c r="G2981" s="1"/>
      <c r="H2981" s="1" t="str">
        <f>IFERROR(__xludf.DUMMYFUNCTION("""COMPUTED_VALUE"""),"#N/A")</f>
        <v>#N/A</v>
      </c>
      <c r="I2981" s="1">
        <f>IFERROR(__xludf.DUMMYFUNCTION("""COMPUTED_VALUE"""),9564961246)</f>
        <v>9564961246</v>
      </c>
      <c r="J2981" s="1">
        <f>IFERROR(__xludf.DUMMYFUNCTION("""COMPUTED_VALUE"""),9551482436)</f>
        <v>9551482436</v>
      </c>
      <c r="K2981" s="1" t="str">
        <f>IFERROR(__xludf.DUMMYFUNCTION("""COMPUTED_VALUE"""),"romamaeyambao@gmail.com")</f>
        <v>romamaeyambao@gmail.com</v>
      </c>
      <c r="L2981" s="1" t="str">
        <f>IFERROR(__xludf.DUMMYFUNCTION("""COMPUTED_VALUE"""),"328")</f>
        <v>328</v>
      </c>
      <c r="M2981" s="1" t="str">
        <f>IFERROR(__xludf.DUMMYFUNCTION("""COMPUTED_VALUE"""),"SITIO GITNA")</f>
        <v>SITIO GITNA</v>
      </c>
      <c r="N2981" s="1" t="str">
        <f>IFERROR(__xludf.DUMMYFUNCTION("""COMPUTED_VALUE"""),"#N/A")</f>
        <v>#N/A</v>
      </c>
      <c r="O2981" s="1" t="str">
        <f>IFERROR(__xludf.DUMMYFUNCTION("""COMPUTED_VALUE"""),"MAGUYAM")</f>
        <v>MAGUYAM</v>
      </c>
      <c r="P2981" s="1" t="str">
        <f>IFERROR(__xludf.DUMMYFUNCTION("""COMPUTED_VALUE"""),"SILANG")</f>
        <v>SILANG</v>
      </c>
      <c r="Q2981" s="1" t="str">
        <f>IFERROR(__xludf.DUMMYFUNCTION("""COMPUTED_VALUE"""),"CAVITE")</f>
        <v>CAVITE</v>
      </c>
      <c r="R2981" s="1" t="str">
        <f>IFERROR(__xludf.DUMMYFUNCTION("""COMPUTED_VALUE"""),"FIBR UNLI ALL PLAN 1499")</f>
        <v>FIBR UNLI ALL PLAN 1499</v>
      </c>
      <c r="S2981" s="1" t="str">
        <f>IFERROR(__xludf.DUMMYFUNCTION("""COMPUTED_VALUE"""),"APPROVED")</f>
        <v>APPROVED</v>
      </c>
      <c r="T2981" s="1" t="str">
        <f>IFERROR(__xludf.DUMMYFUNCTION("""COMPUTED_VALUE"""),"#N/A")</f>
        <v>#N/A</v>
      </c>
      <c r="U2981" s="1" t="str">
        <f>IFERROR(__xludf.DUMMYFUNCTION("""COMPUTED_VALUE"""),"POSTED")</f>
        <v>POSTED</v>
      </c>
      <c r="V2981" s="1"/>
      <c r="W2981" s="1"/>
    </row>
    <row r="2982" customHeight="1" spans="1:23">
      <c r="A2982" s="3">
        <f>IFERROR(__xludf.DUMMYFUNCTION("""COMPUTED_VALUE"""),46268)</f>
        <v>46268</v>
      </c>
      <c r="B2982" s="1" t="str">
        <f>IFERROR(__xludf.DUMMYFUNCTION("""COMPUTED_VALUE"""),"SALIOA JB")</f>
        <v>SALIOA JB</v>
      </c>
      <c r="C2982" s="1" t="str">
        <f>IFERROR(__xludf.DUMMYFUNCTION("""COMPUTED_VALUE"""),"FLA")</f>
        <v>FLA</v>
      </c>
      <c r="D2982" s="1" t="str">
        <f>IFERROR(__xludf.DUMMYFUNCTION("""COMPUTED_VALUE"""),"JERIC NAVARRO")</f>
        <v>JERIC NAVARRO</v>
      </c>
      <c r="E2982" s="1" t="str">
        <f>IFERROR(__xludf.DUMMYFUNCTION("""COMPUTED_VALUE"""),"PLDT / H2H")</f>
        <v>PLDT / H2H</v>
      </c>
      <c r="F2982" s="1"/>
      <c r="G2982" s="1"/>
      <c r="H2982" s="1" t="str">
        <f>IFERROR(__xludf.DUMMYFUNCTION("""COMPUTED_VALUE"""),"#N/A")</f>
        <v>#N/A</v>
      </c>
      <c r="I2982" s="1">
        <f>IFERROR(__xludf.DUMMYFUNCTION("""COMPUTED_VALUE"""),9240541127)</f>
        <v>9240541127</v>
      </c>
      <c r="J2982" s="1"/>
      <c r="K2982" s="1" t="str">
        <f>IFERROR(__xludf.DUMMYFUNCTION("""COMPUTED_VALUE"""),"sixpillarsbailand.realty@gmail.com")</f>
        <v>sixpillarsbailand.realty@gmail.com</v>
      </c>
      <c r="L2982" s="1" t="str">
        <f>IFERROR(__xludf.DUMMYFUNCTION("""COMPUTED_VALUE"""),"2ND ")</f>
        <v>2ND </v>
      </c>
      <c r="M2982" s="1" t="str">
        <f>IFERROR(__xludf.DUMMYFUNCTION("""COMPUTED_VALUE"""),"MABINI")</f>
        <v>MABINI</v>
      </c>
      <c r="N2982" s="1" t="str">
        <f>IFERROR(__xludf.DUMMYFUNCTION("""COMPUTED_VALUE"""),"#N/A")</f>
        <v>#N/A</v>
      </c>
      <c r="O2982" s="1" t="str">
        <f>IFERROR(__xludf.DUMMYFUNCTION("""COMPUTED_VALUE"""),"POBLACION II")</f>
        <v>POBLACION II</v>
      </c>
      <c r="P2982" s="1" t="str">
        <f>IFERROR(__xludf.DUMMYFUNCTION("""COMPUTED_VALUE"""),"GENERAL EMILIO AGUINALDO")</f>
        <v>GENERAL EMILIO AGUINALDO</v>
      </c>
      <c r="Q2982" s="1" t="str">
        <f>IFERROR(__xludf.DUMMYFUNCTION("""COMPUTED_VALUE"""),"CAVITE")</f>
        <v>CAVITE</v>
      </c>
      <c r="R2982" s="1" t="str">
        <f>IFERROR(__xludf.DUMMYFUNCTION("""COMPUTED_VALUE"""),"FIBR UNLI ALL PLAN 1499")</f>
        <v>FIBR UNLI ALL PLAN 1499</v>
      </c>
      <c r="S2982" s="1" t="str">
        <f>IFERROR(__xludf.DUMMYFUNCTION("""COMPUTED_VALUE"""),"APPROVED")</f>
        <v>APPROVED</v>
      </c>
      <c r="T2982" s="1" t="str">
        <f>IFERROR(__xludf.DUMMYFUNCTION("""COMPUTED_VALUE"""),"#N/A")</f>
        <v>#N/A</v>
      </c>
      <c r="U2982" s="1" t="str">
        <f>IFERROR(__xludf.DUMMYFUNCTION("""COMPUTED_VALUE"""),"POSTED")</f>
        <v>POSTED</v>
      </c>
      <c r="V2982" s="1"/>
      <c r="W2982" s="1"/>
    </row>
    <row r="2983" customHeight="1" spans="1:23">
      <c r="A2983" s="3">
        <f>IFERROR(__xludf.DUMMYFUNCTION("""COMPUTED_VALUE"""),46268)</f>
        <v>46268</v>
      </c>
      <c r="B2983" s="1" t="str">
        <f>IFERROR(__xludf.DUMMYFUNCTION("""COMPUTED_VALUE"""),"AYON MANUEL")</f>
        <v>AYON MANUEL</v>
      </c>
      <c r="C2983" s="1" t="str">
        <f>IFERROR(__xludf.DUMMYFUNCTION("""COMPUTED_VALUE"""),"FLA")</f>
        <v>FLA</v>
      </c>
      <c r="D2983" s="1" t="str">
        <f>IFERROR(__xludf.DUMMYFUNCTION("""COMPUTED_VALUE"""),"JERIC NAVARRO")</f>
        <v>JERIC NAVARRO</v>
      </c>
      <c r="E2983" s="1" t="str">
        <f>IFERROR(__xludf.DUMMYFUNCTION("""COMPUTED_VALUE"""),"PLDT / H2H")</f>
        <v>PLDT / H2H</v>
      </c>
      <c r="F2983" s="1"/>
      <c r="G2983" s="1">
        <f>IFERROR(__xludf.DUMMYFUNCTION("""COMPUTED_VALUE"""),2313150492)</f>
        <v>2313150492</v>
      </c>
      <c r="H2983" s="1"/>
      <c r="I2983" s="1">
        <f>IFERROR(__xludf.DUMMYFUNCTION("""COMPUTED_VALUE"""),9972444053)</f>
        <v>9972444053</v>
      </c>
      <c r="J2983" s="1">
        <f>IFERROR(__xludf.DUMMYFUNCTION("""COMPUTED_VALUE"""),9560384733)</f>
        <v>9560384733</v>
      </c>
      <c r="K2983" s="1" t="str">
        <f>IFERROR(__xludf.DUMMYFUNCTION("""COMPUTED_VALUE"""),"madesireealcaraz@gmail.com")</f>
        <v>madesireealcaraz@gmail.com</v>
      </c>
      <c r="L2983" s="1" t="str">
        <f>IFERROR(__xludf.DUMMYFUNCTION("""COMPUTED_VALUE"""),"9051")</f>
        <v>9051</v>
      </c>
      <c r="M2983" s="1" t="str">
        <f>IFERROR(__xludf.DUMMYFUNCTION("""COMPUTED_VALUE"""),"PUROK 1")</f>
        <v>PUROK 1</v>
      </c>
      <c r="N2983" s="1" t="str">
        <f>IFERROR(__xludf.DUMMYFUNCTION("""COMPUTED_VALUE"""),"#N/A")</f>
        <v>#N/A</v>
      </c>
      <c r="O2983" s="1" t="str">
        <f>IFERROR(__xludf.DUMMYFUNCTION("""COMPUTED_VALUE"""),"PALIGAWAN")</f>
        <v>PALIGAWAN</v>
      </c>
      <c r="P2983" s="1" t="str">
        <f>IFERROR(__xludf.DUMMYFUNCTION("""COMPUTED_VALUE"""),"SILANG")</f>
        <v>SILANG</v>
      </c>
      <c r="Q2983" s="1" t="str">
        <f>IFERROR(__xludf.DUMMYFUNCTION("""COMPUTED_VALUE"""),"CAVITE")</f>
        <v>CAVITE</v>
      </c>
      <c r="R2983" s="1" t="str">
        <f>IFERROR(__xludf.DUMMYFUNCTION("""COMPUTED_VALUE"""),"FIBR PLAN 1699")</f>
        <v>FIBR PLAN 1699</v>
      </c>
      <c r="S2983" s="1" t="str">
        <f>IFERROR(__xludf.DUMMYFUNCTION("""COMPUTED_VALUE"""),"APPROVED")</f>
        <v>APPROVED</v>
      </c>
      <c r="T2983" s="1" t="str">
        <f>IFERROR(__xludf.DUMMYFUNCTION("""COMPUTED_VALUE"""),"RTS")</f>
        <v>RTS</v>
      </c>
      <c r="U2983" s="1"/>
      <c r="V2983" s="1"/>
      <c r="W2983" s="1"/>
    </row>
    <row r="2984" customHeight="1" spans="1:23">
      <c r="A2984" s="3">
        <f>IFERROR(__xludf.DUMMYFUNCTION("""COMPUTED_VALUE"""),46268)</f>
        <v>46268</v>
      </c>
      <c r="B2984" s="1" t="str">
        <f>IFERROR(__xludf.DUMMYFUNCTION("""COMPUTED_VALUE"""),"TAMAYO, MARY ROSE")</f>
        <v>TAMAYO, MARY ROSE</v>
      </c>
      <c r="C2984" s="1" t="str">
        <f>IFERROR(__xludf.DUMMYFUNCTION("""COMPUTED_VALUE"""),"ORGANIC")</f>
        <v>ORGANIC</v>
      </c>
      <c r="D2984" s="1" t="str">
        <f>IFERROR(__xludf.DUMMYFUNCTION("""COMPUTED_VALUE"""),"REMOLLO LEA")</f>
        <v>REMOLLO LEA</v>
      </c>
      <c r="E2984" s="1" t="str">
        <f>IFERROR(__xludf.DUMMYFUNCTION("""COMPUTED_VALUE"""),"PLDT / ONLINE")</f>
        <v>PLDT / ONLINE</v>
      </c>
      <c r="F2984" s="1"/>
      <c r="G2984" s="1">
        <f>IFERROR(__xludf.DUMMYFUNCTION("""COMPUTED_VALUE"""),2312324096)</f>
        <v>2312324096</v>
      </c>
      <c r="H2984" s="1" t="str">
        <f>IFERROR(__xludf.DUMMYFUNCTION("""COMPUTED_VALUE"""),"#N/A")</f>
        <v>#N/A</v>
      </c>
      <c r="I2984" s="1">
        <f>IFERROR(__xludf.DUMMYFUNCTION("""COMPUTED_VALUE"""),9810500347)</f>
        <v>9810500347</v>
      </c>
      <c r="J2984" s="1"/>
      <c r="K2984" s="1" t="str">
        <f>IFERROR(__xludf.DUMMYFUNCTION("""COMPUTED_VALUE"""),"atienzac990@gmail.com")</f>
        <v>atienzac990@gmail.com</v>
      </c>
      <c r="L2984" s="1" t="str">
        <f>IFERROR(__xludf.DUMMYFUNCTION("""COMPUTED_VALUE"""),"1483")</f>
        <v>1483</v>
      </c>
      <c r="M2984" s="1" t="str">
        <f>IFERROR(__xludf.DUMMYFUNCTION("""COMPUTED_VALUE"""),"SITIO")</f>
        <v>SITIO</v>
      </c>
      <c r="N2984" s="1" t="str">
        <f>IFERROR(__xludf.DUMMYFUNCTION("""COMPUTED_VALUE"""),"#N/A")</f>
        <v>#N/A</v>
      </c>
      <c r="O2984" s="1"/>
      <c r="P2984" s="1"/>
      <c r="Q2984" s="1" t="str">
        <f>IFERROR(__xludf.DUMMYFUNCTION("""COMPUTED_VALUE"""),"BATANGAS")</f>
        <v>BATANGAS</v>
      </c>
      <c r="R2984" s="1" t="str">
        <f>IFERROR(__xludf.DUMMYFUNCTION("""COMPUTED_VALUE"""),"FIBR UNLI ALL PLAN 1499")</f>
        <v>FIBR UNLI ALL PLAN 1499</v>
      </c>
      <c r="S2984" s="1" t="str">
        <f>IFERROR(__xludf.DUMMYFUNCTION("""COMPUTED_VALUE"""),"APPROVED")</f>
        <v>APPROVED</v>
      </c>
      <c r="T2984" s="1" t="str">
        <f>IFERROR(__xludf.DUMMYFUNCTION("""COMPUTED_VALUE"""),"#N/A")</f>
        <v>#N/A</v>
      </c>
      <c r="U2984" s="1"/>
      <c r="V2984" s="1"/>
      <c r="W2984" s="1"/>
    </row>
    <row r="2985" customHeight="1" spans="1:23">
      <c r="A2985" s="3">
        <f>IFERROR(__xludf.DUMMYFUNCTION("""COMPUTED_VALUE"""),46268)</f>
        <v>46268</v>
      </c>
      <c r="B2985" s="1" t="str">
        <f>IFERROR(__xludf.DUMMYFUNCTION("""COMPUTED_VALUE"""),"MAGDARAOG, KENNETH")</f>
        <v>MAGDARAOG, KENNETH</v>
      </c>
      <c r="C2985" s="1" t="str">
        <f>IFERROR(__xludf.DUMMYFUNCTION("""COMPUTED_VALUE"""),"ORGANIC")</f>
        <v>ORGANIC</v>
      </c>
      <c r="D2985" s="1" t="str">
        <f>IFERROR(__xludf.DUMMYFUNCTION("""COMPUTED_VALUE"""),"REMOLLO LEA")</f>
        <v>REMOLLO LEA</v>
      </c>
      <c r="E2985" s="1" t="str">
        <f>IFERROR(__xludf.DUMMYFUNCTION("""COMPUTED_VALUE"""),"PLDT / H2H")</f>
        <v>PLDT / H2H</v>
      </c>
      <c r="F2985" s="1"/>
      <c r="G2985" s="1"/>
      <c r="H2985" s="1" t="str">
        <f>IFERROR(__xludf.DUMMYFUNCTION("""COMPUTED_VALUE"""),"#N/A")</f>
        <v>#N/A</v>
      </c>
      <c r="I2985" s="1">
        <f>IFERROR(__xludf.DUMMYFUNCTION("""COMPUTED_VALUE"""),9273865233)</f>
        <v>9273865233</v>
      </c>
      <c r="J2985" s="1">
        <f>IFERROR(__xludf.DUMMYFUNCTION("""COMPUTED_VALUE"""),9216398332)</f>
        <v>9216398332</v>
      </c>
      <c r="K2985" s="1" t="str">
        <f>IFERROR(__xludf.DUMMYFUNCTION("""COMPUTED_VALUE"""),"ronnelfuentes94@gmail.com")</f>
        <v>ronnelfuentes94@gmail.com</v>
      </c>
      <c r="L2985" s="1" t="str">
        <f>IFERROR(__xludf.DUMMYFUNCTION("""COMPUTED_VALUE"""),"189")</f>
        <v>189</v>
      </c>
      <c r="M2985" s="1" t="str">
        <f>IFERROR(__xludf.DUMMYFUNCTION("""COMPUTED_VALUE"""),"ANULING")</f>
        <v>ANULING</v>
      </c>
      <c r="N2985" s="1" t="str">
        <f>IFERROR(__xludf.DUMMYFUNCTION("""COMPUTED_VALUE"""),"#N/A")</f>
        <v>#N/A</v>
      </c>
      <c r="O2985" s="1" t="str">
        <f>IFERROR(__xludf.DUMMYFUNCTION("""COMPUTED_VALUE"""),"ANULING CERCA II")</f>
        <v>ANULING CERCA II</v>
      </c>
      <c r="P2985" s="1" t="str">
        <f>IFERROR(__xludf.DUMMYFUNCTION("""COMPUTED_VALUE"""),"MENDEZ")</f>
        <v>MENDEZ</v>
      </c>
      <c r="Q2985" s="1" t="str">
        <f>IFERROR(__xludf.DUMMYFUNCTION("""COMPUTED_VALUE"""),"CAVITE")</f>
        <v>CAVITE</v>
      </c>
      <c r="R2985" s="1" t="str">
        <f>IFERROR(__xludf.DUMMYFUNCTION("""COMPUTED_VALUE"""),"FIBR UNLI ALL PLAN 999")</f>
        <v>FIBR UNLI ALL PLAN 999</v>
      </c>
      <c r="S2985" s="1" t="str">
        <f>IFERROR(__xludf.DUMMYFUNCTION("""COMPUTED_VALUE"""),"APPROVED")</f>
        <v>APPROVED</v>
      </c>
      <c r="T2985" s="1" t="str">
        <f>IFERROR(__xludf.DUMMYFUNCTION("""COMPUTED_VALUE"""),"#N/A")</f>
        <v>#N/A</v>
      </c>
      <c r="U2985" s="1" t="str">
        <f>IFERROR(__xludf.DUMMYFUNCTION("""COMPUTED_VALUE"""),"POSTED")</f>
        <v>POSTED</v>
      </c>
      <c r="V2985" s="1"/>
      <c r="W2985" s="1"/>
    </row>
    <row r="2986" customHeight="1" spans="1:23">
      <c r="A2986" s="3">
        <f>IFERROR(__xludf.DUMMYFUNCTION("""COMPUTED_VALUE"""),46268)</f>
        <v>46268</v>
      </c>
      <c r="B2986" s="1" t="str">
        <f>IFERROR(__xludf.DUMMYFUNCTION("""COMPUTED_VALUE"""),"ESCARCHA, MA ALMA  ESCOTO")</f>
        <v>ESCARCHA, MA ALMA  ESCOTO</v>
      </c>
      <c r="C2986" s="1" t="str">
        <f>IFERROR(__xludf.DUMMYFUNCTION("""COMPUTED_VALUE"""),"ORGANIC")</f>
        <v>ORGANIC</v>
      </c>
      <c r="D2986" s="1" t="str">
        <f>IFERROR(__xludf.DUMMYFUNCTION("""COMPUTED_VALUE"""),"REMOLLO LEA")</f>
        <v>REMOLLO LEA</v>
      </c>
      <c r="E2986" s="1" t="str">
        <f>IFERROR(__xludf.DUMMYFUNCTION("""COMPUTED_VALUE"""),"PLDT / H2H")</f>
        <v>PLDT / H2H</v>
      </c>
      <c r="F2986" s="1"/>
      <c r="G2986" s="1"/>
      <c r="H2986" s="1" t="str">
        <f>IFERROR(__xludf.DUMMYFUNCTION("""COMPUTED_VALUE"""),"#N/A")</f>
        <v>#N/A</v>
      </c>
      <c r="I2986" s="1">
        <f>IFERROR(__xludf.DUMMYFUNCTION("""COMPUTED_VALUE"""),9568327107)</f>
        <v>9568327107</v>
      </c>
      <c r="J2986" s="1"/>
      <c r="K2986" s="1" t="str">
        <f>IFERROR(__xludf.DUMMYFUNCTION("""COMPUTED_VALUE"""),"plancentadizzy@gmail.com")</f>
        <v>plancentadizzy@gmail.com</v>
      </c>
      <c r="L2986" s="1" t="str">
        <f>IFERROR(__xludf.DUMMYFUNCTION("""COMPUTED_VALUE"""),"47m")</f>
        <v>47m</v>
      </c>
      <c r="M2986" s="1" t="str">
        <f>IFERROR(__xludf.DUMMYFUNCTION("""COMPUTED_VALUE"""),"GATPANDAN")</f>
        <v>GATPANDAN</v>
      </c>
      <c r="N2986" s="1" t="str">
        <f>IFERROR(__xludf.DUMMYFUNCTION("""COMPUTED_VALUE"""),"#N/A")</f>
        <v>#N/A</v>
      </c>
      <c r="O2986" s="1" t="str">
        <f>IFERROR(__xludf.DUMMYFUNCTION("""COMPUTED_VALUE"""),"ANULING LEJOS I (ANULING)")</f>
        <v>ANULING LEJOS I (ANULING)</v>
      </c>
      <c r="P2986" s="1" t="str">
        <f>IFERROR(__xludf.DUMMYFUNCTION("""COMPUTED_VALUE"""),"MENDEZ")</f>
        <v>MENDEZ</v>
      </c>
      <c r="Q2986" s="1" t="str">
        <f>IFERROR(__xludf.DUMMYFUNCTION("""COMPUTED_VALUE"""),"CAVITE")</f>
        <v>CAVITE</v>
      </c>
      <c r="R2986" s="1" t="str">
        <f>IFERROR(__xludf.DUMMYFUNCTION("""COMPUTED_VALUE"""),"FIBR UNLI ALL PLAN 1499")</f>
        <v>FIBR UNLI ALL PLAN 1499</v>
      </c>
      <c r="S2986" s="1" t="str">
        <f>IFERROR(__xludf.DUMMYFUNCTION("""COMPUTED_VALUE"""),"APPROVED")</f>
        <v>APPROVED</v>
      </c>
      <c r="T2986" s="1" t="str">
        <f>IFERROR(__xludf.DUMMYFUNCTION("""COMPUTED_VALUE"""),"#N/A")</f>
        <v>#N/A</v>
      </c>
      <c r="U2986" s="1" t="str">
        <f>IFERROR(__xludf.DUMMYFUNCTION("""COMPUTED_VALUE"""),"POSTED")</f>
        <v>POSTED</v>
      </c>
      <c r="V2986" s="1"/>
      <c r="W2986" s="1"/>
    </row>
    <row r="2987" customHeight="1" spans="1:23">
      <c r="A2987" s="3">
        <f>IFERROR(__xludf.DUMMYFUNCTION("""COMPUTED_VALUE"""),46268)</f>
        <v>46268</v>
      </c>
      <c r="B2987" s="1" t="str">
        <f>IFERROR(__xludf.DUMMYFUNCTION("""COMPUTED_VALUE"""),"FRANCISCO , ROSELYN")</f>
        <v>FRANCISCO , ROSELYN</v>
      </c>
      <c r="C2987" s="1" t="str">
        <f>IFERROR(__xludf.DUMMYFUNCTION("""COMPUTED_VALUE"""),"ORGANIC")</f>
        <v>ORGANIC</v>
      </c>
      <c r="D2987" s="1" t="str">
        <f>IFERROR(__xludf.DUMMYFUNCTION("""COMPUTED_VALUE"""),"REMOLLO LEA")</f>
        <v>REMOLLO LEA</v>
      </c>
      <c r="E2987" s="1" t="str">
        <f>IFERROR(__xludf.DUMMYFUNCTION("""COMPUTED_VALUE"""),"PLDT / ONLINE")</f>
        <v>PLDT / ONLINE</v>
      </c>
      <c r="F2987" s="1"/>
      <c r="G2987" s="1"/>
      <c r="H2987" s="1" t="str">
        <f>IFERROR(__xludf.DUMMYFUNCTION("""COMPUTED_VALUE"""),"#N/A")</f>
        <v>#N/A</v>
      </c>
      <c r="I2987" s="1">
        <f>IFERROR(__xludf.DUMMYFUNCTION("""COMPUTED_VALUE"""),9269627433)</f>
        <v>9269627433</v>
      </c>
      <c r="J2987" s="1"/>
      <c r="K2987" s="1" t="str">
        <f>IFERROR(__xludf.DUMMYFUNCTION("""COMPUTED_VALUE"""),"sherylsamillano0@gmail.com")</f>
        <v>sherylsamillano0@gmail.com</v>
      </c>
      <c r="L2987" s="1" t="str">
        <f>IFERROR(__xludf.DUMMYFUNCTION("""COMPUTED_VALUE"""),"9056")</f>
        <v>9056</v>
      </c>
      <c r="M2987" s="1" t="str">
        <f>IFERROR(__xludf.DUMMYFUNCTION("""COMPUTED_VALUE"""),"PUROK4")</f>
        <v>PUROK4</v>
      </c>
      <c r="N2987" s="1" t="str">
        <f>IFERROR(__xludf.DUMMYFUNCTION("""COMPUTED_VALUE"""),"SANTIAGO")</f>
        <v>SANTIAGO</v>
      </c>
      <c r="O2987" s="1" t="str">
        <f>IFERROR(__xludf.DUMMYFUNCTION("""COMPUTED_VALUE"""),"SANTIAGO")</f>
        <v>SANTIAGO</v>
      </c>
      <c r="P2987" s="1" t="str">
        <f>IFERROR(__xludf.DUMMYFUNCTION("""COMPUTED_VALUE"""),"GENERAL TRIAS")</f>
        <v>GENERAL TRIAS</v>
      </c>
      <c r="Q2987" s="1" t="str">
        <f>IFERROR(__xludf.DUMMYFUNCTION("""COMPUTED_VALUE"""),"CAVITE")</f>
        <v>CAVITE</v>
      </c>
      <c r="R2987" s="1" t="str">
        <f>IFERROR(__xludf.DUMMYFUNCTION("""COMPUTED_VALUE"""),"FIBR PLAN 1299")</f>
        <v>FIBR PLAN 1299</v>
      </c>
      <c r="S2987" s="1" t="str">
        <f>IFERROR(__xludf.DUMMYFUNCTION("""COMPUTED_VALUE"""),"APPROVED")</f>
        <v>APPROVED</v>
      </c>
      <c r="T2987" s="1" t="str">
        <f>IFERROR(__xludf.DUMMYFUNCTION("""COMPUTED_VALUE"""),"#N/A")</f>
        <v>#N/A</v>
      </c>
      <c r="U2987" s="1"/>
      <c r="V2987" s="1"/>
      <c r="W2987" s="1"/>
    </row>
    <row r="2988" customHeight="1" spans="1:23">
      <c r="A2988" s="3">
        <f>IFERROR(__xludf.DUMMYFUNCTION("""COMPUTED_VALUE"""),46268)</f>
        <v>46268</v>
      </c>
      <c r="B2988" s="1" t="str">
        <f>IFERROR(__xludf.DUMMYFUNCTION("""COMPUTED_VALUE"""),"REMOLLO, LEA")</f>
        <v>REMOLLO, LEA</v>
      </c>
      <c r="C2988" s="1" t="str">
        <f>IFERROR(__xludf.DUMMYFUNCTION("""COMPUTED_VALUE"""),"FLA")</f>
        <v>FLA</v>
      </c>
      <c r="D2988" s="1" t="str">
        <f>IFERROR(__xludf.DUMMYFUNCTION("""COMPUTED_VALUE"""),"JERIC NAVARRO")</f>
        <v>JERIC NAVARRO</v>
      </c>
      <c r="E2988" s="1" t="str">
        <f>IFERROR(__xludf.DUMMYFUNCTION("""COMPUTED_VALUE"""),"PLDT / H2H")</f>
        <v>PLDT / H2H</v>
      </c>
      <c r="F2988" s="1"/>
      <c r="G2988" s="1"/>
      <c r="H2988" s="1" t="str">
        <f>IFERROR(__xludf.DUMMYFUNCTION("""COMPUTED_VALUE"""),"#N/A")</f>
        <v>#N/A</v>
      </c>
      <c r="I2988" s="1">
        <f>IFERROR(__xludf.DUMMYFUNCTION("""COMPUTED_VALUE"""),9531925968)</f>
        <v>9531925968</v>
      </c>
      <c r="J2988" s="1"/>
      <c r="K2988" s="1" t="str">
        <f>IFERROR(__xludf.DUMMYFUNCTION("""COMPUTED_VALUE"""),"bayonarachel198@gmail.com")</f>
        <v>bayonarachel198@gmail.com</v>
      </c>
      <c r="L2988" s="1" t="str">
        <f>IFERROR(__xludf.DUMMYFUNCTION("""COMPUTED_VALUE"""),"425")</f>
        <v>425</v>
      </c>
      <c r="M2988" s="1" t="str">
        <f>IFERROR(__xludf.DUMMYFUNCTION("""COMPUTED_VALUE"""),"PUROK 2")</f>
        <v>PUROK 2</v>
      </c>
      <c r="N2988" s="1" t="str">
        <f>IFERROR(__xludf.DUMMYFUNCTION("""COMPUTED_VALUE"""),"#N/A")</f>
        <v>#N/A</v>
      </c>
      <c r="O2988" s="1" t="str">
        <f>IFERROR(__xludf.DUMMYFUNCTION("""COMPUTED_VALUE"""),"IBA")</f>
        <v>IBA</v>
      </c>
      <c r="P2988" s="1" t="str">
        <f>IFERROR(__xludf.DUMMYFUNCTION("""COMPUTED_VALUE"""),"SILANG")</f>
        <v>SILANG</v>
      </c>
      <c r="Q2988" s="1" t="str">
        <f>IFERROR(__xludf.DUMMYFUNCTION("""COMPUTED_VALUE"""),"CAVITE")</f>
        <v>CAVITE</v>
      </c>
      <c r="R2988" s="1" t="str">
        <f>IFERROR(__xludf.DUMMYFUNCTION("""COMPUTED_VALUE"""),"FIBR UNLI ALL PLAN 999")</f>
        <v>FIBR UNLI ALL PLAN 999</v>
      </c>
      <c r="S2988" s="1" t="str">
        <f>IFERROR(__xludf.DUMMYFUNCTION("""COMPUTED_VALUE"""),"APPROVED")</f>
        <v>APPROVED</v>
      </c>
      <c r="T2988" s="1" t="str">
        <f>IFERROR(__xludf.DUMMYFUNCTION("""COMPUTED_VALUE"""),"#N/A")</f>
        <v>#N/A</v>
      </c>
      <c r="U2988" s="1" t="str">
        <f>IFERROR(__xludf.DUMMYFUNCTION("""COMPUTED_VALUE"""),"POSTED")</f>
        <v>POSTED</v>
      </c>
      <c r="V2988" s="1"/>
      <c r="W2988" s="1"/>
    </row>
    <row r="2989" customHeight="1" spans="1:23">
      <c r="A2989" s="3">
        <f>IFERROR(__xludf.DUMMYFUNCTION("""COMPUTED_VALUE"""),46268)</f>
        <v>46268</v>
      </c>
      <c r="B2989" s="1" t="str">
        <f>IFERROR(__xludf.DUMMYFUNCTION("""COMPUTED_VALUE"""),"FARO, REFRANTA")</f>
        <v>FARO, REFRANTA</v>
      </c>
      <c r="C2989" s="1" t="str">
        <f>IFERROR(__xludf.DUMMYFUNCTION("""COMPUTED_VALUE"""),"FLA")</f>
        <v>FLA</v>
      </c>
      <c r="D2989" s="1" t="str">
        <f>IFERROR(__xludf.DUMMYFUNCTION("""COMPUTED_VALUE"""),"JERIC NAVARRO")</f>
        <v>JERIC NAVARRO</v>
      </c>
      <c r="E2989" s="1" t="str">
        <f>IFERROR(__xludf.DUMMYFUNCTION("""COMPUTED_VALUE"""),"PLDT / H2H")</f>
        <v>PLDT / H2H</v>
      </c>
      <c r="F2989" s="1"/>
      <c r="G2989" s="1"/>
      <c r="H2989" s="1" t="str">
        <f>IFERROR(__xludf.DUMMYFUNCTION("""COMPUTED_VALUE"""),"#N/A")</f>
        <v>#N/A</v>
      </c>
      <c r="I2989" s="1">
        <f>IFERROR(__xludf.DUMMYFUNCTION("""COMPUTED_VALUE"""),9177074454)</f>
        <v>9177074454</v>
      </c>
      <c r="J2989" s="1">
        <f>IFERROR(__xludf.DUMMYFUNCTION("""COMPUTED_VALUE"""),9175151908)</f>
        <v>9175151908</v>
      </c>
      <c r="K2989" s="1" t="str">
        <f>IFERROR(__xludf.DUMMYFUNCTION("""COMPUTED_VALUE"""),"noelabelarmino@gmail.com")</f>
        <v>noelabelarmino@gmail.com</v>
      </c>
      <c r="L2989" s="1" t="str">
        <f>IFERROR(__xludf.DUMMYFUNCTION("""COMPUTED_VALUE"""),"2092")</f>
        <v>2092</v>
      </c>
      <c r="M2989" s="1" t="str">
        <f>IFERROR(__xludf.DUMMYFUNCTION("""COMPUTED_VALUE"""),"ELEVE HOMES")</f>
        <v>ELEVE HOMES</v>
      </c>
      <c r="N2989" s="1" t="str">
        <f>IFERROR(__xludf.DUMMYFUNCTION("""COMPUTED_VALUE"""),"#N/A")</f>
        <v>#N/A</v>
      </c>
      <c r="O2989" s="1" t="str">
        <f>IFERROR(__xludf.DUMMYFUNCTION("""COMPUTED_VALUE"""),"MAHARLIKA WEST")</f>
        <v>MAHARLIKA WEST</v>
      </c>
      <c r="P2989" s="1" t="str">
        <f>IFERROR(__xludf.DUMMYFUNCTION("""COMPUTED_VALUE"""),"TAGAYTAY")</f>
        <v>TAGAYTAY</v>
      </c>
      <c r="Q2989" s="1" t="str">
        <f>IFERROR(__xludf.DUMMYFUNCTION("""COMPUTED_VALUE"""),"CAVITE")</f>
        <v>CAVITE</v>
      </c>
      <c r="R2989" s="1" t="str">
        <f>IFERROR(__xludf.DUMMYFUNCTION("""COMPUTED_VALUE"""),"FIBR NETFLIX PLAN 1599")</f>
        <v>FIBR NETFLIX PLAN 1599</v>
      </c>
      <c r="S2989" s="1" t="str">
        <f>IFERROR(__xludf.DUMMYFUNCTION("""COMPUTED_VALUE"""),"APPROVED")</f>
        <v>APPROVED</v>
      </c>
      <c r="T2989" s="1" t="str">
        <f>IFERROR(__xludf.DUMMYFUNCTION("""COMPUTED_VALUE"""),"#N/A")</f>
        <v>#N/A</v>
      </c>
      <c r="U2989" s="1"/>
      <c r="V2989" s="1"/>
      <c r="W2989" s="1"/>
    </row>
    <row r="2990" customHeight="1" spans="1:23">
      <c r="A2990" s="3">
        <f>IFERROR(__xludf.DUMMYFUNCTION("""COMPUTED_VALUE"""),46268)</f>
        <v>46268</v>
      </c>
      <c r="B2990" s="1" t="str">
        <f>IFERROR(__xludf.DUMMYFUNCTION("""COMPUTED_VALUE"""),"ARIENA, LYKA")</f>
        <v>ARIENA, LYKA</v>
      </c>
      <c r="C2990" s="1" t="str">
        <f>IFERROR(__xludf.DUMMYFUNCTION("""COMPUTED_VALUE"""),"ORGANIC")</f>
        <v>ORGANIC</v>
      </c>
      <c r="D2990" s="1" t="str">
        <f>IFERROR(__xludf.DUMMYFUNCTION("""COMPUTED_VALUE"""),"REMOLLO LEA")</f>
        <v>REMOLLO LEA</v>
      </c>
      <c r="E2990" s="1" t="str">
        <f>IFERROR(__xludf.DUMMYFUNCTION("""COMPUTED_VALUE"""),"PLDT / H2H")</f>
        <v>PLDT / H2H</v>
      </c>
      <c r="F2990" s="1"/>
      <c r="G2990" s="1"/>
      <c r="H2990" s="1" t="str">
        <f>IFERROR(__xludf.DUMMYFUNCTION("""COMPUTED_VALUE"""),"#N/A")</f>
        <v>#N/A</v>
      </c>
      <c r="I2990" s="1">
        <f>IFERROR(__xludf.DUMMYFUNCTION("""COMPUTED_VALUE"""),9308284093)</f>
        <v>9308284093</v>
      </c>
      <c r="J2990" s="1"/>
      <c r="K2990" s="1" t="str">
        <f>IFERROR(__xludf.DUMMYFUNCTION("""COMPUTED_VALUE"""),"jessiequizon1976@gmailc.om")</f>
        <v>jessiequizon1976@gmailc.om</v>
      </c>
      <c r="L2990" s="1" t="str">
        <f>IFERROR(__xludf.DUMMYFUNCTION("""COMPUTED_VALUE"""),"264")</f>
        <v>264</v>
      </c>
      <c r="M2990" s="1" t="str">
        <f>IFERROR(__xludf.DUMMYFUNCTION("""COMPUTED_VALUE"""),"GATPANDAN")</f>
        <v>GATPANDAN</v>
      </c>
      <c r="N2990" s="1" t="str">
        <f>IFERROR(__xludf.DUMMYFUNCTION("""COMPUTED_VALUE"""),"#N/A")</f>
        <v>#N/A</v>
      </c>
      <c r="O2990" s="1" t="str">
        <f>IFERROR(__xludf.DUMMYFUNCTION("""COMPUTED_VALUE"""),"ANULING LEJOS I (ANULING)")</f>
        <v>ANULING LEJOS I (ANULING)</v>
      </c>
      <c r="P2990" s="1" t="str">
        <f>IFERROR(__xludf.DUMMYFUNCTION("""COMPUTED_VALUE"""),"MENDEZ")</f>
        <v>MENDEZ</v>
      </c>
      <c r="Q2990" s="1" t="str">
        <f>IFERROR(__xludf.DUMMYFUNCTION("""COMPUTED_VALUE"""),"CAVITE")</f>
        <v>CAVITE</v>
      </c>
      <c r="R2990" s="1" t="str">
        <f>IFERROR(__xludf.DUMMYFUNCTION("""COMPUTED_VALUE"""),"FIBR UNLI ALL PLAN 999")</f>
        <v>FIBR UNLI ALL PLAN 999</v>
      </c>
      <c r="S2990" s="1" t="str">
        <f>IFERROR(__xludf.DUMMYFUNCTION("""COMPUTED_VALUE"""),"APPROVED")</f>
        <v>APPROVED</v>
      </c>
      <c r="T2990" s="1" t="str">
        <f>IFERROR(__xludf.DUMMYFUNCTION("""COMPUTED_VALUE"""),"#N/A")</f>
        <v>#N/A</v>
      </c>
      <c r="U2990" s="1"/>
      <c r="V2990" s="1"/>
      <c r="W2990" s="1"/>
    </row>
    <row r="2991" customHeight="1" spans="1:23">
      <c r="A2991" s="3">
        <f>IFERROR(__xludf.DUMMYFUNCTION("""COMPUTED_VALUE"""),46268)</f>
        <v>46268</v>
      </c>
      <c r="B2991" s="1" t="str">
        <f>IFERROR(__xludf.DUMMYFUNCTION("""COMPUTED_VALUE"""),"TAMAYO, MARY ROSE")</f>
        <v>TAMAYO, MARY ROSE</v>
      </c>
      <c r="C2991" s="1" t="str">
        <f>IFERROR(__xludf.DUMMYFUNCTION("""COMPUTED_VALUE"""),"ORGANIC")</f>
        <v>ORGANIC</v>
      </c>
      <c r="D2991" s="1" t="str">
        <f>IFERROR(__xludf.DUMMYFUNCTION("""COMPUTED_VALUE"""),"REMOLLO LEA")</f>
        <v>REMOLLO LEA</v>
      </c>
      <c r="E2991" s="1" t="str">
        <f>IFERROR(__xludf.DUMMYFUNCTION("""COMPUTED_VALUE"""),"PLDT / H2H")</f>
        <v>PLDT / H2H</v>
      </c>
      <c r="F2991" s="1"/>
      <c r="G2991" s="1"/>
      <c r="H2991" s="1" t="str">
        <f>IFERROR(__xludf.DUMMYFUNCTION("""COMPUTED_VALUE"""),"#N/A")</f>
        <v>#N/A</v>
      </c>
      <c r="I2991" s="1">
        <f>IFERROR(__xludf.DUMMYFUNCTION("""COMPUTED_VALUE"""),9757988745)</f>
        <v>9757988745</v>
      </c>
      <c r="J2991" s="1"/>
      <c r="K2991" s="1" t="str">
        <f>IFERROR(__xludf.DUMMYFUNCTION("""COMPUTED_VALUE"""),"palcis.marvin0900@gmail.com")</f>
        <v>palcis.marvin0900@gmail.com</v>
      </c>
      <c r="L2991" s="1" t="str">
        <f>IFERROR(__xludf.DUMMYFUNCTION("""COMPUTED_VALUE"""),"BLK 4 LOT 13")</f>
        <v>BLK 4 LOT 13</v>
      </c>
      <c r="M2991" s="1" t="str">
        <f>IFERROR(__xludf.DUMMYFUNCTION("""COMPUTED_VALUE"""),"BUKLARAN 1")</f>
        <v>BUKLARAN 1</v>
      </c>
      <c r="N2991" s="1" t="str">
        <f>IFERROR(__xludf.DUMMYFUNCTION("""COMPUTED_VALUE"""),"#N/A")</f>
        <v>#N/A</v>
      </c>
      <c r="O2991" s="1" t="str">
        <f>IFERROR(__xludf.DUMMYFUNCTION("""COMPUTED_VALUE"""),"BULIHAN")</f>
        <v>BULIHAN</v>
      </c>
      <c r="P2991" s="1" t="str">
        <f>IFERROR(__xludf.DUMMYFUNCTION("""COMPUTED_VALUE"""),"SILANG")</f>
        <v>SILANG</v>
      </c>
      <c r="Q2991" s="1" t="str">
        <f>IFERROR(__xludf.DUMMYFUNCTION("""COMPUTED_VALUE"""),"CAVITE")</f>
        <v>CAVITE</v>
      </c>
      <c r="R2991" s="1" t="str">
        <f>IFERROR(__xludf.DUMMYFUNCTION("""COMPUTED_VALUE"""),"FIBR PLAN 1299")</f>
        <v>FIBR PLAN 1299</v>
      </c>
      <c r="S2991" s="1" t="str">
        <f>IFERROR(__xludf.DUMMYFUNCTION("""COMPUTED_VALUE"""),"APPROVED")</f>
        <v>APPROVED</v>
      </c>
      <c r="T2991" s="1" t="str">
        <f>IFERROR(__xludf.DUMMYFUNCTION("""COMPUTED_VALUE"""),"#N/A")</f>
        <v>#N/A</v>
      </c>
      <c r="U2991" s="1" t="str">
        <f>IFERROR(__xludf.DUMMYFUNCTION("""COMPUTED_VALUE"""),"POSTED")</f>
        <v>POSTED</v>
      </c>
      <c r="V2991" s="1"/>
      <c r="W2991" s="1"/>
    </row>
    <row r="2992" customHeight="1" spans="1:23">
      <c r="A2992" s="3">
        <f>IFERROR(__xludf.DUMMYFUNCTION("""COMPUTED_VALUE"""),46269)</f>
        <v>46269</v>
      </c>
      <c r="B2992" s="1" t="str">
        <f>IFERROR(__xludf.DUMMYFUNCTION("""COMPUTED_VALUE"""),"IVNO, RAZZEL")</f>
        <v>IVNO, RAZZEL</v>
      </c>
      <c r="C2992" s="1" t="str">
        <f>IFERROR(__xludf.DUMMYFUNCTION("""COMPUTED_VALUE"""),"ORGANIC")</f>
        <v>ORGANIC</v>
      </c>
      <c r="D2992" s="1" t="str">
        <f>IFERROR(__xludf.DUMMYFUNCTION("""COMPUTED_VALUE"""),"REMOLLO LEA")</f>
        <v>REMOLLO LEA</v>
      </c>
      <c r="E2992" s="1" t="str">
        <f>IFERROR(__xludf.DUMMYFUNCTION("""COMPUTED_VALUE"""),"PLDT / H2H")</f>
        <v>PLDT / H2H</v>
      </c>
      <c r="F2992" s="1"/>
      <c r="G2992" s="1"/>
      <c r="H2992" s="1"/>
      <c r="I2992" s="1">
        <f>IFERROR(__xludf.DUMMYFUNCTION("""COMPUTED_VALUE"""),9106105829)</f>
        <v>9106105829</v>
      </c>
      <c r="J2992" s="1">
        <f>IFERROR(__xludf.DUMMYFUNCTION("""COMPUTED_VALUE"""),9319150428)</f>
        <v>9319150428</v>
      </c>
      <c r="K2992" s="1" t="str">
        <f>IFERROR(__xludf.DUMMYFUNCTION("""COMPUTED_VALUE"""),"giordelle22@gmail.com")</f>
        <v>giordelle22@gmail.com</v>
      </c>
      <c r="L2992" s="1" t="str">
        <f>IFERROR(__xludf.DUMMYFUNCTION("""COMPUTED_VALUE"""),"BLK 12 LOT 34")</f>
        <v>BLK 12 LOT 34</v>
      </c>
      <c r="M2992" s="1" t="str">
        <f>IFERROR(__xludf.DUMMYFUNCTION("""COMPUTED_VALUE"""),"MARIE CURIE")</f>
        <v>MARIE CURIE</v>
      </c>
      <c r="N2992" s="1" t="str">
        <f>IFERROR(__xludf.DUMMYFUNCTION("""COMPUTED_VALUE"""),"#N/A")</f>
        <v>#N/A</v>
      </c>
      <c r="O2992" s="1" t="str">
        <f>IFERROR(__xludf.DUMMYFUNCTION("""COMPUTED_VALUE"""),"POBLACION IV")</f>
        <v>POBLACION IV</v>
      </c>
      <c r="P2992" s="1" t="str">
        <f>IFERROR(__xludf.DUMMYFUNCTION("""COMPUTED_VALUE"""),"GEN MARIANO ALVAREZ")</f>
        <v>GEN MARIANO ALVAREZ</v>
      </c>
      <c r="Q2992" s="1" t="str">
        <f>IFERROR(__xludf.DUMMYFUNCTION("""COMPUTED_VALUE"""),"CAVITE")</f>
        <v>CAVITE</v>
      </c>
      <c r="R2992" s="1" t="str">
        <f>IFERROR(__xludf.DUMMYFUNCTION("""COMPUTED_VALUE"""),"FIBR UNLI ALL PLAN 999")</f>
        <v>FIBR UNLI ALL PLAN 999</v>
      </c>
      <c r="S2992" s="1" t="str">
        <f>IFERROR(__xludf.DUMMYFUNCTION("""COMPUTED_VALUE"""),"APPROVED")</f>
        <v>APPROVED</v>
      </c>
      <c r="T2992" s="1" t="str">
        <f>IFERROR(__xludf.DUMMYFUNCTION("""COMPUTED_VALUE"""),"#N/A")</f>
        <v>#N/A</v>
      </c>
      <c r="U2992" s="1" t="str">
        <f>IFERROR(__xludf.DUMMYFUNCTION("""COMPUTED_VALUE"""),"POSTED")</f>
        <v>POSTED</v>
      </c>
      <c r="V2992" s="1"/>
      <c r="W2992" s="1"/>
    </row>
    <row r="2993" customHeight="1" spans="1:23">
      <c r="A2993" s="3">
        <f>IFERROR(__xludf.DUMMYFUNCTION("""COMPUTED_VALUE"""),46269)</f>
        <v>46269</v>
      </c>
      <c r="B2993" s="1" t="str">
        <f>IFERROR(__xludf.DUMMYFUNCTION("""COMPUTED_VALUE"""),"MANDUCDOC, MARIANE")</f>
        <v>MANDUCDOC, MARIANE</v>
      </c>
      <c r="C2993" s="1" t="str">
        <f>IFERROR(__xludf.DUMMYFUNCTION("""COMPUTED_VALUE"""),"ORGANIC")</f>
        <v>ORGANIC</v>
      </c>
      <c r="D2993" s="1" t="str">
        <f>IFERROR(__xludf.DUMMYFUNCTION("""COMPUTED_VALUE"""),"REMOLLO LEA")</f>
        <v>REMOLLO LEA</v>
      </c>
      <c r="E2993" s="1" t="str">
        <f>IFERROR(__xludf.DUMMYFUNCTION("""COMPUTED_VALUE"""),"PLDT / H2H")</f>
        <v>PLDT / H2H</v>
      </c>
      <c r="F2993" s="1"/>
      <c r="G2993" s="1"/>
      <c r="H2993" s="1" t="str">
        <f>IFERROR(__xludf.DUMMYFUNCTION("""COMPUTED_VALUE"""),"#N/A")</f>
        <v>#N/A</v>
      </c>
      <c r="I2993" s="1">
        <f>IFERROR(__xludf.DUMMYFUNCTION("""COMPUTED_VALUE"""),9943614480)</f>
        <v>9943614480</v>
      </c>
      <c r="J2993" s="1"/>
      <c r="K2993" s="1" t="str">
        <f>IFERROR(__xludf.DUMMYFUNCTION("""COMPUTED_VALUE"""),"chellearnigo@gmail.com")</f>
        <v>chellearnigo@gmail.com</v>
      </c>
      <c r="L2993" s="1" t="str">
        <f>IFERROR(__xludf.DUMMYFUNCTION("""COMPUTED_VALUE"""),"BLK 17 LOT 49")</f>
        <v>BLK 17 LOT 49</v>
      </c>
      <c r="M2993" s="1" t="str">
        <f>IFERROR(__xludf.DUMMYFUNCTION("""COMPUTED_VALUE"""),"POBLACION 2")</f>
        <v>POBLACION 2</v>
      </c>
      <c r="N2993" s="1" t="str">
        <f>IFERROR(__xludf.DUMMYFUNCTION("""COMPUTED_VALUE"""),"#N/A")</f>
        <v>#N/A</v>
      </c>
      <c r="O2993" s="1" t="str">
        <f>IFERROR(__xludf.DUMMYFUNCTION("""COMPUTED_VALUE"""),"BARANGAY 2 POBLACION")</f>
        <v>BARANGAY 2 POBLACION</v>
      </c>
      <c r="P2993" s="1" t="str">
        <f>IFERROR(__xludf.DUMMYFUNCTION("""COMPUTED_VALUE"""),"GEN MARIANO ALVAREZ")</f>
        <v>GEN MARIANO ALVAREZ</v>
      </c>
      <c r="Q2993" s="1" t="str">
        <f>IFERROR(__xludf.DUMMYFUNCTION("""COMPUTED_VALUE"""),"CAVITE")</f>
        <v>CAVITE</v>
      </c>
      <c r="R2993" s="1" t="str">
        <f>IFERROR(__xludf.DUMMYFUNCTION("""COMPUTED_VALUE"""),"FIBR UNLI ALL PLAN 999")</f>
        <v>FIBR UNLI ALL PLAN 999</v>
      </c>
      <c r="S2993" s="1" t="str">
        <f>IFERROR(__xludf.DUMMYFUNCTION("""COMPUTED_VALUE"""),"APPROVED")</f>
        <v>APPROVED</v>
      </c>
      <c r="T2993" s="1" t="str">
        <f>IFERROR(__xludf.DUMMYFUNCTION("""COMPUTED_VALUE"""),"#N/A")</f>
        <v>#N/A</v>
      </c>
      <c r="U2993" s="1"/>
      <c r="V2993" s="1"/>
      <c r="W2993" s="1"/>
    </row>
    <row r="2994" customHeight="1" spans="1:23">
      <c r="A2994" s="3">
        <f>IFERROR(__xludf.DUMMYFUNCTION("""COMPUTED_VALUE"""),46269)</f>
        <v>46269</v>
      </c>
      <c r="B2994" s="1" t="str">
        <f>IFERROR(__xludf.DUMMYFUNCTION("""COMPUTED_VALUE"""),"TAMAYO, MARY ROSE")</f>
        <v>TAMAYO, MARY ROSE</v>
      </c>
      <c r="C2994" s="1" t="str">
        <f>IFERROR(__xludf.DUMMYFUNCTION("""COMPUTED_VALUE"""),"ORGANIC")</f>
        <v>ORGANIC</v>
      </c>
      <c r="D2994" s="1" t="str">
        <f>IFERROR(__xludf.DUMMYFUNCTION("""COMPUTED_VALUE"""),"REMOLLO LEA")</f>
        <v>REMOLLO LEA</v>
      </c>
      <c r="E2994" s="1" t="str">
        <f>IFERROR(__xludf.DUMMYFUNCTION("""COMPUTED_VALUE"""),"PLDT / H2H")</f>
        <v>PLDT / H2H</v>
      </c>
      <c r="F2994" s="1"/>
      <c r="G2994" s="1"/>
      <c r="H2994" s="1" t="str">
        <f>IFERROR(__xludf.DUMMYFUNCTION("""COMPUTED_VALUE"""),"#N/A")</f>
        <v>#N/A</v>
      </c>
      <c r="I2994" s="1"/>
      <c r="J2994" s="1"/>
      <c r="K2994" s="1"/>
      <c r="L2994" s="1" t="str">
        <f>IFERROR(__xludf.DUMMYFUNCTION("""COMPUTED_VALUE"""),"#N/A")</f>
        <v>#N/A</v>
      </c>
      <c r="M2994" s="1" t="str">
        <f>IFERROR(__xludf.DUMMYFUNCTION("""COMPUTED_VALUE"""),"#N/A")</f>
        <v>#N/A</v>
      </c>
      <c r="N2994" s="1" t="str">
        <f>IFERROR(__xludf.DUMMYFUNCTION("""COMPUTED_VALUE"""),"#N/A")</f>
        <v>#N/A</v>
      </c>
      <c r="O2994" s="1" t="str">
        <f>IFERROR(__xludf.DUMMYFUNCTION("""COMPUTED_VALUE"""),"ANIBAN I")</f>
        <v>ANIBAN I</v>
      </c>
      <c r="P2994" s="1" t="str">
        <f>IFERROR(__xludf.DUMMYFUNCTION("""COMPUTED_VALUE"""),"BACOOR")</f>
        <v>BACOOR</v>
      </c>
      <c r="Q2994" s="1" t="str">
        <f>IFERROR(__xludf.DUMMYFUNCTION("""COMPUTED_VALUE"""),"CAVITE")</f>
        <v>CAVITE</v>
      </c>
      <c r="R2994" s="1" t="str">
        <f>IFERROR(__xludf.DUMMYFUNCTION("""COMPUTED_VALUE"""),"FIBR NETFLIX PLAN 1599")</f>
        <v>FIBR NETFLIX PLAN 1599</v>
      </c>
      <c r="S2994" s="1" t="str">
        <f>IFERROR(__xludf.DUMMYFUNCTION("""COMPUTED_VALUE"""),"APPROVED")</f>
        <v>APPROVED</v>
      </c>
      <c r="T2994" s="1" t="str">
        <f>IFERROR(__xludf.DUMMYFUNCTION("""COMPUTED_VALUE"""),"#N/A")</f>
        <v>#N/A</v>
      </c>
      <c r="U2994" s="1" t="str">
        <f>IFERROR(__xludf.DUMMYFUNCTION("""COMPUTED_VALUE"""),"POSTED")</f>
        <v>POSTED</v>
      </c>
      <c r="V2994" s="1"/>
      <c r="W2994" s="1"/>
    </row>
    <row r="2995" customHeight="1" spans="1:23">
      <c r="A2995" s="3">
        <f>IFERROR(__xludf.DUMMYFUNCTION("""COMPUTED_VALUE"""),46269)</f>
        <v>46269</v>
      </c>
      <c r="B2995" s="1" t="str">
        <f>IFERROR(__xludf.DUMMYFUNCTION("""COMPUTED_VALUE"""),"CADERAO, RONALD")</f>
        <v>CADERAO, RONALD</v>
      </c>
      <c r="C2995" s="1" t="str">
        <f>IFERROR(__xludf.DUMMYFUNCTION("""COMPUTED_VALUE"""),"ORGANIC")</f>
        <v>ORGANIC</v>
      </c>
      <c r="D2995" s="1" t="str">
        <f>IFERROR(__xludf.DUMMYFUNCTION("""COMPUTED_VALUE"""),"REMOLLO LEA")</f>
        <v>REMOLLO LEA</v>
      </c>
      <c r="E2995" s="1" t="str">
        <f>IFERROR(__xludf.DUMMYFUNCTION("""COMPUTED_VALUE"""),"PLDT / H2H")</f>
        <v>PLDT / H2H</v>
      </c>
      <c r="F2995" s="1"/>
      <c r="G2995" s="1"/>
      <c r="H2995" s="1" t="str">
        <f>IFERROR(__xludf.DUMMYFUNCTION("""COMPUTED_VALUE"""),"#N/A")</f>
        <v>#N/A</v>
      </c>
      <c r="I2995" s="1"/>
      <c r="J2995" s="1"/>
      <c r="K2995" s="1" t="str">
        <f>IFERROR(__xludf.DUMMYFUNCTION("""COMPUTED_VALUE"""),"nathanielbaret@gmail.com")</f>
        <v>nathanielbaret@gmail.com</v>
      </c>
      <c r="L2995" s="1" t="str">
        <f>IFERROR(__xludf.DUMMYFUNCTION("""COMPUTED_VALUE"""),"#N/A")</f>
        <v>#N/A</v>
      </c>
      <c r="M2995" s="1" t="str">
        <f>IFERROR(__xludf.DUMMYFUNCTION("""COMPUTED_VALUE"""),"#N/A")</f>
        <v>#N/A</v>
      </c>
      <c r="N2995" s="1" t="str">
        <f>IFERROR(__xludf.DUMMYFUNCTION("""COMPUTED_VALUE"""),"#N/A")</f>
        <v>#N/A</v>
      </c>
      <c r="O2995" s="1" t="str">
        <f>IFERROR(__xludf.DUMMYFUNCTION("""COMPUTED_VALUE"""),"PUTING KAHOY")</f>
        <v>PUTING KAHOY</v>
      </c>
      <c r="P2995" s="1" t="str">
        <f>IFERROR(__xludf.DUMMYFUNCTION("""COMPUTED_VALUE"""),"SILANG")</f>
        <v>SILANG</v>
      </c>
      <c r="Q2995" s="1" t="str">
        <f>IFERROR(__xludf.DUMMYFUNCTION("""COMPUTED_VALUE"""),"CAVITE")</f>
        <v>CAVITE</v>
      </c>
      <c r="R2995" s="1" t="str">
        <f>IFERROR(__xludf.DUMMYFUNCTION("""COMPUTED_VALUE"""),"SWITCH FIBER UNLI ALL PLAN 1499")</f>
        <v>SWITCH FIBER UNLI ALL PLAN 1499</v>
      </c>
      <c r="S2995" s="1" t="str">
        <f>IFERROR(__xludf.DUMMYFUNCTION("""COMPUTED_VALUE"""),"APPROVED")</f>
        <v>APPROVED</v>
      </c>
      <c r="T2995" s="1" t="str">
        <f>IFERROR(__xludf.DUMMYFUNCTION("""COMPUTED_VALUE"""),"#N/A")</f>
        <v>#N/A</v>
      </c>
      <c r="U2995" s="1" t="str">
        <f>IFERROR(__xludf.DUMMYFUNCTION("""COMPUTED_VALUE"""),"POSTED")</f>
        <v>POSTED</v>
      </c>
      <c r="V2995" s="1"/>
      <c r="W2995" s="1"/>
    </row>
    <row r="2996" customHeight="1" spans="1:23">
      <c r="A2996" s="3">
        <f>IFERROR(__xludf.DUMMYFUNCTION("""COMPUTED_VALUE"""),46269)</f>
        <v>46269</v>
      </c>
      <c r="B2996" s="1" t="str">
        <f>IFERROR(__xludf.DUMMYFUNCTION("""COMPUTED_VALUE"""),"ALOS, CHARLS LAURENZ")</f>
        <v>ALOS, CHARLS LAURENZ</v>
      </c>
      <c r="C2996" s="1" t="str">
        <f>IFERROR(__xludf.DUMMYFUNCTION("""COMPUTED_VALUE"""),"ORGANIC")</f>
        <v>ORGANIC</v>
      </c>
      <c r="D2996" s="1" t="str">
        <f>IFERROR(__xludf.DUMMYFUNCTION("""COMPUTED_VALUE"""),"REMOLLO LEA")</f>
        <v>REMOLLO LEA</v>
      </c>
      <c r="E2996" s="1" t="str">
        <f>IFERROR(__xludf.DUMMYFUNCTION("""COMPUTED_VALUE"""),"PLDT / H2H")</f>
        <v>PLDT / H2H</v>
      </c>
      <c r="F2996" s="1"/>
      <c r="G2996" s="1"/>
      <c r="H2996" s="1" t="str">
        <f>IFERROR(__xludf.DUMMYFUNCTION("""COMPUTED_VALUE"""),"#N/A")</f>
        <v>#N/A</v>
      </c>
      <c r="I2996" s="1"/>
      <c r="J2996" s="1"/>
      <c r="K2996" s="1" t="str">
        <f>IFERROR(__xludf.DUMMYFUNCTION("""COMPUTED_VALUE"""),"BATANGDUREMDES@GMAIL.COM")</f>
        <v>BATANGDUREMDES@GMAIL.COM</v>
      </c>
      <c r="L2996" s="1" t="str">
        <f>IFERROR(__xludf.DUMMYFUNCTION("""COMPUTED_VALUE"""),"#N/A")</f>
        <v>#N/A</v>
      </c>
      <c r="M2996" s="1" t="str">
        <f>IFERROR(__xludf.DUMMYFUNCTION("""COMPUTED_VALUE"""),"#N/A")</f>
        <v>#N/A</v>
      </c>
      <c r="N2996" s="1" t="str">
        <f>IFERROR(__xludf.DUMMYFUNCTION("""COMPUTED_VALUE"""),"#N/A")</f>
        <v>#N/A</v>
      </c>
      <c r="O2996" s="1" t="str">
        <f>IFERROR(__xludf.DUMMYFUNCTION("""COMPUTED_VALUE"""),"TARTARIA")</f>
        <v>TARTARIA</v>
      </c>
      <c r="P2996" s="1" t="str">
        <f>IFERROR(__xludf.DUMMYFUNCTION("""COMPUTED_VALUE"""),"SILANG")</f>
        <v>SILANG</v>
      </c>
      <c r="Q2996" s="1" t="str">
        <f>IFERROR(__xludf.DUMMYFUNCTION("""COMPUTED_VALUE"""),"CAVITE")</f>
        <v>CAVITE</v>
      </c>
      <c r="R2996" s="1" t="str">
        <f>IFERROR(__xludf.DUMMYFUNCTION("""COMPUTED_VALUE"""),"FIBR UNLI ALL PLAN 1499")</f>
        <v>FIBR UNLI ALL PLAN 1499</v>
      </c>
      <c r="S2996" s="1" t="str">
        <f>IFERROR(__xludf.DUMMYFUNCTION("""COMPUTED_VALUE"""),"APPROVED")</f>
        <v>APPROVED</v>
      </c>
      <c r="T2996" s="1" t="str">
        <f>IFERROR(__xludf.DUMMYFUNCTION("""COMPUTED_VALUE"""),"#N/A")</f>
        <v>#N/A</v>
      </c>
      <c r="U2996" s="1" t="str">
        <f>IFERROR(__xludf.DUMMYFUNCTION("""COMPUTED_VALUE"""),"POSTED")</f>
        <v>POSTED</v>
      </c>
      <c r="V2996" s="1"/>
      <c r="W2996" s="1"/>
    </row>
    <row r="2997" customHeight="1" spans="1:23">
      <c r="A2997" s="3">
        <f>IFERROR(__xludf.DUMMYFUNCTION("""COMPUTED_VALUE"""),46269)</f>
        <v>46269</v>
      </c>
      <c r="B2997" s="1" t="str">
        <f>IFERROR(__xludf.DUMMYFUNCTION("""COMPUTED_VALUE"""),"ARIENA, LYKA")</f>
        <v>ARIENA, LYKA</v>
      </c>
      <c r="C2997" s="1" t="str">
        <f>IFERROR(__xludf.DUMMYFUNCTION("""COMPUTED_VALUE"""),"ORGANIC")</f>
        <v>ORGANIC</v>
      </c>
      <c r="D2997" s="1" t="str">
        <f>IFERROR(__xludf.DUMMYFUNCTION("""COMPUTED_VALUE"""),"REMOLLO LEA")</f>
        <v>REMOLLO LEA</v>
      </c>
      <c r="E2997" s="1" t="str">
        <f>IFERROR(__xludf.DUMMYFUNCTION("""COMPUTED_VALUE"""),"PLDT / H2H")</f>
        <v>PLDT / H2H</v>
      </c>
      <c r="F2997" s="1"/>
      <c r="G2997" s="1"/>
      <c r="H2997" s="1" t="str">
        <f>IFERROR(__xludf.DUMMYFUNCTION("""COMPUTED_VALUE"""),"#N/A")</f>
        <v>#N/A</v>
      </c>
      <c r="I2997" s="1"/>
      <c r="J2997" s="1"/>
      <c r="K2997" s="1" t="str">
        <f>IFERROR(__xludf.DUMMYFUNCTION("""COMPUTED_VALUE"""),"SALDIVARLYNNMARIE82@GMAIL.COM")</f>
        <v>SALDIVARLYNNMARIE82@GMAIL.COM</v>
      </c>
      <c r="L2997" s="1" t="str">
        <f>IFERROR(__xludf.DUMMYFUNCTION("""COMPUTED_VALUE"""),"#N/A")</f>
        <v>#N/A</v>
      </c>
      <c r="M2997" s="1" t="str">
        <f>IFERROR(__xludf.DUMMYFUNCTION("""COMPUTED_VALUE"""),"#N/A")</f>
        <v>#N/A</v>
      </c>
      <c r="N2997" s="1" t="str">
        <f>IFERROR(__xludf.DUMMYFUNCTION("""COMPUTED_VALUE"""),"#N/A")</f>
        <v>#N/A</v>
      </c>
      <c r="O2997" s="1" t="str">
        <f>IFERROR(__xludf.DUMMYFUNCTION("""COMPUTED_VALUE"""),"LUMIL")</f>
        <v>LUMIL</v>
      </c>
      <c r="P2997" s="1" t="str">
        <f>IFERROR(__xludf.DUMMYFUNCTION("""COMPUTED_VALUE"""),"SILANG")</f>
        <v>SILANG</v>
      </c>
      <c r="Q2997" s="1" t="str">
        <f>IFERROR(__xludf.DUMMYFUNCTION("""COMPUTED_VALUE"""),"CAVITE")</f>
        <v>CAVITE</v>
      </c>
      <c r="R2997" s="1" t="str">
        <f>IFERROR(__xludf.DUMMYFUNCTION("""COMPUTED_VALUE"""),"FIBR PLAN 1299")</f>
        <v>FIBR PLAN 1299</v>
      </c>
      <c r="S2997" s="1" t="str">
        <f>IFERROR(__xludf.DUMMYFUNCTION("""COMPUTED_VALUE"""),"APPROVED")</f>
        <v>APPROVED</v>
      </c>
      <c r="T2997" s="1" t="str">
        <f>IFERROR(__xludf.DUMMYFUNCTION("""COMPUTED_VALUE"""),"#N/A")</f>
        <v>#N/A</v>
      </c>
      <c r="U2997" s="1" t="str">
        <f>IFERROR(__xludf.DUMMYFUNCTION("""COMPUTED_VALUE"""),"POSTED")</f>
        <v>POSTED</v>
      </c>
      <c r="V2997" s="1"/>
      <c r="W2997" s="1"/>
    </row>
    <row r="2998" customHeight="1" spans="1:23">
      <c r="A2998" s="3">
        <f>IFERROR(__xludf.DUMMYFUNCTION("""COMPUTED_VALUE"""),46269)</f>
        <v>46269</v>
      </c>
      <c r="B2998" s="1" t="str">
        <f>IFERROR(__xludf.DUMMYFUNCTION("""COMPUTED_VALUE"""),"ALOS, CHARLS LAURENZ")</f>
        <v>ALOS, CHARLS LAURENZ</v>
      </c>
      <c r="C2998" s="1" t="str">
        <f>IFERROR(__xludf.DUMMYFUNCTION("""COMPUTED_VALUE"""),"ORGANIC")</f>
        <v>ORGANIC</v>
      </c>
      <c r="D2998" s="1" t="str">
        <f>IFERROR(__xludf.DUMMYFUNCTION("""COMPUTED_VALUE"""),"REMOLLO LEA")</f>
        <v>REMOLLO LEA</v>
      </c>
      <c r="E2998" s="1" t="str">
        <f>IFERROR(__xludf.DUMMYFUNCTION("""COMPUTED_VALUE"""),"PLDT / H2H")</f>
        <v>PLDT / H2H</v>
      </c>
      <c r="F2998" s="1"/>
      <c r="G2998" s="1"/>
      <c r="H2998" s="1" t="str">
        <f>IFERROR(__xludf.DUMMYFUNCTION("""COMPUTED_VALUE"""),"#N/A")</f>
        <v>#N/A</v>
      </c>
      <c r="I2998" s="1"/>
      <c r="J2998" s="1"/>
      <c r="K2998" s="1" t="str">
        <f>IFERROR(__xludf.DUMMYFUNCTION("""COMPUTED_VALUE"""),"joelguevarra06@gmail.com")</f>
        <v>joelguevarra06@gmail.com</v>
      </c>
      <c r="L2998" s="1" t="str">
        <f>IFERROR(__xludf.DUMMYFUNCTION("""COMPUTED_VALUE"""),"#N/A")</f>
        <v>#N/A</v>
      </c>
      <c r="M2998" s="1" t="str">
        <f>IFERROR(__xludf.DUMMYFUNCTION("""COMPUTED_VALUE"""),"#N/A")</f>
        <v>#N/A</v>
      </c>
      <c r="N2998" s="1" t="str">
        <f>IFERROR(__xludf.DUMMYFUNCTION("""COMPUTED_VALUE"""),"#N/A")</f>
        <v>#N/A</v>
      </c>
      <c r="O2998" s="1" t="str">
        <f>IFERROR(__xludf.DUMMYFUNCTION("""COMPUTED_VALUE"""),"GUINHAWA SOUTH")</f>
        <v>GUINHAWA SOUTH</v>
      </c>
      <c r="P2998" s="1" t="str">
        <f>IFERROR(__xludf.DUMMYFUNCTION("""COMPUTED_VALUE"""),"TAGAYTAY")</f>
        <v>TAGAYTAY</v>
      </c>
      <c r="Q2998" s="1" t="str">
        <f>IFERROR(__xludf.DUMMYFUNCTION("""COMPUTED_VALUE"""),"CAVITE")</f>
        <v>CAVITE</v>
      </c>
      <c r="R2998" s="1" t="str">
        <f>IFERROR(__xludf.DUMMYFUNCTION("""COMPUTED_VALUE"""),"FIBR UNLI ALL PLAN 999")</f>
        <v>FIBR UNLI ALL PLAN 999</v>
      </c>
      <c r="S2998" s="1" t="str">
        <f>IFERROR(__xludf.DUMMYFUNCTION("""COMPUTED_VALUE"""),"APPROVED")</f>
        <v>APPROVED</v>
      </c>
      <c r="T2998" s="1" t="str">
        <f>IFERROR(__xludf.DUMMYFUNCTION("""COMPUTED_VALUE"""),"#N/A")</f>
        <v>#N/A</v>
      </c>
      <c r="U2998" s="1"/>
      <c r="V2998" s="1"/>
      <c r="W2998" s="1"/>
    </row>
    <row r="2999" customHeight="1" spans="1:23">
      <c r="A2999" s="3">
        <f>IFERROR(__xludf.DUMMYFUNCTION("""COMPUTED_VALUE"""),46269)</f>
        <v>46269</v>
      </c>
      <c r="B2999" s="1" t="str">
        <f>IFERROR(__xludf.DUMMYFUNCTION("""COMPUTED_VALUE"""),"DEL ROSARIO, MIGGY LENARD")</f>
        <v>DEL ROSARIO, MIGGY LENARD</v>
      </c>
      <c r="C2999" s="1" t="str">
        <f>IFERROR(__xludf.DUMMYFUNCTION("""COMPUTED_VALUE"""),"ORGANIC")</f>
        <v>ORGANIC</v>
      </c>
      <c r="D2999" s="1" t="str">
        <f>IFERROR(__xludf.DUMMYFUNCTION("""COMPUTED_VALUE"""),"JERIC NAVARRO")</f>
        <v>JERIC NAVARRO</v>
      </c>
      <c r="E2999" s="1" t="str">
        <f>IFERROR(__xludf.DUMMYFUNCTION("""COMPUTED_VALUE"""),"PLDT / H2H")</f>
        <v>PLDT / H2H</v>
      </c>
      <c r="F2999" s="1"/>
      <c r="G2999" s="1"/>
      <c r="H2999" s="1" t="str">
        <f>IFERROR(__xludf.DUMMYFUNCTION("""COMPUTED_VALUE"""),"#N/A")</f>
        <v>#N/A</v>
      </c>
      <c r="I2999" s="1"/>
      <c r="J2999" s="1"/>
      <c r="K2999" s="1"/>
      <c r="L2999" s="1" t="str">
        <f>IFERROR(__xludf.DUMMYFUNCTION("""COMPUTED_VALUE"""),"#N/A")</f>
        <v>#N/A</v>
      </c>
      <c r="M2999" s="1" t="str">
        <f>IFERROR(__xludf.DUMMYFUNCTION("""COMPUTED_VALUE"""),"#N/A")</f>
        <v>#N/A</v>
      </c>
      <c r="N2999" s="1" t="str">
        <f>IFERROR(__xludf.DUMMYFUNCTION("""COMPUTED_VALUE"""),"#N/A")</f>
        <v>#N/A</v>
      </c>
      <c r="O2999" s="1" t="str">
        <f>IFERROR(__xludf.DUMMYFUNCTION("""COMPUTED_VALUE"""),"BUCAL I")</f>
        <v>BUCAL I</v>
      </c>
      <c r="P2999" s="1" t="str">
        <f>IFERROR(__xludf.DUMMYFUNCTION("""COMPUTED_VALUE"""),"MARAGONDON")</f>
        <v>MARAGONDON</v>
      </c>
      <c r="Q2999" s="1" t="str">
        <f>IFERROR(__xludf.DUMMYFUNCTION("""COMPUTED_VALUE"""),"CAVITE")</f>
        <v>CAVITE</v>
      </c>
      <c r="R2999" s="1" t="str">
        <f>IFERROR(__xludf.DUMMYFUNCTION("""COMPUTED_VALUE"""),"FIBR PLAN 1299")</f>
        <v>FIBR PLAN 1299</v>
      </c>
      <c r="S2999" s="1" t="str">
        <f>IFERROR(__xludf.DUMMYFUNCTION("""COMPUTED_VALUE"""),"APPROVED")</f>
        <v>APPROVED</v>
      </c>
      <c r="T2999" s="1" t="str">
        <f>IFERROR(__xludf.DUMMYFUNCTION("""COMPUTED_VALUE"""),"#N/A")</f>
        <v>#N/A</v>
      </c>
      <c r="U2999" s="1" t="str">
        <f>IFERROR(__xludf.DUMMYFUNCTION("""COMPUTED_VALUE"""),"POSTED")</f>
        <v>POSTED</v>
      </c>
      <c r="V2999" s="1"/>
      <c r="W2999" s="1"/>
    </row>
    <row r="3000" customHeight="1" spans="1:23">
      <c r="A3000" s="3">
        <f>IFERROR(__xludf.DUMMYFUNCTION("""COMPUTED_VALUE"""),46269)</f>
        <v>46269</v>
      </c>
      <c r="B3000" s="1" t="str">
        <f>IFERROR(__xludf.DUMMYFUNCTION("""COMPUTED_VALUE"""),"ESCARCHA, MA ALMA  ESCOTO")</f>
        <v>ESCARCHA, MA ALMA  ESCOTO</v>
      </c>
      <c r="C3000" s="1" t="str">
        <f>IFERROR(__xludf.DUMMYFUNCTION("""COMPUTED_VALUE"""),"ORGANIC")</f>
        <v>ORGANIC</v>
      </c>
      <c r="D3000" s="1" t="str">
        <f>IFERROR(__xludf.DUMMYFUNCTION("""COMPUTED_VALUE"""),"REMOLLO LEA")</f>
        <v>REMOLLO LEA</v>
      </c>
      <c r="E3000" s="1" t="str">
        <f>IFERROR(__xludf.DUMMYFUNCTION("""COMPUTED_VALUE"""),"PLDT / H2H")</f>
        <v>PLDT / H2H</v>
      </c>
      <c r="F3000" s="1"/>
      <c r="G3000" s="1"/>
      <c r="H3000" s="1" t="str">
        <f>IFERROR(__xludf.DUMMYFUNCTION("""COMPUTED_VALUE"""),"#N/A")</f>
        <v>#N/A</v>
      </c>
      <c r="I3000" s="1"/>
      <c r="J3000" s="1"/>
      <c r="K3000" s="1"/>
      <c r="L3000" s="1" t="str">
        <f>IFERROR(__xludf.DUMMYFUNCTION("""COMPUTED_VALUE"""),"#N/A")</f>
        <v>#N/A</v>
      </c>
      <c r="M3000" s="1" t="str">
        <f>IFERROR(__xludf.DUMMYFUNCTION("""COMPUTED_VALUE"""),"#N/A")</f>
        <v>#N/A</v>
      </c>
      <c r="N3000" s="1" t="str">
        <f>IFERROR(__xludf.DUMMYFUNCTION("""COMPUTED_VALUE"""),"#N/A")</f>
        <v>#N/A</v>
      </c>
      <c r="O3000" s="1" t="str">
        <f>IFERROR(__xludf.DUMMYFUNCTION("""COMPUTED_VALUE"""),"YAKAL")</f>
        <v>YAKAL</v>
      </c>
      <c r="P3000" s="1" t="str">
        <f>IFERROR(__xludf.DUMMYFUNCTION("""COMPUTED_VALUE"""),"SILANG")</f>
        <v>SILANG</v>
      </c>
      <c r="Q3000" s="1" t="str">
        <f>IFERROR(__xludf.DUMMYFUNCTION("""COMPUTED_VALUE"""),"CAVITE")</f>
        <v>CAVITE</v>
      </c>
      <c r="R3000" s="1" t="str">
        <f>IFERROR(__xludf.DUMMYFUNCTION("""COMPUTED_VALUE"""),"FIBR UNLI ALL PLAN 999")</f>
        <v>FIBR UNLI ALL PLAN 999</v>
      </c>
      <c r="S3000" s="1" t="str">
        <f>IFERROR(__xludf.DUMMYFUNCTION("""COMPUTED_VALUE"""),"APPROVED")</f>
        <v>APPROVED</v>
      </c>
      <c r="T3000" s="1" t="str">
        <f>IFERROR(__xludf.DUMMYFUNCTION("""COMPUTED_VALUE"""),"#N/A")</f>
        <v>#N/A</v>
      </c>
      <c r="U3000" s="1"/>
      <c r="V3000" s="1"/>
      <c r="W3000" s="1"/>
    </row>
    <row r="3001" customHeight="1" spans="1:23">
      <c r="A3001" s="3">
        <f>IFERROR(__xludf.DUMMYFUNCTION("""COMPUTED_VALUE"""),46270)</f>
        <v>46270</v>
      </c>
      <c r="B3001" s="1" t="str">
        <f>IFERROR(__xludf.DUMMYFUNCTION("""COMPUTED_VALUE"""),"OPS IAN SUMILANG")</f>
        <v>OPS IAN SUMILANG</v>
      </c>
      <c r="C3001" s="1" t="str">
        <f>IFERROR(__xludf.DUMMYFUNCTION("""COMPUTED_VALUE"""),"OPS")</f>
        <v>OPS</v>
      </c>
      <c r="D3001" s="1" t="str">
        <f>IFERROR(__xludf.DUMMYFUNCTION("""COMPUTED_VALUE"""),"JERIC NAVARRO")</f>
        <v>JERIC NAVARRO</v>
      </c>
      <c r="E3001" s="1" t="str">
        <f>IFERROR(__xludf.DUMMYFUNCTION("""COMPUTED_VALUE"""),"PLDT / ONLINE")</f>
        <v>PLDT / ONLINE</v>
      </c>
      <c r="F3001" s="1"/>
      <c r="G3001" s="1"/>
      <c r="H3001" s="1" t="str">
        <f>IFERROR(__xludf.DUMMYFUNCTION("""COMPUTED_VALUE"""),"#N/A")</f>
        <v>#N/A</v>
      </c>
      <c r="I3001" s="1"/>
      <c r="J3001" s="1"/>
      <c r="K3001" s="1"/>
      <c r="L3001" s="1" t="str">
        <f>IFERROR(__xludf.DUMMYFUNCTION("""COMPUTED_VALUE"""),"#N/A")</f>
        <v>#N/A</v>
      </c>
      <c r="M3001" s="1" t="str">
        <f>IFERROR(__xludf.DUMMYFUNCTION("""COMPUTED_VALUE"""),"#N/A")</f>
        <v>#N/A</v>
      </c>
      <c r="N3001" s="1" t="str">
        <f>IFERROR(__xludf.DUMMYFUNCTION("""COMPUTED_VALUE"""),"#N/A")</f>
        <v>#N/A</v>
      </c>
      <c r="O3001" s="1" t="str">
        <f>IFERROR(__xludf.DUMMYFUNCTION("""COMPUTED_VALUE"""),"MALAGASANG I-A")</f>
        <v>MALAGASANG I-A</v>
      </c>
      <c r="P3001" s="1" t="str">
        <f>IFERROR(__xludf.DUMMYFUNCTION("""COMPUTED_VALUE"""),"IMUS")</f>
        <v>IMUS</v>
      </c>
      <c r="Q3001" s="1" t="str">
        <f>IFERROR(__xludf.DUMMYFUNCTION("""COMPUTED_VALUE"""),"CAVITE")</f>
        <v>CAVITE</v>
      </c>
      <c r="R3001" s="1" t="str">
        <f>IFERROR(__xludf.DUMMYFUNCTION("""COMPUTED_VALUE"""),"FIBR PLAN 1299")</f>
        <v>FIBR PLAN 1299</v>
      </c>
      <c r="S3001" s="1" t="str">
        <f>IFERROR(__xludf.DUMMYFUNCTION("""COMPUTED_VALUE"""),"APPROVED")</f>
        <v>APPROVED</v>
      </c>
      <c r="T3001" s="1" t="str">
        <f>IFERROR(__xludf.DUMMYFUNCTION("""COMPUTED_VALUE"""),"#N/A")</f>
        <v>#N/A</v>
      </c>
      <c r="U3001" s="1" t="str">
        <f>IFERROR(__xludf.DUMMYFUNCTION("""COMPUTED_VALUE"""),"POSTED")</f>
        <v>POSTED</v>
      </c>
      <c r="V3001" s="1"/>
      <c r="W3001" s="1"/>
    </row>
    <row r="3002" customHeight="1" spans="1:23">
      <c r="A3002" s="3">
        <f>IFERROR(__xludf.DUMMYFUNCTION("""COMPUTED_VALUE"""),46270)</f>
        <v>46270</v>
      </c>
      <c r="B3002" s="1" t="str">
        <f>IFERROR(__xludf.DUMMYFUNCTION("""COMPUTED_VALUE"""),"FRANCISCO , ROSELYN")</f>
        <v>FRANCISCO , ROSELYN</v>
      </c>
      <c r="C3002" s="1" t="str">
        <f>IFERROR(__xludf.DUMMYFUNCTION("""COMPUTED_VALUE"""),"ORGANIC")</f>
        <v>ORGANIC</v>
      </c>
      <c r="D3002" s="1" t="str">
        <f>IFERROR(__xludf.DUMMYFUNCTION("""COMPUTED_VALUE"""),"REMOLLO LEA")</f>
        <v>REMOLLO LEA</v>
      </c>
      <c r="E3002" s="1" t="str">
        <f>IFERROR(__xludf.DUMMYFUNCTION("""COMPUTED_VALUE"""),"PLDT / ONLINE")</f>
        <v>PLDT / ONLINE</v>
      </c>
      <c r="F3002" s="1"/>
      <c r="G3002" s="1"/>
      <c r="H3002" s="1" t="str">
        <f>IFERROR(__xludf.DUMMYFUNCTION("""COMPUTED_VALUE"""),"#N/A")</f>
        <v>#N/A</v>
      </c>
      <c r="I3002" s="1"/>
      <c r="J3002" s="1"/>
      <c r="K3002" s="1"/>
      <c r="L3002" s="1" t="str">
        <f>IFERROR(__xludf.DUMMYFUNCTION("""COMPUTED_VALUE"""),"#N/A")</f>
        <v>#N/A</v>
      </c>
      <c r="M3002" s="1" t="str">
        <f>IFERROR(__xludf.DUMMYFUNCTION("""COMPUTED_VALUE"""),"#N/A")</f>
        <v>#N/A</v>
      </c>
      <c r="N3002" s="1" t="str">
        <f>IFERROR(__xludf.DUMMYFUNCTION("""COMPUTED_VALUE"""),"#N/A")</f>
        <v>#N/A</v>
      </c>
      <c r="O3002" s="1" t="str">
        <f>IFERROR(__xludf.DUMMYFUNCTION("""COMPUTED_VALUE"""),"LANGKAAN II")</f>
        <v>LANGKAAN II</v>
      </c>
      <c r="P3002" s="1" t="str">
        <f>IFERROR(__xludf.DUMMYFUNCTION("""COMPUTED_VALUE"""),"DASMARINAS")</f>
        <v>DASMARINAS</v>
      </c>
      <c r="Q3002" s="1" t="str">
        <f>IFERROR(__xludf.DUMMYFUNCTION("""COMPUTED_VALUE"""),"CAVITE")</f>
        <v>CAVITE</v>
      </c>
      <c r="R3002" s="1" t="str">
        <f>IFERROR(__xludf.DUMMYFUNCTION("""COMPUTED_VALUE"""),"FIBR PLAN 1299")</f>
        <v>FIBR PLAN 1299</v>
      </c>
      <c r="S3002" s="1" t="str">
        <f>IFERROR(__xludf.DUMMYFUNCTION("""COMPUTED_VALUE"""),"APPROVED")</f>
        <v>APPROVED</v>
      </c>
      <c r="T3002" s="1" t="str">
        <f>IFERROR(__xludf.DUMMYFUNCTION("""COMPUTED_VALUE"""),"#N/A")</f>
        <v>#N/A</v>
      </c>
      <c r="U3002" s="1"/>
      <c r="V3002" s="1"/>
      <c r="W3002" s="1"/>
    </row>
    <row r="3003" customHeight="1" spans="1:23">
      <c r="A3003" s="3">
        <f>IFERROR(__xludf.DUMMYFUNCTION("""COMPUTED_VALUE"""),46270)</f>
        <v>46270</v>
      </c>
      <c r="B3003" s="1" t="str">
        <f>IFERROR(__xludf.DUMMYFUNCTION("""COMPUTED_VALUE"""),"FRANCISCO , ROSELYN")</f>
        <v>FRANCISCO , ROSELYN</v>
      </c>
      <c r="C3003" s="1" t="str">
        <f>IFERROR(__xludf.DUMMYFUNCTION("""COMPUTED_VALUE"""),"ORGANIC")</f>
        <v>ORGANIC</v>
      </c>
      <c r="D3003" s="1" t="str">
        <f>IFERROR(__xludf.DUMMYFUNCTION("""COMPUTED_VALUE"""),"REMOLLO LEA")</f>
        <v>REMOLLO LEA</v>
      </c>
      <c r="E3003" s="1" t="str">
        <f>IFERROR(__xludf.DUMMYFUNCTION("""COMPUTED_VALUE"""),"PLDT / ONLINE")</f>
        <v>PLDT / ONLINE</v>
      </c>
      <c r="F3003" s="1"/>
      <c r="G3003" s="1"/>
      <c r="H3003" s="1" t="str">
        <f>IFERROR(__xludf.DUMMYFUNCTION("""COMPUTED_VALUE"""),"#N/A")</f>
        <v>#N/A</v>
      </c>
      <c r="I3003" s="1">
        <f>IFERROR(__xludf.DUMMYFUNCTION("""COMPUTED_VALUE"""),9346216186)</f>
        <v>9346216186</v>
      </c>
      <c r="J3003" s="1"/>
      <c r="K3003" s="1" t="str">
        <f>IFERROR(__xludf.DUMMYFUNCTION("""COMPUTED_VALUE"""),"gunnloydsanjuan1216@gmail.com")</f>
        <v>gunnloydsanjuan1216@gmail.com</v>
      </c>
      <c r="L3003" s="1" t="str">
        <f>IFERROR(__xludf.DUMMYFUNCTION("""COMPUTED_VALUE"""),"BLK 188 EXCESS LOT")</f>
        <v>BLK 188 EXCESS LOT</v>
      </c>
      <c r="M3003" s="1" t="str">
        <f>IFERROR(__xludf.DUMMYFUNCTION("""COMPUTED_VALUE"""),"PHASE 4")</f>
        <v>PHASE 4</v>
      </c>
      <c r="N3003" s="1" t="str">
        <f>IFERROR(__xludf.DUMMYFUNCTION("""COMPUTED_VALUE"""),"#N/A")</f>
        <v>#N/A</v>
      </c>
      <c r="O3003" s="1" t="str">
        <f>IFERROR(__xludf.DUMMYFUNCTION("""COMPUTED_VALUE"""),"PALIPARAN III")</f>
        <v>PALIPARAN III</v>
      </c>
      <c r="P3003" s="1" t="str">
        <f>IFERROR(__xludf.DUMMYFUNCTION("""COMPUTED_VALUE"""),"DASMARINAS")</f>
        <v>DASMARINAS</v>
      </c>
      <c r="Q3003" s="1" t="str">
        <f>IFERROR(__xludf.DUMMYFUNCTION("""COMPUTED_VALUE"""),"CAVITE")</f>
        <v>CAVITE</v>
      </c>
      <c r="R3003" s="1" t="str">
        <f>IFERROR(__xludf.DUMMYFUNCTION("""COMPUTED_VALUE"""),"FIBR NETFLIX PLAN 1599")</f>
        <v>FIBR NETFLIX PLAN 1599</v>
      </c>
      <c r="S3003" s="1" t="str">
        <f>IFERROR(__xludf.DUMMYFUNCTION("""COMPUTED_VALUE"""),"HOLD")</f>
        <v>HOLD</v>
      </c>
      <c r="T3003" s="1" t="str">
        <f>IFERROR(__xludf.DUMMYFUNCTION("""COMPUTED_VALUE"""),"#N/A")</f>
        <v>#N/A</v>
      </c>
      <c r="U3003" s="1"/>
      <c r="V3003" s="1"/>
      <c r="W3003" s="1"/>
    </row>
    <row r="3004" customHeight="1" spans="1:23">
      <c r="A3004" s="3">
        <f>IFERROR(__xludf.DUMMYFUNCTION("""COMPUTED_VALUE"""),46270)</f>
        <v>46270</v>
      </c>
      <c r="B3004" s="1" t="str">
        <f>IFERROR(__xludf.DUMMYFUNCTION("""COMPUTED_VALUE"""),"FRANCISCO , ROSELYN")</f>
        <v>FRANCISCO , ROSELYN</v>
      </c>
      <c r="C3004" s="1" t="str">
        <f>IFERROR(__xludf.DUMMYFUNCTION("""COMPUTED_VALUE"""),"ORGANIC")</f>
        <v>ORGANIC</v>
      </c>
      <c r="D3004" s="1" t="str">
        <f>IFERROR(__xludf.DUMMYFUNCTION("""COMPUTED_VALUE"""),"REMOLLO LEA")</f>
        <v>REMOLLO LEA</v>
      </c>
      <c r="E3004" s="1" t="str">
        <f>IFERROR(__xludf.DUMMYFUNCTION("""COMPUTED_VALUE"""),"PLDT / ONLINE")</f>
        <v>PLDT / ONLINE</v>
      </c>
      <c r="F3004" s="1"/>
      <c r="G3004" s="1"/>
      <c r="H3004" s="1" t="str">
        <f>IFERROR(__xludf.DUMMYFUNCTION("""COMPUTED_VALUE"""),"#N/A")</f>
        <v>#N/A</v>
      </c>
      <c r="I3004" s="1">
        <f>IFERROR(__xludf.DUMMYFUNCTION("""COMPUTED_VALUE"""),9269627433)</f>
        <v>9269627433</v>
      </c>
      <c r="J3004" s="1"/>
      <c r="K3004" s="1" t="str">
        <f>IFERROR(__xludf.DUMMYFUNCTION("""COMPUTED_VALUE"""),"sherylsamillano0@gmail.com")</f>
        <v>sherylsamillano0@gmail.com</v>
      </c>
      <c r="L3004" s="1" t="str">
        <f>IFERROR(__xludf.DUMMYFUNCTION("""COMPUTED_VALUE"""),"9056")</f>
        <v>9056</v>
      </c>
      <c r="M3004" s="1" t="str">
        <f>IFERROR(__xludf.DUMMYFUNCTION("""COMPUTED_VALUE"""),"PUROK 4")</f>
        <v>PUROK 4</v>
      </c>
      <c r="N3004" s="1" t="str">
        <f>IFERROR(__xludf.DUMMYFUNCTION("""COMPUTED_VALUE"""),"#N/A")</f>
        <v>#N/A</v>
      </c>
      <c r="O3004" s="1" t="str">
        <f>IFERROR(__xludf.DUMMYFUNCTION("""COMPUTED_VALUE"""),"SANTIAGO")</f>
        <v>SANTIAGO</v>
      </c>
      <c r="P3004" s="1" t="str">
        <f>IFERROR(__xludf.DUMMYFUNCTION("""COMPUTED_VALUE"""),"GENERAL TRIAS")</f>
        <v>GENERAL TRIAS</v>
      </c>
      <c r="Q3004" s="1" t="str">
        <f>IFERROR(__xludf.DUMMYFUNCTION("""COMPUTED_VALUE"""),"CAVITE")</f>
        <v>CAVITE</v>
      </c>
      <c r="R3004" s="1" t="str">
        <f>IFERROR(__xludf.DUMMYFUNCTION("""COMPUTED_VALUE"""),"FIBR PLAN 1299")</f>
        <v>FIBR PLAN 1299</v>
      </c>
      <c r="S3004" s="1" t="str">
        <f>IFERROR(__xludf.DUMMYFUNCTION("""COMPUTED_VALUE"""),"APPROVED")</f>
        <v>APPROVED</v>
      </c>
      <c r="T3004" s="1" t="str">
        <f>IFERROR(__xludf.DUMMYFUNCTION("""COMPUTED_VALUE"""),"#N/A")</f>
        <v>#N/A</v>
      </c>
      <c r="U3004" s="1"/>
      <c r="V3004" s="1"/>
      <c r="W3004" s="1"/>
    </row>
    <row r="3005" customHeight="1" spans="1:23">
      <c r="A3005" s="3">
        <f>IFERROR(__xludf.DUMMYFUNCTION("""COMPUTED_VALUE"""),46270)</f>
        <v>46270</v>
      </c>
      <c r="B3005" s="1" t="str">
        <f>IFERROR(__xludf.DUMMYFUNCTION("""COMPUTED_VALUE"""),"ALOS, CHARLS LAURENZ")</f>
        <v>ALOS, CHARLS LAURENZ</v>
      </c>
      <c r="C3005" s="1" t="str">
        <f>IFERROR(__xludf.DUMMYFUNCTION("""COMPUTED_VALUE"""),"ORGANIC")</f>
        <v>ORGANIC</v>
      </c>
      <c r="D3005" s="1" t="str">
        <f>IFERROR(__xludf.DUMMYFUNCTION("""COMPUTED_VALUE"""),"REMOLLO LEA")</f>
        <v>REMOLLO LEA</v>
      </c>
      <c r="E3005" s="1" t="str">
        <f>IFERROR(__xludf.DUMMYFUNCTION("""COMPUTED_VALUE"""),"PLDT / ONLINE")</f>
        <v>PLDT / ONLINE</v>
      </c>
      <c r="F3005" s="1"/>
      <c r="G3005" s="1"/>
      <c r="H3005" s="1" t="str">
        <f>IFERROR(__xludf.DUMMYFUNCTION("""COMPUTED_VALUE"""),"#N/A")</f>
        <v>#N/A</v>
      </c>
      <c r="I3005" s="1">
        <f>IFERROR(__xludf.DUMMYFUNCTION("""COMPUTED_VALUE"""),9493995963)</f>
        <v>9493995963</v>
      </c>
      <c r="J3005" s="1">
        <f>IFERROR(__xludf.DUMMYFUNCTION("""COMPUTED_VALUE"""),9925774518)</f>
        <v>9925774518</v>
      </c>
      <c r="K3005" s="1" t="str">
        <f>IFERROR(__xludf.DUMMYFUNCTION("""COMPUTED_VALUE"""),"andreaperena75@gmail.com")</f>
        <v>andreaperena75@gmail.com</v>
      </c>
      <c r="L3005" s="1" t="str">
        <f>IFERROR(__xludf.DUMMYFUNCTION("""COMPUTED_VALUE"""),"UNIT C")</f>
        <v>UNIT C</v>
      </c>
      <c r="M3005" s="1" t="str">
        <f>IFERROR(__xludf.DUMMYFUNCTION("""COMPUTED_VALUE"""),"UPLI")</f>
        <v>UPLI</v>
      </c>
      <c r="N3005" s="1" t="str">
        <f>IFERROR(__xludf.DUMMYFUNCTION("""COMPUTED_VALUE"""),"#N/A")</f>
        <v>#N/A</v>
      </c>
      <c r="O3005" s="1" t="str">
        <f>IFERROR(__xludf.DUMMYFUNCTION("""COMPUTED_VALUE"""),"POBLACION IV")</f>
        <v>POBLACION IV</v>
      </c>
      <c r="P3005" s="1" t="str">
        <f>IFERROR(__xludf.DUMMYFUNCTION("""COMPUTED_VALUE"""),"MENDEZ")</f>
        <v>MENDEZ</v>
      </c>
      <c r="Q3005" s="1" t="str">
        <f>IFERROR(__xludf.DUMMYFUNCTION("""COMPUTED_VALUE"""),"CAVITE")</f>
        <v>CAVITE</v>
      </c>
      <c r="R3005" s="1" t="str">
        <f>IFERROR(__xludf.DUMMYFUNCTION("""COMPUTED_VALUE"""),"FIBR UNLI ALL PLAN 999")</f>
        <v>FIBR UNLI ALL PLAN 999</v>
      </c>
      <c r="S3005" s="1" t="str">
        <f>IFERROR(__xludf.DUMMYFUNCTION("""COMPUTED_VALUE"""),"APPROVED")</f>
        <v>APPROVED</v>
      </c>
      <c r="T3005" s="1" t="str">
        <f>IFERROR(__xludf.DUMMYFUNCTION("""COMPUTED_VALUE"""),"#N/A")</f>
        <v>#N/A</v>
      </c>
      <c r="U3005" s="1" t="str">
        <f>IFERROR(__xludf.DUMMYFUNCTION("""COMPUTED_VALUE"""),"POSTED")</f>
        <v>POSTED</v>
      </c>
      <c r="V3005" s="1"/>
      <c r="W3005" s="1"/>
    </row>
    <row r="3006" customHeight="1" spans="1:23">
      <c r="A3006" s="3">
        <f>IFERROR(__xludf.DUMMYFUNCTION("""COMPUTED_VALUE"""),46271)</f>
        <v>46271</v>
      </c>
      <c r="B3006" s="1" t="str">
        <f>IFERROR(__xludf.DUMMYFUNCTION("""COMPUTED_VALUE"""),"MAGDARAOG, KENNETH")</f>
        <v>MAGDARAOG, KENNETH</v>
      </c>
      <c r="C3006" s="1" t="str">
        <f>IFERROR(__xludf.DUMMYFUNCTION("""COMPUTED_VALUE"""),"ORGANIC")</f>
        <v>ORGANIC</v>
      </c>
      <c r="D3006" s="1" t="str">
        <f>IFERROR(__xludf.DUMMYFUNCTION("""COMPUTED_VALUE"""),"REMOLLO LEA")</f>
        <v>REMOLLO LEA</v>
      </c>
      <c r="E3006" s="1" t="str">
        <f>IFERROR(__xludf.DUMMYFUNCTION("""COMPUTED_VALUE"""),"PLDT / H2H")</f>
        <v>PLDT / H2H</v>
      </c>
      <c r="F3006" s="1"/>
      <c r="G3006" s="1"/>
      <c r="H3006" s="1" t="str">
        <f>IFERROR(__xludf.DUMMYFUNCTION("""COMPUTED_VALUE"""),"#N/A")</f>
        <v>#N/A</v>
      </c>
      <c r="I3006" s="1"/>
      <c r="J3006" s="1"/>
      <c r="K3006" s="1"/>
      <c r="L3006" s="1" t="str">
        <f>IFERROR(__xludf.DUMMYFUNCTION("""COMPUTED_VALUE"""),"#N/A")</f>
        <v>#N/A</v>
      </c>
      <c r="M3006" s="1" t="str">
        <f>IFERROR(__xludf.DUMMYFUNCTION("""COMPUTED_VALUE"""),"#N/A")</f>
        <v>#N/A</v>
      </c>
      <c r="N3006" s="1" t="str">
        <f>IFERROR(__xludf.DUMMYFUNCTION("""COMPUTED_VALUE"""),"#N/A")</f>
        <v>#N/A</v>
      </c>
      <c r="O3006" s="1" t="str">
        <f>IFERROR(__xludf.DUMMYFUNCTION("""COMPUTED_VALUE"""),"SUNGAY NORTH")</f>
        <v>SUNGAY NORTH</v>
      </c>
      <c r="P3006" s="1" t="str">
        <f>IFERROR(__xludf.DUMMYFUNCTION("""COMPUTED_VALUE"""),"TAGAYTAY")</f>
        <v>TAGAYTAY</v>
      </c>
      <c r="Q3006" s="1" t="str">
        <f>IFERROR(__xludf.DUMMYFUNCTION("""COMPUTED_VALUE"""),"CAVITE")</f>
        <v>CAVITE</v>
      </c>
      <c r="R3006" s="1" t="str">
        <f>IFERROR(__xludf.DUMMYFUNCTION("""COMPUTED_VALUE"""),"FIBR UNLI ALL PLAN 999")</f>
        <v>FIBR UNLI ALL PLAN 999</v>
      </c>
      <c r="S3006" s="1" t="str">
        <f>IFERROR(__xludf.DUMMYFUNCTION("""COMPUTED_VALUE"""),"APPROVED")</f>
        <v>APPROVED</v>
      </c>
      <c r="T3006" s="1" t="str">
        <f>IFERROR(__xludf.DUMMYFUNCTION("""COMPUTED_VALUE"""),"#N/A")</f>
        <v>#N/A</v>
      </c>
      <c r="U3006" s="1" t="str">
        <f>IFERROR(__xludf.DUMMYFUNCTION("""COMPUTED_VALUE"""),"POSTED")</f>
        <v>POSTED</v>
      </c>
      <c r="V3006" s="1"/>
      <c r="W3006" s="1"/>
    </row>
    <row r="3007" customHeight="1" spans="1:23">
      <c r="A3007" s="3">
        <f>IFERROR(__xludf.DUMMYFUNCTION("""COMPUTED_VALUE"""),46271)</f>
        <v>46271</v>
      </c>
      <c r="B3007" s="1" t="str">
        <f>IFERROR(__xludf.DUMMYFUNCTION("""COMPUTED_VALUE"""),"YOLANGCO, JOLO")</f>
        <v>YOLANGCO, JOLO</v>
      </c>
      <c r="C3007" s="1" t="str">
        <f>IFERROR(__xludf.DUMMYFUNCTION("""COMPUTED_VALUE"""),"ORGANIC")</f>
        <v>ORGANIC</v>
      </c>
      <c r="D3007" s="1" t="str">
        <f>IFERROR(__xludf.DUMMYFUNCTION("""COMPUTED_VALUE"""),"JERIC NAVARRO")</f>
        <v>JERIC NAVARRO</v>
      </c>
      <c r="E3007" s="1" t="str">
        <f>IFERROR(__xludf.DUMMYFUNCTION("""COMPUTED_VALUE"""),"PLDT / H2H")</f>
        <v>PLDT / H2H</v>
      </c>
      <c r="F3007" s="1"/>
      <c r="G3007" s="1"/>
      <c r="H3007" s="1" t="str">
        <f>IFERROR(__xludf.DUMMYFUNCTION("""COMPUTED_VALUE"""),"#N/A")</f>
        <v>#N/A</v>
      </c>
      <c r="I3007" s="1"/>
      <c r="J3007" s="1"/>
      <c r="K3007" s="1"/>
      <c r="L3007" s="1" t="str">
        <f>IFERROR(__xludf.DUMMYFUNCTION("""COMPUTED_VALUE"""),"#N/A")</f>
        <v>#N/A</v>
      </c>
      <c r="M3007" s="1" t="str">
        <f>IFERROR(__xludf.DUMMYFUNCTION("""COMPUTED_VALUE"""),"#N/A")</f>
        <v>#N/A</v>
      </c>
      <c r="N3007" s="1" t="str">
        <f>IFERROR(__xludf.DUMMYFUNCTION("""COMPUTED_VALUE"""),"#N/A")</f>
        <v>#N/A</v>
      </c>
      <c r="O3007" s="1" t="str">
        <f>IFERROR(__xludf.DUMMYFUNCTION("""COMPUTED_VALUE"""),"GREGORIA DE JESUS")</f>
        <v>GREGORIA DE JESUS</v>
      </c>
      <c r="P3007" s="1" t="str">
        <f>IFERROR(__xludf.DUMMYFUNCTION("""COMPUTED_VALUE"""),"GEN MARIANO ALVAREZ")</f>
        <v>GEN MARIANO ALVAREZ</v>
      </c>
      <c r="Q3007" s="1" t="str">
        <f>IFERROR(__xludf.DUMMYFUNCTION("""COMPUTED_VALUE"""),"CAVITE")</f>
        <v>CAVITE</v>
      </c>
      <c r="R3007" s="1" t="str">
        <f>IFERROR(__xludf.DUMMYFUNCTION("""COMPUTED_VALUE"""),"FIBR PLAN 1299")</f>
        <v>FIBR PLAN 1299</v>
      </c>
      <c r="S3007" s="1" t="str">
        <f>IFERROR(__xludf.DUMMYFUNCTION("""COMPUTED_VALUE"""),"APPROVED")</f>
        <v>APPROVED</v>
      </c>
      <c r="T3007" s="1" t="str">
        <f>IFERROR(__xludf.DUMMYFUNCTION("""COMPUTED_VALUE"""),"#N/A")</f>
        <v>#N/A</v>
      </c>
      <c r="U3007" s="1"/>
      <c r="V3007" s="1"/>
      <c r="W3007" s="1"/>
    </row>
    <row r="3008" customHeight="1" spans="1:23">
      <c r="A3008" s="3">
        <f>IFERROR(__xludf.DUMMYFUNCTION("""COMPUTED_VALUE"""),46271)</f>
        <v>46271</v>
      </c>
      <c r="B3008" s="1" t="str">
        <f>IFERROR(__xludf.DUMMYFUNCTION("""COMPUTED_VALUE"""),"ESCARCHA, MA ALMA  ESCOTO")</f>
        <v>ESCARCHA, MA ALMA  ESCOTO</v>
      </c>
      <c r="C3008" s="1" t="str">
        <f>IFERROR(__xludf.DUMMYFUNCTION("""COMPUTED_VALUE"""),"ORGANIC")</f>
        <v>ORGANIC</v>
      </c>
      <c r="D3008" s="1" t="str">
        <f>IFERROR(__xludf.DUMMYFUNCTION("""COMPUTED_VALUE"""),"REMOLLO LEA")</f>
        <v>REMOLLO LEA</v>
      </c>
      <c r="E3008" s="1" t="str">
        <f>IFERROR(__xludf.DUMMYFUNCTION("""COMPUTED_VALUE"""),"PLDT / H2H")</f>
        <v>PLDT / H2H</v>
      </c>
      <c r="F3008" s="1"/>
      <c r="G3008" s="1"/>
      <c r="H3008" s="1" t="str">
        <f>IFERROR(__xludf.DUMMYFUNCTION("""COMPUTED_VALUE"""),"#N/A")</f>
        <v>#N/A</v>
      </c>
      <c r="I3008" s="1"/>
      <c r="J3008" s="1"/>
      <c r="K3008" s="1"/>
      <c r="L3008" s="1" t="str">
        <f>IFERROR(__xludf.DUMMYFUNCTION("""COMPUTED_VALUE"""),"#N/A")</f>
        <v>#N/A</v>
      </c>
      <c r="M3008" s="1" t="str">
        <f>IFERROR(__xludf.DUMMYFUNCTION("""COMPUTED_VALUE"""),"#N/A")</f>
        <v>#N/A</v>
      </c>
      <c r="N3008" s="1" t="str">
        <f>IFERROR(__xludf.DUMMYFUNCTION("""COMPUTED_VALUE"""),"#N/A")</f>
        <v>#N/A</v>
      </c>
      <c r="O3008" s="1" t="str">
        <f>IFERROR(__xludf.DUMMYFUNCTION("""COMPUTED_VALUE"""),"MARAHAN I")</f>
        <v>MARAHAN I</v>
      </c>
      <c r="P3008" s="1" t="str">
        <f>IFERROR(__xludf.DUMMYFUNCTION("""COMPUTED_VALUE"""),"ALFONSO")</f>
        <v>ALFONSO</v>
      </c>
      <c r="Q3008" s="1" t="str">
        <f>IFERROR(__xludf.DUMMYFUNCTION("""COMPUTED_VALUE"""),"CAVITE")</f>
        <v>CAVITE</v>
      </c>
      <c r="R3008" s="1" t="str">
        <f>IFERROR(__xludf.DUMMYFUNCTION("""COMPUTED_VALUE"""),"FIBR NETFLIX PLAN 1599")</f>
        <v>FIBR NETFLIX PLAN 1599</v>
      </c>
      <c r="S3008" s="1" t="str">
        <f>IFERROR(__xludf.DUMMYFUNCTION("""COMPUTED_VALUE"""),"APPROVED")</f>
        <v>APPROVED</v>
      </c>
      <c r="T3008" s="1" t="str">
        <f>IFERROR(__xludf.DUMMYFUNCTION("""COMPUTED_VALUE"""),"#N/A")</f>
        <v>#N/A</v>
      </c>
      <c r="U3008" s="1"/>
      <c r="V3008" s="1"/>
      <c r="W3008" s="1"/>
    </row>
    <row r="3009" customHeight="1" spans="1:23">
      <c r="A3009" s="3">
        <f>IFERROR(__xludf.DUMMYFUNCTION("""COMPUTED_VALUE"""),46271)</f>
        <v>46271</v>
      </c>
      <c r="B3009" s="1" t="str">
        <f>IFERROR(__xludf.DUMMYFUNCTION("""COMPUTED_VALUE"""),"REMOLLO, LEA")</f>
        <v>REMOLLO, LEA</v>
      </c>
      <c r="C3009" s="1" t="str">
        <f>IFERROR(__xludf.DUMMYFUNCTION("""COMPUTED_VALUE"""),"FLA")</f>
        <v>FLA</v>
      </c>
      <c r="D3009" s="1" t="str">
        <f>IFERROR(__xludf.DUMMYFUNCTION("""COMPUTED_VALUE"""),"JERIC NAVARRO")</f>
        <v>JERIC NAVARRO</v>
      </c>
      <c r="E3009" s="1" t="str">
        <f>IFERROR(__xludf.DUMMYFUNCTION("""COMPUTED_VALUE"""),"PLDT / H2H")</f>
        <v>PLDT / H2H</v>
      </c>
      <c r="F3009" s="1"/>
      <c r="G3009" s="1"/>
      <c r="H3009" s="1" t="str">
        <f>IFERROR(__xludf.DUMMYFUNCTION("""COMPUTED_VALUE"""),"#N/A")</f>
        <v>#N/A</v>
      </c>
      <c r="I3009" s="1"/>
      <c r="J3009" s="1"/>
      <c r="K3009" s="1"/>
      <c r="L3009" s="1" t="str">
        <f>IFERROR(__xludf.DUMMYFUNCTION("""COMPUTED_VALUE"""),"#N/A")</f>
        <v>#N/A</v>
      </c>
      <c r="M3009" s="1" t="str">
        <f>IFERROR(__xludf.DUMMYFUNCTION("""COMPUTED_VALUE"""),"#N/A")</f>
        <v>#N/A</v>
      </c>
      <c r="N3009" s="1" t="str">
        <f>IFERROR(__xludf.DUMMYFUNCTION("""COMPUTED_VALUE"""),"#N/A")</f>
        <v>#N/A</v>
      </c>
      <c r="O3009" s="1" t="str">
        <f>IFERROR(__xludf.DUMMYFUNCTION("""COMPUTED_VALUE"""),"PASONG CAMACHILE II")</f>
        <v>PASONG CAMACHILE II</v>
      </c>
      <c r="P3009" s="1" t="str">
        <f>IFERROR(__xludf.DUMMYFUNCTION("""COMPUTED_VALUE"""),"GENERAL TRIAS")</f>
        <v>GENERAL TRIAS</v>
      </c>
      <c r="Q3009" s="1" t="str">
        <f>IFERROR(__xludf.DUMMYFUNCTION("""COMPUTED_VALUE"""),"CAVITE")</f>
        <v>CAVITE</v>
      </c>
      <c r="R3009" s="1" t="str">
        <f>IFERROR(__xludf.DUMMYFUNCTION("""COMPUTED_VALUE"""),"FIBR PLAN 1299")</f>
        <v>FIBR PLAN 1299</v>
      </c>
      <c r="S3009" s="1" t="str">
        <f>IFERROR(__xludf.DUMMYFUNCTION("""COMPUTED_VALUE"""),"RETURN FOR COMPLIANCE - AGENT")</f>
        <v>RETURN FOR COMPLIANCE - AGENT</v>
      </c>
      <c r="T3009" s="1" t="str">
        <f>IFERROR(__xludf.DUMMYFUNCTION("""COMPUTED_VALUE"""),"#N/A")</f>
        <v>#N/A</v>
      </c>
      <c r="U3009" s="1" t="str">
        <f>IFERROR(__xludf.DUMMYFUNCTION("""COMPUTED_VALUE"""),"AYAW MAG BIGAY OTP")</f>
        <v>AYAW MAG BIGAY OTP</v>
      </c>
      <c r="V3009" s="1"/>
      <c r="W3009" s="1"/>
    </row>
    <row r="3010" customHeight="1" spans="1:23">
      <c r="A3010" s="3">
        <f>IFERROR(__xludf.DUMMYFUNCTION("""COMPUTED_VALUE"""),46271)</f>
        <v>46271</v>
      </c>
      <c r="B3010" s="1" t="str">
        <f>IFERROR(__xludf.DUMMYFUNCTION("""COMPUTED_VALUE"""),"AYON MANUEL")</f>
        <v>AYON MANUEL</v>
      </c>
      <c r="C3010" s="1" t="str">
        <f>IFERROR(__xludf.DUMMYFUNCTION("""COMPUTED_VALUE"""),"FLA")</f>
        <v>FLA</v>
      </c>
      <c r="D3010" s="1" t="str">
        <f>IFERROR(__xludf.DUMMYFUNCTION("""COMPUTED_VALUE"""),"REMOLLO LEA")</f>
        <v>REMOLLO LEA</v>
      </c>
      <c r="E3010" s="1" t="str">
        <f>IFERROR(__xludf.DUMMYFUNCTION("""COMPUTED_VALUE"""),"PLDT / H2H")</f>
        <v>PLDT / H2H</v>
      </c>
      <c r="F3010" s="1"/>
      <c r="G3010" s="1"/>
      <c r="H3010" s="1" t="str">
        <f>IFERROR(__xludf.DUMMYFUNCTION("""COMPUTED_VALUE"""),"#N/A")</f>
        <v>#N/A</v>
      </c>
      <c r="I3010" s="1"/>
      <c r="J3010" s="1"/>
      <c r="K3010" s="1"/>
      <c r="L3010" s="1" t="str">
        <f>IFERROR(__xludf.DUMMYFUNCTION("""COMPUTED_VALUE"""),"#N/A")</f>
        <v>#N/A</v>
      </c>
      <c r="M3010" s="1" t="str">
        <f>IFERROR(__xludf.DUMMYFUNCTION("""COMPUTED_VALUE"""),"#N/A")</f>
        <v>#N/A</v>
      </c>
      <c r="N3010" s="1" t="str">
        <f>IFERROR(__xludf.DUMMYFUNCTION("""COMPUTED_VALUE"""),"#N/A")</f>
        <v>#N/A</v>
      </c>
      <c r="O3010" s="1" t="str">
        <f>IFERROR(__xludf.DUMMYFUNCTION("""COMPUTED_VALUE"""),"POOC II")</f>
        <v>POOC II</v>
      </c>
      <c r="P3010" s="1" t="str">
        <f>IFERROR(__xludf.DUMMYFUNCTION("""COMPUTED_VALUE"""),"SILANG")</f>
        <v>SILANG</v>
      </c>
      <c r="Q3010" s="1" t="str">
        <f>IFERROR(__xludf.DUMMYFUNCTION("""COMPUTED_VALUE"""),"CAVITE")</f>
        <v>CAVITE</v>
      </c>
      <c r="R3010" s="1" t="str">
        <f>IFERROR(__xludf.DUMMYFUNCTION("""COMPUTED_VALUE"""),"FIBR PLAN 1699")</f>
        <v>FIBR PLAN 1699</v>
      </c>
      <c r="S3010" s="1" t="str">
        <f>IFERROR(__xludf.DUMMYFUNCTION("""COMPUTED_VALUE"""),"APPROVED")</f>
        <v>APPROVED</v>
      </c>
      <c r="T3010" s="1" t="str">
        <f>IFERROR(__xludf.DUMMYFUNCTION("""COMPUTED_VALUE"""),"#N/A")</f>
        <v>#N/A</v>
      </c>
      <c r="U3010" s="1" t="str">
        <f>IFERROR(__xludf.DUMMYFUNCTION("""COMPUTED_VALUE"""),"POSTED")</f>
        <v>POSTED</v>
      </c>
      <c r="V3010" s="1"/>
      <c r="W3010" s="1"/>
    </row>
    <row r="3011" customHeight="1" spans="1:23">
      <c r="A3011" s="3">
        <f>IFERROR(__xludf.DUMMYFUNCTION("""COMPUTED_VALUE"""),46271)</f>
        <v>46271</v>
      </c>
      <c r="B3011" s="1" t="str">
        <f>IFERROR(__xludf.DUMMYFUNCTION("""COMPUTED_VALUE"""),"FRANCISCO , ROSELYN")</f>
        <v>FRANCISCO , ROSELYN</v>
      </c>
      <c r="C3011" s="1" t="str">
        <f>IFERROR(__xludf.DUMMYFUNCTION("""COMPUTED_VALUE"""),"ORGANIC")</f>
        <v>ORGANIC</v>
      </c>
      <c r="D3011" s="1" t="str">
        <f>IFERROR(__xludf.DUMMYFUNCTION("""COMPUTED_VALUE"""),"REMOLLO LEA")</f>
        <v>REMOLLO LEA</v>
      </c>
      <c r="E3011" s="1" t="str">
        <f>IFERROR(__xludf.DUMMYFUNCTION("""COMPUTED_VALUE"""),"PLDT / H2H")</f>
        <v>PLDT / H2H</v>
      </c>
      <c r="F3011" s="1"/>
      <c r="G3011" s="1"/>
      <c r="H3011" s="1" t="str">
        <f>IFERROR(__xludf.DUMMYFUNCTION("""COMPUTED_VALUE"""),"#N/A")</f>
        <v>#N/A</v>
      </c>
      <c r="I3011" s="1"/>
      <c r="J3011" s="1"/>
      <c r="K3011" s="1"/>
      <c r="L3011" s="1" t="str">
        <f>IFERROR(__xludf.DUMMYFUNCTION("""COMPUTED_VALUE"""),"#N/A")</f>
        <v>#N/A</v>
      </c>
      <c r="M3011" s="1" t="str">
        <f>IFERROR(__xludf.DUMMYFUNCTION("""COMPUTED_VALUE"""),"#N/A")</f>
        <v>#N/A</v>
      </c>
      <c r="N3011" s="1" t="str">
        <f>IFERROR(__xludf.DUMMYFUNCTION("""COMPUTED_VALUE"""),"#N/A")</f>
        <v>#N/A</v>
      </c>
      <c r="O3011" s="1" t="str">
        <f>IFERROR(__xludf.DUMMYFUNCTION("""COMPUTED_VALUE"""),"PALIPARAN III")</f>
        <v>PALIPARAN III</v>
      </c>
      <c r="P3011" s="1" t="str">
        <f>IFERROR(__xludf.DUMMYFUNCTION("""COMPUTED_VALUE"""),"DASMARINAS")</f>
        <v>DASMARINAS</v>
      </c>
      <c r="Q3011" s="1" t="str">
        <f>IFERROR(__xludf.DUMMYFUNCTION("""COMPUTED_VALUE"""),"CAVITE")</f>
        <v>CAVITE</v>
      </c>
      <c r="R3011" s="1" t="str">
        <f>IFERROR(__xludf.DUMMYFUNCTION("""COMPUTED_VALUE"""),"FIBR NETFLIX PLAN 1599")</f>
        <v>FIBR NETFLIX PLAN 1599</v>
      </c>
      <c r="S3011" s="1" t="str">
        <f>IFERROR(__xludf.DUMMYFUNCTION("""COMPUTED_VALUE"""),"APPROVED")</f>
        <v>APPROVED</v>
      </c>
      <c r="T3011" s="1" t="str">
        <f>IFERROR(__xludf.DUMMYFUNCTION("""COMPUTED_VALUE"""),"#N/A")</f>
        <v>#N/A</v>
      </c>
      <c r="U3011" s="1" t="str">
        <f>IFERROR(__xludf.DUMMYFUNCTION("""COMPUTED_VALUE"""),"POSTED")</f>
        <v>POSTED</v>
      </c>
      <c r="V3011" s="1"/>
      <c r="W3011" s="1"/>
    </row>
    <row r="3012" customHeight="1" spans="1:23">
      <c r="A3012" s="3">
        <f>IFERROR(__xludf.DUMMYFUNCTION("""COMPUTED_VALUE"""),46271)</f>
        <v>46271</v>
      </c>
      <c r="B3012" s="1" t="str">
        <f>IFERROR(__xludf.DUMMYFUNCTION("""COMPUTED_VALUE"""),"FRANCISCO , ROSELYN")</f>
        <v>FRANCISCO , ROSELYN</v>
      </c>
      <c r="C3012" s="1" t="str">
        <f>IFERROR(__xludf.DUMMYFUNCTION("""COMPUTED_VALUE"""),"ORGANIC")</f>
        <v>ORGANIC</v>
      </c>
      <c r="D3012" s="1" t="str">
        <f>IFERROR(__xludf.DUMMYFUNCTION("""COMPUTED_VALUE"""),"REMOLLO LEA")</f>
        <v>REMOLLO LEA</v>
      </c>
      <c r="E3012" s="1" t="str">
        <f>IFERROR(__xludf.DUMMYFUNCTION("""COMPUTED_VALUE"""),"PLDT / H2H")</f>
        <v>PLDT / H2H</v>
      </c>
      <c r="F3012" s="1"/>
      <c r="G3012" s="1"/>
      <c r="H3012" s="1" t="str">
        <f>IFERROR(__xludf.DUMMYFUNCTION("""COMPUTED_VALUE"""),"#N/A")</f>
        <v>#N/A</v>
      </c>
      <c r="I3012" s="1"/>
      <c r="J3012" s="1"/>
      <c r="K3012" s="1"/>
      <c r="L3012" s="1" t="str">
        <f>IFERROR(__xludf.DUMMYFUNCTION("""COMPUTED_VALUE"""),"#N/A")</f>
        <v>#N/A</v>
      </c>
      <c r="M3012" s="1" t="str">
        <f>IFERROR(__xludf.DUMMYFUNCTION("""COMPUTED_VALUE"""),"#N/A")</f>
        <v>#N/A</v>
      </c>
      <c r="N3012" s="1" t="str">
        <f>IFERROR(__xludf.DUMMYFUNCTION("""COMPUTED_VALUE"""),"#N/A")</f>
        <v>#N/A</v>
      </c>
      <c r="O3012" s="1" t="str">
        <f>IFERROR(__xludf.DUMMYFUNCTION("""COMPUTED_VALUE"""),"FRANCISCO REYES")</f>
        <v>FRANCISCO REYES</v>
      </c>
      <c r="P3012" s="1" t="str">
        <f>IFERROR(__xludf.DUMMYFUNCTION("""COMPUTED_VALUE"""),"GEN MARIANO ALVAREZ")</f>
        <v>GEN MARIANO ALVAREZ</v>
      </c>
      <c r="Q3012" s="1" t="str">
        <f>IFERROR(__xludf.DUMMYFUNCTION("""COMPUTED_VALUE"""),"CAVITE")</f>
        <v>CAVITE</v>
      </c>
      <c r="R3012" s="1" t="str">
        <f>IFERROR(__xludf.DUMMYFUNCTION("""COMPUTED_VALUE"""),"FIBR PLAN 1299")</f>
        <v>FIBR PLAN 1299</v>
      </c>
      <c r="S3012" s="1" t="str">
        <f>IFERROR(__xludf.DUMMYFUNCTION("""COMPUTED_VALUE"""),"APPROVED")</f>
        <v>APPROVED</v>
      </c>
      <c r="T3012" s="1" t="str">
        <f>IFERROR(__xludf.DUMMYFUNCTION("""COMPUTED_VALUE"""),"#N/A")</f>
        <v>#N/A</v>
      </c>
      <c r="U3012" s="1" t="str">
        <f>IFERROR(__xludf.DUMMYFUNCTION("""COMPUTED_VALUE"""),"POSTED")</f>
        <v>POSTED</v>
      </c>
      <c r="V3012" s="1"/>
      <c r="W3012" s="1"/>
    </row>
    <row r="3013" customHeight="1" spans="1:23">
      <c r="A3013" s="3">
        <f>IFERROR(__xludf.DUMMYFUNCTION("""COMPUTED_VALUE"""),46271)</f>
        <v>46271</v>
      </c>
      <c r="B3013" s="1" t="str">
        <f>IFERROR(__xludf.DUMMYFUNCTION("""COMPUTED_VALUE"""),"AYON MANUEL")</f>
        <v>AYON MANUEL</v>
      </c>
      <c r="C3013" s="1" t="str">
        <f>IFERROR(__xludf.DUMMYFUNCTION("""COMPUTED_VALUE"""),"FLA")</f>
        <v>FLA</v>
      </c>
      <c r="D3013" s="1" t="str">
        <f>IFERROR(__xludf.DUMMYFUNCTION("""COMPUTED_VALUE"""),"REMOLLO LEA")</f>
        <v>REMOLLO LEA</v>
      </c>
      <c r="E3013" s="1" t="str">
        <f>IFERROR(__xludf.DUMMYFUNCTION("""COMPUTED_VALUE"""),"PLDT / H2H")</f>
        <v>PLDT / H2H</v>
      </c>
      <c r="F3013" s="1"/>
      <c r="G3013" s="1"/>
      <c r="H3013" s="1" t="str">
        <f>IFERROR(__xludf.DUMMYFUNCTION("""COMPUTED_VALUE"""),"#N/A")</f>
        <v>#N/A</v>
      </c>
      <c r="I3013" s="1"/>
      <c r="J3013" s="1"/>
      <c r="K3013" s="1"/>
      <c r="L3013" s="1" t="str">
        <f>IFERROR(__xludf.DUMMYFUNCTION("""COMPUTED_VALUE"""),"#N/A")</f>
        <v>#N/A</v>
      </c>
      <c r="M3013" s="1" t="str">
        <f>IFERROR(__xludf.DUMMYFUNCTION("""COMPUTED_VALUE"""),"#N/A")</f>
        <v>#N/A</v>
      </c>
      <c r="N3013" s="1" t="str">
        <f>IFERROR(__xludf.DUMMYFUNCTION("""COMPUTED_VALUE"""),"#N/A")</f>
        <v>#N/A</v>
      </c>
      <c r="O3013" s="1" t="str">
        <f>IFERROR(__xludf.DUMMYFUNCTION("""COMPUTED_VALUE"""),"KAONG")</f>
        <v>KAONG</v>
      </c>
      <c r="P3013" s="1" t="str">
        <f>IFERROR(__xludf.DUMMYFUNCTION("""COMPUTED_VALUE"""),"SILANG")</f>
        <v>SILANG</v>
      </c>
      <c r="Q3013" s="1" t="str">
        <f>IFERROR(__xludf.DUMMYFUNCTION("""COMPUTED_VALUE"""),"CAVITE")</f>
        <v>CAVITE</v>
      </c>
      <c r="R3013" s="1" t="str">
        <f>IFERROR(__xludf.DUMMYFUNCTION("""COMPUTED_VALUE"""),"FIBR UNLI ALL PLAN 999")</f>
        <v>FIBR UNLI ALL PLAN 999</v>
      </c>
      <c r="S3013" s="1" t="str">
        <f>IFERROR(__xludf.DUMMYFUNCTION("""COMPUTED_VALUE"""),"APPROVED")</f>
        <v>APPROVED</v>
      </c>
      <c r="T3013" s="1" t="str">
        <f>IFERROR(__xludf.DUMMYFUNCTION("""COMPUTED_VALUE"""),"#N/A")</f>
        <v>#N/A</v>
      </c>
      <c r="U3013" s="1"/>
      <c r="V3013" s="1"/>
      <c r="W3013" s="1"/>
    </row>
    <row r="3014" customHeight="1" spans="1:23">
      <c r="A3014" s="3">
        <f>IFERROR(__xludf.DUMMYFUNCTION("""COMPUTED_VALUE"""),46272)</f>
        <v>46272</v>
      </c>
      <c r="B3014" s="1" t="str">
        <f>IFERROR(__xludf.DUMMYFUNCTION("""COMPUTED_VALUE"""),"ALINGARO, CINDY")</f>
        <v>ALINGARO, CINDY</v>
      </c>
      <c r="C3014" s="1" t="str">
        <f>IFERROR(__xludf.DUMMYFUNCTION("""COMPUTED_VALUE"""),"FLA")</f>
        <v>FLA</v>
      </c>
      <c r="D3014" s="1" t="str">
        <f>IFERROR(__xludf.DUMMYFUNCTION("""COMPUTED_VALUE"""),"JERIC NAVARRO")</f>
        <v>JERIC NAVARRO</v>
      </c>
      <c r="E3014" s="1" t="str">
        <f>IFERROR(__xludf.DUMMYFUNCTION("""COMPUTED_VALUE"""),"PLDT / H2H")</f>
        <v>PLDT / H2H</v>
      </c>
      <c r="F3014" s="1"/>
      <c r="G3014" s="1">
        <f>IFERROR(__xludf.DUMMYFUNCTION("""COMPUTED_VALUE"""),2312422223)</f>
        <v>2312422223</v>
      </c>
      <c r="H3014" s="1" t="str">
        <f>IFERROR(__xludf.DUMMYFUNCTION("""COMPUTED_VALUE"""),"#N/A")</f>
        <v>#N/A</v>
      </c>
      <c r="I3014" s="1">
        <f>IFERROR(__xludf.DUMMYFUNCTION("""COMPUTED_VALUE"""),9351158545)</f>
        <v>9351158545</v>
      </c>
      <c r="J3014" s="1"/>
      <c r="K3014" s="1" t="str">
        <f>IFERROR(__xludf.DUMMYFUNCTION("""COMPUTED_VALUE"""),"rhomilynawaoo@gmail.com")</f>
        <v>rhomilynawaoo@gmail.com</v>
      </c>
      <c r="L3014" s="1" t="str">
        <f>IFERROR(__xludf.DUMMYFUNCTION("""COMPUTED_VALUE"""),"BLK 2 LOT 111")</f>
        <v>BLK 2 LOT 111</v>
      </c>
      <c r="M3014" s="1" t="str">
        <f>IFERROR(__xludf.DUMMYFUNCTION("""COMPUTED_VALUE"""),"QUINTANA")</f>
        <v>QUINTANA</v>
      </c>
      <c r="N3014" s="1" t="str">
        <f>IFERROR(__xludf.DUMMYFUNCTION("""COMPUTED_VALUE"""),"#N/A")</f>
        <v>#N/A</v>
      </c>
      <c r="O3014" s="1" t="str">
        <f>IFERROR(__xludf.DUMMYFUNCTION("""COMPUTED_VALUE"""),"SAN AGUSTIN")</f>
        <v>SAN AGUSTIN</v>
      </c>
      <c r="P3014" s="1" t="str">
        <f>IFERROR(__xludf.DUMMYFUNCTION("""COMPUTED_VALUE"""),"TRECE MARTIRES")</f>
        <v>TRECE MARTIRES</v>
      </c>
      <c r="Q3014" s="1" t="str">
        <f>IFERROR(__xludf.DUMMYFUNCTION("""COMPUTED_VALUE"""),"CAVITE")</f>
        <v>CAVITE</v>
      </c>
      <c r="R3014" s="1" t="str">
        <f>IFERROR(__xludf.DUMMYFUNCTION("""COMPUTED_VALUE"""),"FIBR PLAN 1699")</f>
        <v>FIBR PLAN 1699</v>
      </c>
      <c r="S3014" s="1" t="str">
        <f>IFERROR(__xludf.DUMMYFUNCTION("""COMPUTED_VALUE"""),"APPROVED")</f>
        <v>APPROVED</v>
      </c>
      <c r="T3014" s="1" t="str">
        <f>IFERROR(__xludf.DUMMYFUNCTION("""COMPUTED_VALUE"""),"#N/A")</f>
        <v>#N/A</v>
      </c>
      <c r="U3014" s="1"/>
      <c r="V3014" s="1"/>
      <c r="W3014" s="1"/>
    </row>
    <row r="3015" customHeight="1" spans="1:23">
      <c r="A3015" s="3">
        <f>IFERROR(__xludf.DUMMYFUNCTION("""COMPUTED_VALUE"""),46272)</f>
        <v>46272</v>
      </c>
      <c r="B3015" s="1" t="str">
        <f>IFERROR(__xludf.DUMMYFUNCTION("""COMPUTED_VALUE"""),"AYON MANUEL")</f>
        <v>AYON MANUEL</v>
      </c>
      <c r="C3015" s="1" t="str">
        <f>IFERROR(__xludf.DUMMYFUNCTION("""COMPUTED_VALUE"""),"FLA")</f>
        <v>FLA</v>
      </c>
      <c r="D3015" s="1" t="str">
        <f>IFERROR(__xludf.DUMMYFUNCTION("""COMPUTED_VALUE"""),"JERIC NAVARRO")</f>
        <v>JERIC NAVARRO</v>
      </c>
      <c r="E3015" s="1" t="str">
        <f>IFERROR(__xludf.DUMMYFUNCTION("""COMPUTED_VALUE"""),"PLDT / H2H")</f>
        <v>PLDT / H2H</v>
      </c>
      <c r="F3015" s="1"/>
      <c r="G3015" s="1"/>
      <c r="H3015" s="1" t="str">
        <f>IFERROR(__xludf.DUMMYFUNCTION("""COMPUTED_VALUE"""),"#N/A")</f>
        <v>#N/A</v>
      </c>
      <c r="I3015" s="1"/>
      <c r="J3015" s="1"/>
      <c r="K3015" s="1" t="str">
        <f>IFERROR(__xludf.DUMMYFUNCTION("""COMPUTED_VALUE"""),"feurbano46@gmail.com")</f>
        <v>feurbano46@gmail.com</v>
      </c>
      <c r="L3015" s="1" t="str">
        <f>IFERROR(__xludf.DUMMYFUNCTION("""COMPUTED_VALUE"""),"#N/A")</f>
        <v>#N/A</v>
      </c>
      <c r="M3015" s="1" t="str">
        <f>IFERROR(__xludf.DUMMYFUNCTION("""COMPUTED_VALUE"""),"#N/A")</f>
        <v>#N/A</v>
      </c>
      <c r="N3015" s="1" t="str">
        <f>IFERROR(__xludf.DUMMYFUNCTION("""COMPUTED_VALUE"""),"#N/A")</f>
        <v>#N/A</v>
      </c>
      <c r="O3015" s="1" t="str">
        <f>IFERROR(__xludf.DUMMYFUNCTION("""COMPUTED_VALUE"""),"BUKAL")</f>
        <v>BUKAL</v>
      </c>
      <c r="P3015" s="1" t="str">
        <f>IFERROR(__xludf.DUMMYFUNCTION("""COMPUTED_VALUE"""),"MENDEZ")</f>
        <v>MENDEZ</v>
      </c>
      <c r="Q3015" s="1" t="str">
        <f>IFERROR(__xludf.DUMMYFUNCTION("""COMPUTED_VALUE"""),"CAVITE")</f>
        <v>CAVITE</v>
      </c>
      <c r="R3015" s="1" t="str">
        <f>IFERROR(__xludf.DUMMYFUNCTION("""COMPUTED_VALUE"""),"FIBR UNLI ALL PLAN 1499")</f>
        <v>FIBR UNLI ALL PLAN 1499</v>
      </c>
      <c r="S3015" s="1" t="str">
        <f>IFERROR(__xludf.DUMMYFUNCTION("""COMPUTED_VALUE"""),"APPROVED")</f>
        <v>APPROVED</v>
      </c>
      <c r="T3015" s="1" t="str">
        <f>IFERROR(__xludf.DUMMYFUNCTION("""COMPUTED_VALUE"""),"#N/A")</f>
        <v>#N/A</v>
      </c>
      <c r="U3015" s="1" t="str">
        <f>IFERROR(__xludf.DUMMYFUNCTION("""COMPUTED_VALUE"""),"POSTED")</f>
        <v>POSTED</v>
      </c>
      <c r="V3015" s="1"/>
      <c r="W3015" s="1"/>
    </row>
    <row r="3016" customHeight="1" spans="1:23">
      <c r="A3016" s="3">
        <f>IFERROR(__xludf.DUMMYFUNCTION("""COMPUTED_VALUE"""),46272)</f>
        <v>46272</v>
      </c>
      <c r="B3016" s="1" t="str">
        <f>IFERROR(__xludf.DUMMYFUNCTION("""COMPUTED_VALUE"""),"ARMIJO LOUIE ")</f>
        <v>ARMIJO LOUIE </v>
      </c>
      <c r="C3016" s="1" t="str">
        <f>IFERROR(__xludf.DUMMYFUNCTION("""COMPUTED_VALUE"""),"FLA")</f>
        <v>FLA</v>
      </c>
      <c r="D3016" s="1" t="str">
        <f>IFERROR(__xludf.DUMMYFUNCTION("""COMPUTED_VALUE"""),"JERIC NAVARRO")</f>
        <v>JERIC NAVARRO</v>
      </c>
      <c r="E3016" s="1" t="str">
        <f>IFERROR(__xludf.DUMMYFUNCTION("""COMPUTED_VALUE"""),"PLDT / ONLINE")</f>
        <v>PLDT / ONLINE</v>
      </c>
      <c r="F3016" s="1"/>
      <c r="G3016" s="1"/>
      <c r="H3016" s="1" t="str">
        <f>IFERROR(__xludf.DUMMYFUNCTION("""COMPUTED_VALUE"""),"#N/A")</f>
        <v>#N/A</v>
      </c>
      <c r="I3016" s="1">
        <f>IFERROR(__xludf.DUMMYFUNCTION("""COMPUTED_VALUE"""),968617535)</f>
        <v>968617535</v>
      </c>
      <c r="J3016" s="1">
        <f>IFERROR(__xludf.DUMMYFUNCTION("""COMPUTED_VALUE"""),9481751230)</f>
        <v>9481751230</v>
      </c>
      <c r="K3016" s="1" t="str">
        <f>IFERROR(__xludf.DUMMYFUNCTION("""COMPUTED_VALUE"""),"rainerarmijo8@gmail.com")</f>
        <v>rainerarmijo8@gmail.com</v>
      </c>
      <c r="L3016" s="1" t="str">
        <f>IFERROR(__xludf.DUMMYFUNCTION("""COMPUTED_VALUE"""),"BLK 1 LOT 4-5")</f>
        <v>BLK 1 LOT 4-5</v>
      </c>
      <c r="M3016" s="1" t="str">
        <f>IFERROR(__xludf.DUMMYFUNCTION("""COMPUTED_VALUE"""),"PHASE 1")</f>
        <v>PHASE 1</v>
      </c>
      <c r="N3016" s="1" t="str">
        <f>IFERROR(__xludf.DUMMYFUNCTION("""COMPUTED_VALUE"""),"HEART FOUNDATION")</f>
        <v>HEART FOUNDATION</v>
      </c>
      <c r="O3016" s="1" t="str">
        <f>IFERROR(__xludf.DUMMYFUNCTION("""COMPUTED_VALUE"""),"AMAYA I")</f>
        <v>AMAYA I</v>
      </c>
      <c r="P3016" s="1" t="str">
        <f>IFERROR(__xludf.DUMMYFUNCTION("""COMPUTED_VALUE"""),"TANZA")</f>
        <v>TANZA</v>
      </c>
      <c r="Q3016" s="1" t="str">
        <f>IFERROR(__xludf.DUMMYFUNCTION("""COMPUTED_VALUE"""),"CAVITE")</f>
        <v>CAVITE</v>
      </c>
      <c r="R3016" s="1" t="str">
        <f>IFERROR(__xludf.DUMMYFUNCTION("""COMPUTED_VALUE"""),"SWITCH FIBER UNLI ALL PLAN 1499")</f>
        <v>SWITCH FIBER UNLI ALL PLAN 1499</v>
      </c>
      <c r="S3016" s="1" t="str">
        <f>IFERROR(__xludf.DUMMYFUNCTION("""COMPUTED_VALUE"""),"APPROVED")</f>
        <v>APPROVED</v>
      </c>
      <c r="T3016" s="1" t="str">
        <f>IFERROR(__xludf.DUMMYFUNCTION("""COMPUTED_VALUE"""),"#N/A")</f>
        <v>#N/A</v>
      </c>
      <c r="U3016" s="1"/>
      <c r="V3016" s="1"/>
      <c r="W3016" s="1"/>
    </row>
    <row r="3017" customHeight="1" spans="1:23">
      <c r="A3017" s="3">
        <f>IFERROR(__xludf.DUMMYFUNCTION("""COMPUTED_VALUE"""),46272)</f>
        <v>46272</v>
      </c>
      <c r="B3017" s="1" t="str">
        <f>IFERROR(__xludf.DUMMYFUNCTION("""COMPUTED_VALUE"""),"FRANCISCO , ROSELYN")</f>
        <v>FRANCISCO , ROSELYN</v>
      </c>
      <c r="C3017" s="1" t="str">
        <f>IFERROR(__xludf.DUMMYFUNCTION("""COMPUTED_VALUE"""),"ORGANIC")</f>
        <v>ORGANIC</v>
      </c>
      <c r="D3017" s="1" t="str">
        <f>IFERROR(__xludf.DUMMYFUNCTION("""COMPUTED_VALUE"""),"REMOLLO LEA")</f>
        <v>REMOLLO LEA</v>
      </c>
      <c r="E3017" s="1" t="str">
        <f>IFERROR(__xludf.DUMMYFUNCTION("""COMPUTED_VALUE"""),"PLDT / H2H")</f>
        <v>PLDT / H2H</v>
      </c>
      <c r="F3017" s="1"/>
      <c r="G3017" s="1">
        <f>IFERROR(__xludf.DUMMYFUNCTION("""COMPUTED_VALUE"""),2312942839)</f>
        <v>2312942839</v>
      </c>
      <c r="H3017" s="1"/>
      <c r="I3017" s="1">
        <f>IFERROR(__xludf.DUMMYFUNCTION("""COMPUTED_VALUE"""),639322474953)</f>
        <v>639322474953</v>
      </c>
      <c r="J3017" s="1"/>
      <c r="K3017" s="1" t="str">
        <f>IFERROR(__xludf.DUMMYFUNCTION("""COMPUTED_VALUE"""),"jerikamaesantos@gmail.com")</f>
        <v>jerikamaesantos@gmail.com</v>
      </c>
      <c r="L3017" s="1" t="str">
        <f>IFERROR(__xludf.DUMMYFUNCTION("""COMPUTED_VALUE"""),"1968")</f>
        <v>1968</v>
      </c>
      <c r="M3017" s="1" t="str">
        <f>IFERROR(__xludf.DUMMYFUNCTION("""COMPUTED_VALUE"""),"MARAHAN 1")</f>
        <v>MARAHAN 1</v>
      </c>
      <c r="N3017" s="1" t="str">
        <f>IFERROR(__xludf.DUMMYFUNCTION("""COMPUTED_VALUE"""),"DIAMOND FARMLAND")</f>
        <v>DIAMOND FARMLAND</v>
      </c>
      <c r="O3017" s="1" t="str">
        <f>IFERROR(__xludf.DUMMYFUNCTION("""COMPUTED_VALUE"""),"MARAHAN I")</f>
        <v>MARAHAN I</v>
      </c>
      <c r="P3017" s="1" t="str">
        <f>IFERROR(__xludf.DUMMYFUNCTION("""COMPUTED_VALUE"""),"MENDEZ")</f>
        <v>MENDEZ</v>
      </c>
      <c r="Q3017" s="1" t="str">
        <f>IFERROR(__xludf.DUMMYFUNCTION("""COMPUTED_VALUE"""),"CAVITE")</f>
        <v>CAVITE</v>
      </c>
      <c r="R3017" s="1" t="str">
        <f>IFERROR(__xludf.DUMMYFUNCTION("""COMPUTED_VALUE"""),"FIBR PLAN 1299")</f>
        <v>FIBR PLAN 1299</v>
      </c>
      <c r="S3017" s="1" t="str">
        <f>IFERROR(__xludf.DUMMYFUNCTION("""COMPUTED_VALUE"""),"APPROVED")</f>
        <v>APPROVED</v>
      </c>
      <c r="T3017" s="1" t="str">
        <f>IFERROR(__xludf.DUMMYFUNCTION("""COMPUTED_VALUE"""),"CANCELLED")</f>
        <v>CANCELLED</v>
      </c>
      <c r="U3017" s="1"/>
      <c r="V3017" s="1"/>
      <c r="W3017" s="1"/>
    </row>
    <row r="3018" customHeight="1" spans="1:23">
      <c r="A3018" s="3">
        <f>IFERROR(__xludf.DUMMYFUNCTION("""COMPUTED_VALUE"""),46272)</f>
        <v>46272</v>
      </c>
      <c r="B3018" s="1" t="str">
        <f>IFERROR(__xludf.DUMMYFUNCTION("""COMPUTED_VALUE"""),"MAGDARAOG, KENNETH")</f>
        <v>MAGDARAOG, KENNETH</v>
      </c>
      <c r="C3018" s="1" t="str">
        <f>IFERROR(__xludf.DUMMYFUNCTION("""COMPUTED_VALUE"""),"ORGANIC")</f>
        <v>ORGANIC</v>
      </c>
      <c r="D3018" s="1" t="str">
        <f>IFERROR(__xludf.DUMMYFUNCTION("""COMPUTED_VALUE"""),"REMOLLO LEA")</f>
        <v>REMOLLO LEA</v>
      </c>
      <c r="E3018" s="1" t="str">
        <f>IFERROR(__xludf.DUMMYFUNCTION("""COMPUTED_VALUE"""),"PLDT / H2H")</f>
        <v>PLDT / H2H</v>
      </c>
      <c r="F3018" s="1"/>
      <c r="G3018" s="1">
        <f>IFERROR(__xludf.DUMMYFUNCTION("""COMPUTED_VALUE"""),2312430953)</f>
        <v>2312430953</v>
      </c>
      <c r="H3018" s="1" t="str">
        <f>IFERROR(__xludf.DUMMYFUNCTION("""COMPUTED_VALUE"""),"#N/A")</f>
        <v>#N/A</v>
      </c>
      <c r="I3018" s="1">
        <f>IFERROR(__xludf.DUMMYFUNCTION("""COMPUTED_VALUE"""),9931996938)</f>
        <v>9931996938</v>
      </c>
      <c r="J3018" s="1"/>
      <c r="K3018" s="1" t="str">
        <f>IFERROR(__xludf.DUMMYFUNCTION("""COMPUTED_VALUE"""),"lendesweetily@gmail.com")</f>
        <v>lendesweetily@gmail.com</v>
      </c>
      <c r="L3018" s="1" t="str">
        <f>IFERROR(__xludf.DUMMYFUNCTION("""COMPUTED_VALUE"""),"51")</f>
        <v>51</v>
      </c>
      <c r="M3018" s="1" t="str">
        <f>IFERROR(__xludf.DUMMYFUNCTION("""COMPUTED_VALUE"""),"VIRATA")</f>
        <v>VIRATA</v>
      </c>
      <c r="N3018" s="1" t="str">
        <f>IFERROR(__xludf.DUMMYFUNCTION("""COMPUTED_VALUE"""),"#N/A")</f>
        <v>#N/A</v>
      </c>
      <c r="O3018" s="1" t="str">
        <f>IFERROR(__xludf.DUMMYFUNCTION("""COMPUTED_VALUE"""),"NICOLASA VIRATA (SAN JOSE)")</f>
        <v>NICOLASA VIRATA (SAN JOSE)</v>
      </c>
      <c r="P3018" s="1" t="str">
        <f>IFERROR(__xludf.DUMMYFUNCTION("""COMPUTED_VALUE"""),"GENERAL EMILIO AGUINALDO")</f>
        <v>GENERAL EMILIO AGUINALDO</v>
      </c>
      <c r="Q3018" s="1" t="str">
        <f>IFERROR(__xludf.DUMMYFUNCTION("""COMPUTED_VALUE"""),"CAVITE")</f>
        <v>CAVITE</v>
      </c>
      <c r="R3018" s="1" t="str">
        <f>IFERROR(__xludf.DUMMYFUNCTION("""COMPUTED_VALUE"""),"FIBR UNLI ALL PLAN 999")</f>
        <v>FIBR UNLI ALL PLAN 999</v>
      </c>
      <c r="S3018" s="1" t="str">
        <f>IFERROR(__xludf.DUMMYFUNCTION("""COMPUTED_VALUE"""),"APPROVED")</f>
        <v>APPROVED</v>
      </c>
      <c r="T3018" s="1" t="str">
        <f>IFERROR(__xludf.DUMMYFUNCTION("""COMPUTED_VALUE"""),"#N/A")</f>
        <v>#N/A</v>
      </c>
      <c r="U3018" s="1"/>
      <c r="V3018" s="1"/>
      <c r="W3018" s="1"/>
    </row>
    <row r="3019" customHeight="1" spans="1:23">
      <c r="A3019" s="3">
        <f>IFERROR(__xludf.DUMMYFUNCTION("""COMPUTED_VALUE"""),46272)</f>
        <v>46272</v>
      </c>
      <c r="B3019" s="1" t="str">
        <f>IFERROR(__xludf.DUMMYFUNCTION("""COMPUTED_VALUE"""),"TAMAYO, MARY ROSE")</f>
        <v>TAMAYO, MARY ROSE</v>
      </c>
      <c r="C3019" s="1" t="str">
        <f>IFERROR(__xludf.DUMMYFUNCTION("""COMPUTED_VALUE"""),"ORGANIC")</f>
        <v>ORGANIC</v>
      </c>
      <c r="D3019" s="1" t="str">
        <f>IFERROR(__xludf.DUMMYFUNCTION("""COMPUTED_VALUE"""),"REMOLLO LEA")</f>
        <v>REMOLLO LEA</v>
      </c>
      <c r="E3019" s="1" t="str">
        <f>IFERROR(__xludf.DUMMYFUNCTION("""COMPUTED_VALUE"""),"PLDT / ONLINE")</f>
        <v>PLDT / ONLINE</v>
      </c>
      <c r="F3019" s="1"/>
      <c r="G3019" s="1">
        <f>IFERROR(__xludf.DUMMYFUNCTION("""COMPUTED_VALUE"""),2312475378)</f>
        <v>2312475378</v>
      </c>
      <c r="H3019" s="1" t="str">
        <f>IFERROR(__xludf.DUMMYFUNCTION("""COMPUTED_VALUE"""),"#N/A")</f>
        <v>#N/A</v>
      </c>
      <c r="I3019" s="1">
        <f>IFERROR(__xludf.DUMMYFUNCTION("""COMPUTED_VALUE"""),9452693890)</f>
        <v>9452693890</v>
      </c>
      <c r="J3019" s="1">
        <f>IFERROR(__xludf.DUMMYFUNCTION("""COMPUTED_VALUE"""),95671880624)</f>
        <v>95671880624</v>
      </c>
      <c r="K3019" s="1" t="str">
        <f>IFERROR(__xludf.DUMMYFUNCTION("""COMPUTED_VALUE"""),"april.gerez1210@gmail.com")</f>
        <v>april.gerez1210@gmail.com</v>
      </c>
      <c r="L3019" s="1" t="str">
        <f>IFERROR(__xludf.DUMMYFUNCTION("""COMPUTED_VALUE"""),"BLK 94")</f>
        <v>BLK 94</v>
      </c>
      <c r="M3019" s="1" t="str">
        <f>IFERROR(__xludf.DUMMYFUNCTION("""COMPUTED_VALUE"""),"BAUTISTA ")</f>
        <v>BAUTISTA </v>
      </c>
      <c r="N3019" s="1" t="str">
        <f>IFERROR(__xludf.DUMMYFUNCTION("""COMPUTED_VALUE"""),"PHASE 2")</f>
        <v>PHASE 2</v>
      </c>
      <c r="O3019" s="1" t="str">
        <f>IFERROR(__xludf.DUMMYFUNCTION("""COMPUTED_VALUE"""),"SAMPALOC IV")</f>
        <v>SAMPALOC IV</v>
      </c>
      <c r="P3019" s="1" t="str">
        <f>IFERROR(__xludf.DUMMYFUNCTION("""COMPUTED_VALUE"""),"DASMARINAS")</f>
        <v>DASMARINAS</v>
      </c>
      <c r="Q3019" s="1" t="str">
        <f>IFERROR(__xludf.DUMMYFUNCTION("""COMPUTED_VALUE"""),"CAVITE")</f>
        <v>CAVITE</v>
      </c>
      <c r="R3019" s="1" t="str">
        <f>IFERROR(__xludf.DUMMYFUNCTION("""COMPUTED_VALUE"""),"FIBR UNLI ALL PLAN 999")</f>
        <v>FIBR UNLI ALL PLAN 999</v>
      </c>
      <c r="S3019" s="1" t="str">
        <f>IFERROR(__xludf.DUMMYFUNCTION("""COMPUTED_VALUE"""),"APPROVED")</f>
        <v>APPROVED</v>
      </c>
      <c r="T3019" s="1" t="str">
        <f>IFERROR(__xludf.DUMMYFUNCTION("""COMPUTED_VALUE"""),"#N/A")</f>
        <v>#N/A</v>
      </c>
      <c r="U3019" s="1" t="str">
        <f>IFERROR(__xludf.DUMMYFUNCTION("""COMPUTED_VALUE"""),"POSTED")</f>
        <v>POSTED</v>
      </c>
      <c r="V3019" s="1"/>
      <c r="W3019" s="1"/>
    </row>
    <row r="3020" customHeight="1" spans="1:23">
      <c r="A3020" s="3">
        <f>IFERROR(__xludf.DUMMYFUNCTION("""COMPUTED_VALUE"""),46272)</f>
        <v>46272</v>
      </c>
      <c r="B3020" s="1" t="str">
        <f>IFERROR(__xludf.DUMMYFUNCTION("""COMPUTED_VALUE"""),"FRANCISCO , ROSELYN")</f>
        <v>FRANCISCO , ROSELYN</v>
      </c>
      <c r="C3020" s="1" t="str">
        <f>IFERROR(__xludf.DUMMYFUNCTION("""COMPUTED_VALUE"""),"ORGANIC")</f>
        <v>ORGANIC</v>
      </c>
      <c r="D3020" s="1" t="str">
        <f>IFERROR(__xludf.DUMMYFUNCTION("""COMPUTED_VALUE"""),"REMOLLO LEA")</f>
        <v>REMOLLO LEA</v>
      </c>
      <c r="E3020" s="1" t="str">
        <f>IFERROR(__xludf.DUMMYFUNCTION("""COMPUTED_VALUE"""),"PLDT / ONLINE")</f>
        <v>PLDT / ONLINE</v>
      </c>
      <c r="F3020" s="1"/>
      <c r="G3020" s="1">
        <f>IFERROR(__xludf.DUMMYFUNCTION("""COMPUTED_VALUE"""),2312433598)</f>
        <v>2312433598</v>
      </c>
      <c r="H3020" s="1" t="str">
        <f>IFERROR(__xludf.DUMMYFUNCTION("""COMPUTED_VALUE"""),"#N/A")</f>
        <v>#N/A</v>
      </c>
      <c r="I3020" s="1">
        <f>IFERROR(__xludf.DUMMYFUNCTION("""COMPUTED_VALUE"""),9552770504)</f>
        <v>9552770504</v>
      </c>
      <c r="J3020" s="1">
        <f>IFERROR(__xludf.DUMMYFUNCTION("""COMPUTED_VALUE"""),9940692932)</f>
        <v>9940692932</v>
      </c>
      <c r="K3020" s="1" t="str">
        <f>IFERROR(__xludf.DUMMYFUNCTION("""COMPUTED_VALUE"""),"hesusamaeocampo@gmail.com")</f>
        <v>hesusamaeocampo@gmail.com</v>
      </c>
      <c r="L3020" s="1" t="str">
        <f>IFERROR(__xludf.DUMMYFUNCTION("""COMPUTED_VALUE"""),"BLK 15 LOT 4")</f>
        <v>BLK 15 LOT 4</v>
      </c>
      <c r="M3020" s="1" t="str">
        <f>IFERROR(__xludf.DUMMYFUNCTION("""COMPUTED_VALUE"""),"PHASE 1")</f>
        <v>PHASE 1</v>
      </c>
      <c r="N3020" s="1" t="str">
        <f>IFERROR(__xludf.DUMMYFUNCTION("""COMPUTED_VALUE"""),"GRADRIVERSIDE")</f>
        <v>GRADRIVERSIDE</v>
      </c>
      <c r="O3020" s="1" t="str">
        <f>IFERROR(__xludf.DUMMYFUNCTION("""COMPUTED_VALUE"""),"PASONG CAMACHILE I")</f>
        <v>PASONG CAMACHILE I</v>
      </c>
      <c r="P3020" s="1" t="str">
        <f>IFERROR(__xludf.DUMMYFUNCTION("""COMPUTED_VALUE"""),"GENERAL TRIAS")</f>
        <v>GENERAL TRIAS</v>
      </c>
      <c r="Q3020" s="1" t="str">
        <f>IFERROR(__xludf.DUMMYFUNCTION("""COMPUTED_VALUE"""),"CAVITE")</f>
        <v>CAVITE</v>
      </c>
      <c r="R3020" s="1" t="str">
        <f>IFERROR(__xludf.DUMMYFUNCTION("""COMPUTED_VALUE"""),"FIBR UNLI ALL PLAN 999")</f>
        <v>FIBR UNLI ALL PLAN 999</v>
      </c>
      <c r="S3020" s="1" t="str">
        <f>IFERROR(__xludf.DUMMYFUNCTION("""COMPUTED_VALUE"""),"APPROVED")</f>
        <v>APPROVED</v>
      </c>
      <c r="T3020" s="1" t="str">
        <f>IFERROR(__xludf.DUMMYFUNCTION("""COMPUTED_VALUE"""),"#N/A")</f>
        <v>#N/A</v>
      </c>
      <c r="U3020" s="1" t="str">
        <f>IFERROR(__xludf.DUMMYFUNCTION("""COMPUTED_VALUE"""),"POSTED")</f>
        <v>POSTED</v>
      </c>
      <c r="V3020" s="1"/>
      <c r="W3020" s="1"/>
    </row>
    <row r="3021" customHeight="1" spans="1:23">
      <c r="A3021" s="3">
        <f>IFERROR(__xludf.DUMMYFUNCTION("""COMPUTED_VALUE"""),46272)</f>
        <v>46272</v>
      </c>
      <c r="B3021" s="1" t="str">
        <f>IFERROR(__xludf.DUMMYFUNCTION("""COMPUTED_VALUE"""),"REMOLLO, LEA")</f>
        <v>REMOLLO, LEA</v>
      </c>
      <c r="C3021" s="1" t="str">
        <f>IFERROR(__xludf.DUMMYFUNCTION("""COMPUTED_VALUE"""),"FLA")</f>
        <v>FLA</v>
      </c>
      <c r="D3021" s="1" t="str">
        <f>IFERROR(__xludf.DUMMYFUNCTION("""COMPUTED_VALUE"""),"JERIC NAVARRO")</f>
        <v>JERIC NAVARRO</v>
      </c>
      <c r="E3021" s="1" t="str">
        <f>IFERROR(__xludf.DUMMYFUNCTION("""COMPUTED_VALUE"""),"PLDT / H2H")</f>
        <v>PLDT / H2H</v>
      </c>
      <c r="F3021" s="1"/>
      <c r="G3021" s="1"/>
      <c r="H3021" s="1" t="str">
        <f>IFERROR(__xludf.DUMMYFUNCTION("""COMPUTED_VALUE"""),"#N/A")</f>
        <v>#N/A</v>
      </c>
      <c r="I3021" s="1"/>
      <c r="J3021" s="1"/>
      <c r="K3021" s="1" t="str">
        <f>IFERROR(__xludf.DUMMYFUNCTION("""COMPUTED_VALUE"""),"danocris767@gmail.com")</f>
        <v>danocris767@gmail.com</v>
      </c>
      <c r="L3021" s="1" t="str">
        <f>IFERROR(__xludf.DUMMYFUNCTION("""COMPUTED_VALUE"""),"#N/A")</f>
        <v>#N/A</v>
      </c>
      <c r="M3021" s="1" t="str">
        <f>IFERROR(__xludf.DUMMYFUNCTION("""COMPUTED_VALUE"""),"#N/A")</f>
        <v>#N/A</v>
      </c>
      <c r="N3021" s="1" t="str">
        <f>IFERROR(__xludf.DUMMYFUNCTION("""COMPUTED_VALUE"""),"#N/A")</f>
        <v>#N/A</v>
      </c>
      <c r="O3021" s="1" t="str">
        <f>IFERROR(__xludf.DUMMYFUNCTION("""COMPUTED_VALUE"""),"PUTING KAHOY")</f>
        <v>PUTING KAHOY</v>
      </c>
      <c r="P3021" s="1" t="str">
        <f>IFERROR(__xludf.DUMMYFUNCTION("""COMPUTED_VALUE"""),"SILANG")</f>
        <v>SILANG</v>
      </c>
      <c r="Q3021" s="1" t="str">
        <f>IFERROR(__xludf.DUMMYFUNCTION("""COMPUTED_VALUE"""),"CAVITE")</f>
        <v>CAVITE</v>
      </c>
      <c r="R3021" s="1" t="str">
        <f>IFERROR(__xludf.DUMMYFUNCTION("""COMPUTED_VALUE"""),"FIBR UNLI ALL PLAN 999")</f>
        <v>FIBR UNLI ALL PLAN 999</v>
      </c>
      <c r="S3021" s="1" t="str">
        <f>IFERROR(__xludf.DUMMYFUNCTION("""COMPUTED_VALUE"""),"APPROVED")</f>
        <v>APPROVED</v>
      </c>
      <c r="T3021" s="1" t="str">
        <f>IFERROR(__xludf.DUMMYFUNCTION("""COMPUTED_VALUE"""),"#N/A")</f>
        <v>#N/A</v>
      </c>
      <c r="U3021" s="1"/>
      <c r="V3021" s="1"/>
      <c r="W3021" s="1"/>
    </row>
    <row r="3022" customHeight="1" spans="1:23">
      <c r="A3022" s="3">
        <f>IFERROR(__xludf.DUMMYFUNCTION("""COMPUTED_VALUE"""),46272)</f>
        <v>46272</v>
      </c>
      <c r="B3022" s="1" t="str">
        <f>IFERROR(__xludf.DUMMYFUNCTION("""COMPUTED_VALUE"""),"TAMAYO, MARY ROSE")</f>
        <v>TAMAYO, MARY ROSE</v>
      </c>
      <c r="C3022" s="1" t="str">
        <f>IFERROR(__xludf.DUMMYFUNCTION("""COMPUTED_VALUE"""),"ORGANIC")</f>
        <v>ORGANIC</v>
      </c>
      <c r="D3022" s="1" t="str">
        <f>IFERROR(__xludf.DUMMYFUNCTION("""COMPUTED_VALUE"""),"REMOLLO LEA")</f>
        <v>REMOLLO LEA</v>
      </c>
      <c r="E3022" s="1" t="str">
        <f>IFERROR(__xludf.DUMMYFUNCTION("""COMPUTED_VALUE"""),"PLDT / ONLINE")</f>
        <v>PLDT / ONLINE</v>
      </c>
      <c r="F3022" s="1"/>
      <c r="G3022" s="1"/>
      <c r="H3022" s="1" t="str">
        <f>IFERROR(__xludf.DUMMYFUNCTION("""COMPUTED_VALUE"""),"#N/A")</f>
        <v>#N/A</v>
      </c>
      <c r="I3022" s="1">
        <f>IFERROR(__xludf.DUMMYFUNCTION("""COMPUTED_VALUE"""),9757812044)</f>
        <v>9757812044</v>
      </c>
      <c r="J3022" s="1"/>
      <c r="K3022" s="1" t="str">
        <f>IFERROR(__xludf.DUMMYFUNCTION("""COMPUTED_VALUE"""),"okjoselle@gmail.com")</f>
        <v>okjoselle@gmail.com</v>
      </c>
      <c r="L3022" s="1" t="str">
        <f>IFERROR(__xludf.DUMMYFUNCTION("""COMPUTED_VALUE"""),"BLK 9 LOT 40")</f>
        <v>BLK 9 LOT 40</v>
      </c>
      <c r="M3022" s="1" t="str">
        <f>IFERROR(__xludf.DUMMYFUNCTION("""COMPUTED_VALUE"""),"GUMAMELA")</f>
        <v>GUMAMELA</v>
      </c>
      <c r="N3022" s="1" t="str">
        <f>IFERROR(__xludf.DUMMYFUNCTION("""COMPUTED_VALUE"""),"VIA VERDE")</f>
        <v>VIA VERDE</v>
      </c>
      <c r="O3022" s="1" t="str">
        <f>IFERROR(__xludf.DUMMYFUNCTION("""COMPUTED_VALUE"""),"SAN AGUSTIN II")</f>
        <v>SAN AGUSTIN II</v>
      </c>
      <c r="P3022" s="1" t="str">
        <f>IFERROR(__xludf.DUMMYFUNCTION("""COMPUTED_VALUE"""),"DASMARINAS")</f>
        <v>DASMARINAS</v>
      </c>
      <c r="Q3022" s="1" t="str">
        <f>IFERROR(__xludf.DUMMYFUNCTION("""COMPUTED_VALUE"""),"CAVITE")</f>
        <v>CAVITE</v>
      </c>
      <c r="R3022" s="1" t="str">
        <f>IFERROR(__xludf.DUMMYFUNCTION("""COMPUTED_VALUE"""),"FIBR PLAN 1299")</f>
        <v>FIBR PLAN 1299</v>
      </c>
      <c r="S3022" s="1" t="str">
        <f>IFERROR(__xludf.DUMMYFUNCTION("""COMPUTED_VALUE"""),"APPROVED")</f>
        <v>APPROVED</v>
      </c>
      <c r="T3022" s="1" t="str">
        <f>IFERROR(__xludf.DUMMYFUNCTION("""COMPUTED_VALUE"""),"#N/A")</f>
        <v>#N/A</v>
      </c>
      <c r="U3022" s="1"/>
      <c r="V3022" s="1"/>
      <c r="W3022" s="1"/>
    </row>
    <row r="3023" customHeight="1" spans="1:23">
      <c r="A3023" s="3">
        <f>IFERROR(__xludf.DUMMYFUNCTION("""COMPUTED_VALUE"""),46273)</f>
        <v>46273</v>
      </c>
      <c r="B3023" s="1" t="str">
        <f>IFERROR(__xludf.DUMMYFUNCTION("""COMPUTED_VALUE"""),"AYON MANUEL")</f>
        <v>AYON MANUEL</v>
      </c>
      <c r="C3023" s="1" t="str">
        <f>IFERROR(__xludf.DUMMYFUNCTION("""COMPUTED_VALUE"""),"FLA")</f>
        <v>FLA</v>
      </c>
      <c r="D3023" s="1" t="str">
        <f>IFERROR(__xludf.DUMMYFUNCTION("""COMPUTED_VALUE"""),"JERIC NAVARRO")</f>
        <v>JERIC NAVARRO</v>
      </c>
      <c r="E3023" s="1" t="str">
        <f>IFERROR(__xludf.DUMMYFUNCTION("""COMPUTED_VALUE"""),"PLDT / ONLINE")</f>
        <v>PLDT / ONLINE</v>
      </c>
      <c r="F3023" s="1"/>
      <c r="G3023" s="1">
        <f>IFERROR(__xludf.DUMMYFUNCTION("""COMPUTED_VALUE"""),2312486804)</f>
        <v>2312486804</v>
      </c>
      <c r="H3023" s="1" t="str">
        <f>IFERROR(__xludf.DUMMYFUNCTION("""COMPUTED_VALUE"""),"#N/A")</f>
        <v>#N/A</v>
      </c>
      <c r="I3023" s="1">
        <f>IFERROR(__xludf.DUMMYFUNCTION("""COMPUTED_VALUE"""),9998283598)</f>
        <v>9998283598</v>
      </c>
      <c r="J3023" s="1">
        <f>IFERROR(__xludf.DUMMYFUNCTION("""COMPUTED_VALUE"""),9167257298)</f>
        <v>9167257298</v>
      </c>
      <c r="K3023" s="1" t="str">
        <f>IFERROR(__xludf.DUMMYFUNCTION("""COMPUTED_VALUE"""),"jenpanaglim15@gmail.com")</f>
        <v>jenpanaglim15@gmail.com</v>
      </c>
      <c r="L3023" s="1" t="str">
        <f>IFERROR(__xludf.DUMMYFUNCTION("""COMPUTED_VALUE"""),"BLK 2 LOT 5")</f>
        <v>BLK 2 LOT 5</v>
      </c>
      <c r="M3023" s="1" t="str">
        <f>IFERROR(__xludf.DUMMYFUNCTION("""COMPUTED_VALUE"""),"PUROK 123")</f>
        <v>PUROK 123</v>
      </c>
      <c r="N3023" s="1" t="str">
        <f>IFERROR(__xludf.DUMMYFUNCTION("""COMPUTED_VALUE"""),"#N/A")</f>
        <v>#N/A</v>
      </c>
      <c r="O3023" s="1" t="str">
        <f>IFERROR(__xludf.DUMMYFUNCTION("""COMPUTED_VALUE"""),"PALOCPOC I")</f>
        <v>PALOCPOC I</v>
      </c>
      <c r="P3023" s="1" t="str">
        <f>IFERROR(__xludf.DUMMYFUNCTION("""COMPUTED_VALUE"""),"MENDEZ")</f>
        <v>MENDEZ</v>
      </c>
      <c r="Q3023" s="1" t="str">
        <f>IFERROR(__xludf.DUMMYFUNCTION("""COMPUTED_VALUE"""),"CAVITE")</f>
        <v>CAVITE</v>
      </c>
      <c r="R3023" s="1" t="str">
        <f>IFERROR(__xludf.DUMMYFUNCTION("""COMPUTED_VALUE"""),"FIBR UNLI ALL PLAN 1899")</f>
        <v>FIBR UNLI ALL PLAN 1899</v>
      </c>
      <c r="S3023" s="1" t="str">
        <f>IFERROR(__xludf.DUMMYFUNCTION("""COMPUTED_VALUE"""),"APPROVED")</f>
        <v>APPROVED</v>
      </c>
      <c r="T3023" s="1" t="str">
        <f>IFERROR(__xludf.DUMMYFUNCTION("""COMPUTED_VALUE"""),"#N/A")</f>
        <v>#N/A</v>
      </c>
      <c r="U3023" s="1" t="str">
        <f>IFERROR(__xludf.DUMMYFUNCTION("""COMPUTED_VALUE"""),"POSTED")</f>
        <v>POSTED</v>
      </c>
      <c r="V3023" s="1"/>
      <c r="W3023" s="1"/>
    </row>
    <row r="3024" customHeight="1" spans="1:23">
      <c r="A3024" s="3">
        <f>IFERROR(__xludf.DUMMYFUNCTION("""COMPUTED_VALUE"""),46273)</f>
        <v>46273</v>
      </c>
      <c r="B3024" s="1" t="str">
        <f>IFERROR(__xludf.DUMMYFUNCTION("""COMPUTED_VALUE"""),"CADERAO, RONALD")</f>
        <v>CADERAO, RONALD</v>
      </c>
      <c r="C3024" s="1" t="str">
        <f>IFERROR(__xludf.DUMMYFUNCTION("""COMPUTED_VALUE"""),"ORGANIC")</f>
        <v>ORGANIC</v>
      </c>
      <c r="D3024" s="1" t="str">
        <f>IFERROR(__xludf.DUMMYFUNCTION("""COMPUTED_VALUE"""),"REMOLLO LEA")</f>
        <v>REMOLLO LEA</v>
      </c>
      <c r="E3024" s="1" t="str">
        <f>IFERROR(__xludf.DUMMYFUNCTION("""COMPUTED_VALUE"""),"PLDT / H2H")</f>
        <v>PLDT / H2H</v>
      </c>
      <c r="F3024" s="1"/>
      <c r="G3024" s="1"/>
      <c r="H3024" s="1" t="str">
        <f>IFERROR(__xludf.DUMMYFUNCTION("""COMPUTED_VALUE"""),"#N/A")</f>
        <v>#N/A</v>
      </c>
      <c r="I3024" s="1">
        <f>IFERROR(__xludf.DUMMYFUNCTION("""COMPUTED_VALUE"""),9648590978)</f>
        <v>9648590978</v>
      </c>
      <c r="J3024" s="1">
        <f>IFERROR(__xludf.DUMMYFUNCTION("""COMPUTED_VALUE"""),9526131961)</f>
        <v>9526131961</v>
      </c>
      <c r="K3024" s="1" t="str">
        <f>IFERROR(__xludf.DUMMYFUNCTION("""COMPUTED_VALUE"""),"mirasolpura633@gmail.com")</f>
        <v>mirasolpura633@gmail.com</v>
      </c>
      <c r="L3024" s="1" t="str">
        <f>IFERROR(__xludf.DUMMYFUNCTION("""COMPUTED_VALUE"""),"BLK 5 LOT 9")</f>
        <v>BLK 5 LOT 9</v>
      </c>
      <c r="M3024" s="1" t="str">
        <f>IFERROR(__xludf.DUMMYFUNCTION("""COMPUTED_VALUE"""),"PALIGAWAN MATANDA")</f>
        <v>PALIGAWAN MATANDA</v>
      </c>
      <c r="N3024" s="1" t="str">
        <f>IFERROR(__xludf.DUMMYFUNCTION("""COMPUTED_VALUE"""),"#N/A")</f>
        <v>#N/A</v>
      </c>
      <c r="O3024" s="1" t="str">
        <f>IFERROR(__xludf.DUMMYFUNCTION("""COMPUTED_VALUE"""),"LANTIC")</f>
        <v>LANTIC</v>
      </c>
      <c r="P3024" s="1" t="str">
        <f>IFERROR(__xludf.DUMMYFUNCTION("""COMPUTED_VALUE"""),"CARMONA")</f>
        <v>CARMONA</v>
      </c>
      <c r="Q3024" s="1" t="str">
        <f>IFERROR(__xludf.DUMMYFUNCTION("""COMPUTED_VALUE"""),"CAVITE")</f>
        <v>CAVITE</v>
      </c>
      <c r="R3024" s="1" t="str">
        <f>IFERROR(__xludf.DUMMYFUNCTION("""COMPUTED_VALUE"""),"FIBR PLAN 1299")</f>
        <v>FIBR PLAN 1299</v>
      </c>
      <c r="S3024" s="1" t="str">
        <f>IFERROR(__xludf.DUMMYFUNCTION("""COMPUTED_VALUE"""),"APPROVED")</f>
        <v>APPROVED</v>
      </c>
      <c r="T3024" s="1" t="str">
        <f>IFERROR(__xludf.DUMMYFUNCTION("""COMPUTED_VALUE"""),"#N/A")</f>
        <v>#N/A</v>
      </c>
      <c r="U3024" s="1" t="str">
        <f>IFERROR(__xludf.DUMMYFUNCTION("""COMPUTED_VALUE"""),"POSTED")</f>
        <v>POSTED</v>
      </c>
      <c r="V3024" s="1"/>
      <c r="W3024" s="1"/>
    </row>
    <row r="3025" customHeight="1" spans="1:23">
      <c r="A3025" s="3">
        <f>IFERROR(__xludf.DUMMYFUNCTION("""COMPUTED_VALUE"""),46273)</f>
        <v>46273</v>
      </c>
      <c r="B3025" s="1" t="str">
        <f>IFERROR(__xludf.DUMMYFUNCTION("""COMPUTED_VALUE"""),"CADERAO, RONALD")</f>
        <v>CADERAO, RONALD</v>
      </c>
      <c r="C3025" s="1" t="str">
        <f>IFERROR(__xludf.DUMMYFUNCTION("""COMPUTED_VALUE"""),"ORGANIC")</f>
        <v>ORGANIC</v>
      </c>
      <c r="D3025" s="1" t="str">
        <f>IFERROR(__xludf.DUMMYFUNCTION("""COMPUTED_VALUE"""),"REMOLLO LEA")</f>
        <v>REMOLLO LEA</v>
      </c>
      <c r="E3025" s="1" t="str">
        <f>IFERROR(__xludf.DUMMYFUNCTION("""COMPUTED_VALUE"""),"PLDT / H2H")</f>
        <v>PLDT / H2H</v>
      </c>
      <c r="F3025" s="1"/>
      <c r="G3025" s="1"/>
      <c r="H3025" s="1" t="str">
        <f>IFERROR(__xludf.DUMMYFUNCTION("""COMPUTED_VALUE"""),"#N/A")</f>
        <v>#N/A</v>
      </c>
      <c r="I3025" s="1">
        <f>IFERROR(__xludf.DUMMYFUNCTION("""COMPUTED_VALUE"""),9297320913)</f>
        <v>9297320913</v>
      </c>
      <c r="J3025" s="1"/>
      <c r="K3025" s="1" t="str">
        <f>IFERROR(__xludf.DUMMYFUNCTION("""COMPUTED_VALUE"""),"nicoleconos446@gmail.com")</f>
        <v>nicoleconos446@gmail.com</v>
      </c>
      <c r="L3025" s="1" t="str">
        <f>IFERROR(__xludf.DUMMYFUNCTION("""COMPUTED_VALUE"""),"168")</f>
        <v>168</v>
      </c>
      <c r="M3025" s="1" t="str">
        <f>IFERROR(__xludf.DUMMYFUNCTION("""COMPUTED_VALUE"""),"PALIGAWAN MATANDA")</f>
        <v>PALIGAWAN MATANDA</v>
      </c>
      <c r="N3025" s="1" t="str">
        <f>IFERROR(__xludf.DUMMYFUNCTION("""COMPUTED_VALUE"""),"#N/A")</f>
        <v>#N/A</v>
      </c>
      <c r="O3025" s="1" t="str">
        <f>IFERROR(__xludf.DUMMYFUNCTION("""COMPUTED_VALUE"""),"LANTIC")</f>
        <v>LANTIC</v>
      </c>
      <c r="P3025" s="1" t="str">
        <f>IFERROR(__xludf.DUMMYFUNCTION("""COMPUTED_VALUE"""),"CARMONA")</f>
        <v>CARMONA</v>
      </c>
      <c r="Q3025" s="1" t="str">
        <f>IFERROR(__xludf.DUMMYFUNCTION("""COMPUTED_VALUE"""),"CAVITE")</f>
        <v>CAVITE</v>
      </c>
      <c r="R3025" s="1" t="str">
        <f>IFERROR(__xludf.DUMMYFUNCTION("""COMPUTED_VALUE"""),"FIBR PLAN 1299")</f>
        <v>FIBR PLAN 1299</v>
      </c>
      <c r="S3025" s="1" t="str">
        <f>IFERROR(__xludf.DUMMYFUNCTION("""COMPUTED_VALUE"""),"APPROVED")</f>
        <v>APPROVED</v>
      </c>
      <c r="T3025" s="1" t="str">
        <f>IFERROR(__xludf.DUMMYFUNCTION("""COMPUTED_VALUE"""),"#N/A")</f>
        <v>#N/A</v>
      </c>
      <c r="U3025" s="1" t="str">
        <f>IFERROR(__xludf.DUMMYFUNCTION("""COMPUTED_VALUE"""),"POSTED")</f>
        <v>POSTED</v>
      </c>
      <c r="V3025" s="1"/>
      <c r="W3025" s="1"/>
    </row>
    <row r="3026" customHeight="1" spans="1:23">
      <c r="A3026" s="3">
        <f>IFERROR(__xludf.DUMMYFUNCTION("""COMPUTED_VALUE"""),46273)</f>
        <v>46273</v>
      </c>
      <c r="B3026" s="1" t="str">
        <f>IFERROR(__xludf.DUMMYFUNCTION("""COMPUTED_VALUE"""),"ARNESTO, FRANZ IVAN")</f>
        <v>ARNESTO, FRANZ IVAN</v>
      </c>
      <c r="C3026" s="1" t="str">
        <f>IFERROR(__xludf.DUMMYFUNCTION("""COMPUTED_VALUE"""),"FLA")</f>
        <v>FLA</v>
      </c>
      <c r="D3026" s="1" t="str">
        <f>IFERROR(__xludf.DUMMYFUNCTION("""COMPUTED_VALUE"""),"JERIC NAVARRO")</f>
        <v>JERIC NAVARRO</v>
      </c>
      <c r="E3026" s="1" t="str">
        <f>IFERROR(__xludf.DUMMYFUNCTION("""COMPUTED_VALUE"""),"PLDT / ONLINE")</f>
        <v>PLDT / ONLINE</v>
      </c>
      <c r="F3026" s="1"/>
      <c r="G3026" s="1"/>
      <c r="H3026" s="1" t="str">
        <f>IFERROR(__xludf.DUMMYFUNCTION("""COMPUTED_VALUE"""),"#N/A")</f>
        <v>#N/A</v>
      </c>
      <c r="I3026" s="1">
        <f>IFERROR(__xludf.DUMMYFUNCTION("""COMPUTED_VALUE"""),9287802577)</f>
        <v>9287802577</v>
      </c>
      <c r="J3026" s="1">
        <f>IFERROR(__xludf.DUMMYFUNCTION("""COMPUTED_VALUE"""),9670131392)</f>
        <v>9670131392</v>
      </c>
      <c r="K3026" s="1" t="str">
        <f>IFERROR(__xludf.DUMMYFUNCTION("""COMPUTED_VALUE"""),"annagramos13@gmail.com")</f>
        <v>annagramos13@gmail.com</v>
      </c>
      <c r="L3026" s="1" t="str">
        <f>IFERROR(__xludf.DUMMYFUNCTION("""COMPUTED_VALUE"""),"BLK 21 LOT 15")</f>
        <v>BLK 21 LOT 15</v>
      </c>
      <c r="M3026" s="1" t="str">
        <f>IFERROR(__xludf.DUMMYFUNCTION("""COMPUTED_VALUE"""),"AMAYA BREEZE")</f>
        <v>AMAYA BREEZE</v>
      </c>
      <c r="N3026" s="1" t="str">
        <f>IFERROR(__xludf.DUMMYFUNCTION("""COMPUTED_VALUE"""),"#N/A")</f>
        <v>#N/A</v>
      </c>
      <c r="O3026" s="1" t="str">
        <f>IFERROR(__xludf.DUMMYFUNCTION("""COMPUTED_VALUE"""),"AMAYA II")</f>
        <v>AMAYA II</v>
      </c>
      <c r="P3026" s="1" t="str">
        <f>IFERROR(__xludf.DUMMYFUNCTION("""COMPUTED_VALUE"""),"TANZA")</f>
        <v>TANZA</v>
      </c>
      <c r="Q3026" s="1" t="str">
        <f>IFERROR(__xludf.DUMMYFUNCTION("""COMPUTED_VALUE"""),"CAVITE")</f>
        <v>CAVITE</v>
      </c>
      <c r="R3026" s="1" t="str">
        <f>IFERROR(__xludf.DUMMYFUNCTION("""COMPUTED_VALUE"""),"FIBR NETFLIX PLAN 1599")</f>
        <v>FIBR NETFLIX PLAN 1599</v>
      </c>
      <c r="S3026" s="1" t="str">
        <f>IFERROR(__xludf.DUMMYFUNCTION("""COMPUTED_VALUE"""),"HOLD")</f>
        <v>HOLD</v>
      </c>
      <c r="T3026" s="1" t="str">
        <f>IFERROR(__xludf.DUMMYFUNCTION("""COMPUTED_VALUE"""),"#N/A")</f>
        <v>#N/A</v>
      </c>
      <c r="U3026" s="1"/>
      <c r="V3026" s="1"/>
      <c r="W3026" s="1"/>
    </row>
    <row r="3027" customHeight="1" spans="1:23">
      <c r="A3027" s="3">
        <f>IFERROR(__xludf.DUMMYFUNCTION("""COMPUTED_VALUE"""),46273)</f>
        <v>46273</v>
      </c>
      <c r="B3027" s="1" t="str">
        <f>IFERROR(__xludf.DUMMYFUNCTION("""COMPUTED_VALUE"""),"MORADOS, MARVIN")</f>
        <v>MORADOS, MARVIN</v>
      </c>
      <c r="C3027" s="1" t="str">
        <f>IFERROR(__xludf.DUMMYFUNCTION("""COMPUTED_VALUE"""),"ORGANIC")</f>
        <v>ORGANIC</v>
      </c>
      <c r="D3027" s="1" t="str">
        <f>IFERROR(__xludf.DUMMYFUNCTION("""COMPUTED_VALUE"""),"MICHALE GARCIA")</f>
        <v>MICHALE GARCIA</v>
      </c>
      <c r="E3027" s="1" t="str">
        <f>IFERROR(__xludf.DUMMYFUNCTION("""COMPUTED_VALUE"""),"PLDT / ONLINE")</f>
        <v>PLDT / ONLINE</v>
      </c>
      <c r="F3027" s="1"/>
      <c r="G3027" s="1"/>
      <c r="H3027" s="1" t="str">
        <f>IFERROR(__xludf.DUMMYFUNCTION("""COMPUTED_VALUE"""),"#N/A")</f>
        <v>#N/A</v>
      </c>
      <c r="I3027" s="1">
        <f>IFERROR(__xludf.DUMMYFUNCTION("""COMPUTED_VALUE"""),9324427274)</f>
        <v>9324427274</v>
      </c>
      <c r="J3027" s="1"/>
      <c r="K3027" s="1" t="str">
        <f>IFERROR(__xludf.DUMMYFUNCTION("""COMPUTED_VALUE"""),"johnerick.bermundo.ge2019@gmail.com")</f>
        <v>johnerick.bermundo.ge2019@gmail.com</v>
      </c>
      <c r="L3027" s="1" t="str">
        <f>IFERROR(__xludf.DUMMYFUNCTION("""COMPUTED_VALUE"""),"BLK 103 LOT 43")</f>
        <v>BLK 103 LOT 43</v>
      </c>
      <c r="M3027" s="1" t="str">
        <f>IFERROR(__xludf.DUMMYFUNCTION("""COMPUTED_VALUE"""),"PHASE 1")</f>
        <v>PHASE 1</v>
      </c>
      <c r="N3027" s="1" t="str">
        <f>IFERROR(__xludf.DUMMYFUNCTION("""COMPUTED_VALUE"""),"GOLDEN HORIZON")</f>
        <v>GOLDEN HORIZON</v>
      </c>
      <c r="O3027" s="1" t="str">
        <f>IFERROR(__xludf.DUMMYFUNCTION("""COMPUTED_VALUE"""),"HUGO PEREZ")</f>
        <v>HUGO PEREZ</v>
      </c>
      <c r="P3027" s="1" t="str">
        <f>IFERROR(__xludf.DUMMYFUNCTION("""COMPUTED_VALUE"""),"TRECE MARTIRES")</f>
        <v>TRECE MARTIRES</v>
      </c>
      <c r="Q3027" s="1" t="str">
        <f>IFERROR(__xludf.DUMMYFUNCTION("""COMPUTED_VALUE"""),"CAVITE")</f>
        <v>CAVITE</v>
      </c>
      <c r="R3027" s="1" t="str">
        <f>IFERROR(__xludf.DUMMYFUNCTION("""COMPUTED_VALUE"""),"FIBR PLAN 1299")</f>
        <v>FIBR PLAN 1299</v>
      </c>
      <c r="S3027" s="1" t="str">
        <f>IFERROR(__xludf.DUMMYFUNCTION("""COMPUTED_VALUE"""),"APPROVED")</f>
        <v>APPROVED</v>
      </c>
      <c r="T3027" s="1" t="str">
        <f>IFERROR(__xludf.DUMMYFUNCTION("""COMPUTED_VALUE"""),"#N/A")</f>
        <v>#N/A</v>
      </c>
      <c r="U3027" s="1"/>
      <c r="V3027" s="1"/>
      <c r="W3027" s="1"/>
    </row>
    <row r="3028" customHeight="1" spans="1:23">
      <c r="A3028" s="3">
        <f>IFERROR(__xludf.DUMMYFUNCTION("""COMPUTED_VALUE"""),46273)</f>
        <v>46273</v>
      </c>
      <c r="B3028" s="1" t="str">
        <f>IFERROR(__xludf.DUMMYFUNCTION("""COMPUTED_VALUE"""),"CADERAO, RONALD")</f>
        <v>CADERAO, RONALD</v>
      </c>
      <c r="C3028" s="1" t="str">
        <f>IFERROR(__xludf.DUMMYFUNCTION("""COMPUTED_VALUE"""),"ORGANIC")</f>
        <v>ORGANIC</v>
      </c>
      <c r="D3028" s="1" t="str">
        <f>IFERROR(__xludf.DUMMYFUNCTION("""COMPUTED_VALUE"""),"REMOLLO LEA")</f>
        <v>REMOLLO LEA</v>
      </c>
      <c r="E3028" s="1" t="str">
        <f>IFERROR(__xludf.DUMMYFUNCTION("""COMPUTED_VALUE"""),"PLDT / H2H")</f>
        <v>PLDT / H2H</v>
      </c>
      <c r="F3028" s="1"/>
      <c r="G3028" s="1"/>
      <c r="H3028" s="1" t="str">
        <f>IFERROR(__xludf.DUMMYFUNCTION("""COMPUTED_VALUE"""),"#N/A")</f>
        <v>#N/A</v>
      </c>
      <c r="I3028" s="1"/>
      <c r="J3028" s="1"/>
      <c r="K3028" s="1" t="str">
        <f>IFERROR(__xludf.DUMMYFUNCTION("""COMPUTED_VALUE"""),"yrigonjennycah0930@gmail.com")</f>
        <v>yrigonjennycah0930@gmail.com</v>
      </c>
      <c r="L3028" s="1" t="str">
        <f>IFERROR(__xludf.DUMMYFUNCTION("""COMPUTED_VALUE"""),"#N/A")</f>
        <v>#N/A</v>
      </c>
      <c r="M3028" s="1" t="str">
        <f>IFERROR(__xludf.DUMMYFUNCTION("""COMPUTED_VALUE"""),"#N/A")</f>
        <v>#N/A</v>
      </c>
      <c r="N3028" s="1" t="str">
        <f>IFERROR(__xludf.DUMMYFUNCTION("""COMPUTED_VALUE"""),"#N/A")</f>
        <v>#N/A</v>
      </c>
      <c r="O3028" s="1" t="str">
        <f>IFERROR(__xludf.DUMMYFUNCTION("""COMPUTED_VALUE"""),"LANTIC")</f>
        <v>LANTIC</v>
      </c>
      <c r="P3028" s="1" t="str">
        <f>IFERROR(__xludf.DUMMYFUNCTION("""COMPUTED_VALUE"""),"CARMONA")</f>
        <v>CARMONA</v>
      </c>
      <c r="Q3028" s="1" t="str">
        <f>IFERROR(__xludf.DUMMYFUNCTION("""COMPUTED_VALUE"""),"CAVITE")</f>
        <v>CAVITE</v>
      </c>
      <c r="R3028" s="1" t="str">
        <f>IFERROR(__xludf.DUMMYFUNCTION("""COMPUTED_VALUE"""),"FIBR PLAN 1299")</f>
        <v>FIBR PLAN 1299</v>
      </c>
      <c r="S3028" s="1" t="str">
        <f>IFERROR(__xludf.DUMMYFUNCTION("""COMPUTED_VALUE"""),"APPROVED")</f>
        <v>APPROVED</v>
      </c>
      <c r="T3028" s="1" t="str">
        <f>IFERROR(__xludf.DUMMYFUNCTION("""COMPUTED_VALUE"""),"#N/A")</f>
        <v>#N/A</v>
      </c>
      <c r="U3028" s="1" t="str">
        <f>IFERROR(__xludf.DUMMYFUNCTION("""COMPUTED_VALUE"""),"POSTED")</f>
        <v>POSTED</v>
      </c>
      <c r="V3028" s="1"/>
      <c r="W3028" s="1"/>
    </row>
    <row r="3029" customHeight="1" spans="1:23">
      <c r="A3029" s="3">
        <f>IFERROR(__xludf.DUMMYFUNCTION("""COMPUTED_VALUE"""),46273)</f>
        <v>46273</v>
      </c>
      <c r="B3029" s="1" t="str">
        <f>IFERROR(__xludf.DUMMYFUNCTION("""COMPUTED_VALUE"""),"GABAY, MANUEL")</f>
        <v>GABAY, MANUEL</v>
      </c>
      <c r="C3029" s="1" t="str">
        <f>IFERROR(__xludf.DUMMYFUNCTION("""COMPUTED_VALUE"""),"FLA")</f>
        <v>FLA</v>
      </c>
      <c r="D3029" s="1" t="str">
        <f>IFERROR(__xludf.DUMMYFUNCTION("""COMPUTED_VALUE"""),"JERIC NAVARRO")</f>
        <v>JERIC NAVARRO</v>
      </c>
      <c r="E3029" s="1" t="str">
        <f>IFERROR(__xludf.DUMMYFUNCTION("""COMPUTED_VALUE"""),"PLDT / H2H")</f>
        <v>PLDT / H2H</v>
      </c>
      <c r="F3029" s="1"/>
      <c r="G3029" s="1"/>
      <c r="H3029" s="1" t="str">
        <f>IFERROR(__xludf.DUMMYFUNCTION("""COMPUTED_VALUE"""),"#N/A")</f>
        <v>#N/A</v>
      </c>
      <c r="I3029" s="1">
        <f>IFERROR(__xludf.DUMMYFUNCTION("""COMPUTED_VALUE"""),9166329795)</f>
        <v>9166329795</v>
      </c>
      <c r="J3029" s="1">
        <f>IFERROR(__xludf.DUMMYFUNCTION("""COMPUTED_VALUE"""),9687680449)</f>
        <v>9687680449</v>
      </c>
      <c r="K3029" s="1" t="str">
        <f>IFERROR(__xludf.DUMMYFUNCTION("""COMPUTED_VALUE"""),"joviefrondoza21@gmail.com")</f>
        <v>joviefrondoza21@gmail.com</v>
      </c>
      <c r="L3029" s="1" t="str">
        <f>IFERROR(__xludf.DUMMYFUNCTION("""COMPUTED_VALUE"""),"BLK 16 LOT 8")</f>
        <v>BLK 16 LOT 8</v>
      </c>
      <c r="M3029" s="1" t="str">
        <f>IFERROR(__xludf.DUMMYFUNCTION("""COMPUTED_VALUE"""),"PALIGAWAN MATANDA")</f>
        <v>PALIGAWAN MATANDA</v>
      </c>
      <c r="N3029" s="1" t="str">
        <f>IFERROR(__xludf.DUMMYFUNCTION("""COMPUTED_VALUE"""),"#N/A")</f>
        <v>#N/A</v>
      </c>
      <c r="O3029" s="1" t="str">
        <f>IFERROR(__xludf.DUMMYFUNCTION("""COMPUTED_VALUE"""),"LANTIC")</f>
        <v>LANTIC</v>
      </c>
      <c r="P3029" s="1" t="str">
        <f>IFERROR(__xludf.DUMMYFUNCTION("""COMPUTED_VALUE"""),"CARMONA")</f>
        <v>CARMONA</v>
      </c>
      <c r="Q3029" s="1" t="str">
        <f>IFERROR(__xludf.DUMMYFUNCTION("""COMPUTED_VALUE"""),"CAVITE")</f>
        <v>CAVITE</v>
      </c>
      <c r="R3029" s="1" t="str">
        <f>IFERROR(__xludf.DUMMYFUNCTION("""COMPUTED_VALUE"""),"FIBR PLAN 1299")</f>
        <v>FIBR PLAN 1299</v>
      </c>
      <c r="S3029" s="1" t="str">
        <f>IFERROR(__xludf.DUMMYFUNCTION("""COMPUTED_VALUE"""),"APPROVED")</f>
        <v>APPROVED</v>
      </c>
      <c r="T3029" s="1" t="str">
        <f>IFERROR(__xludf.DUMMYFUNCTION("""COMPUTED_VALUE"""),"#N/A")</f>
        <v>#N/A</v>
      </c>
      <c r="U3029" s="1"/>
      <c r="V3029" s="1"/>
      <c r="W3029" s="1"/>
    </row>
    <row r="3030" customHeight="1" spans="1:23">
      <c r="A3030" s="3">
        <f>IFERROR(__xludf.DUMMYFUNCTION("""COMPUTED_VALUE"""),46273)</f>
        <v>46273</v>
      </c>
      <c r="B3030" s="1" t="str">
        <f>IFERROR(__xludf.DUMMYFUNCTION("""COMPUTED_VALUE"""),"ARNESTO, FRANZ IVAN")</f>
        <v>ARNESTO, FRANZ IVAN</v>
      </c>
      <c r="C3030" s="1" t="str">
        <f>IFERROR(__xludf.DUMMYFUNCTION("""COMPUTED_VALUE"""),"ORGANIC")</f>
        <v>ORGANIC</v>
      </c>
      <c r="D3030" s="1" t="str">
        <f>IFERROR(__xludf.DUMMYFUNCTION("""COMPUTED_VALUE"""),"REMOLLO LEA")</f>
        <v>REMOLLO LEA</v>
      </c>
      <c r="E3030" s="1" t="str">
        <f>IFERROR(__xludf.DUMMYFUNCTION("""COMPUTED_VALUE"""),"PLDT / H2H")</f>
        <v>PLDT / H2H</v>
      </c>
      <c r="F3030" s="1"/>
      <c r="G3030" s="1"/>
      <c r="H3030" s="1" t="str">
        <f>IFERROR(__xludf.DUMMYFUNCTION("""COMPUTED_VALUE"""),"#N/A")</f>
        <v>#N/A</v>
      </c>
      <c r="I3030" s="1">
        <f>IFERROR(__xludf.DUMMYFUNCTION("""COMPUTED_VALUE"""),9972483524)</f>
        <v>9972483524</v>
      </c>
      <c r="J3030" s="1">
        <f>IFERROR(__xludf.DUMMYFUNCTION("""COMPUTED_VALUE"""),9458929002)</f>
        <v>9458929002</v>
      </c>
      <c r="K3030" s="1" t="str">
        <f>IFERROR(__xludf.DUMMYFUNCTION("""COMPUTED_VALUE"""),"camillaformanes99@gmail.com")</f>
        <v>camillaformanes99@gmail.com</v>
      </c>
      <c r="L3030" s="1" t="str">
        <f>IFERROR(__xludf.DUMMYFUNCTION("""COMPUTED_VALUE"""),"177")</f>
        <v>177</v>
      </c>
      <c r="M3030" s="1" t="str">
        <f>IFERROR(__xludf.DUMMYFUNCTION("""COMPUTED_VALUE"""),"CALLE CENA")</f>
        <v>CALLE CENA</v>
      </c>
      <c r="N3030" s="1" t="str">
        <f>IFERROR(__xludf.DUMMYFUNCTION("""COMPUTED_VALUE"""),"#N/A")</f>
        <v>#N/A</v>
      </c>
      <c r="O3030" s="1" t="str">
        <f>IFERROR(__xludf.DUMMYFUNCTION("""COMPUTED_VALUE"""),"LABAC")</f>
        <v>LABAC</v>
      </c>
      <c r="P3030" s="1" t="str">
        <f>IFERROR(__xludf.DUMMYFUNCTION("""COMPUTED_VALUE"""),"NAIC")</f>
        <v>NAIC</v>
      </c>
      <c r="Q3030" s="1" t="str">
        <f>IFERROR(__xludf.DUMMYFUNCTION("""COMPUTED_VALUE"""),"CAVITE")</f>
        <v>CAVITE</v>
      </c>
      <c r="R3030" s="1" t="str">
        <f>IFERROR(__xludf.DUMMYFUNCTION("""COMPUTED_VALUE"""),"FIBR NETFLIX PLAN 1599")</f>
        <v>FIBR NETFLIX PLAN 1599</v>
      </c>
      <c r="S3030" s="1" t="str">
        <f>IFERROR(__xludf.DUMMYFUNCTION("""COMPUTED_VALUE"""),"HOLD")</f>
        <v>HOLD</v>
      </c>
      <c r="T3030" s="1" t="str">
        <f>IFERROR(__xludf.DUMMYFUNCTION("""COMPUTED_VALUE"""),"#N/A")</f>
        <v>#N/A</v>
      </c>
      <c r="U3030" s="1"/>
      <c r="V3030" s="1"/>
      <c r="W3030" s="1"/>
    </row>
    <row r="3031" customHeight="1" spans="1:23">
      <c r="A3031" s="3">
        <f>IFERROR(__xludf.DUMMYFUNCTION("""COMPUTED_VALUE"""),46273)</f>
        <v>46273</v>
      </c>
      <c r="B3031" s="1" t="str">
        <f>IFERROR(__xludf.DUMMYFUNCTION("""COMPUTED_VALUE"""),"REMOLLO, LEA")</f>
        <v>REMOLLO, LEA</v>
      </c>
      <c r="C3031" s="1" t="str">
        <f>IFERROR(__xludf.DUMMYFUNCTION("""COMPUTED_VALUE"""),"FLA")</f>
        <v>FLA</v>
      </c>
      <c r="D3031" s="1" t="str">
        <f>IFERROR(__xludf.DUMMYFUNCTION("""COMPUTED_VALUE"""),"JERIC NAVARRO")</f>
        <v>JERIC NAVARRO</v>
      </c>
      <c r="E3031" s="1" t="str">
        <f>IFERROR(__xludf.DUMMYFUNCTION("""COMPUTED_VALUE"""),"PLDT / H2H")</f>
        <v>PLDT / H2H</v>
      </c>
      <c r="F3031" s="1"/>
      <c r="G3031" s="1"/>
      <c r="H3031" s="1" t="str">
        <f>IFERROR(__xludf.DUMMYFUNCTION("""COMPUTED_VALUE"""),"#N/A")</f>
        <v>#N/A</v>
      </c>
      <c r="I3031" s="1">
        <f>IFERROR(__xludf.DUMMYFUNCTION("""COMPUTED_VALUE"""),9650944145)</f>
        <v>9650944145</v>
      </c>
      <c r="J3031" s="1"/>
      <c r="K3031" s="1" t="str">
        <f>IFERROR(__xludf.DUMMYFUNCTION("""COMPUTED_VALUE"""),"mhpenales11@gmail.com")</f>
        <v>mhpenales11@gmail.com</v>
      </c>
      <c r="L3031" s="1" t="str">
        <f>IFERROR(__xludf.DUMMYFUNCTION("""COMPUTED_VALUE"""),"9089")</f>
        <v>9089</v>
      </c>
      <c r="M3031" s="1" t="str">
        <f>IFERROR(__xludf.DUMMYFUNCTION("""COMPUTED_VALUE"""),"DIMAPILIS")</f>
        <v>DIMAPILIS</v>
      </c>
      <c r="N3031" s="1" t="str">
        <f>IFERROR(__xludf.DUMMYFUNCTION("""COMPUTED_VALUE"""),"#N/A")</f>
        <v>#N/A</v>
      </c>
      <c r="O3031" s="1" t="str">
        <f>IFERROR(__xludf.DUMMYFUNCTION("""COMPUTED_VALUE"""),"ANULING LEJOS I (ANULING)")</f>
        <v>ANULING LEJOS I (ANULING)</v>
      </c>
      <c r="P3031" s="1" t="str">
        <f>IFERROR(__xludf.DUMMYFUNCTION("""COMPUTED_VALUE"""),"MENDEZ")</f>
        <v>MENDEZ</v>
      </c>
      <c r="Q3031" s="1" t="str">
        <f>IFERROR(__xludf.DUMMYFUNCTION("""COMPUTED_VALUE"""),"CAVITE")</f>
        <v>CAVITE</v>
      </c>
      <c r="R3031" s="1" t="str">
        <f>IFERROR(__xludf.DUMMYFUNCTION("""COMPUTED_VALUE"""),"FIBR PLAN 1299")</f>
        <v>FIBR PLAN 1299</v>
      </c>
      <c r="S3031" s="1" t="str">
        <f>IFERROR(__xludf.DUMMYFUNCTION("""COMPUTED_VALUE"""),"APPROVED")</f>
        <v>APPROVED</v>
      </c>
      <c r="T3031" s="1" t="str">
        <f>IFERROR(__xludf.DUMMYFUNCTION("""COMPUTED_VALUE"""),"#N/A")</f>
        <v>#N/A</v>
      </c>
      <c r="U3031" s="1" t="str">
        <f>IFERROR(__xludf.DUMMYFUNCTION("""COMPUTED_VALUE"""),"POSTED")</f>
        <v>POSTED</v>
      </c>
      <c r="V3031" s="1"/>
      <c r="W3031" s="1"/>
    </row>
    <row r="3032" customHeight="1" spans="1:23">
      <c r="A3032" s="3">
        <f>IFERROR(__xludf.DUMMYFUNCTION("""COMPUTED_VALUE"""),46273)</f>
        <v>46273</v>
      </c>
      <c r="B3032" s="1" t="str">
        <f>IFERROR(__xludf.DUMMYFUNCTION("""COMPUTED_VALUE"""),"GABAY, MANUEL")</f>
        <v>GABAY, MANUEL</v>
      </c>
      <c r="C3032" s="1" t="str">
        <f>IFERROR(__xludf.DUMMYFUNCTION("""COMPUTED_VALUE"""),"FLA")</f>
        <v>FLA</v>
      </c>
      <c r="D3032" s="1" t="str">
        <f>IFERROR(__xludf.DUMMYFUNCTION("""COMPUTED_VALUE"""),"JERIC NAVARRO")</f>
        <v>JERIC NAVARRO</v>
      </c>
      <c r="E3032" s="1" t="str">
        <f>IFERROR(__xludf.DUMMYFUNCTION("""COMPUTED_VALUE"""),"PLDT / H2H")</f>
        <v>PLDT / H2H</v>
      </c>
      <c r="F3032" s="1"/>
      <c r="G3032" s="1"/>
      <c r="H3032" s="1" t="str">
        <f>IFERROR(__xludf.DUMMYFUNCTION("""COMPUTED_VALUE"""),"#N/A")</f>
        <v>#N/A</v>
      </c>
      <c r="I3032" s="1">
        <f>IFERROR(__xludf.DUMMYFUNCTION("""COMPUTED_VALUE"""),9934995128)</f>
        <v>9934995128</v>
      </c>
      <c r="J3032" s="1"/>
      <c r="K3032" s="1" t="str">
        <f>IFERROR(__xludf.DUMMYFUNCTION("""COMPUTED_VALUE"""),"roseenriquez182@gmail.com")</f>
        <v>roseenriquez182@gmail.com</v>
      </c>
      <c r="L3032" s="1" t="str">
        <f>IFERROR(__xludf.DUMMYFUNCTION("""COMPUTED_VALUE"""),"156")</f>
        <v>156</v>
      </c>
      <c r="M3032" s="1" t="str">
        <f>IFERROR(__xludf.DUMMYFUNCTION("""COMPUTED_VALUE"""),"KANLURAN")</f>
        <v>KANLURAN</v>
      </c>
      <c r="N3032" s="1" t="str">
        <f>IFERROR(__xludf.DUMMYFUNCTION("""COMPUTED_VALUE"""),"#N/A")</f>
        <v>#N/A</v>
      </c>
      <c r="O3032" s="1" t="str">
        <f>IFERROR(__xludf.DUMMYFUNCTION("""COMPUTED_VALUE"""),"HOYO")</f>
        <v>HOYO</v>
      </c>
      <c r="P3032" s="1" t="str">
        <f>IFERROR(__xludf.DUMMYFUNCTION("""COMPUTED_VALUE"""),"SILANG")</f>
        <v>SILANG</v>
      </c>
      <c r="Q3032" s="1" t="str">
        <f>IFERROR(__xludf.DUMMYFUNCTION("""COMPUTED_VALUE"""),"CAVITE")</f>
        <v>CAVITE</v>
      </c>
      <c r="R3032" s="1" t="str">
        <f>IFERROR(__xludf.DUMMYFUNCTION("""COMPUTED_VALUE"""),"FIBR UNLI ALL PLAN 999")</f>
        <v>FIBR UNLI ALL PLAN 999</v>
      </c>
      <c r="S3032" s="1" t="str">
        <f>IFERROR(__xludf.DUMMYFUNCTION("""COMPUTED_VALUE"""),"APPROVED")</f>
        <v>APPROVED</v>
      </c>
      <c r="T3032" s="1" t="str">
        <f>IFERROR(__xludf.DUMMYFUNCTION("""COMPUTED_VALUE"""),"#N/A")</f>
        <v>#N/A</v>
      </c>
      <c r="U3032" s="1"/>
      <c r="V3032" s="1"/>
      <c r="W3032" s="1"/>
    </row>
    <row r="3033" customHeight="1" spans="1:23">
      <c r="A3033" s="3">
        <f>IFERROR(__xludf.DUMMYFUNCTION("""COMPUTED_VALUE"""),46273)</f>
        <v>46273</v>
      </c>
      <c r="B3033" s="1" t="str">
        <f>IFERROR(__xludf.DUMMYFUNCTION("""COMPUTED_VALUE"""),"FRANCISCO , ROSELYN")</f>
        <v>FRANCISCO , ROSELYN</v>
      </c>
      <c r="C3033" s="1" t="str">
        <f>IFERROR(__xludf.DUMMYFUNCTION("""COMPUTED_VALUE"""),"ORGANIC")</f>
        <v>ORGANIC</v>
      </c>
      <c r="D3033" s="1" t="str">
        <f>IFERROR(__xludf.DUMMYFUNCTION("""COMPUTED_VALUE"""),"REMOLLO LEA")</f>
        <v>REMOLLO LEA</v>
      </c>
      <c r="E3033" s="1" t="str">
        <f>IFERROR(__xludf.DUMMYFUNCTION("""COMPUTED_VALUE"""),"PLDT / ONLINE")</f>
        <v>PLDT / ONLINE</v>
      </c>
      <c r="F3033" s="1"/>
      <c r="G3033" s="1"/>
      <c r="H3033" s="1" t="str">
        <f>IFERROR(__xludf.DUMMYFUNCTION("""COMPUTED_VALUE"""),"#N/A")</f>
        <v>#N/A</v>
      </c>
      <c r="I3033" s="1">
        <f>IFERROR(__xludf.DUMMYFUNCTION("""COMPUTED_VALUE"""),9701806559)</f>
        <v>9701806559</v>
      </c>
      <c r="J3033" s="1">
        <f>IFERROR(__xludf.DUMMYFUNCTION("""COMPUTED_VALUE"""),9701878021)</f>
        <v>9701878021</v>
      </c>
      <c r="K3033" s="1" t="str">
        <f>IFERROR(__xludf.DUMMYFUNCTION("""COMPUTED_VALUE"""),"churcusj@gmail.com")</f>
        <v>churcusj@gmail.com</v>
      </c>
      <c r="L3033" s="1" t="str">
        <f>IFERROR(__xludf.DUMMYFUNCTION("""COMPUTED_VALUE"""),"213")</f>
        <v>213</v>
      </c>
      <c r="M3033" s="1" t="str">
        <f>IFERROR(__xludf.DUMMYFUNCTION("""COMPUTED_VALUE"""),"MABINI")</f>
        <v>MABINI</v>
      </c>
      <c r="N3033" s="1" t="str">
        <f>IFERROR(__xludf.DUMMYFUNCTION("""COMPUTED_VALUE"""),"#N/A")</f>
        <v>#N/A</v>
      </c>
      <c r="O3033" s="1" t="str">
        <f>IFERROR(__xludf.DUMMYFUNCTION("""COMPUTED_VALUE"""),"BARANGAY V (POB.)")</f>
        <v>BARANGAY V (POB.)</v>
      </c>
      <c r="P3033" s="1" t="str">
        <f>IFERROR(__xludf.DUMMYFUNCTION("""COMPUTED_VALUE"""),"AMADEO")</f>
        <v>AMADEO</v>
      </c>
      <c r="Q3033" s="1" t="str">
        <f>IFERROR(__xludf.DUMMYFUNCTION("""COMPUTED_VALUE"""),"CAVITE")</f>
        <v>CAVITE</v>
      </c>
      <c r="R3033" s="1" t="str">
        <f>IFERROR(__xludf.DUMMYFUNCTION("""COMPUTED_VALUE"""),"FIBR PLAN 1299")</f>
        <v>FIBR PLAN 1299</v>
      </c>
      <c r="S3033" s="1" t="str">
        <f>IFERROR(__xludf.DUMMYFUNCTION("""COMPUTED_VALUE"""),"CANCELLED ")</f>
        <v>CANCELLED </v>
      </c>
      <c r="T3033" s="1" t="str">
        <f>IFERROR(__xludf.DUMMYFUNCTION("""COMPUTED_VALUE"""),"#N/A")</f>
        <v>#N/A</v>
      </c>
      <c r="U3033" s="1"/>
      <c r="V3033" s="1"/>
      <c r="W3033" s="1"/>
    </row>
    <row r="3034" customHeight="1" spans="1:23">
      <c r="A3034" s="3">
        <f>IFERROR(__xludf.DUMMYFUNCTION("""COMPUTED_VALUE"""),46273)</f>
        <v>46273</v>
      </c>
      <c r="B3034" s="1" t="str">
        <f>IFERROR(__xludf.DUMMYFUNCTION("""COMPUTED_VALUE"""),"FRANCISCO , ROSELYN")</f>
        <v>FRANCISCO , ROSELYN</v>
      </c>
      <c r="C3034" s="1" t="str">
        <f>IFERROR(__xludf.DUMMYFUNCTION("""COMPUTED_VALUE"""),"ORGANIC")</f>
        <v>ORGANIC</v>
      </c>
      <c r="D3034" s="1" t="str">
        <f>IFERROR(__xludf.DUMMYFUNCTION("""COMPUTED_VALUE"""),"REMOLLO LEA")</f>
        <v>REMOLLO LEA</v>
      </c>
      <c r="E3034" s="1" t="str">
        <f>IFERROR(__xludf.DUMMYFUNCTION("""COMPUTED_VALUE"""),"PLDT / ONLINE")</f>
        <v>PLDT / ONLINE</v>
      </c>
      <c r="F3034" s="1"/>
      <c r="G3034" s="1">
        <f>IFERROR(__xludf.DUMMYFUNCTION("""COMPUTED_VALUE"""),2312472412)</f>
        <v>2312472412</v>
      </c>
      <c r="H3034" s="1" t="str">
        <f>IFERROR(__xludf.DUMMYFUNCTION("""COMPUTED_VALUE"""),"#N/A")</f>
        <v>#N/A</v>
      </c>
      <c r="I3034" s="1">
        <f>IFERROR(__xludf.DUMMYFUNCTION("""COMPUTED_VALUE"""),9911455372)</f>
        <v>9911455372</v>
      </c>
      <c r="J3034" s="1"/>
      <c r="K3034" s="1" t="str">
        <f>IFERROR(__xludf.DUMMYFUNCTION("""COMPUTED_VALUE"""),"shanlooez09@gmail.com")</f>
        <v>shanlooez09@gmail.com</v>
      </c>
      <c r="L3034" s="1" t="str">
        <f>IFERROR(__xludf.DUMMYFUNCTION("""COMPUTED_VALUE"""),"BLK 17 LOT 13")</f>
        <v>BLK 17 LOT 13</v>
      </c>
      <c r="M3034" s="1" t="str">
        <f>IFERROR(__xludf.DUMMYFUNCTION("""COMPUTED_VALUE"""),"PABAHAY 200")</f>
        <v>PABAHAY 200</v>
      </c>
      <c r="N3034" s="1" t="str">
        <f>IFERROR(__xludf.DUMMYFUNCTION("""COMPUTED_VALUE"""),"#N/A")</f>
        <v>#N/A</v>
      </c>
      <c r="O3034" s="1" t="str">
        <f>IFERROR(__xludf.DUMMYFUNCTION("""COMPUTED_VALUE"""),"PARADAHAN II")</f>
        <v>PARADAHAN II</v>
      </c>
      <c r="P3034" s="1" t="str">
        <f>IFERROR(__xludf.DUMMYFUNCTION("""COMPUTED_VALUE"""),"TANZA")</f>
        <v>TANZA</v>
      </c>
      <c r="Q3034" s="1" t="str">
        <f>IFERROR(__xludf.DUMMYFUNCTION("""COMPUTED_VALUE"""),"CAVITE")</f>
        <v>CAVITE</v>
      </c>
      <c r="R3034" s="1" t="str">
        <f>IFERROR(__xludf.DUMMYFUNCTION("""COMPUTED_VALUE"""),"FIBR PLAN 1299")</f>
        <v>FIBR PLAN 1299</v>
      </c>
      <c r="S3034" s="1" t="str">
        <f>IFERROR(__xludf.DUMMYFUNCTION("""COMPUTED_VALUE"""),"APPROVED")</f>
        <v>APPROVED</v>
      </c>
      <c r="T3034" s="1" t="str">
        <f>IFERROR(__xludf.DUMMYFUNCTION("""COMPUTED_VALUE"""),"#N/A")</f>
        <v>#N/A</v>
      </c>
      <c r="U3034" s="1" t="str">
        <f>IFERROR(__xludf.DUMMYFUNCTION("""COMPUTED_VALUE"""),"POSTED")</f>
        <v>POSTED</v>
      </c>
      <c r="V3034" s="1"/>
      <c r="W3034" s="1"/>
    </row>
    <row r="3035" customHeight="1" spans="1:23">
      <c r="A3035" s="3">
        <f>IFERROR(__xludf.DUMMYFUNCTION("""COMPUTED_VALUE"""),46273)</f>
        <v>46273</v>
      </c>
      <c r="B3035" s="1" t="str">
        <f>IFERROR(__xludf.DUMMYFUNCTION("""COMPUTED_VALUE"""),"MALIWAT MARK ELVIN")</f>
        <v>MALIWAT MARK ELVIN</v>
      </c>
      <c r="C3035" s="1" t="str">
        <f>IFERROR(__xludf.DUMMYFUNCTION("""COMPUTED_VALUE"""),"FLA")</f>
        <v>FLA</v>
      </c>
      <c r="D3035" s="1" t="str">
        <f>IFERROR(__xludf.DUMMYFUNCTION("""COMPUTED_VALUE"""),"JERIC NAVARRO")</f>
        <v>JERIC NAVARRO</v>
      </c>
      <c r="E3035" s="1" t="str">
        <f>IFERROR(__xludf.DUMMYFUNCTION("""COMPUTED_VALUE"""),"PLDT / ONLINE")</f>
        <v>PLDT / ONLINE</v>
      </c>
      <c r="F3035" s="1"/>
      <c r="G3035" s="1"/>
      <c r="H3035" s="1" t="str">
        <f>IFERROR(__xludf.DUMMYFUNCTION("""COMPUTED_VALUE"""),"#N/A")</f>
        <v>#N/A</v>
      </c>
      <c r="I3035" s="1">
        <f>IFERROR(__xludf.DUMMYFUNCTION("""COMPUTED_VALUE"""),9087562906)</f>
        <v>9087562906</v>
      </c>
      <c r="J3035" s="1"/>
      <c r="K3035" s="1" t="str">
        <f>IFERROR(__xludf.DUMMYFUNCTION("""COMPUTED_VALUE"""),"smpedrina@gmail.com")</f>
        <v>smpedrina@gmail.com</v>
      </c>
      <c r="L3035" s="1" t="str">
        <f>IFERROR(__xludf.DUMMYFUNCTION("""COMPUTED_VALUE"""),"BLK D1 LOT 1")</f>
        <v>BLK D1 LOT 1</v>
      </c>
      <c r="M3035" s="1" t="str">
        <f>IFERROR(__xludf.DUMMYFUNCTION("""COMPUTED_VALUE"""),"SAN NICOLAS")</f>
        <v>SAN NICOLAS</v>
      </c>
      <c r="N3035" s="1" t="str">
        <f>IFERROR(__xludf.DUMMYFUNCTION("""COMPUTED_VALUE"""),"#N/A")</f>
        <v>#N/A</v>
      </c>
      <c r="O3035" s="1" t="str">
        <f>IFERROR(__xludf.DUMMYFUNCTION("""COMPUTED_VALUE"""),"SAN NICOLAS I")</f>
        <v>SAN NICOLAS I</v>
      </c>
      <c r="P3035" s="1" t="str">
        <f>IFERROR(__xludf.DUMMYFUNCTION("""COMPUTED_VALUE"""),"DASMARINAS")</f>
        <v>DASMARINAS</v>
      </c>
      <c r="Q3035" s="1" t="str">
        <f>IFERROR(__xludf.DUMMYFUNCTION("""COMPUTED_VALUE"""),"CAVITE")</f>
        <v>CAVITE</v>
      </c>
      <c r="R3035" s="1" t="str">
        <f>IFERROR(__xludf.DUMMYFUNCTION("""COMPUTED_VALUE"""),"FIBR PLAN 1299")</f>
        <v>FIBR PLAN 1299</v>
      </c>
      <c r="S3035" s="1" t="str">
        <f>IFERROR(__xludf.DUMMYFUNCTION("""COMPUTED_VALUE"""),"APPROVED")</f>
        <v>APPROVED</v>
      </c>
      <c r="T3035" s="1" t="str">
        <f>IFERROR(__xludf.DUMMYFUNCTION("""COMPUTED_VALUE"""),"#N/A")</f>
        <v>#N/A</v>
      </c>
      <c r="U3035" s="1" t="str">
        <f>IFERROR(__xludf.DUMMYFUNCTION("""COMPUTED_VALUE"""),"POSTED")</f>
        <v>POSTED</v>
      </c>
      <c r="V3035" s="1"/>
      <c r="W3035" s="1"/>
    </row>
    <row r="3036" customHeight="1" spans="1:23">
      <c r="A3036" s="3">
        <f>IFERROR(__xludf.DUMMYFUNCTION("""COMPUTED_VALUE"""),46273)</f>
        <v>46273</v>
      </c>
      <c r="B3036" s="1" t="str">
        <f>IFERROR(__xludf.DUMMYFUNCTION("""COMPUTED_VALUE"""),"FRANCISCO , ROSELYN")</f>
        <v>FRANCISCO , ROSELYN</v>
      </c>
      <c r="C3036" s="1" t="str">
        <f>IFERROR(__xludf.DUMMYFUNCTION("""COMPUTED_VALUE"""),"ORGANIC")</f>
        <v>ORGANIC</v>
      </c>
      <c r="D3036" s="1" t="str">
        <f>IFERROR(__xludf.DUMMYFUNCTION("""COMPUTED_VALUE"""),"REMOLLO LEA")</f>
        <v>REMOLLO LEA</v>
      </c>
      <c r="E3036" s="1" t="str">
        <f>IFERROR(__xludf.DUMMYFUNCTION("""COMPUTED_VALUE"""),"PLDT / ONLINE")</f>
        <v>PLDT / ONLINE</v>
      </c>
      <c r="F3036" s="1"/>
      <c r="G3036" s="1">
        <f>IFERROR(__xludf.DUMMYFUNCTION("""COMPUTED_VALUE"""),2312469302)</f>
        <v>2312469302</v>
      </c>
      <c r="H3036" s="1" t="str">
        <f>IFERROR(__xludf.DUMMYFUNCTION("""COMPUTED_VALUE"""),"#N/A")</f>
        <v>#N/A</v>
      </c>
      <c r="I3036" s="1">
        <f>IFERROR(__xludf.DUMMYFUNCTION("""COMPUTED_VALUE"""),9977842757)</f>
        <v>9977842757</v>
      </c>
      <c r="J3036" s="1">
        <f>IFERROR(__xludf.DUMMYFUNCTION("""COMPUTED_VALUE"""),9932191318)</f>
        <v>9932191318</v>
      </c>
      <c r="K3036" s="1" t="str">
        <f>IFERROR(__xludf.DUMMYFUNCTION("""COMPUTED_VALUE"""),"triplexprintz@gmail.com")</f>
        <v>triplexprintz@gmail.com</v>
      </c>
      <c r="L3036" s="1" t="str">
        <f>IFERROR(__xludf.DUMMYFUNCTION("""COMPUTED_VALUE"""),"225")</f>
        <v>225</v>
      </c>
      <c r="M3036" s="1" t="str">
        <f>IFERROR(__xludf.DUMMYFUNCTION("""COMPUTED_VALUE"""),"PUROK 2")</f>
        <v>PUROK 2</v>
      </c>
      <c r="N3036" s="1" t="str">
        <f>IFERROR(__xludf.DUMMYFUNCTION("""COMPUTED_VALUE"""),"#N/A")</f>
        <v>#N/A</v>
      </c>
      <c r="O3036" s="1" t="str">
        <f>IFERROR(__xludf.DUMMYFUNCTION("""COMPUTED_VALUE"""),"KAYTITINGA II")</f>
        <v>KAYTITINGA II</v>
      </c>
      <c r="P3036" s="1" t="str">
        <f>IFERROR(__xludf.DUMMYFUNCTION("""COMPUTED_VALUE"""),"ALFONSO")</f>
        <v>ALFONSO</v>
      </c>
      <c r="Q3036" s="1" t="str">
        <f>IFERROR(__xludf.DUMMYFUNCTION("""COMPUTED_VALUE"""),"CAVITE")</f>
        <v>CAVITE</v>
      </c>
      <c r="R3036" s="1" t="str">
        <f>IFERROR(__xludf.DUMMYFUNCTION("""COMPUTED_VALUE"""),"FIBR PLAN 1299")</f>
        <v>FIBR PLAN 1299</v>
      </c>
      <c r="S3036" s="1" t="str">
        <f>IFERROR(__xludf.DUMMYFUNCTION("""COMPUTED_VALUE"""),"APPROVED")</f>
        <v>APPROVED</v>
      </c>
      <c r="T3036" s="1" t="str">
        <f>IFERROR(__xludf.DUMMYFUNCTION("""COMPUTED_VALUE"""),"#N/A")</f>
        <v>#N/A</v>
      </c>
      <c r="U3036" s="1" t="str">
        <f>IFERROR(__xludf.DUMMYFUNCTION("""COMPUTED_VALUE"""),"POSTED")</f>
        <v>POSTED</v>
      </c>
      <c r="V3036" s="1"/>
      <c r="W3036" s="1"/>
    </row>
    <row r="3037" customHeight="1" spans="1:23">
      <c r="A3037" s="3">
        <f>IFERROR(__xludf.DUMMYFUNCTION("""COMPUTED_VALUE"""),46274)</f>
        <v>46274</v>
      </c>
      <c r="B3037" s="1" t="str">
        <f>IFERROR(__xludf.DUMMYFUNCTION("""COMPUTED_VALUE"""),"ESCARCHA, MA ALMA  ESCOTO")</f>
        <v>ESCARCHA, MA ALMA  ESCOTO</v>
      </c>
      <c r="C3037" s="1" t="str">
        <f>IFERROR(__xludf.DUMMYFUNCTION("""COMPUTED_VALUE"""),"ORGANIC")</f>
        <v>ORGANIC</v>
      </c>
      <c r="D3037" s="1" t="str">
        <f>IFERROR(__xludf.DUMMYFUNCTION("""COMPUTED_VALUE"""),"REMOLLO LEA")</f>
        <v>REMOLLO LEA</v>
      </c>
      <c r="E3037" s="1" t="str">
        <f>IFERROR(__xludf.DUMMYFUNCTION("""COMPUTED_VALUE"""),"PLDT / H2H")</f>
        <v>PLDT / H2H</v>
      </c>
      <c r="F3037" s="1"/>
      <c r="G3037" s="1"/>
      <c r="H3037" s="1" t="str">
        <f>IFERROR(__xludf.DUMMYFUNCTION("""COMPUTED_VALUE"""),"#N/A")</f>
        <v>#N/A</v>
      </c>
      <c r="I3037" s="1"/>
      <c r="J3037" s="1"/>
      <c r="K3037" s="1"/>
      <c r="L3037" s="1" t="str">
        <f>IFERROR(__xludf.DUMMYFUNCTION("""COMPUTED_VALUE"""),"#N/A")</f>
        <v>#N/A</v>
      </c>
      <c r="M3037" s="1" t="str">
        <f>IFERROR(__xludf.DUMMYFUNCTION("""COMPUTED_VALUE"""),"#N/A")</f>
        <v>#N/A</v>
      </c>
      <c r="N3037" s="1" t="str">
        <f>IFERROR(__xludf.DUMMYFUNCTION("""COMPUTED_VALUE"""),"#N/A")</f>
        <v>#N/A</v>
      </c>
      <c r="O3037" s="1" t="str">
        <f>IFERROR(__xludf.DUMMYFUNCTION("""COMPUTED_VALUE"""),"BANABA")</f>
        <v>BANABA</v>
      </c>
      <c r="P3037" s="1" t="str">
        <f>IFERROR(__xludf.DUMMYFUNCTION("""COMPUTED_VALUE"""),"SILANG")</f>
        <v>SILANG</v>
      </c>
      <c r="Q3037" s="1" t="str">
        <f>IFERROR(__xludf.DUMMYFUNCTION("""COMPUTED_VALUE"""),"CAVITE")</f>
        <v>CAVITE</v>
      </c>
      <c r="R3037" s="1" t="str">
        <f>IFERROR(__xludf.DUMMYFUNCTION("""COMPUTED_VALUE"""),"FIBR UNLI ALL PLAN 999")</f>
        <v>FIBR UNLI ALL PLAN 999</v>
      </c>
      <c r="S3037" s="1" t="str">
        <f>IFERROR(__xludf.DUMMYFUNCTION("""COMPUTED_VALUE"""),"APPROVED")</f>
        <v>APPROVED</v>
      </c>
      <c r="T3037" s="1" t="str">
        <f>IFERROR(__xludf.DUMMYFUNCTION("""COMPUTED_VALUE"""),"#N/A")</f>
        <v>#N/A</v>
      </c>
      <c r="U3037" s="1"/>
      <c r="V3037" s="1"/>
      <c r="W3037" s="1"/>
    </row>
    <row r="3038" customHeight="1" spans="1:23">
      <c r="A3038" s="3">
        <f>IFERROR(__xludf.DUMMYFUNCTION("""COMPUTED_VALUE"""),46274)</f>
        <v>46274</v>
      </c>
      <c r="B3038" s="1" t="str">
        <f>IFERROR(__xludf.DUMMYFUNCTION("""COMPUTED_VALUE"""),"FRANCISCO , ROSELYN")</f>
        <v>FRANCISCO , ROSELYN</v>
      </c>
      <c r="C3038" s="1" t="str">
        <f>IFERROR(__xludf.DUMMYFUNCTION("""COMPUTED_VALUE"""),"ORGANIC")</f>
        <v>ORGANIC</v>
      </c>
      <c r="D3038" s="1" t="str">
        <f>IFERROR(__xludf.DUMMYFUNCTION("""COMPUTED_VALUE"""),"REMOLLO LEA")</f>
        <v>REMOLLO LEA</v>
      </c>
      <c r="E3038" s="1" t="str">
        <f>IFERROR(__xludf.DUMMYFUNCTION("""COMPUTED_VALUE"""),"PLDT / ONLINE")</f>
        <v>PLDT / ONLINE</v>
      </c>
      <c r="F3038" s="1"/>
      <c r="G3038" s="1"/>
      <c r="H3038" s="1" t="str">
        <f>IFERROR(__xludf.DUMMYFUNCTION("""COMPUTED_VALUE"""),"#N/A")</f>
        <v>#N/A</v>
      </c>
      <c r="I3038" s="1"/>
      <c r="J3038" s="1"/>
      <c r="K3038" s="1"/>
      <c r="L3038" s="1" t="str">
        <f>IFERROR(__xludf.DUMMYFUNCTION("""COMPUTED_VALUE"""),"#N/A")</f>
        <v>#N/A</v>
      </c>
      <c r="M3038" s="1" t="str">
        <f>IFERROR(__xludf.DUMMYFUNCTION("""COMPUTED_VALUE"""),"#N/A")</f>
        <v>#N/A</v>
      </c>
      <c r="N3038" s="1" t="str">
        <f>IFERROR(__xludf.DUMMYFUNCTION("""COMPUTED_VALUE"""),"#N/A")</f>
        <v>#N/A</v>
      </c>
      <c r="O3038" s="1" t="str">
        <f>IFERROR(__xludf.DUMMYFUNCTION("""COMPUTED_VALUE"""),"NICOLASA VIRATA (SAN JOSE)")</f>
        <v>NICOLASA VIRATA (SAN JOSE)</v>
      </c>
      <c r="P3038" s="1" t="str">
        <f>IFERROR(__xludf.DUMMYFUNCTION("""COMPUTED_VALUE"""),"GEN MARIANO ALVAREZ")</f>
        <v>GEN MARIANO ALVAREZ</v>
      </c>
      <c r="Q3038" s="1" t="str">
        <f>IFERROR(__xludf.DUMMYFUNCTION("""COMPUTED_VALUE"""),"CAVITE")</f>
        <v>CAVITE</v>
      </c>
      <c r="R3038" s="1" t="str">
        <f>IFERROR(__xludf.DUMMYFUNCTION("""COMPUTED_VALUE"""),"FIBR UNLI ALL PLAN 1499")</f>
        <v>FIBR UNLI ALL PLAN 1499</v>
      </c>
      <c r="S3038" s="1" t="str">
        <f>IFERROR(__xludf.DUMMYFUNCTION("""COMPUTED_VALUE"""),"APPROVED")</f>
        <v>APPROVED</v>
      </c>
      <c r="T3038" s="1" t="str">
        <f>IFERROR(__xludf.DUMMYFUNCTION("""COMPUTED_VALUE"""),"#N/A")</f>
        <v>#N/A</v>
      </c>
      <c r="U3038" s="1" t="str">
        <f>IFERROR(__xludf.DUMMYFUNCTION("""COMPUTED_VALUE"""),"POSTED")</f>
        <v>POSTED</v>
      </c>
      <c r="V3038" s="1"/>
      <c r="W3038" s="1"/>
    </row>
    <row r="3039" customHeight="1" spans="1:23">
      <c r="A3039" s="3">
        <f>IFERROR(__xludf.DUMMYFUNCTION("""COMPUTED_VALUE"""),46274)</f>
        <v>46274</v>
      </c>
      <c r="B3039" s="1" t="str">
        <f>IFERROR(__xludf.DUMMYFUNCTION("""COMPUTED_VALUE"""),"MAGDARAOG, KENNETH")</f>
        <v>MAGDARAOG, KENNETH</v>
      </c>
      <c r="C3039" s="1" t="str">
        <f>IFERROR(__xludf.DUMMYFUNCTION("""COMPUTED_VALUE"""),"ORGANIC")</f>
        <v>ORGANIC</v>
      </c>
      <c r="D3039" s="1" t="str">
        <f>IFERROR(__xludf.DUMMYFUNCTION("""COMPUTED_VALUE"""),"REMOLLO LEA")</f>
        <v>REMOLLO LEA</v>
      </c>
      <c r="E3039" s="1" t="str">
        <f>IFERROR(__xludf.DUMMYFUNCTION("""COMPUTED_VALUE"""),"PLDT / ONLINE")</f>
        <v>PLDT / ONLINE</v>
      </c>
      <c r="F3039" s="1"/>
      <c r="G3039" s="1">
        <f>IFERROR(__xludf.DUMMYFUNCTION("""COMPUTED_VALUE"""),2313087684)</f>
        <v>2313087684</v>
      </c>
      <c r="H3039" s="1" t="str">
        <f>IFERROR(__xludf.DUMMYFUNCTION("""COMPUTED_VALUE"""),"475121960004")</f>
        <v>475121960004</v>
      </c>
      <c r="I3039" s="1">
        <f>IFERROR(__xludf.DUMMYFUNCTION("""COMPUTED_VALUE"""),639984354069)</f>
        <v>639984354069</v>
      </c>
      <c r="J3039" s="1"/>
      <c r="K3039" s="1"/>
      <c r="L3039" s="1" t="str">
        <f>IFERROR(__xludf.DUMMYFUNCTION("""COMPUTED_VALUE"""),"017-BL-017")</f>
        <v>017-BL-017</v>
      </c>
      <c r="M3039" s="1" t="str">
        <f>IFERROR(__xludf.DUMMYFUNCTION("""COMPUTED_VALUE"""),"SOLOMON")</f>
        <v>SOLOMON</v>
      </c>
      <c r="N3039" s="1"/>
      <c r="O3039" s="1" t="str">
        <f>IFERROR(__xludf.DUMMYFUNCTION("""COMPUTED_VALUE"""),"SEVERINO DE LAS ALAS")</f>
        <v>SEVERINO DE LAS ALAS</v>
      </c>
      <c r="P3039" s="1" t="str">
        <f>IFERROR(__xludf.DUMMYFUNCTION("""COMPUTED_VALUE"""),"GEN MARIANO ALVAREZ")</f>
        <v>GEN MARIANO ALVAREZ</v>
      </c>
      <c r="Q3039" s="1" t="str">
        <f>IFERROR(__xludf.DUMMYFUNCTION("""COMPUTED_VALUE"""),"CAVITE")</f>
        <v>CAVITE</v>
      </c>
      <c r="R3039" s="1" t="str">
        <f>IFERROR(__xludf.DUMMYFUNCTION("""COMPUTED_VALUE"""),"FIBR PLAN 1299")</f>
        <v>FIBR PLAN 1299</v>
      </c>
      <c r="S3039" s="1" t="str">
        <f>IFERROR(__xludf.DUMMYFUNCTION("""COMPUTED_VALUE"""),"APPROVED")</f>
        <v>APPROVED</v>
      </c>
      <c r="T3039" s="1" t="str">
        <f>IFERROR(__xludf.DUMMYFUNCTION("""COMPUTED_VALUE"""),"CLOSED")</f>
        <v>CLOSED</v>
      </c>
      <c r="U3039" s="1"/>
      <c r="V3039" s="1"/>
      <c r="W3039" s="1"/>
    </row>
    <row r="3040" customHeight="1" spans="1:23">
      <c r="A3040" s="3">
        <f>IFERROR(__xludf.DUMMYFUNCTION("""COMPUTED_VALUE"""),46274)</f>
        <v>46274</v>
      </c>
      <c r="B3040" s="1" t="str">
        <f>IFERROR(__xludf.DUMMYFUNCTION("""COMPUTED_VALUE"""),"ESCARCHA, MA ALMA  ESCOTO")</f>
        <v>ESCARCHA, MA ALMA  ESCOTO</v>
      </c>
      <c r="C3040" s="1" t="str">
        <f>IFERROR(__xludf.DUMMYFUNCTION("""COMPUTED_VALUE"""),"ORGANIC")</f>
        <v>ORGANIC</v>
      </c>
      <c r="D3040" s="1" t="str">
        <f>IFERROR(__xludf.DUMMYFUNCTION("""COMPUTED_VALUE"""),"REMOLLO LEA")</f>
        <v>REMOLLO LEA</v>
      </c>
      <c r="E3040" s="1" t="str">
        <f>IFERROR(__xludf.DUMMYFUNCTION("""COMPUTED_VALUE"""),"PLDT / H2H")</f>
        <v>PLDT / H2H</v>
      </c>
      <c r="F3040" s="1"/>
      <c r="G3040" s="1"/>
      <c r="H3040" s="1" t="str">
        <f>IFERROR(__xludf.DUMMYFUNCTION("""COMPUTED_VALUE"""),"#N/A")</f>
        <v>#N/A</v>
      </c>
      <c r="I3040" s="1"/>
      <c r="J3040" s="1"/>
      <c r="K3040" s="1"/>
      <c r="L3040" s="1" t="str">
        <f>IFERROR(__xludf.DUMMYFUNCTION("""COMPUTED_VALUE"""),"#N/A")</f>
        <v>#N/A</v>
      </c>
      <c r="M3040" s="1" t="str">
        <f>IFERROR(__xludf.DUMMYFUNCTION("""COMPUTED_VALUE"""),"#N/A")</f>
        <v>#N/A</v>
      </c>
      <c r="N3040" s="1" t="str">
        <f>IFERROR(__xludf.DUMMYFUNCTION("""COMPUTED_VALUE"""),"#N/A")</f>
        <v>#N/A</v>
      </c>
      <c r="O3040" s="1" t="str">
        <f>IFERROR(__xludf.DUMMYFUNCTION("""COMPUTED_VALUE"""),"ULAT")</f>
        <v>ULAT</v>
      </c>
      <c r="P3040" s="1" t="str">
        <f>IFERROR(__xludf.DUMMYFUNCTION("""COMPUTED_VALUE"""),"SILANG")</f>
        <v>SILANG</v>
      </c>
      <c r="Q3040" s="1" t="str">
        <f>IFERROR(__xludf.DUMMYFUNCTION("""COMPUTED_VALUE"""),"CAVITE")</f>
        <v>CAVITE</v>
      </c>
      <c r="R3040" s="1" t="str">
        <f>IFERROR(__xludf.DUMMYFUNCTION("""COMPUTED_VALUE"""),"FIBR PLAN 1299")</f>
        <v>FIBR PLAN 1299</v>
      </c>
      <c r="S3040" s="1" t="str">
        <f>IFERROR(__xludf.DUMMYFUNCTION("""COMPUTED_VALUE"""),"APPROVED")</f>
        <v>APPROVED</v>
      </c>
      <c r="T3040" s="1" t="str">
        <f>IFERROR(__xludf.DUMMYFUNCTION("""COMPUTED_VALUE"""),"#N/A")</f>
        <v>#N/A</v>
      </c>
      <c r="U3040" s="1" t="str">
        <f>IFERROR(__xludf.DUMMYFUNCTION("""COMPUTED_VALUE"""),"POSTED")</f>
        <v>POSTED</v>
      </c>
      <c r="V3040" s="1"/>
      <c r="W3040" s="1"/>
    </row>
    <row r="3041" customHeight="1" spans="1:23">
      <c r="A3041" s="3">
        <f>IFERROR(__xludf.DUMMYFUNCTION("""COMPUTED_VALUE"""),46274)</f>
        <v>46274</v>
      </c>
      <c r="B3041" s="1" t="str">
        <f>IFERROR(__xludf.DUMMYFUNCTION("""COMPUTED_VALUE"""),"ALINGARO, CINDY")</f>
        <v>ALINGARO, CINDY</v>
      </c>
      <c r="C3041" s="1" t="str">
        <f>IFERROR(__xludf.DUMMYFUNCTION("""COMPUTED_VALUE"""),"FLA")</f>
        <v>FLA</v>
      </c>
      <c r="D3041" s="1" t="str">
        <f>IFERROR(__xludf.DUMMYFUNCTION("""COMPUTED_VALUE"""),"JERIC NAVARRO")</f>
        <v>JERIC NAVARRO</v>
      </c>
      <c r="E3041" s="1" t="str">
        <f>IFERROR(__xludf.DUMMYFUNCTION("""COMPUTED_VALUE"""),"PLDT / H2H")</f>
        <v>PLDT / H2H</v>
      </c>
      <c r="F3041" s="1"/>
      <c r="G3041" s="1"/>
      <c r="H3041" s="1" t="str">
        <f>IFERROR(__xludf.DUMMYFUNCTION("""COMPUTED_VALUE"""),"#N/A")</f>
        <v>#N/A</v>
      </c>
      <c r="I3041" s="1"/>
      <c r="J3041" s="1"/>
      <c r="K3041" s="1"/>
      <c r="L3041" s="1" t="str">
        <f>IFERROR(__xludf.DUMMYFUNCTION("""COMPUTED_VALUE"""),"#N/A")</f>
        <v>#N/A</v>
      </c>
      <c r="M3041" s="1" t="str">
        <f>IFERROR(__xludf.DUMMYFUNCTION("""COMPUTED_VALUE"""),"#N/A")</f>
        <v>#N/A</v>
      </c>
      <c r="N3041" s="1" t="str">
        <f>IFERROR(__xludf.DUMMYFUNCTION("""COMPUTED_VALUE"""),"#N/A")</f>
        <v>#N/A</v>
      </c>
      <c r="O3041" s="1" t="str">
        <f>IFERROR(__xludf.DUMMYFUNCTION("""COMPUTED_VALUE"""),"SALAWAG")</f>
        <v>SALAWAG</v>
      </c>
      <c r="P3041" s="1" t="str">
        <f>IFERROR(__xludf.DUMMYFUNCTION("""COMPUTED_VALUE"""),"DASMARINAS")</f>
        <v>DASMARINAS</v>
      </c>
      <c r="Q3041" s="1" t="str">
        <f>IFERROR(__xludf.DUMMYFUNCTION("""COMPUTED_VALUE"""),"CAVITE")</f>
        <v>CAVITE</v>
      </c>
      <c r="R3041" s="1" t="str">
        <f>IFERROR(__xludf.DUMMYFUNCTION("""COMPUTED_VALUE"""),"FIBR PLAN 1299")</f>
        <v>FIBR PLAN 1299</v>
      </c>
      <c r="S3041" s="1" t="str">
        <f>IFERROR(__xludf.DUMMYFUNCTION("""COMPUTED_VALUE"""),"APPROVED")</f>
        <v>APPROVED</v>
      </c>
      <c r="T3041" s="1" t="str">
        <f>IFERROR(__xludf.DUMMYFUNCTION("""COMPUTED_VALUE"""),"#N/A")</f>
        <v>#N/A</v>
      </c>
      <c r="U3041" s="1" t="str">
        <f>IFERROR(__xludf.DUMMYFUNCTION("""COMPUTED_VALUE"""),"POSTED")</f>
        <v>POSTED</v>
      </c>
      <c r="V3041" s="1"/>
      <c r="W3041" s="1"/>
    </row>
    <row r="3042" customHeight="1" spans="1:23">
      <c r="A3042" s="3">
        <f>IFERROR(__xludf.DUMMYFUNCTION("""COMPUTED_VALUE"""),46274)</f>
        <v>46274</v>
      </c>
      <c r="B3042" s="1" t="str">
        <f>IFERROR(__xludf.DUMMYFUNCTION("""COMPUTED_VALUE"""),"BONZA, LEE")</f>
        <v>BONZA, LEE</v>
      </c>
      <c r="C3042" s="1" t="str">
        <f>IFERROR(__xludf.DUMMYFUNCTION("""COMPUTED_VALUE"""),"ORGANIC")</f>
        <v>ORGANIC</v>
      </c>
      <c r="D3042" s="1" t="str">
        <f>IFERROR(__xludf.DUMMYFUNCTION("""COMPUTED_VALUE"""),"MICHALE GARCIA")</f>
        <v>MICHALE GARCIA</v>
      </c>
      <c r="E3042" s="1" t="str">
        <f>IFERROR(__xludf.DUMMYFUNCTION("""COMPUTED_VALUE"""),"PLDT / H2H")</f>
        <v>PLDT / H2H</v>
      </c>
      <c r="F3042" s="1"/>
      <c r="G3042" s="1"/>
      <c r="H3042" s="1" t="str">
        <f>IFERROR(__xludf.DUMMYFUNCTION("""COMPUTED_VALUE"""),"#N/A")</f>
        <v>#N/A</v>
      </c>
      <c r="I3042" s="1"/>
      <c r="J3042" s="1"/>
      <c r="K3042" s="1"/>
      <c r="L3042" s="1" t="str">
        <f>IFERROR(__xludf.DUMMYFUNCTION("""COMPUTED_VALUE"""),"#N/A")</f>
        <v>#N/A</v>
      </c>
      <c r="M3042" s="1" t="str">
        <f>IFERROR(__xludf.DUMMYFUNCTION("""COMPUTED_VALUE"""),"#N/A")</f>
        <v>#N/A</v>
      </c>
      <c r="N3042" s="1" t="str">
        <f>IFERROR(__xludf.DUMMYFUNCTION("""COMPUTED_VALUE"""),"#N/A")</f>
        <v>#N/A</v>
      </c>
      <c r="O3042" s="1" t="str">
        <f>IFERROR(__xludf.DUMMYFUNCTION("""COMPUTED_VALUE"""),"PAG-ASA II")</f>
        <v>PAG-ASA II</v>
      </c>
      <c r="P3042" s="1" t="str">
        <f>IFERROR(__xludf.DUMMYFUNCTION("""COMPUTED_VALUE"""),"IMUS")</f>
        <v>IMUS</v>
      </c>
      <c r="Q3042" s="1" t="str">
        <f>IFERROR(__xludf.DUMMYFUNCTION("""COMPUTED_VALUE"""),"CAVITE")</f>
        <v>CAVITE</v>
      </c>
      <c r="R3042" s="1" t="str">
        <f>IFERROR(__xludf.DUMMYFUNCTION("""COMPUTED_VALUE"""),"FIBR UNLI ALL PLAN 1499")</f>
        <v>FIBR UNLI ALL PLAN 1499</v>
      </c>
      <c r="S3042" s="1" t="str">
        <f>IFERROR(__xludf.DUMMYFUNCTION("""COMPUTED_VALUE"""),"APPROVED")</f>
        <v>APPROVED</v>
      </c>
      <c r="T3042" s="1" t="str">
        <f>IFERROR(__xludf.DUMMYFUNCTION("""COMPUTED_VALUE"""),"#N/A")</f>
        <v>#N/A</v>
      </c>
      <c r="U3042" s="1"/>
      <c r="V3042" s="1"/>
      <c r="W3042" s="1"/>
    </row>
    <row r="3043" customHeight="1" spans="1:23">
      <c r="A3043" s="3">
        <f>IFERROR(__xludf.DUMMYFUNCTION("""COMPUTED_VALUE"""),46274)</f>
        <v>46274</v>
      </c>
      <c r="B3043" s="1" t="str">
        <f>IFERROR(__xludf.DUMMYFUNCTION("""COMPUTED_VALUE"""),"MORADOS, MARVIN")</f>
        <v>MORADOS, MARVIN</v>
      </c>
      <c r="C3043" s="1" t="str">
        <f>IFERROR(__xludf.DUMMYFUNCTION("""COMPUTED_VALUE"""),"ORGANIC")</f>
        <v>ORGANIC</v>
      </c>
      <c r="D3043" s="1" t="str">
        <f>IFERROR(__xludf.DUMMYFUNCTION("""COMPUTED_VALUE"""),"MICHALE GARCIA")</f>
        <v>MICHALE GARCIA</v>
      </c>
      <c r="E3043" s="1" t="str">
        <f>IFERROR(__xludf.DUMMYFUNCTION("""COMPUTED_VALUE"""),"PLDT / H2H")</f>
        <v>PLDT / H2H</v>
      </c>
      <c r="F3043" s="1"/>
      <c r="G3043" s="1"/>
      <c r="H3043" s="1" t="str">
        <f>IFERROR(__xludf.DUMMYFUNCTION("""COMPUTED_VALUE"""),"#N/A")</f>
        <v>#N/A</v>
      </c>
      <c r="I3043" s="1"/>
      <c r="J3043" s="1"/>
      <c r="K3043" s="1"/>
      <c r="L3043" s="1" t="str">
        <f>IFERROR(__xludf.DUMMYFUNCTION("""COMPUTED_VALUE"""),"#N/A")</f>
        <v>#N/A</v>
      </c>
      <c r="M3043" s="1" t="str">
        <f>IFERROR(__xludf.DUMMYFUNCTION("""COMPUTED_VALUE"""),"#N/A")</f>
        <v>#N/A</v>
      </c>
      <c r="N3043" s="1" t="str">
        <f>IFERROR(__xludf.DUMMYFUNCTION("""COMPUTED_VALUE"""),"#N/A")</f>
        <v>#N/A</v>
      </c>
      <c r="O3043" s="1" t="str">
        <f>IFERROR(__xludf.DUMMYFUNCTION("""COMPUTED_VALUE"""),"HUGO PEREZ")</f>
        <v>HUGO PEREZ</v>
      </c>
      <c r="P3043" s="1" t="str">
        <f>IFERROR(__xludf.DUMMYFUNCTION("""COMPUTED_VALUE"""),"TRECE MARTIRES")</f>
        <v>TRECE MARTIRES</v>
      </c>
      <c r="Q3043" s="1" t="str">
        <f>IFERROR(__xludf.DUMMYFUNCTION("""COMPUTED_VALUE"""),"CAVITE")</f>
        <v>CAVITE</v>
      </c>
      <c r="R3043" s="1" t="str">
        <f>IFERROR(__xludf.DUMMYFUNCTION("""COMPUTED_VALUE"""),"FIBR PLAN 1299")</f>
        <v>FIBR PLAN 1299</v>
      </c>
      <c r="S3043" s="1" t="str">
        <f>IFERROR(__xludf.DUMMYFUNCTION("""COMPUTED_VALUE"""),"APPROVED")</f>
        <v>APPROVED</v>
      </c>
      <c r="T3043" s="1" t="str">
        <f>IFERROR(__xludf.DUMMYFUNCTION("""COMPUTED_VALUE"""),"#N/A")</f>
        <v>#N/A</v>
      </c>
      <c r="U3043" s="1"/>
      <c r="V3043" s="1"/>
      <c r="W3043" s="1"/>
    </row>
    <row r="3044" customHeight="1" spans="1:23">
      <c r="A3044" s="3">
        <f>IFERROR(__xludf.DUMMYFUNCTION("""COMPUTED_VALUE"""),46274)</f>
        <v>46274</v>
      </c>
      <c r="B3044" s="1" t="str">
        <f>IFERROR(__xludf.DUMMYFUNCTION("""COMPUTED_VALUE"""),"MALIWAT MARK ELVIN")</f>
        <v>MALIWAT MARK ELVIN</v>
      </c>
      <c r="C3044" s="1" t="str">
        <f>IFERROR(__xludf.DUMMYFUNCTION("""COMPUTED_VALUE"""),"FLA")</f>
        <v>FLA</v>
      </c>
      <c r="D3044" s="1" t="str">
        <f>IFERROR(__xludf.DUMMYFUNCTION("""COMPUTED_VALUE"""),"JERIC NAVARRO")</f>
        <v>JERIC NAVARRO</v>
      </c>
      <c r="E3044" s="1" t="str">
        <f>IFERROR(__xludf.DUMMYFUNCTION("""COMPUTED_VALUE"""),"PLDT / H2H")</f>
        <v>PLDT / H2H</v>
      </c>
      <c r="F3044" s="1"/>
      <c r="G3044" s="1"/>
      <c r="H3044" s="1" t="str">
        <f>IFERROR(__xludf.DUMMYFUNCTION("""COMPUTED_VALUE"""),"#N/A")</f>
        <v>#N/A</v>
      </c>
      <c r="I3044" s="1"/>
      <c r="J3044" s="1"/>
      <c r="K3044" s="1"/>
      <c r="L3044" s="1" t="str">
        <f>IFERROR(__xludf.DUMMYFUNCTION("""COMPUTED_VALUE"""),"#N/A")</f>
        <v>#N/A</v>
      </c>
      <c r="M3044" s="1" t="str">
        <f>IFERROR(__xludf.DUMMYFUNCTION("""COMPUTED_VALUE"""),"#N/A")</f>
        <v>#N/A</v>
      </c>
      <c r="N3044" s="1" t="str">
        <f>IFERROR(__xludf.DUMMYFUNCTION("""COMPUTED_VALUE"""),"#N/A")</f>
        <v>#N/A</v>
      </c>
      <c r="O3044" s="1" t="str">
        <f>IFERROR(__xludf.DUMMYFUNCTION("""COMPUTED_VALUE"""),"KAYTITINGA II")</f>
        <v>KAYTITINGA II</v>
      </c>
      <c r="P3044" s="1" t="str">
        <f>IFERROR(__xludf.DUMMYFUNCTION("""COMPUTED_VALUE"""),"ALFONSO")</f>
        <v>ALFONSO</v>
      </c>
      <c r="Q3044" s="1" t="str">
        <f>IFERROR(__xludf.DUMMYFUNCTION("""COMPUTED_VALUE"""),"CAVITE")</f>
        <v>CAVITE</v>
      </c>
      <c r="R3044" s="1" t="str">
        <f>IFERROR(__xludf.DUMMYFUNCTION("""COMPUTED_VALUE"""),"FIBR UNLI ALL PLAN 999")</f>
        <v>FIBR UNLI ALL PLAN 999</v>
      </c>
      <c r="S3044" s="1" t="str">
        <f>IFERROR(__xludf.DUMMYFUNCTION("""COMPUTED_VALUE"""),"APPROVED")</f>
        <v>APPROVED</v>
      </c>
      <c r="T3044" s="1" t="str">
        <f>IFERROR(__xludf.DUMMYFUNCTION("""COMPUTED_VALUE"""),"#N/A")</f>
        <v>#N/A</v>
      </c>
      <c r="U3044" s="1" t="str">
        <f>IFERROR(__xludf.DUMMYFUNCTION("""COMPUTED_VALUE"""),"POSTED")</f>
        <v>POSTED</v>
      </c>
      <c r="V3044" s="1"/>
      <c r="W3044" s="1"/>
    </row>
    <row r="3045" customHeight="1" spans="1:23">
      <c r="A3045" s="3">
        <f>IFERROR(__xludf.DUMMYFUNCTION("""COMPUTED_VALUE"""),46274)</f>
        <v>46274</v>
      </c>
      <c r="B3045" s="1" t="str">
        <f>IFERROR(__xludf.DUMMYFUNCTION("""COMPUTED_VALUE"""),"GABAY, MANUEL")</f>
        <v>GABAY, MANUEL</v>
      </c>
      <c r="C3045" s="1" t="str">
        <f>IFERROR(__xludf.DUMMYFUNCTION("""COMPUTED_VALUE"""),"FLA")</f>
        <v>FLA</v>
      </c>
      <c r="D3045" s="1" t="str">
        <f>IFERROR(__xludf.DUMMYFUNCTION("""COMPUTED_VALUE"""),"JERIC NAVARRO")</f>
        <v>JERIC NAVARRO</v>
      </c>
      <c r="E3045" s="1" t="str">
        <f>IFERROR(__xludf.DUMMYFUNCTION("""COMPUTED_VALUE"""),"PLDT / H2H")</f>
        <v>PLDT / H2H</v>
      </c>
      <c r="F3045" s="1"/>
      <c r="G3045" s="1"/>
      <c r="H3045" s="1" t="str">
        <f>IFERROR(__xludf.DUMMYFUNCTION("""COMPUTED_VALUE"""),"#N/A")</f>
        <v>#N/A</v>
      </c>
      <c r="I3045" s="1"/>
      <c r="J3045" s="1"/>
      <c r="K3045" s="1"/>
      <c r="L3045" s="1" t="str">
        <f>IFERROR(__xludf.DUMMYFUNCTION("""COMPUTED_VALUE"""),"#N/A")</f>
        <v>#N/A</v>
      </c>
      <c r="M3045" s="1" t="str">
        <f>IFERROR(__xludf.DUMMYFUNCTION("""COMPUTED_VALUE"""),"#N/A")</f>
        <v>#N/A</v>
      </c>
      <c r="N3045" s="1" t="str">
        <f>IFERROR(__xludf.DUMMYFUNCTION("""COMPUTED_VALUE"""),"#N/A")</f>
        <v>#N/A</v>
      </c>
      <c r="O3045" s="1" t="str">
        <f>IFERROR(__xludf.DUMMYFUNCTION("""COMPUTED_VALUE"""),"BALUBAD")</f>
        <v>BALUBAD</v>
      </c>
      <c r="P3045" s="1" t="str">
        <f>IFERROR(__xludf.DUMMYFUNCTION("""COMPUTED_VALUE"""),"SILANG")</f>
        <v>SILANG</v>
      </c>
      <c r="Q3045" s="1" t="str">
        <f>IFERROR(__xludf.DUMMYFUNCTION("""COMPUTED_VALUE"""),"CAVITE")</f>
        <v>CAVITE</v>
      </c>
      <c r="R3045" s="1" t="str">
        <f>IFERROR(__xludf.DUMMYFUNCTION("""COMPUTED_VALUE"""),"FIBR UNLI ALL PLAN 1499")</f>
        <v>FIBR UNLI ALL PLAN 1499</v>
      </c>
      <c r="S3045" s="1" t="str">
        <f>IFERROR(__xludf.DUMMYFUNCTION("""COMPUTED_VALUE"""),"APPROVED")</f>
        <v>APPROVED</v>
      </c>
      <c r="T3045" s="1" t="str">
        <f>IFERROR(__xludf.DUMMYFUNCTION("""COMPUTED_VALUE"""),"#N/A")</f>
        <v>#N/A</v>
      </c>
      <c r="U3045" s="1" t="str">
        <f>IFERROR(__xludf.DUMMYFUNCTION("""COMPUTED_VALUE"""),"POSTED")</f>
        <v>POSTED</v>
      </c>
      <c r="V3045" s="1"/>
      <c r="W3045" s="1"/>
    </row>
    <row r="3046" customHeight="1" spans="1:23">
      <c r="A3046" s="3">
        <f>IFERROR(__xludf.DUMMYFUNCTION("""COMPUTED_VALUE"""),46274)</f>
        <v>46274</v>
      </c>
      <c r="B3046" s="1" t="str">
        <f>IFERROR(__xludf.DUMMYFUNCTION("""COMPUTED_VALUE"""),"ESCARCHA, MA ALMA  ESCOTO")</f>
        <v>ESCARCHA, MA ALMA  ESCOTO</v>
      </c>
      <c r="C3046" s="1" t="str">
        <f>IFERROR(__xludf.DUMMYFUNCTION("""COMPUTED_VALUE"""),"ORGANIC")</f>
        <v>ORGANIC</v>
      </c>
      <c r="D3046" s="1" t="str">
        <f>IFERROR(__xludf.DUMMYFUNCTION("""COMPUTED_VALUE"""),"REMOLLO LEA")</f>
        <v>REMOLLO LEA</v>
      </c>
      <c r="E3046" s="1" t="str">
        <f>IFERROR(__xludf.DUMMYFUNCTION("""COMPUTED_VALUE"""),"PLDT / H2H")</f>
        <v>PLDT / H2H</v>
      </c>
      <c r="F3046" s="1"/>
      <c r="G3046" s="1"/>
      <c r="H3046" s="1" t="str">
        <f>IFERROR(__xludf.DUMMYFUNCTION("""COMPUTED_VALUE"""),"#N/A")</f>
        <v>#N/A</v>
      </c>
      <c r="I3046" s="1"/>
      <c r="J3046" s="1"/>
      <c r="K3046" s="1"/>
      <c r="L3046" s="1" t="str">
        <f>IFERROR(__xludf.DUMMYFUNCTION("""COMPUTED_VALUE"""),"#N/A")</f>
        <v>#N/A</v>
      </c>
      <c r="M3046" s="1" t="str">
        <f>IFERROR(__xludf.DUMMYFUNCTION("""COMPUTED_VALUE"""),"#N/A")</f>
        <v>#N/A</v>
      </c>
      <c r="N3046" s="1" t="str">
        <f>IFERROR(__xludf.DUMMYFUNCTION("""COMPUTED_VALUE"""),"#N/A")</f>
        <v>#N/A</v>
      </c>
      <c r="O3046" s="1" t="str">
        <f>IFERROR(__xludf.DUMMYFUNCTION("""COMPUTED_VALUE"""),"TOLENTINO EAST")</f>
        <v>TOLENTINO EAST</v>
      </c>
      <c r="P3046" s="1" t="str">
        <f>IFERROR(__xludf.DUMMYFUNCTION("""COMPUTED_VALUE"""),"TAGAYTAY")</f>
        <v>TAGAYTAY</v>
      </c>
      <c r="Q3046" s="1" t="str">
        <f>IFERROR(__xludf.DUMMYFUNCTION("""COMPUTED_VALUE"""),"CAVITE")</f>
        <v>CAVITE</v>
      </c>
      <c r="R3046" s="1" t="str">
        <f>IFERROR(__xludf.DUMMYFUNCTION("""COMPUTED_VALUE"""),"FIBR PLAN 1299")</f>
        <v>FIBR PLAN 1299</v>
      </c>
      <c r="S3046" s="1" t="str">
        <f>IFERROR(__xludf.DUMMYFUNCTION("""COMPUTED_VALUE"""),"APPROVED")</f>
        <v>APPROVED</v>
      </c>
      <c r="T3046" s="1" t="str">
        <f>IFERROR(__xludf.DUMMYFUNCTION("""COMPUTED_VALUE"""),"#N/A")</f>
        <v>#N/A</v>
      </c>
      <c r="U3046" s="1"/>
      <c r="V3046" s="1"/>
      <c r="W3046" s="1"/>
    </row>
    <row r="3047" customHeight="1" spans="1:23">
      <c r="A3047" s="3">
        <f>IFERROR(__xludf.DUMMYFUNCTION("""COMPUTED_VALUE"""),46274)</f>
        <v>46274</v>
      </c>
      <c r="B3047" s="1" t="str">
        <f>IFERROR(__xludf.DUMMYFUNCTION("""COMPUTED_VALUE"""),"GABAY, MANUEL")</f>
        <v>GABAY, MANUEL</v>
      </c>
      <c r="C3047" s="1" t="str">
        <f>IFERROR(__xludf.DUMMYFUNCTION("""COMPUTED_VALUE"""),"FLA")</f>
        <v>FLA</v>
      </c>
      <c r="D3047" s="1" t="str">
        <f>IFERROR(__xludf.DUMMYFUNCTION("""COMPUTED_VALUE"""),"JERIC NAVARRO")</f>
        <v>JERIC NAVARRO</v>
      </c>
      <c r="E3047" s="1" t="str">
        <f>IFERROR(__xludf.DUMMYFUNCTION("""COMPUTED_VALUE"""),"RED FIBER")</f>
        <v>RED FIBER</v>
      </c>
      <c r="F3047" s="1"/>
      <c r="G3047" s="1"/>
      <c r="H3047" s="1" t="str">
        <f>IFERROR(__xludf.DUMMYFUNCTION("""COMPUTED_VALUE"""),"#N/A")</f>
        <v>#N/A</v>
      </c>
      <c r="I3047" s="1">
        <f>IFERROR(__xludf.DUMMYFUNCTION("""COMPUTED_VALUE"""),9083384605)</f>
        <v>9083384605</v>
      </c>
      <c r="J3047" s="1">
        <f>IFERROR(__xludf.DUMMYFUNCTION("""COMPUTED_VALUE"""),9665976655)</f>
        <v>9665976655</v>
      </c>
      <c r="K3047" s="1"/>
      <c r="L3047" s="1" t="str">
        <f>IFERROR(__xludf.DUMMYFUNCTION("""COMPUTED_VALUE"""),"4000")</f>
        <v>4000</v>
      </c>
      <c r="M3047" s="1" t="str">
        <f>IFERROR(__xludf.DUMMYFUNCTION("""COMPUTED_VALUE"""),".PUROK 6")</f>
        <v>.PUROK 6</v>
      </c>
      <c r="N3047" s="1" t="str">
        <f>IFERROR(__xludf.DUMMYFUNCTION("""COMPUTED_VALUE"""),"#N/A")</f>
        <v>#N/A</v>
      </c>
      <c r="O3047" s="1" t="str">
        <f>IFERROR(__xludf.DUMMYFUNCTION("""COMPUTED_VALUE"""),"ULAT")</f>
        <v>ULAT</v>
      </c>
      <c r="P3047" s="1" t="str">
        <f>IFERROR(__xludf.DUMMYFUNCTION("""COMPUTED_VALUE"""),"SILANG")</f>
        <v>SILANG</v>
      </c>
      <c r="Q3047" s="1" t="str">
        <f>IFERROR(__xludf.DUMMYFUNCTION("""COMPUTED_VALUE"""),"CAVITE")</f>
        <v>CAVITE</v>
      </c>
      <c r="R3047" s="1" t="str">
        <f>IFERROR(__xludf.DUMMYFUNCTION("""COMPUTED_VALUE"""),"RED PLAN 1000")</f>
        <v>RED PLAN 1000</v>
      </c>
      <c r="S3047" s="1" t="str">
        <f>IFERROR(__xludf.DUMMYFUNCTION("""COMPUTED_VALUE"""),"APPROVED")</f>
        <v>APPROVED</v>
      </c>
      <c r="T3047" s="1" t="str">
        <f>IFERROR(__xludf.DUMMYFUNCTION("""COMPUTED_VALUE"""),"#N/A")</f>
        <v>#N/A</v>
      </c>
      <c r="U3047" s="1"/>
      <c r="V3047" s="1"/>
      <c r="W3047" s="1"/>
    </row>
    <row r="3048" customHeight="1" spans="1:23">
      <c r="A3048" s="3">
        <f>IFERROR(__xludf.DUMMYFUNCTION("""COMPUTED_VALUE"""),46274)</f>
        <v>46274</v>
      </c>
      <c r="B3048" s="1" t="str">
        <f>IFERROR(__xludf.DUMMYFUNCTION("""COMPUTED_VALUE"""),"CADERAO, RONALD")</f>
        <v>CADERAO, RONALD</v>
      </c>
      <c r="C3048" s="1" t="str">
        <f>IFERROR(__xludf.DUMMYFUNCTION("""COMPUTED_VALUE"""),"ORGANIC")</f>
        <v>ORGANIC</v>
      </c>
      <c r="D3048" s="1" t="str">
        <f>IFERROR(__xludf.DUMMYFUNCTION("""COMPUTED_VALUE"""),"REMOLLO LEA")</f>
        <v>REMOLLO LEA</v>
      </c>
      <c r="E3048" s="1" t="str">
        <f>IFERROR(__xludf.DUMMYFUNCTION("""COMPUTED_VALUE"""),"RED FIBER")</f>
        <v>RED FIBER</v>
      </c>
      <c r="F3048" s="1"/>
      <c r="G3048" s="1"/>
      <c r="H3048" s="1" t="str">
        <f>IFERROR(__xludf.DUMMYFUNCTION("""COMPUTED_VALUE"""),"#N/A")</f>
        <v>#N/A</v>
      </c>
      <c r="I3048" s="1">
        <f>IFERROR(__xludf.DUMMYFUNCTION("""COMPUTED_VALUE"""),9702201234)</f>
        <v>9702201234</v>
      </c>
      <c r="J3048" s="1"/>
      <c r="K3048" s="1"/>
      <c r="L3048" s="1" t="str">
        <f>IFERROR(__xludf.DUMMYFUNCTION("""COMPUTED_VALUE"""),"122")</f>
        <v>122</v>
      </c>
      <c r="M3048" s="1" t="str">
        <f>IFERROR(__xludf.DUMMYFUNCTION("""COMPUTED_VALUE"""),"PUROK ")</f>
        <v>PUROK </v>
      </c>
      <c r="N3048" s="1"/>
      <c r="O3048" s="1" t="str">
        <f>IFERROR(__xludf.DUMMYFUNCTION("""COMPUTED_VALUE"""),"ULAT")</f>
        <v>ULAT</v>
      </c>
      <c r="P3048" s="1" t="str">
        <f>IFERROR(__xludf.DUMMYFUNCTION("""COMPUTED_VALUE"""),"SILANG")</f>
        <v>SILANG</v>
      </c>
      <c r="Q3048" s="1" t="str">
        <f>IFERROR(__xludf.DUMMYFUNCTION("""COMPUTED_VALUE"""),"CAVITE")</f>
        <v>CAVITE</v>
      </c>
      <c r="R3048" s="1" t="str">
        <f>IFERROR(__xludf.DUMMYFUNCTION("""COMPUTED_VALUE"""),"RED PLAN 1000")</f>
        <v>RED PLAN 1000</v>
      </c>
      <c r="S3048" s="1" t="str">
        <f>IFERROR(__xludf.DUMMYFUNCTION("""COMPUTED_VALUE"""),"APPROVED")</f>
        <v>APPROVED</v>
      </c>
      <c r="T3048" s="1" t="str">
        <f>IFERROR(__xludf.DUMMYFUNCTION("""COMPUTED_VALUE"""),"#N/A")</f>
        <v>#N/A</v>
      </c>
      <c r="U3048" s="1"/>
      <c r="V3048" s="1"/>
      <c r="W3048" s="1"/>
    </row>
    <row r="3049" customHeight="1" spans="1:23">
      <c r="A3049" s="3">
        <f>IFERROR(__xludf.DUMMYFUNCTION("""COMPUTED_VALUE"""),46275)</f>
        <v>46275</v>
      </c>
      <c r="B3049" s="1" t="str">
        <f>IFERROR(__xludf.DUMMYFUNCTION("""COMPUTED_VALUE"""),"CARPIO, STEPHANIE NICOLE")</f>
        <v>CARPIO, STEPHANIE NICOLE</v>
      </c>
      <c r="C3049" s="1" t="str">
        <f>IFERROR(__xludf.DUMMYFUNCTION("""COMPUTED_VALUE"""),"FLA")</f>
        <v>FLA</v>
      </c>
      <c r="D3049" s="1" t="str">
        <f>IFERROR(__xludf.DUMMYFUNCTION("""COMPUTED_VALUE"""),"JERIC NAVARRO")</f>
        <v>JERIC NAVARRO</v>
      </c>
      <c r="E3049" s="1" t="str">
        <f>IFERROR(__xludf.DUMMYFUNCTION("""COMPUTED_VALUE"""),"PLDT / H2H")</f>
        <v>PLDT / H2H</v>
      </c>
      <c r="F3049" s="1"/>
      <c r="G3049" s="1">
        <f>IFERROR(__xludf.DUMMYFUNCTION("""COMPUTED_VALUE"""),2312497031)</f>
        <v>2312497031</v>
      </c>
      <c r="H3049" s="1" t="str">
        <f>IFERROR(__xludf.DUMMYFUNCTION("""COMPUTED_VALUE"""),"#N/A")</f>
        <v>#N/A</v>
      </c>
      <c r="I3049" s="1"/>
      <c r="J3049" s="1"/>
      <c r="K3049" s="1"/>
      <c r="L3049" s="1" t="str">
        <f>IFERROR(__xludf.DUMMYFUNCTION("""COMPUTED_VALUE"""),"#N/A")</f>
        <v>#N/A</v>
      </c>
      <c r="M3049" s="1" t="str">
        <f>IFERROR(__xludf.DUMMYFUNCTION("""COMPUTED_VALUE"""),"#N/A")</f>
        <v>#N/A</v>
      </c>
      <c r="N3049" s="1" t="str">
        <f>IFERROR(__xludf.DUMMYFUNCTION("""COMPUTED_VALUE"""),"#N/A")</f>
        <v>#N/A</v>
      </c>
      <c r="O3049" s="1" t="str">
        <f>IFERROR(__xludf.DUMMYFUNCTION("""COMPUTED_VALUE"""),"BARANGAY 24 (LIBRA)")</f>
        <v>BARANGAY 24 (LIBRA)</v>
      </c>
      <c r="P3049" s="1" t="str">
        <f>IFERROR(__xludf.DUMMYFUNCTION("""COMPUTED_VALUE"""),"CAVITE CITY")</f>
        <v>CAVITE CITY</v>
      </c>
      <c r="Q3049" s="1" t="str">
        <f>IFERROR(__xludf.DUMMYFUNCTION("""COMPUTED_VALUE"""),"CAVITE")</f>
        <v>CAVITE</v>
      </c>
      <c r="R3049" s="1" t="str">
        <f>IFERROR(__xludf.DUMMYFUNCTION("""COMPUTED_VALUE"""),"FIBR UNLI ALL PLAN 1499")</f>
        <v>FIBR UNLI ALL PLAN 1499</v>
      </c>
      <c r="S3049" s="1" t="str">
        <f>IFERROR(__xludf.DUMMYFUNCTION("""COMPUTED_VALUE"""),"APPROVED")</f>
        <v>APPROVED</v>
      </c>
      <c r="T3049" s="1" t="str">
        <f>IFERROR(__xludf.DUMMYFUNCTION("""COMPUTED_VALUE"""),"#N/A")</f>
        <v>#N/A</v>
      </c>
      <c r="U3049" s="1"/>
      <c r="V3049" s="1"/>
      <c r="W3049" s="1"/>
    </row>
    <row r="3050" customHeight="1" spans="1:23">
      <c r="A3050" s="3">
        <f>IFERROR(__xludf.DUMMYFUNCTION("""COMPUTED_VALUE"""),46275)</f>
        <v>46275</v>
      </c>
      <c r="B3050" s="1" t="str">
        <f>IFERROR(__xludf.DUMMYFUNCTION("""COMPUTED_VALUE"""),"MALIWAT MARK ELVIN")</f>
        <v>MALIWAT MARK ELVIN</v>
      </c>
      <c r="C3050" s="1" t="str">
        <f>IFERROR(__xludf.DUMMYFUNCTION("""COMPUTED_VALUE"""),"FLA")</f>
        <v>FLA</v>
      </c>
      <c r="D3050" s="1" t="str">
        <f>IFERROR(__xludf.DUMMYFUNCTION("""COMPUTED_VALUE"""),"JERIC NAVARRO")</f>
        <v>JERIC NAVARRO</v>
      </c>
      <c r="E3050" s="1" t="str">
        <f>IFERROR(__xludf.DUMMYFUNCTION("""COMPUTED_VALUE"""),"PLDT / ONLINE")</f>
        <v>PLDT / ONLINE</v>
      </c>
      <c r="F3050" s="1"/>
      <c r="G3050" s="1"/>
      <c r="H3050" s="1" t="str">
        <f>IFERROR(__xludf.DUMMYFUNCTION("""COMPUTED_VALUE"""),"#N/A")</f>
        <v>#N/A</v>
      </c>
      <c r="I3050" s="1"/>
      <c r="J3050" s="1"/>
      <c r="K3050" s="1"/>
      <c r="L3050" s="1" t="str">
        <f>IFERROR(__xludf.DUMMYFUNCTION("""COMPUTED_VALUE"""),"#N/A")</f>
        <v>#N/A</v>
      </c>
      <c r="M3050" s="1" t="str">
        <f>IFERROR(__xludf.DUMMYFUNCTION("""COMPUTED_VALUE"""),"#N/A")</f>
        <v>#N/A</v>
      </c>
      <c r="N3050" s="1" t="str">
        <f>IFERROR(__xludf.DUMMYFUNCTION("""COMPUTED_VALUE"""),"#N/A")</f>
        <v>#N/A</v>
      </c>
      <c r="O3050" s="1" t="str">
        <f>IFERROR(__xludf.DUMMYFUNCTION("""COMPUTED_VALUE"""),"SAN AGUSTIN I")</f>
        <v>SAN AGUSTIN I</v>
      </c>
      <c r="P3050" s="1" t="str">
        <f>IFERROR(__xludf.DUMMYFUNCTION("""COMPUTED_VALUE"""),"DASMARINAS")</f>
        <v>DASMARINAS</v>
      </c>
      <c r="Q3050" s="1" t="str">
        <f>IFERROR(__xludf.DUMMYFUNCTION("""COMPUTED_VALUE"""),"CAVITE")</f>
        <v>CAVITE</v>
      </c>
      <c r="R3050" s="1" t="str">
        <f>IFERROR(__xludf.DUMMYFUNCTION("""COMPUTED_VALUE"""),"FIBR PLAN 1299")</f>
        <v>FIBR PLAN 1299</v>
      </c>
      <c r="S3050" s="1" t="str">
        <f>IFERROR(__xludf.DUMMYFUNCTION("""COMPUTED_VALUE"""),"APPROVED")</f>
        <v>APPROVED</v>
      </c>
      <c r="T3050" s="1" t="str">
        <f>IFERROR(__xludf.DUMMYFUNCTION("""COMPUTED_VALUE"""),"#N/A")</f>
        <v>#N/A</v>
      </c>
      <c r="U3050" s="1"/>
      <c r="V3050" s="1"/>
      <c r="W3050" s="1"/>
    </row>
    <row r="3051" customHeight="1" spans="1:23">
      <c r="A3051" s="3">
        <f>IFERROR(__xludf.DUMMYFUNCTION("""COMPUTED_VALUE"""),46275)</f>
        <v>46275</v>
      </c>
      <c r="B3051" s="1" t="str">
        <f>IFERROR(__xludf.DUMMYFUNCTION("""COMPUTED_VALUE"""),"GABAY, MANUEL")</f>
        <v>GABAY, MANUEL</v>
      </c>
      <c r="C3051" s="1" t="str">
        <f>IFERROR(__xludf.DUMMYFUNCTION("""COMPUTED_VALUE"""),"FLA")</f>
        <v>FLA</v>
      </c>
      <c r="D3051" s="1" t="str">
        <f>IFERROR(__xludf.DUMMYFUNCTION("""COMPUTED_VALUE"""),"JERIC NAVARRO")</f>
        <v>JERIC NAVARRO</v>
      </c>
      <c r="E3051" s="1" t="str">
        <f>IFERROR(__xludf.DUMMYFUNCTION("""COMPUTED_VALUE"""),"PLDT / ONLINE")</f>
        <v>PLDT / ONLINE</v>
      </c>
      <c r="F3051" s="1"/>
      <c r="G3051" s="1"/>
      <c r="H3051" s="1" t="str">
        <f>IFERROR(__xludf.DUMMYFUNCTION("""COMPUTED_VALUE"""),"#N/A")</f>
        <v>#N/A</v>
      </c>
      <c r="I3051" s="1"/>
      <c r="J3051" s="1"/>
      <c r="K3051" s="1"/>
      <c r="L3051" s="1" t="str">
        <f>IFERROR(__xludf.DUMMYFUNCTION("""COMPUTED_VALUE"""),"#N/A")</f>
        <v>#N/A</v>
      </c>
      <c r="M3051" s="1" t="str">
        <f>IFERROR(__xludf.DUMMYFUNCTION("""COMPUTED_VALUE"""),"#N/A")</f>
        <v>#N/A</v>
      </c>
      <c r="N3051" s="1" t="str">
        <f>IFERROR(__xludf.DUMMYFUNCTION("""COMPUTED_VALUE"""),"#N/A")</f>
        <v>#N/A</v>
      </c>
      <c r="O3051" s="1" t="str">
        <f>IFERROR(__xludf.DUMMYFUNCTION("""COMPUTED_VALUE"""),"PUTING KAHOY")</f>
        <v>PUTING KAHOY</v>
      </c>
      <c r="P3051" s="1" t="str">
        <f>IFERROR(__xludf.DUMMYFUNCTION("""COMPUTED_VALUE"""),"SILANG")</f>
        <v>SILANG</v>
      </c>
      <c r="Q3051" s="1" t="str">
        <f>IFERROR(__xludf.DUMMYFUNCTION("""COMPUTED_VALUE"""),"CAVITE")</f>
        <v>CAVITE</v>
      </c>
      <c r="R3051" s="1" t="str">
        <f>IFERROR(__xludf.DUMMYFUNCTION("""COMPUTED_VALUE"""),"FIBR PLAN 1299")</f>
        <v>FIBR PLAN 1299</v>
      </c>
      <c r="S3051" s="1" t="str">
        <f>IFERROR(__xludf.DUMMYFUNCTION("""COMPUTED_VALUE"""),"APPROVED")</f>
        <v>APPROVED</v>
      </c>
      <c r="T3051" s="1" t="str">
        <f>IFERROR(__xludf.DUMMYFUNCTION("""COMPUTED_VALUE"""),"#N/A")</f>
        <v>#N/A</v>
      </c>
      <c r="U3051" s="1"/>
      <c r="V3051" s="1"/>
      <c r="W3051" s="1"/>
    </row>
    <row r="3052" customHeight="1" spans="1:23">
      <c r="A3052" s="3">
        <f>IFERROR(__xludf.DUMMYFUNCTION("""COMPUTED_VALUE"""),46275)</f>
        <v>46275</v>
      </c>
      <c r="B3052" s="1" t="str">
        <f>IFERROR(__xludf.DUMMYFUNCTION("""COMPUTED_VALUE"""),"ARIENA, LYKA")</f>
        <v>ARIENA, LYKA</v>
      </c>
      <c r="C3052" s="1" t="str">
        <f>IFERROR(__xludf.DUMMYFUNCTION("""COMPUTED_VALUE"""),"ORGANIC")</f>
        <v>ORGANIC</v>
      </c>
      <c r="D3052" s="1" t="str">
        <f>IFERROR(__xludf.DUMMYFUNCTION("""COMPUTED_VALUE"""),"REMOLLO LEA")</f>
        <v>REMOLLO LEA</v>
      </c>
      <c r="E3052" s="1" t="str">
        <f>IFERROR(__xludf.DUMMYFUNCTION("""COMPUTED_VALUE"""),"PLDT / ONLINE")</f>
        <v>PLDT / ONLINE</v>
      </c>
      <c r="F3052" s="1"/>
      <c r="G3052" s="1"/>
      <c r="H3052" s="1" t="str">
        <f>IFERROR(__xludf.DUMMYFUNCTION("""COMPUTED_VALUE"""),"#N/A")</f>
        <v>#N/A</v>
      </c>
      <c r="I3052" s="1"/>
      <c r="J3052" s="1"/>
      <c r="K3052" s="1"/>
      <c r="L3052" s="1" t="str">
        <f>IFERROR(__xludf.DUMMYFUNCTION("""COMPUTED_VALUE"""),"#N/A")</f>
        <v>#N/A</v>
      </c>
      <c r="M3052" s="1" t="str">
        <f>IFERROR(__xludf.DUMMYFUNCTION("""COMPUTED_VALUE"""),"#N/A")</f>
        <v>#N/A</v>
      </c>
      <c r="N3052" s="1" t="str">
        <f>IFERROR(__xludf.DUMMYFUNCTION("""COMPUTED_VALUE"""),"#N/A")</f>
        <v>#N/A</v>
      </c>
      <c r="O3052" s="1" t="str">
        <f>IFERROR(__xludf.DUMMYFUNCTION("""COMPUTED_VALUE"""),"TARTARIA")</f>
        <v>TARTARIA</v>
      </c>
      <c r="P3052" s="1" t="str">
        <f>IFERROR(__xludf.DUMMYFUNCTION("""COMPUTED_VALUE"""),"SILANG")</f>
        <v>SILANG</v>
      </c>
      <c r="Q3052" s="1" t="str">
        <f>IFERROR(__xludf.DUMMYFUNCTION("""COMPUTED_VALUE"""),"CAVITE")</f>
        <v>CAVITE</v>
      </c>
      <c r="R3052" s="1" t="str">
        <f>IFERROR(__xludf.DUMMYFUNCTION("""COMPUTED_VALUE"""),"FIBR PLAN 1299")</f>
        <v>FIBR PLAN 1299</v>
      </c>
      <c r="S3052" s="1" t="str">
        <f>IFERROR(__xludf.DUMMYFUNCTION("""COMPUTED_VALUE"""),"APPROVED")</f>
        <v>APPROVED</v>
      </c>
      <c r="T3052" s="1" t="str">
        <f>IFERROR(__xludf.DUMMYFUNCTION("""COMPUTED_VALUE"""),"#N/A")</f>
        <v>#N/A</v>
      </c>
      <c r="U3052" s="1"/>
      <c r="V3052" s="1"/>
      <c r="W3052" s="1"/>
    </row>
    <row r="3053" customHeight="1" spans="1:23">
      <c r="A3053" s="3">
        <f>IFERROR(__xludf.DUMMYFUNCTION("""COMPUTED_VALUE"""),46275)</f>
        <v>46275</v>
      </c>
      <c r="B3053" s="1" t="str">
        <f>IFERROR(__xludf.DUMMYFUNCTION("""COMPUTED_VALUE"""),"BAQUIT ,JAZMIN")</f>
        <v>BAQUIT ,JAZMIN</v>
      </c>
      <c r="C3053" s="1" t="str">
        <f>IFERROR(__xludf.DUMMYFUNCTION("""COMPUTED_VALUE"""),"ORGANIC")</f>
        <v>ORGANIC</v>
      </c>
      <c r="D3053" s="1" t="str">
        <f>IFERROR(__xludf.DUMMYFUNCTION("""COMPUTED_VALUE"""),"REMOLLO LEA")</f>
        <v>REMOLLO LEA</v>
      </c>
      <c r="E3053" s="1" t="str">
        <f>IFERROR(__xludf.DUMMYFUNCTION("""COMPUTED_VALUE"""),"PLDT / H2H")</f>
        <v>PLDT / H2H</v>
      </c>
      <c r="F3053" s="1"/>
      <c r="G3053" s="1"/>
      <c r="H3053" s="1" t="str">
        <f>IFERROR(__xludf.DUMMYFUNCTION("""COMPUTED_VALUE"""),"#N/A")</f>
        <v>#N/A</v>
      </c>
      <c r="I3053" s="1"/>
      <c r="J3053" s="1"/>
      <c r="K3053" s="1"/>
      <c r="L3053" s="1" t="str">
        <f>IFERROR(__xludf.DUMMYFUNCTION("""COMPUTED_VALUE"""),"#N/A")</f>
        <v>#N/A</v>
      </c>
      <c r="M3053" s="1" t="str">
        <f>IFERROR(__xludf.DUMMYFUNCTION("""COMPUTED_VALUE"""),"#N/A")</f>
        <v>#N/A</v>
      </c>
      <c r="N3053" s="1" t="str">
        <f>IFERROR(__xludf.DUMMYFUNCTION("""COMPUTED_VALUE"""),"#N/A")</f>
        <v>#N/A</v>
      </c>
      <c r="O3053" s="1" t="str">
        <f>IFERROR(__xludf.DUMMYFUNCTION("""COMPUTED_VALUE"""),"TARTARIA")</f>
        <v>TARTARIA</v>
      </c>
      <c r="P3053" s="1" t="str">
        <f>IFERROR(__xludf.DUMMYFUNCTION("""COMPUTED_VALUE"""),"SILANG")</f>
        <v>SILANG</v>
      </c>
      <c r="Q3053" s="1" t="str">
        <f>IFERROR(__xludf.DUMMYFUNCTION("""COMPUTED_VALUE"""),"CAVITE")</f>
        <v>CAVITE</v>
      </c>
      <c r="R3053" s="1" t="str">
        <f>IFERROR(__xludf.DUMMYFUNCTION("""COMPUTED_VALUE"""),"FIBR UNLI ALL PLAN 999")</f>
        <v>FIBR UNLI ALL PLAN 999</v>
      </c>
      <c r="S3053" s="1" t="str">
        <f>IFERROR(__xludf.DUMMYFUNCTION("""COMPUTED_VALUE"""),"APPROVED")</f>
        <v>APPROVED</v>
      </c>
      <c r="T3053" s="1" t="str">
        <f>IFERROR(__xludf.DUMMYFUNCTION("""COMPUTED_VALUE"""),"#N/A")</f>
        <v>#N/A</v>
      </c>
      <c r="U3053" s="1"/>
      <c r="V3053" s="1"/>
      <c r="W3053" s="1"/>
    </row>
    <row r="3054" customHeight="1" spans="1:23">
      <c r="A3054" s="3">
        <f>IFERROR(__xludf.DUMMYFUNCTION("""COMPUTED_VALUE"""),46275)</f>
        <v>46275</v>
      </c>
      <c r="B3054" s="1" t="str">
        <f>IFERROR(__xludf.DUMMYFUNCTION("""COMPUTED_VALUE"""),"TAMAYO, MARY ROSE")</f>
        <v>TAMAYO, MARY ROSE</v>
      </c>
      <c r="C3054" s="1" t="str">
        <f>IFERROR(__xludf.DUMMYFUNCTION("""COMPUTED_VALUE"""),"ORGANIC")</f>
        <v>ORGANIC</v>
      </c>
      <c r="D3054" s="1" t="str">
        <f>IFERROR(__xludf.DUMMYFUNCTION("""COMPUTED_VALUE"""),"REMOLLO LEA")</f>
        <v>REMOLLO LEA</v>
      </c>
      <c r="E3054" s="1" t="str">
        <f>IFERROR(__xludf.DUMMYFUNCTION("""COMPUTED_VALUE"""),"PLDT / H2H")</f>
        <v>PLDT / H2H</v>
      </c>
      <c r="F3054" s="1"/>
      <c r="G3054" s="1"/>
      <c r="H3054" s="1" t="str">
        <f>IFERROR(__xludf.DUMMYFUNCTION("""COMPUTED_VALUE"""),"#N/A")</f>
        <v>#N/A</v>
      </c>
      <c r="I3054" s="1"/>
      <c r="J3054" s="1"/>
      <c r="K3054" s="1"/>
      <c r="L3054" s="1" t="str">
        <f>IFERROR(__xludf.DUMMYFUNCTION("""COMPUTED_VALUE"""),"#N/A")</f>
        <v>#N/A</v>
      </c>
      <c r="M3054" s="1" t="str">
        <f>IFERROR(__xludf.DUMMYFUNCTION("""COMPUTED_VALUE"""),"#N/A")</f>
        <v>#N/A</v>
      </c>
      <c r="N3054" s="1" t="str">
        <f>IFERROR(__xludf.DUMMYFUNCTION("""COMPUTED_VALUE"""),"#N/A")</f>
        <v>#N/A</v>
      </c>
      <c r="O3054" s="1" t="str">
        <f>IFERROR(__xludf.DUMMYFUNCTION("""COMPUTED_VALUE"""),"TARTARIA")</f>
        <v>TARTARIA</v>
      </c>
      <c r="P3054" s="1" t="str">
        <f>IFERROR(__xludf.DUMMYFUNCTION("""COMPUTED_VALUE"""),"SILANG")</f>
        <v>SILANG</v>
      </c>
      <c r="Q3054" s="1" t="str">
        <f>IFERROR(__xludf.DUMMYFUNCTION("""COMPUTED_VALUE"""),"CAVITE")</f>
        <v>CAVITE</v>
      </c>
      <c r="R3054" s="1" t="str">
        <f>IFERROR(__xludf.DUMMYFUNCTION("""COMPUTED_VALUE"""),"SWITCH FIBER UNLI ALL PLAN 1499")</f>
        <v>SWITCH FIBER UNLI ALL PLAN 1499</v>
      </c>
      <c r="S3054" s="1" t="str">
        <f>IFERROR(__xludf.DUMMYFUNCTION("""COMPUTED_VALUE"""),"APPROVED")</f>
        <v>APPROVED</v>
      </c>
      <c r="T3054" s="1" t="str">
        <f>IFERROR(__xludf.DUMMYFUNCTION("""COMPUTED_VALUE"""),"#N/A")</f>
        <v>#N/A</v>
      </c>
      <c r="U3054" s="1"/>
      <c r="V3054" s="1"/>
      <c r="W3054" s="1"/>
    </row>
    <row r="3055" customHeight="1" spans="1:23">
      <c r="A3055" s="3">
        <f>IFERROR(__xludf.DUMMYFUNCTION("""COMPUTED_VALUE"""),46275)</f>
        <v>46275</v>
      </c>
      <c r="B3055" s="1" t="str">
        <f>IFERROR(__xludf.DUMMYFUNCTION("""COMPUTED_VALUE"""),"CADERAO, RONALD")</f>
        <v>CADERAO, RONALD</v>
      </c>
      <c r="C3055" s="1" t="str">
        <f>IFERROR(__xludf.DUMMYFUNCTION("""COMPUTED_VALUE"""),"ORGANIC")</f>
        <v>ORGANIC</v>
      </c>
      <c r="D3055" s="1" t="str">
        <f>IFERROR(__xludf.DUMMYFUNCTION("""COMPUTED_VALUE"""),"REMOLLO LEA")</f>
        <v>REMOLLO LEA</v>
      </c>
      <c r="E3055" s="1" t="str">
        <f>IFERROR(__xludf.DUMMYFUNCTION("""COMPUTED_VALUE"""),"PLDT / H2H")</f>
        <v>PLDT / H2H</v>
      </c>
      <c r="F3055" s="1"/>
      <c r="G3055" s="1"/>
      <c r="H3055" s="1" t="str">
        <f>IFERROR(__xludf.DUMMYFUNCTION("""COMPUTED_VALUE"""),"#N/A")</f>
        <v>#N/A</v>
      </c>
      <c r="I3055" s="1"/>
      <c r="J3055" s="1"/>
      <c r="K3055" s="1"/>
      <c r="L3055" s="1" t="str">
        <f>IFERROR(__xludf.DUMMYFUNCTION("""COMPUTED_VALUE"""),"#N/A")</f>
        <v>#N/A</v>
      </c>
      <c r="M3055" s="1" t="str">
        <f>IFERROR(__xludf.DUMMYFUNCTION("""COMPUTED_VALUE"""),"#N/A")</f>
        <v>#N/A</v>
      </c>
      <c r="N3055" s="1" t="str">
        <f>IFERROR(__xludf.DUMMYFUNCTION("""COMPUTED_VALUE"""),"#N/A")</f>
        <v>#N/A</v>
      </c>
      <c r="O3055" s="1" t="str">
        <f>IFERROR(__xludf.DUMMYFUNCTION("""COMPUTED_VALUE"""),"BALUBAD")</f>
        <v>BALUBAD</v>
      </c>
      <c r="P3055" s="1" t="str">
        <f>IFERROR(__xludf.DUMMYFUNCTION("""COMPUTED_VALUE"""),"SILANG")</f>
        <v>SILANG</v>
      </c>
      <c r="Q3055" s="1" t="str">
        <f>IFERROR(__xludf.DUMMYFUNCTION("""COMPUTED_VALUE"""),"CAVITE")</f>
        <v>CAVITE</v>
      </c>
      <c r="R3055" s="1" t="str">
        <f>IFERROR(__xludf.DUMMYFUNCTION("""COMPUTED_VALUE"""),"FIBR PLAN 1299")</f>
        <v>FIBR PLAN 1299</v>
      </c>
      <c r="S3055" s="1" t="str">
        <f>IFERROR(__xludf.DUMMYFUNCTION("""COMPUTED_VALUE"""),"APPROVED")</f>
        <v>APPROVED</v>
      </c>
      <c r="T3055" s="1" t="str">
        <f>IFERROR(__xludf.DUMMYFUNCTION("""COMPUTED_VALUE"""),"#N/A")</f>
        <v>#N/A</v>
      </c>
      <c r="U3055" s="1"/>
      <c r="V3055" s="1"/>
      <c r="W3055" s="1"/>
    </row>
    <row r="3056" customHeight="1" spans="1:23">
      <c r="A3056" s="3">
        <f>IFERROR(__xludf.DUMMYFUNCTION("""COMPUTED_VALUE"""),46275)</f>
        <v>46275</v>
      </c>
      <c r="B3056" s="1" t="str">
        <f>IFERROR(__xludf.DUMMYFUNCTION("""COMPUTED_VALUE"""),"MORADOS, MARVIN")</f>
        <v>MORADOS, MARVIN</v>
      </c>
      <c r="C3056" s="1" t="str">
        <f>IFERROR(__xludf.DUMMYFUNCTION("""COMPUTED_VALUE"""),"ORGANIC")</f>
        <v>ORGANIC</v>
      </c>
      <c r="D3056" s="1" t="str">
        <f>IFERROR(__xludf.DUMMYFUNCTION("""COMPUTED_VALUE"""),"MICHALE GARCIA")</f>
        <v>MICHALE GARCIA</v>
      </c>
      <c r="E3056" s="1" t="str">
        <f>IFERROR(__xludf.DUMMYFUNCTION("""COMPUTED_VALUE"""),"PLDT / ONLINE")</f>
        <v>PLDT / ONLINE</v>
      </c>
      <c r="F3056" s="1"/>
      <c r="G3056" s="1"/>
      <c r="H3056" s="1" t="str">
        <f>IFERROR(__xludf.DUMMYFUNCTION("""COMPUTED_VALUE"""),"#N/A")</f>
        <v>#N/A</v>
      </c>
      <c r="I3056" s="1"/>
      <c r="J3056" s="1"/>
      <c r="K3056" s="1"/>
      <c r="L3056" s="1" t="str">
        <f>IFERROR(__xludf.DUMMYFUNCTION("""COMPUTED_VALUE"""),"#N/A")</f>
        <v>#N/A</v>
      </c>
      <c r="M3056" s="1" t="str">
        <f>IFERROR(__xludf.DUMMYFUNCTION("""COMPUTED_VALUE"""),"#N/A")</f>
        <v>#N/A</v>
      </c>
      <c r="N3056" s="1" t="str">
        <f>IFERROR(__xludf.DUMMYFUNCTION("""COMPUTED_VALUE"""),"#N/A")</f>
        <v>#N/A</v>
      </c>
      <c r="O3056" s="1" t="str">
        <f>IFERROR(__xludf.DUMMYFUNCTION("""COMPUTED_VALUE"""),"DE OCAMPO")</f>
        <v>DE OCAMPO</v>
      </c>
      <c r="P3056" s="1" t="str">
        <f>IFERROR(__xludf.DUMMYFUNCTION("""COMPUTED_VALUE"""),"TRECE MARTIRES")</f>
        <v>TRECE MARTIRES</v>
      </c>
      <c r="Q3056" s="1" t="str">
        <f>IFERROR(__xludf.DUMMYFUNCTION("""COMPUTED_VALUE"""),"CAVITE")</f>
        <v>CAVITE</v>
      </c>
      <c r="R3056" s="1" t="str">
        <f>IFERROR(__xludf.DUMMYFUNCTION("""COMPUTED_VALUE"""),"FIBR PLAN 1299")</f>
        <v>FIBR PLAN 1299</v>
      </c>
      <c r="S3056" s="1" t="str">
        <f>IFERROR(__xludf.DUMMYFUNCTION("""COMPUTED_VALUE"""),"APPROVED")</f>
        <v>APPROVED</v>
      </c>
      <c r="T3056" s="1" t="str">
        <f>IFERROR(__xludf.DUMMYFUNCTION("""COMPUTED_VALUE"""),"#N/A")</f>
        <v>#N/A</v>
      </c>
      <c r="U3056" s="1"/>
      <c r="V3056" s="1"/>
      <c r="W3056" s="1"/>
    </row>
    <row r="3057" customHeight="1" spans="1:23">
      <c r="A3057" s="3">
        <f>IFERROR(__xludf.DUMMYFUNCTION("""COMPUTED_VALUE"""),46275)</f>
        <v>46275</v>
      </c>
      <c r="B3057" s="1" t="str">
        <f>IFERROR(__xludf.DUMMYFUNCTION("""COMPUTED_VALUE"""),"BAQUIT ,JAZMIN")</f>
        <v>BAQUIT ,JAZMIN</v>
      </c>
      <c r="C3057" s="1" t="str">
        <f>IFERROR(__xludf.DUMMYFUNCTION("""COMPUTED_VALUE"""),"ORGANIC")</f>
        <v>ORGANIC</v>
      </c>
      <c r="D3057" s="1" t="str">
        <f>IFERROR(__xludf.DUMMYFUNCTION("""COMPUTED_VALUE"""),"REMOLLO LEA")</f>
        <v>REMOLLO LEA</v>
      </c>
      <c r="E3057" s="1" t="str">
        <f>IFERROR(__xludf.DUMMYFUNCTION("""COMPUTED_VALUE"""),"PLDT / ONLINE")</f>
        <v>PLDT / ONLINE</v>
      </c>
      <c r="F3057" s="1"/>
      <c r="G3057" s="1"/>
      <c r="H3057" s="1" t="str">
        <f>IFERROR(__xludf.DUMMYFUNCTION("""COMPUTED_VALUE"""),"#N/A")</f>
        <v>#N/A</v>
      </c>
      <c r="I3057" s="1"/>
      <c r="J3057" s="1"/>
      <c r="K3057" s="1"/>
      <c r="L3057" s="1" t="str">
        <f>IFERROR(__xludf.DUMMYFUNCTION("""COMPUTED_VALUE"""),"#N/A")</f>
        <v>#N/A</v>
      </c>
      <c r="M3057" s="1" t="str">
        <f>IFERROR(__xludf.DUMMYFUNCTION("""COMPUTED_VALUE"""),"#N/A")</f>
        <v>#N/A</v>
      </c>
      <c r="N3057" s="1" t="str">
        <f>IFERROR(__xludf.DUMMYFUNCTION("""COMPUTED_VALUE"""),"#N/A")</f>
        <v>#N/A</v>
      </c>
      <c r="O3057" s="1" t="str">
        <f>IFERROR(__xludf.DUMMYFUNCTION("""COMPUTED_VALUE"""),"TARTARIA")</f>
        <v>TARTARIA</v>
      </c>
      <c r="P3057" s="1" t="str">
        <f>IFERROR(__xludf.DUMMYFUNCTION("""COMPUTED_VALUE"""),"SILANG")</f>
        <v>SILANG</v>
      </c>
      <c r="Q3057" s="1" t="str">
        <f>IFERROR(__xludf.DUMMYFUNCTION("""COMPUTED_VALUE"""),"CAVITE")</f>
        <v>CAVITE</v>
      </c>
      <c r="R3057" s="1" t="str">
        <f>IFERROR(__xludf.DUMMYFUNCTION("""COMPUTED_VALUE"""),"FIBR UNLI ALL PLAN 999")</f>
        <v>FIBR UNLI ALL PLAN 999</v>
      </c>
      <c r="S3057" s="1" t="str">
        <f>IFERROR(__xludf.DUMMYFUNCTION("""COMPUTED_VALUE"""),"APPROVED")</f>
        <v>APPROVED</v>
      </c>
      <c r="T3057" s="1" t="str">
        <f>IFERROR(__xludf.DUMMYFUNCTION("""COMPUTED_VALUE"""),"#N/A")</f>
        <v>#N/A</v>
      </c>
      <c r="U3057" s="1"/>
      <c r="V3057" s="1"/>
      <c r="W3057" s="1"/>
    </row>
    <row r="3058" customHeight="1" spans="1:23">
      <c r="A3058" s="3">
        <f>IFERROR(__xludf.DUMMYFUNCTION("""COMPUTED_VALUE"""),46275)</f>
        <v>46275</v>
      </c>
      <c r="B3058" s="1" t="str">
        <f>IFERROR(__xludf.DUMMYFUNCTION("""COMPUTED_VALUE"""),"ESCARCHA, MA ALMA  ESCOTO")</f>
        <v>ESCARCHA, MA ALMA  ESCOTO</v>
      </c>
      <c r="C3058" s="1" t="str">
        <f>IFERROR(__xludf.DUMMYFUNCTION("""COMPUTED_VALUE"""),"ORGANIC")</f>
        <v>ORGANIC</v>
      </c>
      <c r="D3058" s="1" t="str">
        <f>IFERROR(__xludf.DUMMYFUNCTION("""COMPUTED_VALUE"""),"REMOLLO LEA")</f>
        <v>REMOLLO LEA</v>
      </c>
      <c r="E3058" s="1" t="str">
        <f>IFERROR(__xludf.DUMMYFUNCTION("""COMPUTED_VALUE"""),"RED FIBER")</f>
        <v>RED FIBER</v>
      </c>
      <c r="F3058" s="1"/>
      <c r="G3058" s="1"/>
      <c r="H3058" s="1" t="str">
        <f>IFERROR(__xludf.DUMMYFUNCTION("""COMPUTED_VALUE"""),"#N/A")</f>
        <v>#N/A</v>
      </c>
      <c r="I3058" s="1">
        <f>IFERROR(__xludf.DUMMYFUNCTION("""COMPUTED_VALUE"""),9817553122)</f>
        <v>9817553122</v>
      </c>
      <c r="J3058" s="1"/>
      <c r="K3058" s="1"/>
      <c r="L3058" s="1" t="str">
        <f>IFERROR(__xludf.DUMMYFUNCTION("""COMPUTED_VALUE"""),"#N/A")</f>
        <v>#N/A</v>
      </c>
      <c r="M3058" s="1" t="str">
        <f>IFERROR(__xludf.DUMMYFUNCTION("""COMPUTED_VALUE"""),"#N/A")</f>
        <v>#N/A</v>
      </c>
      <c r="N3058" s="1" t="str">
        <f>IFERROR(__xludf.DUMMYFUNCTION("""COMPUTED_VALUE"""),"#N/A")</f>
        <v>#N/A</v>
      </c>
      <c r="O3058" s="1" t="str">
        <f>IFERROR(__xludf.DUMMYFUNCTION("""COMPUTED_VALUE"""),"ULAT")</f>
        <v>ULAT</v>
      </c>
      <c r="P3058" s="1" t="str">
        <f>IFERROR(__xludf.DUMMYFUNCTION("""COMPUTED_VALUE"""),"SILANG")</f>
        <v>SILANG</v>
      </c>
      <c r="Q3058" s="1" t="str">
        <f>IFERROR(__xludf.DUMMYFUNCTION("""COMPUTED_VALUE"""),"CAVITE")</f>
        <v>CAVITE</v>
      </c>
      <c r="R3058" s="1" t="str">
        <f>IFERROR(__xludf.DUMMYFUNCTION("""COMPUTED_VALUE"""),"RED PLAN 1000")</f>
        <v>RED PLAN 1000</v>
      </c>
      <c r="S3058" s="1" t="str">
        <f>IFERROR(__xludf.DUMMYFUNCTION("""COMPUTED_VALUE"""),"HOLD")</f>
        <v>HOLD</v>
      </c>
      <c r="T3058" s="1" t="str">
        <f>IFERROR(__xludf.DUMMYFUNCTION("""COMPUTED_VALUE"""),"#N/A")</f>
        <v>#N/A</v>
      </c>
      <c r="U3058" s="1"/>
      <c r="V3058" s="1"/>
      <c r="W3058" s="1"/>
    </row>
    <row r="3059" customHeight="1" spans="1:23">
      <c r="A3059" s="3">
        <f>IFERROR(__xludf.DUMMYFUNCTION("""COMPUTED_VALUE"""),46275)</f>
        <v>46275</v>
      </c>
      <c r="B3059" s="1" t="str">
        <f>IFERROR(__xludf.DUMMYFUNCTION("""COMPUTED_VALUE"""),"CADERAO, RONALD")</f>
        <v>CADERAO, RONALD</v>
      </c>
      <c r="C3059" s="1" t="str">
        <f>IFERROR(__xludf.DUMMYFUNCTION("""COMPUTED_VALUE"""),"ORGANIC")</f>
        <v>ORGANIC</v>
      </c>
      <c r="D3059" s="1" t="str">
        <f>IFERROR(__xludf.DUMMYFUNCTION("""COMPUTED_VALUE"""),"REMOLLO LEA")</f>
        <v>REMOLLO LEA</v>
      </c>
      <c r="E3059" s="1" t="str">
        <f>IFERROR(__xludf.DUMMYFUNCTION("""COMPUTED_VALUE"""),"RED FIBER")</f>
        <v>RED FIBER</v>
      </c>
      <c r="F3059" s="1"/>
      <c r="G3059" s="1"/>
      <c r="H3059" s="1" t="str">
        <f>IFERROR(__xludf.DUMMYFUNCTION("""COMPUTED_VALUE"""),"#N/A")</f>
        <v>#N/A</v>
      </c>
      <c r="I3059" s="1">
        <f>IFERROR(__xludf.DUMMYFUNCTION("""COMPUTED_VALUE"""),9669105647)</f>
        <v>9669105647</v>
      </c>
      <c r="J3059" s="1"/>
      <c r="K3059" s="1"/>
      <c r="L3059" s="1" t="str">
        <f>IFERROR(__xludf.DUMMYFUNCTION("""COMPUTED_VALUE"""),"#N/A")</f>
        <v>#N/A</v>
      </c>
      <c r="M3059" s="1" t="str">
        <f>IFERROR(__xludf.DUMMYFUNCTION("""COMPUTED_VALUE"""),"#N/A")</f>
        <v>#N/A</v>
      </c>
      <c r="N3059" s="1" t="str">
        <f>IFERROR(__xludf.DUMMYFUNCTION("""COMPUTED_VALUE"""),"#N/A")</f>
        <v>#N/A</v>
      </c>
      <c r="O3059" s="1" t="str">
        <f>IFERROR(__xludf.DUMMYFUNCTION("""COMPUTED_VALUE"""),"ULAT")</f>
        <v>ULAT</v>
      </c>
      <c r="P3059" s="1" t="str">
        <f>IFERROR(__xludf.DUMMYFUNCTION("""COMPUTED_VALUE"""),"SILANG")</f>
        <v>SILANG</v>
      </c>
      <c r="Q3059" s="1" t="str">
        <f>IFERROR(__xludf.DUMMYFUNCTION("""COMPUTED_VALUE"""),"CAVITE")</f>
        <v>CAVITE</v>
      </c>
      <c r="R3059" s="1" t="str">
        <f>IFERROR(__xludf.DUMMYFUNCTION("""COMPUTED_VALUE"""),"RED PLAN 1000")</f>
        <v>RED PLAN 1000</v>
      </c>
      <c r="S3059" s="1" t="str">
        <f>IFERROR(__xludf.DUMMYFUNCTION("""COMPUTED_VALUE"""),"HOLD")</f>
        <v>HOLD</v>
      </c>
      <c r="T3059" s="1" t="str">
        <f>IFERROR(__xludf.DUMMYFUNCTION("""COMPUTED_VALUE"""),"#N/A")</f>
        <v>#N/A</v>
      </c>
      <c r="U3059" s="1"/>
      <c r="V3059" s="1"/>
      <c r="W3059" s="1"/>
    </row>
    <row r="3060" customHeight="1" spans="1:23">
      <c r="A3060" s="3">
        <f>IFERROR(__xludf.DUMMYFUNCTION("""COMPUTED_VALUE"""),46275)</f>
        <v>46275</v>
      </c>
      <c r="B3060" s="1" t="str">
        <f>IFERROR(__xludf.DUMMYFUNCTION("""COMPUTED_VALUE"""),"MANDUCDOC, MARIANE")</f>
        <v>MANDUCDOC, MARIANE</v>
      </c>
      <c r="C3060" s="1" t="str">
        <f>IFERROR(__xludf.DUMMYFUNCTION("""COMPUTED_VALUE"""),"ORGANIC")</f>
        <v>ORGANIC</v>
      </c>
      <c r="D3060" s="1" t="str">
        <f>IFERROR(__xludf.DUMMYFUNCTION("""COMPUTED_VALUE"""),"REMOLLO LEA")</f>
        <v>REMOLLO LEA</v>
      </c>
      <c r="E3060" s="1" t="str">
        <f>IFERROR(__xludf.DUMMYFUNCTION("""COMPUTED_VALUE"""),"PLDT / H2H")</f>
        <v>PLDT / H2H</v>
      </c>
      <c r="F3060" s="1"/>
      <c r="G3060" s="1"/>
      <c r="H3060" s="1" t="str">
        <f>IFERROR(__xludf.DUMMYFUNCTION("""COMPUTED_VALUE"""),"#N/A")</f>
        <v>#N/A</v>
      </c>
      <c r="I3060" s="1"/>
      <c r="J3060" s="1"/>
      <c r="K3060" s="1"/>
      <c r="L3060" s="1" t="str">
        <f>IFERROR(__xludf.DUMMYFUNCTION("""COMPUTED_VALUE"""),"#N/A")</f>
        <v>#N/A</v>
      </c>
      <c r="M3060" s="1" t="str">
        <f>IFERROR(__xludf.DUMMYFUNCTION("""COMPUTED_VALUE"""),"#N/A")</f>
        <v>#N/A</v>
      </c>
      <c r="N3060" s="1" t="str">
        <f>IFERROR(__xludf.DUMMYFUNCTION("""COMPUTED_VALUE"""),"#N/A")</f>
        <v>#N/A</v>
      </c>
      <c r="O3060" s="1" t="str">
        <f>IFERROR(__xludf.DUMMYFUNCTION("""COMPUTED_VALUE"""),"TARTARIA")</f>
        <v>TARTARIA</v>
      </c>
      <c r="P3060" s="1" t="str">
        <f>IFERROR(__xludf.DUMMYFUNCTION("""COMPUTED_VALUE"""),"SILANG")</f>
        <v>SILANG</v>
      </c>
      <c r="Q3060" s="1" t="str">
        <f>IFERROR(__xludf.DUMMYFUNCTION("""COMPUTED_VALUE"""),"CAVITE")</f>
        <v>CAVITE</v>
      </c>
      <c r="R3060" s="1" t="str">
        <f>IFERROR(__xludf.DUMMYFUNCTION("""COMPUTED_VALUE"""),"FIBR PLAN 1299")</f>
        <v>FIBR PLAN 1299</v>
      </c>
      <c r="S3060" s="1" t="str">
        <f>IFERROR(__xludf.DUMMYFUNCTION("""COMPUTED_VALUE"""),"APPROVED")</f>
        <v>APPROVED</v>
      </c>
      <c r="T3060" s="1" t="str">
        <f>IFERROR(__xludf.DUMMYFUNCTION("""COMPUTED_VALUE"""),"#N/A")</f>
        <v>#N/A</v>
      </c>
      <c r="U3060" s="1"/>
      <c r="V3060" s="1"/>
      <c r="W3060" s="1"/>
    </row>
    <row r="3061" customHeight="1" spans="1:23">
      <c r="A3061" s="3">
        <f>IFERROR(__xludf.DUMMYFUNCTION("""COMPUTED_VALUE"""),46275)</f>
        <v>46275</v>
      </c>
      <c r="B3061" s="1" t="str">
        <f>IFERROR(__xludf.DUMMYFUNCTION("""COMPUTED_VALUE"""),"FRANCISCO , ROSELYN")</f>
        <v>FRANCISCO , ROSELYN</v>
      </c>
      <c r="C3061" s="1" t="str">
        <f>IFERROR(__xludf.DUMMYFUNCTION("""COMPUTED_VALUE"""),"ORGANIC")</f>
        <v>ORGANIC</v>
      </c>
      <c r="D3061" s="1" t="str">
        <f>IFERROR(__xludf.DUMMYFUNCTION("""COMPUTED_VALUE"""),"REMOLLO LEA")</f>
        <v>REMOLLO LEA</v>
      </c>
      <c r="E3061" s="1" t="str">
        <f>IFERROR(__xludf.DUMMYFUNCTION("""COMPUTED_VALUE"""),"PLDT / H2H")</f>
        <v>PLDT / H2H</v>
      </c>
      <c r="F3061" s="1"/>
      <c r="G3061" s="1"/>
      <c r="H3061" s="1" t="str">
        <f>IFERROR(__xludf.DUMMYFUNCTION("""COMPUTED_VALUE"""),"#N/A")</f>
        <v>#N/A</v>
      </c>
      <c r="I3061" s="1"/>
      <c r="J3061" s="1"/>
      <c r="K3061" s="1"/>
      <c r="L3061" s="1" t="str">
        <f>IFERROR(__xludf.DUMMYFUNCTION("""COMPUTED_VALUE"""),"#N/A")</f>
        <v>#N/A</v>
      </c>
      <c r="M3061" s="1" t="str">
        <f>IFERROR(__xludf.DUMMYFUNCTION("""COMPUTED_VALUE"""),"#N/A")</f>
        <v>#N/A</v>
      </c>
      <c r="N3061" s="1" t="str">
        <f>IFERROR(__xludf.DUMMYFUNCTION("""COMPUTED_VALUE"""),"#N/A")</f>
        <v>#N/A</v>
      </c>
      <c r="O3061" s="1" t="str">
        <f>IFERROR(__xludf.DUMMYFUNCTION("""COMPUTED_VALUE"""),"BALUBAD")</f>
        <v>BALUBAD</v>
      </c>
      <c r="P3061" s="1" t="str">
        <f>IFERROR(__xludf.DUMMYFUNCTION("""COMPUTED_VALUE"""),"SILANG")</f>
        <v>SILANG</v>
      </c>
      <c r="Q3061" s="1" t="str">
        <f>IFERROR(__xludf.DUMMYFUNCTION("""COMPUTED_VALUE"""),"CAVITE")</f>
        <v>CAVITE</v>
      </c>
      <c r="R3061" s="1" t="str">
        <f>IFERROR(__xludf.DUMMYFUNCTION("""COMPUTED_VALUE"""),"FIBR UNLI ALL PLAN 1499")</f>
        <v>FIBR UNLI ALL PLAN 1499</v>
      </c>
      <c r="S3061" s="1" t="str">
        <f>IFERROR(__xludf.DUMMYFUNCTION("""COMPUTED_VALUE"""),"APPROVED")</f>
        <v>APPROVED</v>
      </c>
      <c r="T3061" s="1" t="str">
        <f>IFERROR(__xludf.DUMMYFUNCTION("""COMPUTED_VALUE"""),"#N/A")</f>
        <v>#N/A</v>
      </c>
      <c r="U3061" s="1"/>
      <c r="V3061" s="1"/>
      <c r="W3061" s="1"/>
    </row>
    <row r="3062" customHeight="1" spans="1:23">
      <c r="A3062" s="3">
        <f>IFERROR(__xludf.DUMMYFUNCTION("""COMPUTED_VALUE"""),46275)</f>
        <v>46275</v>
      </c>
      <c r="B3062" s="1" t="str">
        <f>IFERROR(__xludf.DUMMYFUNCTION("""COMPUTED_VALUE"""),"TAMAYO, MARY ROSE")</f>
        <v>TAMAYO, MARY ROSE</v>
      </c>
      <c r="C3062" s="1" t="str">
        <f>IFERROR(__xludf.DUMMYFUNCTION("""COMPUTED_VALUE"""),"ORGANIC")</f>
        <v>ORGANIC</v>
      </c>
      <c r="D3062" s="1" t="str">
        <f>IFERROR(__xludf.DUMMYFUNCTION("""COMPUTED_VALUE"""),"REMOLLO LEA")</f>
        <v>REMOLLO LEA</v>
      </c>
      <c r="E3062" s="1" t="str">
        <f>IFERROR(__xludf.DUMMYFUNCTION("""COMPUTED_VALUE"""),"PLDT / H2H")</f>
        <v>PLDT / H2H</v>
      </c>
      <c r="F3062" s="1"/>
      <c r="G3062" s="1"/>
      <c r="H3062" s="1" t="str">
        <f>IFERROR(__xludf.DUMMYFUNCTION("""COMPUTED_VALUE"""),"#N/A")</f>
        <v>#N/A</v>
      </c>
      <c r="I3062" s="1"/>
      <c r="J3062" s="1"/>
      <c r="K3062" s="1"/>
      <c r="L3062" s="1" t="str">
        <f>IFERROR(__xludf.DUMMYFUNCTION("""COMPUTED_VALUE"""),"#N/A")</f>
        <v>#N/A</v>
      </c>
      <c r="M3062" s="1" t="str">
        <f>IFERROR(__xludf.DUMMYFUNCTION("""COMPUTED_VALUE"""),"#N/A")</f>
        <v>#N/A</v>
      </c>
      <c r="N3062" s="1" t="str">
        <f>IFERROR(__xludf.DUMMYFUNCTION("""COMPUTED_VALUE"""),"#N/A")</f>
        <v>#N/A</v>
      </c>
      <c r="O3062" s="1" t="str">
        <f>IFERROR(__xludf.DUMMYFUNCTION("""COMPUTED_VALUE"""),"TARTARIA")</f>
        <v>TARTARIA</v>
      </c>
      <c r="P3062" s="1" t="str">
        <f>IFERROR(__xludf.DUMMYFUNCTION("""COMPUTED_VALUE"""),"SILANG")</f>
        <v>SILANG</v>
      </c>
      <c r="Q3062" s="1" t="str">
        <f>IFERROR(__xludf.DUMMYFUNCTION("""COMPUTED_VALUE"""),"CAVITE")</f>
        <v>CAVITE</v>
      </c>
      <c r="R3062" s="1" t="str">
        <f>IFERROR(__xludf.DUMMYFUNCTION("""COMPUTED_VALUE"""),"FIBR UNLI ALL PLAN 1499")</f>
        <v>FIBR UNLI ALL PLAN 1499</v>
      </c>
      <c r="S3062" s="1" t="str">
        <f>IFERROR(__xludf.DUMMYFUNCTION("""COMPUTED_VALUE"""),"APPROVED")</f>
        <v>APPROVED</v>
      </c>
      <c r="T3062" s="1" t="str">
        <f>IFERROR(__xludf.DUMMYFUNCTION("""COMPUTED_VALUE"""),"#N/A")</f>
        <v>#N/A</v>
      </c>
      <c r="U3062" s="1"/>
      <c r="V3062" s="1"/>
      <c r="W3062" s="1"/>
    </row>
    <row r="3063" customHeight="1" spans="1:23">
      <c r="A3063" s="3">
        <f>IFERROR(__xludf.DUMMYFUNCTION("""COMPUTED_VALUE"""),46275)</f>
        <v>46275</v>
      </c>
      <c r="B3063" s="1" t="str">
        <f>IFERROR(__xludf.DUMMYFUNCTION("""COMPUTED_VALUE"""),"FRANCISCO , ROSELYN")</f>
        <v>FRANCISCO , ROSELYN</v>
      </c>
      <c r="C3063" s="1" t="str">
        <f>IFERROR(__xludf.DUMMYFUNCTION("""COMPUTED_VALUE"""),"ORGANIC")</f>
        <v>ORGANIC</v>
      </c>
      <c r="D3063" s="1" t="str">
        <f>IFERROR(__xludf.DUMMYFUNCTION("""COMPUTED_VALUE"""),"REMOLLO LEA")</f>
        <v>REMOLLO LEA</v>
      </c>
      <c r="E3063" s="1" t="str">
        <f>IFERROR(__xludf.DUMMYFUNCTION("""COMPUTED_VALUE"""),"PLDT / H2H")</f>
        <v>PLDT / H2H</v>
      </c>
      <c r="F3063" s="1"/>
      <c r="G3063" s="1">
        <f>IFERROR(__xludf.DUMMYFUNCTION("""COMPUTED_VALUE"""),2312498583)</f>
        <v>2312498583</v>
      </c>
      <c r="H3063" s="1" t="str">
        <f>IFERROR(__xludf.DUMMYFUNCTION("""COMPUTED_VALUE"""),"#N/A")</f>
        <v>#N/A</v>
      </c>
      <c r="I3063" s="1"/>
      <c r="J3063" s="1"/>
      <c r="K3063" s="1"/>
      <c r="L3063" s="1" t="str">
        <f>IFERROR(__xludf.DUMMYFUNCTION("""COMPUTED_VALUE"""),"#N/A")</f>
        <v>#N/A</v>
      </c>
      <c r="M3063" s="1" t="str">
        <f>IFERROR(__xludf.DUMMYFUNCTION("""COMPUTED_VALUE"""),"#N/A")</f>
        <v>#N/A</v>
      </c>
      <c r="N3063" s="1" t="str">
        <f>IFERROR(__xludf.DUMMYFUNCTION("""COMPUTED_VALUE"""),"#N/A")</f>
        <v>#N/A</v>
      </c>
      <c r="O3063" s="1" t="str">
        <f>IFERROR(__xludf.DUMMYFUNCTION("""COMPUTED_VALUE"""),"KAONG")</f>
        <v>KAONG</v>
      </c>
      <c r="P3063" s="1" t="str">
        <f>IFERROR(__xludf.DUMMYFUNCTION("""COMPUTED_VALUE"""),"SILANG")</f>
        <v>SILANG</v>
      </c>
      <c r="Q3063" s="1" t="str">
        <f>IFERROR(__xludf.DUMMYFUNCTION("""COMPUTED_VALUE"""),"CAVITE")</f>
        <v>CAVITE</v>
      </c>
      <c r="R3063" s="1" t="str">
        <f>IFERROR(__xludf.DUMMYFUNCTION("""COMPUTED_VALUE"""),"FIBR UNLI ALL PLAN 999")</f>
        <v>FIBR UNLI ALL PLAN 999</v>
      </c>
      <c r="S3063" s="1" t="str">
        <f>IFERROR(__xludf.DUMMYFUNCTION("""COMPUTED_VALUE"""),"APPROVED")</f>
        <v>APPROVED</v>
      </c>
      <c r="T3063" s="1" t="str">
        <f>IFERROR(__xludf.DUMMYFUNCTION("""COMPUTED_VALUE"""),"#N/A")</f>
        <v>#N/A</v>
      </c>
      <c r="U3063" s="1"/>
      <c r="V3063" s="1"/>
      <c r="W3063" s="1"/>
    </row>
    <row r="3064" customHeight="1" spans="1:23">
      <c r="A3064" s="3">
        <f>IFERROR(__xludf.DUMMYFUNCTION("""COMPUTED_VALUE"""),46275)</f>
        <v>46275</v>
      </c>
      <c r="B3064" s="1" t="str">
        <f>IFERROR(__xludf.DUMMYFUNCTION("""COMPUTED_VALUE"""),"TAMAYO, MARY ROSE")</f>
        <v>TAMAYO, MARY ROSE</v>
      </c>
      <c r="C3064" s="1" t="str">
        <f>IFERROR(__xludf.DUMMYFUNCTION("""COMPUTED_VALUE"""),"ORGANIC")</f>
        <v>ORGANIC</v>
      </c>
      <c r="D3064" s="1" t="str">
        <f>IFERROR(__xludf.DUMMYFUNCTION("""COMPUTED_VALUE"""),"REMOLLO LEA")</f>
        <v>REMOLLO LEA</v>
      </c>
      <c r="E3064" s="1" t="str">
        <f>IFERROR(__xludf.DUMMYFUNCTION("""COMPUTED_VALUE"""),"PLDT / ONLINE")</f>
        <v>PLDT / ONLINE</v>
      </c>
      <c r="F3064" s="1"/>
      <c r="G3064" s="1">
        <f>IFERROR(__xludf.DUMMYFUNCTION("""COMPUTED_VALUE"""),2312497370)</f>
        <v>2312497370</v>
      </c>
      <c r="H3064" s="1" t="str">
        <f>IFERROR(__xludf.DUMMYFUNCTION("""COMPUTED_VALUE"""),"#N/A")</f>
        <v>#N/A</v>
      </c>
      <c r="I3064" s="1"/>
      <c r="J3064" s="1"/>
      <c r="K3064" s="1"/>
      <c r="L3064" s="1" t="str">
        <f>IFERROR(__xludf.DUMMYFUNCTION("""COMPUTED_VALUE"""),"#N/A")</f>
        <v>#N/A</v>
      </c>
      <c r="M3064" s="1" t="str">
        <f>IFERROR(__xludf.DUMMYFUNCTION("""COMPUTED_VALUE"""),"#N/A")</f>
        <v>#N/A</v>
      </c>
      <c r="N3064" s="1" t="str">
        <f>IFERROR(__xludf.DUMMYFUNCTION("""COMPUTED_VALUE"""),"#N/A")</f>
        <v>#N/A</v>
      </c>
      <c r="O3064" s="1" t="str">
        <f>IFERROR(__xludf.DUMMYFUNCTION("""COMPUTED_VALUE"""),"MAHARLIKA WEST")</f>
        <v>MAHARLIKA WEST</v>
      </c>
      <c r="P3064" s="1" t="str">
        <f>IFERROR(__xludf.DUMMYFUNCTION("""COMPUTED_VALUE"""),"TAGAYTAY")</f>
        <v>TAGAYTAY</v>
      </c>
      <c r="Q3064" s="1" t="str">
        <f>IFERROR(__xludf.DUMMYFUNCTION("""COMPUTED_VALUE"""),"CAVITE")</f>
        <v>CAVITE</v>
      </c>
      <c r="R3064" s="1" t="str">
        <f>IFERROR(__xludf.DUMMYFUNCTION("""COMPUTED_VALUE"""),"FIBR PLAN 1299")</f>
        <v>FIBR PLAN 1299</v>
      </c>
      <c r="S3064" s="1" t="str">
        <f>IFERROR(__xludf.DUMMYFUNCTION("""COMPUTED_VALUE"""),"APPROVED")</f>
        <v>APPROVED</v>
      </c>
      <c r="T3064" s="1" t="str">
        <f>IFERROR(__xludf.DUMMYFUNCTION("""COMPUTED_VALUE"""),"#N/A")</f>
        <v>#N/A</v>
      </c>
      <c r="U3064" s="1"/>
      <c r="V3064" s="1"/>
      <c r="W3064" s="1"/>
    </row>
    <row r="3065" customHeight="1" spans="1:23">
      <c r="A3065" s="3">
        <f>IFERROR(__xludf.DUMMYFUNCTION("""COMPUTED_VALUE"""),46275)</f>
        <v>46275</v>
      </c>
      <c r="B3065" s="1" t="str">
        <f>IFERROR(__xludf.DUMMYFUNCTION("""COMPUTED_VALUE"""),"GABAY, MANUEL")</f>
        <v>GABAY, MANUEL</v>
      </c>
      <c r="C3065" s="1" t="str">
        <f>IFERROR(__xludf.DUMMYFUNCTION("""COMPUTED_VALUE"""),"FLA")</f>
        <v>FLA</v>
      </c>
      <c r="D3065" s="1" t="str">
        <f>IFERROR(__xludf.DUMMYFUNCTION("""COMPUTED_VALUE"""),"JERIC NAVARRO")</f>
        <v>JERIC NAVARRO</v>
      </c>
      <c r="E3065" s="1" t="str">
        <f>IFERROR(__xludf.DUMMYFUNCTION("""COMPUTED_VALUE"""),"PLDT / H2H")</f>
        <v>PLDT / H2H</v>
      </c>
      <c r="F3065" s="1"/>
      <c r="G3065" s="1"/>
      <c r="H3065" s="1" t="str">
        <f>IFERROR(__xludf.DUMMYFUNCTION("""COMPUTED_VALUE"""),"#N/A")</f>
        <v>#N/A</v>
      </c>
      <c r="I3065" s="1"/>
      <c r="J3065" s="1"/>
      <c r="K3065" s="1"/>
      <c r="L3065" s="1" t="str">
        <f>IFERROR(__xludf.DUMMYFUNCTION("""COMPUTED_VALUE"""),"#N/A")</f>
        <v>#N/A</v>
      </c>
      <c r="M3065" s="1" t="str">
        <f>IFERROR(__xludf.DUMMYFUNCTION("""COMPUTED_VALUE"""),"#N/A")</f>
        <v>#N/A</v>
      </c>
      <c r="N3065" s="1" t="str">
        <f>IFERROR(__xludf.DUMMYFUNCTION("""COMPUTED_VALUE"""),"#N/A")</f>
        <v>#N/A</v>
      </c>
      <c r="O3065" s="1" t="str">
        <f>IFERROR(__xludf.DUMMYFUNCTION("""COMPUTED_VALUE"""),"SAN FRANCISCO")</f>
        <v>SAN FRANCISCO</v>
      </c>
      <c r="P3065" s="1" t="str">
        <f>IFERROR(__xludf.DUMMYFUNCTION("""COMPUTED_VALUE"""),"TAGAYTAY")</f>
        <v>TAGAYTAY</v>
      </c>
      <c r="Q3065" s="1" t="str">
        <f>IFERROR(__xludf.DUMMYFUNCTION("""COMPUTED_VALUE"""),"CAVITE")</f>
        <v>CAVITE</v>
      </c>
      <c r="R3065" s="1" t="str">
        <f>IFERROR(__xludf.DUMMYFUNCTION("""COMPUTED_VALUE"""),"FIBR UNLI ALL PLAN 1499")</f>
        <v>FIBR UNLI ALL PLAN 1499</v>
      </c>
      <c r="S3065" s="1" t="str">
        <f>IFERROR(__xludf.DUMMYFUNCTION("""COMPUTED_VALUE"""),"APPROVED")</f>
        <v>APPROVED</v>
      </c>
      <c r="T3065" s="1" t="str">
        <f>IFERROR(__xludf.DUMMYFUNCTION("""COMPUTED_VALUE"""),"#N/A")</f>
        <v>#N/A</v>
      </c>
      <c r="U3065" s="1" t="str">
        <f>IFERROR(__xludf.DUMMYFUNCTION("""COMPUTED_VALUE"""),"POSTED")</f>
        <v>POSTED</v>
      </c>
      <c r="V3065" s="1"/>
      <c r="W3065" s="1"/>
    </row>
    <row r="3066" customHeight="1" spans="1:23">
      <c r="A3066" s="3">
        <f>IFERROR(__xludf.DUMMYFUNCTION("""COMPUTED_VALUE"""),46275)</f>
        <v>46275</v>
      </c>
      <c r="B3066" s="1" t="str">
        <f>IFERROR(__xludf.DUMMYFUNCTION("""COMPUTED_VALUE"""),"TAMAYO, MARY ROSE")</f>
        <v>TAMAYO, MARY ROSE</v>
      </c>
      <c r="C3066" s="1" t="str">
        <f>IFERROR(__xludf.DUMMYFUNCTION("""COMPUTED_VALUE"""),"ORGANIC")</f>
        <v>ORGANIC</v>
      </c>
      <c r="D3066" s="1" t="str">
        <f>IFERROR(__xludf.DUMMYFUNCTION("""COMPUTED_VALUE"""),"REMOLLO LEA")</f>
        <v>REMOLLO LEA</v>
      </c>
      <c r="E3066" s="1" t="str">
        <f>IFERROR(__xludf.DUMMYFUNCTION("""COMPUTED_VALUE"""),"PLDT / H2H")</f>
        <v>PLDT / H2H</v>
      </c>
      <c r="F3066" s="1"/>
      <c r="G3066" s="1">
        <f>IFERROR(__xludf.DUMMYFUNCTION("""COMPUTED_VALUE"""),2312498914)</f>
        <v>2312498914</v>
      </c>
      <c r="H3066" s="1" t="str">
        <f>IFERROR(__xludf.DUMMYFUNCTION("""COMPUTED_VALUE"""),"#N/A")</f>
        <v>#N/A</v>
      </c>
      <c r="I3066" s="1"/>
      <c r="J3066" s="1"/>
      <c r="K3066" s="1"/>
      <c r="L3066" s="1" t="str">
        <f>IFERROR(__xludf.DUMMYFUNCTION("""COMPUTED_VALUE"""),"#N/A")</f>
        <v>#N/A</v>
      </c>
      <c r="M3066" s="1" t="str">
        <f>IFERROR(__xludf.DUMMYFUNCTION("""COMPUTED_VALUE"""),"#N/A")</f>
        <v>#N/A</v>
      </c>
      <c r="N3066" s="1" t="str">
        <f>IFERROR(__xludf.DUMMYFUNCTION("""COMPUTED_VALUE"""),"#N/A")</f>
        <v>#N/A</v>
      </c>
      <c r="O3066" s="1" t="str">
        <f>IFERROR(__xludf.DUMMYFUNCTION("""COMPUTED_VALUE"""),"BALUBAD")</f>
        <v>BALUBAD</v>
      </c>
      <c r="P3066" s="1" t="str">
        <f>IFERROR(__xludf.DUMMYFUNCTION("""COMPUTED_VALUE"""),"SILANG")</f>
        <v>SILANG</v>
      </c>
      <c r="Q3066" s="1" t="str">
        <f>IFERROR(__xludf.DUMMYFUNCTION("""COMPUTED_VALUE"""),"CAVITE")</f>
        <v>CAVITE</v>
      </c>
      <c r="R3066" s="1" t="str">
        <f>IFERROR(__xludf.DUMMYFUNCTION("""COMPUTED_VALUE"""),"FIBR UNLI ALL PLAN 1499")</f>
        <v>FIBR UNLI ALL PLAN 1499</v>
      </c>
      <c r="S3066" s="1" t="str">
        <f>IFERROR(__xludf.DUMMYFUNCTION("""COMPUTED_VALUE"""),"APPROVED")</f>
        <v>APPROVED</v>
      </c>
      <c r="T3066" s="1" t="str">
        <f>IFERROR(__xludf.DUMMYFUNCTION("""COMPUTED_VALUE"""),"#N/A")</f>
        <v>#N/A</v>
      </c>
      <c r="U3066" s="1"/>
      <c r="V3066" s="1"/>
      <c r="W3066" s="1"/>
    </row>
    <row r="3067" customHeight="1" spans="1:23">
      <c r="A3067" s="3">
        <f>IFERROR(__xludf.DUMMYFUNCTION("""COMPUTED_VALUE"""),46275)</f>
        <v>46275</v>
      </c>
      <c r="B3067" s="1" t="str">
        <f>IFERROR(__xludf.DUMMYFUNCTION("""COMPUTED_VALUE"""),"ESCARCHA, MA ALMA  ESCOTO")</f>
        <v>ESCARCHA, MA ALMA  ESCOTO</v>
      </c>
      <c r="C3067" s="1" t="str">
        <f>IFERROR(__xludf.DUMMYFUNCTION("""COMPUTED_VALUE"""),"ORGANIC")</f>
        <v>ORGANIC</v>
      </c>
      <c r="D3067" s="1" t="str">
        <f>IFERROR(__xludf.DUMMYFUNCTION("""COMPUTED_VALUE"""),"REMOLLO LEA")</f>
        <v>REMOLLO LEA</v>
      </c>
      <c r="E3067" s="1" t="str">
        <f>IFERROR(__xludf.DUMMYFUNCTION("""COMPUTED_VALUE"""),"PLDT / H2H")</f>
        <v>PLDT / H2H</v>
      </c>
      <c r="F3067" s="1"/>
      <c r="G3067" s="1"/>
      <c r="H3067" s="1" t="str">
        <f>IFERROR(__xludf.DUMMYFUNCTION("""COMPUTED_VALUE"""),"#N/A")</f>
        <v>#N/A</v>
      </c>
      <c r="I3067" s="1">
        <f>IFERROR(__xludf.DUMMYFUNCTION("""COMPUTED_VALUE"""),9928752070)</f>
        <v>9928752070</v>
      </c>
      <c r="J3067" s="1"/>
      <c r="K3067" s="1"/>
      <c r="L3067" s="1" t="str">
        <f>IFERROR(__xludf.DUMMYFUNCTION("""COMPUTED_VALUE"""),"#N/A")</f>
        <v>#N/A</v>
      </c>
      <c r="M3067" s="1" t="str">
        <f>IFERROR(__xludf.DUMMYFUNCTION("""COMPUTED_VALUE"""),"#N/A")</f>
        <v>#N/A</v>
      </c>
      <c r="N3067" s="1" t="str">
        <f>IFERROR(__xludf.DUMMYFUNCTION("""COMPUTED_VALUE"""),"#N/A")</f>
        <v>#N/A</v>
      </c>
      <c r="O3067" s="1" t="str">
        <f>IFERROR(__xludf.DUMMYFUNCTION("""COMPUTED_VALUE"""),"YAKAL")</f>
        <v>YAKAL</v>
      </c>
      <c r="P3067" s="1" t="str">
        <f>IFERROR(__xludf.DUMMYFUNCTION("""COMPUTED_VALUE"""),"SILANG")</f>
        <v>SILANG</v>
      </c>
      <c r="Q3067" s="1" t="str">
        <f>IFERROR(__xludf.DUMMYFUNCTION("""COMPUTED_VALUE"""),"CAVITE")</f>
        <v>CAVITE</v>
      </c>
      <c r="R3067" s="1" t="str">
        <f>IFERROR(__xludf.DUMMYFUNCTION("""COMPUTED_VALUE"""),"FIBR UNLI ALL PLAN 999")</f>
        <v>FIBR UNLI ALL PLAN 999</v>
      </c>
      <c r="S3067" s="1" t="str">
        <f>IFERROR(__xludf.DUMMYFUNCTION("""COMPUTED_VALUE"""),"APPROVED")</f>
        <v>APPROVED</v>
      </c>
      <c r="T3067" s="1" t="str">
        <f>IFERROR(__xludf.DUMMYFUNCTION("""COMPUTED_VALUE"""),"#N/A")</f>
        <v>#N/A</v>
      </c>
      <c r="U3067" s="1"/>
      <c r="V3067" s="1"/>
      <c r="W3067" s="1"/>
    </row>
    <row r="3068" customHeight="1" spans="1:23">
      <c r="A3068" s="3">
        <f>IFERROR(__xludf.DUMMYFUNCTION("""COMPUTED_VALUE"""),46276)</f>
        <v>46276</v>
      </c>
      <c r="B3068" s="1" t="str">
        <f>IFERROR(__xludf.DUMMYFUNCTION("""COMPUTED_VALUE"""),"CARPIO, STEPHANIE NICOLE")</f>
        <v>CARPIO, STEPHANIE NICOLE</v>
      </c>
      <c r="C3068" s="1" t="str">
        <f>IFERROR(__xludf.DUMMYFUNCTION("""COMPUTED_VALUE"""),"FLA")</f>
        <v>FLA</v>
      </c>
      <c r="D3068" s="1" t="str">
        <f>IFERROR(__xludf.DUMMYFUNCTION("""COMPUTED_VALUE"""),"JERIC NAVARRO")</f>
        <v>JERIC NAVARRO</v>
      </c>
      <c r="E3068" s="1" t="str">
        <f>IFERROR(__xludf.DUMMYFUNCTION("""COMPUTED_VALUE"""),"PLDT / H2H")</f>
        <v>PLDT / H2H</v>
      </c>
      <c r="F3068" s="1"/>
      <c r="G3068" s="1"/>
      <c r="H3068" s="1" t="str">
        <f>IFERROR(__xludf.DUMMYFUNCTION("""COMPUTED_VALUE"""),"#N/A")</f>
        <v>#N/A</v>
      </c>
      <c r="I3068" s="1"/>
      <c r="J3068" s="1"/>
      <c r="K3068" s="1"/>
      <c r="L3068" s="1" t="str">
        <f>IFERROR(__xludf.DUMMYFUNCTION("""COMPUTED_VALUE"""),"#N/A")</f>
        <v>#N/A</v>
      </c>
      <c r="M3068" s="1" t="str">
        <f>IFERROR(__xludf.DUMMYFUNCTION("""COMPUTED_VALUE"""),"#N/A")</f>
        <v>#N/A</v>
      </c>
      <c r="N3068" s="1" t="str">
        <f>IFERROR(__xludf.DUMMYFUNCTION("""COMPUTED_VALUE"""),"#N/A")</f>
        <v>#N/A</v>
      </c>
      <c r="O3068" s="1" t="str">
        <f>IFERROR(__xludf.DUMMYFUNCTION("""COMPUTED_VALUE"""),"SILANGAN I")</f>
        <v>SILANGAN I</v>
      </c>
      <c r="P3068" s="1" t="str">
        <f>IFERROR(__xludf.DUMMYFUNCTION("""COMPUTED_VALUE"""),"ROSARIO")</f>
        <v>ROSARIO</v>
      </c>
      <c r="Q3068" s="1" t="str">
        <f>IFERROR(__xludf.DUMMYFUNCTION("""COMPUTED_VALUE"""),"CAVITE")</f>
        <v>CAVITE</v>
      </c>
      <c r="R3068" s="1" t="str">
        <f>IFERROR(__xludf.DUMMYFUNCTION("""COMPUTED_VALUE"""),"FIBR UNLI ALL PLAN 1499")</f>
        <v>FIBR UNLI ALL PLAN 1499</v>
      </c>
      <c r="S3068" s="1" t="str">
        <f>IFERROR(__xludf.DUMMYFUNCTION("""COMPUTED_VALUE"""),"APPROVED")</f>
        <v>APPROVED</v>
      </c>
      <c r="T3068" s="1" t="str">
        <f>IFERROR(__xludf.DUMMYFUNCTION("""COMPUTED_VALUE"""),"#N/A")</f>
        <v>#N/A</v>
      </c>
      <c r="U3068" s="1" t="str">
        <f>IFERROR(__xludf.DUMMYFUNCTION("""COMPUTED_VALUE"""),"POSTED")</f>
        <v>POSTED</v>
      </c>
      <c r="V3068" s="1"/>
      <c r="W3068" s="1"/>
    </row>
    <row r="3069" customHeight="1" spans="1:23">
      <c r="A3069" s="3">
        <f>IFERROR(__xludf.DUMMYFUNCTION("""COMPUTED_VALUE"""),46276)</f>
        <v>46276</v>
      </c>
      <c r="B3069" s="1" t="str">
        <f>IFERROR(__xludf.DUMMYFUNCTION("""COMPUTED_VALUE"""),"ARIENA, LYKA")</f>
        <v>ARIENA, LYKA</v>
      </c>
      <c r="C3069" s="1" t="str">
        <f>IFERROR(__xludf.DUMMYFUNCTION("""COMPUTED_VALUE"""),"ORGANIC")</f>
        <v>ORGANIC</v>
      </c>
      <c r="D3069" s="1" t="str">
        <f>IFERROR(__xludf.DUMMYFUNCTION("""COMPUTED_VALUE"""),"REMOLLO LEA")</f>
        <v>REMOLLO LEA</v>
      </c>
      <c r="E3069" s="1" t="str">
        <f>IFERROR(__xludf.DUMMYFUNCTION("""COMPUTED_VALUE"""),"PLDT / H2H")</f>
        <v>PLDT / H2H</v>
      </c>
      <c r="F3069" s="1"/>
      <c r="G3069" s="1"/>
      <c r="H3069" s="1" t="str">
        <f>IFERROR(__xludf.DUMMYFUNCTION("""COMPUTED_VALUE"""),"#N/A")</f>
        <v>#N/A</v>
      </c>
      <c r="I3069" s="1"/>
      <c r="J3069" s="1"/>
      <c r="K3069" s="1"/>
      <c r="L3069" s="1" t="str">
        <f>IFERROR(__xludf.DUMMYFUNCTION("""COMPUTED_VALUE"""),"#N/A")</f>
        <v>#N/A</v>
      </c>
      <c r="M3069" s="1" t="str">
        <f>IFERROR(__xludf.DUMMYFUNCTION("""COMPUTED_VALUE"""),"#N/A")</f>
        <v>#N/A</v>
      </c>
      <c r="N3069" s="1" t="str">
        <f>IFERROR(__xludf.DUMMYFUNCTION("""COMPUTED_VALUE"""),"#N/A")</f>
        <v>#N/A</v>
      </c>
      <c r="O3069" s="1" t="str">
        <f>IFERROR(__xludf.DUMMYFUNCTION("""COMPUTED_VALUE"""),"TOLEDO")</f>
        <v>TOLEDO</v>
      </c>
      <c r="P3069" s="1" t="str">
        <f>IFERROR(__xludf.DUMMYFUNCTION("""COMPUTED_VALUE"""),"SILANG")</f>
        <v>SILANG</v>
      </c>
      <c r="Q3069" s="1" t="str">
        <f>IFERROR(__xludf.DUMMYFUNCTION("""COMPUTED_VALUE"""),"CAVITE")</f>
        <v>CAVITE</v>
      </c>
      <c r="R3069" s="1" t="str">
        <f>IFERROR(__xludf.DUMMYFUNCTION("""COMPUTED_VALUE"""),"FIBR PLAN 1299")</f>
        <v>FIBR PLAN 1299</v>
      </c>
      <c r="S3069" s="1" t="str">
        <f>IFERROR(__xludf.DUMMYFUNCTION("""COMPUTED_VALUE"""),"APPROVED")</f>
        <v>APPROVED</v>
      </c>
      <c r="T3069" s="1" t="str">
        <f>IFERROR(__xludf.DUMMYFUNCTION("""COMPUTED_VALUE"""),"#N/A")</f>
        <v>#N/A</v>
      </c>
      <c r="U3069" s="1"/>
      <c r="V3069" s="1"/>
      <c r="W3069" s="1"/>
    </row>
    <row r="3070" customHeight="1" spans="1:23">
      <c r="A3070" s="3">
        <f>IFERROR(__xludf.DUMMYFUNCTION("""COMPUTED_VALUE"""),46276)</f>
        <v>46276</v>
      </c>
      <c r="B3070" s="1" t="str">
        <f>IFERROR(__xludf.DUMMYFUNCTION("""COMPUTED_VALUE"""),"MALIWAT MARK ELVIN")</f>
        <v>MALIWAT MARK ELVIN</v>
      </c>
      <c r="C3070" s="1" t="str">
        <f>IFERROR(__xludf.DUMMYFUNCTION("""COMPUTED_VALUE"""),"FLA")</f>
        <v>FLA</v>
      </c>
      <c r="D3070" s="1" t="str">
        <f>IFERROR(__xludf.DUMMYFUNCTION("""COMPUTED_VALUE"""),"JERIC NAVARRO")</f>
        <v>JERIC NAVARRO</v>
      </c>
      <c r="E3070" s="1" t="str">
        <f>IFERROR(__xludf.DUMMYFUNCTION("""COMPUTED_VALUE"""),"PLDT / ONLINE")</f>
        <v>PLDT / ONLINE</v>
      </c>
      <c r="F3070" s="1"/>
      <c r="G3070" s="1">
        <f>IFERROR(__xludf.DUMMYFUNCTION("""COMPUTED_VALUE"""),2312518635)</f>
        <v>2312518635</v>
      </c>
      <c r="H3070" s="1" t="str">
        <f>IFERROR(__xludf.DUMMYFUNCTION("""COMPUTED_VALUE"""),"#N/A")</f>
        <v>#N/A</v>
      </c>
      <c r="I3070" s="1"/>
      <c r="J3070" s="1">
        <f>IFERROR(__xludf.DUMMYFUNCTION("""COMPUTED_VALUE"""),9945029835)</f>
        <v>9945029835</v>
      </c>
      <c r="K3070" s="1"/>
      <c r="L3070" s="1" t="str">
        <f>IFERROR(__xludf.DUMMYFUNCTION("""COMPUTED_VALUE"""),"#N/A")</f>
        <v>#N/A</v>
      </c>
      <c r="M3070" s="1" t="str">
        <f>IFERROR(__xludf.DUMMYFUNCTION("""COMPUTED_VALUE"""),"#N/A")</f>
        <v>#N/A</v>
      </c>
      <c r="N3070" s="1" t="str">
        <f>IFERROR(__xludf.DUMMYFUNCTION("""COMPUTED_VALUE"""),"#N/A")</f>
        <v>#N/A</v>
      </c>
      <c r="O3070" s="1" t="str">
        <f>IFERROR(__xludf.DUMMYFUNCTION("""COMPUTED_VALUE"""),"BILUSO")</f>
        <v>BILUSO</v>
      </c>
      <c r="P3070" s="1" t="str">
        <f>IFERROR(__xludf.DUMMYFUNCTION("""COMPUTED_VALUE"""),"SILANG")</f>
        <v>SILANG</v>
      </c>
      <c r="Q3070" s="1" t="str">
        <f>IFERROR(__xludf.DUMMYFUNCTION("""COMPUTED_VALUE"""),"CAVITE")</f>
        <v>CAVITE</v>
      </c>
      <c r="R3070" s="1" t="str">
        <f>IFERROR(__xludf.DUMMYFUNCTION("""COMPUTED_VALUE"""),"FIBR PLAN 1299")</f>
        <v>FIBR PLAN 1299</v>
      </c>
      <c r="S3070" s="1" t="str">
        <f>IFERROR(__xludf.DUMMYFUNCTION("""COMPUTED_VALUE"""),"APPROVED")</f>
        <v>APPROVED</v>
      </c>
      <c r="T3070" s="1" t="str">
        <f>IFERROR(__xludf.DUMMYFUNCTION("""COMPUTED_VALUE"""),"#N/A")</f>
        <v>#N/A</v>
      </c>
      <c r="U3070" s="1" t="str">
        <f>IFERROR(__xludf.DUMMYFUNCTION("""COMPUTED_VALUE"""),"POSTED")</f>
        <v>POSTED</v>
      </c>
      <c r="V3070" s="1"/>
      <c r="W3070" s="1"/>
    </row>
    <row r="3071" customHeight="1" spans="1:23">
      <c r="A3071" s="3">
        <f>IFERROR(__xludf.DUMMYFUNCTION("""COMPUTED_VALUE"""),46276)</f>
        <v>46276</v>
      </c>
      <c r="B3071" s="1" t="str">
        <f>IFERROR(__xludf.DUMMYFUNCTION("""COMPUTED_VALUE"""),"ARIENA, LYKA")</f>
        <v>ARIENA, LYKA</v>
      </c>
      <c r="C3071" s="1" t="str">
        <f>IFERROR(__xludf.DUMMYFUNCTION("""COMPUTED_VALUE"""),"ORGANIC")</f>
        <v>ORGANIC</v>
      </c>
      <c r="D3071" s="1" t="str">
        <f>IFERROR(__xludf.DUMMYFUNCTION("""COMPUTED_VALUE"""),"REMOLLO LEA")</f>
        <v>REMOLLO LEA</v>
      </c>
      <c r="E3071" s="1" t="str">
        <f>IFERROR(__xludf.DUMMYFUNCTION("""COMPUTED_VALUE"""),"PLDT / H2H")</f>
        <v>PLDT / H2H</v>
      </c>
      <c r="F3071" s="1"/>
      <c r="G3071" s="1"/>
      <c r="H3071" s="1" t="str">
        <f>IFERROR(__xludf.DUMMYFUNCTION("""COMPUTED_VALUE"""),"#N/A")</f>
        <v>#N/A</v>
      </c>
      <c r="I3071" s="1"/>
      <c r="J3071" s="1"/>
      <c r="K3071" s="1"/>
      <c r="L3071" s="1" t="str">
        <f>IFERROR(__xludf.DUMMYFUNCTION("""COMPUTED_VALUE"""),"#N/A")</f>
        <v>#N/A</v>
      </c>
      <c r="M3071" s="1" t="str">
        <f>IFERROR(__xludf.DUMMYFUNCTION("""COMPUTED_VALUE"""),"#N/A")</f>
        <v>#N/A</v>
      </c>
      <c r="N3071" s="1" t="str">
        <f>IFERROR(__xludf.DUMMYFUNCTION("""COMPUTED_VALUE"""),"#N/A")</f>
        <v>#N/A</v>
      </c>
      <c r="O3071" s="1" t="str">
        <f>IFERROR(__xludf.DUMMYFUNCTION("""COMPUTED_VALUE"""),"TOLEDO")</f>
        <v>TOLEDO</v>
      </c>
      <c r="P3071" s="1" t="str">
        <f>IFERROR(__xludf.DUMMYFUNCTION("""COMPUTED_VALUE"""),"SILANG")</f>
        <v>SILANG</v>
      </c>
      <c r="Q3071" s="1" t="str">
        <f>IFERROR(__xludf.DUMMYFUNCTION("""COMPUTED_VALUE"""),"CAVITE")</f>
        <v>CAVITE</v>
      </c>
      <c r="R3071" s="1" t="str">
        <f>IFERROR(__xludf.DUMMYFUNCTION("""COMPUTED_VALUE"""),"FIBR PLAN 1299")</f>
        <v>FIBR PLAN 1299</v>
      </c>
      <c r="S3071" s="1" t="str">
        <f>IFERROR(__xludf.DUMMYFUNCTION("""COMPUTED_VALUE"""),"APPROVED")</f>
        <v>APPROVED</v>
      </c>
      <c r="T3071" s="1" t="str">
        <f>IFERROR(__xludf.DUMMYFUNCTION("""COMPUTED_VALUE"""),"#N/A")</f>
        <v>#N/A</v>
      </c>
      <c r="U3071" s="1"/>
      <c r="V3071" s="1"/>
      <c r="W3071" s="1"/>
    </row>
    <row r="3072" customHeight="1" spans="1:23">
      <c r="A3072" s="3">
        <f>IFERROR(__xludf.DUMMYFUNCTION("""COMPUTED_VALUE"""),46276)</f>
        <v>46276</v>
      </c>
      <c r="B3072" s="1" t="str">
        <f>IFERROR(__xludf.DUMMYFUNCTION("""COMPUTED_VALUE"""),"OPS WESLY")</f>
        <v>OPS WESLY</v>
      </c>
      <c r="C3072" s="1" t="str">
        <f>IFERROR(__xludf.DUMMYFUNCTION("""COMPUTED_VALUE"""),"OPS")</f>
        <v>OPS</v>
      </c>
      <c r="D3072" s="1" t="str">
        <f>IFERROR(__xludf.DUMMYFUNCTION("""COMPUTED_VALUE"""),"JERIC NAVARRO")</f>
        <v>JERIC NAVARRO</v>
      </c>
      <c r="E3072" s="1" t="str">
        <f>IFERROR(__xludf.DUMMYFUNCTION("""COMPUTED_VALUE"""),"PLDT / ONLINE")</f>
        <v>PLDT / ONLINE</v>
      </c>
      <c r="F3072" s="1"/>
      <c r="G3072" s="1"/>
      <c r="H3072" s="1" t="str">
        <f>IFERROR(__xludf.DUMMYFUNCTION("""COMPUTED_VALUE"""),"#N/A")</f>
        <v>#N/A</v>
      </c>
      <c r="I3072" s="1"/>
      <c r="J3072" s="1"/>
      <c r="K3072" s="1"/>
      <c r="L3072" s="1" t="str">
        <f>IFERROR(__xludf.DUMMYFUNCTION("""COMPUTED_VALUE"""),"#N/A")</f>
        <v>#N/A</v>
      </c>
      <c r="M3072" s="1" t="str">
        <f>IFERROR(__xludf.DUMMYFUNCTION("""COMPUTED_VALUE"""),"#N/A")</f>
        <v>#N/A</v>
      </c>
      <c r="N3072" s="1" t="str">
        <f>IFERROR(__xludf.DUMMYFUNCTION("""COMPUTED_VALUE"""),"#N/A")</f>
        <v>#N/A</v>
      </c>
      <c r="O3072" s="1" t="str">
        <f>IFERROR(__xludf.DUMMYFUNCTION("""COMPUTED_VALUE"""),"INCHICAN")</f>
        <v>INCHICAN</v>
      </c>
      <c r="P3072" s="1" t="str">
        <f>IFERROR(__xludf.DUMMYFUNCTION("""COMPUTED_VALUE"""),"SILANG")</f>
        <v>SILANG</v>
      </c>
      <c r="Q3072" s="1" t="str">
        <f>IFERROR(__xludf.DUMMYFUNCTION("""COMPUTED_VALUE"""),"CAVITE")</f>
        <v>CAVITE</v>
      </c>
      <c r="R3072" s="1" t="str">
        <f>IFERROR(__xludf.DUMMYFUNCTION("""COMPUTED_VALUE"""),"FIBR UNLI ALL PLAN 1899")</f>
        <v>FIBR UNLI ALL PLAN 1899</v>
      </c>
      <c r="S3072" s="1" t="str">
        <f>IFERROR(__xludf.DUMMYFUNCTION("""COMPUTED_VALUE"""),"HOLD")</f>
        <v>HOLD</v>
      </c>
      <c r="T3072" s="1" t="str">
        <f>IFERROR(__xludf.DUMMYFUNCTION("""COMPUTED_VALUE"""),"#N/A")</f>
        <v>#N/A</v>
      </c>
      <c r="U3072" s="1"/>
      <c r="V3072" s="1"/>
      <c r="W3072" s="1"/>
    </row>
    <row r="3073" customHeight="1" spans="1:23">
      <c r="A3073" s="3">
        <f>IFERROR(__xludf.DUMMYFUNCTION("""COMPUTED_VALUE"""),46276)</f>
        <v>46276</v>
      </c>
      <c r="B3073" s="1" t="str">
        <f>IFERROR(__xludf.DUMMYFUNCTION("""COMPUTED_VALUE"""),"MALIWAT MARK ELVIN")</f>
        <v>MALIWAT MARK ELVIN</v>
      </c>
      <c r="C3073" s="1" t="str">
        <f>IFERROR(__xludf.DUMMYFUNCTION("""COMPUTED_VALUE"""),"FLA")</f>
        <v>FLA</v>
      </c>
      <c r="D3073" s="1" t="str">
        <f>IFERROR(__xludf.DUMMYFUNCTION("""COMPUTED_VALUE"""),"JERIC NAVARRO")</f>
        <v>JERIC NAVARRO</v>
      </c>
      <c r="E3073" s="1" t="str">
        <f>IFERROR(__xludf.DUMMYFUNCTION("""COMPUTED_VALUE"""),"PLDT / ONLINE")</f>
        <v>PLDT / ONLINE</v>
      </c>
      <c r="F3073" s="1"/>
      <c r="G3073" s="1"/>
      <c r="H3073" s="1" t="str">
        <f>IFERROR(__xludf.DUMMYFUNCTION("""COMPUTED_VALUE"""),"#N/A")</f>
        <v>#N/A</v>
      </c>
      <c r="I3073" s="1"/>
      <c r="J3073" s="1"/>
      <c r="K3073" s="1"/>
      <c r="L3073" s="1" t="str">
        <f>IFERROR(__xludf.DUMMYFUNCTION("""COMPUTED_VALUE"""),"#N/A")</f>
        <v>#N/A</v>
      </c>
      <c r="M3073" s="1" t="str">
        <f>IFERROR(__xludf.DUMMYFUNCTION("""COMPUTED_VALUE"""),"#N/A")</f>
        <v>#N/A</v>
      </c>
      <c r="N3073" s="1" t="str">
        <f>IFERROR(__xludf.DUMMYFUNCTION("""COMPUTED_VALUE"""),"#N/A")</f>
        <v>#N/A</v>
      </c>
      <c r="O3073" s="1" t="str">
        <f>IFERROR(__xludf.DUMMYFUNCTION("""COMPUTED_VALUE"""),"MARAHAN II")</f>
        <v>MARAHAN II</v>
      </c>
      <c r="P3073" s="1" t="str">
        <f>IFERROR(__xludf.DUMMYFUNCTION("""COMPUTED_VALUE"""),"ALFONSO")</f>
        <v>ALFONSO</v>
      </c>
      <c r="Q3073" s="1" t="str">
        <f>IFERROR(__xludf.DUMMYFUNCTION("""COMPUTED_VALUE"""),"CAVITE")</f>
        <v>CAVITE</v>
      </c>
      <c r="R3073" s="1" t="str">
        <f>IFERROR(__xludf.DUMMYFUNCTION("""COMPUTED_VALUE"""),"FIBR PLAN 1299")</f>
        <v>FIBR PLAN 1299</v>
      </c>
      <c r="S3073" s="1" t="str">
        <f>IFERROR(__xludf.DUMMYFUNCTION("""COMPUTED_VALUE"""),"APPROVED")</f>
        <v>APPROVED</v>
      </c>
      <c r="T3073" s="1" t="str">
        <f>IFERROR(__xludf.DUMMYFUNCTION("""COMPUTED_VALUE"""),"#N/A")</f>
        <v>#N/A</v>
      </c>
      <c r="U3073" s="1" t="str">
        <f>IFERROR(__xludf.DUMMYFUNCTION("""COMPUTED_VALUE"""),"POSTED")</f>
        <v>POSTED</v>
      </c>
      <c r="V3073" s="1"/>
      <c r="W3073" s="1"/>
    </row>
    <row r="3074" customHeight="1" spans="1:23">
      <c r="A3074" s="3">
        <f>IFERROR(__xludf.DUMMYFUNCTION("""COMPUTED_VALUE"""),46276)</f>
        <v>46276</v>
      </c>
      <c r="B3074" s="1" t="str">
        <f>IFERROR(__xludf.DUMMYFUNCTION("""COMPUTED_VALUE"""),"YOLANGO, MARVIN")</f>
        <v>YOLANGO, MARVIN</v>
      </c>
      <c r="C3074" s="1" t="str">
        <f>IFERROR(__xludf.DUMMYFUNCTION("""COMPUTED_VALUE"""),"ORGANIC")</f>
        <v>ORGANIC</v>
      </c>
      <c r="D3074" s="1" t="str">
        <f>IFERROR(__xludf.DUMMYFUNCTION("""COMPUTED_VALUE"""),"MICHALE GARCIA")</f>
        <v>MICHALE GARCIA</v>
      </c>
      <c r="E3074" s="1" t="str">
        <f>IFERROR(__xludf.DUMMYFUNCTION("""COMPUTED_VALUE"""),"PLDT / ONLINE")</f>
        <v>PLDT / ONLINE</v>
      </c>
      <c r="F3074" s="1"/>
      <c r="G3074" s="1"/>
      <c r="H3074" s="1" t="str">
        <f>IFERROR(__xludf.DUMMYFUNCTION("""COMPUTED_VALUE"""),"#N/A")</f>
        <v>#N/A</v>
      </c>
      <c r="I3074" s="1"/>
      <c r="J3074" s="1">
        <f>IFERROR(__xludf.DUMMYFUNCTION("""COMPUTED_VALUE"""),9304122663)</f>
        <v>9304122663</v>
      </c>
      <c r="K3074" s="1"/>
      <c r="L3074" s="1" t="str">
        <f>IFERROR(__xludf.DUMMYFUNCTION("""COMPUTED_VALUE"""),"#N/A")</f>
        <v>#N/A</v>
      </c>
      <c r="M3074" s="1" t="str">
        <f>IFERROR(__xludf.DUMMYFUNCTION("""COMPUTED_VALUE"""),"#N/A")</f>
        <v>#N/A</v>
      </c>
      <c r="N3074" s="1" t="str">
        <f>IFERROR(__xludf.DUMMYFUNCTION("""COMPUTED_VALUE"""),"#N/A")</f>
        <v>#N/A</v>
      </c>
      <c r="O3074" s="1" t="str">
        <f>IFERROR(__xludf.DUMMYFUNCTION("""COMPUTED_VALUE"""),"SAN FRANCISCO")</f>
        <v>SAN FRANCISCO</v>
      </c>
      <c r="P3074" s="1" t="str">
        <f>IFERROR(__xludf.DUMMYFUNCTION("""COMPUTED_VALUE"""),"GENERAL TRIAS")</f>
        <v>GENERAL TRIAS</v>
      </c>
      <c r="Q3074" s="1" t="str">
        <f>IFERROR(__xludf.DUMMYFUNCTION("""COMPUTED_VALUE"""),"CAVITE")</f>
        <v>CAVITE</v>
      </c>
      <c r="R3074" s="1" t="str">
        <f>IFERROR(__xludf.DUMMYFUNCTION("""COMPUTED_VALUE"""),"FIBR PLAN 1299")</f>
        <v>FIBR PLAN 1299</v>
      </c>
      <c r="S3074" s="1" t="str">
        <f>IFERROR(__xludf.DUMMYFUNCTION("""COMPUTED_VALUE"""),"APPROVED")</f>
        <v>APPROVED</v>
      </c>
      <c r="T3074" s="1" t="str">
        <f>IFERROR(__xludf.DUMMYFUNCTION("""COMPUTED_VALUE"""),"#N/A")</f>
        <v>#N/A</v>
      </c>
      <c r="U3074" s="1" t="str">
        <f>IFERROR(__xludf.DUMMYFUNCTION("""COMPUTED_VALUE"""),"POSTED")</f>
        <v>POSTED</v>
      </c>
      <c r="V3074" s="1"/>
      <c r="W3074" s="1"/>
    </row>
    <row r="3075" customHeight="1" spans="1:23">
      <c r="A3075" s="3">
        <f>IFERROR(__xludf.DUMMYFUNCTION("""COMPUTED_VALUE"""),46276)</f>
        <v>46276</v>
      </c>
      <c r="B3075" s="1" t="str">
        <f>IFERROR(__xludf.DUMMYFUNCTION("""COMPUTED_VALUE"""),"MORADOS, MARVIN")</f>
        <v>MORADOS, MARVIN</v>
      </c>
      <c r="C3075" s="1" t="str">
        <f>IFERROR(__xludf.DUMMYFUNCTION("""COMPUTED_VALUE"""),"ORGANIC")</f>
        <v>ORGANIC</v>
      </c>
      <c r="D3075" s="1" t="str">
        <f>IFERROR(__xludf.DUMMYFUNCTION("""COMPUTED_VALUE"""),"MICHALE GARCIA")</f>
        <v>MICHALE GARCIA</v>
      </c>
      <c r="E3075" s="1" t="str">
        <f>IFERROR(__xludf.DUMMYFUNCTION("""COMPUTED_VALUE"""),"PLDT / ONLINE")</f>
        <v>PLDT / ONLINE</v>
      </c>
      <c r="F3075" s="1"/>
      <c r="G3075" s="1">
        <f>IFERROR(__xludf.DUMMYFUNCTION("""COMPUTED_VALUE"""),2312515893)</f>
        <v>2312515893</v>
      </c>
      <c r="H3075" s="1" t="str">
        <f>IFERROR(__xludf.DUMMYFUNCTION("""COMPUTED_VALUE"""),"#N/A")</f>
        <v>#N/A</v>
      </c>
      <c r="I3075" s="1"/>
      <c r="J3075" s="1">
        <f>IFERROR(__xludf.DUMMYFUNCTION("""COMPUTED_VALUE"""),9692159292)</f>
        <v>9692159292</v>
      </c>
      <c r="K3075" s="1"/>
      <c r="L3075" s="1" t="str">
        <f>IFERROR(__xludf.DUMMYFUNCTION("""COMPUTED_VALUE"""),"#N/A")</f>
        <v>#N/A</v>
      </c>
      <c r="M3075" s="1" t="str">
        <f>IFERROR(__xludf.DUMMYFUNCTION("""COMPUTED_VALUE"""),"#N/A")</f>
        <v>#N/A</v>
      </c>
      <c r="N3075" s="1" t="str">
        <f>IFERROR(__xludf.DUMMYFUNCTION("""COMPUTED_VALUE"""),"#N/A")</f>
        <v>#N/A</v>
      </c>
      <c r="O3075" s="1" t="str">
        <f>IFERROR(__xludf.DUMMYFUNCTION("""COMPUTED_VALUE"""),"HUGO PEREZ")</f>
        <v>HUGO PEREZ</v>
      </c>
      <c r="P3075" s="1" t="str">
        <f>IFERROR(__xludf.DUMMYFUNCTION("""COMPUTED_VALUE"""),"TRECE MARTIRES")</f>
        <v>TRECE MARTIRES</v>
      </c>
      <c r="Q3075" s="1" t="str">
        <f>IFERROR(__xludf.DUMMYFUNCTION("""COMPUTED_VALUE"""),"CAVITE")</f>
        <v>CAVITE</v>
      </c>
      <c r="R3075" s="1" t="str">
        <f>IFERROR(__xludf.DUMMYFUNCTION("""COMPUTED_VALUE"""),"FIBR PLAN 1299")</f>
        <v>FIBR PLAN 1299</v>
      </c>
      <c r="S3075" s="1" t="str">
        <f>IFERROR(__xludf.DUMMYFUNCTION("""COMPUTED_VALUE"""),"HOLD")</f>
        <v>HOLD</v>
      </c>
      <c r="T3075" s="1" t="str">
        <f>IFERROR(__xludf.DUMMYFUNCTION("""COMPUTED_VALUE"""),"#N/A")</f>
        <v>#N/A</v>
      </c>
      <c r="U3075" s="1"/>
      <c r="V3075" s="1"/>
      <c r="W3075" s="1"/>
    </row>
    <row r="3076" customHeight="1" spans="1:23">
      <c r="A3076" s="3">
        <f>IFERROR(__xludf.DUMMYFUNCTION("""COMPUTED_VALUE"""),46276)</f>
        <v>46276</v>
      </c>
      <c r="B3076" s="1" t="str">
        <f>IFERROR(__xludf.DUMMYFUNCTION("""COMPUTED_VALUE"""),"GABAY, MANUEL")</f>
        <v>GABAY, MANUEL</v>
      </c>
      <c r="C3076" s="1" t="str">
        <f>IFERROR(__xludf.DUMMYFUNCTION("""COMPUTED_VALUE"""),"FLA")</f>
        <v>FLA</v>
      </c>
      <c r="D3076" s="1" t="str">
        <f>IFERROR(__xludf.DUMMYFUNCTION("""COMPUTED_VALUE"""),"JERIC NAVARRO")</f>
        <v>JERIC NAVARRO</v>
      </c>
      <c r="E3076" s="1" t="str">
        <f>IFERROR(__xludf.DUMMYFUNCTION("""COMPUTED_VALUE"""),"PLDT / H2H")</f>
        <v>PLDT / H2H</v>
      </c>
      <c r="F3076" s="1"/>
      <c r="G3076" s="1"/>
      <c r="H3076" s="1" t="str">
        <f>IFERROR(__xludf.DUMMYFUNCTION("""COMPUTED_VALUE"""),"#N/A")</f>
        <v>#N/A</v>
      </c>
      <c r="I3076" s="1"/>
      <c r="J3076" s="1"/>
      <c r="K3076" s="1"/>
      <c r="L3076" s="1" t="str">
        <f>IFERROR(__xludf.DUMMYFUNCTION("""COMPUTED_VALUE"""),"#N/A")</f>
        <v>#N/A</v>
      </c>
      <c r="M3076" s="1" t="str">
        <f>IFERROR(__xludf.DUMMYFUNCTION("""COMPUTED_VALUE"""),"#N/A")</f>
        <v>#N/A</v>
      </c>
      <c r="N3076" s="1" t="str">
        <f>IFERROR(__xludf.DUMMYFUNCTION("""COMPUTED_VALUE"""),"#N/A")</f>
        <v>#N/A</v>
      </c>
      <c r="O3076" s="1" t="str">
        <f>IFERROR(__xludf.DUMMYFUNCTION("""COMPUTED_VALUE"""),"ASIS I")</f>
        <v>ASIS I</v>
      </c>
      <c r="P3076" s="1" t="str">
        <f>IFERROR(__xludf.DUMMYFUNCTION("""COMPUTED_VALUE"""),"MENDEZ")</f>
        <v>MENDEZ</v>
      </c>
      <c r="Q3076" s="1" t="str">
        <f>IFERROR(__xludf.DUMMYFUNCTION("""COMPUTED_VALUE"""),"CAVITE")</f>
        <v>CAVITE</v>
      </c>
      <c r="R3076" s="1" t="str">
        <f>IFERROR(__xludf.DUMMYFUNCTION("""COMPUTED_VALUE"""),"FIBR UNLI ALL PLAN 1499")</f>
        <v>FIBR UNLI ALL PLAN 1499</v>
      </c>
      <c r="S3076" s="1" t="str">
        <f>IFERROR(__xludf.DUMMYFUNCTION("""COMPUTED_VALUE"""),"APPROVED")</f>
        <v>APPROVED</v>
      </c>
      <c r="T3076" s="1" t="str">
        <f>IFERROR(__xludf.DUMMYFUNCTION("""COMPUTED_VALUE"""),"#N/A")</f>
        <v>#N/A</v>
      </c>
      <c r="U3076" s="1" t="str">
        <f>IFERROR(__xludf.DUMMYFUNCTION("""COMPUTED_VALUE"""),"POSTED")</f>
        <v>POSTED</v>
      </c>
      <c r="V3076" s="1"/>
      <c r="W3076" s="1"/>
    </row>
    <row r="3077" customHeight="1" spans="1:23">
      <c r="A3077" s="3">
        <f>IFERROR(__xludf.DUMMYFUNCTION("""COMPUTED_VALUE"""),46276)</f>
        <v>46276</v>
      </c>
      <c r="B3077" s="1" t="str">
        <f>IFERROR(__xludf.DUMMYFUNCTION("""COMPUTED_VALUE"""),"MAGDARAOG, KENNETH")</f>
        <v>MAGDARAOG, KENNETH</v>
      </c>
      <c r="C3077" s="1" t="str">
        <f>IFERROR(__xludf.DUMMYFUNCTION("""COMPUTED_VALUE"""),"ORGANIC")</f>
        <v>ORGANIC</v>
      </c>
      <c r="D3077" s="1" t="str">
        <f>IFERROR(__xludf.DUMMYFUNCTION("""COMPUTED_VALUE"""),"REMOLLO LEA")</f>
        <v>REMOLLO LEA</v>
      </c>
      <c r="E3077" s="1" t="str">
        <f>IFERROR(__xludf.DUMMYFUNCTION("""COMPUTED_VALUE"""),"PLDT / H2H")</f>
        <v>PLDT / H2H</v>
      </c>
      <c r="F3077" s="1"/>
      <c r="G3077" s="1"/>
      <c r="H3077" s="1" t="str">
        <f>IFERROR(__xludf.DUMMYFUNCTION("""COMPUTED_VALUE"""),"#N/A")</f>
        <v>#N/A</v>
      </c>
      <c r="I3077" s="1"/>
      <c r="J3077" s="1"/>
      <c r="K3077" s="1"/>
      <c r="L3077" s="1" t="str">
        <f>IFERROR(__xludf.DUMMYFUNCTION("""COMPUTED_VALUE"""),"#N/A")</f>
        <v>#N/A</v>
      </c>
      <c r="M3077" s="1" t="str">
        <f>IFERROR(__xludf.DUMMYFUNCTION("""COMPUTED_VALUE"""),"#N/A")</f>
        <v>#N/A</v>
      </c>
      <c r="N3077" s="1" t="str">
        <f>IFERROR(__xludf.DUMMYFUNCTION("""COMPUTED_VALUE"""),"#N/A")</f>
        <v>#N/A</v>
      </c>
      <c r="O3077" s="1" t="str">
        <f>IFERROR(__xludf.DUMMYFUNCTION("""COMPUTED_VALUE"""),"IRUHIN WEST")</f>
        <v>IRUHIN WEST</v>
      </c>
      <c r="P3077" s="1" t="str">
        <f>IFERROR(__xludf.DUMMYFUNCTION("""COMPUTED_VALUE"""),"TAGAYTAY")</f>
        <v>TAGAYTAY</v>
      </c>
      <c r="Q3077" s="1" t="str">
        <f>IFERROR(__xludf.DUMMYFUNCTION("""COMPUTED_VALUE"""),"CAVITE")</f>
        <v>CAVITE</v>
      </c>
      <c r="R3077" s="1" t="str">
        <f>IFERROR(__xludf.DUMMYFUNCTION("""COMPUTED_VALUE"""),"FIBR UNLI ALL PLAN 999")</f>
        <v>FIBR UNLI ALL PLAN 999</v>
      </c>
      <c r="S3077" s="1" t="str">
        <f>IFERROR(__xludf.DUMMYFUNCTION("""COMPUTED_VALUE"""),"APPROVED")</f>
        <v>APPROVED</v>
      </c>
      <c r="T3077" s="1" t="str">
        <f>IFERROR(__xludf.DUMMYFUNCTION("""COMPUTED_VALUE"""),"#N/A")</f>
        <v>#N/A</v>
      </c>
      <c r="U3077" s="1"/>
      <c r="V3077" s="1"/>
      <c r="W3077" s="1"/>
    </row>
    <row r="3078" customHeight="1" spans="1:23">
      <c r="A3078" s="3">
        <f>IFERROR(__xludf.DUMMYFUNCTION("""COMPUTED_VALUE"""),46276)</f>
        <v>46276</v>
      </c>
      <c r="B3078" s="1" t="str">
        <f>IFERROR(__xludf.DUMMYFUNCTION("""COMPUTED_VALUE"""),"TAMAYO, MARY ROSE")</f>
        <v>TAMAYO, MARY ROSE</v>
      </c>
      <c r="C3078" s="1" t="str">
        <f>IFERROR(__xludf.DUMMYFUNCTION("""COMPUTED_VALUE"""),"ORGANIC")</f>
        <v>ORGANIC</v>
      </c>
      <c r="D3078" s="1" t="str">
        <f>IFERROR(__xludf.DUMMYFUNCTION("""COMPUTED_VALUE"""),"REMOLLO LEA")</f>
        <v>REMOLLO LEA</v>
      </c>
      <c r="E3078" s="1" t="str">
        <f>IFERROR(__xludf.DUMMYFUNCTION("""COMPUTED_VALUE"""),"PLDT / H2H")</f>
        <v>PLDT / H2H</v>
      </c>
      <c r="F3078" s="1"/>
      <c r="G3078" s="1"/>
      <c r="H3078" s="1" t="str">
        <f>IFERROR(__xludf.DUMMYFUNCTION("""COMPUTED_VALUE"""),"#N/A")</f>
        <v>#N/A</v>
      </c>
      <c r="I3078" s="1"/>
      <c r="J3078" s="1"/>
      <c r="K3078" s="1"/>
      <c r="L3078" s="1" t="str">
        <f>IFERROR(__xludf.DUMMYFUNCTION("""COMPUTED_VALUE"""),"#N/A")</f>
        <v>#N/A</v>
      </c>
      <c r="M3078" s="1" t="str">
        <f>IFERROR(__xludf.DUMMYFUNCTION("""COMPUTED_VALUE"""),"#N/A")</f>
        <v>#N/A</v>
      </c>
      <c r="N3078" s="1" t="str">
        <f>IFERROR(__xludf.DUMMYFUNCTION("""COMPUTED_VALUE"""),"#N/A")</f>
        <v>#N/A</v>
      </c>
      <c r="O3078" s="1" t="str">
        <f>IFERROR(__xludf.DUMMYFUNCTION("""COMPUTED_VALUE"""),"LALAAN I")</f>
        <v>LALAAN I</v>
      </c>
      <c r="P3078" s="1" t="str">
        <f>IFERROR(__xludf.DUMMYFUNCTION("""COMPUTED_VALUE"""),"SILANG")</f>
        <v>SILANG</v>
      </c>
      <c r="Q3078" s="1" t="str">
        <f>IFERROR(__xludf.DUMMYFUNCTION("""COMPUTED_VALUE"""),"CAVITE")</f>
        <v>CAVITE</v>
      </c>
      <c r="R3078" s="1" t="str">
        <f>IFERROR(__xludf.DUMMYFUNCTION("""COMPUTED_VALUE"""),"FIBR PLAN 1299")</f>
        <v>FIBR PLAN 1299</v>
      </c>
      <c r="S3078" s="1" t="str">
        <f>IFERROR(__xludf.DUMMYFUNCTION("""COMPUTED_VALUE"""),"APPROVED")</f>
        <v>APPROVED</v>
      </c>
      <c r="T3078" s="1" t="str">
        <f>IFERROR(__xludf.DUMMYFUNCTION("""COMPUTED_VALUE"""),"#N/A")</f>
        <v>#N/A</v>
      </c>
      <c r="U3078" s="1"/>
      <c r="V3078" s="1"/>
      <c r="W3078" s="1"/>
    </row>
    <row r="3079" customHeight="1" spans="1:23">
      <c r="A3079" s="3">
        <f>IFERROR(__xludf.DUMMYFUNCTION("""COMPUTED_VALUE"""),46276)</f>
        <v>46276</v>
      </c>
      <c r="B3079" s="1" t="str">
        <f>IFERROR(__xludf.DUMMYFUNCTION("""COMPUTED_VALUE"""),"CARPIO, STEPHANIE NICOLE")</f>
        <v>CARPIO, STEPHANIE NICOLE</v>
      </c>
      <c r="C3079" s="1" t="str">
        <f>IFERROR(__xludf.DUMMYFUNCTION("""COMPUTED_VALUE"""),"FLA")</f>
        <v>FLA</v>
      </c>
      <c r="D3079" s="1" t="str">
        <f>IFERROR(__xludf.DUMMYFUNCTION("""COMPUTED_VALUE"""),"JERIC NAVARRO")</f>
        <v>JERIC NAVARRO</v>
      </c>
      <c r="E3079" s="1" t="str">
        <f>IFERROR(__xludf.DUMMYFUNCTION("""COMPUTED_VALUE"""),"PLDT / H2H")</f>
        <v>PLDT / H2H</v>
      </c>
      <c r="F3079" s="1"/>
      <c r="G3079" s="1"/>
      <c r="H3079" s="1" t="str">
        <f>IFERROR(__xludf.DUMMYFUNCTION("""COMPUTED_VALUE"""),"#N/A")</f>
        <v>#N/A</v>
      </c>
      <c r="I3079" s="1"/>
      <c r="J3079" s="1"/>
      <c r="K3079" s="1"/>
      <c r="L3079" s="1" t="str">
        <f>IFERROR(__xludf.DUMMYFUNCTION("""COMPUTED_VALUE"""),"#N/A")</f>
        <v>#N/A</v>
      </c>
      <c r="M3079" s="1" t="str">
        <f>IFERROR(__xludf.DUMMYFUNCTION("""COMPUTED_VALUE"""),"#N/A")</f>
        <v>#N/A</v>
      </c>
      <c r="N3079" s="1" t="str">
        <f>IFERROR(__xludf.DUMMYFUNCTION("""COMPUTED_VALUE"""),"#N/A")</f>
        <v>#N/A</v>
      </c>
      <c r="O3079" s="1" t="str">
        <f>IFERROR(__xludf.DUMMYFUNCTION("""COMPUTED_VALUE"""),"SALITRAN III")</f>
        <v>SALITRAN III</v>
      </c>
      <c r="P3079" s="1" t="str">
        <f>IFERROR(__xludf.DUMMYFUNCTION("""COMPUTED_VALUE"""),"DASMARINAS")</f>
        <v>DASMARINAS</v>
      </c>
      <c r="Q3079" s="1" t="str">
        <f>IFERROR(__xludf.DUMMYFUNCTION("""COMPUTED_VALUE"""),"CAVITE")</f>
        <v>CAVITE</v>
      </c>
      <c r="R3079" s="1" t="str">
        <f>IFERROR(__xludf.DUMMYFUNCTION("""COMPUTED_VALUE"""),"FIBR NETFLIX PLAN 1599")</f>
        <v>FIBR NETFLIX PLAN 1599</v>
      </c>
      <c r="S3079" s="1" t="str">
        <f>IFERROR(__xludf.DUMMYFUNCTION("""COMPUTED_VALUE"""),"APPROVED")</f>
        <v>APPROVED</v>
      </c>
      <c r="T3079" s="1" t="str">
        <f>IFERROR(__xludf.DUMMYFUNCTION("""COMPUTED_VALUE"""),"#N/A")</f>
        <v>#N/A</v>
      </c>
      <c r="U3079" s="1"/>
      <c r="V3079" s="1"/>
      <c r="W3079" s="1"/>
    </row>
    <row r="3080" customHeight="1" spans="1:23">
      <c r="A3080" s="3">
        <f>IFERROR(__xludf.DUMMYFUNCTION("""COMPUTED_VALUE"""),46276)</f>
        <v>46276</v>
      </c>
      <c r="B3080" s="1" t="str">
        <f>IFERROR(__xludf.DUMMYFUNCTION("""COMPUTED_VALUE"""),"FRANCISCO , ROSELYN")</f>
        <v>FRANCISCO , ROSELYN</v>
      </c>
      <c r="C3080" s="1" t="str">
        <f>IFERROR(__xludf.DUMMYFUNCTION("""COMPUTED_VALUE"""),"ORGANIC")</f>
        <v>ORGANIC</v>
      </c>
      <c r="D3080" s="1" t="str">
        <f>IFERROR(__xludf.DUMMYFUNCTION("""COMPUTED_VALUE"""),"REMOLLO LEA")</f>
        <v>REMOLLO LEA</v>
      </c>
      <c r="E3080" s="1" t="str">
        <f>IFERROR(__xludf.DUMMYFUNCTION("""COMPUTED_VALUE"""),"PLDT / H2H")</f>
        <v>PLDT / H2H</v>
      </c>
      <c r="F3080" s="1"/>
      <c r="G3080" s="1"/>
      <c r="H3080" s="1" t="str">
        <f>IFERROR(__xludf.DUMMYFUNCTION("""COMPUTED_VALUE"""),"#N/A")</f>
        <v>#N/A</v>
      </c>
      <c r="I3080" s="1"/>
      <c r="J3080" s="1"/>
      <c r="K3080" s="1"/>
      <c r="L3080" s="1" t="str">
        <f>IFERROR(__xludf.DUMMYFUNCTION("""COMPUTED_VALUE"""),"#N/A")</f>
        <v>#N/A</v>
      </c>
      <c r="M3080" s="1" t="str">
        <f>IFERROR(__xludf.DUMMYFUNCTION("""COMPUTED_VALUE"""),"#N/A")</f>
        <v>#N/A</v>
      </c>
      <c r="N3080" s="1" t="str">
        <f>IFERROR(__xludf.DUMMYFUNCTION("""COMPUTED_VALUE"""),"#N/A")</f>
        <v>#N/A</v>
      </c>
      <c r="O3080" s="1" t="str">
        <f>IFERROR(__xludf.DUMMYFUNCTION("""COMPUTED_VALUE"""),"SAN JOSE")</f>
        <v>SAN JOSE</v>
      </c>
      <c r="P3080" s="1" t="str">
        <f>IFERROR(__xludf.DUMMYFUNCTION("""COMPUTED_VALUE"""),"GEN MARIANO ALVAREZ")</f>
        <v>GEN MARIANO ALVAREZ</v>
      </c>
      <c r="Q3080" s="1" t="str">
        <f>IFERROR(__xludf.DUMMYFUNCTION("""COMPUTED_VALUE"""),"CAVITE")</f>
        <v>CAVITE</v>
      </c>
      <c r="R3080" s="1" t="str">
        <f>IFERROR(__xludf.DUMMYFUNCTION("""COMPUTED_VALUE"""),"FIBR UNLI ALL PLAN 1899")</f>
        <v>FIBR UNLI ALL PLAN 1899</v>
      </c>
      <c r="S3080" s="1" t="str">
        <f>IFERROR(__xludf.DUMMYFUNCTION("""COMPUTED_VALUE"""),"APPROVED")</f>
        <v>APPROVED</v>
      </c>
      <c r="T3080" s="1" t="str">
        <f>IFERROR(__xludf.DUMMYFUNCTION("""COMPUTED_VALUE"""),"#N/A")</f>
        <v>#N/A</v>
      </c>
      <c r="U3080" s="1"/>
      <c r="V3080" s="1"/>
      <c r="W3080" s="1"/>
    </row>
    <row r="3081" customHeight="1" spans="1:23">
      <c r="A3081" s="3">
        <f>IFERROR(__xludf.DUMMYFUNCTION("""COMPUTED_VALUE"""),46277)</f>
        <v>46277</v>
      </c>
      <c r="B3081" s="1" t="str">
        <f>IFERROR(__xludf.DUMMYFUNCTION("""COMPUTED_VALUE"""),"ARIENA, LYKA")</f>
        <v>ARIENA, LYKA</v>
      </c>
      <c r="C3081" s="1" t="str">
        <f>IFERROR(__xludf.DUMMYFUNCTION("""COMPUTED_VALUE"""),"ORGANIC")</f>
        <v>ORGANIC</v>
      </c>
      <c r="D3081" s="1" t="str">
        <f>IFERROR(__xludf.DUMMYFUNCTION("""COMPUTED_VALUE"""),"REMOLLO LEA")</f>
        <v>REMOLLO LEA</v>
      </c>
      <c r="E3081" s="1" t="str">
        <f>IFERROR(__xludf.DUMMYFUNCTION("""COMPUTED_VALUE"""),"PLDT / H2H")</f>
        <v>PLDT / H2H</v>
      </c>
      <c r="F3081" s="1"/>
      <c r="G3081" s="1"/>
      <c r="H3081" s="1" t="str">
        <f>IFERROR(__xludf.DUMMYFUNCTION("""COMPUTED_VALUE"""),"#N/A")</f>
        <v>#N/A</v>
      </c>
      <c r="I3081" s="1"/>
      <c r="J3081" s="1"/>
      <c r="K3081" s="1"/>
      <c r="L3081" s="1" t="str">
        <f>IFERROR(__xludf.DUMMYFUNCTION("""COMPUTED_VALUE"""),"#N/A")</f>
        <v>#N/A</v>
      </c>
      <c r="M3081" s="1" t="str">
        <f>IFERROR(__xludf.DUMMYFUNCTION("""COMPUTED_VALUE"""),"#N/A")</f>
        <v>#N/A</v>
      </c>
      <c r="N3081" s="1" t="str">
        <f>IFERROR(__xludf.DUMMYFUNCTION("""COMPUTED_VALUE"""),"#N/A")</f>
        <v>#N/A</v>
      </c>
      <c r="O3081" s="1" t="str">
        <f>IFERROR(__xludf.DUMMYFUNCTION("""COMPUTED_VALUE"""),"SILANG CROSSING EAST")</f>
        <v>SILANG CROSSING EAST</v>
      </c>
      <c r="P3081" s="1" t="str">
        <f>IFERROR(__xludf.DUMMYFUNCTION("""COMPUTED_VALUE"""),"TAGAYTAY")</f>
        <v>TAGAYTAY</v>
      </c>
      <c r="Q3081" s="1" t="str">
        <f>IFERROR(__xludf.DUMMYFUNCTION("""COMPUTED_VALUE"""),"CAVITE")</f>
        <v>CAVITE</v>
      </c>
      <c r="R3081" s="1" t="str">
        <f>IFERROR(__xludf.DUMMYFUNCTION("""COMPUTED_VALUE"""),"FIBR PLAN 1299")</f>
        <v>FIBR PLAN 1299</v>
      </c>
      <c r="S3081" s="1" t="str">
        <f>IFERROR(__xludf.DUMMYFUNCTION("""COMPUTED_VALUE"""),"APPROVED")</f>
        <v>APPROVED</v>
      </c>
      <c r="T3081" s="1" t="str">
        <f>IFERROR(__xludf.DUMMYFUNCTION("""COMPUTED_VALUE"""),"#N/A")</f>
        <v>#N/A</v>
      </c>
      <c r="U3081" s="1"/>
      <c r="V3081" s="1"/>
      <c r="W3081" s="1"/>
    </row>
    <row r="3082" customHeight="1" spans="1:23">
      <c r="A3082" s="3">
        <f>IFERROR(__xludf.DUMMYFUNCTION("""COMPUTED_VALUE"""),46277)</f>
        <v>46277</v>
      </c>
      <c r="B3082" s="1" t="str">
        <f>IFERROR(__xludf.DUMMYFUNCTION("""COMPUTED_VALUE"""),"FRANCISCO , ROSELYN")</f>
        <v>FRANCISCO , ROSELYN</v>
      </c>
      <c r="C3082" s="1" t="str">
        <f>IFERROR(__xludf.DUMMYFUNCTION("""COMPUTED_VALUE"""),"ORGANIC")</f>
        <v>ORGANIC</v>
      </c>
      <c r="D3082" s="1" t="str">
        <f>IFERROR(__xludf.DUMMYFUNCTION("""COMPUTED_VALUE"""),"REMOLLO LEA")</f>
        <v>REMOLLO LEA</v>
      </c>
      <c r="E3082" s="1" t="str">
        <f>IFERROR(__xludf.DUMMYFUNCTION("""COMPUTED_VALUE"""),"PLDT / ONLINE")</f>
        <v>PLDT / ONLINE</v>
      </c>
      <c r="F3082" s="1"/>
      <c r="G3082" s="1"/>
      <c r="H3082" s="1" t="str">
        <f>IFERROR(__xludf.DUMMYFUNCTION("""COMPUTED_VALUE"""),"#N/A")</f>
        <v>#N/A</v>
      </c>
      <c r="I3082" s="1"/>
      <c r="J3082" s="1"/>
      <c r="K3082" s="1"/>
      <c r="L3082" s="1" t="str">
        <f>IFERROR(__xludf.DUMMYFUNCTION("""COMPUTED_VALUE"""),"#N/A")</f>
        <v>#N/A</v>
      </c>
      <c r="M3082" s="1" t="str">
        <f>IFERROR(__xludf.DUMMYFUNCTION("""COMPUTED_VALUE"""),"#N/A")</f>
        <v>#N/A</v>
      </c>
      <c r="N3082" s="1" t="str">
        <f>IFERROR(__xludf.DUMMYFUNCTION("""COMPUTED_VALUE"""),"#N/A")</f>
        <v>#N/A</v>
      </c>
      <c r="O3082" s="1" t="str">
        <f>IFERROR(__xludf.DUMMYFUNCTION("""COMPUTED_VALUE"""),"CONCHU (LAGUNDIAN)")</f>
        <v>CONCHU (LAGUNDIAN)</v>
      </c>
      <c r="P3082" s="1" t="str">
        <f>IFERROR(__xludf.DUMMYFUNCTION("""COMPUTED_VALUE"""),"TRECE MARTIRES")</f>
        <v>TRECE MARTIRES</v>
      </c>
      <c r="Q3082" s="1" t="str">
        <f>IFERROR(__xludf.DUMMYFUNCTION("""COMPUTED_VALUE"""),"CAVITE")</f>
        <v>CAVITE</v>
      </c>
      <c r="R3082" s="1" t="str">
        <f>IFERROR(__xludf.DUMMYFUNCTION("""COMPUTED_VALUE"""),"FIBR PLAN 1299")</f>
        <v>FIBR PLAN 1299</v>
      </c>
      <c r="S3082" s="1" t="str">
        <f>IFERROR(__xludf.DUMMYFUNCTION("""COMPUTED_VALUE"""),"APPROVED")</f>
        <v>APPROVED</v>
      </c>
      <c r="T3082" s="1" t="str">
        <f>IFERROR(__xludf.DUMMYFUNCTION("""COMPUTED_VALUE"""),"#N/A")</f>
        <v>#N/A</v>
      </c>
      <c r="U3082" s="1"/>
      <c r="V3082" s="1"/>
      <c r="W3082" s="1"/>
    </row>
    <row r="3083" customHeight="1" spans="1:23">
      <c r="A3083" s="3">
        <f>IFERROR(__xludf.DUMMYFUNCTION("""COMPUTED_VALUE"""),46277)</f>
        <v>46277</v>
      </c>
      <c r="B3083" s="1" t="str">
        <f>IFERROR(__xludf.DUMMYFUNCTION("""COMPUTED_VALUE"""),"MALIWAT MARK ELVIN")</f>
        <v>MALIWAT MARK ELVIN</v>
      </c>
      <c r="C3083" s="1" t="str">
        <f>IFERROR(__xludf.DUMMYFUNCTION("""COMPUTED_VALUE"""),"FLA")</f>
        <v>FLA</v>
      </c>
      <c r="D3083" s="1" t="str">
        <f>IFERROR(__xludf.DUMMYFUNCTION("""COMPUTED_VALUE"""),"JERIC NAVARRO")</f>
        <v>JERIC NAVARRO</v>
      </c>
      <c r="E3083" s="1" t="str">
        <f>IFERROR(__xludf.DUMMYFUNCTION("""COMPUTED_VALUE"""),"PLDT / ONLINE")</f>
        <v>PLDT / ONLINE</v>
      </c>
      <c r="F3083" s="1"/>
      <c r="G3083" s="1"/>
      <c r="H3083" s="1" t="str">
        <f>IFERROR(__xludf.DUMMYFUNCTION("""COMPUTED_VALUE"""),"#N/A")</f>
        <v>#N/A</v>
      </c>
      <c r="I3083" s="1"/>
      <c r="J3083" s="1"/>
      <c r="K3083" s="1"/>
      <c r="L3083" s="1" t="str">
        <f>IFERROR(__xludf.DUMMYFUNCTION("""COMPUTED_VALUE"""),"#N/A")</f>
        <v>#N/A</v>
      </c>
      <c r="M3083" s="1" t="str">
        <f>IFERROR(__xludf.DUMMYFUNCTION("""COMPUTED_VALUE"""),"#N/A")</f>
        <v>#N/A</v>
      </c>
      <c r="N3083" s="1" t="str">
        <f>IFERROR(__xludf.DUMMYFUNCTION("""COMPUTED_VALUE"""),"#N/A")</f>
        <v>#N/A</v>
      </c>
      <c r="O3083" s="1" t="str">
        <f>IFERROR(__xludf.DUMMYFUNCTION("""COMPUTED_VALUE"""),"MAITIM I")</f>
        <v>MAITIM I</v>
      </c>
      <c r="P3083" s="1" t="str">
        <f>IFERROR(__xludf.DUMMYFUNCTION("""COMPUTED_VALUE"""),"AMADEO")</f>
        <v>AMADEO</v>
      </c>
      <c r="Q3083" s="1" t="str">
        <f>IFERROR(__xludf.DUMMYFUNCTION("""COMPUTED_VALUE"""),"CAVITE")</f>
        <v>CAVITE</v>
      </c>
      <c r="R3083" s="1" t="str">
        <f>IFERROR(__xludf.DUMMYFUNCTION("""COMPUTED_VALUE"""),"FIBR PLAN 1699")</f>
        <v>FIBR PLAN 1699</v>
      </c>
      <c r="S3083" s="1" t="str">
        <f>IFERROR(__xludf.DUMMYFUNCTION("""COMPUTED_VALUE"""),"APPROVED")</f>
        <v>APPROVED</v>
      </c>
      <c r="T3083" s="1" t="str">
        <f>IFERROR(__xludf.DUMMYFUNCTION("""COMPUTED_VALUE"""),"#N/A")</f>
        <v>#N/A</v>
      </c>
      <c r="U3083" s="1"/>
      <c r="V3083" s="1"/>
      <c r="W3083" s="1"/>
    </row>
    <row r="3084" customHeight="1" spans="1:23">
      <c r="A3084" s="3">
        <f>IFERROR(__xludf.DUMMYFUNCTION("""COMPUTED_VALUE"""),46277)</f>
        <v>46277</v>
      </c>
      <c r="B3084" s="1" t="str">
        <f>IFERROR(__xludf.DUMMYFUNCTION("""COMPUTED_VALUE"""),"TAMAYO, MARY ROSE")</f>
        <v>TAMAYO, MARY ROSE</v>
      </c>
      <c r="C3084" s="1" t="str">
        <f>IFERROR(__xludf.DUMMYFUNCTION("""COMPUTED_VALUE"""),"ORGANIC")</f>
        <v>ORGANIC</v>
      </c>
      <c r="D3084" s="1" t="str">
        <f>IFERROR(__xludf.DUMMYFUNCTION("""COMPUTED_VALUE"""),"REMOLLO LEA")</f>
        <v>REMOLLO LEA</v>
      </c>
      <c r="E3084" s="1" t="str">
        <f>IFERROR(__xludf.DUMMYFUNCTION("""COMPUTED_VALUE"""),"PLDT / H2H")</f>
        <v>PLDT / H2H</v>
      </c>
      <c r="F3084" s="1"/>
      <c r="G3084" s="1"/>
      <c r="H3084" s="1" t="str">
        <f>IFERROR(__xludf.DUMMYFUNCTION("""COMPUTED_VALUE"""),"#N/A")</f>
        <v>#N/A</v>
      </c>
      <c r="I3084" s="1"/>
      <c r="J3084" s="1">
        <f>IFERROR(__xludf.DUMMYFUNCTION("""COMPUTED_VALUE"""),9672505758)</f>
        <v>9672505758</v>
      </c>
      <c r="K3084" s="1"/>
      <c r="L3084" s="1" t="str">
        <f>IFERROR(__xludf.DUMMYFUNCTION("""COMPUTED_VALUE"""),"#N/A")</f>
        <v>#N/A</v>
      </c>
      <c r="M3084" s="1" t="str">
        <f>IFERROR(__xludf.DUMMYFUNCTION("""COMPUTED_VALUE"""),"#N/A")</f>
        <v>#N/A</v>
      </c>
      <c r="N3084" s="1" t="str">
        <f>IFERROR(__xludf.DUMMYFUNCTION("""COMPUTED_VALUE"""),"#N/A")</f>
        <v>#N/A</v>
      </c>
      <c r="O3084" s="1" t="str">
        <f>IFERROR(__xludf.DUMMYFUNCTION("""COMPUTED_VALUE"""),"TARTARIA")</f>
        <v>TARTARIA</v>
      </c>
      <c r="P3084" s="1" t="str">
        <f>IFERROR(__xludf.DUMMYFUNCTION("""COMPUTED_VALUE"""),"SILANG")</f>
        <v>SILANG</v>
      </c>
      <c r="Q3084" s="1" t="str">
        <f>IFERROR(__xludf.DUMMYFUNCTION("""COMPUTED_VALUE"""),"CAVITE")</f>
        <v>CAVITE</v>
      </c>
      <c r="R3084" s="1" t="str">
        <f>IFERROR(__xludf.DUMMYFUNCTION("""COMPUTED_VALUE"""),"FIBR UNLI ALL PLAN 1499")</f>
        <v>FIBR UNLI ALL PLAN 1499</v>
      </c>
      <c r="S3084" s="1" t="str">
        <f>IFERROR(__xludf.DUMMYFUNCTION("""COMPUTED_VALUE"""),"APPROVED")</f>
        <v>APPROVED</v>
      </c>
      <c r="T3084" s="1" t="str">
        <f>IFERROR(__xludf.DUMMYFUNCTION("""COMPUTED_VALUE"""),"#N/A")</f>
        <v>#N/A</v>
      </c>
      <c r="U3084" s="1"/>
      <c r="V3084" s="1"/>
      <c r="W3084" s="1"/>
    </row>
    <row r="3085" customHeight="1" spans="1:23">
      <c r="A3085" s="3">
        <f>IFERROR(__xludf.DUMMYFUNCTION("""COMPUTED_VALUE"""),46277)</f>
        <v>46277</v>
      </c>
      <c r="B3085" s="1" t="str">
        <f>IFERROR(__xludf.DUMMYFUNCTION("""COMPUTED_VALUE"""),"TAMAYO, MARY ROSE")</f>
        <v>TAMAYO, MARY ROSE</v>
      </c>
      <c r="C3085" s="1" t="str">
        <f>IFERROR(__xludf.DUMMYFUNCTION("""COMPUTED_VALUE"""),"ORGANIC")</f>
        <v>ORGANIC</v>
      </c>
      <c r="D3085" s="1" t="str">
        <f>IFERROR(__xludf.DUMMYFUNCTION("""COMPUTED_VALUE"""),"REMOLLO LEA")</f>
        <v>REMOLLO LEA</v>
      </c>
      <c r="E3085" s="1" t="str">
        <f>IFERROR(__xludf.DUMMYFUNCTION("""COMPUTED_VALUE"""),"PLDT / H2H")</f>
        <v>PLDT / H2H</v>
      </c>
      <c r="F3085" s="1"/>
      <c r="G3085" s="1"/>
      <c r="H3085" s="1" t="str">
        <f>IFERROR(__xludf.DUMMYFUNCTION("""COMPUTED_VALUE"""),"#N/A")</f>
        <v>#N/A</v>
      </c>
      <c r="I3085" s="1"/>
      <c r="J3085" s="1"/>
      <c r="K3085" s="1"/>
      <c r="L3085" s="1" t="str">
        <f>IFERROR(__xludf.DUMMYFUNCTION("""COMPUTED_VALUE"""),"#N/A")</f>
        <v>#N/A</v>
      </c>
      <c r="M3085" s="1" t="str">
        <f>IFERROR(__xludf.DUMMYFUNCTION("""COMPUTED_VALUE"""),"#N/A")</f>
        <v>#N/A</v>
      </c>
      <c r="N3085" s="1" t="str">
        <f>IFERROR(__xludf.DUMMYFUNCTION("""COMPUTED_VALUE"""),"#N/A")</f>
        <v>#N/A</v>
      </c>
      <c r="O3085" s="1" t="str">
        <f>IFERROR(__xludf.DUMMYFUNCTION("""COMPUTED_VALUE"""),"LANTIC")</f>
        <v>LANTIC</v>
      </c>
      <c r="P3085" s="1" t="str">
        <f>IFERROR(__xludf.DUMMYFUNCTION("""COMPUTED_VALUE"""),"CARMONA")</f>
        <v>CARMONA</v>
      </c>
      <c r="Q3085" s="1" t="str">
        <f>IFERROR(__xludf.DUMMYFUNCTION("""COMPUTED_VALUE"""),"CAVITE")</f>
        <v>CAVITE</v>
      </c>
      <c r="R3085" s="1" t="str">
        <f>IFERROR(__xludf.DUMMYFUNCTION("""COMPUTED_VALUE"""),"FIBR UNLI ALL PLAN 999")</f>
        <v>FIBR UNLI ALL PLAN 999</v>
      </c>
      <c r="S3085" s="1" t="str">
        <f>IFERROR(__xludf.DUMMYFUNCTION("""COMPUTED_VALUE"""),"APPROVED")</f>
        <v>APPROVED</v>
      </c>
      <c r="T3085" s="1" t="str">
        <f>IFERROR(__xludf.DUMMYFUNCTION("""COMPUTED_VALUE"""),"#N/A")</f>
        <v>#N/A</v>
      </c>
      <c r="U3085" s="1"/>
      <c r="V3085" s="1"/>
      <c r="W3085" s="1"/>
    </row>
    <row r="3086" customHeight="1" spans="1:23">
      <c r="A3086" s="3">
        <f>IFERROR(__xludf.DUMMYFUNCTION("""COMPUTED_VALUE"""),46277)</f>
        <v>46277</v>
      </c>
      <c r="B3086" s="1" t="str">
        <f>IFERROR(__xludf.DUMMYFUNCTION("""COMPUTED_VALUE"""),"TAMAYO, MARY ROSE")</f>
        <v>TAMAYO, MARY ROSE</v>
      </c>
      <c r="C3086" s="1" t="str">
        <f>IFERROR(__xludf.DUMMYFUNCTION("""COMPUTED_VALUE"""),"ORGANIC")</f>
        <v>ORGANIC</v>
      </c>
      <c r="D3086" s="1" t="str">
        <f>IFERROR(__xludf.DUMMYFUNCTION("""COMPUTED_VALUE"""),"REMOLLO LEA")</f>
        <v>REMOLLO LEA</v>
      </c>
      <c r="E3086" s="1" t="str">
        <f>IFERROR(__xludf.DUMMYFUNCTION("""COMPUTED_VALUE"""),"PLDT / H2H")</f>
        <v>PLDT / H2H</v>
      </c>
      <c r="F3086" s="1"/>
      <c r="G3086" s="1"/>
      <c r="H3086" s="1" t="str">
        <f>IFERROR(__xludf.DUMMYFUNCTION("""COMPUTED_VALUE"""),"#N/A")</f>
        <v>#N/A</v>
      </c>
      <c r="I3086" s="1"/>
      <c r="J3086" s="1"/>
      <c r="K3086" s="1"/>
      <c r="L3086" s="1" t="str">
        <f>IFERROR(__xludf.DUMMYFUNCTION("""COMPUTED_VALUE"""),"#N/A")</f>
        <v>#N/A</v>
      </c>
      <c r="M3086" s="1" t="str">
        <f>IFERROR(__xludf.DUMMYFUNCTION("""COMPUTED_VALUE"""),"#N/A")</f>
        <v>#N/A</v>
      </c>
      <c r="N3086" s="1" t="str">
        <f>IFERROR(__xludf.DUMMYFUNCTION("""COMPUTED_VALUE"""),"#N/A")</f>
        <v>#N/A</v>
      </c>
      <c r="O3086" s="1" t="str">
        <f>IFERROR(__xludf.DUMMYFUNCTION("""COMPUTED_VALUE"""),"ACACIA")</f>
        <v>ACACIA</v>
      </c>
      <c r="P3086" s="1" t="str">
        <f>IFERROR(__xludf.DUMMYFUNCTION("""COMPUTED_VALUE"""),"SILANG")</f>
        <v>SILANG</v>
      </c>
      <c r="Q3086" s="1" t="str">
        <f>IFERROR(__xludf.DUMMYFUNCTION("""COMPUTED_VALUE"""),"CAVITE")</f>
        <v>CAVITE</v>
      </c>
      <c r="R3086" s="1" t="str">
        <f>IFERROR(__xludf.DUMMYFUNCTION("""COMPUTED_VALUE"""),"FIBR PLAN 1299")</f>
        <v>FIBR PLAN 1299</v>
      </c>
      <c r="S3086" s="1" t="str">
        <f>IFERROR(__xludf.DUMMYFUNCTION("""COMPUTED_VALUE"""),"APPROVED")</f>
        <v>APPROVED</v>
      </c>
      <c r="T3086" s="1" t="str">
        <f>IFERROR(__xludf.DUMMYFUNCTION("""COMPUTED_VALUE"""),"#N/A")</f>
        <v>#N/A</v>
      </c>
      <c r="U3086" s="1"/>
      <c r="V3086" s="1"/>
      <c r="W3086" s="1"/>
    </row>
    <row r="3087" customHeight="1" spans="1:23">
      <c r="A3087" s="3">
        <f>IFERROR(__xludf.DUMMYFUNCTION("""COMPUTED_VALUE"""),46277)</f>
        <v>46277</v>
      </c>
      <c r="B3087" s="1" t="str">
        <f>IFERROR(__xludf.DUMMYFUNCTION("""COMPUTED_VALUE"""),"ESCARCHA, MA ALMA  ESCOTO")</f>
        <v>ESCARCHA, MA ALMA  ESCOTO</v>
      </c>
      <c r="C3087" s="1" t="str">
        <f>IFERROR(__xludf.DUMMYFUNCTION("""COMPUTED_VALUE"""),"ORGANIC")</f>
        <v>ORGANIC</v>
      </c>
      <c r="D3087" s="1" t="str">
        <f>IFERROR(__xludf.DUMMYFUNCTION("""COMPUTED_VALUE"""),"REMOLLO LEA")</f>
        <v>REMOLLO LEA</v>
      </c>
      <c r="E3087" s="1" t="str">
        <f>IFERROR(__xludf.DUMMYFUNCTION("""COMPUTED_VALUE"""),"PLDT / H2H")</f>
        <v>PLDT / H2H</v>
      </c>
      <c r="F3087" s="1"/>
      <c r="G3087" s="1"/>
      <c r="H3087" s="1" t="str">
        <f>IFERROR(__xludf.DUMMYFUNCTION("""COMPUTED_VALUE"""),"#N/A")</f>
        <v>#N/A</v>
      </c>
      <c r="I3087" s="1"/>
      <c r="J3087" s="1"/>
      <c r="K3087" s="1"/>
      <c r="L3087" s="1" t="str">
        <f>IFERROR(__xludf.DUMMYFUNCTION("""COMPUTED_VALUE"""),"#N/A")</f>
        <v>#N/A</v>
      </c>
      <c r="M3087" s="1" t="str">
        <f>IFERROR(__xludf.DUMMYFUNCTION("""COMPUTED_VALUE"""),"#N/A")</f>
        <v>#N/A</v>
      </c>
      <c r="N3087" s="1" t="str">
        <f>IFERROR(__xludf.DUMMYFUNCTION("""COMPUTED_VALUE"""),"#N/A")</f>
        <v>#N/A</v>
      </c>
      <c r="O3087" s="1" t="str">
        <f>IFERROR(__xludf.DUMMYFUNCTION("""COMPUTED_VALUE"""),"YAKAL")</f>
        <v>YAKAL</v>
      </c>
      <c r="P3087" s="1" t="str">
        <f>IFERROR(__xludf.DUMMYFUNCTION("""COMPUTED_VALUE"""),"SILANG")</f>
        <v>SILANG</v>
      </c>
      <c r="Q3087" s="1" t="str">
        <f>IFERROR(__xludf.DUMMYFUNCTION("""COMPUTED_VALUE"""),"CAVITE")</f>
        <v>CAVITE</v>
      </c>
      <c r="R3087" s="1" t="str">
        <f>IFERROR(__xludf.DUMMYFUNCTION("""COMPUTED_VALUE"""),"FIBR UNLI ALL PLAN 999")</f>
        <v>FIBR UNLI ALL PLAN 999</v>
      </c>
      <c r="S3087" s="1" t="str">
        <f>IFERROR(__xludf.DUMMYFUNCTION("""COMPUTED_VALUE"""),"APPROVED")</f>
        <v>APPROVED</v>
      </c>
      <c r="T3087" s="1" t="str">
        <f>IFERROR(__xludf.DUMMYFUNCTION("""COMPUTED_VALUE"""),"#N/A")</f>
        <v>#N/A</v>
      </c>
      <c r="U3087" s="1"/>
      <c r="V3087" s="1"/>
      <c r="W3087" s="1"/>
    </row>
    <row r="3088" customHeight="1" spans="1:23">
      <c r="A3088" s="3">
        <f>IFERROR(__xludf.DUMMYFUNCTION("""COMPUTED_VALUE"""),46277)</f>
        <v>46277</v>
      </c>
      <c r="B3088" s="1" t="str">
        <f>IFERROR(__xludf.DUMMYFUNCTION("""COMPUTED_VALUE"""),"CADERAO, RONALD")</f>
        <v>CADERAO, RONALD</v>
      </c>
      <c r="C3088" s="1" t="str">
        <f>IFERROR(__xludf.DUMMYFUNCTION("""COMPUTED_VALUE"""),"ORGANIC")</f>
        <v>ORGANIC</v>
      </c>
      <c r="D3088" s="1" t="str">
        <f>IFERROR(__xludf.DUMMYFUNCTION("""COMPUTED_VALUE"""),"REMOLLO LEA")</f>
        <v>REMOLLO LEA</v>
      </c>
      <c r="E3088" s="1" t="str">
        <f>IFERROR(__xludf.DUMMYFUNCTION("""COMPUTED_VALUE"""),"PLDT / H2H")</f>
        <v>PLDT / H2H</v>
      </c>
      <c r="F3088" s="1"/>
      <c r="G3088" s="1">
        <f>IFERROR(__xludf.DUMMYFUNCTION("""COMPUTED_VALUE"""),2312659326)</f>
        <v>2312659326</v>
      </c>
      <c r="H3088" s="1" t="str">
        <f>IFERROR(__xludf.DUMMYFUNCTION("""COMPUTED_VALUE"""),"471923768004")</f>
        <v>471923768004</v>
      </c>
      <c r="I3088" s="1"/>
      <c r="J3088" s="1">
        <f>IFERROR(__xludf.DUMMYFUNCTION("""COMPUTED_VALUE"""),9071084018)</f>
        <v>9071084018</v>
      </c>
      <c r="K3088" s="1"/>
      <c r="L3088" s="1" t="str">
        <f>IFERROR(__xludf.DUMMYFUNCTION("""COMPUTED_VALUE"""),"#N/A")</f>
        <v>#N/A</v>
      </c>
      <c r="M3088" s="1" t="str">
        <f>IFERROR(__xludf.DUMMYFUNCTION("""COMPUTED_VALUE"""),"#N/A")</f>
        <v>#N/A</v>
      </c>
      <c r="N3088" s="1" t="str">
        <f>IFERROR(__xludf.DUMMYFUNCTION("""COMPUTED_VALUE"""),"#N/A")</f>
        <v>#N/A</v>
      </c>
      <c r="O3088" s="1" t="str">
        <f>IFERROR(__xludf.DUMMYFUNCTION("""COMPUTED_VALUE"""),"PASONG LANGKA")</f>
        <v>PASONG LANGKA</v>
      </c>
      <c r="P3088" s="1" t="str">
        <f>IFERROR(__xludf.DUMMYFUNCTION("""COMPUTED_VALUE"""),"SILANG")</f>
        <v>SILANG</v>
      </c>
      <c r="Q3088" s="1" t="str">
        <f>IFERROR(__xludf.DUMMYFUNCTION("""COMPUTED_VALUE"""),"CAVITE")</f>
        <v>CAVITE</v>
      </c>
      <c r="R3088" s="1" t="str">
        <f>IFERROR(__xludf.DUMMYFUNCTION("""COMPUTED_VALUE"""),"FIBR UNLI ALL PLAN 1499")</f>
        <v>FIBR UNLI ALL PLAN 1499</v>
      </c>
      <c r="S3088" s="1" t="str">
        <f>IFERROR(__xludf.DUMMYFUNCTION("""COMPUTED_VALUE"""),"APPROVED")</f>
        <v>APPROVED</v>
      </c>
      <c r="T3088" s="1" t="str">
        <f>IFERROR(__xludf.DUMMYFUNCTION("""COMPUTED_VALUE"""),"#N/A")</f>
        <v>#N/A</v>
      </c>
      <c r="U3088" s="1"/>
      <c r="V3088" s="1"/>
      <c r="W3088" s="1"/>
    </row>
    <row r="3089" customHeight="1" spans="1:23">
      <c r="A3089" s="3">
        <f>IFERROR(__xludf.DUMMYFUNCTION("""COMPUTED_VALUE"""),46277)</f>
        <v>46277</v>
      </c>
      <c r="B3089" s="1" t="str">
        <f>IFERROR(__xludf.DUMMYFUNCTION("""COMPUTED_VALUE"""),"DACALCAP RUBEN")</f>
        <v>DACALCAP RUBEN</v>
      </c>
      <c r="C3089" s="1" t="str">
        <f>IFERROR(__xludf.DUMMYFUNCTION("""COMPUTED_VALUE"""),"FLA")</f>
        <v>FLA</v>
      </c>
      <c r="D3089" s="1" t="str">
        <f>IFERROR(__xludf.DUMMYFUNCTION("""COMPUTED_VALUE"""),"JERIC NAVARRO")</f>
        <v>JERIC NAVARRO</v>
      </c>
      <c r="E3089" s="1" t="str">
        <f>IFERROR(__xludf.DUMMYFUNCTION("""COMPUTED_VALUE"""),"PLDT / ONLINE")</f>
        <v>PLDT / ONLINE</v>
      </c>
      <c r="F3089" s="1"/>
      <c r="G3089" s="1"/>
      <c r="H3089" s="1" t="str">
        <f>IFERROR(__xludf.DUMMYFUNCTION("""COMPUTED_VALUE"""),"#N/A")</f>
        <v>#N/A</v>
      </c>
      <c r="I3089" s="1"/>
      <c r="J3089" s="1">
        <f>IFERROR(__xludf.DUMMYFUNCTION("""COMPUTED_VALUE"""),9666587612)</f>
        <v>9666587612</v>
      </c>
      <c r="K3089" s="1"/>
      <c r="L3089" s="1" t="str">
        <f>IFERROR(__xludf.DUMMYFUNCTION("""COMPUTED_VALUE"""),"#N/A")</f>
        <v>#N/A</v>
      </c>
      <c r="M3089" s="1" t="str">
        <f>IFERROR(__xludf.DUMMYFUNCTION("""COMPUTED_VALUE"""),"#N/A")</f>
        <v>#N/A</v>
      </c>
      <c r="N3089" s="1" t="str">
        <f>IFERROR(__xludf.DUMMYFUNCTION("""COMPUTED_VALUE"""),"#N/A")</f>
        <v>#N/A</v>
      </c>
      <c r="O3089" s="1" t="str">
        <f>IFERROR(__xludf.DUMMYFUNCTION("""COMPUTED_VALUE"""),"OSORIO")</f>
        <v>OSORIO</v>
      </c>
      <c r="P3089" s="1" t="str">
        <f>IFERROR(__xludf.DUMMYFUNCTION("""COMPUTED_VALUE"""),"TRECE MARTIRES")</f>
        <v>TRECE MARTIRES</v>
      </c>
      <c r="Q3089" s="1" t="str">
        <f>IFERROR(__xludf.DUMMYFUNCTION("""COMPUTED_VALUE"""),"CAVITE")</f>
        <v>CAVITE</v>
      </c>
      <c r="R3089" s="1" t="str">
        <f>IFERROR(__xludf.DUMMYFUNCTION("""COMPUTED_VALUE"""),"FIBR NETFLIX PLAN 1599")</f>
        <v>FIBR NETFLIX PLAN 1599</v>
      </c>
      <c r="S3089" s="1" t="str">
        <f>IFERROR(__xludf.DUMMYFUNCTION("""COMPUTED_VALUE"""),"APPROVED")</f>
        <v>APPROVED</v>
      </c>
      <c r="T3089" s="1" t="str">
        <f>IFERROR(__xludf.DUMMYFUNCTION("""COMPUTED_VALUE"""),"#N/A")</f>
        <v>#N/A</v>
      </c>
      <c r="U3089" s="1"/>
      <c r="V3089" s="1"/>
      <c r="W3089" s="1"/>
    </row>
    <row r="3090" customHeight="1" spans="1:23">
      <c r="A3090" s="3">
        <f>IFERROR(__xludf.DUMMYFUNCTION("""COMPUTED_VALUE"""),46277)</f>
        <v>46277</v>
      </c>
      <c r="B3090" s="1" t="str">
        <f>IFERROR(__xludf.DUMMYFUNCTION("""COMPUTED_VALUE"""),"AYON MANUEL")</f>
        <v>AYON MANUEL</v>
      </c>
      <c r="C3090" s="1" t="str">
        <f>IFERROR(__xludf.DUMMYFUNCTION("""COMPUTED_VALUE"""),"FLA")</f>
        <v>FLA</v>
      </c>
      <c r="D3090" s="1" t="str">
        <f>IFERROR(__xludf.DUMMYFUNCTION("""COMPUTED_VALUE"""),"JERIC NAVARRO")</f>
        <v>JERIC NAVARRO</v>
      </c>
      <c r="E3090" s="1" t="str">
        <f>IFERROR(__xludf.DUMMYFUNCTION("""COMPUTED_VALUE"""),"PLDT / ONLINE")</f>
        <v>PLDT / ONLINE</v>
      </c>
      <c r="F3090" s="1"/>
      <c r="G3090" s="1"/>
      <c r="H3090" s="1" t="str">
        <f>IFERROR(__xludf.DUMMYFUNCTION("""COMPUTED_VALUE"""),"#N/A")</f>
        <v>#N/A</v>
      </c>
      <c r="I3090" s="1"/>
      <c r="J3090" s="1">
        <f>IFERROR(__xludf.DUMMYFUNCTION("""COMPUTED_VALUE"""),9988439698)</f>
        <v>9988439698</v>
      </c>
      <c r="K3090" s="1"/>
      <c r="L3090" s="1" t="str">
        <f>IFERROR(__xludf.DUMMYFUNCTION("""COMPUTED_VALUE"""),"#N/A")</f>
        <v>#N/A</v>
      </c>
      <c r="M3090" s="1" t="str">
        <f>IFERROR(__xludf.DUMMYFUNCTION("""COMPUTED_VALUE"""),"#N/A")</f>
        <v>#N/A</v>
      </c>
      <c r="N3090" s="1" t="str">
        <f>IFERROR(__xludf.DUMMYFUNCTION("""COMPUTED_VALUE"""),"#N/A")</f>
        <v>#N/A</v>
      </c>
      <c r="O3090" s="1" t="str">
        <f>IFERROR(__xludf.DUMMYFUNCTION("""COMPUTED_VALUE"""),"MILAGROSA")</f>
        <v>MILAGROSA</v>
      </c>
      <c r="P3090" s="1" t="str">
        <f>IFERROR(__xludf.DUMMYFUNCTION("""COMPUTED_VALUE"""),"CARMONA")</f>
        <v>CARMONA</v>
      </c>
      <c r="Q3090" s="1" t="str">
        <f>IFERROR(__xludf.DUMMYFUNCTION("""COMPUTED_VALUE"""),"CAVITE")</f>
        <v>CAVITE</v>
      </c>
      <c r="R3090" s="1" t="str">
        <f>IFERROR(__xludf.DUMMYFUNCTION("""COMPUTED_VALUE"""),"FIBR PLAN 1299")</f>
        <v>FIBR PLAN 1299</v>
      </c>
      <c r="S3090" s="1" t="str">
        <f>IFERROR(__xludf.DUMMYFUNCTION("""COMPUTED_VALUE"""),"APPROVED")</f>
        <v>APPROVED</v>
      </c>
      <c r="T3090" s="1" t="str">
        <f>IFERROR(__xludf.DUMMYFUNCTION("""COMPUTED_VALUE"""),"#N/A")</f>
        <v>#N/A</v>
      </c>
      <c r="U3090" s="1"/>
      <c r="V3090" s="1"/>
      <c r="W3090" s="1"/>
    </row>
    <row r="3091" customHeight="1" spans="1:23">
      <c r="A3091" s="3">
        <f>IFERROR(__xludf.DUMMYFUNCTION("""COMPUTED_VALUE"""),46277)</f>
        <v>46277</v>
      </c>
      <c r="B3091" s="1" t="str">
        <f>IFERROR(__xludf.DUMMYFUNCTION("""COMPUTED_VALUE"""),"FRANCISCO , ROSELYN")</f>
        <v>FRANCISCO , ROSELYN</v>
      </c>
      <c r="C3091" s="1" t="str">
        <f>IFERROR(__xludf.DUMMYFUNCTION("""COMPUTED_VALUE"""),"ORGANIC")</f>
        <v>ORGANIC</v>
      </c>
      <c r="D3091" s="1" t="str">
        <f>IFERROR(__xludf.DUMMYFUNCTION("""COMPUTED_VALUE"""),"REMOLLO LEA")</f>
        <v>REMOLLO LEA</v>
      </c>
      <c r="E3091" s="1" t="str">
        <f>IFERROR(__xludf.DUMMYFUNCTION("""COMPUTED_VALUE"""),"PLDT / ONLINE")</f>
        <v>PLDT / ONLINE</v>
      </c>
      <c r="F3091" s="1"/>
      <c r="G3091" s="1"/>
      <c r="H3091" s="1" t="str">
        <f>IFERROR(__xludf.DUMMYFUNCTION("""COMPUTED_VALUE"""),"#N/A")</f>
        <v>#N/A</v>
      </c>
      <c r="I3091" s="1"/>
      <c r="J3091" s="1">
        <f>IFERROR(__xludf.DUMMYFUNCTION("""COMPUTED_VALUE"""),9813552241)</f>
        <v>9813552241</v>
      </c>
      <c r="K3091" s="1"/>
      <c r="L3091" s="1" t="str">
        <f>IFERROR(__xludf.DUMMYFUNCTION("""COMPUTED_VALUE"""),"#N/A")</f>
        <v>#N/A</v>
      </c>
      <c r="M3091" s="1" t="str">
        <f>IFERROR(__xludf.DUMMYFUNCTION("""COMPUTED_VALUE"""),"#N/A")</f>
        <v>#N/A</v>
      </c>
      <c r="N3091" s="1" t="str">
        <f>IFERROR(__xludf.DUMMYFUNCTION("""COMPUTED_VALUE"""),"#N/A")</f>
        <v>#N/A</v>
      </c>
      <c r="O3091" s="1" t="str">
        <f>IFERROR(__xludf.DUMMYFUNCTION("""COMPUTED_VALUE"""),"H-2")</f>
        <v>H-2</v>
      </c>
      <c r="P3091" s="1" t="str">
        <f>IFERROR(__xludf.DUMMYFUNCTION("""COMPUTED_VALUE"""),"DASMARINAS")</f>
        <v>DASMARINAS</v>
      </c>
      <c r="Q3091" s="1" t="str">
        <f>IFERROR(__xludf.DUMMYFUNCTION("""COMPUTED_VALUE"""),"CAVITE")</f>
        <v>CAVITE</v>
      </c>
      <c r="R3091" s="1" t="str">
        <f>IFERROR(__xludf.DUMMYFUNCTION("""COMPUTED_VALUE"""),"FIBR PLAN 1299")</f>
        <v>FIBR PLAN 1299</v>
      </c>
      <c r="S3091" s="1" t="str">
        <f>IFERROR(__xludf.DUMMYFUNCTION("""COMPUTED_VALUE"""),"HOLD")</f>
        <v>HOLD</v>
      </c>
      <c r="T3091" s="1" t="str">
        <f>IFERROR(__xludf.DUMMYFUNCTION("""COMPUTED_VALUE"""),"#N/A")</f>
        <v>#N/A</v>
      </c>
      <c r="U3091" s="1"/>
      <c r="V3091" s="1"/>
      <c r="W3091" s="1"/>
    </row>
    <row r="3092" customHeight="1" spans="1:23">
      <c r="A3092" s="3">
        <f>IFERROR(__xludf.DUMMYFUNCTION("""COMPUTED_VALUE"""),46278)</f>
        <v>46278</v>
      </c>
      <c r="B3092" s="1" t="str">
        <f>IFERROR(__xludf.DUMMYFUNCTION("""COMPUTED_VALUE"""),"ESCARCHA, MA ALMA  ESCOTO")</f>
        <v>ESCARCHA, MA ALMA  ESCOTO</v>
      </c>
      <c r="C3092" s="1" t="str">
        <f>IFERROR(__xludf.DUMMYFUNCTION("""COMPUTED_VALUE"""),"ORGANIC")</f>
        <v>ORGANIC</v>
      </c>
      <c r="D3092" s="1" t="str">
        <f>IFERROR(__xludf.DUMMYFUNCTION("""COMPUTED_VALUE"""),"REMOLLO LEA")</f>
        <v>REMOLLO LEA</v>
      </c>
      <c r="E3092" s="1" t="str">
        <f>IFERROR(__xludf.DUMMYFUNCTION("""COMPUTED_VALUE"""),"PLDT / H2H")</f>
        <v>PLDT / H2H</v>
      </c>
      <c r="F3092" s="1"/>
      <c r="G3092" s="1"/>
      <c r="H3092" s="1" t="str">
        <f>IFERROR(__xludf.DUMMYFUNCTION("""COMPUTED_VALUE"""),"#N/A")</f>
        <v>#N/A</v>
      </c>
      <c r="I3092" s="1"/>
      <c r="J3092" s="1"/>
      <c r="K3092" s="1"/>
      <c r="L3092" s="1" t="str">
        <f>IFERROR(__xludf.DUMMYFUNCTION("""COMPUTED_VALUE"""),"#N/A")</f>
        <v>#N/A</v>
      </c>
      <c r="M3092" s="1" t="str">
        <f>IFERROR(__xludf.DUMMYFUNCTION("""COMPUTED_VALUE"""),"#N/A")</f>
        <v>#N/A</v>
      </c>
      <c r="N3092" s="1" t="str">
        <f>IFERROR(__xludf.DUMMYFUNCTION("""COMPUTED_VALUE"""),"#N/A")</f>
        <v>#N/A</v>
      </c>
      <c r="O3092" s="1" t="str">
        <f>IFERROR(__xludf.DUMMYFUNCTION("""COMPUTED_VALUE"""),"SABUTAN")</f>
        <v>SABUTAN</v>
      </c>
      <c r="P3092" s="1" t="str">
        <f>IFERROR(__xludf.DUMMYFUNCTION("""COMPUTED_VALUE"""),"SILANG")</f>
        <v>SILANG</v>
      </c>
      <c r="Q3092" s="1" t="str">
        <f>IFERROR(__xludf.DUMMYFUNCTION("""COMPUTED_VALUE"""),"CAVITE")</f>
        <v>CAVITE</v>
      </c>
      <c r="R3092" s="1" t="str">
        <f>IFERROR(__xludf.DUMMYFUNCTION("""COMPUTED_VALUE"""),"FIBR UNLI ALL PLAN 999")</f>
        <v>FIBR UNLI ALL PLAN 999</v>
      </c>
      <c r="S3092" s="1" t="str">
        <f>IFERROR(__xludf.DUMMYFUNCTION("""COMPUTED_VALUE"""),"APPROVED")</f>
        <v>APPROVED</v>
      </c>
      <c r="T3092" s="1" t="str">
        <f>IFERROR(__xludf.DUMMYFUNCTION("""COMPUTED_VALUE"""),"#N/A")</f>
        <v>#N/A</v>
      </c>
      <c r="U3092" s="1"/>
      <c r="V3092" s="1"/>
      <c r="W3092" s="1"/>
    </row>
    <row r="3093" customHeight="1" spans="1:23">
      <c r="A3093" s="3">
        <f>IFERROR(__xludf.DUMMYFUNCTION("""COMPUTED_VALUE"""),46278)</f>
        <v>46278</v>
      </c>
      <c r="B3093" s="1" t="str">
        <f>IFERROR(__xludf.DUMMYFUNCTION("""COMPUTED_VALUE"""),"MALIWAT MARK ELVIN")</f>
        <v>MALIWAT MARK ELVIN</v>
      </c>
      <c r="C3093" s="1" t="str">
        <f>IFERROR(__xludf.DUMMYFUNCTION("""COMPUTED_VALUE"""),"FLA")</f>
        <v>FLA</v>
      </c>
      <c r="D3093" s="1" t="str">
        <f>IFERROR(__xludf.DUMMYFUNCTION("""COMPUTED_VALUE"""),"JERIC NAVARRO")</f>
        <v>JERIC NAVARRO</v>
      </c>
      <c r="E3093" s="1" t="str">
        <f>IFERROR(__xludf.DUMMYFUNCTION("""COMPUTED_VALUE"""),"PLDT / ONLINE")</f>
        <v>PLDT / ONLINE</v>
      </c>
      <c r="F3093" s="1"/>
      <c r="G3093" s="1"/>
      <c r="H3093" s="1" t="str">
        <f>IFERROR(__xludf.DUMMYFUNCTION("""COMPUTED_VALUE"""),"#N/A")</f>
        <v>#N/A</v>
      </c>
      <c r="I3093" s="1"/>
      <c r="J3093" s="1"/>
      <c r="K3093" s="1"/>
      <c r="L3093" s="1" t="str">
        <f>IFERROR(__xludf.DUMMYFUNCTION("""COMPUTED_VALUE"""),"#N/A")</f>
        <v>#N/A</v>
      </c>
      <c r="M3093" s="1" t="str">
        <f>IFERROR(__xludf.DUMMYFUNCTION("""COMPUTED_VALUE"""),"#N/A")</f>
        <v>#N/A</v>
      </c>
      <c r="N3093" s="1" t="str">
        <f>IFERROR(__xludf.DUMMYFUNCTION("""COMPUTED_VALUE"""),"#N/A")</f>
        <v>#N/A</v>
      </c>
      <c r="O3093" s="1" t="str">
        <f>IFERROR(__xludf.DUMMYFUNCTION("""COMPUTED_VALUE"""),"TOCLONG")</f>
        <v>TOCLONG</v>
      </c>
      <c r="P3093" s="1" t="str">
        <f>IFERROR(__xludf.DUMMYFUNCTION("""COMPUTED_VALUE"""),"KAWIT")</f>
        <v>KAWIT</v>
      </c>
      <c r="Q3093" s="1" t="str">
        <f>IFERROR(__xludf.DUMMYFUNCTION("""COMPUTED_VALUE"""),"CAVITE")</f>
        <v>CAVITE</v>
      </c>
      <c r="R3093" s="1" t="str">
        <f>IFERROR(__xludf.DUMMYFUNCTION("""COMPUTED_VALUE"""),"FIBR PLAN 1699")</f>
        <v>FIBR PLAN 1699</v>
      </c>
      <c r="S3093" s="1" t="str">
        <f>IFERROR(__xludf.DUMMYFUNCTION("""COMPUTED_VALUE"""),"APPROVED")</f>
        <v>APPROVED</v>
      </c>
      <c r="T3093" s="1" t="str">
        <f>IFERROR(__xludf.DUMMYFUNCTION("""COMPUTED_VALUE"""),"#N/A")</f>
        <v>#N/A</v>
      </c>
      <c r="U3093" s="1"/>
      <c r="V3093" s="1"/>
      <c r="W3093" s="1"/>
    </row>
    <row r="3094" customHeight="1" spans="1:23">
      <c r="A3094" s="3">
        <f>IFERROR(__xludf.DUMMYFUNCTION("""COMPUTED_VALUE"""),46278)</f>
        <v>46278</v>
      </c>
      <c r="B3094" s="1" t="str">
        <f>IFERROR(__xludf.DUMMYFUNCTION("""COMPUTED_VALUE"""),"CADERAO, RONALD")</f>
        <v>CADERAO, RONALD</v>
      </c>
      <c r="C3094" s="1" t="str">
        <f>IFERROR(__xludf.DUMMYFUNCTION("""COMPUTED_VALUE"""),"ORGANIC")</f>
        <v>ORGANIC</v>
      </c>
      <c r="D3094" s="1" t="str">
        <f>IFERROR(__xludf.DUMMYFUNCTION("""COMPUTED_VALUE"""),"REMOLLO LEA")</f>
        <v>REMOLLO LEA</v>
      </c>
      <c r="E3094" s="1" t="str">
        <f>IFERROR(__xludf.DUMMYFUNCTION("""COMPUTED_VALUE"""),"PLDT / H2H")</f>
        <v>PLDT / H2H</v>
      </c>
      <c r="F3094" s="1"/>
      <c r="G3094" s="1"/>
      <c r="H3094" s="1" t="str">
        <f>IFERROR(__xludf.DUMMYFUNCTION("""COMPUTED_VALUE"""),"#N/A")</f>
        <v>#N/A</v>
      </c>
      <c r="I3094" s="1"/>
      <c r="J3094" s="1"/>
      <c r="K3094" s="1"/>
      <c r="L3094" s="1" t="str">
        <f>IFERROR(__xludf.DUMMYFUNCTION("""COMPUTED_VALUE"""),"#N/A")</f>
        <v>#N/A</v>
      </c>
      <c r="M3094" s="1" t="str">
        <f>IFERROR(__xludf.DUMMYFUNCTION("""COMPUTED_VALUE"""),"#N/A")</f>
        <v>#N/A</v>
      </c>
      <c r="N3094" s="1" t="str">
        <f>IFERROR(__xludf.DUMMYFUNCTION("""COMPUTED_VALUE"""),"#N/A")</f>
        <v>#N/A</v>
      </c>
      <c r="O3094" s="1" t="str">
        <f>IFERROR(__xludf.DUMMYFUNCTION("""COMPUTED_VALUE"""),"ANULING CERCA II")</f>
        <v>ANULING CERCA II</v>
      </c>
      <c r="P3094" s="1" t="str">
        <f>IFERROR(__xludf.DUMMYFUNCTION("""COMPUTED_VALUE"""),"MENDEZ")</f>
        <v>MENDEZ</v>
      </c>
      <c r="Q3094" s="1" t="str">
        <f>IFERROR(__xludf.DUMMYFUNCTION("""COMPUTED_VALUE"""),"CAVITE")</f>
        <v>CAVITE</v>
      </c>
      <c r="R3094" s="1" t="str">
        <f>IFERROR(__xludf.DUMMYFUNCTION("""COMPUTED_VALUE"""),"FIBR PLAN 1299")</f>
        <v>FIBR PLAN 1299</v>
      </c>
      <c r="S3094" s="1" t="str">
        <f>IFERROR(__xludf.DUMMYFUNCTION("""COMPUTED_VALUE"""),"APPROVED")</f>
        <v>APPROVED</v>
      </c>
      <c r="T3094" s="1" t="str">
        <f>IFERROR(__xludf.DUMMYFUNCTION("""COMPUTED_VALUE"""),"#N/A")</f>
        <v>#N/A</v>
      </c>
      <c r="U3094" s="1"/>
      <c r="V3094" s="1"/>
      <c r="W3094" s="1"/>
    </row>
    <row r="3095" customHeight="1" spans="1:23">
      <c r="A3095" s="3">
        <f>IFERROR(__xludf.DUMMYFUNCTION("""COMPUTED_VALUE"""),46278)</f>
        <v>46278</v>
      </c>
      <c r="B3095" s="1" t="str">
        <f>IFERROR(__xludf.DUMMYFUNCTION("""COMPUTED_VALUE"""),"CADERAO, RONALD")</f>
        <v>CADERAO, RONALD</v>
      </c>
      <c r="C3095" s="1" t="str">
        <f>IFERROR(__xludf.DUMMYFUNCTION("""COMPUTED_VALUE"""),"ORGANIC")</f>
        <v>ORGANIC</v>
      </c>
      <c r="D3095" s="1" t="str">
        <f>IFERROR(__xludf.DUMMYFUNCTION("""COMPUTED_VALUE"""),"REMOLLO LEA")</f>
        <v>REMOLLO LEA</v>
      </c>
      <c r="E3095" s="1" t="str">
        <f>IFERROR(__xludf.DUMMYFUNCTION("""COMPUTED_VALUE"""),"PLDT / H2H")</f>
        <v>PLDT / H2H</v>
      </c>
      <c r="F3095" s="1"/>
      <c r="G3095" s="1"/>
      <c r="H3095" s="1" t="str">
        <f>IFERROR(__xludf.DUMMYFUNCTION("""COMPUTED_VALUE"""),"#N/A")</f>
        <v>#N/A</v>
      </c>
      <c r="I3095" s="1"/>
      <c r="J3095" s="1"/>
      <c r="K3095" s="1"/>
      <c r="L3095" s="1" t="str">
        <f>IFERROR(__xludf.DUMMYFUNCTION("""COMPUTED_VALUE"""),"#N/A")</f>
        <v>#N/A</v>
      </c>
      <c r="M3095" s="1" t="str">
        <f>IFERROR(__xludf.DUMMYFUNCTION("""COMPUTED_VALUE"""),"#N/A")</f>
        <v>#N/A</v>
      </c>
      <c r="N3095" s="1" t="str">
        <f>IFERROR(__xludf.DUMMYFUNCTION("""COMPUTED_VALUE"""),"#N/A")</f>
        <v>#N/A</v>
      </c>
      <c r="O3095" s="1" t="str">
        <f>IFERROR(__xludf.DUMMYFUNCTION("""COMPUTED_VALUE"""),"BARANGAY 3 POBLACION")</f>
        <v>BARANGAY 3 POBLACION</v>
      </c>
      <c r="P3095" s="1" t="str">
        <f>IFERROR(__xludf.DUMMYFUNCTION("""COMPUTED_VALUE"""),"ALFONSO")</f>
        <v>ALFONSO</v>
      </c>
      <c r="Q3095" s="1" t="str">
        <f>IFERROR(__xludf.DUMMYFUNCTION("""COMPUTED_VALUE"""),"CAVITE")</f>
        <v>CAVITE</v>
      </c>
      <c r="R3095" s="1" t="str">
        <f>IFERROR(__xludf.DUMMYFUNCTION("""COMPUTED_VALUE"""),"FIBR UNLI ALL PLAN 999")</f>
        <v>FIBR UNLI ALL PLAN 999</v>
      </c>
      <c r="S3095" s="1" t="str">
        <f>IFERROR(__xludf.DUMMYFUNCTION("""COMPUTED_VALUE"""),"APPROVED")</f>
        <v>APPROVED</v>
      </c>
      <c r="T3095" s="1" t="str">
        <f>IFERROR(__xludf.DUMMYFUNCTION("""COMPUTED_VALUE"""),"#N/A")</f>
        <v>#N/A</v>
      </c>
      <c r="U3095" s="1"/>
      <c r="V3095" s="1"/>
      <c r="W3095" s="1"/>
    </row>
    <row r="3096" customHeight="1" spans="1:23">
      <c r="A3096" s="3">
        <f>IFERROR(__xludf.DUMMYFUNCTION("""COMPUTED_VALUE"""),46278)</f>
        <v>46278</v>
      </c>
      <c r="B3096" s="1" t="str">
        <f>IFERROR(__xludf.DUMMYFUNCTION("""COMPUTED_VALUE"""),"FRANCISCO , ROSELYN")</f>
        <v>FRANCISCO , ROSELYN</v>
      </c>
      <c r="C3096" s="1" t="str">
        <f>IFERROR(__xludf.DUMMYFUNCTION("""COMPUTED_VALUE"""),"ORGANIC")</f>
        <v>ORGANIC</v>
      </c>
      <c r="D3096" s="1" t="str">
        <f>IFERROR(__xludf.DUMMYFUNCTION("""COMPUTED_VALUE"""),"REMOLLO LEA")</f>
        <v>REMOLLO LEA</v>
      </c>
      <c r="E3096" s="1" t="str">
        <f>IFERROR(__xludf.DUMMYFUNCTION("""COMPUTED_VALUE"""),"PLDT / H2H")</f>
        <v>PLDT / H2H</v>
      </c>
      <c r="F3096" s="1"/>
      <c r="G3096" s="1"/>
      <c r="H3096" s="1" t="str">
        <f>IFERROR(__xludf.DUMMYFUNCTION("""COMPUTED_VALUE"""),"#N/A")</f>
        <v>#N/A</v>
      </c>
      <c r="I3096" s="1"/>
      <c r="J3096" s="1"/>
      <c r="K3096" s="1"/>
      <c r="L3096" s="1" t="str">
        <f>IFERROR(__xludf.DUMMYFUNCTION("""COMPUTED_VALUE"""),"#N/A")</f>
        <v>#N/A</v>
      </c>
      <c r="M3096" s="1" t="str">
        <f>IFERROR(__xludf.DUMMYFUNCTION("""COMPUTED_VALUE"""),"#N/A")</f>
        <v>#N/A</v>
      </c>
      <c r="N3096" s="1" t="str">
        <f>IFERROR(__xludf.DUMMYFUNCTION("""COMPUTED_VALUE"""),"#N/A")</f>
        <v>#N/A</v>
      </c>
      <c r="O3096" s="1" t="str">
        <f>IFERROR(__xludf.DUMMYFUNCTION("""COMPUTED_VALUE"""),"BANCAL")</f>
        <v>BANCAL</v>
      </c>
      <c r="P3096" s="1" t="str">
        <f>IFERROR(__xludf.DUMMYFUNCTION("""COMPUTED_VALUE"""),"CARMONA")</f>
        <v>CARMONA</v>
      </c>
      <c r="Q3096" s="1" t="str">
        <f>IFERROR(__xludf.DUMMYFUNCTION("""COMPUTED_VALUE"""),"CAVITE")</f>
        <v>CAVITE</v>
      </c>
      <c r="R3096" s="1" t="str">
        <f>IFERROR(__xludf.DUMMYFUNCTION("""COMPUTED_VALUE"""),"FIBR PLAN 1299")</f>
        <v>FIBR PLAN 1299</v>
      </c>
      <c r="S3096" s="1" t="str">
        <f>IFERROR(__xludf.DUMMYFUNCTION("""COMPUTED_VALUE"""),"APPROVED")</f>
        <v>APPROVED</v>
      </c>
      <c r="T3096" s="1" t="str">
        <f>IFERROR(__xludf.DUMMYFUNCTION("""COMPUTED_VALUE"""),"#N/A")</f>
        <v>#N/A</v>
      </c>
      <c r="U3096" s="1"/>
      <c r="V3096" s="1"/>
      <c r="W3096" s="1"/>
    </row>
    <row r="3097" customHeight="1" spans="1:23">
      <c r="A3097" s="3">
        <f>IFERROR(__xludf.DUMMYFUNCTION("""COMPUTED_VALUE"""),46279)</f>
        <v>46279</v>
      </c>
      <c r="B3097" s="1" t="str">
        <f>IFERROR(__xludf.DUMMYFUNCTION("""COMPUTED_VALUE"""),"MALIWAT MARK ELVIN")</f>
        <v>MALIWAT MARK ELVIN</v>
      </c>
      <c r="C3097" s="1" t="str">
        <f>IFERROR(__xludf.DUMMYFUNCTION("""COMPUTED_VALUE"""),"FLA")</f>
        <v>FLA</v>
      </c>
      <c r="D3097" s="1" t="str">
        <f>IFERROR(__xludf.DUMMYFUNCTION("""COMPUTED_VALUE"""),"JERIC NAVARRO")</f>
        <v>JERIC NAVARRO</v>
      </c>
      <c r="E3097" s="1" t="str">
        <f>IFERROR(__xludf.DUMMYFUNCTION("""COMPUTED_VALUE"""),"PLDT / ONLINE")</f>
        <v>PLDT / ONLINE</v>
      </c>
      <c r="F3097" s="1"/>
      <c r="G3097" s="1">
        <f>IFERROR(__xludf.DUMMYFUNCTION("""COMPUTED_VALUE"""),2312571801)</f>
        <v>2312571801</v>
      </c>
      <c r="H3097" s="1"/>
      <c r="I3097" s="1"/>
      <c r="J3097" s="1"/>
      <c r="K3097" s="1"/>
      <c r="L3097" s="1" t="str">
        <f>IFERROR(__xludf.DUMMYFUNCTION("""COMPUTED_VALUE"""),"#N/A")</f>
        <v>#N/A</v>
      </c>
      <c r="M3097" s="1" t="str">
        <f>IFERROR(__xludf.DUMMYFUNCTION("""COMPUTED_VALUE"""),"#N/A")</f>
        <v>#N/A</v>
      </c>
      <c r="N3097" s="1" t="str">
        <f>IFERROR(__xludf.DUMMYFUNCTION("""COMPUTED_VALUE"""),"#N/A")</f>
        <v>#N/A</v>
      </c>
      <c r="O3097" s="1" t="str">
        <f>IFERROR(__xludf.DUMMYFUNCTION("""COMPUTED_VALUE"""),"KORONEL JOSE P. ELISES (AREA E)")</f>
        <v>KORONEL JOSE P. ELISES (AREA E)</v>
      </c>
      <c r="P3097" s="1" t="str">
        <f>IFERROR(__xludf.DUMMYFUNCTION("""COMPUTED_VALUE"""),"GEN MARIANO ALVAREZ")</f>
        <v>GEN MARIANO ALVAREZ</v>
      </c>
      <c r="Q3097" s="1" t="str">
        <f>IFERROR(__xludf.DUMMYFUNCTION("""COMPUTED_VALUE"""),"CAVITE")</f>
        <v>CAVITE</v>
      </c>
      <c r="R3097" s="1" t="str">
        <f>IFERROR(__xludf.DUMMYFUNCTION("""COMPUTED_VALUE"""),"FIBR PLAN 1299")</f>
        <v>FIBR PLAN 1299</v>
      </c>
      <c r="S3097" s="1" t="str">
        <f>IFERROR(__xludf.DUMMYFUNCTION("""COMPUTED_VALUE"""),"APPROVED")</f>
        <v>APPROVED</v>
      </c>
      <c r="T3097" s="1" t="str">
        <f>IFERROR(__xludf.DUMMYFUNCTION("""COMPUTED_VALUE"""),"#N/A")</f>
        <v>#N/A</v>
      </c>
      <c r="U3097" s="1"/>
      <c r="V3097" s="1"/>
      <c r="W3097" s="1"/>
    </row>
    <row r="3098" customHeight="1" spans="1:23">
      <c r="A3098" s="3">
        <f>IFERROR(__xludf.DUMMYFUNCTION("""COMPUTED_VALUE"""),46279)</f>
        <v>46279</v>
      </c>
      <c r="B3098" s="1" t="str">
        <f>IFERROR(__xludf.DUMMYFUNCTION("""COMPUTED_VALUE"""),"REMOLLO, LEA")</f>
        <v>REMOLLO, LEA</v>
      </c>
      <c r="C3098" s="1" t="str">
        <f>IFERROR(__xludf.DUMMYFUNCTION("""COMPUTED_VALUE"""),"FLA")</f>
        <v>FLA</v>
      </c>
      <c r="D3098" s="1" t="str">
        <f>IFERROR(__xludf.DUMMYFUNCTION("""COMPUTED_VALUE"""),"JERIC NAVARRO")</f>
        <v>JERIC NAVARRO</v>
      </c>
      <c r="E3098" s="1" t="str">
        <f>IFERROR(__xludf.DUMMYFUNCTION("""COMPUTED_VALUE"""),"PLDT / ONLINE")</f>
        <v>PLDT / ONLINE</v>
      </c>
      <c r="F3098" s="1"/>
      <c r="G3098" s="1"/>
      <c r="H3098" s="1" t="str">
        <f>IFERROR(__xludf.DUMMYFUNCTION("""COMPUTED_VALUE"""),"471339145004")</f>
        <v>471339145004</v>
      </c>
      <c r="I3098" s="1"/>
      <c r="J3098" s="1"/>
      <c r="K3098" s="1"/>
      <c r="L3098" s="1" t="str">
        <f>IFERROR(__xludf.DUMMYFUNCTION("""COMPUTED_VALUE"""),"#N/A")</f>
        <v>#N/A</v>
      </c>
      <c r="M3098" s="1" t="str">
        <f>IFERROR(__xludf.DUMMYFUNCTION("""COMPUTED_VALUE"""),"#N/A")</f>
        <v>#N/A</v>
      </c>
      <c r="N3098" s="1" t="str">
        <f>IFERROR(__xludf.DUMMYFUNCTION("""COMPUTED_VALUE"""),"#N/A")</f>
        <v>#N/A</v>
      </c>
      <c r="O3098" s="1" t="str">
        <f>IFERROR(__xludf.DUMMYFUNCTION("""COMPUTED_VALUE"""),"HUGO PEREZ")</f>
        <v>HUGO PEREZ</v>
      </c>
      <c r="P3098" s="1" t="str">
        <f>IFERROR(__xludf.DUMMYFUNCTION("""COMPUTED_VALUE"""),"TRECE MARTIRES")</f>
        <v>TRECE MARTIRES</v>
      </c>
      <c r="Q3098" s="1" t="str">
        <f>IFERROR(__xludf.DUMMYFUNCTION("""COMPUTED_VALUE"""),"CAVITE")</f>
        <v>CAVITE</v>
      </c>
      <c r="R3098" s="1" t="str">
        <f>IFERROR(__xludf.DUMMYFUNCTION("""COMPUTED_VALUE"""),"FIBR PLAN 1299")</f>
        <v>FIBR PLAN 1299</v>
      </c>
      <c r="S3098" s="1" t="str">
        <f>IFERROR(__xludf.DUMMYFUNCTION("""COMPUTED_VALUE"""),"APPROVED")</f>
        <v>APPROVED</v>
      </c>
      <c r="T3098" s="1" t="str">
        <f>IFERROR(__xludf.DUMMYFUNCTION("""COMPUTED_VALUE"""),"#N/A")</f>
        <v>#N/A</v>
      </c>
      <c r="U3098" s="1"/>
      <c r="V3098" s="1"/>
      <c r="W3098" s="1"/>
    </row>
    <row r="3099" customHeight="1" spans="1:23">
      <c r="A3099" s="3">
        <f>IFERROR(__xludf.DUMMYFUNCTION("""COMPUTED_VALUE"""),46279)</f>
        <v>46279</v>
      </c>
      <c r="B3099" s="1" t="str">
        <f>IFERROR(__xludf.DUMMYFUNCTION("""COMPUTED_VALUE"""),"AYON MANUEL")</f>
        <v>AYON MANUEL</v>
      </c>
      <c r="C3099" s="1" t="str">
        <f>IFERROR(__xludf.DUMMYFUNCTION("""COMPUTED_VALUE"""),"FLA")</f>
        <v>FLA</v>
      </c>
      <c r="D3099" s="1" t="str">
        <f>IFERROR(__xludf.DUMMYFUNCTION("""COMPUTED_VALUE"""),"JERIC NAVARRO")</f>
        <v>JERIC NAVARRO</v>
      </c>
      <c r="E3099" s="1" t="str">
        <f>IFERROR(__xludf.DUMMYFUNCTION("""COMPUTED_VALUE"""),"PLDT / H2H")</f>
        <v>PLDT / H2H</v>
      </c>
      <c r="F3099" s="1"/>
      <c r="G3099" s="1"/>
      <c r="H3099" s="1" t="str">
        <f>IFERROR(__xludf.DUMMYFUNCTION("""COMPUTED_VALUE"""),"#N/A")</f>
        <v>#N/A</v>
      </c>
      <c r="I3099" s="1"/>
      <c r="J3099" s="1"/>
      <c r="K3099" s="1"/>
      <c r="L3099" s="1" t="str">
        <f>IFERROR(__xludf.DUMMYFUNCTION("""COMPUTED_VALUE"""),"#N/A")</f>
        <v>#N/A</v>
      </c>
      <c r="M3099" s="1" t="str">
        <f>IFERROR(__xludf.DUMMYFUNCTION("""COMPUTED_VALUE"""),"#N/A")</f>
        <v>#N/A</v>
      </c>
      <c r="N3099" s="1" t="str">
        <f>IFERROR(__xludf.DUMMYFUNCTION("""COMPUTED_VALUE"""),"#N/A")</f>
        <v>#N/A</v>
      </c>
      <c r="O3099" s="1" t="str">
        <f>IFERROR(__xludf.DUMMYFUNCTION("""COMPUTED_VALUE"""),"SAN MIGUEL I")</f>
        <v>SAN MIGUEL I</v>
      </c>
      <c r="P3099" s="1" t="str">
        <f>IFERROR(__xludf.DUMMYFUNCTION("""COMPUTED_VALUE"""),"SILANG")</f>
        <v>SILANG</v>
      </c>
      <c r="Q3099" s="1" t="str">
        <f>IFERROR(__xludf.DUMMYFUNCTION("""COMPUTED_VALUE"""),"CAVITE")</f>
        <v>CAVITE</v>
      </c>
      <c r="R3099" s="1" t="str">
        <f>IFERROR(__xludf.DUMMYFUNCTION("""COMPUTED_VALUE"""),"FIBR UNLI ALL PLAN 1499")</f>
        <v>FIBR UNLI ALL PLAN 1499</v>
      </c>
      <c r="S3099" s="1" t="str">
        <f>IFERROR(__xludf.DUMMYFUNCTION("""COMPUTED_VALUE"""),"APPROVED")</f>
        <v>APPROVED</v>
      </c>
      <c r="T3099" s="1" t="str">
        <f>IFERROR(__xludf.DUMMYFUNCTION("""COMPUTED_VALUE"""),"#N/A")</f>
        <v>#N/A</v>
      </c>
      <c r="U3099" s="1"/>
      <c r="V3099" s="1"/>
      <c r="W3099" s="1"/>
    </row>
    <row r="3100" customHeight="1" spans="1:23">
      <c r="A3100" s="3">
        <f>IFERROR(__xludf.DUMMYFUNCTION("""COMPUTED_VALUE"""),46279)</f>
        <v>46279</v>
      </c>
      <c r="B3100" s="1" t="str">
        <f>IFERROR(__xludf.DUMMYFUNCTION("""COMPUTED_VALUE"""),"TAMAYO, MARY ROSE")</f>
        <v>TAMAYO, MARY ROSE</v>
      </c>
      <c r="C3100" s="1" t="str">
        <f>IFERROR(__xludf.DUMMYFUNCTION("""COMPUTED_VALUE"""),"ORGANIC")</f>
        <v>ORGANIC</v>
      </c>
      <c r="D3100" s="1" t="str">
        <f>IFERROR(__xludf.DUMMYFUNCTION("""COMPUTED_VALUE"""),"REMOLLO LEA")</f>
        <v>REMOLLO LEA</v>
      </c>
      <c r="E3100" s="1" t="str">
        <f>IFERROR(__xludf.DUMMYFUNCTION("""COMPUTED_VALUE"""),"PLDT / H2H")</f>
        <v>PLDT / H2H</v>
      </c>
      <c r="F3100" s="1"/>
      <c r="G3100" s="1"/>
      <c r="H3100" s="1" t="str">
        <f>IFERROR(__xludf.DUMMYFUNCTION("""COMPUTED_VALUE"""),"#N/A")</f>
        <v>#N/A</v>
      </c>
      <c r="I3100" s="1"/>
      <c r="J3100" s="1">
        <f>IFERROR(__xludf.DUMMYFUNCTION("""COMPUTED_VALUE"""),639161026484)</f>
        <v>639161026484</v>
      </c>
      <c r="K3100" s="1"/>
      <c r="L3100" s="1" t="str">
        <f>IFERROR(__xludf.DUMMYFUNCTION("""COMPUTED_VALUE"""),"#N/A")</f>
        <v>#N/A</v>
      </c>
      <c r="M3100" s="1" t="str">
        <f>IFERROR(__xludf.DUMMYFUNCTION("""COMPUTED_VALUE"""),"#N/A")</f>
        <v>#N/A</v>
      </c>
      <c r="N3100" s="1" t="str">
        <f>IFERROR(__xludf.DUMMYFUNCTION("""COMPUTED_VALUE"""),"#N/A")</f>
        <v>#N/A</v>
      </c>
      <c r="O3100" s="1" t="str">
        <f>IFERROR(__xludf.DUMMYFUNCTION("""COMPUTED_VALUE"""),"POBLACION I")</f>
        <v>POBLACION I</v>
      </c>
      <c r="P3100" s="1" t="str">
        <f>IFERROR(__xludf.DUMMYFUNCTION("""COMPUTED_VALUE"""),"GEN MARIANO ALVAREZ")</f>
        <v>GEN MARIANO ALVAREZ</v>
      </c>
      <c r="Q3100" s="1" t="str">
        <f>IFERROR(__xludf.DUMMYFUNCTION("""COMPUTED_VALUE"""),"CAVITE")</f>
        <v>CAVITE</v>
      </c>
      <c r="R3100" s="1" t="str">
        <f>IFERROR(__xludf.DUMMYFUNCTION("""COMPUTED_VALUE"""),"FIBR PLAN 1299")</f>
        <v>FIBR PLAN 1299</v>
      </c>
      <c r="S3100" s="1" t="str">
        <f>IFERROR(__xludf.DUMMYFUNCTION("""COMPUTED_VALUE"""),"APPROVED")</f>
        <v>APPROVED</v>
      </c>
      <c r="T3100" s="1" t="str">
        <f>IFERROR(__xludf.DUMMYFUNCTION("""COMPUTED_VALUE"""),"#N/A")</f>
        <v>#N/A</v>
      </c>
      <c r="U3100" s="1"/>
      <c r="V3100" s="1"/>
      <c r="W3100" s="1"/>
    </row>
    <row r="3101" customHeight="1" spans="1:23">
      <c r="A3101" s="3">
        <f>IFERROR(__xludf.DUMMYFUNCTION("""COMPUTED_VALUE"""),46279)</f>
        <v>46279</v>
      </c>
      <c r="B3101" s="1" t="str">
        <f>IFERROR(__xludf.DUMMYFUNCTION("""COMPUTED_VALUE"""),"GABAY, MANUEL")</f>
        <v>GABAY, MANUEL</v>
      </c>
      <c r="C3101" s="1" t="str">
        <f>IFERROR(__xludf.DUMMYFUNCTION("""COMPUTED_VALUE"""),"FLA")</f>
        <v>FLA</v>
      </c>
      <c r="D3101" s="1" t="str">
        <f>IFERROR(__xludf.DUMMYFUNCTION("""COMPUTED_VALUE"""),"JERIC NAVARRO")</f>
        <v>JERIC NAVARRO</v>
      </c>
      <c r="E3101" s="1" t="str">
        <f>IFERROR(__xludf.DUMMYFUNCTION("""COMPUTED_VALUE"""),"PLDT / H2H")</f>
        <v>PLDT / H2H</v>
      </c>
      <c r="F3101" s="1"/>
      <c r="G3101" s="1"/>
      <c r="H3101" s="1" t="str">
        <f>IFERROR(__xludf.DUMMYFUNCTION("""COMPUTED_VALUE"""),"471344547004")</f>
        <v>471344547004</v>
      </c>
      <c r="I3101" s="1"/>
      <c r="J3101" s="1"/>
      <c r="K3101" s="1"/>
      <c r="L3101" s="1" t="str">
        <f>IFERROR(__xludf.DUMMYFUNCTION("""COMPUTED_VALUE"""),"#N/A")</f>
        <v>#N/A</v>
      </c>
      <c r="M3101" s="1" t="str">
        <f>IFERROR(__xludf.DUMMYFUNCTION("""COMPUTED_VALUE"""),"#N/A")</f>
        <v>#N/A</v>
      </c>
      <c r="N3101" s="1" t="str">
        <f>IFERROR(__xludf.DUMMYFUNCTION("""COMPUTED_VALUE"""),"#N/A")</f>
        <v>#N/A</v>
      </c>
      <c r="O3101" s="1" t="str">
        <f>IFERROR(__xludf.DUMMYFUNCTION("""COMPUTED_VALUE"""),"CALABUSO (CALABUSO SOUTH &amp; NORTH)")</f>
        <v>CALABUSO (CALABUSO SOUTH &amp; NORTH)</v>
      </c>
      <c r="P3101" s="1" t="str">
        <f>IFERROR(__xludf.DUMMYFUNCTION("""COMPUTED_VALUE"""),"TAGAYTAY")</f>
        <v>TAGAYTAY</v>
      </c>
      <c r="Q3101" s="1" t="str">
        <f>IFERROR(__xludf.DUMMYFUNCTION("""COMPUTED_VALUE"""),"CAVITE")</f>
        <v>CAVITE</v>
      </c>
      <c r="R3101" s="1" t="str">
        <f>IFERROR(__xludf.DUMMYFUNCTION("""COMPUTED_VALUE"""),"FIBR PLAN 1299")</f>
        <v>FIBR PLAN 1299</v>
      </c>
      <c r="S3101" s="1" t="str">
        <f>IFERROR(__xludf.DUMMYFUNCTION("""COMPUTED_VALUE"""),"APPROVED")</f>
        <v>APPROVED</v>
      </c>
      <c r="T3101" s="1" t="str">
        <f>IFERROR(__xludf.DUMMYFUNCTION("""COMPUTED_VALUE"""),"#N/A")</f>
        <v>#N/A</v>
      </c>
      <c r="U3101" s="1"/>
      <c r="V3101" s="1"/>
      <c r="W3101" s="1"/>
    </row>
    <row r="3102" customHeight="1" spans="1:23">
      <c r="A3102" s="3">
        <f>IFERROR(__xludf.DUMMYFUNCTION("""COMPUTED_VALUE"""),46279)</f>
        <v>46279</v>
      </c>
      <c r="B3102" s="1" t="str">
        <f>IFERROR(__xludf.DUMMYFUNCTION("""COMPUTED_VALUE"""),"MALIWAT MARK ELVIN")</f>
        <v>MALIWAT MARK ELVIN</v>
      </c>
      <c r="C3102" s="1" t="str">
        <f>IFERROR(__xludf.DUMMYFUNCTION("""COMPUTED_VALUE"""),"FLA")</f>
        <v>FLA</v>
      </c>
      <c r="D3102" s="1" t="str">
        <f>IFERROR(__xludf.DUMMYFUNCTION("""COMPUTED_VALUE"""),"JERIC NAVARRO")</f>
        <v>JERIC NAVARRO</v>
      </c>
      <c r="E3102" s="1" t="str">
        <f>IFERROR(__xludf.DUMMYFUNCTION("""COMPUTED_VALUE"""),"PLDT / ONLINE")</f>
        <v>PLDT / ONLINE</v>
      </c>
      <c r="F3102" s="1"/>
      <c r="G3102" s="1">
        <f>IFERROR(__xludf.DUMMYFUNCTION("""COMPUTED_VALUE"""),2312643670)</f>
        <v>2312643670</v>
      </c>
      <c r="H3102" s="1" t="str">
        <f>IFERROR(__xludf.DUMMYFUNCTION("""COMPUTED_VALUE"""),"471779648004")</f>
        <v>471779648004</v>
      </c>
      <c r="I3102" s="1"/>
      <c r="J3102" s="1">
        <f>IFERROR(__xludf.DUMMYFUNCTION("""COMPUTED_VALUE"""),639560030259)</f>
        <v>639560030259</v>
      </c>
      <c r="K3102" s="1"/>
      <c r="L3102" s="1" t="str">
        <f>IFERROR(__xludf.DUMMYFUNCTION("""COMPUTED_VALUE"""),"#N/A")</f>
        <v>#N/A</v>
      </c>
      <c r="M3102" s="1" t="str">
        <f>IFERROR(__xludf.DUMMYFUNCTION("""COMPUTED_VALUE"""),"#N/A")</f>
        <v>#N/A</v>
      </c>
      <c r="N3102" s="1" t="str">
        <f>IFERROR(__xludf.DUMMYFUNCTION("""COMPUTED_VALUE"""),"#N/A")</f>
        <v>#N/A</v>
      </c>
      <c r="O3102" s="1" t="str">
        <f>IFERROR(__xludf.DUMMYFUNCTION("""COMPUTED_VALUE"""),"TUBUAN I")</f>
        <v>TUBUAN I</v>
      </c>
      <c r="P3102" s="1" t="str">
        <f>IFERROR(__xludf.DUMMYFUNCTION("""COMPUTED_VALUE"""),"SILANG")</f>
        <v>SILANG</v>
      </c>
      <c r="Q3102" s="1" t="str">
        <f>IFERROR(__xludf.DUMMYFUNCTION("""COMPUTED_VALUE"""),"CAVITE")</f>
        <v>CAVITE</v>
      </c>
      <c r="R3102" s="1" t="str">
        <f>IFERROR(__xludf.DUMMYFUNCTION("""COMPUTED_VALUE"""),"FIBR PLAN 1299")</f>
        <v>FIBR PLAN 1299</v>
      </c>
      <c r="S3102" s="1" t="str">
        <f>IFERROR(__xludf.DUMMYFUNCTION("""COMPUTED_VALUE"""),"APPROVED")</f>
        <v>APPROVED</v>
      </c>
      <c r="T3102" s="1" t="str">
        <f>IFERROR(__xludf.DUMMYFUNCTION("""COMPUTED_VALUE"""),"#N/A")</f>
        <v>#N/A</v>
      </c>
      <c r="U3102" s="1"/>
      <c r="V3102" s="1"/>
      <c r="W3102" s="1"/>
    </row>
    <row r="3103" customHeight="1" spans="1:23">
      <c r="A3103" s="3">
        <f>IFERROR(__xludf.DUMMYFUNCTION("""COMPUTED_VALUE"""),46279)</f>
        <v>46279</v>
      </c>
      <c r="B3103" s="1" t="str">
        <f>IFERROR(__xludf.DUMMYFUNCTION("""COMPUTED_VALUE"""),"MALIWAT MARK ELVIN")</f>
        <v>MALIWAT MARK ELVIN</v>
      </c>
      <c r="C3103" s="1" t="str">
        <f>IFERROR(__xludf.DUMMYFUNCTION("""COMPUTED_VALUE"""),"FLA")</f>
        <v>FLA</v>
      </c>
      <c r="D3103" s="1" t="str">
        <f>IFERROR(__xludf.DUMMYFUNCTION("""COMPUTED_VALUE"""),"JERIC NAVARRO")</f>
        <v>JERIC NAVARRO</v>
      </c>
      <c r="E3103" s="1" t="str">
        <f>IFERROR(__xludf.DUMMYFUNCTION("""COMPUTED_VALUE"""),"PLDT / ONLINE")</f>
        <v>PLDT / ONLINE</v>
      </c>
      <c r="F3103" s="1"/>
      <c r="G3103" s="1"/>
      <c r="H3103" s="1" t="str">
        <f>IFERROR(__xludf.DUMMYFUNCTION("""COMPUTED_VALUE"""),"#N/A")</f>
        <v>#N/A</v>
      </c>
      <c r="I3103" s="1"/>
      <c r="J3103" s="1"/>
      <c r="K3103" s="1"/>
      <c r="L3103" s="1" t="str">
        <f>IFERROR(__xludf.DUMMYFUNCTION("""COMPUTED_VALUE"""),"#N/A")</f>
        <v>#N/A</v>
      </c>
      <c r="M3103" s="1" t="str">
        <f>IFERROR(__xludf.DUMMYFUNCTION("""COMPUTED_VALUE"""),"#N/A")</f>
        <v>#N/A</v>
      </c>
      <c r="N3103" s="1" t="str">
        <f>IFERROR(__xludf.DUMMYFUNCTION("""COMPUTED_VALUE"""),"#N/A")</f>
        <v>#N/A</v>
      </c>
      <c r="O3103" s="1" t="str">
        <f>IFERROR(__xludf.DUMMYFUNCTION("""COMPUTED_VALUE"""),"INCHICAN")</f>
        <v>INCHICAN</v>
      </c>
      <c r="P3103" s="1" t="str">
        <f>IFERROR(__xludf.DUMMYFUNCTION("""COMPUTED_VALUE"""),"SILANG")</f>
        <v>SILANG</v>
      </c>
      <c r="Q3103" s="1" t="str">
        <f>IFERROR(__xludf.DUMMYFUNCTION("""COMPUTED_VALUE"""),"CAVITE")</f>
        <v>CAVITE</v>
      </c>
      <c r="R3103" s="1" t="str">
        <f>IFERROR(__xludf.DUMMYFUNCTION("""COMPUTED_VALUE"""),"FIBR UNLI ALL PLAN 1499")</f>
        <v>FIBR UNLI ALL PLAN 1499</v>
      </c>
      <c r="S3103" s="1" t="str">
        <f>IFERROR(__xludf.DUMMYFUNCTION("""COMPUTED_VALUE"""),"APPROVED")</f>
        <v>APPROVED</v>
      </c>
      <c r="T3103" s="1" t="str">
        <f>IFERROR(__xludf.DUMMYFUNCTION("""COMPUTED_VALUE"""),"#N/A")</f>
        <v>#N/A</v>
      </c>
      <c r="U3103" s="1"/>
      <c r="V3103" s="1"/>
      <c r="W3103" s="1"/>
    </row>
    <row r="3104" customHeight="1" spans="1:23">
      <c r="A3104" s="3">
        <f>IFERROR(__xludf.DUMMYFUNCTION("""COMPUTED_VALUE"""),46279)</f>
        <v>46279</v>
      </c>
      <c r="B3104" s="1" t="str">
        <f>IFERROR(__xludf.DUMMYFUNCTION("""COMPUTED_VALUE"""),"TAMAYO, MARY ROSE")</f>
        <v>TAMAYO, MARY ROSE</v>
      </c>
      <c r="C3104" s="1" t="str">
        <f>IFERROR(__xludf.DUMMYFUNCTION("""COMPUTED_VALUE"""),"ORGANIC")</f>
        <v>ORGANIC</v>
      </c>
      <c r="D3104" s="1" t="str">
        <f>IFERROR(__xludf.DUMMYFUNCTION("""COMPUTED_VALUE"""),"REMOLLO LEA")</f>
        <v>REMOLLO LEA</v>
      </c>
      <c r="E3104" s="1" t="str">
        <f>IFERROR(__xludf.DUMMYFUNCTION("""COMPUTED_VALUE"""),"PLDT / H2H")</f>
        <v>PLDT / H2H</v>
      </c>
      <c r="F3104" s="1"/>
      <c r="G3104" s="1"/>
      <c r="H3104" s="1" t="str">
        <f>IFERROR(__xludf.DUMMYFUNCTION("""COMPUTED_VALUE"""),"471348234004")</f>
        <v>471348234004</v>
      </c>
      <c r="I3104" s="1"/>
      <c r="J3104" s="1">
        <f>IFERROR(__xludf.DUMMYFUNCTION("""COMPUTED_VALUE"""),639559185770)</f>
        <v>639559185770</v>
      </c>
      <c r="K3104" s="1"/>
      <c r="L3104" s="1" t="str">
        <f>IFERROR(__xludf.DUMMYFUNCTION("""COMPUTED_VALUE"""),"#N/A")</f>
        <v>#N/A</v>
      </c>
      <c r="M3104" s="1" t="str">
        <f>IFERROR(__xludf.DUMMYFUNCTION("""COMPUTED_VALUE"""),"#N/A")</f>
        <v>#N/A</v>
      </c>
      <c r="N3104" s="1" t="str">
        <f>IFERROR(__xludf.DUMMYFUNCTION("""COMPUTED_VALUE"""),"#N/A")</f>
        <v>#N/A</v>
      </c>
      <c r="O3104" s="1" t="str">
        <f>IFERROR(__xludf.DUMMYFUNCTION("""COMPUTED_VALUE"""),"SAN GABRIEL (AREA K)")</f>
        <v>SAN GABRIEL (AREA K)</v>
      </c>
      <c r="P3104" s="1" t="str">
        <f>IFERROR(__xludf.DUMMYFUNCTION("""COMPUTED_VALUE"""),"GEN MARIANO ALVAREZ")</f>
        <v>GEN MARIANO ALVAREZ</v>
      </c>
      <c r="Q3104" s="1" t="str">
        <f>IFERROR(__xludf.DUMMYFUNCTION("""COMPUTED_VALUE"""),"CAVITE")</f>
        <v>CAVITE</v>
      </c>
      <c r="R3104" s="1" t="str">
        <f>IFERROR(__xludf.DUMMYFUNCTION("""COMPUTED_VALUE"""),"FIBR PLAN 1299")</f>
        <v>FIBR PLAN 1299</v>
      </c>
      <c r="S3104" s="1" t="str">
        <f>IFERROR(__xludf.DUMMYFUNCTION("""COMPUTED_VALUE"""),"APPROVED")</f>
        <v>APPROVED</v>
      </c>
      <c r="T3104" s="1" t="str">
        <f>IFERROR(__xludf.DUMMYFUNCTION("""COMPUTED_VALUE"""),"#N/A")</f>
        <v>#N/A</v>
      </c>
      <c r="U3104" s="1" t="str">
        <f>IFERROR(__xludf.DUMMYFUNCTION("""COMPUTED_VALUE"""),"POSTED")</f>
        <v>POSTED</v>
      </c>
      <c r="V3104" s="1" t="str">
        <f>IFERROR(__xludf.DUMMYFUNCTION("""COMPUTED_VALUE"""),"NO 1 AMSF")</f>
        <v>NO 1 AMSF</v>
      </c>
      <c r="W3104" s="1"/>
    </row>
    <row r="3105" customHeight="1" spans="1:23">
      <c r="A3105" s="3">
        <f>IFERROR(__xludf.DUMMYFUNCTION("""COMPUTED_VALUE"""),46279)</f>
        <v>46279</v>
      </c>
      <c r="B3105" s="1" t="str">
        <f>IFERROR(__xludf.DUMMYFUNCTION("""COMPUTED_VALUE"""),"CADERAO, RONALD")</f>
        <v>CADERAO, RONALD</v>
      </c>
      <c r="C3105" s="1" t="str">
        <f>IFERROR(__xludf.DUMMYFUNCTION("""COMPUTED_VALUE"""),"ORGANIC")</f>
        <v>ORGANIC</v>
      </c>
      <c r="D3105" s="1" t="str">
        <f>IFERROR(__xludf.DUMMYFUNCTION("""COMPUTED_VALUE"""),"REMOLLO LEA")</f>
        <v>REMOLLO LEA</v>
      </c>
      <c r="E3105" s="1" t="str">
        <f>IFERROR(__xludf.DUMMYFUNCTION("""COMPUTED_VALUE"""),"PLDT / H2H")</f>
        <v>PLDT / H2H</v>
      </c>
      <c r="F3105" s="1"/>
      <c r="G3105" s="1"/>
      <c r="H3105" s="1" t="str">
        <f>IFERROR(__xludf.DUMMYFUNCTION("""COMPUTED_VALUE"""),"471355663004")</f>
        <v>471355663004</v>
      </c>
      <c r="I3105" s="1"/>
      <c r="J3105" s="1">
        <f>IFERROR(__xludf.DUMMYFUNCTION("""COMPUTED_VALUE"""),639054910968)</f>
        <v>639054910968</v>
      </c>
      <c r="K3105" s="1"/>
      <c r="L3105" s="1" t="str">
        <f>IFERROR(__xludf.DUMMYFUNCTION("""COMPUTED_VALUE"""),"#N/A")</f>
        <v>#N/A</v>
      </c>
      <c r="M3105" s="1" t="str">
        <f>IFERROR(__xludf.DUMMYFUNCTION("""COMPUTED_VALUE"""),"#N/A")</f>
        <v>#N/A</v>
      </c>
      <c r="N3105" s="1" t="str">
        <f>IFERROR(__xludf.DUMMYFUNCTION("""COMPUTED_VALUE"""),"#N/A")</f>
        <v>#N/A</v>
      </c>
      <c r="O3105" s="1" t="str">
        <f>IFERROR(__xludf.DUMMYFUNCTION("""COMPUTED_VALUE"""),"BULIHAN")</f>
        <v>BULIHAN</v>
      </c>
      <c r="P3105" s="1" t="str">
        <f>IFERROR(__xludf.DUMMYFUNCTION("""COMPUTED_VALUE"""),"SILANG")</f>
        <v>SILANG</v>
      </c>
      <c r="Q3105" s="1" t="str">
        <f>IFERROR(__xludf.DUMMYFUNCTION("""COMPUTED_VALUE"""),"CAVITE")</f>
        <v>CAVITE</v>
      </c>
      <c r="R3105" s="1" t="str">
        <f>IFERROR(__xludf.DUMMYFUNCTION("""COMPUTED_VALUE"""),"FIBR PLAN 1299")</f>
        <v>FIBR PLAN 1299</v>
      </c>
      <c r="S3105" s="1" t="str">
        <f>IFERROR(__xludf.DUMMYFUNCTION("""COMPUTED_VALUE"""),"APPROVED")</f>
        <v>APPROVED</v>
      </c>
      <c r="T3105" s="1" t="str">
        <f>IFERROR(__xludf.DUMMYFUNCTION("""COMPUTED_VALUE"""),"#N/A")</f>
        <v>#N/A</v>
      </c>
      <c r="U3105" s="1" t="str">
        <f>IFERROR(__xludf.DUMMYFUNCTION("""COMPUTED_VALUE"""),"POSTED")</f>
        <v>POSTED</v>
      </c>
      <c r="V3105" s="1" t="str">
        <f>IFERROR(__xludf.DUMMYFUNCTION("""COMPUTED_VALUE"""),"NO 1 AMSF")</f>
        <v>NO 1 AMSF</v>
      </c>
      <c r="W3105" s="1"/>
    </row>
    <row r="3106" customHeight="1" spans="1:23">
      <c r="A3106" s="3">
        <f>IFERROR(__xludf.DUMMYFUNCTION("""COMPUTED_VALUE"""),46280)</f>
        <v>46280</v>
      </c>
      <c r="B3106" s="1" t="str">
        <f>IFERROR(__xludf.DUMMYFUNCTION("""COMPUTED_VALUE"""),"AYON MANUEL")</f>
        <v>AYON MANUEL</v>
      </c>
      <c r="C3106" s="1" t="str">
        <f>IFERROR(__xludf.DUMMYFUNCTION("""COMPUTED_VALUE"""),"FLA")</f>
        <v>FLA</v>
      </c>
      <c r="D3106" s="1" t="str">
        <f>IFERROR(__xludf.DUMMYFUNCTION("""COMPUTED_VALUE"""),"JERIC NAVARRO")</f>
        <v>JERIC NAVARRO</v>
      </c>
      <c r="E3106" s="1" t="str">
        <f>IFERROR(__xludf.DUMMYFUNCTION("""COMPUTED_VALUE"""),"PLDT / H2H")</f>
        <v>PLDT / H2H</v>
      </c>
      <c r="F3106" s="1"/>
      <c r="G3106" s="1"/>
      <c r="H3106" s="1" t="str">
        <f>IFERROR(__xludf.DUMMYFUNCTION("""COMPUTED_VALUE"""),"#N/A")</f>
        <v>#N/A</v>
      </c>
      <c r="I3106" s="1"/>
      <c r="J3106" s="1">
        <f>IFERROR(__xludf.DUMMYFUNCTION("""COMPUTED_VALUE"""),639458324877)</f>
        <v>639458324877</v>
      </c>
      <c r="K3106" s="1"/>
      <c r="L3106" s="1" t="str">
        <f>IFERROR(__xludf.DUMMYFUNCTION("""COMPUTED_VALUE"""),"#N/A")</f>
        <v>#N/A</v>
      </c>
      <c r="M3106" s="1" t="str">
        <f>IFERROR(__xludf.DUMMYFUNCTION("""COMPUTED_VALUE"""),"#N/A")</f>
        <v>#N/A</v>
      </c>
      <c r="N3106" s="1" t="str">
        <f>IFERROR(__xludf.DUMMYFUNCTION("""COMPUTED_VALUE"""),"#N/A")</f>
        <v>#N/A</v>
      </c>
      <c r="O3106" s="1" t="str">
        <f>IFERROR(__xludf.DUMMYFUNCTION("""COMPUTED_VALUE"""),"BULIHAN")</f>
        <v>BULIHAN</v>
      </c>
      <c r="P3106" s="1" t="str">
        <f>IFERROR(__xludf.DUMMYFUNCTION("""COMPUTED_VALUE"""),"SILANG")</f>
        <v>SILANG</v>
      </c>
      <c r="Q3106" s="1" t="str">
        <f>IFERROR(__xludf.DUMMYFUNCTION("""COMPUTED_VALUE"""),"CAVITE")</f>
        <v>CAVITE</v>
      </c>
      <c r="R3106" s="1" t="str">
        <f>IFERROR(__xludf.DUMMYFUNCTION("""COMPUTED_VALUE"""),"FIBR UNLI ALL PLAN 1499")</f>
        <v>FIBR UNLI ALL PLAN 1499</v>
      </c>
      <c r="S3106" s="1" t="str">
        <f>IFERROR(__xludf.DUMMYFUNCTION("""COMPUTED_VALUE"""),"APPROVED")</f>
        <v>APPROVED</v>
      </c>
      <c r="T3106" s="1" t="str">
        <f>IFERROR(__xludf.DUMMYFUNCTION("""COMPUTED_VALUE"""),"#N/A")</f>
        <v>#N/A</v>
      </c>
      <c r="U3106" s="1" t="str">
        <f>IFERROR(__xludf.DUMMYFUNCTION("""COMPUTED_VALUE"""),"CANCELLED - NON COMPLIANCE")</f>
        <v>CANCELLED - NON COMPLIANCE</v>
      </c>
      <c r="V3106" s="1"/>
      <c r="W3106" s="1"/>
    </row>
    <row r="3107" customHeight="1" spans="1:23">
      <c r="A3107" s="3">
        <f>IFERROR(__xludf.DUMMYFUNCTION("""COMPUTED_VALUE"""),46280)</f>
        <v>46280</v>
      </c>
      <c r="B3107" s="1" t="str">
        <f>IFERROR(__xludf.DUMMYFUNCTION("""COMPUTED_VALUE"""),"MAGDARAOG, KENNETH")</f>
        <v>MAGDARAOG, KENNETH</v>
      </c>
      <c r="C3107" s="1" t="str">
        <f>IFERROR(__xludf.DUMMYFUNCTION("""COMPUTED_VALUE"""),"ORGANIC")</f>
        <v>ORGANIC</v>
      </c>
      <c r="D3107" s="1" t="str">
        <f>IFERROR(__xludf.DUMMYFUNCTION("""COMPUTED_VALUE"""),"REMOLLO LEA")</f>
        <v>REMOLLO LEA</v>
      </c>
      <c r="E3107" s="1" t="str">
        <f>IFERROR(__xludf.DUMMYFUNCTION("""COMPUTED_VALUE"""),"PLDT / H2H")</f>
        <v>PLDT / H2H</v>
      </c>
      <c r="F3107" s="1"/>
      <c r="G3107" s="1"/>
      <c r="H3107" s="1" t="str">
        <f>IFERROR(__xludf.DUMMYFUNCTION("""COMPUTED_VALUE"""),"471510077004")</f>
        <v>471510077004</v>
      </c>
      <c r="I3107" s="1"/>
      <c r="J3107" s="1">
        <f>IFERROR(__xludf.DUMMYFUNCTION("""COMPUTED_VALUE"""),639615236709)</f>
        <v>639615236709</v>
      </c>
      <c r="K3107" s="1"/>
      <c r="L3107" s="1" t="str">
        <f>IFERROR(__xludf.DUMMYFUNCTION("""COMPUTED_VALUE"""),"#N/A")</f>
        <v>#N/A</v>
      </c>
      <c r="M3107" s="1" t="str">
        <f>IFERROR(__xludf.DUMMYFUNCTION("""COMPUTED_VALUE"""),"#N/A")</f>
        <v>#N/A</v>
      </c>
      <c r="N3107" s="1" t="str">
        <f>IFERROR(__xludf.DUMMYFUNCTION("""COMPUTED_VALUE"""),"#N/A")</f>
        <v>#N/A</v>
      </c>
      <c r="O3107" s="1" t="str">
        <f>IFERROR(__xludf.DUMMYFUNCTION("""COMPUTED_VALUE"""),"CALABUSO (CALABUSO SOUTH &amp; NORTH)")</f>
        <v>CALABUSO (CALABUSO SOUTH &amp; NORTH)</v>
      </c>
      <c r="P3107" s="1" t="str">
        <f>IFERROR(__xludf.DUMMYFUNCTION("""COMPUTED_VALUE"""),"TAGAYTAY")</f>
        <v>TAGAYTAY</v>
      </c>
      <c r="Q3107" s="1" t="str">
        <f>IFERROR(__xludf.DUMMYFUNCTION("""COMPUTED_VALUE"""),"CAVITE")</f>
        <v>CAVITE</v>
      </c>
      <c r="R3107" s="1" t="str">
        <f>IFERROR(__xludf.DUMMYFUNCTION("""COMPUTED_VALUE"""),"FIBR UNLI ALL PLAN 999")</f>
        <v>FIBR UNLI ALL PLAN 999</v>
      </c>
      <c r="S3107" s="1" t="str">
        <f>IFERROR(__xludf.DUMMYFUNCTION("""COMPUTED_VALUE"""),"APPROVED")</f>
        <v>APPROVED</v>
      </c>
      <c r="T3107" s="1" t="str">
        <f>IFERROR(__xludf.DUMMYFUNCTION("""COMPUTED_VALUE"""),"#N/A")</f>
        <v>#N/A</v>
      </c>
      <c r="U3107" s="1" t="str">
        <f>IFERROR(__xludf.DUMMYFUNCTION("""COMPUTED_VALUE"""),"RPR- SUBS CANCEL REQUEST")</f>
        <v>RPR- SUBS CANCEL REQUEST</v>
      </c>
      <c r="V3107" s="1" t="str">
        <f>IFERROR(__xludf.DUMMYFUNCTION("""COMPUTED_VALUE"""),"NO 1 AMSF")</f>
        <v>NO 1 AMSF</v>
      </c>
      <c r="W3107" s="1"/>
    </row>
    <row r="3108" customHeight="1" spans="1:23">
      <c r="A3108" s="3">
        <f>IFERROR(__xludf.DUMMYFUNCTION("""COMPUTED_VALUE"""),46280)</f>
        <v>46280</v>
      </c>
      <c r="B3108" s="1" t="str">
        <f>IFERROR(__xludf.DUMMYFUNCTION("""COMPUTED_VALUE"""),"CADERAO, RONALD")</f>
        <v>CADERAO, RONALD</v>
      </c>
      <c r="C3108" s="1" t="str">
        <f>IFERROR(__xludf.DUMMYFUNCTION("""COMPUTED_VALUE"""),"ORGANIC")</f>
        <v>ORGANIC</v>
      </c>
      <c r="D3108" s="1" t="str">
        <f>IFERROR(__xludf.DUMMYFUNCTION("""COMPUTED_VALUE"""),"REMOLLO LEA")</f>
        <v>REMOLLO LEA</v>
      </c>
      <c r="E3108" s="1" t="str">
        <f>IFERROR(__xludf.DUMMYFUNCTION("""COMPUTED_VALUE"""),"PLDT / H2H")</f>
        <v>PLDT / H2H</v>
      </c>
      <c r="F3108" s="1"/>
      <c r="G3108" s="1"/>
      <c r="H3108" s="1" t="str">
        <f>IFERROR(__xludf.DUMMYFUNCTION("""COMPUTED_VALUE"""),"471897760004")</f>
        <v>471897760004</v>
      </c>
      <c r="I3108" s="1"/>
      <c r="J3108" s="1">
        <f>IFERROR(__xludf.DUMMYFUNCTION("""COMPUTED_VALUE"""),639704780491)</f>
        <v>639704780491</v>
      </c>
      <c r="K3108" s="1"/>
      <c r="L3108" s="1" t="str">
        <f>IFERROR(__xludf.DUMMYFUNCTION("""COMPUTED_VALUE"""),"#N/A")</f>
        <v>#N/A</v>
      </c>
      <c r="M3108" s="1" t="str">
        <f>IFERROR(__xludf.DUMMYFUNCTION("""COMPUTED_VALUE"""),"#N/A")</f>
        <v>#N/A</v>
      </c>
      <c r="N3108" s="1" t="str">
        <f>IFERROR(__xludf.DUMMYFUNCTION("""COMPUTED_VALUE"""),"#N/A")</f>
        <v>#N/A</v>
      </c>
      <c r="O3108" s="1" t="str">
        <f>IFERROR(__xludf.DUMMYFUNCTION("""COMPUTED_VALUE"""),"PASONG LANGKA")</f>
        <v>PASONG LANGKA</v>
      </c>
      <c r="P3108" s="1" t="str">
        <f>IFERROR(__xludf.DUMMYFUNCTION("""COMPUTED_VALUE"""),"SILANG")</f>
        <v>SILANG</v>
      </c>
      <c r="Q3108" s="1" t="str">
        <f>IFERROR(__xludf.DUMMYFUNCTION("""COMPUTED_VALUE"""),"CAVITE")</f>
        <v>CAVITE</v>
      </c>
      <c r="R3108" s="1" t="str">
        <f>IFERROR(__xludf.DUMMYFUNCTION("""COMPUTED_VALUE"""),"FIBR PLAN 1299")</f>
        <v>FIBR PLAN 1299</v>
      </c>
      <c r="S3108" s="1" t="str">
        <f>IFERROR(__xludf.DUMMYFUNCTION("""COMPUTED_VALUE"""),"APPROVED")</f>
        <v>APPROVED</v>
      </c>
      <c r="T3108" s="1" t="str">
        <f>IFERROR(__xludf.DUMMYFUNCTION("""COMPUTED_VALUE"""),"#N/A")</f>
        <v>#N/A</v>
      </c>
      <c r="U3108" s="1" t="str">
        <f>IFERROR(__xludf.DUMMYFUNCTION("""COMPUTED_VALUE"""),"RPR - UNMAINTAINABLE")</f>
        <v>RPR - UNMAINTAINABLE</v>
      </c>
      <c r="V3108" s="1" t="str">
        <f>IFERROR(__xludf.DUMMYFUNCTION("""COMPUTED_VALUE"""),"NO 1 AMSF")</f>
        <v>NO 1 AMSF</v>
      </c>
      <c r="W3108" s="1"/>
    </row>
    <row r="3109" customHeight="1" spans="1:23">
      <c r="A3109" s="3">
        <f>IFERROR(__xludf.DUMMYFUNCTION("""COMPUTED_VALUE"""),46280)</f>
        <v>46280</v>
      </c>
      <c r="B3109" s="1" t="str">
        <f>IFERROR(__xludf.DUMMYFUNCTION("""COMPUTED_VALUE"""),"BAQUIT ,JAZMIN")</f>
        <v>BAQUIT ,JAZMIN</v>
      </c>
      <c r="C3109" s="1" t="str">
        <f>IFERROR(__xludf.DUMMYFUNCTION("""COMPUTED_VALUE"""),"ORGANIC")</f>
        <v>ORGANIC</v>
      </c>
      <c r="D3109" s="1" t="str">
        <f>IFERROR(__xludf.DUMMYFUNCTION("""COMPUTED_VALUE"""),"REMOLLO LEA")</f>
        <v>REMOLLO LEA</v>
      </c>
      <c r="E3109" s="1" t="str">
        <f>IFERROR(__xludf.DUMMYFUNCTION("""COMPUTED_VALUE"""),"PLDT / H2H")</f>
        <v>PLDT / H2H</v>
      </c>
      <c r="F3109" s="1"/>
      <c r="G3109" s="1"/>
      <c r="H3109" s="1" t="str">
        <f>IFERROR(__xludf.DUMMYFUNCTION("""COMPUTED_VALUE"""),"471517618004")</f>
        <v>471517618004</v>
      </c>
      <c r="I3109" s="1"/>
      <c r="J3109" s="1"/>
      <c r="K3109" s="1"/>
      <c r="L3109" s="1" t="str">
        <f>IFERROR(__xludf.DUMMYFUNCTION("""COMPUTED_VALUE"""),"#N/A")</f>
        <v>#N/A</v>
      </c>
      <c r="M3109" s="1" t="str">
        <f>IFERROR(__xludf.DUMMYFUNCTION("""COMPUTED_VALUE"""),"#N/A")</f>
        <v>#N/A</v>
      </c>
      <c r="N3109" s="1" t="str">
        <f>IFERROR(__xludf.DUMMYFUNCTION("""COMPUTED_VALUE"""),"#N/A")</f>
        <v>#N/A</v>
      </c>
      <c r="O3109" s="1" t="str">
        <f>IFERROR(__xludf.DUMMYFUNCTION("""COMPUTED_VALUE"""),"CALABUSO (CALABUSO SOUTH &amp; NORTH)")</f>
        <v>CALABUSO (CALABUSO SOUTH &amp; NORTH)</v>
      </c>
      <c r="P3109" s="1" t="str">
        <f>IFERROR(__xludf.DUMMYFUNCTION("""COMPUTED_VALUE"""),"TAGAYTAY")</f>
        <v>TAGAYTAY</v>
      </c>
      <c r="Q3109" s="1" t="str">
        <f>IFERROR(__xludf.DUMMYFUNCTION("""COMPUTED_VALUE"""),"CAVITE")</f>
        <v>CAVITE</v>
      </c>
      <c r="R3109" s="1" t="str">
        <f>IFERROR(__xludf.DUMMYFUNCTION("""COMPUTED_VALUE"""),"FIBR UNLI ALL PLAN 1499")</f>
        <v>FIBR UNLI ALL PLAN 1499</v>
      </c>
      <c r="S3109" s="1" t="str">
        <f>IFERROR(__xludf.DUMMYFUNCTION("""COMPUTED_VALUE"""),"APPROVED")</f>
        <v>APPROVED</v>
      </c>
      <c r="T3109" s="1" t="str">
        <f>IFERROR(__xludf.DUMMYFUNCTION("""COMPUTED_VALUE"""),"#N/A")</f>
        <v>#N/A</v>
      </c>
      <c r="U3109" s="1" t="str">
        <f>IFERROR(__xludf.DUMMYFUNCTION("""COMPUTED_VALUE"""),"POSTED")</f>
        <v>POSTED</v>
      </c>
      <c r="V3109" s="1" t="str">
        <f>IFERROR(__xludf.DUMMYFUNCTION("""COMPUTED_VALUE"""),"NO 1 AMSF")</f>
        <v>NO 1 AMSF</v>
      </c>
      <c r="W3109" s="1"/>
    </row>
    <row r="3110" customHeight="1" spans="1:23">
      <c r="A3110" s="3">
        <f>IFERROR(__xludf.DUMMYFUNCTION("""COMPUTED_VALUE"""),46280)</f>
        <v>46280</v>
      </c>
      <c r="B3110" s="1" t="str">
        <f>IFERROR(__xludf.DUMMYFUNCTION("""COMPUTED_VALUE"""),"MALIWAT MARK ELVIN")</f>
        <v>MALIWAT MARK ELVIN</v>
      </c>
      <c r="C3110" s="1" t="str">
        <f>IFERROR(__xludf.DUMMYFUNCTION("""COMPUTED_VALUE"""),"FLA")</f>
        <v>FLA</v>
      </c>
      <c r="D3110" s="1" t="str">
        <f>IFERROR(__xludf.DUMMYFUNCTION("""COMPUTED_VALUE"""),"JERIC NAVARRO")</f>
        <v>JERIC NAVARRO</v>
      </c>
      <c r="E3110" s="1" t="str">
        <f>IFERROR(__xludf.DUMMYFUNCTION("""COMPUTED_VALUE"""),"PLDT / ONLINE")</f>
        <v>PLDT / ONLINE</v>
      </c>
      <c r="F3110" s="1"/>
      <c r="G3110" s="1">
        <f>IFERROR(__xludf.DUMMYFUNCTION("""COMPUTED_VALUE"""),2313334598)</f>
        <v>2313334598</v>
      </c>
      <c r="H3110" s="1" t="str">
        <f>IFERROR(__xludf.DUMMYFUNCTION("""COMPUTED_VALUE"""),"471524982004")</f>
        <v>471524982004</v>
      </c>
      <c r="I3110" s="1">
        <f>IFERROR(__xludf.DUMMYFUNCTION("""COMPUTED_VALUE"""),639853693875)</f>
        <v>639853693875</v>
      </c>
      <c r="J3110" s="1"/>
      <c r="K3110" s="1"/>
      <c r="L3110" s="1" t="str">
        <f>IFERROR(__xludf.DUMMYFUNCTION("""COMPUTED_VALUE"""),"B3")</f>
        <v>B3</v>
      </c>
      <c r="M3110" s="1" t="str">
        <f>IFERROR(__xludf.DUMMYFUNCTION("""COMPUTED_VALUE"""),"SAN ISIDRO")</f>
        <v>SAN ISIDRO</v>
      </c>
      <c r="N3110" s="1"/>
      <c r="O3110" s="1" t="str">
        <f>IFERROR(__xludf.DUMMYFUNCTION("""COMPUTED_VALUE"""),"SAN GABRIEL (AREA K)")</f>
        <v>SAN GABRIEL (AREA K)</v>
      </c>
      <c r="P3110" s="1" t="str">
        <f>IFERROR(__xludf.DUMMYFUNCTION("""COMPUTED_VALUE"""),"GEN MARIANO ALVAREZ")</f>
        <v>GEN MARIANO ALVAREZ</v>
      </c>
      <c r="Q3110" s="1" t="str">
        <f>IFERROR(__xludf.DUMMYFUNCTION("""COMPUTED_VALUE"""),"CAVITE")</f>
        <v>CAVITE</v>
      </c>
      <c r="R3110" s="1" t="str">
        <f>IFERROR(__xludf.DUMMYFUNCTION("""COMPUTED_VALUE"""),"FIBR UNLI ALL PLAN 999")</f>
        <v>FIBR UNLI ALL PLAN 999</v>
      </c>
      <c r="S3110" s="1" t="str">
        <f>IFERROR(__xludf.DUMMYFUNCTION("""COMPUTED_VALUE"""),"APPROVED")</f>
        <v>APPROVED</v>
      </c>
      <c r="T3110" s="1" t="str">
        <f>IFERROR(__xludf.DUMMYFUNCTION("""COMPUTED_VALUE"""),"CANCELLED")</f>
        <v>CANCELLED</v>
      </c>
      <c r="U3110" s="1"/>
      <c r="V3110" s="1"/>
      <c r="W3110" s="1"/>
    </row>
    <row r="3111" customHeight="1" spans="1:23">
      <c r="A3111" s="3">
        <f>IFERROR(__xludf.DUMMYFUNCTION("""COMPUTED_VALUE"""),46280)</f>
        <v>46280</v>
      </c>
      <c r="B3111" s="1" t="str">
        <f>IFERROR(__xludf.DUMMYFUNCTION("""COMPUTED_VALUE"""),"MALIWAT MARK ELVIN")</f>
        <v>MALIWAT MARK ELVIN</v>
      </c>
      <c r="C3111" s="1" t="str">
        <f>IFERROR(__xludf.DUMMYFUNCTION("""COMPUTED_VALUE"""),"FLA")</f>
        <v>FLA</v>
      </c>
      <c r="D3111" s="1" t="str">
        <f>IFERROR(__xludf.DUMMYFUNCTION("""COMPUTED_VALUE"""),"JERIC NAVARRO")</f>
        <v>JERIC NAVARRO</v>
      </c>
      <c r="E3111" s="1" t="str">
        <f>IFERROR(__xludf.DUMMYFUNCTION("""COMPUTED_VALUE"""),"PLDT / ONLINE")</f>
        <v>PLDT / ONLINE</v>
      </c>
      <c r="F3111" s="1"/>
      <c r="G3111" s="1"/>
      <c r="H3111" s="1" t="str">
        <f>IFERROR(__xludf.DUMMYFUNCTION("""COMPUTED_VALUE"""),"471519652004")</f>
        <v>471519652004</v>
      </c>
      <c r="I3111" s="1"/>
      <c r="J3111" s="1">
        <f>IFERROR(__xludf.DUMMYFUNCTION("""COMPUTED_VALUE"""),639051412590)</f>
        <v>639051412590</v>
      </c>
      <c r="K3111" s="1"/>
      <c r="L3111" s="1" t="str">
        <f>IFERROR(__xludf.DUMMYFUNCTION("""COMPUTED_VALUE"""),"#N/A")</f>
        <v>#N/A</v>
      </c>
      <c r="M3111" s="1" t="str">
        <f>IFERROR(__xludf.DUMMYFUNCTION("""COMPUTED_VALUE"""),"#N/A")</f>
        <v>#N/A</v>
      </c>
      <c r="N3111" s="1" t="str">
        <f>IFERROR(__xludf.DUMMYFUNCTION("""COMPUTED_VALUE"""),"#N/A")</f>
        <v>#N/A</v>
      </c>
      <c r="O3111" s="1" t="str">
        <f>IFERROR(__xludf.DUMMYFUNCTION("""COMPUTED_VALUE"""),"ASISAN")</f>
        <v>ASISAN</v>
      </c>
      <c r="P3111" s="1" t="str">
        <f>IFERROR(__xludf.DUMMYFUNCTION("""COMPUTED_VALUE"""),"TAGAYTAY")</f>
        <v>TAGAYTAY</v>
      </c>
      <c r="Q3111" s="1" t="str">
        <f>IFERROR(__xludf.DUMMYFUNCTION("""COMPUTED_VALUE"""),"CAVITE")</f>
        <v>CAVITE</v>
      </c>
      <c r="R3111" s="1" t="str">
        <f>IFERROR(__xludf.DUMMYFUNCTION("""COMPUTED_VALUE"""),"FIBR UNLI ALL PLAN 1499")</f>
        <v>FIBR UNLI ALL PLAN 1499</v>
      </c>
      <c r="S3111" s="1" t="str">
        <f>IFERROR(__xludf.DUMMYFUNCTION("""COMPUTED_VALUE"""),"APPROVED")</f>
        <v>APPROVED</v>
      </c>
      <c r="T3111" s="1" t="str">
        <f>IFERROR(__xludf.DUMMYFUNCTION("""COMPUTED_VALUE"""),"#N/A")</f>
        <v>#N/A</v>
      </c>
      <c r="U3111" s="1"/>
      <c r="V3111" s="1"/>
      <c r="W3111" s="1"/>
    </row>
    <row r="3112" customHeight="1" spans="1:23">
      <c r="A3112" s="3">
        <f>IFERROR(__xludf.DUMMYFUNCTION("""COMPUTED_VALUE"""),46280)</f>
        <v>46280</v>
      </c>
      <c r="B3112" s="1" t="str">
        <f>IFERROR(__xludf.DUMMYFUNCTION("""COMPUTED_VALUE"""),"GABAY, MANUEL")</f>
        <v>GABAY, MANUEL</v>
      </c>
      <c r="C3112" s="1" t="str">
        <f>IFERROR(__xludf.DUMMYFUNCTION("""COMPUTED_VALUE"""),"FLA")</f>
        <v>FLA</v>
      </c>
      <c r="D3112" s="1" t="str">
        <f>IFERROR(__xludf.DUMMYFUNCTION("""COMPUTED_VALUE"""),"JERIC NAVARRO")</f>
        <v>JERIC NAVARRO</v>
      </c>
      <c r="E3112" s="1" t="str">
        <f>IFERROR(__xludf.DUMMYFUNCTION("""COMPUTED_VALUE"""),"PLDT / H2H")</f>
        <v>PLDT / H2H</v>
      </c>
      <c r="F3112" s="1"/>
      <c r="G3112" s="1"/>
      <c r="H3112" s="1" t="str">
        <f>IFERROR(__xludf.DUMMYFUNCTION("""COMPUTED_VALUE"""),"471523517004")</f>
        <v>471523517004</v>
      </c>
      <c r="I3112" s="1"/>
      <c r="J3112" s="1">
        <f>IFERROR(__xludf.DUMMYFUNCTION("""COMPUTED_VALUE"""),639669000031)</f>
        <v>639669000031</v>
      </c>
      <c r="K3112" s="1"/>
      <c r="L3112" s="1" t="str">
        <f>IFERROR(__xludf.DUMMYFUNCTION("""COMPUTED_VALUE"""),"#N/A")</f>
        <v>#N/A</v>
      </c>
      <c r="M3112" s="1" t="str">
        <f>IFERROR(__xludf.DUMMYFUNCTION("""COMPUTED_VALUE"""),"#N/A")</f>
        <v>#N/A</v>
      </c>
      <c r="N3112" s="1" t="str">
        <f>IFERROR(__xludf.DUMMYFUNCTION("""COMPUTED_VALUE"""),"#N/A")</f>
        <v>#N/A</v>
      </c>
      <c r="O3112" s="1" t="str">
        <f>IFERROR(__xludf.DUMMYFUNCTION("""COMPUTED_VALUE"""),"PALIGAWAN")</f>
        <v>PALIGAWAN</v>
      </c>
      <c r="P3112" s="1" t="str">
        <f>IFERROR(__xludf.DUMMYFUNCTION("""COMPUTED_VALUE"""),"SILANG")</f>
        <v>SILANG</v>
      </c>
      <c r="Q3112" s="1" t="str">
        <f>IFERROR(__xludf.DUMMYFUNCTION("""COMPUTED_VALUE"""),"CAVITE")</f>
        <v>CAVITE</v>
      </c>
      <c r="R3112" s="1" t="str">
        <f>IFERROR(__xludf.DUMMYFUNCTION("""COMPUTED_VALUE"""),"FIBR PLAN 1299")</f>
        <v>FIBR PLAN 1299</v>
      </c>
      <c r="S3112" s="1" t="str">
        <f>IFERROR(__xludf.DUMMYFUNCTION("""COMPUTED_VALUE"""),"APPROVED")</f>
        <v>APPROVED</v>
      </c>
      <c r="T3112" s="1" t="str">
        <f>IFERROR(__xludf.DUMMYFUNCTION("""COMPUTED_VALUE"""),"#N/A")</f>
        <v>#N/A</v>
      </c>
      <c r="U3112" s="1"/>
      <c r="V3112" s="1"/>
      <c r="W3112" s="1"/>
    </row>
    <row r="3113" customHeight="1" spans="1:23">
      <c r="A3113" s="3">
        <f>IFERROR(__xludf.DUMMYFUNCTION("""COMPUTED_VALUE"""),46280)</f>
        <v>46280</v>
      </c>
      <c r="B3113" s="1" t="str">
        <f>IFERROR(__xludf.DUMMYFUNCTION("""COMPUTED_VALUE"""),"DACALCAP RUBEN")</f>
        <v>DACALCAP RUBEN</v>
      </c>
      <c r="C3113" s="1" t="str">
        <f>IFERROR(__xludf.DUMMYFUNCTION("""COMPUTED_VALUE"""),"FLA")</f>
        <v>FLA</v>
      </c>
      <c r="D3113" s="1" t="str">
        <f>IFERROR(__xludf.DUMMYFUNCTION("""COMPUTED_VALUE"""),"JERIC NAVARRO")</f>
        <v>JERIC NAVARRO</v>
      </c>
      <c r="E3113" s="1" t="str">
        <f>IFERROR(__xludf.DUMMYFUNCTION("""COMPUTED_VALUE"""),"PLDT / ONLINE")</f>
        <v>PLDT / ONLINE</v>
      </c>
      <c r="F3113" s="1"/>
      <c r="G3113" s="1"/>
      <c r="H3113" s="1" t="str">
        <f>IFERROR(__xludf.DUMMYFUNCTION("""COMPUTED_VALUE"""),"471535533004")</f>
        <v>471535533004</v>
      </c>
      <c r="I3113" s="1"/>
      <c r="J3113" s="1">
        <f>IFERROR(__xludf.DUMMYFUNCTION("""COMPUTED_VALUE"""),639638070886)</f>
        <v>639638070886</v>
      </c>
      <c r="K3113" s="1"/>
      <c r="L3113" s="1" t="str">
        <f>IFERROR(__xludf.DUMMYFUNCTION("""COMPUTED_VALUE"""),"#N/A")</f>
        <v>#N/A</v>
      </c>
      <c r="M3113" s="1" t="str">
        <f>IFERROR(__xludf.DUMMYFUNCTION("""COMPUTED_VALUE"""),"#N/A")</f>
        <v>#N/A</v>
      </c>
      <c r="N3113" s="1" t="str">
        <f>IFERROR(__xludf.DUMMYFUNCTION("""COMPUTED_VALUE"""),"#N/A")</f>
        <v>#N/A</v>
      </c>
      <c r="O3113" s="1" t="str">
        <f>IFERROR(__xludf.DUMMYFUNCTION("""COMPUTED_VALUE"""),"POBLACION III")</f>
        <v>POBLACION III</v>
      </c>
      <c r="P3113" s="1" t="str">
        <f>IFERROR(__xludf.DUMMYFUNCTION("""COMPUTED_VALUE"""),"GEN MARIANO ALVAREZ")</f>
        <v>GEN MARIANO ALVAREZ</v>
      </c>
      <c r="Q3113" s="1" t="str">
        <f>IFERROR(__xludf.DUMMYFUNCTION("""COMPUTED_VALUE"""),"CAVITE")</f>
        <v>CAVITE</v>
      </c>
      <c r="R3113" s="1" t="str">
        <f>IFERROR(__xludf.DUMMYFUNCTION("""COMPUTED_VALUE"""),"FIBR UNLI ALL PLAN 1499")</f>
        <v>FIBR UNLI ALL PLAN 1499</v>
      </c>
      <c r="S3113" s="1" t="str">
        <f>IFERROR(__xludf.DUMMYFUNCTION("""COMPUTED_VALUE"""),"APPROVED")</f>
        <v>APPROVED</v>
      </c>
      <c r="T3113" s="1" t="str">
        <f>IFERROR(__xludf.DUMMYFUNCTION("""COMPUTED_VALUE"""),"#N/A")</f>
        <v>#N/A</v>
      </c>
      <c r="U3113" s="1"/>
      <c r="V3113" s="1"/>
      <c r="W3113" s="1"/>
    </row>
    <row r="3114" customHeight="1" spans="1:23">
      <c r="A3114" s="3">
        <f>IFERROR(__xludf.DUMMYFUNCTION("""COMPUTED_VALUE"""),46280)</f>
        <v>46280</v>
      </c>
      <c r="B3114" s="1" t="str">
        <f>IFERROR(__xludf.DUMMYFUNCTION("""COMPUTED_VALUE"""),"MAGDARAOG, KENNETH")</f>
        <v>MAGDARAOG, KENNETH</v>
      </c>
      <c r="C3114" s="1" t="str">
        <f>IFERROR(__xludf.DUMMYFUNCTION("""COMPUTED_VALUE"""),"ORGANIC")</f>
        <v>ORGANIC</v>
      </c>
      <c r="D3114" s="1" t="str">
        <f>IFERROR(__xludf.DUMMYFUNCTION("""COMPUTED_VALUE"""),"REMOLLO LEA")</f>
        <v>REMOLLO LEA</v>
      </c>
      <c r="E3114" s="1" t="str">
        <f>IFERROR(__xludf.DUMMYFUNCTION("""COMPUTED_VALUE"""),"PLDT / H2H")</f>
        <v>PLDT / H2H</v>
      </c>
      <c r="F3114" s="1"/>
      <c r="G3114" s="1"/>
      <c r="H3114" s="1" t="str">
        <f>IFERROR(__xludf.DUMMYFUNCTION("""COMPUTED_VALUE"""),"471526452004")</f>
        <v>471526452004</v>
      </c>
      <c r="I3114" s="1"/>
      <c r="J3114" s="1"/>
      <c r="K3114" s="1"/>
      <c r="L3114" s="1" t="str">
        <f>IFERROR(__xludf.DUMMYFUNCTION("""COMPUTED_VALUE"""),"#N/A")</f>
        <v>#N/A</v>
      </c>
      <c r="M3114" s="1" t="str">
        <f>IFERROR(__xludf.DUMMYFUNCTION("""COMPUTED_VALUE"""),"#N/A")</f>
        <v>#N/A</v>
      </c>
      <c r="N3114" s="1" t="str">
        <f>IFERROR(__xludf.DUMMYFUNCTION("""COMPUTED_VALUE"""),"#N/A")</f>
        <v>#N/A</v>
      </c>
      <c r="O3114" s="1" t="str">
        <f>IFERROR(__xludf.DUMMYFUNCTION("""COMPUTED_VALUE"""),"NARRA I")</f>
        <v>NARRA I</v>
      </c>
      <c r="P3114" s="1" t="str">
        <f>IFERROR(__xludf.DUMMYFUNCTION("""COMPUTED_VALUE"""),"SILANG")</f>
        <v>SILANG</v>
      </c>
      <c r="Q3114" s="1" t="str">
        <f>IFERROR(__xludf.DUMMYFUNCTION("""COMPUTED_VALUE"""),"CAVITE")</f>
        <v>CAVITE</v>
      </c>
      <c r="R3114" s="1" t="str">
        <f>IFERROR(__xludf.DUMMYFUNCTION("""COMPUTED_VALUE"""),"FIBR PLAN 1299")</f>
        <v>FIBR PLAN 1299</v>
      </c>
      <c r="S3114" s="1" t="str">
        <f>IFERROR(__xludf.DUMMYFUNCTION("""COMPUTED_VALUE"""),"APPROVED")</f>
        <v>APPROVED</v>
      </c>
      <c r="T3114" s="1" t="str">
        <f>IFERROR(__xludf.DUMMYFUNCTION("""COMPUTED_VALUE"""),"#N/A")</f>
        <v>#N/A</v>
      </c>
      <c r="U3114" s="1" t="str">
        <f>IFERROR(__xludf.DUMMYFUNCTION("""COMPUTED_VALUE"""),"POSTED")</f>
        <v>POSTED</v>
      </c>
      <c r="V3114" s="1" t="str">
        <f>IFERROR(__xludf.DUMMYFUNCTION("""COMPUTED_VALUE"""),"NO 1 AMSF")</f>
        <v>NO 1 AMSF</v>
      </c>
      <c r="W3114" s="1"/>
    </row>
    <row r="3115" customHeight="1" spans="1:23">
      <c r="A3115" s="3">
        <f>IFERROR(__xludf.DUMMYFUNCTION("""COMPUTED_VALUE"""),46280)</f>
        <v>46280</v>
      </c>
      <c r="B3115" s="1" t="str">
        <f>IFERROR(__xludf.DUMMYFUNCTION("""COMPUTED_VALUE"""),"MALIWAT MARK ELVIN")</f>
        <v>MALIWAT MARK ELVIN</v>
      </c>
      <c r="C3115" s="1" t="str">
        <f>IFERROR(__xludf.DUMMYFUNCTION("""COMPUTED_VALUE"""),"FLA")</f>
        <v>FLA</v>
      </c>
      <c r="D3115" s="1" t="str">
        <f>IFERROR(__xludf.DUMMYFUNCTION("""COMPUTED_VALUE"""),"JERIC NAVARRO")</f>
        <v>JERIC NAVARRO</v>
      </c>
      <c r="E3115" s="1" t="str">
        <f>IFERROR(__xludf.DUMMYFUNCTION("""COMPUTED_VALUE"""),"PLDT / H2H")</f>
        <v>PLDT / H2H</v>
      </c>
      <c r="F3115" s="1"/>
      <c r="G3115" s="1">
        <f>IFERROR(__xludf.DUMMYFUNCTION("""COMPUTED_VALUE"""),2312633653)</f>
        <v>2312633653</v>
      </c>
      <c r="H3115" s="1" t="str">
        <f>IFERROR(__xludf.DUMMYFUNCTION("""COMPUTED_VALUE"""),"471765413004")</f>
        <v>471765413004</v>
      </c>
      <c r="I3115" s="1"/>
      <c r="J3115" s="1"/>
      <c r="K3115" s="1"/>
      <c r="L3115" s="1" t="str">
        <f>IFERROR(__xludf.DUMMYFUNCTION("""COMPUTED_VALUE"""),"#N/A")</f>
        <v>#N/A</v>
      </c>
      <c r="M3115" s="1" t="str">
        <f>IFERROR(__xludf.DUMMYFUNCTION("""COMPUTED_VALUE"""),"#N/A")</f>
        <v>#N/A</v>
      </c>
      <c r="N3115" s="1" t="str">
        <f>IFERROR(__xludf.DUMMYFUNCTION("""COMPUTED_VALUE"""),"#N/A")</f>
        <v>#N/A</v>
      </c>
      <c r="O3115" s="1" t="str">
        <f>IFERROR(__xludf.DUMMYFUNCTION("""COMPUTED_VALUE"""),"BULIHAN")</f>
        <v>BULIHAN</v>
      </c>
      <c r="P3115" s="1" t="str">
        <f>IFERROR(__xludf.DUMMYFUNCTION("""COMPUTED_VALUE"""),"SILANG")</f>
        <v>SILANG</v>
      </c>
      <c r="Q3115" s="1" t="str">
        <f>IFERROR(__xludf.DUMMYFUNCTION("""COMPUTED_VALUE"""),"CAVITE")</f>
        <v>CAVITE</v>
      </c>
      <c r="R3115" s="1" t="str">
        <f>IFERROR(__xludf.DUMMYFUNCTION("""COMPUTED_VALUE"""),"FIBR PLAN 1299")</f>
        <v>FIBR PLAN 1299</v>
      </c>
      <c r="S3115" s="1" t="str">
        <f>IFERROR(__xludf.DUMMYFUNCTION("""COMPUTED_VALUE"""),"APPROVED")</f>
        <v>APPROVED</v>
      </c>
      <c r="T3115" s="1" t="str">
        <f>IFERROR(__xludf.DUMMYFUNCTION("""COMPUTED_VALUE"""),"#N/A")</f>
        <v>#N/A</v>
      </c>
      <c r="U3115" s="1"/>
      <c r="V3115" s="1"/>
      <c r="W3115" s="1"/>
    </row>
    <row r="3116" customHeight="1" spans="1:23">
      <c r="A3116" s="3">
        <f>IFERROR(__xludf.DUMMYFUNCTION("""COMPUTED_VALUE"""),46280)</f>
        <v>46280</v>
      </c>
      <c r="B3116" s="1" t="str">
        <f>IFERROR(__xludf.DUMMYFUNCTION("""COMPUTED_VALUE"""),"TAMAYO, MARY ROSE")</f>
        <v>TAMAYO, MARY ROSE</v>
      </c>
      <c r="C3116" s="1" t="str">
        <f>IFERROR(__xludf.DUMMYFUNCTION("""COMPUTED_VALUE"""),"ORGANIC")</f>
        <v>ORGANIC</v>
      </c>
      <c r="D3116" s="1" t="str">
        <f>IFERROR(__xludf.DUMMYFUNCTION("""COMPUTED_VALUE"""),"REMOLLO LEA")</f>
        <v>REMOLLO LEA</v>
      </c>
      <c r="E3116" s="1" t="str">
        <f>IFERROR(__xludf.DUMMYFUNCTION("""COMPUTED_VALUE"""),"PLDT / H2H")</f>
        <v>PLDT / H2H</v>
      </c>
      <c r="F3116" s="1"/>
      <c r="G3116" s="1"/>
      <c r="H3116" s="1" t="str">
        <f>IFERROR(__xludf.DUMMYFUNCTION("""COMPUTED_VALUE"""),"#N/A")</f>
        <v>#N/A</v>
      </c>
      <c r="I3116" s="1"/>
      <c r="J3116" s="1"/>
      <c r="K3116" s="1"/>
      <c r="L3116" s="1" t="str">
        <f>IFERROR(__xludf.DUMMYFUNCTION("""COMPUTED_VALUE"""),"#N/A")</f>
        <v>#N/A</v>
      </c>
      <c r="M3116" s="1" t="str">
        <f>IFERROR(__xludf.DUMMYFUNCTION("""COMPUTED_VALUE"""),"#N/A")</f>
        <v>#N/A</v>
      </c>
      <c r="N3116" s="1" t="str">
        <f>IFERROR(__xludf.DUMMYFUNCTION("""COMPUTED_VALUE"""),"#N/A")</f>
        <v>#N/A</v>
      </c>
      <c r="O3116" s="1" t="str">
        <f>IFERROR(__xludf.DUMMYFUNCTION("""COMPUTED_VALUE"""),"LANTIC")</f>
        <v>LANTIC</v>
      </c>
      <c r="P3116" s="1" t="str">
        <f>IFERROR(__xludf.DUMMYFUNCTION("""COMPUTED_VALUE"""),"CARMONA")</f>
        <v>CARMONA</v>
      </c>
      <c r="Q3116" s="1" t="str">
        <f>IFERROR(__xludf.DUMMYFUNCTION("""COMPUTED_VALUE"""),"CAVITE")</f>
        <v>CAVITE</v>
      </c>
      <c r="R3116" s="1" t="str">
        <f>IFERROR(__xludf.DUMMYFUNCTION("""COMPUTED_VALUE"""),"FIBR PLAN 1299")</f>
        <v>FIBR PLAN 1299</v>
      </c>
      <c r="S3116" s="1" t="str">
        <f>IFERROR(__xludf.DUMMYFUNCTION("""COMPUTED_VALUE"""),"RETURN FOR COMPLIANCE - CUSTOMER")</f>
        <v>RETURN FOR COMPLIANCE - CUSTOMER</v>
      </c>
      <c r="T3116" s="1" t="str">
        <f>IFERROR(__xludf.DUMMYFUNCTION("""COMPUTED_VALUE"""),"#N/A")</f>
        <v>#N/A</v>
      </c>
      <c r="U3116" s="1" t="str">
        <f>IFERROR(__xludf.DUMMYFUNCTION("""COMPUTED_VALUE"""),"SECONDARY POID PROVIDED ONLY")</f>
        <v>SECONDARY POID PROVIDED ONLY</v>
      </c>
      <c r="V3116" s="1"/>
      <c r="W3116" s="1"/>
    </row>
    <row r="3117" customHeight="1" spans="1:23">
      <c r="A3117" s="3">
        <f>IFERROR(__xludf.DUMMYFUNCTION("""COMPUTED_VALUE"""),46280)</f>
        <v>46280</v>
      </c>
      <c r="B3117" s="1" t="str">
        <f>IFERROR(__xludf.DUMMYFUNCTION("""COMPUTED_VALUE"""),"TAMAYO, MARY ROSE")</f>
        <v>TAMAYO, MARY ROSE</v>
      </c>
      <c r="C3117" s="1" t="str">
        <f>IFERROR(__xludf.DUMMYFUNCTION("""COMPUTED_VALUE"""),"ORGANIC")</f>
        <v>ORGANIC</v>
      </c>
      <c r="D3117" s="1" t="str">
        <f>IFERROR(__xludf.DUMMYFUNCTION("""COMPUTED_VALUE"""),"REMOLLO LEA")</f>
        <v>REMOLLO LEA</v>
      </c>
      <c r="E3117" s="1" t="str">
        <f>IFERROR(__xludf.DUMMYFUNCTION("""COMPUTED_VALUE"""),"PLDT / H2H")</f>
        <v>PLDT / H2H</v>
      </c>
      <c r="F3117" s="1"/>
      <c r="G3117" s="1"/>
      <c r="H3117" s="1" t="str">
        <f>IFERROR(__xludf.DUMMYFUNCTION("""COMPUTED_VALUE"""),"471528291004")</f>
        <v>471528291004</v>
      </c>
      <c r="I3117" s="1"/>
      <c r="J3117" s="1"/>
      <c r="K3117" s="1"/>
      <c r="L3117" s="1" t="str">
        <f>IFERROR(__xludf.DUMMYFUNCTION("""COMPUTED_VALUE"""),"#N/A")</f>
        <v>#N/A</v>
      </c>
      <c r="M3117" s="1" t="str">
        <f>IFERROR(__xludf.DUMMYFUNCTION("""COMPUTED_VALUE"""),"#N/A")</f>
        <v>#N/A</v>
      </c>
      <c r="N3117" s="1" t="str">
        <f>IFERROR(__xludf.DUMMYFUNCTION("""COMPUTED_VALUE"""),"#N/A")</f>
        <v>#N/A</v>
      </c>
      <c r="O3117" s="1" t="str">
        <f>IFERROR(__xludf.DUMMYFUNCTION("""COMPUTED_VALUE"""),"KALUBKOB")</f>
        <v>KALUBKOB</v>
      </c>
      <c r="P3117" s="1" t="str">
        <f>IFERROR(__xludf.DUMMYFUNCTION("""COMPUTED_VALUE"""),"SILANG")</f>
        <v>SILANG</v>
      </c>
      <c r="Q3117" s="1" t="str">
        <f>IFERROR(__xludf.DUMMYFUNCTION("""COMPUTED_VALUE"""),"CAVITE")</f>
        <v>CAVITE</v>
      </c>
      <c r="R3117" s="1" t="str">
        <f>IFERROR(__xludf.DUMMYFUNCTION("""COMPUTED_VALUE"""),"FIBR UNLI ALL PLAN 1499")</f>
        <v>FIBR UNLI ALL PLAN 1499</v>
      </c>
      <c r="S3117" s="1" t="str">
        <f>IFERROR(__xludf.DUMMYFUNCTION("""COMPUTED_VALUE"""),"APPROVED")</f>
        <v>APPROVED</v>
      </c>
      <c r="T3117" s="1" t="str">
        <f>IFERROR(__xludf.DUMMYFUNCTION("""COMPUTED_VALUE"""),"#N/A")</f>
        <v>#N/A</v>
      </c>
      <c r="U3117" s="1" t="str">
        <f>IFERROR(__xludf.DUMMYFUNCTION("""COMPUTED_VALUE"""),"POSTED")</f>
        <v>POSTED</v>
      </c>
      <c r="V3117" s="1" t="str">
        <f>IFERROR(__xludf.DUMMYFUNCTION("""COMPUTED_VALUE"""),"WITH 1 AMSF")</f>
        <v>WITH 1 AMSF</v>
      </c>
      <c r="W3117" s="1"/>
    </row>
    <row r="3118" customHeight="1" spans="1:23">
      <c r="A3118" s="3">
        <f>IFERROR(__xludf.DUMMYFUNCTION("""COMPUTED_VALUE"""),46281)</f>
        <v>46281</v>
      </c>
      <c r="B3118" s="1" t="str">
        <f>IFERROR(__xludf.DUMMYFUNCTION("""COMPUTED_VALUE"""),"MALIWAT MARK ELVIN")</f>
        <v>MALIWAT MARK ELVIN</v>
      </c>
      <c r="C3118" s="1" t="str">
        <f>IFERROR(__xludf.DUMMYFUNCTION("""COMPUTED_VALUE"""),"FLA")</f>
        <v>FLA</v>
      </c>
      <c r="D3118" s="1" t="str">
        <f>IFERROR(__xludf.DUMMYFUNCTION("""COMPUTED_VALUE"""),"JERIC NAVARRO")</f>
        <v>JERIC NAVARRO</v>
      </c>
      <c r="E3118" s="1" t="str">
        <f>IFERROR(__xludf.DUMMYFUNCTION("""COMPUTED_VALUE"""),"PLDT / ONLINE")</f>
        <v>PLDT / ONLINE</v>
      </c>
      <c r="F3118" s="1"/>
      <c r="G3118" s="1"/>
      <c r="H3118" s="1" t="str">
        <f>IFERROR(__xludf.DUMMYFUNCTION("""COMPUTED_VALUE"""),"#N/A")</f>
        <v>#N/A</v>
      </c>
      <c r="I3118" s="1"/>
      <c r="J3118" s="1">
        <f>IFERROR(__xludf.DUMMYFUNCTION("""COMPUTED_VALUE"""),639359065514)</f>
        <v>639359065514</v>
      </c>
      <c r="K3118" s="1"/>
      <c r="L3118" s="1" t="str">
        <f>IFERROR(__xludf.DUMMYFUNCTION("""COMPUTED_VALUE"""),"#N/A")</f>
        <v>#N/A</v>
      </c>
      <c r="M3118" s="1" t="str">
        <f>IFERROR(__xludf.DUMMYFUNCTION("""COMPUTED_VALUE"""),"#N/A")</f>
        <v>#N/A</v>
      </c>
      <c r="N3118" s="1" t="str">
        <f>IFERROR(__xludf.DUMMYFUNCTION("""COMPUTED_VALUE"""),"#N/A")</f>
        <v>#N/A</v>
      </c>
      <c r="O3118" s="1" t="str">
        <f>IFERROR(__xludf.DUMMYFUNCTION("""COMPUTED_VALUE"""),"TUBUAN I")</f>
        <v>TUBUAN I</v>
      </c>
      <c r="P3118" s="1" t="str">
        <f>IFERROR(__xludf.DUMMYFUNCTION("""COMPUTED_VALUE"""),"SILANG")</f>
        <v>SILANG</v>
      </c>
      <c r="Q3118" s="1" t="str">
        <f>IFERROR(__xludf.DUMMYFUNCTION("""COMPUTED_VALUE"""),"CAVITE")</f>
        <v>CAVITE</v>
      </c>
      <c r="R3118" s="1" t="str">
        <f>IFERROR(__xludf.DUMMYFUNCTION("""COMPUTED_VALUE"""),"FIBR PLAN 1299")</f>
        <v>FIBR PLAN 1299</v>
      </c>
      <c r="S3118" s="1" t="str">
        <f>IFERROR(__xludf.DUMMYFUNCTION("""COMPUTED_VALUE"""),"APPROVED")</f>
        <v>APPROVED</v>
      </c>
      <c r="T3118" s="1" t="str">
        <f>IFERROR(__xludf.DUMMYFUNCTION("""COMPUTED_VALUE"""),"#N/A")</f>
        <v>#N/A</v>
      </c>
      <c r="U3118" s="1"/>
      <c r="V3118" s="1"/>
      <c r="W3118" s="1"/>
    </row>
    <row r="3119" customHeight="1" spans="1:23">
      <c r="A3119" s="3">
        <f>IFERROR(__xludf.DUMMYFUNCTION("""COMPUTED_VALUE"""),46281)</f>
        <v>46281</v>
      </c>
      <c r="B3119" s="1" t="str">
        <f>IFERROR(__xludf.DUMMYFUNCTION("""COMPUTED_VALUE"""),"MALIWAT MARK ELVIN")</f>
        <v>MALIWAT MARK ELVIN</v>
      </c>
      <c r="C3119" s="1" t="str">
        <f>IFERROR(__xludf.DUMMYFUNCTION("""COMPUTED_VALUE"""),"FLA")</f>
        <v>FLA</v>
      </c>
      <c r="D3119" s="1" t="str">
        <f>IFERROR(__xludf.DUMMYFUNCTION("""COMPUTED_VALUE"""),"JERIC NAVARRO")</f>
        <v>JERIC NAVARRO</v>
      </c>
      <c r="E3119" s="1" t="str">
        <f>IFERROR(__xludf.DUMMYFUNCTION("""COMPUTED_VALUE"""),"PLDT / ONLINE")</f>
        <v>PLDT / ONLINE</v>
      </c>
      <c r="F3119" s="1"/>
      <c r="G3119" s="1"/>
      <c r="H3119" s="1" t="str">
        <f>IFERROR(__xludf.DUMMYFUNCTION("""COMPUTED_VALUE"""),"471643542004")</f>
        <v>471643542004</v>
      </c>
      <c r="I3119" s="1"/>
      <c r="J3119" s="1"/>
      <c r="K3119" s="1"/>
      <c r="L3119" s="1" t="str">
        <f>IFERROR(__xludf.DUMMYFUNCTION("""COMPUTED_VALUE"""),"#N/A")</f>
        <v>#N/A</v>
      </c>
      <c r="M3119" s="1" t="str">
        <f>IFERROR(__xludf.DUMMYFUNCTION("""COMPUTED_VALUE"""),"#N/A")</f>
        <v>#N/A</v>
      </c>
      <c r="N3119" s="1" t="str">
        <f>IFERROR(__xludf.DUMMYFUNCTION("""COMPUTED_VALUE"""),"#N/A")</f>
        <v>#N/A</v>
      </c>
      <c r="O3119" s="1" t="str">
        <f>IFERROR(__xludf.DUMMYFUNCTION("""COMPUTED_VALUE"""),"LANGKAAN II")</f>
        <v>LANGKAAN II</v>
      </c>
      <c r="P3119" s="1" t="str">
        <f>IFERROR(__xludf.DUMMYFUNCTION("""COMPUTED_VALUE"""),"DASMARINAS")</f>
        <v>DASMARINAS</v>
      </c>
      <c r="Q3119" s="1" t="str">
        <f>IFERROR(__xludf.DUMMYFUNCTION("""COMPUTED_VALUE"""),"CAVITE")</f>
        <v>CAVITE</v>
      </c>
      <c r="R3119" s="1" t="str">
        <f>IFERROR(__xludf.DUMMYFUNCTION("""COMPUTED_VALUE"""),"FIBR PLAN 1299")</f>
        <v>FIBR PLAN 1299</v>
      </c>
      <c r="S3119" s="1" t="str">
        <f>IFERROR(__xludf.DUMMYFUNCTION("""COMPUTED_VALUE"""),"APPROVED")</f>
        <v>APPROVED</v>
      </c>
      <c r="T3119" s="1" t="str">
        <f>IFERROR(__xludf.DUMMYFUNCTION("""COMPUTED_VALUE"""),"#N/A")</f>
        <v>#N/A</v>
      </c>
      <c r="U3119" s="1"/>
      <c r="V3119" s="1"/>
      <c r="W3119" s="1"/>
    </row>
    <row r="3120" customHeight="1" spans="1:23">
      <c r="A3120" s="3">
        <f>IFERROR(__xludf.DUMMYFUNCTION("""COMPUTED_VALUE"""),46281)</f>
        <v>46281</v>
      </c>
      <c r="B3120" s="1" t="str">
        <f>IFERROR(__xludf.DUMMYFUNCTION("""COMPUTED_VALUE"""),"AYON MANUEL")</f>
        <v>AYON MANUEL</v>
      </c>
      <c r="C3120" s="1" t="str">
        <f>IFERROR(__xludf.DUMMYFUNCTION("""COMPUTED_VALUE"""),"FLA")</f>
        <v>FLA</v>
      </c>
      <c r="D3120" s="1" t="str">
        <f>IFERROR(__xludf.DUMMYFUNCTION("""COMPUTED_VALUE"""),"JERIC NAVARRO")</f>
        <v>JERIC NAVARRO</v>
      </c>
      <c r="E3120" s="1" t="str">
        <f>IFERROR(__xludf.DUMMYFUNCTION("""COMPUTED_VALUE"""),"PLDT / ONLINE")</f>
        <v>PLDT / ONLINE</v>
      </c>
      <c r="F3120" s="1"/>
      <c r="G3120" s="1"/>
      <c r="H3120" s="1" t="str">
        <f>IFERROR(__xludf.DUMMYFUNCTION("""COMPUTED_VALUE"""),"470324853004")</f>
        <v>470324853004</v>
      </c>
      <c r="I3120" s="1"/>
      <c r="J3120" s="1"/>
      <c r="K3120" s="1"/>
      <c r="L3120" s="1" t="str">
        <f>IFERROR(__xludf.DUMMYFUNCTION("""COMPUTED_VALUE"""),"#N/A")</f>
        <v>#N/A</v>
      </c>
      <c r="M3120" s="1" t="str">
        <f>IFERROR(__xludf.DUMMYFUNCTION("""COMPUTED_VALUE"""),"#N/A")</f>
        <v>#N/A</v>
      </c>
      <c r="N3120" s="1" t="str">
        <f>IFERROR(__xludf.DUMMYFUNCTION("""COMPUTED_VALUE"""),"#N/A")</f>
        <v>#N/A</v>
      </c>
      <c r="O3120" s="1" t="str">
        <f>IFERROR(__xludf.DUMMYFUNCTION("""COMPUTED_VALUE"""),"BILUSO")</f>
        <v>BILUSO</v>
      </c>
      <c r="P3120" s="1" t="str">
        <f>IFERROR(__xludf.DUMMYFUNCTION("""COMPUTED_VALUE"""),"SILANG")</f>
        <v>SILANG</v>
      </c>
      <c r="Q3120" s="1" t="str">
        <f>IFERROR(__xludf.DUMMYFUNCTION("""COMPUTED_VALUE"""),"CAVITE")</f>
        <v>CAVITE</v>
      </c>
      <c r="R3120" s="1" t="str">
        <f>IFERROR(__xludf.DUMMYFUNCTION("""COMPUTED_VALUE"""),"FIBR PLAN 1699")</f>
        <v>FIBR PLAN 1699</v>
      </c>
      <c r="S3120" s="1" t="str">
        <f>IFERROR(__xludf.DUMMYFUNCTION("""COMPUTED_VALUE"""),"APPROVED")</f>
        <v>APPROVED</v>
      </c>
      <c r="T3120" s="1" t="str">
        <f>IFERROR(__xludf.DUMMYFUNCTION("""COMPUTED_VALUE"""),"#N/A")</f>
        <v>#N/A</v>
      </c>
      <c r="U3120" s="1"/>
      <c r="V3120" s="1"/>
      <c r="W3120" s="1"/>
    </row>
    <row r="3121" customHeight="1" spans="1:23">
      <c r="A3121" s="3">
        <f>IFERROR(__xludf.DUMMYFUNCTION("""COMPUTED_VALUE"""),46281)</f>
        <v>46281</v>
      </c>
      <c r="B3121" s="1" t="str">
        <f>IFERROR(__xludf.DUMMYFUNCTION("""COMPUTED_VALUE"""),"MALIWAT MARK ELVIN")</f>
        <v>MALIWAT MARK ELVIN</v>
      </c>
      <c r="C3121" s="1" t="str">
        <f>IFERROR(__xludf.DUMMYFUNCTION("""COMPUTED_VALUE"""),"FLA")</f>
        <v>FLA</v>
      </c>
      <c r="D3121" s="1" t="str">
        <f>IFERROR(__xludf.DUMMYFUNCTION("""COMPUTED_VALUE"""),"JERIC NAVARRO")</f>
        <v>JERIC NAVARRO</v>
      </c>
      <c r="E3121" s="1" t="str">
        <f>IFERROR(__xludf.DUMMYFUNCTION("""COMPUTED_VALUE"""),"PLDT / ONLINE")</f>
        <v>PLDT / ONLINE</v>
      </c>
      <c r="F3121" s="1"/>
      <c r="G3121" s="1"/>
      <c r="H3121" s="1" t="str">
        <f>IFERROR(__xludf.DUMMYFUNCTION("""COMPUTED_VALUE"""),"471644935004")</f>
        <v>471644935004</v>
      </c>
      <c r="I3121" s="1"/>
      <c r="J3121" s="1"/>
      <c r="K3121" s="1"/>
      <c r="L3121" s="1" t="str">
        <f>IFERROR(__xludf.DUMMYFUNCTION("""COMPUTED_VALUE"""),"#N/A")</f>
        <v>#N/A</v>
      </c>
      <c r="M3121" s="1" t="str">
        <f>IFERROR(__xludf.DUMMYFUNCTION("""COMPUTED_VALUE"""),"#N/A")</f>
        <v>#N/A</v>
      </c>
      <c r="N3121" s="1" t="str">
        <f>IFERROR(__xludf.DUMMYFUNCTION("""COMPUTED_VALUE"""),"#N/A")</f>
        <v>#N/A</v>
      </c>
      <c r="O3121" s="1" t="str">
        <f>IFERROR(__xludf.DUMMYFUNCTION("""COMPUTED_VALUE"""),"BERNARDO PULIDO (AREA H)")</f>
        <v>BERNARDO PULIDO (AREA H)</v>
      </c>
      <c r="P3121" s="1" t="str">
        <f>IFERROR(__xludf.DUMMYFUNCTION("""COMPUTED_VALUE"""),"GEN MARIANO ALVAREZ")</f>
        <v>GEN MARIANO ALVAREZ</v>
      </c>
      <c r="Q3121" s="1" t="str">
        <f>IFERROR(__xludf.DUMMYFUNCTION("""COMPUTED_VALUE"""),"CAVITE")</f>
        <v>CAVITE</v>
      </c>
      <c r="R3121" s="1" t="str">
        <f>IFERROR(__xludf.DUMMYFUNCTION("""COMPUTED_VALUE"""),"FIBR UNLI ALL PLAN 2599")</f>
        <v>FIBR UNLI ALL PLAN 2599</v>
      </c>
      <c r="S3121" s="1" t="str">
        <f>IFERROR(__xludf.DUMMYFUNCTION("""COMPUTED_VALUE"""),"APPROVED")</f>
        <v>APPROVED</v>
      </c>
      <c r="T3121" s="1" t="str">
        <f>IFERROR(__xludf.DUMMYFUNCTION("""COMPUTED_VALUE"""),"#N/A")</f>
        <v>#N/A</v>
      </c>
      <c r="U3121" s="1"/>
      <c r="V3121" s="1"/>
      <c r="W3121" s="1"/>
    </row>
    <row r="3122" customHeight="1" spans="1:23">
      <c r="A3122" s="3">
        <f>IFERROR(__xludf.DUMMYFUNCTION("""COMPUTED_VALUE"""),46281)</f>
        <v>46281</v>
      </c>
      <c r="B3122" s="1" t="str">
        <f>IFERROR(__xludf.DUMMYFUNCTION("""COMPUTED_VALUE"""),"OPS SIR BETZ")</f>
        <v>OPS SIR BETZ</v>
      </c>
      <c r="C3122" s="1" t="str">
        <f>IFERROR(__xludf.DUMMYFUNCTION("""COMPUTED_VALUE"""),"FLA")</f>
        <v>FLA</v>
      </c>
      <c r="D3122" s="1" t="str">
        <f>IFERROR(__xludf.DUMMYFUNCTION("""COMPUTED_VALUE"""),"JERIC NAVARRO")</f>
        <v>JERIC NAVARRO</v>
      </c>
      <c r="E3122" s="1" t="str">
        <f>IFERROR(__xludf.DUMMYFUNCTION("""COMPUTED_VALUE"""),"PLDT / ONLINE")</f>
        <v>PLDT / ONLINE</v>
      </c>
      <c r="F3122" s="1"/>
      <c r="G3122" s="1"/>
      <c r="H3122" s="1" t="str">
        <f>IFERROR(__xludf.DUMMYFUNCTION("""COMPUTED_VALUE"""),"471680278004")</f>
        <v>471680278004</v>
      </c>
      <c r="I3122" s="1"/>
      <c r="J3122" s="1">
        <f>IFERROR(__xludf.DUMMYFUNCTION("""COMPUTED_VALUE"""),639658024115)</f>
        <v>639658024115</v>
      </c>
      <c r="K3122" s="1"/>
      <c r="L3122" s="1" t="str">
        <f>IFERROR(__xludf.DUMMYFUNCTION("""COMPUTED_VALUE"""),"#N/A")</f>
        <v>#N/A</v>
      </c>
      <c r="M3122" s="1" t="str">
        <f>IFERROR(__xludf.DUMMYFUNCTION("""COMPUTED_VALUE"""),"#N/A")</f>
        <v>#N/A</v>
      </c>
      <c r="N3122" s="1" t="str">
        <f>IFERROR(__xludf.DUMMYFUNCTION("""COMPUTED_VALUE"""),"#N/A")</f>
        <v>#N/A</v>
      </c>
      <c r="O3122" s="1" t="str">
        <f>IFERROR(__xludf.DUMMYFUNCTION("""COMPUTED_VALUE"""),"BUCAL II")</f>
        <v>BUCAL II</v>
      </c>
      <c r="P3122" s="1" t="str">
        <f>IFERROR(__xludf.DUMMYFUNCTION("""COMPUTED_VALUE"""),"MARAGONDON")</f>
        <v>MARAGONDON</v>
      </c>
      <c r="Q3122" s="1" t="str">
        <f>IFERROR(__xludf.DUMMYFUNCTION("""COMPUTED_VALUE"""),"CAVITE")</f>
        <v>CAVITE</v>
      </c>
      <c r="R3122" s="1" t="str">
        <f>IFERROR(__xludf.DUMMYFUNCTION("""COMPUTED_VALUE"""),"FIBR PLAN 1299")</f>
        <v>FIBR PLAN 1299</v>
      </c>
      <c r="S3122" s="1" t="str">
        <f>IFERROR(__xludf.DUMMYFUNCTION("""COMPUTED_VALUE"""),"APPROVED")</f>
        <v>APPROVED</v>
      </c>
      <c r="T3122" s="1" t="str">
        <f>IFERROR(__xludf.DUMMYFUNCTION("""COMPUTED_VALUE"""),"#N/A")</f>
        <v>#N/A</v>
      </c>
      <c r="U3122" s="1"/>
      <c r="V3122" s="1"/>
      <c r="W3122" s="1"/>
    </row>
    <row r="3123" customHeight="1" spans="1:23">
      <c r="A3123" s="3">
        <f>IFERROR(__xludf.DUMMYFUNCTION("""COMPUTED_VALUE"""),46281)</f>
        <v>46281</v>
      </c>
      <c r="B3123" s="1" t="str">
        <f>IFERROR(__xludf.DUMMYFUNCTION("""COMPUTED_VALUE"""),"ARIENA, LYKA")</f>
        <v>ARIENA, LYKA</v>
      </c>
      <c r="C3123" s="1" t="str">
        <f>IFERROR(__xludf.DUMMYFUNCTION("""COMPUTED_VALUE"""),"ORGANIC")</f>
        <v>ORGANIC</v>
      </c>
      <c r="D3123" s="1" t="str">
        <f>IFERROR(__xludf.DUMMYFUNCTION("""COMPUTED_VALUE"""),"REMOLLO LEA")</f>
        <v>REMOLLO LEA</v>
      </c>
      <c r="E3123" s="1" t="str">
        <f>IFERROR(__xludf.DUMMYFUNCTION("""COMPUTED_VALUE"""),"PLDT / H2H")</f>
        <v>PLDT / H2H</v>
      </c>
      <c r="F3123" s="1"/>
      <c r="G3123" s="1">
        <f>IFERROR(__xludf.DUMMYFUNCTION("""COMPUTED_VALUE"""),2312615828)</f>
        <v>2312615828</v>
      </c>
      <c r="H3123" s="1" t="str">
        <f>IFERROR(__xludf.DUMMYFUNCTION("""COMPUTED_VALUE"""),"471649573004")</f>
        <v>471649573004</v>
      </c>
      <c r="I3123" s="1"/>
      <c r="J3123" s="1"/>
      <c r="K3123" s="1"/>
      <c r="L3123" s="1" t="str">
        <f>IFERROR(__xludf.DUMMYFUNCTION("""COMPUTED_VALUE"""),"#N/A")</f>
        <v>#N/A</v>
      </c>
      <c r="M3123" s="1" t="str">
        <f>IFERROR(__xludf.DUMMYFUNCTION("""COMPUTED_VALUE"""),"#N/A")</f>
        <v>#N/A</v>
      </c>
      <c r="N3123" s="1" t="str">
        <f>IFERROR(__xludf.DUMMYFUNCTION("""COMPUTED_VALUE"""),"#N/A")</f>
        <v>#N/A</v>
      </c>
      <c r="O3123" s="1" t="str">
        <f>IFERROR(__xludf.DUMMYFUNCTION("""COMPUTED_VALUE"""),"LUMIL")</f>
        <v>LUMIL</v>
      </c>
      <c r="P3123" s="1" t="str">
        <f>IFERROR(__xludf.DUMMYFUNCTION("""COMPUTED_VALUE"""),"SILANG")</f>
        <v>SILANG</v>
      </c>
      <c r="Q3123" s="1" t="str">
        <f>IFERROR(__xludf.DUMMYFUNCTION("""COMPUTED_VALUE"""),"CAVITE")</f>
        <v>CAVITE</v>
      </c>
      <c r="R3123" s="1" t="str">
        <f>IFERROR(__xludf.DUMMYFUNCTION("""COMPUTED_VALUE"""),"FIBR PLAN 1299")</f>
        <v>FIBR PLAN 1299</v>
      </c>
      <c r="S3123" s="1" t="str">
        <f>IFERROR(__xludf.DUMMYFUNCTION("""COMPUTED_VALUE"""),"APPROVED")</f>
        <v>APPROVED</v>
      </c>
      <c r="T3123" s="1" t="str">
        <f>IFERROR(__xludf.DUMMYFUNCTION("""COMPUTED_VALUE"""),"#N/A")</f>
        <v>#N/A</v>
      </c>
      <c r="U3123" s="1" t="str">
        <f>IFERROR(__xludf.DUMMYFUNCTION("""COMPUTED_VALUE"""),"POSTED")</f>
        <v>POSTED</v>
      </c>
      <c r="V3123" s="1" t="str">
        <f>IFERROR(__xludf.DUMMYFUNCTION("""COMPUTED_VALUE"""),"NO 1 AMSF")</f>
        <v>NO 1 AMSF</v>
      </c>
      <c r="W3123" s="1"/>
    </row>
    <row r="3124" customHeight="1" spans="1:23">
      <c r="A3124" s="3">
        <f>IFERROR(__xludf.DUMMYFUNCTION("""COMPUTED_VALUE"""),46281)</f>
        <v>46281</v>
      </c>
      <c r="B3124" s="1" t="str">
        <f>IFERROR(__xludf.DUMMYFUNCTION("""COMPUTED_VALUE"""),"FRANCISCO , ROSELYN")</f>
        <v>FRANCISCO , ROSELYN</v>
      </c>
      <c r="C3124" s="1" t="str">
        <f>IFERROR(__xludf.DUMMYFUNCTION("""COMPUTED_VALUE"""),"ORGANIC")</f>
        <v>ORGANIC</v>
      </c>
      <c r="D3124" s="1" t="str">
        <f>IFERROR(__xludf.DUMMYFUNCTION("""COMPUTED_VALUE"""),"REMOLLO LEA")</f>
        <v>REMOLLO LEA</v>
      </c>
      <c r="E3124" s="1" t="str">
        <f>IFERROR(__xludf.DUMMYFUNCTION("""COMPUTED_VALUE"""),"PLDT / H2H")</f>
        <v>PLDT / H2H</v>
      </c>
      <c r="F3124" s="1"/>
      <c r="G3124" s="1">
        <f>IFERROR(__xludf.DUMMYFUNCTION("""COMPUTED_VALUE"""),2312616183)</f>
        <v>2312616183</v>
      </c>
      <c r="H3124" s="1" t="str">
        <f>IFERROR(__xludf.DUMMYFUNCTION("""COMPUTED_VALUE"""),"471651105004")</f>
        <v>471651105004</v>
      </c>
      <c r="I3124" s="1"/>
      <c r="J3124" s="1">
        <f>IFERROR(__xludf.DUMMYFUNCTION("""COMPUTED_VALUE"""),639709847516)</f>
        <v>639709847516</v>
      </c>
      <c r="K3124" s="1"/>
      <c r="L3124" s="1" t="str">
        <f>IFERROR(__xludf.DUMMYFUNCTION("""COMPUTED_VALUE"""),"#N/A")</f>
        <v>#N/A</v>
      </c>
      <c r="M3124" s="1" t="str">
        <f>IFERROR(__xludf.DUMMYFUNCTION("""COMPUTED_VALUE"""),"#N/A")</f>
        <v>#N/A</v>
      </c>
      <c r="N3124" s="1" t="str">
        <f>IFERROR(__xludf.DUMMYFUNCTION("""COMPUTED_VALUE"""),"#N/A")</f>
        <v>#N/A</v>
      </c>
      <c r="O3124" s="1" t="str">
        <f>IFERROR(__xludf.DUMMYFUNCTION("""COMPUTED_VALUE"""),"LUMIL")</f>
        <v>LUMIL</v>
      </c>
      <c r="P3124" s="1" t="str">
        <f>IFERROR(__xludf.DUMMYFUNCTION("""COMPUTED_VALUE"""),"SILANG")</f>
        <v>SILANG</v>
      </c>
      <c r="Q3124" s="1" t="str">
        <f>IFERROR(__xludf.DUMMYFUNCTION("""COMPUTED_VALUE"""),"CAVITE")</f>
        <v>CAVITE</v>
      </c>
      <c r="R3124" s="1" t="str">
        <f>IFERROR(__xludf.DUMMYFUNCTION("""COMPUTED_VALUE"""),"FIBR PLAN 1299")</f>
        <v>FIBR PLAN 1299</v>
      </c>
      <c r="S3124" s="1" t="str">
        <f>IFERROR(__xludf.DUMMYFUNCTION("""COMPUTED_VALUE"""),"APPROVED")</f>
        <v>APPROVED</v>
      </c>
      <c r="T3124" s="1" t="str">
        <f>IFERROR(__xludf.DUMMYFUNCTION("""COMPUTED_VALUE"""),"#N/A")</f>
        <v>#N/A</v>
      </c>
      <c r="U3124" s="1" t="str">
        <f>IFERROR(__xludf.DUMMYFUNCTION("""COMPUTED_VALUE"""),"RPR- SUBS CANCEL REQUEST")</f>
        <v>RPR- SUBS CANCEL REQUEST</v>
      </c>
      <c r="V3124" s="1" t="str">
        <f>IFERROR(__xludf.DUMMYFUNCTION("""COMPUTED_VALUE"""),"NO 1 AMSF")</f>
        <v>NO 1 AMSF</v>
      </c>
      <c r="W3124" s="1"/>
    </row>
    <row r="3125" customHeight="1" spans="1:23">
      <c r="A3125" s="3">
        <f>IFERROR(__xludf.DUMMYFUNCTION("""COMPUTED_VALUE"""),46281)</f>
        <v>46281</v>
      </c>
      <c r="B3125" s="1" t="str">
        <f>IFERROR(__xludf.DUMMYFUNCTION("""COMPUTED_VALUE"""),"MANDUCDOC, MARIANE")</f>
        <v>MANDUCDOC, MARIANE</v>
      </c>
      <c r="C3125" s="1" t="str">
        <f>IFERROR(__xludf.DUMMYFUNCTION("""COMPUTED_VALUE"""),"ORGANIC")</f>
        <v>ORGANIC</v>
      </c>
      <c r="D3125" s="1" t="str">
        <f>IFERROR(__xludf.DUMMYFUNCTION("""COMPUTED_VALUE"""),"REMOLLO LEA")</f>
        <v>REMOLLO LEA</v>
      </c>
      <c r="E3125" s="1" t="str">
        <f>IFERROR(__xludf.DUMMYFUNCTION("""COMPUTED_VALUE"""),"PLDT / H2H")</f>
        <v>PLDT / H2H</v>
      </c>
      <c r="F3125" s="1"/>
      <c r="G3125" s="1">
        <f>IFERROR(__xludf.DUMMYFUNCTION("""COMPUTED_VALUE"""),2312634246)</f>
        <v>2312634246</v>
      </c>
      <c r="H3125" s="1" t="str">
        <f>IFERROR(__xludf.DUMMYFUNCTION("""COMPUTED_VALUE"""),"471770847004")</f>
        <v>471770847004</v>
      </c>
      <c r="I3125" s="1"/>
      <c r="J3125" s="1"/>
      <c r="K3125" s="1"/>
      <c r="L3125" s="1" t="str">
        <f>IFERROR(__xludf.DUMMYFUNCTION("""COMPUTED_VALUE"""),"#N/A")</f>
        <v>#N/A</v>
      </c>
      <c r="M3125" s="1" t="str">
        <f>IFERROR(__xludf.DUMMYFUNCTION("""COMPUTED_VALUE"""),"#N/A")</f>
        <v>#N/A</v>
      </c>
      <c r="N3125" s="1" t="str">
        <f>IFERROR(__xludf.DUMMYFUNCTION("""COMPUTED_VALUE"""),"#N/A")</f>
        <v>#N/A</v>
      </c>
      <c r="O3125" s="1" t="str">
        <f>IFERROR(__xludf.DUMMYFUNCTION("""COMPUTED_VALUE"""),"HOYO")</f>
        <v>HOYO</v>
      </c>
      <c r="P3125" s="1" t="str">
        <f>IFERROR(__xludf.DUMMYFUNCTION("""COMPUTED_VALUE"""),"SILANG")</f>
        <v>SILANG</v>
      </c>
      <c r="Q3125" s="1" t="str">
        <f>IFERROR(__xludf.DUMMYFUNCTION("""COMPUTED_VALUE"""),"CAVITE")</f>
        <v>CAVITE</v>
      </c>
      <c r="R3125" s="1" t="str">
        <f>IFERROR(__xludf.DUMMYFUNCTION("""COMPUTED_VALUE"""),"FIBR UNLI ALL PLAN 999")</f>
        <v>FIBR UNLI ALL PLAN 999</v>
      </c>
      <c r="S3125" s="1" t="str">
        <f>IFERROR(__xludf.DUMMYFUNCTION("""COMPUTED_VALUE"""),"APPROVED")</f>
        <v>APPROVED</v>
      </c>
      <c r="T3125" s="1" t="str">
        <f>IFERROR(__xludf.DUMMYFUNCTION("""COMPUTED_VALUE"""),"#N/A")</f>
        <v>#N/A</v>
      </c>
      <c r="U3125" s="1"/>
      <c r="V3125" s="1"/>
      <c r="W3125" s="1"/>
    </row>
    <row r="3126" customHeight="1" spans="1:23">
      <c r="A3126" s="3">
        <f>IFERROR(__xludf.DUMMYFUNCTION("""COMPUTED_VALUE"""),46281)</f>
        <v>46281</v>
      </c>
      <c r="B3126" s="1" t="str">
        <f>IFERROR(__xludf.DUMMYFUNCTION("""COMPUTED_VALUE"""),"LEADSTORE - ILANO, LIANDRO TEJAS")</f>
        <v>LEADSTORE - ILANO, LIANDRO TEJAS</v>
      </c>
      <c r="C3126" s="1" t="str">
        <f>IFERROR(__xludf.DUMMYFUNCTION("""COMPUTED_VALUE"""),"LEADSTORE")</f>
        <v>LEADSTORE</v>
      </c>
      <c r="D3126" s="1" t="str">
        <f>IFERROR(__xludf.DUMMYFUNCTION("""COMPUTED_VALUE"""),"JERIC NAVARRO")</f>
        <v>JERIC NAVARRO</v>
      </c>
      <c r="E3126" s="1" t="str">
        <f>IFERROR(__xludf.DUMMYFUNCTION("""COMPUTED_VALUE"""),"PLDT / H2H")</f>
        <v>PLDT / H2H</v>
      </c>
      <c r="F3126" s="1"/>
      <c r="G3126" s="1">
        <f>IFERROR(__xludf.DUMMYFUNCTION("""COMPUTED_VALUE"""),2312618882)</f>
        <v>2312618882</v>
      </c>
      <c r="H3126" s="1" t="str">
        <f>IFERROR(__xludf.DUMMYFUNCTION("""COMPUTED_VALUE"""),"471653193004")</f>
        <v>471653193004</v>
      </c>
      <c r="I3126" s="1"/>
      <c r="J3126" s="1">
        <f>IFERROR(__xludf.DUMMYFUNCTION("""COMPUTED_VALUE"""),78)</f>
        <v>78</v>
      </c>
      <c r="K3126" s="1"/>
      <c r="L3126" s="1" t="str">
        <f>IFERROR(__xludf.DUMMYFUNCTION("""COMPUTED_VALUE"""),"#N/A")</f>
        <v>#N/A</v>
      </c>
      <c r="M3126" s="1" t="str">
        <f>IFERROR(__xludf.DUMMYFUNCTION("""COMPUTED_VALUE"""),"#N/A")</f>
        <v>#N/A</v>
      </c>
      <c r="N3126" s="1" t="str">
        <f>IFERROR(__xludf.DUMMYFUNCTION("""COMPUTED_VALUE"""),"#N/A")</f>
        <v>#N/A</v>
      </c>
      <c r="O3126" s="1" t="str">
        <f>IFERROR(__xludf.DUMMYFUNCTION("""COMPUTED_VALUE"""),"LALAAN II")</f>
        <v>LALAAN II</v>
      </c>
      <c r="P3126" s="1" t="str">
        <f>IFERROR(__xludf.DUMMYFUNCTION("""COMPUTED_VALUE"""),"SILANG")</f>
        <v>SILANG</v>
      </c>
      <c r="Q3126" s="1" t="str">
        <f>IFERROR(__xludf.DUMMYFUNCTION("""COMPUTED_VALUE"""),"CAVITE")</f>
        <v>CAVITE</v>
      </c>
      <c r="R3126" s="1" t="str">
        <f>IFERROR(__xludf.DUMMYFUNCTION("""COMPUTED_VALUE"""),"HOME BIZ PLAN 1299")</f>
        <v>HOME BIZ PLAN 1299</v>
      </c>
      <c r="S3126" s="1" t="str">
        <f>IFERROR(__xludf.DUMMYFUNCTION("""COMPUTED_VALUE"""),"APPROVED")</f>
        <v>APPROVED</v>
      </c>
      <c r="T3126" s="1" t="str">
        <f>IFERROR(__xludf.DUMMYFUNCTION("""COMPUTED_VALUE"""),"#N/A")</f>
        <v>#N/A</v>
      </c>
      <c r="U3126" s="1"/>
      <c r="V3126" s="1"/>
      <c r="W3126" s="1"/>
    </row>
    <row r="3127" customHeight="1" spans="1:23">
      <c r="A3127" s="3">
        <f>IFERROR(__xludf.DUMMYFUNCTION("""COMPUTED_VALUE"""),46281)</f>
        <v>46281</v>
      </c>
      <c r="B3127" s="1" t="str">
        <f>IFERROR(__xludf.DUMMYFUNCTION("""COMPUTED_VALUE"""),"GABAY, MANUEL")</f>
        <v>GABAY, MANUEL</v>
      </c>
      <c r="C3127" s="1" t="str">
        <f>IFERROR(__xludf.DUMMYFUNCTION("""COMPUTED_VALUE"""),"FLA")</f>
        <v>FLA</v>
      </c>
      <c r="D3127" s="1" t="str">
        <f>IFERROR(__xludf.DUMMYFUNCTION("""COMPUTED_VALUE"""),"JERIC NAVARRO")</f>
        <v>JERIC NAVARRO</v>
      </c>
      <c r="E3127" s="1" t="str">
        <f>IFERROR(__xludf.DUMMYFUNCTION("""COMPUTED_VALUE"""),"PLDT / H2H")</f>
        <v>PLDT / H2H</v>
      </c>
      <c r="F3127" s="1"/>
      <c r="G3127" s="1">
        <f>IFERROR(__xludf.DUMMYFUNCTION("""COMPUTED_VALUE"""),2312619157)</f>
        <v>2312619157</v>
      </c>
      <c r="H3127" s="1" t="str">
        <f>IFERROR(__xludf.DUMMYFUNCTION("""COMPUTED_VALUE"""),"#N/A")</f>
        <v>#N/A</v>
      </c>
      <c r="I3127" s="1"/>
      <c r="J3127" s="1">
        <f>IFERROR(__xludf.DUMMYFUNCTION("""COMPUTED_VALUE"""),639485504212)</f>
        <v>639485504212</v>
      </c>
      <c r="K3127" s="1"/>
      <c r="L3127" s="1" t="str">
        <f>IFERROR(__xludf.DUMMYFUNCTION("""COMPUTED_VALUE"""),"#N/A")</f>
        <v>#N/A</v>
      </c>
      <c r="M3127" s="1" t="str">
        <f>IFERROR(__xludf.DUMMYFUNCTION("""COMPUTED_VALUE"""),"#N/A")</f>
        <v>#N/A</v>
      </c>
      <c r="N3127" s="1" t="str">
        <f>IFERROR(__xludf.DUMMYFUNCTION("""COMPUTED_VALUE"""),"#N/A")</f>
        <v>#N/A</v>
      </c>
      <c r="O3127" s="1" t="str">
        <f>IFERROR(__xludf.DUMMYFUNCTION("""COMPUTED_VALUE"""),"BALITE I")</f>
        <v>BALITE I</v>
      </c>
      <c r="P3127" s="1" t="str">
        <f>IFERROR(__xludf.DUMMYFUNCTION("""COMPUTED_VALUE"""),"SILANG")</f>
        <v>SILANG</v>
      </c>
      <c r="Q3127" s="1" t="str">
        <f>IFERROR(__xludf.DUMMYFUNCTION("""COMPUTED_VALUE"""),"CAVITE")</f>
        <v>CAVITE</v>
      </c>
      <c r="R3127" s="1" t="str">
        <f>IFERROR(__xludf.DUMMYFUNCTION("""COMPUTED_VALUE"""),"FIBR PLAN 1299")</f>
        <v>FIBR PLAN 1299</v>
      </c>
      <c r="S3127" s="1" t="str">
        <f>IFERROR(__xludf.DUMMYFUNCTION("""COMPUTED_VALUE"""),"APPROVED")</f>
        <v>APPROVED</v>
      </c>
      <c r="T3127" s="1" t="str">
        <f>IFERROR(__xludf.DUMMYFUNCTION("""COMPUTED_VALUE"""),"#N/A")</f>
        <v>#N/A</v>
      </c>
      <c r="U3127" s="1"/>
      <c r="V3127" s="1"/>
      <c r="W3127" s="1"/>
    </row>
    <row r="3128" customHeight="1" spans="1:23">
      <c r="A3128" s="3">
        <f>IFERROR(__xludf.DUMMYFUNCTION("""COMPUTED_VALUE"""),46281)</f>
        <v>46281</v>
      </c>
      <c r="B3128" s="1" t="str">
        <f>IFERROR(__xludf.DUMMYFUNCTION("""COMPUTED_VALUE"""),"OPS CANILANG")</f>
        <v>OPS CANILANG</v>
      </c>
      <c r="C3128" s="1" t="str">
        <f>IFERROR(__xludf.DUMMYFUNCTION("""COMPUTED_VALUE"""),"FLA")</f>
        <v>FLA</v>
      </c>
      <c r="D3128" s="1" t="str">
        <f>IFERROR(__xludf.DUMMYFUNCTION("""COMPUTED_VALUE"""),"JERIC NAVARRO")</f>
        <v>JERIC NAVARRO</v>
      </c>
      <c r="E3128" s="1" t="str">
        <f>IFERROR(__xludf.DUMMYFUNCTION("""COMPUTED_VALUE"""),"PLDT / ONLINE")</f>
        <v>PLDT / ONLINE</v>
      </c>
      <c r="F3128" s="1"/>
      <c r="G3128" s="1">
        <f>IFERROR(__xludf.DUMMYFUNCTION("""COMPUTED_VALUE"""),2312620016)</f>
        <v>2312620016</v>
      </c>
      <c r="H3128" s="1" t="str">
        <f>IFERROR(__xludf.DUMMYFUNCTION("""COMPUTED_VALUE"""),"471765204004")</f>
        <v>471765204004</v>
      </c>
      <c r="I3128" s="1"/>
      <c r="J3128" s="1">
        <f>IFERROR(__xludf.DUMMYFUNCTION("""COMPUTED_VALUE"""),639954874066)</f>
        <v>639954874066</v>
      </c>
      <c r="K3128" s="1"/>
      <c r="L3128" s="1" t="str">
        <f>IFERROR(__xludf.DUMMYFUNCTION("""COMPUTED_VALUE"""),"#N/A")</f>
        <v>#N/A</v>
      </c>
      <c r="M3128" s="1" t="str">
        <f>IFERROR(__xludf.DUMMYFUNCTION("""COMPUTED_VALUE"""),"#N/A")</f>
        <v>#N/A</v>
      </c>
      <c r="N3128" s="1" t="str">
        <f>IFERROR(__xludf.DUMMYFUNCTION("""COMPUTED_VALUE"""),"#N/A")</f>
        <v>#N/A</v>
      </c>
      <c r="O3128" s="1" t="str">
        <f>IFERROR(__xludf.DUMMYFUNCTION("""COMPUTED_VALUE"""),"BARANGAY 5 (POB.)")</f>
        <v>BARANGAY 5 (POB.)</v>
      </c>
      <c r="P3128" s="1" t="str">
        <f>IFERROR(__xludf.DUMMYFUNCTION("""COMPUTED_VALUE"""),"SILANG")</f>
        <v>SILANG</v>
      </c>
      <c r="Q3128" s="1" t="str">
        <f>IFERROR(__xludf.DUMMYFUNCTION("""COMPUTED_VALUE"""),"CAVITE")</f>
        <v>CAVITE</v>
      </c>
      <c r="R3128" s="1" t="str">
        <f>IFERROR(__xludf.DUMMYFUNCTION("""COMPUTED_VALUE"""),"FIBR UNLI ALL PLAN 1899")</f>
        <v>FIBR UNLI ALL PLAN 1899</v>
      </c>
      <c r="S3128" s="1" t="str">
        <f>IFERROR(__xludf.DUMMYFUNCTION("""COMPUTED_VALUE"""),"APPROVED")</f>
        <v>APPROVED</v>
      </c>
      <c r="T3128" s="1" t="str">
        <f>IFERROR(__xludf.DUMMYFUNCTION("""COMPUTED_VALUE"""),"#N/A")</f>
        <v>#N/A</v>
      </c>
      <c r="U3128" s="1"/>
      <c r="V3128" s="1"/>
      <c r="W3128" s="1"/>
    </row>
    <row r="3129" customHeight="1" spans="1:23">
      <c r="A3129" s="3">
        <f>IFERROR(__xludf.DUMMYFUNCTION("""COMPUTED_VALUE"""),46281)</f>
        <v>46281</v>
      </c>
      <c r="B3129" s="1" t="str">
        <f>IFERROR(__xludf.DUMMYFUNCTION("""COMPUTED_VALUE"""),"MALIWAT MARK ELVIN")</f>
        <v>MALIWAT MARK ELVIN</v>
      </c>
      <c r="C3129" s="1" t="str">
        <f>IFERROR(__xludf.DUMMYFUNCTION("""COMPUTED_VALUE"""),"FLA")</f>
        <v>FLA</v>
      </c>
      <c r="D3129" s="1" t="str">
        <f>IFERROR(__xludf.DUMMYFUNCTION("""COMPUTED_VALUE"""),"JERIC NAVARRO")</f>
        <v>JERIC NAVARRO</v>
      </c>
      <c r="E3129" s="1" t="str">
        <f>IFERROR(__xludf.DUMMYFUNCTION("""COMPUTED_VALUE"""),"PLDT / ONLINE")</f>
        <v>PLDT / ONLINE</v>
      </c>
      <c r="F3129" s="1"/>
      <c r="G3129" s="1">
        <f>IFERROR(__xludf.DUMMYFUNCTION("""COMPUTED_VALUE"""),2312620440)</f>
        <v>2312620440</v>
      </c>
      <c r="H3129" s="1" t="str">
        <f>IFERROR(__xludf.DUMMYFUNCTION("""COMPUTED_VALUE"""),"471654606004")</f>
        <v>471654606004</v>
      </c>
      <c r="I3129" s="1"/>
      <c r="J3129" s="1"/>
      <c r="K3129" s="1"/>
      <c r="L3129" s="1" t="str">
        <f>IFERROR(__xludf.DUMMYFUNCTION("""COMPUTED_VALUE"""),"#N/A")</f>
        <v>#N/A</v>
      </c>
      <c r="M3129" s="1" t="str">
        <f>IFERROR(__xludf.DUMMYFUNCTION("""COMPUTED_VALUE"""),"#N/A")</f>
        <v>#N/A</v>
      </c>
      <c r="N3129" s="1" t="str">
        <f>IFERROR(__xludf.DUMMYFUNCTION("""COMPUTED_VALUE"""),"#N/A")</f>
        <v>#N/A</v>
      </c>
      <c r="O3129" s="1" t="str">
        <f>IFERROR(__xludf.DUMMYFUNCTION("""COMPUTED_VALUE"""),"DAGATAN")</f>
        <v>DAGATAN</v>
      </c>
      <c r="P3129" s="1" t="str">
        <f>IFERROR(__xludf.DUMMYFUNCTION("""COMPUTED_VALUE"""),"AMADEO")</f>
        <v>AMADEO</v>
      </c>
      <c r="Q3129" s="1" t="str">
        <f>IFERROR(__xludf.DUMMYFUNCTION("""COMPUTED_VALUE"""),"CAVITE")</f>
        <v>CAVITE</v>
      </c>
      <c r="R3129" s="1" t="str">
        <f>IFERROR(__xludf.DUMMYFUNCTION("""COMPUTED_VALUE"""),"FIBR NETFLIX PLAN 1599")</f>
        <v>FIBR NETFLIX PLAN 1599</v>
      </c>
      <c r="S3129" s="1" t="str">
        <f>IFERROR(__xludf.DUMMYFUNCTION("""COMPUTED_VALUE"""),"APPROVED")</f>
        <v>APPROVED</v>
      </c>
      <c r="T3129" s="1" t="str">
        <f>IFERROR(__xludf.DUMMYFUNCTION("""COMPUTED_VALUE"""),"#N/A")</f>
        <v>#N/A</v>
      </c>
      <c r="U3129" s="1"/>
      <c r="V3129" s="1"/>
      <c r="W3129" s="1"/>
    </row>
    <row r="3130" customHeight="1" spans="1:23">
      <c r="A3130" s="3">
        <f>IFERROR(__xludf.DUMMYFUNCTION("""COMPUTED_VALUE"""),46281)</f>
        <v>46281</v>
      </c>
      <c r="B3130" s="1" t="str">
        <f>IFERROR(__xludf.DUMMYFUNCTION("""COMPUTED_VALUE"""),"GABAY, MANUEL")</f>
        <v>GABAY, MANUEL</v>
      </c>
      <c r="C3130" s="1" t="str">
        <f>IFERROR(__xludf.DUMMYFUNCTION("""COMPUTED_VALUE"""),"FLA")</f>
        <v>FLA</v>
      </c>
      <c r="D3130" s="1" t="str">
        <f>IFERROR(__xludf.DUMMYFUNCTION("""COMPUTED_VALUE"""),"JERIC NAVARRO")</f>
        <v>JERIC NAVARRO</v>
      </c>
      <c r="E3130" s="1" t="str">
        <f>IFERROR(__xludf.DUMMYFUNCTION("""COMPUTED_VALUE"""),"PLDT / H2H")</f>
        <v>PLDT / H2H</v>
      </c>
      <c r="F3130" s="1"/>
      <c r="G3130" s="1">
        <f>IFERROR(__xludf.DUMMYFUNCTION("""COMPUTED_VALUE"""),2312620948)</f>
        <v>2312620948</v>
      </c>
      <c r="H3130" s="1" t="str">
        <f>IFERROR(__xludf.DUMMYFUNCTION("""COMPUTED_VALUE"""),"#N/A")</f>
        <v>#N/A</v>
      </c>
      <c r="I3130" s="1"/>
      <c r="J3130" s="1">
        <f>IFERROR(__xludf.DUMMYFUNCTION("""COMPUTED_VALUE"""),639184923114)</f>
        <v>639184923114</v>
      </c>
      <c r="K3130" s="1"/>
      <c r="L3130" s="1" t="str">
        <f>IFERROR(__xludf.DUMMYFUNCTION("""COMPUTED_VALUE"""),"#N/A")</f>
        <v>#N/A</v>
      </c>
      <c r="M3130" s="1" t="str">
        <f>IFERROR(__xludf.DUMMYFUNCTION("""COMPUTED_VALUE"""),"#N/A")</f>
        <v>#N/A</v>
      </c>
      <c r="N3130" s="1" t="str">
        <f>IFERROR(__xludf.DUMMYFUNCTION("""COMPUTED_VALUE"""),"#N/A")</f>
        <v>#N/A</v>
      </c>
      <c r="O3130" s="1" t="str">
        <f>IFERROR(__xludf.DUMMYFUNCTION("""COMPUTED_VALUE"""),"SABUTAN")</f>
        <v>SABUTAN</v>
      </c>
      <c r="P3130" s="1" t="str">
        <f>IFERROR(__xludf.DUMMYFUNCTION("""COMPUTED_VALUE"""),"SILANG")</f>
        <v>SILANG</v>
      </c>
      <c r="Q3130" s="1" t="str">
        <f>IFERROR(__xludf.DUMMYFUNCTION("""COMPUTED_VALUE"""),"CAVITE")</f>
        <v>CAVITE</v>
      </c>
      <c r="R3130" s="1" t="str">
        <f>IFERROR(__xludf.DUMMYFUNCTION("""COMPUTED_VALUE"""),"FIBR PLAN 1299")</f>
        <v>FIBR PLAN 1299</v>
      </c>
      <c r="S3130" s="1" t="str">
        <f>IFERROR(__xludf.DUMMYFUNCTION("""COMPUTED_VALUE"""),"APPROVED")</f>
        <v>APPROVED</v>
      </c>
      <c r="T3130" s="1" t="str">
        <f>IFERROR(__xludf.DUMMYFUNCTION("""COMPUTED_VALUE"""),"#N/A")</f>
        <v>#N/A</v>
      </c>
      <c r="U3130" s="1"/>
      <c r="V3130" s="1"/>
      <c r="W3130" s="1"/>
    </row>
    <row r="3131" customHeight="1" spans="1:23">
      <c r="A3131" s="3">
        <f>IFERROR(__xludf.DUMMYFUNCTION("""COMPUTED_VALUE"""),46282)</f>
        <v>46282</v>
      </c>
      <c r="B3131" s="1" t="str">
        <f>IFERROR(__xludf.DUMMYFUNCTION("""COMPUTED_VALUE"""),"AYON MANUEL")</f>
        <v>AYON MANUEL</v>
      </c>
      <c r="C3131" s="1" t="str">
        <f>IFERROR(__xludf.DUMMYFUNCTION("""COMPUTED_VALUE"""),"FLA")</f>
        <v>FLA</v>
      </c>
      <c r="D3131" s="1" t="str">
        <f>IFERROR(__xludf.DUMMYFUNCTION("""COMPUTED_VALUE"""),"JERIC NAVARRO")</f>
        <v>JERIC NAVARRO</v>
      </c>
      <c r="E3131" s="1" t="str">
        <f>IFERROR(__xludf.DUMMYFUNCTION("""COMPUTED_VALUE"""),"PLDT / H2H")</f>
        <v>PLDT / H2H</v>
      </c>
      <c r="F3131" s="1"/>
      <c r="G3131" s="1">
        <f>IFERROR(__xludf.DUMMYFUNCTION("""COMPUTED_VALUE"""),2312673687)</f>
        <v>2312673687</v>
      </c>
      <c r="H3131" s="1" t="str">
        <f>IFERROR(__xludf.DUMMYFUNCTION("""COMPUTED_VALUE"""),"#N/A")</f>
        <v>#N/A</v>
      </c>
      <c r="I3131" s="1"/>
      <c r="J3131" s="1">
        <f>IFERROR(__xludf.DUMMYFUNCTION("""COMPUTED_VALUE"""),639175555633)</f>
        <v>639175555633</v>
      </c>
      <c r="K3131" s="1"/>
      <c r="L3131" s="1" t="str">
        <f>IFERROR(__xludf.DUMMYFUNCTION("""COMPUTED_VALUE"""),"#N/A")</f>
        <v>#N/A</v>
      </c>
      <c r="M3131" s="1" t="str">
        <f>IFERROR(__xludf.DUMMYFUNCTION("""COMPUTED_VALUE"""),"#N/A")</f>
        <v>#N/A</v>
      </c>
      <c r="N3131" s="1" t="str">
        <f>IFERROR(__xludf.DUMMYFUNCTION("""COMPUTED_VALUE"""),"#N/A")</f>
        <v>#N/A</v>
      </c>
      <c r="O3131" s="1" t="str">
        <f>IFERROR(__xludf.DUMMYFUNCTION("""COMPUTED_VALUE"""),"BULIHAN")</f>
        <v>BULIHAN</v>
      </c>
      <c r="P3131" s="1" t="str">
        <f>IFERROR(__xludf.DUMMYFUNCTION("""COMPUTED_VALUE"""),"SILANG")</f>
        <v>SILANG</v>
      </c>
      <c r="Q3131" s="1" t="str">
        <f>IFERROR(__xludf.DUMMYFUNCTION("""COMPUTED_VALUE"""),"CAVITE")</f>
        <v>CAVITE</v>
      </c>
      <c r="R3131" s="1" t="str">
        <f>IFERROR(__xludf.DUMMYFUNCTION("""COMPUTED_VALUE"""),"FIBR UNLI ALL PLAN 1499")</f>
        <v>FIBR UNLI ALL PLAN 1499</v>
      </c>
      <c r="S3131" s="1" t="str">
        <f>IFERROR(__xludf.DUMMYFUNCTION("""COMPUTED_VALUE"""),"APPROVED")</f>
        <v>APPROVED</v>
      </c>
      <c r="T3131" s="1" t="str">
        <f>IFERROR(__xludf.DUMMYFUNCTION("""COMPUTED_VALUE"""),"#N/A")</f>
        <v>#N/A</v>
      </c>
      <c r="U3131" s="1"/>
      <c r="V3131" s="1"/>
      <c r="W3131" s="1"/>
    </row>
    <row r="3132" customHeight="1" spans="1:23">
      <c r="A3132" s="3">
        <f>IFERROR(__xludf.DUMMYFUNCTION("""COMPUTED_VALUE"""),46282)</f>
        <v>46282</v>
      </c>
      <c r="B3132" s="1" t="str">
        <f>IFERROR(__xludf.DUMMYFUNCTION("""COMPUTED_VALUE"""),"ARIENA, LYKA")</f>
        <v>ARIENA, LYKA</v>
      </c>
      <c r="C3132" s="1" t="str">
        <f>IFERROR(__xludf.DUMMYFUNCTION("""COMPUTED_VALUE"""),"ORGANIC")</f>
        <v>ORGANIC</v>
      </c>
      <c r="D3132" s="1" t="str">
        <f>IFERROR(__xludf.DUMMYFUNCTION("""COMPUTED_VALUE"""),"REMOLLO LEA")</f>
        <v>REMOLLO LEA</v>
      </c>
      <c r="E3132" s="1" t="str">
        <f>IFERROR(__xludf.DUMMYFUNCTION("""COMPUTED_VALUE"""),"PLDT / H2H")</f>
        <v>PLDT / H2H</v>
      </c>
      <c r="F3132" s="1"/>
      <c r="G3132" s="1">
        <f>IFERROR(__xludf.DUMMYFUNCTION("""COMPUTED_VALUE"""),2312642050)</f>
        <v>2312642050</v>
      </c>
      <c r="H3132" s="1" t="str">
        <f>IFERROR(__xludf.DUMMYFUNCTION("""COMPUTED_VALUE"""),"#N/A")</f>
        <v>#N/A</v>
      </c>
      <c r="I3132" s="1"/>
      <c r="J3132" s="1"/>
      <c r="K3132" s="1"/>
      <c r="L3132" s="1" t="str">
        <f>IFERROR(__xludf.DUMMYFUNCTION("""COMPUTED_VALUE"""),"#N/A")</f>
        <v>#N/A</v>
      </c>
      <c r="M3132" s="1" t="str">
        <f>IFERROR(__xludf.DUMMYFUNCTION("""COMPUTED_VALUE"""),"#N/A")</f>
        <v>#N/A</v>
      </c>
      <c r="N3132" s="1" t="str">
        <f>IFERROR(__xludf.DUMMYFUNCTION("""COMPUTED_VALUE"""),"#N/A")</f>
        <v>#N/A</v>
      </c>
      <c r="O3132" s="1" t="str">
        <f>IFERROR(__xludf.DUMMYFUNCTION("""COMPUTED_VALUE"""),"LUKSUHIN ILAYA")</f>
        <v>LUKSUHIN ILAYA</v>
      </c>
      <c r="P3132" s="1" t="str">
        <f>IFERROR(__xludf.DUMMYFUNCTION("""COMPUTED_VALUE"""),"ALFONSO")</f>
        <v>ALFONSO</v>
      </c>
      <c r="Q3132" s="1" t="str">
        <f>IFERROR(__xludf.DUMMYFUNCTION("""COMPUTED_VALUE"""),"CAVITE")</f>
        <v>CAVITE</v>
      </c>
      <c r="R3132" s="1" t="str">
        <f>IFERROR(__xludf.DUMMYFUNCTION("""COMPUTED_VALUE"""),"FIBR UNLI ALL PLAN 1499")</f>
        <v>FIBR UNLI ALL PLAN 1499</v>
      </c>
      <c r="S3132" s="1" t="str">
        <f>IFERROR(__xludf.DUMMYFUNCTION("""COMPUTED_VALUE"""),"APPROVED")</f>
        <v>APPROVED</v>
      </c>
      <c r="T3132" s="1" t="str">
        <f>IFERROR(__xludf.DUMMYFUNCTION("""COMPUTED_VALUE"""),"#N/A")</f>
        <v>#N/A</v>
      </c>
      <c r="U3132" s="1" t="str">
        <f>IFERROR(__xludf.DUMMYFUNCTION("""COMPUTED_VALUE"""),"POA REQUIREMENT")</f>
        <v>POA REQUIREMENT</v>
      </c>
      <c r="V3132" s="1"/>
      <c r="W3132" s="1"/>
    </row>
    <row r="3133" customHeight="1" spans="1:23">
      <c r="A3133" s="3">
        <f>IFERROR(__xludf.DUMMYFUNCTION("""COMPUTED_VALUE"""),46282)</f>
        <v>46282</v>
      </c>
      <c r="B3133" s="1" t="str">
        <f>IFERROR(__xludf.DUMMYFUNCTION("""COMPUTED_VALUE"""),"ARIENA, LYKA")</f>
        <v>ARIENA, LYKA</v>
      </c>
      <c r="C3133" s="1" t="str">
        <f>IFERROR(__xludf.DUMMYFUNCTION("""COMPUTED_VALUE"""),"ORGANIC")</f>
        <v>ORGANIC</v>
      </c>
      <c r="D3133" s="1" t="str">
        <f>IFERROR(__xludf.DUMMYFUNCTION("""COMPUTED_VALUE"""),"REMOLLO LEA")</f>
        <v>REMOLLO LEA</v>
      </c>
      <c r="E3133" s="1" t="str">
        <f>IFERROR(__xludf.DUMMYFUNCTION("""COMPUTED_VALUE"""),"PLDT / H2H")</f>
        <v>PLDT / H2H</v>
      </c>
      <c r="F3133" s="1"/>
      <c r="G3133" s="1">
        <f>IFERROR(__xludf.DUMMYFUNCTION("""COMPUTED_VALUE"""),2312642354)</f>
        <v>2312642354</v>
      </c>
      <c r="H3133" s="1" t="str">
        <f>IFERROR(__xludf.DUMMYFUNCTION("""COMPUTED_VALUE"""),"471899204004")</f>
        <v>471899204004</v>
      </c>
      <c r="I3133" s="1"/>
      <c r="J3133" s="1"/>
      <c r="K3133" s="1"/>
      <c r="L3133" s="1" t="str">
        <f>IFERROR(__xludf.DUMMYFUNCTION("""COMPUTED_VALUE"""),"#N/A")</f>
        <v>#N/A</v>
      </c>
      <c r="M3133" s="1" t="str">
        <f>IFERROR(__xludf.DUMMYFUNCTION("""COMPUTED_VALUE"""),"#N/A")</f>
        <v>#N/A</v>
      </c>
      <c r="N3133" s="1" t="str">
        <f>IFERROR(__xludf.DUMMYFUNCTION("""COMPUTED_VALUE"""),"#N/A")</f>
        <v>#N/A</v>
      </c>
      <c r="O3133" s="1" t="str">
        <f>IFERROR(__xludf.DUMMYFUNCTION("""COMPUTED_VALUE"""),"LANTIC")</f>
        <v>LANTIC</v>
      </c>
      <c r="P3133" s="1" t="str">
        <f>IFERROR(__xludf.DUMMYFUNCTION("""COMPUTED_VALUE"""),"CARMONA")</f>
        <v>CARMONA</v>
      </c>
      <c r="Q3133" s="1" t="str">
        <f>IFERROR(__xludf.DUMMYFUNCTION("""COMPUTED_VALUE"""),"CAVITE")</f>
        <v>CAVITE</v>
      </c>
      <c r="R3133" s="1" t="str">
        <f>IFERROR(__xludf.DUMMYFUNCTION("""COMPUTED_VALUE"""),"FIBR PLAN 1299")</f>
        <v>FIBR PLAN 1299</v>
      </c>
      <c r="S3133" s="1" t="str">
        <f>IFERROR(__xludf.DUMMYFUNCTION("""COMPUTED_VALUE"""),"APPROVED")</f>
        <v>APPROVED</v>
      </c>
      <c r="T3133" s="1" t="str">
        <f>IFERROR(__xludf.DUMMYFUNCTION("""COMPUTED_VALUE"""),"#N/A")</f>
        <v>#N/A</v>
      </c>
      <c r="U3133" s="1" t="str">
        <f>IFERROR(__xludf.DUMMYFUNCTION("""COMPUTED_VALUE"""),"POSTED")</f>
        <v>POSTED</v>
      </c>
      <c r="V3133" s="1" t="str">
        <f>IFERROR(__xludf.DUMMYFUNCTION("""COMPUTED_VALUE"""),"NO 1 AMSF")</f>
        <v>NO 1 AMSF</v>
      </c>
      <c r="W3133" s="1"/>
    </row>
    <row r="3134" customHeight="1" spans="1:23">
      <c r="A3134" s="3">
        <f>IFERROR(__xludf.DUMMYFUNCTION("""COMPUTED_VALUE"""),46282)</f>
        <v>46282</v>
      </c>
      <c r="B3134" s="1" t="str">
        <f>IFERROR(__xludf.DUMMYFUNCTION("""COMPUTED_VALUE"""),"ESCARCHA, MA ALMA  ESCOTO")</f>
        <v>ESCARCHA, MA ALMA  ESCOTO</v>
      </c>
      <c r="C3134" s="1" t="str">
        <f>IFERROR(__xludf.DUMMYFUNCTION("""COMPUTED_VALUE"""),"ORGANIC")</f>
        <v>ORGANIC</v>
      </c>
      <c r="D3134" s="1" t="str">
        <f>IFERROR(__xludf.DUMMYFUNCTION("""COMPUTED_VALUE"""),"REMOLLO LEA")</f>
        <v>REMOLLO LEA</v>
      </c>
      <c r="E3134" s="1" t="str">
        <f>IFERROR(__xludf.DUMMYFUNCTION("""COMPUTED_VALUE"""),"PLDT / H2H")</f>
        <v>PLDT / H2H</v>
      </c>
      <c r="F3134" s="1"/>
      <c r="G3134" s="1">
        <f>IFERROR(__xludf.DUMMYFUNCTION("""COMPUTED_VALUE"""),2312642550)</f>
        <v>2312642550</v>
      </c>
      <c r="H3134" s="1" t="str">
        <f>IFERROR(__xludf.DUMMYFUNCTION("""COMPUTED_VALUE"""),"471776445004")</f>
        <v>471776445004</v>
      </c>
      <c r="I3134" s="1"/>
      <c r="J3134" s="1">
        <f>IFERROR(__xludf.DUMMYFUNCTION("""COMPUTED_VALUE"""),639306719703)</f>
        <v>639306719703</v>
      </c>
      <c r="K3134" s="1"/>
      <c r="L3134" s="1" t="str">
        <f>IFERROR(__xludf.DUMMYFUNCTION("""COMPUTED_VALUE"""),"#N/A")</f>
        <v>#N/A</v>
      </c>
      <c r="M3134" s="1" t="str">
        <f>IFERROR(__xludf.DUMMYFUNCTION("""COMPUTED_VALUE"""),"#N/A")</f>
        <v>#N/A</v>
      </c>
      <c r="N3134" s="1" t="str">
        <f>IFERROR(__xludf.DUMMYFUNCTION("""COMPUTED_VALUE"""),"#N/A")</f>
        <v>#N/A</v>
      </c>
      <c r="O3134" s="1" t="str">
        <f>IFERROR(__xludf.DUMMYFUNCTION("""COMPUTED_VALUE"""),"ASIS III")</f>
        <v>ASIS III</v>
      </c>
      <c r="P3134" s="1" t="str">
        <f>IFERROR(__xludf.DUMMYFUNCTION("""COMPUTED_VALUE"""),"MENDEZ")</f>
        <v>MENDEZ</v>
      </c>
      <c r="Q3134" s="1" t="str">
        <f>IFERROR(__xludf.DUMMYFUNCTION("""COMPUTED_VALUE"""),"CAVITE")</f>
        <v>CAVITE</v>
      </c>
      <c r="R3134" s="1" t="str">
        <f>IFERROR(__xludf.DUMMYFUNCTION("""COMPUTED_VALUE"""),"FIBR PLAN 1299")</f>
        <v>FIBR PLAN 1299</v>
      </c>
      <c r="S3134" s="1" t="str">
        <f>IFERROR(__xludf.DUMMYFUNCTION("""COMPUTED_VALUE"""),"APPROVED")</f>
        <v>APPROVED</v>
      </c>
      <c r="T3134" s="1" t="str">
        <f>IFERROR(__xludf.DUMMYFUNCTION("""COMPUTED_VALUE"""),"#N/A")</f>
        <v>#N/A</v>
      </c>
      <c r="U3134" s="1" t="str">
        <f>IFERROR(__xludf.DUMMYFUNCTION("""COMPUTED_VALUE"""),"POSTED")</f>
        <v>POSTED</v>
      </c>
      <c r="V3134" s="1" t="str">
        <f>IFERROR(__xludf.DUMMYFUNCTION("""COMPUTED_VALUE"""),"NO 1 AMSF")</f>
        <v>NO 1 AMSF</v>
      </c>
      <c r="W3134" s="1"/>
    </row>
    <row r="3135" customHeight="1" spans="1:23">
      <c r="A3135" s="3">
        <f>IFERROR(__xludf.DUMMYFUNCTION("""COMPUTED_VALUE"""),46282)</f>
        <v>46282</v>
      </c>
      <c r="B3135" s="1" t="str">
        <f>IFERROR(__xludf.DUMMYFUNCTION("""COMPUTED_VALUE"""),"TAMAYO, MARY ROSE")</f>
        <v>TAMAYO, MARY ROSE</v>
      </c>
      <c r="C3135" s="1" t="str">
        <f>IFERROR(__xludf.DUMMYFUNCTION("""COMPUTED_VALUE"""),"ORGANIC")</f>
        <v>ORGANIC</v>
      </c>
      <c r="D3135" s="1" t="str">
        <f>IFERROR(__xludf.DUMMYFUNCTION("""COMPUTED_VALUE"""),"REMOLLO LEA")</f>
        <v>REMOLLO LEA</v>
      </c>
      <c r="E3135" s="1" t="str">
        <f>IFERROR(__xludf.DUMMYFUNCTION("""COMPUTED_VALUE"""),"PLDT / H2H")</f>
        <v>PLDT / H2H</v>
      </c>
      <c r="F3135" s="1"/>
      <c r="G3135" s="1">
        <f>IFERROR(__xludf.DUMMYFUNCTION("""COMPUTED_VALUE"""),2312642882)</f>
        <v>2312642882</v>
      </c>
      <c r="H3135" s="1" t="str">
        <f>IFERROR(__xludf.DUMMYFUNCTION("""COMPUTED_VALUE"""),"#N/A")</f>
        <v>#N/A</v>
      </c>
      <c r="I3135" s="1"/>
      <c r="J3135" s="1"/>
      <c r="K3135" s="1"/>
      <c r="L3135" s="1" t="str">
        <f>IFERROR(__xludf.DUMMYFUNCTION("""COMPUTED_VALUE"""),"#N/A")</f>
        <v>#N/A</v>
      </c>
      <c r="M3135" s="1" t="str">
        <f>IFERROR(__xludf.DUMMYFUNCTION("""COMPUTED_VALUE"""),"#N/A")</f>
        <v>#N/A</v>
      </c>
      <c r="N3135" s="1" t="str">
        <f>IFERROR(__xludf.DUMMYFUNCTION("""COMPUTED_VALUE"""),"#N/A")</f>
        <v>#N/A</v>
      </c>
      <c r="O3135" s="1" t="str">
        <f>IFERROR(__xludf.DUMMYFUNCTION("""COMPUTED_VALUE"""),"LANTIC")</f>
        <v>LANTIC</v>
      </c>
      <c r="P3135" s="1" t="str">
        <f>IFERROR(__xludf.DUMMYFUNCTION("""COMPUTED_VALUE"""),"CARMONA")</f>
        <v>CARMONA</v>
      </c>
      <c r="Q3135" s="1" t="str">
        <f>IFERROR(__xludf.DUMMYFUNCTION("""COMPUTED_VALUE"""),"CAVITE")</f>
        <v>CAVITE</v>
      </c>
      <c r="R3135" s="1" t="str">
        <f>IFERROR(__xludf.DUMMYFUNCTION("""COMPUTED_VALUE"""),"FIBR PLAN 1299")</f>
        <v>FIBR PLAN 1299</v>
      </c>
      <c r="S3135" s="1" t="str">
        <f>IFERROR(__xludf.DUMMYFUNCTION("""COMPUTED_VALUE"""),"APPROVED")</f>
        <v>APPROVED</v>
      </c>
      <c r="T3135" s="1" t="str">
        <f>IFERROR(__xludf.DUMMYFUNCTION("""COMPUTED_VALUE"""),"#N/A")</f>
        <v>#N/A</v>
      </c>
      <c r="U3135" s="1" t="str">
        <f>IFERROR(__xludf.DUMMYFUNCTION("""COMPUTED_VALUE"""),"POA REQUIREMENT")</f>
        <v>POA REQUIREMENT</v>
      </c>
      <c r="V3135" s="1"/>
      <c r="W3135" s="1"/>
    </row>
    <row r="3136" customHeight="1" spans="1:23">
      <c r="A3136" s="3">
        <f>IFERROR(__xludf.DUMMYFUNCTION("""COMPUTED_VALUE"""),46282)</f>
        <v>46282</v>
      </c>
      <c r="B3136" s="1" t="str">
        <f>IFERROR(__xludf.DUMMYFUNCTION("""COMPUTED_VALUE"""),"ESCARCHA, MA ALMA  ESCOTO")</f>
        <v>ESCARCHA, MA ALMA  ESCOTO</v>
      </c>
      <c r="C3136" s="1" t="str">
        <f>IFERROR(__xludf.DUMMYFUNCTION("""COMPUTED_VALUE"""),"ORGANIC")</f>
        <v>ORGANIC</v>
      </c>
      <c r="D3136" s="1" t="str">
        <f>IFERROR(__xludf.DUMMYFUNCTION("""COMPUTED_VALUE"""),"REMOLLO LEA")</f>
        <v>REMOLLO LEA</v>
      </c>
      <c r="E3136" s="1" t="str">
        <f>IFERROR(__xludf.DUMMYFUNCTION("""COMPUTED_VALUE"""),"PLDT / H2H")</f>
        <v>PLDT / H2H</v>
      </c>
      <c r="F3136" s="1"/>
      <c r="G3136" s="1">
        <f>IFERROR(__xludf.DUMMYFUNCTION("""COMPUTED_VALUE"""),2312643289)</f>
        <v>2312643289</v>
      </c>
      <c r="H3136" s="1" t="str">
        <f>IFERROR(__xludf.DUMMYFUNCTION("""COMPUTED_VALUE"""),"471906240004")</f>
        <v>471906240004</v>
      </c>
      <c r="I3136" s="1"/>
      <c r="J3136" s="1">
        <f>IFERROR(__xludf.DUMMYFUNCTION("""COMPUTED_VALUE"""),639563826411)</f>
        <v>639563826411</v>
      </c>
      <c r="K3136" s="1"/>
      <c r="L3136" s="1" t="str">
        <f>IFERROR(__xludf.DUMMYFUNCTION("""COMPUTED_VALUE"""),"#N/A")</f>
        <v>#N/A</v>
      </c>
      <c r="M3136" s="1" t="str">
        <f>IFERROR(__xludf.DUMMYFUNCTION("""COMPUTED_VALUE"""),"#N/A")</f>
        <v>#N/A</v>
      </c>
      <c r="N3136" s="1" t="str">
        <f>IFERROR(__xludf.DUMMYFUNCTION("""COMPUTED_VALUE"""),"#N/A")</f>
        <v>#N/A</v>
      </c>
      <c r="O3136" s="1" t="str">
        <f>IFERROR(__xludf.DUMMYFUNCTION("""COMPUTED_VALUE"""),"ASIS I")</f>
        <v>ASIS I</v>
      </c>
      <c r="P3136" s="1" t="str">
        <f>IFERROR(__xludf.DUMMYFUNCTION("""COMPUTED_VALUE"""),"MENDEZ")</f>
        <v>MENDEZ</v>
      </c>
      <c r="Q3136" s="1" t="str">
        <f>IFERROR(__xludf.DUMMYFUNCTION("""COMPUTED_VALUE"""),"CAVITE")</f>
        <v>CAVITE</v>
      </c>
      <c r="R3136" s="1" t="str">
        <f>IFERROR(__xludf.DUMMYFUNCTION("""COMPUTED_VALUE"""),"FIBR UNLI ALL PLAN 999")</f>
        <v>FIBR UNLI ALL PLAN 999</v>
      </c>
      <c r="S3136" s="1" t="str">
        <f>IFERROR(__xludf.DUMMYFUNCTION("""COMPUTED_VALUE"""),"APPROVED")</f>
        <v>APPROVED</v>
      </c>
      <c r="T3136" s="1" t="str">
        <f>IFERROR(__xludf.DUMMYFUNCTION("""COMPUTED_VALUE"""),"#N/A")</f>
        <v>#N/A</v>
      </c>
      <c r="U3136" s="1" t="str">
        <f>IFERROR(__xludf.DUMMYFUNCTION("""COMPUTED_VALUE"""),"POSTED")</f>
        <v>POSTED</v>
      </c>
      <c r="V3136" s="1" t="str">
        <f>IFERROR(__xludf.DUMMYFUNCTION("""COMPUTED_VALUE"""),"WITH 1 AMSF")</f>
        <v>WITH 1 AMSF</v>
      </c>
      <c r="W3136" s="1"/>
    </row>
    <row r="3137" customHeight="1" spans="1:23">
      <c r="A3137" s="3">
        <f>IFERROR(__xludf.DUMMYFUNCTION("""COMPUTED_VALUE"""),46282)</f>
        <v>46282</v>
      </c>
      <c r="B3137" s="1" t="str">
        <f>IFERROR(__xludf.DUMMYFUNCTION("""COMPUTED_VALUE"""),"MANDUCDOC, MARIANE")</f>
        <v>MANDUCDOC, MARIANE</v>
      </c>
      <c r="C3137" s="1" t="str">
        <f>IFERROR(__xludf.DUMMYFUNCTION("""COMPUTED_VALUE"""),"ORGANIC")</f>
        <v>ORGANIC</v>
      </c>
      <c r="D3137" s="1" t="str">
        <f>IFERROR(__xludf.DUMMYFUNCTION("""COMPUTED_VALUE"""),"REMOLLO LEA")</f>
        <v>REMOLLO LEA</v>
      </c>
      <c r="E3137" s="1" t="str">
        <f>IFERROR(__xludf.DUMMYFUNCTION("""COMPUTED_VALUE"""),"PLDT / H2H")</f>
        <v>PLDT / H2H</v>
      </c>
      <c r="F3137" s="1"/>
      <c r="G3137" s="1">
        <f>IFERROR(__xludf.DUMMYFUNCTION("""COMPUTED_VALUE"""),2312643462)</f>
        <v>2312643462</v>
      </c>
      <c r="H3137" s="1" t="str">
        <f>IFERROR(__xludf.DUMMYFUNCTION("""COMPUTED_VALUE"""),"#N/A")</f>
        <v>#N/A</v>
      </c>
      <c r="I3137" s="1"/>
      <c r="J3137" s="1">
        <f>IFERROR(__xludf.DUMMYFUNCTION("""COMPUTED_VALUE"""),639665273852)</f>
        <v>639665273852</v>
      </c>
      <c r="K3137" s="1"/>
      <c r="L3137" s="1" t="str">
        <f>IFERROR(__xludf.DUMMYFUNCTION("""COMPUTED_VALUE"""),"#N/A")</f>
        <v>#N/A</v>
      </c>
      <c r="M3137" s="1" t="str">
        <f>IFERROR(__xludf.DUMMYFUNCTION("""COMPUTED_VALUE"""),"#N/A")</f>
        <v>#N/A</v>
      </c>
      <c r="N3137" s="1" t="str">
        <f>IFERROR(__xludf.DUMMYFUNCTION("""COMPUTED_VALUE"""),"#N/A")</f>
        <v>#N/A</v>
      </c>
      <c r="O3137" s="1" t="str">
        <f>IFERROR(__xludf.DUMMYFUNCTION("""COMPUTED_VALUE"""),"GAVINO MADERAN")</f>
        <v>GAVINO MADERAN</v>
      </c>
      <c r="P3137" s="1" t="str">
        <f>IFERROR(__xludf.DUMMYFUNCTION("""COMPUTED_VALUE"""),"GEN MARIANO ALVAREZ")</f>
        <v>GEN MARIANO ALVAREZ</v>
      </c>
      <c r="Q3137" s="1" t="str">
        <f>IFERROR(__xludf.DUMMYFUNCTION("""COMPUTED_VALUE"""),"CAVITE")</f>
        <v>CAVITE</v>
      </c>
      <c r="R3137" s="1" t="str">
        <f>IFERROR(__xludf.DUMMYFUNCTION("""COMPUTED_VALUE"""),"FIBR UNLI ALL PLAN 1499")</f>
        <v>FIBR UNLI ALL PLAN 1499</v>
      </c>
      <c r="S3137" s="1" t="str">
        <f>IFERROR(__xludf.DUMMYFUNCTION("""COMPUTED_VALUE"""),"APPROVED")</f>
        <v>APPROVED</v>
      </c>
      <c r="T3137" s="1" t="str">
        <f>IFERROR(__xludf.DUMMYFUNCTION("""COMPUTED_VALUE"""),"#N/A")</f>
        <v>#N/A</v>
      </c>
      <c r="U3137" s="1" t="str">
        <f>IFERROR(__xludf.DUMMYFUNCTION("""COMPUTED_VALUE"""),"WITH PENDING PID")</f>
        <v>WITH PENDING PID</v>
      </c>
      <c r="V3137" s="1"/>
      <c r="W3137" s="1"/>
    </row>
    <row r="3138" customHeight="1" spans="1:23">
      <c r="A3138" s="3">
        <f>IFERROR(__xludf.DUMMYFUNCTION("""COMPUTED_VALUE"""),46282)</f>
        <v>46282</v>
      </c>
      <c r="B3138" s="1" t="str">
        <f>IFERROR(__xludf.DUMMYFUNCTION("""COMPUTED_VALUE"""),"GABAY, MANUEL")</f>
        <v>GABAY, MANUEL</v>
      </c>
      <c r="C3138" s="1" t="str">
        <f>IFERROR(__xludf.DUMMYFUNCTION("""COMPUTED_VALUE"""),"FLA")</f>
        <v>FLA</v>
      </c>
      <c r="D3138" s="1" t="str">
        <f>IFERROR(__xludf.DUMMYFUNCTION("""COMPUTED_VALUE"""),"JERIC NAVARRO")</f>
        <v>JERIC NAVARRO</v>
      </c>
      <c r="E3138" s="1" t="str">
        <f>IFERROR(__xludf.DUMMYFUNCTION("""COMPUTED_VALUE"""),"PLDT / ONLINE")</f>
        <v>PLDT / ONLINE</v>
      </c>
      <c r="F3138" s="1"/>
      <c r="G3138" s="1">
        <f>IFERROR(__xludf.DUMMYFUNCTION("""COMPUTED_VALUE"""),2312643805)</f>
        <v>2312643805</v>
      </c>
      <c r="H3138" s="1" t="str">
        <f>IFERROR(__xludf.DUMMYFUNCTION("""COMPUTED_VALUE"""),"#N/A")</f>
        <v>#N/A</v>
      </c>
      <c r="I3138" s="1"/>
      <c r="J3138" s="1">
        <f>IFERROR(__xludf.DUMMYFUNCTION("""COMPUTED_VALUE"""),639100271169)</f>
        <v>639100271169</v>
      </c>
      <c r="K3138" s="1"/>
      <c r="L3138" s="1" t="str">
        <f>IFERROR(__xludf.DUMMYFUNCTION("""COMPUTED_VALUE"""),"#N/A")</f>
        <v>#N/A</v>
      </c>
      <c r="M3138" s="1" t="str">
        <f>IFERROR(__xludf.DUMMYFUNCTION("""COMPUTED_VALUE"""),"#N/A")</f>
        <v>#N/A</v>
      </c>
      <c r="N3138" s="1" t="str">
        <f>IFERROR(__xludf.DUMMYFUNCTION("""COMPUTED_VALUE"""),"#N/A")</f>
        <v>#N/A</v>
      </c>
      <c r="O3138" s="1" t="str">
        <f>IFERROR(__xludf.DUMMYFUNCTION("""COMPUTED_VALUE"""),"SALAWAG")</f>
        <v>SALAWAG</v>
      </c>
      <c r="P3138" s="1" t="str">
        <f>IFERROR(__xludf.DUMMYFUNCTION("""COMPUTED_VALUE"""),"DASMARINAS")</f>
        <v>DASMARINAS</v>
      </c>
      <c r="Q3138" s="1" t="str">
        <f>IFERROR(__xludf.DUMMYFUNCTION("""COMPUTED_VALUE"""),"CAVITE")</f>
        <v>CAVITE</v>
      </c>
      <c r="R3138" s="1" t="str">
        <f>IFERROR(__xludf.DUMMYFUNCTION("""COMPUTED_VALUE"""),"FIBR PLAN 1699")</f>
        <v>FIBR PLAN 1699</v>
      </c>
      <c r="S3138" s="1" t="str">
        <f>IFERROR(__xludf.DUMMYFUNCTION("""COMPUTED_VALUE"""),"APPROVED")</f>
        <v>APPROVED</v>
      </c>
      <c r="T3138" s="1" t="str">
        <f>IFERROR(__xludf.DUMMYFUNCTION("""COMPUTED_VALUE"""),"#N/A")</f>
        <v>#N/A</v>
      </c>
      <c r="U3138" s="1" t="str">
        <f>IFERROR(__xludf.DUMMYFUNCTION("""COMPUTED_VALUE"""),"CANCELLED - WITH OB")</f>
        <v>CANCELLED - WITH OB</v>
      </c>
      <c r="V3138" s="1"/>
      <c r="W3138" s="1"/>
    </row>
    <row r="3139" customHeight="1" spans="1:23">
      <c r="A3139" s="3">
        <f>IFERROR(__xludf.DUMMYFUNCTION("""COMPUTED_VALUE"""),46282)</f>
        <v>46282</v>
      </c>
      <c r="B3139" s="1" t="str">
        <f>IFERROR(__xludf.DUMMYFUNCTION("""COMPUTED_VALUE"""),"TAMAYO, MARY ROSE")</f>
        <v>TAMAYO, MARY ROSE</v>
      </c>
      <c r="C3139" s="1" t="str">
        <f>IFERROR(__xludf.DUMMYFUNCTION("""COMPUTED_VALUE"""),"ORGANIC")</f>
        <v>ORGANIC</v>
      </c>
      <c r="D3139" s="1" t="str">
        <f>IFERROR(__xludf.DUMMYFUNCTION("""COMPUTED_VALUE"""),"REMOLLO LEA")</f>
        <v>REMOLLO LEA</v>
      </c>
      <c r="E3139" s="1" t="str">
        <f>IFERROR(__xludf.DUMMYFUNCTION("""COMPUTED_VALUE"""),"PLDT / H2H")</f>
        <v>PLDT / H2H</v>
      </c>
      <c r="F3139" s="1"/>
      <c r="G3139" s="1">
        <f>IFERROR(__xludf.DUMMYFUNCTION("""COMPUTED_VALUE"""),2312646449)</f>
        <v>2312646449</v>
      </c>
      <c r="H3139" s="1" t="str">
        <f>IFERROR(__xludf.DUMMYFUNCTION("""COMPUTED_VALUE"""),"471790746004")</f>
        <v>471790746004</v>
      </c>
      <c r="I3139" s="1"/>
      <c r="J3139" s="1"/>
      <c r="K3139" s="1"/>
      <c r="L3139" s="1" t="str">
        <f>IFERROR(__xludf.DUMMYFUNCTION("""COMPUTED_VALUE"""),"#N/A")</f>
        <v>#N/A</v>
      </c>
      <c r="M3139" s="1" t="str">
        <f>IFERROR(__xludf.DUMMYFUNCTION("""COMPUTED_VALUE"""),"#N/A")</f>
        <v>#N/A</v>
      </c>
      <c r="N3139" s="1" t="str">
        <f>IFERROR(__xludf.DUMMYFUNCTION("""COMPUTED_VALUE"""),"#N/A")</f>
        <v>#N/A</v>
      </c>
      <c r="O3139" s="1" t="str">
        <f>IFERROR(__xludf.DUMMYFUNCTION("""COMPUTED_VALUE"""),"NARRA I")</f>
        <v>NARRA I</v>
      </c>
      <c r="P3139" s="1" t="str">
        <f>IFERROR(__xludf.DUMMYFUNCTION("""COMPUTED_VALUE"""),"SILANG")</f>
        <v>SILANG</v>
      </c>
      <c r="Q3139" s="1" t="str">
        <f>IFERROR(__xludf.DUMMYFUNCTION("""COMPUTED_VALUE"""),"CAVITE")</f>
        <v>CAVITE</v>
      </c>
      <c r="R3139" s="1" t="str">
        <f>IFERROR(__xludf.DUMMYFUNCTION("""COMPUTED_VALUE"""),"FIBR PLAN 1299")</f>
        <v>FIBR PLAN 1299</v>
      </c>
      <c r="S3139" s="1" t="str">
        <f>IFERROR(__xludf.DUMMYFUNCTION("""COMPUTED_VALUE"""),"APPROVED")</f>
        <v>APPROVED</v>
      </c>
      <c r="T3139" s="1" t="str">
        <f>IFERROR(__xludf.DUMMYFUNCTION("""COMPUTED_VALUE"""),"#N/A")</f>
        <v>#N/A</v>
      </c>
      <c r="U3139" s="1" t="str">
        <f>IFERROR(__xludf.DUMMYFUNCTION("""COMPUTED_VALUE"""),"POSTED")</f>
        <v>POSTED</v>
      </c>
      <c r="V3139" s="1" t="str">
        <f>IFERROR(__xludf.DUMMYFUNCTION("""COMPUTED_VALUE"""),"NO 1 AMSF")</f>
        <v>NO 1 AMSF</v>
      </c>
      <c r="W3139" s="1"/>
    </row>
    <row r="3140" customHeight="1" spans="1:23">
      <c r="A3140" s="3">
        <f>IFERROR(__xludf.DUMMYFUNCTION("""COMPUTED_VALUE"""),46283)</f>
        <v>46283</v>
      </c>
      <c r="B3140" s="1" t="str">
        <f>IFERROR(__xludf.DUMMYFUNCTION("""COMPUTED_VALUE"""),"ESCARCHA, MA ALMA  ESCOTO")</f>
        <v>ESCARCHA, MA ALMA  ESCOTO</v>
      </c>
      <c r="C3140" s="1" t="str">
        <f>IFERROR(__xludf.DUMMYFUNCTION("""COMPUTED_VALUE"""),"ORGANIC")</f>
        <v>ORGANIC</v>
      </c>
      <c r="D3140" s="1" t="str">
        <f>IFERROR(__xludf.DUMMYFUNCTION("""COMPUTED_VALUE"""),"REMOLLO LEA")</f>
        <v>REMOLLO LEA</v>
      </c>
      <c r="E3140" s="1" t="str">
        <f>IFERROR(__xludf.DUMMYFUNCTION("""COMPUTED_VALUE"""),"PLDT / H2H")</f>
        <v>PLDT / H2H</v>
      </c>
      <c r="F3140" s="1"/>
      <c r="G3140" s="1">
        <f>IFERROR(__xludf.DUMMYFUNCTION("""COMPUTED_VALUE"""),2312654777)</f>
        <v>2312654777</v>
      </c>
      <c r="H3140" s="1" t="str">
        <f>IFERROR(__xludf.DUMMYFUNCTION("""COMPUTED_VALUE"""),"471919311004")</f>
        <v>471919311004</v>
      </c>
      <c r="I3140" s="1"/>
      <c r="J3140" s="1"/>
      <c r="K3140" s="1"/>
      <c r="L3140" s="1" t="str">
        <f>IFERROR(__xludf.DUMMYFUNCTION("""COMPUTED_VALUE"""),"#N/A")</f>
        <v>#N/A</v>
      </c>
      <c r="M3140" s="1" t="str">
        <f>IFERROR(__xludf.DUMMYFUNCTION("""COMPUTED_VALUE"""),"#N/A")</f>
        <v>#N/A</v>
      </c>
      <c r="N3140" s="1" t="str">
        <f>IFERROR(__xludf.DUMMYFUNCTION("""COMPUTED_VALUE"""),"#N/A")</f>
        <v>#N/A</v>
      </c>
      <c r="O3140" s="1" t="str">
        <f>IFERROR(__xludf.DUMMYFUNCTION("""COMPUTED_VALUE"""),"SULSUGIN")</f>
        <v>SULSUGIN</v>
      </c>
      <c r="P3140" s="1" t="str">
        <f>IFERROR(__xludf.DUMMYFUNCTION("""COMPUTED_VALUE"""),"ALFONSO")</f>
        <v>ALFONSO</v>
      </c>
      <c r="Q3140" s="1" t="str">
        <f>IFERROR(__xludf.DUMMYFUNCTION("""COMPUTED_VALUE"""),"CAVITE")</f>
        <v>CAVITE</v>
      </c>
      <c r="R3140" s="1" t="str">
        <f>IFERROR(__xludf.DUMMYFUNCTION("""COMPUTED_VALUE"""),"FIBR UNLI ALL PLAN 999")</f>
        <v>FIBR UNLI ALL PLAN 999</v>
      </c>
      <c r="S3140" s="1" t="str">
        <f>IFERROR(__xludf.DUMMYFUNCTION("""COMPUTED_VALUE"""),"APPROVED")</f>
        <v>APPROVED</v>
      </c>
      <c r="T3140" s="1" t="str">
        <f>IFERROR(__xludf.DUMMYFUNCTION("""COMPUTED_VALUE"""),"#N/A")</f>
        <v>#N/A</v>
      </c>
      <c r="U3140" s="1"/>
      <c r="V3140" s="1" t="str">
        <f>IFERROR(__xludf.DUMMYFUNCTION("""COMPUTED_VALUE"""),"WITH 1 AMSF")</f>
        <v>WITH 1 AMSF</v>
      </c>
      <c r="W3140" s="1"/>
    </row>
    <row r="3141" customHeight="1" spans="1:23">
      <c r="A3141" s="3">
        <f>IFERROR(__xludf.DUMMYFUNCTION("""COMPUTED_VALUE"""),46283)</f>
        <v>46283</v>
      </c>
      <c r="B3141" s="1" t="str">
        <f>IFERROR(__xludf.DUMMYFUNCTION("""COMPUTED_VALUE"""),"MALIWAT MARK ELVIN")</f>
        <v>MALIWAT MARK ELVIN</v>
      </c>
      <c r="C3141" s="1" t="str">
        <f>IFERROR(__xludf.DUMMYFUNCTION("""COMPUTED_VALUE"""),"ORGANIC")</f>
        <v>ORGANIC</v>
      </c>
      <c r="D3141" s="1" t="str">
        <f>IFERROR(__xludf.DUMMYFUNCTION("""COMPUTED_VALUE"""),"REMOLLO LEA")</f>
        <v>REMOLLO LEA</v>
      </c>
      <c r="E3141" s="1" t="str">
        <f>IFERROR(__xludf.DUMMYFUNCTION("""COMPUTED_VALUE"""),"PLDT / H2H")</f>
        <v>PLDT / H2H</v>
      </c>
      <c r="F3141" s="1"/>
      <c r="G3141" s="1">
        <f>IFERROR(__xludf.DUMMYFUNCTION("""COMPUTED_VALUE"""),2312657440)</f>
        <v>2312657440</v>
      </c>
      <c r="H3141" s="1" t="str">
        <f>IFERROR(__xludf.DUMMYFUNCTION("""COMPUTED_VALUE"""),"471920629004")</f>
        <v>471920629004</v>
      </c>
      <c r="I3141" s="1"/>
      <c r="J3141" s="1"/>
      <c r="K3141" s="1"/>
      <c r="L3141" s="1" t="str">
        <f>IFERROR(__xludf.DUMMYFUNCTION("""COMPUTED_VALUE"""),"#N/A")</f>
        <v>#N/A</v>
      </c>
      <c r="M3141" s="1" t="str">
        <f>IFERROR(__xludf.DUMMYFUNCTION("""COMPUTED_VALUE"""),"#N/A")</f>
        <v>#N/A</v>
      </c>
      <c r="N3141" s="1" t="str">
        <f>IFERROR(__xludf.DUMMYFUNCTION("""COMPUTED_VALUE"""),"#N/A")</f>
        <v>#N/A</v>
      </c>
      <c r="O3141" s="1" t="str">
        <f>IFERROR(__xludf.DUMMYFUNCTION("""COMPUTED_VALUE"""),"PULONG BUNGA")</f>
        <v>PULONG BUNGA</v>
      </c>
      <c r="P3141" s="1" t="str">
        <f>IFERROR(__xludf.DUMMYFUNCTION("""COMPUTED_VALUE"""),"SILANG")</f>
        <v>SILANG</v>
      </c>
      <c r="Q3141" s="1" t="str">
        <f>IFERROR(__xludf.DUMMYFUNCTION("""COMPUTED_VALUE"""),"CAVITE")</f>
        <v>CAVITE</v>
      </c>
      <c r="R3141" s="1" t="str">
        <f>IFERROR(__xludf.DUMMYFUNCTION("""COMPUTED_VALUE"""),"FIBR UNLI ALL PLAN 2599")</f>
        <v>FIBR UNLI ALL PLAN 2599</v>
      </c>
      <c r="S3141" s="1" t="str">
        <f>IFERROR(__xludf.DUMMYFUNCTION("""COMPUTED_VALUE"""),"APPROVED")</f>
        <v>APPROVED</v>
      </c>
      <c r="T3141" s="1" t="str">
        <f>IFERROR(__xludf.DUMMYFUNCTION("""COMPUTED_VALUE"""),"#N/A")</f>
        <v>#N/A</v>
      </c>
      <c r="U3141" s="1"/>
      <c r="V3141" s="1" t="str">
        <f>IFERROR(__xludf.DUMMYFUNCTION("""COMPUTED_VALUE"""),"NO 1 AMSF")</f>
        <v>NO 1 AMSF</v>
      </c>
      <c r="W3141" s="1"/>
    </row>
    <row r="3142" customHeight="1" spans="1:23">
      <c r="A3142" s="3">
        <f>IFERROR(__xludf.DUMMYFUNCTION("""COMPUTED_VALUE"""),46283)</f>
        <v>46283</v>
      </c>
      <c r="B3142" s="1" t="str">
        <f>IFERROR(__xludf.DUMMYFUNCTION("""COMPUTED_VALUE"""),"CADERAO, RONALD")</f>
        <v>CADERAO, RONALD</v>
      </c>
      <c r="C3142" s="1" t="str">
        <f>IFERROR(__xludf.DUMMYFUNCTION("""COMPUTED_VALUE"""),"ORGANIC")</f>
        <v>ORGANIC</v>
      </c>
      <c r="D3142" s="1" t="str">
        <f>IFERROR(__xludf.DUMMYFUNCTION("""COMPUTED_VALUE"""),"REMOLLO LEA")</f>
        <v>REMOLLO LEA</v>
      </c>
      <c r="E3142" s="1" t="str">
        <f>IFERROR(__xludf.DUMMYFUNCTION("""COMPUTED_VALUE"""),"PLDT / H2H")</f>
        <v>PLDT / H2H</v>
      </c>
      <c r="F3142" s="1"/>
      <c r="G3142" s="1">
        <f>IFERROR(__xludf.DUMMYFUNCTION("""COMPUTED_VALUE"""),2312657906)</f>
        <v>2312657906</v>
      </c>
      <c r="H3142" s="1" t="str">
        <f>IFERROR(__xludf.DUMMYFUNCTION("""COMPUTED_VALUE"""),"471918808004")</f>
        <v>471918808004</v>
      </c>
      <c r="I3142" s="1"/>
      <c r="J3142" s="1"/>
      <c r="K3142" s="1"/>
      <c r="L3142" s="1" t="str">
        <f>IFERROR(__xludf.DUMMYFUNCTION("""COMPUTED_VALUE"""),"#N/A")</f>
        <v>#N/A</v>
      </c>
      <c r="M3142" s="1" t="str">
        <f>IFERROR(__xludf.DUMMYFUNCTION("""COMPUTED_VALUE"""),"#N/A")</f>
        <v>#N/A</v>
      </c>
      <c r="N3142" s="1" t="str">
        <f>IFERROR(__xludf.DUMMYFUNCTION("""COMPUTED_VALUE"""),"#N/A")</f>
        <v>#N/A</v>
      </c>
      <c r="O3142" s="1" t="str">
        <f>IFERROR(__xludf.DUMMYFUNCTION("""COMPUTED_VALUE"""),"PULONG BUNGA")</f>
        <v>PULONG BUNGA</v>
      </c>
      <c r="P3142" s="1" t="str">
        <f>IFERROR(__xludf.DUMMYFUNCTION("""COMPUTED_VALUE"""),"SILANG")</f>
        <v>SILANG</v>
      </c>
      <c r="Q3142" s="1" t="str">
        <f>IFERROR(__xludf.DUMMYFUNCTION("""COMPUTED_VALUE"""),"CAVITE")</f>
        <v>CAVITE</v>
      </c>
      <c r="R3142" s="1" t="str">
        <f>IFERROR(__xludf.DUMMYFUNCTION("""COMPUTED_VALUE"""),"FIBR UNLI ALL PLAN 1899")</f>
        <v>FIBR UNLI ALL PLAN 1899</v>
      </c>
      <c r="S3142" s="1" t="str">
        <f>IFERROR(__xludf.DUMMYFUNCTION("""COMPUTED_VALUE"""),"APPROVED")</f>
        <v>APPROVED</v>
      </c>
      <c r="T3142" s="1" t="str">
        <f>IFERROR(__xludf.DUMMYFUNCTION("""COMPUTED_VALUE"""),"#N/A")</f>
        <v>#N/A</v>
      </c>
      <c r="U3142" s="1" t="str">
        <f>IFERROR(__xludf.DUMMYFUNCTION("""COMPUTED_VALUE"""),"POSTED")</f>
        <v>POSTED</v>
      </c>
      <c r="V3142" s="1" t="str">
        <f>IFERROR(__xludf.DUMMYFUNCTION("""COMPUTED_VALUE"""),"NO 1 AMSF")</f>
        <v>NO 1 AMSF</v>
      </c>
      <c r="W3142" s="1"/>
    </row>
    <row r="3143" customHeight="1" spans="1:23">
      <c r="A3143" s="3">
        <f>IFERROR(__xludf.DUMMYFUNCTION("""COMPUTED_VALUE"""),46283)</f>
        <v>46283</v>
      </c>
      <c r="B3143" s="1" t="str">
        <f>IFERROR(__xludf.DUMMYFUNCTION("""COMPUTED_VALUE"""),"BAQUIT ,JAZMIN")</f>
        <v>BAQUIT ,JAZMIN</v>
      </c>
      <c r="C3143" s="1" t="str">
        <f>IFERROR(__xludf.DUMMYFUNCTION("""COMPUTED_VALUE"""),"ORGANIC")</f>
        <v>ORGANIC</v>
      </c>
      <c r="D3143" s="1" t="str">
        <f>IFERROR(__xludf.DUMMYFUNCTION("""COMPUTED_VALUE"""),"REMOLLO LEA")</f>
        <v>REMOLLO LEA</v>
      </c>
      <c r="E3143" s="1" t="str">
        <f>IFERROR(__xludf.DUMMYFUNCTION("""COMPUTED_VALUE"""),"PLDT / H2H")</f>
        <v>PLDT / H2H</v>
      </c>
      <c r="F3143" s="1"/>
      <c r="G3143" s="1">
        <f>IFERROR(__xludf.DUMMYFUNCTION("""COMPUTED_VALUE"""),2312658427)</f>
        <v>2312658427</v>
      </c>
      <c r="H3143" s="1" t="str">
        <f>IFERROR(__xludf.DUMMYFUNCTION("""COMPUTED_VALUE"""),"471920578004")</f>
        <v>471920578004</v>
      </c>
      <c r="I3143" s="1"/>
      <c r="J3143" s="1"/>
      <c r="K3143" s="1"/>
      <c r="L3143" s="1" t="str">
        <f>IFERROR(__xludf.DUMMYFUNCTION("""COMPUTED_VALUE"""),"#N/A")</f>
        <v>#N/A</v>
      </c>
      <c r="M3143" s="1" t="str">
        <f>IFERROR(__xludf.DUMMYFUNCTION("""COMPUTED_VALUE"""),"#N/A")</f>
        <v>#N/A</v>
      </c>
      <c r="N3143" s="1" t="str">
        <f>IFERROR(__xludf.DUMMYFUNCTION("""COMPUTED_VALUE"""),"#N/A")</f>
        <v>#N/A</v>
      </c>
      <c r="O3143" s="1" t="str">
        <f>IFERROR(__xludf.DUMMYFUNCTION("""COMPUTED_VALUE"""),"PULONG BUNGA")</f>
        <v>PULONG BUNGA</v>
      </c>
      <c r="P3143" s="1" t="str">
        <f>IFERROR(__xludf.DUMMYFUNCTION("""COMPUTED_VALUE"""),"SILANG")</f>
        <v>SILANG</v>
      </c>
      <c r="Q3143" s="1" t="str">
        <f>IFERROR(__xludf.DUMMYFUNCTION("""COMPUTED_VALUE"""),"CAVITE")</f>
        <v>CAVITE</v>
      </c>
      <c r="R3143" s="1" t="str">
        <f>IFERROR(__xludf.DUMMYFUNCTION("""COMPUTED_VALUE"""),"FIBR PLAN 1299")</f>
        <v>FIBR PLAN 1299</v>
      </c>
      <c r="S3143" s="1" t="str">
        <f>IFERROR(__xludf.DUMMYFUNCTION("""COMPUTED_VALUE"""),"APPROVED")</f>
        <v>APPROVED</v>
      </c>
      <c r="T3143" s="1" t="str">
        <f>IFERROR(__xludf.DUMMYFUNCTION("""COMPUTED_VALUE"""),"#N/A")</f>
        <v>#N/A</v>
      </c>
      <c r="U3143" s="1"/>
      <c r="V3143" s="1" t="str">
        <f>IFERROR(__xludf.DUMMYFUNCTION("""COMPUTED_VALUE"""),"NO 1 AMSF")</f>
        <v>NO 1 AMSF</v>
      </c>
      <c r="W3143" s="1"/>
    </row>
    <row r="3144" customHeight="1" spans="1:23">
      <c r="A3144" s="3">
        <f>IFERROR(__xludf.DUMMYFUNCTION("""COMPUTED_VALUE"""),46283)</f>
        <v>46283</v>
      </c>
      <c r="B3144" s="1" t="str">
        <f>IFERROR(__xludf.DUMMYFUNCTION("""COMPUTED_VALUE"""),"ARIENA, LYKA")</f>
        <v>ARIENA, LYKA</v>
      </c>
      <c r="C3144" s="1" t="str">
        <f>IFERROR(__xludf.DUMMYFUNCTION("""COMPUTED_VALUE"""),"ORGANIC")</f>
        <v>ORGANIC</v>
      </c>
      <c r="D3144" s="1" t="str">
        <f>IFERROR(__xludf.DUMMYFUNCTION("""COMPUTED_VALUE"""),"REMOLLO LEA")</f>
        <v>REMOLLO LEA</v>
      </c>
      <c r="E3144" s="1" t="str">
        <f>IFERROR(__xludf.DUMMYFUNCTION("""COMPUTED_VALUE"""),"PLDT / H2H")</f>
        <v>PLDT / H2H</v>
      </c>
      <c r="F3144" s="1"/>
      <c r="G3144" s="1">
        <f>IFERROR(__xludf.DUMMYFUNCTION("""COMPUTED_VALUE"""),2312658846)</f>
        <v>2312658846</v>
      </c>
      <c r="H3144" s="1" t="str">
        <f>IFERROR(__xludf.DUMMYFUNCTION("""COMPUTED_VALUE"""),"471923537004")</f>
        <v>471923537004</v>
      </c>
      <c r="I3144" s="1"/>
      <c r="J3144" s="1"/>
      <c r="K3144" s="1"/>
      <c r="L3144" s="1" t="str">
        <f>IFERROR(__xludf.DUMMYFUNCTION("""COMPUTED_VALUE"""),"#N/A")</f>
        <v>#N/A</v>
      </c>
      <c r="M3144" s="1" t="str">
        <f>IFERROR(__xludf.DUMMYFUNCTION("""COMPUTED_VALUE"""),"#N/A")</f>
        <v>#N/A</v>
      </c>
      <c r="N3144" s="1" t="str">
        <f>IFERROR(__xludf.DUMMYFUNCTION("""COMPUTED_VALUE"""),"#N/A")</f>
        <v>#N/A</v>
      </c>
      <c r="O3144" s="1" t="str">
        <f>IFERROR(__xludf.DUMMYFUNCTION("""COMPUTED_VALUE"""),"SAN FRANCISCO")</f>
        <v>SAN FRANCISCO</v>
      </c>
      <c r="P3144" s="1" t="str">
        <f>IFERROR(__xludf.DUMMYFUNCTION("""COMPUTED_VALUE"""),"TAGAYTAY")</f>
        <v>TAGAYTAY</v>
      </c>
      <c r="Q3144" s="1" t="str">
        <f>IFERROR(__xludf.DUMMYFUNCTION("""COMPUTED_VALUE"""),"CAVITE")</f>
        <v>CAVITE</v>
      </c>
      <c r="R3144" s="1" t="str">
        <f>IFERROR(__xludf.DUMMYFUNCTION("""COMPUTED_VALUE"""),"FIBR PLAN 1299")</f>
        <v>FIBR PLAN 1299</v>
      </c>
      <c r="S3144" s="1" t="str">
        <f>IFERROR(__xludf.DUMMYFUNCTION("""COMPUTED_VALUE"""),"APPROVED")</f>
        <v>APPROVED</v>
      </c>
      <c r="T3144" s="1" t="str">
        <f>IFERROR(__xludf.DUMMYFUNCTION("""COMPUTED_VALUE"""),"#N/A")</f>
        <v>#N/A</v>
      </c>
      <c r="U3144" s="1"/>
      <c r="V3144" s="1" t="str">
        <f>IFERROR(__xludf.DUMMYFUNCTION("""COMPUTED_VALUE"""),"WITH 1 AMSF")</f>
        <v>WITH 1 AMSF</v>
      </c>
      <c r="W3144" s="1"/>
    </row>
    <row r="3145" customHeight="1" spans="1:23">
      <c r="A3145" s="3">
        <f>IFERROR(__xludf.DUMMYFUNCTION("""COMPUTED_VALUE"""),46283)</f>
        <v>46283</v>
      </c>
      <c r="B3145" s="1" t="str">
        <f>IFERROR(__xludf.DUMMYFUNCTION("""COMPUTED_VALUE"""),"FRANCISCO , ROSELYN")</f>
        <v>FRANCISCO , ROSELYN</v>
      </c>
      <c r="C3145" s="1" t="str">
        <f>IFERROR(__xludf.DUMMYFUNCTION("""COMPUTED_VALUE"""),"ORGANIC")</f>
        <v>ORGANIC</v>
      </c>
      <c r="D3145" s="1" t="str">
        <f>IFERROR(__xludf.DUMMYFUNCTION("""COMPUTED_VALUE"""),"REMOLLO LEA")</f>
        <v>REMOLLO LEA</v>
      </c>
      <c r="E3145" s="1" t="str">
        <f>IFERROR(__xludf.DUMMYFUNCTION("""COMPUTED_VALUE"""),"RED FIBER")</f>
        <v>RED FIBER</v>
      </c>
      <c r="F3145" s="1"/>
      <c r="G3145" s="1"/>
      <c r="H3145" s="1" t="str">
        <f>IFERROR(__xludf.DUMMYFUNCTION("""COMPUTED_VALUE"""),"#N/A")</f>
        <v>#N/A</v>
      </c>
      <c r="I3145" s="1">
        <f>IFERROR(__xludf.DUMMYFUNCTION("""COMPUTED_VALUE"""),9369706224)</f>
        <v>9369706224</v>
      </c>
      <c r="J3145" s="1"/>
      <c r="K3145" s="1"/>
      <c r="L3145" s="1" t="str">
        <f>IFERROR(__xludf.DUMMYFUNCTION("""COMPUTED_VALUE"""),"223")</f>
        <v>223</v>
      </c>
      <c r="M3145" s="1" t="str">
        <f>IFERROR(__xludf.DUMMYFUNCTION("""COMPUTED_VALUE"""),"VERDANUELLE ")</f>
        <v>VERDANUELLE </v>
      </c>
      <c r="N3145" s="1" t="str">
        <f>IFERROR(__xludf.DUMMYFUNCTION("""COMPUTED_VALUE"""),"#N/A")</f>
        <v>#N/A</v>
      </c>
      <c r="O3145" s="1" t="str">
        <f>IFERROR(__xludf.DUMMYFUNCTION("""COMPUTED_VALUE"""),"PULONG BUNGA")</f>
        <v>PULONG BUNGA</v>
      </c>
      <c r="P3145" s="1" t="str">
        <f>IFERROR(__xludf.DUMMYFUNCTION("""COMPUTED_VALUE"""),"SILANG")</f>
        <v>SILANG</v>
      </c>
      <c r="Q3145" s="1" t="str">
        <f>IFERROR(__xludf.DUMMYFUNCTION("""COMPUTED_VALUE"""),"CAVITE")</f>
        <v>CAVITE</v>
      </c>
      <c r="R3145" s="1" t="str">
        <f>IFERROR(__xludf.DUMMYFUNCTION("""COMPUTED_VALUE"""),"RED PLAN 1000")</f>
        <v>RED PLAN 1000</v>
      </c>
      <c r="S3145" s="1" t="str">
        <f>IFERROR(__xludf.DUMMYFUNCTION("""COMPUTED_VALUE"""),"APPROVED")</f>
        <v>APPROVED</v>
      </c>
      <c r="T3145" s="1" t="str">
        <f>IFERROR(__xludf.DUMMYFUNCTION("""COMPUTED_VALUE"""),"PENDING EMAIL VERIF")</f>
        <v>PENDING EMAIL VERIF</v>
      </c>
      <c r="U3145" s="1"/>
      <c r="V3145" s="1"/>
      <c r="W3145" s="1"/>
    </row>
    <row r="3146" customHeight="1" spans="1:23">
      <c r="A3146" s="3">
        <f>IFERROR(__xludf.DUMMYFUNCTION("""COMPUTED_VALUE"""),46283)</f>
        <v>46283</v>
      </c>
      <c r="B3146" s="1" t="str">
        <f>IFERROR(__xludf.DUMMYFUNCTION("""COMPUTED_VALUE"""),"TAMAYO, MARY ROSE")</f>
        <v>TAMAYO, MARY ROSE</v>
      </c>
      <c r="C3146" s="1" t="str">
        <f>IFERROR(__xludf.DUMMYFUNCTION("""COMPUTED_VALUE"""),"ORGANIC")</f>
        <v>ORGANIC</v>
      </c>
      <c r="D3146" s="1" t="str">
        <f>IFERROR(__xludf.DUMMYFUNCTION("""COMPUTED_VALUE"""),"REMOLLO LEA")</f>
        <v>REMOLLO LEA</v>
      </c>
      <c r="E3146" s="1" t="str">
        <f>IFERROR(__xludf.DUMMYFUNCTION("""COMPUTED_VALUE"""),"RED FIBER")</f>
        <v>RED FIBER</v>
      </c>
      <c r="F3146" s="1"/>
      <c r="G3146" s="1"/>
      <c r="H3146" s="1" t="str">
        <f>IFERROR(__xludf.DUMMYFUNCTION("""COMPUTED_VALUE"""),"#N/A")</f>
        <v>#N/A</v>
      </c>
      <c r="I3146" s="1"/>
      <c r="J3146" s="1"/>
      <c r="K3146" s="1"/>
      <c r="L3146" s="1" t="str">
        <f>IFERROR(__xludf.DUMMYFUNCTION("""COMPUTED_VALUE"""),"483")</f>
        <v>483</v>
      </c>
      <c r="M3146" s="1" t="str">
        <f>IFERROR(__xludf.DUMMYFUNCTION("""COMPUTED_VALUE"""),"PUROK 1")</f>
        <v>PUROK 1</v>
      </c>
      <c r="N3146" s="1" t="str">
        <f>IFERROR(__xludf.DUMMYFUNCTION("""COMPUTED_VALUE"""),"#N/A")</f>
        <v>#N/A</v>
      </c>
      <c r="O3146" s="1" t="str">
        <f>IFERROR(__xludf.DUMMYFUNCTION("""COMPUTED_VALUE"""),"PASONG LANGKA")</f>
        <v>PASONG LANGKA</v>
      </c>
      <c r="P3146" s="1" t="str">
        <f>IFERROR(__xludf.DUMMYFUNCTION("""COMPUTED_VALUE"""),"SILANG")</f>
        <v>SILANG</v>
      </c>
      <c r="Q3146" s="1" t="str">
        <f>IFERROR(__xludf.DUMMYFUNCTION("""COMPUTED_VALUE"""),"CAVITE")</f>
        <v>CAVITE</v>
      </c>
      <c r="R3146" s="1" t="str">
        <f>IFERROR(__xludf.DUMMYFUNCTION("""COMPUTED_VALUE"""),"RED PLAN 1000")</f>
        <v>RED PLAN 1000</v>
      </c>
      <c r="S3146" s="1" t="str">
        <f>IFERROR(__xludf.DUMMYFUNCTION("""COMPUTED_VALUE"""),"APPROVED")</f>
        <v>APPROVED</v>
      </c>
      <c r="T3146" s="1" t="str">
        <f>IFERROR(__xludf.DUMMYFUNCTION("""COMPUTED_VALUE"""),"PENDING EMAIL VERIF")</f>
        <v>PENDING EMAIL VERIF</v>
      </c>
      <c r="U3146" s="1"/>
      <c r="V3146" s="1"/>
      <c r="W3146" s="1"/>
    </row>
    <row r="3147" customHeight="1" spans="1:23">
      <c r="A3147" s="3">
        <f>IFERROR(__xludf.DUMMYFUNCTION("""COMPUTED_VALUE"""),46283)</f>
        <v>46283</v>
      </c>
      <c r="B3147" s="1" t="str">
        <f>IFERROR(__xludf.DUMMYFUNCTION("""COMPUTED_VALUE"""),"BAQUIT ,JAZMIN")</f>
        <v>BAQUIT ,JAZMIN</v>
      </c>
      <c r="C3147" s="1" t="str">
        <f>IFERROR(__xludf.DUMMYFUNCTION("""COMPUTED_VALUE"""),"ORGANIC")</f>
        <v>ORGANIC</v>
      </c>
      <c r="D3147" s="1" t="str">
        <f>IFERROR(__xludf.DUMMYFUNCTION("""COMPUTED_VALUE"""),"REMOLLO LEA")</f>
        <v>REMOLLO LEA</v>
      </c>
      <c r="E3147" s="1" t="str">
        <f>IFERROR(__xludf.DUMMYFUNCTION("""COMPUTED_VALUE"""),"PLDT / H2H")</f>
        <v>PLDT / H2H</v>
      </c>
      <c r="F3147" s="1"/>
      <c r="G3147" s="1">
        <f>IFERROR(__xludf.DUMMYFUNCTION("""COMPUTED_VALUE"""),2312660884)</f>
        <v>2312660884</v>
      </c>
      <c r="H3147" s="1" t="str">
        <f>IFERROR(__xludf.DUMMYFUNCTION("""COMPUTED_VALUE"""),"471926129004")</f>
        <v>471926129004</v>
      </c>
      <c r="I3147" s="1"/>
      <c r="J3147" s="1"/>
      <c r="K3147" s="1"/>
      <c r="L3147" s="1" t="str">
        <f>IFERROR(__xludf.DUMMYFUNCTION("""COMPUTED_VALUE"""),"#N/A")</f>
        <v>#N/A</v>
      </c>
      <c r="M3147" s="1" t="str">
        <f>IFERROR(__xludf.DUMMYFUNCTION("""COMPUTED_VALUE"""),"#N/A")</f>
        <v>#N/A</v>
      </c>
      <c r="N3147" s="1" t="str">
        <f>IFERROR(__xludf.DUMMYFUNCTION("""COMPUTED_VALUE"""),"#N/A")</f>
        <v>#N/A</v>
      </c>
      <c r="O3147" s="1" t="str">
        <f>IFERROR(__xludf.DUMMYFUNCTION("""COMPUTED_VALUE"""),"PASONG LANGKA")</f>
        <v>PASONG LANGKA</v>
      </c>
      <c r="P3147" s="1" t="str">
        <f>IFERROR(__xludf.DUMMYFUNCTION("""COMPUTED_VALUE"""),"SILANG")</f>
        <v>SILANG</v>
      </c>
      <c r="Q3147" s="1" t="str">
        <f>IFERROR(__xludf.DUMMYFUNCTION("""COMPUTED_VALUE"""),"CAVITE")</f>
        <v>CAVITE</v>
      </c>
      <c r="R3147" s="1" t="str">
        <f>IFERROR(__xludf.DUMMYFUNCTION("""COMPUTED_VALUE"""),"FIBR PLAN 1299")</f>
        <v>FIBR PLAN 1299</v>
      </c>
      <c r="S3147" s="1" t="str">
        <f>IFERROR(__xludf.DUMMYFUNCTION("""COMPUTED_VALUE"""),"APPROVED")</f>
        <v>APPROVED</v>
      </c>
      <c r="T3147" s="1" t="str">
        <f>IFERROR(__xludf.DUMMYFUNCTION("""COMPUTED_VALUE"""),"#N/A")</f>
        <v>#N/A</v>
      </c>
      <c r="U3147" s="1"/>
      <c r="V3147" s="1" t="str">
        <f>IFERROR(__xludf.DUMMYFUNCTION("""COMPUTED_VALUE"""),"NO 1 AMSF")</f>
        <v>NO 1 AMSF</v>
      </c>
      <c r="W3147" s="1"/>
    </row>
    <row r="3148" customHeight="1" spans="1:23">
      <c r="A3148" s="3">
        <f>IFERROR(__xludf.DUMMYFUNCTION("""COMPUTED_VALUE"""),46283)</f>
        <v>46283</v>
      </c>
      <c r="B3148" s="1" t="str">
        <f>IFERROR(__xludf.DUMMYFUNCTION("""COMPUTED_VALUE"""),"FRANCISCO , ROSELYN")</f>
        <v>FRANCISCO , ROSELYN</v>
      </c>
      <c r="C3148" s="1" t="str">
        <f>IFERROR(__xludf.DUMMYFUNCTION("""COMPUTED_VALUE"""),"ORGANIC")</f>
        <v>ORGANIC</v>
      </c>
      <c r="D3148" s="1" t="str">
        <f>IFERROR(__xludf.DUMMYFUNCTION("""COMPUTED_VALUE"""),"REMOLLO LEA")</f>
        <v>REMOLLO LEA</v>
      </c>
      <c r="E3148" s="1" t="str">
        <f>IFERROR(__xludf.DUMMYFUNCTION("""COMPUTED_VALUE"""),"RED FIBER")</f>
        <v>RED FIBER</v>
      </c>
      <c r="F3148" s="1"/>
      <c r="G3148" s="1"/>
      <c r="H3148" s="1" t="str">
        <f>IFERROR(__xludf.DUMMYFUNCTION("""COMPUTED_VALUE"""),"CS1366707 / WO0923616")</f>
        <v>CS1366707 / WO0923616</v>
      </c>
      <c r="I3148" s="1">
        <f>IFERROR(__xludf.DUMMYFUNCTION("""COMPUTED_VALUE"""),9214578391)</f>
        <v>9214578391</v>
      </c>
      <c r="J3148" s="1"/>
      <c r="K3148" s="1"/>
      <c r="L3148" s="1" t="str">
        <f>IFERROR(__xludf.DUMMYFUNCTION("""COMPUTED_VALUE"""),"24")</f>
        <v>24</v>
      </c>
      <c r="M3148" s="1" t="str">
        <f>IFERROR(__xludf.DUMMYFUNCTION("""COMPUTED_VALUE"""),"PUROK 1")</f>
        <v>PUROK 1</v>
      </c>
      <c r="N3148" s="1" t="str">
        <f>IFERROR(__xludf.DUMMYFUNCTION("""COMPUTED_VALUE"""),"#N/A")</f>
        <v>#N/A</v>
      </c>
      <c r="O3148" s="1" t="str">
        <f>IFERROR(__xludf.DUMMYFUNCTION("""COMPUTED_VALUE"""),"PASONG LANGKA")</f>
        <v>PASONG LANGKA</v>
      </c>
      <c r="P3148" s="1" t="str">
        <f>IFERROR(__xludf.DUMMYFUNCTION("""COMPUTED_VALUE"""),"SILANG")</f>
        <v>SILANG</v>
      </c>
      <c r="Q3148" s="1" t="str">
        <f>IFERROR(__xludf.DUMMYFUNCTION("""COMPUTED_VALUE"""),"CAVITE")</f>
        <v>CAVITE</v>
      </c>
      <c r="R3148" s="1" t="str">
        <f>IFERROR(__xludf.DUMMYFUNCTION("""COMPUTED_VALUE"""),"RED PLAN 1400")</f>
        <v>RED PLAN 1400</v>
      </c>
      <c r="S3148" s="1" t="str">
        <f>IFERROR(__xludf.DUMMYFUNCTION("""COMPUTED_VALUE"""),"APPROVED")</f>
        <v>APPROVED</v>
      </c>
      <c r="T3148" s="1" t="str">
        <f>IFERROR(__xludf.DUMMYFUNCTION("""COMPUTED_VALUE"""),"PAID - FOR INSTALLATION")</f>
        <v>PAID - FOR INSTALLATION</v>
      </c>
      <c r="U3148" s="1"/>
      <c r="V3148" s="1" t="str">
        <f>IFERROR(__xludf.DUMMYFUNCTION("""COMPUTED_VALUE"""),"WITH 1 AMSF")</f>
        <v>WITH 1 AMSF</v>
      </c>
      <c r="W3148" s="1"/>
    </row>
    <row r="3149" customHeight="1" spans="1:23">
      <c r="A3149" s="3">
        <f>IFERROR(__xludf.DUMMYFUNCTION("""COMPUTED_VALUE"""),46283)</f>
        <v>46283</v>
      </c>
      <c r="B3149" s="1" t="str">
        <f>IFERROR(__xludf.DUMMYFUNCTION("""COMPUTED_VALUE"""),"GABAY, MANUEL")</f>
        <v>GABAY, MANUEL</v>
      </c>
      <c r="C3149" s="1" t="str">
        <f>IFERROR(__xludf.DUMMYFUNCTION("""COMPUTED_VALUE"""),"FLA")</f>
        <v>FLA</v>
      </c>
      <c r="D3149" s="1" t="str">
        <f>IFERROR(__xludf.DUMMYFUNCTION("""COMPUTED_VALUE"""),"JERIC NAVARRO")</f>
        <v>JERIC NAVARRO</v>
      </c>
      <c r="E3149" s="1" t="str">
        <f>IFERROR(__xludf.DUMMYFUNCTION("""COMPUTED_VALUE"""),"PLDT / H2H")</f>
        <v>PLDT / H2H</v>
      </c>
      <c r="F3149" s="1"/>
      <c r="G3149" s="1">
        <f>IFERROR(__xludf.DUMMYFUNCTION("""COMPUTED_VALUE"""),2312663314)</f>
        <v>2312663314</v>
      </c>
      <c r="H3149" s="1" t="str">
        <f>IFERROR(__xludf.DUMMYFUNCTION("""COMPUTED_VALUE"""),"471934279004")</f>
        <v>471934279004</v>
      </c>
      <c r="I3149" s="1"/>
      <c r="J3149" s="1"/>
      <c r="K3149" s="1"/>
      <c r="L3149" s="1" t="str">
        <f>IFERROR(__xludf.DUMMYFUNCTION("""COMPUTED_VALUE"""),"#N/A")</f>
        <v>#N/A</v>
      </c>
      <c r="M3149" s="1" t="str">
        <f>IFERROR(__xludf.DUMMYFUNCTION("""COMPUTED_VALUE"""),"#N/A")</f>
        <v>#N/A</v>
      </c>
      <c r="N3149" s="1" t="str">
        <f>IFERROR(__xludf.DUMMYFUNCTION("""COMPUTED_VALUE"""),"#N/A")</f>
        <v>#N/A</v>
      </c>
      <c r="O3149" s="1" t="str">
        <f>IFERROR(__xludf.DUMMYFUNCTION("""COMPUTED_VALUE"""),"SALAWAG")</f>
        <v>SALAWAG</v>
      </c>
      <c r="P3149" s="1" t="str">
        <f>IFERROR(__xludf.DUMMYFUNCTION("""COMPUTED_VALUE"""),"DASMARINAS")</f>
        <v>DASMARINAS</v>
      </c>
      <c r="Q3149" s="1" t="str">
        <f>IFERROR(__xludf.DUMMYFUNCTION("""COMPUTED_VALUE"""),"CAVITE")</f>
        <v>CAVITE</v>
      </c>
      <c r="R3149" s="1" t="str">
        <f>IFERROR(__xludf.DUMMYFUNCTION("""COMPUTED_VALUE"""),"FIBR PLAN 1699")</f>
        <v>FIBR PLAN 1699</v>
      </c>
      <c r="S3149" s="1" t="str">
        <f>IFERROR(__xludf.DUMMYFUNCTION("""COMPUTED_VALUE"""),"APPROVED")</f>
        <v>APPROVED</v>
      </c>
      <c r="T3149" s="1" t="str">
        <f>IFERROR(__xludf.DUMMYFUNCTION("""COMPUTED_VALUE"""),"#N/A")</f>
        <v>#N/A</v>
      </c>
      <c r="U3149" s="1"/>
      <c r="V3149" s="1"/>
      <c r="W3149" s="1"/>
    </row>
    <row r="3150" customHeight="1" spans="1:23">
      <c r="A3150" s="3">
        <f>IFERROR(__xludf.DUMMYFUNCTION("""COMPUTED_VALUE"""),46283)</f>
        <v>46283</v>
      </c>
      <c r="B3150" s="1" t="str">
        <f>IFERROR(__xludf.DUMMYFUNCTION("""COMPUTED_VALUE"""),"MALIWAT MARK ELVIN")</f>
        <v>MALIWAT MARK ELVIN</v>
      </c>
      <c r="C3150" s="1" t="str">
        <f>IFERROR(__xludf.DUMMYFUNCTION("""COMPUTED_VALUE"""),"FLA")</f>
        <v>FLA</v>
      </c>
      <c r="D3150" s="1" t="str">
        <f>IFERROR(__xludf.DUMMYFUNCTION("""COMPUTED_VALUE"""),"JERIC NAVARRO")</f>
        <v>JERIC NAVARRO</v>
      </c>
      <c r="E3150" s="1" t="str">
        <f>IFERROR(__xludf.DUMMYFUNCTION("""COMPUTED_VALUE"""),"PLDT / ONLINE")</f>
        <v>PLDT / ONLINE</v>
      </c>
      <c r="F3150" s="1"/>
      <c r="G3150" s="1">
        <f>IFERROR(__xludf.DUMMYFUNCTION("""COMPUTED_VALUE"""),2312665926)</f>
        <v>2312665926</v>
      </c>
      <c r="H3150" s="1" t="str">
        <f>IFERROR(__xludf.DUMMYFUNCTION("""COMPUTED_VALUE"""),"471962030004")</f>
        <v>471962030004</v>
      </c>
      <c r="I3150" s="1"/>
      <c r="J3150" s="1"/>
      <c r="K3150" s="1"/>
      <c r="L3150" s="1" t="str">
        <f>IFERROR(__xludf.DUMMYFUNCTION("""COMPUTED_VALUE"""),"#N/A")</f>
        <v>#N/A</v>
      </c>
      <c r="M3150" s="1" t="str">
        <f>IFERROR(__xludf.DUMMYFUNCTION("""COMPUTED_VALUE"""),"#N/A")</f>
        <v>#N/A</v>
      </c>
      <c r="N3150" s="1" t="str">
        <f>IFERROR(__xludf.DUMMYFUNCTION("""COMPUTED_VALUE"""),"#N/A")</f>
        <v>#N/A</v>
      </c>
      <c r="O3150" s="1" t="str">
        <f>IFERROR(__xludf.DUMMYFUNCTION("""COMPUTED_VALUE"""),"SANTA CRISTINA I")</f>
        <v>SANTA CRISTINA I</v>
      </c>
      <c r="P3150" s="1" t="str">
        <f>IFERROR(__xludf.DUMMYFUNCTION("""COMPUTED_VALUE"""),"DASMARINAS")</f>
        <v>DASMARINAS</v>
      </c>
      <c r="Q3150" s="1" t="str">
        <f>IFERROR(__xludf.DUMMYFUNCTION("""COMPUTED_VALUE"""),"CAVITE")</f>
        <v>CAVITE</v>
      </c>
      <c r="R3150" s="1" t="str">
        <f>IFERROR(__xludf.DUMMYFUNCTION("""COMPUTED_VALUE"""),"FIBR PLAN 1299")</f>
        <v>FIBR PLAN 1299</v>
      </c>
      <c r="S3150" s="1" t="str">
        <f>IFERROR(__xludf.DUMMYFUNCTION("""COMPUTED_VALUE"""),"APPROVED")</f>
        <v>APPROVED</v>
      </c>
      <c r="T3150" s="1" t="str">
        <f>IFERROR(__xludf.DUMMYFUNCTION("""COMPUTED_VALUE"""),"#N/A")</f>
        <v>#N/A</v>
      </c>
      <c r="U3150" s="1"/>
      <c r="V3150" s="1"/>
      <c r="W3150" s="1"/>
    </row>
    <row r="3151" customHeight="1" spans="1:23">
      <c r="A3151" s="3">
        <f>IFERROR(__xludf.DUMMYFUNCTION("""COMPUTED_VALUE"""),46283)</f>
        <v>46283</v>
      </c>
      <c r="B3151" s="1" t="str">
        <f>IFERROR(__xludf.DUMMYFUNCTION("""COMPUTED_VALUE"""),"CADERAO, RONALD")</f>
        <v>CADERAO, RONALD</v>
      </c>
      <c r="C3151" s="1" t="str">
        <f>IFERROR(__xludf.DUMMYFUNCTION("""COMPUTED_VALUE"""),"ORGANIC")</f>
        <v>ORGANIC</v>
      </c>
      <c r="D3151" s="1" t="str">
        <f>IFERROR(__xludf.DUMMYFUNCTION("""COMPUTED_VALUE"""),"REMOLLO LEA")</f>
        <v>REMOLLO LEA</v>
      </c>
      <c r="E3151" s="1" t="str">
        <f>IFERROR(__xludf.DUMMYFUNCTION("""COMPUTED_VALUE"""),"PLDT / H2H")</f>
        <v>PLDT / H2H</v>
      </c>
      <c r="F3151" s="1"/>
      <c r="G3151" s="1">
        <f>IFERROR(__xludf.DUMMYFUNCTION("""COMPUTED_VALUE"""),2312666238)</f>
        <v>2312666238</v>
      </c>
      <c r="H3151" s="1" t="str">
        <f>IFERROR(__xludf.DUMMYFUNCTION("""COMPUTED_VALUE"""),"471954536004")</f>
        <v>471954536004</v>
      </c>
      <c r="I3151" s="1"/>
      <c r="J3151" s="1"/>
      <c r="K3151" s="1"/>
      <c r="L3151" s="1" t="str">
        <f>IFERROR(__xludf.DUMMYFUNCTION("""COMPUTED_VALUE"""),"#N/A")</f>
        <v>#N/A</v>
      </c>
      <c r="M3151" s="1" t="str">
        <f>IFERROR(__xludf.DUMMYFUNCTION("""COMPUTED_VALUE"""),"#N/A")</f>
        <v>#N/A</v>
      </c>
      <c r="N3151" s="1" t="str">
        <f>IFERROR(__xludf.DUMMYFUNCTION("""COMPUTED_VALUE"""),"#N/A")</f>
        <v>#N/A</v>
      </c>
      <c r="O3151" s="1" t="str">
        <f>IFERROR(__xludf.DUMMYFUNCTION("""COMPUTED_VALUE"""),"IPIL II")</f>
        <v>IPIL II</v>
      </c>
      <c r="P3151" s="1" t="str">
        <f>IFERROR(__xludf.DUMMYFUNCTION("""COMPUTED_VALUE"""),"SILANG")</f>
        <v>SILANG</v>
      </c>
      <c r="Q3151" s="1" t="str">
        <f>IFERROR(__xludf.DUMMYFUNCTION("""COMPUTED_VALUE"""),"CAVITE")</f>
        <v>CAVITE</v>
      </c>
      <c r="R3151" s="1" t="str">
        <f>IFERROR(__xludf.DUMMYFUNCTION("""COMPUTED_VALUE"""),"FIBR UNLI ALL PLAN 1499")</f>
        <v>FIBR UNLI ALL PLAN 1499</v>
      </c>
      <c r="S3151" s="1" t="str">
        <f>IFERROR(__xludf.DUMMYFUNCTION("""COMPUTED_VALUE"""),"APPROVED")</f>
        <v>APPROVED</v>
      </c>
      <c r="T3151" s="1" t="str">
        <f>IFERROR(__xludf.DUMMYFUNCTION("""COMPUTED_VALUE"""),"#N/A")</f>
        <v>#N/A</v>
      </c>
      <c r="U3151" s="1"/>
      <c r="V3151" s="1" t="str">
        <f>IFERROR(__xludf.DUMMYFUNCTION("""COMPUTED_VALUE"""),"NO 1 AMSF")</f>
        <v>NO 1 AMSF</v>
      </c>
      <c r="W3151" s="1"/>
    </row>
    <row r="3152" customHeight="1" spans="1:23">
      <c r="A3152" s="3">
        <f>IFERROR(__xludf.DUMMYFUNCTION("""COMPUTED_VALUE"""),46284)</f>
        <v>46284</v>
      </c>
      <c r="B3152" s="1" t="str">
        <f>IFERROR(__xludf.DUMMYFUNCTION("""COMPUTED_VALUE"""),"REMOLLO, LEA")</f>
        <v>REMOLLO, LEA</v>
      </c>
      <c r="C3152" s="1" t="str">
        <f>IFERROR(__xludf.DUMMYFUNCTION("""COMPUTED_VALUE"""),"FLA")</f>
        <v>FLA</v>
      </c>
      <c r="D3152" s="1" t="str">
        <f>IFERROR(__xludf.DUMMYFUNCTION("""COMPUTED_VALUE"""),"JERIC NAVARRO")</f>
        <v>JERIC NAVARRO</v>
      </c>
      <c r="E3152" s="1" t="str">
        <f>IFERROR(__xludf.DUMMYFUNCTION("""COMPUTED_VALUE"""),"PLDT / ONLINE")</f>
        <v>PLDT / ONLINE</v>
      </c>
      <c r="F3152" s="1"/>
      <c r="G3152" s="1">
        <f>IFERROR(__xludf.DUMMYFUNCTION("""COMPUTED_VALUE"""),2312674578)</f>
        <v>2312674578</v>
      </c>
      <c r="H3152" s="1" t="str">
        <f>IFERROR(__xludf.DUMMYFUNCTION("""COMPUTED_VALUE"""),"472018055004")</f>
        <v>472018055004</v>
      </c>
      <c r="I3152" s="1"/>
      <c r="J3152" s="1"/>
      <c r="K3152" s="1"/>
      <c r="L3152" s="1" t="str">
        <f>IFERROR(__xludf.DUMMYFUNCTION("""COMPUTED_VALUE"""),"#N/A")</f>
        <v>#N/A</v>
      </c>
      <c r="M3152" s="1" t="str">
        <f>IFERROR(__xludf.DUMMYFUNCTION("""COMPUTED_VALUE"""),"#N/A")</f>
        <v>#N/A</v>
      </c>
      <c r="N3152" s="1" t="str">
        <f>IFERROR(__xludf.DUMMYFUNCTION("""COMPUTED_VALUE"""),"#N/A")</f>
        <v>#N/A</v>
      </c>
      <c r="O3152" s="1" t="str">
        <f>IFERROR(__xludf.DUMMYFUNCTION("""COMPUTED_VALUE"""),"MALAGASANG II-B")</f>
        <v>MALAGASANG II-B</v>
      </c>
      <c r="P3152" s="1" t="str">
        <f>IFERROR(__xludf.DUMMYFUNCTION("""COMPUTED_VALUE"""),"IMUS")</f>
        <v>IMUS</v>
      </c>
      <c r="Q3152" s="1" t="str">
        <f>IFERROR(__xludf.DUMMYFUNCTION("""COMPUTED_VALUE"""),"CAVITE")</f>
        <v>CAVITE</v>
      </c>
      <c r="R3152" s="1" t="str">
        <f>IFERROR(__xludf.DUMMYFUNCTION("""COMPUTED_VALUE"""),"FIBR PLAN 1699")</f>
        <v>FIBR PLAN 1699</v>
      </c>
      <c r="S3152" s="1" t="str">
        <f>IFERROR(__xludf.DUMMYFUNCTION("""COMPUTED_VALUE"""),"APPROVED")</f>
        <v>APPROVED</v>
      </c>
      <c r="T3152" s="1" t="str">
        <f>IFERROR(__xludf.DUMMYFUNCTION("""COMPUTED_VALUE"""),"#N/A")</f>
        <v>#N/A</v>
      </c>
      <c r="U3152" s="1"/>
      <c r="V3152" s="1"/>
      <c r="W3152" s="1"/>
    </row>
    <row r="3153" customHeight="1" spans="1:23">
      <c r="A3153" s="3">
        <f>IFERROR(__xludf.DUMMYFUNCTION("""COMPUTED_VALUE"""),46284)</f>
        <v>46284</v>
      </c>
      <c r="B3153" s="1" t="str">
        <f>IFERROR(__xludf.DUMMYFUNCTION("""COMPUTED_VALUE"""),"MAGDARAOG, KENNETH")</f>
        <v>MAGDARAOG, KENNETH</v>
      </c>
      <c r="C3153" s="1" t="str">
        <f>IFERROR(__xludf.DUMMYFUNCTION("""COMPUTED_VALUE"""),"ORGANIC")</f>
        <v>ORGANIC</v>
      </c>
      <c r="D3153" s="1" t="str">
        <f>IFERROR(__xludf.DUMMYFUNCTION("""COMPUTED_VALUE"""),"REMOLLO LEA")</f>
        <v>REMOLLO LEA</v>
      </c>
      <c r="E3153" s="1" t="str">
        <f>IFERROR(__xludf.DUMMYFUNCTION("""COMPUTED_VALUE"""),"PLDT / H2H")</f>
        <v>PLDT / H2H</v>
      </c>
      <c r="F3153" s="1"/>
      <c r="G3153" s="1">
        <f>IFERROR(__xludf.DUMMYFUNCTION("""COMPUTED_VALUE"""),2312676030)</f>
        <v>2312676030</v>
      </c>
      <c r="H3153" s="1" t="str">
        <f>IFERROR(__xludf.DUMMYFUNCTION("""COMPUTED_VALUE"""),"472018697004")</f>
        <v>472018697004</v>
      </c>
      <c r="I3153" s="1"/>
      <c r="J3153" s="1"/>
      <c r="K3153" s="1"/>
      <c r="L3153" s="1" t="str">
        <f>IFERROR(__xludf.DUMMYFUNCTION("""COMPUTED_VALUE"""),"#N/A")</f>
        <v>#N/A</v>
      </c>
      <c r="M3153" s="1" t="str">
        <f>IFERROR(__xludf.DUMMYFUNCTION("""COMPUTED_VALUE"""),"#N/A")</f>
        <v>#N/A</v>
      </c>
      <c r="N3153" s="1" t="str">
        <f>IFERROR(__xludf.DUMMYFUNCTION("""COMPUTED_VALUE"""),"#N/A")</f>
        <v>#N/A</v>
      </c>
      <c r="O3153" s="1" t="str">
        <f>IFERROR(__xludf.DUMMYFUNCTION("""COMPUTED_VALUE"""),"SABUTAN")</f>
        <v>SABUTAN</v>
      </c>
      <c r="P3153" s="1" t="str">
        <f>IFERROR(__xludf.DUMMYFUNCTION("""COMPUTED_VALUE"""),"SILANG")</f>
        <v>SILANG</v>
      </c>
      <c r="Q3153" s="1" t="str">
        <f>IFERROR(__xludf.DUMMYFUNCTION("""COMPUTED_VALUE"""),"CAVITE")</f>
        <v>CAVITE</v>
      </c>
      <c r="R3153" s="1" t="str">
        <f>IFERROR(__xludf.DUMMYFUNCTION("""COMPUTED_VALUE"""),"FIBR PLAN 1299")</f>
        <v>FIBR PLAN 1299</v>
      </c>
      <c r="S3153" s="1" t="str">
        <f>IFERROR(__xludf.DUMMYFUNCTION("""COMPUTED_VALUE"""),"APPROVED")</f>
        <v>APPROVED</v>
      </c>
      <c r="T3153" s="1" t="str">
        <f>IFERROR(__xludf.DUMMYFUNCTION("""COMPUTED_VALUE"""),"#N/A")</f>
        <v>#N/A</v>
      </c>
      <c r="U3153" s="1"/>
      <c r="V3153" s="1" t="str">
        <f>IFERROR(__xludf.DUMMYFUNCTION("""COMPUTED_VALUE"""),"NO 1 AMSF")</f>
        <v>NO 1 AMSF</v>
      </c>
      <c r="W3153" s="1"/>
    </row>
    <row r="3154" customHeight="1" spans="1:23">
      <c r="A3154" s="3">
        <f>IFERROR(__xludf.DUMMYFUNCTION("""COMPUTED_VALUE"""),46284)</f>
        <v>46284</v>
      </c>
      <c r="B3154" s="1" t="str">
        <f>IFERROR(__xludf.DUMMYFUNCTION("""COMPUTED_VALUE"""),"CADERAO, RONALD")</f>
        <v>CADERAO, RONALD</v>
      </c>
      <c r="C3154" s="1" t="str">
        <f>IFERROR(__xludf.DUMMYFUNCTION("""COMPUTED_VALUE"""),"ORGANIC")</f>
        <v>ORGANIC</v>
      </c>
      <c r="D3154" s="1" t="str">
        <f>IFERROR(__xludf.DUMMYFUNCTION("""COMPUTED_VALUE"""),"REMOLLO LEA")</f>
        <v>REMOLLO LEA</v>
      </c>
      <c r="E3154" s="1" t="str">
        <f>IFERROR(__xludf.DUMMYFUNCTION("""COMPUTED_VALUE"""),"PLDT / H2H")</f>
        <v>PLDT / H2H</v>
      </c>
      <c r="F3154" s="1"/>
      <c r="G3154" s="1">
        <f>IFERROR(__xludf.DUMMYFUNCTION("""COMPUTED_VALUE"""),2312676340)</f>
        <v>2312676340</v>
      </c>
      <c r="H3154" s="1" t="str">
        <f>IFERROR(__xludf.DUMMYFUNCTION("""COMPUTED_VALUE"""),"472017959004")</f>
        <v>472017959004</v>
      </c>
      <c r="I3154" s="1"/>
      <c r="J3154" s="1"/>
      <c r="K3154" s="1"/>
      <c r="L3154" s="1" t="str">
        <f>IFERROR(__xludf.DUMMYFUNCTION("""COMPUTED_VALUE"""),"#N/A")</f>
        <v>#N/A</v>
      </c>
      <c r="M3154" s="1" t="str">
        <f>IFERROR(__xludf.DUMMYFUNCTION("""COMPUTED_VALUE"""),"#N/A")</f>
        <v>#N/A</v>
      </c>
      <c r="N3154" s="1" t="str">
        <f>IFERROR(__xludf.DUMMYFUNCTION("""COMPUTED_VALUE"""),"#N/A")</f>
        <v>#N/A</v>
      </c>
      <c r="O3154" s="1" t="str">
        <f>IFERROR(__xludf.DUMMYFUNCTION("""COMPUTED_VALUE"""),"DAGATAN")</f>
        <v>DAGATAN</v>
      </c>
      <c r="P3154" s="1" t="str">
        <f>IFERROR(__xludf.DUMMYFUNCTION("""COMPUTED_VALUE"""),"AMADEO")</f>
        <v>AMADEO</v>
      </c>
      <c r="Q3154" s="1" t="str">
        <f>IFERROR(__xludf.DUMMYFUNCTION("""COMPUTED_VALUE"""),"CAVITE")</f>
        <v>CAVITE</v>
      </c>
      <c r="R3154" s="1" t="str">
        <f>IFERROR(__xludf.DUMMYFUNCTION("""COMPUTED_VALUE"""),"FIBR PLAN 1299")</f>
        <v>FIBR PLAN 1299</v>
      </c>
      <c r="S3154" s="1" t="str">
        <f>IFERROR(__xludf.DUMMYFUNCTION("""COMPUTED_VALUE"""),"APPROVED")</f>
        <v>APPROVED</v>
      </c>
      <c r="T3154" s="1" t="str">
        <f>IFERROR(__xludf.DUMMYFUNCTION("""COMPUTED_VALUE"""),"#N/A")</f>
        <v>#N/A</v>
      </c>
      <c r="U3154" s="1"/>
      <c r="V3154" s="1" t="str">
        <f>IFERROR(__xludf.DUMMYFUNCTION("""COMPUTED_VALUE"""),"NO 1 AMSF")</f>
        <v>NO 1 AMSF</v>
      </c>
      <c r="W3154" s="1"/>
    </row>
    <row r="3155" customHeight="1" spans="1:23">
      <c r="A3155" s="3">
        <f>IFERROR(__xludf.DUMMYFUNCTION("""COMPUTED_VALUE"""),46284)</f>
        <v>46284</v>
      </c>
      <c r="B3155" s="1" t="str">
        <f>IFERROR(__xludf.DUMMYFUNCTION("""COMPUTED_VALUE"""),"TAMAYO, MARY ROSE")</f>
        <v>TAMAYO, MARY ROSE</v>
      </c>
      <c r="C3155" s="1" t="str">
        <f>IFERROR(__xludf.DUMMYFUNCTION("""COMPUTED_VALUE"""),"ORGANIC")</f>
        <v>ORGANIC</v>
      </c>
      <c r="D3155" s="1" t="str">
        <f>IFERROR(__xludf.DUMMYFUNCTION("""COMPUTED_VALUE"""),"REMOLLO LEA")</f>
        <v>REMOLLO LEA</v>
      </c>
      <c r="E3155" s="1" t="str">
        <f>IFERROR(__xludf.DUMMYFUNCTION("""COMPUTED_VALUE"""),"PLDT / H2H")</f>
        <v>PLDT / H2H</v>
      </c>
      <c r="F3155" s="1"/>
      <c r="G3155" s="1">
        <f>IFERROR(__xludf.DUMMYFUNCTION("""COMPUTED_VALUE"""),2312676838)</f>
        <v>2312676838</v>
      </c>
      <c r="H3155" s="1" t="str">
        <f>IFERROR(__xludf.DUMMYFUNCTION("""COMPUTED_VALUE"""),"#N/A")</f>
        <v>#N/A</v>
      </c>
      <c r="I3155" s="1"/>
      <c r="J3155" s="1"/>
      <c r="K3155" s="1"/>
      <c r="L3155" s="1" t="str">
        <f>IFERROR(__xludf.DUMMYFUNCTION("""COMPUTED_VALUE"""),"#N/A")</f>
        <v>#N/A</v>
      </c>
      <c r="M3155" s="1" t="str">
        <f>IFERROR(__xludf.DUMMYFUNCTION("""COMPUTED_VALUE"""),"#N/A")</f>
        <v>#N/A</v>
      </c>
      <c r="N3155" s="1" t="str">
        <f>IFERROR(__xludf.DUMMYFUNCTION("""COMPUTED_VALUE"""),"#N/A")</f>
        <v>#N/A</v>
      </c>
      <c r="O3155" s="1" t="str">
        <f>IFERROR(__xludf.DUMMYFUNCTION("""COMPUTED_VALUE"""),"PATUTONG MALAKI SOUTH")</f>
        <v>PATUTONG MALAKI SOUTH</v>
      </c>
      <c r="P3155" s="1" t="str">
        <f>IFERROR(__xludf.DUMMYFUNCTION("""COMPUTED_VALUE"""),"TAGAYTAY")</f>
        <v>TAGAYTAY</v>
      </c>
      <c r="Q3155" s="1" t="str">
        <f>IFERROR(__xludf.DUMMYFUNCTION("""COMPUTED_VALUE"""),"CAVITE")</f>
        <v>CAVITE</v>
      </c>
      <c r="R3155" s="1" t="str">
        <f>IFERROR(__xludf.DUMMYFUNCTION("""COMPUTED_VALUE"""),"FIBR PLAN 1299")</f>
        <v>FIBR PLAN 1299</v>
      </c>
      <c r="S3155" s="1" t="str">
        <f>IFERROR(__xludf.DUMMYFUNCTION("""COMPUTED_VALUE"""),"APPROVED")</f>
        <v>APPROVED</v>
      </c>
      <c r="T3155" s="1" t="str">
        <f>IFERROR(__xludf.DUMMYFUNCTION("""COMPUTED_VALUE"""),"#N/A")</f>
        <v>#N/A</v>
      </c>
      <c r="U3155" s="1"/>
      <c r="V3155" s="1"/>
      <c r="W3155" s="1"/>
    </row>
    <row r="3156" customHeight="1" spans="1:23">
      <c r="A3156" s="3">
        <f>IFERROR(__xludf.DUMMYFUNCTION("""COMPUTED_VALUE"""),46284)</f>
        <v>46284</v>
      </c>
      <c r="B3156" s="1" t="str">
        <f>IFERROR(__xludf.DUMMYFUNCTION("""COMPUTED_VALUE"""),"DEPOSITARIO, IAN")</f>
        <v>DEPOSITARIO, IAN</v>
      </c>
      <c r="C3156" s="1" t="str">
        <f>IFERROR(__xludf.DUMMYFUNCTION("""COMPUTED_VALUE"""),"ORGANIC")</f>
        <v>ORGANIC</v>
      </c>
      <c r="D3156" s="1" t="str">
        <f>IFERROR(__xludf.DUMMYFUNCTION("""COMPUTED_VALUE"""),"REMOLLO LEA")</f>
        <v>REMOLLO LEA</v>
      </c>
      <c r="E3156" s="1" t="str">
        <f>IFERROR(__xludf.DUMMYFUNCTION("""COMPUTED_VALUE"""),"PLDT / H2H")</f>
        <v>PLDT / H2H</v>
      </c>
      <c r="F3156" s="1"/>
      <c r="G3156" s="1">
        <f>IFERROR(__xludf.DUMMYFUNCTION("""COMPUTED_VALUE"""),2312677126)</f>
        <v>2312677126</v>
      </c>
      <c r="H3156" s="1" t="str">
        <f>IFERROR(__xludf.DUMMYFUNCTION("""COMPUTED_VALUE"""),"472019455004")</f>
        <v>472019455004</v>
      </c>
      <c r="I3156" s="1"/>
      <c r="J3156" s="1"/>
      <c r="K3156" s="1"/>
      <c r="L3156" s="1" t="str">
        <f>IFERROR(__xludf.DUMMYFUNCTION("""COMPUTED_VALUE"""),"#N/A")</f>
        <v>#N/A</v>
      </c>
      <c r="M3156" s="1" t="str">
        <f>IFERROR(__xludf.DUMMYFUNCTION("""COMPUTED_VALUE"""),"#N/A")</f>
        <v>#N/A</v>
      </c>
      <c r="N3156" s="1" t="str">
        <f>IFERROR(__xludf.DUMMYFUNCTION("""COMPUTED_VALUE"""),"#N/A")</f>
        <v>#N/A</v>
      </c>
      <c r="O3156" s="1" t="str">
        <f>IFERROR(__xludf.DUMMYFUNCTION("""COMPUTED_VALUE"""),"ASIS I")</f>
        <v>ASIS I</v>
      </c>
      <c r="P3156" s="1" t="str">
        <f>IFERROR(__xludf.DUMMYFUNCTION("""COMPUTED_VALUE"""),"MENDEZ")</f>
        <v>MENDEZ</v>
      </c>
      <c r="Q3156" s="1" t="str">
        <f>IFERROR(__xludf.DUMMYFUNCTION("""COMPUTED_VALUE"""),"CAVITE")</f>
        <v>CAVITE</v>
      </c>
      <c r="R3156" s="1" t="str">
        <f>IFERROR(__xludf.DUMMYFUNCTION("""COMPUTED_VALUE"""),"FIBR UNLI ALL PLAN 1499")</f>
        <v>FIBR UNLI ALL PLAN 1499</v>
      </c>
      <c r="S3156" s="1" t="str">
        <f>IFERROR(__xludf.DUMMYFUNCTION("""COMPUTED_VALUE"""),"APPROVED")</f>
        <v>APPROVED</v>
      </c>
      <c r="T3156" s="1" t="str">
        <f>IFERROR(__xludf.DUMMYFUNCTION("""COMPUTED_VALUE"""),"#N/A")</f>
        <v>#N/A</v>
      </c>
      <c r="U3156" s="1"/>
      <c r="V3156" s="1" t="str">
        <f>IFERROR(__xludf.DUMMYFUNCTION("""COMPUTED_VALUE"""),"NO 1 AMSF")</f>
        <v>NO 1 AMSF</v>
      </c>
      <c r="W3156" s="1"/>
    </row>
    <row r="3157" customHeight="1" spans="1:23">
      <c r="A3157" s="3">
        <f>IFERROR(__xludf.DUMMYFUNCTION("""COMPUTED_VALUE"""),46284)</f>
        <v>46284</v>
      </c>
      <c r="B3157" s="1" t="str">
        <f>IFERROR(__xludf.DUMMYFUNCTION("""COMPUTED_VALUE"""),"BAQUIT ,JAZMIN")</f>
        <v>BAQUIT ,JAZMIN</v>
      </c>
      <c r="C3157" s="1" t="str">
        <f>IFERROR(__xludf.DUMMYFUNCTION("""COMPUTED_VALUE"""),"ORGANIC")</f>
        <v>ORGANIC</v>
      </c>
      <c r="D3157" s="1" t="str">
        <f>IFERROR(__xludf.DUMMYFUNCTION("""COMPUTED_VALUE"""),"REMOLLO LEA")</f>
        <v>REMOLLO LEA</v>
      </c>
      <c r="E3157" s="1" t="str">
        <f>IFERROR(__xludf.DUMMYFUNCTION("""COMPUTED_VALUE"""),"PLDT / ONLINE")</f>
        <v>PLDT / ONLINE</v>
      </c>
      <c r="F3157" s="1"/>
      <c r="G3157" s="1">
        <f>IFERROR(__xludf.DUMMYFUNCTION("""COMPUTED_VALUE"""),2312679296)</f>
        <v>2312679296</v>
      </c>
      <c r="H3157" s="1" t="str">
        <f>IFERROR(__xludf.DUMMYFUNCTION("""COMPUTED_VALUE"""),"472032215004")</f>
        <v>472032215004</v>
      </c>
      <c r="I3157" s="1"/>
      <c r="J3157" s="1"/>
      <c r="K3157" s="1"/>
      <c r="L3157" s="1" t="str">
        <f>IFERROR(__xludf.DUMMYFUNCTION("""COMPUTED_VALUE"""),"#N/A")</f>
        <v>#N/A</v>
      </c>
      <c r="M3157" s="1" t="str">
        <f>IFERROR(__xludf.DUMMYFUNCTION("""COMPUTED_VALUE"""),"#N/A")</f>
        <v>#N/A</v>
      </c>
      <c r="N3157" s="1" t="str">
        <f>IFERROR(__xludf.DUMMYFUNCTION("""COMPUTED_VALUE"""),"#N/A")</f>
        <v>#N/A</v>
      </c>
      <c r="O3157" s="1" t="str">
        <f>IFERROR(__xludf.DUMMYFUNCTION("""COMPUTED_VALUE"""),"SAN GABRIEL (AREA K)")</f>
        <v>SAN GABRIEL (AREA K)</v>
      </c>
      <c r="P3157" s="1" t="str">
        <f>IFERROR(__xludf.DUMMYFUNCTION("""COMPUTED_VALUE"""),"GEN MARIANO ALVAREZ")</f>
        <v>GEN MARIANO ALVAREZ</v>
      </c>
      <c r="Q3157" s="1" t="str">
        <f>IFERROR(__xludf.DUMMYFUNCTION("""COMPUTED_VALUE"""),"CAVITE")</f>
        <v>CAVITE</v>
      </c>
      <c r="R3157" s="1" t="str">
        <f>IFERROR(__xludf.DUMMYFUNCTION("""COMPUTED_VALUE"""),"FIBR UNLI ALL PLAN 999")</f>
        <v>FIBR UNLI ALL PLAN 999</v>
      </c>
      <c r="S3157" s="1" t="str">
        <f>IFERROR(__xludf.DUMMYFUNCTION("""COMPUTED_VALUE"""),"APPROVED")</f>
        <v>APPROVED</v>
      </c>
      <c r="T3157" s="1" t="str">
        <f>IFERROR(__xludf.DUMMYFUNCTION("""COMPUTED_VALUE"""),"#N/A")</f>
        <v>#N/A</v>
      </c>
      <c r="U3157" s="1"/>
      <c r="V3157" s="1"/>
      <c r="W3157" s="1"/>
    </row>
    <row r="3158" customHeight="1" spans="1:23">
      <c r="A3158" s="3">
        <f>IFERROR(__xludf.DUMMYFUNCTION("""COMPUTED_VALUE"""),46284)</f>
        <v>46284</v>
      </c>
      <c r="B3158" s="1" t="str">
        <f>IFERROR(__xludf.DUMMYFUNCTION("""COMPUTED_VALUE"""),"MAGDARAOG, KENNETH")</f>
        <v>MAGDARAOG, KENNETH</v>
      </c>
      <c r="C3158" s="1" t="str">
        <f>IFERROR(__xludf.DUMMYFUNCTION("""COMPUTED_VALUE"""),"ORGANIC")</f>
        <v>ORGANIC</v>
      </c>
      <c r="D3158" s="1" t="str">
        <f>IFERROR(__xludf.DUMMYFUNCTION("""COMPUTED_VALUE"""),"REMOLLO LEA")</f>
        <v>REMOLLO LEA</v>
      </c>
      <c r="E3158" s="1" t="str">
        <f>IFERROR(__xludf.DUMMYFUNCTION("""COMPUTED_VALUE"""),"PLDT / H2H")</f>
        <v>PLDT / H2H</v>
      </c>
      <c r="F3158" s="1"/>
      <c r="G3158" s="1">
        <f>IFERROR(__xludf.DUMMYFUNCTION("""COMPUTED_VALUE"""),2312679569)</f>
        <v>2312679569</v>
      </c>
      <c r="H3158" s="1" t="str">
        <f>IFERROR(__xludf.DUMMYFUNCTION("""COMPUTED_VALUE"""),"472032162004")</f>
        <v>472032162004</v>
      </c>
      <c r="I3158" s="1"/>
      <c r="J3158" s="1"/>
      <c r="K3158" s="1"/>
      <c r="L3158" s="1" t="str">
        <f>IFERROR(__xludf.DUMMYFUNCTION("""COMPUTED_VALUE"""),"#N/A")</f>
        <v>#N/A</v>
      </c>
      <c r="M3158" s="1" t="str">
        <f>IFERROR(__xludf.DUMMYFUNCTION("""COMPUTED_VALUE"""),"#N/A")</f>
        <v>#N/A</v>
      </c>
      <c r="N3158" s="1" t="str">
        <f>IFERROR(__xludf.DUMMYFUNCTION("""COMPUTED_VALUE"""),"#N/A")</f>
        <v>#N/A</v>
      </c>
      <c r="O3158" s="1" t="str">
        <f>IFERROR(__xludf.DUMMYFUNCTION("""COMPUTED_VALUE"""),"FRANCISCO (SAN FRANCISCO)")</f>
        <v>FRANCISCO (SAN FRANCISCO)</v>
      </c>
      <c r="P3158" s="1" t="str">
        <f>IFERROR(__xludf.DUMMYFUNCTION("""COMPUTED_VALUE"""),"TAGAYTAY")</f>
        <v>TAGAYTAY</v>
      </c>
      <c r="Q3158" s="1" t="str">
        <f>IFERROR(__xludf.DUMMYFUNCTION("""COMPUTED_VALUE"""),"CAVITE")</f>
        <v>CAVITE</v>
      </c>
      <c r="R3158" s="1" t="str">
        <f>IFERROR(__xludf.DUMMYFUNCTION("""COMPUTED_VALUE"""),"FIBR UNLI ALL PLAN 1499")</f>
        <v>FIBR UNLI ALL PLAN 1499</v>
      </c>
      <c r="S3158" s="1" t="str">
        <f>IFERROR(__xludf.DUMMYFUNCTION("""COMPUTED_VALUE"""),"APPROVED")</f>
        <v>APPROVED</v>
      </c>
      <c r="T3158" s="1" t="str">
        <f>IFERROR(__xludf.DUMMYFUNCTION("""COMPUTED_VALUE"""),"#N/A")</f>
        <v>#N/A</v>
      </c>
      <c r="U3158" s="1" t="str">
        <f>IFERROR(__xludf.DUMMYFUNCTION("""COMPUTED_VALUE"""),"RPR - NAP FULL")</f>
        <v>RPR - NAP FULL</v>
      </c>
      <c r="V3158" s="1" t="str">
        <f>IFERROR(__xludf.DUMMYFUNCTION("""COMPUTED_VALUE"""),"NO 1 AMSF")</f>
        <v>NO 1 AMSF</v>
      </c>
      <c r="W3158" s="1"/>
    </row>
    <row r="3159" customHeight="1" spans="1:23">
      <c r="A3159" s="3">
        <f>IFERROR(__xludf.DUMMYFUNCTION("""COMPUTED_VALUE"""),46284)</f>
        <v>46284</v>
      </c>
      <c r="B3159" s="1" t="str">
        <f>IFERROR(__xludf.DUMMYFUNCTION("""COMPUTED_VALUE"""),"GABAY, MANUEL")</f>
        <v>GABAY, MANUEL</v>
      </c>
      <c r="C3159" s="1" t="str">
        <f>IFERROR(__xludf.DUMMYFUNCTION("""COMPUTED_VALUE"""),"FLA")</f>
        <v>FLA</v>
      </c>
      <c r="D3159" s="1" t="str">
        <f>IFERROR(__xludf.DUMMYFUNCTION("""COMPUTED_VALUE"""),"JERIC NAVARRO")</f>
        <v>JERIC NAVARRO</v>
      </c>
      <c r="E3159" s="1" t="str">
        <f>IFERROR(__xludf.DUMMYFUNCTION("""COMPUTED_VALUE"""),"PLDT / H2H")</f>
        <v>PLDT / H2H</v>
      </c>
      <c r="F3159" s="1"/>
      <c r="G3159" s="1">
        <f>IFERROR(__xludf.DUMMYFUNCTION("""COMPUTED_VALUE"""),2312696313)</f>
        <v>2312696313</v>
      </c>
      <c r="H3159" s="1" t="str">
        <f>IFERROR(__xludf.DUMMYFUNCTION("""COMPUTED_VALUE"""),"#N/A")</f>
        <v>#N/A</v>
      </c>
      <c r="I3159" s="1"/>
      <c r="J3159" s="1"/>
      <c r="K3159" s="1"/>
      <c r="L3159" s="1" t="str">
        <f>IFERROR(__xludf.DUMMYFUNCTION("""COMPUTED_VALUE"""),"#N/A")</f>
        <v>#N/A</v>
      </c>
      <c r="M3159" s="1" t="str">
        <f>IFERROR(__xludf.DUMMYFUNCTION("""COMPUTED_VALUE"""),"#N/A")</f>
        <v>#N/A</v>
      </c>
      <c r="N3159" s="1" t="str">
        <f>IFERROR(__xludf.DUMMYFUNCTION("""COMPUTED_VALUE"""),"#N/A")</f>
        <v>#N/A</v>
      </c>
      <c r="O3159" s="1" t="str">
        <f>IFERROR(__xludf.DUMMYFUNCTION("""COMPUTED_VALUE"""),"LANTIC")</f>
        <v>LANTIC</v>
      </c>
      <c r="P3159" s="1" t="str">
        <f>IFERROR(__xludf.DUMMYFUNCTION("""COMPUTED_VALUE"""),"CARMONA")</f>
        <v>CARMONA</v>
      </c>
      <c r="Q3159" s="1" t="str">
        <f>IFERROR(__xludf.DUMMYFUNCTION("""COMPUTED_VALUE"""),"CAVITE")</f>
        <v>CAVITE</v>
      </c>
      <c r="R3159" s="1" t="str">
        <f>IFERROR(__xludf.DUMMYFUNCTION("""COMPUTED_VALUE"""),"FIBR PLAN 1299")</f>
        <v>FIBR PLAN 1299</v>
      </c>
      <c r="S3159" s="1" t="str">
        <f>IFERROR(__xludf.DUMMYFUNCTION("""COMPUTED_VALUE"""),"APPROVED")</f>
        <v>APPROVED</v>
      </c>
      <c r="T3159" s="1" t="str">
        <f>IFERROR(__xludf.DUMMYFUNCTION("""COMPUTED_VALUE"""),"CLOSED")</f>
        <v>CLOSED</v>
      </c>
      <c r="U3159" s="1"/>
      <c r="V3159" s="1"/>
      <c r="W3159" s="1"/>
    </row>
    <row r="3160" customHeight="1" spans="1:23">
      <c r="A3160" s="3">
        <f>IFERROR(__xludf.DUMMYFUNCTION("""COMPUTED_VALUE"""),46285)</f>
        <v>46285</v>
      </c>
      <c r="B3160" s="1" t="str">
        <f>IFERROR(__xludf.DUMMYFUNCTION("""COMPUTED_VALUE"""),"REMOLLO, LEA")</f>
        <v>REMOLLO, LEA</v>
      </c>
      <c r="C3160" s="1" t="str">
        <f>IFERROR(__xludf.DUMMYFUNCTION("""COMPUTED_VALUE"""),"FLA")</f>
        <v>FLA</v>
      </c>
      <c r="D3160" s="1" t="str">
        <f>IFERROR(__xludf.DUMMYFUNCTION("""COMPUTED_VALUE"""),"JERIC NAVARRO")</f>
        <v>JERIC NAVARRO</v>
      </c>
      <c r="E3160" s="1" t="str">
        <f>IFERROR(__xludf.DUMMYFUNCTION("""COMPUTED_VALUE"""),"PLDT / ONLINE")</f>
        <v>PLDT / ONLINE</v>
      </c>
      <c r="F3160" s="1"/>
      <c r="G3160" s="1">
        <f>IFERROR(__xludf.DUMMYFUNCTION("""COMPUTED_VALUE"""),2312713094)</f>
        <v>2312713094</v>
      </c>
      <c r="H3160" s="1" t="str">
        <f>IFERROR(__xludf.DUMMYFUNCTION("""COMPUTED_VALUE"""),"472323663004")</f>
        <v>472323663004</v>
      </c>
      <c r="I3160" s="1"/>
      <c r="J3160" s="1"/>
      <c r="K3160" s="1"/>
      <c r="L3160" s="1" t="str">
        <f>IFERROR(__xludf.DUMMYFUNCTION("""COMPUTED_VALUE"""),"#N/A")</f>
        <v>#N/A</v>
      </c>
      <c r="M3160" s="1" t="str">
        <f>IFERROR(__xludf.DUMMYFUNCTION("""COMPUTED_VALUE"""),"#N/A")</f>
        <v>#N/A</v>
      </c>
      <c r="N3160" s="1" t="str">
        <f>IFERROR(__xludf.DUMMYFUNCTION("""COMPUTED_VALUE"""),"#N/A")</f>
        <v>#N/A</v>
      </c>
      <c r="O3160" s="1" t="str">
        <f>IFERROR(__xludf.DUMMYFUNCTION("""COMPUTED_VALUE"""),"LANGKAAN II")</f>
        <v>LANGKAAN II</v>
      </c>
      <c r="P3160" s="1" t="str">
        <f>IFERROR(__xludf.DUMMYFUNCTION("""COMPUTED_VALUE"""),"DASMARINAS")</f>
        <v>DASMARINAS</v>
      </c>
      <c r="Q3160" s="1" t="str">
        <f>IFERROR(__xludf.DUMMYFUNCTION("""COMPUTED_VALUE"""),"CAVITE")</f>
        <v>CAVITE</v>
      </c>
      <c r="R3160" s="1" t="str">
        <f>IFERROR(__xludf.DUMMYFUNCTION("""COMPUTED_VALUE"""),"FIBR PLAN 1299")</f>
        <v>FIBR PLAN 1299</v>
      </c>
      <c r="S3160" s="1" t="str">
        <f>IFERROR(__xludf.DUMMYFUNCTION("""COMPUTED_VALUE"""),"APPROVED")</f>
        <v>APPROVED</v>
      </c>
      <c r="T3160" s="1" t="str">
        <f>IFERROR(__xludf.DUMMYFUNCTION("""COMPUTED_VALUE"""),"CLOSED")</f>
        <v>CLOSED</v>
      </c>
      <c r="U3160" s="1" t="str">
        <f>IFERROR(__xludf.DUMMYFUNCTION("""COMPUTED_VALUE"""),"POSTED")</f>
        <v>POSTED</v>
      </c>
      <c r="V3160" s="1" t="str">
        <f>IFERROR(__xludf.DUMMYFUNCTION("""COMPUTED_VALUE"""),"WITH 1 AMSF")</f>
        <v>WITH 1 AMSF</v>
      </c>
      <c r="W3160" s="1"/>
    </row>
    <row r="3161" customHeight="1" spans="1:23">
      <c r="A3161" s="3">
        <f>IFERROR(__xludf.DUMMYFUNCTION("""COMPUTED_VALUE"""),46285)</f>
        <v>46285</v>
      </c>
      <c r="B3161" s="1" t="str">
        <f>IFERROR(__xludf.DUMMYFUNCTION("""COMPUTED_VALUE"""),"BAQUIT ,JAZMIN")</f>
        <v>BAQUIT ,JAZMIN</v>
      </c>
      <c r="C3161" s="1" t="str">
        <f>IFERROR(__xludf.DUMMYFUNCTION("""COMPUTED_VALUE"""),"ORGANIC")</f>
        <v>ORGANIC</v>
      </c>
      <c r="D3161" s="1" t="str">
        <f>IFERROR(__xludf.DUMMYFUNCTION("""COMPUTED_VALUE"""),"REMOLLO LEA")</f>
        <v>REMOLLO LEA</v>
      </c>
      <c r="E3161" s="1" t="str">
        <f>IFERROR(__xludf.DUMMYFUNCTION("""COMPUTED_VALUE"""),"PLDT / ONLINE")</f>
        <v>PLDT / ONLINE</v>
      </c>
      <c r="F3161" s="1"/>
      <c r="G3161" s="1">
        <f>IFERROR(__xludf.DUMMYFUNCTION("""COMPUTED_VALUE"""),2312692593)</f>
        <v>2312692593</v>
      </c>
      <c r="H3161" s="1" t="str">
        <f>IFERROR(__xludf.DUMMYFUNCTION("""COMPUTED_VALUE"""),"472158891004")</f>
        <v>472158891004</v>
      </c>
      <c r="I3161" s="1"/>
      <c r="J3161" s="1"/>
      <c r="K3161" s="1"/>
      <c r="L3161" s="1" t="str">
        <f>IFERROR(__xludf.DUMMYFUNCTION("""COMPUTED_VALUE"""),"#N/A")</f>
        <v>#N/A</v>
      </c>
      <c r="M3161" s="1" t="str">
        <f>IFERROR(__xludf.DUMMYFUNCTION("""COMPUTED_VALUE"""),"#N/A")</f>
        <v>#N/A</v>
      </c>
      <c r="N3161" s="1" t="str">
        <f>IFERROR(__xludf.DUMMYFUNCTION("""COMPUTED_VALUE"""),"#N/A")</f>
        <v>#N/A</v>
      </c>
      <c r="O3161" s="1" t="str">
        <f>IFERROR(__xludf.DUMMYFUNCTION("""COMPUTED_VALUE"""),"SANJA MAYOR")</f>
        <v>SANJA MAYOR</v>
      </c>
      <c r="P3161" s="1" t="str">
        <f>IFERROR(__xludf.DUMMYFUNCTION("""COMPUTED_VALUE"""),"TANZA")</f>
        <v>TANZA</v>
      </c>
      <c r="Q3161" s="1" t="str">
        <f>IFERROR(__xludf.DUMMYFUNCTION("""COMPUTED_VALUE"""),"CAVITE")</f>
        <v>CAVITE</v>
      </c>
      <c r="R3161" s="1" t="str">
        <f>IFERROR(__xludf.DUMMYFUNCTION("""COMPUTED_VALUE"""),"FIBR UNLI ALL PLAN 1499")</f>
        <v>FIBR UNLI ALL PLAN 1499</v>
      </c>
      <c r="S3161" s="1" t="str">
        <f>IFERROR(__xludf.DUMMYFUNCTION("""COMPUTED_VALUE"""),"APPROVED")</f>
        <v>APPROVED</v>
      </c>
      <c r="T3161" s="1" t="str">
        <f>IFERROR(__xludf.DUMMYFUNCTION("""COMPUTED_VALUE"""),"PAID - FOR INSTALLATION")</f>
        <v>PAID - FOR INSTALLATION</v>
      </c>
      <c r="U3161" s="1"/>
      <c r="V3161" s="1" t="str">
        <f>IFERROR(__xludf.DUMMYFUNCTION("""COMPUTED_VALUE"""),"NO 1 AMSF")</f>
        <v>NO 1 AMSF</v>
      </c>
      <c r="W3161" s="1"/>
    </row>
    <row r="3162" customHeight="1" spans="1:23">
      <c r="A3162" s="3">
        <f>IFERROR(__xludf.DUMMYFUNCTION("""COMPUTED_VALUE"""),46285)</f>
        <v>46285</v>
      </c>
      <c r="B3162" s="1" t="str">
        <f>IFERROR(__xludf.DUMMYFUNCTION("""COMPUTED_VALUE"""),"DACALCAP RUBEN")</f>
        <v>DACALCAP RUBEN</v>
      </c>
      <c r="C3162" s="1" t="str">
        <f>IFERROR(__xludf.DUMMYFUNCTION("""COMPUTED_VALUE"""),"FLA")</f>
        <v>FLA</v>
      </c>
      <c r="D3162" s="1" t="str">
        <f>IFERROR(__xludf.DUMMYFUNCTION("""COMPUTED_VALUE"""),"JERIC NAVARRO")</f>
        <v>JERIC NAVARRO</v>
      </c>
      <c r="E3162" s="1" t="str">
        <f>IFERROR(__xludf.DUMMYFUNCTION("""COMPUTED_VALUE"""),"PLDT / ONLINE")</f>
        <v>PLDT / ONLINE</v>
      </c>
      <c r="F3162" s="1"/>
      <c r="G3162" s="1">
        <f>IFERROR(__xludf.DUMMYFUNCTION("""COMPUTED_VALUE"""),2312693998)</f>
        <v>2312693998</v>
      </c>
      <c r="H3162" s="1" t="str">
        <f>IFERROR(__xludf.DUMMYFUNCTION("""COMPUTED_VALUE"""),"472152151004")</f>
        <v>472152151004</v>
      </c>
      <c r="I3162" s="1"/>
      <c r="J3162" s="1"/>
      <c r="K3162" s="1"/>
      <c r="L3162" s="1" t="str">
        <f>IFERROR(__xludf.DUMMYFUNCTION("""COMPUTED_VALUE"""),"#N/A")</f>
        <v>#N/A</v>
      </c>
      <c r="M3162" s="1" t="str">
        <f>IFERROR(__xludf.DUMMYFUNCTION("""COMPUTED_VALUE"""),"#N/A")</f>
        <v>#N/A</v>
      </c>
      <c r="N3162" s="1" t="str">
        <f>IFERROR(__xludf.DUMMYFUNCTION("""COMPUTED_VALUE"""),"#N/A")</f>
        <v>#N/A</v>
      </c>
      <c r="O3162" s="1" t="str">
        <f>IFERROR(__xludf.DUMMYFUNCTION("""COMPUTED_VALUE"""),"KAYTITINGA II")</f>
        <v>KAYTITINGA II</v>
      </c>
      <c r="P3162" s="1" t="str">
        <f>IFERROR(__xludf.DUMMYFUNCTION("""COMPUTED_VALUE"""),"ALFONSO")</f>
        <v>ALFONSO</v>
      </c>
      <c r="Q3162" s="1" t="str">
        <f>IFERROR(__xludf.DUMMYFUNCTION("""COMPUTED_VALUE"""),"CAVITE")</f>
        <v>CAVITE</v>
      </c>
      <c r="R3162" s="1" t="str">
        <f>IFERROR(__xludf.DUMMYFUNCTION("""COMPUTED_VALUE"""),"FIBR PLAN 1299")</f>
        <v>FIBR PLAN 1299</v>
      </c>
      <c r="S3162" s="1" t="str">
        <f>IFERROR(__xludf.DUMMYFUNCTION("""COMPUTED_VALUE"""),"APPROVED")</f>
        <v>APPROVED</v>
      </c>
      <c r="T3162" s="1" t="str">
        <f>IFERROR(__xludf.DUMMYFUNCTION("""COMPUTED_VALUE"""),"#N/A")</f>
        <v>#N/A</v>
      </c>
      <c r="U3162" s="1"/>
      <c r="V3162" s="1"/>
      <c r="W3162" s="1"/>
    </row>
    <row r="3163" customHeight="1" spans="1:23">
      <c r="A3163" s="3">
        <f>IFERROR(__xludf.DUMMYFUNCTION("""COMPUTED_VALUE"""),46285)</f>
        <v>46285</v>
      </c>
      <c r="B3163" s="1" t="str">
        <f>IFERROR(__xludf.DUMMYFUNCTION("""COMPUTED_VALUE"""),"LOPEZ, JENIELYN")</f>
        <v>LOPEZ, JENIELYN</v>
      </c>
      <c r="C3163" s="1" t="str">
        <f>IFERROR(__xludf.DUMMYFUNCTION("""COMPUTED_VALUE"""),"ORGANIC")</f>
        <v>ORGANIC</v>
      </c>
      <c r="D3163" s="1" t="str">
        <f>IFERROR(__xludf.DUMMYFUNCTION("""COMPUTED_VALUE"""),"REMOLLO LEA")</f>
        <v>REMOLLO LEA</v>
      </c>
      <c r="E3163" s="1" t="str">
        <f>IFERROR(__xludf.DUMMYFUNCTION("""COMPUTED_VALUE"""),"PLDT / H2H")</f>
        <v>PLDT / H2H</v>
      </c>
      <c r="F3163" s="1"/>
      <c r="G3163" s="1">
        <f>IFERROR(__xludf.DUMMYFUNCTION("""COMPUTED_VALUE"""),2312694341)</f>
        <v>2312694341</v>
      </c>
      <c r="H3163" s="1" t="str">
        <f>IFERROR(__xludf.DUMMYFUNCTION("""COMPUTED_VALUE"""),"472155541004")</f>
        <v>472155541004</v>
      </c>
      <c r="I3163" s="1"/>
      <c r="J3163" s="1"/>
      <c r="K3163" s="1"/>
      <c r="L3163" s="1" t="str">
        <f>IFERROR(__xludf.DUMMYFUNCTION("""COMPUTED_VALUE"""),"#N/A")</f>
        <v>#N/A</v>
      </c>
      <c r="M3163" s="1" t="str">
        <f>IFERROR(__xludf.DUMMYFUNCTION("""COMPUTED_VALUE"""),"#N/A")</f>
        <v>#N/A</v>
      </c>
      <c r="N3163" s="1" t="str">
        <f>IFERROR(__xludf.DUMMYFUNCTION("""COMPUTED_VALUE"""),"#N/A")</f>
        <v>#N/A</v>
      </c>
      <c r="O3163" s="1" t="str">
        <f>IFERROR(__xludf.DUMMYFUNCTION("""COMPUTED_VALUE"""),"ASIS I")</f>
        <v>ASIS I</v>
      </c>
      <c r="P3163" s="1" t="str">
        <f>IFERROR(__xludf.DUMMYFUNCTION("""COMPUTED_VALUE"""),"MENDEZ")</f>
        <v>MENDEZ</v>
      </c>
      <c r="Q3163" s="1" t="str">
        <f>IFERROR(__xludf.DUMMYFUNCTION("""COMPUTED_VALUE"""),"CAVITE")</f>
        <v>CAVITE</v>
      </c>
      <c r="R3163" s="1" t="str">
        <f>IFERROR(__xludf.DUMMYFUNCTION("""COMPUTED_VALUE"""),"FIBR PLAN 1299")</f>
        <v>FIBR PLAN 1299</v>
      </c>
      <c r="S3163" s="1" t="str">
        <f>IFERROR(__xludf.DUMMYFUNCTION("""COMPUTED_VALUE"""),"APPROVED")</f>
        <v>APPROVED</v>
      </c>
      <c r="T3163" s="1" t="str">
        <f>IFERROR(__xludf.DUMMYFUNCTION("""COMPUTED_VALUE"""),"CLOSED")</f>
        <v>CLOSED</v>
      </c>
      <c r="U3163" s="1"/>
      <c r="V3163" s="1" t="str">
        <f>IFERROR(__xludf.DUMMYFUNCTION("""COMPUTED_VALUE"""),"NO 1 AMSF")</f>
        <v>NO 1 AMSF</v>
      </c>
      <c r="W3163" s="1"/>
    </row>
    <row r="3164" customHeight="1" spans="1:23">
      <c r="A3164" s="3">
        <f>IFERROR(__xludf.DUMMYFUNCTION("""COMPUTED_VALUE"""),46285)</f>
        <v>46285</v>
      </c>
      <c r="B3164" s="1" t="str">
        <f>IFERROR(__xludf.DUMMYFUNCTION("""COMPUTED_VALUE"""),"ARIENA, LYKA")</f>
        <v>ARIENA, LYKA</v>
      </c>
      <c r="C3164" s="1" t="str">
        <f>IFERROR(__xludf.DUMMYFUNCTION("""COMPUTED_VALUE"""),"ORGANIC")</f>
        <v>ORGANIC</v>
      </c>
      <c r="D3164" s="1" t="str">
        <f>IFERROR(__xludf.DUMMYFUNCTION("""COMPUTED_VALUE"""),"REMOLLO LEA")</f>
        <v>REMOLLO LEA</v>
      </c>
      <c r="E3164" s="1" t="str">
        <f>IFERROR(__xludf.DUMMYFUNCTION("""COMPUTED_VALUE"""),"PLDT / H2H")</f>
        <v>PLDT / H2H</v>
      </c>
      <c r="F3164" s="1"/>
      <c r="G3164" s="1">
        <f>IFERROR(__xludf.DUMMYFUNCTION("""COMPUTED_VALUE"""),2312696376)</f>
        <v>2312696376</v>
      </c>
      <c r="H3164" s="1" t="str">
        <f>IFERROR(__xludf.DUMMYFUNCTION("""COMPUTED_VALUE"""),"#N/A")</f>
        <v>#N/A</v>
      </c>
      <c r="I3164" s="1"/>
      <c r="J3164" s="1"/>
      <c r="K3164" s="1"/>
      <c r="L3164" s="1" t="str">
        <f>IFERROR(__xludf.DUMMYFUNCTION("""COMPUTED_VALUE"""),"#N/A")</f>
        <v>#N/A</v>
      </c>
      <c r="M3164" s="1" t="str">
        <f>IFERROR(__xludf.DUMMYFUNCTION("""COMPUTED_VALUE"""),"#N/A")</f>
        <v>#N/A</v>
      </c>
      <c r="N3164" s="1" t="str">
        <f>IFERROR(__xludf.DUMMYFUNCTION("""COMPUTED_VALUE"""),"#N/A")</f>
        <v>#N/A</v>
      </c>
      <c r="O3164" s="1" t="str">
        <f>IFERROR(__xludf.DUMMYFUNCTION("""COMPUTED_VALUE"""),"LUKSUHIN ILAYA")</f>
        <v>LUKSUHIN ILAYA</v>
      </c>
      <c r="P3164" s="1" t="str">
        <f>IFERROR(__xludf.DUMMYFUNCTION("""COMPUTED_VALUE"""),"ALFONSO")</f>
        <v>ALFONSO</v>
      </c>
      <c r="Q3164" s="1" t="str">
        <f>IFERROR(__xludf.DUMMYFUNCTION("""COMPUTED_VALUE"""),"CAVITE")</f>
        <v>CAVITE</v>
      </c>
      <c r="R3164" s="1" t="str">
        <f>IFERROR(__xludf.DUMMYFUNCTION("""COMPUTED_VALUE"""),"FIBR UNLI ALL PLAN 1499")</f>
        <v>FIBR UNLI ALL PLAN 1499</v>
      </c>
      <c r="S3164" s="1" t="str">
        <f>IFERROR(__xludf.DUMMYFUNCTION("""COMPUTED_VALUE"""),"APPROVED")</f>
        <v>APPROVED</v>
      </c>
      <c r="T3164" s="1" t="str">
        <f>IFERROR(__xludf.DUMMYFUNCTION("""COMPUTED_VALUE"""),"#N/A")</f>
        <v>#N/A</v>
      </c>
      <c r="U3164" s="1" t="str">
        <f>IFERROR(__xludf.DUMMYFUNCTION("""COMPUTED_VALUE"""),"CANCELLED - WITH OB")</f>
        <v>CANCELLED - WITH OB</v>
      </c>
      <c r="V3164" s="1"/>
      <c r="W3164" s="1"/>
    </row>
    <row r="3165" customHeight="1" spans="1:23">
      <c r="A3165" s="3">
        <f>IFERROR(__xludf.DUMMYFUNCTION("""COMPUTED_VALUE"""),46285)</f>
        <v>46285</v>
      </c>
      <c r="B3165" s="1" t="str">
        <f>IFERROR(__xludf.DUMMYFUNCTION("""COMPUTED_VALUE"""),"FRANCISCO , ROSELYN")</f>
        <v>FRANCISCO , ROSELYN</v>
      </c>
      <c r="C3165" s="1" t="str">
        <f>IFERROR(__xludf.DUMMYFUNCTION("""COMPUTED_VALUE"""),"ORGANIC")</f>
        <v>ORGANIC</v>
      </c>
      <c r="D3165" s="1" t="str">
        <f>IFERROR(__xludf.DUMMYFUNCTION("""COMPUTED_VALUE"""),"REMOLLO LEA")</f>
        <v>REMOLLO LEA</v>
      </c>
      <c r="E3165" s="1" t="str">
        <f>IFERROR(__xludf.DUMMYFUNCTION("""COMPUTED_VALUE"""),"PLDT / H2H")</f>
        <v>PLDT / H2H</v>
      </c>
      <c r="F3165" s="1"/>
      <c r="G3165" s="1">
        <f>IFERROR(__xludf.DUMMYFUNCTION("""COMPUTED_VALUE"""),2312696690)</f>
        <v>2312696690</v>
      </c>
      <c r="H3165" s="1" t="str">
        <f>IFERROR(__xludf.DUMMYFUNCTION("""COMPUTED_VALUE"""),"472155829004")</f>
        <v>472155829004</v>
      </c>
      <c r="I3165" s="1"/>
      <c r="J3165" s="1"/>
      <c r="K3165" s="1"/>
      <c r="L3165" s="1" t="str">
        <f>IFERROR(__xludf.DUMMYFUNCTION("""COMPUTED_VALUE"""),"#N/A")</f>
        <v>#N/A</v>
      </c>
      <c r="M3165" s="1" t="str">
        <f>IFERROR(__xludf.DUMMYFUNCTION("""COMPUTED_VALUE"""),"#N/A")</f>
        <v>#N/A</v>
      </c>
      <c r="N3165" s="1" t="str">
        <f>IFERROR(__xludf.DUMMYFUNCTION("""COMPUTED_VALUE"""),"#N/A")</f>
        <v>#N/A</v>
      </c>
      <c r="O3165" s="1" t="str">
        <f>IFERROR(__xludf.DUMMYFUNCTION("""COMPUTED_VALUE"""),"LANTIC")</f>
        <v>LANTIC</v>
      </c>
      <c r="P3165" s="1" t="str">
        <f>IFERROR(__xludf.DUMMYFUNCTION("""COMPUTED_VALUE"""),"CARMONA")</f>
        <v>CARMONA</v>
      </c>
      <c r="Q3165" s="1" t="str">
        <f>IFERROR(__xludf.DUMMYFUNCTION("""COMPUTED_VALUE"""),"CAVITE")</f>
        <v>CAVITE</v>
      </c>
      <c r="R3165" s="1" t="str">
        <f>IFERROR(__xludf.DUMMYFUNCTION("""COMPUTED_VALUE"""),"FIBR PLAN 1299")</f>
        <v>FIBR PLAN 1299</v>
      </c>
      <c r="S3165" s="1" t="str">
        <f>IFERROR(__xludf.DUMMYFUNCTION("""COMPUTED_VALUE"""),"APPROVED")</f>
        <v>APPROVED</v>
      </c>
      <c r="T3165" s="1" t="str">
        <f>IFERROR(__xludf.DUMMYFUNCTION("""COMPUTED_VALUE"""),"PAID")</f>
        <v>PAID</v>
      </c>
      <c r="U3165" s="1"/>
      <c r="V3165" s="1" t="str">
        <f>IFERROR(__xludf.DUMMYFUNCTION("""COMPUTED_VALUE"""),"WITH 1 AMSF")</f>
        <v>WITH 1 AMSF</v>
      </c>
      <c r="W3165" s="1"/>
    </row>
    <row r="3166" customHeight="1" spans="1:23">
      <c r="A3166" s="3">
        <f>IFERROR(__xludf.DUMMYFUNCTION("""COMPUTED_VALUE"""),46285)</f>
        <v>46285</v>
      </c>
      <c r="B3166" s="1" t="str">
        <f>IFERROR(__xludf.DUMMYFUNCTION("""COMPUTED_VALUE"""),"TAMAYO, MARY ROSE")</f>
        <v>TAMAYO, MARY ROSE</v>
      </c>
      <c r="C3166" s="1" t="str">
        <f>IFERROR(__xludf.DUMMYFUNCTION("""COMPUTED_VALUE"""),"ORGANIC")</f>
        <v>ORGANIC</v>
      </c>
      <c r="D3166" s="1" t="str">
        <f>IFERROR(__xludf.DUMMYFUNCTION("""COMPUTED_VALUE"""),"REMOLLO LEA")</f>
        <v>REMOLLO LEA</v>
      </c>
      <c r="E3166" s="1" t="str">
        <f>IFERROR(__xludf.DUMMYFUNCTION("""COMPUTED_VALUE"""),"PLDT / H2H")</f>
        <v>PLDT / H2H</v>
      </c>
      <c r="F3166" s="1"/>
      <c r="G3166" s="1">
        <f>IFERROR(__xludf.DUMMYFUNCTION("""COMPUTED_VALUE"""),2312697363)</f>
        <v>2312697363</v>
      </c>
      <c r="H3166" s="1" t="str">
        <f>IFERROR(__xludf.DUMMYFUNCTION("""COMPUTED_VALUE"""),"472157304004")</f>
        <v>472157304004</v>
      </c>
      <c r="I3166" s="1"/>
      <c r="J3166" s="1"/>
      <c r="K3166" s="1"/>
      <c r="L3166" s="1" t="str">
        <f>IFERROR(__xludf.DUMMYFUNCTION("""COMPUTED_VALUE"""),"#N/A")</f>
        <v>#N/A</v>
      </c>
      <c r="M3166" s="1" t="str">
        <f>IFERROR(__xludf.DUMMYFUNCTION("""COMPUTED_VALUE"""),"#N/A")</f>
        <v>#N/A</v>
      </c>
      <c r="N3166" s="1" t="str">
        <f>IFERROR(__xludf.DUMMYFUNCTION("""COMPUTED_VALUE"""),"#N/A")</f>
        <v>#N/A</v>
      </c>
      <c r="O3166" s="1" t="str">
        <f>IFERROR(__xludf.DUMMYFUNCTION("""COMPUTED_VALUE"""),"MAGUYAM")</f>
        <v>MAGUYAM</v>
      </c>
      <c r="P3166" s="1" t="str">
        <f>IFERROR(__xludf.DUMMYFUNCTION("""COMPUTED_VALUE"""),"SILANG")</f>
        <v>SILANG</v>
      </c>
      <c r="Q3166" s="1" t="str">
        <f>IFERROR(__xludf.DUMMYFUNCTION("""COMPUTED_VALUE"""),"CAVITE")</f>
        <v>CAVITE</v>
      </c>
      <c r="R3166" s="1" t="str">
        <f>IFERROR(__xludf.DUMMYFUNCTION("""COMPUTED_VALUE"""),"FIBR UNLI ALL PLAN 1499")</f>
        <v>FIBR UNLI ALL PLAN 1499</v>
      </c>
      <c r="S3166" s="1" t="str">
        <f>IFERROR(__xludf.DUMMYFUNCTION("""COMPUTED_VALUE"""),"APPROVED")</f>
        <v>APPROVED</v>
      </c>
      <c r="T3166" s="1" t="str">
        <f>IFERROR(__xludf.DUMMYFUNCTION("""COMPUTED_VALUE"""),"RPR")</f>
        <v>RPR</v>
      </c>
      <c r="U3166" s="1" t="str">
        <f>IFERROR(__xludf.DUMMYFUNCTION("""COMPUTED_VALUE"""),"RPR- NAP FULL")</f>
        <v>RPR- NAP FULL</v>
      </c>
      <c r="V3166" s="1" t="str">
        <f>IFERROR(__xludf.DUMMYFUNCTION("""COMPUTED_VALUE"""),"NO 1 AMSF")</f>
        <v>NO 1 AMSF</v>
      </c>
      <c r="W3166" s="1"/>
    </row>
    <row r="3167" customHeight="1" spans="1:23">
      <c r="A3167" s="3">
        <f>IFERROR(__xludf.DUMMYFUNCTION("""COMPUTED_VALUE"""),46285)</f>
        <v>46285</v>
      </c>
      <c r="B3167" s="1" t="str">
        <f>IFERROR(__xludf.DUMMYFUNCTION("""COMPUTED_VALUE"""),"FRANCISCO , ROSELYN")</f>
        <v>FRANCISCO , ROSELYN</v>
      </c>
      <c r="C3167" s="1" t="str">
        <f>IFERROR(__xludf.DUMMYFUNCTION("""COMPUTED_VALUE"""),"ORGANIC")</f>
        <v>ORGANIC</v>
      </c>
      <c r="D3167" s="1" t="str">
        <f>IFERROR(__xludf.DUMMYFUNCTION("""COMPUTED_VALUE"""),"REMOLLO LEA")</f>
        <v>REMOLLO LEA</v>
      </c>
      <c r="E3167" s="1" t="str">
        <f>IFERROR(__xludf.DUMMYFUNCTION("""COMPUTED_VALUE"""),"RED FIBER")</f>
        <v>RED FIBER</v>
      </c>
      <c r="F3167" s="1"/>
      <c r="G3167" s="1"/>
      <c r="H3167" s="1" t="str">
        <f>IFERROR(__xludf.DUMMYFUNCTION("""COMPUTED_VALUE"""),"CS1367078 / WO0923881")</f>
        <v>CS1367078 / WO0923881</v>
      </c>
      <c r="I3167" s="1">
        <f>IFERROR(__xludf.DUMMYFUNCTION("""COMPUTED_VALUE"""),9508419117)</f>
        <v>9508419117</v>
      </c>
      <c r="J3167" s="1"/>
      <c r="K3167" s="1"/>
      <c r="L3167" s="1" t="str">
        <f>IFERROR(__xludf.DUMMYFUNCTION("""COMPUTED_VALUE"""),"33")</f>
        <v>33</v>
      </c>
      <c r="M3167" s="1" t="str">
        <f>IFERROR(__xludf.DUMMYFUNCTION("""COMPUTED_VALUE"""),"A. KALUBKOB ST")</f>
        <v>A. KALUBKOB ST</v>
      </c>
      <c r="N3167" s="1" t="str">
        <f>IFERROR(__xludf.DUMMYFUNCTION("""COMPUTED_VALUE"""),"#N/A")</f>
        <v>#N/A</v>
      </c>
      <c r="O3167" s="1" t="str">
        <f>IFERROR(__xludf.DUMMYFUNCTION("""COMPUTED_VALUE"""),"ASIS I")</f>
        <v>ASIS I</v>
      </c>
      <c r="P3167" s="1" t="str">
        <f>IFERROR(__xludf.DUMMYFUNCTION("""COMPUTED_VALUE"""),"MENDEZ")</f>
        <v>MENDEZ</v>
      </c>
      <c r="Q3167" s="1" t="str">
        <f>IFERROR(__xludf.DUMMYFUNCTION("""COMPUTED_VALUE"""),"CAVITE")</f>
        <v>CAVITE</v>
      </c>
      <c r="R3167" s="1" t="str">
        <f>IFERROR(__xludf.DUMMYFUNCTION("""COMPUTED_VALUE"""),"RED PLAN 1000")</f>
        <v>RED PLAN 1000</v>
      </c>
      <c r="S3167" s="1" t="str">
        <f>IFERROR(__xludf.DUMMYFUNCTION("""COMPUTED_VALUE"""),"APPROVED")</f>
        <v>APPROVED</v>
      </c>
      <c r="T3167" s="1" t="str">
        <f>IFERROR(__xludf.DUMMYFUNCTION("""COMPUTED_VALUE"""),"POSTED")</f>
        <v>POSTED</v>
      </c>
      <c r="U3167" s="1"/>
      <c r="V3167" s="1" t="str">
        <f>IFERROR(__xludf.DUMMYFUNCTION("""COMPUTED_VALUE"""),"NO 1 AMSF")</f>
        <v>NO 1 AMSF</v>
      </c>
      <c r="W3167" s="1"/>
    </row>
    <row r="3168" customHeight="1" spans="1:23">
      <c r="A3168" s="3">
        <f>IFERROR(__xludf.DUMMYFUNCTION("""COMPUTED_VALUE"""),46285)</f>
        <v>46285</v>
      </c>
      <c r="B3168" s="1" t="str">
        <f>IFERROR(__xludf.DUMMYFUNCTION("""COMPUTED_VALUE"""),"CADERAO, RONALD")</f>
        <v>CADERAO, RONALD</v>
      </c>
      <c r="C3168" s="1" t="str">
        <f>IFERROR(__xludf.DUMMYFUNCTION("""COMPUTED_VALUE"""),"ORGANIC")</f>
        <v>ORGANIC</v>
      </c>
      <c r="D3168" s="1" t="str">
        <f>IFERROR(__xludf.DUMMYFUNCTION("""COMPUTED_VALUE"""),"REMOLLO LEA")</f>
        <v>REMOLLO LEA</v>
      </c>
      <c r="E3168" s="1" t="str">
        <f>IFERROR(__xludf.DUMMYFUNCTION("""COMPUTED_VALUE"""),"PLDT / ONLINE")</f>
        <v>PLDT / ONLINE</v>
      </c>
      <c r="F3168" s="1"/>
      <c r="G3168" s="1">
        <f>IFERROR(__xludf.DUMMYFUNCTION("""COMPUTED_VALUE"""),2312698736)</f>
        <v>2312698736</v>
      </c>
      <c r="H3168" s="1" t="str">
        <f>IFERROR(__xludf.DUMMYFUNCTION("""COMPUTED_VALUE"""),"#N/A")</f>
        <v>#N/A</v>
      </c>
      <c r="I3168" s="1"/>
      <c r="J3168" s="1"/>
      <c r="K3168" s="1"/>
      <c r="L3168" s="1" t="str">
        <f>IFERROR(__xludf.DUMMYFUNCTION("""COMPUTED_VALUE"""),"#N/A")</f>
        <v>#N/A</v>
      </c>
      <c r="M3168" s="1" t="str">
        <f>IFERROR(__xludf.DUMMYFUNCTION("""COMPUTED_VALUE"""),"#N/A")</f>
        <v>#N/A</v>
      </c>
      <c r="N3168" s="1" t="str">
        <f>IFERROR(__xludf.DUMMYFUNCTION("""COMPUTED_VALUE"""),"#N/A")</f>
        <v>#N/A</v>
      </c>
      <c r="O3168" s="1" t="str">
        <f>IFERROR(__xludf.DUMMYFUNCTION("""COMPUTED_VALUE"""),"HUGO PEREZ")</f>
        <v>HUGO PEREZ</v>
      </c>
      <c r="P3168" s="1" t="str">
        <f>IFERROR(__xludf.DUMMYFUNCTION("""COMPUTED_VALUE"""),"TRECE MARTIRES")</f>
        <v>TRECE MARTIRES</v>
      </c>
      <c r="Q3168" s="1" t="str">
        <f>IFERROR(__xludf.DUMMYFUNCTION("""COMPUTED_VALUE"""),"CAVITE")</f>
        <v>CAVITE</v>
      </c>
      <c r="R3168" s="1" t="str">
        <f>IFERROR(__xludf.DUMMYFUNCTION("""COMPUTED_VALUE"""),"FIBR UNLI ALL PLAN 1499")</f>
        <v>FIBR UNLI ALL PLAN 1499</v>
      </c>
      <c r="S3168" s="1" t="str">
        <f>IFERROR(__xludf.DUMMYFUNCTION("""COMPUTED_VALUE"""),"APPROVED")</f>
        <v>APPROVED</v>
      </c>
      <c r="T3168" s="1" t="str">
        <f>IFERROR(__xludf.DUMMYFUNCTION("""COMPUTED_VALUE"""),"CANCELLED")</f>
        <v>CANCELLED</v>
      </c>
      <c r="U3168" s="1" t="str">
        <f>IFERROR(__xludf.DUMMYFUNCTION("""COMPUTED_VALUE"""),"CANCELLED - WITH OB")</f>
        <v>CANCELLED - WITH OB</v>
      </c>
      <c r="V3168" s="1"/>
      <c r="W3168" s="1"/>
    </row>
    <row r="3169" customHeight="1" spans="1:23">
      <c r="A3169" s="3">
        <f>IFERROR(__xludf.DUMMYFUNCTION("""COMPUTED_VALUE"""),46285)</f>
        <v>46285</v>
      </c>
      <c r="B3169" s="1" t="str">
        <f>IFERROR(__xludf.DUMMYFUNCTION("""COMPUTED_VALUE"""),"REMOLLO, LEA")</f>
        <v>REMOLLO, LEA</v>
      </c>
      <c r="C3169" s="1" t="str">
        <f>IFERROR(__xludf.DUMMYFUNCTION("""COMPUTED_VALUE"""),"FLA")</f>
        <v>FLA</v>
      </c>
      <c r="D3169" s="1" t="str">
        <f>IFERROR(__xludf.DUMMYFUNCTION("""COMPUTED_VALUE"""),"JERIC NAVARRO")</f>
        <v>JERIC NAVARRO</v>
      </c>
      <c r="E3169" s="1" t="str">
        <f>IFERROR(__xludf.DUMMYFUNCTION("""COMPUTED_VALUE"""),"PLDT / H2H")</f>
        <v>PLDT / H2H</v>
      </c>
      <c r="F3169" s="1"/>
      <c r="G3169" s="1">
        <f>IFERROR(__xludf.DUMMYFUNCTION("""COMPUTED_VALUE"""),2312699300)</f>
        <v>2312699300</v>
      </c>
      <c r="H3169" s="1" t="str">
        <f>IFERROR(__xludf.DUMMYFUNCTION("""COMPUTED_VALUE"""),"#N/A")</f>
        <v>#N/A</v>
      </c>
      <c r="I3169" s="1"/>
      <c r="J3169" s="1"/>
      <c r="K3169" s="1"/>
      <c r="L3169" s="1" t="str">
        <f>IFERROR(__xludf.DUMMYFUNCTION("""COMPUTED_VALUE"""),"#N/A")</f>
        <v>#N/A</v>
      </c>
      <c r="M3169" s="1" t="str">
        <f>IFERROR(__xludf.DUMMYFUNCTION("""COMPUTED_VALUE"""),"#N/A")</f>
        <v>#N/A</v>
      </c>
      <c r="N3169" s="1" t="str">
        <f>IFERROR(__xludf.DUMMYFUNCTION("""COMPUTED_VALUE"""),"#N/A")</f>
        <v>#N/A</v>
      </c>
      <c r="O3169" s="1" t="str">
        <f>IFERROR(__xludf.DUMMYFUNCTION("""COMPUTED_VALUE"""),"KORONEL JOSE P. ELISES (AREA E)")</f>
        <v>KORONEL JOSE P. ELISES (AREA E)</v>
      </c>
      <c r="P3169" s="1" t="str">
        <f>IFERROR(__xludf.DUMMYFUNCTION("""COMPUTED_VALUE"""),"GEN MARIANO ALVAREZ")</f>
        <v>GEN MARIANO ALVAREZ</v>
      </c>
      <c r="Q3169" s="1" t="str">
        <f>IFERROR(__xludf.DUMMYFUNCTION("""COMPUTED_VALUE"""),"CAVITE")</f>
        <v>CAVITE</v>
      </c>
      <c r="R3169" s="1" t="str">
        <f>IFERROR(__xludf.DUMMYFUNCTION("""COMPUTED_VALUE"""),"FIBR UNLI ALL PLAN 2599")</f>
        <v>FIBR UNLI ALL PLAN 2599</v>
      </c>
      <c r="S3169" s="1" t="str">
        <f>IFERROR(__xludf.DUMMYFUNCTION("""COMPUTED_VALUE"""),"APPROVED")</f>
        <v>APPROVED</v>
      </c>
      <c r="T3169" s="1" t="str">
        <f>IFERROR(__xludf.DUMMYFUNCTION("""COMPUTED_VALUE"""),"CANCELLED")</f>
        <v>CANCELLED</v>
      </c>
      <c r="U3169" s="1" t="str">
        <f>IFERROR(__xludf.DUMMYFUNCTION("""COMPUTED_VALUE"""),"SUBS CANCEL REQUEST")</f>
        <v>SUBS CANCEL REQUEST</v>
      </c>
      <c r="V3169" s="1"/>
      <c r="W3169" s="1"/>
    </row>
    <row r="3170" customHeight="1" spans="1:23">
      <c r="A3170" s="3">
        <f>IFERROR(__xludf.DUMMYFUNCTION("""COMPUTED_VALUE"""),46285)</f>
        <v>46285</v>
      </c>
      <c r="B3170" s="1" t="str">
        <f>IFERROR(__xludf.DUMMYFUNCTION("""COMPUTED_VALUE"""),"DACALCAP RUBEN")</f>
        <v>DACALCAP RUBEN</v>
      </c>
      <c r="C3170" s="1" t="str">
        <f>IFERROR(__xludf.DUMMYFUNCTION("""COMPUTED_VALUE"""),"FLA")</f>
        <v>FLA</v>
      </c>
      <c r="D3170" s="1" t="str">
        <f>IFERROR(__xludf.DUMMYFUNCTION("""COMPUTED_VALUE"""),"JERIC NAVARRO")</f>
        <v>JERIC NAVARRO</v>
      </c>
      <c r="E3170" s="1" t="str">
        <f>IFERROR(__xludf.DUMMYFUNCTION("""COMPUTED_VALUE"""),"PLDT / ONLINE")</f>
        <v>PLDT / ONLINE</v>
      </c>
      <c r="F3170" s="1"/>
      <c r="G3170" s="1">
        <f>IFERROR(__xludf.DUMMYFUNCTION("""COMPUTED_VALUE"""),2312700101)</f>
        <v>2312700101</v>
      </c>
      <c r="H3170" s="1" t="str">
        <f>IFERROR(__xludf.DUMMYFUNCTION("""COMPUTED_VALUE"""),"472161462004")</f>
        <v>472161462004</v>
      </c>
      <c r="I3170" s="1"/>
      <c r="J3170" s="1"/>
      <c r="K3170" s="1"/>
      <c r="L3170" s="1" t="str">
        <f>IFERROR(__xludf.DUMMYFUNCTION("""COMPUTED_VALUE"""),"#N/A")</f>
        <v>#N/A</v>
      </c>
      <c r="M3170" s="1" t="str">
        <f>IFERROR(__xludf.DUMMYFUNCTION("""COMPUTED_VALUE"""),"#N/A")</f>
        <v>#N/A</v>
      </c>
      <c r="N3170" s="1" t="str">
        <f>IFERROR(__xludf.DUMMYFUNCTION("""COMPUTED_VALUE"""),"#N/A")</f>
        <v>#N/A</v>
      </c>
      <c r="O3170" s="1" t="str">
        <f>IFERROR(__xludf.DUMMYFUNCTION("""COMPUTED_VALUE"""),"BERNARDO PULIDO (AREA H)")</f>
        <v>BERNARDO PULIDO (AREA H)</v>
      </c>
      <c r="P3170" s="1" t="str">
        <f>IFERROR(__xludf.DUMMYFUNCTION("""COMPUTED_VALUE"""),"GEN MARIANO ALVAREZ")</f>
        <v>GEN MARIANO ALVAREZ</v>
      </c>
      <c r="Q3170" s="1" t="str">
        <f>IFERROR(__xludf.DUMMYFUNCTION("""COMPUTED_VALUE"""),"CAVITE")</f>
        <v>CAVITE</v>
      </c>
      <c r="R3170" s="1" t="str">
        <f>IFERROR(__xludf.DUMMYFUNCTION("""COMPUTED_VALUE"""),"FIBR UNLI ALL PLAN 1499")</f>
        <v>FIBR UNLI ALL PLAN 1499</v>
      </c>
      <c r="S3170" s="1" t="str">
        <f>IFERROR(__xludf.DUMMYFUNCTION("""COMPUTED_VALUE"""),"APPROVED")</f>
        <v>APPROVED</v>
      </c>
      <c r="T3170" s="1" t="str">
        <f>IFERROR(__xludf.DUMMYFUNCTION("""COMPUTED_VALUE"""),"RESERVED FACILITY")</f>
        <v>RESERVED FACILITY</v>
      </c>
      <c r="U3170" s="1"/>
      <c r="V3170" s="1" t="str">
        <f>IFERROR(__xludf.DUMMYFUNCTION("""COMPUTED_VALUE"""),"NO 1 AMSF")</f>
        <v>NO 1 AMSF</v>
      </c>
      <c r="W3170" s="1"/>
    </row>
    <row r="3171" customHeight="1" spans="1:23">
      <c r="A3171" s="3">
        <f>IFERROR(__xludf.DUMMYFUNCTION("""COMPUTED_VALUE"""),46285)</f>
        <v>46285</v>
      </c>
      <c r="B3171" s="1" t="str">
        <f>IFERROR(__xludf.DUMMYFUNCTION("""COMPUTED_VALUE"""),"MALIWAT MARK ELVIN")</f>
        <v>MALIWAT MARK ELVIN</v>
      </c>
      <c r="C3171" s="1" t="str">
        <f>IFERROR(__xludf.DUMMYFUNCTION("""COMPUTED_VALUE"""),"FLA")</f>
        <v>FLA</v>
      </c>
      <c r="D3171" s="1" t="str">
        <f>IFERROR(__xludf.DUMMYFUNCTION("""COMPUTED_VALUE"""),"JERIC NAVARRO")</f>
        <v>JERIC NAVARRO</v>
      </c>
      <c r="E3171" s="1" t="str">
        <f>IFERROR(__xludf.DUMMYFUNCTION("""COMPUTED_VALUE"""),"PLDT / ONLINE")</f>
        <v>PLDT / ONLINE</v>
      </c>
      <c r="F3171" s="1"/>
      <c r="G3171" s="1">
        <f>IFERROR(__xludf.DUMMYFUNCTION("""COMPUTED_VALUE"""),2312700514)</f>
        <v>2312700514</v>
      </c>
      <c r="H3171" s="1" t="str">
        <f>IFERROR(__xludf.DUMMYFUNCTION("""COMPUTED_VALUE"""),"472162186004")</f>
        <v>472162186004</v>
      </c>
      <c r="I3171" s="1"/>
      <c r="J3171" s="1"/>
      <c r="K3171" s="1"/>
      <c r="L3171" s="1" t="str">
        <f>IFERROR(__xludf.DUMMYFUNCTION("""COMPUTED_VALUE"""),"#N/A")</f>
        <v>#N/A</v>
      </c>
      <c r="M3171" s="1" t="str">
        <f>IFERROR(__xludf.DUMMYFUNCTION("""COMPUTED_VALUE"""),"#N/A")</f>
        <v>#N/A</v>
      </c>
      <c r="N3171" s="1" t="str">
        <f>IFERROR(__xludf.DUMMYFUNCTION("""COMPUTED_VALUE"""),"#N/A")</f>
        <v>#N/A</v>
      </c>
      <c r="O3171" s="1" t="str">
        <f>IFERROR(__xludf.DUMMYFUNCTION("""COMPUTED_VALUE"""),"SINALIW MALAKI")</f>
        <v>SINALIW MALAKI</v>
      </c>
      <c r="P3171" s="1" t="str">
        <f>IFERROR(__xludf.DUMMYFUNCTION("""COMPUTED_VALUE"""),"ALFONSO")</f>
        <v>ALFONSO</v>
      </c>
      <c r="Q3171" s="1" t="str">
        <f>IFERROR(__xludf.DUMMYFUNCTION("""COMPUTED_VALUE"""),"CAVITE")</f>
        <v>CAVITE</v>
      </c>
      <c r="R3171" s="1" t="str">
        <f>IFERROR(__xludf.DUMMYFUNCTION("""COMPUTED_VALUE"""),"FIBR PLAN 1299")</f>
        <v>FIBR PLAN 1299</v>
      </c>
      <c r="S3171" s="1" t="str">
        <f>IFERROR(__xludf.DUMMYFUNCTION("""COMPUTED_VALUE"""),"APPROVED")</f>
        <v>APPROVED</v>
      </c>
      <c r="T3171" s="1" t="str">
        <f>IFERROR(__xludf.DUMMYFUNCTION("""COMPUTED_VALUE"""),"RESERVED FACILITY")</f>
        <v>RESERVED FACILITY</v>
      </c>
      <c r="U3171" s="1"/>
      <c r="V3171" s="1" t="str">
        <f>IFERROR(__xludf.DUMMYFUNCTION("""COMPUTED_VALUE"""),"NO 1 AMSF")</f>
        <v>NO 1 AMSF</v>
      </c>
      <c r="W3171" s="1"/>
    </row>
    <row r="3172" customHeight="1" spans="1:23">
      <c r="A3172" s="3">
        <f>IFERROR(__xludf.DUMMYFUNCTION("""COMPUTED_VALUE"""),46286)</f>
        <v>46286</v>
      </c>
      <c r="B3172" s="1" t="str">
        <f>IFERROR(__xludf.DUMMYFUNCTION("""COMPUTED_VALUE"""),"TAMAYO, MARY ROSE")</f>
        <v>TAMAYO, MARY ROSE</v>
      </c>
      <c r="C3172" s="1" t="str">
        <f>IFERROR(__xludf.DUMMYFUNCTION("""COMPUTED_VALUE"""),"ORGANIC")</f>
        <v>ORGANIC</v>
      </c>
      <c r="D3172" s="1" t="str">
        <f>IFERROR(__xludf.DUMMYFUNCTION("""COMPUTED_VALUE"""),"REMOLLO LEA")</f>
        <v>REMOLLO LEA</v>
      </c>
      <c r="E3172" s="1" t="str">
        <f>IFERROR(__xludf.DUMMYFUNCTION("""COMPUTED_VALUE"""),"PLDT / H2H")</f>
        <v>PLDT / H2H</v>
      </c>
      <c r="F3172" s="1"/>
      <c r="G3172" s="1">
        <f>IFERROR(__xludf.DUMMYFUNCTION("""COMPUTED_VALUE"""),2312717813)</f>
        <v>2312717813</v>
      </c>
      <c r="H3172" s="1" t="str">
        <f>IFERROR(__xludf.DUMMYFUNCTION("""COMPUTED_VALUE"""),"472323757004")</f>
        <v>472323757004</v>
      </c>
      <c r="I3172" s="1"/>
      <c r="J3172" s="1"/>
      <c r="K3172" s="1"/>
      <c r="L3172" s="1" t="str">
        <f>IFERROR(__xludf.DUMMYFUNCTION("""COMPUTED_VALUE"""),"#N/A")</f>
        <v>#N/A</v>
      </c>
      <c r="M3172" s="1" t="str">
        <f>IFERROR(__xludf.DUMMYFUNCTION("""COMPUTED_VALUE"""),"#N/A")</f>
        <v>#N/A</v>
      </c>
      <c r="N3172" s="1" t="str">
        <f>IFERROR(__xludf.DUMMYFUNCTION("""COMPUTED_VALUE"""),"#N/A")</f>
        <v>#N/A</v>
      </c>
      <c r="O3172" s="1" t="str">
        <f>IFERROR(__xludf.DUMMYFUNCTION("""COMPUTED_VALUE"""),"GALICIA III")</f>
        <v>GALICIA III</v>
      </c>
      <c r="P3172" s="1" t="str">
        <f>IFERROR(__xludf.DUMMYFUNCTION("""COMPUTED_VALUE"""),"MENDEZ")</f>
        <v>MENDEZ</v>
      </c>
      <c r="Q3172" s="1" t="str">
        <f>IFERROR(__xludf.DUMMYFUNCTION("""COMPUTED_VALUE"""),"CAVITE")</f>
        <v>CAVITE</v>
      </c>
      <c r="R3172" s="1" t="str">
        <f>IFERROR(__xludf.DUMMYFUNCTION("""COMPUTED_VALUE"""),"FIBR UNLI ALL PLAN 999")</f>
        <v>FIBR UNLI ALL PLAN 999</v>
      </c>
      <c r="S3172" s="1" t="str">
        <f>IFERROR(__xludf.DUMMYFUNCTION("""COMPUTED_VALUE"""),"APPROVED")</f>
        <v>APPROVED</v>
      </c>
      <c r="T3172" s="1" t="str">
        <f>IFERROR(__xludf.DUMMYFUNCTION("""COMPUTED_VALUE"""),"ORDER CREATED")</f>
        <v>ORDER CREATED</v>
      </c>
      <c r="U3172" s="1" t="str">
        <f>IFERROR(__xludf.DUMMYFUNCTION("""COMPUTED_VALUE"""),"OPEN")</f>
        <v>OPEN</v>
      </c>
      <c r="V3172" s="1"/>
      <c r="W3172" s="1"/>
    </row>
    <row r="3173" customHeight="1" spans="1:23">
      <c r="A3173" s="3">
        <f>IFERROR(__xludf.DUMMYFUNCTION("""COMPUTED_VALUE"""),46286)</f>
        <v>46286</v>
      </c>
      <c r="B3173" s="1" t="str">
        <f>IFERROR(__xludf.DUMMYFUNCTION("""COMPUTED_VALUE"""),"GABAY, MANUEL")</f>
        <v>GABAY, MANUEL</v>
      </c>
      <c r="C3173" s="1" t="str">
        <f>IFERROR(__xludf.DUMMYFUNCTION("""COMPUTED_VALUE"""),"FLA")</f>
        <v>FLA</v>
      </c>
      <c r="D3173" s="1" t="str">
        <f>IFERROR(__xludf.DUMMYFUNCTION("""COMPUTED_VALUE"""),"JERIC NAVARRO")</f>
        <v>JERIC NAVARRO</v>
      </c>
      <c r="E3173" s="1" t="str">
        <f>IFERROR(__xludf.DUMMYFUNCTION("""COMPUTED_VALUE"""),"PLDT / H2H")</f>
        <v>PLDT / H2H</v>
      </c>
      <c r="F3173" s="1"/>
      <c r="G3173" s="1">
        <f>IFERROR(__xludf.DUMMYFUNCTION("""COMPUTED_VALUE"""),2312718387)</f>
        <v>2312718387</v>
      </c>
      <c r="H3173" s="1" t="str">
        <f>IFERROR(__xludf.DUMMYFUNCTION("""COMPUTED_VALUE"""),"#N/A")</f>
        <v>#N/A</v>
      </c>
      <c r="I3173" s="1"/>
      <c r="J3173" s="1"/>
      <c r="K3173" s="1"/>
      <c r="L3173" s="1" t="str">
        <f>IFERROR(__xludf.DUMMYFUNCTION("""COMPUTED_VALUE"""),"#N/A")</f>
        <v>#N/A</v>
      </c>
      <c r="M3173" s="1" t="str">
        <f>IFERROR(__xludf.DUMMYFUNCTION("""COMPUTED_VALUE"""),"#N/A")</f>
        <v>#N/A</v>
      </c>
      <c r="N3173" s="1" t="str">
        <f>IFERROR(__xludf.DUMMYFUNCTION("""COMPUTED_VALUE"""),"#N/A")</f>
        <v>#N/A</v>
      </c>
      <c r="O3173" s="1" t="str">
        <f>IFERROR(__xludf.DUMMYFUNCTION("""COMPUTED_VALUE"""),"BARANGAY 5 (POB.)")</f>
        <v>BARANGAY 5 (POB.)</v>
      </c>
      <c r="P3173" s="1" t="str">
        <f>IFERROR(__xludf.DUMMYFUNCTION("""COMPUTED_VALUE"""),"MENDEZ")</f>
        <v>MENDEZ</v>
      </c>
      <c r="Q3173" s="1" t="str">
        <f>IFERROR(__xludf.DUMMYFUNCTION("""COMPUTED_VALUE"""),"CAVITE")</f>
        <v>CAVITE</v>
      </c>
      <c r="R3173" s="1" t="str">
        <f>IFERROR(__xludf.DUMMYFUNCTION("""COMPUTED_VALUE"""),"FIBR PLAN 1299")</f>
        <v>FIBR PLAN 1299</v>
      </c>
      <c r="S3173" s="1" t="str">
        <f>IFERROR(__xludf.DUMMYFUNCTION("""COMPUTED_VALUE"""),"APPROVED")</f>
        <v>APPROVED</v>
      </c>
      <c r="T3173" s="1" t="str">
        <f>IFERROR(__xludf.DUMMYFUNCTION("""COMPUTED_VALUE"""),"CANCELLED")</f>
        <v>CANCELLED</v>
      </c>
      <c r="U3173" s="1" t="str">
        <f>IFERROR(__xludf.DUMMYFUNCTION("""COMPUTED_VALUE"""),"CANCELLED - NON COMPLIACE")</f>
        <v>CANCELLED - NON COMPLIACE</v>
      </c>
      <c r="V3173" s="1"/>
      <c r="W3173" s="1"/>
    </row>
    <row r="3174" customHeight="1" spans="1:23">
      <c r="A3174" s="3">
        <f>IFERROR(__xludf.DUMMYFUNCTION("""COMPUTED_VALUE"""),46286)</f>
        <v>46286</v>
      </c>
      <c r="B3174" s="1" t="str">
        <f>IFERROR(__xludf.DUMMYFUNCTION("""COMPUTED_VALUE"""),"DACALCAP RUBEN")</f>
        <v>DACALCAP RUBEN</v>
      </c>
      <c r="C3174" s="1" t="str">
        <f>IFERROR(__xludf.DUMMYFUNCTION("""COMPUTED_VALUE"""),"FLA")</f>
        <v>FLA</v>
      </c>
      <c r="D3174" s="1" t="str">
        <f>IFERROR(__xludf.DUMMYFUNCTION("""COMPUTED_VALUE"""),"JERIC NAVARRO")</f>
        <v>JERIC NAVARRO</v>
      </c>
      <c r="E3174" s="1" t="str">
        <f>IFERROR(__xludf.DUMMYFUNCTION("""COMPUTED_VALUE"""),"PLDT / H2H")</f>
        <v>PLDT / H2H</v>
      </c>
      <c r="F3174" s="1"/>
      <c r="G3174" s="1">
        <f>IFERROR(__xludf.DUMMYFUNCTION("""COMPUTED_VALUE"""),2312719537)</f>
        <v>2312719537</v>
      </c>
      <c r="H3174" s="1" t="str">
        <f>IFERROR(__xludf.DUMMYFUNCTION("""COMPUTED_VALUE"""),"472454414004")</f>
        <v>472454414004</v>
      </c>
      <c r="I3174" s="1"/>
      <c r="J3174" s="1"/>
      <c r="K3174" s="1"/>
      <c r="L3174" s="1" t="str">
        <f>IFERROR(__xludf.DUMMYFUNCTION("""COMPUTED_VALUE"""),"#N/A")</f>
        <v>#N/A</v>
      </c>
      <c r="M3174" s="1" t="str">
        <f>IFERROR(__xludf.DUMMYFUNCTION("""COMPUTED_VALUE"""),"#N/A")</f>
        <v>#N/A</v>
      </c>
      <c r="N3174" s="1" t="str">
        <f>IFERROR(__xludf.DUMMYFUNCTION("""COMPUTED_VALUE"""),"#N/A")</f>
        <v>#N/A</v>
      </c>
      <c r="O3174" s="1" t="str">
        <f>IFERROR(__xludf.DUMMYFUNCTION("""COMPUTED_VALUE"""),"BATAS")</f>
        <v>BATAS</v>
      </c>
      <c r="P3174" s="1" t="str">
        <f>IFERROR(__xludf.DUMMYFUNCTION("""COMPUTED_VALUE"""),"SILANG")</f>
        <v>SILANG</v>
      </c>
      <c r="Q3174" s="1" t="str">
        <f>IFERROR(__xludf.DUMMYFUNCTION("""COMPUTED_VALUE"""),"CAVITE")</f>
        <v>CAVITE</v>
      </c>
      <c r="R3174" s="1" t="str">
        <f>IFERROR(__xludf.DUMMYFUNCTION("""COMPUTED_VALUE"""),"FIBR NETFLIX PLAN 1599")</f>
        <v>FIBR NETFLIX PLAN 1599</v>
      </c>
      <c r="S3174" s="1" t="str">
        <f>IFERROR(__xludf.DUMMYFUNCTION("""COMPUTED_VALUE"""),"APPROVED")</f>
        <v>APPROVED</v>
      </c>
      <c r="T3174" s="1" t="str">
        <f>IFERROR(__xludf.DUMMYFUNCTION("""COMPUTED_VALUE"""),"CLOSED")</f>
        <v>CLOSED</v>
      </c>
      <c r="U3174" s="1" t="str">
        <f>IFERROR(__xludf.DUMMYFUNCTION("""COMPUTED_VALUE"""),"POSTED")</f>
        <v>POSTED</v>
      </c>
      <c r="V3174" s="1" t="str">
        <f>IFERROR(__xludf.DUMMYFUNCTION("""COMPUTED_VALUE"""),"WITH 1 AMSF")</f>
        <v>WITH 1 AMSF</v>
      </c>
      <c r="W3174" s="1"/>
    </row>
    <row r="3175" customHeight="1" spans="1:23">
      <c r="A3175" s="3">
        <f>IFERROR(__xludf.DUMMYFUNCTION("""COMPUTED_VALUE"""),46286)</f>
        <v>46286</v>
      </c>
      <c r="B3175" s="1" t="str">
        <f>IFERROR(__xludf.DUMMYFUNCTION("""COMPUTED_VALUE"""),"REMOLLO, LEA")</f>
        <v>REMOLLO, LEA</v>
      </c>
      <c r="C3175" s="1" t="str">
        <f>IFERROR(__xludf.DUMMYFUNCTION("""COMPUTED_VALUE"""),"FLA")</f>
        <v>FLA</v>
      </c>
      <c r="D3175" s="1" t="str">
        <f>IFERROR(__xludf.DUMMYFUNCTION("""COMPUTED_VALUE"""),"JERIC NAVARRO")</f>
        <v>JERIC NAVARRO</v>
      </c>
      <c r="E3175" s="1" t="str">
        <f>IFERROR(__xludf.DUMMYFUNCTION("""COMPUTED_VALUE"""),"PLDT / H2H")</f>
        <v>PLDT / H2H</v>
      </c>
      <c r="F3175" s="1"/>
      <c r="G3175" s="1">
        <f>IFERROR(__xludf.DUMMYFUNCTION("""COMPUTED_VALUE"""),2312720206)</f>
        <v>2312720206</v>
      </c>
      <c r="H3175" s="1" t="str">
        <f>IFERROR(__xludf.DUMMYFUNCTION("""COMPUTED_VALUE"""),"472327940004")</f>
        <v>472327940004</v>
      </c>
      <c r="I3175" s="1"/>
      <c r="J3175" s="1"/>
      <c r="K3175" s="1"/>
      <c r="L3175" s="1" t="str">
        <f>IFERROR(__xludf.DUMMYFUNCTION("""COMPUTED_VALUE"""),"#N/A")</f>
        <v>#N/A</v>
      </c>
      <c r="M3175" s="1" t="str">
        <f>IFERROR(__xludf.DUMMYFUNCTION("""COMPUTED_VALUE"""),"#N/A")</f>
        <v>#N/A</v>
      </c>
      <c r="N3175" s="1" t="str">
        <f>IFERROR(__xludf.DUMMYFUNCTION("""COMPUTED_VALUE"""),"#N/A")</f>
        <v>#N/A</v>
      </c>
      <c r="O3175" s="1" t="str">
        <f>IFERROR(__xludf.DUMMYFUNCTION("""COMPUTED_VALUE"""),"KORONEL JOSE P. ELISES (AREA E)")</f>
        <v>KORONEL JOSE P. ELISES (AREA E)</v>
      </c>
      <c r="P3175" s="1" t="str">
        <f>IFERROR(__xludf.DUMMYFUNCTION("""COMPUTED_VALUE"""),"GEN MARIANO ALVAREZ")</f>
        <v>GEN MARIANO ALVAREZ</v>
      </c>
      <c r="Q3175" s="1" t="str">
        <f>IFERROR(__xludf.DUMMYFUNCTION("""COMPUTED_VALUE"""),"CAVITE")</f>
        <v>CAVITE</v>
      </c>
      <c r="R3175" s="1" t="str">
        <f>IFERROR(__xludf.DUMMYFUNCTION("""COMPUTED_VALUE"""),"FIBR UNLI ALL PLAN 2599")</f>
        <v>FIBR UNLI ALL PLAN 2599</v>
      </c>
      <c r="S3175" s="1" t="str">
        <f>IFERROR(__xludf.DUMMYFUNCTION("""COMPUTED_VALUE"""),"APPROVED")</f>
        <v>APPROVED</v>
      </c>
      <c r="T3175" s="1" t="str">
        <f>IFERROR(__xludf.DUMMYFUNCTION("""COMPUTED_VALUE"""),"CLOSED")</f>
        <v>CLOSED</v>
      </c>
      <c r="U3175" s="1" t="str">
        <f>IFERROR(__xludf.DUMMYFUNCTION("""COMPUTED_VALUE"""),"POSTED")</f>
        <v>POSTED</v>
      </c>
      <c r="V3175" s="1" t="str">
        <f>IFERROR(__xludf.DUMMYFUNCTION("""COMPUTED_VALUE"""),"WITH 1 AMSF")</f>
        <v>WITH 1 AMSF</v>
      </c>
      <c r="W3175" s="1"/>
    </row>
    <row r="3176" customHeight="1" spans="1:23">
      <c r="A3176" s="3">
        <f>IFERROR(__xludf.DUMMYFUNCTION("""COMPUTED_VALUE"""),46286)</f>
        <v>46286</v>
      </c>
      <c r="B3176" s="1" t="str">
        <f>IFERROR(__xludf.DUMMYFUNCTION("""COMPUTED_VALUE"""),"FARO, REFRANTA")</f>
        <v>FARO, REFRANTA</v>
      </c>
      <c r="C3176" s="1" t="str">
        <f>IFERROR(__xludf.DUMMYFUNCTION("""COMPUTED_VALUE"""),"FLA")</f>
        <v>FLA</v>
      </c>
      <c r="D3176" s="1" t="str">
        <f>IFERROR(__xludf.DUMMYFUNCTION("""COMPUTED_VALUE"""),"JERIC NAVARRO")</f>
        <v>JERIC NAVARRO</v>
      </c>
      <c r="E3176" s="1" t="str">
        <f>IFERROR(__xludf.DUMMYFUNCTION("""COMPUTED_VALUE"""),"PLDT / H2H")</f>
        <v>PLDT / H2H</v>
      </c>
      <c r="F3176" s="1"/>
      <c r="G3176" s="1">
        <f>IFERROR(__xludf.DUMMYFUNCTION("""COMPUTED_VALUE"""),2312721972)</f>
        <v>2312721972</v>
      </c>
      <c r="H3176" s="1" t="str">
        <f>IFERROR(__xludf.DUMMYFUNCTION("""COMPUTED_VALUE"""),"472332699004")</f>
        <v>472332699004</v>
      </c>
      <c r="I3176" s="1"/>
      <c r="J3176" s="1"/>
      <c r="K3176" s="1"/>
      <c r="L3176" s="1" t="str">
        <f>IFERROR(__xludf.DUMMYFUNCTION("""COMPUTED_VALUE"""),"#N/A")</f>
        <v>#N/A</v>
      </c>
      <c r="M3176" s="1" t="str">
        <f>IFERROR(__xludf.DUMMYFUNCTION("""COMPUTED_VALUE"""),"#N/A")</f>
        <v>#N/A</v>
      </c>
      <c r="N3176" s="1" t="str">
        <f>IFERROR(__xludf.DUMMYFUNCTION("""COMPUTED_VALUE"""),"#N/A")</f>
        <v>#N/A</v>
      </c>
      <c r="O3176" s="1" t="str">
        <f>IFERROR(__xludf.DUMMYFUNCTION("""COMPUTED_VALUE"""),"SAN JOSE")</f>
        <v>SAN JOSE</v>
      </c>
      <c r="P3176" s="1" t="str">
        <f>IFERROR(__xludf.DUMMYFUNCTION("""COMPUTED_VALUE"""),"GEN MARIANO ALVAREZ")</f>
        <v>GEN MARIANO ALVAREZ</v>
      </c>
      <c r="Q3176" s="1" t="str">
        <f>IFERROR(__xludf.DUMMYFUNCTION("""COMPUTED_VALUE"""),"CAVITE")</f>
        <v>CAVITE</v>
      </c>
      <c r="R3176" s="1" t="str">
        <f>IFERROR(__xludf.DUMMYFUNCTION("""COMPUTED_VALUE"""),"FIBR NETFLIX PLAN 1599")</f>
        <v>FIBR NETFLIX PLAN 1599</v>
      </c>
      <c r="S3176" s="1" t="str">
        <f>IFERROR(__xludf.DUMMYFUNCTION("""COMPUTED_VALUE"""),"APPROVED")</f>
        <v>APPROVED</v>
      </c>
      <c r="T3176" s="1" t="str">
        <f>IFERROR(__xludf.DUMMYFUNCTION("""COMPUTED_VALUE"""),"CLOSED")</f>
        <v>CLOSED</v>
      </c>
      <c r="U3176" s="1" t="str">
        <f>IFERROR(__xludf.DUMMYFUNCTION("""COMPUTED_VALUE"""),"POSTED")</f>
        <v>POSTED</v>
      </c>
      <c r="V3176" s="1" t="str">
        <f>IFERROR(__xludf.DUMMYFUNCTION("""COMPUTED_VALUE"""),"WITH 1 AMSF")</f>
        <v>WITH 1 AMSF</v>
      </c>
      <c r="W3176" s="1"/>
    </row>
    <row r="3177" customHeight="1" spans="1:23">
      <c r="A3177" s="3">
        <f>IFERROR(__xludf.DUMMYFUNCTION("""COMPUTED_VALUE"""),46286)</f>
        <v>46286</v>
      </c>
      <c r="B3177" s="1" t="str">
        <f>IFERROR(__xludf.DUMMYFUNCTION("""COMPUTED_VALUE"""),"FARO, REFRANTA")</f>
        <v>FARO, REFRANTA</v>
      </c>
      <c r="C3177" s="1" t="str">
        <f>IFERROR(__xludf.DUMMYFUNCTION("""COMPUTED_VALUE"""),"FLA")</f>
        <v>FLA</v>
      </c>
      <c r="D3177" s="1" t="str">
        <f>IFERROR(__xludf.DUMMYFUNCTION("""COMPUTED_VALUE"""),"JERIC NAVARRO")</f>
        <v>JERIC NAVARRO</v>
      </c>
      <c r="E3177" s="1" t="str">
        <f>IFERROR(__xludf.DUMMYFUNCTION("""COMPUTED_VALUE"""),"PLDT / H2H")</f>
        <v>PLDT / H2H</v>
      </c>
      <c r="F3177" s="1"/>
      <c r="G3177" s="1">
        <f>IFERROR(__xludf.DUMMYFUNCTION("""COMPUTED_VALUE"""),2312722536)</f>
        <v>2312722536</v>
      </c>
      <c r="H3177" s="1" t="str">
        <f>IFERROR(__xludf.DUMMYFUNCTION("""COMPUTED_VALUE"""),"472335821004")</f>
        <v>472335821004</v>
      </c>
      <c r="I3177" s="1"/>
      <c r="J3177" s="1"/>
      <c r="K3177" s="1"/>
      <c r="L3177" s="1" t="str">
        <f>IFERROR(__xludf.DUMMYFUNCTION("""COMPUTED_VALUE"""),"#N/A")</f>
        <v>#N/A</v>
      </c>
      <c r="M3177" s="1" t="str">
        <f>IFERROR(__xludf.DUMMYFUNCTION("""COMPUTED_VALUE"""),"#N/A")</f>
        <v>#N/A</v>
      </c>
      <c r="N3177" s="1" t="str">
        <f>IFERROR(__xludf.DUMMYFUNCTION("""COMPUTED_VALUE"""),"#N/A")</f>
        <v>#N/A</v>
      </c>
      <c r="O3177" s="1" t="str">
        <f>IFERROR(__xludf.DUMMYFUNCTION("""COMPUTED_VALUE"""),"GREGORIA DE JESUS")</f>
        <v>GREGORIA DE JESUS</v>
      </c>
      <c r="P3177" s="1" t="str">
        <f>IFERROR(__xludf.DUMMYFUNCTION("""COMPUTED_VALUE"""),"GEN MARIANO ALVAREZ")</f>
        <v>GEN MARIANO ALVAREZ</v>
      </c>
      <c r="Q3177" s="1" t="str">
        <f>IFERROR(__xludf.DUMMYFUNCTION("""COMPUTED_VALUE"""),"CAVITE")</f>
        <v>CAVITE</v>
      </c>
      <c r="R3177" s="1" t="str">
        <f>IFERROR(__xludf.DUMMYFUNCTION("""COMPUTED_VALUE"""),"FIBR NETFLIX PLAN 1599")</f>
        <v>FIBR NETFLIX PLAN 1599</v>
      </c>
      <c r="S3177" s="1" t="str">
        <f>IFERROR(__xludf.DUMMYFUNCTION("""COMPUTED_VALUE"""),"APPROVED")</f>
        <v>APPROVED</v>
      </c>
      <c r="T3177" s="1" t="str">
        <f>IFERROR(__xludf.DUMMYFUNCTION("""COMPUTED_VALUE"""),"CLOSED")</f>
        <v>CLOSED</v>
      </c>
      <c r="U3177" s="1" t="str">
        <f>IFERROR(__xludf.DUMMYFUNCTION("""COMPUTED_VALUE"""),"POSTED")</f>
        <v>POSTED</v>
      </c>
      <c r="V3177" s="1" t="str">
        <f>IFERROR(__xludf.DUMMYFUNCTION("""COMPUTED_VALUE"""),"WITH 1 AMSF")</f>
        <v>WITH 1 AMSF</v>
      </c>
      <c r="W3177" s="1"/>
    </row>
    <row r="3178" customHeight="1" spans="1:23">
      <c r="A3178" s="3">
        <f>IFERROR(__xludf.DUMMYFUNCTION("""COMPUTED_VALUE"""),46286)</f>
        <v>46286</v>
      </c>
      <c r="B3178" s="1" t="str">
        <f>IFERROR(__xludf.DUMMYFUNCTION("""COMPUTED_VALUE"""),"MAGDARAOG, KENNETH")</f>
        <v>MAGDARAOG, KENNETH</v>
      </c>
      <c r="C3178" s="1" t="str">
        <f>IFERROR(__xludf.DUMMYFUNCTION("""COMPUTED_VALUE"""),"ORGANIC")</f>
        <v>ORGANIC</v>
      </c>
      <c r="D3178" s="1" t="str">
        <f>IFERROR(__xludf.DUMMYFUNCTION("""COMPUTED_VALUE"""),"REMOLLO LEA")</f>
        <v>REMOLLO LEA</v>
      </c>
      <c r="E3178" s="1" t="str">
        <f>IFERROR(__xludf.DUMMYFUNCTION("""COMPUTED_VALUE"""),"PLDT / H2H")</f>
        <v>PLDT / H2H</v>
      </c>
      <c r="F3178" s="1"/>
      <c r="G3178" s="1">
        <f>IFERROR(__xludf.DUMMYFUNCTION("""COMPUTED_VALUE"""),2312723476)</f>
        <v>2312723476</v>
      </c>
      <c r="H3178" s="1" t="str">
        <f>IFERROR(__xludf.DUMMYFUNCTION("""COMPUTED_VALUE"""),"472335675004")</f>
        <v>472335675004</v>
      </c>
      <c r="I3178" s="1"/>
      <c r="J3178" s="1"/>
      <c r="K3178" s="1"/>
      <c r="L3178" s="1" t="str">
        <f>IFERROR(__xludf.DUMMYFUNCTION("""COMPUTED_VALUE"""),"#N/A")</f>
        <v>#N/A</v>
      </c>
      <c r="M3178" s="1" t="str">
        <f>IFERROR(__xludf.DUMMYFUNCTION("""COMPUTED_VALUE"""),"#N/A")</f>
        <v>#N/A</v>
      </c>
      <c r="N3178" s="1" t="str">
        <f>IFERROR(__xludf.DUMMYFUNCTION("""COMPUTED_VALUE"""),"#N/A")</f>
        <v>#N/A</v>
      </c>
      <c r="O3178" s="1" t="str">
        <f>IFERROR(__xludf.DUMMYFUNCTION("""COMPUTED_VALUE"""),"FRANCISCO REYES")</f>
        <v>FRANCISCO REYES</v>
      </c>
      <c r="P3178" s="1" t="str">
        <f>IFERROR(__xludf.DUMMYFUNCTION("""COMPUTED_VALUE"""),"GEN MARIANO ALVAREZ")</f>
        <v>GEN MARIANO ALVAREZ</v>
      </c>
      <c r="Q3178" s="1" t="str">
        <f>IFERROR(__xludf.DUMMYFUNCTION("""COMPUTED_VALUE"""),"CAVITE")</f>
        <v>CAVITE</v>
      </c>
      <c r="R3178" s="1" t="str">
        <f>IFERROR(__xludf.DUMMYFUNCTION("""COMPUTED_VALUE"""),"FIBR UNLI ALL PLAN 999")</f>
        <v>FIBR UNLI ALL PLAN 999</v>
      </c>
      <c r="S3178" s="1" t="str">
        <f>IFERROR(__xludf.DUMMYFUNCTION("""COMPUTED_VALUE"""),"APPROVED")</f>
        <v>APPROVED</v>
      </c>
      <c r="T3178" s="1" t="str">
        <f>IFERROR(__xludf.DUMMYFUNCTION("""COMPUTED_VALUE"""),"FOR PAYMENT")</f>
        <v>FOR PAYMENT</v>
      </c>
      <c r="U3178" s="1"/>
      <c r="V3178" s="1"/>
      <c r="W3178" s="1"/>
    </row>
    <row r="3179" customHeight="1" spans="1:23">
      <c r="A3179" s="3">
        <f>IFERROR(__xludf.DUMMYFUNCTION("""COMPUTED_VALUE"""),46287)</f>
        <v>46287</v>
      </c>
      <c r="B3179" s="1" t="str">
        <f>IFERROR(__xludf.DUMMYFUNCTION("""COMPUTED_VALUE"""),"AYON MANUEL")</f>
        <v>AYON MANUEL</v>
      </c>
      <c r="C3179" s="1" t="str">
        <f>IFERROR(__xludf.DUMMYFUNCTION("""COMPUTED_VALUE"""),"FLA")</f>
        <v>FLA</v>
      </c>
      <c r="D3179" s="1" t="str">
        <f>IFERROR(__xludf.DUMMYFUNCTION("""COMPUTED_VALUE"""),"JERIC NAVARRO")</f>
        <v>JERIC NAVARRO</v>
      </c>
      <c r="E3179" s="1" t="str">
        <f>IFERROR(__xludf.DUMMYFUNCTION("""COMPUTED_VALUE"""),"PLDT / ONLINE")</f>
        <v>PLDT / ONLINE</v>
      </c>
      <c r="F3179" s="1"/>
      <c r="G3179" s="1">
        <f>IFERROR(__xludf.DUMMYFUNCTION("""COMPUTED_VALUE"""),2312738579)</f>
        <v>2312738579</v>
      </c>
      <c r="H3179" s="1" t="str">
        <f>IFERROR(__xludf.DUMMYFUNCTION("""COMPUTED_VALUE"""),"#N/A")</f>
        <v>#N/A</v>
      </c>
      <c r="I3179" s="1"/>
      <c r="J3179" s="1"/>
      <c r="K3179" s="1"/>
      <c r="L3179" s="1" t="str">
        <f>IFERROR(__xludf.DUMMYFUNCTION("""COMPUTED_VALUE"""),"#N/A")</f>
        <v>#N/A</v>
      </c>
      <c r="M3179" s="1" t="str">
        <f>IFERROR(__xludf.DUMMYFUNCTION("""COMPUTED_VALUE"""),"#N/A")</f>
        <v>#N/A</v>
      </c>
      <c r="N3179" s="1" t="str">
        <f>IFERROR(__xludf.DUMMYFUNCTION("""COMPUTED_VALUE"""),"#N/A")</f>
        <v>#N/A</v>
      </c>
      <c r="O3179" s="1" t="str">
        <f>IFERROR(__xludf.DUMMYFUNCTION("""COMPUTED_VALUE"""),"MIGUEL MOJICA")</f>
        <v>MIGUEL MOJICA</v>
      </c>
      <c r="P3179" s="1" t="str">
        <f>IFERROR(__xludf.DUMMYFUNCTION("""COMPUTED_VALUE"""),"MENDEZ")</f>
        <v>MENDEZ</v>
      </c>
      <c r="Q3179" s="1" t="str">
        <f>IFERROR(__xludf.DUMMYFUNCTION("""COMPUTED_VALUE"""),"CAVITE")</f>
        <v>CAVITE</v>
      </c>
      <c r="R3179" s="1" t="str">
        <f>IFERROR(__xludf.DUMMYFUNCTION("""COMPUTED_VALUE"""),"FIBR PLAN 1699")</f>
        <v>FIBR PLAN 1699</v>
      </c>
      <c r="S3179" s="1" t="str">
        <f>IFERROR(__xludf.DUMMYFUNCTION("""COMPUTED_VALUE"""),"APPROVED")</f>
        <v>APPROVED</v>
      </c>
      <c r="T3179" s="1" t="str">
        <f>IFERROR(__xludf.DUMMYFUNCTION("""COMPUTED_VALUE"""),"BLACKLISTED CVA DISAPPROVED")</f>
        <v>BLACKLISTED CVA DISAPPROVED</v>
      </c>
      <c r="U3179" s="1" t="str">
        <f>IFERROR(__xludf.DUMMYFUNCTION("""COMPUTED_VALUE"""),"DISAPPROVED - WITH OB")</f>
        <v>DISAPPROVED - WITH OB</v>
      </c>
      <c r="V3179" s="1"/>
      <c r="W3179" s="1"/>
    </row>
    <row r="3180" customHeight="1" spans="1:23">
      <c r="A3180" s="3">
        <f>IFERROR(__xludf.DUMMYFUNCTION("""COMPUTED_VALUE"""),46288)</f>
        <v>46288</v>
      </c>
      <c r="B3180" s="1" t="str">
        <f>IFERROR(__xludf.DUMMYFUNCTION("""COMPUTED_VALUE"""),"ESCARCHA, MA ALMA  ESCOTO")</f>
        <v>ESCARCHA, MA ALMA  ESCOTO</v>
      </c>
      <c r="C3180" s="1" t="str">
        <f>IFERROR(__xludf.DUMMYFUNCTION("""COMPUTED_VALUE"""),"ORGANIC")</f>
        <v>ORGANIC</v>
      </c>
      <c r="D3180" s="1" t="str">
        <f>IFERROR(__xludf.DUMMYFUNCTION("""COMPUTED_VALUE"""),"REMOLLO LEA")</f>
        <v>REMOLLO LEA</v>
      </c>
      <c r="E3180" s="1" t="str">
        <f>IFERROR(__xludf.DUMMYFUNCTION("""COMPUTED_VALUE"""),"PLDT / H2H")</f>
        <v>PLDT / H2H</v>
      </c>
      <c r="F3180" s="1"/>
      <c r="G3180" s="1">
        <f>IFERROR(__xludf.DUMMYFUNCTION("""COMPUTED_VALUE"""),2312754861)</f>
        <v>2312754861</v>
      </c>
      <c r="H3180" s="1" t="str">
        <f>IFERROR(__xludf.DUMMYFUNCTION("""COMPUTED_VALUE"""),"#N/A")</f>
        <v>#N/A</v>
      </c>
      <c r="I3180" s="1"/>
      <c r="J3180" s="1"/>
      <c r="K3180" s="1"/>
      <c r="L3180" s="1" t="str">
        <f>IFERROR(__xludf.DUMMYFUNCTION("""COMPUTED_VALUE"""),"#N/A")</f>
        <v>#N/A</v>
      </c>
      <c r="M3180" s="1" t="str">
        <f>IFERROR(__xludf.DUMMYFUNCTION("""COMPUTED_VALUE"""),"#N/A")</f>
        <v>#N/A</v>
      </c>
      <c r="N3180" s="1" t="str">
        <f>IFERROR(__xludf.DUMMYFUNCTION("""COMPUTED_VALUE"""),"#N/A")</f>
        <v>#N/A</v>
      </c>
      <c r="O3180" s="1" t="str">
        <f>IFERROR(__xludf.DUMMYFUNCTION("""COMPUTED_VALUE"""),"ASIS I")</f>
        <v>ASIS I</v>
      </c>
      <c r="P3180" s="1" t="str">
        <f>IFERROR(__xludf.DUMMYFUNCTION("""COMPUTED_VALUE"""),"MENDEZ")</f>
        <v>MENDEZ</v>
      </c>
      <c r="Q3180" s="1" t="str">
        <f>IFERROR(__xludf.DUMMYFUNCTION("""COMPUTED_VALUE"""),"CAVITE")</f>
        <v>CAVITE</v>
      </c>
      <c r="R3180" s="1" t="str">
        <f>IFERROR(__xludf.DUMMYFUNCTION("""COMPUTED_VALUE"""),"FIBR PLAN 1299")</f>
        <v>FIBR PLAN 1299</v>
      </c>
      <c r="S3180" s="1" t="str">
        <f>IFERROR(__xludf.DUMMYFUNCTION("""COMPUTED_VALUE"""),"APPROVED")</f>
        <v>APPROVED</v>
      </c>
      <c r="T3180" s="1" t="str">
        <f>IFERROR(__xludf.DUMMYFUNCTION("""COMPUTED_VALUE"""),"RPR")</f>
        <v>RPR</v>
      </c>
      <c r="U3180" s="1" t="str">
        <f>IFERROR(__xludf.DUMMYFUNCTION("""COMPUTED_VALUE"""),"RPR - SUBS CANCEL REQUEST")</f>
        <v>RPR - SUBS CANCEL REQUEST</v>
      </c>
      <c r="V3180" s="1" t="str">
        <f>IFERROR(__xludf.DUMMYFUNCTION("""COMPUTED_VALUE"""),"NO 1 AMSF")</f>
        <v>NO 1 AMSF</v>
      </c>
      <c r="W3180" s="1"/>
    </row>
    <row r="3181" customHeight="1" spans="1:23">
      <c r="A3181" s="3">
        <f>IFERROR(__xludf.DUMMYFUNCTION("""COMPUTED_VALUE"""),46288)</f>
        <v>46288</v>
      </c>
      <c r="B3181" s="1" t="str">
        <f>IFERROR(__xludf.DUMMYFUNCTION("""COMPUTED_VALUE"""),"GABAY, MANUEL")</f>
        <v>GABAY, MANUEL</v>
      </c>
      <c r="C3181" s="1" t="str">
        <f>IFERROR(__xludf.DUMMYFUNCTION("""COMPUTED_VALUE"""),"FLA")</f>
        <v>FLA</v>
      </c>
      <c r="D3181" s="1" t="str">
        <f>IFERROR(__xludf.DUMMYFUNCTION("""COMPUTED_VALUE"""),"JERIC NAVARRO")</f>
        <v>JERIC NAVARRO</v>
      </c>
      <c r="E3181" s="1" t="str">
        <f>IFERROR(__xludf.DUMMYFUNCTION("""COMPUTED_VALUE"""),"PLDT / H2H")</f>
        <v>PLDT / H2H</v>
      </c>
      <c r="F3181" s="1"/>
      <c r="G3181" s="1">
        <f>IFERROR(__xludf.DUMMYFUNCTION("""COMPUTED_VALUE"""),2312756403)</f>
        <v>2312756403</v>
      </c>
      <c r="H3181" s="1" t="str">
        <f>IFERROR(__xludf.DUMMYFUNCTION("""COMPUTED_VALUE"""),"#N/A")</f>
        <v>#N/A</v>
      </c>
      <c r="I3181" s="1"/>
      <c r="J3181" s="1"/>
      <c r="K3181" s="1"/>
      <c r="L3181" s="1" t="str">
        <f>IFERROR(__xludf.DUMMYFUNCTION("""COMPUTED_VALUE"""),"#N/A")</f>
        <v>#N/A</v>
      </c>
      <c r="M3181" s="1" t="str">
        <f>IFERROR(__xludf.DUMMYFUNCTION("""COMPUTED_VALUE"""),"#N/A")</f>
        <v>#N/A</v>
      </c>
      <c r="N3181" s="1" t="str">
        <f>IFERROR(__xludf.DUMMYFUNCTION("""COMPUTED_VALUE"""),"#N/A")</f>
        <v>#N/A</v>
      </c>
      <c r="O3181" s="1" t="str">
        <f>IFERROR(__xludf.DUMMYFUNCTION("""COMPUTED_VALUE"""),"BARANGAY 5 (POB.)")</f>
        <v>BARANGAY 5 (POB.)</v>
      </c>
      <c r="P3181" s="1" t="str">
        <f>IFERROR(__xludf.DUMMYFUNCTION("""COMPUTED_VALUE"""),"MENDEZ")</f>
        <v>MENDEZ</v>
      </c>
      <c r="Q3181" s="1" t="str">
        <f>IFERROR(__xludf.DUMMYFUNCTION("""COMPUTED_VALUE"""),"CAVITE")</f>
        <v>CAVITE</v>
      </c>
      <c r="R3181" s="1" t="str">
        <f>IFERROR(__xludf.DUMMYFUNCTION("""COMPUTED_VALUE"""),"FIBR PLAN 1299")</f>
        <v>FIBR PLAN 1299</v>
      </c>
      <c r="S3181" s="1" t="str">
        <f>IFERROR(__xludf.DUMMYFUNCTION("""COMPUTED_VALUE"""),"APPROVED")</f>
        <v>APPROVED</v>
      </c>
      <c r="T3181" s="1" t="str">
        <f>IFERROR(__xludf.DUMMYFUNCTION("""COMPUTED_VALUE"""),"CLOSED")</f>
        <v>CLOSED</v>
      </c>
      <c r="U3181" s="1" t="str">
        <f>IFERROR(__xludf.DUMMYFUNCTION("""COMPUTED_VALUE"""),"POSTED")</f>
        <v>POSTED</v>
      </c>
      <c r="V3181" s="1" t="str">
        <f>IFERROR(__xludf.DUMMYFUNCTION("""COMPUTED_VALUE"""),"WITH 1 AMSF")</f>
        <v>WITH 1 AMSF</v>
      </c>
      <c r="W3181" s="1"/>
    </row>
    <row r="3182" customHeight="1" spans="1:23">
      <c r="A3182" s="3">
        <f>IFERROR(__xludf.DUMMYFUNCTION("""COMPUTED_VALUE"""),46288)</f>
        <v>46288</v>
      </c>
      <c r="B3182" s="1" t="str">
        <f>IFERROR(__xludf.DUMMYFUNCTION("""COMPUTED_VALUE"""),"MALIWAT MARK ELVIN")</f>
        <v>MALIWAT MARK ELVIN</v>
      </c>
      <c r="C3182" s="1" t="str">
        <f>IFERROR(__xludf.DUMMYFUNCTION("""COMPUTED_VALUE"""),"FLA")</f>
        <v>FLA</v>
      </c>
      <c r="D3182" s="1" t="str">
        <f>IFERROR(__xludf.DUMMYFUNCTION("""COMPUTED_VALUE"""),"JERIC NAVARRO")</f>
        <v>JERIC NAVARRO</v>
      </c>
      <c r="E3182" s="1" t="str">
        <f>IFERROR(__xludf.DUMMYFUNCTION("""COMPUTED_VALUE"""),"PLDT / ONLINE")</f>
        <v>PLDT / ONLINE</v>
      </c>
      <c r="F3182" s="1"/>
      <c r="G3182" s="1">
        <f>IFERROR(__xludf.DUMMYFUNCTION("""COMPUTED_VALUE"""),2312758470)</f>
        <v>2312758470</v>
      </c>
      <c r="H3182" s="1" t="str">
        <f>IFERROR(__xludf.DUMMYFUNCTION("""COMPUTED_VALUE"""),"#N/A")</f>
        <v>#N/A</v>
      </c>
      <c r="I3182" s="1"/>
      <c r="J3182" s="1"/>
      <c r="K3182" s="1"/>
      <c r="L3182" s="1" t="str">
        <f>IFERROR(__xludf.DUMMYFUNCTION("""COMPUTED_VALUE"""),"#N/A")</f>
        <v>#N/A</v>
      </c>
      <c r="M3182" s="1" t="str">
        <f>IFERROR(__xludf.DUMMYFUNCTION("""COMPUTED_VALUE"""),"#N/A")</f>
        <v>#N/A</v>
      </c>
      <c r="N3182" s="1" t="str">
        <f>IFERROR(__xludf.DUMMYFUNCTION("""COMPUTED_VALUE"""),"#N/A")</f>
        <v>#N/A</v>
      </c>
      <c r="O3182" s="1" t="str">
        <f>IFERROR(__xludf.DUMMYFUNCTION("""COMPUTED_VALUE"""),"NAVARRO")</f>
        <v>NAVARRO</v>
      </c>
      <c r="P3182" s="1" t="str">
        <f>IFERROR(__xludf.DUMMYFUNCTION("""COMPUTED_VALUE"""),"GENERAL TRIAS")</f>
        <v>GENERAL TRIAS</v>
      </c>
      <c r="Q3182" s="1" t="str">
        <f>IFERROR(__xludf.DUMMYFUNCTION("""COMPUTED_VALUE"""),"CAVITE")</f>
        <v>CAVITE</v>
      </c>
      <c r="R3182" s="1" t="str">
        <f>IFERROR(__xludf.DUMMYFUNCTION("""COMPUTED_VALUE"""),"FIBR UNLI ALL PLAN 1899")</f>
        <v>FIBR UNLI ALL PLAN 1899</v>
      </c>
      <c r="S3182" s="1" t="str">
        <f>IFERROR(__xludf.DUMMYFUNCTION("""COMPUTED_VALUE"""),"APPROVED")</f>
        <v>APPROVED</v>
      </c>
      <c r="T3182" s="1" t="str">
        <f>IFERROR(__xludf.DUMMYFUNCTION("""COMPUTED_VALUE"""),"PAID")</f>
        <v>PAID</v>
      </c>
      <c r="U3182" s="1" t="str">
        <f>IFERROR(__xludf.DUMMYFUNCTION("""COMPUTED_VALUE"""),"PAID - FOR INSTALLATION")</f>
        <v>PAID - FOR INSTALLATION</v>
      </c>
      <c r="V3182" s="1" t="str">
        <f>IFERROR(__xludf.DUMMYFUNCTION("""COMPUTED_VALUE"""),"WITH 1 AMSF")</f>
        <v>WITH 1 AMSF</v>
      </c>
      <c r="W3182" s="1"/>
    </row>
    <row r="3183" customHeight="1" spans="1:23">
      <c r="A3183" s="3">
        <f>IFERROR(__xludf.DUMMYFUNCTION("""COMPUTED_VALUE"""),46288)</f>
        <v>46288</v>
      </c>
      <c r="B3183" s="1" t="str">
        <f>IFERROR(__xludf.DUMMYFUNCTION("""COMPUTED_VALUE"""),"GABAY, MANUEL")</f>
        <v>GABAY, MANUEL</v>
      </c>
      <c r="C3183" s="1" t="str">
        <f>IFERROR(__xludf.DUMMYFUNCTION("""COMPUTED_VALUE"""),"FLA")</f>
        <v>FLA</v>
      </c>
      <c r="D3183" s="1" t="str">
        <f>IFERROR(__xludf.DUMMYFUNCTION("""COMPUTED_VALUE"""),"JERIC NAVARRO")</f>
        <v>JERIC NAVARRO</v>
      </c>
      <c r="E3183" s="1" t="str">
        <f>IFERROR(__xludf.DUMMYFUNCTION("""COMPUTED_VALUE"""),"PLDT / ONLINE")</f>
        <v>PLDT / ONLINE</v>
      </c>
      <c r="F3183" s="1"/>
      <c r="G3183" s="1">
        <f>IFERROR(__xludf.DUMMYFUNCTION("""COMPUTED_VALUE"""),2312761834)</f>
        <v>2312761834</v>
      </c>
      <c r="H3183" s="1" t="str">
        <f>IFERROR(__xludf.DUMMYFUNCTION("""COMPUTED_VALUE"""),"472591133004")</f>
        <v>472591133004</v>
      </c>
      <c r="I3183" s="1"/>
      <c r="J3183" s="1"/>
      <c r="K3183" s="1"/>
      <c r="L3183" s="1" t="str">
        <f>IFERROR(__xludf.DUMMYFUNCTION("""COMPUTED_VALUE"""),"#N/A")</f>
        <v>#N/A</v>
      </c>
      <c r="M3183" s="1" t="str">
        <f>IFERROR(__xludf.DUMMYFUNCTION("""COMPUTED_VALUE"""),"#N/A")</f>
        <v>#N/A</v>
      </c>
      <c r="N3183" s="1" t="str">
        <f>IFERROR(__xludf.DUMMYFUNCTION("""COMPUTED_VALUE"""),"#N/A")</f>
        <v>#N/A</v>
      </c>
      <c r="O3183" s="1" t="str">
        <f>IFERROR(__xludf.DUMMYFUNCTION("""COMPUTED_VALUE"""),"TOLEDO")</f>
        <v>TOLEDO</v>
      </c>
      <c r="P3183" s="1" t="str">
        <f>IFERROR(__xludf.DUMMYFUNCTION("""COMPUTED_VALUE"""),"SILANG")</f>
        <v>SILANG</v>
      </c>
      <c r="Q3183" s="1" t="str">
        <f>IFERROR(__xludf.DUMMYFUNCTION("""COMPUTED_VALUE"""),"CAVITE")</f>
        <v>CAVITE</v>
      </c>
      <c r="R3183" s="1" t="str">
        <f>IFERROR(__xludf.DUMMYFUNCTION("""COMPUTED_VALUE"""),"FIBR NETFLIX PLAN 1599")</f>
        <v>FIBR NETFLIX PLAN 1599</v>
      </c>
      <c r="S3183" s="1" t="str">
        <f>IFERROR(__xludf.DUMMYFUNCTION("""COMPUTED_VALUE"""),"APPROVED")</f>
        <v>APPROVED</v>
      </c>
      <c r="T3183" s="1" t="str">
        <f>IFERROR(__xludf.DUMMYFUNCTION("""COMPUTED_VALUE"""),"PAID")</f>
        <v>PAID</v>
      </c>
      <c r="U3183" s="1" t="str">
        <f>IFERROR(__xludf.DUMMYFUNCTION("""COMPUTED_VALUE"""),"PAID - FOR INSTALLATION")</f>
        <v>PAID - FOR INSTALLATION</v>
      </c>
      <c r="V3183" s="1" t="str">
        <f>IFERROR(__xludf.DUMMYFUNCTION("""COMPUTED_VALUE"""),"WITH 1 AMSF")</f>
        <v>WITH 1 AMSF</v>
      </c>
      <c r="W3183" s="1"/>
    </row>
    <row r="3184" customHeight="1" spans="1:23">
      <c r="A3184" s="3">
        <f>IFERROR(__xludf.DUMMYFUNCTION("""COMPUTED_VALUE"""),46288)</f>
        <v>46288</v>
      </c>
      <c r="B3184" s="1" t="str">
        <f>IFERROR(__xludf.DUMMYFUNCTION("""COMPUTED_VALUE"""),"ARIENA, LYKA")</f>
        <v>ARIENA, LYKA</v>
      </c>
      <c r="C3184" s="1" t="str">
        <f>IFERROR(__xludf.DUMMYFUNCTION("""COMPUTED_VALUE"""),"ORGANIC")</f>
        <v>ORGANIC</v>
      </c>
      <c r="D3184" s="1" t="str">
        <f>IFERROR(__xludf.DUMMYFUNCTION("""COMPUTED_VALUE"""),"REMOLLO LEA")</f>
        <v>REMOLLO LEA</v>
      </c>
      <c r="E3184" s="1" t="str">
        <f>IFERROR(__xludf.DUMMYFUNCTION("""COMPUTED_VALUE"""),"PLDT / H2H")</f>
        <v>PLDT / H2H</v>
      </c>
      <c r="F3184" s="1"/>
      <c r="G3184" s="1">
        <f>IFERROR(__xludf.DUMMYFUNCTION("""COMPUTED_VALUE"""),2312762929)</f>
        <v>2312762929</v>
      </c>
      <c r="H3184" s="1" t="str">
        <f>IFERROR(__xludf.DUMMYFUNCTION("""COMPUTED_VALUE"""),"#N/A")</f>
        <v>#N/A</v>
      </c>
      <c r="I3184" s="1"/>
      <c r="J3184" s="1"/>
      <c r="K3184" s="1"/>
      <c r="L3184" s="1" t="str">
        <f>IFERROR(__xludf.DUMMYFUNCTION("""COMPUTED_VALUE"""),"#N/A")</f>
        <v>#N/A</v>
      </c>
      <c r="M3184" s="1" t="str">
        <f>IFERROR(__xludf.DUMMYFUNCTION("""COMPUTED_VALUE"""),"#N/A")</f>
        <v>#N/A</v>
      </c>
      <c r="N3184" s="1" t="str">
        <f>IFERROR(__xludf.DUMMYFUNCTION("""COMPUTED_VALUE"""),"#N/A")</f>
        <v>#N/A</v>
      </c>
      <c r="O3184" s="1" t="str">
        <f>IFERROR(__xludf.DUMMYFUNCTION("""COMPUTED_VALUE"""),"MADUYA")</f>
        <v>MADUYA</v>
      </c>
      <c r="P3184" s="1" t="str">
        <f>IFERROR(__xludf.DUMMYFUNCTION("""COMPUTED_VALUE"""),"CARMONA")</f>
        <v>CARMONA</v>
      </c>
      <c r="Q3184" s="1" t="str">
        <f>IFERROR(__xludf.DUMMYFUNCTION("""COMPUTED_VALUE"""),"CAVITE")</f>
        <v>CAVITE</v>
      </c>
      <c r="R3184" s="1" t="str">
        <f>IFERROR(__xludf.DUMMYFUNCTION("""COMPUTED_VALUE"""),"FIBR PLAN 1299")</f>
        <v>FIBR PLAN 1299</v>
      </c>
      <c r="S3184" s="1" t="str">
        <f>IFERROR(__xludf.DUMMYFUNCTION("""COMPUTED_VALUE"""),"APPROVED")</f>
        <v>APPROVED</v>
      </c>
      <c r="T3184" s="1" t="str">
        <f>IFERROR(__xludf.DUMMYFUNCTION("""COMPUTED_VALUE"""),"PAID")</f>
        <v>PAID</v>
      </c>
      <c r="U3184" s="1" t="str">
        <f>IFERROR(__xludf.DUMMYFUNCTION("""COMPUTED_VALUE"""),"PAID - FOR INSTALLATION")</f>
        <v>PAID - FOR INSTALLATION</v>
      </c>
      <c r="V3184" s="1" t="str">
        <f>IFERROR(__xludf.DUMMYFUNCTION("""COMPUTED_VALUE"""),"WITH 1 AMSF")</f>
        <v>WITH 1 AMSF</v>
      </c>
      <c r="W3184" s="1"/>
    </row>
    <row r="3185" customHeight="1" spans="1:23">
      <c r="A3185" s="3">
        <f>IFERROR(__xludf.DUMMYFUNCTION("""COMPUTED_VALUE"""),46288)</f>
        <v>46288</v>
      </c>
      <c r="B3185" s="1" t="str">
        <f>IFERROR(__xludf.DUMMYFUNCTION("""COMPUTED_VALUE"""),"BAQUIT ,JAZMIN")</f>
        <v>BAQUIT ,JAZMIN</v>
      </c>
      <c r="C3185" s="1" t="str">
        <f>IFERROR(__xludf.DUMMYFUNCTION("""COMPUTED_VALUE"""),"ORGANIC")</f>
        <v>ORGANIC</v>
      </c>
      <c r="D3185" s="1" t="str">
        <f>IFERROR(__xludf.DUMMYFUNCTION("""COMPUTED_VALUE"""),"REMOLLO LEA")</f>
        <v>REMOLLO LEA</v>
      </c>
      <c r="E3185" s="1" t="str">
        <f>IFERROR(__xludf.DUMMYFUNCTION("""COMPUTED_VALUE"""),"PLDT / H2H")</f>
        <v>PLDT / H2H</v>
      </c>
      <c r="F3185" s="1"/>
      <c r="G3185" s="1">
        <f>IFERROR(__xludf.DUMMYFUNCTION("""COMPUTED_VALUE"""),2312763226)</f>
        <v>2312763226</v>
      </c>
      <c r="H3185" s="1" t="str">
        <f>IFERROR(__xludf.DUMMYFUNCTION("""COMPUTED_VALUE"""),"#N/A")</f>
        <v>#N/A</v>
      </c>
      <c r="I3185" s="1"/>
      <c r="J3185" s="1"/>
      <c r="K3185" s="1"/>
      <c r="L3185" s="1" t="str">
        <f>IFERROR(__xludf.DUMMYFUNCTION("""COMPUTED_VALUE"""),"#N/A")</f>
        <v>#N/A</v>
      </c>
      <c r="M3185" s="1" t="str">
        <f>IFERROR(__xludf.DUMMYFUNCTION("""COMPUTED_VALUE"""),"#N/A")</f>
        <v>#N/A</v>
      </c>
      <c r="N3185" s="1" t="str">
        <f>IFERROR(__xludf.DUMMYFUNCTION("""COMPUTED_VALUE"""),"#N/A")</f>
        <v>#N/A</v>
      </c>
      <c r="O3185" s="1" t="str">
        <f>IFERROR(__xludf.DUMMYFUNCTION("""COMPUTED_VALUE"""),"BANAYBANAY")</f>
        <v>BANAYBANAY</v>
      </c>
      <c r="P3185" s="1" t="str">
        <f>IFERROR(__xludf.DUMMYFUNCTION("""COMPUTED_VALUE"""),"AMADEO")</f>
        <v>AMADEO</v>
      </c>
      <c r="Q3185" s="1" t="str">
        <f>IFERROR(__xludf.DUMMYFUNCTION("""COMPUTED_VALUE"""),"CAVITE")</f>
        <v>CAVITE</v>
      </c>
      <c r="R3185" s="1" t="str">
        <f>IFERROR(__xludf.DUMMYFUNCTION("""COMPUTED_VALUE"""),"FIBR PLAN 1299")</f>
        <v>FIBR PLAN 1299</v>
      </c>
      <c r="S3185" s="1" t="str">
        <f>IFERROR(__xludf.DUMMYFUNCTION("""COMPUTED_VALUE"""),"APPROVED")</f>
        <v>APPROVED</v>
      </c>
      <c r="T3185" s="1" t="str">
        <f>IFERROR(__xludf.DUMMYFUNCTION("""COMPUTED_VALUE"""),"RPR")</f>
        <v>RPR</v>
      </c>
      <c r="U3185" s="1" t="str">
        <f>IFERROR(__xludf.DUMMYFUNCTION("""COMPUTED_VALUE"""),"RPR - NAP FULL")</f>
        <v>RPR - NAP FULL</v>
      </c>
      <c r="V3185" s="1" t="str">
        <f>IFERROR(__xludf.DUMMYFUNCTION("""COMPUTED_VALUE"""),"NO 1 AMSF")</f>
        <v>NO 1 AMSF</v>
      </c>
      <c r="W3185" s="1"/>
    </row>
    <row r="3186" customHeight="1" spans="1:23">
      <c r="A3186" s="3">
        <f>IFERROR(__xludf.DUMMYFUNCTION("""COMPUTED_VALUE"""),46288)</f>
        <v>46288</v>
      </c>
      <c r="B3186" s="1" t="str">
        <f>IFERROR(__xludf.DUMMYFUNCTION("""COMPUTED_VALUE"""),"DIESTA, RHODA")</f>
        <v>DIESTA, RHODA</v>
      </c>
      <c r="C3186" s="1" t="str">
        <f>IFERROR(__xludf.DUMMYFUNCTION("""COMPUTED_VALUE"""),"ORGANIC")</f>
        <v>ORGANIC</v>
      </c>
      <c r="D3186" s="1" t="str">
        <f>IFERROR(__xludf.DUMMYFUNCTION("""COMPUTED_VALUE"""),"REMOLLO LEA")</f>
        <v>REMOLLO LEA</v>
      </c>
      <c r="E3186" s="1" t="str">
        <f>IFERROR(__xludf.DUMMYFUNCTION("""COMPUTED_VALUE"""),"PLDT / H2H")</f>
        <v>PLDT / H2H</v>
      </c>
      <c r="F3186" s="1"/>
      <c r="G3186" s="1">
        <f>IFERROR(__xludf.DUMMYFUNCTION("""COMPUTED_VALUE"""),2312763495)</f>
        <v>2312763495</v>
      </c>
      <c r="H3186" s="1" t="str">
        <f>IFERROR(__xludf.DUMMYFUNCTION("""COMPUTED_VALUE"""),"#N/A")</f>
        <v>#N/A</v>
      </c>
      <c r="I3186" s="1"/>
      <c r="J3186" s="1"/>
      <c r="K3186" s="1"/>
      <c r="L3186" s="1" t="str">
        <f>IFERROR(__xludf.DUMMYFUNCTION("""COMPUTED_VALUE"""),"#N/A")</f>
        <v>#N/A</v>
      </c>
      <c r="M3186" s="1" t="str">
        <f>IFERROR(__xludf.DUMMYFUNCTION("""COMPUTED_VALUE"""),"#N/A")</f>
        <v>#N/A</v>
      </c>
      <c r="N3186" s="1" t="str">
        <f>IFERROR(__xludf.DUMMYFUNCTION("""COMPUTED_VALUE"""),"#N/A")</f>
        <v>#N/A</v>
      </c>
      <c r="O3186" s="1" t="str">
        <f>IFERROR(__xludf.DUMMYFUNCTION("""COMPUTED_VALUE"""),"MADUYA")</f>
        <v>MADUYA</v>
      </c>
      <c r="P3186" s="1" t="str">
        <f>IFERROR(__xludf.DUMMYFUNCTION("""COMPUTED_VALUE"""),"CARMONA")</f>
        <v>CARMONA</v>
      </c>
      <c r="Q3186" s="1" t="str">
        <f>IFERROR(__xludf.DUMMYFUNCTION("""COMPUTED_VALUE"""),"CAVITE")</f>
        <v>CAVITE</v>
      </c>
      <c r="R3186" s="1" t="str">
        <f>IFERROR(__xludf.DUMMYFUNCTION("""COMPUTED_VALUE"""),"FIBR UNLI ALL PLAN 1499")</f>
        <v>FIBR UNLI ALL PLAN 1499</v>
      </c>
      <c r="S3186" s="1" t="str">
        <f>IFERROR(__xludf.DUMMYFUNCTION("""COMPUTED_VALUE"""),"APPROVED")</f>
        <v>APPROVED</v>
      </c>
      <c r="T3186" s="1" t="str">
        <f>IFERROR(__xludf.DUMMYFUNCTION("""COMPUTED_VALUE"""),"RTS")</f>
        <v>RTS</v>
      </c>
      <c r="U3186" s="1" t="str">
        <f>IFERROR(__xludf.DUMMYFUNCTION("""COMPUTED_VALUE"""),"RTS - CUSTOMER COMPLIANCE")</f>
        <v>RTS - CUSTOMER COMPLIANCE</v>
      </c>
      <c r="V3186" s="1"/>
      <c r="W3186" s="1"/>
    </row>
    <row r="3187" customHeight="1" spans="1:23">
      <c r="A3187" s="3">
        <f>IFERROR(__xludf.DUMMYFUNCTION("""COMPUTED_VALUE"""),46289)</f>
        <v>46289</v>
      </c>
      <c r="B3187" s="1" t="str">
        <f>IFERROR(__xludf.DUMMYFUNCTION("""COMPUTED_VALUE"""),"DIESTA, RHODA")</f>
        <v>DIESTA, RHODA</v>
      </c>
      <c r="C3187" s="1" t="str">
        <f>IFERROR(__xludf.DUMMYFUNCTION("""COMPUTED_VALUE"""),"ORGANIC")</f>
        <v>ORGANIC</v>
      </c>
      <c r="D3187" s="1" t="str">
        <f>IFERROR(__xludf.DUMMYFUNCTION("""COMPUTED_VALUE"""),"REMOLLO LEA")</f>
        <v>REMOLLO LEA</v>
      </c>
      <c r="E3187" s="1" t="str">
        <f>IFERROR(__xludf.DUMMYFUNCTION("""COMPUTED_VALUE"""),"PLDT / H2H")</f>
        <v>PLDT / H2H</v>
      </c>
      <c r="F3187" s="1"/>
      <c r="G3187" s="1">
        <f>IFERROR(__xludf.DUMMYFUNCTION("""COMPUTED_VALUE"""),2312764689)</f>
        <v>2312764689</v>
      </c>
      <c r="H3187" s="1" t="str">
        <f>IFERROR(__xludf.DUMMYFUNCTION("""COMPUTED_VALUE"""),"472597250004")</f>
        <v>472597250004</v>
      </c>
      <c r="I3187" s="1"/>
      <c r="J3187" s="1"/>
      <c r="K3187" s="1"/>
      <c r="L3187" s="1" t="str">
        <f>IFERROR(__xludf.DUMMYFUNCTION("""COMPUTED_VALUE"""),"#N/A")</f>
        <v>#N/A</v>
      </c>
      <c r="M3187" s="1" t="str">
        <f>IFERROR(__xludf.DUMMYFUNCTION("""COMPUTED_VALUE"""),"#N/A")</f>
        <v>#N/A</v>
      </c>
      <c r="N3187" s="1" t="str">
        <f>IFERROR(__xludf.DUMMYFUNCTION("""COMPUTED_VALUE"""),"#N/A")</f>
        <v>#N/A</v>
      </c>
      <c r="O3187" s="1" t="str">
        <f>IFERROR(__xludf.DUMMYFUNCTION("""COMPUTED_VALUE"""),"ACACIA")</f>
        <v>ACACIA</v>
      </c>
      <c r="P3187" s="1" t="str">
        <f>IFERROR(__xludf.DUMMYFUNCTION("""COMPUTED_VALUE"""),"SILANG")</f>
        <v>SILANG</v>
      </c>
      <c r="Q3187" s="1" t="str">
        <f>IFERROR(__xludf.DUMMYFUNCTION("""COMPUTED_VALUE"""),"CAVITE")</f>
        <v>CAVITE</v>
      </c>
      <c r="R3187" s="1" t="str">
        <f>IFERROR(__xludf.DUMMYFUNCTION("""COMPUTED_VALUE"""),"FIBR PLAN 1299")</f>
        <v>FIBR PLAN 1299</v>
      </c>
      <c r="S3187" s="1" t="str">
        <f>IFERROR(__xludf.DUMMYFUNCTION("""COMPUTED_VALUE"""),"APPROVED")</f>
        <v>APPROVED</v>
      </c>
      <c r="T3187" s="1" t="str">
        <f>IFERROR(__xludf.DUMMYFUNCTION("""COMPUTED_VALUE"""),"RPR")</f>
        <v>RPR</v>
      </c>
      <c r="U3187" s="1" t="str">
        <f>IFERROR(__xludf.DUMMYFUNCTION("""COMPUTED_VALUE"""),"RPR - NAP FULL")</f>
        <v>RPR - NAP FULL</v>
      </c>
      <c r="V3187" s="1" t="str">
        <f>IFERROR(__xludf.DUMMYFUNCTION("""COMPUTED_VALUE"""),"NO 1 AMSF")</f>
        <v>NO 1 AMSF</v>
      </c>
      <c r="W3187" s="1"/>
    </row>
    <row r="3188" customHeight="1" spans="1:23">
      <c r="A3188" s="3">
        <f>IFERROR(__xludf.DUMMYFUNCTION("""COMPUTED_VALUE"""),46289)</f>
        <v>46289</v>
      </c>
      <c r="B3188" s="1" t="str">
        <f>IFERROR(__xludf.DUMMYFUNCTION("""COMPUTED_VALUE"""),"AYON MANUEL")</f>
        <v>AYON MANUEL</v>
      </c>
      <c r="C3188" s="1" t="str">
        <f>IFERROR(__xludf.DUMMYFUNCTION("""COMPUTED_VALUE"""),"FLA")</f>
        <v>FLA</v>
      </c>
      <c r="D3188" s="1" t="str">
        <f>IFERROR(__xludf.DUMMYFUNCTION("""COMPUTED_VALUE"""),"JERIC NAVARRO")</f>
        <v>JERIC NAVARRO</v>
      </c>
      <c r="E3188" s="1" t="str">
        <f>IFERROR(__xludf.DUMMYFUNCTION("""COMPUTED_VALUE"""),"PLDT / ONLINE")</f>
        <v>PLDT / ONLINE</v>
      </c>
      <c r="F3188" s="1"/>
      <c r="G3188" s="1">
        <f>IFERROR(__xludf.DUMMYFUNCTION("""COMPUTED_VALUE"""),2312773433)</f>
        <v>2312773433</v>
      </c>
      <c r="H3188" s="1" t="str">
        <f>IFERROR(__xludf.DUMMYFUNCTION("""COMPUTED_VALUE"""),"472734314004")</f>
        <v>472734314004</v>
      </c>
      <c r="I3188" s="1"/>
      <c r="J3188" s="1"/>
      <c r="K3188" s="1"/>
      <c r="L3188" s="1" t="str">
        <f>IFERROR(__xludf.DUMMYFUNCTION("""COMPUTED_VALUE"""),"#N/A")</f>
        <v>#N/A</v>
      </c>
      <c r="M3188" s="1" t="str">
        <f>IFERROR(__xludf.DUMMYFUNCTION("""COMPUTED_VALUE"""),"#N/A")</f>
        <v>#N/A</v>
      </c>
      <c r="N3188" s="1" t="str">
        <f>IFERROR(__xludf.DUMMYFUNCTION("""COMPUTED_VALUE"""),"#N/A")</f>
        <v>#N/A</v>
      </c>
      <c r="O3188" s="1" t="str">
        <f>IFERROR(__xludf.DUMMYFUNCTION("""COMPUTED_VALUE"""),"MIGUEL MOJICA")</f>
        <v>MIGUEL MOJICA</v>
      </c>
      <c r="P3188" s="1" t="str">
        <f>IFERROR(__xludf.DUMMYFUNCTION("""COMPUTED_VALUE"""),"MENDEZ")</f>
        <v>MENDEZ</v>
      </c>
      <c r="Q3188" s="1" t="str">
        <f>IFERROR(__xludf.DUMMYFUNCTION("""COMPUTED_VALUE"""),"CAVITE")</f>
        <v>CAVITE</v>
      </c>
      <c r="R3188" s="1" t="str">
        <f>IFERROR(__xludf.DUMMYFUNCTION("""COMPUTED_VALUE"""),"FIBR PLAN 1699")</f>
        <v>FIBR PLAN 1699</v>
      </c>
      <c r="S3188" s="1" t="str">
        <f>IFERROR(__xludf.DUMMYFUNCTION("""COMPUTED_VALUE"""),"APPROVED")</f>
        <v>APPROVED</v>
      </c>
      <c r="T3188" s="1" t="str">
        <f>IFERROR(__xludf.DUMMYFUNCTION("""COMPUTED_VALUE"""),"CLOSED")</f>
        <v>CLOSED</v>
      </c>
      <c r="U3188" s="1" t="str">
        <f>IFERROR(__xludf.DUMMYFUNCTION("""COMPUTED_VALUE"""),"POSTED")</f>
        <v>POSTED</v>
      </c>
      <c r="V3188" s="1" t="str">
        <f>IFERROR(__xludf.DUMMYFUNCTION("""COMPUTED_VALUE"""),"WITH 1 AMSF")</f>
        <v>WITH 1 AMSF</v>
      </c>
      <c r="W3188" s="1"/>
    </row>
    <row r="3189" customHeight="1" spans="1:23">
      <c r="A3189" s="3">
        <f>IFERROR(__xludf.DUMMYFUNCTION("""COMPUTED_VALUE"""),46289)</f>
        <v>46289</v>
      </c>
      <c r="B3189" s="1" t="str">
        <f>IFERROR(__xludf.DUMMYFUNCTION("""COMPUTED_VALUE"""),"AYON MANUEL")</f>
        <v>AYON MANUEL</v>
      </c>
      <c r="C3189" s="1" t="str">
        <f>IFERROR(__xludf.DUMMYFUNCTION("""COMPUTED_VALUE"""),"FLA")</f>
        <v>FLA</v>
      </c>
      <c r="D3189" s="1" t="str">
        <f>IFERROR(__xludf.DUMMYFUNCTION("""COMPUTED_VALUE"""),"JERIC NAVARRO")</f>
        <v>JERIC NAVARRO</v>
      </c>
      <c r="E3189" s="1" t="str">
        <f>IFERROR(__xludf.DUMMYFUNCTION("""COMPUTED_VALUE"""),"PLDT / H2H")</f>
        <v>PLDT / H2H</v>
      </c>
      <c r="F3189" s="1"/>
      <c r="G3189" s="1">
        <f>IFERROR(__xludf.DUMMYFUNCTION("""COMPUTED_VALUE"""),2312817318)</f>
        <v>2312817318</v>
      </c>
      <c r="H3189" s="1" t="str">
        <f>IFERROR(__xludf.DUMMYFUNCTION("""COMPUTED_VALUE"""),"472977325004")</f>
        <v>472977325004</v>
      </c>
      <c r="I3189" s="1"/>
      <c r="J3189" s="1"/>
      <c r="K3189" s="1"/>
      <c r="L3189" s="1" t="str">
        <f>IFERROR(__xludf.DUMMYFUNCTION("""COMPUTED_VALUE"""),"#N/A")</f>
        <v>#N/A</v>
      </c>
      <c r="M3189" s="1" t="str">
        <f>IFERROR(__xludf.DUMMYFUNCTION("""COMPUTED_VALUE"""),"#N/A")</f>
        <v>#N/A</v>
      </c>
      <c r="N3189" s="1" t="str">
        <f>IFERROR(__xludf.DUMMYFUNCTION("""COMPUTED_VALUE"""),"#N/A")</f>
        <v>#N/A</v>
      </c>
      <c r="O3189" s="1" t="str">
        <f>IFERROR(__xludf.DUMMYFUNCTION("""COMPUTED_VALUE"""),"ZAMBAL")</f>
        <v>ZAMBAL</v>
      </c>
      <c r="P3189" s="1" t="str">
        <f>IFERROR(__xludf.DUMMYFUNCTION("""COMPUTED_VALUE"""),"TAGAYTAY")</f>
        <v>TAGAYTAY</v>
      </c>
      <c r="Q3189" s="1" t="str">
        <f>IFERROR(__xludf.DUMMYFUNCTION("""COMPUTED_VALUE"""),"CAVITE")</f>
        <v>CAVITE</v>
      </c>
      <c r="R3189" s="1" t="str">
        <f>IFERROR(__xludf.DUMMYFUNCTION("""COMPUTED_VALUE"""),"FIBR PLAN 1299")</f>
        <v>FIBR PLAN 1299</v>
      </c>
      <c r="S3189" s="1" t="str">
        <f>IFERROR(__xludf.DUMMYFUNCTION("""COMPUTED_VALUE"""),"APPROVED")</f>
        <v>APPROVED</v>
      </c>
      <c r="T3189" s="1" t="str">
        <f>IFERROR(__xludf.DUMMYFUNCTION("""COMPUTED_VALUE"""),"CLOSED")</f>
        <v>CLOSED</v>
      </c>
      <c r="U3189" s="1" t="str">
        <f>IFERROR(__xludf.DUMMYFUNCTION("""COMPUTED_VALUE"""),"POSTED")</f>
        <v>POSTED</v>
      </c>
      <c r="V3189" s="1" t="str">
        <f>IFERROR(__xludf.DUMMYFUNCTION("""COMPUTED_VALUE"""),"WITH 1 AMSF")</f>
        <v>WITH 1 AMSF</v>
      </c>
      <c r="W3189" s="1"/>
    </row>
    <row r="3190" customHeight="1" spans="1:23">
      <c r="A3190" s="3">
        <f>IFERROR(__xludf.DUMMYFUNCTION("""COMPUTED_VALUE"""),46289)</f>
        <v>46289</v>
      </c>
      <c r="B3190" s="1" t="str">
        <f>IFERROR(__xludf.DUMMYFUNCTION("""COMPUTED_VALUE"""),"CADERAO, RONALD")</f>
        <v>CADERAO, RONALD</v>
      </c>
      <c r="C3190" s="1" t="str">
        <f>IFERROR(__xludf.DUMMYFUNCTION("""COMPUTED_VALUE"""),"ORGANIC")</f>
        <v>ORGANIC</v>
      </c>
      <c r="D3190" s="1" t="str">
        <f>IFERROR(__xludf.DUMMYFUNCTION("""COMPUTED_VALUE"""),"REMOLLO LEA")</f>
        <v>REMOLLO LEA</v>
      </c>
      <c r="E3190" s="1" t="str">
        <f>IFERROR(__xludf.DUMMYFUNCTION("""COMPUTED_VALUE"""),"PLDT / H2H")</f>
        <v>PLDT / H2H</v>
      </c>
      <c r="F3190" s="1"/>
      <c r="G3190" s="1">
        <f>IFERROR(__xludf.DUMMYFUNCTION("""COMPUTED_VALUE"""),2312778586)</f>
        <v>2312778586</v>
      </c>
      <c r="H3190" s="1" t="str">
        <f>IFERROR(__xludf.DUMMYFUNCTION("""COMPUTED_VALUE"""),"472739914004")</f>
        <v>472739914004</v>
      </c>
      <c r="I3190" s="1"/>
      <c r="J3190" s="1"/>
      <c r="K3190" s="1"/>
      <c r="L3190" s="1" t="str">
        <f>IFERROR(__xludf.DUMMYFUNCTION("""COMPUTED_VALUE"""),"#N/A")</f>
        <v>#N/A</v>
      </c>
      <c r="M3190" s="1" t="str">
        <f>IFERROR(__xludf.DUMMYFUNCTION("""COMPUTED_VALUE"""),"#N/A")</f>
        <v>#N/A</v>
      </c>
      <c r="N3190" s="1" t="str">
        <f>IFERROR(__xludf.DUMMYFUNCTION("""COMPUTED_VALUE"""),"#N/A")</f>
        <v>#N/A</v>
      </c>
      <c r="O3190" s="1" t="str">
        <f>IFERROR(__xludf.DUMMYFUNCTION("""COMPUTED_VALUE"""),"LUMIL")</f>
        <v>LUMIL</v>
      </c>
      <c r="P3190" s="1" t="str">
        <f>IFERROR(__xludf.DUMMYFUNCTION("""COMPUTED_VALUE"""),"SILANG")</f>
        <v>SILANG</v>
      </c>
      <c r="Q3190" s="1" t="str">
        <f>IFERROR(__xludf.DUMMYFUNCTION("""COMPUTED_VALUE"""),"CAVITE")</f>
        <v>CAVITE</v>
      </c>
      <c r="R3190" s="1" t="str">
        <f>IFERROR(__xludf.DUMMYFUNCTION("""COMPUTED_VALUE"""),"FIBR PLAN 1299")</f>
        <v>FIBR PLAN 1299</v>
      </c>
      <c r="S3190" s="1" t="str">
        <f>IFERROR(__xludf.DUMMYFUNCTION("""COMPUTED_VALUE"""),"APPROVED")</f>
        <v>APPROVED</v>
      </c>
      <c r="T3190" s="1" t="str">
        <f>IFERROR(__xludf.DUMMYFUNCTION("""COMPUTED_VALUE"""),"RPR")</f>
        <v>RPR</v>
      </c>
      <c r="U3190" s="1" t="str">
        <f>IFERROR(__xludf.DUMMYFUNCTION("""COMPUTED_VALUE"""),"RPR - SUBS CANCEL REQUEST")</f>
        <v>RPR - SUBS CANCEL REQUEST</v>
      </c>
      <c r="V3190" s="1" t="str">
        <f>IFERROR(__xludf.DUMMYFUNCTION("""COMPUTED_VALUE"""),"NO 1 AMSF")</f>
        <v>NO 1 AMSF</v>
      </c>
      <c r="W3190" s="1"/>
    </row>
    <row r="3191" customHeight="1" spans="1:23">
      <c r="A3191" s="3">
        <f>IFERROR(__xludf.DUMMYFUNCTION("""COMPUTED_VALUE"""),46289)</f>
        <v>46289</v>
      </c>
      <c r="B3191" s="1" t="str">
        <f>IFERROR(__xludf.DUMMYFUNCTION("""COMPUTED_VALUE"""),"CADERAO, RONALD")</f>
        <v>CADERAO, RONALD</v>
      </c>
      <c r="C3191" s="1" t="str">
        <f>IFERROR(__xludf.DUMMYFUNCTION("""COMPUTED_VALUE"""),"ORGANIC")</f>
        <v>ORGANIC</v>
      </c>
      <c r="D3191" s="1" t="str">
        <f>IFERROR(__xludf.DUMMYFUNCTION("""COMPUTED_VALUE"""),"REMOLLO LEA")</f>
        <v>REMOLLO LEA</v>
      </c>
      <c r="E3191" s="1" t="str">
        <f>IFERROR(__xludf.DUMMYFUNCTION("""COMPUTED_VALUE"""),"PLDT / H2H")</f>
        <v>PLDT / H2H</v>
      </c>
      <c r="F3191" s="1"/>
      <c r="G3191" s="1">
        <f>IFERROR(__xludf.DUMMYFUNCTION("""COMPUTED_VALUE"""),2312780562)</f>
        <v>2312780562</v>
      </c>
      <c r="H3191" s="1" t="str">
        <f>IFERROR(__xludf.DUMMYFUNCTION("""COMPUTED_VALUE"""),"#N/A")</f>
        <v>#N/A</v>
      </c>
      <c r="I3191" s="1"/>
      <c r="J3191" s="1"/>
      <c r="K3191" s="1"/>
      <c r="L3191" s="1" t="str">
        <f>IFERROR(__xludf.DUMMYFUNCTION("""COMPUTED_VALUE"""),"#N/A")</f>
        <v>#N/A</v>
      </c>
      <c r="M3191" s="1" t="str">
        <f>IFERROR(__xludf.DUMMYFUNCTION("""COMPUTED_VALUE"""),"#N/A")</f>
        <v>#N/A</v>
      </c>
      <c r="N3191" s="1" t="str">
        <f>IFERROR(__xludf.DUMMYFUNCTION("""COMPUTED_VALUE"""),"#N/A")</f>
        <v>#N/A</v>
      </c>
      <c r="O3191" s="1" t="str">
        <f>IFERROR(__xludf.DUMMYFUNCTION("""COMPUTED_VALUE"""),"ULAT")</f>
        <v>ULAT</v>
      </c>
      <c r="P3191" s="1" t="str">
        <f>IFERROR(__xludf.DUMMYFUNCTION("""COMPUTED_VALUE"""),"SILANG")</f>
        <v>SILANG</v>
      </c>
      <c r="Q3191" s="1" t="str">
        <f>IFERROR(__xludf.DUMMYFUNCTION("""COMPUTED_VALUE"""),"CAVITE")</f>
        <v>CAVITE</v>
      </c>
      <c r="R3191" s="1" t="str">
        <f>IFERROR(__xludf.DUMMYFUNCTION("""COMPUTED_VALUE"""),"FIBR UNLI ALL PLAN 1499")</f>
        <v>FIBR UNLI ALL PLAN 1499</v>
      </c>
      <c r="S3191" s="1" t="str">
        <f>IFERROR(__xludf.DUMMYFUNCTION("""COMPUTED_VALUE"""),"APPROVED")</f>
        <v>APPROVED</v>
      </c>
      <c r="T3191" s="1" t="str">
        <f>IFERROR(__xludf.DUMMYFUNCTION("""COMPUTED_VALUE"""),"CANCELLED")</f>
        <v>CANCELLED</v>
      </c>
      <c r="U3191" s="1" t="str">
        <f>IFERROR(__xludf.DUMMYFUNCTION("""COMPUTED_VALUE"""),"CANCELLED - WITH OB")</f>
        <v>CANCELLED - WITH OB</v>
      </c>
      <c r="V3191" s="1"/>
      <c r="W3191" s="1"/>
    </row>
    <row r="3192" customHeight="1" spans="1:23">
      <c r="A3192" s="3">
        <f>IFERROR(__xludf.DUMMYFUNCTION("""COMPUTED_VALUE"""),46289)</f>
        <v>46289</v>
      </c>
      <c r="B3192" s="1" t="str">
        <f>IFERROR(__xludf.DUMMYFUNCTION("""COMPUTED_VALUE"""),"CADERAO, RONALD")</f>
        <v>CADERAO, RONALD</v>
      </c>
      <c r="C3192" s="1" t="str">
        <f>IFERROR(__xludf.DUMMYFUNCTION("""COMPUTED_VALUE"""),"ORGANIC")</f>
        <v>ORGANIC</v>
      </c>
      <c r="D3192" s="1" t="str">
        <f>IFERROR(__xludf.DUMMYFUNCTION("""COMPUTED_VALUE"""),"REMOLLO LEA")</f>
        <v>REMOLLO LEA</v>
      </c>
      <c r="E3192" s="1" t="str">
        <f>IFERROR(__xludf.DUMMYFUNCTION("""COMPUTED_VALUE"""),"PLDT / H2H")</f>
        <v>PLDT / H2H</v>
      </c>
      <c r="F3192" s="1"/>
      <c r="G3192" s="1">
        <f>IFERROR(__xludf.DUMMYFUNCTION("""COMPUTED_VALUE"""),2312781442)</f>
        <v>2312781442</v>
      </c>
      <c r="H3192" s="1" t="str">
        <f>IFERROR(__xludf.DUMMYFUNCTION("""COMPUTED_VALUE"""),"472745670004")</f>
        <v>472745670004</v>
      </c>
      <c r="I3192" s="1"/>
      <c r="J3192" s="1"/>
      <c r="K3192" s="1"/>
      <c r="L3192" s="1" t="str">
        <f>IFERROR(__xludf.DUMMYFUNCTION("""COMPUTED_VALUE"""),"#N/A")</f>
        <v>#N/A</v>
      </c>
      <c r="M3192" s="1" t="str">
        <f>IFERROR(__xludf.DUMMYFUNCTION("""COMPUTED_VALUE"""),"#N/A")</f>
        <v>#N/A</v>
      </c>
      <c r="N3192" s="1" t="str">
        <f>IFERROR(__xludf.DUMMYFUNCTION("""COMPUTED_VALUE"""),"#N/A")</f>
        <v>#N/A</v>
      </c>
      <c r="O3192" s="1" t="str">
        <f>IFERROR(__xludf.DUMMYFUNCTION("""COMPUTED_VALUE"""),"LALAAN II")</f>
        <v>LALAAN II</v>
      </c>
      <c r="P3192" s="1" t="str">
        <f>IFERROR(__xludf.DUMMYFUNCTION("""COMPUTED_VALUE"""),"SILANG")</f>
        <v>SILANG</v>
      </c>
      <c r="Q3192" s="1" t="str">
        <f>IFERROR(__xludf.DUMMYFUNCTION("""COMPUTED_VALUE"""),"CAVITE")</f>
        <v>CAVITE</v>
      </c>
      <c r="R3192" s="1" t="str">
        <f>IFERROR(__xludf.DUMMYFUNCTION("""COMPUTED_VALUE"""),"FIBR UNLI ALL PLAN 999")</f>
        <v>FIBR UNLI ALL PLAN 999</v>
      </c>
      <c r="S3192" s="1" t="str">
        <f>IFERROR(__xludf.DUMMYFUNCTION("""COMPUTED_VALUE"""),"APPROVED")</f>
        <v>APPROVED</v>
      </c>
      <c r="T3192" s="1" t="str">
        <f>IFERROR(__xludf.DUMMYFUNCTION("""COMPUTED_VALUE"""),"FOR PAYMENT")</f>
        <v>FOR PAYMENT</v>
      </c>
      <c r="U3192" s="1" t="str">
        <f>IFERROR(__xludf.DUMMYFUNCTION("""COMPUTED_VALUE"""),"FOR PAYMENT")</f>
        <v>FOR PAYMENT</v>
      </c>
      <c r="V3192" s="1"/>
      <c r="W3192" s="1"/>
    </row>
    <row r="3193" customHeight="1" spans="1:23">
      <c r="A3193" s="3">
        <f>IFERROR(__xludf.DUMMYFUNCTION("""COMPUTED_VALUE"""),46289)</f>
        <v>46289</v>
      </c>
      <c r="B3193" s="1" t="str">
        <f>IFERROR(__xludf.DUMMYFUNCTION("""COMPUTED_VALUE"""),"MAGDARAOG, KENNETH")</f>
        <v>MAGDARAOG, KENNETH</v>
      </c>
      <c r="C3193" s="1" t="str">
        <f>IFERROR(__xludf.DUMMYFUNCTION("""COMPUTED_VALUE"""),"ORGANIC")</f>
        <v>ORGANIC</v>
      </c>
      <c r="D3193" s="1" t="str">
        <f>IFERROR(__xludf.DUMMYFUNCTION("""COMPUTED_VALUE"""),"REMOLLO LEA")</f>
        <v>REMOLLO LEA</v>
      </c>
      <c r="E3193" s="1" t="str">
        <f>IFERROR(__xludf.DUMMYFUNCTION("""COMPUTED_VALUE"""),"PLDT / H2H")</f>
        <v>PLDT / H2H</v>
      </c>
      <c r="F3193" s="1"/>
      <c r="G3193" s="1">
        <f>IFERROR(__xludf.DUMMYFUNCTION("""COMPUTED_VALUE"""),2312783921)</f>
        <v>2312783921</v>
      </c>
      <c r="H3193" s="1" t="str">
        <f>IFERROR(__xludf.DUMMYFUNCTION("""COMPUTED_VALUE"""),"472750985004")</f>
        <v>472750985004</v>
      </c>
      <c r="I3193" s="1"/>
      <c r="J3193" s="1"/>
      <c r="K3193" s="1"/>
      <c r="L3193" s="1" t="str">
        <f>IFERROR(__xludf.DUMMYFUNCTION("""COMPUTED_VALUE"""),"#N/A")</f>
        <v>#N/A</v>
      </c>
      <c r="M3193" s="1" t="str">
        <f>IFERROR(__xludf.DUMMYFUNCTION("""COMPUTED_VALUE"""),"#N/A")</f>
        <v>#N/A</v>
      </c>
      <c r="N3193" s="1" t="str">
        <f>IFERROR(__xludf.DUMMYFUNCTION("""COMPUTED_VALUE"""),"#N/A")</f>
        <v>#N/A</v>
      </c>
      <c r="O3193" s="1" t="str">
        <f>IFERROR(__xludf.DUMMYFUNCTION("""COMPUTED_VALUE"""),"FRANCISCO REYES")</f>
        <v>FRANCISCO REYES</v>
      </c>
      <c r="P3193" s="1" t="str">
        <f>IFERROR(__xludf.DUMMYFUNCTION("""COMPUTED_VALUE"""),"GEN MARIANO ALVAREZ")</f>
        <v>GEN MARIANO ALVAREZ</v>
      </c>
      <c r="Q3193" s="1" t="str">
        <f>IFERROR(__xludf.DUMMYFUNCTION("""COMPUTED_VALUE"""),"CAVITE")</f>
        <v>CAVITE</v>
      </c>
      <c r="R3193" s="1" t="str">
        <f>IFERROR(__xludf.DUMMYFUNCTION("""COMPUTED_VALUE"""),"FIBR PLAN 1299")</f>
        <v>FIBR PLAN 1299</v>
      </c>
      <c r="S3193" s="1" t="str">
        <f>IFERROR(__xludf.DUMMYFUNCTION("""COMPUTED_VALUE"""),"APPROVED")</f>
        <v>APPROVED</v>
      </c>
      <c r="T3193" s="1" t="str">
        <f>IFERROR(__xludf.DUMMYFUNCTION("""COMPUTED_VALUE"""),"AFD")</f>
        <v>AFD</v>
      </c>
      <c r="U3193" s="1" t="str">
        <f>IFERROR(__xludf.DUMMYFUNCTION("""COMPUTED_VALUE"""),"AFD - RESCHEDULE")</f>
        <v>AFD - RESCHEDULE</v>
      </c>
      <c r="V3193" s="1" t="str">
        <f>IFERROR(__xludf.DUMMYFUNCTION("""COMPUTED_VALUE"""),"NO 1 AMSF")</f>
        <v>NO 1 AMSF</v>
      </c>
      <c r="W3193" s="1"/>
    </row>
    <row r="3194" customHeight="1" spans="1:23">
      <c r="A3194" s="3">
        <f>IFERROR(__xludf.DUMMYFUNCTION("""COMPUTED_VALUE"""),46289)</f>
        <v>46289</v>
      </c>
      <c r="B3194" s="1" t="str">
        <f>IFERROR(__xludf.DUMMYFUNCTION("""COMPUTED_VALUE"""),"ARIENA, LYKA")</f>
        <v>ARIENA, LYKA</v>
      </c>
      <c r="C3194" s="1" t="str">
        <f>IFERROR(__xludf.DUMMYFUNCTION("""COMPUTED_VALUE"""),"ORGANIC")</f>
        <v>ORGANIC</v>
      </c>
      <c r="D3194" s="1" t="str">
        <f>IFERROR(__xludf.DUMMYFUNCTION("""COMPUTED_VALUE"""),"REMOLLO LEA")</f>
        <v>REMOLLO LEA</v>
      </c>
      <c r="E3194" s="1" t="str">
        <f>IFERROR(__xludf.DUMMYFUNCTION("""COMPUTED_VALUE"""),"PLDT / H2H")</f>
        <v>PLDT / H2H</v>
      </c>
      <c r="F3194" s="1"/>
      <c r="G3194" s="1">
        <f>IFERROR(__xludf.DUMMYFUNCTION("""COMPUTED_VALUE"""),2312784473)</f>
        <v>2312784473</v>
      </c>
      <c r="H3194" s="1" t="str">
        <f>IFERROR(__xludf.DUMMYFUNCTION("""COMPUTED_VALUE"""),"472754658004")</f>
        <v>472754658004</v>
      </c>
      <c r="I3194" s="1"/>
      <c r="J3194" s="1"/>
      <c r="K3194" s="1"/>
      <c r="L3194" s="1" t="str">
        <f>IFERROR(__xludf.DUMMYFUNCTION("""COMPUTED_VALUE"""),"#N/A")</f>
        <v>#N/A</v>
      </c>
      <c r="M3194" s="1" t="str">
        <f>IFERROR(__xludf.DUMMYFUNCTION("""COMPUTED_VALUE"""),"#N/A")</f>
        <v>#N/A</v>
      </c>
      <c r="N3194" s="1" t="str">
        <f>IFERROR(__xludf.DUMMYFUNCTION("""COMPUTED_VALUE"""),"#N/A")</f>
        <v>#N/A</v>
      </c>
      <c r="O3194" s="1" t="str">
        <f>IFERROR(__xludf.DUMMYFUNCTION("""COMPUTED_VALUE"""),"FRANCISCO REYES")</f>
        <v>FRANCISCO REYES</v>
      </c>
      <c r="P3194" s="1" t="str">
        <f>IFERROR(__xludf.DUMMYFUNCTION("""COMPUTED_VALUE"""),"GEN MARIANO ALVAREZ")</f>
        <v>GEN MARIANO ALVAREZ</v>
      </c>
      <c r="Q3194" s="1" t="str">
        <f>IFERROR(__xludf.DUMMYFUNCTION("""COMPUTED_VALUE"""),"CAVITE")</f>
        <v>CAVITE</v>
      </c>
      <c r="R3194" s="1" t="str">
        <f>IFERROR(__xludf.DUMMYFUNCTION("""COMPUTED_VALUE"""),"FIBR PLAN 1299")</f>
        <v>FIBR PLAN 1299</v>
      </c>
      <c r="S3194" s="1" t="str">
        <f>IFERROR(__xludf.DUMMYFUNCTION("""COMPUTED_VALUE"""),"APPROVED")</f>
        <v>APPROVED</v>
      </c>
      <c r="T3194" s="1" t="str">
        <f>IFERROR(__xludf.DUMMYFUNCTION("""COMPUTED_VALUE"""),"CLOSED")</f>
        <v>CLOSED</v>
      </c>
      <c r="U3194" s="1" t="str">
        <f>IFERROR(__xludf.DUMMYFUNCTION("""COMPUTED_VALUE"""),"POSTED")</f>
        <v>POSTED</v>
      </c>
      <c r="V3194" s="1" t="str">
        <f>IFERROR(__xludf.DUMMYFUNCTION("""COMPUTED_VALUE"""),"WITH 1 AMSF")</f>
        <v>WITH 1 AMSF</v>
      </c>
      <c r="W3194" s="1"/>
    </row>
    <row r="3195" customHeight="1" spans="1:23">
      <c r="A3195" s="3">
        <f>IFERROR(__xludf.DUMMYFUNCTION("""COMPUTED_VALUE"""),46289)</f>
        <v>46289</v>
      </c>
      <c r="B3195" s="1" t="str">
        <f>IFERROR(__xludf.DUMMYFUNCTION("""COMPUTED_VALUE"""),"BAQUIT ,JAZMIN")</f>
        <v>BAQUIT ,JAZMIN</v>
      </c>
      <c r="C3195" s="1" t="str">
        <f>IFERROR(__xludf.DUMMYFUNCTION("""COMPUTED_VALUE"""),"ORGANIC")</f>
        <v>ORGANIC</v>
      </c>
      <c r="D3195" s="1" t="str">
        <f>IFERROR(__xludf.DUMMYFUNCTION("""COMPUTED_VALUE"""),"REMOLLO LEA")</f>
        <v>REMOLLO LEA</v>
      </c>
      <c r="E3195" s="1" t="str">
        <f>IFERROR(__xludf.DUMMYFUNCTION("""COMPUTED_VALUE"""),"PLDT / H2H")</f>
        <v>PLDT / H2H</v>
      </c>
      <c r="F3195" s="1"/>
      <c r="G3195" s="1">
        <f>IFERROR(__xludf.DUMMYFUNCTION("""COMPUTED_VALUE"""),2312784399)</f>
        <v>2312784399</v>
      </c>
      <c r="H3195" s="1" t="str">
        <f>IFERROR(__xludf.DUMMYFUNCTION("""COMPUTED_VALUE"""),"#N/A")</f>
        <v>#N/A</v>
      </c>
      <c r="I3195" s="1"/>
      <c r="J3195" s="1"/>
      <c r="K3195" s="1"/>
      <c r="L3195" s="1" t="str">
        <f>IFERROR(__xludf.DUMMYFUNCTION("""COMPUTED_VALUE"""),"#N/A")</f>
        <v>#N/A</v>
      </c>
      <c r="M3195" s="1" t="str">
        <f>IFERROR(__xludf.DUMMYFUNCTION("""COMPUTED_VALUE"""),"#N/A")</f>
        <v>#N/A</v>
      </c>
      <c r="N3195" s="1" t="str">
        <f>IFERROR(__xludf.DUMMYFUNCTION("""COMPUTED_VALUE"""),"#N/A")</f>
        <v>#N/A</v>
      </c>
      <c r="O3195" s="1" t="str">
        <f>IFERROR(__xludf.DUMMYFUNCTION("""COMPUTED_VALUE"""),"FRANCISCO REYES")</f>
        <v>FRANCISCO REYES</v>
      </c>
      <c r="P3195" s="1" t="str">
        <f>IFERROR(__xludf.DUMMYFUNCTION("""COMPUTED_VALUE"""),"GEN MARIANO ALVAREZ")</f>
        <v>GEN MARIANO ALVAREZ</v>
      </c>
      <c r="Q3195" s="1" t="str">
        <f>IFERROR(__xludf.DUMMYFUNCTION("""COMPUTED_VALUE"""),"CAVITE")</f>
        <v>CAVITE</v>
      </c>
      <c r="R3195" s="1" t="str">
        <f>IFERROR(__xludf.DUMMYFUNCTION("""COMPUTED_VALUE"""),"FIBR PLAN 1299")</f>
        <v>FIBR PLAN 1299</v>
      </c>
      <c r="S3195" s="1" t="str">
        <f>IFERROR(__xludf.DUMMYFUNCTION("""COMPUTED_VALUE"""),"APPROVED")</f>
        <v>APPROVED</v>
      </c>
      <c r="T3195" s="1" t="str">
        <f>IFERROR(__xludf.DUMMYFUNCTION("""COMPUTED_VALUE"""),"CANCELLED")</f>
        <v>CANCELLED</v>
      </c>
      <c r="U3195" s="1" t="str">
        <f>IFERROR(__xludf.DUMMYFUNCTION("""COMPUTED_VALUE"""),"CANCELLED - SYSTEM ERROR")</f>
        <v>CANCELLED - SYSTEM ERROR</v>
      </c>
      <c r="V3195" s="1"/>
      <c r="W3195" s="1"/>
    </row>
    <row r="3196" customHeight="1" spans="1:23">
      <c r="A3196" s="3">
        <f>IFERROR(__xludf.DUMMYFUNCTION("""COMPUTED_VALUE"""),46289)</f>
        <v>46289</v>
      </c>
      <c r="B3196" s="1" t="str">
        <f>IFERROR(__xludf.DUMMYFUNCTION("""COMPUTED_VALUE"""),"MALIWAT MARK ELVIN")</f>
        <v>MALIWAT MARK ELVIN</v>
      </c>
      <c r="C3196" s="1" t="str">
        <f>IFERROR(__xludf.DUMMYFUNCTION("""COMPUTED_VALUE"""),"FLA")</f>
        <v>FLA</v>
      </c>
      <c r="D3196" s="1" t="str">
        <f>IFERROR(__xludf.DUMMYFUNCTION("""COMPUTED_VALUE"""),"JERIC NAVARRO")</f>
        <v>JERIC NAVARRO</v>
      </c>
      <c r="E3196" s="1" t="str">
        <f>IFERROR(__xludf.DUMMYFUNCTION("""COMPUTED_VALUE"""),"PLDT / ONLINE")</f>
        <v>PLDT / ONLINE</v>
      </c>
      <c r="F3196" s="1"/>
      <c r="G3196" s="1">
        <f>IFERROR(__xludf.DUMMYFUNCTION("""COMPUTED_VALUE"""),2312785498)</f>
        <v>2312785498</v>
      </c>
      <c r="H3196" s="1" t="str">
        <f>IFERROR(__xludf.DUMMYFUNCTION("""COMPUTED_VALUE"""),"472753614004")</f>
        <v>472753614004</v>
      </c>
      <c r="I3196" s="1"/>
      <c r="J3196" s="1"/>
      <c r="K3196" s="1"/>
      <c r="L3196" s="1" t="str">
        <f>IFERROR(__xludf.DUMMYFUNCTION("""COMPUTED_VALUE"""),"#N/A")</f>
        <v>#N/A</v>
      </c>
      <c r="M3196" s="1" t="str">
        <f>IFERROR(__xludf.DUMMYFUNCTION("""COMPUTED_VALUE"""),"#N/A")</f>
        <v>#N/A</v>
      </c>
      <c r="N3196" s="1" t="str">
        <f>IFERROR(__xludf.DUMMYFUNCTION("""COMPUTED_VALUE"""),"#N/A")</f>
        <v>#N/A</v>
      </c>
      <c r="O3196" s="1" t="str">
        <f>IFERROR(__xludf.DUMMYFUNCTION("""COMPUTED_VALUE"""),"MAMBOG IV")</f>
        <v>MAMBOG IV</v>
      </c>
      <c r="P3196" s="1" t="str">
        <f>IFERROR(__xludf.DUMMYFUNCTION("""COMPUTED_VALUE"""),"BACOOR")</f>
        <v>BACOOR</v>
      </c>
      <c r="Q3196" s="1" t="str">
        <f>IFERROR(__xludf.DUMMYFUNCTION("""COMPUTED_VALUE"""),"CAVITE")</f>
        <v>CAVITE</v>
      </c>
      <c r="R3196" s="1" t="str">
        <f>IFERROR(__xludf.DUMMYFUNCTION("""COMPUTED_VALUE"""),"HOME BIZ PLAN 1299")</f>
        <v>HOME BIZ PLAN 1299</v>
      </c>
      <c r="S3196" s="1" t="str">
        <f>IFERROR(__xludf.DUMMYFUNCTION("""COMPUTED_VALUE"""),"APPROVED")</f>
        <v>APPROVED</v>
      </c>
      <c r="T3196" s="1" t="str">
        <f>IFERROR(__xludf.DUMMYFUNCTION("""COMPUTED_VALUE"""),"PAID")</f>
        <v>PAID</v>
      </c>
      <c r="U3196" s="1" t="str">
        <f>IFERROR(__xludf.DUMMYFUNCTION("""COMPUTED_VALUE"""),"PAID - FOR INSTALLATION")</f>
        <v>PAID - FOR INSTALLATION</v>
      </c>
      <c r="V3196" s="1" t="str">
        <f>IFERROR(__xludf.DUMMYFUNCTION("""COMPUTED_VALUE"""),"WITH 1 AMSF")</f>
        <v>WITH 1 AMSF</v>
      </c>
      <c r="W3196" s="1"/>
    </row>
    <row r="3197" customHeight="1" spans="1:23">
      <c r="A3197" s="3">
        <f>IFERROR(__xludf.DUMMYFUNCTION("""COMPUTED_VALUE"""),46289)</f>
        <v>46289</v>
      </c>
      <c r="B3197" s="1" t="str">
        <f>IFERROR(__xludf.DUMMYFUNCTION("""COMPUTED_VALUE"""),"MALIWAT MARK ELVIN")</f>
        <v>MALIWAT MARK ELVIN</v>
      </c>
      <c r="C3197" s="1" t="str">
        <f>IFERROR(__xludf.DUMMYFUNCTION("""COMPUTED_VALUE"""),"FLA")</f>
        <v>FLA</v>
      </c>
      <c r="D3197" s="1" t="str">
        <f>IFERROR(__xludf.DUMMYFUNCTION("""COMPUTED_VALUE"""),"JERIC NAVARRO")</f>
        <v>JERIC NAVARRO</v>
      </c>
      <c r="E3197" s="1" t="str">
        <f>IFERROR(__xludf.DUMMYFUNCTION("""COMPUTED_VALUE"""),"PLDT / ONLINE")</f>
        <v>PLDT / ONLINE</v>
      </c>
      <c r="F3197" s="1"/>
      <c r="G3197" s="1">
        <f>IFERROR(__xludf.DUMMYFUNCTION("""COMPUTED_VALUE"""),2312786134)</f>
        <v>2312786134</v>
      </c>
      <c r="H3197" s="1" t="str">
        <f>IFERROR(__xludf.DUMMYFUNCTION("""COMPUTED_VALUE"""),"472781075004")</f>
        <v>472781075004</v>
      </c>
      <c r="I3197" s="1"/>
      <c r="J3197" s="1"/>
      <c r="K3197" s="1"/>
      <c r="L3197" s="1" t="str">
        <f>IFERROR(__xludf.DUMMYFUNCTION("""COMPUTED_VALUE"""),"#N/A")</f>
        <v>#N/A</v>
      </c>
      <c r="M3197" s="1" t="str">
        <f>IFERROR(__xludf.DUMMYFUNCTION("""COMPUTED_VALUE"""),"#N/A")</f>
        <v>#N/A</v>
      </c>
      <c r="N3197" s="1" t="str">
        <f>IFERROR(__xludf.DUMMYFUNCTION("""COMPUTED_VALUE"""),"#N/A")</f>
        <v>#N/A</v>
      </c>
      <c r="O3197" s="1" t="str">
        <f>IFERROR(__xludf.DUMMYFUNCTION("""COMPUTED_VALUE"""),"SAN FRANCISCO II")</f>
        <v>SAN FRANCISCO II</v>
      </c>
      <c r="P3197" s="1" t="str">
        <f>IFERROR(__xludf.DUMMYFUNCTION("""COMPUTED_VALUE"""),"DASMARINAS")</f>
        <v>DASMARINAS</v>
      </c>
      <c r="Q3197" s="1" t="str">
        <f>IFERROR(__xludf.DUMMYFUNCTION("""COMPUTED_VALUE"""),"CAVITE")</f>
        <v>CAVITE</v>
      </c>
      <c r="R3197" s="1" t="str">
        <f>IFERROR(__xludf.DUMMYFUNCTION("""COMPUTED_VALUE"""),"FIBR UNLI ALL PLAN 1499")</f>
        <v>FIBR UNLI ALL PLAN 1499</v>
      </c>
      <c r="S3197" s="1" t="str">
        <f>IFERROR(__xludf.DUMMYFUNCTION("""COMPUTED_VALUE"""),"APPROVED")</f>
        <v>APPROVED</v>
      </c>
      <c r="T3197" s="1" t="str">
        <f>IFERROR(__xludf.DUMMYFUNCTION("""COMPUTED_VALUE"""),"PAID")</f>
        <v>PAID</v>
      </c>
      <c r="U3197" s="1" t="str">
        <f>IFERROR(__xludf.DUMMYFUNCTION("""COMPUTED_VALUE"""),"PAID - FOR INSTALLATION")</f>
        <v>PAID - FOR INSTALLATION</v>
      </c>
      <c r="V3197" s="1" t="str">
        <f>IFERROR(__xludf.DUMMYFUNCTION("""COMPUTED_VALUE"""),"NO 1 AMSF")</f>
        <v>NO 1 AMSF</v>
      </c>
      <c r="W3197" s="1"/>
    </row>
    <row r="3198" customHeight="1" spans="1:23">
      <c r="A3198" s="3">
        <f>IFERROR(__xludf.DUMMYFUNCTION("""COMPUTED_VALUE"""),46289)</f>
        <v>46289</v>
      </c>
      <c r="B3198" s="1" t="str">
        <f>IFERROR(__xludf.DUMMYFUNCTION("""COMPUTED_VALUE"""),"MALIWAT MARK ELVIN")</f>
        <v>MALIWAT MARK ELVIN</v>
      </c>
      <c r="C3198" s="1" t="str">
        <f>IFERROR(__xludf.DUMMYFUNCTION("""COMPUTED_VALUE"""),"FLA")</f>
        <v>FLA</v>
      </c>
      <c r="D3198" s="1" t="str">
        <f>IFERROR(__xludf.DUMMYFUNCTION("""COMPUTED_VALUE"""),"JERIC NAVARRO")</f>
        <v>JERIC NAVARRO</v>
      </c>
      <c r="E3198" s="1" t="str">
        <f>IFERROR(__xludf.DUMMYFUNCTION("""COMPUTED_VALUE"""),"PLDT / ONLINE")</f>
        <v>PLDT / ONLINE</v>
      </c>
      <c r="F3198" s="1"/>
      <c r="G3198" s="1">
        <f>IFERROR(__xludf.DUMMYFUNCTION("""COMPUTED_VALUE"""),2312786709)</f>
        <v>2312786709</v>
      </c>
      <c r="H3198" s="1" t="str">
        <f>IFERROR(__xludf.DUMMYFUNCTION("""COMPUTED_VALUE"""),"472766942004")</f>
        <v>472766942004</v>
      </c>
      <c r="I3198" s="1"/>
      <c r="J3198" s="1"/>
      <c r="K3198" s="1"/>
      <c r="L3198" s="1" t="str">
        <f>IFERROR(__xludf.DUMMYFUNCTION("""COMPUTED_VALUE"""),"#N/A")</f>
        <v>#N/A</v>
      </c>
      <c r="M3198" s="1" t="str">
        <f>IFERROR(__xludf.DUMMYFUNCTION("""COMPUTED_VALUE"""),"#N/A")</f>
        <v>#N/A</v>
      </c>
      <c r="N3198" s="1" t="str">
        <f>IFERROR(__xludf.DUMMYFUNCTION("""COMPUTED_VALUE"""),"#N/A")</f>
        <v>#N/A</v>
      </c>
      <c r="O3198" s="1" t="str">
        <f>IFERROR(__xludf.DUMMYFUNCTION("""COMPUTED_VALUE"""),"TEJERO")</f>
        <v>TEJERO</v>
      </c>
      <c r="P3198" s="1" t="str">
        <f>IFERROR(__xludf.DUMMYFUNCTION("""COMPUTED_VALUE"""),"GENERAL TRIAS")</f>
        <v>GENERAL TRIAS</v>
      </c>
      <c r="Q3198" s="1" t="str">
        <f>IFERROR(__xludf.DUMMYFUNCTION("""COMPUTED_VALUE"""),"CAVITE")</f>
        <v>CAVITE</v>
      </c>
      <c r="R3198" s="1" t="str">
        <f>IFERROR(__xludf.DUMMYFUNCTION("""COMPUTED_VALUE"""),"FIBR NETFLIX PLAN 1599")</f>
        <v>FIBR NETFLIX PLAN 1599</v>
      </c>
      <c r="S3198" s="1" t="str">
        <f>IFERROR(__xludf.DUMMYFUNCTION("""COMPUTED_VALUE"""),"APPROVED")</f>
        <v>APPROVED</v>
      </c>
      <c r="T3198" s="1" t="str">
        <f>IFERROR(__xludf.DUMMYFUNCTION("""COMPUTED_VALUE"""),"FOR PAYMENT")</f>
        <v>FOR PAYMENT</v>
      </c>
      <c r="U3198" s="1" t="str">
        <f>IFERROR(__xludf.DUMMYFUNCTION("""COMPUTED_VALUE"""),"FOR PAYMENT")</f>
        <v>FOR PAYMENT</v>
      </c>
      <c r="V3198" s="1"/>
      <c r="W3198" s="1"/>
    </row>
    <row r="3199" customHeight="1" spans="1:23">
      <c r="A3199" s="3">
        <f>IFERROR(__xludf.DUMMYFUNCTION("""COMPUTED_VALUE"""),46289)</f>
        <v>46289</v>
      </c>
      <c r="B3199" s="1" t="str">
        <f>IFERROR(__xludf.DUMMYFUNCTION("""COMPUTED_VALUE"""),"TAMAYO, MARY ROSE")</f>
        <v>TAMAYO, MARY ROSE</v>
      </c>
      <c r="C3199" s="1" t="str">
        <f>IFERROR(__xludf.DUMMYFUNCTION("""COMPUTED_VALUE"""),"ORGANIC")</f>
        <v>ORGANIC</v>
      </c>
      <c r="D3199" s="1" t="str">
        <f>IFERROR(__xludf.DUMMYFUNCTION("""COMPUTED_VALUE"""),"REMOLLO LEA")</f>
        <v>REMOLLO LEA</v>
      </c>
      <c r="E3199" s="1" t="str">
        <f>IFERROR(__xludf.DUMMYFUNCTION("""COMPUTED_VALUE"""),"PLDT / H2H")</f>
        <v>PLDT / H2H</v>
      </c>
      <c r="F3199" s="1"/>
      <c r="G3199" s="1">
        <f>IFERROR(__xludf.DUMMYFUNCTION("""COMPUTED_VALUE"""),2312786901)</f>
        <v>2312786901</v>
      </c>
      <c r="H3199" s="1" t="str">
        <f>IFERROR(__xludf.DUMMYFUNCTION("""COMPUTED_VALUE"""),"472768882004")</f>
        <v>472768882004</v>
      </c>
      <c r="I3199" s="1"/>
      <c r="J3199" s="1"/>
      <c r="K3199" s="1"/>
      <c r="L3199" s="1" t="str">
        <f>IFERROR(__xludf.DUMMYFUNCTION("""COMPUTED_VALUE"""),"#N/A")</f>
        <v>#N/A</v>
      </c>
      <c r="M3199" s="1" t="str">
        <f>IFERROR(__xludf.DUMMYFUNCTION("""COMPUTED_VALUE"""),"#N/A")</f>
        <v>#N/A</v>
      </c>
      <c r="N3199" s="1" t="str">
        <f>IFERROR(__xludf.DUMMYFUNCTION("""COMPUTED_VALUE"""),"#N/A")</f>
        <v>#N/A</v>
      </c>
      <c r="O3199" s="1" t="str">
        <f>IFERROR(__xludf.DUMMYFUNCTION("""COMPUTED_VALUE"""),"FRANCISCO REYES")</f>
        <v>FRANCISCO REYES</v>
      </c>
      <c r="P3199" s="1" t="str">
        <f>IFERROR(__xludf.DUMMYFUNCTION("""COMPUTED_VALUE"""),"GEN MARIANO ALVAREZ")</f>
        <v>GEN MARIANO ALVAREZ</v>
      </c>
      <c r="Q3199" s="1" t="str">
        <f>IFERROR(__xludf.DUMMYFUNCTION("""COMPUTED_VALUE"""),"CAVITE")</f>
        <v>CAVITE</v>
      </c>
      <c r="R3199" s="1" t="str">
        <f>IFERROR(__xludf.DUMMYFUNCTION("""COMPUTED_VALUE"""),"FIBR PLAN 1299")</f>
        <v>FIBR PLAN 1299</v>
      </c>
      <c r="S3199" s="1" t="str">
        <f>IFERROR(__xludf.DUMMYFUNCTION("""COMPUTED_VALUE"""),"APPROVED")</f>
        <v>APPROVED</v>
      </c>
      <c r="T3199" s="1" t="str">
        <f>IFERROR(__xludf.DUMMYFUNCTION("""COMPUTED_VALUE"""),"CLOSED")</f>
        <v>CLOSED</v>
      </c>
      <c r="U3199" s="1" t="str">
        <f>IFERROR(__xludf.DUMMYFUNCTION("""COMPUTED_VALUE"""),"POSTED")</f>
        <v>POSTED</v>
      </c>
      <c r="V3199" s="1" t="str">
        <f>IFERROR(__xludf.DUMMYFUNCTION("""COMPUTED_VALUE"""),"NO 1 AMSF")</f>
        <v>NO 1 AMSF</v>
      </c>
      <c r="W3199" s="1"/>
    </row>
    <row r="3200" customHeight="1" spans="1:23">
      <c r="A3200" s="3">
        <f>IFERROR(__xludf.DUMMYFUNCTION("""COMPUTED_VALUE"""),46290)</f>
        <v>46290</v>
      </c>
      <c r="B3200" s="1" t="str">
        <f>IFERROR(__xludf.DUMMYFUNCTION("""COMPUTED_VALUE"""),"ARIENA, LYKA")</f>
        <v>ARIENA, LYKA</v>
      </c>
      <c r="C3200" s="1" t="str">
        <f>IFERROR(__xludf.DUMMYFUNCTION("""COMPUTED_VALUE"""),"ORGANIC")</f>
        <v>ORGANIC</v>
      </c>
      <c r="D3200" s="1" t="str">
        <f>IFERROR(__xludf.DUMMYFUNCTION("""COMPUTED_VALUE"""),"REMOLLO LEA")</f>
        <v>REMOLLO LEA</v>
      </c>
      <c r="E3200" s="1" t="str">
        <f>IFERROR(__xludf.DUMMYFUNCTION("""COMPUTED_VALUE"""),"PLDT / H2H")</f>
        <v>PLDT / H2H</v>
      </c>
      <c r="F3200" s="1"/>
      <c r="G3200" s="1">
        <f>IFERROR(__xludf.DUMMYFUNCTION("""COMPUTED_VALUE"""),2312795873)</f>
        <v>2312795873</v>
      </c>
      <c r="H3200" s="1" t="str">
        <f>IFERROR(__xludf.DUMMYFUNCTION("""COMPUTED_VALUE"""),"472979113004")</f>
        <v>472979113004</v>
      </c>
      <c r="I3200" s="1"/>
      <c r="J3200" s="1"/>
      <c r="K3200" s="1"/>
      <c r="L3200" s="1" t="str">
        <f>IFERROR(__xludf.DUMMYFUNCTION("""COMPUTED_VALUE"""),"#N/A")</f>
        <v>#N/A</v>
      </c>
      <c r="M3200" s="1" t="str">
        <f>IFERROR(__xludf.DUMMYFUNCTION("""COMPUTED_VALUE"""),"#N/A")</f>
        <v>#N/A</v>
      </c>
      <c r="N3200" s="1" t="str">
        <f>IFERROR(__xludf.DUMMYFUNCTION("""COMPUTED_VALUE"""),"#N/A")</f>
        <v>#N/A</v>
      </c>
      <c r="O3200" s="1" t="str">
        <f>IFERROR(__xludf.DUMMYFUNCTION("""COMPUTED_VALUE"""),"PUTING KAHOY")</f>
        <v>PUTING KAHOY</v>
      </c>
      <c r="P3200" s="1" t="str">
        <f>IFERROR(__xludf.DUMMYFUNCTION("""COMPUTED_VALUE"""),"SILANG")</f>
        <v>SILANG</v>
      </c>
      <c r="Q3200" s="1" t="str">
        <f>IFERROR(__xludf.DUMMYFUNCTION("""COMPUTED_VALUE"""),"CAVITE")</f>
        <v>CAVITE</v>
      </c>
      <c r="R3200" s="1" t="str">
        <f>IFERROR(__xludf.DUMMYFUNCTION("""COMPUTED_VALUE"""),"FIBR PLAN 1299")</f>
        <v>FIBR PLAN 1299</v>
      </c>
      <c r="S3200" s="1" t="str">
        <f>IFERROR(__xludf.DUMMYFUNCTION("""COMPUTED_VALUE"""),"APPROVED")</f>
        <v>APPROVED</v>
      </c>
      <c r="T3200" s="1" t="str">
        <f>IFERROR(__xludf.DUMMYFUNCTION("""COMPUTED_VALUE"""),"PAID")</f>
        <v>PAID</v>
      </c>
      <c r="U3200" s="1" t="str">
        <f>IFERROR(__xludf.DUMMYFUNCTION("""COMPUTED_VALUE"""),"PAID - FOR INSTALLATION")</f>
        <v>PAID - FOR INSTALLATION</v>
      </c>
      <c r="V3200" s="1" t="str">
        <f>IFERROR(__xludf.DUMMYFUNCTION("""COMPUTED_VALUE"""),"WITH 1 AMSF")</f>
        <v>WITH 1 AMSF</v>
      </c>
      <c r="W3200" s="1"/>
    </row>
    <row r="3201" customHeight="1" spans="1:23">
      <c r="A3201" s="3">
        <f>IFERROR(__xludf.DUMMYFUNCTION("""COMPUTED_VALUE"""),46290)</f>
        <v>46290</v>
      </c>
      <c r="B3201" s="1" t="str">
        <f>IFERROR(__xludf.DUMMYFUNCTION("""COMPUTED_VALUE"""),"GABAY, MANUEL")</f>
        <v>GABAY, MANUEL</v>
      </c>
      <c r="C3201" s="1" t="str">
        <f>IFERROR(__xludf.DUMMYFUNCTION("""COMPUTED_VALUE"""),"FLA")</f>
        <v>FLA</v>
      </c>
      <c r="D3201" s="1" t="str">
        <f>IFERROR(__xludf.DUMMYFUNCTION("""COMPUTED_VALUE"""),"JERIC NAVARRO")</f>
        <v>JERIC NAVARRO</v>
      </c>
      <c r="E3201" s="1" t="str">
        <f>IFERROR(__xludf.DUMMYFUNCTION("""COMPUTED_VALUE"""),"PLDT / H2H")</f>
        <v>PLDT / H2H</v>
      </c>
      <c r="F3201" s="1"/>
      <c r="G3201" s="1">
        <f>IFERROR(__xludf.DUMMYFUNCTION("""COMPUTED_VALUE"""),2312796653)</f>
        <v>2312796653</v>
      </c>
      <c r="H3201" s="1" t="str">
        <f>IFERROR(__xludf.DUMMYFUNCTION("""COMPUTED_VALUE"""),"#N/A")</f>
        <v>#N/A</v>
      </c>
      <c r="I3201" s="1"/>
      <c r="J3201" s="1"/>
      <c r="K3201" s="1"/>
      <c r="L3201" s="1" t="str">
        <f>IFERROR(__xludf.DUMMYFUNCTION("""COMPUTED_VALUE"""),"#N/A")</f>
        <v>#N/A</v>
      </c>
      <c r="M3201" s="1" t="str">
        <f>IFERROR(__xludf.DUMMYFUNCTION("""COMPUTED_VALUE"""),"#N/A")</f>
        <v>#N/A</v>
      </c>
      <c r="N3201" s="1" t="str">
        <f>IFERROR(__xludf.DUMMYFUNCTION("""COMPUTED_VALUE"""),"#N/A")</f>
        <v>#N/A</v>
      </c>
      <c r="O3201" s="1" t="str">
        <f>IFERROR(__xludf.DUMMYFUNCTION("""COMPUTED_VALUE"""),"FRANCISCO REYES")</f>
        <v>FRANCISCO REYES</v>
      </c>
      <c r="P3201" s="1" t="str">
        <f>IFERROR(__xludf.DUMMYFUNCTION("""COMPUTED_VALUE"""),"GEN MARIANO ALVAREZ")</f>
        <v>GEN MARIANO ALVAREZ</v>
      </c>
      <c r="Q3201" s="1" t="str">
        <f>IFERROR(__xludf.DUMMYFUNCTION("""COMPUTED_VALUE"""),"CAVITE")</f>
        <v>CAVITE</v>
      </c>
      <c r="R3201" s="1" t="str">
        <f>IFERROR(__xludf.DUMMYFUNCTION("""COMPUTED_VALUE"""),"FIBR PLAN 1299")</f>
        <v>FIBR PLAN 1299</v>
      </c>
      <c r="S3201" s="1" t="str">
        <f>IFERROR(__xludf.DUMMYFUNCTION("""COMPUTED_VALUE"""),"APPROVED")</f>
        <v>APPROVED</v>
      </c>
      <c r="T3201" s="1" t="str">
        <f>IFERROR(__xludf.DUMMYFUNCTION("""COMPUTED_VALUE"""),"PAID")</f>
        <v>PAID</v>
      </c>
      <c r="U3201" s="1" t="str">
        <f>IFERROR(__xludf.DUMMYFUNCTION("""COMPUTED_VALUE"""),"PAID - FOR INSTALLATION")</f>
        <v>PAID - FOR INSTALLATION</v>
      </c>
      <c r="V3201" s="1" t="str">
        <f>IFERROR(__xludf.DUMMYFUNCTION("""COMPUTED_VALUE"""),"NO 1 AMSF")</f>
        <v>NO 1 AMSF</v>
      </c>
      <c r="W3201" s="1"/>
    </row>
    <row r="3202" customHeight="1" spans="1:23">
      <c r="A3202" s="3">
        <f>IFERROR(__xludf.DUMMYFUNCTION("""COMPUTED_VALUE"""),46290)</f>
        <v>46290</v>
      </c>
      <c r="B3202" s="1" t="str">
        <f>IFERROR(__xludf.DUMMYFUNCTION("""COMPUTED_VALUE"""),"MAGDARAOG, KENNETH")</f>
        <v>MAGDARAOG, KENNETH</v>
      </c>
      <c r="C3202" s="1" t="str">
        <f>IFERROR(__xludf.DUMMYFUNCTION("""COMPUTED_VALUE"""),"ORGANIC")</f>
        <v>ORGANIC</v>
      </c>
      <c r="D3202" s="1" t="str">
        <f>IFERROR(__xludf.DUMMYFUNCTION("""COMPUTED_VALUE"""),"REMOLLO LEA")</f>
        <v>REMOLLO LEA</v>
      </c>
      <c r="E3202" s="1" t="str">
        <f>IFERROR(__xludf.DUMMYFUNCTION("""COMPUTED_VALUE"""),"PLDT / H2H")</f>
        <v>PLDT / H2H</v>
      </c>
      <c r="F3202" s="1"/>
      <c r="G3202" s="1">
        <f>IFERROR(__xludf.DUMMYFUNCTION("""COMPUTED_VALUE"""),2312797458)</f>
        <v>2312797458</v>
      </c>
      <c r="H3202" s="1" t="str">
        <f>IFERROR(__xludf.DUMMYFUNCTION("""COMPUTED_VALUE"""),"#N/A")</f>
        <v>#N/A</v>
      </c>
      <c r="I3202" s="1"/>
      <c r="J3202" s="1"/>
      <c r="K3202" s="1"/>
      <c r="L3202" s="1" t="str">
        <f>IFERROR(__xludf.DUMMYFUNCTION("""COMPUTED_VALUE"""),"#N/A")</f>
        <v>#N/A</v>
      </c>
      <c r="M3202" s="1" t="str">
        <f>IFERROR(__xludf.DUMMYFUNCTION("""COMPUTED_VALUE"""),"#N/A")</f>
        <v>#N/A</v>
      </c>
      <c r="N3202" s="1" t="str">
        <f>IFERROR(__xludf.DUMMYFUNCTION("""COMPUTED_VALUE"""),"#N/A")</f>
        <v>#N/A</v>
      </c>
      <c r="O3202" s="1" t="str">
        <f>IFERROR(__xludf.DUMMYFUNCTION("""COMPUTED_VALUE"""),"PAJO")</f>
        <v>PAJO</v>
      </c>
      <c r="P3202" s="1" t="str">
        <f>IFERROR(__xludf.DUMMYFUNCTION("""COMPUTED_VALUE"""),"ALFONSO")</f>
        <v>ALFONSO</v>
      </c>
      <c r="Q3202" s="1" t="str">
        <f>IFERROR(__xludf.DUMMYFUNCTION("""COMPUTED_VALUE"""),"CAVITE")</f>
        <v>CAVITE</v>
      </c>
      <c r="R3202" s="1" t="str">
        <f>IFERROR(__xludf.DUMMYFUNCTION("""COMPUTED_VALUE"""),"FIBR PLAN 1299")</f>
        <v>FIBR PLAN 1299</v>
      </c>
      <c r="S3202" s="1" t="str">
        <f>IFERROR(__xludf.DUMMYFUNCTION("""COMPUTED_VALUE"""),"APPROVED")</f>
        <v>APPROVED</v>
      </c>
      <c r="T3202" s="1" t="str">
        <f>IFERROR(__xludf.DUMMYFUNCTION("""COMPUTED_VALUE"""),"RPR")</f>
        <v>RPR</v>
      </c>
      <c r="U3202" s="1" t="str">
        <f>IFERROR(__xludf.DUMMYFUNCTION("""COMPUTED_VALUE"""),"RPR - NAP FULL")</f>
        <v>RPR - NAP FULL</v>
      </c>
      <c r="V3202" s="1" t="str">
        <f>IFERROR(__xludf.DUMMYFUNCTION("""COMPUTED_VALUE"""),"NO 1 AMSF")</f>
        <v>NO 1 AMSF</v>
      </c>
      <c r="W3202" s="1"/>
    </row>
    <row r="3203" customHeight="1" spans="1:23">
      <c r="A3203" s="3">
        <f>IFERROR(__xludf.DUMMYFUNCTION("""COMPUTED_VALUE"""),46290)</f>
        <v>46290</v>
      </c>
      <c r="B3203" s="1" t="str">
        <f>IFERROR(__xludf.DUMMYFUNCTION("""COMPUTED_VALUE"""),"REMOLLO, LEA")</f>
        <v>REMOLLO, LEA</v>
      </c>
      <c r="C3203" s="1" t="str">
        <f>IFERROR(__xludf.DUMMYFUNCTION("""COMPUTED_VALUE"""),"FLA")</f>
        <v>FLA</v>
      </c>
      <c r="D3203" s="1" t="str">
        <f>IFERROR(__xludf.DUMMYFUNCTION("""COMPUTED_VALUE"""),"JERIC NAVARRO")</f>
        <v>JERIC NAVARRO</v>
      </c>
      <c r="E3203" s="1" t="str">
        <f>IFERROR(__xludf.DUMMYFUNCTION("""COMPUTED_VALUE"""),"PLDT / ONLINE")</f>
        <v>PLDT / ONLINE</v>
      </c>
      <c r="F3203" s="1"/>
      <c r="G3203" s="1">
        <f>IFERROR(__xludf.DUMMYFUNCTION("""COMPUTED_VALUE"""),2312800298)</f>
        <v>2312800298</v>
      </c>
      <c r="H3203" s="1" t="str">
        <f>IFERROR(__xludf.DUMMYFUNCTION("""COMPUTED_VALUE"""),"#N/A")</f>
        <v>#N/A</v>
      </c>
      <c r="I3203" s="1"/>
      <c r="J3203" s="1"/>
      <c r="K3203" s="1"/>
      <c r="L3203" s="1" t="str">
        <f>IFERROR(__xludf.DUMMYFUNCTION("""COMPUTED_VALUE"""),"#N/A")</f>
        <v>#N/A</v>
      </c>
      <c r="M3203" s="1" t="str">
        <f>IFERROR(__xludf.DUMMYFUNCTION("""COMPUTED_VALUE"""),"#N/A")</f>
        <v>#N/A</v>
      </c>
      <c r="N3203" s="1" t="str">
        <f>IFERROR(__xludf.DUMMYFUNCTION("""COMPUTED_VALUE"""),"#N/A")</f>
        <v>#N/A</v>
      </c>
      <c r="O3203" s="1" t="str">
        <f>IFERROR(__xludf.DUMMYFUNCTION("""COMPUTED_VALUE"""),"HOYO")</f>
        <v>HOYO</v>
      </c>
      <c r="P3203" s="1" t="str">
        <f>IFERROR(__xludf.DUMMYFUNCTION("""COMPUTED_VALUE"""),"SILANG")</f>
        <v>SILANG</v>
      </c>
      <c r="Q3203" s="1" t="str">
        <f>IFERROR(__xludf.DUMMYFUNCTION("""COMPUTED_VALUE"""),"CAVITE")</f>
        <v>CAVITE</v>
      </c>
      <c r="R3203" s="1" t="str">
        <f>IFERROR(__xludf.DUMMYFUNCTION("""COMPUTED_VALUE"""),"FIBR PLAN 1699")</f>
        <v>FIBR PLAN 1699</v>
      </c>
      <c r="S3203" s="1" t="str">
        <f>IFERROR(__xludf.DUMMYFUNCTION("""COMPUTED_VALUE"""),"APPROVED")</f>
        <v>APPROVED</v>
      </c>
      <c r="T3203" s="1" t="str">
        <f>IFERROR(__xludf.DUMMYFUNCTION("""COMPUTED_VALUE"""),"SUBS CANCELLED APPLICATION")</f>
        <v>SUBS CANCELLED APPLICATION</v>
      </c>
      <c r="U3203" s="1" t="str">
        <f>IFERROR(__xludf.DUMMYFUNCTION("""COMPUTED_VALUE"""),"SUBS CANCELLED APPLICATION")</f>
        <v>SUBS CANCELLED APPLICATION</v>
      </c>
      <c r="V3203" s="1"/>
      <c r="W3203" s="1"/>
    </row>
    <row r="3204" customHeight="1" spans="1:23">
      <c r="A3204" s="3">
        <f>IFERROR(__xludf.DUMMYFUNCTION("""COMPUTED_VALUE"""),46290)</f>
        <v>46290</v>
      </c>
      <c r="B3204" s="1" t="str">
        <f>IFERROR(__xludf.DUMMYFUNCTION("""COMPUTED_VALUE"""),"BAYBAY, MICHAEL")</f>
        <v>BAYBAY, MICHAEL</v>
      </c>
      <c r="C3204" s="1" t="str">
        <f>IFERROR(__xludf.DUMMYFUNCTION("""COMPUTED_VALUE"""),"ORGANIC")</f>
        <v>ORGANIC</v>
      </c>
      <c r="D3204" s="1" t="str">
        <f>IFERROR(__xludf.DUMMYFUNCTION("""COMPUTED_VALUE"""),"REMOLLO LEA")</f>
        <v>REMOLLO LEA</v>
      </c>
      <c r="E3204" s="1" t="str">
        <f>IFERROR(__xludf.DUMMYFUNCTION("""COMPUTED_VALUE"""),"PLDT / H2H")</f>
        <v>PLDT / H2H</v>
      </c>
      <c r="F3204" s="1"/>
      <c r="G3204" s="1">
        <f>IFERROR(__xludf.DUMMYFUNCTION("""COMPUTED_VALUE"""),2312800487)</f>
        <v>2312800487</v>
      </c>
      <c r="H3204" s="1" t="str">
        <f>IFERROR(__xludf.DUMMYFUNCTION("""COMPUTED_VALUE"""),"#N/A")</f>
        <v>#N/A</v>
      </c>
      <c r="I3204" s="1"/>
      <c r="J3204" s="1"/>
      <c r="K3204" s="1"/>
      <c r="L3204" s="1" t="str">
        <f>IFERROR(__xludf.DUMMYFUNCTION("""COMPUTED_VALUE"""),"#N/A")</f>
        <v>#N/A</v>
      </c>
      <c r="M3204" s="1" t="str">
        <f>IFERROR(__xludf.DUMMYFUNCTION("""COMPUTED_VALUE"""),"#N/A")</f>
        <v>#N/A</v>
      </c>
      <c r="N3204" s="1" t="str">
        <f>IFERROR(__xludf.DUMMYFUNCTION("""COMPUTED_VALUE"""),"#N/A")</f>
        <v>#N/A</v>
      </c>
      <c r="O3204" s="1" t="str">
        <f>IFERROR(__xludf.DUMMYFUNCTION("""COMPUTED_VALUE"""),"PAJO")</f>
        <v>PAJO</v>
      </c>
      <c r="P3204" s="1" t="str">
        <f>IFERROR(__xludf.DUMMYFUNCTION("""COMPUTED_VALUE"""),"ALFONSO")</f>
        <v>ALFONSO</v>
      </c>
      <c r="Q3204" s="1" t="str">
        <f>IFERROR(__xludf.DUMMYFUNCTION("""COMPUTED_VALUE"""),"CAVITE")</f>
        <v>CAVITE</v>
      </c>
      <c r="R3204" s="1" t="str">
        <f>IFERROR(__xludf.DUMMYFUNCTION("""COMPUTED_VALUE"""),"FIBR PLAN 1299")</f>
        <v>FIBR PLAN 1299</v>
      </c>
      <c r="S3204" s="1" t="str">
        <f>IFERROR(__xludf.DUMMYFUNCTION("""COMPUTED_VALUE"""),"APPROVED")</f>
        <v>APPROVED</v>
      </c>
      <c r="T3204" s="1" t="str">
        <f>IFERROR(__xludf.DUMMYFUNCTION("""COMPUTED_VALUE"""),"RPR")</f>
        <v>RPR</v>
      </c>
      <c r="U3204" s="1" t="str">
        <f>IFERROR(__xludf.DUMMYFUNCTION("""COMPUTED_VALUE"""),"RPR - SUBS CANCEL REQUEST")</f>
        <v>RPR - SUBS CANCEL REQUEST</v>
      </c>
      <c r="V3204" s="1" t="str">
        <f>IFERROR(__xludf.DUMMYFUNCTION("""COMPUTED_VALUE"""),"NO 1 AMSF")</f>
        <v>NO 1 AMSF</v>
      </c>
      <c r="W3204" s="1"/>
    </row>
    <row r="3205" customHeight="1" spans="1:23">
      <c r="A3205" s="3">
        <f>IFERROR(__xludf.DUMMYFUNCTION("""COMPUTED_VALUE"""),46290)</f>
        <v>46290</v>
      </c>
      <c r="B3205" s="1" t="str">
        <f>IFERROR(__xludf.DUMMYFUNCTION("""COMPUTED_VALUE"""),"CADERAO, RONALD")</f>
        <v>CADERAO, RONALD</v>
      </c>
      <c r="C3205" s="1" t="str">
        <f>IFERROR(__xludf.DUMMYFUNCTION("""COMPUTED_VALUE"""),"ORGANIC")</f>
        <v>ORGANIC</v>
      </c>
      <c r="D3205" s="1" t="str">
        <f>IFERROR(__xludf.DUMMYFUNCTION("""COMPUTED_VALUE"""),"REMOLLO LEA")</f>
        <v>REMOLLO LEA</v>
      </c>
      <c r="E3205" s="1" t="str">
        <f>IFERROR(__xludf.DUMMYFUNCTION("""COMPUTED_VALUE"""),"PLDT / H2H")</f>
        <v>PLDT / H2H</v>
      </c>
      <c r="F3205" s="1"/>
      <c r="G3205" s="1">
        <f>IFERROR(__xludf.DUMMYFUNCTION("""COMPUTED_VALUE"""),2312801055)</f>
        <v>2312801055</v>
      </c>
      <c r="H3205" s="1" t="str">
        <f>IFERROR(__xludf.DUMMYFUNCTION("""COMPUTED_VALUE"""),"#N/A")</f>
        <v>#N/A</v>
      </c>
      <c r="I3205" s="1"/>
      <c r="J3205" s="1"/>
      <c r="K3205" s="1"/>
      <c r="L3205" s="1" t="str">
        <f>IFERROR(__xludf.DUMMYFUNCTION("""COMPUTED_VALUE"""),"#N/A")</f>
        <v>#N/A</v>
      </c>
      <c r="M3205" s="1" t="str">
        <f>IFERROR(__xludf.DUMMYFUNCTION("""COMPUTED_VALUE"""),"#N/A")</f>
        <v>#N/A</v>
      </c>
      <c r="N3205" s="1" t="str">
        <f>IFERROR(__xludf.DUMMYFUNCTION("""COMPUTED_VALUE"""),"#N/A")</f>
        <v>#N/A</v>
      </c>
      <c r="O3205" s="1" t="str">
        <f>IFERROR(__xludf.DUMMYFUNCTION("""COMPUTED_VALUE"""),"MANGAS I")</f>
        <v>MANGAS I</v>
      </c>
      <c r="P3205" s="1" t="str">
        <f>IFERROR(__xludf.DUMMYFUNCTION("""COMPUTED_VALUE"""),"ALFONSO")</f>
        <v>ALFONSO</v>
      </c>
      <c r="Q3205" s="1" t="str">
        <f>IFERROR(__xludf.DUMMYFUNCTION("""COMPUTED_VALUE"""),"CAVITE")</f>
        <v>CAVITE</v>
      </c>
      <c r="R3205" s="1" t="str">
        <f>IFERROR(__xludf.DUMMYFUNCTION("""COMPUTED_VALUE"""),"FIBR PLAN 1299")</f>
        <v>FIBR PLAN 1299</v>
      </c>
      <c r="S3205" s="1" t="str">
        <f>IFERROR(__xludf.DUMMYFUNCTION("""COMPUTED_VALUE"""),"APPROVED")</f>
        <v>APPROVED</v>
      </c>
      <c r="T3205" s="1" t="str">
        <f>IFERROR(__xludf.DUMMYFUNCTION("""COMPUTED_VALUE"""),"CLOSED")</f>
        <v>CLOSED</v>
      </c>
      <c r="U3205" s="1" t="str">
        <f>IFERROR(__xludf.DUMMYFUNCTION("""COMPUTED_VALUE"""),"POSTED")</f>
        <v>POSTED</v>
      </c>
      <c r="V3205" s="1" t="str">
        <f>IFERROR(__xludf.DUMMYFUNCTION("""COMPUTED_VALUE"""),"NO 1 AMSF")</f>
        <v>NO 1 AMSF</v>
      </c>
      <c r="W3205" s="1"/>
    </row>
    <row r="3206" customHeight="1" spans="1:23">
      <c r="A3206" s="3">
        <f>IFERROR(__xludf.DUMMYFUNCTION("""COMPUTED_VALUE"""),46290)</f>
        <v>46290</v>
      </c>
      <c r="B3206" s="1" t="str">
        <f>IFERROR(__xludf.DUMMYFUNCTION("""COMPUTED_VALUE"""),"DACLAN, IVY")</f>
        <v>DACLAN, IVY</v>
      </c>
      <c r="C3206" s="1" t="str">
        <f>IFERROR(__xludf.DUMMYFUNCTION("""COMPUTED_VALUE"""),"ORGANIC")</f>
        <v>ORGANIC</v>
      </c>
      <c r="D3206" s="1" t="str">
        <f>IFERROR(__xludf.DUMMYFUNCTION("""COMPUTED_VALUE"""),"REMOLLO LEA")</f>
        <v>REMOLLO LEA</v>
      </c>
      <c r="E3206" s="1" t="str">
        <f>IFERROR(__xludf.DUMMYFUNCTION("""COMPUTED_VALUE"""),"PLDT / H2H")</f>
        <v>PLDT / H2H</v>
      </c>
      <c r="F3206" s="1"/>
      <c r="G3206" s="1">
        <f>IFERROR(__xludf.DUMMYFUNCTION("""COMPUTED_VALUE"""),2312801620)</f>
        <v>2312801620</v>
      </c>
      <c r="H3206" s="1" t="str">
        <f>IFERROR(__xludf.DUMMYFUNCTION("""COMPUTED_VALUE"""),"472868087004")</f>
        <v>472868087004</v>
      </c>
      <c r="I3206" s="1">
        <f>IFERROR(__xludf.DUMMYFUNCTION("""COMPUTED_VALUE"""),639858712981)</f>
        <v>639858712981</v>
      </c>
      <c r="J3206" s="1"/>
      <c r="K3206" s="1"/>
      <c r="L3206" s="1" t="str">
        <f>IFERROR(__xludf.DUMMYFUNCTION("""COMPUTED_VALUE"""),"#N/A")</f>
        <v>#N/A</v>
      </c>
      <c r="M3206" s="1" t="str">
        <f>IFERROR(__xludf.DUMMYFUNCTION("""COMPUTED_VALUE"""),"#N/A")</f>
        <v>#N/A</v>
      </c>
      <c r="N3206" s="1" t="str">
        <f>IFERROR(__xludf.DUMMYFUNCTION("""COMPUTED_VALUE"""),"#N/A")</f>
        <v>#N/A</v>
      </c>
      <c r="O3206" s="1" t="str">
        <f>IFERROR(__xludf.DUMMYFUNCTION("""COMPUTED_VALUE"""),"MADUYA")</f>
        <v>MADUYA</v>
      </c>
      <c r="P3206" s="1" t="str">
        <f>IFERROR(__xludf.DUMMYFUNCTION("""COMPUTED_VALUE"""),"CARMONA")</f>
        <v>CARMONA</v>
      </c>
      <c r="Q3206" s="1" t="str">
        <f>IFERROR(__xludf.DUMMYFUNCTION("""COMPUTED_VALUE"""),"CAVITE")</f>
        <v>CAVITE</v>
      </c>
      <c r="R3206" s="1" t="str">
        <f>IFERROR(__xludf.DUMMYFUNCTION("""COMPUTED_VALUE"""),"FIBR PLAN 1299")</f>
        <v>FIBR PLAN 1299</v>
      </c>
      <c r="S3206" s="1" t="str">
        <f>IFERROR(__xludf.DUMMYFUNCTION("""COMPUTED_VALUE"""),"APPROVED")</f>
        <v>APPROVED</v>
      </c>
      <c r="T3206" s="1" t="str">
        <f>IFERROR(__xludf.DUMMYFUNCTION("""COMPUTED_VALUE"""),"PAID")</f>
        <v>PAID</v>
      </c>
      <c r="U3206" s="1" t="str">
        <f>IFERROR(__xludf.DUMMYFUNCTION("""COMPUTED_VALUE"""),"PAID - FOR INSTALLATION")</f>
        <v>PAID - FOR INSTALLATION</v>
      </c>
      <c r="V3206" s="1" t="str">
        <f>IFERROR(__xludf.DUMMYFUNCTION("""COMPUTED_VALUE"""),"NO 1 AMSF")</f>
        <v>NO 1 AMSF</v>
      </c>
      <c r="W3206" s="1"/>
    </row>
    <row r="3207" customHeight="1" spans="1:23">
      <c r="A3207" s="3">
        <f>IFERROR(__xludf.DUMMYFUNCTION("""COMPUTED_VALUE"""),46290)</f>
        <v>46290</v>
      </c>
      <c r="B3207" s="1" t="str">
        <f>IFERROR(__xludf.DUMMYFUNCTION("""COMPUTED_VALUE"""),"LABONG, AJAY")</f>
        <v>LABONG, AJAY</v>
      </c>
      <c r="C3207" s="1" t="str">
        <f>IFERROR(__xludf.DUMMYFUNCTION("""COMPUTED_VALUE"""),"ORGANIC")</f>
        <v>ORGANIC</v>
      </c>
      <c r="D3207" s="1" t="str">
        <f>IFERROR(__xludf.DUMMYFUNCTION("""COMPUTED_VALUE"""),"REMOLLO LEA")</f>
        <v>REMOLLO LEA</v>
      </c>
      <c r="E3207" s="1" t="str">
        <f>IFERROR(__xludf.DUMMYFUNCTION("""COMPUTED_VALUE"""),"PLDT / H2H")</f>
        <v>PLDT / H2H</v>
      </c>
      <c r="F3207" s="1"/>
      <c r="G3207" s="1">
        <f>IFERROR(__xludf.DUMMYFUNCTION("""COMPUTED_VALUE"""),2312801930)</f>
        <v>2312801930</v>
      </c>
      <c r="H3207" s="1" t="str">
        <f>IFERROR(__xludf.DUMMYFUNCTION("""COMPUTED_VALUE"""),"#N/A")</f>
        <v>#N/A</v>
      </c>
      <c r="I3207" s="1"/>
      <c r="J3207" s="1"/>
      <c r="K3207" s="1"/>
      <c r="L3207" s="1" t="str">
        <f>IFERROR(__xludf.DUMMYFUNCTION("""COMPUTED_VALUE"""),"#N/A")</f>
        <v>#N/A</v>
      </c>
      <c r="M3207" s="1" t="str">
        <f>IFERROR(__xludf.DUMMYFUNCTION("""COMPUTED_VALUE"""),"#N/A")</f>
        <v>#N/A</v>
      </c>
      <c r="N3207" s="1" t="str">
        <f>IFERROR(__xludf.DUMMYFUNCTION("""COMPUTED_VALUE"""),"#N/A")</f>
        <v>#N/A</v>
      </c>
      <c r="O3207" s="1" t="str">
        <f>IFERROR(__xludf.DUMMYFUNCTION("""COMPUTED_VALUE"""),"MADUYA")</f>
        <v>MADUYA</v>
      </c>
      <c r="P3207" s="1" t="str">
        <f>IFERROR(__xludf.DUMMYFUNCTION("""COMPUTED_VALUE"""),"CARMONA")</f>
        <v>CARMONA</v>
      </c>
      <c r="Q3207" s="1" t="str">
        <f>IFERROR(__xludf.DUMMYFUNCTION("""COMPUTED_VALUE"""),"CAVITE")</f>
        <v>CAVITE</v>
      </c>
      <c r="R3207" s="1" t="str">
        <f>IFERROR(__xludf.DUMMYFUNCTION("""COMPUTED_VALUE"""),"FIBR UNLI ALL PLAN 1499")</f>
        <v>FIBR UNLI ALL PLAN 1499</v>
      </c>
      <c r="S3207" s="1" t="str">
        <f>IFERROR(__xludf.DUMMYFUNCTION("""COMPUTED_VALUE"""),"APPROVED")</f>
        <v>APPROVED</v>
      </c>
      <c r="T3207" s="1" t="str">
        <f>IFERROR(__xludf.DUMMYFUNCTION("""COMPUTED_VALUE"""),"PAID")</f>
        <v>PAID</v>
      </c>
      <c r="U3207" s="1" t="str">
        <f>IFERROR(__xludf.DUMMYFUNCTION("""COMPUTED_VALUE"""),"PAID - FOR INSTALLATION")</f>
        <v>PAID - FOR INSTALLATION</v>
      </c>
      <c r="V3207" s="1" t="str">
        <f>IFERROR(__xludf.DUMMYFUNCTION("""COMPUTED_VALUE"""),"NO 1 AMSF")</f>
        <v>NO 1 AMSF</v>
      </c>
      <c r="W3207" s="1"/>
    </row>
    <row r="3208" customHeight="1" spans="1:23">
      <c r="A3208" s="3">
        <f>IFERROR(__xludf.DUMMYFUNCTION("""COMPUTED_VALUE"""),46290)</f>
        <v>46290</v>
      </c>
      <c r="B3208" s="1" t="str">
        <f>IFERROR(__xludf.DUMMYFUNCTION("""COMPUTED_VALUE"""),"DIESTA, RHODA")</f>
        <v>DIESTA, RHODA</v>
      </c>
      <c r="C3208" s="1" t="str">
        <f>IFERROR(__xludf.DUMMYFUNCTION("""COMPUTED_VALUE"""),"ORGANIC")</f>
        <v>ORGANIC</v>
      </c>
      <c r="D3208" s="1" t="str">
        <f>IFERROR(__xludf.DUMMYFUNCTION("""COMPUTED_VALUE"""),"REMOLLO LEA")</f>
        <v>REMOLLO LEA</v>
      </c>
      <c r="E3208" s="1" t="str">
        <f>IFERROR(__xludf.DUMMYFUNCTION("""COMPUTED_VALUE"""),"PLDT / H2H")</f>
        <v>PLDT / H2H</v>
      </c>
      <c r="F3208" s="1"/>
      <c r="G3208" s="1">
        <f>IFERROR(__xludf.DUMMYFUNCTION("""COMPUTED_VALUE"""),2312802262)</f>
        <v>2312802262</v>
      </c>
      <c r="H3208" s="1" t="str">
        <f>IFERROR(__xludf.DUMMYFUNCTION("""COMPUTED_VALUE"""),"#N/A")</f>
        <v>#N/A</v>
      </c>
      <c r="I3208" s="1"/>
      <c r="J3208" s="1"/>
      <c r="K3208" s="1"/>
      <c r="L3208" s="1" t="str">
        <f>IFERROR(__xludf.DUMMYFUNCTION("""COMPUTED_VALUE"""),"#N/A")</f>
        <v>#N/A</v>
      </c>
      <c r="M3208" s="1" t="str">
        <f>IFERROR(__xludf.DUMMYFUNCTION("""COMPUTED_VALUE"""),"#N/A")</f>
        <v>#N/A</v>
      </c>
      <c r="N3208" s="1" t="str">
        <f>IFERROR(__xludf.DUMMYFUNCTION("""COMPUTED_VALUE"""),"#N/A")</f>
        <v>#N/A</v>
      </c>
      <c r="O3208" s="1" t="str">
        <f>IFERROR(__xludf.DUMMYFUNCTION("""COMPUTED_VALUE"""),"MADUYA")</f>
        <v>MADUYA</v>
      </c>
      <c r="P3208" s="1" t="str">
        <f>IFERROR(__xludf.DUMMYFUNCTION("""COMPUTED_VALUE"""),"CARMONA")</f>
        <v>CARMONA</v>
      </c>
      <c r="Q3208" s="1" t="str">
        <f>IFERROR(__xludf.DUMMYFUNCTION("""COMPUTED_VALUE"""),"CAVITE")</f>
        <v>CAVITE</v>
      </c>
      <c r="R3208" s="1" t="str">
        <f>IFERROR(__xludf.DUMMYFUNCTION("""COMPUTED_VALUE"""),"FIBR UNLI ALL PLAN 1499")</f>
        <v>FIBR UNLI ALL PLAN 1499</v>
      </c>
      <c r="S3208" s="1" t="str">
        <f>IFERROR(__xludf.DUMMYFUNCTION("""COMPUTED_VALUE"""),"APPROVED")</f>
        <v>APPROVED</v>
      </c>
      <c r="T3208" s="1" t="str">
        <f>IFERROR(__xludf.DUMMYFUNCTION("""COMPUTED_VALUE"""),"PAID")</f>
        <v>PAID</v>
      </c>
      <c r="U3208" s="1" t="str">
        <f>IFERROR(__xludf.DUMMYFUNCTION("""COMPUTED_VALUE"""),"PAID - FOR INSTALLATION")</f>
        <v>PAID - FOR INSTALLATION</v>
      </c>
      <c r="V3208" s="1" t="str">
        <f>IFERROR(__xludf.DUMMYFUNCTION("""COMPUTED_VALUE"""),"NO 1 AMSF")</f>
        <v>NO 1 AMSF</v>
      </c>
      <c r="W3208" s="1"/>
    </row>
    <row r="3209" customHeight="1" spans="1:23">
      <c r="A3209" s="3">
        <f>IFERROR(__xludf.DUMMYFUNCTION("""COMPUTED_VALUE"""),46290)</f>
        <v>46290</v>
      </c>
      <c r="B3209" s="1" t="str">
        <f>IFERROR(__xludf.DUMMYFUNCTION("""COMPUTED_VALUE"""),"FRANCISCO , ROSELYN")</f>
        <v>FRANCISCO , ROSELYN</v>
      </c>
      <c r="C3209" s="1" t="str">
        <f>IFERROR(__xludf.DUMMYFUNCTION("""COMPUTED_VALUE"""),"ORGANIC")</f>
        <v>ORGANIC</v>
      </c>
      <c r="D3209" s="1" t="str">
        <f>IFERROR(__xludf.DUMMYFUNCTION("""COMPUTED_VALUE"""),"REMOLLO LEA")</f>
        <v>REMOLLO LEA</v>
      </c>
      <c r="E3209" s="1" t="str">
        <f>IFERROR(__xludf.DUMMYFUNCTION("""COMPUTED_VALUE"""),"PLDT / H2H")</f>
        <v>PLDT / H2H</v>
      </c>
      <c r="F3209" s="1"/>
      <c r="G3209" s="1">
        <f>IFERROR(__xludf.DUMMYFUNCTION("""COMPUTED_VALUE"""),2312802516)</f>
        <v>2312802516</v>
      </c>
      <c r="H3209" s="1" t="str">
        <f>IFERROR(__xludf.DUMMYFUNCTION("""COMPUTED_VALUE"""),"#N/A")</f>
        <v>#N/A</v>
      </c>
      <c r="I3209" s="1"/>
      <c r="J3209" s="1"/>
      <c r="K3209" s="1"/>
      <c r="L3209" s="1" t="str">
        <f>IFERROR(__xludf.DUMMYFUNCTION("""COMPUTED_VALUE"""),"#N/A")</f>
        <v>#N/A</v>
      </c>
      <c r="M3209" s="1" t="str">
        <f>IFERROR(__xludf.DUMMYFUNCTION("""COMPUTED_VALUE"""),"#N/A")</f>
        <v>#N/A</v>
      </c>
      <c r="N3209" s="1" t="str">
        <f>IFERROR(__xludf.DUMMYFUNCTION("""COMPUTED_VALUE"""),"#N/A")</f>
        <v>#N/A</v>
      </c>
      <c r="O3209" s="1" t="str">
        <f>IFERROR(__xludf.DUMMYFUNCTION("""COMPUTED_VALUE"""),"BANAYAD")</f>
        <v>BANAYAD</v>
      </c>
      <c r="P3209" s="1" t="str">
        <f>IFERROR(__xludf.DUMMYFUNCTION("""COMPUTED_VALUE"""),"MENDEZ")</f>
        <v>MENDEZ</v>
      </c>
      <c r="Q3209" s="1" t="str">
        <f>IFERROR(__xludf.DUMMYFUNCTION("""COMPUTED_VALUE"""),"CAVITE")</f>
        <v>CAVITE</v>
      </c>
      <c r="R3209" s="1" t="str">
        <f>IFERROR(__xludf.DUMMYFUNCTION("""COMPUTED_VALUE"""),"FIBR NETFLIX PLAN 1599")</f>
        <v>FIBR NETFLIX PLAN 1599</v>
      </c>
      <c r="S3209" s="1" t="str">
        <f>IFERROR(__xludf.DUMMYFUNCTION("""COMPUTED_VALUE"""),"APPROVED")</f>
        <v>APPROVED</v>
      </c>
      <c r="T3209" s="1" t="str">
        <f>IFERROR(__xludf.DUMMYFUNCTION("""COMPUTED_VALUE"""),"CLOSED")</f>
        <v>CLOSED</v>
      </c>
      <c r="U3209" s="1" t="str">
        <f>IFERROR(__xludf.DUMMYFUNCTION("""COMPUTED_VALUE"""),"POSTED")</f>
        <v>POSTED</v>
      </c>
      <c r="V3209" s="1" t="str">
        <f>IFERROR(__xludf.DUMMYFUNCTION("""COMPUTED_VALUE"""),"NO 1 AMSF")</f>
        <v>NO 1 AMSF</v>
      </c>
      <c r="W3209" s="1"/>
    </row>
    <row r="3210" customHeight="1" spans="1:23">
      <c r="A3210" s="3">
        <f>IFERROR(__xludf.DUMMYFUNCTION("""COMPUTED_VALUE"""),46290)</f>
        <v>46290</v>
      </c>
      <c r="B3210" s="1" t="str">
        <f>IFERROR(__xludf.DUMMYFUNCTION("""COMPUTED_VALUE"""),"MEULIO, KHIER JASON")</f>
        <v>MEULIO, KHIER JASON</v>
      </c>
      <c r="C3210" s="1" t="str">
        <f>IFERROR(__xludf.DUMMYFUNCTION("""COMPUTED_VALUE"""),"ORGANIC")</f>
        <v>ORGANIC</v>
      </c>
      <c r="D3210" s="1" t="str">
        <f>IFERROR(__xludf.DUMMYFUNCTION("""COMPUTED_VALUE"""),"REMOLLO LEA")</f>
        <v>REMOLLO LEA</v>
      </c>
      <c r="E3210" s="1" t="str">
        <f>IFERROR(__xludf.DUMMYFUNCTION("""COMPUTED_VALUE"""),"PLDT / H2H")</f>
        <v>PLDT / H2H</v>
      </c>
      <c r="F3210" s="1"/>
      <c r="G3210" s="1">
        <f>IFERROR(__xludf.DUMMYFUNCTION("""COMPUTED_VALUE"""),2312802896)</f>
        <v>2312802896</v>
      </c>
      <c r="H3210" s="1" t="str">
        <f>IFERROR(__xludf.DUMMYFUNCTION("""COMPUTED_VALUE"""),"#N/A")</f>
        <v>#N/A</v>
      </c>
      <c r="I3210" s="1"/>
      <c r="J3210" s="1"/>
      <c r="K3210" s="1"/>
      <c r="L3210" s="1" t="str">
        <f>IFERROR(__xludf.DUMMYFUNCTION("""COMPUTED_VALUE"""),"#N/A")</f>
        <v>#N/A</v>
      </c>
      <c r="M3210" s="1" t="str">
        <f>IFERROR(__xludf.DUMMYFUNCTION("""COMPUTED_VALUE"""),"#N/A")</f>
        <v>#N/A</v>
      </c>
      <c r="N3210" s="1" t="str">
        <f>IFERROR(__xludf.DUMMYFUNCTION("""COMPUTED_VALUE"""),"#N/A")</f>
        <v>#N/A</v>
      </c>
      <c r="O3210" s="1" t="str">
        <f>IFERROR(__xludf.DUMMYFUNCTION("""COMPUTED_VALUE"""),"GALICIA III")</f>
        <v>GALICIA III</v>
      </c>
      <c r="P3210" s="1" t="str">
        <f>IFERROR(__xludf.DUMMYFUNCTION("""COMPUTED_VALUE"""),"MENDEZ")</f>
        <v>MENDEZ</v>
      </c>
      <c r="Q3210" s="1" t="str">
        <f>IFERROR(__xludf.DUMMYFUNCTION("""COMPUTED_VALUE"""),"CAVITE")</f>
        <v>CAVITE</v>
      </c>
      <c r="R3210" s="1" t="str">
        <f>IFERROR(__xludf.DUMMYFUNCTION("""COMPUTED_VALUE"""),"FIBR UNLI ALL PLAN 1499")</f>
        <v>FIBR UNLI ALL PLAN 1499</v>
      </c>
      <c r="S3210" s="1" t="str">
        <f>IFERROR(__xludf.DUMMYFUNCTION("""COMPUTED_VALUE"""),"APPROVED")</f>
        <v>APPROVED</v>
      </c>
      <c r="T3210" s="1" t="str">
        <f>IFERROR(__xludf.DUMMYFUNCTION("""COMPUTED_VALUE"""),"RPR")</f>
        <v>RPR</v>
      </c>
      <c r="U3210" s="1" t="str">
        <f>IFERROR(__xludf.DUMMYFUNCTION("""COMPUTED_VALUE"""),"RPR - NAP FULL")</f>
        <v>RPR - NAP FULL</v>
      </c>
      <c r="V3210" s="1" t="str">
        <f>IFERROR(__xludf.DUMMYFUNCTION("""COMPUTED_VALUE"""),"NO 1 AMSF")</f>
        <v>NO 1 AMSF</v>
      </c>
      <c r="W3210" s="1"/>
    </row>
    <row r="3211" customHeight="1" spans="1:23">
      <c r="A3211" s="3">
        <f>IFERROR(__xludf.DUMMYFUNCTION("""COMPUTED_VALUE"""),46290)</f>
        <v>46290</v>
      </c>
      <c r="B3211" s="1" t="str">
        <f>IFERROR(__xludf.DUMMYFUNCTION("""COMPUTED_VALUE"""),"TAMAYO, MARY ROSE")</f>
        <v>TAMAYO, MARY ROSE</v>
      </c>
      <c r="C3211" s="1" t="str">
        <f>IFERROR(__xludf.DUMMYFUNCTION("""COMPUTED_VALUE"""),"ORGANIC")</f>
        <v>ORGANIC</v>
      </c>
      <c r="D3211" s="1" t="str">
        <f>IFERROR(__xludf.DUMMYFUNCTION("""COMPUTED_VALUE"""),"REMOLLO LEA")</f>
        <v>REMOLLO LEA</v>
      </c>
      <c r="E3211" s="1" t="str">
        <f>IFERROR(__xludf.DUMMYFUNCTION("""COMPUTED_VALUE"""),"PLDT / H2H")</f>
        <v>PLDT / H2H</v>
      </c>
      <c r="F3211" s="1"/>
      <c r="G3211" s="1">
        <f>IFERROR(__xludf.DUMMYFUNCTION("""COMPUTED_VALUE"""),2312807292)</f>
        <v>2312807292</v>
      </c>
      <c r="H3211" s="1" t="str">
        <f>IFERROR(__xludf.DUMMYFUNCTION("""COMPUTED_VALUE"""),"472894965004")</f>
        <v>472894965004</v>
      </c>
      <c r="I3211" s="1"/>
      <c r="J3211" s="1"/>
      <c r="K3211" s="1"/>
      <c r="L3211" s="1" t="str">
        <f>IFERROR(__xludf.DUMMYFUNCTION("""COMPUTED_VALUE"""),"#N/A")</f>
        <v>#N/A</v>
      </c>
      <c r="M3211" s="1" t="str">
        <f>IFERROR(__xludf.DUMMYFUNCTION("""COMPUTED_VALUE"""),"#N/A")</f>
        <v>#N/A</v>
      </c>
      <c r="N3211" s="1" t="str">
        <f>IFERROR(__xludf.DUMMYFUNCTION("""COMPUTED_VALUE"""),"#N/A")</f>
        <v>#N/A</v>
      </c>
      <c r="O3211" s="1" t="str">
        <f>IFERROR(__xludf.DUMMYFUNCTION("""COMPUTED_VALUE"""),"BANCAL")</f>
        <v>BANCAL</v>
      </c>
      <c r="P3211" s="1" t="str">
        <f>IFERROR(__xludf.DUMMYFUNCTION("""COMPUTED_VALUE"""),"CARMONA")</f>
        <v>CARMONA</v>
      </c>
      <c r="Q3211" s="1" t="str">
        <f>IFERROR(__xludf.DUMMYFUNCTION("""COMPUTED_VALUE"""),"CAVITE")</f>
        <v>CAVITE</v>
      </c>
      <c r="R3211" s="1" t="str">
        <f>IFERROR(__xludf.DUMMYFUNCTION("""COMPUTED_VALUE"""),"FIBR PLAN 1299")</f>
        <v>FIBR PLAN 1299</v>
      </c>
      <c r="S3211" s="1" t="str">
        <f>IFERROR(__xludf.DUMMYFUNCTION("""COMPUTED_VALUE"""),"APPROVED")</f>
        <v>APPROVED</v>
      </c>
      <c r="T3211" s="1" t="str">
        <f>IFERROR(__xludf.DUMMYFUNCTION("""COMPUTED_VALUE"""),"AFD")</f>
        <v>AFD</v>
      </c>
      <c r="U3211" s="1" t="str">
        <f>IFERROR(__xludf.DUMMYFUNCTION("""COMPUTED_VALUE"""),"AFD - RESCHEDULE")</f>
        <v>AFD - RESCHEDULE</v>
      </c>
      <c r="V3211" s="1" t="str">
        <f>IFERROR(__xludf.DUMMYFUNCTION("""COMPUTED_VALUE"""),"NO 1 AMSF")</f>
        <v>NO 1 AMSF</v>
      </c>
      <c r="W3211" s="1"/>
    </row>
    <row r="3212" customHeight="1" spans="1:23">
      <c r="A3212" s="3">
        <f>IFERROR(__xludf.DUMMYFUNCTION("""COMPUTED_VALUE"""),46290)</f>
        <v>46290</v>
      </c>
      <c r="B3212" s="1" t="str">
        <f>IFERROR(__xludf.DUMMYFUNCTION("""COMPUTED_VALUE"""),"CADERAO, RONALD")</f>
        <v>CADERAO, RONALD</v>
      </c>
      <c r="C3212" s="1" t="str">
        <f>IFERROR(__xludf.DUMMYFUNCTION("""COMPUTED_VALUE"""),"ORGANIC")</f>
        <v>ORGANIC</v>
      </c>
      <c r="D3212" s="1" t="str">
        <f>IFERROR(__xludf.DUMMYFUNCTION("""COMPUTED_VALUE"""),"REMOLLO LEA")</f>
        <v>REMOLLO LEA</v>
      </c>
      <c r="E3212" s="1" t="str">
        <f>IFERROR(__xludf.DUMMYFUNCTION("""COMPUTED_VALUE"""),"PLDT / H2H")</f>
        <v>PLDT / H2H</v>
      </c>
      <c r="F3212" s="1"/>
      <c r="G3212" s="1">
        <f>IFERROR(__xludf.DUMMYFUNCTION("""COMPUTED_VALUE"""),2312807524)</f>
        <v>2312807524</v>
      </c>
      <c r="H3212" s="1" t="str">
        <f>IFERROR(__xludf.DUMMYFUNCTION("""COMPUTED_VALUE"""),"472952497004")</f>
        <v>472952497004</v>
      </c>
      <c r="I3212" s="1"/>
      <c r="J3212" s="1"/>
      <c r="K3212" s="1"/>
      <c r="L3212" s="1" t="str">
        <f>IFERROR(__xludf.DUMMYFUNCTION("""COMPUTED_VALUE"""),"#N/A")</f>
        <v>#N/A</v>
      </c>
      <c r="M3212" s="1" t="str">
        <f>IFERROR(__xludf.DUMMYFUNCTION("""COMPUTED_VALUE"""),"#N/A")</f>
        <v>#N/A</v>
      </c>
      <c r="N3212" s="1" t="str">
        <f>IFERROR(__xludf.DUMMYFUNCTION("""COMPUTED_VALUE"""),"#N/A")</f>
        <v>#N/A</v>
      </c>
      <c r="O3212" s="1" t="str">
        <f>IFERROR(__xludf.DUMMYFUNCTION("""COMPUTED_VALUE"""),"ULAT")</f>
        <v>ULAT</v>
      </c>
      <c r="P3212" s="1" t="str">
        <f>IFERROR(__xludf.DUMMYFUNCTION("""COMPUTED_VALUE"""),"SILANG")</f>
        <v>SILANG</v>
      </c>
      <c r="Q3212" s="1" t="str">
        <f>IFERROR(__xludf.DUMMYFUNCTION("""COMPUTED_VALUE"""),"CAVITE")</f>
        <v>CAVITE</v>
      </c>
      <c r="R3212" s="1" t="str">
        <f>IFERROR(__xludf.DUMMYFUNCTION("""COMPUTED_VALUE"""),"FIBR UNLI ALL PLAN 1499")</f>
        <v>FIBR UNLI ALL PLAN 1499</v>
      </c>
      <c r="S3212" s="1" t="str">
        <f>IFERROR(__xludf.DUMMYFUNCTION("""COMPUTED_VALUE"""),"APPROVED")</f>
        <v>APPROVED</v>
      </c>
      <c r="T3212" s="1" t="str">
        <f>IFERROR(__xludf.DUMMYFUNCTION("""COMPUTED_VALUE"""),"PAID")</f>
        <v>PAID</v>
      </c>
      <c r="U3212" s="1" t="str">
        <f>IFERROR(__xludf.DUMMYFUNCTION("""COMPUTED_VALUE"""),"PAID - FOR INSTALLATION")</f>
        <v>PAID - FOR INSTALLATION</v>
      </c>
      <c r="V3212" s="1" t="str">
        <f>IFERROR(__xludf.DUMMYFUNCTION("""COMPUTED_VALUE"""),"NO 1 AMSF")</f>
        <v>NO 1 AMSF</v>
      </c>
      <c r="W3212" s="1"/>
    </row>
    <row r="3213" customHeight="1" spans="1:23">
      <c r="A3213" s="3">
        <f>IFERROR(__xludf.DUMMYFUNCTION("""COMPUTED_VALUE"""),46290)</f>
        <v>46290</v>
      </c>
      <c r="B3213" s="1" t="str">
        <f>IFERROR(__xludf.DUMMYFUNCTION("""COMPUTED_VALUE"""),"GABAY, MANUEL")</f>
        <v>GABAY, MANUEL</v>
      </c>
      <c r="C3213" s="1" t="str">
        <f>IFERROR(__xludf.DUMMYFUNCTION("""COMPUTED_VALUE"""),"FLA")</f>
        <v>FLA</v>
      </c>
      <c r="D3213" s="1" t="str">
        <f>IFERROR(__xludf.DUMMYFUNCTION("""COMPUTED_VALUE"""),"JERIC NAVARRO")</f>
        <v>JERIC NAVARRO</v>
      </c>
      <c r="E3213" s="1" t="str">
        <f>IFERROR(__xludf.DUMMYFUNCTION("""COMPUTED_VALUE"""),"PLDT / H2H")</f>
        <v>PLDT / H2H</v>
      </c>
      <c r="F3213" s="1"/>
      <c r="G3213" s="1">
        <f>IFERROR(__xludf.DUMMYFUNCTION("""COMPUTED_VALUE"""),2312807795)</f>
        <v>2312807795</v>
      </c>
      <c r="H3213" s="1" t="str">
        <f>IFERROR(__xludf.DUMMYFUNCTION("""COMPUTED_VALUE"""),"472894884004")</f>
        <v>472894884004</v>
      </c>
      <c r="I3213" s="1">
        <f>IFERROR(__xludf.DUMMYFUNCTION("""COMPUTED_VALUE"""),639755121285)</f>
        <v>639755121285</v>
      </c>
      <c r="J3213" s="1">
        <f>IFERROR(__xludf.DUMMYFUNCTION("""COMPUTED_VALUE"""),639974557896)</f>
        <v>639974557896</v>
      </c>
      <c r="K3213" s="1"/>
      <c r="L3213" s="1" t="str">
        <f>IFERROR(__xludf.DUMMYFUNCTION("""COMPUTED_VALUE"""),"#N/A")</f>
        <v>#N/A</v>
      </c>
      <c r="M3213" s="1" t="str">
        <f>IFERROR(__xludf.DUMMYFUNCTION("""COMPUTED_VALUE"""),"#N/A")</f>
        <v>#N/A</v>
      </c>
      <c r="N3213" s="1" t="str">
        <f>IFERROR(__xludf.DUMMYFUNCTION("""COMPUTED_VALUE"""),"#N/A")</f>
        <v>#N/A</v>
      </c>
      <c r="O3213" s="1" t="str">
        <f>IFERROR(__xludf.DUMMYFUNCTION("""COMPUTED_VALUE"""),"BARANGAY 5 (POB.)")</f>
        <v>BARANGAY 5 (POB.)</v>
      </c>
      <c r="P3213" s="1" t="str">
        <f>IFERROR(__xludf.DUMMYFUNCTION("""COMPUTED_VALUE"""),"SILANG")</f>
        <v>SILANG</v>
      </c>
      <c r="Q3213" s="1" t="str">
        <f>IFERROR(__xludf.DUMMYFUNCTION("""COMPUTED_VALUE"""),"CAVITE")</f>
        <v>CAVITE</v>
      </c>
      <c r="R3213" s="1" t="str">
        <f>IFERROR(__xludf.DUMMYFUNCTION("""COMPUTED_VALUE"""),"FIBR UNLI ALL PLAN 1499")</f>
        <v>FIBR UNLI ALL PLAN 1499</v>
      </c>
      <c r="S3213" s="1" t="str">
        <f>IFERROR(__xludf.DUMMYFUNCTION("""COMPUTED_VALUE"""),"APPROVED")</f>
        <v>APPROVED</v>
      </c>
      <c r="T3213" s="1" t="str">
        <f>IFERROR(__xludf.DUMMYFUNCTION("""COMPUTED_VALUE"""),"RESERVED FACILITY")</f>
        <v>RESERVED FACILITY</v>
      </c>
      <c r="U3213" s="1" t="str">
        <f>IFERROR(__xludf.DUMMYFUNCTION("""COMPUTED_VALUE"""),"OPEN")</f>
        <v>OPEN</v>
      </c>
      <c r="V3213" s="1"/>
      <c r="W3213" s="1"/>
    </row>
    <row r="3214" customHeight="1" spans="1:23">
      <c r="A3214" s="3">
        <f>IFERROR(__xludf.DUMMYFUNCTION("""COMPUTED_VALUE"""),46291)</f>
        <v>46291</v>
      </c>
      <c r="B3214" s="1" t="str">
        <f>IFERROR(__xludf.DUMMYFUNCTION("""COMPUTED_VALUE"""),"MANDUCDOC, MARIANE")</f>
        <v>MANDUCDOC, MARIANE</v>
      </c>
      <c r="C3214" s="1" t="str">
        <f>IFERROR(__xludf.DUMMYFUNCTION("""COMPUTED_VALUE"""),"ORGANIC")</f>
        <v>ORGANIC</v>
      </c>
      <c r="D3214" s="1" t="str">
        <f>IFERROR(__xludf.DUMMYFUNCTION("""COMPUTED_VALUE"""),"REMOLLO LEA")</f>
        <v>REMOLLO LEA</v>
      </c>
      <c r="E3214" s="1" t="str">
        <f>IFERROR(__xludf.DUMMYFUNCTION("""COMPUTED_VALUE"""),"PLDT / H2H")</f>
        <v>PLDT / H2H</v>
      </c>
      <c r="F3214" s="1"/>
      <c r="G3214" s="1">
        <f>IFERROR(__xludf.DUMMYFUNCTION("""COMPUTED_VALUE"""),2312812539)</f>
        <v>2312812539</v>
      </c>
      <c r="H3214" s="1" t="str">
        <f>IFERROR(__xludf.DUMMYFUNCTION("""COMPUTED_VALUE"""),"472957221004")</f>
        <v>472957221004</v>
      </c>
      <c r="I3214" s="1">
        <f>IFERROR(__xludf.DUMMYFUNCTION("""COMPUTED_VALUE"""),639362737539)</f>
        <v>639362737539</v>
      </c>
      <c r="J3214" s="1">
        <f>IFERROR(__xludf.DUMMYFUNCTION("""COMPUTED_VALUE"""),639242374485)</f>
        <v>639242374485</v>
      </c>
      <c r="K3214" s="1"/>
      <c r="L3214" s="1" t="str">
        <f>IFERROR(__xludf.DUMMYFUNCTION("""COMPUTED_VALUE"""),"#N/A")</f>
        <v>#N/A</v>
      </c>
      <c r="M3214" s="1" t="str">
        <f>IFERROR(__xludf.DUMMYFUNCTION("""COMPUTED_VALUE"""),"#N/A")</f>
        <v>#N/A</v>
      </c>
      <c r="N3214" s="1" t="str">
        <f>IFERROR(__xludf.DUMMYFUNCTION("""COMPUTED_VALUE"""),"#N/A")</f>
        <v>#N/A</v>
      </c>
      <c r="O3214" s="1" t="str">
        <f>IFERROR(__xludf.DUMMYFUNCTION("""COMPUTED_VALUE"""),"SAN VICENTE II")</f>
        <v>SAN VICENTE II</v>
      </c>
      <c r="P3214" s="1" t="str">
        <f>IFERROR(__xludf.DUMMYFUNCTION("""COMPUTED_VALUE"""),"SILANG")</f>
        <v>SILANG</v>
      </c>
      <c r="Q3214" s="1" t="str">
        <f>IFERROR(__xludf.DUMMYFUNCTION("""COMPUTED_VALUE"""),"CAVITE")</f>
        <v>CAVITE</v>
      </c>
      <c r="R3214" s="1" t="str">
        <f>IFERROR(__xludf.DUMMYFUNCTION("""COMPUTED_VALUE"""),"FIBR PLAN 1299")</f>
        <v>FIBR PLAN 1299</v>
      </c>
      <c r="S3214" s="1" t="str">
        <f>IFERROR(__xludf.DUMMYFUNCTION("""COMPUTED_VALUE"""),"APPROVED")</f>
        <v>APPROVED</v>
      </c>
      <c r="T3214" s="1" t="str">
        <f>IFERROR(__xludf.DUMMYFUNCTION("""COMPUTED_VALUE"""),"FOR PAYMENT")</f>
        <v>FOR PAYMENT</v>
      </c>
      <c r="U3214" s="1" t="str">
        <f>IFERROR(__xludf.DUMMYFUNCTION("""COMPUTED_VALUE"""),"FOR PAYMENT")</f>
        <v>FOR PAYMENT</v>
      </c>
      <c r="V3214" s="1"/>
      <c r="W3214" s="1"/>
    </row>
    <row r="3215" customHeight="1" spans="1:23">
      <c r="A3215" s="3">
        <f>IFERROR(__xludf.DUMMYFUNCTION("""COMPUTED_VALUE"""),46291)</f>
        <v>46291</v>
      </c>
      <c r="B3215" s="1" t="str">
        <f>IFERROR(__xludf.DUMMYFUNCTION("""COMPUTED_VALUE"""),"REMOLLO, LEA")</f>
        <v>REMOLLO, LEA</v>
      </c>
      <c r="C3215" s="1" t="str">
        <f>IFERROR(__xludf.DUMMYFUNCTION("""COMPUTED_VALUE"""),"FLA")</f>
        <v>FLA</v>
      </c>
      <c r="D3215" s="1" t="str">
        <f>IFERROR(__xludf.DUMMYFUNCTION("""COMPUTED_VALUE"""),"JERIC NAVARRO")</f>
        <v>JERIC NAVARRO</v>
      </c>
      <c r="E3215" s="1" t="str">
        <f>IFERROR(__xludf.DUMMYFUNCTION("""COMPUTED_VALUE"""),"PLDT / ONLINE")</f>
        <v>PLDT / ONLINE</v>
      </c>
      <c r="F3215" s="1"/>
      <c r="G3215" s="1">
        <f>IFERROR(__xludf.DUMMYFUNCTION("""COMPUTED_VALUE"""),2312813124)</f>
        <v>2312813124</v>
      </c>
      <c r="H3215" s="1" t="str">
        <f>IFERROR(__xludf.DUMMYFUNCTION("""COMPUTED_VALUE"""),"472972161004")</f>
        <v>472972161004</v>
      </c>
      <c r="I3215" s="1">
        <f>IFERROR(__xludf.DUMMYFUNCTION("""COMPUTED_VALUE"""),639458890410)</f>
        <v>639458890410</v>
      </c>
      <c r="J3215" s="1"/>
      <c r="K3215" s="1"/>
      <c r="L3215" s="1" t="str">
        <f>IFERROR(__xludf.DUMMYFUNCTION("""COMPUTED_VALUE"""),"#N/A")</f>
        <v>#N/A</v>
      </c>
      <c r="M3215" s="1" t="str">
        <f>IFERROR(__xludf.DUMMYFUNCTION("""COMPUTED_VALUE"""),"#N/A")</f>
        <v>#N/A</v>
      </c>
      <c r="N3215" s="1" t="str">
        <f>IFERROR(__xludf.DUMMYFUNCTION("""COMPUTED_VALUE"""),"#N/A")</f>
        <v>#N/A</v>
      </c>
      <c r="O3215" s="1" t="str">
        <f>IFERROR(__xludf.DUMMYFUNCTION("""COMPUTED_VALUE"""),"HOYO")</f>
        <v>HOYO</v>
      </c>
      <c r="P3215" s="1" t="str">
        <f>IFERROR(__xludf.DUMMYFUNCTION("""COMPUTED_VALUE"""),"SILANG")</f>
        <v>SILANG</v>
      </c>
      <c r="Q3215" s="1" t="str">
        <f>IFERROR(__xludf.DUMMYFUNCTION("""COMPUTED_VALUE"""),"CAVITE")</f>
        <v>CAVITE</v>
      </c>
      <c r="R3215" s="1" t="str">
        <f>IFERROR(__xludf.DUMMYFUNCTION("""COMPUTED_VALUE"""),"FIBR PLAN 1699")</f>
        <v>FIBR PLAN 1699</v>
      </c>
      <c r="S3215" s="1" t="str">
        <f>IFERROR(__xludf.DUMMYFUNCTION("""COMPUTED_VALUE"""),"APPROVED")</f>
        <v>APPROVED</v>
      </c>
      <c r="T3215" s="1" t="str">
        <f>IFERROR(__xludf.DUMMYFUNCTION("""COMPUTED_VALUE"""),"RESERVED FACILITY")</f>
        <v>RESERVED FACILITY</v>
      </c>
      <c r="U3215" s="1" t="str">
        <f>IFERROR(__xludf.DUMMYFUNCTION("""COMPUTED_VALUE"""),"OPEN")</f>
        <v>OPEN</v>
      </c>
      <c r="V3215" s="1"/>
      <c r="W3215" s="1"/>
    </row>
    <row r="3216" customHeight="1" spans="1:23">
      <c r="A3216" s="3">
        <f>IFERROR(__xludf.DUMMYFUNCTION("""COMPUTED_VALUE"""),46291)</f>
        <v>46291</v>
      </c>
      <c r="B3216" s="1" t="str">
        <f>IFERROR(__xludf.DUMMYFUNCTION("""COMPUTED_VALUE"""),"BAQUIT ,JAZMIN")</f>
        <v>BAQUIT ,JAZMIN</v>
      </c>
      <c r="C3216" s="1" t="str">
        <f>IFERROR(__xludf.DUMMYFUNCTION("""COMPUTED_VALUE"""),"ORGANIC")</f>
        <v>ORGANIC</v>
      </c>
      <c r="D3216" s="1" t="str">
        <f>IFERROR(__xludf.DUMMYFUNCTION("""COMPUTED_VALUE"""),"REMOLLO LEA")</f>
        <v>REMOLLO LEA</v>
      </c>
      <c r="E3216" s="1" t="str">
        <f>IFERROR(__xludf.DUMMYFUNCTION("""COMPUTED_VALUE"""),"PLDT / ONLINE")</f>
        <v>PLDT / ONLINE</v>
      </c>
      <c r="F3216" s="1"/>
      <c r="G3216" s="1">
        <f>IFERROR(__xludf.DUMMYFUNCTION("""COMPUTED_VALUE"""),2312814106)</f>
        <v>2312814106</v>
      </c>
      <c r="H3216" s="1" t="str">
        <f>IFERROR(__xludf.DUMMYFUNCTION("""COMPUTED_VALUE"""),"472973680004")</f>
        <v>472973680004</v>
      </c>
      <c r="I3216" s="1"/>
      <c r="J3216" s="1"/>
      <c r="K3216" s="1"/>
      <c r="L3216" s="1" t="str">
        <f>IFERROR(__xludf.DUMMYFUNCTION("""COMPUTED_VALUE"""),"#N/A")</f>
        <v>#N/A</v>
      </c>
      <c r="M3216" s="1" t="str">
        <f>IFERROR(__xludf.DUMMYFUNCTION("""COMPUTED_VALUE"""),"#N/A")</f>
        <v>#N/A</v>
      </c>
      <c r="N3216" s="1" t="str">
        <f>IFERROR(__xludf.DUMMYFUNCTION("""COMPUTED_VALUE"""),"#N/A")</f>
        <v>#N/A</v>
      </c>
      <c r="O3216" s="1" t="str">
        <f>IFERROR(__xludf.DUMMYFUNCTION("""COMPUTED_VALUE"""),"BILOG")</f>
        <v>BILOG</v>
      </c>
      <c r="P3216" s="1" t="str">
        <f>IFERROR(__xludf.DUMMYFUNCTION("""COMPUTED_VALUE"""),"ALFONSO")</f>
        <v>ALFONSO</v>
      </c>
      <c r="Q3216" s="1" t="str">
        <f>IFERROR(__xludf.DUMMYFUNCTION("""COMPUTED_VALUE"""),"CAVITE")</f>
        <v>CAVITE</v>
      </c>
      <c r="R3216" s="1" t="str">
        <f>IFERROR(__xludf.DUMMYFUNCTION("""COMPUTED_VALUE"""),"FIBR PLAN 1299")</f>
        <v>FIBR PLAN 1299</v>
      </c>
      <c r="S3216" s="1" t="str">
        <f>IFERROR(__xludf.DUMMYFUNCTION("""COMPUTED_VALUE"""),"APPROVED")</f>
        <v>APPROVED</v>
      </c>
      <c r="T3216" s="1" t="str">
        <f>IFERROR(__xludf.DUMMYFUNCTION("""COMPUTED_VALUE"""),"PAID")</f>
        <v>PAID</v>
      </c>
      <c r="U3216" s="1" t="str">
        <f>IFERROR(__xludf.DUMMYFUNCTION("""COMPUTED_VALUE"""),"PAID - FOR INSTALLATION")</f>
        <v>PAID - FOR INSTALLATION</v>
      </c>
      <c r="V3216" s="1" t="str">
        <f>IFERROR(__xludf.DUMMYFUNCTION("""COMPUTED_VALUE"""),"NO 1 AMSF")</f>
        <v>NO 1 AMSF</v>
      </c>
      <c r="W3216" s="1"/>
    </row>
    <row r="3217" customHeight="1" spans="1:23">
      <c r="A3217" s="3">
        <f>IFERROR(__xludf.DUMMYFUNCTION("""COMPUTED_VALUE"""),46291)</f>
        <v>46291</v>
      </c>
      <c r="B3217" s="1" t="str">
        <f>IFERROR(__xludf.DUMMYFUNCTION("""COMPUTED_VALUE"""),"DACALCAP RUBEN")</f>
        <v>DACALCAP RUBEN</v>
      </c>
      <c r="C3217" s="1" t="str">
        <f>IFERROR(__xludf.DUMMYFUNCTION("""COMPUTED_VALUE"""),"FLA")</f>
        <v>FLA</v>
      </c>
      <c r="D3217" s="1" t="str">
        <f>IFERROR(__xludf.DUMMYFUNCTION("""COMPUTED_VALUE"""),"JERIC NAVARRO")</f>
        <v>JERIC NAVARRO</v>
      </c>
      <c r="E3217" s="1" t="str">
        <f>IFERROR(__xludf.DUMMYFUNCTION("""COMPUTED_VALUE"""),"PLDT / H2H")</f>
        <v>PLDT / H2H</v>
      </c>
      <c r="F3217" s="1"/>
      <c r="G3217" s="1">
        <f>IFERROR(__xludf.DUMMYFUNCTION("""COMPUTED_VALUE"""),2312814477)</f>
        <v>2312814477</v>
      </c>
      <c r="H3217" s="1" t="str">
        <f>IFERROR(__xludf.DUMMYFUNCTION("""COMPUTED_VALUE"""),"#N/A")</f>
        <v>#N/A</v>
      </c>
      <c r="I3217" s="1"/>
      <c r="J3217" s="1"/>
      <c r="K3217" s="1"/>
      <c r="L3217" s="1" t="str">
        <f>IFERROR(__xludf.DUMMYFUNCTION("""COMPUTED_VALUE"""),"#N/A")</f>
        <v>#N/A</v>
      </c>
      <c r="M3217" s="1" t="str">
        <f>IFERROR(__xludf.DUMMYFUNCTION("""COMPUTED_VALUE"""),"#N/A")</f>
        <v>#N/A</v>
      </c>
      <c r="N3217" s="1" t="str">
        <f>IFERROR(__xludf.DUMMYFUNCTION("""COMPUTED_VALUE"""),"#N/A")</f>
        <v>#N/A</v>
      </c>
      <c r="O3217" s="1" t="str">
        <f>IFERROR(__xludf.DUMMYFUNCTION("""COMPUTED_VALUE"""),"SABUTAN")</f>
        <v>SABUTAN</v>
      </c>
      <c r="P3217" s="1" t="str">
        <f>IFERROR(__xludf.DUMMYFUNCTION("""COMPUTED_VALUE"""),"SILANG")</f>
        <v>SILANG</v>
      </c>
      <c r="Q3217" s="1" t="str">
        <f>IFERROR(__xludf.DUMMYFUNCTION("""COMPUTED_VALUE"""),"CAVITE")</f>
        <v>CAVITE</v>
      </c>
      <c r="R3217" s="1" t="str">
        <f>IFERROR(__xludf.DUMMYFUNCTION("""COMPUTED_VALUE"""),"FIBR PLAN 1699")</f>
        <v>FIBR PLAN 1699</v>
      </c>
      <c r="S3217" s="1" t="str">
        <f>IFERROR(__xludf.DUMMYFUNCTION("""COMPUTED_VALUE"""),"APPROVED")</f>
        <v>APPROVED</v>
      </c>
      <c r="T3217" s="1" t="str">
        <f>IFERROR(__xludf.DUMMYFUNCTION("""COMPUTED_VALUE"""),"CANCELLED")</f>
        <v>CANCELLED</v>
      </c>
      <c r="U3217" s="1" t="str">
        <f>IFERROR(__xludf.DUMMYFUNCTION("""COMPUTED_VALUE"""),"CANCELLED - WITH OB")</f>
        <v>CANCELLED - WITH OB</v>
      </c>
      <c r="V3217" s="1"/>
      <c r="W3217" s="1"/>
    </row>
    <row r="3218" customHeight="1" spans="1:23">
      <c r="A3218" s="3">
        <f>IFERROR(__xludf.DUMMYFUNCTION("""COMPUTED_VALUE"""),46291)</f>
        <v>46291</v>
      </c>
      <c r="B3218" s="1" t="str">
        <f>IFERROR(__xludf.DUMMYFUNCTION("""COMPUTED_VALUE"""),"FRANCISCO , ROSELYN")</f>
        <v>FRANCISCO , ROSELYN</v>
      </c>
      <c r="C3218" s="1" t="str">
        <f>IFERROR(__xludf.DUMMYFUNCTION("""COMPUTED_VALUE"""),"ORGANIC")</f>
        <v>ORGANIC</v>
      </c>
      <c r="D3218" s="1" t="str">
        <f>IFERROR(__xludf.DUMMYFUNCTION("""COMPUTED_VALUE"""),"REMOLLO LEA")</f>
        <v>REMOLLO LEA</v>
      </c>
      <c r="E3218" s="1" t="str">
        <f>IFERROR(__xludf.DUMMYFUNCTION("""COMPUTED_VALUE"""),"PLDT / H2H")</f>
        <v>PLDT / H2H</v>
      </c>
      <c r="F3218" s="1"/>
      <c r="G3218" s="1">
        <f>IFERROR(__xludf.DUMMYFUNCTION("""COMPUTED_VALUE"""),2312815440)</f>
        <v>2312815440</v>
      </c>
      <c r="H3218" s="1" t="str">
        <f>IFERROR(__xludf.DUMMYFUNCTION("""COMPUTED_VALUE"""),"472976231004")</f>
        <v>472976231004</v>
      </c>
      <c r="I3218" s="1">
        <f>IFERROR(__xludf.DUMMYFUNCTION("""COMPUTED_VALUE"""),639750950208)</f>
        <v>639750950208</v>
      </c>
      <c r="J3218" s="1">
        <f>IFERROR(__xludf.DUMMYFUNCTION("""COMPUTED_VALUE"""),639278805892)</f>
        <v>639278805892</v>
      </c>
      <c r="K3218" s="1"/>
      <c r="L3218" s="1" t="str">
        <f>IFERROR(__xludf.DUMMYFUNCTION("""COMPUTED_VALUE"""),"#N/A")</f>
        <v>#N/A</v>
      </c>
      <c r="M3218" s="1" t="str">
        <f>IFERROR(__xludf.DUMMYFUNCTION("""COMPUTED_VALUE"""),"#N/A")</f>
        <v>#N/A</v>
      </c>
      <c r="N3218" s="1" t="str">
        <f>IFERROR(__xludf.DUMMYFUNCTION("""COMPUTED_VALUE"""),"#N/A")</f>
        <v>#N/A</v>
      </c>
      <c r="O3218" s="1" t="str">
        <f>IFERROR(__xludf.DUMMYFUNCTION("""COMPUTED_VALUE"""),"BARANGAY 1 (POB.)")</f>
        <v>BARANGAY 1 (POB.)</v>
      </c>
      <c r="P3218" s="1" t="str">
        <f>IFERROR(__xludf.DUMMYFUNCTION("""COMPUTED_VALUE"""),"MENDEZ")</f>
        <v>MENDEZ</v>
      </c>
      <c r="Q3218" s="1" t="str">
        <f>IFERROR(__xludf.DUMMYFUNCTION("""COMPUTED_VALUE"""),"CAVITE")</f>
        <v>CAVITE</v>
      </c>
      <c r="R3218" s="1" t="str">
        <f>IFERROR(__xludf.DUMMYFUNCTION("""COMPUTED_VALUE"""),"FIBR UNLI ALL PLAN 1499")</f>
        <v>FIBR UNLI ALL PLAN 1499</v>
      </c>
      <c r="S3218" s="1" t="str">
        <f>IFERROR(__xludf.DUMMYFUNCTION("""COMPUTED_VALUE"""),"APPROVED")</f>
        <v>APPROVED</v>
      </c>
      <c r="T3218" s="1" t="str">
        <f>IFERROR(__xludf.DUMMYFUNCTION("""COMPUTED_VALUE"""),"PAID")</f>
        <v>PAID</v>
      </c>
      <c r="U3218" s="1" t="str">
        <f>IFERROR(__xludf.DUMMYFUNCTION("""COMPUTED_VALUE"""),"PAID - FOR INSTALLATION")</f>
        <v>PAID - FOR INSTALLATION</v>
      </c>
      <c r="V3218" s="1" t="str">
        <f>IFERROR(__xludf.DUMMYFUNCTION("""COMPUTED_VALUE"""),"WITH 1 AMSF")</f>
        <v>WITH 1 AMSF</v>
      </c>
      <c r="W3218" s="1"/>
    </row>
    <row r="3219" customHeight="1" spans="1:23">
      <c r="A3219" s="3">
        <f>IFERROR(__xludf.DUMMYFUNCTION("""COMPUTED_VALUE"""),46291)</f>
        <v>46291</v>
      </c>
      <c r="B3219" s="1" t="str">
        <f>IFERROR(__xludf.DUMMYFUNCTION("""COMPUTED_VALUE"""),"ESCARCHA, MA ALMA  ESCOTO")</f>
        <v>ESCARCHA, MA ALMA  ESCOTO</v>
      </c>
      <c r="C3219" s="1" t="str">
        <f>IFERROR(__xludf.DUMMYFUNCTION("""COMPUTED_VALUE"""),"ORGANIC")</f>
        <v>ORGANIC</v>
      </c>
      <c r="D3219" s="1" t="str">
        <f>IFERROR(__xludf.DUMMYFUNCTION("""COMPUTED_VALUE"""),"REMOLLO LEA")</f>
        <v>REMOLLO LEA</v>
      </c>
      <c r="E3219" s="1" t="str">
        <f>IFERROR(__xludf.DUMMYFUNCTION("""COMPUTED_VALUE"""),"PLDT / H2H")</f>
        <v>PLDT / H2H</v>
      </c>
      <c r="F3219" s="1"/>
      <c r="G3219" s="1">
        <f>IFERROR(__xludf.DUMMYFUNCTION("""COMPUTED_VALUE"""),2312816941)</f>
        <v>2312816941</v>
      </c>
      <c r="H3219" s="1" t="str">
        <f>IFERROR(__xludf.DUMMYFUNCTION("""COMPUTED_VALUE"""),"#N/A")</f>
        <v>#N/A</v>
      </c>
      <c r="I3219" s="1"/>
      <c r="J3219" s="1"/>
      <c r="K3219" s="1"/>
      <c r="L3219" s="1" t="str">
        <f>IFERROR(__xludf.DUMMYFUNCTION("""COMPUTED_VALUE"""),"#N/A")</f>
        <v>#N/A</v>
      </c>
      <c r="M3219" s="1" t="str">
        <f>IFERROR(__xludf.DUMMYFUNCTION("""COMPUTED_VALUE"""),"#N/A")</f>
        <v>#N/A</v>
      </c>
      <c r="N3219" s="1" t="str">
        <f>IFERROR(__xludf.DUMMYFUNCTION("""COMPUTED_VALUE"""),"#N/A")</f>
        <v>#N/A</v>
      </c>
      <c r="O3219" s="1" t="str">
        <f>IFERROR(__xludf.DUMMYFUNCTION("""COMPUTED_VALUE"""),"BARANGAY 1 (POB.)")</f>
        <v>BARANGAY 1 (POB.)</v>
      </c>
      <c r="P3219" s="1" t="str">
        <f>IFERROR(__xludf.DUMMYFUNCTION("""COMPUTED_VALUE"""),"MENDEZ")</f>
        <v>MENDEZ</v>
      </c>
      <c r="Q3219" s="1" t="str">
        <f>IFERROR(__xludf.DUMMYFUNCTION("""COMPUTED_VALUE"""),"CAVITE")</f>
        <v>CAVITE</v>
      </c>
      <c r="R3219" s="1" t="str">
        <f>IFERROR(__xludf.DUMMYFUNCTION("""COMPUTED_VALUE"""),"FIBR UNLI ALL PLAN 999")</f>
        <v>FIBR UNLI ALL PLAN 999</v>
      </c>
      <c r="S3219" s="1" t="str">
        <f>IFERROR(__xludf.DUMMYFUNCTION("""COMPUTED_VALUE"""),"APPROVED")</f>
        <v>APPROVED</v>
      </c>
      <c r="T3219" s="1" t="str">
        <f>IFERROR(__xludf.DUMMYFUNCTION("""COMPUTED_VALUE"""),"CANCELLED")</f>
        <v>CANCELLED</v>
      </c>
      <c r="U3219" s="1" t="str">
        <f>IFERROR(__xludf.DUMMYFUNCTION("""COMPUTED_VALUE"""),"CANCELLED - DUPLICATE APP")</f>
        <v>CANCELLED - DUPLICATE APP</v>
      </c>
      <c r="V3219" s="1"/>
      <c r="W3219" s="1"/>
    </row>
    <row r="3220" customHeight="1" spans="1:23">
      <c r="A3220" s="3">
        <f>IFERROR(__xludf.DUMMYFUNCTION("""COMPUTED_VALUE"""),46291)</f>
        <v>46291</v>
      </c>
      <c r="B3220" s="1" t="str">
        <f>IFERROR(__xludf.DUMMYFUNCTION("""COMPUTED_VALUE"""),"CADERAO, RONALD")</f>
        <v>CADERAO, RONALD</v>
      </c>
      <c r="C3220" s="1" t="str">
        <f>IFERROR(__xludf.DUMMYFUNCTION("""COMPUTED_VALUE"""),"ORGANIC")</f>
        <v>ORGANIC</v>
      </c>
      <c r="D3220" s="1" t="str">
        <f>IFERROR(__xludf.DUMMYFUNCTION("""COMPUTED_VALUE"""),"REMOLLO LEA")</f>
        <v>REMOLLO LEA</v>
      </c>
      <c r="E3220" s="1" t="str">
        <f>IFERROR(__xludf.DUMMYFUNCTION("""COMPUTED_VALUE"""),"PLDT / H2H")</f>
        <v>PLDT / H2H</v>
      </c>
      <c r="F3220" s="1"/>
      <c r="G3220" s="1">
        <f>IFERROR(__xludf.DUMMYFUNCTION("""COMPUTED_VALUE"""),2312817266)</f>
        <v>2312817266</v>
      </c>
      <c r="H3220" s="1" t="str">
        <f>IFERROR(__xludf.DUMMYFUNCTION("""COMPUTED_VALUE"""),"472977407004")</f>
        <v>472977407004</v>
      </c>
      <c r="I3220" s="1">
        <f>IFERROR(__xludf.DUMMYFUNCTION("""COMPUTED_VALUE"""),639398659260)</f>
        <v>639398659260</v>
      </c>
      <c r="J3220" s="1"/>
      <c r="K3220" s="1"/>
      <c r="L3220" s="1" t="str">
        <f>IFERROR(__xludf.DUMMYFUNCTION("""COMPUTED_VALUE"""),"#N/A")</f>
        <v>#N/A</v>
      </c>
      <c r="M3220" s="1" t="str">
        <f>IFERROR(__xludf.DUMMYFUNCTION("""COMPUTED_VALUE"""),"#N/A")</f>
        <v>#N/A</v>
      </c>
      <c r="N3220" s="1" t="str">
        <f>IFERROR(__xludf.DUMMYFUNCTION("""COMPUTED_VALUE"""),"#N/A")</f>
        <v>#N/A</v>
      </c>
      <c r="O3220" s="1" t="str">
        <f>IFERROR(__xludf.DUMMYFUNCTION("""COMPUTED_VALUE"""),"ASIS II")</f>
        <v>ASIS II</v>
      </c>
      <c r="P3220" s="1" t="str">
        <f>IFERROR(__xludf.DUMMYFUNCTION("""COMPUTED_VALUE"""),"MENDEZ")</f>
        <v>MENDEZ</v>
      </c>
      <c r="Q3220" s="1" t="str">
        <f>IFERROR(__xludf.DUMMYFUNCTION("""COMPUTED_VALUE"""),"CAVITE")</f>
        <v>CAVITE</v>
      </c>
      <c r="R3220" s="1" t="str">
        <f>IFERROR(__xludf.DUMMYFUNCTION("""COMPUTED_VALUE"""),"FIBR UNLI ALL PLAN 1499")</f>
        <v>FIBR UNLI ALL PLAN 1499</v>
      </c>
      <c r="S3220" s="1" t="str">
        <f>IFERROR(__xludf.DUMMYFUNCTION("""COMPUTED_VALUE"""),"APPROVED")</f>
        <v>APPROVED</v>
      </c>
      <c r="T3220" s="1" t="str">
        <f>IFERROR(__xludf.DUMMYFUNCTION("""COMPUTED_VALUE"""),"PAID")</f>
        <v>PAID</v>
      </c>
      <c r="U3220" s="1" t="str">
        <f>IFERROR(__xludf.DUMMYFUNCTION("""COMPUTED_VALUE"""),"PAID - FOR INSTALLATION")</f>
        <v>PAID - FOR INSTALLATION</v>
      </c>
      <c r="V3220" s="1" t="str">
        <f>IFERROR(__xludf.DUMMYFUNCTION("""COMPUTED_VALUE"""),"NO 1 AMSF")</f>
        <v>NO 1 AMSF</v>
      </c>
      <c r="W3220" s="1"/>
    </row>
    <row r="3221" customHeight="1" spans="1:23">
      <c r="A3221" s="3">
        <f>IFERROR(__xludf.DUMMYFUNCTION("""COMPUTED_VALUE"""),46291)</f>
        <v>46291</v>
      </c>
      <c r="B3221" s="1" t="str">
        <f>IFERROR(__xludf.DUMMYFUNCTION("""COMPUTED_VALUE"""),"ARIENA, LYKA")</f>
        <v>ARIENA, LYKA</v>
      </c>
      <c r="C3221" s="1" t="str">
        <f>IFERROR(__xludf.DUMMYFUNCTION("""COMPUTED_VALUE"""),"ORGANIC")</f>
        <v>ORGANIC</v>
      </c>
      <c r="D3221" s="1" t="str">
        <f>IFERROR(__xludf.DUMMYFUNCTION("""COMPUTED_VALUE"""),"REMOLLO LEA")</f>
        <v>REMOLLO LEA</v>
      </c>
      <c r="E3221" s="1" t="str">
        <f>IFERROR(__xludf.DUMMYFUNCTION("""COMPUTED_VALUE"""),"PLDT / H2H")</f>
        <v>PLDT / H2H</v>
      </c>
      <c r="F3221" s="1"/>
      <c r="G3221" s="1">
        <f>IFERROR(__xludf.DUMMYFUNCTION("""COMPUTED_VALUE"""),2312817582)</f>
        <v>2312817582</v>
      </c>
      <c r="H3221" s="1" t="str">
        <f>IFERROR(__xludf.DUMMYFUNCTION("""COMPUTED_VALUE"""),"#N/A")</f>
        <v>#N/A</v>
      </c>
      <c r="I3221" s="1"/>
      <c r="J3221" s="1"/>
      <c r="K3221" s="1"/>
      <c r="L3221" s="1" t="str">
        <f>IFERROR(__xludf.DUMMYFUNCTION("""COMPUTED_VALUE"""),"#N/A")</f>
        <v>#N/A</v>
      </c>
      <c r="M3221" s="1" t="str">
        <f>IFERROR(__xludf.DUMMYFUNCTION("""COMPUTED_VALUE"""),"#N/A")</f>
        <v>#N/A</v>
      </c>
      <c r="N3221" s="1" t="str">
        <f>IFERROR(__xludf.DUMMYFUNCTION("""COMPUTED_VALUE"""),"#N/A")</f>
        <v>#N/A</v>
      </c>
      <c r="O3221" s="1" t="str">
        <f>IFERROR(__xludf.DUMMYFUNCTION("""COMPUTED_VALUE"""),"BARANGAY 3 (POB.)")</f>
        <v>BARANGAY 3 (POB.)</v>
      </c>
      <c r="P3221" s="1" t="str">
        <f>IFERROR(__xludf.DUMMYFUNCTION("""COMPUTED_VALUE"""),"MENDEZ")</f>
        <v>MENDEZ</v>
      </c>
      <c r="Q3221" s="1" t="str">
        <f>IFERROR(__xludf.DUMMYFUNCTION("""COMPUTED_VALUE"""),"CAVITE")</f>
        <v>CAVITE</v>
      </c>
      <c r="R3221" s="1" t="str">
        <f>IFERROR(__xludf.DUMMYFUNCTION("""COMPUTED_VALUE"""),"FIBR PLAN 1299")</f>
        <v>FIBR PLAN 1299</v>
      </c>
      <c r="S3221" s="1" t="str">
        <f>IFERROR(__xludf.DUMMYFUNCTION("""COMPUTED_VALUE"""),"APPROVED")</f>
        <v>APPROVED</v>
      </c>
      <c r="T3221" s="1" t="str">
        <f>IFERROR(__xludf.DUMMYFUNCTION("""COMPUTED_VALUE"""),"CLOSED")</f>
        <v>CLOSED</v>
      </c>
      <c r="U3221" s="1" t="str">
        <f>IFERROR(__xludf.DUMMYFUNCTION("""COMPUTED_VALUE"""),"POSTED")</f>
        <v>POSTED</v>
      </c>
      <c r="V3221" s="1" t="str">
        <f>IFERROR(__xludf.DUMMYFUNCTION("""COMPUTED_VALUE"""),"NO 1 AMSF")</f>
        <v>NO 1 AMSF</v>
      </c>
      <c r="W3221" s="1"/>
    </row>
    <row r="3222" customHeight="1" spans="1:23">
      <c r="A3222" s="3">
        <f>IFERROR(__xludf.DUMMYFUNCTION("""COMPUTED_VALUE"""),46291)</f>
        <v>46291</v>
      </c>
      <c r="B3222" s="1" t="str">
        <f>IFERROR(__xludf.DUMMYFUNCTION("""COMPUTED_VALUE"""),"CABRERA, IVAN")</f>
        <v>CABRERA, IVAN</v>
      </c>
      <c r="C3222" s="1" t="str">
        <f>IFERROR(__xludf.DUMMYFUNCTION("""COMPUTED_VALUE"""),"ORGANIC")</f>
        <v>ORGANIC</v>
      </c>
      <c r="D3222" s="1" t="str">
        <f>IFERROR(__xludf.DUMMYFUNCTION("""COMPUTED_VALUE"""),"REMOLLO LEA")</f>
        <v>REMOLLO LEA</v>
      </c>
      <c r="E3222" s="1" t="str">
        <f>IFERROR(__xludf.DUMMYFUNCTION("""COMPUTED_VALUE"""),"PLDT / H2H")</f>
        <v>PLDT / H2H</v>
      </c>
      <c r="F3222" s="1"/>
      <c r="G3222" s="1">
        <f>IFERROR(__xludf.DUMMYFUNCTION("""COMPUTED_VALUE"""),2312817897)</f>
        <v>2312817897</v>
      </c>
      <c r="H3222" s="1" t="str">
        <f>IFERROR(__xludf.DUMMYFUNCTION("""COMPUTED_VALUE"""),"#N/A")</f>
        <v>#N/A</v>
      </c>
      <c r="I3222" s="1"/>
      <c r="J3222" s="1"/>
      <c r="K3222" s="1"/>
      <c r="L3222" s="1" t="str">
        <f>IFERROR(__xludf.DUMMYFUNCTION("""COMPUTED_VALUE"""),"#N/A")</f>
        <v>#N/A</v>
      </c>
      <c r="M3222" s="1" t="str">
        <f>IFERROR(__xludf.DUMMYFUNCTION("""COMPUTED_VALUE"""),"#N/A")</f>
        <v>#N/A</v>
      </c>
      <c r="N3222" s="1" t="str">
        <f>IFERROR(__xludf.DUMMYFUNCTION("""COMPUTED_VALUE"""),"#N/A")</f>
        <v>#N/A</v>
      </c>
      <c r="O3222" s="1" t="str">
        <f>IFERROR(__xludf.DUMMYFUNCTION("""COMPUTED_VALUE"""),"MADUYA")</f>
        <v>MADUYA</v>
      </c>
      <c r="P3222" s="1" t="str">
        <f>IFERROR(__xludf.DUMMYFUNCTION("""COMPUTED_VALUE"""),"CARMONA")</f>
        <v>CARMONA</v>
      </c>
      <c r="Q3222" s="1" t="str">
        <f>IFERROR(__xludf.DUMMYFUNCTION("""COMPUTED_VALUE"""),"CAVITE")</f>
        <v>CAVITE</v>
      </c>
      <c r="R3222" s="1" t="str">
        <f>IFERROR(__xludf.DUMMYFUNCTION("""COMPUTED_VALUE"""),"FIBR PLAN 1299")</f>
        <v>FIBR PLAN 1299</v>
      </c>
      <c r="S3222" s="1" t="str">
        <f>IFERROR(__xludf.DUMMYFUNCTION("""COMPUTED_VALUE"""),"APPROVED")</f>
        <v>APPROVED</v>
      </c>
      <c r="T3222" s="1" t="str">
        <f>IFERROR(__xludf.DUMMYFUNCTION("""COMPUTED_VALUE"""),"RETURN TO SALES DEDUP VAL")</f>
        <v>RETURN TO SALES DEDUP VAL</v>
      </c>
      <c r="U3222" s="1" t="str">
        <f>IFERROR(__xludf.DUMMYFUNCTION("""COMPUTED_VALUE"""),"RTS - UNCONTACTED")</f>
        <v>RTS - UNCONTACTED</v>
      </c>
      <c r="V3222" s="1"/>
      <c r="W3222" s="1"/>
    </row>
    <row r="3223" customHeight="1" spans="1:23">
      <c r="A3223" s="3">
        <f>IFERROR(__xludf.DUMMYFUNCTION("""COMPUTED_VALUE"""),46291)</f>
        <v>46291</v>
      </c>
      <c r="B3223" s="1" t="str">
        <f>IFERROR(__xludf.DUMMYFUNCTION("""COMPUTED_VALUE"""),"IVNO, RAZZEL")</f>
        <v>IVNO, RAZZEL</v>
      </c>
      <c r="C3223" s="1" t="str">
        <f>IFERROR(__xludf.DUMMYFUNCTION("""COMPUTED_VALUE"""),"FLA")</f>
        <v>FLA</v>
      </c>
      <c r="D3223" s="1" t="str">
        <f>IFERROR(__xludf.DUMMYFUNCTION("""COMPUTED_VALUE"""),"JERIC NAVARRO")</f>
        <v>JERIC NAVARRO</v>
      </c>
      <c r="E3223" s="1" t="str">
        <f>IFERROR(__xludf.DUMMYFUNCTION("""COMPUTED_VALUE"""),"PLDT / H2H")</f>
        <v>PLDT / H2H</v>
      </c>
      <c r="F3223" s="1"/>
      <c r="G3223" s="1">
        <f>IFERROR(__xludf.DUMMYFUNCTION("""COMPUTED_VALUE"""),2312818420)</f>
        <v>2312818420</v>
      </c>
      <c r="H3223" s="1" t="str">
        <f>IFERROR(__xludf.DUMMYFUNCTION("""COMPUTED_VALUE"""),"#N/A")</f>
        <v>#N/A</v>
      </c>
      <c r="I3223" s="1"/>
      <c r="J3223" s="1"/>
      <c r="K3223" s="1"/>
      <c r="L3223" s="1" t="str">
        <f>IFERROR(__xludf.DUMMYFUNCTION("""COMPUTED_VALUE"""),"#N/A")</f>
        <v>#N/A</v>
      </c>
      <c r="M3223" s="1" t="str">
        <f>IFERROR(__xludf.DUMMYFUNCTION("""COMPUTED_VALUE"""),"#N/A")</f>
        <v>#N/A</v>
      </c>
      <c r="N3223" s="1" t="str">
        <f>IFERROR(__xludf.DUMMYFUNCTION("""COMPUTED_VALUE"""),"#N/A")</f>
        <v>#N/A</v>
      </c>
      <c r="O3223" s="1" t="str">
        <f>IFERROR(__xludf.DUMMYFUNCTION("""COMPUTED_VALUE"""),"LANTIC")</f>
        <v>LANTIC</v>
      </c>
      <c r="P3223" s="1" t="str">
        <f>IFERROR(__xludf.DUMMYFUNCTION("""COMPUTED_VALUE"""),"CARMONA")</f>
        <v>CARMONA</v>
      </c>
      <c r="Q3223" s="1" t="str">
        <f>IFERROR(__xludf.DUMMYFUNCTION("""COMPUTED_VALUE"""),"CAVITE")</f>
        <v>CAVITE</v>
      </c>
      <c r="R3223" s="1" t="str">
        <f>IFERROR(__xludf.DUMMYFUNCTION("""COMPUTED_VALUE"""),"FIBR PLAN 1299")</f>
        <v>FIBR PLAN 1299</v>
      </c>
      <c r="S3223" s="1" t="str">
        <f>IFERROR(__xludf.DUMMYFUNCTION("""COMPUTED_VALUE"""),"APPROVED")</f>
        <v>APPROVED</v>
      </c>
      <c r="T3223" s="1" t="str">
        <f>IFERROR(__xludf.DUMMYFUNCTION("""COMPUTED_VALUE"""),"RESERVED FACILITY")</f>
        <v>RESERVED FACILITY</v>
      </c>
      <c r="U3223" s="1" t="str">
        <f>IFERROR(__xludf.DUMMYFUNCTION("""COMPUTED_VALUE"""),"OPEN")</f>
        <v>OPEN</v>
      </c>
      <c r="V3223" s="1"/>
      <c r="W3223" s="1"/>
    </row>
    <row r="3224" customHeight="1" spans="1:23">
      <c r="A3224" s="3">
        <f>IFERROR(__xludf.DUMMYFUNCTION("""COMPUTED_VALUE"""),46291)</f>
        <v>46291</v>
      </c>
      <c r="B3224" s="1" t="str">
        <f>IFERROR(__xludf.DUMMYFUNCTION("""COMPUTED_VALUE"""),"TAMAYO, MARY ROSE")</f>
        <v>TAMAYO, MARY ROSE</v>
      </c>
      <c r="C3224" s="1" t="str">
        <f>IFERROR(__xludf.DUMMYFUNCTION("""COMPUTED_VALUE"""),"ORGANIC")</f>
        <v>ORGANIC</v>
      </c>
      <c r="D3224" s="1" t="str">
        <f>IFERROR(__xludf.DUMMYFUNCTION("""COMPUTED_VALUE"""),"REMOLLO LEA")</f>
        <v>REMOLLO LEA</v>
      </c>
      <c r="E3224" s="1" t="str">
        <f>IFERROR(__xludf.DUMMYFUNCTION("""COMPUTED_VALUE"""),"PLDT / H2H")</f>
        <v>PLDT / H2H</v>
      </c>
      <c r="F3224" s="1"/>
      <c r="G3224" s="1">
        <f>IFERROR(__xludf.DUMMYFUNCTION("""COMPUTED_VALUE"""),2312818904)</f>
        <v>2312818904</v>
      </c>
      <c r="H3224" s="1" t="str">
        <f>IFERROR(__xludf.DUMMYFUNCTION("""COMPUTED_VALUE"""),"#N/A")</f>
        <v>#N/A</v>
      </c>
      <c r="I3224" s="1"/>
      <c r="J3224" s="1"/>
      <c r="K3224" s="1"/>
      <c r="L3224" s="1" t="str">
        <f>IFERROR(__xludf.DUMMYFUNCTION("""COMPUTED_VALUE"""),"#N/A")</f>
        <v>#N/A</v>
      </c>
      <c r="M3224" s="1" t="str">
        <f>IFERROR(__xludf.DUMMYFUNCTION("""COMPUTED_VALUE"""),"#N/A")</f>
        <v>#N/A</v>
      </c>
      <c r="N3224" s="1" t="str">
        <f>IFERROR(__xludf.DUMMYFUNCTION("""COMPUTED_VALUE"""),"#N/A")</f>
        <v>#N/A</v>
      </c>
      <c r="O3224" s="1" t="str">
        <f>IFERROR(__xludf.DUMMYFUNCTION("""COMPUTED_VALUE"""),"PATUTONG MALAKI SOUTH")</f>
        <v>PATUTONG MALAKI SOUTH</v>
      </c>
      <c r="P3224" s="1" t="str">
        <f>IFERROR(__xludf.DUMMYFUNCTION("""COMPUTED_VALUE"""),"TAGAYTAY")</f>
        <v>TAGAYTAY</v>
      </c>
      <c r="Q3224" s="1" t="str">
        <f>IFERROR(__xludf.DUMMYFUNCTION("""COMPUTED_VALUE"""),"CAVITE")</f>
        <v>CAVITE</v>
      </c>
      <c r="R3224" s="1" t="str">
        <f>IFERROR(__xludf.DUMMYFUNCTION("""COMPUTED_VALUE"""),"FIBR UNLI ALL PLAN 999")</f>
        <v>FIBR UNLI ALL PLAN 999</v>
      </c>
      <c r="S3224" s="1" t="str">
        <f>IFERROR(__xludf.DUMMYFUNCTION("""COMPUTED_VALUE"""),"APPROVED")</f>
        <v>APPROVED</v>
      </c>
      <c r="T3224" s="1" t="str">
        <f>IFERROR(__xludf.DUMMYFUNCTION("""COMPUTED_VALUE"""),"FOR ONE HUB FILING")</f>
        <v>FOR ONE HUB FILING</v>
      </c>
      <c r="U3224" s="1" t="str">
        <f>IFERROR(__xludf.DUMMYFUNCTION("""COMPUTED_VALUE"""),"FOR REENCODE - SYSTEM ERROR")</f>
        <v>FOR REENCODE - SYSTEM ERROR</v>
      </c>
      <c r="V3224" s="1"/>
      <c r="W3224" s="1"/>
    </row>
    <row r="3225" customHeight="1" spans="1:23">
      <c r="A3225" s="3">
        <f>IFERROR(__xludf.DUMMYFUNCTION("""COMPUTED_VALUE"""),46291)</f>
        <v>46291</v>
      </c>
      <c r="B3225" s="1" t="str">
        <f>IFERROR(__xludf.DUMMYFUNCTION("""COMPUTED_VALUE"""),"MAGDARAOG, KENNETH")</f>
        <v>MAGDARAOG, KENNETH</v>
      </c>
      <c r="C3225" s="1" t="str">
        <f>IFERROR(__xludf.DUMMYFUNCTION("""COMPUTED_VALUE"""),"ORGANIC")</f>
        <v>ORGANIC</v>
      </c>
      <c r="D3225" s="1" t="str">
        <f>IFERROR(__xludf.DUMMYFUNCTION("""COMPUTED_VALUE"""),"REMOLLO LEA")</f>
        <v>REMOLLO LEA</v>
      </c>
      <c r="E3225" s="1" t="str">
        <f>IFERROR(__xludf.DUMMYFUNCTION("""COMPUTED_VALUE"""),"PLDT / H2H")</f>
        <v>PLDT / H2H</v>
      </c>
      <c r="F3225" s="1"/>
      <c r="G3225" s="1">
        <f>IFERROR(__xludf.DUMMYFUNCTION("""COMPUTED_VALUE"""),2312820250)</f>
        <v>2312820250</v>
      </c>
      <c r="H3225" s="1" t="str">
        <f>IFERROR(__xludf.DUMMYFUNCTION("""COMPUTED_VALUE"""),"#N/A")</f>
        <v>#N/A</v>
      </c>
      <c r="I3225" s="1"/>
      <c r="J3225" s="1"/>
      <c r="K3225" s="1"/>
      <c r="L3225" s="1" t="str">
        <f>IFERROR(__xludf.DUMMYFUNCTION("""COMPUTED_VALUE"""),"#N/A")</f>
        <v>#N/A</v>
      </c>
      <c r="M3225" s="1" t="str">
        <f>IFERROR(__xludf.DUMMYFUNCTION("""COMPUTED_VALUE"""),"#N/A")</f>
        <v>#N/A</v>
      </c>
      <c r="N3225" s="1" t="str">
        <f>IFERROR(__xludf.DUMMYFUNCTION("""COMPUTED_VALUE"""),"#N/A")</f>
        <v>#N/A</v>
      </c>
      <c r="O3225" s="1" t="str">
        <f>IFERROR(__xludf.DUMMYFUNCTION("""COMPUTED_VALUE"""),"BANAYBANAY")</f>
        <v>BANAYBANAY</v>
      </c>
      <c r="P3225" s="1" t="str">
        <f>IFERROR(__xludf.DUMMYFUNCTION("""COMPUTED_VALUE"""),"AMADEO")</f>
        <v>AMADEO</v>
      </c>
      <c r="Q3225" s="1" t="str">
        <f>IFERROR(__xludf.DUMMYFUNCTION("""COMPUTED_VALUE"""),"CAVITE")</f>
        <v>CAVITE</v>
      </c>
      <c r="R3225" s="1" t="str">
        <f>IFERROR(__xludf.DUMMYFUNCTION("""COMPUTED_VALUE"""),"FIBR PLAN 1299")</f>
        <v>FIBR PLAN 1299</v>
      </c>
      <c r="S3225" s="1" t="str">
        <f>IFERROR(__xludf.DUMMYFUNCTION("""COMPUTED_VALUE"""),"APPROVED")</f>
        <v>APPROVED</v>
      </c>
      <c r="T3225" s="1" t="str">
        <f>IFERROR(__xludf.DUMMYFUNCTION("""COMPUTED_VALUE"""),"CLOSED")</f>
        <v>CLOSED</v>
      </c>
      <c r="U3225" s="1" t="str">
        <f>IFERROR(__xludf.DUMMYFUNCTION("""COMPUTED_VALUE"""),"POSTED")</f>
        <v>POSTED</v>
      </c>
      <c r="V3225" s="1" t="str">
        <f>IFERROR(__xludf.DUMMYFUNCTION("""COMPUTED_VALUE"""),"NO 1 AMSF")</f>
        <v>NO 1 AMSF</v>
      </c>
      <c r="W3225" s="1"/>
    </row>
    <row r="3226" customHeight="1" spans="1:23">
      <c r="A3226" s="3">
        <f>IFERROR(__xludf.DUMMYFUNCTION("""COMPUTED_VALUE"""),46291)</f>
        <v>46291</v>
      </c>
      <c r="B3226" s="1" t="str">
        <f>IFERROR(__xludf.DUMMYFUNCTION("""COMPUTED_VALUE"""),"FRANCISCO , ROSELYN")</f>
        <v>FRANCISCO , ROSELYN</v>
      </c>
      <c r="C3226" s="1" t="str">
        <f>IFERROR(__xludf.DUMMYFUNCTION("""COMPUTED_VALUE"""),"ORGANIC")</f>
        <v>ORGANIC</v>
      </c>
      <c r="D3226" s="1" t="str">
        <f>IFERROR(__xludf.DUMMYFUNCTION("""COMPUTED_VALUE"""),"REMOLLO LEA")</f>
        <v>REMOLLO LEA</v>
      </c>
      <c r="E3226" s="1" t="str">
        <f>IFERROR(__xludf.DUMMYFUNCTION("""COMPUTED_VALUE"""),"PLDT / H2H")</f>
        <v>PLDT / H2H</v>
      </c>
      <c r="F3226" s="1"/>
      <c r="G3226" s="1">
        <f>IFERROR(__xludf.DUMMYFUNCTION("""COMPUTED_VALUE"""),2312821270)</f>
        <v>2312821270</v>
      </c>
      <c r="H3226" s="1" t="str">
        <f>IFERROR(__xludf.DUMMYFUNCTION("""COMPUTED_VALUE"""),"#N/A")</f>
        <v>#N/A</v>
      </c>
      <c r="I3226" s="1"/>
      <c r="J3226" s="1"/>
      <c r="K3226" s="1"/>
      <c r="L3226" s="1" t="str">
        <f>IFERROR(__xludf.DUMMYFUNCTION("""COMPUTED_VALUE"""),"#N/A")</f>
        <v>#N/A</v>
      </c>
      <c r="M3226" s="1" t="str">
        <f>IFERROR(__xludf.DUMMYFUNCTION("""COMPUTED_VALUE"""),"#N/A")</f>
        <v>#N/A</v>
      </c>
      <c r="N3226" s="1" t="str">
        <f>IFERROR(__xludf.DUMMYFUNCTION("""COMPUTED_VALUE"""),"#N/A")</f>
        <v>#N/A</v>
      </c>
      <c r="O3226" s="1" t="str">
        <f>IFERROR(__xludf.DUMMYFUNCTION("""COMPUTED_VALUE"""),"FRANCISCO DE CASTRO (SUNSHINE VILL.)")</f>
        <v>FRANCISCO DE CASTRO (SUNSHINE VILL.)</v>
      </c>
      <c r="P3226" s="1" t="str">
        <f>IFERROR(__xludf.DUMMYFUNCTION("""COMPUTED_VALUE"""),"GEN MARIANO ALVAREZ")</f>
        <v>GEN MARIANO ALVAREZ</v>
      </c>
      <c r="Q3226" s="1" t="str">
        <f>IFERROR(__xludf.DUMMYFUNCTION("""COMPUTED_VALUE"""),"CAVITE")</f>
        <v>CAVITE</v>
      </c>
      <c r="R3226" s="1" t="str">
        <f>IFERROR(__xludf.DUMMYFUNCTION("""COMPUTED_VALUE"""),"FIBR UNLI ALL PLAN 1499")</f>
        <v>FIBR UNLI ALL PLAN 1499</v>
      </c>
      <c r="S3226" s="1" t="str">
        <f>IFERROR(__xludf.DUMMYFUNCTION("""COMPUTED_VALUE"""),"APPROVED")</f>
        <v>APPROVED</v>
      </c>
      <c r="T3226" s="1" t="str">
        <f>IFERROR(__xludf.DUMMYFUNCTION("""COMPUTED_VALUE"""),"PAID")</f>
        <v>PAID</v>
      </c>
      <c r="U3226" s="1" t="str">
        <f>IFERROR(__xludf.DUMMYFUNCTION("""COMPUTED_VALUE"""),"PAID - FOR INSTALLATION")</f>
        <v>PAID - FOR INSTALLATION</v>
      </c>
      <c r="V3226" s="1" t="str">
        <f>IFERROR(__xludf.DUMMYFUNCTION("""COMPUTED_VALUE"""),"WITH 1 AMSF")</f>
        <v>WITH 1 AMSF</v>
      </c>
      <c r="W3226" s="1"/>
    </row>
    <row r="3227" customHeight="1" spans="1:23">
      <c r="A3227" s="3">
        <f>IFERROR(__xludf.DUMMYFUNCTION("""COMPUTED_VALUE"""),46291)</f>
        <v>46291</v>
      </c>
      <c r="B3227" s="1" t="str">
        <f>IFERROR(__xludf.DUMMYFUNCTION("""COMPUTED_VALUE"""),"DACALCAP RUBEN")</f>
        <v>DACALCAP RUBEN</v>
      </c>
      <c r="C3227" s="1" t="str">
        <f>IFERROR(__xludf.DUMMYFUNCTION("""COMPUTED_VALUE"""),"FLA")</f>
        <v>FLA</v>
      </c>
      <c r="D3227" s="1" t="str">
        <f>IFERROR(__xludf.DUMMYFUNCTION("""COMPUTED_VALUE"""),"JERIC NAVARRO")</f>
        <v>JERIC NAVARRO</v>
      </c>
      <c r="E3227" s="1" t="str">
        <f>IFERROR(__xludf.DUMMYFUNCTION("""COMPUTED_VALUE"""),"PLDT / ONLINE")</f>
        <v>PLDT / ONLINE</v>
      </c>
      <c r="F3227" s="1"/>
      <c r="G3227" s="1">
        <f>IFERROR(__xludf.DUMMYFUNCTION("""COMPUTED_VALUE"""),2312821846)</f>
        <v>2312821846</v>
      </c>
      <c r="H3227" s="1" t="str">
        <f>IFERROR(__xludf.DUMMYFUNCTION("""COMPUTED_VALUE"""),"#N/A")</f>
        <v>#N/A</v>
      </c>
      <c r="I3227" s="1"/>
      <c r="J3227" s="1"/>
      <c r="K3227" s="1"/>
      <c r="L3227" s="1" t="str">
        <f>IFERROR(__xludf.DUMMYFUNCTION("""COMPUTED_VALUE"""),"#N/A")</f>
        <v>#N/A</v>
      </c>
      <c r="M3227" s="1" t="str">
        <f>IFERROR(__xludf.DUMMYFUNCTION("""COMPUTED_VALUE"""),"#N/A")</f>
        <v>#N/A</v>
      </c>
      <c r="N3227" s="1" t="str">
        <f>IFERROR(__xludf.DUMMYFUNCTION("""COMPUTED_VALUE"""),"#N/A")</f>
        <v>#N/A</v>
      </c>
      <c r="O3227" s="1" t="str">
        <f>IFERROR(__xludf.DUMMYFUNCTION("""COMPUTED_VALUE"""),"BILUSO")</f>
        <v>BILUSO</v>
      </c>
      <c r="P3227" s="1" t="str">
        <f>IFERROR(__xludf.DUMMYFUNCTION("""COMPUTED_VALUE"""),"SILANG")</f>
        <v>SILANG</v>
      </c>
      <c r="Q3227" s="1" t="str">
        <f>IFERROR(__xludf.DUMMYFUNCTION("""COMPUTED_VALUE"""),"CAVITE")</f>
        <v>CAVITE</v>
      </c>
      <c r="R3227" s="1" t="str">
        <f>IFERROR(__xludf.DUMMYFUNCTION("""COMPUTED_VALUE"""),"FIBR PLAN 1299")</f>
        <v>FIBR PLAN 1299</v>
      </c>
      <c r="S3227" s="1" t="str">
        <f>IFERROR(__xludf.DUMMYFUNCTION("""COMPUTED_VALUE"""),"APPROVED")</f>
        <v>APPROVED</v>
      </c>
      <c r="T3227" s="1" t="str">
        <f>IFERROR(__xludf.DUMMYFUNCTION("""COMPUTED_VALUE"""),"RPR")</f>
        <v>RPR</v>
      </c>
      <c r="U3227" s="1" t="str">
        <f>IFERROR(__xludf.DUMMYFUNCTION("""COMPUTED_VALUE"""),"RPR - UNMAINTAINABLE")</f>
        <v>RPR - UNMAINTAINABLE</v>
      </c>
      <c r="V3227" s="1" t="str">
        <f>IFERROR(__xludf.DUMMYFUNCTION("""COMPUTED_VALUE"""),"WITH 1 AMSF")</f>
        <v>WITH 1 AMSF</v>
      </c>
      <c r="W3227" s="1"/>
    </row>
    <row r="3228" customHeight="1" spans="1:23">
      <c r="A3228" s="3">
        <f>IFERROR(__xludf.DUMMYFUNCTION("""COMPUTED_VALUE"""),46292)</f>
        <v>46292</v>
      </c>
      <c r="B3228" s="1" t="str">
        <f>IFERROR(__xludf.DUMMYFUNCTION("""COMPUTED_VALUE"""),"ESCARCHA, MA ALMA  ESCOTO")</f>
        <v>ESCARCHA, MA ALMA  ESCOTO</v>
      </c>
      <c r="C3228" s="1" t="str">
        <f>IFERROR(__xludf.DUMMYFUNCTION("""COMPUTED_VALUE"""),"ORGANIC")</f>
        <v>ORGANIC</v>
      </c>
      <c r="D3228" s="1" t="str">
        <f>IFERROR(__xludf.DUMMYFUNCTION("""COMPUTED_VALUE"""),"REMOLLO LEA")</f>
        <v>REMOLLO LEA</v>
      </c>
      <c r="E3228" s="1" t="str">
        <f>IFERROR(__xludf.DUMMYFUNCTION("""COMPUTED_VALUE"""),"PLDT / H2H")</f>
        <v>PLDT / H2H</v>
      </c>
      <c r="F3228" s="1"/>
      <c r="G3228" s="1">
        <f>IFERROR(__xludf.DUMMYFUNCTION("""COMPUTED_VALUE"""),2312830333)</f>
        <v>2312830333</v>
      </c>
      <c r="H3228" s="1" t="str">
        <f>IFERROR(__xludf.DUMMYFUNCTION("""COMPUTED_VALUE"""),"473112176004")</f>
        <v>473112176004</v>
      </c>
      <c r="I3228" s="1">
        <f>IFERROR(__xludf.DUMMYFUNCTION("""COMPUTED_VALUE"""),639851803722)</f>
        <v>639851803722</v>
      </c>
      <c r="J3228" s="1"/>
      <c r="K3228" s="1"/>
      <c r="L3228" s="1" t="str">
        <f>IFERROR(__xludf.DUMMYFUNCTION("""COMPUTED_VALUE"""),"#N/A")</f>
        <v>#N/A</v>
      </c>
      <c r="M3228" s="1" t="str">
        <f>IFERROR(__xludf.DUMMYFUNCTION("""COMPUTED_VALUE"""),"#N/A")</f>
        <v>#N/A</v>
      </c>
      <c r="N3228" s="1" t="str">
        <f>IFERROR(__xludf.DUMMYFUNCTION("""COMPUTED_VALUE"""),"#N/A")</f>
        <v>#N/A</v>
      </c>
      <c r="O3228" s="1" t="str">
        <f>IFERROR(__xludf.DUMMYFUNCTION("""COMPUTED_VALUE"""),"LANTIC")</f>
        <v>LANTIC</v>
      </c>
      <c r="P3228" s="1" t="str">
        <f>IFERROR(__xludf.DUMMYFUNCTION("""COMPUTED_VALUE"""),"CARMONA")</f>
        <v>CARMONA</v>
      </c>
      <c r="Q3228" s="1" t="str">
        <f>IFERROR(__xludf.DUMMYFUNCTION("""COMPUTED_VALUE"""),"CAVITE")</f>
        <v>CAVITE</v>
      </c>
      <c r="R3228" s="1" t="str">
        <f>IFERROR(__xludf.DUMMYFUNCTION("""COMPUTED_VALUE"""),"FIBR UNLI ALL PLAN 999")</f>
        <v>FIBR UNLI ALL PLAN 999</v>
      </c>
      <c r="S3228" s="1" t="str">
        <f>IFERROR(__xludf.DUMMYFUNCTION("""COMPUTED_VALUE"""),"APPROVED")</f>
        <v>APPROVED</v>
      </c>
      <c r="T3228" s="1" t="str">
        <f>IFERROR(__xludf.DUMMYFUNCTION("""COMPUTED_VALUE"""),"FOR PAYMENT")</f>
        <v>FOR PAYMENT</v>
      </c>
      <c r="U3228" s="1" t="str">
        <f>IFERROR(__xludf.DUMMYFUNCTION("""COMPUTED_VALUE"""),"FOR PAYMENT")</f>
        <v>FOR PAYMENT</v>
      </c>
      <c r="V3228" s="1"/>
      <c r="W3228" s="1"/>
    </row>
    <row r="3229" customHeight="1" spans="1:23">
      <c r="A3229" s="3">
        <f>IFERROR(__xludf.DUMMYFUNCTION("""COMPUTED_VALUE"""),46292)</f>
        <v>46292</v>
      </c>
      <c r="B3229" s="1" t="str">
        <f>IFERROR(__xludf.DUMMYFUNCTION("""COMPUTED_VALUE"""),"CADERAO, RONALD")</f>
        <v>CADERAO, RONALD</v>
      </c>
      <c r="C3229" s="1" t="str">
        <f>IFERROR(__xludf.DUMMYFUNCTION("""COMPUTED_VALUE"""),"ORGANIC")</f>
        <v>ORGANIC</v>
      </c>
      <c r="D3229" s="1" t="str">
        <f>IFERROR(__xludf.DUMMYFUNCTION("""COMPUTED_VALUE"""),"REMOLLO LEA")</f>
        <v>REMOLLO LEA</v>
      </c>
      <c r="E3229" s="1" t="str">
        <f>IFERROR(__xludf.DUMMYFUNCTION("""COMPUTED_VALUE"""),"PLDT / H2H")</f>
        <v>PLDT / H2H</v>
      </c>
      <c r="F3229" s="1"/>
      <c r="G3229" s="1">
        <f>IFERROR(__xludf.DUMMYFUNCTION("""COMPUTED_VALUE"""),2312830786)</f>
        <v>2312830786</v>
      </c>
      <c r="H3229" s="1" t="str">
        <f>IFERROR(__xludf.DUMMYFUNCTION("""COMPUTED_VALUE"""),"473112382004")</f>
        <v>473112382004</v>
      </c>
      <c r="I3229" s="1">
        <f>IFERROR(__xludf.DUMMYFUNCTION("""COMPUTED_VALUE"""),639205505265)</f>
        <v>639205505265</v>
      </c>
      <c r="J3229" s="1"/>
      <c r="K3229" s="1"/>
      <c r="L3229" s="1" t="str">
        <f>IFERROR(__xludf.DUMMYFUNCTION("""COMPUTED_VALUE"""),"#N/A")</f>
        <v>#N/A</v>
      </c>
      <c r="M3229" s="1" t="str">
        <f>IFERROR(__xludf.DUMMYFUNCTION("""COMPUTED_VALUE"""),"#N/A")</f>
        <v>#N/A</v>
      </c>
      <c r="N3229" s="1" t="str">
        <f>IFERROR(__xludf.DUMMYFUNCTION("""COMPUTED_VALUE"""),"#N/A")</f>
        <v>#N/A</v>
      </c>
      <c r="O3229" s="1" t="str">
        <f>IFERROR(__xludf.DUMMYFUNCTION("""COMPUTED_VALUE"""),"BALITE I")</f>
        <v>BALITE I</v>
      </c>
      <c r="P3229" s="1" t="str">
        <f>IFERROR(__xludf.DUMMYFUNCTION("""COMPUTED_VALUE"""),"SILANG")</f>
        <v>SILANG</v>
      </c>
      <c r="Q3229" s="1" t="str">
        <f>IFERROR(__xludf.DUMMYFUNCTION("""COMPUTED_VALUE"""),"CAVITE")</f>
        <v>CAVITE</v>
      </c>
      <c r="R3229" s="1" t="str">
        <f>IFERROR(__xludf.DUMMYFUNCTION("""COMPUTED_VALUE"""),"FIBR PLAN 1299")</f>
        <v>FIBR PLAN 1299</v>
      </c>
      <c r="S3229" s="1" t="str">
        <f>IFERROR(__xludf.DUMMYFUNCTION("""COMPUTED_VALUE"""),"APPROVED")</f>
        <v>APPROVED</v>
      </c>
      <c r="T3229" s="1" t="str">
        <f>IFERROR(__xludf.DUMMYFUNCTION("""COMPUTED_VALUE"""),"CLOSED")</f>
        <v>CLOSED</v>
      </c>
      <c r="U3229" s="1" t="str">
        <f>IFERROR(__xludf.DUMMYFUNCTION("""COMPUTED_VALUE"""),"POSTED")</f>
        <v>POSTED</v>
      </c>
      <c r="V3229" s="1" t="str">
        <f>IFERROR(__xludf.DUMMYFUNCTION("""COMPUTED_VALUE"""),"NO 1 AMSF")</f>
        <v>NO 1 AMSF</v>
      </c>
      <c r="W3229" s="1"/>
    </row>
    <row r="3230" customHeight="1" spans="1:23">
      <c r="A3230" s="3">
        <f>IFERROR(__xludf.DUMMYFUNCTION("""COMPUTED_VALUE"""),46292)</f>
        <v>46292</v>
      </c>
      <c r="B3230" s="1" t="str">
        <f>IFERROR(__xludf.DUMMYFUNCTION("""COMPUTED_VALUE"""),"CADERAO, RONALD")</f>
        <v>CADERAO, RONALD</v>
      </c>
      <c r="C3230" s="1" t="str">
        <f>IFERROR(__xludf.DUMMYFUNCTION("""COMPUTED_VALUE"""),"ORGANIC")</f>
        <v>ORGANIC</v>
      </c>
      <c r="D3230" s="1" t="str">
        <f>IFERROR(__xludf.DUMMYFUNCTION("""COMPUTED_VALUE"""),"REMOLLO LEA")</f>
        <v>REMOLLO LEA</v>
      </c>
      <c r="E3230" s="1" t="str">
        <f>IFERROR(__xludf.DUMMYFUNCTION("""COMPUTED_VALUE"""),"PLDT / H2H")</f>
        <v>PLDT / H2H</v>
      </c>
      <c r="F3230" s="1"/>
      <c r="G3230" s="1">
        <f>IFERROR(__xludf.DUMMYFUNCTION("""COMPUTED_VALUE"""),2312832226)</f>
        <v>2312832226</v>
      </c>
      <c r="H3230" s="1" t="str">
        <f>IFERROR(__xludf.DUMMYFUNCTION("""COMPUTED_VALUE"""),"473115116004")</f>
        <v>473115116004</v>
      </c>
      <c r="I3230" s="1">
        <f>IFERROR(__xludf.DUMMYFUNCTION("""COMPUTED_VALUE"""),639569073707)</f>
        <v>639569073707</v>
      </c>
      <c r="J3230" s="1">
        <f>IFERROR(__xludf.DUMMYFUNCTION("""COMPUTED_VALUE"""),639477451643)</f>
        <v>639477451643</v>
      </c>
      <c r="K3230" s="1"/>
      <c r="L3230" s="1" t="str">
        <f>IFERROR(__xludf.DUMMYFUNCTION("""COMPUTED_VALUE"""),"#N/A")</f>
        <v>#N/A</v>
      </c>
      <c r="M3230" s="1" t="str">
        <f>IFERROR(__xludf.DUMMYFUNCTION("""COMPUTED_VALUE"""),"#N/A")</f>
        <v>#N/A</v>
      </c>
      <c r="N3230" s="1" t="str">
        <f>IFERROR(__xludf.DUMMYFUNCTION("""COMPUTED_VALUE"""),"#N/A")</f>
        <v>#N/A</v>
      </c>
      <c r="O3230" s="1" t="str">
        <f>IFERROR(__xludf.DUMMYFUNCTION("""COMPUTED_VALUE"""),"PULONG BUNGA")</f>
        <v>PULONG BUNGA</v>
      </c>
      <c r="P3230" s="1" t="str">
        <f>IFERROR(__xludf.DUMMYFUNCTION("""COMPUTED_VALUE"""),"SILANG")</f>
        <v>SILANG</v>
      </c>
      <c r="Q3230" s="1" t="str">
        <f>IFERROR(__xludf.DUMMYFUNCTION("""COMPUTED_VALUE"""),"CAVITE")</f>
        <v>CAVITE</v>
      </c>
      <c r="R3230" s="1" t="str">
        <f>IFERROR(__xludf.DUMMYFUNCTION("""COMPUTED_VALUE"""),"FIBR UNLI ALL PLAN 1499")</f>
        <v>FIBR UNLI ALL PLAN 1499</v>
      </c>
      <c r="S3230" s="1" t="str">
        <f>IFERROR(__xludf.DUMMYFUNCTION("""COMPUTED_VALUE"""),"APPROVED")</f>
        <v>APPROVED</v>
      </c>
      <c r="T3230" s="1" t="str">
        <f>IFERROR(__xludf.DUMMYFUNCTION("""COMPUTED_VALUE"""),"ORDER CREATED")</f>
        <v>ORDER CREATED</v>
      </c>
      <c r="U3230" s="1" t="str">
        <f>IFERROR(__xludf.DUMMYFUNCTION("""COMPUTED_VALUE"""),"OPEN")</f>
        <v>OPEN</v>
      </c>
      <c r="V3230" s="1" t="str">
        <f>IFERROR(__xludf.DUMMYFUNCTION("""COMPUTED_VALUE"""),"NO 1 AMSF")</f>
        <v>NO 1 AMSF</v>
      </c>
      <c r="W3230" s="1"/>
    </row>
    <row r="3231" customHeight="1" spans="1:23">
      <c r="A3231" s="3">
        <f>IFERROR(__xludf.DUMMYFUNCTION("""COMPUTED_VALUE"""),46292)</f>
        <v>46292</v>
      </c>
      <c r="B3231" s="1" t="str">
        <f>IFERROR(__xludf.DUMMYFUNCTION("""COMPUTED_VALUE"""),"BITANCUR, CHRISTIAN")</f>
        <v>BITANCUR, CHRISTIAN</v>
      </c>
      <c r="C3231" s="1" t="str">
        <f>IFERROR(__xludf.DUMMYFUNCTION("""COMPUTED_VALUE"""),"ORGANIC")</f>
        <v>ORGANIC</v>
      </c>
      <c r="D3231" s="1" t="str">
        <f>IFERROR(__xludf.DUMMYFUNCTION("""COMPUTED_VALUE"""),"REMOLLO LEA")</f>
        <v>REMOLLO LEA</v>
      </c>
      <c r="E3231" s="1" t="str">
        <f>IFERROR(__xludf.DUMMYFUNCTION("""COMPUTED_VALUE"""),"PLDT / H2H")</f>
        <v>PLDT / H2H</v>
      </c>
      <c r="F3231" s="1"/>
      <c r="G3231" s="1">
        <f>IFERROR(__xludf.DUMMYFUNCTION("""COMPUTED_VALUE"""),2312832488)</f>
        <v>2312832488</v>
      </c>
      <c r="H3231" s="1" t="str">
        <f>IFERROR(__xludf.DUMMYFUNCTION("""COMPUTED_VALUE"""),"473116385004")</f>
        <v>473116385004</v>
      </c>
      <c r="I3231" s="1">
        <f>IFERROR(__xludf.DUMMYFUNCTION("""COMPUTED_VALUE"""),639467660237)</f>
        <v>639467660237</v>
      </c>
      <c r="J3231" s="1"/>
      <c r="K3231" s="1"/>
      <c r="L3231" s="1" t="str">
        <f>IFERROR(__xludf.DUMMYFUNCTION("""COMPUTED_VALUE"""),"#N/A")</f>
        <v>#N/A</v>
      </c>
      <c r="M3231" s="1" t="str">
        <f>IFERROR(__xludf.DUMMYFUNCTION("""COMPUTED_VALUE"""),"#N/A")</f>
        <v>#N/A</v>
      </c>
      <c r="N3231" s="1" t="str">
        <f>IFERROR(__xludf.DUMMYFUNCTION("""COMPUTED_VALUE"""),"#N/A")</f>
        <v>#N/A</v>
      </c>
      <c r="O3231" s="1" t="str">
        <f>IFERROR(__xludf.DUMMYFUNCTION("""COMPUTED_VALUE"""),"LANTIC")</f>
        <v>LANTIC</v>
      </c>
      <c r="P3231" s="1" t="str">
        <f>IFERROR(__xludf.DUMMYFUNCTION("""COMPUTED_VALUE"""),"CARMONA")</f>
        <v>CARMONA</v>
      </c>
      <c r="Q3231" s="1" t="str">
        <f>IFERROR(__xludf.DUMMYFUNCTION("""COMPUTED_VALUE"""),"CAVITE")</f>
        <v>CAVITE</v>
      </c>
      <c r="R3231" s="1" t="str">
        <f>IFERROR(__xludf.DUMMYFUNCTION("""COMPUTED_VALUE"""),"FIBR PLAN 1299")</f>
        <v>FIBR PLAN 1299</v>
      </c>
      <c r="S3231" s="1" t="str">
        <f>IFERROR(__xludf.DUMMYFUNCTION("""COMPUTED_VALUE"""),"APPROVED")</f>
        <v>APPROVED</v>
      </c>
      <c r="T3231" s="1" t="str">
        <f>IFERROR(__xludf.DUMMYFUNCTION("""COMPUTED_VALUE"""),"PAID")</f>
        <v>PAID</v>
      </c>
      <c r="U3231" s="1" t="str">
        <f>IFERROR(__xludf.DUMMYFUNCTION("""COMPUTED_VALUE"""),"PAID - FOR INSTALLATION")</f>
        <v>PAID - FOR INSTALLATION</v>
      </c>
      <c r="V3231" s="1" t="str">
        <f>IFERROR(__xludf.DUMMYFUNCTION("""COMPUTED_VALUE"""),"WITH 1 AMSF")</f>
        <v>WITH 1 AMSF</v>
      </c>
      <c r="W3231" s="1"/>
    </row>
    <row r="3232" customHeight="1" spans="1:23">
      <c r="A3232" s="3">
        <f>IFERROR(__xludf.DUMMYFUNCTION("""COMPUTED_VALUE"""),46292)</f>
        <v>46292</v>
      </c>
      <c r="B3232" s="1" t="str">
        <f>IFERROR(__xludf.DUMMYFUNCTION("""COMPUTED_VALUE"""),"BAQUIT ,JAZMIN")</f>
        <v>BAQUIT ,JAZMIN</v>
      </c>
      <c r="C3232" s="1" t="str">
        <f>IFERROR(__xludf.DUMMYFUNCTION("""COMPUTED_VALUE"""),"ORGANIC")</f>
        <v>ORGANIC</v>
      </c>
      <c r="D3232" s="1" t="str">
        <f>IFERROR(__xludf.DUMMYFUNCTION("""COMPUTED_VALUE"""),"REMOLLO LEA")</f>
        <v>REMOLLO LEA</v>
      </c>
      <c r="E3232" s="1" t="str">
        <f>IFERROR(__xludf.DUMMYFUNCTION("""COMPUTED_VALUE"""),"PLDT / H2H")</f>
        <v>PLDT / H2H</v>
      </c>
      <c r="F3232" s="1"/>
      <c r="G3232" s="1">
        <f>IFERROR(__xludf.DUMMYFUNCTION("""COMPUTED_VALUE"""),2312834887)</f>
        <v>2312834887</v>
      </c>
      <c r="H3232" s="1" t="str">
        <f>IFERROR(__xludf.DUMMYFUNCTION("""COMPUTED_VALUE"""),"#N/A")</f>
        <v>#N/A</v>
      </c>
      <c r="I3232" s="1">
        <f>IFERROR(__xludf.DUMMYFUNCTION("""COMPUTED_VALUE"""),639093409085)</f>
        <v>639093409085</v>
      </c>
      <c r="J3232" s="1"/>
      <c r="K3232" s="1"/>
      <c r="L3232" s="1" t="str">
        <f>IFERROR(__xludf.DUMMYFUNCTION("""COMPUTED_VALUE"""),"#N/A")</f>
        <v>#N/A</v>
      </c>
      <c r="M3232" s="1" t="str">
        <f>IFERROR(__xludf.DUMMYFUNCTION("""COMPUTED_VALUE"""),"#N/A")</f>
        <v>#N/A</v>
      </c>
      <c r="N3232" s="1" t="str">
        <f>IFERROR(__xludf.DUMMYFUNCTION("""COMPUTED_VALUE"""),"#N/A")</f>
        <v>#N/A</v>
      </c>
      <c r="O3232" s="1" t="str">
        <f>IFERROR(__xludf.DUMMYFUNCTION("""COMPUTED_VALUE"""),"MAGUYAM")</f>
        <v>MAGUYAM</v>
      </c>
      <c r="P3232" s="1" t="str">
        <f>IFERROR(__xludf.DUMMYFUNCTION("""COMPUTED_VALUE"""),"SILANG")</f>
        <v>SILANG</v>
      </c>
      <c r="Q3232" s="1" t="str">
        <f>IFERROR(__xludf.DUMMYFUNCTION("""COMPUTED_VALUE"""),"CAVITE")</f>
        <v>CAVITE</v>
      </c>
      <c r="R3232" s="1" t="str">
        <f>IFERROR(__xludf.DUMMYFUNCTION("""COMPUTED_VALUE"""),"FIBR PLAN 1299")</f>
        <v>FIBR PLAN 1299</v>
      </c>
      <c r="S3232" s="1" t="str">
        <f>IFERROR(__xludf.DUMMYFUNCTION("""COMPUTED_VALUE"""),"APPROVED")</f>
        <v>APPROVED</v>
      </c>
      <c r="T3232" s="1" t="str">
        <f>IFERROR(__xludf.DUMMYFUNCTION("""COMPUTED_VALUE"""),"ORDER CREATED")</f>
        <v>ORDER CREATED</v>
      </c>
      <c r="U3232" s="1" t="str">
        <f>IFERROR(__xludf.DUMMYFUNCTION("""COMPUTED_VALUE"""),"OPEN")</f>
        <v>OPEN</v>
      </c>
      <c r="V3232" s="1" t="str">
        <f>IFERROR(__xludf.DUMMYFUNCTION("""COMPUTED_VALUE"""),"NO 1 AMSF")</f>
        <v>NO 1 AMSF</v>
      </c>
      <c r="W3232" s="1"/>
    </row>
    <row r="3233" customHeight="1" spans="1:23">
      <c r="A3233" s="3">
        <f>IFERROR(__xludf.DUMMYFUNCTION("""COMPUTED_VALUE"""),46292)</f>
        <v>46292</v>
      </c>
      <c r="B3233" s="1" t="str">
        <f>IFERROR(__xludf.DUMMYFUNCTION("""COMPUTED_VALUE"""),"CADERAO, RONALD")</f>
        <v>CADERAO, RONALD</v>
      </c>
      <c r="C3233" s="1" t="str">
        <f>IFERROR(__xludf.DUMMYFUNCTION("""COMPUTED_VALUE"""),"ORGANIC")</f>
        <v>ORGANIC</v>
      </c>
      <c r="D3233" s="1" t="str">
        <f>IFERROR(__xludf.DUMMYFUNCTION("""COMPUTED_VALUE"""),"REMOLLO LEA")</f>
        <v>REMOLLO LEA</v>
      </c>
      <c r="E3233" s="1" t="str">
        <f>IFERROR(__xludf.DUMMYFUNCTION("""COMPUTED_VALUE"""),"PLDT / H2H")</f>
        <v>PLDT / H2H</v>
      </c>
      <c r="F3233" s="1"/>
      <c r="G3233" s="1">
        <f>IFERROR(__xludf.DUMMYFUNCTION("""COMPUTED_VALUE"""),2312836310)</f>
        <v>2312836310</v>
      </c>
      <c r="H3233" s="1" t="str">
        <f>IFERROR(__xludf.DUMMYFUNCTION("""COMPUTED_VALUE"""),"473128714004")</f>
        <v>473128714004</v>
      </c>
      <c r="I3233" s="1">
        <f>IFERROR(__xludf.DUMMYFUNCTION("""COMPUTED_VALUE"""),639355344616)</f>
        <v>639355344616</v>
      </c>
      <c r="J3233" s="1"/>
      <c r="K3233" s="1"/>
      <c r="L3233" s="1" t="str">
        <f>IFERROR(__xludf.DUMMYFUNCTION("""COMPUTED_VALUE"""),"149")</f>
        <v>149</v>
      </c>
      <c r="M3233" s="1" t="str">
        <f>IFERROR(__xludf.DUMMYFUNCTION("""COMPUTED_VALUE"""),"PUROK 7")</f>
        <v>PUROK 7</v>
      </c>
      <c r="N3233" s="1" t="str">
        <f>IFERROR(__xludf.DUMMYFUNCTION("""COMPUTED_VALUE"""),"#N/A")</f>
        <v>#N/A</v>
      </c>
      <c r="O3233" s="1" t="str">
        <f>IFERROR(__xludf.DUMMYFUNCTION("""COMPUTED_VALUE"""),"BALUBAD")</f>
        <v>BALUBAD</v>
      </c>
      <c r="P3233" s="1" t="str">
        <f>IFERROR(__xludf.DUMMYFUNCTION("""COMPUTED_VALUE"""),"SILANG")</f>
        <v>SILANG</v>
      </c>
      <c r="Q3233" s="1" t="str">
        <f>IFERROR(__xludf.DUMMYFUNCTION("""COMPUTED_VALUE"""),"CAVITE")</f>
        <v>CAVITE</v>
      </c>
      <c r="R3233" s="1" t="str">
        <f>IFERROR(__xludf.DUMMYFUNCTION("""COMPUTED_VALUE"""),"FIBR UNLI ALL PLAN 1499")</f>
        <v>FIBR UNLI ALL PLAN 1499</v>
      </c>
      <c r="S3233" s="1" t="str">
        <f>IFERROR(__xludf.DUMMYFUNCTION("""COMPUTED_VALUE"""),"APPROVED")</f>
        <v>APPROVED</v>
      </c>
      <c r="T3233" s="1" t="str">
        <f>IFERROR(__xludf.DUMMYFUNCTION("""COMPUTED_VALUE"""),"PAID")</f>
        <v>PAID</v>
      </c>
      <c r="U3233" s="1" t="str">
        <f>IFERROR(__xludf.DUMMYFUNCTION("""COMPUTED_VALUE"""),"PAID - FOR INSTALLATION")</f>
        <v>PAID - FOR INSTALLATION</v>
      </c>
      <c r="V3233" s="1" t="str">
        <f>IFERROR(__xludf.DUMMYFUNCTION("""COMPUTED_VALUE"""),"NO 1 AMSF")</f>
        <v>NO 1 AMSF</v>
      </c>
      <c r="W3233" s="1"/>
    </row>
    <row r="3234" customHeight="1" spans="1:23">
      <c r="A3234" s="3">
        <f>IFERROR(__xludf.DUMMYFUNCTION("""COMPUTED_VALUE"""),46293)</f>
        <v>46293</v>
      </c>
      <c r="B3234" s="1" t="str">
        <f>IFERROR(__xludf.DUMMYFUNCTION("""COMPUTED_VALUE"""),"MALIWAT MARK ELVIN")</f>
        <v>MALIWAT MARK ELVIN</v>
      </c>
      <c r="C3234" s="1" t="str">
        <f>IFERROR(__xludf.DUMMYFUNCTION("""COMPUTED_VALUE"""),"FLA")</f>
        <v>FLA</v>
      </c>
      <c r="D3234" s="1" t="str">
        <f>IFERROR(__xludf.DUMMYFUNCTION("""COMPUTED_VALUE"""),"JERIC NAVARRO")</f>
        <v>JERIC NAVARRO</v>
      </c>
      <c r="E3234" s="1" t="str">
        <f>IFERROR(__xludf.DUMMYFUNCTION("""COMPUTED_VALUE"""),"PLDT / H2H")</f>
        <v>PLDT / H2H</v>
      </c>
      <c r="F3234" s="1"/>
      <c r="G3234" s="1">
        <f>IFERROR(__xludf.DUMMYFUNCTION("""COMPUTED_VALUE"""),2312845665)</f>
        <v>2312845665</v>
      </c>
      <c r="H3234" s="1" t="str">
        <f>IFERROR(__xludf.DUMMYFUNCTION("""COMPUTED_VALUE"""),"#N/A")</f>
        <v>#N/A</v>
      </c>
      <c r="I3234" s="1">
        <f>IFERROR(__xludf.DUMMYFUNCTION("""COMPUTED_VALUE"""),639215528457)</f>
        <v>639215528457</v>
      </c>
      <c r="J3234" s="1"/>
      <c r="K3234" s="1"/>
      <c r="L3234" s="1" t="str">
        <f>IFERROR(__xludf.DUMMYFUNCTION("""COMPUTED_VALUE"""),"#N/A")</f>
        <v>#N/A</v>
      </c>
      <c r="M3234" s="1" t="str">
        <f>IFERROR(__xludf.DUMMYFUNCTION("""COMPUTED_VALUE"""),"#N/A")</f>
        <v>#N/A</v>
      </c>
      <c r="N3234" s="1" t="str">
        <f>IFERROR(__xludf.DUMMYFUNCTION("""COMPUTED_VALUE"""),"#N/A")</f>
        <v>#N/A</v>
      </c>
      <c r="O3234" s="1" t="str">
        <f>IFERROR(__xludf.DUMMYFUNCTION("""COMPUTED_VALUE"""),"BARANGAY 1 (POB.)")</f>
        <v>BARANGAY 1 (POB.)</v>
      </c>
      <c r="P3234" s="1" t="str">
        <f>IFERROR(__xludf.DUMMYFUNCTION("""COMPUTED_VALUE"""),"AMADEO")</f>
        <v>AMADEO</v>
      </c>
      <c r="Q3234" s="1" t="str">
        <f>IFERROR(__xludf.DUMMYFUNCTION("""COMPUTED_VALUE"""),"CAVITE")</f>
        <v>CAVITE</v>
      </c>
      <c r="R3234" s="1" t="str">
        <f>IFERROR(__xludf.DUMMYFUNCTION("""COMPUTED_VALUE"""),"FIBR PLAN 1299")</f>
        <v>FIBR PLAN 1299</v>
      </c>
      <c r="S3234" s="1" t="str">
        <f>IFERROR(__xludf.DUMMYFUNCTION("""COMPUTED_VALUE"""),"APPROVED")</f>
        <v>APPROVED</v>
      </c>
      <c r="T3234" s="1" t="str">
        <f>IFERROR(__xludf.DUMMYFUNCTION("""COMPUTED_VALUE"""),"CANCELLED")</f>
        <v>CANCELLED</v>
      </c>
      <c r="U3234" s="1" t="str">
        <f>IFERROR(__xludf.DUMMYFUNCTION("""COMPUTED_VALUE"""),"CANCELLED - WITH OB")</f>
        <v>CANCELLED - WITH OB</v>
      </c>
      <c r="V3234" s="1"/>
      <c r="W3234" s="1"/>
    </row>
    <row r="3235" customHeight="1" spans="1:23">
      <c r="A3235" s="3">
        <f>IFERROR(__xludf.DUMMYFUNCTION("""COMPUTED_VALUE"""),46293)</f>
        <v>46293</v>
      </c>
      <c r="B3235" s="1" t="str">
        <f>IFERROR(__xludf.DUMMYFUNCTION("""COMPUTED_VALUE"""),"GABAY, MANUEL")</f>
        <v>GABAY, MANUEL</v>
      </c>
      <c r="C3235" s="1" t="str">
        <f>IFERROR(__xludf.DUMMYFUNCTION("""COMPUTED_VALUE"""),"FLA")</f>
        <v>FLA</v>
      </c>
      <c r="D3235" s="1" t="str">
        <f>IFERROR(__xludf.DUMMYFUNCTION("""COMPUTED_VALUE"""),"JERIC NAVARRO")</f>
        <v>JERIC NAVARRO</v>
      </c>
      <c r="E3235" s="1" t="str">
        <f>IFERROR(__xludf.DUMMYFUNCTION("""COMPUTED_VALUE"""),"PLDT / ONLINE")</f>
        <v>PLDT / ONLINE</v>
      </c>
      <c r="F3235" s="1"/>
      <c r="G3235" s="1">
        <f>IFERROR(__xludf.DUMMYFUNCTION("""COMPUTED_VALUE"""),2312846822)</f>
        <v>2312846822</v>
      </c>
      <c r="H3235" s="1" t="str">
        <f>IFERROR(__xludf.DUMMYFUNCTION("""COMPUTED_VALUE"""),"473301546004")</f>
        <v>473301546004</v>
      </c>
      <c r="I3235" s="1">
        <f>IFERROR(__xludf.DUMMYFUNCTION("""COMPUTED_VALUE"""),639669701839)</f>
        <v>639669701839</v>
      </c>
      <c r="J3235" s="1">
        <f>IFERROR(__xludf.DUMMYFUNCTION("""COMPUTED_VALUE"""),639500140550)</f>
        <v>639500140550</v>
      </c>
      <c r="K3235" s="1"/>
      <c r="L3235" s="1" t="str">
        <f>IFERROR(__xludf.DUMMYFUNCTION("""COMPUTED_VALUE"""),"#N/A")</f>
        <v>#N/A</v>
      </c>
      <c r="M3235" s="1" t="str">
        <f>IFERROR(__xludf.DUMMYFUNCTION("""COMPUTED_VALUE"""),"#N/A")</f>
        <v>#N/A</v>
      </c>
      <c r="N3235" s="1" t="str">
        <f>IFERROR(__xludf.DUMMYFUNCTION("""COMPUTED_VALUE"""),"#N/A")</f>
        <v>#N/A</v>
      </c>
      <c r="O3235" s="1" t="str">
        <f>IFERROR(__xludf.DUMMYFUNCTION("""COMPUTED_VALUE"""),"SAN LORENZO RUIZ I")</f>
        <v>SAN LORENZO RUIZ I</v>
      </c>
      <c r="P3235" s="1" t="str">
        <f>IFERROR(__xludf.DUMMYFUNCTION("""COMPUTED_VALUE"""),"DASMARINAS")</f>
        <v>DASMARINAS</v>
      </c>
      <c r="Q3235" s="1" t="str">
        <f>IFERROR(__xludf.DUMMYFUNCTION("""COMPUTED_VALUE"""),"CAVITE")</f>
        <v>CAVITE</v>
      </c>
      <c r="R3235" s="1" t="str">
        <f>IFERROR(__xludf.DUMMYFUNCTION("""COMPUTED_VALUE"""),"FIBR PLAN 1299")</f>
        <v>FIBR PLAN 1299</v>
      </c>
      <c r="S3235" s="1" t="str">
        <f>IFERROR(__xludf.DUMMYFUNCTION("""COMPUTED_VALUE"""),"APPROVED")</f>
        <v>APPROVED</v>
      </c>
      <c r="T3235" s="1" t="str">
        <f>IFERROR(__xludf.DUMMYFUNCTION("""COMPUTED_VALUE"""),"CLOSED")</f>
        <v>CLOSED</v>
      </c>
      <c r="U3235" s="1" t="str">
        <f>IFERROR(__xludf.DUMMYFUNCTION("""COMPUTED_VALUE"""),"POSTED")</f>
        <v>POSTED</v>
      </c>
      <c r="V3235" s="1" t="str">
        <f>IFERROR(__xludf.DUMMYFUNCTION("""COMPUTED_VALUE"""),"WITH 1 AMSF")</f>
        <v>WITH 1 AMSF</v>
      </c>
      <c r="W3235" s="1"/>
    </row>
    <row r="3236" customHeight="1" spans="1:23">
      <c r="A3236" s="3">
        <f>IFERROR(__xludf.DUMMYFUNCTION("""COMPUTED_VALUE"""),46293)</f>
        <v>46293</v>
      </c>
      <c r="B3236" s="1" t="str">
        <f>IFERROR(__xludf.DUMMYFUNCTION("""COMPUTED_VALUE"""),"ARIENA, LYKA")</f>
        <v>ARIENA, LYKA</v>
      </c>
      <c r="C3236" s="1" t="str">
        <f>IFERROR(__xludf.DUMMYFUNCTION("""COMPUTED_VALUE"""),"ORGANIC")</f>
        <v>ORGANIC</v>
      </c>
      <c r="D3236" s="1" t="str">
        <f>IFERROR(__xludf.DUMMYFUNCTION("""COMPUTED_VALUE"""),"REMOLLO LEA")</f>
        <v>REMOLLO LEA</v>
      </c>
      <c r="E3236" s="1" t="str">
        <f>IFERROR(__xludf.DUMMYFUNCTION("""COMPUTED_VALUE"""),"PLDT / H2H")</f>
        <v>PLDT / H2H</v>
      </c>
      <c r="F3236" s="1"/>
      <c r="G3236" s="1">
        <f>IFERROR(__xludf.DUMMYFUNCTION("""COMPUTED_VALUE"""),2312847144)</f>
        <v>2312847144</v>
      </c>
      <c r="H3236" s="1" t="str">
        <f>IFERROR(__xludf.DUMMYFUNCTION("""COMPUTED_VALUE"""),"473290808004")</f>
        <v>473290808004</v>
      </c>
      <c r="I3236" s="1">
        <f>IFERROR(__xludf.DUMMYFUNCTION("""COMPUTED_VALUE"""),639507298373)</f>
        <v>639507298373</v>
      </c>
      <c r="J3236" s="1"/>
      <c r="K3236" s="1"/>
      <c r="L3236" s="1" t="str">
        <f>IFERROR(__xludf.DUMMYFUNCTION("""COMPUTED_VALUE"""),"#N/A")</f>
        <v>#N/A</v>
      </c>
      <c r="M3236" s="1" t="str">
        <f>IFERROR(__xludf.DUMMYFUNCTION("""COMPUTED_VALUE"""),"#N/A")</f>
        <v>#N/A</v>
      </c>
      <c r="N3236" s="1" t="str">
        <f>IFERROR(__xludf.DUMMYFUNCTION("""COMPUTED_VALUE"""),"#N/A")</f>
        <v>#N/A</v>
      </c>
      <c r="O3236" s="1" t="str">
        <f>IFERROR(__xludf.DUMMYFUNCTION("""COMPUTED_VALUE"""),"LUMIL")</f>
        <v>LUMIL</v>
      </c>
      <c r="P3236" s="1" t="str">
        <f>IFERROR(__xludf.DUMMYFUNCTION("""COMPUTED_VALUE"""),"SILANG")</f>
        <v>SILANG</v>
      </c>
      <c r="Q3236" s="1" t="str">
        <f>IFERROR(__xludf.DUMMYFUNCTION("""COMPUTED_VALUE"""),"CAVITE")</f>
        <v>CAVITE</v>
      </c>
      <c r="R3236" s="1" t="str">
        <f>IFERROR(__xludf.DUMMYFUNCTION("""COMPUTED_VALUE"""),"FIBR PLAN 1299")</f>
        <v>FIBR PLAN 1299</v>
      </c>
      <c r="S3236" s="1" t="str">
        <f>IFERROR(__xludf.DUMMYFUNCTION("""COMPUTED_VALUE"""),"APPROVED")</f>
        <v>APPROVED</v>
      </c>
      <c r="T3236" s="1" t="str">
        <f>IFERROR(__xludf.DUMMYFUNCTION("""COMPUTED_VALUE"""),"CLOSED")</f>
        <v>CLOSED</v>
      </c>
      <c r="U3236" s="1" t="str">
        <f>IFERROR(__xludf.DUMMYFUNCTION("""COMPUTED_VALUE"""),"POSTED")</f>
        <v>POSTED</v>
      </c>
      <c r="V3236" s="1" t="str">
        <f>IFERROR(__xludf.DUMMYFUNCTION("""COMPUTED_VALUE"""),"NO 1 AMSF")</f>
        <v>NO 1 AMSF</v>
      </c>
      <c r="W3236" s="1"/>
    </row>
    <row r="3237" customHeight="1" spans="1:23">
      <c r="A3237" s="3">
        <f>IFERROR(__xludf.DUMMYFUNCTION("""COMPUTED_VALUE"""),46293)</f>
        <v>46293</v>
      </c>
      <c r="B3237" s="1" t="str">
        <f>IFERROR(__xludf.DUMMYFUNCTION("""COMPUTED_VALUE"""),"FRANCISCO , ROSELYN")</f>
        <v>FRANCISCO , ROSELYN</v>
      </c>
      <c r="C3237" s="1" t="str">
        <f>IFERROR(__xludf.DUMMYFUNCTION("""COMPUTED_VALUE"""),"ORGANIC")</f>
        <v>ORGANIC</v>
      </c>
      <c r="D3237" s="1" t="str">
        <f>IFERROR(__xludf.DUMMYFUNCTION("""COMPUTED_VALUE"""),"REMOLLO LEA")</f>
        <v>REMOLLO LEA</v>
      </c>
      <c r="E3237" s="1" t="str">
        <f>IFERROR(__xludf.DUMMYFUNCTION("""COMPUTED_VALUE"""),"PLDT / H2H")</f>
        <v>PLDT / H2H</v>
      </c>
      <c r="F3237" s="1"/>
      <c r="G3237" s="1">
        <f>IFERROR(__xludf.DUMMYFUNCTION("""COMPUTED_VALUE"""),2312847602)</f>
        <v>2312847602</v>
      </c>
      <c r="H3237" s="1" t="str">
        <f>IFERROR(__xludf.DUMMYFUNCTION("""COMPUTED_VALUE"""),"473288912004")</f>
        <v>473288912004</v>
      </c>
      <c r="I3237" s="1">
        <f>IFERROR(__xludf.DUMMYFUNCTION("""COMPUTED_VALUE"""),639676370919)</f>
        <v>639676370919</v>
      </c>
      <c r="J3237" s="1">
        <f>IFERROR(__xludf.DUMMYFUNCTION("""COMPUTED_VALUE"""),639910487376)</f>
        <v>639910487376</v>
      </c>
      <c r="K3237" s="1"/>
      <c r="L3237" s="1" t="str">
        <f>IFERROR(__xludf.DUMMYFUNCTION("""COMPUTED_VALUE"""),"#N/A")</f>
        <v>#N/A</v>
      </c>
      <c r="M3237" s="1" t="str">
        <f>IFERROR(__xludf.DUMMYFUNCTION("""COMPUTED_VALUE"""),"#N/A")</f>
        <v>#N/A</v>
      </c>
      <c r="N3237" s="1" t="str">
        <f>IFERROR(__xludf.DUMMYFUNCTION("""COMPUTED_VALUE"""),"#N/A")</f>
        <v>#N/A</v>
      </c>
      <c r="O3237" s="1" t="str">
        <f>IFERROR(__xludf.DUMMYFUNCTION("""COMPUTED_VALUE"""),"LUMIL")</f>
        <v>LUMIL</v>
      </c>
      <c r="P3237" s="1" t="str">
        <f>IFERROR(__xludf.DUMMYFUNCTION("""COMPUTED_VALUE"""),"SILANG")</f>
        <v>SILANG</v>
      </c>
      <c r="Q3237" s="1" t="str">
        <f>IFERROR(__xludf.DUMMYFUNCTION("""COMPUTED_VALUE"""),"CAVITE")</f>
        <v>CAVITE</v>
      </c>
      <c r="R3237" s="1" t="str">
        <f>IFERROR(__xludf.DUMMYFUNCTION("""COMPUTED_VALUE"""),"FIBR UNLI ALL PLAN 999")</f>
        <v>FIBR UNLI ALL PLAN 999</v>
      </c>
      <c r="S3237" s="1" t="str">
        <f>IFERROR(__xludf.DUMMYFUNCTION("""COMPUTED_VALUE"""),"APPROVED")</f>
        <v>APPROVED</v>
      </c>
      <c r="T3237" s="1" t="str">
        <f>IFERROR(__xludf.DUMMYFUNCTION("""COMPUTED_VALUE"""),"CLOSED")</f>
        <v>CLOSED</v>
      </c>
      <c r="U3237" s="1" t="str">
        <f>IFERROR(__xludf.DUMMYFUNCTION("""COMPUTED_VALUE"""),"POSTED")</f>
        <v>POSTED</v>
      </c>
      <c r="V3237" s="1" t="str">
        <f>IFERROR(__xludf.DUMMYFUNCTION("""COMPUTED_VALUE"""),"NO 1 AMSF")</f>
        <v>NO 1 AMSF</v>
      </c>
      <c r="W3237" s="1"/>
    </row>
    <row r="3238" customHeight="1" spans="1:23">
      <c r="A3238" s="3">
        <f>IFERROR(__xludf.DUMMYFUNCTION("""COMPUTED_VALUE"""),46293)</f>
        <v>46293</v>
      </c>
      <c r="B3238" s="1" t="str">
        <f>IFERROR(__xludf.DUMMYFUNCTION("""COMPUTED_VALUE"""),"BAQUIT ,JAZMIN")</f>
        <v>BAQUIT ,JAZMIN</v>
      </c>
      <c r="C3238" s="1" t="str">
        <f>IFERROR(__xludf.DUMMYFUNCTION("""COMPUTED_VALUE"""),"ORGANIC")</f>
        <v>ORGANIC</v>
      </c>
      <c r="D3238" s="1" t="str">
        <f>IFERROR(__xludf.DUMMYFUNCTION("""COMPUTED_VALUE"""),"REMOLLO LEA")</f>
        <v>REMOLLO LEA</v>
      </c>
      <c r="E3238" s="1" t="str">
        <f>IFERROR(__xludf.DUMMYFUNCTION("""COMPUTED_VALUE"""),"PLDT / H2H")</f>
        <v>PLDT / H2H</v>
      </c>
      <c r="F3238" s="1"/>
      <c r="G3238" s="1">
        <f>IFERROR(__xludf.DUMMYFUNCTION("""COMPUTED_VALUE"""),2312849452)</f>
        <v>2312849452</v>
      </c>
      <c r="H3238" s="1" t="str">
        <f>IFERROR(__xludf.DUMMYFUNCTION("""COMPUTED_VALUE"""),"473293669004")</f>
        <v>473293669004</v>
      </c>
      <c r="I3238" s="1">
        <f>IFERROR(__xludf.DUMMYFUNCTION("""COMPUTED_VALUE"""),639462915033)</f>
        <v>639462915033</v>
      </c>
      <c r="J3238" s="1">
        <f>IFERROR(__xludf.DUMMYFUNCTION("""COMPUTED_VALUE"""),639512246958)</f>
        <v>639512246958</v>
      </c>
      <c r="K3238" s="1"/>
      <c r="L3238" s="1" t="str">
        <f>IFERROR(__xludf.DUMMYFUNCTION("""COMPUTED_VALUE"""),"#N/A")</f>
        <v>#N/A</v>
      </c>
      <c r="M3238" s="1" t="str">
        <f>IFERROR(__xludf.DUMMYFUNCTION("""COMPUTED_VALUE"""),"#N/A")</f>
        <v>#N/A</v>
      </c>
      <c r="N3238" s="1" t="str">
        <f>IFERROR(__xludf.DUMMYFUNCTION("""COMPUTED_VALUE"""),"#N/A")</f>
        <v>#N/A</v>
      </c>
      <c r="O3238" s="1" t="str">
        <f>IFERROR(__xludf.DUMMYFUNCTION("""COMPUTED_VALUE"""),"LUMIL")</f>
        <v>LUMIL</v>
      </c>
      <c r="P3238" s="1" t="str">
        <f>IFERROR(__xludf.DUMMYFUNCTION("""COMPUTED_VALUE"""),"SILANG")</f>
        <v>SILANG</v>
      </c>
      <c r="Q3238" s="1" t="str">
        <f>IFERROR(__xludf.DUMMYFUNCTION("""COMPUTED_VALUE"""),"CAVITE")</f>
        <v>CAVITE</v>
      </c>
      <c r="R3238" s="1" t="str">
        <f>IFERROR(__xludf.DUMMYFUNCTION("""COMPUTED_VALUE"""),"FIBR PLAN 1299")</f>
        <v>FIBR PLAN 1299</v>
      </c>
      <c r="S3238" s="1" t="str">
        <f>IFERROR(__xludf.DUMMYFUNCTION("""COMPUTED_VALUE"""),"APPROVED")</f>
        <v>APPROVED</v>
      </c>
      <c r="T3238" s="1" t="str">
        <f>IFERROR(__xludf.DUMMYFUNCTION("""COMPUTED_VALUE"""),"RPR")</f>
        <v>RPR</v>
      </c>
      <c r="U3238" s="1" t="str">
        <f>IFERROR(__xludf.DUMMYFUNCTION("""COMPUTED_VALUE"""),"RPR - SUBS CANCEL REQUEST")</f>
        <v>RPR - SUBS CANCEL REQUEST</v>
      </c>
      <c r="V3238" s="1" t="str">
        <f>IFERROR(__xludf.DUMMYFUNCTION("""COMPUTED_VALUE"""),"NO 1 AMSF")</f>
        <v>NO 1 AMSF</v>
      </c>
      <c r="W3238" s="1"/>
    </row>
    <row r="3239" customHeight="1" spans="1:23">
      <c r="A3239" s="3">
        <f>IFERROR(__xludf.DUMMYFUNCTION("""COMPUTED_VALUE"""),46293)</f>
        <v>46293</v>
      </c>
      <c r="B3239" s="1" t="str">
        <f>IFERROR(__xludf.DUMMYFUNCTION("""COMPUTED_VALUE"""),"BALANLAYOS, ANDREI")</f>
        <v>BALANLAYOS, ANDREI</v>
      </c>
      <c r="C3239" s="1" t="str">
        <f>IFERROR(__xludf.DUMMYFUNCTION("""COMPUTED_VALUE"""),"ORGANIC")</f>
        <v>ORGANIC</v>
      </c>
      <c r="D3239" s="1" t="str">
        <f>IFERROR(__xludf.DUMMYFUNCTION("""COMPUTED_VALUE"""),"REMOLLO LEA")</f>
        <v>REMOLLO LEA</v>
      </c>
      <c r="E3239" s="1" t="str">
        <f>IFERROR(__xludf.DUMMYFUNCTION("""COMPUTED_VALUE"""),"PLDT / H2H")</f>
        <v>PLDT / H2H</v>
      </c>
      <c r="F3239" s="1"/>
      <c r="G3239" s="1">
        <f>IFERROR(__xludf.DUMMYFUNCTION("""COMPUTED_VALUE"""),2312849895)</f>
        <v>2312849895</v>
      </c>
      <c r="H3239" s="1" t="str">
        <f>IFERROR(__xludf.DUMMYFUNCTION("""COMPUTED_VALUE"""),"#N/A")</f>
        <v>#N/A</v>
      </c>
      <c r="I3239" s="1">
        <f>IFERROR(__xludf.DUMMYFUNCTION("""COMPUTED_VALUE"""),639762050391)</f>
        <v>639762050391</v>
      </c>
      <c r="J3239" s="1"/>
      <c r="K3239" s="1"/>
      <c r="L3239" s="1" t="str">
        <f>IFERROR(__xludf.DUMMYFUNCTION("""COMPUTED_VALUE"""),"#N/A")</f>
        <v>#N/A</v>
      </c>
      <c r="M3239" s="1" t="str">
        <f>IFERROR(__xludf.DUMMYFUNCTION("""COMPUTED_VALUE"""),"#N/A")</f>
        <v>#N/A</v>
      </c>
      <c r="N3239" s="1" t="str">
        <f>IFERROR(__xludf.DUMMYFUNCTION("""COMPUTED_VALUE"""),"#N/A")</f>
        <v>#N/A</v>
      </c>
      <c r="O3239" s="1" t="str">
        <f>IFERROR(__xludf.DUMMYFUNCTION("""COMPUTED_VALUE"""),"LUMIL")</f>
        <v>LUMIL</v>
      </c>
      <c r="P3239" s="1" t="str">
        <f>IFERROR(__xludf.DUMMYFUNCTION("""COMPUTED_VALUE"""),"SILANG")</f>
        <v>SILANG</v>
      </c>
      <c r="Q3239" s="1" t="str">
        <f>IFERROR(__xludf.DUMMYFUNCTION("""COMPUTED_VALUE"""),"CAVITE")</f>
        <v>CAVITE</v>
      </c>
      <c r="R3239" s="1" t="str">
        <f>IFERROR(__xludf.DUMMYFUNCTION("""COMPUTED_VALUE"""),"FIBR PLAN 1299")</f>
        <v>FIBR PLAN 1299</v>
      </c>
      <c r="S3239" s="1" t="str">
        <f>IFERROR(__xludf.DUMMYFUNCTION("""COMPUTED_VALUE"""),"APPROVED")</f>
        <v>APPROVED</v>
      </c>
      <c r="T3239" s="1" t="str">
        <f>IFERROR(__xludf.DUMMYFUNCTION("""COMPUTED_VALUE"""),"CANCELLED")</f>
        <v>CANCELLED</v>
      </c>
      <c r="U3239" s="1" t="str">
        <f>IFERROR(__xludf.DUMMYFUNCTION("""COMPUTED_VALUE"""),"CANCELLED - WITH ACTIVE LINE")</f>
        <v>CANCELLED - WITH ACTIVE LINE</v>
      </c>
      <c r="V3239" s="1"/>
      <c r="W3239" s="1"/>
    </row>
    <row r="3240" customHeight="1" spans="1:23">
      <c r="A3240" s="3">
        <f>IFERROR(__xludf.DUMMYFUNCTION("""COMPUTED_VALUE"""),46293)</f>
        <v>46293</v>
      </c>
      <c r="B3240" s="1" t="str">
        <f>IFERROR(__xludf.DUMMYFUNCTION("""COMPUTED_VALUE"""),"ESCARCHA, MA ALMA  ESCOTO")</f>
        <v>ESCARCHA, MA ALMA  ESCOTO</v>
      </c>
      <c r="C3240" s="1" t="str">
        <f>IFERROR(__xludf.DUMMYFUNCTION("""COMPUTED_VALUE"""),"ORGANIC")</f>
        <v>ORGANIC</v>
      </c>
      <c r="D3240" s="1" t="str">
        <f>IFERROR(__xludf.DUMMYFUNCTION("""COMPUTED_VALUE"""),"REMOLLO LEA")</f>
        <v>REMOLLO LEA</v>
      </c>
      <c r="E3240" s="1" t="str">
        <f>IFERROR(__xludf.DUMMYFUNCTION("""COMPUTED_VALUE"""),"PLDT / H2H")</f>
        <v>PLDT / H2H</v>
      </c>
      <c r="F3240" s="1"/>
      <c r="G3240" s="1">
        <f>IFERROR(__xludf.DUMMYFUNCTION("""COMPUTED_VALUE"""),2312850196)</f>
        <v>2312850196</v>
      </c>
      <c r="H3240" s="1" t="str">
        <f>IFERROR(__xludf.DUMMYFUNCTION("""COMPUTED_VALUE"""),"473295975004")</f>
        <v>473295975004</v>
      </c>
      <c r="I3240" s="1">
        <f>IFERROR(__xludf.DUMMYFUNCTION("""COMPUTED_VALUE"""),639482931421)</f>
        <v>639482931421</v>
      </c>
      <c r="J3240" s="1"/>
      <c r="K3240" s="1"/>
      <c r="L3240" s="1" t="str">
        <f>IFERROR(__xludf.DUMMYFUNCTION("""COMPUTED_VALUE"""),"#N/A")</f>
        <v>#N/A</v>
      </c>
      <c r="M3240" s="1" t="str">
        <f>IFERROR(__xludf.DUMMYFUNCTION("""COMPUTED_VALUE"""),"#N/A")</f>
        <v>#N/A</v>
      </c>
      <c r="N3240" s="1" t="str">
        <f>IFERROR(__xludf.DUMMYFUNCTION("""COMPUTED_VALUE"""),"#N/A")</f>
        <v>#N/A</v>
      </c>
      <c r="O3240" s="1" t="str">
        <f>IFERROR(__xludf.DUMMYFUNCTION("""COMPUTED_VALUE"""),"LUMIL")</f>
        <v>LUMIL</v>
      </c>
      <c r="P3240" s="1" t="str">
        <f>IFERROR(__xludf.DUMMYFUNCTION("""COMPUTED_VALUE"""),"SILANG")</f>
        <v>SILANG</v>
      </c>
      <c r="Q3240" s="1" t="str">
        <f>IFERROR(__xludf.DUMMYFUNCTION("""COMPUTED_VALUE"""),"CAVITE")</f>
        <v>CAVITE</v>
      </c>
      <c r="R3240" s="1" t="str">
        <f>IFERROR(__xludf.DUMMYFUNCTION("""COMPUTED_VALUE"""),"FIBR PLAN 1299")</f>
        <v>FIBR PLAN 1299</v>
      </c>
      <c r="S3240" s="1" t="str">
        <f>IFERROR(__xludf.DUMMYFUNCTION("""COMPUTED_VALUE"""),"APPROVED")</f>
        <v>APPROVED</v>
      </c>
      <c r="T3240" s="1" t="str">
        <f>IFERROR(__xludf.DUMMYFUNCTION("""COMPUTED_VALUE"""),"CLOSED")</f>
        <v>CLOSED</v>
      </c>
      <c r="U3240" s="1" t="str">
        <f>IFERROR(__xludf.DUMMYFUNCTION("""COMPUTED_VALUE"""),"POSTED")</f>
        <v>POSTED</v>
      </c>
      <c r="V3240" s="1" t="str">
        <f>IFERROR(__xludf.DUMMYFUNCTION("""COMPUTED_VALUE"""),"WITH 1 AMSF")</f>
        <v>WITH 1 AMSF</v>
      </c>
      <c r="W3240" s="1"/>
    </row>
    <row r="3241" customHeight="1" spans="1:23">
      <c r="A3241" s="3">
        <f>IFERROR(__xludf.DUMMYFUNCTION("""COMPUTED_VALUE"""),46293)</f>
        <v>46293</v>
      </c>
      <c r="B3241" s="1" t="str">
        <f>IFERROR(__xludf.DUMMYFUNCTION("""COMPUTED_VALUE"""),"OPS IAN SUMILANG")</f>
        <v>OPS IAN SUMILANG</v>
      </c>
      <c r="C3241" s="1" t="str">
        <f>IFERROR(__xludf.DUMMYFUNCTION("""COMPUTED_VALUE"""),"FLA")</f>
        <v>FLA</v>
      </c>
      <c r="D3241" s="1" t="str">
        <f>IFERROR(__xludf.DUMMYFUNCTION("""COMPUTED_VALUE"""),"JERIC NAVARRO")</f>
        <v>JERIC NAVARRO</v>
      </c>
      <c r="E3241" s="1" t="str">
        <f>IFERROR(__xludf.DUMMYFUNCTION("""COMPUTED_VALUE"""),"PLDT / ONLINE")</f>
        <v>PLDT / ONLINE</v>
      </c>
      <c r="F3241" s="1"/>
      <c r="G3241" s="1">
        <f>IFERROR(__xludf.DUMMYFUNCTION("""COMPUTED_VALUE"""),2312850713)</f>
        <v>2312850713</v>
      </c>
      <c r="H3241" s="1" t="str">
        <f>IFERROR(__xludf.DUMMYFUNCTION("""COMPUTED_VALUE"""),"473322048004")</f>
        <v>473322048004</v>
      </c>
      <c r="I3241" s="1">
        <f>IFERROR(__xludf.DUMMYFUNCTION("""COMPUTED_VALUE"""),639984960544)</f>
        <v>639984960544</v>
      </c>
      <c r="J3241" s="1"/>
      <c r="K3241" s="1"/>
      <c r="L3241" s="1" t="str">
        <f>IFERROR(__xludf.DUMMYFUNCTION("""COMPUTED_VALUE"""),"#N/A")</f>
        <v>#N/A</v>
      </c>
      <c r="M3241" s="1" t="str">
        <f>IFERROR(__xludf.DUMMYFUNCTION("""COMPUTED_VALUE"""),"#N/A")</f>
        <v>#N/A</v>
      </c>
      <c r="N3241" s="1" t="str">
        <f>IFERROR(__xludf.DUMMYFUNCTION("""COMPUTED_VALUE"""),"#N/A")</f>
        <v>#N/A</v>
      </c>
      <c r="O3241" s="1" t="str">
        <f>IFERROR(__xludf.DUMMYFUNCTION("""COMPUTED_VALUE"""),"SAN JUAN I")</f>
        <v>SAN JUAN I</v>
      </c>
      <c r="P3241" s="1" t="str">
        <f>IFERROR(__xludf.DUMMYFUNCTION("""COMPUTED_VALUE"""),"NOVELETA")</f>
        <v>NOVELETA</v>
      </c>
      <c r="Q3241" s="1" t="str">
        <f>IFERROR(__xludf.DUMMYFUNCTION("""COMPUTED_VALUE"""),"CAVITE")</f>
        <v>CAVITE</v>
      </c>
      <c r="R3241" s="1" t="str">
        <f>IFERROR(__xludf.DUMMYFUNCTION("""COMPUTED_VALUE"""),"FIBR PLAN 1699")</f>
        <v>FIBR PLAN 1699</v>
      </c>
      <c r="S3241" s="1" t="str">
        <f>IFERROR(__xludf.DUMMYFUNCTION("""COMPUTED_VALUE"""),"APPROVED")</f>
        <v>APPROVED</v>
      </c>
      <c r="T3241" s="1" t="str">
        <f>IFERROR(__xludf.DUMMYFUNCTION("""COMPUTED_VALUE"""),"CLOSED")</f>
        <v>CLOSED</v>
      </c>
      <c r="U3241" s="1" t="str">
        <f>IFERROR(__xludf.DUMMYFUNCTION("""COMPUTED_VALUE"""),"POSTED")</f>
        <v>POSTED</v>
      </c>
      <c r="V3241" s="1" t="str">
        <f>IFERROR(__xludf.DUMMYFUNCTION("""COMPUTED_VALUE"""),"NO 1 AMSF")</f>
        <v>NO 1 AMSF</v>
      </c>
      <c r="W3241" s="1"/>
    </row>
    <row r="3242" customHeight="1" spans="1:23">
      <c r="A3242" s="3">
        <f>IFERROR(__xludf.DUMMYFUNCTION("""COMPUTED_VALUE"""),46293)</f>
        <v>46293</v>
      </c>
      <c r="B3242" s="1" t="str">
        <f>IFERROR(__xludf.DUMMYFUNCTION("""COMPUTED_VALUE"""),"CADERAO, RONALD")</f>
        <v>CADERAO, RONALD</v>
      </c>
      <c r="C3242" s="1" t="str">
        <f>IFERROR(__xludf.DUMMYFUNCTION("""COMPUTED_VALUE"""),"ORGANIC")</f>
        <v>ORGANIC</v>
      </c>
      <c r="D3242" s="1" t="str">
        <f>IFERROR(__xludf.DUMMYFUNCTION("""COMPUTED_VALUE"""),"REMOLLO LEA")</f>
        <v>REMOLLO LEA</v>
      </c>
      <c r="E3242" s="1" t="str">
        <f>IFERROR(__xludf.DUMMYFUNCTION("""COMPUTED_VALUE"""),"PLDT / ONLINE")</f>
        <v>PLDT / ONLINE</v>
      </c>
      <c r="F3242" s="1"/>
      <c r="G3242" s="1">
        <f>IFERROR(__xludf.DUMMYFUNCTION("""COMPUTED_VALUE"""),2312866354)</f>
        <v>2312866354</v>
      </c>
      <c r="H3242" s="1" t="str">
        <f>IFERROR(__xludf.DUMMYFUNCTION("""COMPUTED_VALUE"""),"473446321004")</f>
        <v>473446321004</v>
      </c>
      <c r="I3242" s="1">
        <f>IFERROR(__xludf.DUMMYFUNCTION("""COMPUTED_VALUE"""),639369257819)</f>
        <v>639369257819</v>
      </c>
      <c r="J3242" s="1">
        <f>IFERROR(__xludf.DUMMYFUNCTION("""COMPUTED_VALUE"""),639975619802)</f>
        <v>639975619802</v>
      </c>
      <c r="K3242" s="1"/>
      <c r="L3242" s="1" t="str">
        <f>IFERROR(__xludf.DUMMYFUNCTION("""COMPUTED_VALUE"""),"#N/A")</f>
        <v>#N/A</v>
      </c>
      <c r="M3242" s="1" t="str">
        <f>IFERROR(__xludf.DUMMYFUNCTION("""COMPUTED_VALUE"""),"#N/A")</f>
        <v>#N/A</v>
      </c>
      <c r="N3242" s="1" t="str">
        <f>IFERROR(__xludf.DUMMYFUNCTION("""COMPUTED_VALUE"""),"#N/A")</f>
        <v>#N/A</v>
      </c>
      <c r="O3242" s="1" t="str">
        <f>IFERROR(__xludf.DUMMYFUNCTION("""COMPUTED_VALUE"""),"MANGGAHAN")</f>
        <v>MANGGAHAN</v>
      </c>
      <c r="P3242" s="1" t="str">
        <f>IFERROR(__xludf.DUMMYFUNCTION("""COMPUTED_VALUE"""),"GENERAL TRIAS")</f>
        <v>GENERAL TRIAS</v>
      </c>
      <c r="Q3242" s="1" t="str">
        <f>IFERROR(__xludf.DUMMYFUNCTION("""COMPUTED_VALUE"""),"CAVITE")</f>
        <v>CAVITE</v>
      </c>
      <c r="R3242" s="1" t="str">
        <f>IFERROR(__xludf.DUMMYFUNCTION("""COMPUTED_VALUE"""),"FIBR UNLI ALL PLAN 1499")</f>
        <v>FIBR UNLI ALL PLAN 1499</v>
      </c>
      <c r="S3242" s="1" t="str">
        <f>IFERROR(__xludf.DUMMYFUNCTION("""COMPUTED_VALUE"""),"APPROVED")</f>
        <v>APPROVED</v>
      </c>
      <c r="T3242" s="1" t="str">
        <f>IFERROR(__xludf.DUMMYFUNCTION("""COMPUTED_VALUE"""),"CLOSED")</f>
        <v>CLOSED</v>
      </c>
      <c r="U3242" s="1" t="str">
        <f>IFERROR(__xludf.DUMMYFUNCTION("""COMPUTED_VALUE"""),"POSTED")</f>
        <v>POSTED</v>
      </c>
      <c r="V3242" s="1" t="str">
        <f>IFERROR(__xludf.DUMMYFUNCTION("""COMPUTED_VALUE"""),"NO 1 AMSF")</f>
        <v>NO 1 AMSF</v>
      </c>
      <c r="W3242" s="1"/>
    </row>
    <row r="3243" customHeight="1" spans="1:23">
      <c r="A3243" s="3">
        <f>IFERROR(__xludf.DUMMYFUNCTION("""COMPUTED_VALUE"""),46293)</f>
        <v>46293</v>
      </c>
      <c r="B3243" s="1" t="str">
        <f>IFERROR(__xludf.DUMMYFUNCTION("""COMPUTED_VALUE"""),"DACALCAP RUBEN")</f>
        <v>DACALCAP RUBEN</v>
      </c>
      <c r="C3243" s="1" t="str">
        <f>IFERROR(__xludf.DUMMYFUNCTION("""COMPUTED_VALUE"""),"FLA")</f>
        <v>FLA</v>
      </c>
      <c r="D3243" s="1" t="str">
        <f>IFERROR(__xludf.DUMMYFUNCTION("""COMPUTED_VALUE"""),"JERIC NAVARRO")</f>
        <v>JERIC NAVARRO</v>
      </c>
      <c r="E3243" s="1" t="str">
        <f>IFERROR(__xludf.DUMMYFUNCTION("""COMPUTED_VALUE"""),"PLDT / ONLINE")</f>
        <v>PLDT / ONLINE</v>
      </c>
      <c r="F3243" s="1"/>
      <c r="G3243" s="1">
        <f>IFERROR(__xludf.DUMMYFUNCTION("""COMPUTED_VALUE"""),2312851491)</f>
        <v>2312851491</v>
      </c>
      <c r="H3243" s="1" t="str">
        <f>IFERROR(__xludf.DUMMYFUNCTION("""COMPUTED_VALUE"""),"473415719004")</f>
        <v>473415719004</v>
      </c>
      <c r="I3243" s="1">
        <f>IFERROR(__xludf.DUMMYFUNCTION("""COMPUTED_VALUE"""),639298348742)</f>
        <v>639298348742</v>
      </c>
      <c r="J3243" s="1"/>
      <c r="K3243" s="1"/>
      <c r="L3243" s="1" t="str">
        <f>IFERROR(__xludf.DUMMYFUNCTION("""COMPUTED_VALUE"""),"#N/A")</f>
        <v>#N/A</v>
      </c>
      <c r="M3243" s="1" t="str">
        <f>IFERROR(__xludf.DUMMYFUNCTION("""COMPUTED_VALUE"""),"#N/A")</f>
        <v>#N/A</v>
      </c>
      <c r="N3243" s="1" t="str">
        <f>IFERROR(__xludf.DUMMYFUNCTION("""COMPUTED_VALUE"""),"#N/A")</f>
        <v>#N/A</v>
      </c>
      <c r="O3243" s="1" t="str">
        <f>IFERROR(__xludf.DUMMYFUNCTION("""COMPUTED_VALUE"""),"SABUTAN")</f>
        <v>SABUTAN</v>
      </c>
      <c r="P3243" s="1" t="str">
        <f>IFERROR(__xludf.DUMMYFUNCTION("""COMPUTED_VALUE"""),"SILANG")</f>
        <v>SILANG</v>
      </c>
      <c r="Q3243" s="1" t="str">
        <f>IFERROR(__xludf.DUMMYFUNCTION("""COMPUTED_VALUE"""),"CAVITE")</f>
        <v>CAVITE</v>
      </c>
      <c r="R3243" s="1" t="str">
        <f>IFERROR(__xludf.DUMMYFUNCTION("""COMPUTED_VALUE"""),"FIBR PLAN 1699")</f>
        <v>FIBR PLAN 1699</v>
      </c>
      <c r="S3243" s="1" t="str">
        <f>IFERROR(__xludf.DUMMYFUNCTION("""COMPUTED_VALUE"""),"APPROVED")</f>
        <v>APPROVED</v>
      </c>
      <c r="T3243" s="1" t="str">
        <f>IFERROR(__xludf.DUMMYFUNCTION("""COMPUTED_VALUE"""),"CLOSED")</f>
        <v>CLOSED</v>
      </c>
      <c r="U3243" s="1" t="str">
        <f>IFERROR(__xludf.DUMMYFUNCTION("""COMPUTED_VALUE"""),"POSTED")</f>
        <v>POSTED</v>
      </c>
      <c r="V3243" s="1" t="str">
        <f>IFERROR(__xludf.DUMMYFUNCTION("""COMPUTED_VALUE"""),"WITH 1 AMSF")</f>
        <v>WITH 1 AMSF</v>
      </c>
      <c r="W3243" s="1"/>
    </row>
    <row r="3244" customHeight="1" spans="1:23">
      <c r="A3244" s="3">
        <f>IFERROR(__xludf.DUMMYFUNCTION("""COMPUTED_VALUE"""),46293)</f>
        <v>46293</v>
      </c>
      <c r="B3244" s="1" t="str">
        <f>IFERROR(__xludf.DUMMYFUNCTION("""COMPUTED_VALUE"""),"MANDUCDOC, MARIANE")</f>
        <v>MANDUCDOC, MARIANE</v>
      </c>
      <c r="C3244" s="1" t="str">
        <f>IFERROR(__xludf.DUMMYFUNCTION("""COMPUTED_VALUE"""),"ORGANIC")</f>
        <v>ORGANIC</v>
      </c>
      <c r="D3244" s="1" t="str">
        <f>IFERROR(__xludf.DUMMYFUNCTION("""COMPUTED_VALUE"""),"REMOLLO LEA")</f>
        <v>REMOLLO LEA</v>
      </c>
      <c r="E3244" s="1" t="str">
        <f>IFERROR(__xludf.DUMMYFUNCTION("""COMPUTED_VALUE"""),"PLDT / H2H")</f>
        <v>PLDT / H2H</v>
      </c>
      <c r="F3244" s="1"/>
      <c r="G3244" s="1">
        <f>IFERROR(__xludf.DUMMYFUNCTION("""COMPUTED_VALUE"""),2312852047)</f>
        <v>2312852047</v>
      </c>
      <c r="H3244" s="1" t="str">
        <f>IFERROR(__xludf.DUMMYFUNCTION("""COMPUTED_VALUE"""),"473299109004")</f>
        <v>473299109004</v>
      </c>
      <c r="I3244" s="1">
        <f>IFERROR(__xludf.DUMMYFUNCTION("""COMPUTED_VALUE"""),639071073604)</f>
        <v>639071073604</v>
      </c>
      <c r="J3244" s="1"/>
      <c r="K3244" s="1"/>
      <c r="L3244" s="1" t="str">
        <f>IFERROR(__xludf.DUMMYFUNCTION("""COMPUTED_VALUE"""),"#N/A")</f>
        <v>#N/A</v>
      </c>
      <c r="M3244" s="1" t="str">
        <f>IFERROR(__xludf.DUMMYFUNCTION("""COMPUTED_VALUE"""),"#N/A")</f>
        <v>#N/A</v>
      </c>
      <c r="N3244" s="1" t="str">
        <f>IFERROR(__xludf.DUMMYFUNCTION("""COMPUTED_VALUE"""),"#N/A")</f>
        <v>#N/A</v>
      </c>
      <c r="O3244" s="1" t="str">
        <f>IFERROR(__xludf.DUMMYFUNCTION("""COMPUTED_VALUE"""),"TARTARIA")</f>
        <v>TARTARIA</v>
      </c>
      <c r="P3244" s="1" t="str">
        <f>IFERROR(__xludf.DUMMYFUNCTION("""COMPUTED_VALUE"""),"SILANG")</f>
        <v>SILANG</v>
      </c>
      <c r="Q3244" s="1" t="str">
        <f>IFERROR(__xludf.DUMMYFUNCTION("""COMPUTED_VALUE"""),"CAVITE")</f>
        <v>CAVITE</v>
      </c>
      <c r="R3244" s="1" t="str">
        <f>IFERROR(__xludf.DUMMYFUNCTION("""COMPUTED_VALUE"""),"FIBR PLAN 1299")</f>
        <v>FIBR PLAN 1299</v>
      </c>
      <c r="S3244" s="1" t="str">
        <f>IFERROR(__xludf.DUMMYFUNCTION("""COMPUTED_VALUE"""),"APPROVED")</f>
        <v>APPROVED</v>
      </c>
      <c r="T3244" s="1" t="str">
        <f>IFERROR(__xludf.DUMMYFUNCTION("""COMPUTED_VALUE"""),"RPR")</f>
        <v>RPR</v>
      </c>
      <c r="U3244" s="1" t="str">
        <f>IFERROR(__xludf.DUMMYFUNCTION("""COMPUTED_VALUE"""),"RPR - RESCHEDULE")</f>
        <v>RPR - RESCHEDULE</v>
      </c>
      <c r="V3244" s="1" t="str">
        <f>IFERROR(__xludf.DUMMYFUNCTION("""COMPUTED_VALUE"""),"NO 1 AMSF")</f>
        <v>NO 1 AMSF</v>
      </c>
      <c r="W3244" s="1"/>
    </row>
    <row r="3245" customHeight="1" spans="1:23">
      <c r="A3245" s="3">
        <f>IFERROR(__xludf.DUMMYFUNCTION("""COMPUTED_VALUE"""),46293)</f>
        <v>46293</v>
      </c>
      <c r="B3245" s="1" t="str">
        <f>IFERROR(__xludf.DUMMYFUNCTION("""COMPUTED_VALUE"""),"BAYBAY, MICHAEL")</f>
        <v>BAYBAY, MICHAEL</v>
      </c>
      <c r="C3245" s="1" t="str">
        <f>IFERROR(__xludf.DUMMYFUNCTION("""COMPUTED_VALUE"""),"ORGANIC")</f>
        <v>ORGANIC</v>
      </c>
      <c r="D3245" s="1" t="str">
        <f>IFERROR(__xludf.DUMMYFUNCTION("""COMPUTED_VALUE"""),"REMOLLO LEA")</f>
        <v>REMOLLO LEA</v>
      </c>
      <c r="E3245" s="1" t="str">
        <f>IFERROR(__xludf.DUMMYFUNCTION("""COMPUTED_VALUE"""),"PLDT / H2H")</f>
        <v>PLDT / H2H</v>
      </c>
      <c r="F3245" s="1"/>
      <c r="G3245" s="1">
        <f>IFERROR(__xludf.DUMMYFUNCTION("""COMPUTED_VALUE"""),2312911230)</f>
        <v>2312911230</v>
      </c>
      <c r="H3245" s="1" t="str">
        <f>IFERROR(__xludf.DUMMYFUNCTION("""COMPUTED_VALUE"""),"473829355004")</f>
        <v>473829355004</v>
      </c>
      <c r="I3245" s="1">
        <f>IFERROR(__xludf.DUMMYFUNCTION("""COMPUTED_VALUE"""),639488995062)</f>
        <v>639488995062</v>
      </c>
      <c r="J3245" s="1"/>
      <c r="K3245" s="1"/>
      <c r="L3245" s="1" t="str">
        <f>IFERROR(__xludf.DUMMYFUNCTION("""COMPUTED_VALUE"""),"9004")</f>
        <v>9004</v>
      </c>
      <c r="M3245" s="1" t="str">
        <f>IFERROR(__xludf.DUMMYFUNCTION("""COMPUTED_VALUE"""),"J BAYOT")</f>
        <v>J BAYOT</v>
      </c>
      <c r="N3245" s="1" t="str">
        <f>IFERROR(__xludf.DUMMYFUNCTION("""COMPUTED_VALUE"""),"#N/A")</f>
        <v>#N/A</v>
      </c>
      <c r="O3245" s="1" t="str">
        <f>IFERROR(__xludf.DUMMYFUNCTION("""COMPUTED_VALUE"""),"BARANGAY 3 (POB.)")</f>
        <v>BARANGAY 3 (POB.)</v>
      </c>
      <c r="P3245" s="1" t="str">
        <f>IFERROR(__xludf.DUMMYFUNCTION("""COMPUTED_VALUE"""),"AMADEO")</f>
        <v>AMADEO</v>
      </c>
      <c r="Q3245" s="1" t="str">
        <f>IFERROR(__xludf.DUMMYFUNCTION("""COMPUTED_VALUE"""),"CAVITE")</f>
        <v>CAVITE</v>
      </c>
      <c r="R3245" s="1" t="str">
        <f>IFERROR(__xludf.DUMMYFUNCTION("""COMPUTED_VALUE"""),"FIBR UNLI ALL PLAN 999")</f>
        <v>FIBR UNLI ALL PLAN 999</v>
      </c>
      <c r="S3245" s="1" t="str">
        <f>IFERROR(__xludf.DUMMYFUNCTION("""COMPUTED_VALUE"""),"APPROVED")</f>
        <v>APPROVED</v>
      </c>
      <c r="T3245" s="1" t="str">
        <f>IFERROR(__xludf.DUMMYFUNCTION("""COMPUTED_VALUE"""),"CLOSED")</f>
        <v>CLOSED</v>
      </c>
      <c r="U3245" s="1" t="str">
        <f>IFERROR(__xludf.DUMMYFUNCTION("""COMPUTED_VALUE"""),"POSTED")</f>
        <v>POSTED</v>
      </c>
      <c r="V3245" s="1" t="str">
        <f>IFERROR(__xludf.DUMMYFUNCTION("""COMPUTED_VALUE"""),"NO 1 AMSF")</f>
        <v>NO 1 AMSF</v>
      </c>
      <c r="W3245" s="1"/>
    </row>
    <row r="3246" customHeight="1" spans="1:23">
      <c r="A3246" s="3">
        <f>IFERROR(__xludf.DUMMYFUNCTION("""COMPUTED_VALUE"""),46293)</f>
        <v>46293</v>
      </c>
      <c r="B3246" s="1" t="str">
        <f>IFERROR(__xludf.DUMMYFUNCTION("""COMPUTED_VALUE"""),"CADERAO, RONALD")</f>
        <v>CADERAO, RONALD</v>
      </c>
      <c r="C3246" s="1" t="str">
        <f>IFERROR(__xludf.DUMMYFUNCTION("""COMPUTED_VALUE"""),"ORGANIC")</f>
        <v>ORGANIC</v>
      </c>
      <c r="D3246" s="1" t="str">
        <f>IFERROR(__xludf.DUMMYFUNCTION("""COMPUTED_VALUE"""),"REMOLLO LEA")</f>
        <v>REMOLLO LEA</v>
      </c>
      <c r="E3246" s="1" t="str">
        <f>IFERROR(__xludf.DUMMYFUNCTION("""COMPUTED_VALUE"""),"PLDT / H2H")</f>
        <v>PLDT / H2H</v>
      </c>
      <c r="F3246" s="1"/>
      <c r="G3246" s="1">
        <f>IFERROR(__xludf.DUMMYFUNCTION("""COMPUTED_VALUE"""),2312852767)</f>
        <v>2312852767</v>
      </c>
      <c r="H3246" s="1" t="str">
        <f>IFERROR(__xludf.DUMMYFUNCTION("""COMPUTED_VALUE"""),"473302688004")</f>
        <v>473302688004</v>
      </c>
      <c r="I3246" s="1">
        <f>IFERROR(__xludf.DUMMYFUNCTION("""COMPUTED_VALUE"""),639950667788)</f>
        <v>639950667788</v>
      </c>
      <c r="J3246" s="1"/>
      <c r="K3246" s="1"/>
      <c r="L3246" s="1" t="str">
        <f>IFERROR(__xludf.DUMMYFUNCTION("""COMPUTED_VALUE"""),"#N/A")</f>
        <v>#N/A</v>
      </c>
      <c r="M3246" s="1" t="str">
        <f>IFERROR(__xludf.DUMMYFUNCTION("""COMPUTED_VALUE"""),"#N/A")</f>
        <v>#N/A</v>
      </c>
      <c r="N3246" s="1" t="str">
        <f>IFERROR(__xludf.DUMMYFUNCTION("""COMPUTED_VALUE"""),"#N/A")</f>
        <v>#N/A</v>
      </c>
      <c r="O3246" s="1" t="str">
        <f>IFERROR(__xludf.DUMMYFUNCTION("""COMPUTED_VALUE"""),"MATAGBAK II")</f>
        <v>MATAGBAK II</v>
      </c>
      <c r="P3246" s="1" t="str">
        <f>IFERROR(__xludf.DUMMYFUNCTION("""COMPUTED_VALUE"""),"ALFONSO")</f>
        <v>ALFONSO</v>
      </c>
      <c r="Q3246" s="1" t="str">
        <f>IFERROR(__xludf.DUMMYFUNCTION("""COMPUTED_VALUE"""),"CAVITE")</f>
        <v>CAVITE</v>
      </c>
      <c r="R3246" s="1" t="str">
        <f>IFERROR(__xludf.DUMMYFUNCTION("""COMPUTED_VALUE"""),"FIBR PLAN 1299")</f>
        <v>FIBR PLAN 1299</v>
      </c>
      <c r="S3246" s="1" t="str">
        <f>IFERROR(__xludf.DUMMYFUNCTION("""COMPUTED_VALUE"""),"APPROVED")</f>
        <v>APPROVED</v>
      </c>
      <c r="T3246" s="1" t="str">
        <f>IFERROR(__xludf.DUMMYFUNCTION("""COMPUTED_VALUE"""),"CLOSED")</f>
        <v>CLOSED</v>
      </c>
      <c r="U3246" s="1" t="str">
        <f>IFERROR(__xludf.DUMMYFUNCTION("""COMPUTED_VALUE"""),"POSTED")</f>
        <v>POSTED</v>
      </c>
      <c r="V3246" s="1" t="str">
        <f>IFERROR(__xludf.DUMMYFUNCTION("""COMPUTED_VALUE"""),"NO 1 AMSF")</f>
        <v>NO 1 AMSF</v>
      </c>
      <c r="W3246" s="1"/>
    </row>
    <row r="3247" customHeight="1" spans="1:23">
      <c r="A3247" s="3">
        <f>IFERROR(__xludf.DUMMYFUNCTION("""COMPUTED_VALUE"""),46293)</f>
        <v>46293</v>
      </c>
      <c r="B3247" s="1" t="str">
        <f>IFERROR(__xludf.DUMMYFUNCTION("""COMPUTED_VALUE"""),"LABONG, AJAY")</f>
        <v>LABONG, AJAY</v>
      </c>
      <c r="C3247" s="1" t="str">
        <f>IFERROR(__xludf.DUMMYFUNCTION("""COMPUTED_VALUE"""),"ORGANIC")</f>
        <v>ORGANIC</v>
      </c>
      <c r="D3247" s="1" t="str">
        <f>IFERROR(__xludf.DUMMYFUNCTION("""COMPUTED_VALUE"""),"REMOLLO LEA")</f>
        <v>REMOLLO LEA</v>
      </c>
      <c r="E3247" s="1" t="str">
        <f>IFERROR(__xludf.DUMMYFUNCTION("""COMPUTED_VALUE"""),"PLDT / H2H")</f>
        <v>PLDT / H2H</v>
      </c>
      <c r="F3247" s="1"/>
      <c r="G3247" s="1">
        <f>IFERROR(__xludf.DUMMYFUNCTION("""COMPUTED_VALUE"""),2312853184)</f>
        <v>2312853184</v>
      </c>
      <c r="H3247" s="1" t="str">
        <f>IFERROR(__xludf.DUMMYFUNCTION("""COMPUTED_VALUE"""),"473304040004")</f>
        <v>473304040004</v>
      </c>
      <c r="I3247" s="1">
        <f>IFERROR(__xludf.DUMMYFUNCTION("""COMPUTED_VALUE"""),639278514604)</f>
        <v>639278514604</v>
      </c>
      <c r="J3247" s="1"/>
      <c r="K3247" s="1"/>
      <c r="L3247" s="1" t="str">
        <f>IFERROR(__xludf.DUMMYFUNCTION("""COMPUTED_VALUE"""),"#N/A")</f>
        <v>#N/A</v>
      </c>
      <c r="M3247" s="1" t="str">
        <f>IFERROR(__xludf.DUMMYFUNCTION("""COMPUTED_VALUE"""),"#N/A")</f>
        <v>#N/A</v>
      </c>
      <c r="N3247" s="1" t="str">
        <f>IFERROR(__xludf.DUMMYFUNCTION("""COMPUTED_VALUE"""),"#N/A")</f>
        <v>#N/A</v>
      </c>
      <c r="O3247" s="1" t="str">
        <f>IFERROR(__xludf.DUMMYFUNCTION("""COMPUTED_VALUE"""),"LUMIL")</f>
        <v>LUMIL</v>
      </c>
      <c r="P3247" s="1" t="str">
        <f>IFERROR(__xludf.DUMMYFUNCTION("""COMPUTED_VALUE"""),"SILANG")</f>
        <v>SILANG</v>
      </c>
      <c r="Q3247" s="1" t="str">
        <f>IFERROR(__xludf.DUMMYFUNCTION("""COMPUTED_VALUE"""),"CAVITE")</f>
        <v>CAVITE</v>
      </c>
      <c r="R3247" s="1" t="str">
        <f>IFERROR(__xludf.DUMMYFUNCTION("""COMPUTED_VALUE"""),"FIBR UNLI ALL PLAN 1499")</f>
        <v>FIBR UNLI ALL PLAN 1499</v>
      </c>
      <c r="S3247" s="1" t="str">
        <f>IFERROR(__xludf.DUMMYFUNCTION("""COMPUTED_VALUE"""),"APPROVED")</f>
        <v>APPROVED</v>
      </c>
      <c r="T3247" s="1" t="str">
        <f>IFERROR(__xludf.DUMMYFUNCTION("""COMPUTED_VALUE"""),"CLOSED")</f>
        <v>CLOSED</v>
      </c>
      <c r="U3247" s="1" t="str">
        <f>IFERROR(__xludf.DUMMYFUNCTION("""COMPUTED_VALUE"""),"POSTED")</f>
        <v>POSTED</v>
      </c>
      <c r="V3247" s="1" t="str">
        <f>IFERROR(__xludf.DUMMYFUNCTION("""COMPUTED_VALUE"""),"WITH 1 AMSF")</f>
        <v>WITH 1 AMSF</v>
      </c>
      <c r="W3247" s="1"/>
    </row>
    <row r="3248" customHeight="1" spans="1:23">
      <c r="A3248" s="3">
        <f>IFERROR(__xludf.DUMMYFUNCTION("""COMPUTED_VALUE"""),46293)</f>
        <v>46293</v>
      </c>
      <c r="B3248" s="1" t="str">
        <f>IFERROR(__xludf.DUMMYFUNCTION("""COMPUTED_VALUE"""),"AYON MANUEL")</f>
        <v>AYON MANUEL</v>
      </c>
      <c r="C3248" s="1" t="str">
        <f>IFERROR(__xludf.DUMMYFUNCTION("""COMPUTED_VALUE"""),"FLA")</f>
        <v>FLA</v>
      </c>
      <c r="D3248" s="1" t="str">
        <f>IFERROR(__xludf.DUMMYFUNCTION("""COMPUTED_VALUE"""),"JERIC NAVARRO")</f>
        <v>JERIC NAVARRO</v>
      </c>
      <c r="E3248" s="1" t="str">
        <f>IFERROR(__xludf.DUMMYFUNCTION("""COMPUTED_VALUE"""),"PLDT / H2H")</f>
        <v>PLDT / H2H</v>
      </c>
      <c r="F3248" s="1"/>
      <c r="G3248" s="1">
        <f>IFERROR(__xludf.DUMMYFUNCTION("""COMPUTED_VALUE"""),2312853602)</f>
        <v>2312853602</v>
      </c>
      <c r="H3248" s="1" t="str">
        <f>IFERROR(__xludf.DUMMYFUNCTION("""COMPUTED_VALUE"""),"473302705004")</f>
        <v>473302705004</v>
      </c>
      <c r="I3248" s="1">
        <f>IFERROR(__xludf.DUMMYFUNCTION("""COMPUTED_VALUE"""),639773403532)</f>
        <v>639773403532</v>
      </c>
      <c r="J3248" s="1">
        <f>IFERROR(__xludf.DUMMYFUNCTION("""COMPUTED_VALUE"""),639053882519)</f>
        <v>639053882519</v>
      </c>
      <c r="K3248" s="1"/>
      <c r="L3248" s="1" t="str">
        <f>IFERROR(__xludf.DUMMYFUNCTION("""COMPUTED_VALUE"""),"#N/A")</f>
        <v>#N/A</v>
      </c>
      <c r="M3248" s="1" t="str">
        <f>IFERROR(__xludf.DUMMYFUNCTION("""COMPUTED_VALUE"""),"#N/A")</f>
        <v>#N/A</v>
      </c>
      <c r="N3248" s="1" t="str">
        <f>IFERROR(__xludf.DUMMYFUNCTION("""COMPUTED_VALUE"""),"#N/A")</f>
        <v>#N/A</v>
      </c>
      <c r="O3248" s="1" t="str">
        <f>IFERROR(__xludf.DUMMYFUNCTION("""COMPUTED_VALUE"""),"SABUTAN")</f>
        <v>SABUTAN</v>
      </c>
      <c r="P3248" s="1" t="str">
        <f>IFERROR(__xludf.DUMMYFUNCTION("""COMPUTED_VALUE"""),"SILANG")</f>
        <v>SILANG</v>
      </c>
      <c r="Q3248" s="1" t="str">
        <f>IFERROR(__xludf.DUMMYFUNCTION("""COMPUTED_VALUE"""),"CAVITE")</f>
        <v>CAVITE</v>
      </c>
      <c r="R3248" s="1" t="str">
        <f>IFERROR(__xludf.DUMMYFUNCTION("""COMPUTED_VALUE"""),"FIBR PLAN 1299")</f>
        <v>FIBR PLAN 1299</v>
      </c>
      <c r="S3248" s="1" t="str">
        <f>IFERROR(__xludf.DUMMYFUNCTION("""COMPUTED_VALUE"""),"APPROVED")</f>
        <v>APPROVED</v>
      </c>
      <c r="T3248" s="1" t="str">
        <f>IFERROR(__xludf.DUMMYFUNCTION("""COMPUTED_VALUE"""),"CLOSED")</f>
        <v>CLOSED</v>
      </c>
      <c r="U3248" s="1" t="str">
        <f>IFERROR(__xludf.DUMMYFUNCTION("""COMPUTED_VALUE"""),"POSTED")</f>
        <v>POSTED</v>
      </c>
      <c r="V3248" s="1" t="str">
        <f>IFERROR(__xludf.DUMMYFUNCTION("""COMPUTED_VALUE"""),"WITH 1 AMSF")</f>
        <v>WITH 1 AMSF</v>
      </c>
      <c r="W3248" s="1"/>
    </row>
    <row r="3249" customHeight="1" spans="1:23">
      <c r="A3249" s="3">
        <f>IFERROR(__xludf.DUMMYFUNCTION("""COMPUTED_VALUE"""),46293)</f>
        <v>46293</v>
      </c>
      <c r="B3249" s="1" t="str">
        <f>IFERROR(__xludf.DUMMYFUNCTION("""COMPUTED_VALUE"""),"MAGDARAOG, KENNETH")</f>
        <v>MAGDARAOG, KENNETH</v>
      </c>
      <c r="C3249" s="1" t="str">
        <f>IFERROR(__xludf.DUMMYFUNCTION("""COMPUTED_VALUE"""),"ORGANIC")</f>
        <v>ORGANIC</v>
      </c>
      <c r="D3249" s="1" t="str">
        <f>IFERROR(__xludf.DUMMYFUNCTION("""COMPUTED_VALUE"""),"REMOLLO LEA")</f>
        <v>REMOLLO LEA</v>
      </c>
      <c r="E3249" s="1" t="str">
        <f>IFERROR(__xludf.DUMMYFUNCTION("""COMPUTED_VALUE"""),"PLDT / H2H")</f>
        <v>PLDT / H2H</v>
      </c>
      <c r="F3249" s="1"/>
      <c r="G3249" s="1">
        <f>IFERROR(__xludf.DUMMYFUNCTION("""COMPUTED_VALUE"""),2312855574)</f>
        <v>2312855574</v>
      </c>
      <c r="H3249" s="1" t="str">
        <f>IFERROR(__xludf.DUMMYFUNCTION("""COMPUTED_VALUE"""),"473428575004")</f>
        <v>473428575004</v>
      </c>
      <c r="I3249" s="1">
        <f>IFERROR(__xludf.DUMMYFUNCTION("""COMPUTED_VALUE"""),639707336437)</f>
        <v>639707336437</v>
      </c>
      <c r="J3249" s="1"/>
      <c r="K3249" s="1"/>
      <c r="L3249" s="1" t="str">
        <f>IFERROR(__xludf.DUMMYFUNCTION("""COMPUTED_VALUE"""),"#N/A")</f>
        <v>#N/A</v>
      </c>
      <c r="M3249" s="1" t="str">
        <f>IFERROR(__xludf.DUMMYFUNCTION("""COMPUTED_VALUE"""),"#N/A")</f>
        <v>#N/A</v>
      </c>
      <c r="N3249" s="1" t="str">
        <f>IFERROR(__xludf.DUMMYFUNCTION("""COMPUTED_VALUE"""),"#N/A")</f>
        <v>#N/A</v>
      </c>
      <c r="O3249" s="1" t="str">
        <f>IFERROR(__xludf.DUMMYFUNCTION("""COMPUTED_VALUE"""),"TOLEDO")</f>
        <v>TOLEDO</v>
      </c>
      <c r="P3249" s="1" t="str">
        <f>IFERROR(__xludf.DUMMYFUNCTION("""COMPUTED_VALUE"""),"SILANG")</f>
        <v>SILANG</v>
      </c>
      <c r="Q3249" s="1" t="str">
        <f>IFERROR(__xludf.DUMMYFUNCTION("""COMPUTED_VALUE"""),"CAVITE")</f>
        <v>CAVITE</v>
      </c>
      <c r="R3249" s="1" t="str">
        <f>IFERROR(__xludf.DUMMYFUNCTION("""COMPUTED_VALUE"""),"FIBR PLAN 1299")</f>
        <v>FIBR PLAN 1299</v>
      </c>
      <c r="S3249" s="1" t="str">
        <f>IFERROR(__xludf.DUMMYFUNCTION("""COMPUTED_VALUE"""),"APPROVED")</f>
        <v>APPROVED</v>
      </c>
      <c r="T3249" s="1" t="str">
        <f>IFERROR(__xludf.DUMMYFUNCTION("""COMPUTED_VALUE"""),"CLOSED")</f>
        <v>CLOSED</v>
      </c>
      <c r="U3249" s="1" t="str">
        <f>IFERROR(__xludf.DUMMYFUNCTION("""COMPUTED_VALUE"""),"POSTED")</f>
        <v>POSTED</v>
      </c>
      <c r="V3249" s="1" t="str">
        <f>IFERROR(__xludf.DUMMYFUNCTION("""COMPUTED_VALUE"""),"NO 1 AMSF")</f>
        <v>NO 1 AMSF</v>
      </c>
      <c r="W3249" s="1"/>
    </row>
    <row r="3250" customHeight="1" spans="1:23">
      <c r="A3250" s="3">
        <f>IFERROR(__xludf.DUMMYFUNCTION("""COMPUTED_VALUE"""),46293)</f>
        <v>46293</v>
      </c>
      <c r="B3250" s="1" t="str">
        <f>IFERROR(__xludf.DUMMYFUNCTION("""COMPUTED_VALUE"""),"TAMAYO, MARY ROSE")</f>
        <v>TAMAYO, MARY ROSE</v>
      </c>
      <c r="C3250" s="1" t="str">
        <f>IFERROR(__xludf.DUMMYFUNCTION("""COMPUTED_VALUE"""),"ORGANIC")</f>
        <v>ORGANIC</v>
      </c>
      <c r="D3250" s="1" t="str">
        <f>IFERROR(__xludf.DUMMYFUNCTION("""COMPUTED_VALUE"""),"REMOLLO LEA")</f>
        <v>REMOLLO LEA</v>
      </c>
      <c r="E3250" s="1" t="str">
        <f>IFERROR(__xludf.DUMMYFUNCTION("""COMPUTED_VALUE"""),"PLDT / H2H")</f>
        <v>PLDT / H2H</v>
      </c>
      <c r="F3250" s="1"/>
      <c r="G3250" s="1">
        <f>IFERROR(__xludf.DUMMYFUNCTION("""COMPUTED_VALUE"""),2312855779)</f>
        <v>2312855779</v>
      </c>
      <c r="H3250" s="1" t="str">
        <f>IFERROR(__xludf.DUMMYFUNCTION("""COMPUTED_VALUE"""),"#N/A")</f>
        <v>#N/A</v>
      </c>
      <c r="I3250" s="1">
        <f>IFERROR(__xludf.DUMMYFUNCTION("""COMPUTED_VALUE"""),639275610666)</f>
        <v>639275610666</v>
      </c>
      <c r="J3250" s="1">
        <f>IFERROR(__xludf.DUMMYFUNCTION("""COMPUTED_VALUE"""),639942407380)</f>
        <v>639942407380</v>
      </c>
      <c r="K3250" s="1"/>
      <c r="L3250" s="1" t="str">
        <f>IFERROR(__xludf.DUMMYFUNCTION("""COMPUTED_VALUE"""),"#N/A")</f>
        <v>#N/A</v>
      </c>
      <c r="M3250" s="1" t="str">
        <f>IFERROR(__xludf.DUMMYFUNCTION("""COMPUTED_VALUE"""),"#N/A")</f>
        <v>#N/A</v>
      </c>
      <c r="N3250" s="1" t="str">
        <f>IFERROR(__xludf.DUMMYFUNCTION("""COMPUTED_VALUE"""),"#N/A")</f>
        <v>#N/A</v>
      </c>
      <c r="O3250" s="1" t="str">
        <f>IFERROR(__xludf.DUMMYFUNCTION("""COMPUTED_VALUE"""),"BARANGAY IV (POB.)")</f>
        <v>BARANGAY IV (POB.)</v>
      </c>
      <c r="P3250" s="1" t="str">
        <f>IFERROR(__xludf.DUMMYFUNCTION("""COMPUTED_VALUE"""),"GEN MARIANO ALVAREZ")</f>
        <v>GEN MARIANO ALVAREZ</v>
      </c>
      <c r="Q3250" s="1" t="str">
        <f>IFERROR(__xludf.DUMMYFUNCTION("""COMPUTED_VALUE"""),"CAVITE")</f>
        <v>CAVITE</v>
      </c>
      <c r="R3250" s="1" t="str">
        <f>IFERROR(__xludf.DUMMYFUNCTION("""COMPUTED_VALUE"""),"FIBR PLAN 1299")</f>
        <v>FIBR PLAN 1299</v>
      </c>
      <c r="S3250" s="1" t="str">
        <f>IFERROR(__xludf.DUMMYFUNCTION("""COMPUTED_VALUE"""),"APPROVED")</f>
        <v>APPROVED</v>
      </c>
      <c r="T3250" s="1" t="str">
        <f>IFERROR(__xludf.DUMMYFUNCTION("""COMPUTED_VALUE"""),"CANCELLED")</f>
        <v>CANCELLED</v>
      </c>
      <c r="U3250" s="1" t="str">
        <f>IFERROR(__xludf.DUMMYFUNCTION("""COMPUTED_VALUE"""),"CANCELLED - WITH OB")</f>
        <v>CANCELLED - WITH OB</v>
      </c>
      <c r="V3250" s="1"/>
      <c r="W3250" s="1"/>
    </row>
    <row r="3251" customHeight="1" spans="1:23">
      <c r="A3251" s="3">
        <f>IFERROR(__xludf.DUMMYFUNCTION("""COMPUTED_VALUE"""),46294)</f>
        <v>46294</v>
      </c>
      <c r="B3251" s="1" t="str">
        <f>IFERROR(__xludf.DUMMYFUNCTION("""COMPUTED_VALUE"""),"REMOLLO, LEA")</f>
        <v>REMOLLO, LEA</v>
      </c>
      <c r="C3251" s="1" t="str">
        <f>IFERROR(__xludf.DUMMYFUNCTION("""COMPUTED_VALUE"""),"FLA")</f>
        <v>FLA</v>
      </c>
      <c r="D3251" s="1" t="str">
        <f>IFERROR(__xludf.DUMMYFUNCTION("""COMPUTED_VALUE"""),"JERIC NAVARRO")</f>
        <v>JERIC NAVARRO</v>
      </c>
      <c r="E3251" s="1" t="str">
        <f>IFERROR(__xludf.DUMMYFUNCTION("""COMPUTED_VALUE"""),"PLDT / H2H")</f>
        <v>PLDT / H2H</v>
      </c>
      <c r="F3251" s="1"/>
      <c r="G3251" s="1">
        <f>IFERROR(__xludf.DUMMYFUNCTION("""COMPUTED_VALUE"""),2312864466)</f>
        <v>2312864466</v>
      </c>
      <c r="H3251" s="1" t="str">
        <f>IFERROR(__xludf.DUMMYFUNCTION("""COMPUTED_VALUE"""),"473434647004")</f>
        <v>473434647004</v>
      </c>
      <c r="I3251" s="1">
        <f>IFERROR(__xludf.DUMMYFUNCTION("""COMPUTED_VALUE"""),639214359823)</f>
        <v>639214359823</v>
      </c>
      <c r="J3251" s="1"/>
      <c r="K3251" s="1"/>
      <c r="L3251" s="1" t="str">
        <f>IFERROR(__xludf.DUMMYFUNCTION("""COMPUTED_VALUE"""),"#N/A")</f>
        <v>#N/A</v>
      </c>
      <c r="M3251" s="1" t="str">
        <f>IFERROR(__xludf.DUMMYFUNCTION("""COMPUTED_VALUE"""),"#N/A")</f>
        <v>#N/A</v>
      </c>
      <c r="N3251" s="1" t="str">
        <f>IFERROR(__xludf.DUMMYFUNCTION("""COMPUTED_VALUE"""),"#N/A")</f>
        <v>#N/A</v>
      </c>
      <c r="O3251" s="1" t="str">
        <f>IFERROR(__xludf.DUMMYFUNCTION("""COMPUTED_VALUE"""),"PASONG LANGKA")</f>
        <v>PASONG LANGKA</v>
      </c>
      <c r="P3251" s="1" t="str">
        <f>IFERROR(__xludf.DUMMYFUNCTION("""COMPUTED_VALUE"""),"SILANG")</f>
        <v>SILANG</v>
      </c>
      <c r="Q3251" s="1" t="str">
        <f>IFERROR(__xludf.DUMMYFUNCTION("""COMPUTED_VALUE"""),"CAVITE")</f>
        <v>CAVITE</v>
      </c>
      <c r="R3251" s="1" t="str">
        <f>IFERROR(__xludf.DUMMYFUNCTION("""COMPUTED_VALUE"""),"FIBR NETFLIX PLAN 1599")</f>
        <v>FIBR NETFLIX PLAN 1599</v>
      </c>
      <c r="S3251" s="1" t="str">
        <f>IFERROR(__xludf.DUMMYFUNCTION("""COMPUTED_VALUE"""),"APPROVED")</f>
        <v>APPROVED</v>
      </c>
      <c r="T3251" s="1" t="str">
        <f>IFERROR(__xludf.DUMMYFUNCTION("""COMPUTED_VALUE"""),"FOR PAYMENT")</f>
        <v>FOR PAYMENT</v>
      </c>
      <c r="U3251" s="1" t="str">
        <f>IFERROR(__xludf.DUMMYFUNCTION("""COMPUTED_VALUE"""),"FOR PAYMENT")</f>
        <v>FOR PAYMENT</v>
      </c>
      <c r="V3251" s="1"/>
      <c r="W3251" s="1"/>
    </row>
    <row r="3252" customHeight="1" spans="1:23">
      <c r="A3252" s="3">
        <f>IFERROR(__xludf.DUMMYFUNCTION("""COMPUTED_VALUE"""),46294)</f>
        <v>46294</v>
      </c>
      <c r="B3252" s="1" t="str">
        <f>IFERROR(__xludf.DUMMYFUNCTION("""COMPUTED_VALUE"""),"ARIENA, LYKA")</f>
        <v>ARIENA, LYKA</v>
      </c>
      <c r="C3252" s="1" t="str">
        <f>IFERROR(__xludf.DUMMYFUNCTION("""COMPUTED_VALUE"""),"ORGANIC")</f>
        <v>ORGANIC</v>
      </c>
      <c r="D3252" s="1" t="str">
        <f>IFERROR(__xludf.DUMMYFUNCTION("""COMPUTED_VALUE"""),"REMOLLO LEA")</f>
        <v>REMOLLO LEA</v>
      </c>
      <c r="E3252" s="1" t="str">
        <f>IFERROR(__xludf.DUMMYFUNCTION("""COMPUTED_VALUE"""),"PLDT / ONLINE")</f>
        <v>PLDT / ONLINE</v>
      </c>
      <c r="F3252" s="1"/>
      <c r="G3252" s="1">
        <f>IFERROR(__xludf.DUMMYFUNCTION("""COMPUTED_VALUE"""),2312865753)</f>
        <v>2312865753</v>
      </c>
      <c r="H3252" s="1" t="str">
        <f>IFERROR(__xludf.DUMMYFUNCTION("""COMPUTED_VALUE"""),"473434406004")</f>
        <v>473434406004</v>
      </c>
      <c r="I3252" s="1">
        <f>IFERROR(__xludf.DUMMYFUNCTION("""COMPUTED_VALUE"""),639178914802)</f>
        <v>639178914802</v>
      </c>
      <c r="J3252" s="1"/>
      <c r="K3252" s="1"/>
      <c r="L3252" s="1" t="str">
        <f>IFERROR(__xludf.DUMMYFUNCTION("""COMPUTED_VALUE"""),"#N/A")</f>
        <v>#N/A</v>
      </c>
      <c r="M3252" s="1" t="str">
        <f>IFERROR(__xludf.DUMMYFUNCTION("""COMPUTED_VALUE"""),"#N/A")</f>
        <v>#N/A</v>
      </c>
      <c r="N3252" s="1" t="str">
        <f>IFERROR(__xludf.DUMMYFUNCTION("""COMPUTED_VALUE"""),"#N/A")</f>
        <v>#N/A</v>
      </c>
      <c r="O3252" s="1" t="str">
        <f>IFERROR(__xludf.DUMMYFUNCTION("""COMPUTED_VALUE"""),"SANTOL")</f>
        <v>SANTOL</v>
      </c>
      <c r="P3252" s="1" t="str">
        <f>IFERROR(__xludf.DUMMYFUNCTION("""COMPUTED_VALUE"""),"TANZA")</f>
        <v>TANZA</v>
      </c>
      <c r="Q3252" s="1" t="str">
        <f>IFERROR(__xludf.DUMMYFUNCTION("""COMPUTED_VALUE"""),"CAVITE")</f>
        <v>CAVITE</v>
      </c>
      <c r="R3252" s="1" t="str">
        <f>IFERROR(__xludf.DUMMYFUNCTION("""COMPUTED_VALUE"""),"FIBR UNLI ALL PLAN 1499")</f>
        <v>FIBR UNLI ALL PLAN 1499</v>
      </c>
      <c r="S3252" s="1" t="str">
        <f>IFERROR(__xludf.DUMMYFUNCTION("""COMPUTED_VALUE"""),"APPROVED")</f>
        <v>APPROVED</v>
      </c>
      <c r="T3252" s="1" t="str">
        <f>IFERROR(__xludf.DUMMYFUNCTION("""COMPUTED_VALUE"""),"RPR")</f>
        <v>RPR</v>
      </c>
      <c r="U3252" s="1" t="str">
        <f>IFERROR(__xludf.DUMMYFUNCTION("""COMPUTED_VALUE"""),"RPR - UNMAINTANABLE")</f>
        <v>RPR - UNMAINTANABLE</v>
      </c>
      <c r="V3252" s="1" t="str">
        <f>IFERROR(__xludf.DUMMYFUNCTION("""COMPUTED_VALUE"""),"NO 1 AMSF")</f>
        <v>NO 1 AMSF</v>
      </c>
      <c r="W3252" s="1"/>
    </row>
    <row r="3253" customHeight="1" spans="1:23">
      <c r="A3253" s="3">
        <f>IFERROR(__xludf.DUMMYFUNCTION("""COMPUTED_VALUE"""),46294)</f>
        <v>46294</v>
      </c>
      <c r="B3253" s="1" t="str">
        <f>IFERROR(__xludf.DUMMYFUNCTION("""COMPUTED_VALUE"""),"MALIWAT MARK ELVIN")</f>
        <v>MALIWAT MARK ELVIN</v>
      </c>
      <c r="C3253" s="1" t="str">
        <f>IFERROR(__xludf.DUMMYFUNCTION("""COMPUTED_VALUE"""),"FLA")</f>
        <v>FLA</v>
      </c>
      <c r="D3253" s="1" t="str">
        <f>IFERROR(__xludf.DUMMYFUNCTION("""COMPUTED_VALUE"""),"JERIC NAVARRO")</f>
        <v>JERIC NAVARRO</v>
      </c>
      <c r="E3253" s="1" t="str">
        <f>IFERROR(__xludf.DUMMYFUNCTION("""COMPUTED_VALUE"""),"PLDT / ONLINE")</f>
        <v>PLDT / ONLINE</v>
      </c>
      <c r="F3253" s="1"/>
      <c r="G3253" s="1">
        <f>IFERROR(__xludf.DUMMYFUNCTION("""COMPUTED_VALUE"""),2312870620)</f>
        <v>2312870620</v>
      </c>
      <c r="H3253" s="1" t="str">
        <f>IFERROR(__xludf.DUMMYFUNCTION("""COMPUTED_VALUE"""),"473460666004")</f>
        <v>473460666004</v>
      </c>
      <c r="I3253" s="1"/>
      <c r="J3253" s="1"/>
      <c r="K3253" s="1"/>
      <c r="L3253" s="1" t="str">
        <f>IFERROR(__xludf.DUMMYFUNCTION("""COMPUTED_VALUE"""),"#N/A")</f>
        <v>#N/A</v>
      </c>
      <c r="M3253" s="1" t="str">
        <f>IFERROR(__xludf.DUMMYFUNCTION("""COMPUTED_VALUE"""),"#N/A")</f>
        <v>#N/A</v>
      </c>
      <c r="N3253" s="1" t="str">
        <f>IFERROR(__xludf.DUMMYFUNCTION("""COMPUTED_VALUE"""),"#N/A")</f>
        <v>#N/A</v>
      </c>
      <c r="O3253" s="1" t="str">
        <f>IFERROR(__xludf.DUMMYFUNCTION("""COMPUTED_VALUE"""),"LANGKAAN I")</f>
        <v>LANGKAAN I</v>
      </c>
      <c r="P3253" s="1" t="str">
        <f>IFERROR(__xludf.DUMMYFUNCTION("""COMPUTED_VALUE"""),"DASMARINAS")</f>
        <v>DASMARINAS</v>
      </c>
      <c r="Q3253" s="1" t="str">
        <f>IFERROR(__xludf.DUMMYFUNCTION("""COMPUTED_VALUE"""),"CAVITE")</f>
        <v>CAVITE</v>
      </c>
      <c r="R3253" s="1" t="str">
        <f>IFERROR(__xludf.DUMMYFUNCTION("""COMPUTED_VALUE"""),"FIBR NETFLIX PLAN 1599")</f>
        <v>FIBR NETFLIX PLAN 1599</v>
      </c>
      <c r="S3253" s="1" t="str">
        <f>IFERROR(__xludf.DUMMYFUNCTION("""COMPUTED_VALUE"""),"APPROVED")</f>
        <v>APPROVED</v>
      </c>
      <c r="T3253" s="1" t="str">
        <f>IFERROR(__xludf.DUMMYFUNCTION("""COMPUTED_VALUE"""),"CLOSED")</f>
        <v>CLOSED</v>
      </c>
      <c r="U3253" s="1" t="str">
        <f>IFERROR(__xludf.DUMMYFUNCTION("""COMPUTED_VALUE"""),"POSTED")</f>
        <v>POSTED</v>
      </c>
      <c r="V3253" s="1" t="str">
        <f>IFERROR(__xludf.DUMMYFUNCTION("""COMPUTED_VALUE"""),"WITH 1 AMSF")</f>
        <v>WITH 1 AMSF</v>
      </c>
      <c r="W3253" s="1"/>
    </row>
    <row r="3254" customHeight="1" spans="1:23">
      <c r="A3254" s="3">
        <f>IFERROR(__xludf.DUMMYFUNCTION("""COMPUTED_VALUE"""),46294)</f>
        <v>46294</v>
      </c>
      <c r="B3254" s="1" t="str">
        <f>IFERROR(__xludf.DUMMYFUNCTION("""COMPUTED_VALUE"""),"MALIWAT MARK ELVIN")</f>
        <v>MALIWAT MARK ELVIN</v>
      </c>
      <c r="C3254" s="1" t="str">
        <f>IFERROR(__xludf.DUMMYFUNCTION("""COMPUTED_VALUE"""),"FLA")</f>
        <v>FLA</v>
      </c>
      <c r="D3254" s="1" t="str">
        <f>IFERROR(__xludf.DUMMYFUNCTION("""COMPUTED_VALUE"""),"JERIC NAVARRO")</f>
        <v>JERIC NAVARRO</v>
      </c>
      <c r="E3254" s="1" t="str">
        <f>IFERROR(__xludf.DUMMYFUNCTION("""COMPUTED_VALUE"""),"PLDT / ONLINE")</f>
        <v>PLDT / ONLINE</v>
      </c>
      <c r="F3254" s="1"/>
      <c r="G3254" s="1">
        <f>IFERROR(__xludf.DUMMYFUNCTION("""COMPUTED_VALUE"""),2312875621)</f>
        <v>2312875621</v>
      </c>
      <c r="H3254" s="1" t="str">
        <f>IFERROR(__xludf.DUMMYFUNCTION("""COMPUTED_VALUE"""),"473461286004")</f>
        <v>473461286004</v>
      </c>
      <c r="I3254" s="1">
        <f>IFERROR(__xludf.DUMMYFUNCTION("""COMPUTED_VALUE"""),639537844222)</f>
        <v>639537844222</v>
      </c>
      <c r="J3254" s="1">
        <f>IFERROR(__xludf.DUMMYFUNCTION("""COMPUTED_VALUE"""),639648643828)</f>
        <v>639648643828</v>
      </c>
      <c r="K3254" s="1"/>
      <c r="L3254" s="1" t="str">
        <f>IFERROR(__xludf.DUMMYFUNCTION("""COMPUTED_VALUE"""),"#N/A")</f>
        <v>#N/A</v>
      </c>
      <c r="M3254" s="1" t="str">
        <f>IFERROR(__xludf.DUMMYFUNCTION("""COMPUTED_VALUE"""),"#N/A")</f>
        <v>#N/A</v>
      </c>
      <c r="N3254" s="1" t="str">
        <f>IFERROR(__xludf.DUMMYFUNCTION("""COMPUTED_VALUE"""),"#N/A")</f>
        <v>#N/A</v>
      </c>
      <c r="O3254" s="1" t="str">
        <f>IFERROR(__xludf.DUMMYFUNCTION("""COMPUTED_VALUE"""),"BILUSO")</f>
        <v>BILUSO</v>
      </c>
      <c r="P3254" s="1" t="str">
        <f>IFERROR(__xludf.DUMMYFUNCTION("""COMPUTED_VALUE"""),"SILANG")</f>
        <v>SILANG</v>
      </c>
      <c r="Q3254" s="1" t="str">
        <f>IFERROR(__xludf.DUMMYFUNCTION("""COMPUTED_VALUE"""),"CAVITE")</f>
        <v>CAVITE</v>
      </c>
      <c r="R3254" s="1" t="str">
        <f>IFERROR(__xludf.DUMMYFUNCTION("""COMPUTED_VALUE"""),"FIBR UNLI ALL PLAN 999")</f>
        <v>FIBR UNLI ALL PLAN 999</v>
      </c>
      <c r="S3254" s="1" t="str">
        <f>IFERROR(__xludf.DUMMYFUNCTION("""COMPUTED_VALUE"""),"APPROVED")</f>
        <v>APPROVED</v>
      </c>
      <c r="T3254" s="1" t="str">
        <f>IFERROR(__xludf.DUMMYFUNCTION("""COMPUTED_VALUE"""),"CLOSED")</f>
        <v>CLOSED</v>
      </c>
      <c r="U3254" s="1" t="str">
        <f>IFERROR(__xludf.DUMMYFUNCTION("""COMPUTED_VALUE"""),"POSTED")</f>
        <v>POSTED</v>
      </c>
      <c r="V3254" s="1" t="str">
        <f>IFERROR(__xludf.DUMMYFUNCTION("""COMPUTED_VALUE"""),"WITH 1 AMSF")</f>
        <v>WITH 1 AMSF</v>
      </c>
      <c r="W3254" s="1"/>
    </row>
    <row r="3255" customHeight="1" spans="1:23">
      <c r="A3255" s="3">
        <f>IFERROR(__xludf.DUMMYFUNCTION("""COMPUTED_VALUE"""),46295)</f>
        <v>46295</v>
      </c>
      <c r="B3255" s="1" t="str">
        <f>IFERROR(__xludf.DUMMYFUNCTION("""COMPUTED_VALUE"""),"GABAY, MANUEL")</f>
        <v>GABAY, MANUEL</v>
      </c>
      <c r="C3255" s="1" t="str">
        <f>IFERROR(__xludf.DUMMYFUNCTION("""COMPUTED_VALUE"""),"FLA")</f>
        <v>FLA</v>
      </c>
      <c r="D3255" s="1" t="str">
        <f>IFERROR(__xludf.DUMMYFUNCTION("""COMPUTED_VALUE"""),"JERIC NAVARRO")</f>
        <v>JERIC NAVARRO</v>
      </c>
      <c r="E3255" s="1" t="str">
        <f>IFERROR(__xludf.DUMMYFUNCTION("""COMPUTED_VALUE"""),"PLDT / H2H")</f>
        <v>PLDT / H2H</v>
      </c>
      <c r="F3255" s="1"/>
      <c r="G3255" s="1">
        <f>IFERROR(__xludf.DUMMYFUNCTION("""COMPUTED_VALUE"""),2312883376)</f>
        <v>2312883376</v>
      </c>
      <c r="H3255" s="1" t="str">
        <f>IFERROR(__xludf.DUMMYFUNCTION("""COMPUTED_VALUE"""),"473580444004")</f>
        <v>473580444004</v>
      </c>
      <c r="I3255" s="1">
        <f>IFERROR(__xludf.DUMMYFUNCTION("""COMPUTED_VALUE"""),639363802674)</f>
        <v>639363802674</v>
      </c>
      <c r="J3255" s="1"/>
      <c r="K3255" s="1"/>
      <c r="L3255" s="1" t="str">
        <f>IFERROR(__xludf.DUMMYFUNCTION("""COMPUTED_VALUE"""),"#N/A")</f>
        <v>#N/A</v>
      </c>
      <c r="M3255" s="1" t="str">
        <f>IFERROR(__xludf.DUMMYFUNCTION("""COMPUTED_VALUE"""),"#N/A")</f>
        <v>#N/A</v>
      </c>
      <c r="N3255" s="1" t="str">
        <f>IFERROR(__xludf.DUMMYFUNCTION("""COMPUTED_VALUE"""),"#N/A")</f>
        <v>#N/A</v>
      </c>
      <c r="O3255" s="1" t="str">
        <f>IFERROR(__xludf.DUMMYFUNCTION("""COMPUTED_VALUE"""),"BANABA")</f>
        <v>BANABA</v>
      </c>
      <c r="P3255" s="1" t="str">
        <f>IFERROR(__xludf.DUMMYFUNCTION("""COMPUTED_VALUE"""),"SILANG")</f>
        <v>SILANG</v>
      </c>
      <c r="Q3255" s="1" t="str">
        <f>IFERROR(__xludf.DUMMYFUNCTION("""COMPUTED_VALUE"""),"CAVITE")</f>
        <v>CAVITE</v>
      </c>
      <c r="R3255" s="1" t="str">
        <f>IFERROR(__xludf.DUMMYFUNCTION("""COMPUTED_VALUE"""),"FIBR PLAN 1299")</f>
        <v>FIBR PLAN 1299</v>
      </c>
      <c r="S3255" s="1" t="str">
        <f>IFERROR(__xludf.DUMMYFUNCTION("""COMPUTED_VALUE"""),"APPROVED")</f>
        <v>APPROVED</v>
      </c>
      <c r="T3255" s="1" t="str">
        <f>IFERROR(__xludf.DUMMYFUNCTION("""COMPUTED_VALUE"""),"PAID")</f>
        <v>PAID</v>
      </c>
      <c r="U3255" s="1" t="str">
        <f>IFERROR(__xludf.DUMMYFUNCTION("""COMPUTED_VALUE"""),"PAID - FOR INSTALLATION")</f>
        <v>PAID - FOR INSTALLATION</v>
      </c>
      <c r="V3255" s="1" t="str">
        <f>IFERROR(__xludf.DUMMYFUNCTION("""COMPUTED_VALUE"""),"NO 1 AMSF")</f>
        <v>NO 1 AMSF</v>
      </c>
      <c r="W3255" s="1"/>
    </row>
    <row r="3256" customHeight="1" spans="1:23">
      <c r="A3256" s="3">
        <f>IFERROR(__xludf.DUMMYFUNCTION("""COMPUTED_VALUE"""),46295)</f>
        <v>46295</v>
      </c>
      <c r="B3256" s="1" t="str">
        <f>IFERROR(__xludf.DUMMYFUNCTION("""COMPUTED_VALUE"""),"LEADSTORE - ILANO, LIANDRO TEJAS")</f>
        <v>LEADSTORE - ILANO, LIANDRO TEJAS</v>
      </c>
      <c r="C3256" s="1" t="str">
        <f>IFERROR(__xludf.DUMMYFUNCTION("""COMPUTED_VALUE"""),"LEADSTORE")</f>
        <v>LEADSTORE</v>
      </c>
      <c r="D3256" s="1" t="str">
        <f>IFERROR(__xludf.DUMMYFUNCTION("""COMPUTED_VALUE"""),"JERIC NAVARRO")</f>
        <v>JERIC NAVARRO</v>
      </c>
      <c r="E3256" s="1" t="str">
        <f>IFERROR(__xludf.DUMMYFUNCTION("""COMPUTED_VALUE"""),"PLDT / ONLINE")</f>
        <v>PLDT / ONLINE</v>
      </c>
      <c r="F3256" s="1"/>
      <c r="G3256" s="1">
        <f>IFERROR(__xludf.DUMMYFUNCTION("""COMPUTED_VALUE"""),2312893973)</f>
        <v>2312893973</v>
      </c>
      <c r="H3256" s="1" t="str">
        <f>IFERROR(__xludf.DUMMYFUNCTION("""COMPUTED_VALUE"""),"473757906004")</f>
        <v>473757906004</v>
      </c>
      <c r="I3256" s="1">
        <f>IFERROR(__xludf.DUMMYFUNCTION("""COMPUTED_VALUE"""),639496576269)</f>
        <v>639496576269</v>
      </c>
      <c r="J3256" s="1">
        <f>IFERROR(__xludf.DUMMYFUNCTION("""COMPUTED_VALUE"""),639625388912)</f>
        <v>639625388912</v>
      </c>
      <c r="K3256" s="1"/>
      <c r="L3256" s="1" t="str">
        <f>IFERROR(__xludf.DUMMYFUNCTION("""COMPUTED_VALUE"""),"#N/A")</f>
        <v>#N/A</v>
      </c>
      <c r="M3256" s="1" t="str">
        <f>IFERROR(__xludf.DUMMYFUNCTION("""COMPUTED_VALUE"""),"#N/A")</f>
        <v>#N/A</v>
      </c>
      <c r="N3256" s="1" t="str">
        <f>IFERROR(__xludf.DUMMYFUNCTION("""COMPUTED_VALUE"""),"#N/A")</f>
        <v>#N/A</v>
      </c>
      <c r="O3256" s="1" t="str">
        <f>IFERROR(__xludf.DUMMYFUNCTION("""COMPUTED_VALUE"""),"KAYBAGAL SOUTH (POB.)")</f>
        <v>KAYBAGAL SOUTH (POB.)</v>
      </c>
      <c r="P3256" s="1" t="str">
        <f>IFERROR(__xludf.DUMMYFUNCTION("""COMPUTED_VALUE"""),"TAGAYTAY")</f>
        <v>TAGAYTAY</v>
      </c>
      <c r="Q3256" s="1" t="str">
        <f>IFERROR(__xludf.DUMMYFUNCTION("""COMPUTED_VALUE"""),"CAVITE")</f>
        <v>CAVITE</v>
      </c>
      <c r="R3256" s="1" t="str">
        <f>IFERROR(__xludf.DUMMYFUNCTION("""COMPUTED_VALUE"""),"FIBR UNLI ALL PLAN 2599")</f>
        <v>FIBR UNLI ALL PLAN 2599</v>
      </c>
      <c r="S3256" s="1" t="str">
        <f>IFERROR(__xludf.DUMMYFUNCTION("""COMPUTED_VALUE"""),"APPROVED")</f>
        <v>APPROVED</v>
      </c>
      <c r="T3256" s="1" t="str">
        <f>IFERROR(__xludf.DUMMYFUNCTION("""COMPUTED_VALUE"""),"PAID")</f>
        <v>PAID</v>
      </c>
      <c r="U3256" s="1" t="str">
        <f>IFERROR(__xludf.DUMMYFUNCTION("""COMPUTED_VALUE"""),"PAID - FOR INSTALLATION")</f>
        <v>PAID - FOR INSTALLATION</v>
      </c>
      <c r="V3256" s="1" t="str">
        <f>IFERROR(__xludf.DUMMYFUNCTION("""COMPUTED_VALUE"""),"NO 1 AMSF")</f>
        <v>NO 1 AMSF</v>
      </c>
      <c r="W3256" s="1"/>
    </row>
    <row r="3257" customHeight="1" spans="1:23">
      <c r="A3257" s="3">
        <f>IFERROR(__xludf.DUMMYFUNCTION("""COMPUTED_VALUE"""),46295)</f>
        <v>46295</v>
      </c>
      <c r="B3257" s="1" t="str">
        <f>IFERROR(__xludf.DUMMYFUNCTION("""COMPUTED_VALUE"""),"FRANCISCO , ROSELYN")</f>
        <v>FRANCISCO , ROSELYN</v>
      </c>
      <c r="C3257" s="1" t="str">
        <f>IFERROR(__xludf.DUMMYFUNCTION("""COMPUTED_VALUE"""),"ORGANIC")</f>
        <v>ORGANIC</v>
      </c>
      <c r="D3257" s="1" t="str">
        <f>IFERROR(__xludf.DUMMYFUNCTION("""COMPUTED_VALUE"""),"REMOLLO LEA")</f>
        <v>REMOLLO LEA</v>
      </c>
      <c r="E3257" s="1" t="str">
        <f>IFERROR(__xludf.DUMMYFUNCTION("""COMPUTED_VALUE"""),"PLDT / H2H")</f>
        <v>PLDT / H2H</v>
      </c>
      <c r="F3257" s="1"/>
      <c r="G3257" s="1">
        <f>IFERROR(__xludf.DUMMYFUNCTION("""COMPUTED_VALUE"""),2312912823)</f>
        <v>2312912823</v>
      </c>
      <c r="H3257" s="1" t="str">
        <f>IFERROR(__xludf.DUMMYFUNCTION("""COMPUTED_VALUE"""),"473804624004")</f>
        <v>473804624004</v>
      </c>
      <c r="I3257" s="1">
        <f>IFERROR(__xludf.DUMMYFUNCTION("""COMPUTED_VALUE"""),639508070258)</f>
        <v>639508070258</v>
      </c>
      <c r="J3257" s="1">
        <f>IFERROR(__xludf.DUMMYFUNCTION("""COMPUTED_VALUE"""),639703275779)</f>
        <v>639703275779</v>
      </c>
      <c r="K3257" s="1"/>
      <c r="L3257" s="1" t="str">
        <f>IFERROR(__xludf.DUMMYFUNCTION("""COMPUTED_VALUE"""),"126")</f>
        <v>126</v>
      </c>
      <c r="M3257" s="1" t="str">
        <f>IFERROR(__xludf.DUMMYFUNCTION("""COMPUTED_VALUE"""),"PALIGAWAN")</f>
        <v>PALIGAWAN</v>
      </c>
      <c r="N3257" s="1" t="str">
        <f>IFERROR(__xludf.DUMMYFUNCTION("""COMPUTED_VALUE"""),"PUROK 5")</f>
        <v>PUROK 5</v>
      </c>
      <c r="O3257" s="1" t="str">
        <f>IFERROR(__xludf.DUMMYFUNCTION("""COMPUTED_VALUE"""),"LUMIL")</f>
        <v>LUMIL</v>
      </c>
      <c r="P3257" s="1" t="str">
        <f>IFERROR(__xludf.DUMMYFUNCTION("""COMPUTED_VALUE"""),"SILANG")</f>
        <v>SILANG</v>
      </c>
      <c r="Q3257" s="1" t="str">
        <f>IFERROR(__xludf.DUMMYFUNCTION("""COMPUTED_VALUE"""),"CAVITE")</f>
        <v>CAVITE</v>
      </c>
      <c r="R3257" s="1" t="str">
        <f>IFERROR(__xludf.DUMMYFUNCTION("""COMPUTED_VALUE"""),"FIBR UNLI ALL PLAN 1499")</f>
        <v>FIBR UNLI ALL PLAN 1499</v>
      </c>
      <c r="S3257" s="1" t="str">
        <f>IFERROR(__xludf.DUMMYFUNCTION("""COMPUTED_VALUE"""),"APPROVED")</f>
        <v>APPROVED</v>
      </c>
      <c r="T3257" s="1" t="str">
        <f>IFERROR(__xludf.DUMMYFUNCTION("""COMPUTED_VALUE"""),"CLOSED")</f>
        <v>CLOSED</v>
      </c>
      <c r="U3257" s="1" t="str">
        <f>IFERROR(__xludf.DUMMYFUNCTION("""COMPUTED_VALUE"""),"CLOSED BUT NOT YET POSTED ")</f>
        <v>CLOSED BUT NOT YET POSTED </v>
      </c>
      <c r="V3257" s="1" t="str">
        <f>IFERROR(__xludf.DUMMYFUNCTION("""COMPUTED_VALUE"""),"WITH 1 AMSF")</f>
        <v>WITH 1 AMSF</v>
      </c>
      <c r="W3257" s="1"/>
    </row>
    <row r="3258" customHeight="1" spans="1:23">
      <c r="A3258" s="3">
        <f>IFERROR(__xludf.DUMMYFUNCTION("""COMPUTED_VALUE"""),46295)</f>
        <v>46295</v>
      </c>
      <c r="B3258" s="1" t="str">
        <f>IFERROR(__xludf.DUMMYFUNCTION("""COMPUTED_VALUE"""),"IVNO, RAZZEL")</f>
        <v>IVNO, RAZZEL</v>
      </c>
      <c r="C3258" s="1" t="str">
        <f>IFERROR(__xludf.DUMMYFUNCTION("""COMPUTED_VALUE"""),"FLA")</f>
        <v>FLA</v>
      </c>
      <c r="D3258" s="1" t="str">
        <f>IFERROR(__xludf.DUMMYFUNCTION("""COMPUTED_VALUE"""),"JERIC NAVARRO")</f>
        <v>JERIC NAVARRO</v>
      </c>
      <c r="E3258" s="1" t="str">
        <f>IFERROR(__xludf.DUMMYFUNCTION("""COMPUTED_VALUE"""),"PLDT / H2H")</f>
        <v>PLDT / H2H</v>
      </c>
      <c r="F3258" s="1"/>
      <c r="G3258" s="1">
        <f>IFERROR(__xludf.DUMMYFUNCTION("""COMPUTED_VALUE"""),2312886306)</f>
        <v>2312886306</v>
      </c>
      <c r="H3258" s="1" t="str">
        <f>IFERROR(__xludf.DUMMYFUNCTION("""COMPUTED_VALUE"""),"473592147004")</f>
        <v>473592147004</v>
      </c>
      <c r="I3258" s="1">
        <f>IFERROR(__xludf.DUMMYFUNCTION("""COMPUTED_VALUE"""),639063281342)</f>
        <v>639063281342</v>
      </c>
      <c r="J3258" s="1"/>
      <c r="K3258" s="1"/>
      <c r="L3258" s="1" t="str">
        <f>IFERROR(__xludf.DUMMYFUNCTION("""COMPUTED_VALUE"""),"#N/A")</f>
        <v>#N/A</v>
      </c>
      <c r="M3258" s="1" t="str">
        <f>IFERROR(__xludf.DUMMYFUNCTION("""COMPUTED_VALUE"""),"#N/A")</f>
        <v>#N/A</v>
      </c>
      <c r="N3258" s="1" t="str">
        <f>IFERROR(__xludf.DUMMYFUNCTION("""COMPUTED_VALUE"""),"#N/A")</f>
        <v>#N/A</v>
      </c>
      <c r="O3258" s="1" t="str">
        <f>IFERROR(__xludf.DUMMYFUNCTION("""COMPUTED_VALUE"""),"LUMIL")</f>
        <v>LUMIL</v>
      </c>
      <c r="P3258" s="1" t="str">
        <f>IFERROR(__xludf.DUMMYFUNCTION("""COMPUTED_VALUE"""),"SILANG")</f>
        <v>SILANG</v>
      </c>
      <c r="Q3258" s="1" t="str">
        <f>IFERROR(__xludf.DUMMYFUNCTION("""COMPUTED_VALUE"""),"CAVITE")</f>
        <v>CAVITE</v>
      </c>
      <c r="R3258" s="1" t="str">
        <f>IFERROR(__xludf.DUMMYFUNCTION("""COMPUTED_VALUE"""),"FIBR NETFLIX PLAN 1599")</f>
        <v>FIBR NETFLIX PLAN 1599</v>
      </c>
      <c r="S3258" s="1" t="str">
        <f>IFERROR(__xludf.DUMMYFUNCTION("""COMPUTED_VALUE"""),"APPROVED")</f>
        <v>APPROVED</v>
      </c>
      <c r="T3258" s="1" t="str">
        <f>IFERROR(__xludf.DUMMYFUNCTION("""COMPUTED_VALUE"""),"CLOSED")</f>
        <v>CLOSED</v>
      </c>
      <c r="U3258" s="1" t="str">
        <f>IFERROR(__xludf.DUMMYFUNCTION("""COMPUTED_VALUE"""),"POSTED")</f>
        <v>POSTED</v>
      </c>
      <c r="V3258" s="1" t="str">
        <f>IFERROR(__xludf.DUMMYFUNCTION("""COMPUTED_VALUE"""),"WITH 1 AMSF")</f>
        <v>WITH 1 AMSF</v>
      </c>
      <c r="W3258" s="1"/>
    </row>
    <row r="3259" customHeight="1" spans="1:23">
      <c r="A3259" s="3">
        <f>IFERROR(__xludf.DUMMYFUNCTION("""COMPUTED_VALUE"""),46295)</f>
        <v>46295</v>
      </c>
      <c r="B3259" s="1" t="str">
        <f>IFERROR(__xludf.DUMMYFUNCTION("""COMPUTED_VALUE"""),"CABRERA, IVAN")</f>
        <v>CABRERA, IVAN</v>
      </c>
      <c r="C3259" s="1" t="str">
        <f>IFERROR(__xludf.DUMMYFUNCTION("""COMPUTED_VALUE"""),"ORGANIC")</f>
        <v>ORGANIC</v>
      </c>
      <c r="D3259" s="1" t="str">
        <f>IFERROR(__xludf.DUMMYFUNCTION("""COMPUTED_VALUE"""),"REMOLLO LEA")</f>
        <v>REMOLLO LEA</v>
      </c>
      <c r="E3259" s="1" t="str">
        <f>IFERROR(__xludf.DUMMYFUNCTION("""COMPUTED_VALUE"""),"PLDT / H2H")</f>
        <v>PLDT / H2H</v>
      </c>
      <c r="F3259" s="1"/>
      <c r="G3259" s="1">
        <f>IFERROR(__xludf.DUMMYFUNCTION("""COMPUTED_VALUE"""),2312889173)</f>
        <v>2312889173</v>
      </c>
      <c r="H3259" s="1" t="str">
        <f>IFERROR(__xludf.DUMMYFUNCTION("""COMPUTED_VALUE"""),"473598183004")</f>
        <v>473598183004</v>
      </c>
      <c r="I3259" s="1">
        <f>IFERROR(__xludf.DUMMYFUNCTION("""COMPUTED_VALUE"""),639923678646)</f>
        <v>639923678646</v>
      </c>
      <c r="J3259" s="1"/>
      <c r="K3259" s="1"/>
      <c r="L3259" s="1" t="str">
        <f>IFERROR(__xludf.DUMMYFUNCTION("""COMPUTED_VALUE"""),"#N/A")</f>
        <v>#N/A</v>
      </c>
      <c r="M3259" s="1" t="str">
        <f>IFERROR(__xludf.DUMMYFUNCTION("""COMPUTED_VALUE"""),"#N/A")</f>
        <v>#N/A</v>
      </c>
      <c r="N3259" s="1" t="str">
        <f>IFERROR(__xludf.DUMMYFUNCTION("""COMPUTED_VALUE"""),"#N/A")</f>
        <v>#N/A</v>
      </c>
      <c r="O3259" s="1" t="str">
        <f>IFERROR(__xludf.DUMMYFUNCTION("""COMPUTED_VALUE"""),"LUMIL")</f>
        <v>LUMIL</v>
      </c>
      <c r="P3259" s="1" t="str">
        <f>IFERROR(__xludf.DUMMYFUNCTION("""COMPUTED_VALUE"""),"SILANG")</f>
        <v>SILANG</v>
      </c>
      <c r="Q3259" s="1" t="str">
        <f>IFERROR(__xludf.DUMMYFUNCTION("""COMPUTED_VALUE"""),"CAVITE")</f>
        <v>CAVITE</v>
      </c>
      <c r="R3259" s="1" t="str">
        <f>IFERROR(__xludf.DUMMYFUNCTION("""COMPUTED_VALUE"""),"FIBR PLAN 1299")</f>
        <v>FIBR PLAN 1299</v>
      </c>
      <c r="S3259" s="1" t="str">
        <f>IFERROR(__xludf.DUMMYFUNCTION("""COMPUTED_VALUE"""),"APPROVED")</f>
        <v>APPROVED</v>
      </c>
      <c r="T3259" s="1" t="str">
        <f>IFERROR(__xludf.DUMMYFUNCTION("""COMPUTED_VALUE"""),"RPR")</f>
        <v>RPR</v>
      </c>
      <c r="U3259" s="1" t="str">
        <f>IFERROR(__xludf.DUMMYFUNCTION("""COMPUTED_VALUE"""),"RPR - SUBS CANT LOCATE")</f>
        <v>RPR - SUBS CANT LOCATE</v>
      </c>
      <c r="V3259" s="1" t="str">
        <f>IFERROR(__xludf.DUMMYFUNCTION("""COMPUTED_VALUE"""),"NO 1 AMSF")</f>
        <v>NO 1 AMSF</v>
      </c>
      <c r="W3259" s="1"/>
    </row>
    <row r="3260" customHeight="1" spans="1:23">
      <c r="A3260" s="3">
        <f>IFERROR(__xludf.DUMMYFUNCTION("""COMPUTED_VALUE"""),46295)</f>
        <v>46295</v>
      </c>
      <c r="B3260" s="1" t="str">
        <f>IFERROR(__xludf.DUMMYFUNCTION("""COMPUTED_VALUE"""),"BALANLAYOS, ANDREI")</f>
        <v>BALANLAYOS, ANDREI</v>
      </c>
      <c r="C3260" s="1" t="str">
        <f>IFERROR(__xludf.DUMMYFUNCTION("""COMPUTED_VALUE"""),"ORGANIC")</f>
        <v>ORGANIC</v>
      </c>
      <c r="D3260" s="1" t="str">
        <f>IFERROR(__xludf.DUMMYFUNCTION("""COMPUTED_VALUE"""),"REMOLLO LEA")</f>
        <v>REMOLLO LEA</v>
      </c>
      <c r="E3260" s="1" t="str">
        <f>IFERROR(__xludf.DUMMYFUNCTION("""COMPUTED_VALUE"""),"PLDT / H2H")</f>
        <v>PLDT / H2H</v>
      </c>
      <c r="F3260" s="1"/>
      <c r="G3260" s="1">
        <f>IFERROR(__xludf.DUMMYFUNCTION("""COMPUTED_VALUE"""),2312890636)</f>
        <v>2312890636</v>
      </c>
      <c r="H3260" s="1" t="str">
        <f>IFERROR(__xludf.DUMMYFUNCTION("""COMPUTED_VALUE"""),"473598231004")</f>
        <v>473598231004</v>
      </c>
      <c r="I3260" s="1">
        <f>IFERROR(__xludf.DUMMYFUNCTION("""COMPUTED_VALUE"""),639762050391)</f>
        <v>639762050391</v>
      </c>
      <c r="J3260" s="1"/>
      <c r="K3260" s="1"/>
      <c r="L3260" s="1" t="str">
        <f>IFERROR(__xludf.DUMMYFUNCTION("""COMPUTED_VALUE"""),"58")</f>
        <v>58</v>
      </c>
      <c r="M3260" s="1" t="str">
        <f>IFERROR(__xludf.DUMMYFUNCTION("""COMPUTED_VALUE"""),"#N/A")</f>
        <v>#N/A</v>
      </c>
      <c r="N3260" s="1" t="str">
        <f>IFERROR(__xludf.DUMMYFUNCTION("""COMPUTED_VALUE"""),"#N/A")</f>
        <v>#N/A</v>
      </c>
      <c r="O3260" s="1" t="str">
        <f>IFERROR(__xludf.DUMMYFUNCTION("""COMPUTED_VALUE"""),"LUMIL")</f>
        <v>LUMIL</v>
      </c>
      <c r="P3260" s="1" t="str">
        <f>IFERROR(__xludf.DUMMYFUNCTION("""COMPUTED_VALUE"""),"SILANG")</f>
        <v>SILANG</v>
      </c>
      <c r="Q3260" s="1" t="str">
        <f>IFERROR(__xludf.DUMMYFUNCTION("""COMPUTED_VALUE"""),"CAVITE")</f>
        <v>CAVITE</v>
      </c>
      <c r="R3260" s="1" t="str">
        <f>IFERROR(__xludf.DUMMYFUNCTION("""COMPUTED_VALUE"""),"FIBR PLAN 1299")</f>
        <v>FIBR PLAN 1299</v>
      </c>
      <c r="S3260" s="1" t="str">
        <f>IFERROR(__xludf.DUMMYFUNCTION("""COMPUTED_VALUE"""),"APPROVED")</f>
        <v>APPROVED</v>
      </c>
      <c r="T3260" s="1" t="str">
        <f>IFERROR(__xludf.DUMMYFUNCTION("""COMPUTED_VALUE"""),"CLOSED")</f>
        <v>CLOSED</v>
      </c>
      <c r="U3260" s="1" t="str">
        <f>IFERROR(__xludf.DUMMYFUNCTION("""COMPUTED_VALUE"""),"POSTED")</f>
        <v>POSTED</v>
      </c>
      <c r="V3260" s="1" t="str">
        <f>IFERROR(__xludf.DUMMYFUNCTION("""COMPUTED_VALUE"""),"NO 1 AMSF")</f>
        <v>NO 1 AMSF</v>
      </c>
      <c r="W3260" s="1"/>
    </row>
    <row r="3261" customHeight="1" spans="1:23">
      <c r="A3261" s="3">
        <f>IFERROR(__xludf.DUMMYFUNCTION("""COMPUTED_VALUE"""),46295)</f>
        <v>46295</v>
      </c>
      <c r="B3261" s="1" t="str">
        <f>IFERROR(__xludf.DUMMYFUNCTION("""COMPUTED_VALUE"""),"FRANCISCO , ROSELYN")</f>
        <v>FRANCISCO , ROSELYN</v>
      </c>
      <c r="C3261" s="1" t="str">
        <f>IFERROR(__xludf.DUMMYFUNCTION("""COMPUTED_VALUE"""),"ORGANIC")</f>
        <v>ORGANIC</v>
      </c>
      <c r="D3261" s="1" t="str">
        <f>IFERROR(__xludf.DUMMYFUNCTION("""COMPUTED_VALUE"""),"REMOLLO LEA")</f>
        <v>REMOLLO LEA</v>
      </c>
      <c r="E3261" s="1" t="str">
        <f>IFERROR(__xludf.DUMMYFUNCTION("""COMPUTED_VALUE"""),"PLDT / H2H")</f>
        <v>PLDT / H2H</v>
      </c>
      <c r="F3261" s="1"/>
      <c r="G3261" s="1">
        <f>IFERROR(__xludf.DUMMYFUNCTION("""COMPUTED_VALUE"""),2312892999)</f>
        <v>2312892999</v>
      </c>
      <c r="H3261" s="1" t="str">
        <f>IFERROR(__xludf.DUMMYFUNCTION("""COMPUTED_VALUE"""),"473611244004")</f>
        <v>473611244004</v>
      </c>
      <c r="I3261" s="1">
        <f>IFERROR(__xludf.DUMMYFUNCTION("""COMPUTED_VALUE"""),639770161364)</f>
        <v>639770161364</v>
      </c>
      <c r="J3261" s="1"/>
      <c r="K3261" s="1"/>
      <c r="L3261" s="1" t="str">
        <f>IFERROR(__xludf.DUMMYFUNCTION("""COMPUTED_VALUE"""),"#N/A")</f>
        <v>#N/A</v>
      </c>
      <c r="M3261" s="1" t="str">
        <f>IFERROR(__xludf.DUMMYFUNCTION("""COMPUTED_VALUE"""),"#N/A")</f>
        <v>#N/A</v>
      </c>
      <c r="N3261" s="1" t="str">
        <f>IFERROR(__xludf.DUMMYFUNCTION("""COMPUTED_VALUE"""),"#N/A")</f>
        <v>#N/A</v>
      </c>
      <c r="O3261" s="1" t="str">
        <f>IFERROR(__xludf.DUMMYFUNCTION("""COMPUTED_VALUE"""),"MIGUEL MOJICA")</f>
        <v>MIGUEL MOJICA</v>
      </c>
      <c r="P3261" s="1" t="str">
        <f>IFERROR(__xludf.DUMMYFUNCTION("""COMPUTED_VALUE"""),"MENDEZ")</f>
        <v>MENDEZ</v>
      </c>
      <c r="Q3261" s="1" t="str">
        <f>IFERROR(__xludf.DUMMYFUNCTION("""COMPUTED_VALUE"""),"CAVITE")</f>
        <v>CAVITE</v>
      </c>
      <c r="R3261" s="1" t="str">
        <f>IFERROR(__xludf.DUMMYFUNCTION("""COMPUTED_VALUE"""),"FIBR NETFLIX PLAN 1599")</f>
        <v>FIBR NETFLIX PLAN 1599</v>
      </c>
      <c r="S3261" s="1" t="str">
        <f>IFERROR(__xludf.DUMMYFUNCTION("""COMPUTED_VALUE"""),"APPROVED")</f>
        <v>APPROVED</v>
      </c>
      <c r="T3261" s="1" t="str">
        <f>IFERROR(__xludf.DUMMYFUNCTION("""COMPUTED_VALUE"""),"CLOSED")</f>
        <v>CLOSED</v>
      </c>
      <c r="U3261" s="1" t="str">
        <f>IFERROR(__xludf.DUMMYFUNCTION("""COMPUTED_VALUE"""),"POSTED")</f>
        <v>POSTED</v>
      </c>
      <c r="V3261" s="1" t="str">
        <f>IFERROR(__xludf.DUMMYFUNCTION("""COMPUTED_VALUE"""),"WITH 1 AMSF")</f>
        <v>WITH 1 AMSF</v>
      </c>
      <c r="W3261" s="1"/>
    </row>
    <row r="3262" customHeight="1" spans="1:23">
      <c r="A3262" s="3">
        <f>IFERROR(__xludf.DUMMYFUNCTION("""COMPUTED_VALUE"""),46295)</f>
        <v>46295</v>
      </c>
      <c r="B3262" s="1" t="str">
        <f>IFERROR(__xludf.DUMMYFUNCTION("""COMPUTED_VALUE"""),"FRANCISCO , ROSELYN")</f>
        <v>FRANCISCO , ROSELYN</v>
      </c>
      <c r="C3262" s="1" t="str">
        <f>IFERROR(__xludf.DUMMYFUNCTION("""COMPUTED_VALUE"""),"ORGANIC")</f>
        <v>ORGANIC</v>
      </c>
      <c r="D3262" s="1" t="str">
        <f>IFERROR(__xludf.DUMMYFUNCTION("""COMPUTED_VALUE"""),"REMOLLO LEA")</f>
        <v>REMOLLO LEA</v>
      </c>
      <c r="E3262" s="1" t="str">
        <f>IFERROR(__xludf.DUMMYFUNCTION("""COMPUTED_VALUE"""),"PLDT / H2H")</f>
        <v>PLDT / H2H</v>
      </c>
      <c r="F3262" s="1"/>
      <c r="G3262" s="1">
        <f>IFERROR(__xludf.DUMMYFUNCTION("""COMPUTED_VALUE"""),2312894588)</f>
        <v>2312894588</v>
      </c>
      <c r="H3262" s="1" t="str">
        <f>IFERROR(__xludf.DUMMYFUNCTION("""COMPUTED_VALUE"""),"473616009004")</f>
        <v>473616009004</v>
      </c>
      <c r="I3262" s="1">
        <f>IFERROR(__xludf.DUMMYFUNCTION("""COMPUTED_VALUE"""),639451475097)</f>
        <v>639451475097</v>
      </c>
      <c r="J3262" s="1">
        <f>IFERROR(__xludf.DUMMYFUNCTION("""COMPUTED_VALUE"""),639935924629)</f>
        <v>639935924629</v>
      </c>
      <c r="K3262" s="1"/>
      <c r="L3262" s="1" t="str">
        <f>IFERROR(__xludf.DUMMYFUNCTION("""COMPUTED_VALUE"""),"#N/A")</f>
        <v>#N/A</v>
      </c>
      <c r="M3262" s="1" t="str">
        <f>IFERROR(__xludf.DUMMYFUNCTION("""COMPUTED_VALUE"""),"#N/A")</f>
        <v>#N/A</v>
      </c>
      <c r="N3262" s="1" t="str">
        <f>IFERROR(__xludf.DUMMYFUNCTION("""COMPUTED_VALUE"""),"#N/A")</f>
        <v>#N/A</v>
      </c>
      <c r="O3262" s="1" t="str">
        <f>IFERROR(__xludf.DUMMYFUNCTION("""COMPUTED_VALUE"""),"ULAT")</f>
        <v>ULAT</v>
      </c>
      <c r="P3262" s="1" t="str">
        <f>IFERROR(__xludf.DUMMYFUNCTION("""COMPUTED_VALUE"""),"SILANG")</f>
        <v>SILANG</v>
      </c>
      <c r="Q3262" s="1" t="str">
        <f>IFERROR(__xludf.DUMMYFUNCTION("""COMPUTED_VALUE"""),"CAVITE")</f>
        <v>CAVITE</v>
      </c>
      <c r="R3262" s="1" t="str">
        <f>IFERROR(__xludf.DUMMYFUNCTION("""COMPUTED_VALUE"""),"FIBR UNLI ALL PLAN 1499")</f>
        <v>FIBR UNLI ALL PLAN 1499</v>
      </c>
      <c r="S3262" s="1" t="str">
        <f>IFERROR(__xludf.DUMMYFUNCTION("""COMPUTED_VALUE"""),"APPROVED")</f>
        <v>APPROVED</v>
      </c>
      <c r="T3262" s="1" t="str">
        <f>IFERROR(__xludf.DUMMYFUNCTION("""COMPUTED_VALUE"""),"CLOSED")</f>
        <v>CLOSED</v>
      </c>
      <c r="U3262" s="1" t="str">
        <f>IFERROR(__xludf.DUMMYFUNCTION("""COMPUTED_VALUE"""),"POSTED")</f>
        <v>POSTED</v>
      </c>
      <c r="V3262" s="1" t="str">
        <f>IFERROR(__xludf.DUMMYFUNCTION("""COMPUTED_VALUE"""),"NO 1 AMSF")</f>
        <v>NO 1 AMSF</v>
      </c>
      <c r="W3262" s="1"/>
    </row>
    <row r="3263" customHeight="1" spans="1:23">
      <c r="A3263" s="3">
        <f>IFERROR(__xludf.DUMMYFUNCTION("""COMPUTED_VALUE"""),46295)</f>
        <v>46295</v>
      </c>
      <c r="B3263" s="1" t="str">
        <f>IFERROR(__xludf.DUMMYFUNCTION("""COMPUTED_VALUE"""),"ILANO, AHR JHAEI")</f>
        <v>ILANO, AHR JHAEI</v>
      </c>
      <c r="C3263" s="1" t="str">
        <f>IFERROR(__xludf.DUMMYFUNCTION("""COMPUTED_VALUE"""),"ORGANIC")</f>
        <v>ORGANIC</v>
      </c>
      <c r="D3263" s="1" t="str">
        <f>IFERROR(__xludf.DUMMYFUNCTION("""COMPUTED_VALUE"""),"REMOLLO LEA")</f>
        <v>REMOLLO LEA</v>
      </c>
      <c r="E3263" s="1" t="str">
        <f>IFERROR(__xludf.DUMMYFUNCTION("""COMPUTED_VALUE"""),"PLDT / H2H")</f>
        <v>PLDT / H2H</v>
      </c>
      <c r="F3263" s="1"/>
      <c r="G3263" s="1">
        <f>IFERROR(__xludf.DUMMYFUNCTION("""COMPUTED_VALUE"""),2312894833)</f>
        <v>2312894833</v>
      </c>
      <c r="H3263" s="1" t="str">
        <f>IFERROR(__xludf.DUMMYFUNCTION("""COMPUTED_VALUE"""),"473633154004")</f>
        <v>473633154004</v>
      </c>
      <c r="I3263" s="1">
        <f>IFERROR(__xludf.DUMMYFUNCTION("""COMPUTED_VALUE"""),639563579215)</f>
        <v>639563579215</v>
      </c>
      <c r="J3263" s="1">
        <f>IFERROR(__xludf.DUMMYFUNCTION("""COMPUTED_VALUE"""),639276465846)</f>
        <v>639276465846</v>
      </c>
      <c r="K3263" s="1"/>
      <c r="L3263" s="1" t="str">
        <f>IFERROR(__xludf.DUMMYFUNCTION("""COMPUTED_VALUE"""),"#N/A")</f>
        <v>#N/A</v>
      </c>
      <c r="M3263" s="1" t="str">
        <f>IFERROR(__xludf.DUMMYFUNCTION("""COMPUTED_VALUE"""),"#N/A")</f>
        <v>#N/A</v>
      </c>
      <c r="N3263" s="1" t="str">
        <f>IFERROR(__xludf.DUMMYFUNCTION("""COMPUTED_VALUE"""),"#N/A")</f>
        <v>#N/A</v>
      </c>
      <c r="O3263" s="1" t="str">
        <f>IFERROR(__xludf.DUMMYFUNCTION("""COMPUTED_VALUE"""),"TARTARIA")</f>
        <v>TARTARIA</v>
      </c>
      <c r="P3263" s="1" t="str">
        <f>IFERROR(__xludf.DUMMYFUNCTION("""COMPUTED_VALUE"""),"SILANG")</f>
        <v>SILANG</v>
      </c>
      <c r="Q3263" s="1" t="str">
        <f>IFERROR(__xludf.DUMMYFUNCTION("""COMPUTED_VALUE"""),"CAVITE")</f>
        <v>CAVITE</v>
      </c>
      <c r="R3263" s="1" t="str">
        <f>IFERROR(__xludf.DUMMYFUNCTION("""COMPUTED_VALUE"""),"FIBR PLAN 1299")</f>
        <v>FIBR PLAN 1299</v>
      </c>
      <c r="S3263" s="1" t="str">
        <f>IFERROR(__xludf.DUMMYFUNCTION("""COMPUTED_VALUE"""),"APPROVED")</f>
        <v>APPROVED</v>
      </c>
      <c r="T3263" s="1" t="str">
        <f>IFERROR(__xludf.DUMMYFUNCTION("""COMPUTED_VALUE"""),"CLOSED")</f>
        <v>CLOSED</v>
      </c>
      <c r="U3263" s="1" t="str">
        <f>IFERROR(__xludf.DUMMYFUNCTION("""COMPUTED_VALUE"""),"POSTED")</f>
        <v>POSTED</v>
      </c>
      <c r="V3263" s="1" t="str">
        <f>IFERROR(__xludf.DUMMYFUNCTION("""COMPUTED_VALUE"""),"NO 1 AMSF")</f>
        <v>NO 1 AMSF</v>
      </c>
      <c r="W3263" s="1"/>
    </row>
    <row r="3264" customHeight="1" spans="1:23">
      <c r="A3264" s="3">
        <f>IFERROR(__xludf.DUMMYFUNCTION("""COMPUTED_VALUE"""),46296)</f>
        <v>46296</v>
      </c>
      <c r="B3264" s="1" t="str">
        <f>IFERROR(__xludf.DUMMYFUNCTION("""COMPUTED_VALUE"""),"CARPIO, STEPHANIE NICOLE")</f>
        <v>CARPIO, STEPHANIE NICOLE</v>
      </c>
      <c r="C3264" s="1" t="str">
        <f>IFERROR(__xludf.DUMMYFUNCTION("""COMPUTED_VALUE"""),"FLA")</f>
        <v>FLA</v>
      </c>
      <c r="D3264" s="1" t="str">
        <f>IFERROR(__xludf.DUMMYFUNCTION("""COMPUTED_VALUE"""),"JERIC NAVARRO")</f>
        <v>JERIC NAVARRO</v>
      </c>
      <c r="E3264" s="1" t="str">
        <f>IFERROR(__xludf.DUMMYFUNCTION("""COMPUTED_VALUE"""),"PLDT / ONLINE")</f>
        <v>PLDT / ONLINE</v>
      </c>
      <c r="F3264" s="1"/>
      <c r="G3264" s="1">
        <f>IFERROR(__xludf.DUMMYFUNCTION("""COMPUTED_VALUE"""),2312903039)</f>
        <v>2312903039</v>
      </c>
      <c r="H3264" s="1" t="str">
        <f>IFERROR(__xludf.DUMMYFUNCTION("""COMPUTED_VALUE"""),"473771676004")</f>
        <v>473771676004</v>
      </c>
      <c r="I3264" s="1">
        <f>IFERROR(__xludf.DUMMYFUNCTION("""COMPUTED_VALUE"""),639568993466)</f>
        <v>639568993466</v>
      </c>
      <c r="J3264" s="1"/>
      <c r="K3264" s="1"/>
      <c r="L3264" s="1" t="str">
        <f>IFERROR(__xludf.DUMMYFUNCTION("""COMPUTED_VALUE"""),"346")</f>
        <v>346</v>
      </c>
      <c r="M3264" s="1" t="str">
        <f>IFERROR(__xludf.DUMMYFUNCTION("""COMPUTED_VALUE"""),"P BURGOS")</f>
        <v>P BURGOS</v>
      </c>
      <c r="N3264" s="1" t="str">
        <f>IFERROR(__xludf.DUMMYFUNCTION("""COMPUTED_VALUE"""),"GEMINI CARIDAD")</f>
        <v>GEMINI CARIDAD</v>
      </c>
      <c r="O3264" s="1" t="str">
        <f>IFERROR(__xludf.DUMMYFUNCTION("""COMPUTED_VALUE"""),"BARANGAY 20 (VIRGO)")</f>
        <v>BARANGAY 20 (VIRGO)</v>
      </c>
      <c r="P3264" s="1" t="str">
        <f>IFERROR(__xludf.DUMMYFUNCTION("""COMPUTED_VALUE"""),"CAVITE CITY")</f>
        <v>CAVITE CITY</v>
      </c>
      <c r="Q3264" s="1" t="str">
        <f>IFERROR(__xludf.DUMMYFUNCTION("""COMPUTED_VALUE"""),"CAVITE")</f>
        <v>CAVITE</v>
      </c>
      <c r="R3264" s="1" t="str">
        <f>IFERROR(__xludf.DUMMYFUNCTION("""COMPUTED_VALUE"""),"FIBR PLAN 1299")</f>
        <v>FIBR PLAN 1299</v>
      </c>
      <c r="S3264" s="1" t="str">
        <f>IFERROR(__xludf.DUMMYFUNCTION("""COMPUTED_VALUE"""),"APPROVED")</f>
        <v>APPROVED</v>
      </c>
      <c r="T3264" s="1" t="str">
        <f>IFERROR(__xludf.DUMMYFUNCTION("""COMPUTED_VALUE"""),"FOR PAYMENT")</f>
        <v>FOR PAYMENT</v>
      </c>
      <c r="U3264" s="1" t="str">
        <f>IFERROR(__xludf.DUMMYFUNCTION("""COMPUTED_VALUE"""),"FOR PAYMENT")</f>
        <v>FOR PAYMENT</v>
      </c>
      <c r="V3264" s="1"/>
      <c r="W3264" s="1"/>
    </row>
    <row r="3265" customHeight="1" spans="1:23">
      <c r="A3265" s="3">
        <f>IFERROR(__xludf.DUMMYFUNCTION("""COMPUTED_VALUE"""),46296)</f>
        <v>46296</v>
      </c>
      <c r="B3265" s="1" t="str">
        <f>IFERROR(__xludf.DUMMYFUNCTION("""COMPUTED_VALUE"""),"AYON MANUEL")</f>
        <v>AYON MANUEL</v>
      </c>
      <c r="C3265" s="1" t="str">
        <f>IFERROR(__xludf.DUMMYFUNCTION("""COMPUTED_VALUE"""),"FLA")</f>
        <v>FLA</v>
      </c>
      <c r="D3265" s="1" t="str">
        <f>IFERROR(__xludf.DUMMYFUNCTION("""COMPUTED_VALUE"""),"JERIC NAVARRO")</f>
        <v>JERIC NAVARRO</v>
      </c>
      <c r="E3265" s="1" t="str">
        <f>IFERROR(__xludf.DUMMYFUNCTION("""COMPUTED_VALUE"""),"PLDT / H2H")</f>
        <v>PLDT / H2H</v>
      </c>
      <c r="F3265" s="1"/>
      <c r="G3265" s="1">
        <f>IFERROR(__xludf.DUMMYFUNCTION("""COMPUTED_VALUE"""),2312907112)</f>
        <v>2312907112</v>
      </c>
      <c r="H3265" s="1" t="str">
        <f>IFERROR(__xludf.DUMMYFUNCTION("""COMPUTED_VALUE"""),"473774037004")</f>
        <v>473774037004</v>
      </c>
      <c r="I3265" s="1">
        <f>IFERROR(__xludf.DUMMYFUNCTION("""COMPUTED_VALUE"""),639084205095)</f>
        <v>639084205095</v>
      </c>
      <c r="J3265" s="1">
        <f>IFERROR(__xludf.DUMMYFUNCTION("""COMPUTED_VALUE"""),639695221169)</f>
        <v>639695221169</v>
      </c>
      <c r="K3265" s="1"/>
      <c r="L3265" s="1" t="str">
        <f>IFERROR(__xludf.DUMMYFUNCTION("""COMPUTED_VALUE"""),"11159")</f>
        <v>11159</v>
      </c>
      <c r="M3265" s="1" t="str">
        <f>IFERROR(__xludf.DUMMYFUNCTION("""COMPUTED_VALUE"""),"JM LOYALA")</f>
        <v>JM LOYALA</v>
      </c>
      <c r="N3265" s="1" t="str">
        <f>IFERROR(__xludf.DUMMYFUNCTION("""COMPUTED_VALUE"""),"JC BLDG")</f>
        <v>JC BLDG</v>
      </c>
      <c r="O3265" s="1" t="str">
        <f>IFERROR(__xludf.DUMMYFUNCTION("""COMPUTED_VALUE"""),"MABUHAY")</f>
        <v>MABUHAY</v>
      </c>
      <c r="P3265" s="1" t="str">
        <f>IFERROR(__xludf.DUMMYFUNCTION("""COMPUTED_VALUE"""),"CARMONA")</f>
        <v>CARMONA</v>
      </c>
      <c r="Q3265" s="1" t="str">
        <f>IFERROR(__xludf.DUMMYFUNCTION("""COMPUTED_VALUE"""),"CAVITE")</f>
        <v>CAVITE</v>
      </c>
      <c r="R3265" s="1" t="str">
        <f>IFERROR(__xludf.DUMMYFUNCTION("""COMPUTED_VALUE"""),"HOME BIZ PLAN 1299")</f>
        <v>HOME BIZ PLAN 1299</v>
      </c>
      <c r="S3265" s="1" t="str">
        <f>IFERROR(__xludf.DUMMYFUNCTION("""COMPUTED_VALUE"""),"APPROVED")</f>
        <v>APPROVED</v>
      </c>
      <c r="T3265" s="1" t="str">
        <f>IFERROR(__xludf.DUMMYFUNCTION("""COMPUTED_VALUE"""),"FOR PAYMENT")</f>
        <v>FOR PAYMENT</v>
      </c>
      <c r="U3265" s="1" t="str">
        <f>IFERROR(__xludf.DUMMYFUNCTION("""COMPUTED_VALUE"""),"FOR PAYMENT")</f>
        <v>FOR PAYMENT</v>
      </c>
      <c r="V3265" s="1"/>
      <c r="W3265" s="1"/>
    </row>
    <row r="3266" customHeight="1" spans="1:23">
      <c r="A3266" s="3">
        <f>IFERROR(__xludf.DUMMYFUNCTION("""COMPUTED_VALUE"""),46296)</f>
        <v>46296</v>
      </c>
      <c r="B3266" s="1" t="str">
        <f>IFERROR(__xludf.DUMMYFUNCTION("""COMPUTED_VALUE"""),"FRANCISCO , ROSELYN")</f>
        <v>FRANCISCO , ROSELYN</v>
      </c>
      <c r="C3266" s="1" t="str">
        <f>IFERROR(__xludf.DUMMYFUNCTION("""COMPUTED_VALUE"""),"ORGANIC")</f>
        <v>ORGANIC</v>
      </c>
      <c r="D3266" s="1" t="str">
        <f>IFERROR(__xludf.DUMMYFUNCTION("""COMPUTED_VALUE"""),"REMOLLO LEA")</f>
        <v>REMOLLO LEA</v>
      </c>
      <c r="E3266" s="1" t="str">
        <f>IFERROR(__xludf.DUMMYFUNCTION("""COMPUTED_VALUE"""),"PLDT / H2H")</f>
        <v>PLDT / H2H</v>
      </c>
      <c r="F3266" s="1"/>
      <c r="G3266" s="1">
        <f>IFERROR(__xludf.DUMMYFUNCTION("""COMPUTED_VALUE"""),2312907302)</f>
        <v>2312907302</v>
      </c>
      <c r="H3266" s="1" t="str">
        <f>IFERROR(__xludf.DUMMYFUNCTION("""COMPUTED_VALUE"""),"473785691004")</f>
        <v>473785691004</v>
      </c>
      <c r="I3266" s="1">
        <f>IFERROR(__xludf.DUMMYFUNCTION("""COMPUTED_VALUE"""),639972207131)</f>
        <v>639972207131</v>
      </c>
      <c r="J3266" s="1">
        <f>IFERROR(__xludf.DUMMYFUNCTION("""COMPUTED_VALUE"""),639692860371)</f>
        <v>639692860371</v>
      </c>
      <c r="K3266" s="1"/>
      <c r="L3266" s="1" t="str">
        <f>IFERROR(__xludf.DUMMYFUNCTION("""COMPUTED_VALUE"""),"205")</f>
        <v>205</v>
      </c>
      <c r="M3266" s="1" t="str">
        <f>IFERROR(__xludf.DUMMYFUNCTION("""COMPUTED_VALUE"""),"PUROK 5")</f>
        <v>PUROK 5</v>
      </c>
      <c r="N3266" s="1" t="str">
        <f>IFERROR(__xludf.DUMMYFUNCTION("""COMPUTED_VALUE"""),"#N/A")</f>
        <v>#N/A</v>
      </c>
      <c r="O3266" s="1" t="str">
        <f>IFERROR(__xludf.DUMMYFUNCTION("""COMPUTED_VALUE"""),"ULAT")</f>
        <v>ULAT</v>
      </c>
      <c r="P3266" s="1" t="str">
        <f>IFERROR(__xludf.DUMMYFUNCTION("""COMPUTED_VALUE"""),"SILANG")</f>
        <v>SILANG</v>
      </c>
      <c r="Q3266" s="1" t="str">
        <f>IFERROR(__xludf.DUMMYFUNCTION("""COMPUTED_VALUE"""),"CAVITE")</f>
        <v>CAVITE</v>
      </c>
      <c r="R3266" s="1" t="str">
        <f>IFERROR(__xludf.DUMMYFUNCTION("""COMPUTED_VALUE"""),"FIBR PLAN 1299")</f>
        <v>FIBR PLAN 1299</v>
      </c>
      <c r="S3266" s="1" t="str">
        <f>IFERROR(__xludf.DUMMYFUNCTION("""COMPUTED_VALUE"""),"APPROVED")</f>
        <v>APPROVED</v>
      </c>
      <c r="T3266" s="1" t="str">
        <f>IFERROR(__xludf.DUMMYFUNCTION("""COMPUTED_VALUE"""),"FOR PAYMENT")</f>
        <v>FOR PAYMENT</v>
      </c>
      <c r="U3266" s="1" t="str">
        <f>IFERROR(__xludf.DUMMYFUNCTION("""COMPUTED_VALUE"""),"FOR PAYMENT")</f>
        <v>FOR PAYMENT</v>
      </c>
      <c r="V3266" s="1"/>
      <c r="W3266" s="1"/>
    </row>
    <row r="3267" customHeight="1" spans="1:23">
      <c r="A3267" s="3">
        <f>IFERROR(__xludf.DUMMYFUNCTION("""COMPUTED_VALUE"""),46296)</f>
        <v>46296</v>
      </c>
      <c r="B3267" s="1" t="str">
        <f>IFERROR(__xludf.DUMMYFUNCTION("""COMPUTED_VALUE"""),"ARIENA, LYKA")</f>
        <v>ARIENA, LYKA</v>
      </c>
      <c r="C3267" s="1" t="str">
        <f>IFERROR(__xludf.DUMMYFUNCTION("""COMPUTED_VALUE"""),"ORGANIC")</f>
        <v>ORGANIC</v>
      </c>
      <c r="D3267" s="1" t="str">
        <f>IFERROR(__xludf.DUMMYFUNCTION("""COMPUTED_VALUE"""),"REMOLLO LEA")</f>
        <v>REMOLLO LEA</v>
      </c>
      <c r="E3267" s="1" t="str">
        <f>IFERROR(__xludf.DUMMYFUNCTION("""COMPUTED_VALUE"""),"PLDT / H2H")</f>
        <v>PLDT / H2H</v>
      </c>
      <c r="F3267" s="1"/>
      <c r="G3267" s="1">
        <f>IFERROR(__xludf.DUMMYFUNCTION("""COMPUTED_VALUE"""),2312907484)</f>
        <v>2312907484</v>
      </c>
      <c r="H3267" s="1" t="str">
        <f>IFERROR(__xludf.DUMMYFUNCTION("""COMPUTED_VALUE"""),"473886644004")</f>
        <v>473886644004</v>
      </c>
      <c r="I3267" s="1">
        <f>IFERROR(__xludf.DUMMYFUNCTION("""COMPUTED_VALUE"""),639765253184)</f>
        <v>639765253184</v>
      </c>
      <c r="J3267" s="1"/>
      <c r="K3267" s="1"/>
      <c r="L3267" s="1" t="str">
        <f>IFERROR(__xludf.DUMMYFUNCTION("""COMPUTED_VALUE"""),"426")</f>
        <v>426</v>
      </c>
      <c r="M3267" s="1" t="str">
        <f>IFERROR(__xludf.DUMMYFUNCTION("""COMPUTED_VALUE"""),"BAYLA")</f>
        <v>BAYLA</v>
      </c>
      <c r="N3267" s="1" t="str">
        <f>IFERROR(__xludf.DUMMYFUNCTION("""COMPUTED_VALUE"""),"PUROK 5")</f>
        <v>PUROK 5</v>
      </c>
      <c r="O3267" s="1" t="str">
        <f>IFERROR(__xludf.DUMMYFUNCTION("""COMPUTED_VALUE"""),"LUMIL")</f>
        <v>LUMIL</v>
      </c>
      <c r="P3267" s="1" t="str">
        <f>IFERROR(__xludf.DUMMYFUNCTION("""COMPUTED_VALUE"""),"SILANG")</f>
        <v>SILANG</v>
      </c>
      <c r="Q3267" s="1" t="str">
        <f>IFERROR(__xludf.DUMMYFUNCTION("""COMPUTED_VALUE"""),"CAVITE")</f>
        <v>CAVITE</v>
      </c>
      <c r="R3267" s="1" t="str">
        <f>IFERROR(__xludf.DUMMYFUNCTION("""COMPUTED_VALUE"""),"FIBR PLAN 1299")</f>
        <v>FIBR PLAN 1299</v>
      </c>
      <c r="S3267" s="1" t="str">
        <f>IFERROR(__xludf.DUMMYFUNCTION("""COMPUTED_VALUE"""),"APPROVED")</f>
        <v>APPROVED</v>
      </c>
      <c r="T3267" s="1" t="str">
        <f>IFERROR(__xludf.DUMMYFUNCTION("""COMPUTED_VALUE"""),"CLOSED")</f>
        <v>CLOSED</v>
      </c>
      <c r="U3267" s="1" t="str">
        <f>IFERROR(__xludf.DUMMYFUNCTION("""COMPUTED_VALUE"""),"POSTED")</f>
        <v>POSTED</v>
      </c>
      <c r="V3267" s="1" t="str">
        <f>IFERROR(__xludf.DUMMYFUNCTION("""COMPUTED_VALUE"""),"WITH 1 AMSF")</f>
        <v>WITH 1 AMSF</v>
      </c>
      <c r="W3267" s="1"/>
    </row>
    <row r="3268" customHeight="1" spans="1:23">
      <c r="A3268" s="3">
        <f>IFERROR(__xludf.DUMMYFUNCTION("""COMPUTED_VALUE"""),46296)</f>
        <v>46296</v>
      </c>
      <c r="B3268" s="1" t="str">
        <f>IFERROR(__xludf.DUMMYFUNCTION("""COMPUTED_VALUE"""),"ALINGARO, CINDY")</f>
        <v>ALINGARO, CINDY</v>
      </c>
      <c r="C3268" s="1" t="str">
        <f>IFERROR(__xludf.DUMMYFUNCTION("""COMPUTED_VALUE"""),"ORGANIC")</f>
        <v>ORGANIC</v>
      </c>
      <c r="D3268" s="1" t="str">
        <f>IFERROR(__xludf.DUMMYFUNCTION("""COMPUTED_VALUE"""),"REMOLLO LEA")</f>
        <v>REMOLLO LEA</v>
      </c>
      <c r="E3268" s="1" t="str">
        <f>IFERROR(__xludf.DUMMYFUNCTION("""COMPUTED_VALUE"""),"PLDT / H2H")</f>
        <v>PLDT / H2H</v>
      </c>
      <c r="F3268" s="1"/>
      <c r="G3268" s="1">
        <f>IFERROR(__xludf.DUMMYFUNCTION("""COMPUTED_VALUE"""),2312908334)</f>
        <v>2312908334</v>
      </c>
      <c r="H3268" s="1" t="str">
        <f>IFERROR(__xludf.DUMMYFUNCTION("""COMPUTED_VALUE"""),"473780365004")</f>
        <v>473780365004</v>
      </c>
      <c r="I3268" s="1">
        <f>IFERROR(__xludf.DUMMYFUNCTION("""COMPUTED_VALUE"""),639207227492)</f>
        <v>639207227492</v>
      </c>
      <c r="J3268" s="1"/>
      <c r="K3268" s="1"/>
      <c r="L3268" s="1" t="str">
        <f>IFERROR(__xludf.DUMMYFUNCTION("""COMPUTED_VALUE"""),"021-BL-057")</f>
        <v>021-BL-057</v>
      </c>
      <c r="M3268" s="1" t="str">
        <f>IFERROR(__xludf.DUMMYFUNCTION("""COMPUTED_VALUE"""),"POBLACION 3")</f>
        <v>POBLACION 3</v>
      </c>
      <c r="N3268" s="1" t="str">
        <f>IFERROR(__xludf.DUMMYFUNCTION("""COMPUTED_VALUE"""),"#N/A")</f>
        <v>#N/A</v>
      </c>
      <c r="O3268" s="1" t="str">
        <f>IFERROR(__xludf.DUMMYFUNCTION("""COMPUTED_VALUE"""),"BARANGAY III (POB.)")</f>
        <v>BARANGAY III (POB.)</v>
      </c>
      <c r="P3268" s="1" t="str">
        <f>IFERROR(__xludf.DUMMYFUNCTION("""COMPUTED_VALUE"""),"GEN MARIANO ALVAREZ")</f>
        <v>GEN MARIANO ALVAREZ</v>
      </c>
      <c r="Q3268" s="1" t="str">
        <f>IFERROR(__xludf.DUMMYFUNCTION("""COMPUTED_VALUE"""),"CAVITE")</f>
        <v>CAVITE</v>
      </c>
      <c r="R3268" s="1" t="str">
        <f>IFERROR(__xludf.DUMMYFUNCTION("""COMPUTED_VALUE"""),"FIBR PLAN 1299")</f>
        <v>FIBR PLAN 1299</v>
      </c>
      <c r="S3268" s="1" t="str">
        <f>IFERROR(__xludf.DUMMYFUNCTION("""COMPUTED_VALUE"""),"APPROVED")</f>
        <v>APPROVED</v>
      </c>
      <c r="T3268" s="1" t="str">
        <f>IFERROR(__xludf.DUMMYFUNCTION("""COMPUTED_VALUE"""),"FOR PAYMENT")</f>
        <v>FOR PAYMENT</v>
      </c>
      <c r="U3268" s="1" t="str">
        <f>IFERROR(__xludf.DUMMYFUNCTION("""COMPUTED_VALUE"""),"FOR PAYMENT")</f>
        <v>FOR PAYMENT</v>
      </c>
      <c r="V3268" s="1"/>
      <c r="W3268" s="1"/>
    </row>
    <row r="3269" customHeight="1" spans="1:23">
      <c r="A3269" s="3">
        <f>IFERROR(__xludf.DUMMYFUNCTION("""COMPUTED_VALUE"""),46296)</f>
        <v>46296</v>
      </c>
      <c r="B3269" s="1" t="str">
        <f>IFERROR(__xludf.DUMMYFUNCTION("""COMPUTED_VALUE"""),"GABAY, MANUEL")</f>
        <v>GABAY, MANUEL</v>
      </c>
      <c r="C3269" s="1" t="str">
        <f>IFERROR(__xludf.DUMMYFUNCTION("""COMPUTED_VALUE"""),"FLA")</f>
        <v>FLA</v>
      </c>
      <c r="D3269" s="1" t="str">
        <f>IFERROR(__xludf.DUMMYFUNCTION("""COMPUTED_VALUE"""),"JERIC NAVARRO")</f>
        <v>JERIC NAVARRO</v>
      </c>
      <c r="E3269" s="1" t="str">
        <f>IFERROR(__xludf.DUMMYFUNCTION("""COMPUTED_VALUE"""),"PLDT / H2H")</f>
        <v>PLDT / H2H</v>
      </c>
      <c r="F3269" s="1"/>
      <c r="G3269" s="1">
        <f>IFERROR(__xludf.DUMMYFUNCTION("""COMPUTED_VALUE"""),2312908677)</f>
        <v>2312908677</v>
      </c>
      <c r="H3269" s="1" t="str">
        <f>IFERROR(__xludf.DUMMYFUNCTION("""COMPUTED_VALUE"""),"#N/A")</f>
        <v>#N/A</v>
      </c>
      <c r="I3269" s="1"/>
      <c r="J3269" s="1"/>
      <c r="K3269" s="1"/>
      <c r="L3269" s="1" t="str">
        <f>IFERROR(__xludf.DUMMYFUNCTION("""COMPUTED_VALUE"""),"9127")</f>
        <v>9127</v>
      </c>
      <c r="M3269" s="1" t="str">
        <f>IFERROR(__xludf.DUMMYFUNCTION("""COMPUTED_VALUE"""),"PAYAPA SUBDIVISION")</f>
        <v>PAYAPA SUBDIVISION</v>
      </c>
      <c r="N3269" s="1" t="str">
        <f>IFERROR(__xludf.DUMMYFUNCTION("""COMPUTED_VALUE"""),"PAYAPA SUBDIVISION")</f>
        <v>PAYAPA SUBDIVISION</v>
      </c>
      <c r="O3269" s="1" t="str">
        <f>IFERROR(__xludf.DUMMYFUNCTION("""COMPUTED_VALUE"""),"GALICIA III")</f>
        <v>GALICIA III</v>
      </c>
      <c r="P3269" s="1" t="str">
        <f>IFERROR(__xludf.DUMMYFUNCTION("""COMPUTED_VALUE"""),"MENDEZ")</f>
        <v>MENDEZ</v>
      </c>
      <c r="Q3269" s="1" t="str">
        <f>IFERROR(__xludf.DUMMYFUNCTION("""COMPUTED_VALUE"""),"CAVITE")</f>
        <v>CAVITE</v>
      </c>
      <c r="R3269" s="1" t="str">
        <f>IFERROR(__xludf.DUMMYFUNCTION("""COMPUTED_VALUE"""),"FIBR UNLI ALL PLAN 1499")</f>
        <v>FIBR UNLI ALL PLAN 1499</v>
      </c>
      <c r="S3269" s="1" t="str">
        <f>IFERROR(__xludf.DUMMYFUNCTION("""COMPUTED_VALUE"""),"APPROVED")</f>
        <v>APPROVED</v>
      </c>
      <c r="T3269" s="1" t="str">
        <f>IFERROR(__xludf.DUMMYFUNCTION("""COMPUTED_VALUE"""),"CANCELLED")</f>
        <v>CANCELLED</v>
      </c>
      <c r="U3269" s="1" t="str">
        <f>IFERROR(__xludf.DUMMYFUNCTION("""COMPUTED_VALUE"""),"CANCELLED - WITH ACTIVE LINE")</f>
        <v>CANCELLED - WITH ACTIVE LINE</v>
      </c>
      <c r="V3269" s="1"/>
      <c r="W3269" s="1"/>
    </row>
    <row r="3270" customHeight="1" spans="1:23">
      <c r="A3270" s="3">
        <f>IFERROR(__xludf.DUMMYFUNCTION("""COMPUTED_VALUE"""),46296)</f>
        <v>46296</v>
      </c>
      <c r="B3270" s="1" t="str">
        <f>IFERROR(__xludf.DUMMYFUNCTION("""COMPUTED_VALUE"""),"TAMAYO, MARY ROSE")</f>
        <v>TAMAYO, MARY ROSE</v>
      </c>
      <c r="C3270" s="1" t="str">
        <f>IFERROR(__xludf.DUMMYFUNCTION("""COMPUTED_VALUE"""),"ORGANIC")</f>
        <v>ORGANIC</v>
      </c>
      <c r="D3270" s="1" t="str">
        <f>IFERROR(__xludf.DUMMYFUNCTION("""COMPUTED_VALUE"""),"REMOLLO LEA")</f>
        <v>REMOLLO LEA</v>
      </c>
      <c r="E3270" s="1" t="str">
        <f>IFERROR(__xludf.DUMMYFUNCTION("""COMPUTED_VALUE"""),"PLDT / H2H")</f>
        <v>PLDT / H2H</v>
      </c>
      <c r="F3270" s="1"/>
      <c r="G3270" s="1">
        <f>IFERROR(__xludf.DUMMYFUNCTION("""COMPUTED_VALUE"""),2312909608)</f>
        <v>2312909608</v>
      </c>
      <c r="H3270" s="1" t="str">
        <f>IFERROR(__xludf.DUMMYFUNCTION("""COMPUTED_VALUE"""),"473778968004")</f>
        <v>473778968004</v>
      </c>
      <c r="I3270" s="1">
        <f>IFERROR(__xludf.DUMMYFUNCTION("""COMPUTED_VALUE"""),639563057992)</f>
        <v>639563057992</v>
      </c>
      <c r="J3270" s="1"/>
      <c r="K3270" s="1"/>
      <c r="L3270" s="1" t="str">
        <f>IFERROR(__xludf.DUMMYFUNCTION("""COMPUTED_VALUE"""),"57")</f>
        <v>57</v>
      </c>
      <c r="M3270" s="1" t="str">
        <f>IFERROR(__xludf.DUMMYFUNCTION("""COMPUTED_VALUE"""),"PIERRE CURIE")</f>
        <v>PIERRE CURIE</v>
      </c>
      <c r="N3270" s="1" t="str">
        <f>IFERROR(__xludf.DUMMYFUNCTION("""COMPUTED_VALUE"""),"#N/A")</f>
        <v>#N/A</v>
      </c>
      <c r="O3270" s="1" t="str">
        <f>IFERROR(__xludf.DUMMYFUNCTION("""COMPUTED_VALUE"""),"POBLACION IV")</f>
        <v>POBLACION IV</v>
      </c>
      <c r="P3270" s="1" t="str">
        <f>IFERROR(__xludf.DUMMYFUNCTION("""COMPUTED_VALUE"""),"GEN MARIANO ALVAREZ")</f>
        <v>GEN MARIANO ALVAREZ</v>
      </c>
      <c r="Q3270" s="1" t="str">
        <f>IFERROR(__xludf.DUMMYFUNCTION("""COMPUTED_VALUE"""),"CAVITE")</f>
        <v>CAVITE</v>
      </c>
      <c r="R3270" s="1" t="str">
        <f>IFERROR(__xludf.DUMMYFUNCTION("""COMPUTED_VALUE"""),"FIBR PLAN 1299")</f>
        <v>FIBR PLAN 1299</v>
      </c>
      <c r="S3270" s="1" t="str">
        <f>IFERROR(__xludf.DUMMYFUNCTION("""COMPUTED_VALUE"""),"APPROVED")</f>
        <v>APPROVED</v>
      </c>
      <c r="T3270" s="1" t="str">
        <f>IFERROR(__xludf.DUMMYFUNCTION("""COMPUTED_VALUE"""),"CLOSED")</f>
        <v>CLOSED</v>
      </c>
      <c r="U3270" s="1" t="str">
        <f>IFERROR(__xludf.DUMMYFUNCTION("""COMPUTED_VALUE"""),"POSTED")</f>
        <v>POSTED</v>
      </c>
      <c r="V3270" s="1" t="str">
        <f>IFERROR(__xludf.DUMMYFUNCTION("""COMPUTED_VALUE"""),"WITH 1 AMSF")</f>
        <v>WITH 1 AMSF</v>
      </c>
      <c r="W3270" s="1"/>
    </row>
    <row r="3271" customHeight="1" spans="1:23">
      <c r="A3271" s="3">
        <f>IFERROR(__xludf.DUMMYFUNCTION("""COMPUTED_VALUE"""),46296)</f>
        <v>46296</v>
      </c>
      <c r="B3271" s="1" t="str">
        <f>IFERROR(__xludf.DUMMYFUNCTION("""COMPUTED_VALUE"""),"GABAY, MANUEL")</f>
        <v>GABAY, MANUEL</v>
      </c>
      <c r="C3271" s="1" t="str">
        <f>IFERROR(__xludf.DUMMYFUNCTION("""COMPUTED_VALUE"""),"FLA")</f>
        <v>FLA</v>
      </c>
      <c r="D3271" s="1" t="str">
        <f>IFERROR(__xludf.DUMMYFUNCTION("""COMPUTED_VALUE"""),"JERIC NAVARRO")</f>
        <v>JERIC NAVARRO</v>
      </c>
      <c r="E3271" s="1" t="str">
        <f>IFERROR(__xludf.DUMMYFUNCTION("""COMPUTED_VALUE"""),"PLDT / H2H")</f>
        <v>PLDT / H2H</v>
      </c>
      <c r="F3271" s="1"/>
      <c r="G3271" s="1">
        <f>IFERROR(__xludf.DUMMYFUNCTION("""COMPUTED_VALUE"""),2312910712)</f>
        <v>2312910712</v>
      </c>
      <c r="H3271" s="1" t="str">
        <f>IFERROR(__xludf.DUMMYFUNCTION("""COMPUTED_VALUE"""),"473780702004")</f>
        <v>473780702004</v>
      </c>
      <c r="I3271" s="1">
        <f>IFERROR(__xludf.DUMMYFUNCTION("""COMPUTED_VALUE"""),639062511141)</f>
        <v>639062511141</v>
      </c>
      <c r="J3271" s="1">
        <f>IFERROR(__xludf.DUMMYFUNCTION("""COMPUTED_VALUE"""),639565347643)</f>
        <v>639565347643</v>
      </c>
      <c r="K3271" s="1"/>
      <c r="L3271" s="1" t="str">
        <f>IFERROR(__xludf.DUMMYFUNCTION("""COMPUTED_VALUE"""),"1A")</f>
        <v>1A</v>
      </c>
      <c r="M3271" s="1" t="str">
        <f>IFERROR(__xludf.DUMMYFUNCTION("""COMPUTED_VALUE"""),"JP RIZAL")</f>
        <v>JP RIZAL</v>
      </c>
      <c r="N3271" s="1" t="str">
        <f>IFERROR(__xludf.DUMMYFUNCTION("""COMPUTED_VALUE"""),"CDA BLDG")</f>
        <v>CDA BLDG</v>
      </c>
      <c r="O3271" s="1" t="str">
        <f>IFERROR(__xludf.DUMMYFUNCTION("""COMPUTED_VALUE"""),"GALICIA III")</f>
        <v>GALICIA III</v>
      </c>
      <c r="P3271" s="1" t="str">
        <f>IFERROR(__xludf.DUMMYFUNCTION("""COMPUTED_VALUE"""),"MENDEZ")</f>
        <v>MENDEZ</v>
      </c>
      <c r="Q3271" s="1" t="str">
        <f>IFERROR(__xludf.DUMMYFUNCTION("""COMPUTED_VALUE"""),"CAVITE")</f>
        <v>CAVITE</v>
      </c>
      <c r="R3271" s="1" t="str">
        <f>IFERROR(__xludf.DUMMYFUNCTION("""COMPUTED_VALUE"""),"HOME BIZ PLAN 1299")</f>
        <v>HOME BIZ PLAN 1299</v>
      </c>
      <c r="S3271" s="1" t="str">
        <f>IFERROR(__xludf.DUMMYFUNCTION("""COMPUTED_VALUE"""),"APPROVED")</f>
        <v>APPROVED</v>
      </c>
      <c r="T3271" s="1" t="str">
        <f>IFERROR(__xludf.DUMMYFUNCTION("""COMPUTED_VALUE"""),"CLOSED")</f>
        <v>CLOSED</v>
      </c>
      <c r="U3271" s="1" t="str">
        <f>IFERROR(__xludf.DUMMYFUNCTION("""COMPUTED_VALUE"""),"POSTED")</f>
        <v>POSTED</v>
      </c>
      <c r="V3271" s="1" t="str">
        <f>IFERROR(__xludf.DUMMYFUNCTION("""COMPUTED_VALUE"""),"WITH 1 AMSF")</f>
        <v>WITH 1 AMSF</v>
      </c>
      <c r="W3271" s="1"/>
    </row>
    <row r="3272" customHeight="1" spans="1:23">
      <c r="A3272" s="3">
        <f>IFERROR(__xludf.DUMMYFUNCTION("""COMPUTED_VALUE"""),46296)</f>
        <v>46296</v>
      </c>
      <c r="B3272" s="1" t="str">
        <f>IFERROR(__xludf.DUMMYFUNCTION("""COMPUTED_VALUE"""),"ALINGARO, CINDY")</f>
        <v>ALINGARO, CINDY</v>
      </c>
      <c r="C3272" s="1" t="str">
        <f>IFERROR(__xludf.DUMMYFUNCTION("""COMPUTED_VALUE"""),"ORGANIC")</f>
        <v>ORGANIC</v>
      </c>
      <c r="D3272" s="1" t="str">
        <f>IFERROR(__xludf.DUMMYFUNCTION("""COMPUTED_VALUE"""),"REMOLLO LEA")</f>
        <v>REMOLLO LEA</v>
      </c>
      <c r="E3272" s="1" t="str">
        <f>IFERROR(__xludf.DUMMYFUNCTION("""COMPUTED_VALUE"""),"PLDT / H2H")</f>
        <v>PLDT / H2H</v>
      </c>
      <c r="F3272" s="1"/>
      <c r="G3272" s="1">
        <f>IFERROR(__xludf.DUMMYFUNCTION("""COMPUTED_VALUE"""),2312910900)</f>
        <v>2312910900</v>
      </c>
      <c r="H3272" s="1" t="str">
        <f>IFERROR(__xludf.DUMMYFUNCTION("""COMPUTED_VALUE"""),"#N/A")</f>
        <v>#N/A</v>
      </c>
      <c r="I3272" s="1">
        <f>IFERROR(__xludf.DUMMYFUNCTION("""COMPUTED_VALUE"""),639912071180)</f>
        <v>639912071180</v>
      </c>
      <c r="J3272" s="1"/>
      <c r="K3272" s="1"/>
      <c r="L3272" s="1" t="str">
        <f>IFERROR(__xludf.DUMMYFUNCTION("""COMPUTED_VALUE"""),"021-BL-002")</f>
        <v>021-BL-002</v>
      </c>
      <c r="M3272" s="1" t="str">
        <f>IFERROR(__xludf.DUMMYFUNCTION("""COMPUTED_VALUE"""),"PILI")</f>
        <v>PILI</v>
      </c>
      <c r="N3272" s="1" t="str">
        <f>IFERROR(__xludf.DUMMYFUNCTION("""COMPUTED_VALUE"""),"#N/A")</f>
        <v>#N/A</v>
      </c>
      <c r="O3272" s="1" t="str">
        <f>IFERROR(__xludf.DUMMYFUNCTION("""COMPUTED_VALUE"""),"POBLACION III")</f>
        <v>POBLACION III</v>
      </c>
      <c r="P3272" s="1" t="str">
        <f>IFERROR(__xludf.DUMMYFUNCTION("""COMPUTED_VALUE"""),"GEN MARIANO ALVAREZ")</f>
        <v>GEN MARIANO ALVAREZ</v>
      </c>
      <c r="Q3272" s="1" t="str">
        <f>IFERROR(__xludf.DUMMYFUNCTION("""COMPUTED_VALUE"""),"CAVITE")</f>
        <v>CAVITE</v>
      </c>
      <c r="R3272" s="1" t="str">
        <f>IFERROR(__xludf.DUMMYFUNCTION("""COMPUTED_VALUE"""),"FIBR UNLI ALL PLAN 999")</f>
        <v>FIBR UNLI ALL PLAN 999</v>
      </c>
      <c r="S3272" s="1" t="str">
        <f>IFERROR(__xludf.DUMMYFUNCTION("""COMPUTED_VALUE"""),"APPROVED")</f>
        <v>APPROVED</v>
      </c>
      <c r="T3272" s="1" t="str">
        <f>IFERROR(__xludf.DUMMYFUNCTION("""COMPUTED_VALUE"""),"CANCELLED")</f>
        <v>CANCELLED</v>
      </c>
      <c r="U3272" s="1" t="str">
        <f>IFERROR(__xludf.DUMMYFUNCTION("""COMPUTED_VALUE"""),"CANCELLED - WITH OB")</f>
        <v>CANCELLED - WITH OB</v>
      </c>
      <c r="V3272" s="1"/>
      <c r="W3272" s="1"/>
    </row>
    <row r="3273" customHeight="1" spans="1:23">
      <c r="A3273" s="3">
        <f>IFERROR(__xludf.DUMMYFUNCTION("""COMPUTED_VALUE"""),46296)</f>
        <v>46296</v>
      </c>
      <c r="B3273" s="1" t="str">
        <f>IFERROR(__xludf.DUMMYFUNCTION("""COMPUTED_VALUE"""),"BAYBAY, MICHAEL")</f>
        <v>BAYBAY, MICHAEL</v>
      </c>
      <c r="C3273" s="1" t="str">
        <f>IFERROR(__xludf.DUMMYFUNCTION("""COMPUTED_VALUE"""),"ORGANIC")</f>
        <v>ORGANIC</v>
      </c>
      <c r="D3273" s="1" t="str">
        <f>IFERROR(__xludf.DUMMYFUNCTION("""COMPUTED_VALUE"""),"REMOLLO LEA")</f>
        <v>REMOLLO LEA</v>
      </c>
      <c r="E3273" s="1" t="str">
        <f>IFERROR(__xludf.DUMMYFUNCTION("""COMPUTED_VALUE"""),"PLDT / H2H")</f>
        <v>PLDT / H2H</v>
      </c>
      <c r="F3273" s="1"/>
      <c r="G3273" s="1">
        <f>IFERROR(__xludf.DUMMYFUNCTION("""COMPUTED_VALUE"""),2312911230)</f>
        <v>2312911230</v>
      </c>
      <c r="H3273" s="1" t="str">
        <f>IFERROR(__xludf.DUMMYFUNCTION("""COMPUTED_VALUE"""),"473829355004")</f>
        <v>473829355004</v>
      </c>
      <c r="I3273" s="1">
        <f>IFERROR(__xludf.DUMMYFUNCTION("""COMPUTED_VALUE"""),639488995062)</f>
        <v>639488995062</v>
      </c>
      <c r="J3273" s="1"/>
      <c r="K3273" s="1"/>
      <c r="L3273" s="1" t="str">
        <f>IFERROR(__xludf.DUMMYFUNCTION("""COMPUTED_VALUE"""),"9004")</f>
        <v>9004</v>
      </c>
      <c r="M3273" s="1" t="str">
        <f>IFERROR(__xludf.DUMMYFUNCTION("""COMPUTED_VALUE"""),"J BAYOT")</f>
        <v>J BAYOT</v>
      </c>
      <c r="N3273" s="1" t="str">
        <f>IFERROR(__xludf.DUMMYFUNCTION("""COMPUTED_VALUE"""),"#N/A")</f>
        <v>#N/A</v>
      </c>
      <c r="O3273" s="1" t="str">
        <f>IFERROR(__xludf.DUMMYFUNCTION("""COMPUTED_VALUE"""),"BARANGAY 3 (POB.)")</f>
        <v>BARANGAY 3 (POB.)</v>
      </c>
      <c r="P3273" s="1" t="str">
        <f>IFERROR(__xludf.DUMMYFUNCTION("""COMPUTED_VALUE"""),"AMADEO")</f>
        <v>AMADEO</v>
      </c>
      <c r="Q3273" s="1" t="str">
        <f>IFERROR(__xludf.DUMMYFUNCTION("""COMPUTED_VALUE"""),"CAVITE")</f>
        <v>CAVITE</v>
      </c>
      <c r="R3273" s="1" t="str">
        <f>IFERROR(__xludf.DUMMYFUNCTION("""COMPUTED_VALUE"""),"FIBR UNLI ALL PLAN 999")</f>
        <v>FIBR UNLI ALL PLAN 999</v>
      </c>
      <c r="S3273" s="1" t="str">
        <f>IFERROR(__xludf.DUMMYFUNCTION("""COMPUTED_VALUE"""),"APPROVED")</f>
        <v>APPROVED</v>
      </c>
      <c r="T3273" s="1" t="str">
        <f>IFERROR(__xludf.DUMMYFUNCTION("""COMPUTED_VALUE"""),"CLOSED")</f>
        <v>CLOSED</v>
      </c>
      <c r="U3273" s="1" t="str">
        <f>IFERROR(__xludf.DUMMYFUNCTION("""COMPUTED_VALUE"""),"POSTED")</f>
        <v>POSTED</v>
      </c>
      <c r="V3273" s="1" t="str">
        <f>IFERROR(__xludf.DUMMYFUNCTION("""COMPUTED_VALUE"""),"NO 1 AMSF")</f>
        <v>NO 1 AMSF</v>
      </c>
      <c r="W3273" s="1"/>
    </row>
    <row r="3274" customHeight="1" spans="1:23">
      <c r="A3274" s="3">
        <f>IFERROR(__xludf.DUMMYFUNCTION("""COMPUTED_VALUE"""),46297)</f>
        <v>46297</v>
      </c>
      <c r="B3274" s="1" t="str">
        <f>IFERROR(__xludf.DUMMYFUNCTION("""COMPUTED_VALUE"""),"BAQUIT ,JAZMIN")</f>
        <v>BAQUIT ,JAZMIN</v>
      </c>
      <c r="C3274" s="1" t="str">
        <f>IFERROR(__xludf.DUMMYFUNCTION("""COMPUTED_VALUE"""),"ORGANIC")</f>
        <v>ORGANIC</v>
      </c>
      <c r="D3274" s="1" t="str">
        <f>IFERROR(__xludf.DUMMYFUNCTION("""COMPUTED_VALUE"""),"REMOLLO LEA")</f>
        <v>REMOLLO LEA</v>
      </c>
      <c r="E3274" s="1" t="str">
        <f>IFERROR(__xludf.DUMMYFUNCTION("""COMPUTED_VALUE"""),"PLDT / H2H")</f>
        <v>PLDT / H2H</v>
      </c>
      <c r="F3274" s="1"/>
      <c r="G3274" s="1">
        <f>IFERROR(__xludf.DUMMYFUNCTION("""COMPUTED_VALUE"""),2312922549)</f>
        <v>2312922549</v>
      </c>
      <c r="H3274" s="1" t="str">
        <f>IFERROR(__xludf.DUMMYFUNCTION("""COMPUTED_VALUE"""),"473914150004")</f>
        <v>473914150004</v>
      </c>
      <c r="I3274" s="1">
        <f>IFERROR(__xludf.DUMMYFUNCTION("""COMPUTED_VALUE"""),639519614424)</f>
        <v>639519614424</v>
      </c>
      <c r="J3274" s="1"/>
      <c r="K3274" s="1"/>
      <c r="L3274" s="1" t="str">
        <f>IFERROR(__xludf.DUMMYFUNCTION("""COMPUTED_VALUE"""),"045-BL-017")</f>
        <v>045-BL-017</v>
      </c>
      <c r="M3274" s="1" t="str">
        <f>IFERROR(__xludf.DUMMYFUNCTION("""COMPUTED_VALUE"""),"ALDIANO OLAES")</f>
        <v>ALDIANO OLAES</v>
      </c>
      <c r="N3274" s="1" t="str">
        <f>IFERROR(__xludf.DUMMYFUNCTION("""COMPUTED_VALUE"""),"#N/A")</f>
        <v>#N/A</v>
      </c>
      <c r="O3274" s="1" t="str">
        <f>IFERROR(__xludf.DUMMYFUNCTION("""COMPUTED_VALUE"""),"ALDIANO OLAES")</f>
        <v>ALDIANO OLAES</v>
      </c>
      <c r="P3274" s="1" t="str">
        <f>IFERROR(__xludf.DUMMYFUNCTION("""COMPUTED_VALUE"""),"GEN MARIANO ALVAREZ")</f>
        <v>GEN MARIANO ALVAREZ</v>
      </c>
      <c r="Q3274" s="1" t="str">
        <f>IFERROR(__xludf.DUMMYFUNCTION("""COMPUTED_VALUE"""),"CAVITE")</f>
        <v>CAVITE</v>
      </c>
      <c r="R3274" s="1" t="str">
        <f>IFERROR(__xludf.DUMMYFUNCTION("""COMPUTED_VALUE"""),"FIBR UNLI ALL PLAN 999")</f>
        <v>FIBR UNLI ALL PLAN 999</v>
      </c>
      <c r="S3274" s="1" t="str">
        <f>IFERROR(__xludf.DUMMYFUNCTION("""COMPUTED_VALUE"""),"APPROVED")</f>
        <v>APPROVED</v>
      </c>
      <c r="T3274" s="1" t="str">
        <f>IFERROR(__xludf.DUMMYFUNCTION("""COMPUTED_VALUE"""),"FOR PAYMENT")</f>
        <v>FOR PAYMENT</v>
      </c>
      <c r="U3274" s="1" t="str">
        <f>IFERROR(__xludf.DUMMYFUNCTION("""COMPUTED_VALUE"""),"FOR PAYMENT")</f>
        <v>FOR PAYMENT</v>
      </c>
      <c r="V3274" s="1"/>
      <c r="W3274" s="1"/>
    </row>
    <row r="3275" customHeight="1" spans="1:23">
      <c r="A3275" s="3">
        <f>IFERROR(__xludf.DUMMYFUNCTION("""COMPUTED_VALUE"""),46297)</f>
        <v>46297</v>
      </c>
      <c r="B3275" s="1" t="str">
        <f>IFERROR(__xludf.DUMMYFUNCTION("""COMPUTED_VALUE"""),"CORNELIO, CATHERINE")</f>
        <v>CORNELIO, CATHERINE</v>
      </c>
      <c r="C3275" s="1" t="str">
        <f>IFERROR(__xludf.DUMMYFUNCTION("""COMPUTED_VALUE"""),"ORGANIC")</f>
        <v>ORGANIC</v>
      </c>
      <c r="D3275" s="1" t="str">
        <f>IFERROR(__xludf.DUMMYFUNCTION("""COMPUTED_VALUE"""),"REMOLLO LEA")</f>
        <v>REMOLLO LEA</v>
      </c>
      <c r="E3275" s="1" t="str">
        <f>IFERROR(__xludf.DUMMYFUNCTION("""COMPUTED_VALUE"""),"PLDT / H2H")</f>
        <v>PLDT / H2H</v>
      </c>
      <c r="F3275" s="1"/>
      <c r="G3275" s="1">
        <f>IFERROR(__xludf.DUMMYFUNCTION("""COMPUTED_VALUE"""),2312923305)</f>
        <v>2312923305</v>
      </c>
      <c r="H3275" s="1" t="str">
        <f>IFERROR(__xludf.DUMMYFUNCTION("""COMPUTED_VALUE"""),"473913476004")</f>
        <v>473913476004</v>
      </c>
      <c r="I3275" s="1">
        <f>IFERROR(__xludf.DUMMYFUNCTION("""COMPUTED_VALUE"""),639812787402)</f>
        <v>639812787402</v>
      </c>
      <c r="J3275" s="1"/>
      <c r="K3275" s="1"/>
      <c r="L3275" s="1" t="str">
        <f>IFERROR(__xludf.DUMMYFUNCTION("""COMPUTED_VALUE"""),"99")</f>
        <v>99</v>
      </c>
      <c r="M3275" s="1" t="str">
        <f>IFERROR(__xludf.DUMMYFUNCTION("""COMPUTED_VALUE"""),"ALOE VERA")</f>
        <v>ALOE VERA</v>
      </c>
      <c r="N3275" s="1" t="str">
        <f>IFERROR(__xludf.DUMMYFUNCTION("""COMPUTED_VALUE"""),"PUROK 6")</f>
        <v>PUROK 6</v>
      </c>
      <c r="O3275" s="1" t="str">
        <f>IFERROR(__xludf.DUMMYFUNCTION("""COMPUTED_VALUE"""),"ULAT")</f>
        <v>ULAT</v>
      </c>
      <c r="P3275" s="1" t="str">
        <f>IFERROR(__xludf.DUMMYFUNCTION("""COMPUTED_VALUE"""),"SILANG")</f>
        <v>SILANG</v>
      </c>
      <c r="Q3275" s="1" t="str">
        <f>IFERROR(__xludf.DUMMYFUNCTION("""COMPUTED_VALUE"""),"CAVITE")</f>
        <v>CAVITE</v>
      </c>
      <c r="R3275" s="1" t="str">
        <f>IFERROR(__xludf.DUMMYFUNCTION("""COMPUTED_VALUE"""),"FIBR NETFLIX PLAN 1599")</f>
        <v>FIBR NETFLIX PLAN 1599</v>
      </c>
      <c r="S3275" s="1" t="str">
        <f>IFERROR(__xludf.DUMMYFUNCTION("""COMPUTED_VALUE"""),"APPROVED")</f>
        <v>APPROVED</v>
      </c>
      <c r="T3275" s="1" t="str">
        <f>IFERROR(__xludf.DUMMYFUNCTION("""COMPUTED_VALUE"""),"CLOSED")</f>
        <v>CLOSED</v>
      </c>
      <c r="U3275" s="1" t="str">
        <f>IFERROR(__xludf.DUMMYFUNCTION("""COMPUTED_VALUE"""),"POSTED")</f>
        <v>POSTED</v>
      </c>
      <c r="V3275" s="1" t="str">
        <f>IFERROR(__xludf.DUMMYFUNCTION("""COMPUTED_VALUE"""),"NO 1 AMSF")</f>
        <v>NO 1 AMSF</v>
      </c>
      <c r="W3275" s="1"/>
    </row>
    <row r="3276" customHeight="1" spans="1:23">
      <c r="A3276" s="3">
        <f>IFERROR(__xludf.DUMMYFUNCTION("""COMPUTED_VALUE"""),46297)</f>
        <v>46297</v>
      </c>
      <c r="B3276" s="1" t="str">
        <f>IFERROR(__xludf.DUMMYFUNCTION("""COMPUTED_VALUE"""),"GABAY, MANUEL")</f>
        <v>GABAY, MANUEL</v>
      </c>
      <c r="C3276" s="1" t="str">
        <f>IFERROR(__xludf.DUMMYFUNCTION("""COMPUTED_VALUE"""),"FLA")</f>
        <v>FLA</v>
      </c>
      <c r="D3276" s="1" t="str">
        <f>IFERROR(__xludf.DUMMYFUNCTION("""COMPUTED_VALUE"""),"JERIC NAVARRO")</f>
        <v>JERIC NAVARRO</v>
      </c>
      <c r="E3276" s="1" t="str">
        <f>IFERROR(__xludf.DUMMYFUNCTION("""COMPUTED_VALUE"""),"PLDT / H2H")</f>
        <v>PLDT / H2H</v>
      </c>
      <c r="F3276" s="1"/>
      <c r="G3276" s="1">
        <f>IFERROR(__xludf.DUMMYFUNCTION("""COMPUTED_VALUE"""),2312923872)</f>
        <v>2312923872</v>
      </c>
      <c r="H3276" s="1" t="str">
        <f>IFERROR(__xludf.DUMMYFUNCTION("""COMPUTED_VALUE"""),"473914183004")</f>
        <v>473914183004</v>
      </c>
      <c r="I3276" s="1">
        <f>IFERROR(__xludf.DUMMYFUNCTION("""COMPUTED_VALUE"""),639946537079)</f>
        <v>639946537079</v>
      </c>
      <c r="J3276" s="1">
        <f>IFERROR(__xludf.DUMMYFUNCTION("""COMPUTED_VALUE"""),639345904635)</f>
        <v>639345904635</v>
      </c>
      <c r="K3276" s="1"/>
      <c r="L3276" s="1" t="str">
        <f>IFERROR(__xludf.DUMMYFUNCTION("""COMPUTED_VALUE"""),"227")</f>
        <v>227</v>
      </c>
      <c r="M3276" s="1" t="str">
        <f>IFERROR(__xludf.DUMMYFUNCTION("""COMPUTED_VALUE"""),"PUROK 5")</f>
        <v>PUROK 5</v>
      </c>
      <c r="N3276" s="1" t="str">
        <f>IFERROR(__xludf.DUMMYFUNCTION("""COMPUTED_VALUE"""),"#N/A")</f>
        <v>#N/A</v>
      </c>
      <c r="O3276" s="1" t="str">
        <f>IFERROR(__xludf.DUMMYFUNCTION("""COMPUTED_VALUE"""),"MARAHAN II")</f>
        <v>MARAHAN II</v>
      </c>
      <c r="P3276" s="1" t="str">
        <f>IFERROR(__xludf.DUMMYFUNCTION("""COMPUTED_VALUE"""),"ALFONSO")</f>
        <v>ALFONSO</v>
      </c>
      <c r="Q3276" s="1" t="str">
        <f>IFERROR(__xludf.DUMMYFUNCTION("""COMPUTED_VALUE"""),"CAVITE")</f>
        <v>CAVITE</v>
      </c>
      <c r="R3276" s="1" t="str">
        <f>IFERROR(__xludf.DUMMYFUNCTION("""COMPUTED_VALUE"""),"FIBR NETFLIX PLAN 1599")</f>
        <v>FIBR NETFLIX PLAN 1599</v>
      </c>
      <c r="S3276" s="1" t="str">
        <f>IFERROR(__xludf.DUMMYFUNCTION("""COMPUTED_VALUE"""),"APPROVED")</f>
        <v>APPROVED</v>
      </c>
      <c r="T3276" s="1" t="str">
        <f>IFERROR(__xludf.DUMMYFUNCTION("""COMPUTED_VALUE"""),"CLOSED")</f>
        <v>CLOSED</v>
      </c>
      <c r="U3276" s="1" t="str">
        <f>IFERROR(__xludf.DUMMYFUNCTION("""COMPUTED_VALUE"""),"POSTED")</f>
        <v>POSTED</v>
      </c>
      <c r="V3276" s="1" t="str">
        <f>IFERROR(__xludf.DUMMYFUNCTION("""COMPUTED_VALUE"""),"NO 1 AMSF")</f>
        <v>NO 1 AMSF</v>
      </c>
      <c r="W3276" s="1"/>
    </row>
    <row r="3277" customHeight="1" spans="1:23">
      <c r="A3277" s="3">
        <f>IFERROR(__xludf.DUMMYFUNCTION("""COMPUTED_VALUE"""),46297)</f>
        <v>46297</v>
      </c>
      <c r="B3277" s="1" t="str">
        <f>IFERROR(__xludf.DUMMYFUNCTION("""COMPUTED_VALUE"""),"CORNELIO, CATHERINE")</f>
        <v>CORNELIO, CATHERINE</v>
      </c>
      <c r="C3277" s="1" t="str">
        <f>IFERROR(__xludf.DUMMYFUNCTION("""COMPUTED_VALUE"""),"ORGANIC")</f>
        <v>ORGANIC</v>
      </c>
      <c r="D3277" s="1" t="str">
        <f>IFERROR(__xludf.DUMMYFUNCTION("""COMPUTED_VALUE"""),"REMOLLO LEA")</f>
        <v>REMOLLO LEA</v>
      </c>
      <c r="E3277" s="1" t="str">
        <f>IFERROR(__xludf.DUMMYFUNCTION("""COMPUTED_VALUE"""),"PLDT / H2H")</f>
        <v>PLDT / H2H</v>
      </c>
      <c r="F3277" s="1"/>
      <c r="G3277" s="1">
        <f>IFERROR(__xludf.DUMMYFUNCTION("""COMPUTED_VALUE"""),2312924309)</f>
        <v>2312924309</v>
      </c>
      <c r="H3277" s="1" t="str">
        <f>IFERROR(__xludf.DUMMYFUNCTION("""COMPUTED_VALUE"""),"473915421004")</f>
        <v>473915421004</v>
      </c>
      <c r="I3277" s="1">
        <f>IFERROR(__xludf.DUMMYFUNCTION("""COMPUTED_VALUE"""),639562934421)</f>
        <v>639562934421</v>
      </c>
      <c r="J3277" s="1">
        <f>IFERROR(__xludf.DUMMYFUNCTION("""COMPUTED_VALUE"""),639277938702)</f>
        <v>639277938702</v>
      </c>
      <c r="K3277" s="1"/>
      <c r="L3277" s="1" t="str">
        <f>IFERROR(__xludf.DUMMYFUNCTION("""COMPUTED_VALUE"""),"186")</f>
        <v>186</v>
      </c>
      <c r="M3277" s="1" t="str">
        <f>IFERROR(__xludf.DUMMYFUNCTION("""COMPUTED_VALUE"""),"PUROK 3")</f>
        <v>PUROK 3</v>
      </c>
      <c r="N3277" s="1" t="str">
        <f>IFERROR(__xludf.DUMMYFUNCTION("""COMPUTED_VALUE"""),"#N/A")</f>
        <v>#N/A</v>
      </c>
      <c r="O3277" s="1" t="str">
        <f>IFERROR(__xludf.DUMMYFUNCTION("""COMPUTED_VALUE"""),"MALAKING TATYAO")</f>
        <v>MALAKING TATYAO</v>
      </c>
      <c r="P3277" s="1" t="str">
        <f>IFERROR(__xludf.DUMMYFUNCTION("""COMPUTED_VALUE"""),"SILANG")</f>
        <v>SILANG</v>
      </c>
      <c r="Q3277" s="1" t="str">
        <f>IFERROR(__xludf.DUMMYFUNCTION("""COMPUTED_VALUE"""),"CAVITE")</f>
        <v>CAVITE</v>
      </c>
      <c r="R3277" s="1" t="str">
        <f>IFERROR(__xludf.DUMMYFUNCTION("""COMPUTED_VALUE"""),"FIBR PLAN 1699")</f>
        <v>FIBR PLAN 1699</v>
      </c>
      <c r="S3277" s="1" t="str">
        <f>IFERROR(__xludf.DUMMYFUNCTION("""COMPUTED_VALUE"""),"APPROVED")</f>
        <v>APPROVED</v>
      </c>
      <c r="T3277" s="1" t="str">
        <f>IFERROR(__xludf.DUMMYFUNCTION("""COMPUTED_VALUE"""),"CLOSED")</f>
        <v>CLOSED</v>
      </c>
      <c r="U3277" s="1" t="str">
        <f>IFERROR(__xludf.DUMMYFUNCTION("""COMPUTED_VALUE"""),"POSTED")</f>
        <v>POSTED</v>
      </c>
      <c r="V3277" s="1" t="str">
        <f>IFERROR(__xludf.DUMMYFUNCTION("""COMPUTED_VALUE"""),"NO 1 AMSF")</f>
        <v>NO 1 AMSF</v>
      </c>
      <c r="W3277" s="1"/>
    </row>
    <row r="3278" customHeight="1" spans="1:23">
      <c r="A3278" s="3">
        <f>IFERROR(__xludf.DUMMYFUNCTION("""COMPUTED_VALUE"""),46297)</f>
        <v>46297</v>
      </c>
      <c r="B3278" s="1" t="str">
        <f>IFERROR(__xludf.DUMMYFUNCTION("""COMPUTED_VALUE"""),"MALIWAT MARK ELVIN")</f>
        <v>MALIWAT MARK ELVIN</v>
      </c>
      <c r="C3278" s="1" t="str">
        <f>IFERROR(__xludf.DUMMYFUNCTION("""COMPUTED_VALUE"""),"FLA")</f>
        <v>FLA</v>
      </c>
      <c r="D3278" s="1" t="str">
        <f>IFERROR(__xludf.DUMMYFUNCTION("""COMPUTED_VALUE"""),"JERIC NAVARRO")</f>
        <v>JERIC NAVARRO</v>
      </c>
      <c r="E3278" s="1" t="str">
        <f>IFERROR(__xludf.DUMMYFUNCTION("""COMPUTED_VALUE"""),"PLDT / H2H")</f>
        <v>PLDT / H2H</v>
      </c>
      <c r="F3278" s="1"/>
      <c r="G3278" s="1">
        <f>IFERROR(__xludf.DUMMYFUNCTION("""COMPUTED_VALUE"""),2312925464)</f>
        <v>2312925464</v>
      </c>
      <c r="H3278" s="1" t="str">
        <f>IFERROR(__xludf.DUMMYFUNCTION("""COMPUTED_VALUE"""),"#N/A")</f>
        <v>#N/A</v>
      </c>
      <c r="I3278" s="1">
        <f>IFERROR(__xludf.DUMMYFUNCTION("""COMPUTED_VALUE"""),639499030281)</f>
        <v>639499030281</v>
      </c>
      <c r="J3278" s="1"/>
      <c r="K3278" s="1"/>
      <c r="L3278" s="1" t="str">
        <f>IFERROR(__xludf.DUMMYFUNCTION("""COMPUTED_VALUE"""),"9008")</f>
        <v>9008</v>
      </c>
      <c r="M3278" s="1" t="str">
        <f>IFERROR(__xludf.DUMMYFUNCTION("""COMPUTED_VALUE"""),"IBAYONG ILAT")</f>
        <v>IBAYONG ILAT</v>
      </c>
      <c r="N3278" s="1" t="str">
        <f>IFERROR(__xludf.DUMMYFUNCTION("""COMPUTED_VALUE"""),"MIRANDA COMPOUND")</f>
        <v>MIRANDA COMPOUND</v>
      </c>
      <c r="O3278" s="1" t="str">
        <f>IFERROR(__xludf.DUMMYFUNCTION("""COMPUTED_VALUE"""),"KAONG")</f>
        <v>KAONG</v>
      </c>
      <c r="P3278" s="1" t="str">
        <f>IFERROR(__xludf.DUMMYFUNCTION("""COMPUTED_VALUE"""),"SILANG")</f>
        <v>SILANG</v>
      </c>
      <c r="Q3278" s="1" t="str">
        <f>IFERROR(__xludf.DUMMYFUNCTION("""COMPUTED_VALUE"""),"CAVITE")</f>
        <v>CAVITE</v>
      </c>
      <c r="R3278" s="1" t="str">
        <f>IFERROR(__xludf.DUMMYFUNCTION("""COMPUTED_VALUE"""),"FIBR PLAN 1299")</f>
        <v>FIBR PLAN 1299</v>
      </c>
      <c r="S3278" s="1" t="str">
        <f>IFERROR(__xludf.DUMMYFUNCTION("""COMPUTED_VALUE"""),"APPROVED")</f>
        <v>APPROVED</v>
      </c>
      <c r="T3278" s="1" t="str">
        <f>IFERROR(__xludf.DUMMYFUNCTION("""COMPUTED_VALUE"""),"CANCELLED")</f>
        <v>CANCELLED</v>
      </c>
      <c r="U3278" s="1" t="str">
        <f>IFERROR(__xludf.DUMMYFUNCTION("""COMPUTED_VALUE"""),"CANCELLED - WITH OB")</f>
        <v>CANCELLED - WITH OB</v>
      </c>
      <c r="V3278" s="1"/>
      <c r="W3278" s="1"/>
    </row>
    <row r="3279" customHeight="1" spans="1:23">
      <c r="A3279" s="3">
        <f>IFERROR(__xludf.DUMMYFUNCTION("""COMPUTED_VALUE"""),46297)</f>
        <v>46297</v>
      </c>
      <c r="B3279" s="1" t="str">
        <f>IFERROR(__xludf.DUMMYFUNCTION("""COMPUTED_VALUE"""),"TAMAYO, MARY ROSE")</f>
        <v>TAMAYO, MARY ROSE</v>
      </c>
      <c r="C3279" s="1" t="str">
        <f>IFERROR(__xludf.DUMMYFUNCTION("""COMPUTED_VALUE"""),"ORGANIC")</f>
        <v>ORGANIC</v>
      </c>
      <c r="D3279" s="1" t="str">
        <f>IFERROR(__xludf.DUMMYFUNCTION("""COMPUTED_VALUE"""),"REMOLLO LEA")</f>
        <v>REMOLLO LEA</v>
      </c>
      <c r="E3279" s="1" t="str">
        <f>IFERROR(__xludf.DUMMYFUNCTION("""COMPUTED_VALUE"""),"PLDT / H2H")</f>
        <v>PLDT / H2H</v>
      </c>
      <c r="F3279" s="1"/>
      <c r="G3279" s="1">
        <f>IFERROR(__xludf.DUMMYFUNCTION("""COMPUTED_VALUE"""),2312926022)</f>
        <v>2312926022</v>
      </c>
      <c r="H3279" s="1" t="str">
        <f>IFERROR(__xludf.DUMMYFUNCTION("""COMPUTED_VALUE"""),"473943265004")</f>
        <v>473943265004</v>
      </c>
      <c r="I3279" s="1">
        <f>IFERROR(__xludf.DUMMYFUNCTION("""COMPUTED_VALUE"""),639633054335)</f>
        <v>639633054335</v>
      </c>
      <c r="J3279" s="1"/>
      <c r="K3279" s="1"/>
      <c r="L3279" s="1" t="str">
        <f>IFERROR(__xludf.DUMMYFUNCTION("""COMPUTED_VALUE"""),"1537")</f>
        <v>1537</v>
      </c>
      <c r="M3279" s="1" t="str">
        <f>IFERROR(__xludf.DUMMYFUNCTION("""COMPUTED_VALUE"""),"PATUTONG MALAKI SOUTH")</f>
        <v>PATUTONG MALAKI SOUTH</v>
      </c>
      <c r="N3279" s="1" t="str">
        <f>IFERROR(__xludf.DUMMYFUNCTION("""COMPUTED_VALUE"""),"#N/A")</f>
        <v>#N/A</v>
      </c>
      <c r="O3279" s="1" t="str">
        <f>IFERROR(__xludf.DUMMYFUNCTION("""COMPUTED_VALUE"""),"PATUTONG MALAKI SOUTH")</f>
        <v>PATUTONG MALAKI SOUTH</v>
      </c>
      <c r="P3279" s="1" t="str">
        <f>IFERROR(__xludf.DUMMYFUNCTION("""COMPUTED_VALUE"""),"TAGAYTAY")</f>
        <v>TAGAYTAY</v>
      </c>
      <c r="Q3279" s="1" t="str">
        <f>IFERROR(__xludf.DUMMYFUNCTION("""COMPUTED_VALUE"""),"CAVITE")</f>
        <v>CAVITE</v>
      </c>
      <c r="R3279" s="1" t="str">
        <f>IFERROR(__xludf.DUMMYFUNCTION("""COMPUTED_VALUE"""),"FIBR UNLI ALL PLAN 999")</f>
        <v>FIBR UNLI ALL PLAN 999</v>
      </c>
      <c r="S3279" s="1" t="str">
        <f>IFERROR(__xludf.DUMMYFUNCTION("""COMPUTED_VALUE"""),"APPROVED")</f>
        <v>APPROVED</v>
      </c>
      <c r="T3279" s="1" t="str">
        <f>IFERROR(__xludf.DUMMYFUNCTION("""COMPUTED_VALUE"""),"FOR PAYMENT")</f>
        <v>FOR PAYMENT</v>
      </c>
      <c r="U3279" s="1" t="str">
        <f>IFERROR(__xludf.DUMMYFUNCTION("""COMPUTED_VALUE"""),"FOR PAYMENT")</f>
        <v>FOR PAYMENT</v>
      </c>
      <c r="V3279" s="1"/>
      <c r="W3279" s="1"/>
    </row>
    <row r="3280" customHeight="1" spans="1:23">
      <c r="A3280" s="3">
        <f>IFERROR(__xludf.DUMMYFUNCTION("""COMPUTED_VALUE"""),46297)</f>
        <v>46297</v>
      </c>
      <c r="B3280" s="1" t="str">
        <f>IFERROR(__xludf.DUMMYFUNCTION("""COMPUTED_VALUE"""),"REMOLLO, LEA")</f>
        <v>REMOLLO, LEA</v>
      </c>
      <c r="C3280" s="1" t="str">
        <f>IFERROR(__xludf.DUMMYFUNCTION("""COMPUTED_VALUE"""),"FLA")</f>
        <v>FLA</v>
      </c>
      <c r="D3280" s="1" t="str">
        <f>IFERROR(__xludf.DUMMYFUNCTION("""COMPUTED_VALUE"""),"JERIC NAVARRO")</f>
        <v>JERIC NAVARRO</v>
      </c>
      <c r="E3280" s="1" t="str">
        <f>IFERROR(__xludf.DUMMYFUNCTION("""COMPUTED_VALUE"""),"PLDT / H2H")</f>
        <v>PLDT / H2H</v>
      </c>
      <c r="F3280" s="1"/>
      <c r="G3280" s="1">
        <f>IFERROR(__xludf.DUMMYFUNCTION("""COMPUTED_VALUE"""),2312926310)</f>
        <v>2312926310</v>
      </c>
      <c r="H3280" s="1" t="str">
        <f>IFERROR(__xludf.DUMMYFUNCTION("""COMPUTED_VALUE"""),"473942952004")</f>
        <v>473942952004</v>
      </c>
      <c r="I3280" s="1">
        <f>IFERROR(__xludf.DUMMYFUNCTION("""COMPUTED_VALUE"""),639243647238)</f>
        <v>639243647238</v>
      </c>
      <c r="J3280" s="1"/>
      <c r="K3280" s="1"/>
      <c r="L3280" s="1" t="str">
        <f>IFERROR(__xludf.DUMMYFUNCTION("""COMPUTED_VALUE"""),"064-BL-009")</f>
        <v>064-BL-009</v>
      </c>
      <c r="M3280" s="1" t="str">
        <f>IFERROR(__xludf.DUMMYFUNCTION("""COMPUTED_VALUE"""),"ZONE 6")</f>
        <v>ZONE 6</v>
      </c>
      <c r="N3280" s="1" t="str">
        <f>IFERROR(__xludf.DUMMYFUNCTION("""COMPUTED_VALUE"""),"BAUTISTA")</f>
        <v>BAUTISTA</v>
      </c>
      <c r="O3280" s="1" t="str">
        <f>IFERROR(__xludf.DUMMYFUNCTION("""COMPUTED_VALUE"""),"SAMPALOC IV")</f>
        <v>SAMPALOC IV</v>
      </c>
      <c r="P3280" s="1" t="str">
        <f>IFERROR(__xludf.DUMMYFUNCTION("""COMPUTED_VALUE"""),"DASMARINAS")</f>
        <v>DASMARINAS</v>
      </c>
      <c r="Q3280" s="1" t="str">
        <f>IFERROR(__xludf.DUMMYFUNCTION("""COMPUTED_VALUE"""),"CAVITE")</f>
        <v>CAVITE</v>
      </c>
      <c r="R3280" s="1" t="str">
        <f>IFERROR(__xludf.DUMMYFUNCTION("""COMPUTED_VALUE"""),"FIBR UNLI ALL PLAN 999")</f>
        <v>FIBR UNLI ALL PLAN 999</v>
      </c>
      <c r="S3280" s="1" t="str">
        <f>IFERROR(__xludf.DUMMYFUNCTION("""COMPUTED_VALUE"""),"APPROVED")</f>
        <v>APPROVED</v>
      </c>
      <c r="T3280" s="1" t="str">
        <f>IFERROR(__xludf.DUMMYFUNCTION("""COMPUTED_VALUE"""),"FOR PAYMENT")</f>
        <v>FOR PAYMENT</v>
      </c>
      <c r="U3280" s="1" t="str">
        <f>IFERROR(__xludf.DUMMYFUNCTION("""COMPUTED_VALUE"""),"FOR PAYMENT")</f>
        <v>FOR PAYMENT</v>
      </c>
      <c r="V3280" s="1"/>
      <c r="W3280" s="1"/>
    </row>
    <row r="3281" customHeight="1" spans="1:23">
      <c r="A3281" s="3">
        <f>IFERROR(__xludf.DUMMYFUNCTION("""COMPUTED_VALUE"""),46297)</f>
        <v>46297</v>
      </c>
      <c r="B3281" s="1" t="str">
        <f>IFERROR(__xludf.DUMMYFUNCTION("""COMPUTED_VALUE"""),"TAMAYO, MARY ROSE")</f>
        <v>TAMAYO, MARY ROSE</v>
      </c>
      <c r="C3281" s="1" t="str">
        <f>IFERROR(__xludf.DUMMYFUNCTION("""COMPUTED_VALUE"""),"ORGANIC")</f>
        <v>ORGANIC</v>
      </c>
      <c r="D3281" s="1" t="str">
        <f>IFERROR(__xludf.DUMMYFUNCTION("""COMPUTED_VALUE"""),"REMOLLO LEA")</f>
        <v>REMOLLO LEA</v>
      </c>
      <c r="E3281" s="1" t="str">
        <f>IFERROR(__xludf.DUMMYFUNCTION("""COMPUTED_VALUE"""),"PLDT / H2H")</f>
        <v>PLDT / H2H</v>
      </c>
      <c r="F3281" s="1"/>
      <c r="G3281" s="1">
        <f>IFERROR(__xludf.DUMMYFUNCTION("""COMPUTED_VALUE"""),2312926580)</f>
        <v>2312926580</v>
      </c>
      <c r="H3281" s="1" t="str">
        <f>IFERROR(__xludf.DUMMYFUNCTION("""COMPUTED_VALUE"""),"473918517004")</f>
        <v>473918517004</v>
      </c>
      <c r="I3281" s="1">
        <f>IFERROR(__xludf.DUMMYFUNCTION("""COMPUTED_VALUE"""),639272255418)</f>
        <v>639272255418</v>
      </c>
      <c r="J3281" s="1"/>
      <c r="K3281" s="1"/>
      <c r="L3281" s="1" t="str">
        <f>IFERROR(__xludf.DUMMYFUNCTION("""COMPUTED_VALUE"""),"76")</f>
        <v>76</v>
      </c>
      <c r="M3281" s="1" t="str">
        <f>IFERROR(__xludf.DUMMYFUNCTION("""COMPUTED_VALUE"""),"PUROK 3")</f>
        <v>PUROK 3</v>
      </c>
      <c r="N3281" s="1" t="str">
        <f>IFERROR(__xludf.DUMMYFUNCTION("""COMPUTED_VALUE"""),"#N/A")</f>
        <v>#N/A</v>
      </c>
      <c r="O3281" s="1" t="str">
        <f>IFERROR(__xludf.DUMMYFUNCTION("""COMPUTED_VALUE"""),"LUCSUHIN")</f>
        <v>LUCSUHIN</v>
      </c>
      <c r="P3281" s="1" t="str">
        <f>IFERROR(__xludf.DUMMYFUNCTION("""COMPUTED_VALUE"""),"SILANG")</f>
        <v>SILANG</v>
      </c>
      <c r="Q3281" s="1" t="str">
        <f>IFERROR(__xludf.DUMMYFUNCTION("""COMPUTED_VALUE"""),"CAVITE")</f>
        <v>CAVITE</v>
      </c>
      <c r="R3281" s="1" t="str">
        <f>IFERROR(__xludf.DUMMYFUNCTION("""COMPUTED_VALUE"""),"FIBR UNLI ALL PLAN 999")</f>
        <v>FIBR UNLI ALL PLAN 999</v>
      </c>
      <c r="S3281" s="1" t="str">
        <f>IFERROR(__xludf.DUMMYFUNCTION("""COMPUTED_VALUE"""),"APPROVED")</f>
        <v>APPROVED</v>
      </c>
      <c r="T3281" s="1" t="str">
        <f>IFERROR(__xludf.DUMMYFUNCTION("""COMPUTED_VALUE"""),"RPR ")</f>
        <v>RPR </v>
      </c>
      <c r="U3281" s="1" t="str">
        <f>IFERROR(__xludf.DUMMYFUNCTION("""COMPUTED_VALUE"""),"RPR- NAP FULL")</f>
        <v>RPR- NAP FULL</v>
      </c>
      <c r="V3281" s="1"/>
      <c r="W3281" s="1"/>
    </row>
    <row r="3282" customHeight="1" spans="1:23">
      <c r="A3282" s="3">
        <f>IFERROR(__xludf.DUMMYFUNCTION("""COMPUTED_VALUE"""),46297)</f>
        <v>46297</v>
      </c>
      <c r="B3282" s="1" t="str">
        <f>IFERROR(__xludf.DUMMYFUNCTION("""COMPUTED_VALUE"""),"CADERAO, RONALD")</f>
        <v>CADERAO, RONALD</v>
      </c>
      <c r="C3282" s="1" t="str">
        <f>IFERROR(__xludf.DUMMYFUNCTION("""COMPUTED_VALUE"""),"ORGANIC")</f>
        <v>ORGANIC</v>
      </c>
      <c r="D3282" s="1" t="str">
        <f>IFERROR(__xludf.DUMMYFUNCTION("""COMPUTED_VALUE"""),"REMOLLO LEA")</f>
        <v>REMOLLO LEA</v>
      </c>
      <c r="E3282" s="1" t="str">
        <f>IFERROR(__xludf.DUMMYFUNCTION("""COMPUTED_VALUE"""),"PLDT / H2H")</f>
        <v>PLDT / H2H</v>
      </c>
      <c r="F3282" s="1"/>
      <c r="G3282" s="1">
        <f>IFERROR(__xludf.DUMMYFUNCTION("""COMPUTED_VALUE"""),2312927083)</f>
        <v>2312927083</v>
      </c>
      <c r="H3282" s="1" t="str">
        <f>IFERROR(__xludf.DUMMYFUNCTION("""COMPUTED_VALUE"""),"#N/A")</f>
        <v>#N/A</v>
      </c>
      <c r="I3282" s="1">
        <f>IFERROR(__xludf.DUMMYFUNCTION("""COMPUTED_VALUE"""),639083032751)</f>
        <v>639083032751</v>
      </c>
      <c r="J3282" s="1"/>
      <c r="K3282" s="1"/>
      <c r="L3282" s="1" t="str">
        <f>IFERROR(__xludf.DUMMYFUNCTION("""COMPUTED_VALUE"""),"147")</f>
        <v>147</v>
      </c>
      <c r="M3282" s="1" t="str">
        <f>IFERROR(__xludf.DUMMYFUNCTION("""COMPUTED_VALUE"""),"PUROK 135")</f>
        <v>PUROK 135</v>
      </c>
      <c r="N3282" s="1" t="str">
        <f>IFERROR(__xludf.DUMMYFUNCTION("""COMPUTED_VALUE"""),"#N/A")</f>
        <v>#N/A</v>
      </c>
      <c r="O3282" s="1" t="str">
        <f>IFERROR(__xludf.DUMMYFUNCTION("""COMPUTED_VALUE"""),"NEOGAN")</f>
        <v>NEOGAN</v>
      </c>
      <c r="P3282" s="1" t="str">
        <f>IFERROR(__xludf.DUMMYFUNCTION("""COMPUTED_VALUE"""),"TAGAYTAY")</f>
        <v>TAGAYTAY</v>
      </c>
      <c r="Q3282" s="1" t="str">
        <f>IFERROR(__xludf.DUMMYFUNCTION("""COMPUTED_VALUE"""),"CAVITE")</f>
        <v>CAVITE</v>
      </c>
      <c r="R3282" s="1" t="str">
        <f>IFERROR(__xludf.DUMMYFUNCTION("""COMPUTED_VALUE"""),"FIBR UNLI ALL PLAN 1499")</f>
        <v>FIBR UNLI ALL PLAN 1499</v>
      </c>
      <c r="S3282" s="1" t="str">
        <f>IFERROR(__xludf.DUMMYFUNCTION("""COMPUTED_VALUE"""),"APPROVED")</f>
        <v>APPROVED</v>
      </c>
      <c r="T3282" s="1" t="str">
        <f>IFERROR(__xludf.DUMMYFUNCTION("""COMPUTED_VALUE"""),"RTS")</f>
        <v>RTS</v>
      </c>
      <c r="U3282" s="1" t="str">
        <f>IFERROR(__xludf.DUMMYFUNCTION("""COMPUTED_VALUE"""),"RTS - UNCONTACTED")</f>
        <v>RTS - UNCONTACTED</v>
      </c>
      <c r="V3282" s="1"/>
      <c r="W3282" s="1"/>
    </row>
    <row r="3283" customHeight="1" spans="1:23">
      <c r="A3283" s="3">
        <f>IFERROR(__xludf.DUMMYFUNCTION("""COMPUTED_VALUE"""),46297)</f>
        <v>46297</v>
      </c>
      <c r="B3283" s="1" t="str">
        <f>IFERROR(__xludf.DUMMYFUNCTION("""COMPUTED_VALUE"""),"FRANCISCO , ROSELYN")</f>
        <v>FRANCISCO , ROSELYN</v>
      </c>
      <c r="C3283" s="1" t="str">
        <f>IFERROR(__xludf.DUMMYFUNCTION("""COMPUTED_VALUE"""),"ORGANIC")</f>
        <v>ORGANIC</v>
      </c>
      <c r="D3283" s="1" t="str">
        <f>IFERROR(__xludf.DUMMYFUNCTION("""COMPUTED_VALUE"""),"REMOLLO LEA")</f>
        <v>REMOLLO LEA</v>
      </c>
      <c r="E3283" s="1" t="str">
        <f>IFERROR(__xludf.DUMMYFUNCTION("""COMPUTED_VALUE"""),"PLDT / H2H")</f>
        <v>PLDT / H2H</v>
      </c>
      <c r="F3283" s="1"/>
      <c r="G3283" s="1">
        <f>IFERROR(__xludf.DUMMYFUNCTION("""COMPUTED_VALUE"""),2312927537)</f>
        <v>2312927537</v>
      </c>
      <c r="H3283" s="1" t="str">
        <f>IFERROR(__xludf.DUMMYFUNCTION("""COMPUTED_VALUE"""),"473919777004")</f>
        <v>473919777004</v>
      </c>
      <c r="I3283" s="1">
        <f>IFERROR(__xludf.DUMMYFUNCTION("""COMPUTED_VALUE"""),639262043944)</f>
        <v>639262043944</v>
      </c>
      <c r="J3283" s="1"/>
      <c r="K3283" s="1"/>
      <c r="L3283" s="1" t="str">
        <f>IFERROR(__xludf.DUMMYFUNCTION("""COMPUTED_VALUE"""),"92")</f>
        <v>92</v>
      </c>
      <c r="M3283" s="1" t="str">
        <f>IFERROR(__xludf.DUMMYFUNCTION("""COMPUTED_VALUE"""),"PUROK 3")</f>
        <v>PUROK 3</v>
      </c>
      <c r="N3283" s="1" t="str">
        <f>IFERROR(__xludf.DUMMYFUNCTION("""COMPUTED_VALUE"""),"#N/A")</f>
        <v>#N/A</v>
      </c>
      <c r="O3283" s="1" t="str">
        <f>IFERROR(__xludf.DUMMYFUNCTION("""COMPUTED_VALUE"""),"BATAS")</f>
        <v>BATAS</v>
      </c>
      <c r="P3283" s="1" t="str">
        <f>IFERROR(__xludf.DUMMYFUNCTION("""COMPUTED_VALUE"""),"SILANG")</f>
        <v>SILANG</v>
      </c>
      <c r="Q3283" s="1" t="str">
        <f>IFERROR(__xludf.DUMMYFUNCTION("""COMPUTED_VALUE"""),"CAVITE")</f>
        <v>CAVITE</v>
      </c>
      <c r="R3283" s="1" t="str">
        <f>IFERROR(__xludf.DUMMYFUNCTION("""COMPUTED_VALUE"""),"FIBR PLAN 1299")</f>
        <v>FIBR PLAN 1299</v>
      </c>
      <c r="S3283" s="1" t="str">
        <f>IFERROR(__xludf.DUMMYFUNCTION("""COMPUTED_VALUE"""),"APPROVED")</f>
        <v>APPROVED</v>
      </c>
      <c r="T3283" s="1" t="str">
        <f>IFERROR(__xludf.DUMMYFUNCTION("""COMPUTED_VALUE"""),"CLOSED")</f>
        <v>CLOSED</v>
      </c>
      <c r="U3283" s="1" t="str">
        <f>IFERROR(__xludf.DUMMYFUNCTION("""COMPUTED_VALUE"""),"POSTED")</f>
        <v>POSTED</v>
      </c>
      <c r="V3283" s="1" t="str">
        <f>IFERROR(__xludf.DUMMYFUNCTION("""COMPUTED_VALUE"""),"NO 1 AMSF")</f>
        <v>NO 1 AMSF</v>
      </c>
      <c r="W3283" s="1"/>
    </row>
    <row r="3284" customHeight="1" spans="1:23">
      <c r="A3284" s="3">
        <f>IFERROR(__xludf.DUMMYFUNCTION("""COMPUTED_VALUE"""),46297)</f>
        <v>46297</v>
      </c>
      <c r="B3284" s="1" t="str">
        <f>IFERROR(__xludf.DUMMYFUNCTION("""COMPUTED_VALUE"""),"ARIENA, LYKA")</f>
        <v>ARIENA, LYKA</v>
      </c>
      <c r="C3284" s="1" t="str">
        <f>IFERROR(__xludf.DUMMYFUNCTION("""COMPUTED_VALUE"""),"ORGANIC")</f>
        <v>ORGANIC</v>
      </c>
      <c r="D3284" s="1" t="str">
        <f>IFERROR(__xludf.DUMMYFUNCTION("""COMPUTED_VALUE"""),"REMOLLO LEA")</f>
        <v>REMOLLO LEA</v>
      </c>
      <c r="E3284" s="1" t="str">
        <f>IFERROR(__xludf.DUMMYFUNCTION("""COMPUTED_VALUE"""),"PLDT / ONLINE")</f>
        <v>PLDT / ONLINE</v>
      </c>
      <c r="F3284" s="1"/>
      <c r="G3284" s="1">
        <f>IFERROR(__xludf.DUMMYFUNCTION("""COMPUTED_VALUE"""),2312928357)</f>
        <v>2312928357</v>
      </c>
      <c r="H3284" s="1" t="str">
        <f>IFERROR(__xludf.DUMMYFUNCTION("""COMPUTED_VALUE"""),"#N/A")</f>
        <v>#N/A</v>
      </c>
      <c r="I3284" s="1">
        <f>IFERROR(__xludf.DUMMYFUNCTION("""COMPUTED_VALUE"""),639564397275)</f>
        <v>639564397275</v>
      </c>
      <c r="J3284" s="1"/>
      <c r="K3284" s="1"/>
      <c r="L3284" s="1" t="str">
        <f>IFERROR(__xludf.DUMMYFUNCTION("""COMPUTED_VALUE"""),"UNIT 714")</f>
        <v>UNIT 714</v>
      </c>
      <c r="M3284" s="1" t="str">
        <f>IFERROR(__xludf.DUMMYFUNCTION("""COMPUTED_VALUE"""),"MAHOGANY")</f>
        <v>MAHOGANY</v>
      </c>
      <c r="N3284" s="1" t="str">
        <f>IFERROR(__xludf.DUMMYFUNCTION("""COMPUTED_VALUE"""),"COOLSUITES TOWER A")</f>
        <v>COOLSUITES TOWER A</v>
      </c>
      <c r="O3284" s="1" t="str">
        <f>IFERROR(__xludf.DUMMYFUNCTION("""COMPUTED_VALUE"""),"MAHARLIKA WEST")</f>
        <v>MAHARLIKA WEST</v>
      </c>
      <c r="P3284" s="1" t="str">
        <f>IFERROR(__xludf.DUMMYFUNCTION("""COMPUTED_VALUE"""),"TAGAYTAY")</f>
        <v>TAGAYTAY</v>
      </c>
      <c r="Q3284" s="1" t="str">
        <f>IFERROR(__xludf.DUMMYFUNCTION("""COMPUTED_VALUE"""),"CAVITE")</f>
        <v>CAVITE</v>
      </c>
      <c r="R3284" s="1" t="str">
        <f>IFERROR(__xludf.DUMMYFUNCTION("""COMPUTED_VALUE"""),"FIBR UNLI ALL PLAN 999")</f>
        <v>FIBR UNLI ALL PLAN 999</v>
      </c>
      <c r="S3284" s="1" t="str">
        <f>IFERROR(__xludf.DUMMYFUNCTION("""COMPUTED_VALUE"""),"APPROVED")</f>
        <v>APPROVED</v>
      </c>
      <c r="T3284" s="1" t="str">
        <f>IFERROR(__xludf.DUMMYFUNCTION("""COMPUTED_VALUE"""),"CANCELLED")</f>
        <v>CANCELLED</v>
      </c>
      <c r="U3284" s="1" t="str">
        <f>IFERROR(__xludf.DUMMYFUNCTION("""COMPUTED_VALUE"""),"CANCELLED - WITH ACTIVE LINE")</f>
        <v>CANCELLED - WITH ACTIVE LINE</v>
      </c>
      <c r="V3284" s="1"/>
      <c r="W3284" s="1"/>
    </row>
    <row r="3285" customHeight="1" spans="1:23">
      <c r="A3285" s="3">
        <f>IFERROR(__xludf.DUMMYFUNCTION("""COMPUTED_VALUE"""),46297)</f>
        <v>46297</v>
      </c>
      <c r="B3285" s="1" t="str">
        <f>IFERROR(__xludf.DUMMYFUNCTION("""COMPUTED_VALUE"""),"ALINGARO, CINDY")</f>
        <v>ALINGARO, CINDY</v>
      </c>
      <c r="C3285" s="1" t="str">
        <f>IFERROR(__xludf.DUMMYFUNCTION("""COMPUTED_VALUE"""),"ORGANIC")</f>
        <v>ORGANIC</v>
      </c>
      <c r="D3285" s="1" t="str">
        <f>IFERROR(__xludf.DUMMYFUNCTION("""COMPUTED_VALUE"""),"REMOLLO LEA")</f>
        <v>REMOLLO LEA</v>
      </c>
      <c r="E3285" s="1" t="str">
        <f>IFERROR(__xludf.DUMMYFUNCTION("""COMPUTED_VALUE"""),"PLDT / H2H")</f>
        <v>PLDT / H2H</v>
      </c>
      <c r="F3285" s="1"/>
      <c r="G3285" s="1">
        <f>IFERROR(__xludf.DUMMYFUNCTION("""COMPUTED_VALUE"""),2312928668)</f>
        <v>2312928668</v>
      </c>
      <c r="H3285" s="1" t="str">
        <f>IFERROR(__xludf.DUMMYFUNCTION("""COMPUTED_VALUE"""),"#N/A")</f>
        <v>#N/A</v>
      </c>
      <c r="I3285" s="1">
        <f>IFERROR(__xludf.DUMMYFUNCTION("""COMPUTED_VALUE"""),639924750914)</f>
        <v>639924750914</v>
      </c>
      <c r="J3285" s="1">
        <f>IFERROR(__xludf.DUMMYFUNCTION("""COMPUTED_VALUE"""),639634037557)</f>
        <v>639634037557</v>
      </c>
      <c r="K3285" s="1"/>
      <c r="L3285" s="1" t="str">
        <f>IFERROR(__xludf.DUMMYFUNCTION("""COMPUTED_VALUE"""),"4")</f>
        <v>4</v>
      </c>
      <c r="M3285" s="1" t="str">
        <f>IFERROR(__xludf.DUMMYFUNCTION("""COMPUTED_VALUE"""),"PUROK 43")</f>
        <v>PUROK 43</v>
      </c>
      <c r="N3285" s="1" t="str">
        <f>IFERROR(__xludf.DUMMYFUNCTION("""COMPUTED_VALUE"""),"#N/A")</f>
        <v>#N/A</v>
      </c>
      <c r="O3285" s="1" t="str">
        <f>IFERROR(__xludf.DUMMYFUNCTION("""COMPUTED_VALUE"""),"IRUHIN SOUTH")</f>
        <v>IRUHIN SOUTH</v>
      </c>
      <c r="P3285" s="1" t="str">
        <f>IFERROR(__xludf.DUMMYFUNCTION("""COMPUTED_VALUE"""),"TAGAYTAY")</f>
        <v>TAGAYTAY</v>
      </c>
      <c r="Q3285" s="1" t="str">
        <f>IFERROR(__xludf.DUMMYFUNCTION("""COMPUTED_VALUE"""),"CAVITE")</f>
        <v>CAVITE</v>
      </c>
      <c r="R3285" s="1" t="str">
        <f>IFERROR(__xludf.DUMMYFUNCTION("""COMPUTED_VALUE"""),"FIBR PLAN 1299")</f>
        <v>FIBR PLAN 1299</v>
      </c>
      <c r="S3285" s="1" t="str">
        <f>IFERROR(__xludf.DUMMYFUNCTION("""COMPUTED_VALUE"""),"APPROVED")</f>
        <v>APPROVED</v>
      </c>
      <c r="T3285" s="1" t="str">
        <f>IFERROR(__xludf.DUMMYFUNCTION("""COMPUTED_VALUE"""),"CANCELLED")</f>
        <v>CANCELLED</v>
      </c>
      <c r="U3285" s="1" t="str">
        <f>IFERROR(__xludf.DUMMYFUNCTION("""COMPUTED_VALUE"""),"CANCELLED - WITH OB")</f>
        <v>CANCELLED - WITH OB</v>
      </c>
      <c r="V3285" s="1"/>
      <c r="W3285" s="1"/>
    </row>
    <row r="3286" customHeight="1" spans="1:23">
      <c r="A3286" s="3">
        <f>IFERROR(__xludf.DUMMYFUNCTION("""COMPUTED_VALUE"""),46297)</f>
        <v>46297</v>
      </c>
      <c r="B3286" s="1" t="str">
        <f>IFERROR(__xludf.DUMMYFUNCTION("""COMPUTED_VALUE"""),"ARIENA, LYKA")</f>
        <v>ARIENA, LYKA</v>
      </c>
      <c r="C3286" s="1" t="str">
        <f>IFERROR(__xludf.DUMMYFUNCTION("""COMPUTED_VALUE"""),"ORGANIC")</f>
        <v>ORGANIC</v>
      </c>
      <c r="D3286" s="1" t="str">
        <f>IFERROR(__xludf.DUMMYFUNCTION("""COMPUTED_VALUE"""),"REMOLLO LEA")</f>
        <v>REMOLLO LEA</v>
      </c>
      <c r="E3286" s="1" t="str">
        <f>IFERROR(__xludf.DUMMYFUNCTION("""COMPUTED_VALUE"""),"PLDT / H2H")</f>
        <v>PLDT / H2H</v>
      </c>
      <c r="F3286" s="1"/>
      <c r="G3286" s="1">
        <f>IFERROR(__xludf.DUMMYFUNCTION("""COMPUTED_VALUE"""),2312928718)</f>
        <v>2312928718</v>
      </c>
      <c r="H3286" s="1" t="str">
        <f>IFERROR(__xludf.DUMMYFUNCTION("""COMPUTED_VALUE"""),"474048031004")</f>
        <v>474048031004</v>
      </c>
      <c r="I3286" s="1">
        <f>IFERROR(__xludf.DUMMYFUNCTION("""COMPUTED_VALUE"""),639454419963)</f>
        <v>639454419963</v>
      </c>
      <c r="J3286" s="1"/>
      <c r="K3286" s="1"/>
      <c r="L3286" s="1" t="str">
        <f>IFERROR(__xludf.DUMMYFUNCTION("""COMPUTED_VALUE"""),"036-BL-003")</f>
        <v>036-BL-003</v>
      </c>
      <c r="M3286" s="1" t="str">
        <f>IFERROR(__xludf.DUMMYFUNCTION("""COMPUTED_VALUE"""),"BUKLURAN 2")</f>
        <v>BUKLURAN 2</v>
      </c>
      <c r="N3286" s="1" t="str">
        <f>IFERROR(__xludf.DUMMYFUNCTION("""COMPUTED_VALUE"""),"#N/A")</f>
        <v>#N/A</v>
      </c>
      <c r="O3286" s="1" t="str">
        <f>IFERROR(__xludf.DUMMYFUNCTION("""COMPUTED_VALUE"""),"BULIHAN")</f>
        <v>BULIHAN</v>
      </c>
      <c r="P3286" s="1" t="str">
        <f>IFERROR(__xludf.DUMMYFUNCTION("""COMPUTED_VALUE"""),"SILANG")</f>
        <v>SILANG</v>
      </c>
      <c r="Q3286" s="1" t="str">
        <f>IFERROR(__xludf.DUMMYFUNCTION("""COMPUTED_VALUE"""),"CAVITE")</f>
        <v>CAVITE</v>
      </c>
      <c r="R3286" s="1" t="str">
        <f>IFERROR(__xludf.DUMMYFUNCTION("""COMPUTED_VALUE"""),"FIBR PLAN 1299")</f>
        <v>FIBR PLAN 1299</v>
      </c>
      <c r="S3286" s="1" t="str">
        <f>IFERROR(__xludf.DUMMYFUNCTION("""COMPUTED_VALUE"""),"APPROVED")</f>
        <v>APPROVED</v>
      </c>
      <c r="T3286" s="1" t="str">
        <f>IFERROR(__xludf.DUMMYFUNCTION("""COMPUTED_VALUE"""),"CLOSED")</f>
        <v>CLOSED</v>
      </c>
      <c r="U3286" s="1" t="str">
        <f>IFERROR(__xludf.DUMMYFUNCTION("""COMPUTED_VALUE"""),"POSTED")</f>
        <v>POSTED</v>
      </c>
      <c r="V3286" s="1" t="str">
        <f>IFERROR(__xludf.DUMMYFUNCTION("""COMPUTED_VALUE"""),"WITH 1 AMSF")</f>
        <v>WITH 1 AMSF</v>
      </c>
      <c r="W3286" s="1"/>
    </row>
    <row r="3287" customHeight="1" spans="1:23">
      <c r="A3287" s="3">
        <f>IFERROR(__xludf.DUMMYFUNCTION("""COMPUTED_VALUE"""),46297)</f>
        <v>46297</v>
      </c>
      <c r="B3287" s="1" t="str">
        <f>IFERROR(__xludf.DUMMYFUNCTION("""COMPUTED_VALUE"""),"ESCARCHA, MA ALMA  ESCOTO")</f>
        <v>ESCARCHA, MA ALMA  ESCOTO</v>
      </c>
      <c r="C3287" s="1" t="str">
        <f>IFERROR(__xludf.DUMMYFUNCTION("""COMPUTED_VALUE"""),"ORGANIC")</f>
        <v>ORGANIC</v>
      </c>
      <c r="D3287" s="1" t="str">
        <f>IFERROR(__xludf.DUMMYFUNCTION("""COMPUTED_VALUE"""),"REMOLLO LEA")</f>
        <v>REMOLLO LEA</v>
      </c>
      <c r="E3287" s="1" t="str">
        <f>IFERROR(__xludf.DUMMYFUNCTION("""COMPUTED_VALUE"""),"PLDT / H2H")</f>
        <v>PLDT / H2H</v>
      </c>
      <c r="F3287" s="1"/>
      <c r="G3287" s="1">
        <f>IFERROR(__xludf.DUMMYFUNCTION("""COMPUTED_VALUE"""),2312939800)</f>
        <v>2312939800</v>
      </c>
      <c r="H3287" s="1" t="str">
        <f>IFERROR(__xludf.DUMMYFUNCTION("""COMPUTED_VALUE"""),"#N/A")</f>
        <v>#N/A</v>
      </c>
      <c r="I3287" s="1">
        <f>IFERROR(__xludf.DUMMYFUNCTION("""COMPUTED_VALUE"""),639157681868)</f>
        <v>639157681868</v>
      </c>
      <c r="J3287" s="1"/>
      <c r="K3287" s="1"/>
      <c r="L3287" s="1" t="str">
        <f>IFERROR(__xludf.DUMMYFUNCTION("""COMPUTED_VALUE"""),"9668")</f>
        <v>9668</v>
      </c>
      <c r="M3287" s="1" t="str">
        <f>IFERROR(__xludf.DUMMYFUNCTION("""COMPUTED_VALUE"""),"PUROK 43")</f>
        <v>PUROK 43</v>
      </c>
      <c r="N3287" s="1" t="str">
        <f>IFERROR(__xludf.DUMMYFUNCTION("""COMPUTED_VALUE"""),"#N/A")</f>
        <v>#N/A</v>
      </c>
      <c r="O3287" s="1" t="str">
        <f>IFERROR(__xludf.DUMMYFUNCTION("""COMPUTED_VALUE"""),"IRUHIN SOUTH")</f>
        <v>IRUHIN SOUTH</v>
      </c>
      <c r="P3287" s="1" t="str">
        <f>IFERROR(__xludf.DUMMYFUNCTION("""COMPUTED_VALUE"""),"TAGAYTAY")</f>
        <v>TAGAYTAY</v>
      </c>
      <c r="Q3287" s="1" t="str">
        <f>IFERROR(__xludf.DUMMYFUNCTION("""COMPUTED_VALUE"""),"CAVITE")</f>
        <v>CAVITE</v>
      </c>
      <c r="R3287" s="1" t="str">
        <f>IFERROR(__xludf.DUMMYFUNCTION("""COMPUTED_VALUE"""),"FIBR PLAN 1299")</f>
        <v>FIBR PLAN 1299</v>
      </c>
      <c r="S3287" s="1" t="str">
        <f>IFERROR(__xludf.DUMMYFUNCTION("""COMPUTED_VALUE"""),"APPROVED")</f>
        <v>APPROVED</v>
      </c>
      <c r="T3287" s="1" t="str">
        <f>IFERROR(__xludf.DUMMYFUNCTION("""COMPUTED_VALUE"""),"CLOSED")</f>
        <v>CLOSED</v>
      </c>
      <c r="U3287" s="1" t="str">
        <f>IFERROR(__xludf.DUMMYFUNCTION("""COMPUTED_VALUE"""),"POSTED")</f>
        <v>POSTED</v>
      </c>
      <c r="V3287" s="1" t="str">
        <f>IFERROR(__xludf.DUMMYFUNCTION("""COMPUTED_VALUE"""),"NO 1 AMSF")</f>
        <v>NO 1 AMSF</v>
      </c>
      <c r="W3287" s="1"/>
    </row>
    <row r="3288" customHeight="1" spans="1:23">
      <c r="A3288" s="3">
        <f>IFERROR(__xludf.DUMMYFUNCTION("""COMPUTED_VALUE"""),46298)</f>
        <v>46298</v>
      </c>
      <c r="B3288" s="1" t="str">
        <f>IFERROR(__xludf.DUMMYFUNCTION("""COMPUTED_VALUE"""),"CORNELIO, CATHERINE")</f>
        <v>CORNELIO, CATHERINE</v>
      </c>
      <c r="C3288" s="1" t="str">
        <f>IFERROR(__xludf.DUMMYFUNCTION("""COMPUTED_VALUE"""),"ORGANIC")</f>
        <v>ORGANIC</v>
      </c>
      <c r="D3288" s="1" t="str">
        <f>IFERROR(__xludf.DUMMYFUNCTION("""COMPUTED_VALUE"""),"REMOLLO LEA")</f>
        <v>REMOLLO LEA</v>
      </c>
      <c r="E3288" s="1" t="str">
        <f>IFERROR(__xludf.DUMMYFUNCTION("""COMPUTED_VALUE"""),"PLDT / H2H")</f>
        <v>PLDT / H2H</v>
      </c>
      <c r="F3288" s="1"/>
      <c r="G3288" s="1">
        <f>IFERROR(__xludf.DUMMYFUNCTION("""COMPUTED_VALUE"""),2312939242)</f>
        <v>2312939242</v>
      </c>
      <c r="H3288" s="1" t="str">
        <f>IFERROR(__xludf.DUMMYFUNCTION("""COMPUTED_VALUE"""),"#N/A")</f>
        <v>#N/A</v>
      </c>
      <c r="I3288" s="1">
        <f>IFERROR(__xludf.DUMMYFUNCTION("""COMPUTED_VALUE"""),639456340883)</f>
        <v>639456340883</v>
      </c>
      <c r="J3288" s="1">
        <f>IFERROR(__xludf.DUMMYFUNCTION("""COMPUTED_VALUE"""),639273806492)</f>
        <v>639273806492</v>
      </c>
      <c r="K3288" s="1"/>
      <c r="L3288" s="1" t="str">
        <f>IFERROR(__xludf.DUMMYFUNCTION("""COMPUTED_VALUE"""),"690")</f>
        <v>690</v>
      </c>
      <c r="M3288" s="1" t="str">
        <f>IFERROR(__xludf.DUMMYFUNCTION("""COMPUTED_VALUE"""),"ILAYANG PULO")</f>
        <v>ILAYANG PULO</v>
      </c>
      <c r="N3288" s="1" t="str">
        <f>IFERROR(__xludf.DUMMYFUNCTION("""COMPUTED_VALUE"""),"#N/A")</f>
        <v>#N/A</v>
      </c>
      <c r="O3288" s="1" t="str">
        <f>IFERROR(__xludf.DUMMYFUNCTION("""COMPUTED_VALUE"""),"TAYWANAK IBABA")</f>
        <v>TAYWANAK IBABA</v>
      </c>
      <c r="P3288" s="1" t="str">
        <f>IFERROR(__xludf.DUMMYFUNCTION("""COMPUTED_VALUE"""),"SILANG")</f>
        <v>SILANG</v>
      </c>
      <c r="Q3288" s="1" t="str">
        <f>IFERROR(__xludf.DUMMYFUNCTION("""COMPUTED_VALUE"""),"CAVITE")</f>
        <v>CAVITE</v>
      </c>
      <c r="R3288" s="1" t="str">
        <f>IFERROR(__xludf.DUMMYFUNCTION("""COMPUTED_VALUE"""),"FIBR PLAN 1299")</f>
        <v>FIBR PLAN 1299</v>
      </c>
      <c r="S3288" s="1" t="str">
        <f>IFERROR(__xludf.DUMMYFUNCTION("""COMPUTED_VALUE"""),"APPROVED")</f>
        <v>APPROVED</v>
      </c>
      <c r="T3288" s="1" t="str">
        <f>IFERROR(__xludf.DUMMYFUNCTION("""COMPUTED_VALUE"""),"CLOSED")</f>
        <v>CLOSED</v>
      </c>
      <c r="U3288" s="1" t="str">
        <f>IFERROR(__xludf.DUMMYFUNCTION("""COMPUTED_VALUE"""),"POSTED")</f>
        <v>POSTED</v>
      </c>
      <c r="V3288" s="1" t="str">
        <f>IFERROR(__xludf.DUMMYFUNCTION("""COMPUTED_VALUE"""),"WITH 1 AMSF")</f>
        <v>WITH 1 AMSF</v>
      </c>
      <c r="W3288" s="1"/>
    </row>
    <row r="3289" customHeight="1" spans="1:23">
      <c r="A3289" s="3">
        <f>IFERROR(__xludf.DUMMYFUNCTION("""COMPUTED_VALUE"""),46298)</f>
        <v>46298</v>
      </c>
      <c r="B3289" s="1" t="str">
        <f>IFERROR(__xludf.DUMMYFUNCTION("""COMPUTED_VALUE"""),"ARIENA, LYKA")</f>
        <v>ARIENA, LYKA</v>
      </c>
      <c r="C3289" s="1" t="str">
        <f>IFERROR(__xludf.DUMMYFUNCTION("""COMPUTED_VALUE"""),"ORGANIC")</f>
        <v>ORGANIC</v>
      </c>
      <c r="D3289" s="1" t="str">
        <f>IFERROR(__xludf.DUMMYFUNCTION("""COMPUTED_VALUE"""),"REMOLLO LEA")</f>
        <v>REMOLLO LEA</v>
      </c>
      <c r="E3289" s="1" t="str">
        <f>IFERROR(__xludf.DUMMYFUNCTION("""COMPUTED_VALUE"""),"PLDT / ONLINE")</f>
        <v>PLDT / ONLINE</v>
      </c>
      <c r="F3289" s="1"/>
      <c r="G3289" s="1">
        <f>IFERROR(__xludf.DUMMYFUNCTION("""COMPUTED_VALUE"""),2312946058)</f>
        <v>2312946058</v>
      </c>
      <c r="H3289" s="1" t="str">
        <f>IFERROR(__xludf.DUMMYFUNCTION("""COMPUTED_VALUE"""),"474085813004")</f>
        <v>474085813004</v>
      </c>
      <c r="I3289" s="1">
        <f>IFERROR(__xludf.DUMMYFUNCTION("""COMPUTED_VALUE"""),639973960067)</f>
        <v>639973960067</v>
      </c>
      <c r="J3289" s="1"/>
      <c r="K3289" s="1"/>
      <c r="L3289" s="1" t="str">
        <f>IFERROR(__xludf.DUMMYFUNCTION("""COMPUTED_VALUE"""),"153")</f>
        <v>153</v>
      </c>
      <c r="M3289" s="1" t="str">
        <f>IFERROR(__xludf.DUMMYFUNCTION("""COMPUTED_VALUE"""),"TALISAY")</f>
        <v>TALISAY</v>
      </c>
      <c r="N3289" s="1" t="str">
        <f>IFERROR(__xludf.DUMMYFUNCTION("""COMPUTED_VALUE"""),"#N/A")</f>
        <v>#N/A</v>
      </c>
      <c r="O3289" s="1" t="str">
        <f>IFERROR(__xludf.DUMMYFUNCTION("""COMPUTED_VALUE"""),"TALISAY")</f>
        <v>TALISAY</v>
      </c>
      <c r="P3289" s="1" t="str">
        <f>IFERROR(__xludf.DUMMYFUNCTION("""COMPUTED_VALUE"""),"CALATAGAN")</f>
        <v>CALATAGAN</v>
      </c>
      <c r="Q3289" s="1" t="str">
        <f>IFERROR(__xludf.DUMMYFUNCTION("""COMPUTED_VALUE"""),"BATANGAS")</f>
        <v>BATANGAS</v>
      </c>
      <c r="R3289" s="1" t="str">
        <f>IFERROR(__xludf.DUMMYFUNCTION("""COMPUTED_VALUE"""),"FIBR PLAN 1299")</f>
        <v>FIBR PLAN 1299</v>
      </c>
      <c r="S3289" s="1" t="str">
        <f>IFERROR(__xludf.DUMMYFUNCTION("""COMPUTED_VALUE"""),"APPROVED")</f>
        <v>APPROVED</v>
      </c>
      <c r="T3289" s="1" t="str">
        <f>IFERROR(__xludf.DUMMYFUNCTION("""COMPUTED_VALUE"""),"PAID")</f>
        <v>PAID</v>
      </c>
      <c r="U3289" s="1" t="str">
        <f>IFERROR(__xludf.DUMMYFUNCTION("""COMPUTED_VALUE"""),"PAID - FOR INSTALLATION")</f>
        <v>PAID - FOR INSTALLATION</v>
      </c>
      <c r="V3289" s="1" t="str">
        <f>IFERROR(__xludf.DUMMYFUNCTION("""COMPUTED_VALUE"""),"WITH 1 AMSF")</f>
        <v>WITH 1 AMSF</v>
      </c>
      <c r="W3289" s="1"/>
    </row>
    <row r="3290" customHeight="1" spans="1:23">
      <c r="A3290" s="3">
        <f>IFERROR(__xludf.DUMMYFUNCTION("""COMPUTED_VALUE"""),46298)</f>
        <v>46298</v>
      </c>
      <c r="B3290" s="1" t="str">
        <f>IFERROR(__xludf.DUMMYFUNCTION("""COMPUTED_VALUE"""),"MALIWAT MARK ELVIN")</f>
        <v>MALIWAT MARK ELVIN</v>
      </c>
      <c r="C3290" s="1" t="str">
        <f>IFERROR(__xludf.DUMMYFUNCTION("""COMPUTED_VALUE"""),"FLA")</f>
        <v>FLA</v>
      </c>
      <c r="D3290" s="1" t="str">
        <f>IFERROR(__xludf.DUMMYFUNCTION("""COMPUTED_VALUE"""),"JERIC NAVARRO")</f>
        <v>JERIC NAVARRO</v>
      </c>
      <c r="E3290" s="1" t="str">
        <f>IFERROR(__xludf.DUMMYFUNCTION("""COMPUTED_VALUE"""),"PLDT / ONLINE")</f>
        <v>PLDT / ONLINE</v>
      </c>
      <c r="F3290" s="1"/>
      <c r="G3290" s="1">
        <f>IFERROR(__xludf.DUMMYFUNCTION("""COMPUTED_VALUE"""),2312940613)</f>
        <v>2312940613</v>
      </c>
      <c r="H3290" s="1" t="str">
        <f>IFERROR(__xludf.DUMMYFUNCTION("""COMPUTED_VALUE"""),"#N/A")</f>
        <v>#N/A</v>
      </c>
      <c r="I3290" s="1">
        <f>IFERROR(__xludf.DUMMYFUNCTION("""COMPUTED_VALUE"""),639279594428)</f>
        <v>639279594428</v>
      </c>
      <c r="J3290" s="1"/>
      <c r="K3290" s="1"/>
      <c r="L3290" s="1" t="str">
        <f>IFERROR(__xludf.DUMMYFUNCTION("""COMPUTED_VALUE"""),"026-BL-017")</f>
        <v>026-BL-017</v>
      </c>
      <c r="M3290" s="1" t="str">
        <f>IFERROR(__xludf.DUMMYFUNCTION("""COMPUTED_VALUE"""),"MT PINATUBO")</f>
        <v>MT PINATUBO</v>
      </c>
      <c r="N3290" s="1" t="str">
        <f>IFERROR(__xludf.DUMMYFUNCTION("""COMPUTED_VALUE"""),"CAMELLA SPRINGVILLE HEIGHTS")</f>
        <v>CAMELLA SPRINGVILLE HEIGHTS</v>
      </c>
      <c r="O3290" s="1" t="str">
        <f>IFERROR(__xludf.DUMMYFUNCTION("""COMPUTED_VALUE"""),"MOLINO VII")</f>
        <v>MOLINO VII</v>
      </c>
      <c r="P3290" s="1" t="str">
        <f>IFERROR(__xludf.DUMMYFUNCTION("""COMPUTED_VALUE"""),"BACOOR")</f>
        <v>BACOOR</v>
      </c>
      <c r="Q3290" s="1" t="str">
        <f>IFERROR(__xludf.DUMMYFUNCTION("""COMPUTED_VALUE"""),"CAVITE")</f>
        <v>CAVITE</v>
      </c>
      <c r="R3290" s="1" t="str">
        <f>IFERROR(__xludf.DUMMYFUNCTION("""COMPUTED_VALUE"""),"FIBR PLAN 1299")</f>
        <v>FIBR PLAN 1299</v>
      </c>
      <c r="S3290" s="1" t="str">
        <f>IFERROR(__xludf.DUMMYFUNCTION("""COMPUTED_VALUE"""),"APPROVED")</f>
        <v>APPROVED</v>
      </c>
      <c r="T3290" s="1" t="str">
        <f>IFERROR(__xludf.DUMMYFUNCTION("""COMPUTED_VALUE"""),"CANCELLED")</f>
        <v>CANCELLED</v>
      </c>
      <c r="U3290" s="1" t="str">
        <f>IFERROR(__xludf.DUMMYFUNCTION("""COMPUTED_VALUE"""),"CANCELLED - WITH ACTIVE LINE")</f>
        <v>CANCELLED - WITH ACTIVE LINE</v>
      </c>
      <c r="V3290" s="1"/>
      <c r="W3290" s="1"/>
    </row>
    <row r="3291" customHeight="1" spans="1:23">
      <c r="A3291" s="3">
        <f>IFERROR(__xludf.DUMMYFUNCTION("""COMPUTED_VALUE"""),46298)</f>
        <v>46298</v>
      </c>
      <c r="B3291" s="1" t="str">
        <f>IFERROR(__xludf.DUMMYFUNCTION("""COMPUTED_VALUE"""),"MORADOS, MARVIN")</f>
        <v>MORADOS, MARVIN</v>
      </c>
      <c r="C3291" s="1" t="str">
        <f>IFERROR(__xludf.DUMMYFUNCTION("""COMPUTED_VALUE"""),"FLA")</f>
        <v>FLA</v>
      </c>
      <c r="D3291" s="1" t="str">
        <f>IFERROR(__xludf.DUMMYFUNCTION("""COMPUTED_VALUE"""),"JERIC NAVARRO")</f>
        <v>JERIC NAVARRO</v>
      </c>
      <c r="E3291" s="1" t="str">
        <f>IFERROR(__xludf.DUMMYFUNCTION("""COMPUTED_VALUE"""),"PLDT / ONLINE")</f>
        <v>PLDT / ONLINE</v>
      </c>
      <c r="F3291" s="1"/>
      <c r="G3291" s="1">
        <f>IFERROR(__xludf.DUMMYFUNCTION("""COMPUTED_VALUE"""),2312941003)</f>
        <v>2312941003</v>
      </c>
      <c r="H3291" s="1" t="str">
        <f>IFERROR(__xludf.DUMMYFUNCTION("""COMPUTED_VALUE"""),"474109809004")</f>
        <v>474109809004</v>
      </c>
      <c r="I3291" s="1">
        <f>IFERROR(__xludf.DUMMYFUNCTION("""COMPUTED_VALUE"""),639128242567)</f>
        <v>639128242567</v>
      </c>
      <c r="J3291" s="1"/>
      <c r="K3291" s="1"/>
      <c r="L3291" s="1" t="str">
        <f>IFERROR(__xludf.DUMMYFUNCTION("""COMPUTED_VALUE"""),"006-BL-028")</f>
        <v>006-BL-028</v>
      </c>
      <c r="M3291" s="1" t="str">
        <f>IFERROR(__xludf.DUMMYFUNCTION("""COMPUTED_VALUE"""),"GREENVILLE HOMES")</f>
        <v>GREENVILLE HOMES</v>
      </c>
      <c r="N3291" s="1" t="str">
        <f>IFERROR(__xludf.DUMMYFUNCTION("""COMPUTED_VALUE"""),"GREENVILLE HOMES SUBDIVISION")</f>
        <v>GREENVILLE HOMES SUBDIVISION</v>
      </c>
      <c r="O3291" s="1" t="str">
        <f>IFERROR(__xludf.DUMMYFUNCTION("""COMPUTED_VALUE"""),"SAHUD ULAN")</f>
        <v>SAHUD ULAN</v>
      </c>
      <c r="P3291" s="1" t="str">
        <f>IFERROR(__xludf.DUMMYFUNCTION("""COMPUTED_VALUE"""),"TANZA")</f>
        <v>TANZA</v>
      </c>
      <c r="Q3291" s="1" t="str">
        <f>IFERROR(__xludf.DUMMYFUNCTION("""COMPUTED_VALUE"""),"CAVITE")</f>
        <v>CAVITE</v>
      </c>
      <c r="R3291" s="1" t="str">
        <f>IFERROR(__xludf.DUMMYFUNCTION("""COMPUTED_VALUE"""),"FIBR PLAN 1299")</f>
        <v>FIBR PLAN 1299</v>
      </c>
      <c r="S3291" s="1" t="str">
        <f>IFERROR(__xludf.DUMMYFUNCTION("""COMPUTED_VALUE"""),"APPROVED")</f>
        <v>APPROVED</v>
      </c>
      <c r="T3291" s="1" t="str">
        <f>IFERROR(__xludf.DUMMYFUNCTION("""COMPUTED_VALUE"""),"FOR PAYMENT")</f>
        <v>FOR PAYMENT</v>
      </c>
      <c r="U3291" s="1" t="str">
        <f>IFERROR(__xludf.DUMMYFUNCTION("""COMPUTED_VALUE"""),"FOR PAYMENT")</f>
        <v>FOR PAYMENT</v>
      </c>
      <c r="V3291" s="1"/>
      <c r="W3291" s="1"/>
    </row>
    <row r="3292" customHeight="1" spans="1:23">
      <c r="A3292" s="3">
        <f>IFERROR(__xludf.DUMMYFUNCTION("""COMPUTED_VALUE"""),46298)</f>
        <v>46298</v>
      </c>
      <c r="B3292" s="1" t="str">
        <f>IFERROR(__xludf.DUMMYFUNCTION("""COMPUTED_VALUE"""),"MALIWAT MARK ELVIN")</f>
        <v>MALIWAT MARK ELVIN</v>
      </c>
      <c r="C3292" s="1" t="str">
        <f>IFERROR(__xludf.DUMMYFUNCTION("""COMPUTED_VALUE"""),"FLA")</f>
        <v>FLA</v>
      </c>
      <c r="D3292" s="1" t="str">
        <f>IFERROR(__xludf.DUMMYFUNCTION("""COMPUTED_VALUE"""),"JERIC NAVARRO")</f>
        <v>JERIC NAVARRO</v>
      </c>
      <c r="E3292" s="1" t="str">
        <f>IFERROR(__xludf.DUMMYFUNCTION("""COMPUTED_VALUE"""),"PLDT / H2H")</f>
        <v>PLDT / H2H</v>
      </c>
      <c r="F3292" s="1"/>
      <c r="G3292" s="1">
        <f>IFERROR(__xludf.DUMMYFUNCTION("""COMPUTED_VALUE"""),2312941253)</f>
        <v>2312941253</v>
      </c>
      <c r="H3292" s="1" t="str">
        <f>IFERROR(__xludf.DUMMYFUNCTION("""COMPUTED_VALUE"""),"474049348004")</f>
        <v>474049348004</v>
      </c>
      <c r="I3292" s="1">
        <f>IFERROR(__xludf.DUMMYFUNCTION("""COMPUTED_VALUE"""),639648680580)</f>
        <v>639648680580</v>
      </c>
      <c r="J3292" s="1"/>
      <c r="K3292" s="1"/>
      <c r="L3292" s="1" t="str">
        <f>IFERROR(__xludf.DUMMYFUNCTION("""COMPUTED_VALUE"""),"285")</f>
        <v>285</v>
      </c>
      <c r="M3292" s="1" t="str">
        <f>IFERROR(__xludf.DUMMYFUNCTION("""COMPUTED_VALUE"""),"BERNARDO PULIDO")</f>
        <v>BERNARDO PULIDO</v>
      </c>
      <c r="N3292" s="1" t="str">
        <f>IFERROR(__xludf.DUMMYFUNCTION("""COMPUTED_VALUE"""),"#N/A")</f>
        <v>#N/A</v>
      </c>
      <c r="O3292" s="1" t="str">
        <f>IFERROR(__xludf.DUMMYFUNCTION("""COMPUTED_VALUE"""),"BERNARDO PULIDO (AREA H)")</f>
        <v>BERNARDO PULIDO (AREA H)</v>
      </c>
      <c r="P3292" s="1" t="str">
        <f>IFERROR(__xludf.DUMMYFUNCTION("""COMPUTED_VALUE"""),"GEN MARIANO ALVAREZ")</f>
        <v>GEN MARIANO ALVAREZ</v>
      </c>
      <c r="Q3292" s="1" t="str">
        <f>IFERROR(__xludf.DUMMYFUNCTION("""COMPUTED_VALUE"""),"CAVITE")</f>
        <v>CAVITE</v>
      </c>
      <c r="R3292" s="1" t="str">
        <f>IFERROR(__xludf.DUMMYFUNCTION("""COMPUTED_VALUE"""),"FIBR PLAN 1299")</f>
        <v>FIBR PLAN 1299</v>
      </c>
      <c r="S3292" s="1" t="str">
        <f>IFERROR(__xludf.DUMMYFUNCTION("""COMPUTED_VALUE"""),"APPROVED")</f>
        <v>APPROVED</v>
      </c>
      <c r="T3292" s="1" t="str">
        <f>IFERROR(__xludf.DUMMYFUNCTION("""COMPUTED_VALUE"""),"FOR PAYMENT")</f>
        <v>FOR PAYMENT</v>
      </c>
      <c r="U3292" s="1" t="str">
        <f>IFERROR(__xludf.DUMMYFUNCTION("""COMPUTED_VALUE"""),"FOR PAYMENT")</f>
        <v>FOR PAYMENT</v>
      </c>
      <c r="V3292" s="1"/>
      <c r="W3292" s="1"/>
    </row>
    <row r="3293" customHeight="1" spans="1:23">
      <c r="A3293" s="3">
        <f>IFERROR(__xludf.DUMMYFUNCTION("""COMPUTED_VALUE"""),46298)</f>
        <v>46298</v>
      </c>
      <c r="B3293" s="1" t="str">
        <f>IFERROR(__xludf.DUMMYFUNCTION("""COMPUTED_VALUE"""),"FRANCISCO , ROSELYN")</f>
        <v>FRANCISCO , ROSELYN</v>
      </c>
      <c r="C3293" s="1" t="str">
        <f>IFERROR(__xludf.DUMMYFUNCTION("""COMPUTED_VALUE"""),"ORGANIC")</f>
        <v>ORGANIC</v>
      </c>
      <c r="D3293" s="1" t="str">
        <f>IFERROR(__xludf.DUMMYFUNCTION("""COMPUTED_VALUE"""),"REMOLLO LEA")</f>
        <v>REMOLLO LEA</v>
      </c>
      <c r="E3293" s="1" t="str">
        <f>IFERROR(__xludf.DUMMYFUNCTION("""COMPUTED_VALUE"""),"PLDT / H2H")</f>
        <v>PLDT / H2H</v>
      </c>
      <c r="F3293" s="1"/>
      <c r="G3293" s="1">
        <f>IFERROR(__xludf.DUMMYFUNCTION("""COMPUTED_VALUE"""),2312942839)</f>
        <v>2312942839</v>
      </c>
      <c r="H3293" s="1" t="str">
        <f>IFERROR(__xludf.DUMMYFUNCTION("""COMPUTED_VALUE"""),"#N/A")</f>
        <v>#N/A</v>
      </c>
      <c r="I3293" s="1">
        <f>IFERROR(__xludf.DUMMYFUNCTION("""COMPUTED_VALUE"""),639322474953)</f>
        <v>639322474953</v>
      </c>
      <c r="J3293" s="1"/>
      <c r="K3293" s="1"/>
      <c r="L3293" s="1" t="str">
        <f>IFERROR(__xludf.DUMMYFUNCTION("""COMPUTED_VALUE"""),"1968")</f>
        <v>1968</v>
      </c>
      <c r="M3293" s="1" t="str">
        <f>IFERROR(__xludf.DUMMYFUNCTION("""COMPUTED_VALUE"""),"MARAHAN 1")</f>
        <v>MARAHAN 1</v>
      </c>
      <c r="N3293" s="1" t="str">
        <f>IFERROR(__xludf.DUMMYFUNCTION("""COMPUTED_VALUE"""),"DIAMOND FARMLAND")</f>
        <v>DIAMOND FARMLAND</v>
      </c>
      <c r="O3293" s="1" t="str">
        <f>IFERROR(__xludf.DUMMYFUNCTION("""COMPUTED_VALUE"""),"MARAHAN I")</f>
        <v>MARAHAN I</v>
      </c>
      <c r="P3293" s="1" t="str">
        <f>IFERROR(__xludf.DUMMYFUNCTION("""COMPUTED_VALUE"""),"ALFONSO")</f>
        <v>ALFONSO</v>
      </c>
      <c r="Q3293" s="1" t="str">
        <f>IFERROR(__xludf.DUMMYFUNCTION("""COMPUTED_VALUE"""),"CAVITE")</f>
        <v>CAVITE</v>
      </c>
      <c r="R3293" s="1" t="str">
        <f>IFERROR(__xludf.DUMMYFUNCTION("""COMPUTED_VALUE"""),"FIBR PLAN 1299")</f>
        <v>FIBR PLAN 1299</v>
      </c>
      <c r="S3293" s="1" t="str">
        <f>IFERROR(__xludf.DUMMYFUNCTION("""COMPUTED_VALUE"""),"APPROVED")</f>
        <v>APPROVED</v>
      </c>
      <c r="T3293" s="1" t="str">
        <f>IFERROR(__xludf.DUMMYFUNCTION("""COMPUTED_VALUE"""),"CANCELLED")</f>
        <v>CANCELLED</v>
      </c>
      <c r="U3293" s="1" t="str">
        <f>IFERROR(__xludf.DUMMYFUNCTION("""COMPUTED_VALUE"""),"CANCELLED WITH PENDING APP")</f>
        <v>CANCELLED WITH PENDING APP</v>
      </c>
      <c r="V3293" s="1"/>
      <c r="W3293" s="1"/>
    </row>
    <row r="3294" customHeight="1" spans="1:23">
      <c r="A3294" s="3">
        <f>IFERROR(__xludf.DUMMYFUNCTION("""COMPUTED_VALUE"""),46298)</f>
        <v>46298</v>
      </c>
      <c r="B3294" s="1" t="str">
        <f>IFERROR(__xludf.DUMMYFUNCTION("""COMPUTED_VALUE"""),"CADERAO, RONALD")</f>
        <v>CADERAO, RONALD</v>
      </c>
      <c r="C3294" s="1" t="str">
        <f>IFERROR(__xludf.DUMMYFUNCTION("""COMPUTED_VALUE"""),"ORGANIC")</f>
        <v>ORGANIC</v>
      </c>
      <c r="D3294" s="1" t="str">
        <f>IFERROR(__xludf.DUMMYFUNCTION("""COMPUTED_VALUE"""),"REMOLLO LEA")</f>
        <v>REMOLLO LEA</v>
      </c>
      <c r="E3294" s="1" t="str">
        <f>IFERROR(__xludf.DUMMYFUNCTION("""COMPUTED_VALUE"""),"PLDT / H2H")</f>
        <v>PLDT / H2H</v>
      </c>
      <c r="F3294" s="1"/>
      <c r="G3294" s="1">
        <f>IFERROR(__xludf.DUMMYFUNCTION("""COMPUTED_VALUE"""),2312943047)</f>
        <v>2312943047</v>
      </c>
      <c r="H3294" s="1" t="str">
        <f>IFERROR(__xludf.DUMMYFUNCTION("""COMPUTED_VALUE"""),"474056742004")</f>
        <v>474056742004</v>
      </c>
      <c r="I3294" s="1">
        <f>IFERROR(__xludf.DUMMYFUNCTION("""COMPUTED_VALUE"""),639944685103)</f>
        <v>639944685103</v>
      </c>
      <c r="J3294" s="1"/>
      <c r="K3294" s="1"/>
      <c r="L3294" s="1" t="str">
        <f>IFERROR(__xludf.DUMMYFUNCTION("""COMPUTED_VALUE"""),"147")</f>
        <v>147</v>
      </c>
      <c r="M3294" s="1" t="str">
        <f>IFERROR(__xludf.DUMMYFUNCTION("""COMPUTED_VALUE"""),"PUROK 135")</f>
        <v>PUROK 135</v>
      </c>
      <c r="N3294" s="1" t="str">
        <f>IFERROR(__xludf.DUMMYFUNCTION("""COMPUTED_VALUE"""),"#N/A")</f>
        <v>#N/A</v>
      </c>
      <c r="O3294" s="1" t="str">
        <f>IFERROR(__xludf.DUMMYFUNCTION("""COMPUTED_VALUE"""),"NEOGAN")</f>
        <v>NEOGAN</v>
      </c>
      <c r="P3294" s="1" t="str">
        <f>IFERROR(__xludf.DUMMYFUNCTION("""COMPUTED_VALUE"""),"TAGAYTAY")</f>
        <v>TAGAYTAY</v>
      </c>
      <c r="Q3294" s="1" t="str">
        <f>IFERROR(__xludf.DUMMYFUNCTION("""COMPUTED_VALUE"""),"CAVITE")</f>
        <v>CAVITE</v>
      </c>
      <c r="R3294" s="1" t="str">
        <f>IFERROR(__xludf.DUMMYFUNCTION("""COMPUTED_VALUE"""),"FIBR UNLI ALL PLAN 1499")</f>
        <v>FIBR UNLI ALL PLAN 1499</v>
      </c>
      <c r="S3294" s="1" t="str">
        <f>IFERROR(__xludf.DUMMYFUNCTION("""COMPUTED_VALUE"""),"APPROVED")</f>
        <v>APPROVED</v>
      </c>
      <c r="T3294" s="1" t="str">
        <f>IFERROR(__xludf.DUMMYFUNCTION("""COMPUTED_VALUE"""),"PAID")</f>
        <v>PAID</v>
      </c>
      <c r="U3294" s="1" t="str">
        <f>IFERROR(__xludf.DUMMYFUNCTION("""COMPUTED_VALUE"""),"PAID - FOR INSTALLATION")</f>
        <v>PAID - FOR INSTALLATION</v>
      </c>
      <c r="V3294" s="1" t="str">
        <f>IFERROR(__xludf.DUMMYFUNCTION("""COMPUTED_VALUE"""),"NO 1 AMSF")</f>
        <v>NO 1 AMSF</v>
      </c>
      <c r="W3294" s="1"/>
    </row>
    <row r="3295" customHeight="1" spans="1:23">
      <c r="A3295" s="3">
        <f>IFERROR(__xludf.DUMMYFUNCTION("""COMPUTED_VALUE"""),46298)</f>
        <v>46298</v>
      </c>
      <c r="B3295" s="1" t="str">
        <f>IFERROR(__xludf.DUMMYFUNCTION("""COMPUTED_VALUE"""),"GABAY, MANUEL")</f>
        <v>GABAY, MANUEL</v>
      </c>
      <c r="C3295" s="1" t="str">
        <f>IFERROR(__xludf.DUMMYFUNCTION("""COMPUTED_VALUE"""),"FLA")</f>
        <v>FLA</v>
      </c>
      <c r="D3295" s="1" t="str">
        <f>IFERROR(__xludf.DUMMYFUNCTION("""COMPUTED_VALUE"""),"JERIC NAVARRO")</f>
        <v>JERIC NAVARRO</v>
      </c>
      <c r="E3295" s="1" t="str">
        <f>IFERROR(__xludf.DUMMYFUNCTION("""COMPUTED_VALUE"""),"PLDT / H2H")</f>
        <v>PLDT / H2H</v>
      </c>
      <c r="F3295" s="1"/>
      <c r="G3295" s="1">
        <f>IFERROR(__xludf.DUMMYFUNCTION("""COMPUTED_VALUE"""),2312943306)</f>
        <v>2312943306</v>
      </c>
      <c r="H3295" s="1" t="str">
        <f>IFERROR(__xludf.DUMMYFUNCTION("""COMPUTED_VALUE"""),"474055601004")</f>
        <v>474055601004</v>
      </c>
      <c r="I3295" s="1">
        <f>IFERROR(__xludf.DUMMYFUNCTION("""COMPUTED_VALUE"""),639359243345)</f>
        <v>639359243345</v>
      </c>
      <c r="J3295" s="1">
        <f>IFERROR(__xludf.DUMMYFUNCTION("""COMPUTED_VALUE"""),639981748168)</f>
        <v>639981748168</v>
      </c>
      <c r="K3295" s="1"/>
      <c r="L3295" s="1" t="str">
        <f>IFERROR(__xludf.DUMMYFUNCTION("""COMPUTED_VALUE"""),"18")</f>
        <v>18</v>
      </c>
      <c r="M3295" s="1" t="str">
        <f>IFERROR(__xludf.DUMMYFUNCTION("""COMPUTED_VALUE"""),"ZAMORA")</f>
        <v>ZAMORA</v>
      </c>
      <c r="N3295" s="1" t="str">
        <f>IFERROR(__xludf.DUMMYFUNCTION("""COMPUTED_VALUE"""),"#N/A")</f>
        <v>#N/A</v>
      </c>
      <c r="O3295" s="1" t="str">
        <f>IFERROR(__xludf.DUMMYFUNCTION("""COMPUTED_VALUE"""),"ASIS I")</f>
        <v>ASIS I</v>
      </c>
      <c r="P3295" s="1" t="str">
        <f>IFERROR(__xludf.DUMMYFUNCTION("""COMPUTED_VALUE"""),"MENDEZ")</f>
        <v>MENDEZ</v>
      </c>
      <c r="Q3295" s="1" t="str">
        <f>IFERROR(__xludf.DUMMYFUNCTION("""COMPUTED_VALUE"""),"CAVITE")</f>
        <v>CAVITE</v>
      </c>
      <c r="R3295" s="1" t="str">
        <f>IFERROR(__xludf.DUMMYFUNCTION("""COMPUTED_VALUE"""),"FIBR PLAN 1299")</f>
        <v>FIBR PLAN 1299</v>
      </c>
      <c r="S3295" s="1" t="str">
        <f>IFERROR(__xludf.DUMMYFUNCTION("""COMPUTED_VALUE"""),"APPROVED")</f>
        <v>APPROVED</v>
      </c>
      <c r="T3295" s="1" t="str">
        <f>IFERROR(__xludf.DUMMYFUNCTION("""COMPUTED_VALUE"""),"PAID")</f>
        <v>PAID</v>
      </c>
      <c r="U3295" s="1" t="str">
        <f>IFERROR(__xludf.DUMMYFUNCTION("""COMPUTED_VALUE"""),"PAID - FOR INSTALLATION")</f>
        <v>PAID - FOR INSTALLATION</v>
      </c>
      <c r="V3295" s="1" t="str">
        <f>IFERROR(__xludf.DUMMYFUNCTION("""COMPUTED_VALUE"""),"NO 1 AMSF")</f>
        <v>NO 1 AMSF</v>
      </c>
      <c r="W3295" s="1"/>
    </row>
    <row r="3296" customHeight="1" spans="1:23">
      <c r="A3296" s="3">
        <f>IFERROR(__xludf.DUMMYFUNCTION("""COMPUTED_VALUE"""),46298)</f>
        <v>46298</v>
      </c>
      <c r="B3296" s="1" t="str">
        <f>IFERROR(__xludf.DUMMYFUNCTION("""COMPUTED_VALUE"""),"GABAY, MANUEL")</f>
        <v>GABAY, MANUEL</v>
      </c>
      <c r="C3296" s="1" t="str">
        <f>IFERROR(__xludf.DUMMYFUNCTION("""COMPUTED_VALUE"""),"FLA")</f>
        <v>FLA</v>
      </c>
      <c r="D3296" s="1" t="str">
        <f>IFERROR(__xludf.DUMMYFUNCTION("""COMPUTED_VALUE"""),"JERIC NAVARRO")</f>
        <v>JERIC NAVARRO</v>
      </c>
      <c r="E3296" s="1" t="str">
        <f>IFERROR(__xludf.DUMMYFUNCTION("""COMPUTED_VALUE"""),"PLDT / H2H")</f>
        <v>PLDT / H2H</v>
      </c>
      <c r="F3296" s="1"/>
      <c r="G3296" s="1">
        <f>IFERROR(__xludf.DUMMYFUNCTION("""COMPUTED_VALUE"""),2312943728)</f>
        <v>2312943728</v>
      </c>
      <c r="H3296" s="1" t="str">
        <f>IFERROR(__xludf.DUMMYFUNCTION("""COMPUTED_VALUE"""),"474056150004")</f>
        <v>474056150004</v>
      </c>
      <c r="I3296" s="1">
        <f>IFERROR(__xludf.DUMMYFUNCTION("""COMPUTED_VALUE"""),639914357996)</f>
        <v>639914357996</v>
      </c>
      <c r="J3296" s="1">
        <f>IFERROR(__xludf.DUMMYFUNCTION("""COMPUTED_VALUE"""),639260263195)</f>
        <v>639260263195</v>
      </c>
      <c r="K3296" s="1"/>
      <c r="L3296" s="1" t="str">
        <f>IFERROR(__xludf.DUMMYFUNCTION("""COMPUTED_VALUE"""),"6C")</f>
        <v>6C</v>
      </c>
      <c r="M3296" s="1" t="str">
        <f>IFERROR(__xludf.DUMMYFUNCTION("""COMPUTED_VALUE"""),"LLAMADO")</f>
        <v>LLAMADO</v>
      </c>
      <c r="N3296" s="1" t="str">
        <f>IFERROR(__xludf.DUMMYFUNCTION("""COMPUTED_VALUE"""),"#N/A")</f>
        <v>#N/A</v>
      </c>
      <c r="O3296" s="1" t="str">
        <f>IFERROR(__xludf.DUMMYFUNCTION("""COMPUTED_VALUE"""),"BARANGAY 4 (POB.)")</f>
        <v>BARANGAY 4 (POB.)</v>
      </c>
      <c r="P3296" s="1" t="str">
        <f>IFERROR(__xludf.DUMMYFUNCTION("""COMPUTED_VALUE"""),"MENDEZ")</f>
        <v>MENDEZ</v>
      </c>
      <c r="Q3296" s="1" t="str">
        <f>IFERROR(__xludf.DUMMYFUNCTION("""COMPUTED_VALUE"""),"CAVITE")</f>
        <v>CAVITE</v>
      </c>
      <c r="R3296" s="1" t="str">
        <f>IFERROR(__xludf.DUMMYFUNCTION("""COMPUTED_VALUE"""),"FIBR PLAN 1299")</f>
        <v>FIBR PLAN 1299</v>
      </c>
      <c r="S3296" s="1" t="str">
        <f>IFERROR(__xludf.DUMMYFUNCTION("""COMPUTED_VALUE"""),"APPROVED")</f>
        <v>APPROVED</v>
      </c>
      <c r="T3296" s="1" t="str">
        <f>IFERROR(__xludf.DUMMYFUNCTION("""COMPUTED_VALUE"""),"CLOSED")</f>
        <v>CLOSED</v>
      </c>
      <c r="U3296" s="1" t="str">
        <f>IFERROR(__xludf.DUMMYFUNCTION("""COMPUTED_VALUE"""),"POSTED")</f>
        <v>POSTED</v>
      </c>
      <c r="V3296" s="1" t="str">
        <f>IFERROR(__xludf.DUMMYFUNCTION("""COMPUTED_VALUE"""),"WITH 1 AMSF")</f>
        <v>WITH 1 AMSF</v>
      </c>
      <c r="W3296" s="1"/>
    </row>
    <row r="3297" customHeight="1" spans="1:23">
      <c r="A3297" s="3">
        <f>IFERROR(__xludf.DUMMYFUNCTION("""COMPUTED_VALUE"""),46298)</f>
        <v>46298</v>
      </c>
      <c r="B3297" s="1" t="str">
        <f>IFERROR(__xludf.DUMMYFUNCTION("""COMPUTED_VALUE"""),"MALIWAT MARK ELVIN")</f>
        <v>MALIWAT MARK ELVIN</v>
      </c>
      <c r="C3297" s="1" t="str">
        <f>IFERROR(__xludf.DUMMYFUNCTION("""COMPUTED_VALUE"""),"FLA")</f>
        <v>FLA</v>
      </c>
      <c r="D3297" s="1" t="str">
        <f>IFERROR(__xludf.DUMMYFUNCTION("""COMPUTED_VALUE"""),"JERIC NAVARRO")</f>
        <v>JERIC NAVARRO</v>
      </c>
      <c r="E3297" s="1" t="str">
        <f>IFERROR(__xludf.DUMMYFUNCTION("""COMPUTED_VALUE"""),"PLDT / H2H")</f>
        <v>PLDT / H2H</v>
      </c>
      <c r="F3297" s="1"/>
      <c r="G3297" s="1">
        <f>IFERROR(__xludf.DUMMYFUNCTION("""COMPUTED_VALUE"""),2312944083)</f>
        <v>2312944083</v>
      </c>
      <c r="H3297" s="1" t="str">
        <f>IFERROR(__xludf.DUMMYFUNCTION("""COMPUTED_VALUE"""),"474308824004")</f>
        <v>474308824004</v>
      </c>
      <c r="I3297" s="1">
        <f>IFERROR(__xludf.DUMMYFUNCTION("""COMPUTED_VALUE"""),639512182712)</f>
        <v>639512182712</v>
      </c>
      <c r="J3297" s="1"/>
      <c r="K3297" s="1"/>
      <c r="L3297" s="1" t="str">
        <f>IFERROR(__xludf.DUMMYFUNCTION("""COMPUTED_VALUE"""),"9043")</f>
        <v>9043</v>
      </c>
      <c r="M3297" s="1" t="str">
        <f>IFERROR(__xludf.DUMMYFUNCTION("""COMPUTED_VALUE"""),"KALIHON")</f>
        <v>KALIHON</v>
      </c>
      <c r="N3297" s="1" t="str">
        <f>IFERROR(__xludf.DUMMYFUNCTION("""COMPUTED_VALUE"""),"#N/A")</f>
        <v>#N/A</v>
      </c>
      <c r="O3297" s="1" t="str">
        <f>IFERROR(__xludf.DUMMYFUNCTION("""COMPUTED_VALUE"""),"SINALIW MALAKI")</f>
        <v>SINALIW MALAKI</v>
      </c>
      <c r="P3297" s="1" t="str">
        <f>IFERROR(__xludf.DUMMYFUNCTION("""COMPUTED_VALUE"""),"TAGAYTAY")</f>
        <v>TAGAYTAY</v>
      </c>
      <c r="Q3297" s="1" t="str">
        <f>IFERROR(__xludf.DUMMYFUNCTION("""COMPUTED_VALUE"""),"CAVITE")</f>
        <v>CAVITE</v>
      </c>
      <c r="R3297" s="1" t="str">
        <f>IFERROR(__xludf.DUMMYFUNCTION("""COMPUTED_VALUE"""),"FIBR PLAN 1299")</f>
        <v>FIBR PLAN 1299</v>
      </c>
      <c r="S3297" s="1" t="str">
        <f>IFERROR(__xludf.DUMMYFUNCTION("""COMPUTED_VALUE"""),"APPROVED")</f>
        <v>APPROVED</v>
      </c>
      <c r="T3297" s="1" t="str">
        <f>IFERROR(__xludf.DUMMYFUNCTION("""COMPUTED_VALUE"""),"CLOSED")</f>
        <v>CLOSED</v>
      </c>
      <c r="U3297" s="1" t="str">
        <f>IFERROR(__xludf.DUMMYFUNCTION("""COMPUTED_VALUE"""),"POSTED")</f>
        <v>POSTED</v>
      </c>
      <c r="V3297" s="1" t="str">
        <f>IFERROR(__xludf.DUMMYFUNCTION("""COMPUTED_VALUE"""),"NO 1 AMSF")</f>
        <v>NO 1 AMSF</v>
      </c>
      <c r="W3297" s="1"/>
    </row>
    <row r="3298" customHeight="1" spans="1:23">
      <c r="A3298" s="3">
        <f>IFERROR(__xludf.DUMMYFUNCTION("""COMPUTED_VALUE"""),46298)</f>
        <v>46298</v>
      </c>
      <c r="B3298" s="1" t="str">
        <f>IFERROR(__xludf.DUMMYFUNCTION("""COMPUTED_VALUE"""),"GABAY, MANUEL")</f>
        <v>GABAY, MANUEL</v>
      </c>
      <c r="C3298" s="1" t="str">
        <f>IFERROR(__xludf.DUMMYFUNCTION("""COMPUTED_VALUE"""),"FLA")</f>
        <v>FLA</v>
      </c>
      <c r="D3298" s="1" t="str">
        <f>IFERROR(__xludf.DUMMYFUNCTION("""COMPUTED_VALUE"""),"JERIC NAVARRO")</f>
        <v>JERIC NAVARRO</v>
      </c>
      <c r="E3298" s="1" t="str">
        <f>IFERROR(__xludf.DUMMYFUNCTION("""COMPUTED_VALUE"""),"PLDT / H2H")</f>
        <v>PLDT / H2H</v>
      </c>
      <c r="F3298" s="1"/>
      <c r="G3298" s="1">
        <f>IFERROR(__xludf.DUMMYFUNCTION("""COMPUTED_VALUE"""),2312944309)</f>
        <v>2312944309</v>
      </c>
      <c r="H3298" s="1" t="str">
        <f>IFERROR(__xludf.DUMMYFUNCTION("""COMPUTED_VALUE"""),"474059869004")</f>
        <v>474059869004</v>
      </c>
      <c r="I3298" s="1">
        <f>IFERROR(__xludf.DUMMYFUNCTION("""COMPUTED_VALUE"""),639491977412)</f>
        <v>639491977412</v>
      </c>
      <c r="J3298" s="1">
        <f>IFERROR(__xludf.DUMMYFUNCTION("""COMPUTED_VALUE"""),639916887515)</f>
        <v>639916887515</v>
      </c>
      <c r="K3298" s="1"/>
      <c r="L3298" s="1" t="str">
        <f>IFERROR(__xludf.DUMMYFUNCTION("""COMPUTED_VALUE"""),"9127C")</f>
        <v>9127C</v>
      </c>
      <c r="M3298" s="1" t="str">
        <f>IFERROR(__xludf.DUMMYFUNCTION("""COMPUTED_VALUE"""),"PAYAPA")</f>
        <v>PAYAPA</v>
      </c>
      <c r="N3298" s="1" t="str">
        <f>IFERROR(__xludf.DUMMYFUNCTION("""COMPUTED_VALUE"""),"PAYAPA SUBD")</f>
        <v>PAYAPA SUBD</v>
      </c>
      <c r="O3298" s="1" t="str">
        <f>IFERROR(__xludf.DUMMYFUNCTION("""COMPUTED_VALUE"""),"GALICIA III")</f>
        <v>GALICIA III</v>
      </c>
      <c r="P3298" s="1" t="str">
        <f>IFERROR(__xludf.DUMMYFUNCTION("""COMPUTED_VALUE"""),"MENDEZ")</f>
        <v>MENDEZ</v>
      </c>
      <c r="Q3298" s="1" t="str">
        <f>IFERROR(__xludf.DUMMYFUNCTION("""COMPUTED_VALUE"""),"CAVITE")</f>
        <v>CAVITE</v>
      </c>
      <c r="R3298" s="1" t="str">
        <f>IFERROR(__xludf.DUMMYFUNCTION("""COMPUTED_VALUE"""),"FIBR UNLI ALL PLAN 1499")</f>
        <v>FIBR UNLI ALL PLAN 1499</v>
      </c>
      <c r="S3298" s="1" t="str">
        <f>IFERROR(__xludf.DUMMYFUNCTION("""COMPUTED_VALUE"""),"APPROVED")</f>
        <v>APPROVED</v>
      </c>
      <c r="T3298" s="1" t="str">
        <f>IFERROR(__xludf.DUMMYFUNCTION("""COMPUTED_VALUE"""),"CLOSED")</f>
        <v>CLOSED</v>
      </c>
      <c r="U3298" s="1" t="str">
        <f>IFERROR(__xludf.DUMMYFUNCTION("""COMPUTED_VALUE"""),"POSTED")</f>
        <v>POSTED</v>
      </c>
      <c r="V3298" s="1" t="str">
        <f>IFERROR(__xludf.DUMMYFUNCTION("""COMPUTED_VALUE"""),"WITH 1 AMSF")</f>
        <v>WITH 1 AMSF</v>
      </c>
      <c r="W3298" s="1"/>
    </row>
    <row r="3299" customHeight="1" spans="1:23">
      <c r="A3299" s="3">
        <f>IFERROR(__xludf.DUMMYFUNCTION("""COMPUTED_VALUE"""),46298)</f>
        <v>46298</v>
      </c>
      <c r="B3299" s="1" t="str">
        <f>IFERROR(__xludf.DUMMYFUNCTION("""COMPUTED_VALUE"""),"CORNELIO, CATHERINE")</f>
        <v>CORNELIO, CATHERINE</v>
      </c>
      <c r="C3299" s="1" t="str">
        <f>IFERROR(__xludf.DUMMYFUNCTION("""COMPUTED_VALUE"""),"ORGANIC")</f>
        <v>ORGANIC</v>
      </c>
      <c r="D3299" s="1" t="str">
        <f>IFERROR(__xludf.DUMMYFUNCTION("""COMPUTED_VALUE"""),"REMOLLO LEA")</f>
        <v>REMOLLO LEA</v>
      </c>
      <c r="E3299" s="1" t="str">
        <f>IFERROR(__xludf.DUMMYFUNCTION("""COMPUTED_VALUE"""),"PLDT / H2H")</f>
        <v>PLDT / H2H</v>
      </c>
      <c r="F3299" s="1"/>
      <c r="G3299" s="1">
        <f>IFERROR(__xludf.DUMMYFUNCTION("""COMPUTED_VALUE"""),2312944704)</f>
        <v>2312944704</v>
      </c>
      <c r="H3299" s="1" t="str">
        <f>IFERROR(__xludf.DUMMYFUNCTION("""COMPUTED_VALUE"""),"474061098004")</f>
        <v>474061098004</v>
      </c>
      <c r="I3299" s="1">
        <f>IFERROR(__xludf.DUMMYFUNCTION("""COMPUTED_VALUE"""),639362737539)</f>
        <v>639362737539</v>
      </c>
      <c r="J3299" s="1">
        <f>IFERROR(__xludf.DUMMYFUNCTION("""COMPUTED_VALUE"""),639242374485)</f>
        <v>639242374485</v>
      </c>
      <c r="K3299" s="1"/>
      <c r="L3299" s="1" t="str">
        <f>IFERROR(__xludf.DUMMYFUNCTION("""COMPUTED_VALUE"""),"53")</f>
        <v>53</v>
      </c>
      <c r="M3299" s="1" t="str">
        <f>IFERROR(__xludf.DUMMYFUNCTION("""COMPUTED_VALUE"""),"SAN MIGUEL 2")</f>
        <v>SAN MIGUEL 2</v>
      </c>
      <c r="N3299" s="1" t="str">
        <f>IFERROR(__xludf.DUMMYFUNCTION("""COMPUTED_VALUE"""),"ROSANA APARTMENT")</f>
        <v>ROSANA APARTMENT</v>
      </c>
      <c r="O3299" s="1" t="str">
        <f>IFERROR(__xludf.DUMMYFUNCTION("""COMPUTED_VALUE"""),"SAN MIGUEL II")</f>
        <v>SAN MIGUEL II</v>
      </c>
      <c r="P3299" s="1" t="str">
        <f>IFERROR(__xludf.DUMMYFUNCTION("""COMPUTED_VALUE"""),"SILANG")</f>
        <v>SILANG</v>
      </c>
      <c r="Q3299" s="1" t="str">
        <f>IFERROR(__xludf.DUMMYFUNCTION("""COMPUTED_VALUE"""),"CAVITE")</f>
        <v>CAVITE</v>
      </c>
      <c r="R3299" s="1" t="str">
        <f>IFERROR(__xludf.DUMMYFUNCTION("""COMPUTED_VALUE"""),"FIBR PLAN 1299")</f>
        <v>FIBR PLAN 1299</v>
      </c>
      <c r="S3299" s="1" t="str">
        <f>IFERROR(__xludf.DUMMYFUNCTION("""COMPUTED_VALUE"""),"APPROVED")</f>
        <v>APPROVED</v>
      </c>
      <c r="T3299" s="1" t="str">
        <f>IFERROR(__xludf.DUMMYFUNCTION("""COMPUTED_VALUE"""),"FOR PAYMENT")</f>
        <v>FOR PAYMENT</v>
      </c>
      <c r="U3299" s="1" t="str">
        <f>IFERROR(__xludf.DUMMYFUNCTION("""COMPUTED_VALUE"""),"FOR PAYMENT")</f>
        <v>FOR PAYMENT</v>
      </c>
      <c r="V3299" s="1"/>
      <c r="W3299" s="1"/>
    </row>
    <row r="3300" customHeight="1" spans="1:23">
      <c r="A3300" s="3">
        <f>IFERROR(__xludf.DUMMYFUNCTION("""COMPUTED_VALUE"""),46298)</f>
        <v>46298</v>
      </c>
      <c r="B3300" s="1" t="str">
        <f>IFERROR(__xludf.DUMMYFUNCTION("""COMPUTED_VALUE"""),"FRANCISCO , ROSELYN")</f>
        <v>FRANCISCO , ROSELYN</v>
      </c>
      <c r="C3300" s="1" t="str">
        <f>IFERROR(__xludf.DUMMYFUNCTION("""COMPUTED_VALUE"""),"ORGANIC")</f>
        <v>ORGANIC</v>
      </c>
      <c r="D3300" s="1" t="str">
        <f>IFERROR(__xludf.DUMMYFUNCTION("""COMPUTED_VALUE"""),"REMOLLO LEA")</f>
        <v>REMOLLO LEA</v>
      </c>
      <c r="E3300" s="1" t="str">
        <f>IFERROR(__xludf.DUMMYFUNCTION("""COMPUTED_VALUE"""),"PLDT / H2H")</f>
        <v>PLDT / H2H</v>
      </c>
      <c r="F3300" s="1"/>
      <c r="G3300" s="1">
        <f>IFERROR(__xludf.DUMMYFUNCTION("""COMPUTED_VALUE"""),2312945004)</f>
        <v>2312945004</v>
      </c>
      <c r="H3300" s="1" t="str">
        <f>IFERROR(__xludf.DUMMYFUNCTION("""COMPUTED_VALUE"""),"#N/A")</f>
        <v>#N/A</v>
      </c>
      <c r="I3300" s="1">
        <f>IFERROR(__xludf.DUMMYFUNCTION("""COMPUTED_VALUE"""),639171752568)</f>
        <v>639171752568</v>
      </c>
      <c r="J3300" s="1"/>
      <c r="K3300" s="1"/>
      <c r="L3300" s="1" t="str">
        <f>IFERROR(__xludf.DUMMYFUNCTION("""COMPUTED_VALUE"""),"C03-BL-019")</f>
        <v>C03-BL-019</v>
      </c>
      <c r="M3300" s="1" t="str">
        <f>IFERROR(__xludf.DUMMYFUNCTION("""COMPUTED_VALUE"""),"VISAYAS")</f>
        <v>VISAYAS</v>
      </c>
      <c r="N3300" s="1" t="str">
        <f>IFERROR(__xludf.DUMMYFUNCTION("""COMPUTED_VALUE"""),"#N/A")</f>
        <v>#N/A</v>
      </c>
      <c r="O3300" s="1" t="str">
        <f>IFERROR(__xludf.DUMMYFUNCTION("""COMPUTED_VALUE"""),"GAVINO MADERAN")</f>
        <v>GAVINO MADERAN</v>
      </c>
      <c r="P3300" s="1" t="str">
        <f>IFERROR(__xludf.DUMMYFUNCTION("""COMPUTED_VALUE"""),"GEN MARIANO ALVAREZ")</f>
        <v>GEN MARIANO ALVAREZ</v>
      </c>
      <c r="Q3300" s="1" t="str">
        <f>IFERROR(__xludf.DUMMYFUNCTION("""COMPUTED_VALUE"""),"CAVITE")</f>
        <v>CAVITE</v>
      </c>
      <c r="R3300" s="1" t="str">
        <f>IFERROR(__xludf.DUMMYFUNCTION("""COMPUTED_VALUE"""),"FIBR PLAN 1299")</f>
        <v>FIBR PLAN 1299</v>
      </c>
      <c r="S3300" s="1" t="str">
        <f>IFERROR(__xludf.DUMMYFUNCTION("""COMPUTED_VALUE"""),"APPROVED")</f>
        <v>APPROVED</v>
      </c>
      <c r="T3300" s="1" t="str">
        <f>IFERROR(__xludf.DUMMYFUNCTION("""COMPUTED_VALUE"""),"CANCELLED")</f>
        <v>CANCELLED</v>
      </c>
      <c r="U3300" s="1" t="str">
        <f>IFERROR(__xludf.DUMMYFUNCTION("""COMPUTED_VALUE"""),"CANCELLED - WITH OB")</f>
        <v>CANCELLED - WITH OB</v>
      </c>
      <c r="V3300" s="1"/>
      <c r="W3300" s="1"/>
    </row>
    <row r="3301" customHeight="1" spans="1:23">
      <c r="A3301" s="3">
        <f>IFERROR(__xludf.DUMMYFUNCTION("""COMPUTED_VALUE"""),46298)</f>
        <v>46298</v>
      </c>
      <c r="B3301" s="1" t="str">
        <f>IFERROR(__xludf.DUMMYFUNCTION("""COMPUTED_VALUE"""),"BITANCUR, CHRISTIAN")</f>
        <v>BITANCUR, CHRISTIAN</v>
      </c>
      <c r="C3301" s="1" t="str">
        <f>IFERROR(__xludf.DUMMYFUNCTION("""COMPUTED_VALUE"""),"ORGANIC")</f>
        <v>ORGANIC</v>
      </c>
      <c r="D3301" s="1" t="str">
        <f>IFERROR(__xludf.DUMMYFUNCTION("""COMPUTED_VALUE"""),"REMOLLO LEA")</f>
        <v>REMOLLO LEA</v>
      </c>
      <c r="E3301" s="1" t="str">
        <f>IFERROR(__xludf.DUMMYFUNCTION("""COMPUTED_VALUE"""),"PLDT / H2H")</f>
        <v>PLDT / H2H</v>
      </c>
      <c r="F3301" s="1"/>
      <c r="G3301" s="1">
        <f>IFERROR(__xludf.DUMMYFUNCTION("""COMPUTED_VALUE"""),2312945431)</f>
        <v>2312945431</v>
      </c>
      <c r="H3301" s="1" t="str">
        <f>IFERROR(__xludf.DUMMYFUNCTION("""COMPUTED_VALUE"""),"474069448004")</f>
        <v>474069448004</v>
      </c>
      <c r="I3301" s="1">
        <f>IFERROR(__xludf.DUMMYFUNCTION("""COMPUTED_VALUE"""),639466211274)</f>
        <v>639466211274</v>
      </c>
      <c r="J3301" s="1"/>
      <c r="K3301" s="1"/>
      <c r="L3301" s="1" t="str">
        <f>IFERROR(__xludf.DUMMYFUNCTION("""COMPUTED_VALUE"""),"003-BL-008")</f>
        <v>003-BL-008</v>
      </c>
      <c r="M3301" s="1" t="str">
        <f>IFERROR(__xludf.DUMMYFUNCTION("""COMPUTED_VALUE"""),"CARMONA ESTATES")</f>
        <v>CARMONA ESTATES</v>
      </c>
      <c r="N3301" s="1" t="str">
        <f>IFERROR(__xludf.DUMMYFUNCTION("""COMPUTED_VALUE"""),"CARMONA ESTATES")</f>
        <v>CARMONA ESTATES</v>
      </c>
      <c r="O3301" s="1" t="str">
        <f>IFERROR(__xludf.DUMMYFUNCTION("""COMPUTED_VALUE"""),"LANTIC")</f>
        <v>LANTIC</v>
      </c>
      <c r="P3301" s="1" t="str">
        <f>IFERROR(__xludf.DUMMYFUNCTION("""COMPUTED_VALUE"""),"CARMONA")</f>
        <v>CARMONA</v>
      </c>
      <c r="Q3301" s="1" t="str">
        <f>IFERROR(__xludf.DUMMYFUNCTION("""COMPUTED_VALUE"""),"CAVITE")</f>
        <v>CAVITE</v>
      </c>
      <c r="R3301" s="1" t="str">
        <f>IFERROR(__xludf.DUMMYFUNCTION("""COMPUTED_VALUE"""),"FIBR UNLI ALL PLAN 1499")</f>
        <v>FIBR UNLI ALL PLAN 1499</v>
      </c>
      <c r="S3301" s="1" t="str">
        <f>IFERROR(__xludf.DUMMYFUNCTION("""COMPUTED_VALUE"""),"APPROVED")</f>
        <v>APPROVED</v>
      </c>
      <c r="T3301" s="1" t="str">
        <f>IFERROR(__xludf.DUMMYFUNCTION("""COMPUTED_VALUE"""),"CLOSED")</f>
        <v>CLOSED</v>
      </c>
      <c r="U3301" s="1" t="str">
        <f>IFERROR(__xludf.DUMMYFUNCTION("""COMPUTED_VALUE"""),"POSTED")</f>
        <v>POSTED</v>
      </c>
      <c r="V3301" s="1" t="str">
        <f>IFERROR(__xludf.DUMMYFUNCTION("""COMPUTED_VALUE"""),"WITH 1 AMSF")</f>
        <v>WITH 1 AMSF</v>
      </c>
      <c r="W3301" s="1"/>
    </row>
    <row r="3302" customHeight="1" spans="1:23">
      <c r="A3302" s="3">
        <f>IFERROR(__xludf.DUMMYFUNCTION("""COMPUTED_VALUE"""),46298)</f>
        <v>46298</v>
      </c>
      <c r="B3302" s="1" t="str">
        <f>IFERROR(__xludf.DUMMYFUNCTION("""COMPUTED_VALUE"""),"CADERAO, RONALD")</f>
        <v>CADERAO, RONALD</v>
      </c>
      <c r="C3302" s="1" t="str">
        <f>IFERROR(__xludf.DUMMYFUNCTION("""COMPUTED_VALUE"""),"ORGANIC")</f>
        <v>ORGANIC</v>
      </c>
      <c r="D3302" s="1" t="str">
        <f>IFERROR(__xludf.DUMMYFUNCTION("""COMPUTED_VALUE"""),"REMOLLO LEA")</f>
        <v>REMOLLO LEA</v>
      </c>
      <c r="E3302" s="1" t="str">
        <f>IFERROR(__xludf.DUMMYFUNCTION("""COMPUTED_VALUE"""),"PLDT / H2H")</f>
        <v>PLDT / H2H</v>
      </c>
      <c r="F3302" s="1"/>
      <c r="G3302" s="1">
        <f>IFERROR(__xludf.DUMMYFUNCTION("""COMPUTED_VALUE"""),2312946500)</f>
        <v>2312946500</v>
      </c>
      <c r="H3302" s="1" t="str">
        <f>IFERROR(__xludf.DUMMYFUNCTION("""COMPUTED_VALUE"""),"474062386004")</f>
        <v>474062386004</v>
      </c>
      <c r="I3302" s="1">
        <f>IFERROR(__xludf.DUMMYFUNCTION("""COMPUTED_VALUE"""),639563579547)</f>
        <v>639563579547</v>
      </c>
      <c r="J3302" s="1"/>
      <c r="K3302" s="1"/>
      <c r="L3302" s="1" t="str">
        <f>IFERROR(__xludf.DUMMYFUNCTION("""COMPUTED_VALUE"""),"012-BL-012")</f>
        <v>012-BL-012</v>
      </c>
      <c r="M3302" s="1" t="str">
        <f>IFERROR(__xludf.DUMMYFUNCTION("""COMPUTED_VALUE"""),"PHASE 2")</f>
        <v>PHASE 2</v>
      </c>
      <c r="N3302" s="1" t="str">
        <f>IFERROR(__xludf.DUMMYFUNCTION("""COMPUTED_VALUE"""),"#N/A")</f>
        <v>#N/A</v>
      </c>
      <c r="O3302" s="1" t="str">
        <f>IFERROR(__xludf.DUMMYFUNCTION("""COMPUTED_VALUE"""),"ANAHAW I")</f>
        <v>ANAHAW I</v>
      </c>
      <c r="P3302" s="1" t="str">
        <f>IFERROR(__xludf.DUMMYFUNCTION("""COMPUTED_VALUE"""),"SILANG")</f>
        <v>SILANG</v>
      </c>
      <c r="Q3302" s="1" t="str">
        <f>IFERROR(__xludf.DUMMYFUNCTION("""COMPUTED_VALUE"""),"CAVITE")</f>
        <v>CAVITE</v>
      </c>
      <c r="R3302" s="1" t="str">
        <f>IFERROR(__xludf.DUMMYFUNCTION("""COMPUTED_VALUE"""),"FIBR PLAN 1299")</f>
        <v>FIBR PLAN 1299</v>
      </c>
      <c r="S3302" s="1" t="str">
        <f>IFERROR(__xludf.DUMMYFUNCTION("""COMPUTED_VALUE"""),"APPROVED")</f>
        <v>APPROVED</v>
      </c>
      <c r="T3302" s="1" t="str">
        <f>IFERROR(__xludf.DUMMYFUNCTION("""COMPUTED_VALUE"""),"FOR PAYMENT")</f>
        <v>FOR PAYMENT</v>
      </c>
      <c r="U3302" s="1" t="str">
        <f>IFERROR(__xludf.DUMMYFUNCTION("""COMPUTED_VALUE"""),"FOR PAYMENT")</f>
        <v>FOR PAYMENT</v>
      </c>
      <c r="V3302" s="1"/>
      <c r="W3302" s="1"/>
    </row>
    <row r="3303" customHeight="1" spans="1:23">
      <c r="A3303" s="3">
        <f>IFERROR(__xludf.DUMMYFUNCTION("""COMPUTED_VALUE"""),46299)</f>
        <v>46299</v>
      </c>
      <c r="B3303" s="1" t="str">
        <f>IFERROR(__xludf.DUMMYFUNCTION("""COMPUTED_VALUE"""),"ESCARCHA, MA ALMA  ESCOTO")</f>
        <v>ESCARCHA, MA ALMA  ESCOTO</v>
      </c>
      <c r="C3303" s="1" t="str">
        <f>IFERROR(__xludf.DUMMYFUNCTION("""COMPUTED_VALUE"""),"ORGANIC")</f>
        <v>ORGANIC</v>
      </c>
      <c r="D3303" s="1" t="str">
        <f>IFERROR(__xludf.DUMMYFUNCTION("""COMPUTED_VALUE"""),"REMOLLO LEA")</f>
        <v>REMOLLO LEA</v>
      </c>
      <c r="E3303" s="1" t="str">
        <f>IFERROR(__xludf.DUMMYFUNCTION("""COMPUTED_VALUE"""),"PLDT / H2H")</f>
        <v>PLDT / H2H</v>
      </c>
      <c r="F3303" s="1"/>
      <c r="G3303" s="1">
        <f>IFERROR(__xludf.DUMMYFUNCTION("""COMPUTED_VALUE"""),2312956271)</f>
        <v>2312956271</v>
      </c>
      <c r="H3303" s="1" t="str">
        <f>IFERROR(__xludf.DUMMYFUNCTION("""COMPUTED_VALUE"""),"474173570004")</f>
        <v>474173570004</v>
      </c>
      <c r="I3303" s="1">
        <f>IFERROR(__xludf.DUMMYFUNCTION("""COMPUTED_VALUE"""),639166339312)</f>
        <v>639166339312</v>
      </c>
      <c r="J3303" s="1">
        <f>IFERROR(__xludf.DUMMYFUNCTION("""COMPUTED_VALUE"""),639204622991)</f>
        <v>639204622991</v>
      </c>
      <c r="K3303" s="1"/>
      <c r="L3303" s="1" t="str">
        <f>IFERROR(__xludf.DUMMYFUNCTION("""COMPUTED_VALUE"""),"167")</f>
        <v>167</v>
      </c>
      <c r="M3303" s="1" t="str">
        <f>IFERROR(__xludf.DUMMYFUNCTION("""COMPUTED_VALUE"""),"PUROK 2")</f>
        <v>PUROK 2</v>
      </c>
      <c r="N3303" s="1" t="str">
        <f>IFERROR(__xludf.DUMMYFUNCTION("""COMPUTED_VALUE"""),"#N/A")</f>
        <v>#N/A</v>
      </c>
      <c r="O3303" s="1" t="str">
        <f>IFERROR(__xludf.DUMMYFUNCTION("""COMPUTED_VALUE"""),"LALAAN I")</f>
        <v>LALAAN I</v>
      </c>
      <c r="P3303" s="1" t="str">
        <f>IFERROR(__xludf.DUMMYFUNCTION("""COMPUTED_VALUE"""),"SILANG")</f>
        <v>SILANG</v>
      </c>
      <c r="Q3303" s="1" t="str">
        <f>IFERROR(__xludf.DUMMYFUNCTION("""COMPUTED_VALUE"""),"CAVITE")</f>
        <v>CAVITE</v>
      </c>
      <c r="R3303" s="1" t="str">
        <f>IFERROR(__xludf.DUMMYFUNCTION("""COMPUTED_VALUE"""),"FIBR PLAN 1299")</f>
        <v>FIBR PLAN 1299</v>
      </c>
      <c r="S3303" s="1" t="str">
        <f>IFERROR(__xludf.DUMMYFUNCTION("""COMPUTED_VALUE"""),"APPROVED")</f>
        <v>APPROVED</v>
      </c>
      <c r="T3303" s="1" t="str">
        <f>IFERROR(__xludf.DUMMYFUNCTION("""COMPUTED_VALUE"""),"RPR")</f>
        <v>RPR</v>
      </c>
      <c r="U3303" s="1" t="str">
        <f>IFERROR(__xludf.DUMMYFUNCTION("""COMPUTED_VALUE"""),"RPR - UNMAINTAINABLE")</f>
        <v>RPR - UNMAINTAINABLE</v>
      </c>
      <c r="V3303" s="1" t="str">
        <f>IFERROR(__xludf.DUMMYFUNCTION("""COMPUTED_VALUE"""),"NO 1 AMSF")</f>
        <v>NO 1 AMSF</v>
      </c>
      <c r="W3303" s="1"/>
    </row>
    <row r="3304" customHeight="1" spans="1:23">
      <c r="A3304" s="3">
        <f>IFERROR(__xludf.DUMMYFUNCTION("""COMPUTED_VALUE"""),46299)</f>
        <v>46299</v>
      </c>
      <c r="B3304" s="1" t="str">
        <f>IFERROR(__xludf.DUMMYFUNCTION("""COMPUTED_VALUE"""),"ALINGARO, CINDY")</f>
        <v>ALINGARO, CINDY</v>
      </c>
      <c r="C3304" s="1" t="str">
        <f>IFERROR(__xludf.DUMMYFUNCTION("""COMPUTED_VALUE"""),"ORGANIC")</f>
        <v>ORGANIC</v>
      </c>
      <c r="D3304" s="1" t="str">
        <f>IFERROR(__xludf.DUMMYFUNCTION("""COMPUTED_VALUE"""),"REMOLLO LEA")</f>
        <v>REMOLLO LEA</v>
      </c>
      <c r="E3304" s="1" t="str">
        <f>IFERROR(__xludf.DUMMYFUNCTION("""COMPUTED_VALUE"""),"PLDT / H2H")</f>
        <v>PLDT / H2H</v>
      </c>
      <c r="F3304" s="1"/>
      <c r="G3304" s="1">
        <f>IFERROR(__xludf.DUMMYFUNCTION("""COMPUTED_VALUE"""),2312954387)</f>
        <v>2312954387</v>
      </c>
      <c r="H3304" s="1" t="str">
        <f>IFERROR(__xludf.DUMMYFUNCTION("""COMPUTED_VALUE"""),"474170685004")</f>
        <v>474170685004</v>
      </c>
      <c r="I3304" s="1">
        <f>IFERROR(__xludf.DUMMYFUNCTION("""COMPUTED_VALUE"""),639704707377)</f>
        <v>639704707377</v>
      </c>
      <c r="J3304" s="1">
        <f>IFERROR(__xludf.DUMMYFUNCTION("""COMPUTED_VALUE"""),639634037557)</f>
        <v>639634037557</v>
      </c>
      <c r="K3304" s="1"/>
      <c r="L3304" s="1" t="str">
        <f>IFERROR(__xludf.DUMMYFUNCTION("""COMPUTED_VALUE"""),"4")</f>
        <v>4</v>
      </c>
      <c r="M3304" s="1" t="str">
        <f>IFERROR(__xludf.DUMMYFUNCTION("""COMPUTED_VALUE"""),"PUROK 43")</f>
        <v>PUROK 43</v>
      </c>
      <c r="N3304" s="1" t="str">
        <f>IFERROR(__xludf.DUMMYFUNCTION("""COMPUTED_VALUE"""),"#N/A")</f>
        <v>#N/A</v>
      </c>
      <c r="O3304" s="1" t="str">
        <f>IFERROR(__xludf.DUMMYFUNCTION("""COMPUTED_VALUE"""),"IRUHIN SOUTH")</f>
        <v>IRUHIN SOUTH</v>
      </c>
      <c r="P3304" s="1" t="str">
        <f>IFERROR(__xludf.DUMMYFUNCTION("""COMPUTED_VALUE"""),"TAGAYTAY")</f>
        <v>TAGAYTAY</v>
      </c>
      <c r="Q3304" s="1" t="str">
        <f>IFERROR(__xludf.DUMMYFUNCTION("""COMPUTED_VALUE"""),"CAVITE")</f>
        <v>CAVITE</v>
      </c>
      <c r="R3304" s="1" t="str">
        <f>IFERROR(__xludf.DUMMYFUNCTION("""COMPUTED_VALUE"""),"FIBR PLAN 1299")</f>
        <v>FIBR PLAN 1299</v>
      </c>
      <c r="S3304" s="1" t="str">
        <f>IFERROR(__xludf.DUMMYFUNCTION("""COMPUTED_VALUE"""),"APPROVED")</f>
        <v>APPROVED</v>
      </c>
      <c r="T3304" s="1" t="str">
        <f>IFERROR(__xludf.DUMMYFUNCTION("""COMPUTED_VALUE"""),"PAID")</f>
        <v>PAID</v>
      </c>
      <c r="U3304" s="1" t="str">
        <f>IFERROR(__xludf.DUMMYFUNCTION("""COMPUTED_VALUE"""),"PAID - FOR INSTALLATION")</f>
        <v>PAID - FOR INSTALLATION</v>
      </c>
      <c r="V3304" s="1" t="str">
        <f>IFERROR(__xludf.DUMMYFUNCTION("""COMPUTED_VALUE"""),"NO 1 AMSF")</f>
        <v>NO 1 AMSF</v>
      </c>
      <c r="W3304" s="1"/>
    </row>
    <row r="3305" customHeight="1" spans="1:23">
      <c r="A3305" s="3">
        <f>IFERROR(__xludf.DUMMYFUNCTION("""COMPUTED_VALUE"""),46299)</f>
        <v>46299</v>
      </c>
      <c r="B3305" s="1" t="str">
        <f>IFERROR(__xludf.DUMMYFUNCTION("""COMPUTED_VALUE"""),"TAMAYO, MARY ROSE")</f>
        <v>TAMAYO, MARY ROSE</v>
      </c>
      <c r="C3305" s="1" t="str">
        <f>IFERROR(__xludf.DUMMYFUNCTION("""COMPUTED_VALUE"""),"ORGANIC")</f>
        <v>ORGANIC</v>
      </c>
      <c r="D3305" s="1" t="str">
        <f>IFERROR(__xludf.DUMMYFUNCTION("""COMPUTED_VALUE"""),"REMOLLO LEA")</f>
        <v>REMOLLO LEA</v>
      </c>
      <c r="E3305" s="1" t="str">
        <f>IFERROR(__xludf.DUMMYFUNCTION("""COMPUTED_VALUE"""),"PLDT / H2H")</f>
        <v>PLDT / H2H</v>
      </c>
      <c r="F3305" s="1"/>
      <c r="G3305" s="1">
        <f>IFERROR(__xludf.DUMMYFUNCTION("""COMPUTED_VALUE"""),2312954957)</f>
        <v>2312954957</v>
      </c>
      <c r="H3305" s="1" t="str">
        <f>IFERROR(__xludf.DUMMYFUNCTION("""COMPUTED_VALUE"""),"474172003004")</f>
        <v>474172003004</v>
      </c>
      <c r="I3305" s="1">
        <f>IFERROR(__xludf.DUMMYFUNCTION("""COMPUTED_VALUE"""),639777617239)</f>
        <v>639777617239</v>
      </c>
      <c r="J3305" s="1"/>
      <c r="K3305" s="1"/>
      <c r="L3305" s="1" t="str">
        <f>IFERROR(__xludf.DUMMYFUNCTION("""COMPUTED_VALUE"""),"024-BL-05A")</f>
        <v>024-BL-05A</v>
      </c>
      <c r="M3305" s="1" t="str">
        <f>IFERROR(__xludf.DUMMYFUNCTION("""COMPUTED_VALUE"""),"CASA DE MONTEVERDE")</f>
        <v>CASA DE MONTEVERDE</v>
      </c>
      <c r="N3305" s="1" t="str">
        <f>IFERROR(__xludf.DUMMYFUNCTION("""COMPUTED_VALUE"""),"CASA DE MONTEVERDE")</f>
        <v>CASA DE MONTEVERDE</v>
      </c>
      <c r="O3305" s="1" t="str">
        <f>IFERROR(__xludf.DUMMYFUNCTION("""COMPUTED_VALUE"""),"FRANCISCO DE CASTRO (SUNSHINE VILL.)")</f>
        <v>FRANCISCO DE CASTRO (SUNSHINE VILL.)</v>
      </c>
      <c r="P3305" s="1" t="str">
        <f>IFERROR(__xludf.DUMMYFUNCTION("""COMPUTED_VALUE"""),"GEN MARIANO ALVAREZ")</f>
        <v>GEN MARIANO ALVAREZ</v>
      </c>
      <c r="Q3305" s="1" t="str">
        <f>IFERROR(__xludf.DUMMYFUNCTION("""COMPUTED_VALUE"""),"CAVITE")</f>
        <v>CAVITE</v>
      </c>
      <c r="R3305" s="1" t="str">
        <f>IFERROR(__xludf.DUMMYFUNCTION("""COMPUTED_VALUE"""),"FIBR PLAN 1299")</f>
        <v>FIBR PLAN 1299</v>
      </c>
      <c r="S3305" s="1" t="str">
        <f>IFERROR(__xludf.DUMMYFUNCTION("""COMPUTED_VALUE"""),"APPROVED")</f>
        <v>APPROVED</v>
      </c>
      <c r="T3305" s="1" t="str">
        <f>IFERROR(__xludf.DUMMYFUNCTION("""COMPUTED_VALUE"""),"ORDER CREATED")</f>
        <v>ORDER CREATED</v>
      </c>
      <c r="U3305" s="1" t="str">
        <f>IFERROR(__xludf.DUMMYFUNCTION("""COMPUTED_VALUE"""),"OPEN")</f>
        <v>OPEN</v>
      </c>
      <c r="V3305" s="1" t="str">
        <f>IFERROR(__xludf.DUMMYFUNCTION("""COMPUTED_VALUE"""),"NO 1 AMSF")</f>
        <v>NO 1 AMSF</v>
      </c>
      <c r="W3305" s="1"/>
    </row>
    <row r="3306" customHeight="1" spans="1:23">
      <c r="A3306" s="3">
        <f>IFERROR(__xludf.DUMMYFUNCTION("""COMPUTED_VALUE"""),46299)</f>
        <v>46299</v>
      </c>
      <c r="B3306" s="1" t="str">
        <f>IFERROR(__xludf.DUMMYFUNCTION("""COMPUTED_VALUE"""),"MALIWAT MARK ELVIN")</f>
        <v>MALIWAT MARK ELVIN</v>
      </c>
      <c r="C3306" s="1" t="str">
        <f>IFERROR(__xludf.DUMMYFUNCTION("""COMPUTED_VALUE"""),"FLA")</f>
        <v>FLA</v>
      </c>
      <c r="D3306" s="1" t="str">
        <f>IFERROR(__xludf.DUMMYFUNCTION("""COMPUTED_VALUE"""),"JERIC NAVARRO")</f>
        <v>JERIC NAVARRO</v>
      </c>
      <c r="E3306" s="1" t="str">
        <f>IFERROR(__xludf.DUMMYFUNCTION("""COMPUTED_VALUE"""),"PLDT / H2H")</f>
        <v>PLDT / H2H</v>
      </c>
      <c r="F3306" s="1"/>
      <c r="G3306" s="1">
        <f>IFERROR(__xludf.DUMMYFUNCTION("""COMPUTED_VALUE"""),2312956093)</f>
        <v>2312956093</v>
      </c>
      <c r="H3306" s="1" t="str">
        <f>IFERROR(__xludf.DUMMYFUNCTION("""COMPUTED_VALUE"""),"474176227004")</f>
        <v>474176227004</v>
      </c>
      <c r="I3306" s="1">
        <f>IFERROR(__xludf.DUMMYFUNCTION("""COMPUTED_VALUE"""),639958373320)</f>
        <v>639958373320</v>
      </c>
      <c r="J3306" s="1"/>
      <c r="K3306" s="1"/>
      <c r="L3306" s="1" t="str">
        <f>IFERROR(__xludf.DUMMYFUNCTION("""COMPUTED_VALUE"""),"UNIT 2")</f>
        <v>UNIT 2</v>
      </c>
      <c r="M3306" s="1" t="str">
        <f>IFERROR(__xludf.DUMMYFUNCTION("""COMPUTED_VALUE"""),"SITIO IBAYONG ILAT")</f>
        <v>SITIO IBAYONG ILAT</v>
      </c>
      <c r="N3306" s="1" t="str">
        <f>IFERROR(__xludf.DUMMYFUNCTION("""COMPUTED_VALUE"""),"MIRANDA COMPOUND")</f>
        <v>MIRANDA COMPOUND</v>
      </c>
      <c r="O3306" s="1" t="str">
        <f>IFERROR(__xludf.DUMMYFUNCTION("""COMPUTED_VALUE"""),"KAONG")</f>
        <v>KAONG</v>
      </c>
      <c r="P3306" s="1" t="str">
        <f>IFERROR(__xludf.DUMMYFUNCTION("""COMPUTED_VALUE"""),"SILANG")</f>
        <v>SILANG</v>
      </c>
      <c r="Q3306" s="1" t="str">
        <f>IFERROR(__xludf.DUMMYFUNCTION("""COMPUTED_VALUE"""),"CAVITE")</f>
        <v>CAVITE</v>
      </c>
      <c r="R3306" s="1" t="str">
        <f>IFERROR(__xludf.DUMMYFUNCTION("""COMPUTED_VALUE"""),"FIBR PLAN 1299")</f>
        <v>FIBR PLAN 1299</v>
      </c>
      <c r="S3306" s="1" t="str">
        <f>IFERROR(__xludf.DUMMYFUNCTION("""COMPUTED_VALUE"""),"APPROVED")</f>
        <v>APPROVED</v>
      </c>
      <c r="T3306" s="1" t="str">
        <f>IFERROR(__xludf.DUMMYFUNCTION("""COMPUTED_VALUE"""),"RPR")</f>
        <v>RPR</v>
      </c>
      <c r="U3306" s="1" t="str">
        <f>IFERROR(__xludf.DUMMYFUNCTION("""COMPUTED_VALUE"""),"RPR- NAP FULL")</f>
        <v>RPR- NAP FULL</v>
      </c>
      <c r="V3306" s="1" t="str">
        <f>IFERROR(__xludf.DUMMYFUNCTION("""COMPUTED_VALUE"""),"NO 1 AMSF")</f>
        <v>NO 1 AMSF</v>
      </c>
      <c r="W3306" s="1"/>
    </row>
    <row r="3307" customHeight="1" spans="1:23">
      <c r="A3307" s="3">
        <f>IFERROR(__xludf.DUMMYFUNCTION("""COMPUTED_VALUE"""),46299)</f>
        <v>46299</v>
      </c>
      <c r="B3307" s="1" t="str">
        <f>IFERROR(__xludf.DUMMYFUNCTION("""COMPUTED_VALUE"""),"MALIWAT MARK ELVIN")</f>
        <v>MALIWAT MARK ELVIN</v>
      </c>
      <c r="C3307" s="1" t="str">
        <f>IFERROR(__xludf.DUMMYFUNCTION("""COMPUTED_VALUE"""),"FLA")</f>
        <v>FLA</v>
      </c>
      <c r="D3307" s="1" t="str">
        <f>IFERROR(__xludf.DUMMYFUNCTION("""COMPUTED_VALUE"""),"JERIC NAVARRO")</f>
        <v>JERIC NAVARRO</v>
      </c>
      <c r="E3307" s="1" t="str">
        <f>IFERROR(__xludf.DUMMYFUNCTION("""COMPUTED_VALUE"""),"PLDT / ONLINE")</f>
        <v>PLDT / ONLINE</v>
      </c>
      <c r="F3307" s="1"/>
      <c r="G3307" s="1">
        <f>IFERROR(__xludf.DUMMYFUNCTION("""COMPUTED_VALUE"""),2312958220)</f>
        <v>2312958220</v>
      </c>
      <c r="H3307" s="1" t="str">
        <f>IFERROR(__xludf.DUMMYFUNCTION("""COMPUTED_VALUE"""),"474199886004")</f>
        <v>474199886004</v>
      </c>
      <c r="I3307" s="1">
        <f>IFERROR(__xludf.DUMMYFUNCTION("""COMPUTED_VALUE"""),639463904035)</f>
        <v>639463904035</v>
      </c>
      <c r="J3307" s="1">
        <f>IFERROR(__xludf.DUMMYFUNCTION("""COMPUTED_VALUE"""),639701323345)</f>
        <v>639701323345</v>
      </c>
      <c r="K3307" s="1"/>
      <c r="L3307" s="1" t="str">
        <f>IFERROR(__xludf.DUMMYFUNCTION("""COMPUTED_VALUE"""),"1")</f>
        <v>1</v>
      </c>
      <c r="M3307" s="1" t="str">
        <f>IFERROR(__xludf.DUMMYFUNCTION("""COMPUTED_VALUE"""),"SITIO ASINAN")</f>
        <v>SITIO ASINAN</v>
      </c>
      <c r="N3307" s="1" t="str">
        <f>IFERROR(__xludf.DUMMYFUNCTION("""COMPUTED_VALUE"""),"#N/A")</f>
        <v>#N/A</v>
      </c>
      <c r="O3307" s="1" t="str">
        <f>IFERROR(__xludf.DUMMYFUNCTION("""COMPUTED_VALUE"""),"GULOD")</f>
        <v>GULOD</v>
      </c>
      <c r="P3307" s="1" t="str">
        <f>IFERROR(__xludf.DUMMYFUNCTION("""COMPUTED_VALUE"""),"CALATAGAN")</f>
        <v>CALATAGAN</v>
      </c>
      <c r="Q3307" s="1" t="str">
        <f>IFERROR(__xludf.DUMMYFUNCTION("""COMPUTED_VALUE"""),"BATANGAS")</f>
        <v>BATANGAS</v>
      </c>
      <c r="R3307" s="1" t="str">
        <f>IFERROR(__xludf.DUMMYFUNCTION("""COMPUTED_VALUE"""),"FIBR NETFLIX PLAN 1599")</f>
        <v>FIBR NETFLIX PLAN 1599</v>
      </c>
      <c r="S3307" s="1" t="str">
        <f>IFERROR(__xludf.DUMMYFUNCTION("""COMPUTED_VALUE"""),"APPROVED")</f>
        <v>APPROVED</v>
      </c>
      <c r="T3307" s="1" t="str">
        <f>IFERROR(__xludf.DUMMYFUNCTION("""COMPUTED_VALUE"""),"PAID")</f>
        <v>PAID</v>
      </c>
      <c r="U3307" s="1" t="str">
        <f>IFERROR(__xludf.DUMMYFUNCTION("""COMPUTED_VALUE"""),"PAID - FOR INSTALLATION")</f>
        <v>PAID - FOR INSTALLATION</v>
      </c>
      <c r="V3307" s="1" t="str">
        <f>IFERROR(__xludf.DUMMYFUNCTION("""COMPUTED_VALUE"""),"NO 1 AMSF")</f>
        <v>NO 1 AMSF</v>
      </c>
      <c r="W3307" s="1"/>
    </row>
    <row r="3308" customHeight="1" spans="1:23">
      <c r="A3308" s="3">
        <f>IFERROR(__xludf.DUMMYFUNCTION("""COMPUTED_VALUE"""),46299)</f>
        <v>46299</v>
      </c>
      <c r="B3308" s="1" t="str">
        <f>IFERROR(__xludf.DUMMYFUNCTION("""COMPUTED_VALUE"""),"ARIENA, LYKA")</f>
        <v>ARIENA, LYKA</v>
      </c>
      <c r="C3308" s="1" t="str">
        <f>IFERROR(__xludf.DUMMYFUNCTION("""COMPUTED_VALUE"""),"ORGANIC")</f>
        <v>ORGANIC</v>
      </c>
      <c r="D3308" s="1" t="str">
        <f>IFERROR(__xludf.DUMMYFUNCTION("""COMPUTED_VALUE"""),"REMOLLO LEA")</f>
        <v>REMOLLO LEA</v>
      </c>
      <c r="E3308" s="1" t="str">
        <f>IFERROR(__xludf.DUMMYFUNCTION("""COMPUTED_VALUE"""),"PLDT / H2H")</f>
        <v>PLDT / H2H</v>
      </c>
      <c r="F3308" s="1"/>
      <c r="G3308" s="1">
        <f>IFERROR(__xludf.DUMMYFUNCTION("""COMPUTED_VALUE"""),2312958382)</f>
        <v>2312958382</v>
      </c>
      <c r="H3308" s="1" t="str">
        <f>IFERROR(__xludf.DUMMYFUNCTION("""COMPUTED_VALUE"""),"474178084004")</f>
        <v>474178084004</v>
      </c>
      <c r="I3308" s="1">
        <f>IFERROR(__xludf.DUMMYFUNCTION("""COMPUTED_VALUE"""),639911733132)</f>
        <v>639911733132</v>
      </c>
      <c r="J3308" s="1"/>
      <c r="K3308" s="1"/>
      <c r="L3308" s="1" t="str">
        <f>IFERROR(__xludf.DUMMYFUNCTION("""COMPUTED_VALUE"""),"UNIT 528")</f>
        <v>UNIT 528</v>
      </c>
      <c r="M3308" s="1" t="str">
        <f>IFERROR(__xludf.DUMMYFUNCTION("""COMPUTED_VALUE"""),"AGUINALDO")</f>
        <v>AGUINALDO</v>
      </c>
      <c r="N3308" s="1" t="str">
        <f>IFERROR(__xludf.DUMMYFUNCTION("""COMPUTED_VALUE"""),"WIND RESIDENCES TOWER 3")</f>
        <v>WIND RESIDENCES TOWER 3</v>
      </c>
      <c r="O3308" s="1" t="str">
        <f>IFERROR(__xludf.DUMMYFUNCTION("""COMPUTED_VALUE"""),"MAHARLIKA WEST")</f>
        <v>MAHARLIKA WEST</v>
      </c>
      <c r="P3308" s="1" t="str">
        <f>IFERROR(__xludf.DUMMYFUNCTION("""COMPUTED_VALUE"""),"TAGAYTAY")</f>
        <v>TAGAYTAY</v>
      </c>
      <c r="Q3308" s="1" t="str">
        <f>IFERROR(__xludf.DUMMYFUNCTION("""COMPUTED_VALUE"""),"CAVITE")</f>
        <v>CAVITE</v>
      </c>
      <c r="R3308" s="1" t="str">
        <f>IFERROR(__xludf.DUMMYFUNCTION("""COMPUTED_VALUE"""),"FIBR PLAN 1299")</f>
        <v>FIBR PLAN 1299</v>
      </c>
      <c r="S3308" s="1" t="str">
        <f>IFERROR(__xludf.DUMMYFUNCTION("""COMPUTED_VALUE"""),"APPROVED")</f>
        <v>APPROVED</v>
      </c>
      <c r="T3308" s="1" t="str">
        <f>IFERROR(__xludf.DUMMYFUNCTION("""COMPUTED_VALUE"""),"RESERVED FACILITY")</f>
        <v>RESERVED FACILITY</v>
      </c>
      <c r="U3308" s="1" t="str">
        <f>IFERROR(__xludf.DUMMYFUNCTION("""COMPUTED_VALUE"""),"OPEN")</f>
        <v>OPEN</v>
      </c>
      <c r="V3308" s="1" t="str">
        <f>IFERROR(__xludf.DUMMYFUNCTION("""COMPUTED_VALUE"""),"NO 1 AMSF")</f>
        <v>NO 1 AMSF</v>
      </c>
      <c r="W3308" s="1"/>
    </row>
    <row r="3309" customHeight="1" spans="1:23">
      <c r="A3309" s="3">
        <f>IFERROR(__xludf.DUMMYFUNCTION("""COMPUTED_VALUE"""),46299)</f>
        <v>46299</v>
      </c>
      <c r="B3309" s="1" t="str">
        <f>IFERROR(__xludf.DUMMYFUNCTION("""COMPUTED_VALUE"""),"ALINGARO, CINDY")</f>
        <v>ALINGARO, CINDY</v>
      </c>
      <c r="C3309" s="1" t="str">
        <f>IFERROR(__xludf.DUMMYFUNCTION("""COMPUTED_VALUE"""),"ORGANIC")</f>
        <v>ORGANIC</v>
      </c>
      <c r="D3309" s="1" t="str">
        <f>IFERROR(__xludf.DUMMYFUNCTION("""COMPUTED_VALUE"""),"REMOLLO LEA")</f>
        <v>REMOLLO LEA</v>
      </c>
      <c r="E3309" s="1" t="str">
        <f>IFERROR(__xludf.DUMMYFUNCTION("""COMPUTED_VALUE"""),"PLDT / H2H")</f>
        <v>PLDT / H2H</v>
      </c>
      <c r="F3309" s="1"/>
      <c r="G3309" s="1">
        <f>IFERROR(__xludf.DUMMYFUNCTION("""COMPUTED_VALUE"""),2312958508)</f>
        <v>2312958508</v>
      </c>
      <c r="H3309" s="1" t="str">
        <f>IFERROR(__xludf.DUMMYFUNCTION("""COMPUTED_VALUE"""),"474309184004")</f>
        <v>474309184004</v>
      </c>
      <c r="I3309" s="1">
        <f>IFERROR(__xludf.DUMMYFUNCTION("""COMPUTED_VALUE"""),639912071180)</f>
        <v>639912071180</v>
      </c>
      <c r="J3309" s="1">
        <f>IFERROR(__xludf.DUMMYFUNCTION("""COMPUTED_VALUE"""),639912071282)</f>
        <v>639912071282</v>
      </c>
      <c r="K3309" s="1"/>
      <c r="L3309" s="1" t="str">
        <f>IFERROR(__xludf.DUMMYFUNCTION("""COMPUTED_VALUE"""),"021-BL-001")</f>
        <v>021-BL-001</v>
      </c>
      <c r="M3309" s="1" t="str">
        <f>IFERROR(__xludf.DUMMYFUNCTION("""COMPUTED_VALUE"""),"POBLACION 3")</f>
        <v>POBLACION 3</v>
      </c>
      <c r="N3309" s="1" t="str">
        <f>IFERROR(__xludf.DUMMYFUNCTION("""COMPUTED_VALUE"""),"#N/A")</f>
        <v>#N/A</v>
      </c>
      <c r="O3309" s="1" t="str">
        <f>IFERROR(__xludf.DUMMYFUNCTION("""COMPUTED_VALUE"""),"BARANGAY III (POB.)")</f>
        <v>BARANGAY III (POB.)</v>
      </c>
      <c r="P3309" s="1" t="str">
        <f>IFERROR(__xludf.DUMMYFUNCTION("""COMPUTED_VALUE"""),"GEN MARIANO ALVAREZ")</f>
        <v>GEN MARIANO ALVAREZ</v>
      </c>
      <c r="Q3309" s="1" t="str">
        <f>IFERROR(__xludf.DUMMYFUNCTION("""COMPUTED_VALUE"""),"CAVITE")</f>
        <v>CAVITE</v>
      </c>
      <c r="R3309" s="1" t="str">
        <f>IFERROR(__xludf.DUMMYFUNCTION("""COMPUTED_VALUE"""),"FIBR PLAN 1299")</f>
        <v>FIBR PLAN 1299</v>
      </c>
      <c r="S3309" s="1" t="str">
        <f>IFERROR(__xludf.DUMMYFUNCTION("""COMPUTED_VALUE"""),"APPROVED")</f>
        <v>APPROVED</v>
      </c>
      <c r="T3309" s="1" t="str">
        <f>IFERROR(__xludf.DUMMYFUNCTION("""COMPUTED_VALUE"""),"RPR")</f>
        <v>RPR</v>
      </c>
      <c r="U3309" s="1" t="str">
        <f>IFERROR(__xludf.DUMMYFUNCTION("""COMPUTED_VALUE"""),"RPR- SUBS CANCEL REQUEST")</f>
        <v>RPR- SUBS CANCEL REQUEST</v>
      </c>
      <c r="V3309" s="1" t="str">
        <f>IFERROR(__xludf.DUMMYFUNCTION("""COMPUTED_VALUE"""),"NO 1 AMSF")</f>
        <v>NO 1 AMSF</v>
      </c>
      <c r="W3309" s="1"/>
    </row>
    <row r="3310" customHeight="1" spans="1:23">
      <c r="A3310" s="3">
        <f>IFERROR(__xludf.DUMMYFUNCTION("""COMPUTED_VALUE"""),46299)</f>
        <v>46299</v>
      </c>
      <c r="B3310" s="1" t="str">
        <f>IFERROR(__xludf.DUMMYFUNCTION("""COMPUTED_VALUE"""),"FRANCISCO , ROSELYN")</f>
        <v>FRANCISCO , ROSELYN</v>
      </c>
      <c r="C3310" s="1" t="str">
        <f>IFERROR(__xludf.DUMMYFUNCTION("""COMPUTED_VALUE"""),"ORGANIC")</f>
        <v>ORGANIC</v>
      </c>
      <c r="D3310" s="1" t="str">
        <f>IFERROR(__xludf.DUMMYFUNCTION("""COMPUTED_VALUE"""),"REMOLLO LEA")</f>
        <v>REMOLLO LEA</v>
      </c>
      <c r="E3310" s="1" t="str">
        <f>IFERROR(__xludf.DUMMYFUNCTION("""COMPUTED_VALUE"""),"PLDT / H2H")</f>
        <v>PLDT / H2H</v>
      </c>
      <c r="F3310" s="1"/>
      <c r="G3310" s="1">
        <f>IFERROR(__xludf.DUMMYFUNCTION("""COMPUTED_VALUE"""),2312958822)</f>
        <v>2312958822</v>
      </c>
      <c r="H3310" s="1" t="str">
        <f>IFERROR(__xludf.DUMMYFUNCTION("""COMPUTED_VALUE"""),"474178318004")</f>
        <v>474178318004</v>
      </c>
      <c r="I3310" s="1">
        <f>IFERROR(__xludf.DUMMYFUNCTION("""COMPUTED_VALUE"""),639475535110)</f>
        <v>639475535110</v>
      </c>
      <c r="J3310" s="1">
        <f>IFERROR(__xludf.DUMMYFUNCTION("""COMPUTED_VALUE"""),639236650372)</f>
        <v>639236650372</v>
      </c>
      <c r="K3310" s="1"/>
      <c r="L3310" s="1" t="str">
        <f>IFERROR(__xludf.DUMMYFUNCTION("""COMPUTED_VALUE"""),"57")</f>
        <v>57</v>
      </c>
      <c r="M3310" s="1" t="str">
        <f>IFERROR(__xludf.DUMMYFUNCTION("""COMPUTED_VALUE"""),"MARAHAN 1")</f>
        <v>MARAHAN 1</v>
      </c>
      <c r="N3310" s="1" t="str">
        <f>IFERROR(__xludf.DUMMYFUNCTION("""COMPUTED_VALUE"""),"#N/A")</f>
        <v>#N/A</v>
      </c>
      <c r="O3310" s="1" t="str">
        <f>IFERROR(__xludf.DUMMYFUNCTION("""COMPUTED_VALUE"""),"MARAHAN I")</f>
        <v>MARAHAN I</v>
      </c>
      <c r="P3310" s="1" t="str">
        <f>IFERROR(__xludf.DUMMYFUNCTION("""COMPUTED_VALUE"""),"ALFONSO")</f>
        <v>ALFONSO</v>
      </c>
      <c r="Q3310" s="1" t="str">
        <f>IFERROR(__xludf.DUMMYFUNCTION("""COMPUTED_VALUE"""),"CAVITE")</f>
        <v>CAVITE</v>
      </c>
      <c r="R3310" s="1" t="str">
        <f>IFERROR(__xludf.DUMMYFUNCTION("""COMPUTED_VALUE"""),"FIBR PLAN 1299")</f>
        <v>FIBR PLAN 1299</v>
      </c>
      <c r="S3310" s="1" t="str">
        <f>IFERROR(__xludf.DUMMYFUNCTION("""COMPUTED_VALUE"""),"APPROVED")</f>
        <v>APPROVED</v>
      </c>
      <c r="T3310" s="1" t="str">
        <f>IFERROR(__xludf.DUMMYFUNCTION("""COMPUTED_VALUE"""),"FOR PAYMENT")</f>
        <v>FOR PAYMENT</v>
      </c>
      <c r="U3310" s="1" t="str">
        <f>IFERROR(__xludf.DUMMYFUNCTION("""COMPUTED_VALUE"""),"FOR PAYMENT")</f>
        <v>FOR PAYMENT</v>
      </c>
      <c r="V3310" s="1"/>
      <c r="W3310" s="1"/>
    </row>
    <row r="3311" customHeight="1" spans="1:23">
      <c r="A3311" s="3">
        <f>IFERROR(__xludf.DUMMYFUNCTION("""COMPUTED_VALUE"""),46299)</f>
        <v>46299</v>
      </c>
      <c r="B3311" s="1" t="str">
        <f>IFERROR(__xludf.DUMMYFUNCTION("""COMPUTED_VALUE"""),"GABAY, MANUEL")</f>
        <v>GABAY, MANUEL</v>
      </c>
      <c r="C3311" s="1" t="str">
        <f>IFERROR(__xludf.DUMMYFUNCTION("""COMPUTED_VALUE"""),"FLA")</f>
        <v>FLA</v>
      </c>
      <c r="D3311" s="1" t="str">
        <f>IFERROR(__xludf.DUMMYFUNCTION("""COMPUTED_VALUE"""),"JERIC NAVARRO")</f>
        <v>JERIC NAVARRO</v>
      </c>
      <c r="E3311" s="1" t="str">
        <f>IFERROR(__xludf.DUMMYFUNCTION("""COMPUTED_VALUE"""),"PLDT / H2H")</f>
        <v>PLDT / H2H</v>
      </c>
      <c r="F3311" s="1"/>
      <c r="G3311" s="1">
        <f>IFERROR(__xludf.DUMMYFUNCTION("""COMPUTED_VALUE"""),2312959049)</f>
        <v>2312959049</v>
      </c>
      <c r="H3311" s="1" t="str">
        <f>IFERROR(__xludf.DUMMYFUNCTION("""COMPUTED_VALUE"""),"474177184004")</f>
        <v>474177184004</v>
      </c>
      <c r="I3311" s="1">
        <f>IFERROR(__xludf.DUMMYFUNCTION("""COMPUTED_VALUE"""),639096285961)</f>
        <v>639096285961</v>
      </c>
      <c r="J3311" s="1">
        <f>IFERROR(__xludf.DUMMYFUNCTION("""COMPUTED_VALUE"""),639107549571)</f>
        <v>639107549571</v>
      </c>
      <c r="K3311" s="1"/>
      <c r="L3311" s="1" t="str">
        <f>IFERROR(__xludf.DUMMYFUNCTION("""COMPUTED_VALUE"""),"297")</f>
        <v>297</v>
      </c>
      <c r="M3311" s="1" t="str">
        <f>IFERROR(__xludf.DUMMYFUNCTION("""COMPUTED_VALUE"""),"PUROK 5")</f>
        <v>PUROK 5</v>
      </c>
      <c r="N3311" s="1" t="str">
        <f>IFERROR(__xludf.DUMMYFUNCTION("""COMPUTED_VALUE"""),"#N/A")</f>
        <v>#N/A</v>
      </c>
      <c r="O3311" s="1" t="str">
        <f>IFERROR(__xludf.DUMMYFUNCTION("""COMPUTED_VALUE"""),"BANABA CERCA")</f>
        <v>BANABA CERCA</v>
      </c>
      <c r="P3311" s="1" t="str">
        <f>IFERROR(__xludf.DUMMYFUNCTION("""COMPUTED_VALUE"""),"INDANG")</f>
        <v>INDANG</v>
      </c>
      <c r="Q3311" s="1" t="str">
        <f>IFERROR(__xludf.DUMMYFUNCTION("""COMPUTED_VALUE"""),"CAVITE")</f>
        <v>CAVITE</v>
      </c>
      <c r="R3311" s="1" t="str">
        <f>IFERROR(__xludf.DUMMYFUNCTION("""COMPUTED_VALUE"""),"FIBR PLAN 1299")</f>
        <v>FIBR PLAN 1299</v>
      </c>
      <c r="S3311" s="1" t="str">
        <f>IFERROR(__xludf.DUMMYFUNCTION("""COMPUTED_VALUE"""),"APPROVED")</f>
        <v>APPROVED</v>
      </c>
      <c r="T3311" s="1" t="str">
        <f>IFERROR(__xludf.DUMMYFUNCTION("""COMPUTED_VALUE"""),"RESERVED FACILITY")</f>
        <v>RESERVED FACILITY</v>
      </c>
      <c r="U3311" s="1" t="str">
        <f>IFERROR(__xludf.DUMMYFUNCTION("""COMPUTED_VALUE"""),"OPEN")</f>
        <v>OPEN</v>
      </c>
      <c r="V3311" s="1" t="str">
        <f>IFERROR(__xludf.DUMMYFUNCTION("""COMPUTED_VALUE"""),"NO 1 AMSF")</f>
        <v>NO 1 AMSF</v>
      </c>
      <c r="W3311" s="1"/>
    </row>
    <row r="3312" customHeight="1" spans="1:23">
      <c r="A3312" s="3">
        <f>IFERROR(__xludf.DUMMYFUNCTION("""COMPUTED_VALUE"""),46299)</f>
        <v>46299</v>
      </c>
      <c r="B3312" s="1" t="str">
        <f>IFERROR(__xludf.DUMMYFUNCTION("""COMPUTED_VALUE"""),"MAGDARAOG, KENNETH")</f>
        <v>MAGDARAOG, KENNETH</v>
      </c>
      <c r="C3312" s="1" t="str">
        <f>IFERROR(__xludf.DUMMYFUNCTION("""COMPUTED_VALUE"""),"ORGANIC")</f>
        <v>ORGANIC</v>
      </c>
      <c r="D3312" s="1" t="str">
        <f>IFERROR(__xludf.DUMMYFUNCTION("""COMPUTED_VALUE"""),"REMOLLO LEA")</f>
        <v>REMOLLO LEA</v>
      </c>
      <c r="E3312" s="1" t="str">
        <f>IFERROR(__xludf.DUMMYFUNCTION("""COMPUTED_VALUE"""),"PLDT / H2H")</f>
        <v>PLDT / H2H</v>
      </c>
      <c r="F3312" s="1"/>
      <c r="G3312" s="1">
        <f>IFERROR(__xludf.DUMMYFUNCTION("""COMPUTED_VALUE"""),2312959270)</f>
        <v>2312959270</v>
      </c>
      <c r="H3312" s="1" t="str">
        <f>IFERROR(__xludf.DUMMYFUNCTION("""COMPUTED_VALUE"""),"474309173004")</f>
        <v>474309173004</v>
      </c>
      <c r="I3312" s="1">
        <f>IFERROR(__xludf.DUMMYFUNCTION("""COMPUTED_VALUE"""),639108754817)</f>
        <v>639108754817</v>
      </c>
      <c r="J3312" s="1"/>
      <c r="K3312" s="1"/>
      <c r="L3312" s="1" t="str">
        <f>IFERROR(__xludf.DUMMYFUNCTION("""COMPUTED_VALUE"""),"22B-BL-000")</f>
        <v>22B-BL-000</v>
      </c>
      <c r="M3312" s="1" t="str">
        <f>IFERROR(__xludf.DUMMYFUNCTION("""COMPUTED_VALUE"""),"EXTENSION ONDOY")</f>
        <v>EXTENSION ONDOY</v>
      </c>
      <c r="N3312" s="1" t="str">
        <f>IFERROR(__xludf.DUMMYFUNCTION("""COMPUTED_VALUE"""),"#N/A")</f>
        <v>#N/A</v>
      </c>
      <c r="O3312" s="1" t="str">
        <f>IFERROR(__xludf.DUMMYFUNCTION("""COMPUTED_VALUE"""),"FRANCISCO REYES")</f>
        <v>FRANCISCO REYES</v>
      </c>
      <c r="P3312" s="1" t="str">
        <f>IFERROR(__xludf.DUMMYFUNCTION("""COMPUTED_VALUE"""),"GEN MARIANO ALVAREZ")</f>
        <v>GEN MARIANO ALVAREZ</v>
      </c>
      <c r="Q3312" s="1" t="str">
        <f>IFERROR(__xludf.DUMMYFUNCTION("""COMPUTED_VALUE"""),"CAVITE")</f>
        <v>CAVITE</v>
      </c>
      <c r="R3312" s="1" t="str">
        <f>IFERROR(__xludf.DUMMYFUNCTION("""COMPUTED_VALUE"""),"FIBR PLAN 1299")</f>
        <v>FIBR PLAN 1299</v>
      </c>
      <c r="S3312" s="1" t="str">
        <f>IFERROR(__xludf.DUMMYFUNCTION("""COMPUTED_VALUE"""),"APPROVED")</f>
        <v>APPROVED</v>
      </c>
      <c r="T3312" s="1" t="str">
        <f>IFERROR(__xludf.DUMMYFUNCTION("""COMPUTED_VALUE"""),"FOR PAYMENT")</f>
        <v>FOR PAYMENT</v>
      </c>
      <c r="U3312" s="1" t="str">
        <f>IFERROR(__xludf.DUMMYFUNCTION("""COMPUTED_VALUE"""),"FOR PAYMENT")</f>
        <v>FOR PAYMENT</v>
      </c>
      <c r="V3312" s="1"/>
      <c r="W3312" s="1"/>
    </row>
    <row r="3313" customHeight="1" spans="1:23">
      <c r="A3313" s="3">
        <f>IFERROR(__xludf.DUMMYFUNCTION("""COMPUTED_VALUE"""),46299)</f>
        <v>46299</v>
      </c>
      <c r="B3313" s="1" t="str">
        <f>IFERROR(__xludf.DUMMYFUNCTION("""COMPUTED_VALUE"""),"LOPEZ, JENIELYN")</f>
        <v>LOPEZ, JENIELYN</v>
      </c>
      <c r="C3313" s="1" t="str">
        <f>IFERROR(__xludf.DUMMYFUNCTION("""COMPUTED_VALUE"""),"ORGANIC")</f>
        <v>ORGANIC</v>
      </c>
      <c r="D3313" s="1" t="str">
        <f>IFERROR(__xludf.DUMMYFUNCTION("""COMPUTED_VALUE"""),"REMOLLO LEA")</f>
        <v>REMOLLO LEA</v>
      </c>
      <c r="E3313" s="1" t="str">
        <f>IFERROR(__xludf.DUMMYFUNCTION("""COMPUTED_VALUE"""),"PLDT / H2H")</f>
        <v>PLDT / H2H</v>
      </c>
      <c r="F3313" s="1"/>
      <c r="G3313" s="1">
        <f>IFERROR(__xludf.DUMMYFUNCTION("""COMPUTED_VALUE"""),2312959539)</f>
        <v>2312959539</v>
      </c>
      <c r="H3313" s="1" t="str">
        <f>IFERROR(__xludf.DUMMYFUNCTION("""COMPUTED_VALUE"""),"474179276004")</f>
        <v>474179276004</v>
      </c>
      <c r="I3313" s="1">
        <f>IFERROR(__xludf.DUMMYFUNCTION("""COMPUTED_VALUE"""),639297060518)</f>
        <v>639297060518</v>
      </c>
      <c r="J3313" s="1">
        <f>IFERROR(__xludf.DUMMYFUNCTION("""COMPUTED_VALUE"""),639562035499)</f>
        <v>639562035499</v>
      </c>
      <c r="K3313" s="1"/>
      <c r="L3313" s="1" t="str">
        <f>IFERROR(__xludf.DUMMYFUNCTION("""COMPUTED_VALUE"""),"083-BL-014")</f>
        <v>083-BL-014</v>
      </c>
      <c r="M3313" s="1" t="str">
        <f>IFERROR(__xludf.DUMMYFUNCTION("""COMPUTED_VALUE"""),"ZONE 5")</f>
        <v>ZONE 5</v>
      </c>
      <c r="N3313" s="1" t="str">
        <f>IFERROR(__xludf.DUMMYFUNCTION("""COMPUTED_VALUE"""),"AFP HOUSING")</f>
        <v>AFP HOUSING</v>
      </c>
      <c r="O3313" s="1" t="str">
        <f>IFERROR(__xludf.DUMMYFUNCTION("""COMPUTED_VALUE"""),"BULIHAN")</f>
        <v>BULIHAN</v>
      </c>
      <c r="P3313" s="1" t="str">
        <f>IFERROR(__xludf.DUMMYFUNCTION("""COMPUTED_VALUE"""),"SILANG")</f>
        <v>SILANG</v>
      </c>
      <c r="Q3313" s="1" t="str">
        <f>IFERROR(__xludf.DUMMYFUNCTION("""COMPUTED_VALUE"""),"CAVITE")</f>
        <v>CAVITE</v>
      </c>
      <c r="R3313" s="1" t="str">
        <f>IFERROR(__xludf.DUMMYFUNCTION("""COMPUTED_VALUE"""),"FIBR PLAN 1299")</f>
        <v>FIBR PLAN 1299</v>
      </c>
      <c r="S3313" s="1" t="str">
        <f>IFERROR(__xludf.DUMMYFUNCTION("""COMPUTED_VALUE"""),"APPROVED")</f>
        <v>APPROVED</v>
      </c>
      <c r="T3313" s="1" t="str">
        <f>IFERROR(__xludf.DUMMYFUNCTION("""COMPUTED_VALUE"""),"FOR PAYMENT")</f>
        <v>FOR PAYMENT</v>
      </c>
      <c r="U3313" s="1" t="str">
        <f>IFERROR(__xludf.DUMMYFUNCTION("""COMPUTED_VALUE"""),"FOR PAYMENT")</f>
        <v>FOR PAYMENT</v>
      </c>
      <c r="V3313" s="1"/>
      <c r="W3313" s="1"/>
    </row>
    <row r="3314" customHeight="1" spans="1:23">
      <c r="A3314" s="3">
        <f>IFERROR(__xludf.DUMMYFUNCTION("""COMPUTED_VALUE"""),46299)</f>
        <v>46299</v>
      </c>
      <c r="B3314" s="1" t="str">
        <f>IFERROR(__xludf.DUMMYFUNCTION("""COMPUTED_VALUE"""),"FRANCISCO , ROSELYN")</f>
        <v>FRANCISCO , ROSELYN</v>
      </c>
      <c r="C3314" s="1" t="str">
        <f>IFERROR(__xludf.DUMMYFUNCTION("""COMPUTED_VALUE"""),"ORGANIC")</f>
        <v>ORGANIC</v>
      </c>
      <c r="D3314" s="1" t="str">
        <f>IFERROR(__xludf.DUMMYFUNCTION("""COMPUTED_VALUE"""),"REMOLLO LEA")</f>
        <v>REMOLLO LEA</v>
      </c>
      <c r="E3314" s="1" t="str">
        <f>IFERROR(__xludf.DUMMYFUNCTION("""COMPUTED_VALUE"""),"PLDT / H2H")</f>
        <v>PLDT / H2H</v>
      </c>
      <c r="F3314" s="1"/>
      <c r="G3314" s="1">
        <f>IFERROR(__xludf.DUMMYFUNCTION("""COMPUTED_VALUE"""),2312959711)</f>
        <v>2312959711</v>
      </c>
      <c r="H3314" s="1" t="str">
        <f>IFERROR(__xludf.DUMMYFUNCTION("""COMPUTED_VALUE"""),"474310197004")</f>
        <v>474310197004</v>
      </c>
      <c r="I3314" s="1">
        <f>IFERROR(__xludf.DUMMYFUNCTION("""COMPUTED_VALUE"""),639544555858)</f>
        <v>639544555858</v>
      </c>
      <c r="J3314" s="1">
        <f>IFERROR(__xludf.DUMMYFUNCTION("""COMPUTED_VALUE"""),639171752568)</f>
        <v>639171752568</v>
      </c>
      <c r="K3314" s="1"/>
      <c r="L3314" s="1" t="str">
        <f>IFERROR(__xludf.DUMMYFUNCTION("""COMPUTED_VALUE"""),"C03-BL-019")</f>
        <v>C03-BL-019</v>
      </c>
      <c r="M3314" s="1" t="str">
        <f>IFERROR(__xludf.DUMMYFUNCTION("""COMPUTED_VALUE"""),"VISAYAS")</f>
        <v>VISAYAS</v>
      </c>
      <c r="N3314" s="1" t="str">
        <f>IFERROR(__xludf.DUMMYFUNCTION("""COMPUTED_VALUE"""),"#N/A")</f>
        <v>#N/A</v>
      </c>
      <c r="O3314" s="1" t="str">
        <f>IFERROR(__xludf.DUMMYFUNCTION("""COMPUTED_VALUE"""),"GAVINO MADERAN")</f>
        <v>GAVINO MADERAN</v>
      </c>
      <c r="P3314" s="1" t="str">
        <f>IFERROR(__xludf.DUMMYFUNCTION("""COMPUTED_VALUE"""),"GEN MARIANO ALVAREZ")</f>
        <v>GEN MARIANO ALVAREZ</v>
      </c>
      <c r="Q3314" s="1" t="str">
        <f>IFERROR(__xludf.DUMMYFUNCTION("""COMPUTED_VALUE"""),"CAVITE")</f>
        <v>CAVITE</v>
      </c>
      <c r="R3314" s="1" t="str">
        <f>IFERROR(__xludf.DUMMYFUNCTION("""COMPUTED_VALUE"""),"FIBR PLAN 1299")</f>
        <v>FIBR PLAN 1299</v>
      </c>
      <c r="S3314" s="1" t="str">
        <f>IFERROR(__xludf.DUMMYFUNCTION("""COMPUTED_VALUE"""),"APPROVED")</f>
        <v>APPROVED</v>
      </c>
      <c r="T3314" s="1" t="str">
        <f>IFERROR(__xludf.DUMMYFUNCTION("""COMPUTED_VALUE"""),"RESERVED FACILITY")</f>
        <v>RESERVED FACILITY</v>
      </c>
      <c r="U3314" s="1" t="str">
        <f>IFERROR(__xludf.DUMMYFUNCTION("""COMPUTED_VALUE"""),"OPEN")</f>
        <v>OPEN</v>
      </c>
      <c r="V3314" s="1" t="str">
        <f>IFERROR(__xludf.DUMMYFUNCTION("""COMPUTED_VALUE"""),"NO 1 AMSF")</f>
        <v>NO 1 AMSF</v>
      </c>
      <c r="W3314" s="1"/>
    </row>
    <row r="3315" customHeight="1" spans="1:23">
      <c r="A3315" s="3">
        <f>IFERROR(__xludf.DUMMYFUNCTION("""COMPUTED_VALUE"""),46299)</f>
        <v>46299</v>
      </c>
      <c r="B3315" s="1" t="str">
        <f>IFERROR(__xludf.DUMMYFUNCTION("""COMPUTED_VALUE"""),"BAQUIT ,JAZMIN")</f>
        <v>BAQUIT ,JAZMIN</v>
      </c>
      <c r="C3315" s="1" t="str">
        <f>IFERROR(__xludf.DUMMYFUNCTION("""COMPUTED_VALUE"""),"ORGANIC")</f>
        <v>ORGANIC</v>
      </c>
      <c r="D3315" s="1" t="str">
        <f>IFERROR(__xludf.DUMMYFUNCTION("""COMPUTED_VALUE"""),"REMOLLO LEA")</f>
        <v>REMOLLO LEA</v>
      </c>
      <c r="E3315" s="1" t="str">
        <f>IFERROR(__xludf.DUMMYFUNCTION("""COMPUTED_VALUE"""),"PLDT / H2H")</f>
        <v>PLDT / H2H</v>
      </c>
      <c r="F3315" s="1"/>
      <c r="G3315" s="1">
        <f>IFERROR(__xludf.DUMMYFUNCTION("""COMPUTED_VALUE"""),2312959875)</f>
        <v>2312959875</v>
      </c>
      <c r="H3315" s="1" t="str">
        <f>IFERROR(__xludf.DUMMYFUNCTION("""COMPUTED_VALUE"""),"#N/A")</f>
        <v>#N/A</v>
      </c>
      <c r="I3315" s="1">
        <f>IFERROR(__xludf.DUMMYFUNCTION("""COMPUTED_VALUE"""),639683003310)</f>
        <v>639683003310</v>
      </c>
      <c r="J3315" s="1"/>
      <c r="K3315" s="1"/>
      <c r="L3315" s="1" t="str">
        <f>IFERROR(__xludf.DUMMYFUNCTION("""COMPUTED_VALUE"""),"058-BL-009")</f>
        <v>058-BL-009</v>
      </c>
      <c r="M3315" s="1" t="str">
        <f>IFERROR(__xludf.DUMMYFUNCTION("""COMPUTED_VALUE"""),"ZONE 5")</f>
        <v>ZONE 5</v>
      </c>
      <c r="N3315" s="1" t="str">
        <f>IFERROR(__xludf.DUMMYFUNCTION("""COMPUTED_VALUE"""),"#N/A")</f>
        <v>#N/A</v>
      </c>
      <c r="O3315" s="1" t="str">
        <f>IFERROR(__xludf.DUMMYFUNCTION("""COMPUTED_VALUE"""),"BULIHAN")</f>
        <v>BULIHAN</v>
      </c>
      <c r="P3315" s="1" t="str">
        <f>IFERROR(__xludf.DUMMYFUNCTION("""COMPUTED_VALUE"""),"SILANG")</f>
        <v>SILANG</v>
      </c>
      <c r="Q3315" s="1" t="str">
        <f>IFERROR(__xludf.DUMMYFUNCTION("""COMPUTED_VALUE"""),"CAVITE")</f>
        <v>CAVITE</v>
      </c>
      <c r="R3315" s="1" t="str">
        <f>IFERROR(__xludf.DUMMYFUNCTION("""COMPUTED_VALUE"""),"FIBR PLAN 1299")</f>
        <v>FIBR PLAN 1299</v>
      </c>
      <c r="S3315" s="1" t="str">
        <f>IFERROR(__xludf.DUMMYFUNCTION("""COMPUTED_VALUE"""),"APPROVED")</f>
        <v>APPROVED</v>
      </c>
      <c r="T3315" s="1" t="str">
        <f>IFERROR(__xludf.DUMMYFUNCTION("""COMPUTED_VALUE"""),"RTS")</f>
        <v>RTS</v>
      </c>
      <c r="U3315" s="1" t="str">
        <f>IFERROR(__xludf.DUMMYFUNCTION("""COMPUTED_VALUE"""),"RTS - UNCONTACTED")</f>
        <v>RTS - UNCONTACTED</v>
      </c>
      <c r="V3315" s="1"/>
      <c r="W3315" s="1"/>
    </row>
    <row r="3316" customHeight="1" spans="1:23">
      <c r="A3316" s="3">
        <f>IFERROR(__xludf.DUMMYFUNCTION("""COMPUTED_VALUE"""),46299)</f>
        <v>46299</v>
      </c>
      <c r="B3316" s="1" t="str">
        <f>IFERROR(__xludf.DUMMYFUNCTION("""COMPUTED_VALUE"""),"BAQUIT ,JAZMIN")</f>
        <v>BAQUIT ,JAZMIN</v>
      </c>
      <c r="C3316" s="1" t="str">
        <f>IFERROR(__xludf.DUMMYFUNCTION("""COMPUTED_VALUE"""),"ORGANIC")</f>
        <v>ORGANIC</v>
      </c>
      <c r="D3316" s="1" t="str">
        <f>IFERROR(__xludf.DUMMYFUNCTION("""COMPUTED_VALUE"""),"REMOLLO LEA")</f>
        <v>REMOLLO LEA</v>
      </c>
      <c r="E3316" s="1" t="str">
        <f>IFERROR(__xludf.DUMMYFUNCTION("""COMPUTED_VALUE"""),"PLDT / H2H")</f>
        <v>PLDT / H2H</v>
      </c>
      <c r="F3316" s="1"/>
      <c r="G3316" s="1">
        <f>IFERROR(__xludf.DUMMYFUNCTION("""COMPUTED_VALUE"""),2312960154)</f>
        <v>2312960154</v>
      </c>
      <c r="H3316" s="1" t="str">
        <f>IFERROR(__xludf.DUMMYFUNCTION("""COMPUTED_VALUE"""),"#N/A")</f>
        <v>#N/A</v>
      </c>
      <c r="I3316" s="1">
        <f>IFERROR(__xludf.DUMMYFUNCTION("""COMPUTED_VALUE"""),639396048201)</f>
        <v>639396048201</v>
      </c>
      <c r="J3316" s="1"/>
      <c r="K3316" s="1"/>
      <c r="L3316" s="1" t="str">
        <f>IFERROR(__xludf.DUMMYFUNCTION("""COMPUTED_VALUE"""),"001-BL-016")</f>
        <v>001-BL-016</v>
      </c>
      <c r="M3316" s="1" t="str">
        <f>IFERROR(__xludf.DUMMYFUNCTION("""COMPUTED_VALUE"""),"PHASE 6")</f>
        <v>PHASE 6</v>
      </c>
      <c r="N3316" s="1" t="str">
        <f>IFERROR(__xludf.DUMMYFUNCTION("""COMPUTED_VALUE"""),"#N/A")</f>
        <v>#N/A</v>
      </c>
      <c r="O3316" s="1" t="str">
        <f>IFERROR(__xludf.DUMMYFUNCTION("""COMPUTED_VALUE"""),"BANABA")</f>
        <v>BANABA</v>
      </c>
      <c r="P3316" s="1" t="str">
        <f>IFERROR(__xludf.DUMMYFUNCTION("""COMPUTED_VALUE"""),"SILANG")</f>
        <v>SILANG</v>
      </c>
      <c r="Q3316" s="1" t="str">
        <f>IFERROR(__xludf.DUMMYFUNCTION("""COMPUTED_VALUE"""),"CAVITE")</f>
        <v>CAVITE</v>
      </c>
      <c r="R3316" s="1" t="str">
        <f>IFERROR(__xludf.DUMMYFUNCTION("""COMPUTED_VALUE"""),"FIBR PLAN 1299")</f>
        <v>FIBR PLAN 1299</v>
      </c>
      <c r="S3316" s="1" t="str">
        <f>IFERROR(__xludf.DUMMYFUNCTION("""COMPUTED_VALUE"""),"APPROVED")</f>
        <v>APPROVED</v>
      </c>
      <c r="T3316" s="1" t="str">
        <f>IFERROR(__xludf.DUMMYFUNCTION("""COMPUTED_VALUE"""),"CANCELLED")</f>
        <v>CANCELLED</v>
      </c>
      <c r="U3316" s="1" t="str">
        <f>IFERROR(__xludf.DUMMYFUNCTION("""COMPUTED_VALUE"""),"CANCELLED - WITH OB")</f>
        <v>CANCELLED - WITH OB</v>
      </c>
      <c r="V3316" s="1"/>
      <c r="W3316" s="1"/>
    </row>
    <row r="3317" customHeight="1" spans="1:23">
      <c r="A3317" s="3">
        <f>IFERROR(__xludf.DUMMYFUNCTION("""COMPUTED_VALUE"""),46299)</f>
        <v>46299</v>
      </c>
      <c r="B3317" s="1" t="str">
        <f>IFERROR(__xludf.DUMMYFUNCTION("""COMPUTED_VALUE"""),"AYON MANUEL")</f>
        <v>AYON MANUEL</v>
      </c>
      <c r="C3317" s="1" t="str">
        <f>IFERROR(__xludf.DUMMYFUNCTION("""COMPUTED_VALUE"""),"FLA")</f>
        <v>FLA</v>
      </c>
      <c r="D3317" s="1" t="str">
        <f>IFERROR(__xludf.DUMMYFUNCTION("""COMPUTED_VALUE"""),"JERIC NAVARRO")</f>
        <v>JERIC NAVARRO</v>
      </c>
      <c r="E3317" s="1" t="str">
        <f>IFERROR(__xludf.DUMMYFUNCTION("""COMPUTED_VALUE"""),"PLDT / H2H")</f>
        <v>PLDT / H2H</v>
      </c>
      <c r="F3317" s="1"/>
      <c r="G3317" s="1">
        <f>IFERROR(__xludf.DUMMYFUNCTION("""COMPUTED_VALUE"""),2312960343)</f>
        <v>2312960343</v>
      </c>
      <c r="H3317" s="1" t="str">
        <f>IFERROR(__xludf.DUMMYFUNCTION("""COMPUTED_VALUE"""),"474192296004")</f>
        <v>474192296004</v>
      </c>
      <c r="I3317" s="1">
        <f>IFERROR(__xludf.DUMMYFUNCTION("""COMPUTED_VALUE"""),639916081450)</f>
        <v>639916081450</v>
      </c>
      <c r="J3317" s="1">
        <f>IFERROR(__xludf.DUMMYFUNCTION("""COMPUTED_VALUE"""),639541546893)</f>
        <v>639541546893</v>
      </c>
      <c r="K3317" s="1"/>
      <c r="L3317" s="1" t="str">
        <f>IFERROR(__xludf.DUMMYFUNCTION("""COMPUTED_VALUE"""),"068-BL-005")</f>
        <v>068-BL-005</v>
      </c>
      <c r="M3317" s="1" t="str">
        <f>IFERROR(__xludf.DUMMYFUNCTION("""COMPUTED_VALUE"""),"MT TABOR")</f>
        <v>MT TABOR</v>
      </c>
      <c r="N3317" s="1" t="str">
        <f>IFERROR(__xludf.DUMMYFUNCTION("""COMPUTED_VALUE"""),"TOWN AND COUNTRY PHASE 1")</f>
        <v>TOWN AND COUNTRY PHASE 1</v>
      </c>
      <c r="O3317" s="1" t="str">
        <f>IFERROR(__xludf.DUMMYFUNCTION("""COMPUTED_VALUE"""),"BUROL I")</f>
        <v>BUROL I</v>
      </c>
      <c r="P3317" s="1" t="str">
        <f>IFERROR(__xludf.DUMMYFUNCTION("""COMPUTED_VALUE"""),"DASMARINAS")</f>
        <v>DASMARINAS</v>
      </c>
      <c r="Q3317" s="1" t="str">
        <f>IFERROR(__xludf.DUMMYFUNCTION("""COMPUTED_VALUE"""),"CAVITE")</f>
        <v>CAVITE</v>
      </c>
      <c r="R3317" s="1" t="str">
        <f>IFERROR(__xludf.DUMMYFUNCTION("""COMPUTED_VALUE"""),"FIBR PLAN 1299")</f>
        <v>FIBR PLAN 1299</v>
      </c>
      <c r="S3317" s="1" t="str">
        <f>IFERROR(__xludf.DUMMYFUNCTION("""COMPUTED_VALUE"""),"APPROVED")</f>
        <v>APPROVED</v>
      </c>
      <c r="T3317" s="1" t="str">
        <f>IFERROR(__xludf.DUMMYFUNCTION("""COMPUTED_VALUE"""),"CANCELLED")</f>
        <v>CANCELLED</v>
      </c>
      <c r="U3317" s="1" t="str">
        <f>IFERROR(__xludf.DUMMYFUNCTION("""COMPUTED_VALUE"""),"CANCELLED - WITH EXISTING SR")</f>
        <v>CANCELLED - WITH EXISTING SR</v>
      </c>
      <c r="V3317" s="1" t="str">
        <f>IFERROR(__xludf.DUMMYFUNCTION("""COMPUTED_VALUE"""),"NO 1 AMSF")</f>
        <v>NO 1 AMSF</v>
      </c>
      <c r="W3317" s="1"/>
    </row>
    <row r="3318" customHeight="1" spans="1:23">
      <c r="A3318" s="3">
        <f>IFERROR(__xludf.DUMMYFUNCTION("""COMPUTED_VALUE"""),46299)</f>
        <v>46299</v>
      </c>
      <c r="B3318" s="1" t="str">
        <f>IFERROR(__xludf.DUMMYFUNCTION("""COMPUTED_VALUE"""),"PUJANES, CHOLLO")</f>
        <v>PUJANES, CHOLLO</v>
      </c>
      <c r="C3318" s="1" t="str">
        <f>IFERROR(__xludf.DUMMYFUNCTION("""COMPUTED_VALUE"""),"ORGANIC")</f>
        <v>ORGANIC</v>
      </c>
      <c r="D3318" s="1" t="str">
        <f>IFERROR(__xludf.DUMMYFUNCTION("""COMPUTED_VALUE"""),"REMOLLO LEA")</f>
        <v>REMOLLO LEA</v>
      </c>
      <c r="E3318" s="1" t="str">
        <f>IFERROR(__xludf.DUMMYFUNCTION("""COMPUTED_VALUE"""),"PLDT / H2H")</f>
        <v>PLDT / H2H</v>
      </c>
      <c r="F3318" s="1"/>
      <c r="G3318" s="1">
        <f>IFERROR(__xludf.DUMMYFUNCTION("""COMPUTED_VALUE"""),2312960545)</f>
        <v>2312960545</v>
      </c>
      <c r="H3318" s="1" t="str">
        <f>IFERROR(__xludf.DUMMYFUNCTION("""COMPUTED_VALUE"""),"474298175004")</f>
        <v>474298175004</v>
      </c>
      <c r="I3318" s="1">
        <f>IFERROR(__xludf.DUMMYFUNCTION("""COMPUTED_VALUE"""),639318754209)</f>
        <v>639318754209</v>
      </c>
      <c r="J3318" s="1">
        <f>IFERROR(__xludf.DUMMYFUNCTION("""COMPUTED_VALUE"""),639473246523)</f>
        <v>639473246523</v>
      </c>
      <c r="K3318" s="1"/>
      <c r="L3318" s="1" t="str">
        <f>IFERROR(__xludf.DUMMYFUNCTION("""COMPUTED_VALUE"""),"5")</f>
        <v>5</v>
      </c>
      <c r="M3318" s="1" t="str">
        <f>IFERROR(__xludf.DUMMYFUNCTION("""COMPUTED_VALUE"""),"S FERMA")</f>
        <v>S FERMA</v>
      </c>
      <c r="N3318" s="1" t="str">
        <f>IFERROR(__xludf.DUMMYFUNCTION("""COMPUTED_VALUE"""),"#N/A")</f>
        <v>#N/A</v>
      </c>
      <c r="O3318" s="1" t="str">
        <f>IFERROR(__xludf.DUMMYFUNCTION("""COMPUTED_VALUE"""),"ASIS II")</f>
        <v>ASIS II</v>
      </c>
      <c r="P3318" s="1" t="str">
        <f>IFERROR(__xludf.DUMMYFUNCTION("""COMPUTED_VALUE"""),"MENDEZ")</f>
        <v>MENDEZ</v>
      </c>
      <c r="Q3318" s="1" t="str">
        <f>IFERROR(__xludf.DUMMYFUNCTION("""COMPUTED_VALUE"""),"CAVITE")</f>
        <v>CAVITE</v>
      </c>
      <c r="R3318" s="1" t="str">
        <f>IFERROR(__xludf.DUMMYFUNCTION("""COMPUTED_VALUE"""),"FIBR UNLI ALL PLAN 1899")</f>
        <v>FIBR UNLI ALL PLAN 1899</v>
      </c>
      <c r="S3318" s="1" t="str">
        <f>IFERROR(__xludf.DUMMYFUNCTION("""COMPUTED_VALUE"""),"APPROVED")</f>
        <v>APPROVED</v>
      </c>
      <c r="T3318" s="1" t="str">
        <f>IFERROR(__xludf.DUMMYFUNCTION("""COMPUTED_VALUE"""),"PAID")</f>
        <v>PAID</v>
      </c>
      <c r="U3318" s="1" t="str">
        <f>IFERROR(__xludf.DUMMYFUNCTION("""COMPUTED_VALUE"""),"PAID - FOR INSTALLATION")</f>
        <v>PAID - FOR INSTALLATION</v>
      </c>
      <c r="V3318" s="1" t="str">
        <f>IFERROR(__xludf.DUMMYFUNCTION("""COMPUTED_VALUE"""),"WITH 1 AMSF")</f>
        <v>WITH 1 AMSF</v>
      </c>
      <c r="W3318" s="1"/>
    </row>
    <row r="3319" customHeight="1" spans="1:23">
      <c r="A3319" s="3">
        <f>IFERROR(__xludf.DUMMYFUNCTION("""COMPUTED_VALUE"""),46299)</f>
        <v>46299</v>
      </c>
      <c r="B3319" s="1" t="str">
        <f>IFERROR(__xludf.DUMMYFUNCTION("""COMPUTED_VALUE"""),"OPS SIR BETZ")</f>
        <v>OPS SIR BETZ</v>
      </c>
      <c r="C3319" s="1" t="str">
        <f>IFERROR(__xludf.DUMMYFUNCTION("""COMPUTED_VALUE"""),"LEADSTORE")</f>
        <v>LEADSTORE</v>
      </c>
      <c r="D3319" s="1" t="str">
        <f>IFERROR(__xludf.DUMMYFUNCTION("""COMPUTED_VALUE"""),"JERIC NAVARRO")</f>
        <v>JERIC NAVARRO</v>
      </c>
      <c r="E3319" s="1" t="str">
        <f>IFERROR(__xludf.DUMMYFUNCTION("""COMPUTED_VALUE"""),"PLDT / ONLINE")</f>
        <v>PLDT / ONLINE</v>
      </c>
      <c r="F3319" s="1"/>
      <c r="G3319" s="1">
        <f>IFERROR(__xludf.DUMMYFUNCTION("""COMPUTED_VALUE"""),2312961203)</f>
        <v>2312961203</v>
      </c>
      <c r="H3319" s="1" t="str">
        <f>IFERROR(__xludf.DUMMYFUNCTION("""COMPUTED_VALUE"""),"474181064004")</f>
        <v>474181064004</v>
      </c>
      <c r="I3319" s="1">
        <f>IFERROR(__xludf.DUMMYFUNCTION("""COMPUTED_VALUE"""),639457846097)</f>
        <v>639457846097</v>
      </c>
      <c r="J3319" s="1">
        <f>IFERROR(__xludf.DUMMYFUNCTION("""COMPUTED_VALUE"""),639760171194)</f>
        <v>639760171194</v>
      </c>
      <c r="K3319" s="1"/>
      <c r="L3319" s="1" t="str">
        <f>IFERROR(__xludf.DUMMYFUNCTION("""COMPUTED_VALUE"""),"9108")</f>
        <v>9108</v>
      </c>
      <c r="M3319" s="1" t="str">
        <f>IFERROR(__xludf.DUMMYFUNCTION("""COMPUTED_VALUE"""),"MAKINA")</f>
        <v>MAKINA</v>
      </c>
      <c r="N3319" s="1" t="str">
        <f>IFERROR(__xludf.DUMMYFUNCTION("""COMPUTED_VALUE"""),"#N/A")</f>
        <v>#N/A</v>
      </c>
      <c r="O3319" s="1" t="str">
        <f>IFERROR(__xludf.DUMMYFUNCTION("""COMPUTED_VALUE"""),"MAKINA")</f>
        <v>MAKINA</v>
      </c>
      <c r="P3319" s="1" t="str">
        <f>IFERROR(__xludf.DUMMYFUNCTION("""COMPUTED_VALUE"""),"NAIC")</f>
        <v>NAIC</v>
      </c>
      <c r="Q3319" s="1" t="str">
        <f>IFERROR(__xludf.DUMMYFUNCTION("""COMPUTED_VALUE"""),"CAVITE")</f>
        <v>CAVITE</v>
      </c>
      <c r="R3319" s="1" t="str">
        <f>IFERROR(__xludf.DUMMYFUNCTION("""COMPUTED_VALUE"""),"FIBR UNLI ALL PLAN 1899")</f>
        <v>FIBR UNLI ALL PLAN 1899</v>
      </c>
      <c r="S3319" s="1" t="str">
        <f>IFERROR(__xludf.DUMMYFUNCTION("""COMPUTED_VALUE"""),"APPROVED")</f>
        <v>APPROVED</v>
      </c>
      <c r="T3319" s="1" t="str">
        <f>IFERROR(__xludf.DUMMYFUNCTION("""COMPUTED_VALUE"""),"PAID")</f>
        <v>PAID</v>
      </c>
      <c r="U3319" s="1" t="str">
        <f>IFERROR(__xludf.DUMMYFUNCTION("""COMPUTED_VALUE"""),"PAID - FOR INSTALLATION")</f>
        <v>PAID - FOR INSTALLATION</v>
      </c>
      <c r="V3319" s="1" t="str">
        <f>IFERROR(__xludf.DUMMYFUNCTION("""COMPUTED_VALUE"""),"WITH 1 AMSF")</f>
        <v>WITH 1 AMSF</v>
      </c>
      <c r="W3319" s="1"/>
    </row>
    <row r="3320" customHeight="1" spans="1:23">
      <c r="A3320" s="3">
        <f>IFERROR(__xludf.DUMMYFUNCTION("""COMPUTED_VALUE"""),46300)</f>
        <v>46300</v>
      </c>
      <c r="B3320" s="1" t="str">
        <f>IFERROR(__xludf.DUMMYFUNCTION("""COMPUTED_VALUE"""),"CADERAO, RONALD")</f>
        <v>CADERAO, RONALD</v>
      </c>
      <c r="C3320" s="1" t="str">
        <f>IFERROR(__xludf.DUMMYFUNCTION("""COMPUTED_VALUE"""),"ORGANIC")</f>
        <v>ORGANIC</v>
      </c>
      <c r="D3320" s="1" t="str">
        <f>IFERROR(__xludf.DUMMYFUNCTION("""COMPUTED_VALUE"""),"REMOLLO LEA")</f>
        <v>REMOLLO LEA</v>
      </c>
      <c r="E3320" s="1" t="str">
        <f>IFERROR(__xludf.DUMMYFUNCTION("""COMPUTED_VALUE"""),"PLDT / H2H")</f>
        <v>PLDT / H2H</v>
      </c>
      <c r="F3320" s="1"/>
      <c r="G3320" s="1">
        <f>IFERROR(__xludf.DUMMYFUNCTION("""COMPUTED_VALUE"""),2312969492)</f>
        <v>2312969492</v>
      </c>
      <c r="H3320" s="1" t="str">
        <f>IFERROR(__xludf.DUMMYFUNCTION("""COMPUTED_VALUE"""),"474298164004")</f>
        <v>474298164004</v>
      </c>
      <c r="I3320" s="1">
        <f>IFERROR(__xludf.DUMMYFUNCTION("""COMPUTED_VALUE"""),639569444676)</f>
        <v>639569444676</v>
      </c>
      <c r="J3320" s="1">
        <f>IFERROR(__xludf.DUMMYFUNCTION("""COMPUTED_VALUE"""),639937417744)</f>
        <v>639937417744</v>
      </c>
      <c r="K3320" s="1"/>
      <c r="L3320" s="1" t="str">
        <f>IFERROR(__xludf.DUMMYFUNCTION("""COMPUTED_VALUE"""),"75")</f>
        <v>75</v>
      </c>
      <c r="M3320" s="1" t="str">
        <f>IFERROR(__xludf.DUMMYFUNCTION("""COMPUTED_VALUE"""),"BALITE 1")</f>
        <v>BALITE 1</v>
      </c>
      <c r="N3320" s="1" t="str">
        <f>IFERROR(__xludf.DUMMYFUNCTION("""COMPUTED_VALUE"""),"UNIT F")</f>
        <v>UNIT F</v>
      </c>
      <c r="O3320" s="1" t="str">
        <f>IFERROR(__xludf.DUMMYFUNCTION("""COMPUTED_VALUE"""),"BALITE I")</f>
        <v>BALITE I</v>
      </c>
      <c r="P3320" s="1" t="str">
        <f>IFERROR(__xludf.DUMMYFUNCTION("""COMPUTED_VALUE"""),"SILANG")</f>
        <v>SILANG</v>
      </c>
      <c r="Q3320" s="1" t="str">
        <f>IFERROR(__xludf.DUMMYFUNCTION("""COMPUTED_VALUE"""),"CAVITE")</f>
        <v>CAVITE</v>
      </c>
      <c r="R3320" s="1" t="str">
        <f>IFERROR(__xludf.DUMMYFUNCTION("""COMPUTED_VALUE"""),"FIBER UNLI PLAN 1399")</f>
        <v>FIBER UNLI PLAN 1399</v>
      </c>
      <c r="S3320" s="1" t="str">
        <f>IFERROR(__xludf.DUMMYFUNCTION("""COMPUTED_VALUE"""),"APPROVED")</f>
        <v>APPROVED</v>
      </c>
      <c r="T3320" s="1" t="str">
        <f>IFERROR(__xludf.DUMMYFUNCTION("""COMPUTED_VALUE"""),"CLOSED")</f>
        <v>CLOSED</v>
      </c>
      <c r="U3320" s="1" t="str">
        <f>IFERROR(__xludf.DUMMYFUNCTION("""COMPUTED_VALUE"""),"POSTED")</f>
        <v>POSTED</v>
      </c>
      <c r="V3320" s="1" t="str">
        <f>IFERROR(__xludf.DUMMYFUNCTION("""COMPUTED_VALUE"""),"NO 1 AMSF")</f>
        <v>NO 1 AMSF</v>
      </c>
      <c r="W3320" s="1"/>
    </row>
    <row r="3321" customHeight="1" spans="1:23">
      <c r="A3321" s="3">
        <f>IFERROR(__xludf.DUMMYFUNCTION("""COMPUTED_VALUE"""),46300)</f>
        <v>46300</v>
      </c>
      <c r="B3321" s="1" t="str">
        <f>IFERROR(__xludf.DUMMYFUNCTION("""COMPUTED_VALUE"""),"ARIENA, LYKA")</f>
        <v>ARIENA, LYKA</v>
      </c>
      <c r="C3321" s="1" t="str">
        <f>IFERROR(__xludf.DUMMYFUNCTION("""COMPUTED_VALUE"""),"ORGANIC")</f>
        <v>ORGANIC</v>
      </c>
      <c r="D3321" s="1" t="str">
        <f>IFERROR(__xludf.DUMMYFUNCTION("""COMPUTED_VALUE"""),"REMOLLO LEA")</f>
        <v>REMOLLO LEA</v>
      </c>
      <c r="E3321" s="1" t="str">
        <f>IFERROR(__xludf.DUMMYFUNCTION("""COMPUTED_VALUE"""),"PLDT / H2H")</f>
        <v>PLDT / H2H</v>
      </c>
      <c r="F3321" s="1"/>
      <c r="G3321" s="1">
        <f>IFERROR(__xludf.DUMMYFUNCTION("""COMPUTED_VALUE"""),2312969780)</f>
        <v>2312969780</v>
      </c>
      <c r="H3321" s="1" t="str">
        <f>IFERROR(__xludf.DUMMYFUNCTION("""COMPUTED_VALUE"""),"474308134004")</f>
        <v>474308134004</v>
      </c>
      <c r="I3321" s="1">
        <f>IFERROR(__xludf.DUMMYFUNCTION("""COMPUTED_VALUE"""),639454025367)</f>
        <v>639454025367</v>
      </c>
      <c r="J3321" s="1"/>
      <c r="K3321" s="1"/>
      <c r="L3321" s="1" t="str">
        <f>IFERROR(__xludf.DUMMYFUNCTION("""COMPUTED_VALUE"""),"022-BL-068")</f>
        <v>022-BL-068</v>
      </c>
      <c r="M3321" s="1" t="str">
        <f>IFERROR(__xludf.DUMMYFUNCTION("""COMPUTED_VALUE"""),"PHASE 1")</f>
        <v>PHASE 1</v>
      </c>
      <c r="N3321" s="1" t="str">
        <f>IFERROR(__xludf.DUMMYFUNCTION("""COMPUTED_VALUE"""),"CARISSA HOMES")</f>
        <v>CARISSA HOMES</v>
      </c>
      <c r="O3321" s="1" t="str">
        <f>IFERROR(__xludf.DUMMYFUNCTION("""COMPUTED_VALUE"""),"BAGTAS")</f>
        <v>BAGTAS</v>
      </c>
      <c r="P3321" s="1" t="str">
        <f>IFERROR(__xludf.DUMMYFUNCTION("""COMPUTED_VALUE"""),"TANZA")</f>
        <v>TANZA</v>
      </c>
      <c r="Q3321" s="1" t="str">
        <f>IFERROR(__xludf.DUMMYFUNCTION("""COMPUTED_VALUE"""),"CAVITE")</f>
        <v>CAVITE</v>
      </c>
      <c r="R3321" s="1" t="str">
        <f>IFERROR(__xludf.DUMMYFUNCTION("""COMPUTED_VALUE"""),"FIBER UNLI PLAN 1399")</f>
        <v>FIBER UNLI PLAN 1399</v>
      </c>
      <c r="S3321" s="1" t="str">
        <f>IFERROR(__xludf.DUMMYFUNCTION("""COMPUTED_VALUE"""),"APPROVED")</f>
        <v>APPROVED</v>
      </c>
      <c r="T3321" s="1" t="str">
        <f>IFERROR(__xludf.DUMMYFUNCTION("""COMPUTED_VALUE"""),"FOR PAYMENT")</f>
        <v>FOR PAYMENT</v>
      </c>
      <c r="U3321" s="1" t="str">
        <f>IFERROR(__xludf.DUMMYFUNCTION("""COMPUTED_VALUE"""),"FOR PAYMENT")</f>
        <v>FOR PAYMENT</v>
      </c>
      <c r="V3321" s="1"/>
      <c r="W3321" s="1"/>
    </row>
    <row r="3322" customHeight="1" spans="1:23">
      <c r="A3322" s="3">
        <f>IFERROR(__xludf.DUMMYFUNCTION("""COMPUTED_VALUE"""),46300)</f>
        <v>46300</v>
      </c>
      <c r="B3322" s="1" t="str">
        <f>IFERROR(__xludf.DUMMYFUNCTION("""COMPUTED_VALUE"""),"BAQUIT ,JAZMIN")</f>
        <v>BAQUIT ,JAZMIN</v>
      </c>
      <c r="C3322" s="1" t="str">
        <f>IFERROR(__xludf.DUMMYFUNCTION("""COMPUTED_VALUE"""),"ORGANIC")</f>
        <v>ORGANIC</v>
      </c>
      <c r="D3322" s="1" t="str">
        <f>IFERROR(__xludf.DUMMYFUNCTION("""COMPUTED_VALUE"""),"REMOLLO LEA")</f>
        <v>REMOLLO LEA</v>
      </c>
      <c r="E3322" s="1" t="str">
        <f>IFERROR(__xludf.DUMMYFUNCTION("""COMPUTED_VALUE"""),"PLDT / H2H")</f>
        <v>PLDT / H2H</v>
      </c>
      <c r="F3322" s="1"/>
      <c r="G3322" s="1">
        <f>IFERROR(__xludf.DUMMYFUNCTION("""COMPUTED_VALUE"""),2312970843)</f>
        <v>2312970843</v>
      </c>
      <c r="H3322" s="1" t="str">
        <f>IFERROR(__xludf.DUMMYFUNCTION("""COMPUTED_VALUE"""),"474329946004")</f>
        <v>474329946004</v>
      </c>
      <c r="I3322" s="1">
        <f>IFERROR(__xludf.DUMMYFUNCTION("""COMPUTED_VALUE"""),639702053665)</f>
        <v>639702053665</v>
      </c>
      <c r="J3322" s="1"/>
      <c r="K3322" s="1"/>
      <c r="L3322" s="1" t="str">
        <f>IFERROR(__xludf.DUMMYFUNCTION("""COMPUTED_VALUE"""),"001-BL-016")</f>
        <v>001-BL-016</v>
      </c>
      <c r="M3322" s="1" t="str">
        <f>IFERROR(__xludf.DUMMYFUNCTION("""COMPUTED_VALUE"""),"PHASE 6")</f>
        <v>PHASE 6</v>
      </c>
      <c r="N3322" s="1" t="str">
        <f>IFERROR(__xludf.DUMMYFUNCTION("""COMPUTED_VALUE"""),"#N/A")</f>
        <v>#N/A</v>
      </c>
      <c r="O3322" s="1" t="str">
        <f>IFERROR(__xludf.DUMMYFUNCTION("""COMPUTED_VALUE"""),"BANABA")</f>
        <v>BANABA</v>
      </c>
      <c r="P3322" s="1" t="str">
        <f>IFERROR(__xludf.DUMMYFUNCTION("""COMPUTED_VALUE"""),"SILANG")</f>
        <v>SILANG</v>
      </c>
      <c r="Q3322" s="1" t="str">
        <f>IFERROR(__xludf.DUMMYFUNCTION("""COMPUTED_VALUE"""),"CAVITE")</f>
        <v>CAVITE</v>
      </c>
      <c r="R3322" s="1" t="str">
        <f>IFERROR(__xludf.DUMMYFUNCTION("""COMPUTED_VALUE"""),"FIBER UNLI PLAN 1399")</f>
        <v>FIBER UNLI PLAN 1399</v>
      </c>
      <c r="S3322" s="1" t="str">
        <f>IFERROR(__xludf.DUMMYFUNCTION("""COMPUTED_VALUE"""),"APPROVED")</f>
        <v>APPROVED</v>
      </c>
      <c r="T3322" s="1" t="str">
        <f>IFERROR(__xludf.DUMMYFUNCTION("""COMPUTED_VALUE"""),"CLOSED")</f>
        <v>CLOSED</v>
      </c>
      <c r="U3322" s="1" t="str">
        <f>IFERROR(__xludf.DUMMYFUNCTION("""COMPUTED_VALUE"""),"POSTED")</f>
        <v>POSTED</v>
      </c>
      <c r="V3322" s="1" t="str">
        <f>IFERROR(__xludf.DUMMYFUNCTION("""COMPUTED_VALUE"""),"NO 1 AMSF")</f>
        <v>NO 1 AMSF</v>
      </c>
      <c r="W3322" s="1"/>
    </row>
    <row r="3323" customHeight="1" spans="1:23">
      <c r="A3323" s="3">
        <f>IFERROR(__xludf.DUMMYFUNCTION("""COMPUTED_VALUE"""),46300)</f>
        <v>46300</v>
      </c>
      <c r="B3323" s="1" t="str">
        <f>IFERROR(__xludf.DUMMYFUNCTION("""COMPUTED_VALUE"""),"TAMAYO, MARY ROSE")</f>
        <v>TAMAYO, MARY ROSE</v>
      </c>
      <c r="C3323" s="1" t="str">
        <f>IFERROR(__xludf.DUMMYFUNCTION("""COMPUTED_VALUE"""),"ORGANIC")</f>
        <v>ORGANIC</v>
      </c>
      <c r="D3323" s="1" t="str">
        <f>IFERROR(__xludf.DUMMYFUNCTION("""COMPUTED_VALUE"""),"REMOLLO LEA")</f>
        <v>REMOLLO LEA</v>
      </c>
      <c r="E3323" s="1" t="str">
        <f>IFERROR(__xludf.DUMMYFUNCTION("""COMPUTED_VALUE"""),"PLDT / H2H")</f>
        <v>PLDT / H2H</v>
      </c>
      <c r="F3323" s="1"/>
      <c r="G3323" s="1">
        <f>IFERROR(__xludf.DUMMYFUNCTION("""COMPUTED_VALUE"""),2312980089)</f>
        <v>2312980089</v>
      </c>
      <c r="H3323" s="1" t="str">
        <f>IFERROR(__xludf.DUMMYFUNCTION("""COMPUTED_VALUE"""),"474346486004")</f>
        <v>474346486004</v>
      </c>
      <c r="I3323" s="1">
        <f>IFERROR(__xludf.DUMMYFUNCTION("""COMPUTED_VALUE"""),639195850125)</f>
        <v>639195850125</v>
      </c>
      <c r="J3323" s="1"/>
      <c r="K3323" s="1"/>
      <c r="L3323" s="1" t="str">
        <f>IFERROR(__xludf.DUMMYFUNCTION("""COMPUTED_VALUE"""),"007-BL-003")</f>
        <v>007-BL-003</v>
      </c>
      <c r="M3323" s="1" t="str">
        <f>IFERROR(__xludf.DUMMYFUNCTION("""COMPUTED_VALUE"""),"KINARRI")</f>
        <v>KINARRI</v>
      </c>
      <c r="N3323" s="1" t="str">
        <f>IFERROR(__xludf.DUMMYFUNCTION("""COMPUTED_VALUE"""),"CARMONA ESTATE PHASE 2")</f>
        <v>CARMONA ESTATE PHASE 2</v>
      </c>
      <c r="O3323" s="1" t="str">
        <f>IFERROR(__xludf.DUMMYFUNCTION("""COMPUTED_VALUE"""),"LANTIC")</f>
        <v>LANTIC</v>
      </c>
      <c r="P3323" s="1" t="str">
        <f>IFERROR(__xludf.DUMMYFUNCTION("""COMPUTED_VALUE"""),"CARMONA")</f>
        <v>CARMONA</v>
      </c>
      <c r="Q3323" s="1" t="str">
        <f>IFERROR(__xludf.DUMMYFUNCTION("""COMPUTED_VALUE"""),"CAVITE")</f>
        <v>CAVITE</v>
      </c>
      <c r="R3323" s="1" t="str">
        <f>IFERROR(__xludf.DUMMYFUNCTION("""COMPUTED_VALUE"""),"FIBER UNLI PLAN 1399")</f>
        <v>FIBER UNLI PLAN 1399</v>
      </c>
      <c r="S3323" s="1" t="str">
        <f>IFERROR(__xludf.DUMMYFUNCTION("""COMPUTED_VALUE"""),"APPROVED")</f>
        <v>APPROVED</v>
      </c>
      <c r="T3323" s="1" t="str">
        <f>IFERROR(__xludf.DUMMYFUNCTION("""COMPUTED_VALUE"""),"CLOSED")</f>
        <v>CLOSED</v>
      </c>
      <c r="U3323" s="1" t="str">
        <f>IFERROR(__xludf.DUMMYFUNCTION("""COMPUTED_VALUE"""),"POSTED")</f>
        <v>POSTED</v>
      </c>
      <c r="V3323" s="1" t="str">
        <f>IFERROR(__xludf.DUMMYFUNCTION("""COMPUTED_VALUE"""),"NO 1 AMSF")</f>
        <v>NO 1 AMSF</v>
      </c>
      <c r="W3323" s="1"/>
    </row>
    <row r="3324" customHeight="1" spans="1:23">
      <c r="A3324" s="3">
        <f>IFERROR(__xludf.DUMMYFUNCTION("""COMPUTED_VALUE"""),46300)</f>
        <v>46300</v>
      </c>
      <c r="B3324" s="1" t="str">
        <f>IFERROR(__xludf.DUMMYFUNCTION("""COMPUTED_VALUE"""),"MALIWAT MARK ELVIN")</f>
        <v>MALIWAT MARK ELVIN</v>
      </c>
      <c r="C3324" s="1" t="str">
        <f>IFERROR(__xludf.DUMMYFUNCTION("""COMPUTED_VALUE"""),"FLA")</f>
        <v>FLA</v>
      </c>
      <c r="D3324" s="1" t="str">
        <f>IFERROR(__xludf.DUMMYFUNCTION("""COMPUTED_VALUE"""),"JERIC NAVARRO")</f>
        <v>JERIC NAVARRO</v>
      </c>
      <c r="E3324" s="1" t="str">
        <f>IFERROR(__xludf.DUMMYFUNCTION("""COMPUTED_VALUE"""),"PLDT / ONLINE")</f>
        <v>PLDT / ONLINE</v>
      </c>
      <c r="F3324" s="1"/>
      <c r="G3324" s="1">
        <f>IFERROR(__xludf.DUMMYFUNCTION("""COMPUTED_VALUE"""),2312970582)</f>
        <v>2312970582</v>
      </c>
      <c r="H3324" s="1" t="str">
        <f>IFERROR(__xludf.DUMMYFUNCTION("""COMPUTED_VALUE"""),"474315188004")</f>
        <v>474315188004</v>
      </c>
      <c r="I3324" s="1">
        <f>IFERROR(__xludf.DUMMYFUNCTION("""COMPUTED_VALUE"""),639959709819)</f>
        <v>639959709819</v>
      </c>
      <c r="J3324" s="1"/>
      <c r="K3324" s="1"/>
      <c r="L3324" s="1" t="str">
        <f>IFERROR(__xludf.DUMMYFUNCTION("""COMPUTED_VALUE"""),"008-BL-011")</f>
        <v>008-BL-011</v>
      </c>
      <c r="M3324" s="1" t="str">
        <f>IFERROR(__xludf.DUMMYFUNCTION("""COMPUTED_VALUE"""),"LAURUS")</f>
        <v>LAURUS</v>
      </c>
      <c r="N3324" s="1" t="str">
        <f>IFERROR(__xludf.DUMMYFUNCTION("""COMPUTED_VALUE"""),"SOMERSET PHASE 4")</f>
        <v>SOMERSET PHASE 4</v>
      </c>
      <c r="O3324" s="1" t="str">
        <f>IFERROR(__xludf.DUMMYFUNCTION("""COMPUTED_VALUE"""),"NAVARRO")</f>
        <v>NAVARRO</v>
      </c>
      <c r="P3324" s="1" t="str">
        <f>IFERROR(__xludf.DUMMYFUNCTION("""COMPUTED_VALUE"""),"GENERAL TRIAS")</f>
        <v>GENERAL TRIAS</v>
      </c>
      <c r="Q3324" s="1" t="str">
        <f>IFERROR(__xludf.DUMMYFUNCTION("""COMPUTED_VALUE"""),"CAVITE")</f>
        <v>CAVITE</v>
      </c>
      <c r="R3324" s="1" t="str">
        <f>IFERROR(__xludf.DUMMYFUNCTION("""COMPUTED_VALUE"""),"FIBER UNLI ALL PLAN 1899")</f>
        <v>FIBER UNLI ALL PLAN 1899</v>
      </c>
      <c r="S3324" s="1" t="str">
        <f>IFERROR(__xludf.DUMMYFUNCTION("""COMPUTED_VALUE"""),"APPROVED")</f>
        <v>APPROVED</v>
      </c>
      <c r="T3324" s="1" t="str">
        <f>IFERROR(__xludf.DUMMYFUNCTION("""COMPUTED_VALUE"""),"CLOSED")</f>
        <v>CLOSED</v>
      </c>
      <c r="U3324" s="1" t="str">
        <f>IFERROR(__xludf.DUMMYFUNCTION("""COMPUTED_VALUE"""),"POSTED")</f>
        <v>POSTED</v>
      </c>
      <c r="V3324" s="1" t="str">
        <f>IFERROR(__xludf.DUMMYFUNCTION("""COMPUTED_VALUE"""),"NO 1 AMSF")</f>
        <v>NO 1 AMSF</v>
      </c>
      <c r="W3324" s="1"/>
    </row>
    <row r="3325" customHeight="1" spans="1:23">
      <c r="A3325" s="3">
        <f>IFERROR(__xludf.DUMMYFUNCTION("""COMPUTED_VALUE"""),46300)</f>
        <v>46300</v>
      </c>
      <c r="B3325" s="1" t="str">
        <f>IFERROR(__xludf.DUMMYFUNCTION("""COMPUTED_VALUE"""),"MALIWAT MARK ELVIN")</f>
        <v>MALIWAT MARK ELVIN</v>
      </c>
      <c r="C3325" s="1" t="str">
        <f>IFERROR(__xludf.DUMMYFUNCTION("""COMPUTED_VALUE"""),"FLA")</f>
        <v>FLA</v>
      </c>
      <c r="D3325" s="1" t="str">
        <f>IFERROR(__xludf.DUMMYFUNCTION("""COMPUTED_VALUE"""),"JERIC NAVARRO")</f>
        <v>JERIC NAVARRO</v>
      </c>
      <c r="E3325" s="1" t="str">
        <f>IFERROR(__xludf.DUMMYFUNCTION("""COMPUTED_VALUE"""),"PLDT / ONLINE")</f>
        <v>PLDT / ONLINE</v>
      </c>
      <c r="F3325" s="1"/>
      <c r="G3325" s="1">
        <f>IFERROR(__xludf.DUMMYFUNCTION("""COMPUTED_VALUE"""),2312971941)</f>
        <v>2312971941</v>
      </c>
      <c r="H3325" s="1" t="str">
        <f>IFERROR(__xludf.DUMMYFUNCTION("""COMPUTED_VALUE"""),"474308238004")</f>
        <v>474308238004</v>
      </c>
      <c r="I3325" s="1">
        <f>IFERROR(__xludf.DUMMYFUNCTION("""COMPUTED_VALUE"""),639913451057)</f>
        <v>639913451057</v>
      </c>
      <c r="J3325" s="1"/>
      <c r="K3325" s="1"/>
      <c r="L3325" s="1" t="str">
        <f>IFERROR(__xludf.DUMMYFUNCTION("""COMPUTED_VALUE"""),"032-BL-11A")</f>
        <v>032-BL-11A</v>
      </c>
      <c r="M3325" s="1" t="str">
        <f>IFERROR(__xludf.DUMMYFUNCTION("""COMPUTED_VALUE"""),"MAIN")</f>
        <v>MAIN</v>
      </c>
      <c r="N3325" s="1" t="str">
        <f>IFERROR(__xludf.DUMMYFUNCTION("""COMPUTED_VALUE"""),"CITYHOMES RESORTVILLE PH 1")</f>
        <v>CITYHOMES RESORTVILLE PH 1</v>
      </c>
      <c r="O3325" s="1" t="str">
        <f>IFERROR(__xludf.DUMMYFUNCTION("""COMPUTED_VALUE"""),"LANGKAAN II")</f>
        <v>LANGKAAN II</v>
      </c>
      <c r="P3325" s="1" t="str">
        <f>IFERROR(__xludf.DUMMYFUNCTION("""COMPUTED_VALUE"""),"DASMARINAS")</f>
        <v>DASMARINAS</v>
      </c>
      <c r="Q3325" s="1" t="str">
        <f>IFERROR(__xludf.DUMMYFUNCTION("""COMPUTED_VALUE"""),"CAVITE")</f>
        <v>CAVITE</v>
      </c>
      <c r="R3325" s="1" t="str">
        <f>IFERROR(__xludf.DUMMYFUNCTION("""COMPUTED_VALUE"""),"FIBER UNLI PLAN 1399")</f>
        <v>FIBER UNLI PLAN 1399</v>
      </c>
      <c r="S3325" s="1" t="str">
        <f>IFERROR(__xludf.DUMMYFUNCTION("""COMPUTED_VALUE"""),"APPROVED")</f>
        <v>APPROVED</v>
      </c>
      <c r="T3325" s="1" t="str">
        <f>IFERROR(__xludf.DUMMYFUNCTION("""COMPUTED_VALUE"""),"CLOSED")</f>
        <v>CLOSED</v>
      </c>
      <c r="U3325" s="1" t="str">
        <f>IFERROR(__xludf.DUMMYFUNCTION("""COMPUTED_VALUE"""),"POSTED")</f>
        <v>POSTED</v>
      </c>
      <c r="V3325" s="1" t="str">
        <f>IFERROR(__xludf.DUMMYFUNCTION("""COMPUTED_VALUE"""),"NO 1 AMSF")</f>
        <v>NO 1 AMSF</v>
      </c>
      <c r="W3325" s="1"/>
    </row>
    <row r="3326" customHeight="1" spans="1:23">
      <c r="A3326" s="3">
        <f>IFERROR(__xludf.DUMMYFUNCTION("""COMPUTED_VALUE"""),46300)</f>
        <v>46300</v>
      </c>
      <c r="B3326" s="1" t="str">
        <f>IFERROR(__xludf.DUMMYFUNCTION("""COMPUTED_VALUE"""),"ASEO, VINCENT")</f>
        <v>ASEO, VINCENT</v>
      </c>
      <c r="C3326" s="1" t="str">
        <f>IFERROR(__xludf.DUMMYFUNCTION("""COMPUTED_VALUE"""),"ORGANIC")</f>
        <v>ORGANIC</v>
      </c>
      <c r="D3326" s="1" t="str">
        <f>IFERROR(__xludf.DUMMYFUNCTION("""COMPUTED_VALUE"""),"REMOLLO LEA")</f>
        <v>REMOLLO LEA</v>
      </c>
      <c r="E3326" s="1" t="str">
        <f>IFERROR(__xludf.DUMMYFUNCTION("""COMPUTED_VALUE"""),"PLDT / H2H")</f>
        <v>PLDT / H2H</v>
      </c>
      <c r="F3326" s="1"/>
      <c r="G3326" s="1">
        <f>IFERROR(__xludf.DUMMYFUNCTION("""COMPUTED_VALUE"""),2312972583)</f>
        <v>2312972583</v>
      </c>
      <c r="H3326" s="1" t="str">
        <f>IFERROR(__xludf.DUMMYFUNCTION("""COMPUTED_VALUE"""),"474314247004")</f>
        <v>474314247004</v>
      </c>
      <c r="I3326" s="1">
        <f>IFERROR(__xludf.DUMMYFUNCTION("""COMPUTED_VALUE"""),639069551539)</f>
        <v>639069551539</v>
      </c>
      <c r="J3326" s="1"/>
      <c r="K3326" s="1"/>
      <c r="L3326" s="1" t="str">
        <f>IFERROR(__xludf.DUMMYFUNCTION("""COMPUTED_VALUE"""),"30")</f>
        <v>30</v>
      </c>
      <c r="M3326" s="1" t="str">
        <f>IFERROR(__xludf.DUMMYFUNCTION("""COMPUTED_VALUE"""),"MAKABUHAY")</f>
        <v>MAKABUHAY</v>
      </c>
      <c r="N3326" s="1" t="str">
        <f>IFERROR(__xludf.DUMMYFUNCTION("""COMPUTED_VALUE"""),"#N/A")</f>
        <v>#N/A</v>
      </c>
      <c r="O3326" s="1" t="str">
        <f>IFERROR(__xludf.DUMMYFUNCTION("""COMPUTED_VALUE"""),"PUTING KAHOY")</f>
        <v>PUTING KAHOY</v>
      </c>
      <c r="P3326" s="1" t="str">
        <f>IFERROR(__xludf.DUMMYFUNCTION("""COMPUTED_VALUE"""),"SILANG")</f>
        <v>SILANG</v>
      </c>
      <c r="Q3326" s="1" t="str">
        <f>IFERROR(__xludf.DUMMYFUNCTION("""COMPUTED_VALUE"""),"CAVITE")</f>
        <v>CAVITE</v>
      </c>
      <c r="R3326" s="1" t="str">
        <f>IFERROR(__xludf.DUMMYFUNCTION("""COMPUTED_VALUE"""),"FIBER UNLI PLAN 1399")</f>
        <v>FIBER UNLI PLAN 1399</v>
      </c>
      <c r="S3326" s="1" t="str">
        <f>IFERROR(__xludf.DUMMYFUNCTION("""COMPUTED_VALUE"""),"APPROVED")</f>
        <v>APPROVED</v>
      </c>
      <c r="T3326" s="1" t="str">
        <f>IFERROR(__xludf.DUMMYFUNCTION("""COMPUTED_VALUE"""),"CLOSED")</f>
        <v>CLOSED</v>
      </c>
      <c r="U3326" s="1" t="str">
        <f>IFERROR(__xludf.DUMMYFUNCTION("""COMPUTED_VALUE"""),"POSTED")</f>
        <v>POSTED</v>
      </c>
      <c r="V3326" s="1" t="str">
        <f>IFERROR(__xludf.DUMMYFUNCTION("""COMPUTED_VALUE"""),"WITH 1 AMSF")</f>
        <v>WITH 1 AMSF</v>
      </c>
      <c r="W3326" s="1"/>
    </row>
    <row r="3327" customHeight="1" spans="1:23">
      <c r="A3327" s="3">
        <f>IFERROR(__xludf.DUMMYFUNCTION("""COMPUTED_VALUE"""),46300)</f>
        <v>46300</v>
      </c>
      <c r="B3327" s="1" t="str">
        <f>IFERROR(__xludf.DUMMYFUNCTION("""COMPUTED_VALUE"""),"ESCARCHA, MA ALMA  ESCOTO")</f>
        <v>ESCARCHA, MA ALMA  ESCOTO</v>
      </c>
      <c r="C3327" s="1" t="str">
        <f>IFERROR(__xludf.DUMMYFUNCTION("""COMPUTED_VALUE"""),"ORGANIC")</f>
        <v>ORGANIC</v>
      </c>
      <c r="D3327" s="1" t="str">
        <f>IFERROR(__xludf.DUMMYFUNCTION("""COMPUTED_VALUE"""),"REMOLLO LEA")</f>
        <v>REMOLLO LEA</v>
      </c>
      <c r="E3327" s="1" t="str">
        <f>IFERROR(__xludf.DUMMYFUNCTION("""COMPUTED_VALUE"""),"PLDT / H2H")</f>
        <v>PLDT / H2H</v>
      </c>
      <c r="F3327" s="1"/>
      <c r="G3327" s="1">
        <f>IFERROR(__xludf.DUMMYFUNCTION("""COMPUTED_VALUE"""),2312973194)</f>
        <v>2312973194</v>
      </c>
      <c r="H3327" s="1" t="str">
        <f>IFERROR(__xludf.DUMMYFUNCTION("""COMPUTED_VALUE"""),"474311718004")</f>
        <v>474311718004</v>
      </c>
      <c r="I3327" s="1">
        <f>IFERROR(__xludf.DUMMYFUNCTION("""COMPUTED_VALUE"""),639071404673)</f>
        <v>639071404673</v>
      </c>
      <c r="J3327" s="1">
        <f>IFERROR(__xludf.DUMMYFUNCTION("""COMPUTED_VALUE"""),639298877035)</f>
        <v>639298877035</v>
      </c>
      <c r="K3327" s="1"/>
      <c r="L3327" s="1" t="str">
        <f>IFERROR(__xludf.DUMMYFUNCTION("""COMPUTED_VALUE"""),"1673")</f>
        <v>1673</v>
      </c>
      <c r="M3327" s="1" t="str">
        <f>IFERROR(__xludf.DUMMYFUNCTION("""COMPUTED_VALUE"""),"BIGNAYAN")</f>
        <v>BIGNAYAN</v>
      </c>
      <c r="N3327" s="1" t="str">
        <f>IFERROR(__xludf.DUMMYFUNCTION("""COMPUTED_VALUE"""),"#N/A")</f>
        <v>#N/A</v>
      </c>
      <c r="O3327" s="1" t="str">
        <f>IFERROR(__xludf.DUMMYFUNCTION("""COMPUTED_VALUE"""),"ASIS III")</f>
        <v>ASIS III</v>
      </c>
      <c r="P3327" s="1" t="str">
        <f>IFERROR(__xludf.DUMMYFUNCTION("""COMPUTED_VALUE"""),"MENDEZ")</f>
        <v>MENDEZ</v>
      </c>
      <c r="Q3327" s="1" t="str">
        <f>IFERROR(__xludf.DUMMYFUNCTION("""COMPUTED_VALUE"""),"CAVITE")</f>
        <v>CAVITE</v>
      </c>
      <c r="R3327" s="1" t="str">
        <f>IFERROR(__xludf.DUMMYFUNCTION("""COMPUTED_VALUE"""),"FIBER UNLI PLAN 1399")</f>
        <v>FIBER UNLI PLAN 1399</v>
      </c>
      <c r="S3327" s="1" t="str">
        <f>IFERROR(__xludf.DUMMYFUNCTION("""COMPUTED_VALUE"""),"APPROVED")</f>
        <v>APPROVED</v>
      </c>
      <c r="T3327" s="1" t="str">
        <f>IFERROR(__xludf.DUMMYFUNCTION("""COMPUTED_VALUE"""),"RPR")</f>
        <v>RPR</v>
      </c>
      <c r="U3327" s="1" t="str">
        <f>IFERROR(__xludf.DUMMYFUNCTION("""COMPUTED_VALUE"""),"RPR - NAP FULL")</f>
        <v>RPR - NAP FULL</v>
      </c>
      <c r="V3327" s="1" t="str">
        <f>IFERROR(__xludf.DUMMYFUNCTION("""COMPUTED_VALUE"""),"NO 1 AMSF")</f>
        <v>NO 1 AMSF</v>
      </c>
      <c r="W3327" s="1"/>
    </row>
    <row r="3328" customHeight="1" spans="1:23">
      <c r="A3328" s="3">
        <f>IFERROR(__xludf.DUMMYFUNCTION("""COMPUTED_VALUE"""),46300)</f>
        <v>46300</v>
      </c>
      <c r="B3328" s="1" t="str">
        <f>IFERROR(__xludf.DUMMYFUNCTION("""COMPUTED_VALUE"""),"MALIWAT MARK ELVIN")</f>
        <v>MALIWAT MARK ELVIN</v>
      </c>
      <c r="C3328" s="1" t="str">
        <f>IFERROR(__xludf.DUMMYFUNCTION("""COMPUTED_VALUE"""),"FLA")</f>
        <v>FLA</v>
      </c>
      <c r="D3328" s="1" t="str">
        <f>IFERROR(__xludf.DUMMYFUNCTION("""COMPUTED_VALUE"""),"JERIC NAVARRO")</f>
        <v>JERIC NAVARRO</v>
      </c>
      <c r="E3328" s="1" t="str">
        <f>IFERROR(__xludf.DUMMYFUNCTION("""COMPUTED_VALUE"""),"PLDT / H2H")</f>
        <v>PLDT / H2H</v>
      </c>
      <c r="F3328" s="1"/>
      <c r="G3328" s="1">
        <f>IFERROR(__xludf.DUMMYFUNCTION("""COMPUTED_VALUE"""),2312975943)</f>
        <v>2312975943</v>
      </c>
      <c r="H3328" s="1" t="str">
        <f>IFERROR(__xludf.DUMMYFUNCTION("""COMPUTED_VALUE"""),"474346467004")</f>
        <v>474346467004</v>
      </c>
      <c r="I3328" s="1">
        <f>IFERROR(__xludf.DUMMYFUNCTION("""COMPUTED_VALUE"""),639924272584)</f>
        <v>639924272584</v>
      </c>
      <c r="J3328" s="1">
        <f>IFERROR(__xludf.DUMMYFUNCTION("""COMPUTED_VALUE"""),639928586011)</f>
        <v>639928586011</v>
      </c>
      <c r="K3328" s="1"/>
      <c r="L3328" s="1" t="str">
        <f>IFERROR(__xludf.DUMMYFUNCTION("""COMPUTED_VALUE"""),"015-BL-001")</f>
        <v>015-BL-001</v>
      </c>
      <c r="M3328" s="1" t="str">
        <f>IFERROR(__xludf.DUMMYFUNCTION("""COMPUTED_VALUE"""),"PHASE 1")</f>
        <v>PHASE 1</v>
      </c>
      <c r="N3328" s="1" t="str">
        <f>IFERROR(__xludf.DUMMYFUNCTION("""COMPUTED_VALUE"""),"PARKLANE SUBD")</f>
        <v>PARKLANE SUBD</v>
      </c>
      <c r="O3328" s="1" t="str">
        <f>IFERROR(__xludf.DUMMYFUNCTION("""COMPUTED_VALUE"""),"SANTIAGO")</f>
        <v>SANTIAGO</v>
      </c>
      <c r="P3328" s="1" t="str">
        <f>IFERROR(__xludf.DUMMYFUNCTION("""COMPUTED_VALUE"""),"GENERAL TRIAS")</f>
        <v>GENERAL TRIAS</v>
      </c>
      <c r="Q3328" s="1" t="str">
        <f>IFERROR(__xludf.DUMMYFUNCTION("""COMPUTED_VALUE"""),"CAVITE")</f>
        <v>CAVITE</v>
      </c>
      <c r="R3328" s="1" t="str">
        <f>IFERROR(__xludf.DUMMYFUNCTION("""COMPUTED_VALUE"""),"FIBER UNLI PLAN 1399")</f>
        <v>FIBER UNLI PLAN 1399</v>
      </c>
      <c r="S3328" s="1" t="str">
        <f>IFERROR(__xludf.DUMMYFUNCTION("""COMPUTED_VALUE"""),"APPROVED")</f>
        <v>APPROVED</v>
      </c>
      <c r="T3328" s="1" t="str">
        <f>IFERROR(__xludf.DUMMYFUNCTION("""COMPUTED_VALUE"""),"CLOSED")</f>
        <v>CLOSED</v>
      </c>
      <c r="U3328" s="1" t="str">
        <f>IFERROR(__xludf.DUMMYFUNCTION("""COMPUTED_VALUE"""),"POSTED")</f>
        <v>POSTED</v>
      </c>
      <c r="V3328" s="1" t="str">
        <f>IFERROR(__xludf.DUMMYFUNCTION("""COMPUTED_VALUE"""),"WITH 1 AMSF")</f>
        <v>WITH 1 AMSF</v>
      </c>
      <c r="W3328" s="1"/>
    </row>
    <row r="3329" customHeight="1" spans="1:23">
      <c r="A3329" s="3">
        <f>IFERROR(__xludf.DUMMYFUNCTION("""COMPUTED_VALUE"""),46300)</f>
        <v>46300</v>
      </c>
      <c r="B3329" s="1" t="str">
        <f>IFERROR(__xludf.DUMMYFUNCTION("""COMPUTED_VALUE"""),"FRANCISCO , ROSELYN")</f>
        <v>FRANCISCO , ROSELYN</v>
      </c>
      <c r="C3329" s="1" t="str">
        <f>IFERROR(__xludf.DUMMYFUNCTION("""COMPUTED_VALUE"""),"ORGANIC")</f>
        <v>ORGANIC</v>
      </c>
      <c r="D3329" s="1" t="str">
        <f>IFERROR(__xludf.DUMMYFUNCTION("""COMPUTED_VALUE"""),"REMOLLO LEA")</f>
        <v>REMOLLO LEA</v>
      </c>
      <c r="E3329" s="1" t="str">
        <f>IFERROR(__xludf.DUMMYFUNCTION("""COMPUTED_VALUE"""),"PLDT / H2H")</f>
        <v>PLDT / H2H</v>
      </c>
      <c r="F3329" s="1"/>
      <c r="G3329" s="1">
        <f>IFERROR(__xludf.DUMMYFUNCTION("""COMPUTED_VALUE"""),2312977196)</f>
        <v>2312977196</v>
      </c>
      <c r="H3329" s="1" t="str">
        <f>IFERROR(__xludf.DUMMYFUNCTION("""COMPUTED_VALUE"""),"#N/A")</f>
        <v>#N/A</v>
      </c>
      <c r="I3329" s="1">
        <f>IFERROR(__xludf.DUMMYFUNCTION("""COMPUTED_VALUE"""),639690866605)</f>
        <v>639690866605</v>
      </c>
      <c r="J3329" s="1"/>
      <c r="K3329" s="1"/>
      <c r="L3329" s="1" t="str">
        <f>IFERROR(__xludf.DUMMYFUNCTION("""COMPUTED_VALUE"""),"68")</f>
        <v>68</v>
      </c>
      <c r="M3329" s="1" t="str">
        <f>IFERROR(__xludf.DUMMYFUNCTION("""COMPUTED_VALUE"""),"ANTONIO")</f>
        <v>ANTONIO</v>
      </c>
      <c r="N3329" s="1" t="str">
        <f>IFERROR(__xludf.DUMMYFUNCTION("""COMPUTED_VALUE"""),"PUROK 3")</f>
        <v>PUROK 3</v>
      </c>
      <c r="O3329" s="1" t="str">
        <f>IFERROR(__xludf.DUMMYFUNCTION("""COMPUTED_VALUE"""),"BATAS")</f>
        <v>BATAS</v>
      </c>
      <c r="P3329" s="1" t="str">
        <f>IFERROR(__xludf.DUMMYFUNCTION("""COMPUTED_VALUE"""),"SILANG")</f>
        <v>SILANG</v>
      </c>
      <c r="Q3329" s="1" t="str">
        <f>IFERROR(__xludf.DUMMYFUNCTION("""COMPUTED_VALUE"""),"CAVITE")</f>
        <v>CAVITE</v>
      </c>
      <c r="R3329" s="1" t="str">
        <f>IFERROR(__xludf.DUMMYFUNCTION("""COMPUTED_VALUE"""),"FIBR PLAN 1299")</f>
        <v>FIBR PLAN 1299</v>
      </c>
      <c r="S3329" s="1" t="str">
        <f>IFERROR(__xludf.DUMMYFUNCTION("""COMPUTED_VALUE"""),"APPROVED")</f>
        <v>APPROVED</v>
      </c>
      <c r="T3329" s="1" t="str">
        <f>IFERROR(__xludf.DUMMYFUNCTION("""COMPUTED_VALUE"""),"FOR PAYMENT")</f>
        <v>FOR PAYMENT</v>
      </c>
      <c r="U3329" s="1" t="str">
        <f>IFERROR(__xludf.DUMMYFUNCTION("""COMPUTED_VALUE"""),"FOR PAYMENT")</f>
        <v>FOR PAYMENT</v>
      </c>
      <c r="V3329" s="1"/>
      <c r="W3329" s="1"/>
    </row>
    <row r="3330" customHeight="1" spans="1:23">
      <c r="A3330" s="3">
        <f>IFERROR(__xludf.DUMMYFUNCTION("""COMPUTED_VALUE"""),46300)</f>
        <v>46300</v>
      </c>
      <c r="B3330" s="1" t="str">
        <f>IFERROR(__xludf.DUMMYFUNCTION("""COMPUTED_VALUE"""),"LOPEZ, JENIELYN")</f>
        <v>LOPEZ, JENIELYN</v>
      </c>
      <c r="C3330" s="1" t="str">
        <f>IFERROR(__xludf.DUMMYFUNCTION("""COMPUTED_VALUE"""),"ORGANIC")</f>
        <v>ORGANIC</v>
      </c>
      <c r="D3330" s="1" t="str">
        <f>IFERROR(__xludf.DUMMYFUNCTION("""COMPUTED_VALUE"""),"REMOLLO LEA")</f>
        <v>REMOLLO LEA</v>
      </c>
      <c r="E3330" s="1" t="str">
        <f>IFERROR(__xludf.DUMMYFUNCTION("""COMPUTED_VALUE"""),"PLDT / H2H")</f>
        <v>PLDT / H2H</v>
      </c>
      <c r="F3330" s="1"/>
      <c r="G3330" s="1">
        <f>IFERROR(__xludf.DUMMYFUNCTION("""COMPUTED_VALUE"""),2312977705)</f>
        <v>2312977705</v>
      </c>
      <c r="H3330" s="1" t="str">
        <f>IFERROR(__xludf.DUMMYFUNCTION("""COMPUTED_VALUE"""),"#N/A")</f>
        <v>#N/A</v>
      </c>
      <c r="I3330" s="1">
        <f>IFERROR(__xludf.DUMMYFUNCTION("""COMPUTED_VALUE"""),639551737098)</f>
        <v>639551737098</v>
      </c>
      <c r="J3330" s="1"/>
      <c r="K3330" s="1"/>
      <c r="L3330" s="1" t="str">
        <f>IFERROR(__xludf.DUMMYFUNCTION("""COMPUTED_VALUE"""),"001-BL-137")</f>
        <v>001-BL-137</v>
      </c>
      <c r="M3330" s="1" t="str">
        <f>IFERROR(__xludf.DUMMYFUNCTION("""COMPUTED_VALUE"""),"CEDAR 1")</f>
        <v>CEDAR 1</v>
      </c>
      <c r="N3330" s="1" t="str">
        <f>IFERROR(__xludf.DUMMYFUNCTION("""COMPUTED_VALUE"""),"CARMONA ESTATES")</f>
        <v>CARMONA ESTATES</v>
      </c>
      <c r="O3330" s="1" t="str">
        <f>IFERROR(__xludf.DUMMYFUNCTION("""COMPUTED_VALUE"""),"LANTIC")</f>
        <v>LANTIC</v>
      </c>
      <c r="P3330" s="1" t="str">
        <f>IFERROR(__xludf.DUMMYFUNCTION("""COMPUTED_VALUE"""),"SILANG")</f>
        <v>SILANG</v>
      </c>
      <c r="Q3330" s="1" t="str">
        <f>IFERROR(__xludf.DUMMYFUNCTION("""COMPUTED_VALUE"""),"CAVITE")</f>
        <v>CAVITE</v>
      </c>
      <c r="R3330" s="1" t="str">
        <f>IFERROR(__xludf.DUMMYFUNCTION("""COMPUTED_VALUE"""),"FIBER UNLI PLAN 1399")</f>
        <v>FIBER UNLI PLAN 1399</v>
      </c>
      <c r="S3330" s="1" t="str">
        <f>IFERROR(__xludf.DUMMYFUNCTION("""COMPUTED_VALUE"""),"APPROVED")</f>
        <v>APPROVED</v>
      </c>
      <c r="T3330" s="1" t="str">
        <f>IFERROR(__xludf.DUMMYFUNCTION("""COMPUTED_VALUE"""),"CLOSED")</f>
        <v>CLOSED</v>
      </c>
      <c r="U3330" s="1" t="str">
        <f>IFERROR(__xludf.DUMMYFUNCTION("""COMPUTED_VALUE"""),"POSTED")</f>
        <v>POSTED</v>
      </c>
      <c r="V3330" s="1" t="str">
        <f>IFERROR(__xludf.DUMMYFUNCTION("""COMPUTED_VALUE"""),"WITH 1 AMSF")</f>
        <v>WITH 1 AMSF</v>
      </c>
      <c r="W3330" s="1"/>
    </row>
    <row r="3331" customHeight="1" spans="1:23">
      <c r="A3331" s="3">
        <f>IFERROR(__xludf.DUMMYFUNCTION("""COMPUTED_VALUE"""),46300)</f>
        <v>46300</v>
      </c>
      <c r="B3331" s="1" t="str">
        <f>IFERROR(__xludf.DUMMYFUNCTION("""COMPUTED_VALUE"""),"ALINGARO, CINDY")</f>
        <v>ALINGARO, CINDY</v>
      </c>
      <c r="C3331" s="1" t="str">
        <f>IFERROR(__xludf.DUMMYFUNCTION("""COMPUTED_VALUE"""),"ORGANIC")</f>
        <v>ORGANIC</v>
      </c>
      <c r="D3331" s="1" t="str">
        <f>IFERROR(__xludf.DUMMYFUNCTION("""COMPUTED_VALUE"""),"REMOLLO LEA")</f>
        <v>REMOLLO LEA</v>
      </c>
      <c r="E3331" s="1" t="str">
        <f>IFERROR(__xludf.DUMMYFUNCTION("""COMPUTED_VALUE"""),"PLDT / H2H")</f>
        <v>PLDT / H2H</v>
      </c>
      <c r="F3331" s="1"/>
      <c r="G3331" s="1">
        <f>IFERROR(__xludf.DUMMYFUNCTION("""COMPUTED_VALUE"""),2312978347)</f>
        <v>2312978347</v>
      </c>
      <c r="H3331" s="1" t="str">
        <f>IFERROR(__xludf.DUMMYFUNCTION("""COMPUTED_VALUE"""),"#N/A")</f>
        <v>#N/A</v>
      </c>
      <c r="I3331" s="1">
        <f>IFERROR(__xludf.DUMMYFUNCTION("""COMPUTED_VALUE"""),639924785848)</f>
        <v>639924785848</v>
      </c>
      <c r="J3331" s="1"/>
      <c r="K3331" s="1"/>
      <c r="L3331" s="1" t="str">
        <f>IFERROR(__xludf.DUMMYFUNCTION("""COMPUTED_VALUE"""),"003-BL-013")</f>
        <v>003-BL-013</v>
      </c>
      <c r="M3331" s="1" t="str">
        <f>IFERROR(__xludf.DUMMYFUNCTION("""COMPUTED_VALUE"""),"ARISTON VILLANUEVA")</f>
        <v>ARISTON VILLANUEVA</v>
      </c>
      <c r="N3331" s="1" t="str">
        <f>IFERROR(__xludf.DUMMYFUNCTION("""COMPUTED_VALUE"""),"#N/A")</f>
        <v>#N/A</v>
      </c>
      <c r="O3331" s="1" t="str">
        <f>IFERROR(__xludf.DUMMYFUNCTION("""COMPUTED_VALUE"""),"PANTALEON GRANADOS (AREA G)")</f>
        <v>PANTALEON GRANADOS (AREA G)</v>
      </c>
      <c r="P3331" s="1" t="str">
        <f>IFERROR(__xludf.DUMMYFUNCTION("""COMPUTED_VALUE"""),"GEN MARIANO ALVAREZ")</f>
        <v>GEN MARIANO ALVAREZ</v>
      </c>
      <c r="Q3331" s="1" t="str">
        <f>IFERROR(__xludf.DUMMYFUNCTION("""COMPUTED_VALUE"""),"CAVITE")</f>
        <v>CAVITE</v>
      </c>
      <c r="R3331" s="1" t="str">
        <f>IFERROR(__xludf.DUMMYFUNCTION("""COMPUTED_VALUE"""),"FIBER UNLI PLAN 1399")</f>
        <v>FIBER UNLI PLAN 1399</v>
      </c>
      <c r="S3331" s="1" t="str">
        <f>IFERROR(__xludf.DUMMYFUNCTION("""COMPUTED_VALUE"""),"APPROVED")</f>
        <v>APPROVED</v>
      </c>
      <c r="T3331" s="1" t="str">
        <f>IFERROR(__xludf.DUMMYFUNCTION("""COMPUTED_VALUE"""),"CANCELLED")</f>
        <v>CANCELLED</v>
      </c>
      <c r="U3331" s="1" t="str">
        <f>IFERROR(__xludf.DUMMYFUNCTION("""COMPUTED_VALUE"""),"CANCELLED - WITH OB")</f>
        <v>CANCELLED - WITH OB</v>
      </c>
      <c r="V3331" s="1"/>
      <c r="W3331" s="1"/>
    </row>
    <row r="3332" customHeight="1" spans="1:23">
      <c r="A3332" s="3">
        <f>IFERROR(__xludf.DUMMYFUNCTION("""COMPUTED_VALUE"""),46300)</f>
        <v>46300</v>
      </c>
      <c r="B3332" s="1" t="str">
        <f>IFERROR(__xludf.DUMMYFUNCTION("""COMPUTED_VALUE"""),"ESCARCHA, MA ALMA  ESCOTO")</f>
        <v>ESCARCHA, MA ALMA  ESCOTO</v>
      </c>
      <c r="C3332" s="1" t="str">
        <f>IFERROR(__xludf.DUMMYFUNCTION("""COMPUTED_VALUE"""),"ORGANIC")</f>
        <v>ORGANIC</v>
      </c>
      <c r="D3332" s="1" t="str">
        <f>IFERROR(__xludf.DUMMYFUNCTION("""COMPUTED_VALUE"""),"REMOLLO LEA")</f>
        <v>REMOLLO LEA</v>
      </c>
      <c r="E3332" s="1" t="str">
        <f>IFERROR(__xludf.DUMMYFUNCTION("""COMPUTED_VALUE"""),"PLDT / H2H")</f>
        <v>PLDT / H2H</v>
      </c>
      <c r="F3332" s="1"/>
      <c r="G3332" s="1">
        <f>IFERROR(__xludf.DUMMYFUNCTION("""COMPUTED_VALUE"""),2312978832)</f>
        <v>2312978832</v>
      </c>
      <c r="H3332" s="1" t="str">
        <f>IFERROR(__xludf.DUMMYFUNCTION("""COMPUTED_VALUE"""),"474355934004")</f>
        <v>474355934004</v>
      </c>
      <c r="I3332" s="1">
        <f>IFERROR(__xludf.DUMMYFUNCTION("""COMPUTED_VALUE"""),639483595136)</f>
        <v>639483595136</v>
      </c>
      <c r="J3332" s="1">
        <f>IFERROR(__xludf.DUMMYFUNCTION("""COMPUTED_VALUE"""),639560158010)</f>
        <v>639560158010</v>
      </c>
      <c r="K3332" s="1"/>
      <c r="L3332" s="1" t="str">
        <f>IFERROR(__xludf.DUMMYFUNCTION("""COMPUTED_VALUE"""),"354")</f>
        <v>354</v>
      </c>
      <c r="M3332" s="1" t="str">
        <f>IFERROR(__xludf.DUMMYFUNCTION("""COMPUTED_VALUE"""),"SITIO ILANG ILANG")</f>
        <v>SITIO ILANG ILANG</v>
      </c>
      <c r="N3332" s="1" t="str">
        <f>IFERROR(__xludf.DUMMYFUNCTION("""COMPUTED_VALUE"""),"#N/A")</f>
        <v>#N/A</v>
      </c>
      <c r="O3332" s="1" t="str">
        <f>IFERROR(__xludf.DUMMYFUNCTION("""COMPUTED_VALUE"""),"BATAS")</f>
        <v>BATAS</v>
      </c>
      <c r="P3332" s="1" t="str">
        <f>IFERROR(__xludf.DUMMYFUNCTION("""COMPUTED_VALUE"""),"SILANG")</f>
        <v>SILANG</v>
      </c>
      <c r="Q3332" s="1" t="str">
        <f>IFERROR(__xludf.DUMMYFUNCTION("""COMPUTED_VALUE"""),"CAVITE")</f>
        <v>CAVITE</v>
      </c>
      <c r="R3332" s="1" t="str">
        <f>IFERROR(__xludf.DUMMYFUNCTION("""COMPUTED_VALUE"""),"FIBER UNLI PLAN 1399")</f>
        <v>FIBER UNLI PLAN 1399</v>
      </c>
      <c r="S3332" s="1" t="str">
        <f>IFERROR(__xludf.DUMMYFUNCTION("""COMPUTED_VALUE"""),"APPROVED")</f>
        <v>APPROVED</v>
      </c>
      <c r="T3332" s="1" t="str">
        <f>IFERROR(__xludf.DUMMYFUNCTION("""COMPUTED_VALUE"""),"CLOSED")</f>
        <v>CLOSED</v>
      </c>
      <c r="U3332" s="1" t="str">
        <f>IFERROR(__xludf.DUMMYFUNCTION("""COMPUTED_VALUE"""),"POSTED")</f>
        <v>POSTED</v>
      </c>
      <c r="V3332" s="1" t="str">
        <f>IFERROR(__xludf.DUMMYFUNCTION("""COMPUTED_VALUE"""),"WITH 1 AMSF")</f>
        <v>WITH 1 AMSF</v>
      </c>
      <c r="W3332" s="1"/>
    </row>
    <row r="3333" customHeight="1" spans="1:23">
      <c r="A3333" s="3">
        <f>IFERROR(__xludf.DUMMYFUNCTION("""COMPUTED_VALUE"""),46300)</f>
        <v>46300</v>
      </c>
      <c r="B3333" s="1" t="str">
        <f>IFERROR(__xludf.DUMMYFUNCTION("""COMPUTED_VALUE"""),"CADERAO, RONALD")</f>
        <v>CADERAO, RONALD</v>
      </c>
      <c r="C3333" s="1" t="str">
        <f>IFERROR(__xludf.DUMMYFUNCTION("""COMPUTED_VALUE"""),"ORGANIC")</f>
        <v>ORGANIC</v>
      </c>
      <c r="D3333" s="1" t="str">
        <f>IFERROR(__xludf.DUMMYFUNCTION("""COMPUTED_VALUE"""),"REMOLLO LEA")</f>
        <v>REMOLLO LEA</v>
      </c>
      <c r="E3333" s="1" t="str">
        <f>IFERROR(__xludf.DUMMYFUNCTION("""COMPUTED_VALUE"""),"PLDT / H2H")</f>
        <v>PLDT / H2H</v>
      </c>
      <c r="F3333" s="1"/>
      <c r="G3333" s="1">
        <f>IFERROR(__xludf.DUMMYFUNCTION("""COMPUTED_VALUE"""),2312979164)</f>
        <v>2312979164</v>
      </c>
      <c r="H3333" s="1" t="str">
        <f>IFERROR(__xludf.DUMMYFUNCTION("""COMPUTED_VALUE"""),"474320033004")</f>
        <v>474320033004</v>
      </c>
      <c r="I3333" s="1">
        <f>IFERROR(__xludf.DUMMYFUNCTION("""COMPUTED_VALUE"""),639552430526)</f>
        <v>639552430526</v>
      </c>
      <c r="J3333" s="1">
        <f>IFERROR(__xludf.DUMMYFUNCTION("""COMPUTED_VALUE"""),639951056486)</f>
        <v>639951056486</v>
      </c>
      <c r="K3333" s="1"/>
      <c r="L3333" s="1" t="str">
        <f>IFERROR(__xludf.DUMMYFUNCTION("""COMPUTED_VALUE"""),"19")</f>
        <v>19</v>
      </c>
      <c r="M3333" s="1" t="str">
        <f>IFERROR(__xludf.DUMMYFUNCTION("""COMPUTED_VALUE"""),"ZONE 3")</f>
        <v>ZONE 3</v>
      </c>
      <c r="N3333" s="1" t="str">
        <f>IFERROR(__xludf.DUMMYFUNCTION("""COMPUTED_VALUE"""),"AFP HOUSING")</f>
        <v>AFP HOUSING</v>
      </c>
      <c r="O3333" s="1" t="str">
        <f>IFERROR(__xludf.DUMMYFUNCTION("""COMPUTED_VALUE"""),"BULIHAN")</f>
        <v>BULIHAN</v>
      </c>
      <c r="P3333" s="1" t="str">
        <f>IFERROR(__xludf.DUMMYFUNCTION("""COMPUTED_VALUE"""),"SILANG")</f>
        <v>SILANG</v>
      </c>
      <c r="Q3333" s="1" t="str">
        <f>IFERROR(__xludf.DUMMYFUNCTION("""COMPUTED_VALUE"""),"CAVITE")</f>
        <v>CAVITE</v>
      </c>
      <c r="R3333" s="1" t="str">
        <f>IFERROR(__xludf.DUMMYFUNCTION("""COMPUTED_VALUE"""),"FIBER UNLI PLAN 1399")</f>
        <v>FIBER UNLI PLAN 1399</v>
      </c>
      <c r="S3333" s="1" t="str">
        <f>IFERROR(__xludf.DUMMYFUNCTION("""COMPUTED_VALUE"""),"APPROVED")</f>
        <v>APPROVED</v>
      </c>
      <c r="T3333" s="1" t="str">
        <f>IFERROR(__xludf.DUMMYFUNCTION("""COMPUTED_VALUE"""),"CLOSED")</f>
        <v>CLOSED</v>
      </c>
      <c r="U3333" s="1" t="str">
        <f>IFERROR(__xludf.DUMMYFUNCTION("""COMPUTED_VALUE"""),"POSTED")</f>
        <v>POSTED</v>
      </c>
      <c r="V3333" s="1" t="str">
        <f>IFERROR(__xludf.DUMMYFUNCTION("""COMPUTED_VALUE"""),"NO 1 AMSF")</f>
        <v>NO 1 AMSF</v>
      </c>
      <c r="W3333" s="1"/>
    </row>
    <row r="3334" customHeight="1" spans="1:23">
      <c r="A3334" s="3">
        <f>IFERROR(__xludf.DUMMYFUNCTION("""COMPUTED_VALUE"""),46301)</f>
        <v>46301</v>
      </c>
      <c r="B3334" s="1" t="str">
        <f>IFERROR(__xludf.DUMMYFUNCTION("""COMPUTED_VALUE"""),"FRANCISCO , ROSELYN")</f>
        <v>FRANCISCO , ROSELYN</v>
      </c>
      <c r="C3334" s="1" t="str">
        <f>IFERROR(__xludf.DUMMYFUNCTION("""COMPUTED_VALUE"""),"ORGANIC")</f>
        <v>ORGANIC</v>
      </c>
      <c r="D3334" s="1" t="str">
        <f>IFERROR(__xludf.DUMMYFUNCTION("""COMPUTED_VALUE"""),"REMOLLO LEA")</f>
        <v>REMOLLO LEA</v>
      </c>
      <c r="E3334" s="1" t="str">
        <f>IFERROR(__xludf.DUMMYFUNCTION("""COMPUTED_VALUE"""),"PLDT / H2H")</f>
        <v>PLDT / H2H</v>
      </c>
      <c r="F3334" s="1"/>
      <c r="G3334" s="1">
        <f>IFERROR(__xludf.DUMMYFUNCTION("""COMPUTED_VALUE"""),2313017208)</f>
        <v>2313017208</v>
      </c>
      <c r="H3334" s="1" t="str">
        <f>IFERROR(__xludf.DUMMYFUNCTION("""COMPUTED_VALUE"""),"#N/A")</f>
        <v>#N/A</v>
      </c>
      <c r="I3334" s="1"/>
      <c r="J3334" s="1"/>
      <c r="K3334" s="1"/>
      <c r="L3334" s="1" t="str">
        <f>IFERROR(__xludf.DUMMYFUNCTION("""COMPUTED_VALUE"""),"#N/A")</f>
        <v>#N/A</v>
      </c>
      <c r="M3334" s="1" t="str">
        <f>IFERROR(__xludf.DUMMYFUNCTION("""COMPUTED_VALUE"""),"#N/A")</f>
        <v>#N/A</v>
      </c>
      <c r="N3334" s="1" t="str">
        <f>IFERROR(__xludf.DUMMYFUNCTION("""COMPUTED_VALUE"""),"#N/A")</f>
        <v>#N/A</v>
      </c>
      <c r="O3334" s="1"/>
      <c r="P3334" s="1"/>
      <c r="Q3334" s="1" t="str">
        <f>IFERROR(__xludf.DUMMYFUNCTION("""COMPUTED_VALUE"""),"CAVITE")</f>
        <v>CAVITE</v>
      </c>
      <c r="R3334" s="1" t="str">
        <f>IFERROR(__xludf.DUMMYFUNCTION("""COMPUTED_VALUE"""),"FIBER UNLI PLAN 1399")</f>
        <v>FIBER UNLI PLAN 1399</v>
      </c>
      <c r="S3334" s="1" t="str">
        <f>IFERROR(__xludf.DUMMYFUNCTION("""COMPUTED_VALUE"""),"APPROVED")</f>
        <v>APPROVED</v>
      </c>
      <c r="T3334" s="1" t="str">
        <f>IFERROR(__xludf.DUMMYFUNCTION("""COMPUTED_VALUE"""),"CLOSED")</f>
        <v>CLOSED</v>
      </c>
      <c r="U3334" s="1" t="str">
        <f>IFERROR(__xludf.DUMMYFUNCTION("""COMPUTED_VALUE"""),"POSTED")</f>
        <v>POSTED</v>
      </c>
      <c r="V3334" s="1" t="str">
        <f>IFERROR(__xludf.DUMMYFUNCTION("""COMPUTED_VALUE"""),"NO 1 AMSF")</f>
        <v>NO 1 AMSF</v>
      </c>
      <c r="W3334" s="1"/>
    </row>
    <row r="3335" customHeight="1" spans="1:23">
      <c r="A3335" s="3">
        <f>IFERROR(__xludf.DUMMYFUNCTION("""COMPUTED_VALUE"""),46301)</f>
        <v>46301</v>
      </c>
      <c r="B3335" s="1" t="str">
        <f>IFERROR(__xludf.DUMMYFUNCTION("""COMPUTED_VALUE"""),"CADERAO, RONALD")</f>
        <v>CADERAO, RONALD</v>
      </c>
      <c r="C3335" s="1" t="str">
        <f>IFERROR(__xludf.DUMMYFUNCTION("""COMPUTED_VALUE"""),"ORGANIC")</f>
        <v>ORGANIC</v>
      </c>
      <c r="D3335" s="1" t="str">
        <f>IFERROR(__xludf.DUMMYFUNCTION("""COMPUTED_VALUE"""),"REMOLLO LEA")</f>
        <v>REMOLLO LEA</v>
      </c>
      <c r="E3335" s="1" t="str">
        <f>IFERROR(__xludf.DUMMYFUNCTION("""COMPUTED_VALUE"""),"PLDT / H2H")</f>
        <v>PLDT / H2H</v>
      </c>
      <c r="F3335" s="1"/>
      <c r="G3335" s="1">
        <f>IFERROR(__xludf.DUMMYFUNCTION("""COMPUTED_VALUE"""),2312995055)</f>
        <v>2312995055</v>
      </c>
      <c r="H3335" s="1" t="str">
        <f>IFERROR(__xludf.DUMMYFUNCTION("""COMPUTED_VALUE"""),"474478795004")</f>
        <v>474478795004</v>
      </c>
      <c r="I3335" s="1">
        <f>IFERROR(__xludf.DUMMYFUNCTION("""COMPUTED_VALUE"""),639301567629)</f>
        <v>639301567629</v>
      </c>
      <c r="J3335" s="1"/>
      <c r="K3335" s="1"/>
      <c r="L3335" s="1" t="str">
        <f>IFERROR(__xludf.DUMMYFUNCTION("""COMPUTED_VALUE"""),"75")</f>
        <v>75</v>
      </c>
      <c r="M3335" s="1" t="str">
        <f>IFERROR(__xludf.DUMMYFUNCTION("""COMPUTED_VALUE"""),"QUINTIN GUMIIT")</f>
        <v>QUINTIN GUMIIT</v>
      </c>
      <c r="N3335" s="1" t="str">
        <f>IFERROR(__xludf.DUMMYFUNCTION("""COMPUTED_VALUE"""),"#N/A")</f>
        <v>#N/A</v>
      </c>
      <c r="O3335" s="1" t="str">
        <f>IFERROR(__xludf.DUMMYFUNCTION("""COMPUTED_VALUE"""),"MARAHAN II")</f>
        <v>MARAHAN II</v>
      </c>
      <c r="P3335" s="1" t="str">
        <f>IFERROR(__xludf.DUMMYFUNCTION("""COMPUTED_VALUE"""),"ALFONSO")</f>
        <v>ALFONSO</v>
      </c>
      <c r="Q3335" s="1" t="str">
        <f>IFERROR(__xludf.DUMMYFUNCTION("""COMPUTED_VALUE"""),"CAVITE")</f>
        <v>CAVITE</v>
      </c>
      <c r="R3335" s="1" t="str">
        <f>IFERROR(__xludf.DUMMYFUNCTION("""COMPUTED_VALUE"""),"FIBER UNLI PLAN 1399")</f>
        <v>FIBER UNLI PLAN 1399</v>
      </c>
      <c r="S3335" s="1" t="str">
        <f>IFERROR(__xludf.DUMMYFUNCTION("""COMPUTED_VALUE"""),"APPROVED")</f>
        <v>APPROVED</v>
      </c>
      <c r="T3335" s="1" t="str">
        <f>IFERROR(__xludf.DUMMYFUNCTION("""COMPUTED_VALUE"""),"RPR")</f>
        <v>RPR</v>
      </c>
      <c r="U3335" s="1" t="str">
        <f>IFERROR(__xludf.DUMMYFUNCTION("""COMPUTED_VALUE"""),"RPR - NAP FULL")</f>
        <v>RPR - NAP FULL</v>
      </c>
      <c r="V3335" s="1" t="str">
        <f>IFERROR(__xludf.DUMMYFUNCTION("""COMPUTED_VALUE"""),"NO 1 AMSF")</f>
        <v>NO 1 AMSF</v>
      </c>
      <c r="W3335" s="1"/>
    </row>
    <row r="3336" customHeight="1" spans="1:23">
      <c r="A3336" s="3">
        <f>IFERROR(__xludf.DUMMYFUNCTION("""COMPUTED_VALUE"""),46301)</f>
        <v>46301</v>
      </c>
      <c r="B3336" s="1" t="str">
        <f>IFERROR(__xludf.DUMMYFUNCTION("""COMPUTED_VALUE"""),"REMOLLO, LEA")</f>
        <v>REMOLLO, LEA</v>
      </c>
      <c r="C3336" s="1" t="str">
        <f>IFERROR(__xludf.DUMMYFUNCTION("""COMPUTED_VALUE"""),"FLA")</f>
        <v>FLA</v>
      </c>
      <c r="D3336" s="1" t="str">
        <f>IFERROR(__xludf.DUMMYFUNCTION("""COMPUTED_VALUE"""),"JERIC NAVARRO")</f>
        <v>JERIC NAVARRO</v>
      </c>
      <c r="E3336" s="1" t="str">
        <f>IFERROR(__xludf.DUMMYFUNCTION("""COMPUTED_VALUE"""),"PLDT / H2H")</f>
        <v>PLDT / H2H</v>
      </c>
      <c r="F3336" s="1"/>
      <c r="G3336" s="1">
        <f>IFERROR(__xludf.DUMMYFUNCTION("""COMPUTED_VALUE"""),2312996910)</f>
        <v>2312996910</v>
      </c>
      <c r="H3336" s="1" t="str">
        <f>IFERROR(__xludf.DUMMYFUNCTION("""COMPUTED_VALUE"""),"474480580004")</f>
        <v>474480580004</v>
      </c>
      <c r="I3336" s="1">
        <f>IFERROR(__xludf.DUMMYFUNCTION("""COMPUTED_VALUE"""),639351608870)</f>
        <v>639351608870</v>
      </c>
      <c r="J3336" s="1"/>
      <c r="K3336" s="1"/>
      <c r="L3336" s="1" t="str">
        <f>IFERROR(__xludf.DUMMYFUNCTION("""COMPUTED_VALUE"""),"421")</f>
        <v>421</v>
      </c>
      <c r="M3336" s="1" t="str">
        <f>IFERROR(__xludf.DUMMYFUNCTION("""COMPUTED_VALUE"""),"SITIO ILANG ILANG")</f>
        <v>SITIO ILANG ILANG</v>
      </c>
      <c r="N3336" s="1" t="str">
        <f>IFERROR(__xludf.DUMMYFUNCTION("""COMPUTED_VALUE"""),"#N/A")</f>
        <v>#N/A</v>
      </c>
      <c r="O3336" s="1" t="str">
        <f>IFERROR(__xludf.DUMMYFUNCTION("""COMPUTED_VALUE"""),"BATAS")</f>
        <v>BATAS</v>
      </c>
      <c r="P3336" s="1" t="str">
        <f>IFERROR(__xludf.DUMMYFUNCTION("""COMPUTED_VALUE"""),"SILANG")</f>
        <v>SILANG</v>
      </c>
      <c r="Q3336" s="1" t="str">
        <f>IFERROR(__xludf.DUMMYFUNCTION("""COMPUTED_VALUE"""),"CAVITE")</f>
        <v>CAVITE</v>
      </c>
      <c r="R3336" s="1" t="str">
        <f>IFERROR(__xludf.DUMMYFUNCTION("""COMPUTED_VALUE"""),"FIBER UNLI PLAN 1399")</f>
        <v>FIBER UNLI PLAN 1399</v>
      </c>
      <c r="S3336" s="1" t="str">
        <f>IFERROR(__xludf.DUMMYFUNCTION("""COMPUTED_VALUE"""),"APPROVED")</f>
        <v>APPROVED</v>
      </c>
      <c r="T3336" s="1" t="str">
        <f>IFERROR(__xludf.DUMMYFUNCTION("""COMPUTED_VALUE"""),"RPR")</f>
        <v>RPR</v>
      </c>
      <c r="U3336" s="1" t="str">
        <f>IFERROR(__xludf.DUMMYFUNCTION("""COMPUTED_VALUE"""),"RPR - UNMAINTAINABLE")</f>
        <v>RPR - UNMAINTAINABLE</v>
      </c>
      <c r="V3336" s="1" t="str">
        <f>IFERROR(__xludf.DUMMYFUNCTION("""COMPUTED_VALUE"""),"NO 1 AMSF")</f>
        <v>NO 1 AMSF</v>
      </c>
      <c r="W3336" s="1"/>
    </row>
    <row r="3337" customHeight="1" spans="1:23">
      <c r="A3337" s="3">
        <f>IFERROR(__xludf.DUMMYFUNCTION("""COMPUTED_VALUE"""),46301)</f>
        <v>46301</v>
      </c>
      <c r="B3337" s="1" t="str">
        <f>IFERROR(__xludf.DUMMYFUNCTION("""COMPUTED_VALUE"""),"GABAY, MANUEL")</f>
        <v>GABAY, MANUEL</v>
      </c>
      <c r="C3337" s="1" t="str">
        <f>IFERROR(__xludf.DUMMYFUNCTION("""COMPUTED_VALUE"""),"FLA")</f>
        <v>FLA</v>
      </c>
      <c r="D3337" s="1" t="str">
        <f>IFERROR(__xludf.DUMMYFUNCTION("""COMPUTED_VALUE"""),"JERIC NAVARRO")</f>
        <v>JERIC NAVARRO</v>
      </c>
      <c r="E3337" s="1" t="str">
        <f>IFERROR(__xludf.DUMMYFUNCTION("""COMPUTED_VALUE"""),"PLDT / H2H")</f>
        <v>PLDT / H2H</v>
      </c>
      <c r="F3337" s="1"/>
      <c r="G3337" s="1">
        <f>IFERROR(__xludf.DUMMYFUNCTION("""COMPUTED_VALUE"""),2312997377)</f>
        <v>2312997377</v>
      </c>
      <c r="H3337" s="1" t="str">
        <f>IFERROR(__xludf.DUMMYFUNCTION("""COMPUTED_VALUE"""),"474502014004")</f>
        <v>474502014004</v>
      </c>
      <c r="I3337" s="1">
        <f>IFERROR(__xludf.DUMMYFUNCTION("""COMPUTED_VALUE"""),639386558446)</f>
        <v>639386558446</v>
      </c>
      <c r="J3337" s="1">
        <f>IFERROR(__xludf.DUMMYFUNCTION("""COMPUTED_VALUE"""),639666593656)</f>
        <v>639666593656</v>
      </c>
      <c r="K3337" s="1"/>
      <c r="L3337" s="1" t="str">
        <f>IFERROR(__xludf.DUMMYFUNCTION("""COMPUTED_VALUE"""),"442")</f>
        <v>442</v>
      </c>
      <c r="M3337" s="1" t="str">
        <f>IFERROR(__xludf.DUMMYFUNCTION("""COMPUTED_VALUE"""),"DOROTEO VILLE")</f>
        <v>DOROTEO VILLE</v>
      </c>
      <c r="N3337" s="1" t="str">
        <f>IFERROR(__xludf.DUMMYFUNCTION("""COMPUTED_VALUE"""),"DOROTEO VILLE SUBD")</f>
        <v>DOROTEO VILLE SUBD</v>
      </c>
      <c r="O3337" s="1" t="str">
        <f>IFERROR(__xludf.DUMMYFUNCTION("""COMPUTED_VALUE"""),"PANUNGYAN I")</f>
        <v>PANUNGYAN I</v>
      </c>
      <c r="P3337" s="1" t="str">
        <f>IFERROR(__xludf.DUMMYFUNCTION("""COMPUTED_VALUE"""),"MENDEZ")</f>
        <v>MENDEZ</v>
      </c>
      <c r="Q3337" s="1" t="str">
        <f>IFERROR(__xludf.DUMMYFUNCTION("""COMPUTED_VALUE"""),"CAVITE")</f>
        <v>CAVITE</v>
      </c>
      <c r="R3337" s="1" t="str">
        <f>IFERROR(__xludf.DUMMYFUNCTION("""COMPUTED_VALUE"""),"FIBER UNLI PLAN 1399")</f>
        <v>FIBER UNLI PLAN 1399</v>
      </c>
      <c r="S3337" s="1" t="str">
        <f>IFERROR(__xludf.DUMMYFUNCTION("""COMPUTED_VALUE"""),"APPROVED")</f>
        <v>APPROVED</v>
      </c>
      <c r="T3337" s="1" t="str">
        <f>IFERROR(__xludf.DUMMYFUNCTION("""COMPUTED_VALUE"""),"CLOSED")</f>
        <v>CLOSED</v>
      </c>
      <c r="U3337" s="1" t="str">
        <f>IFERROR(__xludf.DUMMYFUNCTION("""COMPUTED_VALUE"""),"POSTED")</f>
        <v>POSTED</v>
      </c>
      <c r="V3337" s="1" t="str">
        <f>IFERROR(__xludf.DUMMYFUNCTION("""COMPUTED_VALUE"""),"WITH 1 AMSF")</f>
        <v>WITH 1 AMSF</v>
      </c>
      <c r="W3337" s="1"/>
    </row>
    <row r="3338" customHeight="1" spans="1:23">
      <c r="A3338" s="3">
        <f>IFERROR(__xludf.DUMMYFUNCTION("""COMPUTED_VALUE"""),46301)</f>
        <v>46301</v>
      </c>
      <c r="B3338" s="1" t="str">
        <f>IFERROR(__xludf.DUMMYFUNCTION("""COMPUTED_VALUE"""),"AYON MANUEL")</f>
        <v>AYON MANUEL</v>
      </c>
      <c r="C3338" s="1" t="str">
        <f>IFERROR(__xludf.DUMMYFUNCTION("""COMPUTED_VALUE"""),"FLA")</f>
        <v>FLA</v>
      </c>
      <c r="D3338" s="1" t="str">
        <f>IFERROR(__xludf.DUMMYFUNCTION("""COMPUTED_VALUE"""),"JERIC NAVARRO")</f>
        <v>JERIC NAVARRO</v>
      </c>
      <c r="E3338" s="1" t="str">
        <f>IFERROR(__xludf.DUMMYFUNCTION("""COMPUTED_VALUE"""),"PLDT / H2H")</f>
        <v>PLDT / H2H</v>
      </c>
      <c r="F3338" s="1"/>
      <c r="G3338" s="1">
        <f>IFERROR(__xludf.DUMMYFUNCTION("""COMPUTED_VALUE"""),2312998564)</f>
        <v>2312998564</v>
      </c>
      <c r="H3338" s="1" t="str">
        <f>IFERROR(__xludf.DUMMYFUNCTION("""COMPUTED_VALUE"""),"474478558004")</f>
        <v>474478558004</v>
      </c>
      <c r="I3338" s="1">
        <f>IFERROR(__xludf.DUMMYFUNCTION("""COMPUTED_VALUE"""),639637335110)</f>
        <v>639637335110</v>
      </c>
      <c r="J3338" s="1">
        <f>IFERROR(__xludf.DUMMYFUNCTION("""COMPUTED_VALUE"""),639108239895)</f>
        <v>639108239895</v>
      </c>
      <c r="K3338" s="1"/>
      <c r="L3338" s="1" t="str">
        <f>IFERROR(__xludf.DUMMYFUNCTION("""COMPUTED_VALUE"""),"LOT 2ABC")</f>
        <v>LOT 2ABC</v>
      </c>
      <c r="M3338" s="1" t="str">
        <f>IFERROR(__xludf.DUMMYFUNCTION("""COMPUTED_VALUE"""),"BORROMEO")</f>
        <v>BORROMEO</v>
      </c>
      <c r="N3338" s="1" t="str">
        <f>IFERROR(__xludf.DUMMYFUNCTION("""COMPUTED_VALUE"""),"#N/A")</f>
        <v>#N/A</v>
      </c>
      <c r="O3338" s="1" t="str">
        <f>IFERROR(__xludf.DUMMYFUNCTION("""COMPUTED_VALUE"""),"BILUSO")</f>
        <v>BILUSO</v>
      </c>
      <c r="P3338" s="1" t="str">
        <f>IFERROR(__xludf.DUMMYFUNCTION("""COMPUTED_VALUE"""),"SILANG")</f>
        <v>SILANG</v>
      </c>
      <c r="Q3338" s="1" t="str">
        <f>IFERROR(__xludf.DUMMYFUNCTION("""COMPUTED_VALUE"""),"CAVITE")</f>
        <v>CAVITE</v>
      </c>
      <c r="R3338" s="1" t="str">
        <f>IFERROR(__xludf.DUMMYFUNCTION("""COMPUTED_VALUE"""),"HOME BIZ PLAN 2699")</f>
        <v>HOME BIZ PLAN 2699</v>
      </c>
      <c r="S3338" s="1" t="str">
        <f>IFERROR(__xludf.DUMMYFUNCTION("""COMPUTED_VALUE"""),"APPROVED")</f>
        <v>APPROVED</v>
      </c>
      <c r="T3338" s="1" t="str">
        <f>IFERROR(__xludf.DUMMYFUNCTION("""COMPUTED_VALUE"""),"CLOSED")</f>
        <v>CLOSED</v>
      </c>
      <c r="U3338" s="1" t="str">
        <f>IFERROR(__xludf.DUMMYFUNCTION("""COMPUTED_VALUE"""),"POSTED")</f>
        <v>POSTED</v>
      </c>
      <c r="V3338" s="1" t="str">
        <f>IFERROR(__xludf.DUMMYFUNCTION("""COMPUTED_VALUE"""),"WITH 1 AMSF")</f>
        <v>WITH 1 AMSF</v>
      </c>
      <c r="W3338" s="1"/>
    </row>
    <row r="3339" customHeight="1" spans="1:23">
      <c r="A3339" s="3">
        <f>IFERROR(__xludf.DUMMYFUNCTION("""COMPUTED_VALUE"""),46301)</f>
        <v>46301</v>
      </c>
      <c r="B3339" s="1" t="str">
        <f>IFERROR(__xludf.DUMMYFUNCTION("""COMPUTED_VALUE"""),"ESCARCHA, MA ALMA  ESCOTO")</f>
        <v>ESCARCHA, MA ALMA  ESCOTO</v>
      </c>
      <c r="C3339" s="1" t="str">
        <f>IFERROR(__xludf.DUMMYFUNCTION("""COMPUTED_VALUE"""),"ORGANIC")</f>
        <v>ORGANIC</v>
      </c>
      <c r="D3339" s="1" t="str">
        <f>IFERROR(__xludf.DUMMYFUNCTION("""COMPUTED_VALUE"""),"REMOLLO LEA")</f>
        <v>REMOLLO LEA</v>
      </c>
      <c r="E3339" s="1" t="str">
        <f>IFERROR(__xludf.DUMMYFUNCTION("""COMPUTED_VALUE"""),"PLDT / H2H")</f>
        <v>PLDT / H2H</v>
      </c>
      <c r="F3339" s="1"/>
      <c r="G3339" s="1">
        <f>IFERROR(__xludf.DUMMYFUNCTION("""COMPUTED_VALUE"""),2313017581)</f>
        <v>2313017581</v>
      </c>
      <c r="H3339" s="1" t="str">
        <f>IFERROR(__xludf.DUMMYFUNCTION("""COMPUTED_VALUE"""),"#N/A")</f>
        <v>#N/A</v>
      </c>
      <c r="I3339" s="1">
        <f>IFERROR(__xludf.DUMMYFUNCTION("""COMPUTED_VALUE"""),639283425692)</f>
        <v>639283425692</v>
      </c>
      <c r="J3339" s="1"/>
      <c r="K3339" s="1"/>
      <c r="L3339" s="1" t="str">
        <f>IFERROR(__xludf.DUMMYFUNCTION("""COMPUTED_VALUE"""),"28")</f>
        <v>28</v>
      </c>
      <c r="M3339" s="1" t="str">
        <f>IFERROR(__xludf.DUMMYFUNCTION("""COMPUTED_VALUE"""),"ZAMORA")</f>
        <v>ZAMORA</v>
      </c>
      <c r="N3339" s="1" t="str">
        <f>IFERROR(__xludf.DUMMYFUNCTION("""COMPUTED_VALUE"""),"#N/A")</f>
        <v>#N/A</v>
      </c>
      <c r="O3339" s="1" t="str">
        <f>IFERROR(__xludf.DUMMYFUNCTION("""COMPUTED_VALUE"""),"ASIS I")</f>
        <v>ASIS I</v>
      </c>
      <c r="P3339" s="1" t="str">
        <f>IFERROR(__xludf.DUMMYFUNCTION("""COMPUTED_VALUE"""),"MENDEZ")</f>
        <v>MENDEZ</v>
      </c>
      <c r="Q3339" s="1" t="str">
        <f>IFERROR(__xludf.DUMMYFUNCTION("""COMPUTED_VALUE"""),"CAVITE")</f>
        <v>CAVITE</v>
      </c>
      <c r="R3339" s="1" t="str">
        <f>IFERROR(__xludf.DUMMYFUNCTION("""COMPUTED_VALUE"""),"FIBR UNLI ALL PLAN 999")</f>
        <v>FIBR UNLI ALL PLAN 999</v>
      </c>
      <c r="S3339" s="1" t="str">
        <f>IFERROR(__xludf.DUMMYFUNCTION("""COMPUTED_VALUE"""),"APPROVED")</f>
        <v>APPROVED</v>
      </c>
      <c r="T3339" s="1" t="str">
        <f>IFERROR(__xludf.DUMMYFUNCTION("""COMPUTED_VALUE"""),"FOR PAYMENT")</f>
        <v>FOR PAYMENT</v>
      </c>
      <c r="U3339" s="1" t="str">
        <f>IFERROR(__xludf.DUMMYFUNCTION("""COMPUTED_VALUE"""),"FOR PAYMENT")</f>
        <v>FOR PAYMENT</v>
      </c>
      <c r="V3339" s="1"/>
      <c r="W3339" s="1"/>
    </row>
    <row r="3340" customHeight="1" spans="1:23">
      <c r="A3340" s="3">
        <f>IFERROR(__xludf.DUMMYFUNCTION("""COMPUTED_VALUE"""),46301)</f>
        <v>46301</v>
      </c>
      <c r="B3340" s="1" t="str">
        <f>IFERROR(__xludf.DUMMYFUNCTION("""COMPUTED_VALUE"""),"ALINGARO, CINDY")</f>
        <v>ALINGARO, CINDY</v>
      </c>
      <c r="C3340" s="1" t="str">
        <f>IFERROR(__xludf.DUMMYFUNCTION("""COMPUTED_VALUE"""),"ORGANIC")</f>
        <v>ORGANIC</v>
      </c>
      <c r="D3340" s="1" t="str">
        <f>IFERROR(__xludf.DUMMYFUNCTION("""COMPUTED_VALUE"""),"REMOLLO LEA")</f>
        <v>REMOLLO LEA</v>
      </c>
      <c r="E3340" s="1" t="str">
        <f>IFERROR(__xludf.DUMMYFUNCTION("""COMPUTED_VALUE"""),"PLDT / H2H")</f>
        <v>PLDT / H2H</v>
      </c>
      <c r="F3340" s="1"/>
      <c r="G3340" s="1">
        <f>IFERROR(__xludf.DUMMYFUNCTION("""COMPUTED_VALUE"""),2313000879)</f>
        <v>2313000879</v>
      </c>
      <c r="H3340" s="1" t="str">
        <f>IFERROR(__xludf.DUMMYFUNCTION("""COMPUTED_VALUE"""),"474479492004")</f>
        <v>474479492004</v>
      </c>
      <c r="I3340" s="1">
        <f>IFERROR(__xludf.DUMMYFUNCTION("""COMPUTED_VALUE"""),639219282401)</f>
        <v>639219282401</v>
      </c>
      <c r="J3340" s="1">
        <f>IFERROR(__xludf.DUMMYFUNCTION("""COMPUTED_VALUE"""),639958843823)</f>
        <v>639958843823</v>
      </c>
      <c r="K3340" s="1"/>
      <c r="L3340" s="1" t="str">
        <f>IFERROR(__xludf.DUMMYFUNCTION("""COMPUTED_VALUE"""),"92")</f>
        <v>92</v>
      </c>
      <c r="M3340" s="1" t="str">
        <f>IFERROR(__xludf.DUMMYFUNCTION("""COMPUTED_VALUE"""),"ZAMORA")</f>
        <v>ZAMORA</v>
      </c>
      <c r="N3340" s="1" t="str">
        <f>IFERROR(__xludf.DUMMYFUNCTION("""COMPUTED_VALUE"""),"#N/A")</f>
        <v>#N/A</v>
      </c>
      <c r="O3340" s="1" t="str">
        <f>IFERROR(__xludf.DUMMYFUNCTION("""COMPUTED_VALUE"""),"ASIS I")</f>
        <v>ASIS I</v>
      </c>
      <c r="P3340" s="1" t="str">
        <f>IFERROR(__xludf.DUMMYFUNCTION("""COMPUTED_VALUE"""),"MENDEZ")</f>
        <v>MENDEZ</v>
      </c>
      <c r="Q3340" s="1" t="str">
        <f>IFERROR(__xludf.DUMMYFUNCTION("""COMPUTED_VALUE"""),"CAVITE")</f>
        <v>CAVITE</v>
      </c>
      <c r="R3340" s="1" t="str">
        <f>IFERROR(__xludf.DUMMYFUNCTION("""COMPUTED_VALUE"""),"FIBER UNLI ALL PLAN 1899")</f>
        <v>FIBER UNLI ALL PLAN 1899</v>
      </c>
      <c r="S3340" s="1" t="str">
        <f>IFERROR(__xludf.DUMMYFUNCTION("""COMPUTED_VALUE"""),"APPROVED")</f>
        <v>APPROVED</v>
      </c>
      <c r="T3340" s="1" t="str">
        <f>IFERROR(__xludf.DUMMYFUNCTION("""COMPUTED_VALUE"""),"CLOSED")</f>
        <v>CLOSED</v>
      </c>
      <c r="U3340" s="1" t="str">
        <f>IFERROR(__xludf.DUMMYFUNCTION("""COMPUTED_VALUE"""),"POSTED")</f>
        <v>POSTED</v>
      </c>
      <c r="V3340" s="1" t="str">
        <f>IFERROR(__xludf.DUMMYFUNCTION("""COMPUTED_VALUE"""),"NO 1 AMSF")</f>
        <v>NO 1 AMSF</v>
      </c>
      <c r="W3340" s="1"/>
    </row>
    <row r="3341" customHeight="1" spans="1:23">
      <c r="A3341" s="3">
        <f>IFERROR(__xludf.DUMMYFUNCTION("""COMPUTED_VALUE"""),46301)</f>
        <v>46301</v>
      </c>
      <c r="B3341" s="1" t="str">
        <f>IFERROR(__xludf.DUMMYFUNCTION("""COMPUTED_VALUE"""),"BAQUIT ,JAZMIN")</f>
        <v>BAQUIT ,JAZMIN</v>
      </c>
      <c r="C3341" s="1" t="str">
        <f>IFERROR(__xludf.DUMMYFUNCTION("""COMPUTED_VALUE"""),"ORGANIC")</f>
        <v>ORGANIC</v>
      </c>
      <c r="D3341" s="1" t="str">
        <f>IFERROR(__xludf.DUMMYFUNCTION("""COMPUTED_VALUE"""),"REMOLLO LEA")</f>
        <v>REMOLLO LEA</v>
      </c>
      <c r="E3341" s="1" t="str">
        <f>IFERROR(__xludf.DUMMYFUNCTION("""COMPUTED_VALUE"""),"PLDT / H2H")</f>
        <v>PLDT / H2H</v>
      </c>
      <c r="F3341" s="1"/>
      <c r="G3341" s="1"/>
      <c r="H3341" s="1" t="str">
        <f>IFERROR(__xludf.DUMMYFUNCTION("""COMPUTED_VALUE"""),"#N/A")</f>
        <v>#N/A</v>
      </c>
      <c r="I3341" s="1">
        <f>IFERROR(__xludf.DUMMYFUNCTION("""COMPUTED_VALUE"""),639930622874)</f>
        <v>639930622874</v>
      </c>
      <c r="J3341" s="1">
        <f>IFERROR(__xludf.DUMMYFUNCTION("""COMPUTED_VALUE"""),639535319081)</f>
        <v>639535319081</v>
      </c>
      <c r="K3341" s="1"/>
      <c r="L3341" s="1" t="str">
        <f>IFERROR(__xludf.DUMMYFUNCTION("""COMPUTED_VALUE"""),"198")</f>
        <v>198</v>
      </c>
      <c r="M3341" s="1" t="str">
        <f>IFERROR(__xludf.DUMMYFUNCTION("""COMPUTED_VALUE"""),"TAMANLI RD")</f>
        <v>TAMANLI RD</v>
      </c>
      <c r="N3341" s="1" t="str">
        <f>IFERROR(__xludf.DUMMYFUNCTION("""COMPUTED_VALUE"""),"#N/A")</f>
        <v>#N/A</v>
      </c>
      <c r="O3341" s="1" t="str">
        <f>IFERROR(__xludf.DUMMYFUNCTION("""COMPUTED_VALUE"""),"KAPITAN KUA (AREA F)")</f>
        <v>KAPITAN KUA (AREA F)</v>
      </c>
      <c r="P3341" s="1" t="str">
        <f>IFERROR(__xludf.DUMMYFUNCTION("""COMPUTED_VALUE"""),"GEN MARIANO ALVAREZ")</f>
        <v>GEN MARIANO ALVAREZ</v>
      </c>
      <c r="Q3341" s="1" t="str">
        <f>IFERROR(__xludf.DUMMYFUNCTION("""COMPUTED_VALUE"""),"CAVITE")</f>
        <v>CAVITE</v>
      </c>
      <c r="R3341" s="1" t="str">
        <f>IFERROR(__xludf.DUMMYFUNCTION("""COMPUTED_VALUE"""),"FIBER UNLI PLAN 1399")</f>
        <v>FIBER UNLI PLAN 1399</v>
      </c>
      <c r="S3341" s="1" t="str">
        <f>IFERROR(__xludf.DUMMYFUNCTION("""COMPUTED_VALUE"""),"RETURN FOR COMPLIANCE - CUSTOMER")</f>
        <v>RETURN FOR COMPLIANCE - CUSTOMER</v>
      </c>
      <c r="T3341" s="1" t="str">
        <f>IFERROR(__xludf.DUMMYFUNCTION("""COMPUTED_VALUE"""),"RETURN FOR CUSTOMER COMPLIANCE")</f>
        <v>RETURN FOR CUSTOMER COMPLIANCE</v>
      </c>
      <c r="U3341" s="1" t="str">
        <f>IFERROR(__xludf.DUMMYFUNCTION("""COMPUTED_VALUE"""),"UNCLEAR / UNSCANNABLE POID")</f>
        <v>UNCLEAR / UNSCANNABLE POID</v>
      </c>
      <c r="V3341" s="1"/>
      <c r="W3341" s="1"/>
    </row>
    <row r="3342" customHeight="1" spans="1:23">
      <c r="A3342" s="3">
        <f>IFERROR(__xludf.DUMMYFUNCTION("""COMPUTED_VALUE"""),46302)</f>
        <v>46302</v>
      </c>
      <c r="B3342" s="1" t="str">
        <f>IFERROR(__xludf.DUMMYFUNCTION("""COMPUTED_VALUE"""),"TAMAYO, MARY ROSE")</f>
        <v>TAMAYO, MARY ROSE</v>
      </c>
      <c r="C3342" s="1" t="str">
        <f>IFERROR(__xludf.DUMMYFUNCTION("""COMPUTED_VALUE"""),"ORGANIC")</f>
        <v>ORGANIC</v>
      </c>
      <c r="D3342" s="1" t="str">
        <f>IFERROR(__xludf.DUMMYFUNCTION("""COMPUTED_VALUE"""),"REMOLLO LEA")</f>
        <v>REMOLLO LEA</v>
      </c>
      <c r="E3342" s="1" t="str">
        <f>IFERROR(__xludf.DUMMYFUNCTION("""COMPUTED_VALUE"""),"PLDT / H2H")</f>
        <v>PLDT / H2H</v>
      </c>
      <c r="F3342" s="1"/>
      <c r="G3342" s="1">
        <f>IFERROR(__xludf.DUMMYFUNCTION("""COMPUTED_VALUE"""),2313018318)</f>
        <v>2313018318</v>
      </c>
      <c r="H3342" s="1" t="str">
        <f>IFERROR(__xludf.DUMMYFUNCTION("""COMPUTED_VALUE"""),"474594161004")</f>
        <v>474594161004</v>
      </c>
      <c r="I3342" s="1">
        <f>IFERROR(__xludf.DUMMYFUNCTION("""COMPUTED_VALUE"""),639568237148)</f>
        <v>639568237148</v>
      </c>
      <c r="J3342" s="1"/>
      <c r="K3342" s="1"/>
      <c r="L3342" s="1" t="str">
        <f>IFERROR(__xludf.DUMMYFUNCTION("""COMPUTED_VALUE"""),"001-BL-016")</f>
        <v>001-BL-016</v>
      </c>
      <c r="M3342" s="1" t="str">
        <f>IFERROR(__xludf.DUMMYFUNCTION("""COMPUTED_VALUE"""),"CINTA DESSA")</f>
        <v>CINTA DESSA</v>
      </c>
      <c r="N3342" s="1" t="str">
        <f>IFERROR(__xludf.DUMMYFUNCTION("""COMPUTED_VALUE"""),"CINTA DESSA")</f>
        <v>CINTA DESSA</v>
      </c>
      <c r="O3342" s="1" t="str">
        <f>IFERROR(__xludf.DUMMYFUNCTION("""COMPUTED_VALUE"""),"TARTARIA")</f>
        <v>TARTARIA</v>
      </c>
      <c r="P3342" s="1" t="str">
        <f>IFERROR(__xludf.DUMMYFUNCTION("""COMPUTED_VALUE"""),"SILANG")</f>
        <v>SILANG</v>
      </c>
      <c r="Q3342" s="1" t="str">
        <f>IFERROR(__xludf.DUMMYFUNCTION("""COMPUTED_VALUE"""),"CAVITE")</f>
        <v>CAVITE</v>
      </c>
      <c r="R3342" s="1" t="str">
        <f>IFERROR(__xludf.DUMMYFUNCTION("""COMPUTED_VALUE"""),"FIBER UNLI PLAN 1399")</f>
        <v>FIBER UNLI PLAN 1399</v>
      </c>
      <c r="S3342" s="1" t="str">
        <f>IFERROR(__xludf.DUMMYFUNCTION("""COMPUTED_VALUE"""),"APPROVED")</f>
        <v>APPROVED</v>
      </c>
      <c r="T3342" s="1" t="str">
        <f>IFERROR(__xludf.DUMMYFUNCTION("""COMPUTED_VALUE"""),"CLOSED")</f>
        <v>CLOSED</v>
      </c>
      <c r="U3342" s="1" t="str">
        <f>IFERROR(__xludf.DUMMYFUNCTION("""COMPUTED_VALUE"""),"POSTED")</f>
        <v>POSTED</v>
      </c>
      <c r="V3342" s="1" t="str">
        <f>IFERROR(__xludf.DUMMYFUNCTION("""COMPUTED_VALUE"""),"NO 1 AMSF")</f>
        <v>NO 1 AMSF</v>
      </c>
      <c r="W3342" s="1"/>
    </row>
    <row r="3343" customHeight="1" spans="1:23">
      <c r="A3343" s="3">
        <f>IFERROR(__xludf.DUMMYFUNCTION("""COMPUTED_VALUE"""),46302)</f>
        <v>46302</v>
      </c>
      <c r="B3343" s="1" t="str">
        <f>IFERROR(__xludf.DUMMYFUNCTION("""COMPUTED_VALUE"""),"FRANCISCO , ROSELYN")</f>
        <v>FRANCISCO , ROSELYN</v>
      </c>
      <c r="C3343" s="1" t="str">
        <f>IFERROR(__xludf.DUMMYFUNCTION("""COMPUTED_VALUE"""),"ORGANIC")</f>
        <v>ORGANIC</v>
      </c>
      <c r="D3343" s="1" t="str">
        <f>IFERROR(__xludf.DUMMYFUNCTION("""COMPUTED_VALUE"""),"REMOLLO LEA")</f>
        <v>REMOLLO LEA</v>
      </c>
      <c r="E3343" s="1" t="str">
        <f>IFERROR(__xludf.DUMMYFUNCTION("""COMPUTED_VALUE"""),"PLDT / H2H")</f>
        <v>PLDT / H2H</v>
      </c>
      <c r="F3343" s="1"/>
      <c r="G3343" s="1">
        <f>IFERROR(__xludf.DUMMYFUNCTION("""COMPUTED_VALUE"""),2313019071)</f>
        <v>2313019071</v>
      </c>
      <c r="H3343" s="1" t="str">
        <f>IFERROR(__xludf.DUMMYFUNCTION("""COMPUTED_VALUE"""),"474592324004")</f>
        <v>474592324004</v>
      </c>
      <c r="I3343" s="1">
        <f>IFERROR(__xludf.DUMMYFUNCTION("""COMPUTED_VALUE"""),639925155055)</f>
        <v>639925155055</v>
      </c>
      <c r="J3343" s="1">
        <f>IFERROR(__xludf.DUMMYFUNCTION("""COMPUTED_VALUE"""),639536022380)</f>
        <v>639536022380</v>
      </c>
      <c r="K3343" s="1"/>
      <c r="L3343" s="1" t="str">
        <f>IFERROR(__xludf.DUMMYFUNCTION("""COMPUTED_VALUE"""),"707")</f>
        <v>707</v>
      </c>
      <c r="M3343" s="1" t="str">
        <f>IFERROR(__xludf.DUMMYFUNCTION("""COMPUTED_VALUE"""),"MAKABUHAY")</f>
        <v>MAKABUHAY</v>
      </c>
      <c r="N3343" s="1" t="str">
        <f>IFERROR(__xludf.DUMMYFUNCTION("""COMPUTED_VALUE"""),"#N/A")</f>
        <v>#N/A</v>
      </c>
      <c r="O3343" s="1" t="str">
        <f>IFERROR(__xludf.DUMMYFUNCTION("""COMPUTED_VALUE"""),"PUTING KAHOY")</f>
        <v>PUTING KAHOY</v>
      </c>
      <c r="P3343" s="1" t="str">
        <f>IFERROR(__xludf.DUMMYFUNCTION("""COMPUTED_VALUE"""),"SILANG")</f>
        <v>SILANG</v>
      </c>
      <c r="Q3343" s="1" t="str">
        <f>IFERROR(__xludf.DUMMYFUNCTION("""COMPUTED_VALUE"""),"CAVITE")</f>
        <v>CAVITE</v>
      </c>
      <c r="R3343" s="1" t="str">
        <f>IFERROR(__xludf.DUMMYFUNCTION("""COMPUTED_VALUE"""),"FIBER UNLI PLAN 1399")</f>
        <v>FIBER UNLI PLAN 1399</v>
      </c>
      <c r="S3343" s="1" t="str">
        <f>IFERROR(__xludf.DUMMYFUNCTION("""COMPUTED_VALUE"""),"APPROVED")</f>
        <v>APPROVED</v>
      </c>
      <c r="T3343" s="1" t="str">
        <f>IFERROR(__xludf.DUMMYFUNCTION("""COMPUTED_VALUE"""),"CLOSED")</f>
        <v>CLOSED</v>
      </c>
      <c r="U3343" s="1" t="str">
        <f>IFERROR(__xludf.DUMMYFUNCTION("""COMPUTED_VALUE"""),"POSTED")</f>
        <v>POSTED</v>
      </c>
      <c r="V3343" s="1" t="str">
        <f>IFERROR(__xludf.DUMMYFUNCTION("""COMPUTED_VALUE"""),"WITH 1 AMSF")</f>
        <v>WITH 1 AMSF</v>
      </c>
      <c r="W3343" s="1"/>
    </row>
    <row r="3344" customHeight="1" spans="1:23">
      <c r="A3344" s="3">
        <f>IFERROR(__xludf.DUMMYFUNCTION("""COMPUTED_VALUE"""),46302)</f>
        <v>46302</v>
      </c>
      <c r="B3344" s="1" t="str">
        <f>IFERROR(__xludf.DUMMYFUNCTION("""COMPUTED_VALUE"""),"LOPEZ, JENIELYN")</f>
        <v>LOPEZ, JENIELYN</v>
      </c>
      <c r="C3344" s="1" t="str">
        <f>IFERROR(__xludf.DUMMYFUNCTION("""COMPUTED_VALUE"""),"ORGANIC")</f>
        <v>ORGANIC</v>
      </c>
      <c r="D3344" s="1" t="str">
        <f>IFERROR(__xludf.DUMMYFUNCTION("""COMPUTED_VALUE"""),"REMOLLO LEA")</f>
        <v>REMOLLO LEA</v>
      </c>
      <c r="E3344" s="1" t="str">
        <f>IFERROR(__xludf.DUMMYFUNCTION("""COMPUTED_VALUE"""),"PLDT / H2H")</f>
        <v>PLDT / H2H</v>
      </c>
      <c r="F3344" s="1"/>
      <c r="G3344" s="1">
        <f>IFERROR(__xludf.DUMMYFUNCTION("""COMPUTED_VALUE"""),2313020338)</f>
        <v>2313020338</v>
      </c>
      <c r="H3344" s="1" t="str">
        <f>IFERROR(__xludf.DUMMYFUNCTION("""COMPUTED_VALUE"""),"474596058004")</f>
        <v>474596058004</v>
      </c>
      <c r="I3344" s="1">
        <f>IFERROR(__xludf.DUMMYFUNCTION("""COMPUTED_VALUE"""),639294351822)</f>
        <v>639294351822</v>
      </c>
      <c r="J3344" s="1"/>
      <c r="K3344" s="1"/>
      <c r="L3344" s="1" t="str">
        <f>IFERROR(__xludf.DUMMYFUNCTION("""COMPUTED_VALUE"""),"UNIT A")</f>
        <v>UNIT A</v>
      </c>
      <c r="M3344" s="1" t="str">
        <f>IFERROR(__xludf.DUMMYFUNCTION("""COMPUTED_VALUE"""),"PUTING KAHOY")</f>
        <v>PUTING KAHOY</v>
      </c>
      <c r="N3344" s="1" t="str">
        <f>IFERROR(__xludf.DUMMYFUNCTION("""COMPUTED_VALUE"""),"RIVERA RESIDENCE")</f>
        <v>RIVERA RESIDENCE</v>
      </c>
      <c r="O3344" s="1" t="str">
        <f>IFERROR(__xludf.DUMMYFUNCTION("""COMPUTED_VALUE"""),"PUTING KAHOY")</f>
        <v>PUTING KAHOY</v>
      </c>
      <c r="P3344" s="1" t="str">
        <f>IFERROR(__xludf.DUMMYFUNCTION("""COMPUTED_VALUE"""),"SILANG")</f>
        <v>SILANG</v>
      </c>
      <c r="Q3344" s="1" t="str">
        <f>IFERROR(__xludf.DUMMYFUNCTION("""COMPUTED_VALUE"""),"CAVITE")</f>
        <v>CAVITE</v>
      </c>
      <c r="R3344" s="1" t="str">
        <f>IFERROR(__xludf.DUMMYFUNCTION("""COMPUTED_VALUE"""),"FIBER UNLI PLAN 1399")</f>
        <v>FIBER UNLI PLAN 1399</v>
      </c>
      <c r="S3344" s="1" t="str">
        <f>IFERROR(__xludf.DUMMYFUNCTION("""COMPUTED_VALUE"""),"APPROVED")</f>
        <v>APPROVED</v>
      </c>
      <c r="T3344" s="1" t="str">
        <f>IFERROR(__xludf.DUMMYFUNCTION("""COMPUTED_VALUE"""),"PAID")</f>
        <v>PAID</v>
      </c>
      <c r="U3344" s="1" t="str">
        <f>IFERROR(__xludf.DUMMYFUNCTION("""COMPUTED_VALUE"""),"PAID - FOR INSTALLATION")</f>
        <v>PAID - FOR INSTALLATION</v>
      </c>
      <c r="V3344" s="1" t="str">
        <f>IFERROR(__xludf.DUMMYFUNCTION("""COMPUTED_VALUE"""),"WITH 1 AMSF")</f>
        <v>WITH 1 AMSF</v>
      </c>
      <c r="W3344" s="1"/>
    </row>
    <row r="3345" customHeight="1" spans="1:23">
      <c r="A3345" s="3">
        <f>IFERROR(__xludf.DUMMYFUNCTION("""COMPUTED_VALUE"""),46302)</f>
        <v>46302</v>
      </c>
      <c r="B3345" s="1" t="str">
        <f>IFERROR(__xludf.DUMMYFUNCTION("""COMPUTED_VALUE"""),"ARIENA, LYKA")</f>
        <v>ARIENA, LYKA</v>
      </c>
      <c r="C3345" s="1" t="str">
        <f>IFERROR(__xludf.DUMMYFUNCTION("""COMPUTED_VALUE"""),"ORGANIC")</f>
        <v>ORGANIC</v>
      </c>
      <c r="D3345" s="1" t="str">
        <f>IFERROR(__xludf.DUMMYFUNCTION("""COMPUTED_VALUE"""),"REMOLLO LEA")</f>
        <v>REMOLLO LEA</v>
      </c>
      <c r="E3345" s="1" t="str">
        <f>IFERROR(__xludf.DUMMYFUNCTION("""COMPUTED_VALUE"""),"PLDT / H2H")</f>
        <v>PLDT / H2H</v>
      </c>
      <c r="F3345" s="1"/>
      <c r="G3345" s="1">
        <f>IFERROR(__xludf.DUMMYFUNCTION("""COMPUTED_VALUE"""),2313066566)</f>
        <v>2313066566</v>
      </c>
      <c r="H3345" s="1" t="str">
        <f>IFERROR(__xludf.DUMMYFUNCTION("""COMPUTED_VALUE"""),"474973085004")</f>
        <v>474973085004</v>
      </c>
      <c r="I3345" s="1">
        <f>IFERROR(__xludf.DUMMYFUNCTION("""COMPUTED_VALUE"""),639706637789)</f>
        <v>639706637789</v>
      </c>
      <c r="J3345" s="1"/>
      <c r="K3345" s="1"/>
      <c r="L3345" s="1" t="str">
        <f>IFERROR(__xludf.DUMMYFUNCTION("""COMPUTED_VALUE"""),"220")</f>
        <v>220</v>
      </c>
      <c r="M3345" s="1" t="str">
        <f>IFERROR(__xludf.DUMMYFUNCTION("""COMPUTED_VALUE"""),"POOC 1")</f>
        <v>POOC 1</v>
      </c>
      <c r="N3345" s="1" t="str">
        <f>IFERROR(__xludf.DUMMYFUNCTION("""COMPUTED_VALUE"""),"#N/A")</f>
        <v>#N/A</v>
      </c>
      <c r="O3345" s="1" t="str">
        <f>IFERROR(__xludf.DUMMYFUNCTION("""COMPUTED_VALUE"""),"POOC I")</f>
        <v>POOC I</v>
      </c>
      <c r="P3345" s="1" t="str">
        <f>IFERROR(__xludf.DUMMYFUNCTION("""COMPUTED_VALUE"""),"SILANG")</f>
        <v>SILANG</v>
      </c>
      <c r="Q3345" s="1" t="str">
        <f>IFERROR(__xludf.DUMMYFUNCTION("""COMPUTED_VALUE"""),"CAVITE")</f>
        <v>CAVITE</v>
      </c>
      <c r="R3345" s="1" t="str">
        <f>IFERROR(__xludf.DUMMYFUNCTION("""COMPUTED_VALUE"""),"FIBER UNLI PLAN 1399")</f>
        <v>FIBER UNLI PLAN 1399</v>
      </c>
      <c r="S3345" s="1" t="str">
        <f>IFERROR(__xludf.DUMMYFUNCTION("""COMPUTED_VALUE"""),"APPROVED")</f>
        <v>APPROVED</v>
      </c>
      <c r="T3345" s="1" t="str">
        <f>IFERROR(__xludf.DUMMYFUNCTION("""COMPUTED_VALUE"""),"CANCELLED")</f>
        <v>CANCELLED</v>
      </c>
      <c r="U3345" s="1" t="str">
        <f>IFERROR(__xludf.DUMMYFUNCTION("""COMPUTED_VALUE"""),"CSP CANCELLED")</f>
        <v>CSP CANCELLED</v>
      </c>
      <c r="V3345" s="1" t="str">
        <f>IFERROR(__xludf.DUMMYFUNCTION("""COMPUTED_VALUE"""),"NO 1 AMSF")</f>
        <v>NO 1 AMSF</v>
      </c>
      <c r="W3345" s="1"/>
    </row>
    <row r="3346" customHeight="1" spans="1:23">
      <c r="A3346" s="3">
        <f>IFERROR(__xludf.DUMMYFUNCTION("""COMPUTED_VALUE"""),46302)</f>
        <v>46302</v>
      </c>
      <c r="B3346" s="1" t="str">
        <f>IFERROR(__xludf.DUMMYFUNCTION("""COMPUTED_VALUE"""),"BAQUIT ,JAZMIN")</f>
        <v>BAQUIT ,JAZMIN</v>
      </c>
      <c r="C3346" s="1" t="str">
        <f>IFERROR(__xludf.DUMMYFUNCTION("""COMPUTED_VALUE"""),"ORGANIC")</f>
        <v>ORGANIC</v>
      </c>
      <c r="D3346" s="1" t="str">
        <f>IFERROR(__xludf.DUMMYFUNCTION("""COMPUTED_VALUE"""),"REMOLLO LEA")</f>
        <v>REMOLLO LEA</v>
      </c>
      <c r="E3346" s="1" t="str">
        <f>IFERROR(__xludf.DUMMYFUNCTION("""COMPUTED_VALUE"""),"PLDT / H2H")</f>
        <v>PLDT / H2H</v>
      </c>
      <c r="F3346" s="1"/>
      <c r="G3346" s="1">
        <f>IFERROR(__xludf.DUMMYFUNCTION("""COMPUTED_VALUE"""),2313040118)</f>
        <v>2313040118</v>
      </c>
      <c r="H3346" s="1" t="str">
        <f>IFERROR(__xludf.DUMMYFUNCTION("""COMPUTED_VALUE"""),"#N/A")</f>
        <v>#N/A</v>
      </c>
      <c r="I3346" s="1">
        <f>IFERROR(__xludf.DUMMYFUNCTION("""COMPUTED_VALUE"""),639930622874)</f>
        <v>639930622874</v>
      </c>
      <c r="J3346" s="1">
        <f>IFERROR(__xludf.DUMMYFUNCTION("""COMPUTED_VALUE"""),639535319081)</f>
        <v>639535319081</v>
      </c>
      <c r="K3346" s="1"/>
      <c r="L3346" s="1" t="str">
        <f>IFERROR(__xludf.DUMMYFUNCTION("""COMPUTED_VALUE"""),"198")</f>
        <v>198</v>
      </c>
      <c r="M3346" s="1" t="str">
        <f>IFERROR(__xludf.DUMMYFUNCTION("""COMPUTED_VALUE"""),"TAMANLI")</f>
        <v>TAMANLI</v>
      </c>
      <c r="N3346" s="1" t="str">
        <f>IFERROR(__xludf.DUMMYFUNCTION("""COMPUTED_VALUE"""),"#N/A")</f>
        <v>#N/A</v>
      </c>
      <c r="O3346" s="1" t="str">
        <f>IFERROR(__xludf.DUMMYFUNCTION("""COMPUTED_VALUE"""),"KAPITAN KUA (AREA F)")</f>
        <v>KAPITAN KUA (AREA F)</v>
      </c>
      <c r="P3346" s="1" t="str">
        <f>IFERROR(__xludf.DUMMYFUNCTION("""COMPUTED_VALUE"""),"GEN MARIANO ALVAREZ")</f>
        <v>GEN MARIANO ALVAREZ</v>
      </c>
      <c r="Q3346" s="1" t="str">
        <f>IFERROR(__xludf.DUMMYFUNCTION("""COMPUTED_VALUE"""),"CAVITE")</f>
        <v>CAVITE</v>
      </c>
      <c r="R3346" s="1" t="str">
        <f>IFERROR(__xludf.DUMMYFUNCTION("""COMPUTED_VALUE"""),"FIBER UNLI PLAN 1399")</f>
        <v>FIBER UNLI PLAN 1399</v>
      </c>
      <c r="S3346" s="1" t="str">
        <f>IFERROR(__xludf.DUMMYFUNCTION("""COMPUTED_VALUE"""),"APPROVED")</f>
        <v>APPROVED</v>
      </c>
      <c r="T3346" s="1" t="str">
        <f>IFERROR(__xludf.DUMMYFUNCTION("""COMPUTED_VALUE"""),"BLACKLISTED CVA DISAPPROVED")</f>
        <v>BLACKLISTED CVA DISAPPROVED</v>
      </c>
      <c r="U3346" s="1" t="str">
        <f>IFERROR(__xludf.DUMMYFUNCTION("""COMPUTED_VALUE"""),"DISAPPROVED - UNCONTACTED")</f>
        <v>DISAPPROVED - UNCONTACTED</v>
      </c>
      <c r="V3346" s="1"/>
      <c r="W3346" s="1"/>
    </row>
    <row r="3347" customHeight="1" spans="1:23">
      <c r="A3347" s="3">
        <f>IFERROR(__xludf.DUMMYFUNCTION("""COMPUTED_VALUE"""),46302)</f>
        <v>46302</v>
      </c>
      <c r="B3347" s="1" t="str">
        <f>IFERROR(__xludf.DUMMYFUNCTION("""COMPUTED_VALUE"""),"MANDUCDOC, MARIANE")</f>
        <v>MANDUCDOC, MARIANE</v>
      </c>
      <c r="C3347" s="1" t="str">
        <f>IFERROR(__xludf.DUMMYFUNCTION("""COMPUTED_VALUE"""),"ORGANIC")</f>
        <v>ORGANIC</v>
      </c>
      <c r="D3347" s="1" t="str">
        <f>IFERROR(__xludf.DUMMYFUNCTION("""COMPUTED_VALUE"""),"REMOLLO LEA")</f>
        <v>REMOLLO LEA</v>
      </c>
      <c r="E3347" s="1" t="str">
        <f>IFERROR(__xludf.DUMMYFUNCTION("""COMPUTED_VALUE"""),"PLDT / H2H")</f>
        <v>PLDT / H2H</v>
      </c>
      <c r="F3347" s="1"/>
      <c r="G3347" s="1">
        <f>IFERROR(__xludf.DUMMYFUNCTION("""COMPUTED_VALUE"""),2313026991)</f>
        <v>2313026991</v>
      </c>
      <c r="H3347" s="1" t="str">
        <f>IFERROR(__xludf.DUMMYFUNCTION("""COMPUTED_VALUE"""),"474726596004")</f>
        <v>474726596004</v>
      </c>
      <c r="I3347" s="1">
        <f>IFERROR(__xludf.DUMMYFUNCTION("""COMPUTED_VALUE"""),639931485288)</f>
        <v>639931485288</v>
      </c>
      <c r="J3347" s="1"/>
      <c r="K3347" s="1"/>
      <c r="L3347" s="1" t="str">
        <f>IFERROR(__xludf.DUMMYFUNCTION("""COMPUTED_VALUE"""),"018-BL-018")</f>
        <v>018-BL-018</v>
      </c>
      <c r="M3347" s="1" t="str">
        <f>IFERROR(__xludf.DUMMYFUNCTION("""COMPUTED_VALUE"""),"SAN JOSE")</f>
        <v>SAN JOSE</v>
      </c>
      <c r="N3347" s="1" t="str">
        <f>IFERROR(__xludf.DUMMYFUNCTION("""COMPUTED_VALUE"""),"#N/A")</f>
        <v>#N/A</v>
      </c>
      <c r="O3347" s="1" t="str">
        <f>IFERROR(__xludf.DUMMYFUNCTION("""COMPUTED_VALUE"""),"SAN JOSE")</f>
        <v>SAN JOSE</v>
      </c>
      <c r="P3347" s="1" t="str">
        <f>IFERROR(__xludf.DUMMYFUNCTION("""COMPUTED_VALUE"""),"GEN MARIANO ALVAREZ")</f>
        <v>GEN MARIANO ALVAREZ</v>
      </c>
      <c r="Q3347" s="1" t="str">
        <f>IFERROR(__xludf.DUMMYFUNCTION("""COMPUTED_VALUE"""),"CAVITE")</f>
        <v>CAVITE</v>
      </c>
      <c r="R3347" s="1" t="str">
        <f>IFERROR(__xludf.DUMMYFUNCTION("""COMPUTED_VALUE"""),"FIBER UNLI PLAN 1399")</f>
        <v>FIBER UNLI PLAN 1399</v>
      </c>
      <c r="S3347" s="1" t="str">
        <f>IFERROR(__xludf.DUMMYFUNCTION("""COMPUTED_VALUE"""),"APPROVED")</f>
        <v>APPROVED</v>
      </c>
      <c r="T3347" s="1" t="str">
        <f>IFERROR(__xludf.DUMMYFUNCTION("""COMPUTED_VALUE"""),"CANCELLED")</f>
        <v>CANCELLED</v>
      </c>
      <c r="U3347" s="1" t="str">
        <f>IFERROR(__xludf.DUMMYFUNCTION("""COMPUTED_VALUE"""),"CSP CANCELLED")</f>
        <v>CSP CANCELLED</v>
      </c>
      <c r="V3347" s="1" t="str">
        <f>IFERROR(__xludf.DUMMYFUNCTION("""COMPUTED_VALUE"""),"NO 1 AMSF")</f>
        <v>NO 1 AMSF</v>
      </c>
      <c r="W3347" s="1"/>
    </row>
    <row r="3348" customHeight="1" spans="1:23">
      <c r="A3348" s="3">
        <f>IFERROR(__xludf.DUMMYFUNCTION("""COMPUTED_VALUE"""),46303)</f>
        <v>46303</v>
      </c>
      <c r="B3348" s="1" t="str">
        <f>IFERROR(__xludf.DUMMYFUNCTION("""COMPUTED_VALUE"""),"FRANCISCO , ROSELYN")</f>
        <v>FRANCISCO , ROSELYN</v>
      </c>
      <c r="C3348" s="1" t="str">
        <f>IFERROR(__xludf.DUMMYFUNCTION("""COMPUTED_VALUE"""),"ORGANIC")</f>
        <v>ORGANIC</v>
      </c>
      <c r="D3348" s="1" t="str">
        <f>IFERROR(__xludf.DUMMYFUNCTION("""COMPUTED_VALUE"""),"REMOLLO LEA")</f>
        <v>REMOLLO LEA</v>
      </c>
      <c r="E3348" s="1" t="str">
        <f>IFERROR(__xludf.DUMMYFUNCTION("""COMPUTED_VALUE"""),"PLDT / H2H")</f>
        <v>PLDT / H2H</v>
      </c>
      <c r="F3348" s="1"/>
      <c r="G3348" s="1">
        <f>IFERROR(__xludf.DUMMYFUNCTION("""COMPUTED_VALUE"""),2313038700)</f>
        <v>2313038700</v>
      </c>
      <c r="H3348" s="1" t="str">
        <f>IFERROR(__xludf.DUMMYFUNCTION("""COMPUTED_VALUE"""),"474733413004")</f>
        <v>474733413004</v>
      </c>
      <c r="I3348" s="1">
        <f>IFERROR(__xludf.DUMMYFUNCTION("""COMPUTED_VALUE"""),639544555858)</f>
        <v>639544555858</v>
      </c>
      <c r="J3348" s="1">
        <f>IFERROR(__xludf.DUMMYFUNCTION("""COMPUTED_VALUE"""),639171752568)</f>
        <v>639171752568</v>
      </c>
      <c r="K3348" s="1"/>
      <c r="L3348" s="1" t="str">
        <f>IFERROR(__xludf.DUMMYFUNCTION("""COMPUTED_VALUE"""),"C03-BL-019")</f>
        <v>C03-BL-019</v>
      </c>
      <c r="M3348" s="1" t="str">
        <f>IFERROR(__xludf.DUMMYFUNCTION("""COMPUTED_VALUE"""),"VISAYA")</f>
        <v>VISAYA</v>
      </c>
      <c r="N3348" s="1" t="str">
        <f>IFERROR(__xludf.DUMMYFUNCTION("""COMPUTED_VALUE"""),"#N/A")</f>
        <v>#N/A</v>
      </c>
      <c r="O3348" s="1" t="str">
        <f>IFERROR(__xludf.DUMMYFUNCTION("""COMPUTED_VALUE"""),"GAVINO MADERAN")</f>
        <v>GAVINO MADERAN</v>
      </c>
      <c r="P3348" s="1" t="str">
        <f>IFERROR(__xludf.DUMMYFUNCTION("""COMPUTED_VALUE"""),"GEN MARIANO ALVAREZ")</f>
        <v>GEN MARIANO ALVAREZ</v>
      </c>
      <c r="Q3348" s="1" t="str">
        <f>IFERROR(__xludf.DUMMYFUNCTION("""COMPUTED_VALUE"""),"CAVITE")</f>
        <v>CAVITE</v>
      </c>
      <c r="R3348" s="1" t="str">
        <f>IFERROR(__xludf.DUMMYFUNCTION("""COMPUTED_VALUE"""),"FIBER UNLI PLAN 1399")</f>
        <v>FIBER UNLI PLAN 1399</v>
      </c>
      <c r="S3348" s="1" t="str">
        <f>IFERROR(__xludf.DUMMYFUNCTION("""COMPUTED_VALUE"""),"APPROVED")</f>
        <v>APPROVED</v>
      </c>
      <c r="T3348" s="1" t="str">
        <f>IFERROR(__xludf.DUMMYFUNCTION("""COMPUTED_VALUE"""),"CLOSED")</f>
        <v>CLOSED</v>
      </c>
      <c r="U3348" s="1" t="str">
        <f>IFERROR(__xludf.DUMMYFUNCTION("""COMPUTED_VALUE"""),"POSTED")</f>
        <v>POSTED</v>
      </c>
      <c r="V3348" s="1" t="str">
        <f>IFERROR(__xludf.DUMMYFUNCTION("""COMPUTED_VALUE"""),"NO 1 AMSF")</f>
        <v>NO 1 AMSF</v>
      </c>
      <c r="W3348" s="1"/>
    </row>
    <row r="3349" customHeight="1" spans="1:23">
      <c r="A3349" s="3">
        <f>IFERROR(__xludf.DUMMYFUNCTION("""COMPUTED_VALUE"""),46303)</f>
        <v>46303</v>
      </c>
      <c r="B3349" s="1" t="str">
        <f>IFERROR(__xludf.DUMMYFUNCTION("""COMPUTED_VALUE"""),"ARIENA, LYKA")</f>
        <v>ARIENA, LYKA</v>
      </c>
      <c r="C3349" s="1" t="str">
        <f>IFERROR(__xludf.DUMMYFUNCTION("""COMPUTED_VALUE"""),"ORGANIC")</f>
        <v>ORGANIC</v>
      </c>
      <c r="D3349" s="1" t="str">
        <f>IFERROR(__xludf.DUMMYFUNCTION("""COMPUTED_VALUE"""),"REMOLLO LEA")</f>
        <v>REMOLLO LEA</v>
      </c>
      <c r="E3349" s="1" t="str">
        <f>IFERROR(__xludf.DUMMYFUNCTION("""COMPUTED_VALUE"""),"PLDT / H2H")</f>
        <v>PLDT / H2H</v>
      </c>
      <c r="F3349" s="1"/>
      <c r="G3349" s="1">
        <f>IFERROR(__xludf.DUMMYFUNCTION("""COMPUTED_VALUE"""),2313041647)</f>
        <v>2313041647</v>
      </c>
      <c r="H3349" s="1" t="str">
        <f>IFERROR(__xludf.DUMMYFUNCTION("""COMPUTED_VALUE"""),"474722790004")</f>
        <v>474722790004</v>
      </c>
      <c r="I3349" s="1">
        <f>IFERROR(__xludf.DUMMYFUNCTION("""COMPUTED_VALUE"""),639381766249)</f>
        <v>639381766249</v>
      </c>
      <c r="J3349" s="1"/>
      <c r="K3349" s="1"/>
      <c r="L3349" s="1" t="str">
        <f>IFERROR(__xludf.DUMMYFUNCTION("""COMPUTED_VALUE"""),"40")</f>
        <v>40</v>
      </c>
      <c r="M3349" s="1" t="str">
        <f>IFERROR(__xludf.DUMMYFUNCTION("""COMPUTED_VALUE"""),"NEW YORK")</f>
        <v>NEW YORK</v>
      </c>
      <c r="N3349" s="1" t="str">
        <f>IFERROR(__xludf.DUMMYFUNCTION("""COMPUTED_VALUE"""),"SITIO KANLURAN")</f>
        <v>SITIO KANLURAN</v>
      </c>
      <c r="O3349" s="1" t="str">
        <f>IFERROR(__xludf.DUMMYFUNCTION("""COMPUTED_VALUE"""),"TIBIG")</f>
        <v>TIBIG</v>
      </c>
      <c r="P3349" s="1" t="str">
        <f>IFERROR(__xludf.DUMMYFUNCTION("""COMPUTED_VALUE"""),"SILANG")</f>
        <v>SILANG</v>
      </c>
      <c r="Q3349" s="1" t="str">
        <f>IFERROR(__xludf.DUMMYFUNCTION("""COMPUTED_VALUE"""),"CAVITE")</f>
        <v>CAVITE</v>
      </c>
      <c r="R3349" s="1" t="str">
        <f>IFERROR(__xludf.DUMMYFUNCTION("""COMPUTED_VALUE"""),"FIBR UNLI ALL PLAN 999")</f>
        <v>FIBR UNLI ALL PLAN 999</v>
      </c>
      <c r="S3349" s="1" t="str">
        <f>IFERROR(__xludf.DUMMYFUNCTION("""COMPUTED_VALUE"""),"APPROVED")</f>
        <v>APPROVED</v>
      </c>
      <c r="T3349" s="1" t="str">
        <f>IFERROR(__xludf.DUMMYFUNCTION("""COMPUTED_VALUE"""),"RPR - SUBS CANCEL REQUEST")</f>
        <v>RPR - SUBS CANCEL REQUEST</v>
      </c>
      <c r="U3349" s="1" t="str">
        <f>IFERROR(__xludf.DUMMYFUNCTION("""COMPUTED_VALUE"""),"RPR- SUBS CANCEL REQUEST")</f>
        <v>RPR- SUBS CANCEL REQUEST</v>
      </c>
      <c r="V3349" s="1" t="str">
        <f>IFERROR(__xludf.DUMMYFUNCTION("""COMPUTED_VALUE"""),"NO 1 AMSF")</f>
        <v>NO 1 AMSF</v>
      </c>
      <c r="W3349" s="1"/>
    </row>
    <row r="3350" customHeight="1" spans="1:23">
      <c r="A3350" s="3">
        <f>IFERROR(__xludf.DUMMYFUNCTION("""COMPUTED_VALUE"""),46303)</f>
        <v>46303</v>
      </c>
      <c r="B3350" s="1" t="str">
        <f>IFERROR(__xludf.DUMMYFUNCTION("""COMPUTED_VALUE"""),"ARIENA, LYKA")</f>
        <v>ARIENA, LYKA</v>
      </c>
      <c r="C3350" s="1" t="str">
        <f>IFERROR(__xludf.DUMMYFUNCTION("""COMPUTED_VALUE"""),"ORGANIC")</f>
        <v>ORGANIC</v>
      </c>
      <c r="D3350" s="1" t="str">
        <f>IFERROR(__xludf.DUMMYFUNCTION("""COMPUTED_VALUE"""),"REMOLLO LEA")</f>
        <v>REMOLLO LEA</v>
      </c>
      <c r="E3350" s="1" t="str">
        <f>IFERROR(__xludf.DUMMYFUNCTION("""COMPUTED_VALUE"""),"PLDT / H2H")</f>
        <v>PLDT / H2H</v>
      </c>
      <c r="F3350" s="1"/>
      <c r="G3350" s="1">
        <f>IFERROR(__xludf.DUMMYFUNCTION("""COMPUTED_VALUE"""),2313041909)</f>
        <v>2313041909</v>
      </c>
      <c r="H3350" s="1"/>
      <c r="I3350" s="1">
        <f>IFERROR(__xludf.DUMMYFUNCTION("""COMPUTED_VALUE"""),639696202749)</f>
        <v>639696202749</v>
      </c>
      <c r="J3350" s="1"/>
      <c r="K3350" s="1"/>
      <c r="L3350" s="1" t="str">
        <f>IFERROR(__xludf.DUMMYFUNCTION("""COMPUTED_VALUE"""),"43")</f>
        <v>43</v>
      </c>
      <c r="M3350" s="1" t="str">
        <f>IFERROR(__xludf.DUMMYFUNCTION("""COMPUTED_VALUE"""),"SITIO KANLURAN")</f>
        <v>SITIO KANLURAN</v>
      </c>
      <c r="N3350" s="1" t="str">
        <f>IFERROR(__xludf.DUMMYFUNCTION("""COMPUTED_VALUE"""),"SITIO KANLURAN")</f>
        <v>SITIO KANLURAN</v>
      </c>
      <c r="O3350" s="1" t="str">
        <f>IFERROR(__xludf.DUMMYFUNCTION("""COMPUTED_VALUE"""),"TIBIG")</f>
        <v>TIBIG</v>
      </c>
      <c r="P3350" s="1" t="str">
        <f>IFERROR(__xludf.DUMMYFUNCTION("""COMPUTED_VALUE"""),"SILANG")</f>
        <v>SILANG</v>
      </c>
      <c r="Q3350" s="1" t="str">
        <f>IFERROR(__xludf.DUMMYFUNCTION("""COMPUTED_VALUE"""),"CAVITE")</f>
        <v>CAVITE</v>
      </c>
      <c r="R3350" s="1" t="str">
        <f>IFERROR(__xludf.DUMMYFUNCTION("""COMPUTED_VALUE"""),"FIBR UNLI ALL PLAN 999")</f>
        <v>FIBR UNLI ALL PLAN 999</v>
      </c>
      <c r="S3350" s="1" t="str">
        <f>IFERROR(__xludf.DUMMYFUNCTION("""COMPUTED_VALUE"""),"APPROVED")</f>
        <v>APPROVED</v>
      </c>
      <c r="T3350" s="1" t="str">
        <f>IFERROR(__xludf.DUMMYFUNCTION("""COMPUTED_VALUE"""),"CANCELLED")</f>
        <v>CANCELLED</v>
      </c>
      <c r="U3350" s="1" t="str">
        <f>IFERROR(__xludf.DUMMYFUNCTION("""COMPUTED_VALUE"""),"CANCELLED - WITH OB")</f>
        <v>CANCELLED - WITH OB</v>
      </c>
      <c r="V3350" s="1"/>
      <c r="W3350" s="1"/>
    </row>
    <row r="3351" customHeight="1" spans="1:23">
      <c r="A3351" s="3">
        <f>IFERROR(__xludf.DUMMYFUNCTION("""COMPUTED_VALUE"""),46303)</f>
        <v>46303</v>
      </c>
      <c r="B3351" s="1" t="str">
        <f>IFERROR(__xludf.DUMMYFUNCTION("""COMPUTED_VALUE"""),"DACLAN, IVY")</f>
        <v>DACLAN, IVY</v>
      </c>
      <c r="C3351" s="1" t="str">
        <f>IFERROR(__xludf.DUMMYFUNCTION("""COMPUTED_VALUE"""),"ORGANIC")</f>
        <v>ORGANIC</v>
      </c>
      <c r="D3351" s="1" t="str">
        <f>IFERROR(__xludf.DUMMYFUNCTION("""COMPUTED_VALUE"""),"REMOLLO LEA")</f>
        <v>REMOLLO LEA</v>
      </c>
      <c r="E3351" s="1" t="str">
        <f>IFERROR(__xludf.DUMMYFUNCTION("""COMPUTED_VALUE"""),"PLDT / H2H")</f>
        <v>PLDT / H2H</v>
      </c>
      <c r="F3351" s="1"/>
      <c r="G3351" s="1">
        <f>IFERROR(__xludf.DUMMYFUNCTION("""COMPUTED_VALUE"""),2313042213)</f>
        <v>2313042213</v>
      </c>
      <c r="H3351" s="1" t="str">
        <f>IFERROR(__xludf.DUMMYFUNCTION("""COMPUTED_VALUE"""),"474724097004")</f>
        <v>474724097004</v>
      </c>
      <c r="I3351" s="1">
        <f>IFERROR(__xludf.DUMMYFUNCTION("""COMPUTED_VALUE"""),639512208347)</f>
        <v>639512208347</v>
      </c>
      <c r="J3351" s="1"/>
      <c r="K3351" s="1"/>
      <c r="L3351" s="1" t="str">
        <f>IFERROR(__xludf.DUMMYFUNCTION("""COMPUTED_VALUE"""),"66")</f>
        <v>66</v>
      </c>
      <c r="M3351" s="1" t="str">
        <f>IFERROR(__xludf.DUMMYFUNCTION("""COMPUTED_VALUE"""),"HUMARANG")</f>
        <v>HUMARANG</v>
      </c>
      <c r="N3351" s="1" t="str">
        <f>IFERROR(__xludf.DUMMYFUNCTION("""COMPUTED_VALUE"""),"PUROK 1")</f>
        <v>PUROK 1</v>
      </c>
      <c r="O3351" s="1" t="str">
        <f>IFERROR(__xludf.DUMMYFUNCTION("""COMPUTED_VALUE"""),"LUMIL")</f>
        <v>LUMIL</v>
      </c>
      <c r="P3351" s="1" t="str">
        <f>IFERROR(__xludf.DUMMYFUNCTION("""COMPUTED_VALUE"""),"SILANG")</f>
        <v>SILANG</v>
      </c>
      <c r="Q3351" s="1" t="str">
        <f>IFERROR(__xludf.DUMMYFUNCTION("""COMPUTED_VALUE"""),"CAVITE")</f>
        <v>CAVITE</v>
      </c>
      <c r="R3351" s="1" t="str">
        <f>IFERROR(__xludf.DUMMYFUNCTION("""COMPUTED_VALUE"""),"FIBER UNLI PLAN 1399")</f>
        <v>FIBER UNLI PLAN 1399</v>
      </c>
      <c r="S3351" s="1" t="str">
        <f>IFERROR(__xludf.DUMMYFUNCTION("""COMPUTED_VALUE"""),"APPROVED")</f>
        <v>APPROVED</v>
      </c>
      <c r="T3351" s="1" t="str">
        <f>IFERROR(__xludf.DUMMYFUNCTION("""COMPUTED_VALUE"""),"CLOSED")</f>
        <v>CLOSED</v>
      </c>
      <c r="U3351" s="1" t="str">
        <f>IFERROR(__xludf.DUMMYFUNCTION("""COMPUTED_VALUE"""),"POSTED")</f>
        <v>POSTED</v>
      </c>
      <c r="V3351" s="1" t="str">
        <f>IFERROR(__xludf.DUMMYFUNCTION("""COMPUTED_VALUE"""),"NO 1 AMSF")</f>
        <v>NO 1 AMSF</v>
      </c>
      <c r="W3351" s="1"/>
    </row>
    <row r="3352" customHeight="1" spans="1:23">
      <c r="A3352" s="3">
        <f>IFERROR(__xludf.DUMMYFUNCTION("""COMPUTED_VALUE"""),46303)</f>
        <v>46303</v>
      </c>
      <c r="B3352" s="1" t="str">
        <f>IFERROR(__xludf.DUMMYFUNCTION("""COMPUTED_VALUE"""),"MORADOS, MARVIN")</f>
        <v>MORADOS, MARVIN</v>
      </c>
      <c r="C3352" s="1" t="str">
        <f>IFERROR(__xludf.DUMMYFUNCTION("""COMPUTED_VALUE"""),"ORGANIC")</f>
        <v>ORGANIC</v>
      </c>
      <c r="D3352" s="1" t="str">
        <f>IFERROR(__xludf.DUMMYFUNCTION("""COMPUTED_VALUE"""),"MICHALE GARCIA")</f>
        <v>MICHALE GARCIA</v>
      </c>
      <c r="E3352" s="1" t="str">
        <f>IFERROR(__xludf.DUMMYFUNCTION("""COMPUTED_VALUE"""),"PLDT / ONLINE")</f>
        <v>PLDT / ONLINE</v>
      </c>
      <c r="F3352" s="1"/>
      <c r="G3352" s="1">
        <f>IFERROR(__xludf.DUMMYFUNCTION("""COMPUTED_VALUE"""),2313042709)</f>
        <v>2313042709</v>
      </c>
      <c r="H3352" s="1" t="str">
        <f>IFERROR(__xludf.DUMMYFUNCTION("""COMPUTED_VALUE"""),"474727896004")</f>
        <v>474727896004</v>
      </c>
      <c r="I3352" s="1">
        <f>IFERROR(__xludf.DUMMYFUNCTION("""COMPUTED_VALUE"""),639919399869)</f>
        <v>639919399869</v>
      </c>
      <c r="J3352" s="1">
        <f>IFERROR(__xludf.DUMMYFUNCTION("""COMPUTED_VALUE"""),639913835589)</f>
        <v>639913835589</v>
      </c>
      <c r="K3352" s="1"/>
      <c r="L3352" s="1" t="str">
        <f>IFERROR(__xludf.DUMMYFUNCTION("""COMPUTED_VALUE"""),"006-BL-002")</f>
        <v>006-BL-002</v>
      </c>
      <c r="M3352" s="1" t="str">
        <f>IFERROR(__xludf.DUMMYFUNCTION("""COMPUTED_VALUE"""),"PHASE 4")</f>
        <v>PHASE 4</v>
      </c>
      <c r="N3352" s="1" t="str">
        <f>IFERROR(__xludf.DUMMYFUNCTION("""COMPUTED_VALUE"""),"CABUCO HEIGHTS")</f>
        <v>CABUCO HEIGHTS</v>
      </c>
      <c r="O3352" s="1" t="str">
        <f>IFERROR(__xludf.DUMMYFUNCTION("""COMPUTED_VALUE"""),"CABUCO")</f>
        <v>CABUCO</v>
      </c>
      <c r="P3352" s="1" t="str">
        <f>IFERROR(__xludf.DUMMYFUNCTION("""COMPUTED_VALUE"""),"TRECE MARTIRES")</f>
        <v>TRECE MARTIRES</v>
      </c>
      <c r="Q3352" s="1" t="str">
        <f>IFERROR(__xludf.DUMMYFUNCTION("""COMPUTED_VALUE"""),"CAVITE")</f>
        <v>CAVITE</v>
      </c>
      <c r="R3352" s="1" t="str">
        <f>IFERROR(__xludf.DUMMYFUNCTION("""COMPUTED_VALUE"""),"FIBER UNLI ALL PLAN 1899")</f>
        <v>FIBER UNLI ALL PLAN 1899</v>
      </c>
      <c r="S3352" s="1" t="str">
        <f>IFERROR(__xludf.DUMMYFUNCTION("""COMPUTED_VALUE"""),"APPROVED")</f>
        <v>APPROVED</v>
      </c>
      <c r="T3352" s="1" t="str">
        <f>IFERROR(__xludf.DUMMYFUNCTION("""COMPUTED_VALUE"""),"CLOSED")</f>
        <v>CLOSED</v>
      </c>
      <c r="U3352" s="1" t="str">
        <f>IFERROR(__xludf.DUMMYFUNCTION("""COMPUTED_VALUE"""),"POSTED")</f>
        <v>POSTED</v>
      </c>
      <c r="V3352" s="1" t="str">
        <f>IFERROR(__xludf.DUMMYFUNCTION("""COMPUTED_VALUE"""),"WITH 1 AMSF")</f>
        <v>WITH 1 AMSF</v>
      </c>
      <c r="W3352" s="1"/>
    </row>
    <row r="3353" customHeight="1" spans="1:23">
      <c r="A3353" s="3">
        <f>IFERROR(__xludf.DUMMYFUNCTION("""COMPUTED_VALUE"""),46303)</f>
        <v>46303</v>
      </c>
      <c r="B3353" s="1" t="str">
        <f>IFERROR(__xludf.DUMMYFUNCTION("""COMPUTED_VALUE"""),"CADERAO, RONALD")</f>
        <v>CADERAO, RONALD</v>
      </c>
      <c r="C3353" s="1" t="str">
        <f>IFERROR(__xludf.DUMMYFUNCTION("""COMPUTED_VALUE"""),"ORGANIC")</f>
        <v>ORGANIC</v>
      </c>
      <c r="D3353" s="1" t="str">
        <f>IFERROR(__xludf.DUMMYFUNCTION("""COMPUTED_VALUE"""),"REMOLLO LEA")</f>
        <v>REMOLLO LEA</v>
      </c>
      <c r="E3353" s="1" t="str">
        <f>IFERROR(__xludf.DUMMYFUNCTION("""COMPUTED_VALUE"""),"PLDT / H2H")</f>
        <v>PLDT / H2H</v>
      </c>
      <c r="F3353" s="1"/>
      <c r="G3353" s="1">
        <f>IFERROR(__xludf.DUMMYFUNCTION("""COMPUTED_VALUE"""),2313044098)</f>
        <v>2313044098</v>
      </c>
      <c r="H3353" s="1" t="str">
        <f>IFERROR(__xludf.DUMMYFUNCTION("""COMPUTED_VALUE"""),"474726595004")</f>
        <v>474726595004</v>
      </c>
      <c r="I3353" s="1">
        <f>IFERROR(__xludf.DUMMYFUNCTION("""COMPUTED_VALUE"""),639303523916)</f>
        <v>639303523916</v>
      </c>
      <c r="J3353" s="1"/>
      <c r="K3353" s="1"/>
      <c r="L3353" s="1" t="str">
        <f>IFERROR(__xludf.DUMMYFUNCTION("""COMPUTED_VALUE"""),"294")</f>
        <v>294</v>
      </c>
      <c r="M3353" s="1" t="str">
        <f>IFERROR(__xludf.DUMMYFUNCTION("""COMPUTED_VALUE"""),"KULIPAY")</f>
        <v>KULIPAY</v>
      </c>
      <c r="N3353" s="1" t="str">
        <f>IFERROR(__xludf.DUMMYFUNCTION("""COMPUTED_VALUE"""),"#N/A")</f>
        <v>#N/A</v>
      </c>
      <c r="O3353" s="1" t="str">
        <f>IFERROR(__xludf.DUMMYFUNCTION("""COMPUTED_VALUE"""),"MATAGBAK I")</f>
        <v>MATAGBAK I</v>
      </c>
      <c r="P3353" s="1" t="str">
        <f>IFERROR(__xludf.DUMMYFUNCTION("""COMPUTED_VALUE"""),"ALFONSO")</f>
        <v>ALFONSO</v>
      </c>
      <c r="Q3353" s="1" t="str">
        <f>IFERROR(__xludf.DUMMYFUNCTION("""COMPUTED_VALUE"""),"CAVITE")</f>
        <v>CAVITE</v>
      </c>
      <c r="R3353" s="1" t="str">
        <f>IFERROR(__xludf.DUMMYFUNCTION("""COMPUTED_VALUE"""),"FIBER UNLI PLAN 1399")</f>
        <v>FIBER UNLI PLAN 1399</v>
      </c>
      <c r="S3353" s="1" t="str">
        <f>IFERROR(__xludf.DUMMYFUNCTION("""COMPUTED_VALUE"""),"APPROVED")</f>
        <v>APPROVED</v>
      </c>
      <c r="T3353" s="1" t="str">
        <f>IFERROR(__xludf.DUMMYFUNCTION("""COMPUTED_VALUE"""),"CLOSED")</f>
        <v>CLOSED</v>
      </c>
      <c r="U3353" s="1" t="str">
        <f>IFERROR(__xludf.DUMMYFUNCTION("""COMPUTED_VALUE"""),"POSTED")</f>
        <v>POSTED</v>
      </c>
      <c r="V3353" s="1" t="str">
        <f>IFERROR(__xludf.DUMMYFUNCTION("""COMPUTED_VALUE"""),"WITH 1 AMSF")</f>
        <v>WITH 1 AMSF</v>
      </c>
      <c r="W3353" s="1"/>
    </row>
    <row r="3354" customHeight="1" spans="1:23">
      <c r="A3354" s="3">
        <f>IFERROR(__xludf.DUMMYFUNCTION("""COMPUTED_VALUE"""),46303)</f>
        <v>46303</v>
      </c>
      <c r="B3354" s="1" t="str">
        <f>IFERROR(__xludf.DUMMYFUNCTION("""COMPUTED_VALUE"""),"ALINGARO, CINDY")</f>
        <v>ALINGARO, CINDY</v>
      </c>
      <c r="C3354" s="1" t="str">
        <f>IFERROR(__xludf.DUMMYFUNCTION("""COMPUTED_VALUE"""),"ORGANIC")</f>
        <v>ORGANIC</v>
      </c>
      <c r="D3354" s="1" t="str">
        <f>IFERROR(__xludf.DUMMYFUNCTION("""COMPUTED_VALUE"""),"REMOLLO LEA")</f>
        <v>REMOLLO LEA</v>
      </c>
      <c r="E3354" s="1" t="str">
        <f>IFERROR(__xludf.DUMMYFUNCTION("""COMPUTED_VALUE"""),"PLDT / H2H")</f>
        <v>PLDT / H2H</v>
      </c>
      <c r="F3354" s="1"/>
      <c r="G3354" s="1">
        <f>IFERROR(__xludf.DUMMYFUNCTION("""COMPUTED_VALUE"""),2313067131)</f>
        <v>2313067131</v>
      </c>
      <c r="H3354" s="1" t="str">
        <f>IFERROR(__xludf.DUMMYFUNCTION("""COMPUTED_VALUE"""),"474994377004")</f>
        <v>474994377004</v>
      </c>
      <c r="I3354" s="1">
        <f>IFERROR(__xludf.DUMMYFUNCTION("""COMPUTED_VALUE"""),639637220507)</f>
        <v>639637220507</v>
      </c>
      <c r="J3354" s="1"/>
      <c r="K3354" s="1"/>
      <c r="L3354" s="1" t="str">
        <f>IFERROR(__xludf.DUMMYFUNCTION("""COMPUTED_VALUE"""),"78")</f>
        <v>78</v>
      </c>
      <c r="M3354" s="1" t="str">
        <f>IFERROR(__xludf.DUMMYFUNCTION("""COMPUTED_VALUE"""),"SITIO KULIPAY")</f>
        <v>SITIO KULIPAY</v>
      </c>
      <c r="N3354" s="1" t="str">
        <f>IFERROR(__xludf.DUMMYFUNCTION("""COMPUTED_VALUE"""),"PUROK 5")</f>
        <v>PUROK 5</v>
      </c>
      <c r="O3354" s="1" t="str">
        <f>IFERROR(__xludf.DUMMYFUNCTION("""COMPUTED_VALUE"""),"MATAGBAK I")</f>
        <v>MATAGBAK I</v>
      </c>
      <c r="P3354" s="1" t="str">
        <f>IFERROR(__xludf.DUMMYFUNCTION("""COMPUTED_VALUE"""),"ALFONSO")</f>
        <v>ALFONSO</v>
      </c>
      <c r="Q3354" s="1" t="str">
        <f>IFERROR(__xludf.DUMMYFUNCTION("""COMPUTED_VALUE"""),"CAVITE")</f>
        <v>CAVITE</v>
      </c>
      <c r="R3354" s="1" t="str">
        <f>IFERROR(__xludf.DUMMYFUNCTION("""COMPUTED_VALUE"""),"FIBER UNLI PLAN 1399")</f>
        <v>FIBER UNLI PLAN 1399</v>
      </c>
      <c r="S3354" s="1" t="str">
        <f>IFERROR(__xludf.DUMMYFUNCTION("""COMPUTED_VALUE"""),"APPROVED")</f>
        <v>APPROVED</v>
      </c>
      <c r="T3354" s="1" t="str">
        <f>IFERROR(__xludf.DUMMYFUNCTION("""COMPUTED_VALUE"""),"AFD")</f>
        <v>AFD</v>
      </c>
      <c r="U3354" s="1" t="str">
        <f>IFERROR(__xludf.DUMMYFUNCTION("""COMPUTED_VALUE"""),"AFD - RESCHEDULE")</f>
        <v>AFD - RESCHEDULE</v>
      </c>
      <c r="V3354" s="1" t="str">
        <f>IFERROR(__xludf.DUMMYFUNCTION("""COMPUTED_VALUE"""),"NO 1 AMSF")</f>
        <v>NO 1 AMSF</v>
      </c>
      <c r="W3354" s="1"/>
    </row>
    <row r="3355" customHeight="1" spans="1:23">
      <c r="A3355" s="3">
        <f>IFERROR(__xludf.DUMMYFUNCTION("""COMPUTED_VALUE"""),46303)</f>
        <v>46303</v>
      </c>
      <c r="B3355" s="1" t="str">
        <f>IFERROR(__xludf.DUMMYFUNCTION("""COMPUTED_VALUE"""),"MAGDARAOG, KENNETH")</f>
        <v>MAGDARAOG, KENNETH</v>
      </c>
      <c r="C3355" s="1" t="str">
        <f>IFERROR(__xludf.DUMMYFUNCTION("""COMPUTED_VALUE"""),"ORGANIC")</f>
        <v>ORGANIC</v>
      </c>
      <c r="D3355" s="1" t="str">
        <f>IFERROR(__xludf.DUMMYFUNCTION("""COMPUTED_VALUE"""),"REMOLLO LEA")</f>
        <v>REMOLLO LEA</v>
      </c>
      <c r="E3355" s="1" t="str">
        <f>IFERROR(__xludf.DUMMYFUNCTION("""COMPUTED_VALUE"""),"PLDT / H2H")</f>
        <v>PLDT / H2H</v>
      </c>
      <c r="F3355" s="1"/>
      <c r="G3355" s="1">
        <f>IFERROR(__xludf.DUMMYFUNCTION("""COMPUTED_VALUE"""),2313044826)</f>
        <v>2313044826</v>
      </c>
      <c r="H3355" s="1" t="str">
        <f>IFERROR(__xludf.DUMMYFUNCTION("""COMPUTED_VALUE"""),"474727385004")</f>
        <v>474727385004</v>
      </c>
      <c r="I3355" s="1">
        <f>IFERROR(__xludf.DUMMYFUNCTION("""COMPUTED_VALUE"""),639364530344)</f>
        <v>639364530344</v>
      </c>
      <c r="J3355" s="1">
        <f>IFERROR(__xludf.DUMMYFUNCTION("""COMPUTED_VALUE"""),639165631103)</f>
        <v>639165631103</v>
      </c>
      <c r="K3355" s="1"/>
      <c r="L3355" s="1" t="str">
        <f>IFERROR(__xludf.DUMMYFUNCTION("""COMPUTED_VALUE"""),"69")</f>
        <v>69</v>
      </c>
      <c r="M3355" s="1" t="str">
        <f>IFERROR(__xludf.DUMMYFUNCTION("""COMPUTED_VALUE"""),"PUROK 3")</f>
        <v>PUROK 3</v>
      </c>
      <c r="N3355" s="1"/>
      <c r="O3355" s="1" t="str">
        <f>IFERROR(__xludf.DUMMYFUNCTION("""COMPUTED_VALUE"""),"MATAGBAK II")</f>
        <v>MATAGBAK II</v>
      </c>
      <c r="P3355" s="1" t="str">
        <f>IFERROR(__xludf.DUMMYFUNCTION("""COMPUTED_VALUE"""),"ALFONSO")</f>
        <v>ALFONSO</v>
      </c>
      <c r="Q3355" s="1" t="str">
        <f>IFERROR(__xludf.DUMMYFUNCTION("""COMPUTED_VALUE"""),"CAVITE")</f>
        <v>CAVITE</v>
      </c>
      <c r="R3355" s="1" t="str">
        <f>IFERROR(__xludf.DUMMYFUNCTION("""COMPUTED_VALUE"""),"FIBER UNLI PLAN 1399")</f>
        <v>FIBER UNLI PLAN 1399</v>
      </c>
      <c r="S3355" s="1" t="str">
        <f>IFERROR(__xludf.DUMMYFUNCTION("""COMPUTED_VALUE"""),"APPROVED")</f>
        <v>APPROVED</v>
      </c>
      <c r="T3355" s="1" t="str">
        <f>IFERROR(__xludf.DUMMYFUNCTION("""COMPUTED_VALUE"""),"FOR PAYMENT")</f>
        <v>FOR PAYMENT</v>
      </c>
      <c r="U3355" s="1" t="str">
        <f>IFERROR(__xludf.DUMMYFUNCTION("""COMPUTED_VALUE"""),"FOR PAYMENT")</f>
        <v>FOR PAYMENT</v>
      </c>
      <c r="V3355" s="1"/>
      <c r="W3355" s="1"/>
    </row>
    <row r="3356" customHeight="1" spans="1:23">
      <c r="A3356" s="3">
        <f>IFERROR(__xludf.DUMMYFUNCTION("""COMPUTED_VALUE"""),46303)</f>
        <v>46303</v>
      </c>
      <c r="B3356" s="1" t="str">
        <f>IFERROR(__xludf.DUMMYFUNCTION("""COMPUTED_VALUE"""),"FRANCISCO , ROSELYN")</f>
        <v>FRANCISCO , ROSELYN</v>
      </c>
      <c r="C3356" s="1" t="str">
        <f>IFERROR(__xludf.DUMMYFUNCTION("""COMPUTED_VALUE"""),"ORGANIC")</f>
        <v>ORGANIC</v>
      </c>
      <c r="D3356" s="1" t="str">
        <f>IFERROR(__xludf.DUMMYFUNCTION("""COMPUTED_VALUE"""),"REMOLLO LEA")</f>
        <v>REMOLLO LEA</v>
      </c>
      <c r="E3356" s="1" t="str">
        <f>IFERROR(__xludf.DUMMYFUNCTION("""COMPUTED_VALUE"""),"PLDT / H2H")</f>
        <v>PLDT / H2H</v>
      </c>
      <c r="F3356" s="1"/>
      <c r="G3356" s="1">
        <f>IFERROR(__xludf.DUMMYFUNCTION("""COMPUTED_VALUE"""),2313045682)</f>
        <v>2313045682</v>
      </c>
      <c r="H3356" s="1" t="str">
        <f>IFERROR(__xludf.DUMMYFUNCTION("""COMPUTED_VALUE"""),"#N/A")</f>
        <v>#N/A</v>
      </c>
      <c r="I3356" s="1">
        <f>IFERROR(__xludf.DUMMYFUNCTION("""COMPUTED_VALUE"""),639511618715)</f>
        <v>639511618715</v>
      </c>
      <c r="J3356" s="1">
        <f>IFERROR(__xludf.DUMMYFUNCTION("""COMPUTED_VALUE"""),639652609940)</f>
        <v>639652609940</v>
      </c>
      <c r="K3356" s="1"/>
      <c r="L3356" s="1" t="str">
        <f>IFERROR(__xludf.DUMMYFUNCTION("""COMPUTED_VALUE"""),"307")</f>
        <v>307</v>
      </c>
      <c r="M3356" s="1" t="str">
        <f>IFERROR(__xludf.DUMMYFUNCTION("""COMPUTED_VALUE"""),"PHASE 3")</f>
        <v>PHASE 3</v>
      </c>
      <c r="N3356" s="1" t="str">
        <f>IFERROR(__xludf.DUMMYFUNCTION("""COMPUTED_VALUE"""),"PATINDIG ARAW")</f>
        <v>PATINDIG ARAW</v>
      </c>
      <c r="O3356" s="1" t="str">
        <f>IFERROR(__xludf.DUMMYFUNCTION("""COMPUTED_VALUE"""),"MILAGROSA")</f>
        <v>MILAGROSA</v>
      </c>
      <c r="P3356" s="1" t="str">
        <f>IFERROR(__xludf.DUMMYFUNCTION("""COMPUTED_VALUE"""),"CARMONA")</f>
        <v>CARMONA</v>
      </c>
      <c r="Q3356" s="1" t="str">
        <f>IFERROR(__xludf.DUMMYFUNCTION("""COMPUTED_VALUE"""),"CAVITE")</f>
        <v>CAVITE</v>
      </c>
      <c r="R3356" s="1" t="str">
        <f>IFERROR(__xludf.DUMMYFUNCTION("""COMPUTED_VALUE"""),"FIBR UNLI ALL PLAN 999")</f>
        <v>FIBR UNLI ALL PLAN 999</v>
      </c>
      <c r="S3356" s="1" t="str">
        <f>IFERROR(__xludf.DUMMYFUNCTION("""COMPUTED_VALUE"""),"APPROVED")</f>
        <v>APPROVED</v>
      </c>
      <c r="T3356" s="1" t="str">
        <f>IFERROR(__xludf.DUMMYFUNCTION("""COMPUTED_VALUE"""),"BLACKLISTED CVA DISAPPROVED")</f>
        <v>BLACKLISTED CVA DISAPPROVED</v>
      </c>
      <c r="U3356" s="1" t="str">
        <f>IFERROR(__xludf.DUMMYFUNCTION("""COMPUTED_VALUE"""),"DISAPPROVED - WITH OB")</f>
        <v>DISAPPROVED - WITH OB</v>
      </c>
      <c r="V3356" s="1"/>
      <c r="W3356" s="1"/>
    </row>
    <row r="3357" customHeight="1" spans="1:23">
      <c r="A3357" s="3">
        <f>IFERROR(__xludf.DUMMYFUNCTION("""COMPUTED_VALUE"""),46303)</f>
        <v>46303</v>
      </c>
      <c r="B3357" s="1" t="str">
        <f>IFERROR(__xludf.DUMMYFUNCTION("""COMPUTED_VALUE"""),"FRANCISCO , ROSELYN")</f>
        <v>FRANCISCO , ROSELYN</v>
      </c>
      <c r="C3357" s="1" t="str">
        <f>IFERROR(__xludf.DUMMYFUNCTION("""COMPUTED_VALUE"""),"ORGANIC")</f>
        <v>ORGANIC</v>
      </c>
      <c r="D3357" s="1" t="str">
        <f>IFERROR(__xludf.DUMMYFUNCTION("""COMPUTED_VALUE"""),"REMOLLO LEA")</f>
        <v>REMOLLO LEA</v>
      </c>
      <c r="E3357" s="1" t="str">
        <f>IFERROR(__xludf.DUMMYFUNCTION("""COMPUTED_VALUE"""),"PLDT / H2H")</f>
        <v>PLDT / H2H</v>
      </c>
      <c r="F3357" s="1"/>
      <c r="G3357" s="1">
        <f>IFERROR(__xludf.DUMMYFUNCTION("""COMPUTED_VALUE"""),2313046323)</f>
        <v>2313046323</v>
      </c>
      <c r="H3357" s="1" t="str">
        <f>IFERROR(__xludf.DUMMYFUNCTION("""COMPUTED_VALUE"""),"474760681004")</f>
        <v>474760681004</v>
      </c>
      <c r="I3357" s="1">
        <f>IFERROR(__xludf.DUMMYFUNCTION("""COMPUTED_VALUE"""),639056549162)</f>
        <v>639056549162</v>
      </c>
      <c r="J3357" s="1"/>
      <c r="K3357" s="1"/>
      <c r="L3357" s="1" t="str">
        <f>IFERROR(__xludf.DUMMYFUNCTION("""COMPUTED_VALUE"""),"123")</f>
        <v>123</v>
      </c>
      <c r="M3357" s="1" t="str">
        <f>IFERROR(__xludf.DUMMYFUNCTION("""COMPUTED_VALUE"""),"SITIO KANLURAN")</f>
        <v>SITIO KANLURAN</v>
      </c>
      <c r="N3357" s="1" t="str">
        <f>IFERROR(__xludf.DUMMYFUNCTION("""COMPUTED_VALUE"""),"#N/A")</f>
        <v>#N/A</v>
      </c>
      <c r="O3357" s="1" t="str">
        <f>IFERROR(__xludf.DUMMYFUNCTION("""COMPUTED_VALUE"""),"TIBIG")</f>
        <v>TIBIG</v>
      </c>
      <c r="P3357" s="1" t="str">
        <f>IFERROR(__xludf.DUMMYFUNCTION("""COMPUTED_VALUE"""),"SILANG")</f>
        <v>SILANG</v>
      </c>
      <c r="Q3357" s="1" t="str">
        <f>IFERROR(__xludf.DUMMYFUNCTION("""COMPUTED_VALUE"""),"CAVITE")</f>
        <v>CAVITE</v>
      </c>
      <c r="R3357" s="1" t="str">
        <f>IFERROR(__xludf.DUMMYFUNCTION("""COMPUTED_VALUE"""),"FIBER UNLI ALL PLAN 1499")</f>
        <v>FIBER UNLI ALL PLAN 1499</v>
      </c>
      <c r="S3357" s="1" t="str">
        <f>IFERROR(__xludf.DUMMYFUNCTION("""COMPUTED_VALUE"""),"APPROVED")</f>
        <v>APPROVED</v>
      </c>
      <c r="T3357" s="1" t="str">
        <f>IFERROR(__xludf.DUMMYFUNCTION("""COMPUTED_VALUE"""),"CLOSED")</f>
        <v>CLOSED</v>
      </c>
      <c r="U3357" s="1" t="str">
        <f>IFERROR(__xludf.DUMMYFUNCTION("""COMPUTED_VALUE"""),"POSTED")</f>
        <v>POSTED</v>
      </c>
      <c r="V3357" s="1" t="str">
        <f>IFERROR(__xludf.DUMMYFUNCTION("""COMPUTED_VALUE"""),"WITH 1 AMSF")</f>
        <v>WITH 1 AMSF</v>
      </c>
      <c r="W3357" s="1"/>
    </row>
    <row r="3358" customHeight="1" spans="1:23">
      <c r="A3358" s="3">
        <f>IFERROR(__xludf.DUMMYFUNCTION("""COMPUTED_VALUE"""),46303)</f>
        <v>46303</v>
      </c>
      <c r="B3358" s="1" t="str">
        <f>IFERROR(__xludf.DUMMYFUNCTION("""COMPUTED_VALUE"""),"LABONG, AJAY")</f>
        <v>LABONG, AJAY</v>
      </c>
      <c r="C3358" s="1" t="str">
        <f>IFERROR(__xludf.DUMMYFUNCTION("""COMPUTED_VALUE"""),"ORGANIC")</f>
        <v>ORGANIC</v>
      </c>
      <c r="D3358" s="1" t="str">
        <f>IFERROR(__xludf.DUMMYFUNCTION("""COMPUTED_VALUE"""),"REMOLLO LEA")</f>
        <v>REMOLLO LEA</v>
      </c>
      <c r="E3358" s="1" t="str">
        <f>IFERROR(__xludf.DUMMYFUNCTION("""COMPUTED_VALUE"""),"PLDT / H2H")</f>
        <v>PLDT / H2H</v>
      </c>
      <c r="F3358" s="1"/>
      <c r="G3358" s="1">
        <f>IFERROR(__xludf.DUMMYFUNCTION("""COMPUTED_VALUE"""),2313050130)</f>
        <v>2313050130</v>
      </c>
      <c r="H3358" s="1" t="str">
        <f>IFERROR(__xludf.DUMMYFUNCTION("""COMPUTED_VALUE"""),"474894189004")</f>
        <v>474894189004</v>
      </c>
      <c r="I3358" s="1">
        <f>IFERROR(__xludf.DUMMYFUNCTION("""COMPUTED_VALUE"""),639853693875)</f>
        <v>639853693875</v>
      </c>
      <c r="J3358" s="1"/>
      <c r="K3358" s="1"/>
      <c r="L3358" s="1" t="str">
        <f>IFERROR(__xludf.DUMMYFUNCTION("""COMPUTED_VALUE"""),"UNIT B3")</f>
        <v>UNIT B3</v>
      </c>
      <c r="M3358" s="1" t="str">
        <f>IFERROR(__xludf.DUMMYFUNCTION("""COMPUTED_VALUE"""),"SAN ISIDRO")</f>
        <v>SAN ISIDRO</v>
      </c>
      <c r="N3358" s="1" t="str">
        <f>IFERROR(__xludf.DUMMYFUNCTION("""COMPUTED_VALUE"""),"#N/A")</f>
        <v>#N/A</v>
      </c>
      <c r="O3358" s="1" t="str">
        <f>IFERROR(__xludf.DUMMYFUNCTION("""COMPUTED_VALUE"""),"SAN GABRIEL (AREA K)")</f>
        <v>SAN GABRIEL (AREA K)</v>
      </c>
      <c r="P3358" s="1" t="str">
        <f>IFERROR(__xludf.DUMMYFUNCTION("""COMPUTED_VALUE"""),"GEN MARIANO ALVAREZ")</f>
        <v>GEN MARIANO ALVAREZ</v>
      </c>
      <c r="Q3358" s="1" t="str">
        <f>IFERROR(__xludf.DUMMYFUNCTION("""COMPUTED_VALUE"""),"CAVITE")</f>
        <v>CAVITE</v>
      </c>
      <c r="R3358" s="1" t="str">
        <f>IFERROR(__xludf.DUMMYFUNCTION("""COMPUTED_VALUE"""),"FIBER UNLI PLAN 1399")</f>
        <v>FIBER UNLI PLAN 1399</v>
      </c>
      <c r="S3358" s="1" t="str">
        <f>IFERROR(__xludf.DUMMYFUNCTION("""COMPUTED_VALUE"""),"APPROVED")</f>
        <v>APPROVED</v>
      </c>
      <c r="T3358" s="1" t="str">
        <f>IFERROR(__xludf.DUMMYFUNCTION("""COMPUTED_VALUE"""),"FOR PAYMENT")</f>
        <v>FOR PAYMENT</v>
      </c>
      <c r="U3358" s="1" t="str">
        <f>IFERROR(__xludf.DUMMYFUNCTION("""COMPUTED_VALUE"""),"FOR PAYMENT")</f>
        <v>FOR PAYMENT</v>
      </c>
      <c r="V3358" s="1"/>
      <c r="W3358" s="1"/>
    </row>
    <row r="3359" customHeight="1" spans="1:23">
      <c r="A3359" s="3">
        <f>IFERROR(__xludf.DUMMYFUNCTION("""COMPUTED_VALUE"""),46304)</f>
        <v>46304</v>
      </c>
      <c r="B3359" s="1" t="str">
        <f>IFERROR(__xludf.DUMMYFUNCTION("""COMPUTED_VALUE"""),"GABAY, MANUEL")</f>
        <v>GABAY, MANUEL</v>
      </c>
      <c r="C3359" s="1" t="str">
        <f>IFERROR(__xludf.DUMMYFUNCTION("""COMPUTED_VALUE"""),"FLA")</f>
        <v>FLA</v>
      </c>
      <c r="D3359" s="1" t="str">
        <f>IFERROR(__xludf.DUMMYFUNCTION("""COMPUTED_VALUE"""),"JERIC NAVARRO")</f>
        <v>JERIC NAVARRO</v>
      </c>
      <c r="E3359" s="1" t="str">
        <f>IFERROR(__xludf.DUMMYFUNCTION("""COMPUTED_VALUE"""),"PLDT / H2H")</f>
        <v>PLDT / H2H</v>
      </c>
      <c r="F3359" s="1"/>
      <c r="G3359" s="1">
        <f>IFERROR(__xludf.DUMMYFUNCTION("""COMPUTED_VALUE"""),2313059394)</f>
        <v>2313059394</v>
      </c>
      <c r="H3359" s="1" t="str">
        <f>IFERROR(__xludf.DUMMYFUNCTION("""COMPUTED_VALUE"""),"474875363004")</f>
        <v>474875363004</v>
      </c>
      <c r="I3359" s="1">
        <f>IFERROR(__xludf.DUMMYFUNCTION("""COMPUTED_VALUE"""),639484262579)</f>
        <v>639484262579</v>
      </c>
      <c r="J3359" s="1"/>
      <c r="K3359" s="1"/>
      <c r="L3359" s="1" t="str">
        <f>IFERROR(__xludf.DUMMYFUNCTION("""COMPUTED_VALUE"""),"458")</f>
        <v>458</v>
      </c>
      <c r="M3359" s="1" t="str">
        <f>IFERROR(__xludf.DUMMYFUNCTION("""COMPUTED_VALUE"""),"PINK")</f>
        <v>PINK</v>
      </c>
      <c r="N3359" s="1" t="str">
        <f>IFERROR(__xludf.DUMMYFUNCTION("""COMPUTED_VALUE"""),"#N/A")</f>
        <v>#N/A</v>
      </c>
      <c r="O3359" s="1" t="str">
        <f>IFERROR(__xludf.DUMMYFUNCTION("""COMPUTED_VALUE"""),"NICOLASA VIRATA (SAN JOSE)")</f>
        <v>NICOLASA VIRATA (SAN JOSE)</v>
      </c>
      <c r="P3359" s="1" t="str">
        <f>IFERROR(__xludf.DUMMYFUNCTION("""COMPUTED_VALUE"""),"GEN MARIANO ALVAREZ")</f>
        <v>GEN MARIANO ALVAREZ</v>
      </c>
      <c r="Q3359" s="1" t="str">
        <f>IFERROR(__xludf.DUMMYFUNCTION("""COMPUTED_VALUE"""),"CAVITE")</f>
        <v>CAVITE</v>
      </c>
      <c r="R3359" s="1" t="str">
        <f>IFERROR(__xludf.DUMMYFUNCTION("""COMPUTED_VALUE"""),"FIBER UNLI ALL PLAN 1499")</f>
        <v>FIBER UNLI ALL PLAN 1499</v>
      </c>
      <c r="S3359" s="1" t="str">
        <f>IFERROR(__xludf.DUMMYFUNCTION("""COMPUTED_VALUE"""),"APPROVED")</f>
        <v>APPROVED</v>
      </c>
      <c r="T3359" s="1" t="str">
        <f>IFERROR(__xludf.DUMMYFUNCTION("""COMPUTED_VALUE"""),"RPR")</f>
        <v>RPR</v>
      </c>
      <c r="U3359" s="1" t="str">
        <f>IFERROR(__xludf.DUMMYFUNCTION("""COMPUTED_VALUE"""),"RPR - SUBS CANCEL REQUEST")</f>
        <v>RPR - SUBS CANCEL REQUEST</v>
      </c>
      <c r="V3359" s="1" t="str">
        <f>IFERROR(__xludf.DUMMYFUNCTION("""COMPUTED_VALUE"""),"NO 1 AMSF")</f>
        <v>NO 1 AMSF</v>
      </c>
      <c r="W3359" s="1"/>
    </row>
    <row r="3360" customHeight="1" spans="1:23">
      <c r="A3360" s="3">
        <f>IFERROR(__xludf.DUMMYFUNCTION("""COMPUTED_VALUE"""),46304)</f>
        <v>46304</v>
      </c>
      <c r="B3360" s="1" t="str">
        <f>IFERROR(__xludf.DUMMYFUNCTION("""COMPUTED_VALUE"""),"CORNELIO, CATHERINE")</f>
        <v>CORNELIO, CATHERINE</v>
      </c>
      <c r="C3360" s="1" t="str">
        <f>IFERROR(__xludf.DUMMYFUNCTION("""COMPUTED_VALUE"""),"ORGANIC")</f>
        <v>ORGANIC</v>
      </c>
      <c r="D3360" s="1" t="str">
        <f>IFERROR(__xludf.DUMMYFUNCTION("""COMPUTED_VALUE"""),"REMOLLO LEA")</f>
        <v>REMOLLO LEA</v>
      </c>
      <c r="E3360" s="1" t="str">
        <f>IFERROR(__xludf.DUMMYFUNCTION("""COMPUTED_VALUE"""),"PLDT / H2H")</f>
        <v>PLDT / H2H</v>
      </c>
      <c r="F3360" s="1"/>
      <c r="G3360" s="1">
        <f>IFERROR(__xludf.DUMMYFUNCTION("""COMPUTED_VALUE"""),2313060474)</f>
        <v>2313060474</v>
      </c>
      <c r="H3360" s="1" t="str">
        <f>IFERROR(__xludf.DUMMYFUNCTION("""COMPUTED_VALUE"""),"474877958004")</f>
        <v>474877958004</v>
      </c>
      <c r="I3360" s="1">
        <f>IFERROR(__xludf.DUMMYFUNCTION("""COMPUTED_VALUE"""),639702198275)</f>
        <v>639702198275</v>
      </c>
      <c r="J3360" s="1">
        <f>IFERROR(__xludf.DUMMYFUNCTION("""COMPUTED_VALUE"""),639262765442)</f>
        <v>639262765442</v>
      </c>
      <c r="K3360" s="1"/>
      <c r="L3360" s="1" t="str">
        <f>IFERROR(__xludf.DUMMYFUNCTION("""COMPUTED_VALUE"""),"108")</f>
        <v>108</v>
      </c>
      <c r="M3360" s="1" t="str">
        <f>IFERROR(__xludf.DUMMYFUNCTION("""COMPUTED_VALUE"""),"MALABAG-TOLEDO")</f>
        <v>MALABAG-TOLEDO</v>
      </c>
      <c r="N3360" s="1" t="str">
        <f>IFERROR(__xludf.DUMMYFUNCTION("""COMPUTED_VALUE"""),"#N/A")</f>
        <v>#N/A</v>
      </c>
      <c r="O3360" s="1" t="str">
        <f>IFERROR(__xludf.DUMMYFUNCTION("""COMPUTED_VALUE"""),"TOLEDO")</f>
        <v>TOLEDO</v>
      </c>
      <c r="P3360" s="1" t="str">
        <f>IFERROR(__xludf.DUMMYFUNCTION("""COMPUTED_VALUE"""),"SILANG")</f>
        <v>SILANG</v>
      </c>
      <c r="Q3360" s="1" t="str">
        <f>IFERROR(__xludf.DUMMYFUNCTION("""COMPUTED_VALUE"""),"CAVITE")</f>
        <v>CAVITE</v>
      </c>
      <c r="R3360" s="1" t="str">
        <f>IFERROR(__xludf.DUMMYFUNCTION("""COMPUTED_VALUE"""),"FIBER UNLI ALL PLAN 1499")</f>
        <v>FIBER UNLI ALL PLAN 1499</v>
      </c>
      <c r="S3360" s="1" t="str">
        <f>IFERROR(__xludf.DUMMYFUNCTION("""COMPUTED_VALUE"""),"APPROVED")</f>
        <v>APPROVED</v>
      </c>
      <c r="T3360" s="1" t="str">
        <f>IFERROR(__xludf.DUMMYFUNCTION("""COMPUTED_VALUE"""),"CLOSED")</f>
        <v>CLOSED</v>
      </c>
      <c r="U3360" s="1" t="str">
        <f>IFERROR(__xludf.DUMMYFUNCTION("""COMPUTED_VALUE"""),"POSTED")</f>
        <v>POSTED</v>
      </c>
      <c r="V3360" s="1" t="str">
        <f>IFERROR(__xludf.DUMMYFUNCTION("""COMPUTED_VALUE"""),"NO 1 AMSF")</f>
        <v>NO 1 AMSF</v>
      </c>
      <c r="W3360" s="1"/>
    </row>
    <row r="3361" customHeight="1" spans="1:23">
      <c r="A3361" s="3">
        <f>IFERROR(__xludf.DUMMYFUNCTION("""COMPUTED_VALUE"""),46304)</f>
        <v>46304</v>
      </c>
      <c r="B3361" s="1" t="str">
        <f>IFERROR(__xludf.DUMMYFUNCTION("""COMPUTED_VALUE"""),"CADERAO, RONALD")</f>
        <v>CADERAO, RONALD</v>
      </c>
      <c r="C3361" s="1" t="str">
        <f>IFERROR(__xludf.DUMMYFUNCTION("""COMPUTED_VALUE"""),"ORGANIC")</f>
        <v>ORGANIC</v>
      </c>
      <c r="D3361" s="1" t="str">
        <f>IFERROR(__xludf.DUMMYFUNCTION("""COMPUTED_VALUE"""),"REMOLLO LEA")</f>
        <v>REMOLLO LEA</v>
      </c>
      <c r="E3361" s="1" t="str">
        <f>IFERROR(__xludf.DUMMYFUNCTION("""COMPUTED_VALUE"""),"PLDT / H2H")</f>
        <v>PLDT / H2H</v>
      </c>
      <c r="F3361" s="1"/>
      <c r="G3361" s="1">
        <f>IFERROR(__xludf.DUMMYFUNCTION("""COMPUTED_VALUE"""),2313060937)</f>
        <v>2313060937</v>
      </c>
      <c r="H3361" s="1" t="str">
        <f>IFERROR(__xludf.DUMMYFUNCTION("""COMPUTED_VALUE"""),"474881173004")</f>
        <v>474881173004</v>
      </c>
      <c r="I3361" s="1">
        <f>IFERROR(__xludf.DUMMYFUNCTION("""COMPUTED_VALUE"""),639620686405)</f>
        <v>639620686405</v>
      </c>
      <c r="J3361" s="1">
        <f>IFERROR(__xludf.DUMMYFUNCTION("""COMPUTED_VALUE"""),639920587747)</f>
        <v>639920587747</v>
      </c>
      <c r="K3361" s="1"/>
      <c r="L3361" s="1" t="str">
        <f>IFERROR(__xludf.DUMMYFUNCTION("""COMPUTED_VALUE"""),"21")</f>
        <v>21</v>
      </c>
      <c r="M3361" s="1" t="str">
        <f>IFERROR(__xludf.DUMMYFUNCTION("""COMPUTED_VALUE"""),"PUROK 3")</f>
        <v>PUROK 3</v>
      </c>
      <c r="N3361" s="1" t="str">
        <f>IFERROR(__xludf.DUMMYFUNCTION("""COMPUTED_VALUE"""),"#N/A")</f>
        <v>#N/A</v>
      </c>
      <c r="O3361" s="1" t="str">
        <f>IFERROR(__xludf.DUMMYFUNCTION("""COMPUTED_VALUE"""),"KAYTITINGA III")</f>
        <v>KAYTITINGA III</v>
      </c>
      <c r="P3361" s="1" t="str">
        <f>IFERROR(__xludf.DUMMYFUNCTION("""COMPUTED_VALUE"""),"ALFONSO")</f>
        <v>ALFONSO</v>
      </c>
      <c r="Q3361" s="1" t="str">
        <f>IFERROR(__xludf.DUMMYFUNCTION("""COMPUTED_VALUE"""),"CAVITE")</f>
        <v>CAVITE</v>
      </c>
      <c r="R3361" s="1" t="str">
        <f>IFERROR(__xludf.DUMMYFUNCTION("""COMPUTED_VALUE"""),"FIBER UNLI PLAN 1399")</f>
        <v>FIBER UNLI PLAN 1399</v>
      </c>
      <c r="S3361" s="1" t="str">
        <f>IFERROR(__xludf.DUMMYFUNCTION("""COMPUTED_VALUE"""),"APPROVED")</f>
        <v>APPROVED</v>
      </c>
      <c r="T3361" s="1" t="str">
        <f>IFERROR(__xludf.DUMMYFUNCTION("""COMPUTED_VALUE"""),"CLOSED")</f>
        <v>CLOSED</v>
      </c>
      <c r="U3361" s="1" t="str">
        <f>IFERROR(__xludf.DUMMYFUNCTION("""COMPUTED_VALUE"""),"POSTED")</f>
        <v>POSTED</v>
      </c>
      <c r="V3361" s="1" t="str">
        <f>IFERROR(__xludf.DUMMYFUNCTION("""COMPUTED_VALUE"""),"NO 1 AMSF")</f>
        <v>NO 1 AMSF</v>
      </c>
      <c r="W3361" s="1"/>
    </row>
    <row r="3362" customHeight="1" spans="1:23">
      <c r="A3362" s="3">
        <f>IFERROR(__xludf.DUMMYFUNCTION("""COMPUTED_VALUE"""),46304)</f>
        <v>46304</v>
      </c>
      <c r="B3362" s="1" t="str">
        <f>IFERROR(__xludf.DUMMYFUNCTION("""COMPUTED_VALUE"""),"FARO, REFRANTA")</f>
        <v>FARO, REFRANTA</v>
      </c>
      <c r="C3362" s="1" t="str">
        <f>IFERROR(__xludf.DUMMYFUNCTION("""COMPUTED_VALUE"""),"FLA")</f>
        <v>FLA</v>
      </c>
      <c r="D3362" s="1" t="str">
        <f>IFERROR(__xludf.DUMMYFUNCTION("""COMPUTED_VALUE"""),"JERIC NAVARRO")</f>
        <v>JERIC NAVARRO</v>
      </c>
      <c r="E3362" s="1" t="str">
        <f>IFERROR(__xludf.DUMMYFUNCTION("""COMPUTED_VALUE"""),"PLDT / H2H")</f>
        <v>PLDT / H2H</v>
      </c>
      <c r="F3362" s="1">
        <f>IFERROR(__xludf.DUMMYFUNCTION("""COMPUTED_VALUE"""),2313116296)</f>
        <v>2313116296</v>
      </c>
      <c r="G3362" s="1">
        <f>IFERROR(__xludf.DUMMYFUNCTION("""COMPUTED_VALUE"""),2313061426)</f>
        <v>2313061426</v>
      </c>
      <c r="H3362" s="1" t="str">
        <f>IFERROR(__xludf.DUMMYFUNCTION("""COMPUTED_VALUE"""),"#N/A")</f>
        <v>#N/A</v>
      </c>
      <c r="I3362" s="1">
        <f>IFERROR(__xludf.DUMMYFUNCTION("""COMPUTED_VALUE"""),639178804034)</f>
        <v>639178804034</v>
      </c>
      <c r="J3362" s="1"/>
      <c r="K3362" s="1"/>
      <c r="L3362" s="1" t="str">
        <f>IFERROR(__xludf.DUMMYFUNCTION("""COMPUTED_VALUE"""),"2083")</f>
        <v>2083</v>
      </c>
      <c r="M3362" s="1" t="str">
        <f>IFERROR(__xludf.DUMMYFUNCTION("""COMPUTED_VALUE"""),"ELEVE HOMES")</f>
        <v>ELEVE HOMES</v>
      </c>
      <c r="N3362" s="1" t="str">
        <f>IFERROR(__xludf.DUMMYFUNCTION("""COMPUTED_VALUE"""),"ELEVE HOMES")</f>
        <v>ELEVE HOMES</v>
      </c>
      <c r="O3362" s="1" t="str">
        <f>IFERROR(__xludf.DUMMYFUNCTION("""COMPUTED_VALUE"""),"MAHARLIKA WEST")</f>
        <v>MAHARLIKA WEST</v>
      </c>
      <c r="P3362" s="1" t="str">
        <f>IFERROR(__xludf.DUMMYFUNCTION("""COMPUTED_VALUE"""),"TAGAYTAY")</f>
        <v>TAGAYTAY</v>
      </c>
      <c r="Q3362" s="1" t="str">
        <f>IFERROR(__xludf.DUMMYFUNCTION("""COMPUTED_VALUE"""),"CAVITE")</f>
        <v>CAVITE</v>
      </c>
      <c r="R3362" s="1" t="str">
        <f>IFERROR(__xludf.DUMMYFUNCTION("""COMPUTED_VALUE"""),"FIBR NETFLIX PLAN 1599")</f>
        <v>FIBR NETFLIX PLAN 1599</v>
      </c>
      <c r="S3362" s="1" t="str">
        <f>IFERROR(__xludf.DUMMYFUNCTION("""COMPUTED_VALUE"""),"APPROVED")</f>
        <v>APPROVED</v>
      </c>
      <c r="T3362" s="1" t="str">
        <f>IFERROR(__xludf.DUMMYFUNCTION("""COMPUTED_VALUE"""),"CANCELLED")</f>
        <v>CANCELLED</v>
      </c>
      <c r="U3362" s="1" t="str">
        <f>IFERROR(__xludf.DUMMYFUNCTION("""COMPUTED_VALUE"""),"CANCELLED - WITH ACTIVE LINE")</f>
        <v>CANCELLED - WITH ACTIVE LINE</v>
      </c>
      <c r="V3362" s="1"/>
      <c r="W3362" s="1"/>
    </row>
    <row r="3363" customHeight="1" spans="1:23">
      <c r="A3363" s="3">
        <f>IFERROR(__xludf.DUMMYFUNCTION("""COMPUTED_VALUE"""),46304)</f>
        <v>46304</v>
      </c>
      <c r="B3363" s="1" t="str">
        <f>IFERROR(__xludf.DUMMYFUNCTION("""COMPUTED_VALUE"""),"ALINGARO, CINDY")</f>
        <v>ALINGARO, CINDY</v>
      </c>
      <c r="C3363" s="1" t="str">
        <f>IFERROR(__xludf.DUMMYFUNCTION("""COMPUTED_VALUE"""),"ORGANIC")</f>
        <v>ORGANIC</v>
      </c>
      <c r="D3363" s="1" t="str">
        <f>IFERROR(__xludf.DUMMYFUNCTION("""COMPUTED_VALUE"""),"REMOLLO LEA")</f>
        <v>REMOLLO LEA</v>
      </c>
      <c r="E3363" s="1" t="str">
        <f>IFERROR(__xludf.DUMMYFUNCTION("""COMPUTED_VALUE"""),"PLDT / H2H")</f>
        <v>PLDT / H2H</v>
      </c>
      <c r="F3363" s="1"/>
      <c r="G3363" s="1">
        <f>IFERROR(__xludf.DUMMYFUNCTION("""COMPUTED_VALUE"""),2313061897)</f>
        <v>2313061897</v>
      </c>
      <c r="H3363" s="1" t="str">
        <f>IFERROR(__xludf.DUMMYFUNCTION("""COMPUTED_VALUE"""),"474882100004")</f>
        <v>474882100004</v>
      </c>
      <c r="I3363" s="1">
        <f>IFERROR(__xludf.DUMMYFUNCTION("""COMPUTED_VALUE"""),639974253089)</f>
        <v>639974253089</v>
      </c>
      <c r="J3363" s="1">
        <f>IFERROR(__xludf.DUMMYFUNCTION("""COMPUTED_VALUE"""),639756373295)</f>
        <v>639756373295</v>
      </c>
      <c r="K3363" s="1"/>
      <c r="L3363" s="1" t="str">
        <f>IFERROR(__xludf.DUMMYFUNCTION("""COMPUTED_VALUE"""),"9012B")</f>
        <v>9012B</v>
      </c>
      <c r="M3363" s="1" t="str">
        <f>IFERROR(__xludf.DUMMYFUNCTION("""COMPUTED_VALUE"""),"GEN EMILIO AGUINALDO")</f>
        <v>GEN EMILIO AGUINALDO</v>
      </c>
      <c r="N3363" s="1" t="str">
        <f>IFERROR(__xludf.DUMMYFUNCTION("""COMPUTED_VALUE"""),"#N/A")</f>
        <v>#N/A</v>
      </c>
      <c r="O3363" s="1" t="str">
        <f>IFERROR(__xludf.DUMMYFUNCTION("""COMPUTED_VALUE"""),"LALAAN I")</f>
        <v>LALAAN I</v>
      </c>
      <c r="P3363" s="1" t="str">
        <f>IFERROR(__xludf.DUMMYFUNCTION("""COMPUTED_VALUE"""),"SILANG")</f>
        <v>SILANG</v>
      </c>
      <c r="Q3363" s="1" t="str">
        <f>IFERROR(__xludf.DUMMYFUNCTION("""COMPUTED_VALUE"""),"CAVITE")</f>
        <v>CAVITE</v>
      </c>
      <c r="R3363" s="1" t="str">
        <f>IFERROR(__xludf.DUMMYFUNCTION("""COMPUTED_VALUE"""),"FIBER UNLI ALL PLAN 1899")</f>
        <v>FIBER UNLI ALL PLAN 1899</v>
      </c>
      <c r="S3363" s="1" t="str">
        <f>IFERROR(__xludf.DUMMYFUNCTION("""COMPUTED_VALUE"""),"APPROVED")</f>
        <v>APPROVED</v>
      </c>
      <c r="T3363" s="1" t="str">
        <f>IFERROR(__xludf.DUMMYFUNCTION("""COMPUTED_VALUE"""),"CLOSED")</f>
        <v>CLOSED</v>
      </c>
      <c r="U3363" s="1" t="str">
        <f>IFERROR(__xludf.DUMMYFUNCTION("""COMPUTED_VALUE"""),"POSTED")</f>
        <v>POSTED</v>
      </c>
      <c r="V3363" s="1" t="str">
        <f>IFERROR(__xludf.DUMMYFUNCTION("""COMPUTED_VALUE"""),"NO 1 AMSF")</f>
        <v>NO 1 AMSF</v>
      </c>
      <c r="W3363" s="1"/>
    </row>
    <row r="3364" customHeight="1" spans="1:23">
      <c r="A3364" s="3">
        <f>IFERROR(__xludf.DUMMYFUNCTION("""COMPUTED_VALUE"""),46304)</f>
        <v>46304</v>
      </c>
      <c r="B3364" s="1" t="str">
        <f>IFERROR(__xludf.DUMMYFUNCTION("""COMPUTED_VALUE"""),"LABONG, AJAY")</f>
        <v>LABONG, AJAY</v>
      </c>
      <c r="C3364" s="1" t="str">
        <f>IFERROR(__xludf.DUMMYFUNCTION("""COMPUTED_VALUE"""),"ORGANIC")</f>
        <v>ORGANIC</v>
      </c>
      <c r="D3364" s="1" t="str">
        <f>IFERROR(__xludf.DUMMYFUNCTION("""COMPUTED_VALUE"""),"REMOLLO LEA")</f>
        <v>REMOLLO LEA</v>
      </c>
      <c r="E3364" s="1" t="str">
        <f>IFERROR(__xludf.DUMMYFUNCTION("""COMPUTED_VALUE"""),"PLDT / H2H")</f>
        <v>PLDT / H2H</v>
      </c>
      <c r="F3364" s="1"/>
      <c r="G3364" s="1">
        <f>IFERROR(__xludf.DUMMYFUNCTION("""COMPUTED_VALUE"""),2313062205)</f>
        <v>2313062205</v>
      </c>
      <c r="H3364" s="1" t="str">
        <f>IFERROR(__xludf.DUMMYFUNCTION("""COMPUTED_VALUE"""),"474914187004")</f>
        <v>474914187004</v>
      </c>
      <c r="I3364" s="1">
        <f>IFERROR(__xludf.DUMMYFUNCTION("""COMPUTED_VALUE"""),639952883640)</f>
        <v>639952883640</v>
      </c>
      <c r="J3364" s="1"/>
      <c r="K3364" s="1"/>
      <c r="L3364" s="1" t="str">
        <f>IFERROR(__xludf.DUMMYFUNCTION("""COMPUTED_VALUE"""),"251")</f>
        <v>251</v>
      </c>
      <c r="M3364" s="1" t="str">
        <f>IFERROR(__xludf.DUMMYFUNCTION("""COMPUTED_VALUE"""),"AGUILAR")</f>
        <v>AGUILAR</v>
      </c>
      <c r="N3364" s="1" t="str">
        <f>IFERROR(__xludf.DUMMYFUNCTION("""COMPUTED_VALUE"""),"PUROK 5")</f>
        <v>PUROK 5</v>
      </c>
      <c r="O3364" s="1" t="str">
        <f>IFERROR(__xludf.DUMMYFUNCTION("""COMPUTED_VALUE"""),"BATAS")</f>
        <v>BATAS</v>
      </c>
      <c r="P3364" s="1" t="str">
        <f>IFERROR(__xludf.DUMMYFUNCTION("""COMPUTED_VALUE"""),"SILANG")</f>
        <v>SILANG</v>
      </c>
      <c r="Q3364" s="1" t="str">
        <f>IFERROR(__xludf.DUMMYFUNCTION("""COMPUTED_VALUE"""),"CAVITE")</f>
        <v>CAVITE</v>
      </c>
      <c r="R3364" s="1" t="str">
        <f>IFERROR(__xludf.DUMMYFUNCTION("""COMPUTED_VALUE"""),"FIBER UNLI PLAN 1399")</f>
        <v>FIBER UNLI PLAN 1399</v>
      </c>
      <c r="S3364" s="1" t="str">
        <f>IFERROR(__xludf.DUMMYFUNCTION("""COMPUTED_VALUE"""),"APPROVED")</f>
        <v>APPROVED</v>
      </c>
      <c r="T3364" s="1" t="str">
        <f>IFERROR(__xludf.DUMMYFUNCTION("""COMPUTED_VALUE"""),"CLOSED")</f>
        <v>CLOSED</v>
      </c>
      <c r="U3364" s="1" t="str">
        <f>IFERROR(__xludf.DUMMYFUNCTION("""COMPUTED_VALUE"""),"POSTED")</f>
        <v>POSTED</v>
      </c>
      <c r="V3364" s="1" t="str">
        <f>IFERROR(__xludf.DUMMYFUNCTION("""COMPUTED_VALUE"""),"WITH 1 AMSF")</f>
        <v>WITH 1 AMSF</v>
      </c>
      <c r="W3364" s="1"/>
    </row>
    <row r="3365" customHeight="1" spans="1:23">
      <c r="A3365" s="3">
        <f>IFERROR(__xludf.DUMMYFUNCTION("""COMPUTED_VALUE"""),46304)</f>
        <v>46304</v>
      </c>
      <c r="B3365" s="1" t="str">
        <f>IFERROR(__xludf.DUMMYFUNCTION("""COMPUTED_VALUE"""),"ARIENA, LYKA")</f>
        <v>ARIENA, LYKA</v>
      </c>
      <c r="C3365" s="1" t="str">
        <f>IFERROR(__xludf.DUMMYFUNCTION("""COMPUTED_VALUE"""),"ORGANIC")</f>
        <v>ORGANIC</v>
      </c>
      <c r="D3365" s="1" t="str">
        <f>IFERROR(__xludf.DUMMYFUNCTION("""COMPUTED_VALUE"""),"REMOLLO LEA")</f>
        <v>REMOLLO LEA</v>
      </c>
      <c r="E3365" s="1" t="str">
        <f>IFERROR(__xludf.DUMMYFUNCTION("""COMPUTED_VALUE"""),"PLDT / H2H")</f>
        <v>PLDT / H2H</v>
      </c>
      <c r="F3365" s="1"/>
      <c r="G3365" s="1">
        <f>IFERROR(__xludf.DUMMYFUNCTION("""COMPUTED_VALUE"""),2313062546)</f>
        <v>2313062546</v>
      </c>
      <c r="H3365" s="1" t="str">
        <f>IFERROR(__xludf.DUMMYFUNCTION("""COMPUTED_VALUE"""),"474887964004")</f>
        <v>474887964004</v>
      </c>
      <c r="I3365" s="1">
        <f>IFERROR(__xludf.DUMMYFUNCTION("""COMPUTED_VALUE"""),639761710703)</f>
        <v>639761710703</v>
      </c>
      <c r="J3365" s="1"/>
      <c r="K3365" s="1"/>
      <c r="L3365" s="1" t="str">
        <f>IFERROR(__xludf.DUMMYFUNCTION("""COMPUTED_VALUE"""),"159")</f>
        <v>159</v>
      </c>
      <c r="M3365" s="1" t="str">
        <f>IFERROR(__xludf.DUMMYFUNCTION("""COMPUTED_VALUE"""),"LAYSA")</f>
        <v>LAYSA</v>
      </c>
      <c r="N3365" s="1" t="str">
        <f>IFERROR(__xludf.DUMMYFUNCTION("""COMPUTED_VALUE"""),"#N/A")</f>
        <v>#N/A</v>
      </c>
      <c r="O3365" s="1" t="str">
        <f>IFERROR(__xludf.DUMMYFUNCTION("""COMPUTED_VALUE"""),"BATAS")</f>
        <v>BATAS</v>
      </c>
      <c r="P3365" s="1" t="str">
        <f>IFERROR(__xludf.DUMMYFUNCTION("""COMPUTED_VALUE"""),"SILANG")</f>
        <v>SILANG</v>
      </c>
      <c r="Q3365" s="1" t="str">
        <f>IFERROR(__xludf.DUMMYFUNCTION("""COMPUTED_VALUE"""),"CAVITE")</f>
        <v>CAVITE</v>
      </c>
      <c r="R3365" s="1" t="str">
        <f>IFERROR(__xludf.DUMMYFUNCTION("""COMPUTED_VALUE"""),"FIBER UNLI PLAN 1399")</f>
        <v>FIBER UNLI PLAN 1399</v>
      </c>
      <c r="S3365" s="1" t="str">
        <f>IFERROR(__xludf.DUMMYFUNCTION("""COMPUTED_VALUE"""),"APPROVED")</f>
        <v>APPROVED</v>
      </c>
      <c r="T3365" s="1" t="str">
        <f>IFERROR(__xludf.DUMMYFUNCTION("""COMPUTED_VALUE"""),"CLOSED")</f>
        <v>CLOSED</v>
      </c>
      <c r="U3365" s="1" t="str">
        <f>IFERROR(__xludf.DUMMYFUNCTION("""COMPUTED_VALUE"""),"POSTED")</f>
        <v>POSTED</v>
      </c>
      <c r="V3365" s="1" t="str">
        <f>IFERROR(__xludf.DUMMYFUNCTION("""COMPUTED_VALUE"""),"NO 1 AMSF")</f>
        <v>NO 1 AMSF</v>
      </c>
      <c r="W3365" s="1"/>
    </row>
    <row r="3366" customHeight="1" spans="1:23">
      <c r="A3366" s="3">
        <f>IFERROR(__xludf.DUMMYFUNCTION("""COMPUTED_VALUE"""),46304)</f>
        <v>46304</v>
      </c>
      <c r="B3366" s="1" t="str">
        <f>IFERROR(__xludf.DUMMYFUNCTION("""COMPUTED_VALUE"""),"GABAY, MANUEL")</f>
        <v>GABAY, MANUEL</v>
      </c>
      <c r="C3366" s="1" t="str">
        <f>IFERROR(__xludf.DUMMYFUNCTION("""COMPUTED_VALUE"""),"FLA")</f>
        <v>FLA</v>
      </c>
      <c r="D3366" s="1" t="str">
        <f>IFERROR(__xludf.DUMMYFUNCTION("""COMPUTED_VALUE"""),"JERIC NAVARRO")</f>
        <v>JERIC NAVARRO</v>
      </c>
      <c r="E3366" s="1" t="str">
        <f>IFERROR(__xludf.DUMMYFUNCTION("""COMPUTED_VALUE"""),"PLDT / H2H")</f>
        <v>PLDT / H2H</v>
      </c>
      <c r="F3366" s="1"/>
      <c r="G3366" s="1">
        <f>IFERROR(__xludf.DUMMYFUNCTION("""COMPUTED_VALUE"""),2313064091)</f>
        <v>2313064091</v>
      </c>
      <c r="H3366" s="1" t="str">
        <f>IFERROR(__xludf.DUMMYFUNCTION("""COMPUTED_VALUE"""),"474886252004")</f>
        <v>474886252004</v>
      </c>
      <c r="I3366" s="1">
        <f>IFERROR(__xludf.DUMMYFUNCTION("""COMPUTED_VALUE"""),639568890488)</f>
        <v>639568890488</v>
      </c>
      <c r="J3366" s="1">
        <f>IFERROR(__xludf.DUMMYFUNCTION("""COMPUTED_VALUE"""),639609284027)</f>
        <v>639609284027</v>
      </c>
      <c r="K3366" s="1"/>
      <c r="L3366" s="1" t="str">
        <f>IFERROR(__xludf.DUMMYFUNCTION("""COMPUTED_VALUE"""),"151")</f>
        <v>151</v>
      </c>
      <c r="M3366" s="1" t="str">
        <f>IFERROR(__xludf.DUMMYFUNCTION("""COMPUTED_VALUE"""),"DIMAPILIS")</f>
        <v>DIMAPILIS</v>
      </c>
      <c r="N3366" s="1" t="str">
        <f>IFERROR(__xludf.DUMMYFUNCTION("""COMPUTED_VALUE"""),"#N/A")</f>
        <v>#N/A</v>
      </c>
      <c r="O3366" s="1" t="str">
        <f>IFERROR(__xludf.DUMMYFUNCTION("""COMPUTED_VALUE"""),"ANULING CERCA I")</f>
        <v>ANULING CERCA I</v>
      </c>
      <c r="P3366" s="1" t="str">
        <f>IFERROR(__xludf.DUMMYFUNCTION("""COMPUTED_VALUE"""),"MENDEZ")</f>
        <v>MENDEZ</v>
      </c>
      <c r="Q3366" s="1" t="str">
        <f>IFERROR(__xludf.DUMMYFUNCTION("""COMPUTED_VALUE"""),"CAVITE")</f>
        <v>CAVITE</v>
      </c>
      <c r="R3366" s="1" t="str">
        <f>IFERROR(__xludf.DUMMYFUNCTION("""COMPUTED_VALUE"""),"FIBER UNLI ALL PLAN 1499")</f>
        <v>FIBER UNLI ALL PLAN 1499</v>
      </c>
      <c r="S3366" s="1" t="str">
        <f>IFERROR(__xludf.DUMMYFUNCTION("""COMPUTED_VALUE"""),"APPROVED")</f>
        <v>APPROVED</v>
      </c>
      <c r="T3366" s="1" t="str">
        <f>IFERROR(__xludf.DUMMYFUNCTION("""COMPUTED_VALUE"""),"CLOSED")</f>
        <v>CLOSED</v>
      </c>
      <c r="U3366" s="1" t="str">
        <f>IFERROR(__xludf.DUMMYFUNCTION("""COMPUTED_VALUE"""),"POSTED")</f>
        <v>POSTED</v>
      </c>
      <c r="V3366" s="1" t="str">
        <f>IFERROR(__xludf.DUMMYFUNCTION("""COMPUTED_VALUE"""),"WITH 1 AMSF")</f>
        <v>WITH 1 AMSF</v>
      </c>
      <c r="W3366" s="1"/>
    </row>
    <row r="3367" customHeight="1" spans="1:23">
      <c r="A3367" s="3">
        <f>IFERROR(__xludf.DUMMYFUNCTION("""COMPUTED_VALUE"""),46304)</f>
        <v>46304</v>
      </c>
      <c r="B3367" s="1" t="str">
        <f>IFERROR(__xludf.DUMMYFUNCTION("""COMPUTED_VALUE"""),"MALIWAT MARK ELVIN")</f>
        <v>MALIWAT MARK ELVIN</v>
      </c>
      <c r="C3367" s="1" t="str">
        <f>IFERROR(__xludf.DUMMYFUNCTION("""COMPUTED_VALUE"""),"FLA")</f>
        <v>FLA</v>
      </c>
      <c r="D3367" s="1" t="str">
        <f>IFERROR(__xludf.DUMMYFUNCTION("""COMPUTED_VALUE"""),"JERIC NAVARRO")</f>
        <v>JERIC NAVARRO</v>
      </c>
      <c r="E3367" s="1" t="str">
        <f>IFERROR(__xludf.DUMMYFUNCTION("""COMPUTED_VALUE"""),"PLDT / ONLINE")</f>
        <v>PLDT / ONLINE</v>
      </c>
      <c r="F3367" s="1"/>
      <c r="G3367" s="1">
        <f>IFERROR(__xludf.DUMMYFUNCTION("""COMPUTED_VALUE"""),2313079282)</f>
        <v>2313079282</v>
      </c>
      <c r="H3367" s="1" t="str">
        <f>IFERROR(__xludf.DUMMYFUNCTION("""COMPUTED_VALUE"""),"474973634004")</f>
        <v>474973634004</v>
      </c>
      <c r="I3367" s="1">
        <f>IFERROR(__xludf.DUMMYFUNCTION("""COMPUTED_VALUE"""),639936180256)</f>
        <v>639936180256</v>
      </c>
      <c r="J3367" s="1">
        <f>IFERROR(__xludf.DUMMYFUNCTION("""COMPUTED_VALUE"""),639175175424)</f>
        <v>639175175424</v>
      </c>
      <c r="K3367" s="1"/>
      <c r="L3367" s="1" t="str">
        <f>IFERROR(__xludf.DUMMYFUNCTION("""COMPUTED_VALUE"""),"6")</f>
        <v>6</v>
      </c>
      <c r="M3367" s="1" t="str">
        <f>IFERROR(__xludf.DUMMYFUNCTION("""COMPUTED_VALUE"""),"BOUGAINVILLA")</f>
        <v>BOUGAINVILLA</v>
      </c>
      <c r="N3367" s="1" t="str">
        <f>IFERROR(__xludf.DUMMYFUNCTION("""COMPUTED_VALUE"""),"PAYAPA SUBDIVISION")</f>
        <v>PAYAPA SUBDIVISION</v>
      </c>
      <c r="O3367" s="1" t="str">
        <f>IFERROR(__xludf.DUMMYFUNCTION("""COMPUTED_VALUE"""),"GALICIA III")</f>
        <v>GALICIA III</v>
      </c>
      <c r="P3367" s="1" t="str">
        <f>IFERROR(__xludf.DUMMYFUNCTION("""COMPUTED_VALUE"""),"MENDEZ")</f>
        <v>MENDEZ</v>
      </c>
      <c r="Q3367" s="1" t="str">
        <f>IFERROR(__xludf.DUMMYFUNCTION("""COMPUTED_VALUE"""),"CAVITE")</f>
        <v>CAVITE</v>
      </c>
      <c r="R3367" s="1" t="str">
        <f>IFERROR(__xludf.DUMMYFUNCTION("""COMPUTED_VALUE"""),"FIBER UNLI ALL PLAN 2599")</f>
        <v>FIBER UNLI ALL PLAN 2599</v>
      </c>
      <c r="S3367" s="1" t="str">
        <f>IFERROR(__xludf.DUMMYFUNCTION("""COMPUTED_VALUE"""),"APPROVED")</f>
        <v>APPROVED</v>
      </c>
      <c r="T3367" s="1" t="str">
        <f>IFERROR(__xludf.DUMMYFUNCTION("""COMPUTED_VALUE"""),"FOR PAYMENT")</f>
        <v>FOR PAYMENT</v>
      </c>
      <c r="U3367" s="1" t="str">
        <f>IFERROR(__xludf.DUMMYFUNCTION("""COMPUTED_VALUE"""),"FOR PAYMENT")</f>
        <v>FOR PAYMENT</v>
      </c>
      <c r="V3367" s="1"/>
      <c r="W3367" s="1"/>
    </row>
    <row r="3368" customHeight="1" spans="1:23">
      <c r="A3368" s="3">
        <f>IFERROR(__xludf.DUMMYFUNCTION("""COMPUTED_VALUE"""),46304)</f>
        <v>46304</v>
      </c>
      <c r="B3368" s="1" t="str">
        <f>IFERROR(__xludf.DUMMYFUNCTION("""COMPUTED_VALUE"""),"GABAY, MANUEL")</f>
        <v>GABAY, MANUEL</v>
      </c>
      <c r="C3368" s="1" t="str">
        <f>IFERROR(__xludf.DUMMYFUNCTION("""COMPUTED_VALUE"""),"FLA")</f>
        <v>FLA</v>
      </c>
      <c r="D3368" s="1" t="str">
        <f>IFERROR(__xludf.DUMMYFUNCTION("""COMPUTED_VALUE"""),"JERIC NAVARRO")</f>
        <v>JERIC NAVARRO</v>
      </c>
      <c r="E3368" s="1" t="str">
        <f>IFERROR(__xludf.DUMMYFUNCTION("""COMPUTED_VALUE"""),"PLDT / H2H")</f>
        <v>PLDT / H2H</v>
      </c>
      <c r="F3368" s="1"/>
      <c r="G3368" s="1">
        <f>IFERROR(__xludf.DUMMYFUNCTION("""COMPUTED_VALUE"""),2313064675)</f>
        <v>2313064675</v>
      </c>
      <c r="H3368" s="1" t="str">
        <f>IFERROR(__xludf.DUMMYFUNCTION("""COMPUTED_VALUE"""),"474973170004")</f>
        <v>474973170004</v>
      </c>
      <c r="I3368" s="1">
        <f>IFERROR(__xludf.DUMMYFUNCTION("""COMPUTED_VALUE"""),639278971139)</f>
        <v>639278971139</v>
      </c>
      <c r="J3368" s="1">
        <f>IFERROR(__xludf.DUMMYFUNCTION("""COMPUTED_VALUE"""),639692941352)</f>
        <v>639692941352</v>
      </c>
      <c r="K3368" s="1"/>
      <c r="L3368" s="1" t="str">
        <f>IFERROR(__xludf.DUMMYFUNCTION("""COMPUTED_VALUE"""),"36")</f>
        <v>36</v>
      </c>
      <c r="M3368" s="1" t="str">
        <f>IFERROR(__xludf.DUMMYFUNCTION("""COMPUTED_VALUE"""),"GATPANDAN")</f>
        <v>GATPANDAN</v>
      </c>
      <c r="N3368" s="1" t="str">
        <f>IFERROR(__xludf.DUMMYFUNCTION("""COMPUTED_VALUE"""),"#N/A")</f>
        <v>#N/A</v>
      </c>
      <c r="O3368" s="1" t="str">
        <f>IFERROR(__xludf.DUMMYFUNCTION("""COMPUTED_VALUE"""),"ANULING LEJOS II")</f>
        <v>ANULING LEJOS II</v>
      </c>
      <c r="P3368" s="1" t="str">
        <f>IFERROR(__xludf.DUMMYFUNCTION("""COMPUTED_VALUE"""),"MENDEZ")</f>
        <v>MENDEZ</v>
      </c>
      <c r="Q3368" s="1" t="str">
        <f>IFERROR(__xludf.DUMMYFUNCTION("""COMPUTED_VALUE"""),"CAVITE")</f>
        <v>CAVITE</v>
      </c>
      <c r="R3368" s="1" t="str">
        <f>IFERROR(__xludf.DUMMYFUNCTION("""COMPUTED_VALUE"""),"SWITCH FIBER 1299")</f>
        <v>SWITCH FIBER 1299</v>
      </c>
      <c r="S3368" s="1" t="str">
        <f>IFERROR(__xludf.DUMMYFUNCTION("""COMPUTED_VALUE"""),"APPROVED")</f>
        <v>APPROVED</v>
      </c>
      <c r="T3368" s="1" t="str">
        <f>IFERROR(__xludf.DUMMYFUNCTION("""COMPUTED_VALUE"""),"FOR PAYMENT")</f>
        <v>FOR PAYMENT</v>
      </c>
      <c r="U3368" s="1" t="str">
        <f>IFERROR(__xludf.DUMMYFUNCTION("""COMPUTED_VALUE"""),"FOR PAYMENT")</f>
        <v>FOR PAYMENT</v>
      </c>
      <c r="V3368" s="1"/>
      <c r="W3368" s="1"/>
    </row>
    <row r="3369" customHeight="1" spans="1:23">
      <c r="A3369" s="3">
        <f>IFERROR(__xludf.DUMMYFUNCTION("""COMPUTED_VALUE"""),46304)</f>
        <v>46304</v>
      </c>
      <c r="B3369" s="1" t="str">
        <f>IFERROR(__xludf.DUMMYFUNCTION("""COMPUTED_VALUE"""),"MALIWAT MARK ELVIN")</f>
        <v>MALIWAT MARK ELVIN</v>
      </c>
      <c r="C3369" s="1" t="str">
        <f>IFERROR(__xludf.DUMMYFUNCTION("""COMPUTED_VALUE"""),"FLA")</f>
        <v>FLA</v>
      </c>
      <c r="D3369" s="1" t="str">
        <f>IFERROR(__xludf.DUMMYFUNCTION("""COMPUTED_VALUE"""),"JERIC NAVARRO")</f>
        <v>JERIC NAVARRO</v>
      </c>
      <c r="E3369" s="1" t="str">
        <f>IFERROR(__xludf.DUMMYFUNCTION("""COMPUTED_VALUE"""),"PLDT / H2H")</f>
        <v>PLDT / H2H</v>
      </c>
      <c r="F3369" s="1"/>
      <c r="G3369" s="1">
        <f>IFERROR(__xludf.DUMMYFUNCTION("""COMPUTED_VALUE"""),2313065076)</f>
        <v>2313065076</v>
      </c>
      <c r="H3369" s="1" t="str">
        <f>IFERROR(__xludf.DUMMYFUNCTION("""COMPUTED_VALUE"""),"474972278004")</f>
        <v>474972278004</v>
      </c>
      <c r="I3369" s="1">
        <f>IFERROR(__xludf.DUMMYFUNCTION("""COMPUTED_VALUE"""),639350380453)</f>
        <v>639350380453</v>
      </c>
      <c r="J3369" s="1">
        <f>IFERROR(__xludf.DUMMYFUNCTION("""COMPUTED_VALUE"""),639168749958)</f>
        <v>639168749958</v>
      </c>
      <c r="K3369" s="1"/>
      <c r="L3369" s="1" t="str">
        <f>IFERROR(__xludf.DUMMYFUNCTION("""COMPUTED_VALUE"""),"UNIT A")</f>
        <v>UNIT A</v>
      </c>
      <c r="M3369" s="1" t="str">
        <f>IFERROR(__xludf.DUMMYFUNCTION("""COMPUTED_VALUE"""),"MANGAS 1")</f>
        <v>MANGAS 1</v>
      </c>
      <c r="N3369" s="1" t="str">
        <f>IFERROR(__xludf.DUMMYFUNCTION("""COMPUTED_VALUE"""),"APARTMENT")</f>
        <v>APARTMENT</v>
      </c>
      <c r="O3369" s="1" t="str">
        <f>IFERROR(__xludf.DUMMYFUNCTION("""COMPUTED_VALUE"""),"MANGAS I")</f>
        <v>MANGAS I</v>
      </c>
      <c r="P3369" s="1" t="str">
        <f>IFERROR(__xludf.DUMMYFUNCTION("""COMPUTED_VALUE"""),"ALFONSO")</f>
        <v>ALFONSO</v>
      </c>
      <c r="Q3369" s="1" t="str">
        <f>IFERROR(__xludf.DUMMYFUNCTION("""COMPUTED_VALUE"""),"CAVITE")</f>
        <v>CAVITE</v>
      </c>
      <c r="R3369" s="1" t="str">
        <f>IFERROR(__xludf.DUMMYFUNCTION("""COMPUTED_VALUE"""),"FIBER UNLI PLAN 1399")</f>
        <v>FIBER UNLI PLAN 1399</v>
      </c>
      <c r="S3369" s="1" t="str">
        <f>IFERROR(__xludf.DUMMYFUNCTION("""COMPUTED_VALUE"""),"APPROVED")</f>
        <v>APPROVED</v>
      </c>
      <c r="T3369" s="1" t="str">
        <f>IFERROR(__xludf.DUMMYFUNCTION("""COMPUTED_VALUE"""),"CLOSED")</f>
        <v>CLOSED</v>
      </c>
      <c r="U3369" s="1" t="str">
        <f>IFERROR(__xludf.DUMMYFUNCTION("""COMPUTED_VALUE"""),"POSTED")</f>
        <v>POSTED</v>
      </c>
      <c r="V3369" s="1" t="str">
        <f>IFERROR(__xludf.DUMMYFUNCTION("""COMPUTED_VALUE"""),"WITH 1 AMSF")</f>
        <v>WITH 1 AMSF</v>
      </c>
      <c r="W3369" s="1"/>
    </row>
    <row r="3370" customHeight="1" spans="1:23">
      <c r="A3370" s="3">
        <f>IFERROR(__xludf.DUMMYFUNCTION("""COMPUTED_VALUE"""),46304)</f>
        <v>46304</v>
      </c>
      <c r="B3370" s="1" t="str">
        <f>IFERROR(__xludf.DUMMYFUNCTION("""COMPUTED_VALUE"""),"GABAY, MANUEL")</f>
        <v>GABAY, MANUEL</v>
      </c>
      <c r="C3370" s="1" t="str">
        <f>IFERROR(__xludf.DUMMYFUNCTION("""COMPUTED_VALUE"""),"FLA")</f>
        <v>FLA</v>
      </c>
      <c r="D3370" s="1" t="str">
        <f>IFERROR(__xludf.DUMMYFUNCTION("""COMPUTED_VALUE"""),"JERIC NAVARRO")</f>
        <v>JERIC NAVARRO</v>
      </c>
      <c r="E3370" s="1" t="str">
        <f>IFERROR(__xludf.DUMMYFUNCTION("""COMPUTED_VALUE"""),"PLDT / H2H")</f>
        <v>PLDT / H2H</v>
      </c>
      <c r="F3370" s="1"/>
      <c r="G3370" s="1">
        <f>IFERROR(__xludf.DUMMYFUNCTION("""COMPUTED_VALUE"""),2313065512)</f>
        <v>2313065512</v>
      </c>
      <c r="H3370" s="1" t="str">
        <f>IFERROR(__xludf.DUMMYFUNCTION("""COMPUTED_VALUE"""),"474889259004")</f>
        <v>474889259004</v>
      </c>
      <c r="I3370" s="1">
        <f>IFERROR(__xludf.DUMMYFUNCTION("""COMPUTED_VALUE"""),639924613910)</f>
        <v>639924613910</v>
      </c>
      <c r="J3370" s="1">
        <f>IFERROR(__xludf.DUMMYFUNCTION("""COMPUTED_VALUE"""),639166884143)</f>
        <v>639166884143</v>
      </c>
      <c r="K3370" s="1"/>
      <c r="L3370" s="1" t="str">
        <f>IFERROR(__xludf.DUMMYFUNCTION("""COMPUTED_VALUE"""),"9012")</f>
        <v>9012</v>
      </c>
      <c r="M3370" s="1" t="str">
        <f>IFERROR(__xludf.DUMMYFUNCTION("""COMPUTED_VALUE"""),"INDANG")</f>
        <v>INDANG</v>
      </c>
      <c r="N3370" s="1" t="str">
        <f>IFERROR(__xludf.DUMMYFUNCTION("""COMPUTED_VALUE"""),"#N/A")</f>
        <v>#N/A</v>
      </c>
      <c r="O3370" s="1" t="str">
        <f>IFERROR(__xludf.DUMMYFUNCTION("""COMPUTED_VALUE"""),"BANAYAD")</f>
        <v>BANAYAD</v>
      </c>
      <c r="P3370" s="1" t="str">
        <f>IFERROR(__xludf.DUMMYFUNCTION("""COMPUTED_VALUE"""),"MENDEZ")</f>
        <v>MENDEZ</v>
      </c>
      <c r="Q3370" s="1" t="str">
        <f>IFERROR(__xludf.DUMMYFUNCTION("""COMPUTED_VALUE"""),"CAVITE")</f>
        <v>CAVITE</v>
      </c>
      <c r="R3370" s="1" t="str">
        <f>IFERROR(__xludf.DUMMYFUNCTION("""COMPUTED_VALUE"""),"FIBER UNLI ALL PLAN 1499")</f>
        <v>FIBER UNLI ALL PLAN 1499</v>
      </c>
      <c r="S3370" s="1" t="str">
        <f>IFERROR(__xludf.DUMMYFUNCTION("""COMPUTED_VALUE"""),"APPROVED")</f>
        <v>APPROVED</v>
      </c>
      <c r="T3370" s="1" t="str">
        <f>IFERROR(__xludf.DUMMYFUNCTION("""COMPUTED_VALUE"""),"FOR PAYMENT")</f>
        <v>FOR PAYMENT</v>
      </c>
      <c r="U3370" s="1" t="str">
        <f>IFERROR(__xludf.DUMMYFUNCTION("""COMPUTED_VALUE"""),"FOR PAYMENT")</f>
        <v>FOR PAYMENT</v>
      </c>
      <c r="V3370" s="1"/>
      <c r="W3370" s="1"/>
    </row>
    <row r="3371" customHeight="1" spans="1:23">
      <c r="A3371" s="3">
        <f>IFERROR(__xludf.DUMMYFUNCTION("""COMPUTED_VALUE"""),46304)</f>
        <v>46304</v>
      </c>
      <c r="B3371" s="1" t="str">
        <f>IFERROR(__xludf.DUMMYFUNCTION("""COMPUTED_VALUE"""),"MAGDARAOG, KENNETH")</f>
        <v>MAGDARAOG, KENNETH</v>
      </c>
      <c r="C3371" s="1" t="str">
        <f>IFERROR(__xludf.DUMMYFUNCTION("""COMPUTED_VALUE"""),"ORGANIC")</f>
        <v>ORGANIC</v>
      </c>
      <c r="D3371" s="1" t="str">
        <f>IFERROR(__xludf.DUMMYFUNCTION("""COMPUTED_VALUE"""),"REMOLLO LEA")</f>
        <v>REMOLLO LEA</v>
      </c>
      <c r="E3371" s="1" t="str">
        <f>IFERROR(__xludf.DUMMYFUNCTION("""COMPUTED_VALUE"""),"PLDT / H2H")</f>
        <v>PLDT / H2H</v>
      </c>
      <c r="F3371" s="1"/>
      <c r="G3371" s="1">
        <f>IFERROR(__xludf.DUMMYFUNCTION("""COMPUTED_VALUE"""),2313066060)</f>
        <v>2313066060</v>
      </c>
      <c r="H3371" s="1" t="str">
        <f>IFERROR(__xludf.DUMMYFUNCTION("""COMPUTED_VALUE"""),"474890516004")</f>
        <v>474890516004</v>
      </c>
      <c r="I3371" s="1">
        <f>IFERROR(__xludf.DUMMYFUNCTION("""COMPUTED_VALUE"""),639273462752)</f>
        <v>639273462752</v>
      </c>
      <c r="J3371" s="1"/>
      <c r="K3371" s="1"/>
      <c r="L3371" s="1" t="str">
        <f>IFERROR(__xludf.DUMMYFUNCTION("""COMPUTED_VALUE"""),"9036")</f>
        <v>9036</v>
      </c>
      <c r="M3371" s="1" t="str">
        <f>IFERROR(__xludf.DUMMYFUNCTION("""COMPUTED_VALUE"""),"KAP L C SALAZAR")</f>
        <v>KAP L C SALAZAR</v>
      </c>
      <c r="N3371" s="1" t="str">
        <f>IFERROR(__xludf.DUMMYFUNCTION("""COMPUTED_VALUE"""),"UNIT C3")</f>
        <v>UNIT C3</v>
      </c>
      <c r="O3371" s="1" t="str">
        <f>IFERROR(__xludf.DUMMYFUNCTION("""COMPUTED_VALUE"""),"BUKAL")</f>
        <v>BUKAL</v>
      </c>
      <c r="P3371" s="1" t="str">
        <f>IFERROR(__xludf.DUMMYFUNCTION("""COMPUTED_VALUE"""),"MENDEZ")</f>
        <v>MENDEZ</v>
      </c>
      <c r="Q3371" s="1" t="str">
        <f>IFERROR(__xludf.DUMMYFUNCTION("""COMPUTED_VALUE"""),"CAVITE")</f>
        <v>CAVITE</v>
      </c>
      <c r="R3371" s="1" t="str">
        <f>IFERROR(__xludf.DUMMYFUNCTION("""COMPUTED_VALUE"""),"FIBER UNLI PLAN 1399")</f>
        <v>FIBER UNLI PLAN 1399</v>
      </c>
      <c r="S3371" s="1" t="str">
        <f>IFERROR(__xludf.DUMMYFUNCTION("""COMPUTED_VALUE"""),"APPROVED")</f>
        <v>APPROVED</v>
      </c>
      <c r="T3371" s="1" t="str">
        <f>IFERROR(__xludf.DUMMYFUNCTION("""COMPUTED_VALUE"""),"CANCELLED")</f>
        <v>CANCELLED</v>
      </c>
      <c r="U3371" s="1" t="str">
        <f>IFERROR(__xludf.DUMMYFUNCTION("""COMPUTED_VALUE"""),"CSP CANCELLED")</f>
        <v>CSP CANCELLED</v>
      </c>
      <c r="V3371" s="1" t="str">
        <f>IFERROR(__xludf.DUMMYFUNCTION("""COMPUTED_VALUE"""),"NO 1 AMSF")</f>
        <v>NO 1 AMSF</v>
      </c>
      <c r="W3371" s="1"/>
    </row>
    <row r="3372" customHeight="1" spans="1:23">
      <c r="A3372" s="3">
        <f>IFERROR(__xludf.DUMMYFUNCTION("""COMPUTED_VALUE"""),46304)</f>
        <v>46304</v>
      </c>
      <c r="B3372" s="1" t="str">
        <f>IFERROR(__xludf.DUMMYFUNCTION("""COMPUTED_VALUE"""),"MALIWAT MARK ELVIN")</f>
        <v>MALIWAT MARK ELVIN</v>
      </c>
      <c r="C3372" s="1" t="str">
        <f>IFERROR(__xludf.DUMMYFUNCTION("""COMPUTED_VALUE"""),"FLA")</f>
        <v>FLA</v>
      </c>
      <c r="D3372" s="1" t="str">
        <f>IFERROR(__xludf.DUMMYFUNCTION("""COMPUTED_VALUE"""),"JERIC NAVARRO")</f>
        <v>JERIC NAVARRO</v>
      </c>
      <c r="E3372" s="1" t="str">
        <f>IFERROR(__xludf.DUMMYFUNCTION("""COMPUTED_VALUE"""),"PLDT / H2H")</f>
        <v>PLDT / H2H</v>
      </c>
      <c r="F3372" s="1"/>
      <c r="G3372" s="1">
        <f>IFERROR(__xludf.DUMMYFUNCTION("""COMPUTED_VALUE"""),2313066848)</f>
        <v>2313066848</v>
      </c>
      <c r="H3372" s="1" t="str">
        <f>IFERROR(__xludf.DUMMYFUNCTION("""COMPUTED_VALUE"""),"474890477004")</f>
        <v>474890477004</v>
      </c>
      <c r="I3372" s="1">
        <f>IFERROR(__xludf.DUMMYFUNCTION("""COMPUTED_VALUE"""),639682382168)</f>
        <v>639682382168</v>
      </c>
      <c r="J3372" s="1"/>
      <c r="K3372" s="1"/>
      <c r="L3372" s="1" t="str">
        <f>IFERROR(__xludf.DUMMYFUNCTION("""COMPUTED_VALUE"""),"6522")</f>
        <v>6522</v>
      </c>
      <c r="M3372" s="1" t="str">
        <f>IFERROR(__xludf.DUMMYFUNCTION("""COMPUTED_VALUE"""),"GENEROSITY COR JUSTICE")</f>
        <v>GENEROSITY COR JUSTICE</v>
      </c>
      <c r="N3372" s="1" t="str">
        <f>IFERROR(__xludf.DUMMYFUNCTION("""COMPUTED_VALUE"""),"PAMOSO SERENATA PUROK 35")</f>
        <v>PAMOSO SERENATA PUROK 35</v>
      </c>
      <c r="O3372" s="1" t="str">
        <f>IFERROR(__xludf.DUMMYFUNCTION("""COMPUTED_VALUE"""),"GUINHAWA SOUTH")</f>
        <v>GUINHAWA SOUTH</v>
      </c>
      <c r="P3372" s="1" t="str">
        <f>IFERROR(__xludf.DUMMYFUNCTION("""COMPUTED_VALUE"""),"TAGAYTAY")</f>
        <v>TAGAYTAY</v>
      </c>
      <c r="Q3372" s="1" t="str">
        <f>IFERROR(__xludf.DUMMYFUNCTION("""COMPUTED_VALUE"""),"CAVITE")</f>
        <v>CAVITE</v>
      </c>
      <c r="R3372" s="1" t="str">
        <f>IFERROR(__xludf.DUMMYFUNCTION("""COMPUTED_VALUE"""),"FIBER UNLI ALL PLAN 1899")</f>
        <v>FIBER UNLI ALL PLAN 1899</v>
      </c>
      <c r="S3372" s="1" t="str">
        <f>IFERROR(__xludf.DUMMYFUNCTION("""COMPUTED_VALUE"""),"APPROVED")</f>
        <v>APPROVED</v>
      </c>
      <c r="T3372" s="1" t="str">
        <f>IFERROR(__xludf.DUMMYFUNCTION("""COMPUTED_VALUE"""),"CLOSED")</f>
        <v>CLOSED</v>
      </c>
      <c r="U3372" s="1" t="str">
        <f>IFERROR(__xludf.DUMMYFUNCTION("""COMPUTED_VALUE"""),"POSTED")</f>
        <v>POSTED</v>
      </c>
      <c r="V3372" s="1" t="str">
        <f>IFERROR(__xludf.DUMMYFUNCTION("""COMPUTED_VALUE"""),"WITH 1 AMSF")</f>
        <v>WITH 1 AMSF</v>
      </c>
      <c r="W3372" s="1"/>
    </row>
    <row r="3373" customHeight="1" spans="1:23">
      <c r="A3373" s="3">
        <f>IFERROR(__xludf.DUMMYFUNCTION("""COMPUTED_VALUE"""),46304)</f>
        <v>46304</v>
      </c>
      <c r="B3373" s="1" t="str">
        <f>IFERROR(__xludf.DUMMYFUNCTION("""COMPUTED_VALUE"""),"ESCARCHA, MA ALMA  ESCOTO")</f>
        <v>ESCARCHA, MA ALMA  ESCOTO</v>
      </c>
      <c r="C3373" s="1" t="str">
        <f>IFERROR(__xludf.DUMMYFUNCTION("""COMPUTED_VALUE"""),"ORGANIC")</f>
        <v>ORGANIC</v>
      </c>
      <c r="D3373" s="1" t="str">
        <f>IFERROR(__xludf.DUMMYFUNCTION("""COMPUTED_VALUE"""),"REMOLLO LEA")</f>
        <v>REMOLLO LEA</v>
      </c>
      <c r="E3373" s="1" t="str">
        <f>IFERROR(__xludf.DUMMYFUNCTION("""COMPUTED_VALUE"""),"PLDT / H2H")</f>
        <v>PLDT / H2H</v>
      </c>
      <c r="F3373" s="1"/>
      <c r="G3373" s="1">
        <f>IFERROR(__xludf.DUMMYFUNCTION("""COMPUTED_VALUE"""),2313069580)</f>
        <v>2313069580</v>
      </c>
      <c r="H3373" s="1" t="str">
        <f>IFERROR(__xludf.DUMMYFUNCTION("""COMPUTED_VALUE"""),"475033701004")</f>
        <v>475033701004</v>
      </c>
      <c r="I3373" s="1">
        <f>IFERROR(__xludf.DUMMYFUNCTION("""COMPUTED_VALUE"""),639319248660)</f>
        <v>639319248660</v>
      </c>
      <c r="J3373" s="1"/>
      <c r="K3373" s="1"/>
      <c r="L3373" s="1" t="str">
        <f>IFERROR(__xludf.DUMMYFUNCTION("""COMPUTED_VALUE"""),"015-BL-022")</f>
        <v>015-BL-022</v>
      </c>
      <c r="M3373" s="1" t="str">
        <f>IFERROR(__xludf.DUMMYFUNCTION("""COMPUTED_VALUE"""),"ANAHAW 1")</f>
        <v>ANAHAW 1</v>
      </c>
      <c r="N3373" s="1" t="str">
        <f>IFERROR(__xludf.DUMMYFUNCTION("""COMPUTED_VALUE"""),"#N/A")</f>
        <v>#N/A</v>
      </c>
      <c r="O3373" s="1" t="str">
        <f>IFERROR(__xludf.DUMMYFUNCTION("""COMPUTED_VALUE"""),"ANAHAW I")</f>
        <v>ANAHAW I</v>
      </c>
      <c r="P3373" s="1" t="str">
        <f>IFERROR(__xludf.DUMMYFUNCTION("""COMPUTED_VALUE"""),"SILANG")</f>
        <v>SILANG</v>
      </c>
      <c r="Q3373" s="1" t="str">
        <f>IFERROR(__xludf.DUMMYFUNCTION("""COMPUTED_VALUE"""),"CAVITE")</f>
        <v>CAVITE</v>
      </c>
      <c r="R3373" s="1" t="str">
        <f>IFERROR(__xludf.DUMMYFUNCTION("""COMPUTED_VALUE"""),"FIBER UNLI PLAN 1399")</f>
        <v>FIBER UNLI PLAN 1399</v>
      </c>
      <c r="S3373" s="1" t="str">
        <f>IFERROR(__xludf.DUMMYFUNCTION("""COMPUTED_VALUE"""),"APPROVED")</f>
        <v>APPROVED</v>
      </c>
      <c r="T3373" s="1" t="str">
        <f>IFERROR(__xludf.DUMMYFUNCTION("""COMPUTED_VALUE"""),"FOR PAYMENT")</f>
        <v>FOR PAYMENT</v>
      </c>
      <c r="U3373" s="1" t="str">
        <f>IFERROR(__xludf.DUMMYFUNCTION("""COMPUTED_VALUE"""),"FOR PAYMENT")</f>
        <v>FOR PAYMENT</v>
      </c>
      <c r="V3373" s="1"/>
      <c r="W3373" s="1"/>
    </row>
    <row r="3374" customHeight="1" spans="1:23">
      <c r="A3374" s="3">
        <f>IFERROR(__xludf.DUMMYFUNCTION("""COMPUTED_VALUE"""),46305)</f>
        <v>46305</v>
      </c>
      <c r="B3374" s="1" t="str">
        <f>IFERROR(__xludf.DUMMYFUNCTION("""COMPUTED_VALUE"""),"ARIENA, LYKA")</f>
        <v>ARIENA, LYKA</v>
      </c>
      <c r="C3374" s="1" t="str">
        <f>IFERROR(__xludf.DUMMYFUNCTION("""COMPUTED_VALUE"""),"ORGANIC")</f>
        <v>ORGANIC</v>
      </c>
      <c r="D3374" s="1" t="str">
        <f>IFERROR(__xludf.DUMMYFUNCTION("""COMPUTED_VALUE"""),"REMOLLO LEA")</f>
        <v>REMOLLO LEA</v>
      </c>
      <c r="E3374" s="1" t="str">
        <f>IFERROR(__xludf.DUMMYFUNCTION("""COMPUTED_VALUE"""),"PLDT / H2H")</f>
        <v>PLDT / H2H</v>
      </c>
      <c r="F3374" s="1"/>
      <c r="G3374" s="1">
        <f>IFERROR(__xludf.DUMMYFUNCTION("""COMPUTED_VALUE"""),2313079525)</f>
        <v>2313079525</v>
      </c>
      <c r="H3374" s="1" t="str">
        <f>IFERROR(__xludf.DUMMYFUNCTION("""COMPUTED_VALUE"""),"474995361004")</f>
        <v>474995361004</v>
      </c>
      <c r="I3374" s="1">
        <f>IFERROR(__xludf.DUMMYFUNCTION("""COMPUTED_VALUE"""),639171847551)</f>
        <v>639171847551</v>
      </c>
      <c r="J3374" s="1"/>
      <c r="K3374" s="1"/>
      <c r="L3374" s="1" t="str">
        <f>IFERROR(__xludf.DUMMYFUNCTION("""COMPUTED_VALUE"""),"9780")</f>
        <v>9780</v>
      </c>
      <c r="M3374" s="1" t="str">
        <f>IFERROR(__xludf.DUMMYFUNCTION("""COMPUTED_VALUE"""),"ALTAREZ")</f>
        <v>ALTAREZ</v>
      </c>
      <c r="N3374" s="1" t="str">
        <f>IFERROR(__xludf.DUMMYFUNCTION("""COMPUTED_VALUE"""),"ALTAREZ VILLAGE")</f>
        <v>ALTAREZ VILLAGE</v>
      </c>
      <c r="O3374" s="1" t="str">
        <f>IFERROR(__xludf.DUMMYFUNCTION("""COMPUTED_VALUE"""),"MADUYA")</f>
        <v>MADUYA</v>
      </c>
      <c r="P3374" s="1" t="str">
        <f>IFERROR(__xludf.DUMMYFUNCTION("""COMPUTED_VALUE"""),"CARMONA")</f>
        <v>CARMONA</v>
      </c>
      <c r="Q3374" s="1" t="str">
        <f>IFERROR(__xludf.DUMMYFUNCTION("""COMPUTED_VALUE"""),"CAVITE")</f>
        <v>CAVITE</v>
      </c>
      <c r="R3374" s="1" t="str">
        <f>IFERROR(__xludf.DUMMYFUNCTION("""COMPUTED_VALUE"""),"FIBER UNLI PLAN 1399")</f>
        <v>FIBER UNLI PLAN 1399</v>
      </c>
      <c r="S3374" s="1" t="str">
        <f>IFERROR(__xludf.DUMMYFUNCTION("""COMPUTED_VALUE"""),"APPROVED")</f>
        <v>APPROVED</v>
      </c>
      <c r="T3374" s="1" t="str">
        <f>IFERROR(__xludf.DUMMYFUNCTION("""COMPUTED_VALUE"""),"PAID")</f>
        <v>PAID</v>
      </c>
      <c r="U3374" s="1" t="str">
        <f>IFERROR(__xludf.DUMMYFUNCTION("""COMPUTED_VALUE"""),"PAID - FOR INSTALLATION")</f>
        <v>PAID - FOR INSTALLATION</v>
      </c>
      <c r="V3374" s="1" t="str">
        <f>IFERROR(__xludf.DUMMYFUNCTION("""COMPUTED_VALUE"""),"WITH 1 AMSF")</f>
        <v>WITH 1 AMSF</v>
      </c>
      <c r="W3374" s="1"/>
    </row>
    <row r="3375" customHeight="1" spans="1:23">
      <c r="A3375" s="3">
        <f>IFERROR(__xludf.DUMMYFUNCTION("""COMPUTED_VALUE"""),46305)</f>
        <v>46305</v>
      </c>
      <c r="B3375" s="1" t="str">
        <f>IFERROR(__xludf.DUMMYFUNCTION("""COMPUTED_VALUE"""),"ALINGARO, CINDY")</f>
        <v>ALINGARO, CINDY</v>
      </c>
      <c r="C3375" s="1" t="str">
        <f>IFERROR(__xludf.DUMMYFUNCTION("""COMPUTED_VALUE"""),"ORGANIC")</f>
        <v>ORGANIC</v>
      </c>
      <c r="D3375" s="1" t="str">
        <f>IFERROR(__xludf.DUMMYFUNCTION("""COMPUTED_VALUE"""),"REMOLLO LEA")</f>
        <v>REMOLLO LEA</v>
      </c>
      <c r="E3375" s="1" t="str">
        <f>IFERROR(__xludf.DUMMYFUNCTION("""COMPUTED_VALUE"""),"PLDT / H2H")</f>
        <v>PLDT / H2H</v>
      </c>
      <c r="F3375" s="1"/>
      <c r="G3375" s="1">
        <f>IFERROR(__xludf.DUMMYFUNCTION("""COMPUTED_VALUE"""),2313080023)</f>
        <v>2313080023</v>
      </c>
      <c r="H3375" s="1" t="str">
        <f>IFERROR(__xludf.DUMMYFUNCTION("""COMPUTED_VALUE"""),"474973633004")</f>
        <v>474973633004</v>
      </c>
      <c r="I3375" s="1">
        <f>IFERROR(__xludf.DUMMYFUNCTION("""COMPUTED_VALUE"""),639555683501)</f>
        <v>639555683501</v>
      </c>
      <c r="J3375" s="1"/>
      <c r="K3375" s="1"/>
      <c r="L3375" s="1" t="str">
        <f>IFERROR(__xludf.DUMMYFUNCTION("""COMPUTED_VALUE"""),"28A")</f>
        <v>28A</v>
      </c>
      <c r="M3375" s="1" t="str">
        <f>IFERROR(__xludf.DUMMYFUNCTION("""COMPUTED_VALUE"""),"BORROMEO")</f>
        <v>BORROMEO</v>
      </c>
      <c r="N3375" s="1" t="str">
        <f>IFERROR(__xludf.DUMMYFUNCTION("""COMPUTED_VALUE"""),"LETICIA PROTACIO APARTMENT")</f>
        <v>LETICIA PROTACIO APARTMENT</v>
      </c>
      <c r="O3375" s="1" t="str">
        <f>IFERROR(__xludf.DUMMYFUNCTION("""COMPUTED_VALUE"""),"BILUSO")</f>
        <v>BILUSO</v>
      </c>
      <c r="P3375" s="1" t="str">
        <f>IFERROR(__xludf.DUMMYFUNCTION("""COMPUTED_VALUE"""),"SILANG")</f>
        <v>SILANG</v>
      </c>
      <c r="Q3375" s="1" t="str">
        <f>IFERROR(__xludf.DUMMYFUNCTION("""COMPUTED_VALUE"""),"CAVITE")</f>
        <v>CAVITE</v>
      </c>
      <c r="R3375" s="1" t="str">
        <f>IFERROR(__xludf.DUMMYFUNCTION("""COMPUTED_VALUE"""),"FIBER UNLI PLAN 1399")</f>
        <v>FIBER UNLI PLAN 1399</v>
      </c>
      <c r="S3375" s="1" t="str">
        <f>IFERROR(__xludf.DUMMYFUNCTION("""COMPUTED_VALUE"""),"APPROVED")</f>
        <v>APPROVED</v>
      </c>
      <c r="T3375" s="1" t="str">
        <f>IFERROR(__xludf.DUMMYFUNCTION("""COMPUTED_VALUE"""),"RPR")</f>
        <v>RPR</v>
      </c>
      <c r="U3375" s="1" t="str">
        <f>IFERROR(__xludf.DUMMYFUNCTION("""COMPUTED_VALUE"""),"RPR - SUBS CANCEL REQUEST")</f>
        <v>RPR - SUBS CANCEL REQUEST</v>
      </c>
      <c r="V3375" s="1" t="str">
        <f>IFERROR(__xludf.DUMMYFUNCTION("""COMPUTED_VALUE"""),"NO 1 AMSF")</f>
        <v>NO 1 AMSF</v>
      </c>
      <c r="W3375" s="1"/>
    </row>
    <row r="3376" customHeight="1" spans="1:23">
      <c r="A3376" s="3">
        <f>IFERROR(__xludf.DUMMYFUNCTION("""COMPUTED_VALUE"""),46305)</f>
        <v>46305</v>
      </c>
      <c r="B3376" s="1" t="str">
        <f>IFERROR(__xludf.DUMMYFUNCTION("""COMPUTED_VALUE"""),"TAMAYO, MARY ROSE")</f>
        <v>TAMAYO, MARY ROSE</v>
      </c>
      <c r="C3376" s="1" t="str">
        <f>IFERROR(__xludf.DUMMYFUNCTION("""COMPUTED_VALUE"""),"ORGANIC")</f>
        <v>ORGANIC</v>
      </c>
      <c r="D3376" s="1" t="str">
        <f>IFERROR(__xludf.DUMMYFUNCTION("""COMPUTED_VALUE"""),"REMOLLO LEA")</f>
        <v>REMOLLO LEA</v>
      </c>
      <c r="E3376" s="1" t="str">
        <f>IFERROR(__xludf.DUMMYFUNCTION("""COMPUTED_VALUE"""),"PLDT / H2H")</f>
        <v>PLDT / H2H</v>
      </c>
      <c r="F3376" s="1"/>
      <c r="G3376" s="1">
        <f>IFERROR(__xludf.DUMMYFUNCTION("""COMPUTED_VALUE"""),2313080518)</f>
        <v>2313080518</v>
      </c>
      <c r="H3376" s="1" t="str">
        <f>IFERROR(__xludf.DUMMYFUNCTION("""COMPUTED_VALUE"""),"475123728004")</f>
        <v>475123728004</v>
      </c>
      <c r="I3376" s="1">
        <f>IFERROR(__xludf.DUMMYFUNCTION("""COMPUTED_VALUE"""),639497801873)</f>
        <v>639497801873</v>
      </c>
      <c r="J3376" s="1">
        <f>IFERROR(__xludf.DUMMYFUNCTION("""COMPUTED_VALUE"""),639279128397)</f>
        <v>639279128397</v>
      </c>
      <c r="K3376" s="1"/>
      <c r="L3376" s="1" t="str">
        <f>IFERROR(__xludf.DUMMYFUNCTION("""COMPUTED_VALUE"""),"UNIT H")</f>
        <v>UNIT H</v>
      </c>
      <c r="M3376" s="1" t="str">
        <f>IFERROR(__xludf.DUMMYFUNCTION("""COMPUTED_VALUE"""),"CAUSAREN")</f>
        <v>CAUSAREN</v>
      </c>
      <c r="N3376" s="1" t="str">
        <f>IFERROR(__xludf.DUMMYFUNCTION("""COMPUTED_VALUE"""),"DANILO APARTMENT")</f>
        <v>DANILO APARTMENT</v>
      </c>
      <c r="O3376" s="1" t="str">
        <f>IFERROR(__xludf.DUMMYFUNCTION("""COMPUTED_VALUE"""),"BUHO")</f>
        <v>BUHO</v>
      </c>
      <c r="P3376" s="1" t="str">
        <f>IFERROR(__xludf.DUMMYFUNCTION("""COMPUTED_VALUE"""),"SILANG")</f>
        <v>SILANG</v>
      </c>
      <c r="Q3376" s="1" t="str">
        <f>IFERROR(__xludf.DUMMYFUNCTION("""COMPUTED_VALUE"""),"CAVITE")</f>
        <v>CAVITE</v>
      </c>
      <c r="R3376" s="1" t="str">
        <f>IFERROR(__xludf.DUMMYFUNCTION("""COMPUTED_VALUE"""),"FIBER UNLI PLAN 1399")</f>
        <v>FIBER UNLI PLAN 1399</v>
      </c>
      <c r="S3376" s="1" t="str">
        <f>IFERROR(__xludf.DUMMYFUNCTION("""COMPUTED_VALUE"""),"APPROVED")</f>
        <v>APPROVED</v>
      </c>
      <c r="T3376" s="1" t="str">
        <f>IFERROR(__xludf.DUMMYFUNCTION("""COMPUTED_VALUE"""),"CLOSED")</f>
        <v>CLOSED</v>
      </c>
      <c r="U3376" s="1" t="str">
        <f>IFERROR(__xludf.DUMMYFUNCTION("""COMPUTED_VALUE"""),"POSTED")</f>
        <v>POSTED</v>
      </c>
      <c r="V3376" s="1" t="str">
        <f>IFERROR(__xludf.DUMMYFUNCTION("""COMPUTED_VALUE"""),"WITH 1 AMSF")</f>
        <v>WITH 1 AMSF</v>
      </c>
      <c r="W3376" s="1"/>
    </row>
    <row r="3377" customHeight="1" spans="1:23">
      <c r="A3377" s="3">
        <f>IFERROR(__xludf.DUMMYFUNCTION("""COMPUTED_VALUE"""),46305)</f>
        <v>46305</v>
      </c>
      <c r="B3377" s="1" t="str">
        <f>IFERROR(__xludf.DUMMYFUNCTION("""COMPUTED_VALUE"""),"CORNELIO, CATHERINE")</f>
        <v>CORNELIO, CATHERINE</v>
      </c>
      <c r="C3377" s="1" t="str">
        <f>IFERROR(__xludf.DUMMYFUNCTION("""COMPUTED_VALUE"""),"ORGANIC")</f>
        <v>ORGANIC</v>
      </c>
      <c r="D3377" s="1" t="str">
        <f>IFERROR(__xludf.DUMMYFUNCTION("""COMPUTED_VALUE"""),"REMOLLO LEA")</f>
        <v>REMOLLO LEA</v>
      </c>
      <c r="E3377" s="1" t="str">
        <f>IFERROR(__xludf.DUMMYFUNCTION("""COMPUTED_VALUE"""),"PLDT / H2H")</f>
        <v>PLDT / H2H</v>
      </c>
      <c r="F3377" s="1"/>
      <c r="G3377" s="1">
        <f>IFERROR(__xludf.DUMMYFUNCTION("""COMPUTED_VALUE"""),2313080996)</f>
        <v>2313080996</v>
      </c>
      <c r="H3377" s="1" t="str">
        <f>IFERROR(__xludf.DUMMYFUNCTION("""COMPUTED_VALUE"""),"475124039004")</f>
        <v>475124039004</v>
      </c>
      <c r="I3377" s="1">
        <f>IFERROR(__xludf.DUMMYFUNCTION("""COMPUTED_VALUE"""),639707310995)</f>
        <v>639707310995</v>
      </c>
      <c r="J3377" s="1">
        <f>IFERROR(__xludf.DUMMYFUNCTION("""COMPUTED_VALUE"""),639568334734)</f>
        <v>639568334734</v>
      </c>
      <c r="K3377" s="1"/>
      <c r="L3377" s="1" t="str">
        <f>IFERROR(__xludf.DUMMYFUNCTION("""COMPUTED_VALUE"""),"73")</f>
        <v>73</v>
      </c>
      <c r="M3377" s="1" t="str">
        <f>IFERROR(__xludf.DUMMYFUNCTION("""COMPUTED_VALUE"""),"BOROMMEO")</f>
        <v>BOROMMEO</v>
      </c>
      <c r="N3377" s="1"/>
      <c r="O3377" s="1" t="str">
        <f>IFERROR(__xludf.DUMMYFUNCTION("""COMPUTED_VALUE"""),"BILUSO")</f>
        <v>BILUSO</v>
      </c>
      <c r="P3377" s="1" t="str">
        <f>IFERROR(__xludf.DUMMYFUNCTION("""COMPUTED_VALUE"""),"SILANG")</f>
        <v>SILANG</v>
      </c>
      <c r="Q3377" s="1" t="str">
        <f>IFERROR(__xludf.DUMMYFUNCTION("""COMPUTED_VALUE"""),"CAVITE")</f>
        <v>CAVITE</v>
      </c>
      <c r="R3377" s="1" t="str">
        <f>IFERROR(__xludf.DUMMYFUNCTION("""COMPUTED_VALUE"""),"FIBR UNLI ALL PLAN 999")</f>
        <v>FIBR UNLI ALL PLAN 999</v>
      </c>
      <c r="S3377" s="1" t="str">
        <f>IFERROR(__xludf.DUMMYFUNCTION("""COMPUTED_VALUE"""),"APPROVED")</f>
        <v>APPROVED</v>
      </c>
      <c r="T3377" s="1" t="str">
        <f>IFERROR(__xludf.DUMMYFUNCTION("""COMPUTED_VALUE"""),"FOR PAYMENT")</f>
        <v>FOR PAYMENT</v>
      </c>
      <c r="U3377" s="1" t="str">
        <f>IFERROR(__xludf.DUMMYFUNCTION("""COMPUTED_VALUE"""),"FOR PAYMENT")</f>
        <v>FOR PAYMENT</v>
      </c>
      <c r="V3377" s="1"/>
      <c r="W3377" s="1"/>
    </row>
    <row r="3378" customHeight="1" spans="1:23">
      <c r="A3378" s="3">
        <f>IFERROR(__xludf.DUMMYFUNCTION("""COMPUTED_VALUE"""),46305)</f>
        <v>46305</v>
      </c>
      <c r="B3378" s="1" t="str">
        <f>IFERROR(__xludf.DUMMYFUNCTION("""COMPUTED_VALUE"""),"ALINGARO, CINDY")</f>
        <v>ALINGARO, CINDY</v>
      </c>
      <c r="C3378" s="1" t="str">
        <f>IFERROR(__xludf.DUMMYFUNCTION("""COMPUTED_VALUE"""),"ORGANIC")</f>
        <v>ORGANIC</v>
      </c>
      <c r="D3378" s="1" t="str">
        <f>IFERROR(__xludf.DUMMYFUNCTION("""COMPUTED_VALUE"""),"REMOLLO LEA")</f>
        <v>REMOLLO LEA</v>
      </c>
      <c r="E3378" s="1" t="str">
        <f>IFERROR(__xludf.DUMMYFUNCTION("""COMPUTED_VALUE"""),"PLDT / H2H")</f>
        <v>PLDT / H2H</v>
      </c>
      <c r="F3378" s="1"/>
      <c r="G3378" s="1">
        <f>IFERROR(__xludf.DUMMYFUNCTION("""COMPUTED_VALUE"""),2313081452)</f>
        <v>2313081452</v>
      </c>
      <c r="H3378" s="1" t="str">
        <f>IFERROR(__xludf.DUMMYFUNCTION("""COMPUTED_VALUE"""),"475024770004")</f>
        <v>475024770004</v>
      </c>
      <c r="I3378" s="1">
        <f>IFERROR(__xludf.DUMMYFUNCTION("""COMPUTED_VALUE"""),639539259830)</f>
        <v>639539259830</v>
      </c>
      <c r="J3378" s="1">
        <f>IFERROR(__xludf.DUMMYFUNCTION("""COMPUTED_VALUE"""),639530832304)</f>
        <v>639530832304</v>
      </c>
      <c r="K3378" s="1"/>
      <c r="L3378" s="1" t="str">
        <f>IFERROR(__xludf.DUMMYFUNCTION("""COMPUTED_VALUE"""),"39A")</f>
        <v>39A</v>
      </c>
      <c r="M3378" s="1" t="str">
        <f>IFERROR(__xludf.DUMMYFUNCTION("""COMPUTED_VALUE"""),"PUROK 2")</f>
        <v>PUROK 2</v>
      </c>
      <c r="N3378" s="1" t="str">
        <f>IFERROR(__xludf.DUMMYFUNCTION("""COMPUTED_VALUE"""),"#N/A")</f>
        <v>#N/A</v>
      </c>
      <c r="O3378" s="1" t="str">
        <f>IFERROR(__xludf.DUMMYFUNCTION("""COMPUTED_VALUE"""),"BILUSO")</f>
        <v>BILUSO</v>
      </c>
      <c r="P3378" s="1" t="str">
        <f>IFERROR(__xludf.DUMMYFUNCTION("""COMPUTED_VALUE"""),"SILANG")</f>
        <v>SILANG</v>
      </c>
      <c r="Q3378" s="1" t="str">
        <f>IFERROR(__xludf.DUMMYFUNCTION("""COMPUTED_VALUE"""),"CAVITE")</f>
        <v>CAVITE</v>
      </c>
      <c r="R3378" s="1" t="str">
        <f>IFERROR(__xludf.DUMMYFUNCTION("""COMPUTED_VALUE"""),"FIBER UNLI PLAN 1399")</f>
        <v>FIBER UNLI PLAN 1399</v>
      </c>
      <c r="S3378" s="1" t="str">
        <f>IFERROR(__xludf.DUMMYFUNCTION("""COMPUTED_VALUE"""),"APPROVED")</f>
        <v>APPROVED</v>
      </c>
      <c r="T3378" s="1" t="str">
        <f>IFERROR(__xludf.DUMMYFUNCTION("""COMPUTED_VALUE"""),"CLOSED")</f>
        <v>CLOSED</v>
      </c>
      <c r="U3378" s="1" t="str">
        <f>IFERROR(__xludf.DUMMYFUNCTION("""COMPUTED_VALUE"""),"POSTED")</f>
        <v>POSTED</v>
      </c>
      <c r="V3378" s="1" t="str">
        <f>IFERROR(__xludf.DUMMYFUNCTION("""COMPUTED_VALUE"""),"NO 1 AMSF")</f>
        <v>NO 1 AMSF</v>
      </c>
      <c r="W3378" s="1"/>
    </row>
    <row r="3379" customHeight="1" spans="1:23">
      <c r="A3379" s="3">
        <f>IFERROR(__xludf.DUMMYFUNCTION("""COMPUTED_VALUE"""),46305)</f>
        <v>46305</v>
      </c>
      <c r="B3379" s="1" t="str">
        <f>IFERROR(__xludf.DUMMYFUNCTION("""COMPUTED_VALUE"""),"LOTOJA, LOVELY JOICE")</f>
        <v>LOTOJA, LOVELY JOICE</v>
      </c>
      <c r="C3379" s="1" t="str">
        <f>IFERROR(__xludf.DUMMYFUNCTION("""COMPUTED_VALUE"""),"ORGANIC")</f>
        <v>ORGANIC</v>
      </c>
      <c r="D3379" s="1" t="str">
        <f>IFERROR(__xludf.DUMMYFUNCTION("""COMPUTED_VALUE"""),"REMOLLO LEA")</f>
        <v>REMOLLO LEA</v>
      </c>
      <c r="E3379" s="1" t="str">
        <f>IFERROR(__xludf.DUMMYFUNCTION("""COMPUTED_VALUE"""),"PLDT / H2H")</f>
        <v>PLDT / H2H</v>
      </c>
      <c r="F3379" s="1"/>
      <c r="G3379" s="1">
        <f>IFERROR(__xludf.DUMMYFUNCTION("""COMPUTED_VALUE"""),2313101225)</f>
        <v>2313101225</v>
      </c>
      <c r="H3379" s="1" t="str">
        <f>IFERROR(__xludf.DUMMYFUNCTION("""COMPUTED_VALUE"""),"475124436004")</f>
        <v>475124436004</v>
      </c>
      <c r="I3379" s="1">
        <f>IFERROR(__xludf.DUMMYFUNCTION("""COMPUTED_VALUE"""),639192890511)</f>
        <v>639192890511</v>
      </c>
      <c r="J3379" s="1"/>
      <c r="K3379" s="1"/>
      <c r="L3379" s="1" t="str">
        <f>IFERROR(__xludf.DUMMYFUNCTION("""COMPUTED_VALUE"""),"16")</f>
        <v>16</v>
      </c>
      <c r="M3379" s="1" t="str">
        <f>IFERROR(__xludf.DUMMYFUNCTION("""COMPUTED_VALUE"""),"PUROK 1")</f>
        <v>PUROK 1</v>
      </c>
      <c r="N3379" s="1" t="str">
        <f>IFERROR(__xludf.DUMMYFUNCTION("""COMPUTED_VALUE"""),"#N/A")</f>
        <v>#N/A</v>
      </c>
      <c r="O3379" s="1" t="str">
        <f>IFERROR(__xludf.DUMMYFUNCTION("""COMPUTED_VALUE"""),"BILUSO")</f>
        <v>BILUSO</v>
      </c>
      <c r="P3379" s="1" t="str">
        <f>IFERROR(__xludf.DUMMYFUNCTION("""COMPUTED_VALUE"""),"SILANG")</f>
        <v>SILANG</v>
      </c>
      <c r="Q3379" s="1" t="str">
        <f>IFERROR(__xludf.DUMMYFUNCTION("""COMPUTED_VALUE"""),"CAVITE")</f>
        <v>CAVITE</v>
      </c>
      <c r="R3379" s="1" t="str">
        <f>IFERROR(__xludf.DUMMYFUNCTION("""COMPUTED_VALUE"""),"FIBER UNLI PLAN 1399")</f>
        <v>FIBER UNLI PLAN 1399</v>
      </c>
      <c r="S3379" s="1" t="str">
        <f>IFERROR(__xludf.DUMMYFUNCTION("""COMPUTED_VALUE"""),"APPROVED")</f>
        <v>APPROVED</v>
      </c>
      <c r="T3379" s="1" t="str">
        <f>IFERROR(__xludf.DUMMYFUNCTION("""COMPUTED_VALUE"""),"ORDER CREATED")</f>
        <v>ORDER CREATED</v>
      </c>
      <c r="U3379" s="1" t="str">
        <f>IFERROR(__xludf.DUMMYFUNCTION("""COMPUTED_VALUE"""),"OPEN")</f>
        <v>OPEN</v>
      </c>
      <c r="V3379" s="1" t="str">
        <f>IFERROR(__xludf.DUMMYFUNCTION("""COMPUTED_VALUE"""),"NO 1 AMSF")</f>
        <v>NO 1 AMSF</v>
      </c>
      <c r="W3379" s="1"/>
    </row>
    <row r="3380" customHeight="1" spans="1:23">
      <c r="A3380" s="3">
        <f>IFERROR(__xludf.DUMMYFUNCTION("""COMPUTED_VALUE"""),46305)</f>
        <v>46305</v>
      </c>
      <c r="B3380" s="1" t="str">
        <f>IFERROR(__xludf.DUMMYFUNCTION("""COMPUTED_VALUE"""),"MAGDARAOG, KENNETH")</f>
        <v>MAGDARAOG, KENNETH</v>
      </c>
      <c r="C3380" s="1" t="str">
        <f>IFERROR(__xludf.DUMMYFUNCTION("""COMPUTED_VALUE"""),"ORGANIC")</f>
        <v>ORGANIC</v>
      </c>
      <c r="D3380" s="1" t="str">
        <f>IFERROR(__xludf.DUMMYFUNCTION("""COMPUTED_VALUE"""),"REMOLLO LEA")</f>
        <v>REMOLLO LEA</v>
      </c>
      <c r="E3380" s="1" t="str">
        <f>IFERROR(__xludf.DUMMYFUNCTION("""COMPUTED_VALUE"""),"PLDT / H2H")</f>
        <v>PLDT / H2H</v>
      </c>
      <c r="F3380" s="1"/>
      <c r="G3380" s="1">
        <f>IFERROR(__xludf.DUMMYFUNCTION("""COMPUTED_VALUE"""),2313083078)</f>
        <v>2313083078</v>
      </c>
      <c r="H3380" s="1" t="str">
        <f>IFERROR(__xludf.DUMMYFUNCTION("""COMPUTED_VALUE"""),"474992104004")</f>
        <v>474992104004</v>
      </c>
      <c r="I3380" s="1">
        <f>IFERROR(__xludf.DUMMYFUNCTION("""COMPUTED_VALUE"""),639758060258)</f>
        <v>639758060258</v>
      </c>
      <c r="J3380" s="1">
        <f>IFERROR(__xludf.DUMMYFUNCTION("""COMPUTED_VALUE"""),639941610849)</f>
        <v>639941610849</v>
      </c>
      <c r="K3380" s="1"/>
      <c r="L3380" s="1" t="str">
        <f>IFERROR(__xludf.DUMMYFUNCTION("""COMPUTED_VALUE"""),"003-BL-017")</f>
        <v>003-BL-017</v>
      </c>
      <c r="M3380" s="1" t="str">
        <f>IFERROR(__xludf.DUMMYFUNCTION("""COMPUTED_VALUE"""),"CUCKOO")</f>
        <v>CUCKOO</v>
      </c>
      <c r="N3380" s="1" t="str">
        <f>IFERROR(__xludf.DUMMYFUNCTION("""COMPUTED_VALUE"""),"RCD ROYALE HOMES PH 2")</f>
        <v>RCD ROYALE HOMES PH 2</v>
      </c>
      <c r="O3380" s="1" t="str">
        <f>IFERROR(__xludf.DUMMYFUNCTION("""COMPUTED_VALUE"""),"KALUBKOB")</f>
        <v>KALUBKOB</v>
      </c>
      <c r="P3380" s="1" t="str">
        <f>IFERROR(__xludf.DUMMYFUNCTION("""COMPUTED_VALUE"""),"SILANG")</f>
        <v>SILANG</v>
      </c>
      <c r="Q3380" s="1" t="str">
        <f>IFERROR(__xludf.DUMMYFUNCTION("""COMPUTED_VALUE"""),"CAVITE")</f>
        <v>CAVITE</v>
      </c>
      <c r="R3380" s="1" t="str">
        <f>IFERROR(__xludf.DUMMYFUNCTION("""COMPUTED_VALUE"""),"FIBER UNLI PLAN 1399")</f>
        <v>FIBER UNLI PLAN 1399</v>
      </c>
      <c r="S3380" s="1" t="str">
        <f>IFERROR(__xludf.DUMMYFUNCTION("""COMPUTED_VALUE"""),"APPROVED")</f>
        <v>APPROVED</v>
      </c>
      <c r="T3380" s="1" t="str">
        <f>IFERROR(__xludf.DUMMYFUNCTION("""COMPUTED_VALUE"""),"CLOSED")</f>
        <v>CLOSED</v>
      </c>
      <c r="U3380" s="1" t="str">
        <f>IFERROR(__xludf.DUMMYFUNCTION("""COMPUTED_VALUE"""),"POSTED")</f>
        <v>POSTED</v>
      </c>
      <c r="V3380" s="1" t="str">
        <f>IFERROR(__xludf.DUMMYFUNCTION("""COMPUTED_VALUE"""),"NO 1 AMSF")</f>
        <v>NO 1 AMSF</v>
      </c>
      <c r="W3380" s="1"/>
    </row>
    <row r="3381" customHeight="1" spans="1:23">
      <c r="A3381" s="3">
        <f>IFERROR(__xludf.DUMMYFUNCTION("""COMPUTED_VALUE"""),46305)</f>
        <v>46305</v>
      </c>
      <c r="B3381" s="1" t="str">
        <f>IFERROR(__xludf.DUMMYFUNCTION("""COMPUTED_VALUE"""),"REMOLLO, LEA")</f>
        <v>REMOLLO, LEA</v>
      </c>
      <c r="C3381" s="1" t="str">
        <f>IFERROR(__xludf.DUMMYFUNCTION("""COMPUTED_VALUE"""),"FLA")</f>
        <v>FLA</v>
      </c>
      <c r="D3381" s="1" t="str">
        <f>IFERROR(__xludf.DUMMYFUNCTION("""COMPUTED_VALUE"""),"JERIC NAVARRO")</f>
        <v>JERIC NAVARRO</v>
      </c>
      <c r="E3381" s="1" t="str">
        <f>IFERROR(__xludf.DUMMYFUNCTION("""COMPUTED_VALUE"""),"PLDT / H2H")</f>
        <v>PLDT / H2H</v>
      </c>
      <c r="F3381" s="1"/>
      <c r="G3381" s="1">
        <f>IFERROR(__xludf.DUMMYFUNCTION("""COMPUTED_VALUE"""),2313083522)</f>
        <v>2313083522</v>
      </c>
      <c r="H3381" s="1" t="str">
        <f>IFERROR(__xludf.DUMMYFUNCTION("""COMPUTED_VALUE"""),"474992811004")</f>
        <v>474992811004</v>
      </c>
      <c r="I3381" s="1">
        <f>IFERROR(__xludf.DUMMYFUNCTION("""COMPUTED_VALUE"""),639089872954)</f>
        <v>639089872954</v>
      </c>
      <c r="J3381" s="1">
        <f>IFERROR(__xludf.DUMMYFUNCTION("""COMPUTED_VALUE"""),639978767025)</f>
        <v>639978767025</v>
      </c>
      <c r="K3381" s="1"/>
      <c r="L3381" s="1" t="str">
        <f>IFERROR(__xludf.DUMMYFUNCTION("""COMPUTED_VALUE"""),"3200")</f>
        <v>3200</v>
      </c>
      <c r="M3381" s="1" t="str">
        <f>IFERROR(__xludf.DUMMYFUNCTION("""COMPUTED_VALUE"""),"BAYACAL")</f>
        <v>BAYACAL</v>
      </c>
      <c r="N3381" s="1" t="str">
        <f>IFERROR(__xludf.DUMMYFUNCTION("""COMPUTED_VALUE"""),"#N/A")</f>
        <v>#N/A</v>
      </c>
      <c r="O3381" s="1" t="str">
        <f>IFERROR(__xludf.DUMMYFUNCTION("""COMPUTED_VALUE"""),"SABUTAN")</f>
        <v>SABUTAN</v>
      </c>
      <c r="P3381" s="1" t="str">
        <f>IFERROR(__xludf.DUMMYFUNCTION("""COMPUTED_VALUE"""),"SILANG")</f>
        <v>SILANG</v>
      </c>
      <c r="Q3381" s="1" t="str">
        <f>IFERROR(__xludf.DUMMYFUNCTION("""COMPUTED_VALUE"""),"CAVITE")</f>
        <v>CAVITE</v>
      </c>
      <c r="R3381" s="1" t="str">
        <f>IFERROR(__xludf.DUMMYFUNCTION("""COMPUTED_VALUE"""),"FIBR UNLI ALL PLAN 999")</f>
        <v>FIBR UNLI ALL PLAN 999</v>
      </c>
      <c r="S3381" s="1" t="str">
        <f>IFERROR(__xludf.DUMMYFUNCTION("""COMPUTED_VALUE"""),"APPROVED")</f>
        <v>APPROVED</v>
      </c>
      <c r="T3381" s="1" t="str">
        <f>IFERROR(__xludf.DUMMYFUNCTION("""COMPUTED_VALUE"""),"FOR PAYMENT")</f>
        <v>FOR PAYMENT</v>
      </c>
      <c r="U3381" s="1" t="str">
        <f>IFERROR(__xludf.DUMMYFUNCTION("""COMPUTED_VALUE"""),"FOR PAYMENT")</f>
        <v>FOR PAYMENT</v>
      </c>
      <c r="V3381" s="1"/>
      <c r="W3381" s="1"/>
    </row>
    <row r="3382" customHeight="1" spans="1:23">
      <c r="A3382" s="3">
        <f>IFERROR(__xludf.DUMMYFUNCTION("""COMPUTED_VALUE"""),46305)</f>
        <v>46305</v>
      </c>
      <c r="B3382" s="1" t="str">
        <f>IFERROR(__xludf.DUMMYFUNCTION("""COMPUTED_VALUE"""),"ARIENA, LYKA")</f>
        <v>ARIENA, LYKA</v>
      </c>
      <c r="C3382" s="1" t="str">
        <f>IFERROR(__xludf.DUMMYFUNCTION("""COMPUTED_VALUE"""),"ORGANIC")</f>
        <v>ORGANIC</v>
      </c>
      <c r="D3382" s="1" t="str">
        <f>IFERROR(__xludf.DUMMYFUNCTION("""COMPUTED_VALUE"""),"REMOLLO LEA")</f>
        <v>REMOLLO LEA</v>
      </c>
      <c r="E3382" s="1" t="str">
        <f>IFERROR(__xludf.DUMMYFUNCTION("""COMPUTED_VALUE"""),"PLDT / H2H")</f>
        <v>PLDT / H2H</v>
      </c>
      <c r="F3382" s="1"/>
      <c r="G3382" s="1">
        <f>IFERROR(__xludf.DUMMYFUNCTION("""COMPUTED_VALUE"""),2313083952)</f>
        <v>2313083952</v>
      </c>
      <c r="H3382" s="1" t="str">
        <f>IFERROR(__xludf.DUMMYFUNCTION("""COMPUTED_VALUE"""),"474992145004")</f>
        <v>474992145004</v>
      </c>
      <c r="I3382" s="1">
        <f>IFERROR(__xludf.DUMMYFUNCTION("""COMPUTED_VALUE"""),639696202749)</f>
        <v>639696202749</v>
      </c>
      <c r="J3382" s="1"/>
      <c r="K3382" s="1"/>
      <c r="L3382" s="1" t="str">
        <f>IFERROR(__xludf.DUMMYFUNCTION("""COMPUTED_VALUE"""),"43")</f>
        <v>43</v>
      </c>
      <c r="M3382" s="1" t="str">
        <f>IFERROR(__xludf.DUMMYFUNCTION("""COMPUTED_VALUE"""),"SITIO KANLURAN")</f>
        <v>SITIO KANLURAN</v>
      </c>
      <c r="N3382" s="1" t="str">
        <f>IFERROR(__xludf.DUMMYFUNCTION("""COMPUTED_VALUE"""),"#N/A")</f>
        <v>#N/A</v>
      </c>
      <c r="O3382" s="1" t="str">
        <f>IFERROR(__xludf.DUMMYFUNCTION("""COMPUTED_VALUE"""),"TIBIG")</f>
        <v>TIBIG</v>
      </c>
      <c r="P3382" s="1" t="str">
        <f>IFERROR(__xludf.DUMMYFUNCTION("""COMPUTED_VALUE"""),"SILANG")</f>
        <v>SILANG</v>
      </c>
      <c r="Q3382" s="1" t="str">
        <f>IFERROR(__xludf.DUMMYFUNCTION("""COMPUTED_VALUE"""),"CAVITE")</f>
        <v>CAVITE</v>
      </c>
      <c r="R3382" s="1" t="str">
        <f>IFERROR(__xludf.DUMMYFUNCTION("""COMPUTED_VALUE"""),"FIBR UNLI ALL PLAN 999")</f>
        <v>FIBR UNLI ALL PLAN 999</v>
      </c>
      <c r="S3382" s="1" t="str">
        <f>IFERROR(__xludf.DUMMYFUNCTION("""COMPUTED_VALUE"""),"APPROVED")</f>
        <v>APPROVED</v>
      </c>
      <c r="T3382" s="1" t="str">
        <f>IFERROR(__xludf.DUMMYFUNCTION("""COMPUTED_VALUE"""),"CLOSED")</f>
        <v>CLOSED</v>
      </c>
      <c r="U3382" s="1" t="str">
        <f>IFERROR(__xludf.DUMMYFUNCTION("""COMPUTED_VALUE"""),"POSTED")</f>
        <v>POSTED</v>
      </c>
      <c r="V3382" s="1" t="str">
        <f>IFERROR(__xludf.DUMMYFUNCTION("""COMPUTED_VALUE"""),"NO 1 AMSF")</f>
        <v>NO 1 AMSF</v>
      </c>
      <c r="W3382" s="1"/>
    </row>
    <row r="3383" customHeight="1" spans="1:23">
      <c r="A3383" s="3">
        <f>IFERROR(__xludf.DUMMYFUNCTION("""COMPUTED_VALUE"""),46305)</f>
        <v>46305</v>
      </c>
      <c r="B3383" s="1" t="str">
        <f>IFERROR(__xludf.DUMMYFUNCTION("""COMPUTED_VALUE"""),"FRANCISCO , ROSELYN")</f>
        <v>FRANCISCO , ROSELYN</v>
      </c>
      <c r="C3383" s="1" t="str">
        <f>IFERROR(__xludf.DUMMYFUNCTION("""COMPUTED_VALUE"""),"ORGANIC")</f>
        <v>ORGANIC</v>
      </c>
      <c r="D3383" s="1" t="str">
        <f>IFERROR(__xludf.DUMMYFUNCTION("""COMPUTED_VALUE"""),"REMOLLO LEA")</f>
        <v>REMOLLO LEA</v>
      </c>
      <c r="E3383" s="1" t="str">
        <f>IFERROR(__xludf.DUMMYFUNCTION("""COMPUTED_VALUE"""),"PLDT / H2H")</f>
        <v>PLDT / H2H</v>
      </c>
      <c r="F3383" s="1"/>
      <c r="G3383" s="1">
        <f>IFERROR(__xludf.DUMMYFUNCTION("""COMPUTED_VALUE"""),2313084173)</f>
        <v>2313084173</v>
      </c>
      <c r="H3383" s="1" t="str">
        <f>IFERROR(__xludf.DUMMYFUNCTION("""COMPUTED_VALUE"""),"475124073004")</f>
        <v>475124073004</v>
      </c>
      <c r="I3383" s="1">
        <f>IFERROR(__xludf.DUMMYFUNCTION("""COMPUTED_VALUE"""),639948135983)</f>
        <v>639948135983</v>
      </c>
      <c r="J3383" s="1"/>
      <c r="K3383" s="1"/>
      <c r="L3383" s="1" t="str">
        <f>IFERROR(__xludf.DUMMYFUNCTION("""COMPUTED_VALUE"""),"325")</f>
        <v>325</v>
      </c>
      <c r="M3383" s="1" t="str">
        <f>IFERROR(__xludf.DUMMYFUNCTION("""COMPUTED_VALUE"""),"J P RIZAL")</f>
        <v>J P RIZAL</v>
      </c>
      <c r="N3383" s="1" t="str">
        <f>IFERROR(__xludf.DUMMYFUNCTION("""COMPUTED_VALUE"""),"#N/A")</f>
        <v>#N/A</v>
      </c>
      <c r="O3383" s="1" t="str">
        <f>IFERROR(__xludf.DUMMYFUNCTION("""COMPUTED_VALUE"""),"TUBUAN II")</f>
        <v>TUBUAN II</v>
      </c>
      <c r="P3383" s="1" t="str">
        <f>IFERROR(__xludf.DUMMYFUNCTION("""COMPUTED_VALUE"""),"SILANG")</f>
        <v>SILANG</v>
      </c>
      <c r="Q3383" s="1" t="str">
        <f>IFERROR(__xludf.DUMMYFUNCTION("""COMPUTED_VALUE"""),"CAVITE")</f>
        <v>CAVITE</v>
      </c>
      <c r="R3383" s="1" t="str">
        <f>IFERROR(__xludf.DUMMYFUNCTION("""COMPUTED_VALUE"""),"FIBR UNLI ALL PLAN 999")</f>
        <v>FIBR UNLI ALL PLAN 999</v>
      </c>
      <c r="S3383" s="1" t="str">
        <f>IFERROR(__xludf.DUMMYFUNCTION("""COMPUTED_VALUE"""),"APPROVED")</f>
        <v>APPROVED</v>
      </c>
      <c r="T3383" s="1" t="str">
        <f>IFERROR(__xludf.DUMMYFUNCTION("""COMPUTED_VALUE"""),"FOR PAYMENT")</f>
        <v>FOR PAYMENT</v>
      </c>
      <c r="U3383" s="1" t="str">
        <f>IFERROR(__xludf.DUMMYFUNCTION("""COMPUTED_VALUE"""),"FOR PAYMENT")</f>
        <v>FOR PAYMENT</v>
      </c>
      <c r="V3383" s="1"/>
      <c r="W3383" s="1"/>
    </row>
    <row r="3384" customHeight="1" spans="1:23">
      <c r="A3384" s="3">
        <f>IFERROR(__xludf.DUMMYFUNCTION("""COMPUTED_VALUE"""),46305)</f>
        <v>46305</v>
      </c>
      <c r="B3384" s="1" t="str">
        <f>IFERROR(__xludf.DUMMYFUNCTION("""COMPUTED_VALUE"""),"GABAY, MANUEL")</f>
        <v>GABAY, MANUEL</v>
      </c>
      <c r="C3384" s="1" t="str">
        <f>IFERROR(__xludf.DUMMYFUNCTION("""COMPUTED_VALUE"""),"FLA")</f>
        <v>FLA</v>
      </c>
      <c r="D3384" s="1" t="str">
        <f>IFERROR(__xludf.DUMMYFUNCTION("""COMPUTED_VALUE"""),"JERIC NAVARRO")</f>
        <v>JERIC NAVARRO</v>
      </c>
      <c r="E3384" s="1" t="str">
        <f>IFERROR(__xludf.DUMMYFUNCTION("""COMPUTED_VALUE"""),"PLDT / H2H")</f>
        <v>PLDT / H2H</v>
      </c>
      <c r="F3384" s="1"/>
      <c r="G3384" s="1">
        <f>IFERROR(__xludf.DUMMYFUNCTION("""COMPUTED_VALUE"""),2313084382)</f>
        <v>2313084382</v>
      </c>
      <c r="H3384" s="1" t="str">
        <f>IFERROR(__xludf.DUMMYFUNCTION("""COMPUTED_VALUE"""),"#N/A")</f>
        <v>#N/A</v>
      </c>
      <c r="I3384" s="1">
        <f>IFERROR(__xludf.DUMMYFUNCTION("""COMPUTED_VALUE"""),639360546188)</f>
        <v>639360546188</v>
      </c>
      <c r="J3384" s="1">
        <f>IFERROR(__xludf.DUMMYFUNCTION("""COMPUTED_VALUE"""),639381171868)</f>
        <v>639381171868</v>
      </c>
      <c r="K3384" s="1"/>
      <c r="L3384" s="1" t="str">
        <f>IFERROR(__xludf.DUMMYFUNCTION("""COMPUTED_VALUE"""),"9008D")</f>
        <v>9008D</v>
      </c>
      <c r="M3384" s="1" t="str">
        <f>IFERROR(__xludf.DUMMYFUNCTION("""COMPUTED_VALUE"""),"STA ROSA")</f>
        <v>STA ROSA</v>
      </c>
      <c r="N3384" s="1" t="str">
        <f>IFERROR(__xludf.DUMMYFUNCTION("""COMPUTED_VALUE"""),"PUROK 1")</f>
        <v>PUROK 1</v>
      </c>
      <c r="O3384" s="1" t="str">
        <f>IFERROR(__xludf.DUMMYFUNCTION("""COMPUTED_VALUE"""),"PUTING KAHOY")</f>
        <v>PUTING KAHOY</v>
      </c>
      <c r="P3384" s="1" t="str">
        <f>IFERROR(__xludf.DUMMYFUNCTION("""COMPUTED_VALUE"""),"SILANG")</f>
        <v>SILANG</v>
      </c>
      <c r="Q3384" s="1" t="str">
        <f>IFERROR(__xludf.DUMMYFUNCTION("""COMPUTED_VALUE"""),"CAVITE")</f>
        <v>CAVITE</v>
      </c>
      <c r="R3384" s="1" t="str">
        <f>IFERROR(__xludf.DUMMYFUNCTION("""COMPUTED_VALUE"""),"FIBER UNLI PLAN 1399")</f>
        <v>FIBER UNLI PLAN 1399</v>
      </c>
      <c r="S3384" s="1" t="str">
        <f>IFERROR(__xludf.DUMMYFUNCTION("""COMPUTED_VALUE"""),"APPROVED")</f>
        <v>APPROVED</v>
      </c>
      <c r="T3384" s="1" t="str">
        <f>IFERROR(__xludf.DUMMYFUNCTION("""COMPUTED_VALUE"""),"CANCELLED")</f>
        <v>CANCELLED</v>
      </c>
      <c r="U3384" s="1" t="str">
        <f>IFERROR(__xludf.DUMMYFUNCTION("""COMPUTED_VALUE"""),"CANCELLED - WITH ACTIVE LINE")</f>
        <v>CANCELLED - WITH ACTIVE LINE</v>
      </c>
      <c r="V3384" s="1"/>
      <c r="W3384" s="1"/>
    </row>
    <row r="3385" customHeight="1" spans="1:23">
      <c r="A3385" s="3">
        <f>IFERROR(__xludf.DUMMYFUNCTION("""COMPUTED_VALUE"""),46305)</f>
        <v>46305</v>
      </c>
      <c r="B3385" s="1" t="str">
        <f>IFERROR(__xludf.DUMMYFUNCTION("""COMPUTED_VALUE"""),"ESCARCHA, MA ALMA  ESCOTO")</f>
        <v>ESCARCHA, MA ALMA  ESCOTO</v>
      </c>
      <c r="C3385" s="1" t="str">
        <f>IFERROR(__xludf.DUMMYFUNCTION("""COMPUTED_VALUE"""),"ORGANIC")</f>
        <v>ORGANIC</v>
      </c>
      <c r="D3385" s="1" t="str">
        <f>IFERROR(__xludf.DUMMYFUNCTION("""COMPUTED_VALUE"""),"REMOLLO LEA")</f>
        <v>REMOLLO LEA</v>
      </c>
      <c r="E3385" s="1" t="str">
        <f>IFERROR(__xludf.DUMMYFUNCTION("""COMPUTED_VALUE"""),"PLDT / H2H")</f>
        <v>PLDT / H2H</v>
      </c>
      <c r="F3385" s="1"/>
      <c r="G3385" s="1">
        <f>IFERROR(__xludf.DUMMYFUNCTION("""COMPUTED_VALUE"""),2313084727)</f>
        <v>2313084727</v>
      </c>
      <c r="H3385" s="1" t="str">
        <f>IFERROR(__xludf.DUMMYFUNCTION("""COMPUTED_VALUE"""),"474994910004")</f>
        <v>474994910004</v>
      </c>
      <c r="I3385" s="1">
        <f>IFERROR(__xludf.DUMMYFUNCTION("""COMPUTED_VALUE"""),639499550844)</f>
        <v>639499550844</v>
      </c>
      <c r="J3385" s="1"/>
      <c r="K3385" s="1"/>
      <c r="L3385" s="1" t="str">
        <f>IFERROR(__xludf.DUMMYFUNCTION("""COMPUTED_VALUE"""),"96Q")</f>
        <v>96Q</v>
      </c>
      <c r="M3385" s="1" t="str">
        <f>IFERROR(__xludf.DUMMYFUNCTION("""COMPUTED_VALUE"""),"PUROK 3")</f>
        <v>PUROK 3</v>
      </c>
      <c r="N3385" s="1" t="str">
        <f>IFERROR(__xludf.DUMMYFUNCTION("""COMPUTED_VALUE"""),"HERNANDEZ CMPD")</f>
        <v>HERNANDEZ CMPD</v>
      </c>
      <c r="O3385" s="1" t="str">
        <f>IFERROR(__xludf.DUMMYFUNCTION("""COMPUTED_VALUE"""),"DAGATAN")</f>
        <v>DAGATAN</v>
      </c>
      <c r="P3385" s="1" t="str">
        <f>IFERROR(__xludf.DUMMYFUNCTION("""COMPUTED_VALUE"""),"AMADEO")</f>
        <v>AMADEO</v>
      </c>
      <c r="Q3385" s="1" t="str">
        <f>IFERROR(__xludf.DUMMYFUNCTION("""COMPUTED_VALUE"""),"CAVITE")</f>
        <v>CAVITE</v>
      </c>
      <c r="R3385" s="1" t="str">
        <f>IFERROR(__xludf.DUMMYFUNCTION("""COMPUTED_VALUE"""),"FIBER UNLI PLAN 1399")</f>
        <v>FIBER UNLI PLAN 1399</v>
      </c>
      <c r="S3385" s="1" t="str">
        <f>IFERROR(__xludf.DUMMYFUNCTION("""COMPUTED_VALUE"""),"APPROVED")</f>
        <v>APPROVED</v>
      </c>
      <c r="T3385" s="1" t="str">
        <f>IFERROR(__xludf.DUMMYFUNCTION("""COMPUTED_VALUE"""),"CLOSED")</f>
        <v>CLOSED</v>
      </c>
      <c r="U3385" s="1" t="str">
        <f>IFERROR(__xludf.DUMMYFUNCTION("""COMPUTED_VALUE"""),"POSTED")</f>
        <v>POSTED</v>
      </c>
      <c r="V3385" s="1" t="str">
        <f>IFERROR(__xludf.DUMMYFUNCTION("""COMPUTED_VALUE"""),"WITH 1 AMSF")</f>
        <v>WITH 1 AMSF</v>
      </c>
      <c r="W3385" s="1"/>
    </row>
    <row r="3386" customHeight="1" spans="1:23">
      <c r="A3386" s="3">
        <f>IFERROR(__xludf.DUMMYFUNCTION("""COMPUTED_VALUE"""),46305)</f>
        <v>46305</v>
      </c>
      <c r="B3386" s="1" t="str">
        <f>IFERROR(__xludf.DUMMYFUNCTION("""COMPUTED_VALUE"""),"MALIWAT MARK ELVIN")</f>
        <v>MALIWAT MARK ELVIN</v>
      </c>
      <c r="C3386" s="1" t="str">
        <f>IFERROR(__xludf.DUMMYFUNCTION("""COMPUTED_VALUE"""),"FLA")</f>
        <v>FLA</v>
      </c>
      <c r="D3386" s="1" t="str">
        <f>IFERROR(__xludf.DUMMYFUNCTION("""COMPUTED_VALUE"""),"JERIC NAVARRO")</f>
        <v>JERIC NAVARRO</v>
      </c>
      <c r="E3386" s="1" t="str">
        <f>IFERROR(__xludf.DUMMYFUNCTION("""COMPUTED_VALUE"""),"PLDT / ONLINE")</f>
        <v>PLDT / ONLINE</v>
      </c>
      <c r="F3386" s="1"/>
      <c r="G3386" s="1">
        <f>IFERROR(__xludf.DUMMYFUNCTION("""COMPUTED_VALUE"""),2313085106)</f>
        <v>2313085106</v>
      </c>
      <c r="H3386" s="1" t="str">
        <f>IFERROR(__xludf.DUMMYFUNCTION("""COMPUTED_VALUE"""),"475124194004")</f>
        <v>475124194004</v>
      </c>
      <c r="I3386" s="1">
        <f>IFERROR(__xludf.DUMMYFUNCTION("""COMPUTED_VALUE"""),639452490881)</f>
        <v>639452490881</v>
      </c>
      <c r="J3386" s="1">
        <f>IFERROR(__xludf.DUMMYFUNCTION("""COMPUTED_VALUE"""),639452490877)</f>
        <v>639452490877</v>
      </c>
      <c r="K3386" s="1"/>
      <c r="L3386" s="1" t="str">
        <f>IFERROR(__xludf.DUMMYFUNCTION("""COMPUTED_VALUE"""),"UNIT 5 2/F")</f>
        <v>UNIT 5 2/F</v>
      </c>
      <c r="M3386" s="1" t="str">
        <f>IFERROR(__xludf.DUMMYFUNCTION("""COMPUTED_VALUE"""),"PUROK 2")</f>
        <v>PUROK 2</v>
      </c>
      <c r="N3386" s="1" t="str">
        <f>IFERROR(__xludf.DUMMYFUNCTION("""COMPUTED_VALUE"""),"JRE APARTMENT")</f>
        <v>JRE APARTMENT</v>
      </c>
      <c r="O3386" s="1" t="str">
        <f>IFERROR(__xludf.DUMMYFUNCTION("""COMPUTED_VALUE"""),"BILUSO")</f>
        <v>BILUSO</v>
      </c>
      <c r="P3386" s="1" t="str">
        <f>IFERROR(__xludf.DUMMYFUNCTION("""COMPUTED_VALUE"""),"SILANG")</f>
        <v>SILANG</v>
      </c>
      <c r="Q3386" s="1" t="str">
        <f>IFERROR(__xludf.DUMMYFUNCTION("""COMPUTED_VALUE"""),"CAVITE")</f>
        <v>CAVITE</v>
      </c>
      <c r="R3386" s="1" t="str">
        <f>IFERROR(__xludf.DUMMYFUNCTION("""COMPUTED_VALUE"""),"FIBR UNLI ALL PLAN 999")</f>
        <v>FIBR UNLI ALL PLAN 999</v>
      </c>
      <c r="S3386" s="1" t="str">
        <f>IFERROR(__xludf.DUMMYFUNCTION("""COMPUTED_VALUE"""),"APPROVED")</f>
        <v>APPROVED</v>
      </c>
      <c r="T3386" s="1" t="str">
        <f>IFERROR(__xludf.DUMMYFUNCTION("""COMPUTED_VALUE"""),"PAID")</f>
        <v>PAID</v>
      </c>
      <c r="U3386" s="1" t="str">
        <f>IFERROR(__xludf.DUMMYFUNCTION("""COMPUTED_VALUE"""),"PAID - FOR INSTALLATION")</f>
        <v>PAID - FOR INSTALLATION</v>
      </c>
      <c r="V3386" s="1" t="str">
        <f>IFERROR(__xludf.DUMMYFUNCTION("""COMPUTED_VALUE"""),"NO 1 AMSF")</f>
        <v>NO 1 AMSF</v>
      </c>
      <c r="W3386" s="1"/>
    </row>
    <row r="3387" customHeight="1" spans="1:23">
      <c r="A3387" s="3">
        <f>IFERROR(__xludf.DUMMYFUNCTION("""COMPUTED_VALUE"""),46305)</f>
        <v>46305</v>
      </c>
      <c r="B3387" s="1" t="str">
        <f>IFERROR(__xludf.DUMMYFUNCTION("""COMPUTED_VALUE"""),"CADERAO, RONALD")</f>
        <v>CADERAO, RONALD</v>
      </c>
      <c r="C3387" s="1" t="str">
        <f>IFERROR(__xludf.DUMMYFUNCTION("""COMPUTED_VALUE"""),"ORGANIC")</f>
        <v>ORGANIC</v>
      </c>
      <c r="D3387" s="1" t="str">
        <f>IFERROR(__xludf.DUMMYFUNCTION("""COMPUTED_VALUE"""),"REMOLLO LEA")</f>
        <v>REMOLLO LEA</v>
      </c>
      <c r="E3387" s="1" t="str">
        <f>IFERROR(__xludf.DUMMYFUNCTION("""COMPUTED_VALUE"""),"PLDT / H2H")</f>
        <v>PLDT / H2H</v>
      </c>
      <c r="F3387" s="1"/>
      <c r="G3387" s="1">
        <f>IFERROR(__xludf.DUMMYFUNCTION("""COMPUTED_VALUE"""),2313085393)</f>
        <v>2313085393</v>
      </c>
      <c r="H3387" s="1" t="str">
        <f>IFERROR(__xludf.DUMMYFUNCTION("""COMPUTED_VALUE"""),"474995047004")</f>
        <v>474995047004</v>
      </c>
      <c r="I3387" s="1">
        <f>IFERROR(__xludf.DUMMYFUNCTION("""COMPUTED_VALUE"""),639972479819)</f>
        <v>639972479819</v>
      </c>
      <c r="J3387" s="1">
        <f>IFERROR(__xludf.DUMMYFUNCTION("""COMPUTED_VALUE"""),639519874239)</f>
        <v>639519874239</v>
      </c>
      <c r="K3387" s="1"/>
      <c r="L3387" s="1" t="str">
        <f>IFERROR(__xludf.DUMMYFUNCTION("""COMPUTED_VALUE"""),"101")</f>
        <v>101</v>
      </c>
      <c r="M3387" s="1" t="str">
        <f>IFERROR(__xludf.DUMMYFUNCTION("""COMPUTED_VALUE"""),"PUROK 3")</f>
        <v>PUROK 3</v>
      </c>
      <c r="N3387" s="1" t="str">
        <f>IFERROR(__xludf.DUMMYFUNCTION("""COMPUTED_VALUE"""),"#N/A")</f>
        <v>#N/A</v>
      </c>
      <c r="O3387" s="1" t="str">
        <f>IFERROR(__xludf.DUMMYFUNCTION("""COMPUTED_VALUE"""),"DAGATAN")</f>
        <v>DAGATAN</v>
      </c>
      <c r="P3387" s="1" t="str">
        <f>IFERROR(__xludf.DUMMYFUNCTION("""COMPUTED_VALUE"""),"AMADEO")</f>
        <v>AMADEO</v>
      </c>
      <c r="Q3387" s="1" t="str">
        <f>IFERROR(__xludf.DUMMYFUNCTION("""COMPUTED_VALUE"""),"CAVITE")</f>
        <v>CAVITE</v>
      </c>
      <c r="R3387" s="1" t="str">
        <f>IFERROR(__xludf.DUMMYFUNCTION("""COMPUTED_VALUE"""),"FIBER UNLI PLAN 1399")</f>
        <v>FIBER UNLI PLAN 1399</v>
      </c>
      <c r="S3387" s="1" t="str">
        <f>IFERROR(__xludf.DUMMYFUNCTION("""COMPUTED_VALUE"""),"APPROVED")</f>
        <v>APPROVED</v>
      </c>
      <c r="T3387" s="1" t="str">
        <f>IFERROR(__xludf.DUMMYFUNCTION("""COMPUTED_VALUE"""),"CLOSED")</f>
        <v>CLOSED</v>
      </c>
      <c r="U3387" s="1" t="str">
        <f>IFERROR(__xludf.DUMMYFUNCTION("""COMPUTED_VALUE"""),"POSTED")</f>
        <v>POSTED</v>
      </c>
      <c r="V3387" s="1" t="str">
        <f>IFERROR(__xludf.DUMMYFUNCTION("""COMPUTED_VALUE"""),"NO 1 AMSF")</f>
        <v>NO 1 AMSF</v>
      </c>
      <c r="W3387" s="1"/>
    </row>
    <row r="3388" customHeight="1" spans="1:23">
      <c r="A3388" s="3">
        <f>IFERROR(__xludf.DUMMYFUNCTION("""COMPUTED_VALUE"""),46305)</f>
        <v>46305</v>
      </c>
      <c r="B3388" s="1" t="str">
        <f>IFERROR(__xludf.DUMMYFUNCTION("""COMPUTED_VALUE"""),"CADERAO, RONALD")</f>
        <v>CADERAO, RONALD</v>
      </c>
      <c r="C3388" s="1" t="str">
        <f>IFERROR(__xludf.DUMMYFUNCTION("""COMPUTED_VALUE"""),"ORGANIC")</f>
        <v>ORGANIC</v>
      </c>
      <c r="D3388" s="1" t="str">
        <f>IFERROR(__xludf.DUMMYFUNCTION("""COMPUTED_VALUE"""),"REMOLLO LEA")</f>
        <v>REMOLLO LEA</v>
      </c>
      <c r="E3388" s="1" t="str">
        <f>IFERROR(__xludf.DUMMYFUNCTION("""COMPUTED_VALUE"""),"PLDT / H2H")</f>
        <v>PLDT / H2H</v>
      </c>
      <c r="F3388" s="1"/>
      <c r="G3388" s="1">
        <f>IFERROR(__xludf.DUMMYFUNCTION("""COMPUTED_VALUE"""),2313130856)</f>
        <v>2313130856</v>
      </c>
      <c r="H3388" s="1" t="str">
        <f>IFERROR(__xludf.DUMMYFUNCTION("""COMPUTED_VALUE"""),"475444808004")</f>
        <v>475444808004</v>
      </c>
      <c r="I3388" s="1">
        <f>IFERROR(__xludf.DUMMYFUNCTION("""COMPUTED_VALUE"""),639655561962)</f>
        <v>639655561962</v>
      </c>
      <c r="J3388" s="1"/>
      <c r="K3388" s="1"/>
      <c r="L3388" s="1" t="str">
        <f>IFERROR(__xludf.DUMMYFUNCTION("""COMPUTED_VALUE"""),"17")</f>
        <v>17</v>
      </c>
      <c r="M3388" s="1" t="str">
        <f>IFERROR(__xludf.DUMMYFUNCTION("""COMPUTED_VALUE"""),"PASONG MATANDA")</f>
        <v>PASONG MATANDA</v>
      </c>
      <c r="N3388" s="1" t="str">
        <f>IFERROR(__xludf.DUMMYFUNCTION("""COMPUTED_VALUE"""),"#N/A")</f>
        <v>#N/A</v>
      </c>
      <c r="O3388" s="1" t="str">
        <f>IFERROR(__xludf.DUMMYFUNCTION("""COMPUTED_VALUE"""),"BARANGAY 5 (POB.)")</f>
        <v>BARANGAY 5 (POB.)</v>
      </c>
      <c r="P3388" s="1" t="str">
        <f>IFERROR(__xludf.DUMMYFUNCTION("""COMPUTED_VALUE"""),"AMADEO")</f>
        <v>AMADEO</v>
      </c>
      <c r="Q3388" s="1" t="str">
        <f>IFERROR(__xludf.DUMMYFUNCTION("""COMPUTED_VALUE"""),"CAVITE")</f>
        <v>CAVITE</v>
      </c>
      <c r="R3388" s="1" t="str">
        <f>IFERROR(__xludf.DUMMYFUNCTION("""COMPUTED_VALUE"""),"SWITCH FIBR UNLI ALL PLAN 1399")</f>
        <v>SWITCH FIBR UNLI ALL PLAN 1399</v>
      </c>
      <c r="S3388" s="1" t="str">
        <f>IFERROR(__xludf.DUMMYFUNCTION("""COMPUTED_VALUE"""),"APPROVED")</f>
        <v>APPROVED</v>
      </c>
      <c r="T3388" s="1" t="str">
        <f>IFERROR(__xludf.DUMMYFUNCTION("""COMPUTED_VALUE"""),"CLOSED")</f>
        <v>CLOSED</v>
      </c>
      <c r="U3388" s="1" t="str">
        <f>IFERROR(__xludf.DUMMYFUNCTION("""COMPUTED_VALUE"""),"POSTED")</f>
        <v>POSTED</v>
      </c>
      <c r="V3388" s="1" t="str">
        <f>IFERROR(__xludf.DUMMYFUNCTION("""COMPUTED_VALUE"""),"NO 1 AMSF")</f>
        <v>NO 1 AMSF</v>
      </c>
      <c r="W3388" s="1"/>
    </row>
    <row r="3389" customHeight="1" spans="1:23">
      <c r="A3389" s="3">
        <f>IFERROR(__xludf.DUMMYFUNCTION("""COMPUTED_VALUE"""),46305)</f>
        <v>46305</v>
      </c>
      <c r="B3389" s="1" t="str">
        <f>IFERROR(__xludf.DUMMYFUNCTION("""COMPUTED_VALUE"""),"BAQUIT ,JAZMIN")</f>
        <v>BAQUIT ,JAZMIN</v>
      </c>
      <c r="C3389" s="1" t="str">
        <f>IFERROR(__xludf.DUMMYFUNCTION("""COMPUTED_VALUE"""),"ORGANIC")</f>
        <v>ORGANIC</v>
      </c>
      <c r="D3389" s="1" t="str">
        <f>IFERROR(__xludf.DUMMYFUNCTION("""COMPUTED_VALUE"""),"REMOLLO LEA")</f>
        <v>REMOLLO LEA</v>
      </c>
      <c r="E3389" s="1" t="str">
        <f>IFERROR(__xludf.DUMMYFUNCTION("""COMPUTED_VALUE"""),"PLDT / H2H")</f>
        <v>PLDT / H2H</v>
      </c>
      <c r="F3389" s="1"/>
      <c r="G3389" s="1">
        <f>IFERROR(__xludf.DUMMYFUNCTION("""COMPUTED_VALUE"""),2313086348)</f>
        <v>2313086348</v>
      </c>
      <c r="H3389" s="1" t="str">
        <f>IFERROR(__xludf.DUMMYFUNCTION("""COMPUTED_VALUE"""),"474996447004")</f>
        <v>474996447004</v>
      </c>
      <c r="I3389" s="1">
        <f>IFERROR(__xludf.DUMMYFUNCTION("""COMPUTED_VALUE"""),639108274562)</f>
        <v>639108274562</v>
      </c>
      <c r="J3389" s="1">
        <f>IFERROR(__xludf.DUMMYFUNCTION("""COMPUTED_VALUE"""),639281599706)</f>
        <v>639281599706</v>
      </c>
      <c r="K3389" s="1"/>
      <c r="L3389" s="1" t="str">
        <f>IFERROR(__xludf.DUMMYFUNCTION("""COMPUTED_VALUE"""),"9227")</f>
        <v>9227</v>
      </c>
      <c r="M3389" s="1" t="str">
        <f>IFERROR(__xludf.DUMMYFUNCTION("""COMPUTED_VALUE"""),"BERNARDO")</f>
        <v>BERNARDO</v>
      </c>
      <c r="N3389" s="1" t="str">
        <f>IFERROR(__xludf.DUMMYFUNCTION("""COMPUTED_VALUE"""),"ALTAREZ VILL")</f>
        <v>ALTAREZ VILL</v>
      </c>
      <c r="O3389" s="1" t="str">
        <f>IFERROR(__xludf.DUMMYFUNCTION("""COMPUTED_VALUE"""),"MADUYA")</f>
        <v>MADUYA</v>
      </c>
      <c r="P3389" s="1" t="str">
        <f>IFERROR(__xludf.DUMMYFUNCTION("""COMPUTED_VALUE"""),"CARMONA")</f>
        <v>CARMONA</v>
      </c>
      <c r="Q3389" s="1" t="str">
        <f>IFERROR(__xludf.DUMMYFUNCTION("""COMPUTED_VALUE"""),"CAVITE")</f>
        <v>CAVITE</v>
      </c>
      <c r="R3389" s="1" t="str">
        <f>IFERROR(__xludf.DUMMYFUNCTION("""COMPUTED_VALUE"""),"FIBER UNLI PLAN 1399")</f>
        <v>FIBER UNLI PLAN 1399</v>
      </c>
      <c r="S3389" s="1" t="str">
        <f>IFERROR(__xludf.DUMMYFUNCTION("""COMPUTED_VALUE"""),"APPROVED")</f>
        <v>APPROVED</v>
      </c>
      <c r="T3389" s="1" t="str">
        <f>IFERROR(__xludf.DUMMYFUNCTION("""COMPUTED_VALUE"""),"FOR PAYMENT")</f>
        <v>FOR PAYMENT</v>
      </c>
      <c r="U3389" s="1" t="str">
        <f>IFERROR(__xludf.DUMMYFUNCTION("""COMPUTED_VALUE"""),"FOR PAYMENT")</f>
        <v>FOR PAYMENT</v>
      </c>
      <c r="V3389" s="1"/>
      <c r="W3389" s="1"/>
    </row>
    <row r="3390" customHeight="1" spans="1:23">
      <c r="A3390" s="3">
        <f>IFERROR(__xludf.DUMMYFUNCTION("""COMPUTED_VALUE"""),46305)</f>
        <v>46305</v>
      </c>
      <c r="B3390" s="1" t="str">
        <f>IFERROR(__xludf.DUMMYFUNCTION("""COMPUTED_VALUE"""),"MALIWAT MARK ELVIN")</f>
        <v>MALIWAT MARK ELVIN</v>
      </c>
      <c r="C3390" s="1" t="str">
        <f>IFERROR(__xludf.DUMMYFUNCTION("""COMPUTED_VALUE"""),"FLA")</f>
        <v>FLA</v>
      </c>
      <c r="D3390" s="1" t="str">
        <f>IFERROR(__xludf.DUMMYFUNCTION("""COMPUTED_VALUE"""),"JERIC NAVARRO")</f>
        <v>JERIC NAVARRO</v>
      </c>
      <c r="E3390" s="1" t="str">
        <f>IFERROR(__xludf.DUMMYFUNCTION("""COMPUTED_VALUE"""),"PLDT / H2H")</f>
        <v>PLDT / H2H</v>
      </c>
      <c r="F3390" s="1">
        <f>IFERROR(__xludf.DUMMYFUNCTION("""COMPUTED_VALUE"""),2313111427)</f>
        <v>2313111427</v>
      </c>
      <c r="G3390" s="1">
        <f>IFERROR(__xludf.DUMMYFUNCTION("""COMPUTED_VALUE"""),2313087261)</f>
        <v>2313087261</v>
      </c>
      <c r="H3390" s="1" t="str">
        <f>IFERROR(__xludf.DUMMYFUNCTION("""COMPUTED_VALUE"""),"#N/A")</f>
        <v>#N/A</v>
      </c>
      <c r="I3390" s="1">
        <f>IFERROR(__xludf.DUMMYFUNCTION("""COMPUTED_VALUE"""),639176230272)</f>
        <v>639176230272</v>
      </c>
      <c r="J3390" s="1">
        <f>IFERROR(__xludf.DUMMYFUNCTION("""COMPUTED_VALUE"""),639178772360)</f>
        <v>639178772360</v>
      </c>
      <c r="K3390" s="1"/>
      <c r="L3390" s="1" t="str">
        <f>IFERROR(__xludf.DUMMYFUNCTION("""COMPUTED_VALUE"""),"1095")</f>
        <v>1095</v>
      </c>
      <c r="M3390" s="1" t="str">
        <f>IFERROR(__xludf.DUMMYFUNCTION("""COMPUTED_VALUE"""),"ALILIO DRIVE")</f>
        <v>ALILIO DRIVE</v>
      </c>
      <c r="N3390" s="1" t="str">
        <f>IFERROR(__xludf.DUMMYFUNCTION("""COMPUTED_VALUE"""),"#N/A")</f>
        <v>#N/A</v>
      </c>
      <c r="O3390" s="1" t="str">
        <f>IFERROR(__xludf.DUMMYFUNCTION("""COMPUTED_VALUE"""),"UPLI")</f>
        <v>UPLI</v>
      </c>
      <c r="P3390" s="1" t="str">
        <f>IFERROR(__xludf.DUMMYFUNCTION("""COMPUTED_VALUE"""),"ALFONSO")</f>
        <v>ALFONSO</v>
      </c>
      <c r="Q3390" s="1" t="str">
        <f>IFERROR(__xludf.DUMMYFUNCTION("""COMPUTED_VALUE"""),"CAVITE")</f>
        <v>CAVITE</v>
      </c>
      <c r="R3390" s="1" t="str">
        <f>IFERROR(__xludf.DUMMYFUNCTION("""COMPUTED_VALUE"""),"FIBER UNLI PLAN 1399")</f>
        <v>FIBER UNLI PLAN 1399</v>
      </c>
      <c r="S3390" s="1" t="str">
        <f>IFERROR(__xludf.DUMMYFUNCTION("""COMPUTED_VALUE"""),"APPROVED")</f>
        <v>APPROVED</v>
      </c>
      <c r="T3390" s="1" t="str">
        <f>IFERROR(__xludf.DUMMYFUNCTION("""COMPUTED_VALUE"""),"DUPLICATE NAME")</f>
        <v>DUPLICATE NAME</v>
      </c>
      <c r="U3390" s="1" t="str">
        <f>IFERROR(__xludf.DUMMYFUNCTION("""COMPUTED_VALUE"""),"SFS VALIDATION")</f>
        <v>SFS VALIDATION</v>
      </c>
      <c r="V3390" s="1"/>
      <c r="W3390" s="1"/>
    </row>
    <row r="3391" customHeight="1" spans="1:23">
      <c r="A3391" s="3">
        <f>IFERROR(__xludf.DUMMYFUNCTION("""COMPUTED_VALUE"""),46305)</f>
        <v>46305</v>
      </c>
      <c r="B3391" s="1" t="str">
        <f>IFERROR(__xludf.DUMMYFUNCTION("""COMPUTED_VALUE"""),"FRANCISCO , ROSELYN")</f>
        <v>FRANCISCO , ROSELYN</v>
      </c>
      <c r="C3391" s="1" t="str">
        <f>IFERROR(__xludf.DUMMYFUNCTION("""COMPUTED_VALUE"""),"ORGANIC")</f>
        <v>ORGANIC</v>
      </c>
      <c r="D3391" s="1" t="str">
        <f>IFERROR(__xludf.DUMMYFUNCTION("""COMPUTED_VALUE"""),"REMOLLO LEA")</f>
        <v>REMOLLO LEA</v>
      </c>
      <c r="E3391" s="1" t="str">
        <f>IFERROR(__xludf.DUMMYFUNCTION("""COMPUTED_VALUE"""),"PLDT / H2H")</f>
        <v>PLDT / H2H</v>
      </c>
      <c r="F3391" s="1"/>
      <c r="G3391" s="1">
        <f>IFERROR(__xludf.DUMMYFUNCTION("""COMPUTED_VALUE"""),2313087684)</f>
        <v>2313087684</v>
      </c>
      <c r="H3391" s="1" t="str">
        <f>IFERROR(__xludf.DUMMYFUNCTION("""COMPUTED_VALUE"""),"475121960004")</f>
        <v>475121960004</v>
      </c>
      <c r="I3391" s="1">
        <f>IFERROR(__xludf.DUMMYFUNCTION("""COMPUTED_VALUE"""),639984354069)</f>
        <v>639984354069</v>
      </c>
      <c r="J3391" s="1"/>
      <c r="K3391" s="1"/>
      <c r="L3391" s="1" t="str">
        <f>IFERROR(__xludf.DUMMYFUNCTION("""COMPUTED_VALUE"""),"017-BL-017")</f>
        <v>017-BL-017</v>
      </c>
      <c r="M3391" s="1" t="str">
        <f>IFERROR(__xludf.DUMMYFUNCTION("""COMPUTED_VALUE"""),"SOLOMON")</f>
        <v>SOLOMON</v>
      </c>
      <c r="N3391" s="1" t="str">
        <f>IFERROR(__xludf.DUMMYFUNCTION("""COMPUTED_VALUE"""),"#N/A")</f>
        <v>#N/A</v>
      </c>
      <c r="O3391" s="1" t="str">
        <f>IFERROR(__xludf.DUMMYFUNCTION("""COMPUTED_VALUE"""),"SEVERINO DE LAS ALAS")</f>
        <v>SEVERINO DE LAS ALAS</v>
      </c>
      <c r="P3391" s="1" t="str">
        <f>IFERROR(__xludf.DUMMYFUNCTION("""COMPUTED_VALUE"""),"GEN MARIANO ALVAREZ")</f>
        <v>GEN MARIANO ALVAREZ</v>
      </c>
      <c r="Q3391" s="1" t="str">
        <f>IFERROR(__xludf.DUMMYFUNCTION("""COMPUTED_VALUE"""),"CAVITE")</f>
        <v>CAVITE</v>
      </c>
      <c r="R3391" s="1" t="str">
        <f>IFERROR(__xludf.DUMMYFUNCTION("""COMPUTED_VALUE"""),"FIBER UNLI PLAN 1399")</f>
        <v>FIBER UNLI PLAN 1399</v>
      </c>
      <c r="S3391" s="1" t="str">
        <f>IFERROR(__xludf.DUMMYFUNCTION("""COMPUTED_VALUE"""),"APPROVED")</f>
        <v>APPROVED</v>
      </c>
      <c r="T3391" s="1" t="str">
        <f>IFERROR(__xludf.DUMMYFUNCTION("""COMPUTED_VALUE"""),"CLOSED")</f>
        <v>CLOSED</v>
      </c>
      <c r="U3391" s="1" t="str">
        <f>IFERROR(__xludf.DUMMYFUNCTION("""COMPUTED_VALUE"""),"POSTED")</f>
        <v>POSTED</v>
      </c>
      <c r="V3391" s="1" t="str">
        <f>IFERROR(__xludf.DUMMYFUNCTION("""COMPUTED_VALUE"""),"NO 1 AMSF")</f>
        <v>NO 1 AMSF</v>
      </c>
      <c r="W3391" s="1"/>
    </row>
    <row r="3392" customHeight="1" spans="1:23">
      <c r="A3392" s="3">
        <f>IFERROR(__xludf.DUMMYFUNCTION("""COMPUTED_VALUE"""),46306)</f>
        <v>46306</v>
      </c>
      <c r="B3392" s="1" t="str">
        <f>IFERROR(__xludf.DUMMYFUNCTION("""COMPUTED_VALUE"""),"MALIWAT MARK ELVIN")</f>
        <v>MALIWAT MARK ELVIN</v>
      </c>
      <c r="C3392" s="1" t="str">
        <f>IFERROR(__xludf.DUMMYFUNCTION("""COMPUTED_VALUE"""),"FLA")</f>
        <v>FLA</v>
      </c>
      <c r="D3392" s="1" t="str">
        <f>IFERROR(__xludf.DUMMYFUNCTION("""COMPUTED_VALUE"""),"JERIC NAVARRO")</f>
        <v>JERIC NAVARRO</v>
      </c>
      <c r="E3392" s="1" t="str">
        <f>IFERROR(__xludf.DUMMYFUNCTION("""COMPUTED_VALUE"""),"PLDT / H2H")</f>
        <v>PLDT / H2H</v>
      </c>
      <c r="F3392" s="1"/>
      <c r="G3392" s="1">
        <f>IFERROR(__xludf.DUMMYFUNCTION("""COMPUTED_VALUE"""),2313095071)</f>
        <v>2313095071</v>
      </c>
      <c r="H3392" s="1" t="str">
        <f>IFERROR(__xludf.DUMMYFUNCTION("""COMPUTED_VALUE"""),"475118428004")</f>
        <v>475118428004</v>
      </c>
      <c r="I3392" s="1">
        <f>IFERROR(__xludf.DUMMYFUNCTION("""COMPUTED_VALUE"""),639777617239)</f>
        <v>639777617239</v>
      </c>
      <c r="J3392" s="1">
        <f>IFERROR(__xludf.DUMMYFUNCTION("""COMPUTED_VALUE"""),639441738296)</f>
        <v>639441738296</v>
      </c>
      <c r="K3392" s="1"/>
      <c r="L3392" s="1" t="str">
        <f>IFERROR(__xludf.DUMMYFUNCTION("""COMPUTED_VALUE"""),"024-BL-05A")</f>
        <v>024-BL-05A</v>
      </c>
      <c r="M3392" s="1" t="str">
        <f>IFERROR(__xludf.DUMMYFUNCTION("""COMPUTED_VALUE"""),"CASA DE MONTEVERDE")</f>
        <v>CASA DE MONTEVERDE</v>
      </c>
      <c r="N3392" s="1" t="str">
        <f>IFERROR(__xludf.DUMMYFUNCTION("""COMPUTED_VALUE"""),"CASA DE MONTEVERDE SUBD")</f>
        <v>CASA DE MONTEVERDE SUBD</v>
      </c>
      <c r="O3392" s="1" t="str">
        <f>IFERROR(__xludf.DUMMYFUNCTION("""COMPUTED_VALUE"""),"FRANCISCO DE CASTRO (SUNSHINE VILL.)")</f>
        <v>FRANCISCO DE CASTRO (SUNSHINE VILL.)</v>
      </c>
      <c r="P3392" s="1" t="str">
        <f>IFERROR(__xludf.DUMMYFUNCTION("""COMPUTED_VALUE"""),"GEN MARIANO ALVAREZ")</f>
        <v>GEN MARIANO ALVAREZ</v>
      </c>
      <c r="Q3392" s="1" t="str">
        <f>IFERROR(__xludf.DUMMYFUNCTION("""COMPUTED_VALUE"""),"CAVITE")</f>
        <v>CAVITE</v>
      </c>
      <c r="R3392" s="1" t="str">
        <f>IFERROR(__xludf.DUMMYFUNCTION("""COMPUTED_VALUE"""),"FIBER UNLI PLAN 1399")</f>
        <v>FIBER UNLI PLAN 1399</v>
      </c>
      <c r="S3392" s="1" t="str">
        <f>IFERROR(__xludf.DUMMYFUNCTION("""COMPUTED_VALUE"""),"APPROVED")</f>
        <v>APPROVED</v>
      </c>
      <c r="T3392" s="1" t="str">
        <f>IFERROR(__xludf.DUMMYFUNCTION("""COMPUTED_VALUE"""),"CLOSED")</f>
        <v>CLOSED</v>
      </c>
      <c r="U3392" s="1" t="str">
        <f>IFERROR(__xludf.DUMMYFUNCTION("""COMPUTED_VALUE"""),"POSTED")</f>
        <v>POSTED</v>
      </c>
      <c r="V3392" s="1" t="str">
        <f>IFERROR(__xludf.DUMMYFUNCTION("""COMPUTED_VALUE"""),"NO 1 AMSF")</f>
        <v>NO 1 AMSF</v>
      </c>
      <c r="W3392" s="1"/>
    </row>
    <row r="3393" customHeight="1" spans="1:23">
      <c r="A3393" s="3">
        <f>IFERROR(__xludf.DUMMYFUNCTION("""COMPUTED_VALUE"""),46306)</f>
        <v>46306</v>
      </c>
      <c r="B3393" s="1" t="str">
        <f>IFERROR(__xludf.DUMMYFUNCTION("""COMPUTED_VALUE"""),"CORNELIO, CATHERINE")</f>
        <v>CORNELIO, CATHERINE</v>
      </c>
      <c r="C3393" s="1" t="str">
        <f>IFERROR(__xludf.DUMMYFUNCTION("""COMPUTED_VALUE"""),"ORGANIC")</f>
        <v>ORGANIC</v>
      </c>
      <c r="D3393" s="1" t="str">
        <f>IFERROR(__xludf.DUMMYFUNCTION("""COMPUTED_VALUE"""),"REMOLLO LEA")</f>
        <v>REMOLLO LEA</v>
      </c>
      <c r="E3393" s="1" t="str">
        <f>IFERROR(__xludf.DUMMYFUNCTION("""COMPUTED_VALUE"""),"PLDT / H2H")</f>
        <v>PLDT / H2H</v>
      </c>
      <c r="F3393" s="1"/>
      <c r="G3393" s="1">
        <f>IFERROR(__xludf.DUMMYFUNCTION("""COMPUTED_VALUE"""),2313097237)</f>
        <v>2313097237</v>
      </c>
      <c r="H3393" s="1" t="str">
        <f>IFERROR(__xludf.DUMMYFUNCTION("""COMPUTED_VALUE"""),"475116808004")</f>
        <v>475116808004</v>
      </c>
      <c r="I3393" s="1">
        <f>IFERROR(__xludf.DUMMYFUNCTION("""COMPUTED_VALUE"""),639950223435)</f>
        <v>639950223435</v>
      </c>
      <c r="J3393" s="1"/>
      <c r="K3393" s="1"/>
      <c r="L3393" s="1" t="str">
        <f>IFERROR(__xludf.DUMMYFUNCTION("""COMPUTED_VALUE"""),"59")</f>
        <v>59</v>
      </c>
      <c r="M3393" s="1" t="str">
        <f>IFERROR(__xludf.DUMMYFUNCTION("""COMPUTED_VALUE"""),"BORROMEO")</f>
        <v>BORROMEO</v>
      </c>
      <c r="N3393" s="1" t="str">
        <f>IFERROR(__xludf.DUMMYFUNCTION("""COMPUTED_VALUE"""),"#N/A")</f>
        <v>#N/A</v>
      </c>
      <c r="O3393" s="1" t="str">
        <f>IFERROR(__xludf.DUMMYFUNCTION("""COMPUTED_VALUE"""),"BILUSO")</f>
        <v>BILUSO</v>
      </c>
      <c r="P3393" s="1" t="str">
        <f>IFERROR(__xludf.DUMMYFUNCTION("""COMPUTED_VALUE"""),"SILANG")</f>
        <v>SILANG</v>
      </c>
      <c r="Q3393" s="1" t="str">
        <f>IFERROR(__xludf.DUMMYFUNCTION("""COMPUTED_VALUE"""),"CAVITE")</f>
        <v>CAVITE</v>
      </c>
      <c r="R3393" s="1" t="str">
        <f>IFERROR(__xludf.DUMMYFUNCTION("""COMPUTED_VALUE"""),"FIBER UNLI PLAN 1399")</f>
        <v>FIBER UNLI PLAN 1399</v>
      </c>
      <c r="S3393" s="1" t="str">
        <f>IFERROR(__xludf.DUMMYFUNCTION("""COMPUTED_VALUE"""),"APPROVED")</f>
        <v>APPROVED</v>
      </c>
      <c r="T3393" s="1" t="str">
        <f>IFERROR(__xludf.DUMMYFUNCTION("""COMPUTED_VALUE"""),"CLOSED")</f>
        <v>CLOSED</v>
      </c>
      <c r="U3393" s="1" t="str">
        <f>IFERROR(__xludf.DUMMYFUNCTION("""COMPUTED_VALUE"""),"POSTED")</f>
        <v>POSTED</v>
      </c>
      <c r="V3393" s="1" t="str">
        <f>IFERROR(__xludf.DUMMYFUNCTION("""COMPUTED_VALUE"""),"WITH 1 AMSF")</f>
        <v>WITH 1 AMSF</v>
      </c>
      <c r="W3393" s="1"/>
    </row>
    <row r="3394" customHeight="1" spans="1:23">
      <c r="A3394" s="3">
        <f>IFERROR(__xludf.DUMMYFUNCTION("""COMPUTED_VALUE"""),46306)</f>
        <v>46306</v>
      </c>
      <c r="B3394" s="1" t="str">
        <f>IFERROR(__xludf.DUMMYFUNCTION("""COMPUTED_VALUE"""),"ALINGARO, CINDY")</f>
        <v>ALINGARO, CINDY</v>
      </c>
      <c r="C3394" s="1" t="str">
        <f>IFERROR(__xludf.DUMMYFUNCTION("""COMPUTED_VALUE"""),"ORGANIC")</f>
        <v>ORGANIC</v>
      </c>
      <c r="D3394" s="1" t="str">
        <f>IFERROR(__xludf.DUMMYFUNCTION("""COMPUTED_VALUE"""),"REMOLLO LEA")</f>
        <v>REMOLLO LEA</v>
      </c>
      <c r="E3394" s="1" t="str">
        <f>IFERROR(__xludf.DUMMYFUNCTION("""COMPUTED_VALUE"""),"PLDT / H2H")</f>
        <v>PLDT / H2H</v>
      </c>
      <c r="F3394" s="1"/>
      <c r="G3394" s="1">
        <f>IFERROR(__xludf.DUMMYFUNCTION("""COMPUTED_VALUE"""),2313097424)</f>
        <v>2313097424</v>
      </c>
      <c r="H3394" s="1" t="str">
        <f>IFERROR(__xludf.DUMMYFUNCTION("""COMPUTED_VALUE"""),"475280528004")</f>
        <v>475280528004</v>
      </c>
      <c r="I3394" s="1">
        <f>IFERROR(__xludf.DUMMYFUNCTION("""COMPUTED_VALUE"""),639704887954)</f>
        <v>639704887954</v>
      </c>
      <c r="J3394" s="1"/>
      <c r="K3394" s="1"/>
      <c r="L3394" s="1" t="str">
        <f>IFERROR(__xludf.DUMMYFUNCTION("""COMPUTED_VALUE"""),"3099")</f>
        <v>3099</v>
      </c>
      <c r="M3394" s="1" t="str">
        <f>IFERROR(__xludf.DUMMYFUNCTION("""COMPUTED_VALUE"""),"BORROMEO")</f>
        <v>BORROMEO</v>
      </c>
      <c r="N3394" s="1" t="str">
        <f>IFERROR(__xludf.DUMMYFUNCTION("""COMPUTED_VALUE"""),"#N/A")</f>
        <v>#N/A</v>
      </c>
      <c r="O3394" s="1" t="str">
        <f>IFERROR(__xludf.DUMMYFUNCTION("""COMPUTED_VALUE"""),"BILUSO")</f>
        <v>BILUSO</v>
      </c>
      <c r="P3394" s="1" t="str">
        <f>IFERROR(__xludf.DUMMYFUNCTION("""COMPUTED_VALUE"""),"SILANG")</f>
        <v>SILANG</v>
      </c>
      <c r="Q3394" s="1" t="str">
        <f>IFERROR(__xludf.DUMMYFUNCTION("""COMPUTED_VALUE"""),"CAVITE")</f>
        <v>CAVITE</v>
      </c>
      <c r="R3394" s="1" t="str">
        <f>IFERROR(__xludf.DUMMYFUNCTION("""COMPUTED_VALUE"""),"FIBR UNLI ALL PLAN 999")</f>
        <v>FIBR UNLI ALL PLAN 999</v>
      </c>
      <c r="S3394" s="1" t="str">
        <f>IFERROR(__xludf.DUMMYFUNCTION("""COMPUTED_VALUE"""),"APPROVED")</f>
        <v>APPROVED</v>
      </c>
      <c r="T3394" s="1" t="str">
        <f>IFERROR(__xludf.DUMMYFUNCTION("""COMPUTED_VALUE"""),"FOR PAYMENT")</f>
        <v>FOR PAYMENT</v>
      </c>
      <c r="U3394" s="1" t="str">
        <f>IFERROR(__xludf.DUMMYFUNCTION("""COMPUTED_VALUE"""),"FOR PAYMENT")</f>
        <v>FOR PAYMENT</v>
      </c>
      <c r="V3394" s="1"/>
      <c r="W3394" s="1"/>
    </row>
    <row r="3395" customHeight="1" spans="1:23">
      <c r="A3395" s="3">
        <f>IFERROR(__xludf.DUMMYFUNCTION("""COMPUTED_VALUE"""),46306)</f>
        <v>46306</v>
      </c>
      <c r="B3395" s="1" t="str">
        <f>IFERROR(__xludf.DUMMYFUNCTION("""COMPUTED_VALUE"""),"ARIENA, LYKA")</f>
        <v>ARIENA, LYKA</v>
      </c>
      <c r="C3395" s="1" t="str">
        <f>IFERROR(__xludf.DUMMYFUNCTION("""COMPUTED_VALUE"""),"ORGANIC")</f>
        <v>ORGANIC</v>
      </c>
      <c r="D3395" s="1" t="str">
        <f>IFERROR(__xludf.DUMMYFUNCTION("""COMPUTED_VALUE"""),"REMOLLO LEA")</f>
        <v>REMOLLO LEA</v>
      </c>
      <c r="E3395" s="1" t="str">
        <f>IFERROR(__xludf.DUMMYFUNCTION("""COMPUTED_VALUE"""),"PLDT / H2H")</f>
        <v>PLDT / H2H</v>
      </c>
      <c r="F3395" s="1"/>
      <c r="G3395" s="1">
        <f>IFERROR(__xludf.DUMMYFUNCTION("""COMPUTED_VALUE"""),2313097587)</f>
        <v>2313097587</v>
      </c>
      <c r="H3395" s="1" t="str">
        <f>IFERROR(__xludf.DUMMYFUNCTION("""COMPUTED_VALUE"""),"475280582004")</f>
        <v>475280582004</v>
      </c>
      <c r="I3395" s="1">
        <f>IFERROR(__xludf.DUMMYFUNCTION("""COMPUTED_VALUE"""),639956604199)</f>
        <v>639956604199</v>
      </c>
      <c r="J3395" s="1"/>
      <c r="K3395" s="1"/>
      <c r="L3395" s="1" t="str">
        <f>IFERROR(__xludf.DUMMYFUNCTION("""COMPUTED_VALUE"""),"016-BL-021")</f>
        <v>016-BL-021</v>
      </c>
      <c r="M3395" s="1" t="str">
        <f>IFERROR(__xludf.DUMMYFUNCTION("""COMPUTED_VALUE"""),"BUKLOD BAHAYAN")</f>
        <v>BUKLOD BAHAYAN</v>
      </c>
      <c r="N3395" s="1" t="str">
        <f>IFERROR(__xludf.DUMMYFUNCTION("""COMPUTED_VALUE"""),"BUKLOD BAHAYAN")</f>
        <v>BUKLOD BAHAYAN</v>
      </c>
      <c r="O3395" s="1" t="str">
        <f>IFERROR(__xludf.DUMMYFUNCTION("""COMPUTED_VALUE"""),"TARTARIA")</f>
        <v>TARTARIA</v>
      </c>
      <c r="P3395" s="1" t="str">
        <f>IFERROR(__xludf.DUMMYFUNCTION("""COMPUTED_VALUE"""),"SILANG")</f>
        <v>SILANG</v>
      </c>
      <c r="Q3395" s="1" t="str">
        <f>IFERROR(__xludf.DUMMYFUNCTION("""COMPUTED_VALUE"""),"CAVITE")</f>
        <v>CAVITE</v>
      </c>
      <c r="R3395" s="1" t="str">
        <f>IFERROR(__xludf.DUMMYFUNCTION("""COMPUTED_VALUE"""),"FIBR UNLI ALL PLAN 999")</f>
        <v>FIBR UNLI ALL PLAN 999</v>
      </c>
      <c r="S3395" s="1" t="str">
        <f>IFERROR(__xludf.DUMMYFUNCTION("""COMPUTED_VALUE"""),"APPROVED")</f>
        <v>APPROVED</v>
      </c>
      <c r="T3395" s="1" t="str">
        <f>IFERROR(__xludf.DUMMYFUNCTION("""COMPUTED_VALUE"""),"FOR PAYMENT")</f>
        <v>FOR PAYMENT</v>
      </c>
      <c r="U3395" s="1" t="str">
        <f>IFERROR(__xludf.DUMMYFUNCTION("""COMPUTED_VALUE"""),"FOR PAYMENT")</f>
        <v>FOR PAYMENT</v>
      </c>
      <c r="V3395" s="1"/>
      <c r="W3395" s="1"/>
    </row>
    <row r="3396" customHeight="1" spans="1:23">
      <c r="A3396" s="3">
        <f>IFERROR(__xludf.DUMMYFUNCTION("""COMPUTED_VALUE"""),46306)</f>
        <v>46306</v>
      </c>
      <c r="B3396" s="1" t="str">
        <f>IFERROR(__xludf.DUMMYFUNCTION("""COMPUTED_VALUE"""),"KAWAUCHI, SHANE")</f>
        <v>KAWAUCHI, SHANE</v>
      </c>
      <c r="C3396" s="1" t="str">
        <f>IFERROR(__xludf.DUMMYFUNCTION("""COMPUTED_VALUE"""),"ORGANIC")</f>
        <v>ORGANIC</v>
      </c>
      <c r="D3396" s="1" t="str">
        <f>IFERROR(__xludf.DUMMYFUNCTION("""COMPUTED_VALUE"""),"MICHALE GARCIA")</f>
        <v>MICHALE GARCIA</v>
      </c>
      <c r="E3396" s="1" t="str">
        <f>IFERROR(__xludf.DUMMYFUNCTION("""COMPUTED_VALUE"""),"HOME BIZZ")</f>
        <v>HOME BIZZ</v>
      </c>
      <c r="F3396" s="1"/>
      <c r="G3396" s="1">
        <f>IFERROR(__xludf.DUMMYFUNCTION("""COMPUTED_VALUE"""),2313099080)</f>
        <v>2313099080</v>
      </c>
      <c r="H3396" s="1" t="str">
        <f>IFERROR(__xludf.DUMMYFUNCTION("""COMPUTED_VALUE"""),"475119655004")</f>
        <v>475119655004</v>
      </c>
      <c r="I3396" s="1">
        <f>IFERROR(__xludf.DUMMYFUNCTION("""COMPUTED_VALUE"""),639052220099)</f>
        <v>639052220099</v>
      </c>
      <c r="J3396" s="1"/>
      <c r="K3396" s="1"/>
      <c r="L3396" s="1" t="str">
        <f>IFERROR(__xludf.DUMMYFUNCTION("""COMPUTED_VALUE"""),"415")</f>
        <v>415</v>
      </c>
      <c r="M3396" s="1" t="str">
        <f>IFERROR(__xludf.DUMMYFUNCTION("""COMPUTED_VALUE"""),"A SORIANO")</f>
        <v>A SORIANO</v>
      </c>
      <c r="N3396" s="1"/>
      <c r="O3396" s="1" t="str">
        <f>IFERROR(__xludf.DUMMYFUNCTION("""COMPUTED_VALUE"""),"DAANG AMAYA I")</f>
        <v>DAANG AMAYA I</v>
      </c>
      <c r="P3396" s="1" t="str">
        <f>IFERROR(__xludf.DUMMYFUNCTION("""COMPUTED_VALUE"""),"TANZA")</f>
        <v>TANZA</v>
      </c>
      <c r="Q3396" s="1" t="str">
        <f>IFERROR(__xludf.DUMMYFUNCTION("""COMPUTED_VALUE"""),"CAVITE")</f>
        <v>CAVITE</v>
      </c>
      <c r="R3396" s="1" t="str">
        <f>IFERROR(__xludf.DUMMYFUNCTION("""COMPUTED_VALUE"""),"HOME BIZ PLAN 1699")</f>
        <v>HOME BIZ PLAN 1699</v>
      </c>
      <c r="S3396" s="1" t="str">
        <f>IFERROR(__xludf.DUMMYFUNCTION("""COMPUTED_VALUE"""),"APPROVED")</f>
        <v>APPROVED</v>
      </c>
      <c r="T3396" s="1" t="str">
        <f>IFERROR(__xludf.DUMMYFUNCTION("""COMPUTED_VALUE"""),"FOR PAYMENT")</f>
        <v>FOR PAYMENT</v>
      </c>
      <c r="U3396" s="1" t="str">
        <f>IFERROR(__xludf.DUMMYFUNCTION("""COMPUTED_VALUE"""),"FOR PAYMENT")</f>
        <v>FOR PAYMENT</v>
      </c>
      <c r="V3396" s="1"/>
      <c r="W3396" s="1"/>
    </row>
    <row r="3397" customHeight="1" spans="1:23">
      <c r="A3397" s="3">
        <f>IFERROR(__xludf.DUMMYFUNCTION("""COMPUTED_VALUE"""),46306)</f>
        <v>46306</v>
      </c>
      <c r="B3397" s="1" t="str">
        <f>IFERROR(__xludf.DUMMYFUNCTION("""COMPUTED_VALUE"""),"GABAY, MANUEL")</f>
        <v>GABAY, MANUEL</v>
      </c>
      <c r="C3397" s="1" t="str">
        <f>IFERROR(__xludf.DUMMYFUNCTION("""COMPUTED_VALUE"""),"FLA")</f>
        <v>FLA</v>
      </c>
      <c r="D3397" s="1" t="str">
        <f>IFERROR(__xludf.DUMMYFUNCTION("""COMPUTED_VALUE"""),"JERIC NAVARRO")</f>
        <v>JERIC NAVARRO</v>
      </c>
      <c r="E3397" s="1" t="str">
        <f>IFERROR(__xludf.DUMMYFUNCTION("""COMPUTED_VALUE"""),"PLDT / H2H")</f>
        <v>PLDT / H2H</v>
      </c>
      <c r="F3397" s="1"/>
      <c r="G3397" s="1">
        <f>IFERROR(__xludf.DUMMYFUNCTION("""COMPUTED_VALUE"""),2313099365)</f>
        <v>2313099365</v>
      </c>
      <c r="H3397" s="1" t="str">
        <f>IFERROR(__xludf.DUMMYFUNCTION("""COMPUTED_VALUE"""),"475120220004")</f>
        <v>475120220004</v>
      </c>
      <c r="I3397" s="1">
        <f>IFERROR(__xludf.DUMMYFUNCTION("""COMPUTED_VALUE"""),639061086313)</f>
        <v>639061086313</v>
      </c>
      <c r="J3397" s="1">
        <f>IFERROR(__xludf.DUMMYFUNCTION("""COMPUTED_VALUE"""),639050683058)</f>
        <v>639050683058</v>
      </c>
      <c r="K3397" s="1"/>
      <c r="L3397" s="1" t="str">
        <f>IFERROR(__xludf.DUMMYFUNCTION("""COMPUTED_VALUE"""),"5028")</f>
        <v>5028</v>
      </c>
      <c r="M3397" s="1" t="str">
        <f>IFERROR(__xludf.DUMMYFUNCTION("""COMPUTED_VALUE"""),"PUROK 5")</f>
        <v>PUROK 5</v>
      </c>
      <c r="N3397" s="1" t="str">
        <f>IFERROR(__xludf.DUMMYFUNCTION("""COMPUTED_VALUE"""),"#N/A")</f>
        <v>#N/A</v>
      </c>
      <c r="O3397" s="1" t="str">
        <f>IFERROR(__xludf.DUMMYFUNCTION("""COMPUTED_VALUE"""),"PANGIL")</f>
        <v>PANGIL</v>
      </c>
      <c r="P3397" s="1" t="str">
        <f>IFERROR(__xludf.DUMMYFUNCTION("""COMPUTED_VALUE"""),"AMADEO")</f>
        <v>AMADEO</v>
      </c>
      <c r="Q3397" s="1" t="str">
        <f>IFERROR(__xludf.DUMMYFUNCTION("""COMPUTED_VALUE"""),"CAVITE")</f>
        <v>CAVITE</v>
      </c>
      <c r="R3397" s="1" t="str">
        <f>IFERROR(__xludf.DUMMYFUNCTION("""COMPUTED_VALUE"""),"FIBER UNLI ALL PLAN 1499")</f>
        <v>FIBER UNLI ALL PLAN 1499</v>
      </c>
      <c r="S3397" s="1" t="str">
        <f>IFERROR(__xludf.DUMMYFUNCTION("""COMPUTED_VALUE"""),"APPROVED")</f>
        <v>APPROVED</v>
      </c>
      <c r="T3397" s="1" t="str">
        <f>IFERROR(__xludf.DUMMYFUNCTION("""COMPUTED_VALUE"""),"ORDER CREATED")</f>
        <v>ORDER CREATED</v>
      </c>
      <c r="U3397" s="1" t="str">
        <f>IFERROR(__xludf.DUMMYFUNCTION("""COMPUTED_VALUE"""),"OPEN")</f>
        <v>OPEN</v>
      </c>
      <c r="V3397" s="1"/>
      <c r="W3397" s="1"/>
    </row>
    <row r="3398" customHeight="1" spans="1:23">
      <c r="A3398" s="3">
        <f>IFERROR(__xludf.DUMMYFUNCTION("""COMPUTED_VALUE"""),46306)</f>
        <v>46306</v>
      </c>
      <c r="B3398" s="1" t="str">
        <f>IFERROR(__xludf.DUMMYFUNCTION("""COMPUTED_VALUE"""),"FRANCISCO , ROSELYN")</f>
        <v>FRANCISCO , ROSELYN</v>
      </c>
      <c r="C3398" s="1" t="str">
        <f>IFERROR(__xludf.DUMMYFUNCTION("""COMPUTED_VALUE"""),"ORGANIC")</f>
        <v>ORGANIC</v>
      </c>
      <c r="D3398" s="1" t="str">
        <f>IFERROR(__xludf.DUMMYFUNCTION("""COMPUTED_VALUE"""),"REMOLLO LEA")</f>
        <v>REMOLLO LEA</v>
      </c>
      <c r="E3398" s="1" t="str">
        <f>IFERROR(__xludf.DUMMYFUNCTION("""COMPUTED_VALUE"""),"PLDT / H2H")</f>
        <v>PLDT / H2H</v>
      </c>
      <c r="F3398" s="1"/>
      <c r="G3398" s="1">
        <f>IFERROR(__xludf.DUMMYFUNCTION("""COMPUTED_VALUE"""),2313099680)</f>
        <v>2313099680</v>
      </c>
      <c r="H3398" s="1" t="str">
        <f>IFERROR(__xludf.DUMMYFUNCTION("""COMPUTED_VALUE"""),"475120383004")</f>
        <v>475120383004</v>
      </c>
      <c r="I3398" s="1">
        <f>IFERROR(__xludf.DUMMYFUNCTION("""COMPUTED_VALUE"""),639511618715)</f>
        <v>639511618715</v>
      </c>
      <c r="J3398" s="1">
        <f>IFERROR(__xludf.DUMMYFUNCTION("""COMPUTED_VALUE"""),639652609936)</f>
        <v>639652609936</v>
      </c>
      <c r="K3398" s="1"/>
      <c r="L3398" s="1" t="str">
        <f>IFERROR(__xludf.DUMMYFUNCTION("""COMPUTED_VALUE"""),"307")</f>
        <v>307</v>
      </c>
      <c r="M3398" s="1" t="str">
        <f>IFERROR(__xludf.DUMMYFUNCTION("""COMPUTED_VALUE"""),"PHASE 3")</f>
        <v>PHASE 3</v>
      </c>
      <c r="N3398" s="1" t="str">
        <f>IFERROR(__xludf.DUMMYFUNCTION("""COMPUTED_VALUE"""),"PATINDIG ARAW")</f>
        <v>PATINDIG ARAW</v>
      </c>
      <c r="O3398" s="1" t="str">
        <f>IFERROR(__xludf.DUMMYFUNCTION("""COMPUTED_VALUE"""),"MILAGROSA")</f>
        <v>MILAGROSA</v>
      </c>
      <c r="P3398" s="1" t="str">
        <f>IFERROR(__xludf.DUMMYFUNCTION("""COMPUTED_VALUE"""),"CARMONA")</f>
        <v>CARMONA</v>
      </c>
      <c r="Q3398" s="1" t="str">
        <f>IFERROR(__xludf.DUMMYFUNCTION("""COMPUTED_VALUE"""),"CAVITE")</f>
        <v>CAVITE</v>
      </c>
      <c r="R3398" s="1" t="str">
        <f>IFERROR(__xludf.DUMMYFUNCTION("""COMPUTED_VALUE"""),"FIBR UNLI ALL PLAN 999")</f>
        <v>FIBR UNLI ALL PLAN 999</v>
      </c>
      <c r="S3398" s="1" t="str">
        <f>IFERROR(__xludf.DUMMYFUNCTION("""COMPUTED_VALUE"""),"APPROVED")</f>
        <v>APPROVED</v>
      </c>
      <c r="T3398" s="1" t="str">
        <f>IFERROR(__xludf.DUMMYFUNCTION("""COMPUTED_VALUE"""),"FOR PAYMENT")</f>
        <v>FOR PAYMENT</v>
      </c>
      <c r="U3398" s="1" t="str">
        <f>IFERROR(__xludf.DUMMYFUNCTION("""COMPUTED_VALUE"""),"FOR PAYMENT")</f>
        <v>FOR PAYMENT</v>
      </c>
      <c r="V3398" s="1"/>
      <c r="W3398" s="1"/>
    </row>
    <row r="3399" customHeight="1" spans="1:23">
      <c r="A3399" s="3">
        <f>IFERROR(__xludf.DUMMYFUNCTION("""COMPUTED_VALUE"""),46306)</f>
        <v>46306</v>
      </c>
      <c r="B3399" s="1" t="str">
        <f>IFERROR(__xludf.DUMMYFUNCTION("""COMPUTED_VALUE"""),"CADERAO, RONALD")</f>
        <v>CADERAO, RONALD</v>
      </c>
      <c r="C3399" s="1" t="str">
        <f>IFERROR(__xludf.DUMMYFUNCTION("""COMPUTED_VALUE"""),"ORGANIC")</f>
        <v>ORGANIC</v>
      </c>
      <c r="D3399" s="1" t="str">
        <f>IFERROR(__xludf.DUMMYFUNCTION("""COMPUTED_VALUE"""),"REMOLLO LEA")</f>
        <v>REMOLLO LEA</v>
      </c>
      <c r="E3399" s="1" t="str">
        <f>IFERROR(__xludf.DUMMYFUNCTION("""COMPUTED_VALUE"""),"PLDT / H2H")</f>
        <v>PLDT / H2H</v>
      </c>
      <c r="F3399" s="1"/>
      <c r="G3399" s="1">
        <f>IFERROR(__xludf.DUMMYFUNCTION("""COMPUTED_VALUE"""),2313099923)</f>
        <v>2313099923</v>
      </c>
      <c r="H3399" s="1" t="str">
        <f>IFERROR(__xludf.DUMMYFUNCTION("""COMPUTED_VALUE"""),"475281679004")</f>
        <v>475281679004</v>
      </c>
      <c r="I3399" s="1">
        <f>IFERROR(__xludf.DUMMYFUNCTION("""COMPUTED_VALUE"""),639929591705)</f>
        <v>639929591705</v>
      </c>
      <c r="J3399" s="1"/>
      <c r="K3399" s="1"/>
      <c r="L3399" s="1" t="str">
        <f>IFERROR(__xludf.DUMMYFUNCTION("""COMPUTED_VALUE"""),"46")</f>
        <v>46</v>
      </c>
      <c r="M3399" s="1" t="str">
        <f>IFERROR(__xludf.DUMMYFUNCTION("""COMPUTED_VALUE"""),"FERNANDEZ")</f>
        <v>FERNANDEZ</v>
      </c>
      <c r="N3399" s="1" t="str">
        <f>IFERROR(__xludf.DUMMYFUNCTION("""COMPUTED_VALUE"""),"PUROK 3B")</f>
        <v>PUROK 3B</v>
      </c>
      <c r="O3399" s="1" t="str">
        <f>IFERROR(__xludf.DUMMYFUNCTION("""COMPUTED_VALUE"""),"PANGIL")</f>
        <v>PANGIL</v>
      </c>
      <c r="P3399" s="1" t="str">
        <f>IFERROR(__xludf.DUMMYFUNCTION("""COMPUTED_VALUE"""),"AMADEO")</f>
        <v>AMADEO</v>
      </c>
      <c r="Q3399" s="1" t="str">
        <f>IFERROR(__xludf.DUMMYFUNCTION("""COMPUTED_VALUE"""),"CAVITE")</f>
        <v>CAVITE</v>
      </c>
      <c r="R3399" s="1" t="str">
        <f>IFERROR(__xludf.DUMMYFUNCTION("""COMPUTED_VALUE"""),"FIBER UNLI ALL PLAN 1499")</f>
        <v>FIBER UNLI ALL PLAN 1499</v>
      </c>
      <c r="S3399" s="1" t="str">
        <f>IFERROR(__xludf.DUMMYFUNCTION("""COMPUTED_VALUE"""),"APPROVED")</f>
        <v>APPROVED</v>
      </c>
      <c r="T3399" s="1" t="str">
        <f>IFERROR(__xludf.DUMMYFUNCTION("""COMPUTED_VALUE"""),"FOR PAYMENT")</f>
        <v>FOR PAYMENT</v>
      </c>
      <c r="U3399" s="1" t="str">
        <f>IFERROR(__xludf.DUMMYFUNCTION("""COMPUTED_VALUE"""),"FOR PAYMENT")</f>
        <v>FOR PAYMENT</v>
      </c>
      <c r="V3399" s="1"/>
      <c r="W3399" s="1"/>
    </row>
    <row r="3400" customHeight="1" spans="1:23">
      <c r="A3400" s="3">
        <f>IFERROR(__xludf.DUMMYFUNCTION("""COMPUTED_VALUE"""),46306)</f>
        <v>46306</v>
      </c>
      <c r="B3400" s="1" t="str">
        <f>IFERROR(__xludf.DUMMYFUNCTION("""COMPUTED_VALUE"""),"CADERAO, RONALD")</f>
        <v>CADERAO, RONALD</v>
      </c>
      <c r="C3400" s="1" t="str">
        <f>IFERROR(__xludf.DUMMYFUNCTION("""COMPUTED_VALUE"""),"ORGANIC")</f>
        <v>ORGANIC</v>
      </c>
      <c r="D3400" s="1" t="str">
        <f>IFERROR(__xludf.DUMMYFUNCTION("""COMPUTED_VALUE"""),"REMOLLO LEA")</f>
        <v>REMOLLO LEA</v>
      </c>
      <c r="E3400" s="1" t="str">
        <f>IFERROR(__xludf.DUMMYFUNCTION("""COMPUTED_VALUE"""),"PLDT / H2H")</f>
        <v>PLDT / H2H</v>
      </c>
      <c r="F3400" s="1"/>
      <c r="G3400" s="1">
        <f>IFERROR(__xludf.DUMMYFUNCTION("""COMPUTED_VALUE"""),2313172195)</f>
        <v>2313172195</v>
      </c>
      <c r="H3400" s="1" t="str">
        <f>IFERROR(__xludf.DUMMYFUNCTION("""COMPUTED_VALUE"""),"475121144004")</f>
        <v>475121144004</v>
      </c>
      <c r="I3400" s="1">
        <f>IFERROR(__xludf.DUMMYFUNCTION("""COMPUTED_VALUE"""),639759447540)</f>
        <v>639759447540</v>
      </c>
      <c r="J3400" s="1"/>
      <c r="K3400" s="1"/>
      <c r="L3400" s="1" t="str">
        <f>IFERROR(__xludf.DUMMYFUNCTION("""COMPUTED_VALUE"""),"47")</f>
        <v>47</v>
      </c>
      <c r="M3400" s="1" t="str">
        <f>IFERROR(__xludf.DUMMYFUNCTION("""COMPUTED_VALUE"""),"FERNANDEZ")</f>
        <v>FERNANDEZ</v>
      </c>
      <c r="N3400" s="1" t="str">
        <f>IFERROR(__xludf.DUMMYFUNCTION("""COMPUTED_VALUE"""),"PUROK 3B")</f>
        <v>PUROK 3B</v>
      </c>
      <c r="O3400" s="1" t="str">
        <f>IFERROR(__xludf.DUMMYFUNCTION("""COMPUTED_VALUE"""),"PANGIL")</f>
        <v>PANGIL</v>
      </c>
      <c r="P3400" s="1" t="str">
        <f>IFERROR(__xludf.DUMMYFUNCTION("""COMPUTED_VALUE"""),"AMADEO")</f>
        <v>AMADEO</v>
      </c>
      <c r="Q3400" s="1" t="str">
        <f>IFERROR(__xludf.DUMMYFUNCTION("""COMPUTED_VALUE"""),"CAVITE")</f>
        <v>CAVITE</v>
      </c>
      <c r="R3400" s="1" t="str">
        <f>IFERROR(__xludf.DUMMYFUNCTION("""COMPUTED_VALUE"""),"FIBER UNLI PLAN 1399")</f>
        <v>FIBER UNLI PLAN 1399</v>
      </c>
      <c r="S3400" s="1" t="str">
        <f>IFERROR(__xludf.DUMMYFUNCTION("""COMPUTED_VALUE"""),"APPROVED")</f>
        <v>APPROVED</v>
      </c>
      <c r="T3400" s="1" t="str">
        <f>IFERROR(__xludf.DUMMYFUNCTION("""COMPUTED_VALUE"""),"RPR")</f>
        <v>RPR</v>
      </c>
      <c r="U3400" s="1" t="str">
        <f>IFERROR(__xludf.DUMMYFUNCTION("""COMPUTED_VALUE"""),"NO FIBER FACILITIES")</f>
        <v>NO FIBER FACILITIES</v>
      </c>
      <c r="V3400" s="1" t="str">
        <f>IFERROR(__xludf.DUMMYFUNCTION("""COMPUTED_VALUE"""),"NO 1 AMSF")</f>
        <v>NO 1 AMSF</v>
      </c>
      <c r="W3400" s="1"/>
    </row>
    <row r="3401" customHeight="1" spans="1:23">
      <c r="A3401" s="3">
        <f>IFERROR(__xludf.DUMMYFUNCTION("""COMPUTED_VALUE"""),46306)</f>
        <v>46306</v>
      </c>
      <c r="B3401" s="1" t="str">
        <f>IFERROR(__xludf.DUMMYFUNCTION("""COMPUTED_VALUE"""),"BAQUIT ,JAZMIN")</f>
        <v>BAQUIT ,JAZMIN</v>
      </c>
      <c r="C3401" s="1" t="str">
        <f>IFERROR(__xludf.DUMMYFUNCTION("""COMPUTED_VALUE"""),"ORGANIC")</f>
        <v>ORGANIC</v>
      </c>
      <c r="D3401" s="1" t="str">
        <f>IFERROR(__xludf.DUMMYFUNCTION("""COMPUTED_VALUE"""),"REMOLLO LEA")</f>
        <v>REMOLLO LEA</v>
      </c>
      <c r="E3401" s="1" t="str">
        <f>IFERROR(__xludf.DUMMYFUNCTION("""COMPUTED_VALUE"""),"PLDT / ONLINE")</f>
        <v>PLDT / ONLINE</v>
      </c>
      <c r="F3401" s="1"/>
      <c r="G3401" s="1">
        <f>IFERROR(__xludf.DUMMYFUNCTION("""COMPUTED_VALUE"""),2313100374)</f>
        <v>2313100374</v>
      </c>
      <c r="H3401" s="1" t="str">
        <f>IFERROR(__xludf.DUMMYFUNCTION("""COMPUTED_VALUE"""),"475281728004")</f>
        <v>475281728004</v>
      </c>
      <c r="I3401" s="1">
        <f>IFERROR(__xludf.DUMMYFUNCTION("""COMPUTED_VALUE"""),639957380868)</f>
        <v>639957380868</v>
      </c>
      <c r="J3401" s="1">
        <f>IFERROR(__xludf.DUMMYFUNCTION("""COMPUTED_VALUE"""),639977357565)</f>
        <v>639977357565</v>
      </c>
      <c r="K3401" s="1"/>
      <c r="L3401" s="1" t="str">
        <f>IFERROR(__xludf.DUMMYFUNCTION("""COMPUTED_VALUE"""),"006-BL-057")</f>
        <v>006-BL-057</v>
      </c>
      <c r="M3401" s="1" t="str">
        <f>IFERROR(__xludf.DUMMYFUNCTION("""COMPUTED_VALUE"""),"PHASE 2")</f>
        <v>PHASE 2</v>
      </c>
      <c r="N3401" s="1" t="str">
        <f>IFERROR(__xludf.DUMMYFUNCTION("""COMPUTED_VALUE"""),"AMAYA RESIDENCE")</f>
        <v>AMAYA RESIDENCE</v>
      </c>
      <c r="O3401" s="1" t="str">
        <f>IFERROR(__xludf.DUMMYFUNCTION("""COMPUTED_VALUE"""),"AMAYA VII")</f>
        <v>AMAYA VII</v>
      </c>
      <c r="P3401" s="1" t="str">
        <f>IFERROR(__xludf.DUMMYFUNCTION("""COMPUTED_VALUE"""),"TANZA")</f>
        <v>TANZA</v>
      </c>
      <c r="Q3401" s="1" t="str">
        <f>IFERROR(__xludf.DUMMYFUNCTION("""COMPUTED_VALUE"""),"CAVITE")</f>
        <v>CAVITE</v>
      </c>
      <c r="R3401" s="1" t="str">
        <f>IFERROR(__xludf.DUMMYFUNCTION("""COMPUTED_VALUE"""),"FIBER UNLI PLAN 1399")</f>
        <v>FIBER UNLI PLAN 1399</v>
      </c>
      <c r="S3401" s="1" t="str">
        <f>IFERROR(__xludf.DUMMYFUNCTION("""COMPUTED_VALUE"""),"APPROVED")</f>
        <v>APPROVED</v>
      </c>
      <c r="T3401" s="1" t="str">
        <f>IFERROR(__xludf.DUMMYFUNCTION("""COMPUTED_VALUE"""),"PAID")</f>
        <v>PAID</v>
      </c>
      <c r="U3401" s="1" t="str">
        <f>IFERROR(__xludf.DUMMYFUNCTION("""COMPUTED_VALUE"""),"PAID - FOR INSTALLATION")</f>
        <v>PAID - FOR INSTALLATION</v>
      </c>
      <c r="V3401" s="1" t="str">
        <f>IFERROR(__xludf.DUMMYFUNCTION("""COMPUTED_VALUE"""),"WITH 1 AMSF")</f>
        <v>WITH 1 AMSF</v>
      </c>
      <c r="W3401" s="1"/>
    </row>
    <row r="3402" customHeight="1" spans="1:23">
      <c r="A3402" s="3">
        <f>IFERROR(__xludf.DUMMYFUNCTION("""COMPUTED_VALUE"""),46306)</f>
        <v>46306</v>
      </c>
      <c r="B3402" s="1" t="str">
        <f>IFERROR(__xludf.DUMMYFUNCTION("""COMPUTED_VALUE"""),"REMOLLO, LEA")</f>
        <v>REMOLLO, LEA</v>
      </c>
      <c r="C3402" s="1" t="str">
        <f>IFERROR(__xludf.DUMMYFUNCTION("""COMPUTED_VALUE"""),"FLA")</f>
        <v>FLA</v>
      </c>
      <c r="D3402" s="1" t="str">
        <f>IFERROR(__xludf.DUMMYFUNCTION("""COMPUTED_VALUE"""),"JERIC NAVARRO")</f>
        <v>JERIC NAVARRO</v>
      </c>
      <c r="E3402" s="1" t="str">
        <f>IFERROR(__xludf.DUMMYFUNCTION("""COMPUTED_VALUE"""),"PLDT / H2H")</f>
        <v>PLDT / H2H</v>
      </c>
      <c r="F3402" s="1"/>
      <c r="G3402" s="1">
        <f>IFERROR(__xludf.DUMMYFUNCTION("""COMPUTED_VALUE"""),2313100875)</f>
        <v>2313100875</v>
      </c>
      <c r="H3402" s="1" t="str">
        <f>IFERROR(__xludf.DUMMYFUNCTION("""COMPUTED_VALUE"""),"#N/A")</f>
        <v>#N/A</v>
      </c>
      <c r="I3402" s="1">
        <f>IFERROR(__xludf.DUMMYFUNCTION("""COMPUTED_VALUE"""),639165582326)</f>
        <v>639165582326</v>
      </c>
      <c r="J3402" s="1"/>
      <c r="K3402" s="1"/>
      <c r="L3402" s="1" t="str">
        <f>IFERROR(__xludf.DUMMYFUNCTION("""COMPUTED_VALUE"""),"007-BL-007")</f>
        <v>007-BL-007</v>
      </c>
      <c r="M3402" s="1" t="str">
        <f>IFERROR(__xludf.DUMMYFUNCTION("""COMPUTED_VALUE"""),"KARUNUNGAN TEACHERS VILL")</f>
        <v>KARUNUNGAN TEACHERS VILL</v>
      </c>
      <c r="N3402" s="1" t="str">
        <f>IFERROR(__xludf.DUMMYFUNCTION("""COMPUTED_VALUE"""),"KARUNUNGAN TEACHERS VILL")</f>
        <v>KARUNUNGAN TEACHERS VILL</v>
      </c>
      <c r="O3402" s="1" t="str">
        <f>IFERROR(__xludf.DUMMYFUNCTION("""COMPUTED_VALUE"""),"SAN GABRIEL (AREA K)")</f>
        <v>SAN GABRIEL (AREA K)</v>
      </c>
      <c r="P3402" s="1" t="str">
        <f>IFERROR(__xludf.DUMMYFUNCTION("""COMPUTED_VALUE"""),"GEN MARIANO ALVAREZ")</f>
        <v>GEN MARIANO ALVAREZ</v>
      </c>
      <c r="Q3402" s="1" t="str">
        <f>IFERROR(__xludf.DUMMYFUNCTION("""COMPUTED_VALUE"""),"CAVITE")</f>
        <v>CAVITE</v>
      </c>
      <c r="R3402" s="1" t="str">
        <f>IFERROR(__xludf.DUMMYFUNCTION("""COMPUTED_VALUE"""),"FIBR NETFLIX PLAN 1599")</f>
        <v>FIBR NETFLIX PLAN 1599</v>
      </c>
      <c r="S3402" s="1" t="str">
        <f>IFERROR(__xludf.DUMMYFUNCTION("""COMPUTED_VALUE"""),"APPROVED")</f>
        <v>APPROVED</v>
      </c>
      <c r="T3402" s="1" t="str">
        <f>IFERROR(__xludf.DUMMYFUNCTION("""COMPUTED_VALUE"""),"FOR COMPLIANCE VERIFICATION CVA A")</f>
        <v>FOR COMPLIANCE VERIFICATION CVA A</v>
      </c>
      <c r="U3402" s="1" t="str">
        <f>IFERROR(__xludf.DUMMYFUNCTION("""COMPUTED_VALUE"""),"CREDIT VALIDATION")</f>
        <v>CREDIT VALIDATION</v>
      </c>
      <c r="V3402" s="1"/>
      <c r="W3402" s="1"/>
    </row>
    <row r="3403" customHeight="1" spans="1:23">
      <c r="A3403" s="3">
        <f>IFERROR(__xludf.DUMMYFUNCTION("""COMPUTED_VALUE"""),46306)</f>
        <v>46306</v>
      </c>
      <c r="B3403" s="1" t="str">
        <f>IFERROR(__xludf.DUMMYFUNCTION("""COMPUTED_VALUE"""),"LOTOJA, LOVELY JOICE")</f>
        <v>LOTOJA, LOVELY JOICE</v>
      </c>
      <c r="C3403" s="1" t="str">
        <f>IFERROR(__xludf.DUMMYFUNCTION("""COMPUTED_VALUE"""),"ORGANIC")</f>
        <v>ORGANIC</v>
      </c>
      <c r="D3403" s="1" t="str">
        <f>IFERROR(__xludf.DUMMYFUNCTION("""COMPUTED_VALUE"""),"REMOLLO LEA")</f>
        <v>REMOLLO LEA</v>
      </c>
      <c r="E3403" s="1" t="str">
        <f>IFERROR(__xludf.DUMMYFUNCTION("""COMPUTED_VALUE"""),"PLDT / H2H")</f>
        <v>PLDT / H2H</v>
      </c>
      <c r="F3403" s="1"/>
      <c r="G3403" s="1">
        <f>IFERROR(__xludf.DUMMYFUNCTION("""COMPUTED_VALUE"""),2313101225)</f>
        <v>2313101225</v>
      </c>
      <c r="H3403" s="1" t="str">
        <f>IFERROR(__xludf.DUMMYFUNCTION("""COMPUTED_VALUE"""),"475124436004")</f>
        <v>475124436004</v>
      </c>
      <c r="I3403" s="1">
        <f>IFERROR(__xludf.DUMMYFUNCTION("""COMPUTED_VALUE"""),639192890511)</f>
        <v>639192890511</v>
      </c>
      <c r="J3403" s="1"/>
      <c r="K3403" s="1"/>
      <c r="L3403" s="1" t="str">
        <f>IFERROR(__xludf.DUMMYFUNCTION("""COMPUTED_VALUE"""),"16")</f>
        <v>16</v>
      </c>
      <c r="M3403" s="1" t="str">
        <f>IFERROR(__xludf.DUMMYFUNCTION("""COMPUTED_VALUE"""),"PUROK 1")</f>
        <v>PUROK 1</v>
      </c>
      <c r="N3403" s="1" t="str">
        <f>IFERROR(__xludf.DUMMYFUNCTION("""COMPUTED_VALUE"""),"PUROK 1")</f>
        <v>PUROK 1</v>
      </c>
      <c r="O3403" s="1" t="str">
        <f>IFERROR(__xludf.DUMMYFUNCTION("""COMPUTED_VALUE"""),"BILUSO")</f>
        <v>BILUSO</v>
      </c>
      <c r="P3403" s="1" t="str">
        <f>IFERROR(__xludf.DUMMYFUNCTION("""COMPUTED_VALUE"""),"SILANG")</f>
        <v>SILANG</v>
      </c>
      <c r="Q3403" s="1" t="str">
        <f>IFERROR(__xludf.DUMMYFUNCTION("""COMPUTED_VALUE"""),"CAVITE")</f>
        <v>CAVITE</v>
      </c>
      <c r="R3403" s="1" t="str">
        <f>IFERROR(__xludf.DUMMYFUNCTION("""COMPUTED_VALUE"""),"FIBER UNLI PLAN 1399")</f>
        <v>FIBER UNLI PLAN 1399</v>
      </c>
      <c r="S3403" s="1" t="str">
        <f>IFERROR(__xludf.DUMMYFUNCTION("""COMPUTED_VALUE"""),"APPROVED")</f>
        <v>APPROVED</v>
      </c>
      <c r="T3403" s="1" t="str">
        <f>IFERROR(__xludf.DUMMYFUNCTION("""COMPUTED_VALUE"""),"ORDER CREATED")</f>
        <v>ORDER CREATED</v>
      </c>
      <c r="U3403" s="1" t="str">
        <f>IFERROR(__xludf.DUMMYFUNCTION("""COMPUTED_VALUE"""),"OPEN")</f>
        <v>OPEN</v>
      </c>
      <c r="V3403" s="1"/>
      <c r="W3403" s="1"/>
    </row>
    <row r="3404" customHeight="1" spans="1:23">
      <c r="A3404" s="3">
        <f>IFERROR(__xludf.DUMMYFUNCTION("""COMPUTED_VALUE"""),46306)</f>
        <v>46306</v>
      </c>
      <c r="B3404" s="1" t="str">
        <f>IFERROR(__xludf.DUMMYFUNCTION("""COMPUTED_VALUE"""),"TAMAYO, MARY ROSE")</f>
        <v>TAMAYO, MARY ROSE</v>
      </c>
      <c r="C3404" s="1" t="str">
        <f>IFERROR(__xludf.DUMMYFUNCTION("""COMPUTED_VALUE"""),"ORGANIC")</f>
        <v>ORGANIC</v>
      </c>
      <c r="D3404" s="1" t="str">
        <f>IFERROR(__xludf.DUMMYFUNCTION("""COMPUTED_VALUE"""),"REMOLLO LEA")</f>
        <v>REMOLLO LEA</v>
      </c>
      <c r="E3404" s="1" t="str">
        <f>IFERROR(__xludf.DUMMYFUNCTION("""COMPUTED_VALUE"""),"PLDT / H2H")</f>
        <v>PLDT / H2H</v>
      </c>
      <c r="F3404" s="1"/>
      <c r="G3404" s="1">
        <f>IFERROR(__xludf.DUMMYFUNCTION("""COMPUTED_VALUE"""),2313101574)</f>
        <v>2313101574</v>
      </c>
      <c r="H3404" s="1" t="str">
        <f>IFERROR(__xludf.DUMMYFUNCTION("""COMPUTED_VALUE"""),"475123664004")</f>
        <v>475123664004</v>
      </c>
      <c r="I3404" s="1">
        <f>IFERROR(__xludf.DUMMYFUNCTION("""COMPUTED_VALUE"""),639092997293)</f>
        <v>639092997293</v>
      </c>
      <c r="J3404" s="1">
        <f>IFERROR(__xludf.DUMMYFUNCTION("""COMPUTED_VALUE"""),639368662859)</f>
        <v>639368662859</v>
      </c>
      <c r="K3404" s="1"/>
      <c r="L3404" s="1" t="str">
        <f>IFERROR(__xludf.DUMMYFUNCTION("""COMPUTED_VALUE"""),"9312")</f>
        <v>9312</v>
      </c>
      <c r="M3404" s="1" t="str">
        <f>IFERROR(__xludf.DUMMYFUNCTION("""COMPUTED_VALUE"""),"JM LOYALA")</f>
        <v>JM LOYALA</v>
      </c>
      <c r="N3404" s="1" t="str">
        <f>IFERROR(__xludf.DUMMYFUNCTION("""COMPUTED_VALUE"""),"#N/A")</f>
        <v>#N/A</v>
      </c>
      <c r="O3404" s="1" t="str">
        <f>IFERROR(__xludf.DUMMYFUNCTION("""COMPUTED_VALUE"""),"MADUYA")</f>
        <v>MADUYA</v>
      </c>
      <c r="P3404" s="1" t="str">
        <f>IFERROR(__xludf.DUMMYFUNCTION("""COMPUTED_VALUE"""),"CARMONA")</f>
        <v>CARMONA</v>
      </c>
      <c r="Q3404" s="1" t="str">
        <f>IFERROR(__xludf.DUMMYFUNCTION("""COMPUTED_VALUE"""),"CAVITE")</f>
        <v>CAVITE</v>
      </c>
      <c r="R3404" s="1" t="str">
        <f>IFERROR(__xludf.DUMMYFUNCTION("""COMPUTED_VALUE"""),"FIBER UNLI PLAN 1399")</f>
        <v>FIBER UNLI PLAN 1399</v>
      </c>
      <c r="S3404" s="1" t="str">
        <f>IFERROR(__xludf.DUMMYFUNCTION("""COMPUTED_VALUE"""),"APPROVED")</f>
        <v>APPROVED</v>
      </c>
      <c r="T3404" s="1" t="str">
        <f>IFERROR(__xludf.DUMMYFUNCTION("""COMPUTED_VALUE"""),"ORDER CREATED")</f>
        <v>ORDER CREATED</v>
      </c>
      <c r="U3404" s="1" t="str">
        <f>IFERROR(__xludf.DUMMYFUNCTION("""COMPUTED_VALUE"""),"OPEN")</f>
        <v>OPEN</v>
      </c>
      <c r="V3404" s="1"/>
      <c r="W3404" s="1"/>
    </row>
    <row r="3405" customHeight="1" spans="1:23">
      <c r="A3405" s="3">
        <f>IFERROR(__xludf.DUMMYFUNCTION("""COMPUTED_VALUE"""),46306)</f>
        <v>46306</v>
      </c>
      <c r="B3405" s="1" t="str">
        <f>IFERROR(__xludf.DUMMYFUNCTION("""COMPUTED_VALUE"""),"MAGDARAOG, KENNETH")</f>
        <v>MAGDARAOG, KENNETH</v>
      </c>
      <c r="C3405" s="1" t="str">
        <f>IFERROR(__xludf.DUMMYFUNCTION("""COMPUTED_VALUE"""),"ORGANIC")</f>
        <v>ORGANIC</v>
      </c>
      <c r="D3405" s="1" t="str">
        <f>IFERROR(__xludf.DUMMYFUNCTION("""COMPUTED_VALUE"""),"REMOLLO LEA")</f>
        <v>REMOLLO LEA</v>
      </c>
      <c r="E3405" s="1" t="str">
        <f>IFERROR(__xludf.DUMMYFUNCTION("""COMPUTED_VALUE"""),"PLDT / H2H")</f>
        <v>PLDT / H2H</v>
      </c>
      <c r="F3405" s="1"/>
      <c r="G3405" s="1">
        <f>IFERROR(__xludf.DUMMYFUNCTION("""COMPUTED_VALUE"""),2313101809)</f>
        <v>2313101809</v>
      </c>
      <c r="H3405" s="1" t="str">
        <f>IFERROR(__xludf.DUMMYFUNCTION("""COMPUTED_VALUE"""),"475320292004")</f>
        <v>475320292004</v>
      </c>
      <c r="I3405" s="1">
        <f>IFERROR(__xludf.DUMMYFUNCTION("""COMPUTED_VALUE"""),639451807865)</f>
        <v>639451807865</v>
      </c>
      <c r="J3405" s="1"/>
      <c r="K3405" s="1"/>
      <c r="L3405" s="1" t="str">
        <f>IFERROR(__xludf.DUMMYFUNCTION("""COMPUTED_VALUE"""),"006-BL-014")</f>
        <v>006-BL-014</v>
      </c>
      <c r="M3405" s="1" t="str">
        <f>IFERROR(__xludf.DUMMYFUNCTION("""COMPUTED_VALUE"""),"PHASE 8")</f>
        <v>PHASE 8</v>
      </c>
      <c r="N3405" s="1" t="str">
        <f>IFERROR(__xludf.DUMMYFUNCTION("""COMPUTED_VALUE"""),"WOODCRESS LANCASTER")</f>
        <v>WOODCRESS LANCASTER</v>
      </c>
      <c r="O3405" s="1" t="str">
        <f>IFERROR(__xludf.DUMMYFUNCTION("""COMPUTED_VALUE"""),"TAPIA")</f>
        <v>TAPIA</v>
      </c>
      <c r="P3405" s="1" t="str">
        <f>IFERROR(__xludf.DUMMYFUNCTION("""COMPUTED_VALUE"""),"GENERAL TRIAS")</f>
        <v>GENERAL TRIAS</v>
      </c>
      <c r="Q3405" s="1" t="str">
        <f>IFERROR(__xludf.DUMMYFUNCTION("""COMPUTED_VALUE"""),"CAVITE")</f>
        <v>CAVITE</v>
      </c>
      <c r="R3405" s="1" t="str">
        <f>IFERROR(__xludf.DUMMYFUNCTION("""COMPUTED_VALUE"""),"FIBR PLAN 1299")</f>
        <v>FIBR PLAN 1299</v>
      </c>
      <c r="S3405" s="1" t="str">
        <f>IFERROR(__xludf.DUMMYFUNCTION("""COMPUTED_VALUE"""),"APPROVED")</f>
        <v>APPROVED</v>
      </c>
      <c r="T3405" s="1" t="str">
        <f>IFERROR(__xludf.DUMMYFUNCTION("""COMPUTED_VALUE"""),"FOR PAYMENT")</f>
        <v>FOR PAYMENT</v>
      </c>
      <c r="U3405" s="1" t="str">
        <f>IFERROR(__xludf.DUMMYFUNCTION("""COMPUTED_VALUE"""),"FOR PAYMENT")</f>
        <v>FOR PAYMENT</v>
      </c>
      <c r="V3405" s="1"/>
      <c r="W3405" s="1"/>
    </row>
    <row r="3406" customHeight="1" spans="1:23">
      <c r="A3406" s="3">
        <f>IFERROR(__xludf.DUMMYFUNCTION("""COMPUTED_VALUE"""),46307)</f>
        <v>46307</v>
      </c>
      <c r="B3406" s="1" t="str">
        <f>IFERROR(__xludf.DUMMYFUNCTION("""COMPUTED_VALUE"""),"GABAY, MANUEL")</f>
        <v>GABAY, MANUEL</v>
      </c>
      <c r="C3406" s="1" t="str">
        <f>IFERROR(__xludf.DUMMYFUNCTION("""COMPUTED_VALUE"""),"FLA")</f>
        <v>FLA</v>
      </c>
      <c r="D3406" s="1" t="str">
        <f>IFERROR(__xludf.DUMMYFUNCTION("""COMPUTED_VALUE"""),"JERIC NAVARRO")</f>
        <v>JERIC NAVARRO</v>
      </c>
      <c r="E3406" s="1" t="str">
        <f>IFERROR(__xludf.DUMMYFUNCTION("""COMPUTED_VALUE"""),"PLDT / H2H")</f>
        <v>PLDT / H2H</v>
      </c>
      <c r="F3406" s="1"/>
      <c r="G3406" s="1">
        <f>IFERROR(__xludf.DUMMYFUNCTION("""COMPUTED_VALUE"""),2313111028)</f>
        <v>2313111028</v>
      </c>
      <c r="H3406" s="1" t="str">
        <f>IFERROR(__xludf.DUMMYFUNCTION("""COMPUTED_VALUE"""),"#N/A")</f>
        <v>#N/A</v>
      </c>
      <c r="I3406" s="1">
        <f>IFERROR(__xludf.DUMMYFUNCTION("""COMPUTED_VALUE"""),639360546188)</f>
        <v>639360546188</v>
      </c>
      <c r="J3406" s="1">
        <f>IFERROR(__xludf.DUMMYFUNCTION("""COMPUTED_VALUE"""),639381171868)</f>
        <v>639381171868</v>
      </c>
      <c r="K3406" s="1"/>
      <c r="L3406" s="1" t="str">
        <f>IFERROR(__xludf.DUMMYFUNCTION("""COMPUTED_VALUE"""),"9008D")</f>
        <v>9008D</v>
      </c>
      <c r="M3406" s="1" t="str">
        <f>IFERROR(__xludf.DUMMYFUNCTION("""COMPUTED_VALUE"""),"TAGAYTAY-STA ROSA")</f>
        <v>TAGAYTAY-STA ROSA</v>
      </c>
      <c r="N3406" s="1" t="str">
        <f>IFERROR(__xludf.DUMMYFUNCTION("""COMPUTED_VALUE"""),"PUROK 1")</f>
        <v>PUROK 1</v>
      </c>
      <c r="O3406" s="1" t="str">
        <f>IFERROR(__xludf.DUMMYFUNCTION("""COMPUTED_VALUE"""),"PUTING KAHOY")</f>
        <v>PUTING KAHOY</v>
      </c>
      <c r="P3406" s="1" t="str">
        <f>IFERROR(__xludf.DUMMYFUNCTION("""COMPUTED_VALUE"""),"SILANG")</f>
        <v>SILANG</v>
      </c>
      <c r="Q3406" s="1" t="str">
        <f>IFERROR(__xludf.DUMMYFUNCTION("""COMPUTED_VALUE"""),"CAVITE")</f>
        <v>CAVITE</v>
      </c>
      <c r="R3406" s="1" t="str">
        <f>IFERROR(__xludf.DUMMYFUNCTION("""COMPUTED_VALUE"""),"FIBER UNLI PLAN 1399")</f>
        <v>FIBER UNLI PLAN 1399</v>
      </c>
      <c r="S3406" s="1" t="str">
        <f>IFERROR(__xludf.DUMMYFUNCTION("""COMPUTED_VALUE"""),"APPROVED")</f>
        <v>APPROVED</v>
      </c>
      <c r="T3406" s="1" t="str">
        <f>IFERROR(__xludf.DUMMYFUNCTION("""COMPUTED_VALUE"""),"PAID")</f>
        <v>PAID</v>
      </c>
      <c r="U3406" s="1" t="str">
        <f>IFERROR(__xludf.DUMMYFUNCTION("""COMPUTED_VALUE"""),"PAID - FOR INSTALLATION")</f>
        <v>PAID - FOR INSTALLATION</v>
      </c>
      <c r="V3406" s="1" t="str">
        <f>IFERROR(__xludf.DUMMYFUNCTION("""COMPUTED_VALUE"""),"NO 1 AMSF")</f>
        <v>NO 1 AMSF</v>
      </c>
      <c r="W3406" s="1"/>
    </row>
    <row r="3407" customHeight="1" spans="1:23">
      <c r="A3407" s="3">
        <f>IFERROR(__xludf.DUMMYFUNCTION("""COMPUTED_VALUE"""),46307)</f>
        <v>46307</v>
      </c>
      <c r="B3407" s="1" t="str">
        <f>IFERROR(__xludf.DUMMYFUNCTION("""COMPUTED_VALUE"""),"MALIWAT MARK ELVIN")</f>
        <v>MALIWAT MARK ELVIN</v>
      </c>
      <c r="C3407" s="1" t="str">
        <f>IFERROR(__xludf.DUMMYFUNCTION("""COMPUTED_VALUE"""),"FLA")</f>
        <v>FLA</v>
      </c>
      <c r="D3407" s="1" t="str">
        <f>IFERROR(__xludf.DUMMYFUNCTION("""COMPUTED_VALUE"""),"JERIC NAVARRO")</f>
        <v>JERIC NAVARRO</v>
      </c>
      <c r="E3407" s="1" t="str">
        <f>IFERROR(__xludf.DUMMYFUNCTION("""COMPUTED_VALUE"""),"PLDT / H2H")</f>
        <v>PLDT / H2H</v>
      </c>
      <c r="F3407" s="1"/>
      <c r="G3407" s="1">
        <f>IFERROR(__xludf.DUMMYFUNCTION("""COMPUTED_VALUE"""),2313111427)</f>
        <v>2313111427</v>
      </c>
      <c r="H3407" s="1" t="str">
        <f>IFERROR(__xludf.DUMMYFUNCTION("""COMPUTED_VALUE"""),"#N/A")</f>
        <v>#N/A</v>
      </c>
      <c r="I3407" s="1">
        <f>IFERROR(__xludf.DUMMYFUNCTION("""COMPUTED_VALUE"""),639176230272)</f>
        <v>639176230272</v>
      </c>
      <c r="J3407" s="1">
        <f>IFERROR(__xludf.DUMMYFUNCTION("""COMPUTED_VALUE"""),639178772360)</f>
        <v>639178772360</v>
      </c>
      <c r="K3407" s="1"/>
      <c r="L3407" s="1" t="str">
        <f>IFERROR(__xludf.DUMMYFUNCTION("""COMPUTED_VALUE"""),"1095")</f>
        <v>1095</v>
      </c>
      <c r="M3407" s="1" t="str">
        <f>IFERROR(__xludf.DUMMYFUNCTION("""COMPUTED_VALUE"""),"UPLI")</f>
        <v>UPLI</v>
      </c>
      <c r="N3407" s="1" t="str">
        <f>IFERROR(__xludf.DUMMYFUNCTION("""COMPUTED_VALUE"""),"#N/A")</f>
        <v>#N/A</v>
      </c>
      <c r="O3407" s="1" t="str">
        <f>IFERROR(__xludf.DUMMYFUNCTION("""COMPUTED_VALUE"""),"UPLI")</f>
        <v>UPLI</v>
      </c>
      <c r="P3407" s="1" t="str">
        <f>IFERROR(__xludf.DUMMYFUNCTION("""COMPUTED_VALUE"""),"ALFONSO")</f>
        <v>ALFONSO</v>
      </c>
      <c r="Q3407" s="1" t="str">
        <f>IFERROR(__xludf.DUMMYFUNCTION("""COMPUTED_VALUE"""),"CAVITE")</f>
        <v>CAVITE</v>
      </c>
      <c r="R3407" s="1" t="str">
        <f>IFERROR(__xludf.DUMMYFUNCTION("""COMPUTED_VALUE"""),"FIBER UNLI PLAN 1399")</f>
        <v>FIBER UNLI PLAN 1399</v>
      </c>
      <c r="S3407" s="1" t="str">
        <f>IFERROR(__xludf.DUMMYFUNCTION("""COMPUTED_VALUE"""),"APPROVED")</f>
        <v>APPROVED</v>
      </c>
      <c r="T3407" s="1" t="str">
        <f>IFERROR(__xludf.DUMMYFUNCTION("""COMPUTED_VALUE"""),"CANCELLED")</f>
        <v>CANCELLED</v>
      </c>
      <c r="U3407" s="1" t="str">
        <f>IFERROR(__xludf.DUMMYFUNCTION("""COMPUTED_VALUE"""),"CANCELLED - WITH OB")</f>
        <v>CANCELLED - WITH OB</v>
      </c>
      <c r="V3407" s="1"/>
      <c r="W3407" s="1"/>
    </row>
    <row r="3408" customHeight="1" spans="1:23">
      <c r="A3408" s="3">
        <f>IFERROR(__xludf.DUMMYFUNCTION("""COMPUTED_VALUE"""),46307)</f>
        <v>46307</v>
      </c>
      <c r="B3408" s="1" t="str">
        <f>IFERROR(__xludf.DUMMYFUNCTION("""COMPUTED_VALUE"""),"LOTOJA, LOVELY JOICE")</f>
        <v>LOTOJA, LOVELY JOICE</v>
      </c>
      <c r="C3408" s="1" t="str">
        <f>IFERROR(__xludf.DUMMYFUNCTION("""COMPUTED_VALUE"""),"ORGANIC")</f>
        <v>ORGANIC</v>
      </c>
      <c r="D3408" s="1" t="str">
        <f>IFERROR(__xludf.DUMMYFUNCTION("""COMPUTED_VALUE"""),"REMOLLO LEA")</f>
        <v>REMOLLO LEA</v>
      </c>
      <c r="E3408" s="1" t="str">
        <f>IFERROR(__xludf.DUMMYFUNCTION("""COMPUTED_VALUE"""),"PLDT / H2H")</f>
        <v>PLDT / H2H</v>
      </c>
      <c r="F3408" s="1"/>
      <c r="G3408" s="1">
        <f>IFERROR(__xludf.DUMMYFUNCTION("""COMPUTED_VALUE"""),2313111829)</f>
        <v>2313111829</v>
      </c>
      <c r="H3408" s="1" t="str">
        <f>IFERROR(__xludf.DUMMYFUNCTION("""COMPUTED_VALUE"""),"475280599004")</f>
        <v>475280599004</v>
      </c>
      <c r="I3408" s="1">
        <f>IFERROR(__xludf.DUMMYFUNCTION("""COMPUTED_VALUE"""),639709217465)</f>
        <v>639709217465</v>
      </c>
      <c r="J3408" s="1"/>
      <c r="K3408" s="1"/>
      <c r="L3408" s="1" t="str">
        <f>IFERROR(__xludf.DUMMYFUNCTION("""COMPUTED_VALUE"""),"094-BL-015")</f>
        <v>094-BL-015</v>
      </c>
      <c r="M3408" s="1" t="str">
        <f>IFERROR(__xludf.DUMMYFUNCTION("""COMPUTED_VALUE"""),"IPIL 2")</f>
        <v>IPIL 2</v>
      </c>
      <c r="N3408" s="1" t="str">
        <f>IFERROR(__xludf.DUMMYFUNCTION("""COMPUTED_VALUE"""),"#N/A")</f>
        <v>#N/A</v>
      </c>
      <c r="O3408" s="1" t="str">
        <f>IFERROR(__xludf.DUMMYFUNCTION("""COMPUTED_VALUE"""),"IPIL II")</f>
        <v>IPIL II</v>
      </c>
      <c r="P3408" s="1" t="str">
        <f>IFERROR(__xludf.DUMMYFUNCTION("""COMPUTED_VALUE"""),"SILANG")</f>
        <v>SILANG</v>
      </c>
      <c r="Q3408" s="1" t="str">
        <f>IFERROR(__xludf.DUMMYFUNCTION("""COMPUTED_VALUE"""),"CAVITE")</f>
        <v>CAVITE</v>
      </c>
      <c r="R3408" s="1" t="str">
        <f>IFERROR(__xludf.DUMMYFUNCTION("""COMPUTED_VALUE"""),"FIBER UNLI PLAN 1399")</f>
        <v>FIBER UNLI PLAN 1399</v>
      </c>
      <c r="S3408" s="1" t="str">
        <f>IFERROR(__xludf.DUMMYFUNCTION("""COMPUTED_VALUE"""),"APPROVED")</f>
        <v>APPROVED</v>
      </c>
      <c r="T3408" s="1" t="str">
        <f>IFERROR(__xludf.DUMMYFUNCTION("""COMPUTED_VALUE"""),"FOR PAYMENT")</f>
        <v>FOR PAYMENT</v>
      </c>
      <c r="U3408" s="1" t="str">
        <f>IFERROR(__xludf.DUMMYFUNCTION("""COMPUTED_VALUE"""),"FOR PAYMENT")</f>
        <v>FOR PAYMENT</v>
      </c>
      <c r="V3408" s="1"/>
      <c r="W3408" s="1"/>
    </row>
    <row r="3409" customHeight="1" spans="1:23">
      <c r="A3409" s="3">
        <f>IFERROR(__xludf.DUMMYFUNCTION("""COMPUTED_VALUE"""),46307)</f>
        <v>46307</v>
      </c>
      <c r="B3409" s="1" t="str">
        <f>IFERROR(__xludf.DUMMYFUNCTION("""COMPUTED_VALUE"""),"ESCARCHA, MA ALMA  ESCOTO")</f>
        <v>ESCARCHA, MA ALMA  ESCOTO</v>
      </c>
      <c r="C3409" s="1" t="str">
        <f>IFERROR(__xludf.DUMMYFUNCTION("""COMPUTED_VALUE"""),"ORGANIC")</f>
        <v>ORGANIC</v>
      </c>
      <c r="D3409" s="1" t="str">
        <f>IFERROR(__xludf.DUMMYFUNCTION("""COMPUTED_VALUE"""),"REMOLLO LEA")</f>
        <v>REMOLLO LEA</v>
      </c>
      <c r="E3409" s="1" t="str">
        <f>IFERROR(__xludf.DUMMYFUNCTION("""COMPUTED_VALUE"""),"PLDT / H2H")</f>
        <v>PLDT / H2H</v>
      </c>
      <c r="F3409" s="1"/>
      <c r="G3409" s="1">
        <f>IFERROR(__xludf.DUMMYFUNCTION("""COMPUTED_VALUE"""),2313112292)</f>
        <v>2313112292</v>
      </c>
      <c r="H3409" s="1" t="str">
        <f>IFERROR(__xludf.DUMMYFUNCTION("""COMPUTED_VALUE"""),"475325168004")</f>
        <v>475325168004</v>
      </c>
      <c r="I3409" s="1">
        <f>IFERROR(__xludf.DUMMYFUNCTION("""COMPUTED_VALUE"""),639852971605)</f>
        <v>639852971605</v>
      </c>
      <c r="J3409" s="1"/>
      <c r="K3409" s="1"/>
      <c r="L3409" s="1" t="str">
        <f>IFERROR(__xludf.DUMMYFUNCTION("""COMPUTED_VALUE"""),"094-BL-049")</f>
        <v>094-BL-049</v>
      </c>
      <c r="M3409" s="1" t="str">
        <f>IFERROR(__xludf.DUMMYFUNCTION("""COMPUTED_VALUE"""),"IPIL 2")</f>
        <v>IPIL 2</v>
      </c>
      <c r="N3409" s="1" t="str">
        <f>IFERROR(__xludf.DUMMYFUNCTION("""COMPUTED_VALUE"""),"#N/A")</f>
        <v>#N/A</v>
      </c>
      <c r="O3409" s="1" t="str">
        <f>IFERROR(__xludf.DUMMYFUNCTION("""COMPUTED_VALUE"""),"IPIL II")</f>
        <v>IPIL II</v>
      </c>
      <c r="P3409" s="1" t="str">
        <f>IFERROR(__xludf.DUMMYFUNCTION("""COMPUTED_VALUE"""),"SILANG")</f>
        <v>SILANG</v>
      </c>
      <c r="Q3409" s="1" t="str">
        <f>IFERROR(__xludf.DUMMYFUNCTION("""COMPUTED_VALUE"""),"CAVITE")</f>
        <v>CAVITE</v>
      </c>
      <c r="R3409" s="1" t="str">
        <f>IFERROR(__xludf.DUMMYFUNCTION("""COMPUTED_VALUE"""),"FIBER UNLI PLAN 1399")</f>
        <v>FIBER UNLI PLAN 1399</v>
      </c>
      <c r="S3409" s="1" t="str">
        <f>IFERROR(__xludf.DUMMYFUNCTION("""COMPUTED_VALUE"""),"APPROVED")</f>
        <v>APPROVED</v>
      </c>
      <c r="T3409" s="1" t="str">
        <f>IFERROR(__xludf.DUMMYFUNCTION("""COMPUTED_VALUE"""),"FOR PAYMENT")</f>
        <v>FOR PAYMENT</v>
      </c>
      <c r="U3409" s="1" t="str">
        <f>IFERROR(__xludf.DUMMYFUNCTION("""COMPUTED_VALUE"""),"FOR PAYMENT")</f>
        <v>FOR PAYMENT</v>
      </c>
      <c r="V3409" s="1"/>
      <c r="W3409" s="1"/>
    </row>
    <row r="3410" customHeight="1" spans="1:23">
      <c r="A3410" s="3">
        <f>IFERROR(__xludf.DUMMYFUNCTION("""COMPUTED_VALUE"""),46307)</f>
        <v>46307</v>
      </c>
      <c r="B3410" s="1" t="str">
        <f>IFERROR(__xludf.DUMMYFUNCTION("""COMPUTED_VALUE"""),"ALINGARO, CINDY")</f>
        <v>ALINGARO, CINDY</v>
      </c>
      <c r="C3410" s="1" t="str">
        <f>IFERROR(__xludf.DUMMYFUNCTION("""COMPUTED_VALUE"""),"ORGANIC")</f>
        <v>ORGANIC</v>
      </c>
      <c r="D3410" s="1" t="str">
        <f>IFERROR(__xludf.DUMMYFUNCTION("""COMPUTED_VALUE"""),"REMOLLO LEA")</f>
        <v>REMOLLO LEA</v>
      </c>
      <c r="E3410" s="1" t="str">
        <f>IFERROR(__xludf.DUMMYFUNCTION("""COMPUTED_VALUE"""),"PLDT / H2H")</f>
        <v>PLDT / H2H</v>
      </c>
      <c r="F3410" s="1"/>
      <c r="G3410" s="1">
        <f>IFERROR(__xludf.DUMMYFUNCTION("""COMPUTED_VALUE"""),2313112902)</f>
        <v>2313112902</v>
      </c>
      <c r="H3410" s="1" t="str">
        <f>IFERROR(__xludf.DUMMYFUNCTION("""COMPUTED_VALUE"""),"475285371004")</f>
        <v>475285371004</v>
      </c>
      <c r="I3410" s="1">
        <f>IFERROR(__xludf.DUMMYFUNCTION("""COMPUTED_VALUE"""),639660136788)</f>
        <v>639660136788</v>
      </c>
      <c r="J3410" s="1"/>
      <c r="K3410" s="1"/>
      <c r="L3410" s="1" t="str">
        <f>IFERROR(__xludf.DUMMYFUNCTION("""COMPUTED_VALUE"""),"094-BL-023")</f>
        <v>094-BL-023</v>
      </c>
      <c r="M3410" s="1" t="str">
        <f>IFERROR(__xludf.DUMMYFUNCTION("""COMPUTED_VALUE"""),"IPIL 2")</f>
        <v>IPIL 2</v>
      </c>
      <c r="N3410" s="1" t="str">
        <f>IFERROR(__xludf.DUMMYFUNCTION("""COMPUTED_VALUE"""),"#N/A")</f>
        <v>#N/A</v>
      </c>
      <c r="O3410" s="1" t="str">
        <f>IFERROR(__xludf.DUMMYFUNCTION("""COMPUTED_VALUE"""),"IPIL II")</f>
        <v>IPIL II</v>
      </c>
      <c r="P3410" s="1" t="str">
        <f>IFERROR(__xludf.DUMMYFUNCTION("""COMPUTED_VALUE"""),"SILANG")</f>
        <v>SILANG</v>
      </c>
      <c r="Q3410" s="1" t="str">
        <f>IFERROR(__xludf.DUMMYFUNCTION("""COMPUTED_VALUE"""),"CAVITE")</f>
        <v>CAVITE</v>
      </c>
      <c r="R3410" s="1" t="str">
        <f>IFERROR(__xludf.DUMMYFUNCTION("""COMPUTED_VALUE"""),"FIBER UNLI PLAN 1399")</f>
        <v>FIBER UNLI PLAN 1399</v>
      </c>
      <c r="S3410" s="1" t="str">
        <f>IFERROR(__xludf.DUMMYFUNCTION("""COMPUTED_VALUE"""),"APPROVED")</f>
        <v>APPROVED</v>
      </c>
      <c r="T3410" s="1" t="str">
        <f>IFERROR(__xludf.DUMMYFUNCTION("""COMPUTED_VALUE"""),"FOR PAYMENT")</f>
        <v>FOR PAYMENT</v>
      </c>
      <c r="U3410" s="1" t="str">
        <f>IFERROR(__xludf.DUMMYFUNCTION("""COMPUTED_VALUE"""),"FOR PAYMENT")</f>
        <v>FOR PAYMENT</v>
      </c>
      <c r="V3410" s="1"/>
      <c r="W3410" s="1"/>
    </row>
    <row r="3411" customHeight="1" spans="1:23">
      <c r="A3411" s="3">
        <f>IFERROR(__xludf.DUMMYFUNCTION("""COMPUTED_VALUE"""),46307)</f>
        <v>46307</v>
      </c>
      <c r="B3411" s="1" t="str">
        <f>IFERROR(__xludf.DUMMYFUNCTION("""COMPUTED_VALUE"""),"LOTOJA, LOVELY JOICE")</f>
        <v>LOTOJA, LOVELY JOICE</v>
      </c>
      <c r="C3411" s="1" t="str">
        <f>IFERROR(__xludf.DUMMYFUNCTION("""COMPUTED_VALUE"""),"ORGANIC")</f>
        <v>ORGANIC</v>
      </c>
      <c r="D3411" s="1" t="str">
        <f>IFERROR(__xludf.DUMMYFUNCTION("""COMPUTED_VALUE"""),"REMOLLO LEA")</f>
        <v>REMOLLO LEA</v>
      </c>
      <c r="E3411" s="1" t="str">
        <f>IFERROR(__xludf.DUMMYFUNCTION("""COMPUTED_VALUE"""),"PLDT / H2H")</f>
        <v>PLDT / H2H</v>
      </c>
      <c r="F3411" s="1"/>
      <c r="G3411" s="1">
        <f>IFERROR(__xludf.DUMMYFUNCTION("""COMPUTED_VALUE"""),2313113641)</f>
        <v>2313113641</v>
      </c>
      <c r="H3411" s="1" t="str">
        <f>IFERROR(__xludf.DUMMYFUNCTION("""COMPUTED_VALUE"""),"475288985004")</f>
        <v>475288985004</v>
      </c>
      <c r="I3411" s="1">
        <f>IFERROR(__xludf.DUMMYFUNCTION("""COMPUTED_VALUE"""),639687604817)</f>
        <v>639687604817</v>
      </c>
      <c r="J3411" s="1">
        <f>IFERROR(__xludf.DUMMYFUNCTION("""COMPUTED_VALUE"""),639702702645)</f>
        <v>639702702645</v>
      </c>
      <c r="K3411" s="1"/>
      <c r="L3411" s="1" t="str">
        <f>IFERROR(__xludf.DUMMYFUNCTION("""COMPUTED_VALUE"""),"094-BL-021")</f>
        <v>094-BL-021</v>
      </c>
      <c r="M3411" s="1" t="str">
        <f>IFERROR(__xludf.DUMMYFUNCTION("""COMPUTED_VALUE"""),"IPIL 2")</f>
        <v>IPIL 2</v>
      </c>
      <c r="N3411" s="1" t="str">
        <f>IFERROR(__xludf.DUMMYFUNCTION("""COMPUTED_VALUE"""),"#N/A")</f>
        <v>#N/A</v>
      </c>
      <c r="O3411" s="1" t="str">
        <f>IFERROR(__xludf.DUMMYFUNCTION("""COMPUTED_VALUE"""),"IPIL II")</f>
        <v>IPIL II</v>
      </c>
      <c r="P3411" s="1" t="str">
        <f>IFERROR(__xludf.DUMMYFUNCTION("""COMPUTED_VALUE"""),"SILANG")</f>
        <v>SILANG</v>
      </c>
      <c r="Q3411" s="1" t="str">
        <f>IFERROR(__xludf.DUMMYFUNCTION("""COMPUTED_VALUE"""),"CAVITE")</f>
        <v>CAVITE</v>
      </c>
      <c r="R3411" s="1" t="str">
        <f>IFERROR(__xludf.DUMMYFUNCTION("""COMPUTED_VALUE"""),"FIBR UNLI ALL PLAN 999")</f>
        <v>FIBR UNLI ALL PLAN 999</v>
      </c>
      <c r="S3411" s="1" t="str">
        <f>IFERROR(__xludf.DUMMYFUNCTION("""COMPUTED_VALUE"""),"APPROVED")</f>
        <v>APPROVED</v>
      </c>
      <c r="T3411" s="1" t="str">
        <f>IFERROR(__xludf.DUMMYFUNCTION("""COMPUTED_VALUE"""),"FOR PAYMENT")</f>
        <v>FOR PAYMENT</v>
      </c>
      <c r="U3411" s="1" t="str">
        <f>IFERROR(__xludf.DUMMYFUNCTION("""COMPUTED_VALUE"""),"FOR PAYMENT")</f>
        <v>FOR PAYMENT</v>
      </c>
      <c r="V3411" s="1"/>
      <c r="W3411" s="1"/>
    </row>
    <row r="3412" customHeight="1" spans="1:23">
      <c r="A3412" s="3">
        <f>IFERROR(__xludf.DUMMYFUNCTION("""COMPUTED_VALUE"""),46307)</f>
        <v>46307</v>
      </c>
      <c r="B3412" s="1" t="str">
        <f>IFERROR(__xludf.DUMMYFUNCTION("""COMPUTED_VALUE"""),"MALIWAT MARK ELVIN")</f>
        <v>MALIWAT MARK ELVIN</v>
      </c>
      <c r="C3412" s="1" t="str">
        <f>IFERROR(__xludf.DUMMYFUNCTION("""COMPUTED_VALUE"""),"FLA")</f>
        <v>FLA</v>
      </c>
      <c r="D3412" s="1" t="str">
        <f>IFERROR(__xludf.DUMMYFUNCTION("""COMPUTED_VALUE"""),"JERIC NAVARRO")</f>
        <v>JERIC NAVARRO</v>
      </c>
      <c r="E3412" s="1" t="str">
        <f>IFERROR(__xludf.DUMMYFUNCTION("""COMPUTED_VALUE"""),"PLDT / H2H")</f>
        <v>PLDT / H2H</v>
      </c>
      <c r="F3412" s="1"/>
      <c r="G3412" s="1">
        <f>IFERROR(__xludf.DUMMYFUNCTION("""COMPUTED_VALUE"""),2313115873)</f>
        <v>2313115873</v>
      </c>
      <c r="H3412" s="1" t="str">
        <f>IFERROR(__xludf.DUMMYFUNCTION("""COMPUTED_VALUE"""),"#N/A")</f>
        <v>#N/A</v>
      </c>
      <c r="I3412" s="1">
        <f>IFERROR(__xludf.DUMMYFUNCTION("""COMPUTED_VALUE"""),639560344255)</f>
        <v>639560344255</v>
      </c>
      <c r="J3412" s="1">
        <f>IFERROR(__xludf.DUMMYFUNCTION("""COMPUTED_VALUE"""),639204161316)</f>
        <v>639204161316</v>
      </c>
      <c r="K3412" s="1"/>
      <c r="L3412" s="1" t="str">
        <f>IFERROR(__xludf.DUMMYFUNCTION("""COMPUTED_VALUE"""),"289")</f>
        <v>289</v>
      </c>
      <c r="M3412" s="1" t="str">
        <f>IFERROR(__xludf.DUMMYFUNCTION("""COMPUTED_VALUE"""),"PUROK 5")</f>
        <v>PUROK 5</v>
      </c>
      <c r="N3412" s="1" t="str">
        <f>IFERROR(__xludf.DUMMYFUNCTION("""COMPUTED_VALUE"""),"#N/A")</f>
        <v>#N/A</v>
      </c>
      <c r="O3412" s="1" t="str">
        <f>IFERROR(__xludf.DUMMYFUNCTION("""COMPUTED_VALUE"""),"ALULOD")</f>
        <v>ALULOD</v>
      </c>
      <c r="P3412" s="1" t="str">
        <f>IFERROR(__xludf.DUMMYFUNCTION("""COMPUTED_VALUE"""),"INDANG")</f>
        <v>INDANG</v>
      </c>
      <c r="Q3412" s="1" t="str">
        <f>IFERROR(__xludf.DUMMYFUNCTION("""COMPUTED_VALUE"""),"CAVITE")</f>
        <v>CAVITE</v>
      </c>
      <c r="R3412" s="1" t="str">
        <f>IFERROR(__xludf.DUMMYFUNCTION("""COMPUTED_VALUE"""),"FIBER UNLI PLAN 1399")</f>
        <v>FIBER UNLI PLAN 1399</v>
      </c>
      <c r="S3412" s="1" t="str">
        <f>IFERROR(__xludf.DUMMYFUNCTION("""COMPUTED_VALUE"""),"APPROVED")</f>
        <v>APPROVED</v>
      </c>
      <c r="T3412" s="1" t="str">
        <f>IFERROR(__xludf.DUMMYFUNCTION("""COMPUTED_VALUE"""),"AFD")</f>
        <v>AFD</v>
      </c>
      <c r="U3412" s="1" t="str">
        <f>IFERROR(__xludf.DUMMYFUNCTION("""COMPUTED_VALUE"""),"AFD - RESCHEDULED")</f>
        <v>AFD - RESCHEDULED</v>
      </c>
      <c r="V3412" s="1" t="str">
        <f>IFERROR(__xludf.DUMMYFUNCTION("""COMPUTED_VALUE"""),"NO 1 AMSF")</f>
        <v>NO 1 AMSF</v>
      </c>
      <c r="W3412" s="1"/>
    </row>
    <row r="3413" customHeight="1" spans="1:23">
      <c r="A3413" s="3">
        <f>IFERROR(__xludf.DUMMYFUNCTION("""COMPUTED_VALUE"""),46307)</f>
        <v>46307</v>
      </c>
      <c r="B3413" s="1" t="str">
        <f>IFERROR(__xludf.DUMMYFUNCTION("""COMPUTED_VALUE"""),"GABAY, MANUEL")</f>
        <v>GABAY, MANUEL</v>
      </c>
      <c r="C3413" s="1" t="str">
        <f>IFERROR(__xludf.DUMMYFUNCTION("""COMPUTED_VALUE"""),"FLA")</f>
        <v>FLA</v>
      </c>
      <c r="D3413" s="1" t="str">
        <f>IFERROR(__xludf.DUMMYFUNCTION("""COMPUTED_VALUE"""),"JERIC NAVARRO")</f>
        <v>JERIC NAVARRO</v>
      </c>
      <c r="E3413" s="1" t="str">
        <f>IFERROR(__xludf.DUMMYFUNCTION("""COMPUTED_VALUE"""),"PLDT / H2H")</f>
        <v>PLDT / H2H</v>
      </c>
      <c r="F3413" s="1"/>
      <c r="G3413" s="1">
        <f>IFERROR(__xludf.DUMMYFUNCTION("""COMPUTED_VALUE"""),2313116536)</f>
        <v>2313116536</v>
      </c>
      <c r="H3413" s="1" t="str">
        <f>IFERROR(__xludf.DUMMYFUNCTION("""COMPUTED_VALUE"""),"475292524004")</f>
        <v>475292524004</v>
      </c>
      <c r="I3413" s="1">
        <f>IFERROR(__xludf.DUMMYFUNCTION("""COMPUTED_VALUE"""),639637644974)</f>
        <v>639637644974</v>
      </c>
      <c r="J3413" s="1">
        <f>IFERROR(__xludf.DUMMYFUNCTION("""COMPUTED_VALUE"""),639639982397)</f>
        <v>639639982397</v>
      </c>
      <c r="K3413" s="1"/>
      <c r="L3413" s="1" t="str">
        <f>IFERROR(__xludf.DUMMYFUNCTION("""COMPUTED_VALUE"""),"011-BL-014")</f>
        <v>011-BL-014</v>
      </c>
      <c r="M3413" s="1" t="str">
        <f>IFERROR(__xludf.DUMMYFUNCTION("""COMPUTED_VALUE"""),"PHASE 6")</f>
        <v>PHASE 6</v>
      </c>
      <c r="N3413" s="1" t="str">
        <f>IFERROR(__xludf.DUMMYFUNCTION("""COMPUTED_VALUE"""),"#N/A")</f>
        <v>#N/A</v>
      </c>
      <c r="O3413" s="1" t="str">
        <f>IFERROR(__xludf.DUMMYFUNCTION("""COMPUTED_VALUE"""),"BANABA")</f>
        <v>BANABA</v>
      </c>
      <c r="P3413" s="1" t="str">
        <f>IFERROR(__xludf.DUMMYFUNCTION("""COMPUTED_VALUE"""),"SILANG")</f>
        <v>SILANG</v>
      </c>
      <c r="Q3413" s="1" t="str">
        <f>IFERROR(__xludf.DUMMYFUNCTION("""COMPUTED_VALUE"""),"CAVITE")</f>
        <v>CAVITE</v>
      </c>
      <c r="R3413" s="1" t="str">
        <f>IFERROR(__xludf.DUMMYFUNCTION("""COMPUTED_VALUE"""),"FIBER UNLI PLAN 1399")</f>
        <v>FIBER UNLI PLAN 1399</v>
      </c>
      <c r="S3413" s="1" t="str">
        <f>IFERROR(__xludf.DUMMYFUNCTION("""COMPUTED_VALUE"""),"APPROVED")</f>
        <v>APPROVED</v>
      </c>
      <c r="T3413" s="1" t="str">
        <f>IFERROR(__xludf.DUMMYFUNCTION("""COMPUTED_VALUE"""),"CLOSED")</f>
        <v>CLOSED</v>
      </c>
      <c r="U3413" s="1" t="str">
        <f>IFERROR(__xludf.DUMMYFUNCTION("""COMPUTED_VALUE"""),"POSTED")</f>
        <v>POSTED</v>
      </c>
      <c r="V3413" s="1" t="str">
        <f>IFERROR(__xludf.DUMMYFUNCTION("""COMPUTED_VALUE"""),"NO 1 AMSF")</f>
        <v>NO 1 AMSF</v>
      </c>
      <c r="W3413" s="1"/>
    </row>
    <row r="3414" customHeight="1" spans="1:23">
      <c r="A3414" s="3">
        <f>IFERROR(__xludf.DUMMYFUNCTION("""COMPUTED_VALUE"""),46307)</f>
        <v>46307</v>
      </c>
      <c r="B3414" s="1" t="str">
        <f>IFERROR(__xludf.DUMMYFUNCTION("""COMPUTED_VALUE"""),"GABAY, MANUEL")</f>
        <v>GABAY, MANUEL</v>
      </c>
      <c r="C3414" s="1" t="str">
        <f>IFERROR(__xludf.DUMMYFUNCTION("""COMPUTED_VALUE"""),"FLA")</f>
        <v>FLA</v>
      </c>
      <c r="D3414" s="1" t="str">
        <f>IFERROR(__xludf.DUMMYFUNCTION("""COMPUTED_VALUE"""),"JERIC NAVARRO")</f>
        <v>JERIC NAVARRO</v>
      </c>
      <c r="E3414" s="1" t="str">
        <f>IFERROR(__xludf.DUMMYFUNCTION("""COMPUTED_VALUE"""),"PLDT / H2H")</f>
        <v>PLDT / H2H</v>
      </c>
      <c r="F3414" s="1"/>
      <c r="G3414" s="1">
        <f>IFERROR(__xludf.DUMMYFUNCTION("""COMPUTED_VALUE"""),2313116907)</f>
        <v>2313116907</v>
      </c>
      <c r="H3414" s="1" t="str">
        <f>IFERROR(__xludf.DUMMYFUNCTION("""COMPUTED_VALUE"""),"#N/A")</f>
        <v>#N/A</v>
      </c>
      <c r="I3414" s="1">
        <f>IFERROR(__xludf.DUMMYFUNCTION("""COMPUTED_VALUE"""),639279905459)</f>
        <v>639279905459</v>
      </c>
      <c r="J3414" s="1">
        <f>IFERROR(__xludf.DUMMYFUNCTION("""COMPUTED_VALUE"""),639703139696)</f>
        <v>639703139696</v>
      </c>
      <c r="K3414" s="1"/>
      <c r="L3414" s="1" t="str">
        <f>IFERROR(__xludf.DUMMYFUNCTION("""COMPUTED_VALUE"""),"218")</f>
        <v>218</v>
      </c>
      <c r="M3414" s="1" t="str">
        <f>IFERROR(__xludf.DUMMYFUNCTION("""COMPUTED_VALUE"""),"IBABA")</f>
        <v>IBABA</v>
      </c>
      <c r="N3414" s="1" t="str">
        <f>IFERROR(__xludf.DUMMYFUNCTION("""COMPUTED_VALUE"""),"PUROK 3")</f>
        <v>PUROK 3</v>
      </c>
      <c r="O3414" s="1" t="str">
        <f>IFERROR(__xludf.DUMMYFUNCTION("""COMPUTED_VALUE"""),"GUYAM MALAKI")</f>
        <v>GUYAM MALAKI</v>
      </c>
      <c r="P3414" s="1" t="str">
        <f>IFERROR(__xludf.DUMMYFUNCTION("""COMPUTED_VALUE"""),"INDANG")</f>
        <v>INDANG</v>
      </c>
      <c r="Q3414" s="1" t="str">
        <f>IFERROR(__xludf.DUMMYFUNCTION("""COMPUTED_VALUE"""),"CAVITE")</f>
        <v>CAVITE</v>
      </c>
      <c r="R3414" s="1" t="str">
        <f>IFERROR(__xludf.DUMMYFUNCTION("""COMPUTED_VALUE"""),"FIBER UNLI PLAN 1399")</f>
        <v>FIBER UNLI PLAN 1399</v>
      </c>
      <c r="S3414" s="1" t="str">
        <f>IFERROR(__xludf.DUMMYFUNCTION("""COMPUTED_VALUE"""),"APPROVED")</f>
        <v>APPROVED</v>
      </c>
      <c r="T3414" s="1" t="str">
        <f>IFERROR(__xludf.DUMMYFUNCTION("""COMPUTED_VALUE"""),"DISAPPROVED")</f>
        <v>DISAPPROVED</v>
      </c>
      <c r="U3414" s="1" t="str">
        <f>IFERROR(__xludf.DUMMYFUNCTION("""COMPUTED_VALUE"""),"DISAPPROVED - UNCONTACTED")</f>
        <v>DISAPPROVED - UNCONTACTED</v>
      </c>
      <c r="V3414" s="1"/>
      <c r="W3414" s="1"/>
    </row>
    <row r="3415" customHeight="1" spans="1:23">
      <c r="A3415" s="3">
        <f>IFERROR(__xludf.DUMMYFUNCTION("""COMPUTED_VALUE"""),46307)</f>
        <v>46307</v>
      </c>
      <c r="B3415" s="1" t="str">
        <f>IFERROR(__xludf.DUMMYFUNCTION("""COMPUTED_VALUE"""),"CADERAO, RONALD")</f>
        <v>CADERAO, RONALD</v>
      </c>
      <c r="C3415" s="1" t="str">
        <f>IFERROR(__xludf.DUMMYFUNCTION("""COMPUTED_VALUE"""),"ORGANIC")</f>
        <v>ORGANIC</v>
      </c>
      <c r="D3415" s="1" t="str">
        <f>IFERROR(__xludf.DUMMYFUNCTION("""COMPUTED_VALUE"""),"REMOLLO LEA")</f>
        <v>REMOLLO LEA</v>
      </c>
      <c r="E3415" s="1" t="str">
        <f>IFERROR(__xludf.DUMMYFUNCTION("""COMPUTED_VALUE"""),"HOME BIZZ")</f>
        <v>HOME BIZZ</v>
      </c>
      <c r="F3415" s="1"/>
      <c r="G3415" s="1">
        <f>IFERROR(__xludf.DUMMYFUNCTION("""COMPUTED_VALUE"""),2313117650)</f>
        <v>2313117650</v>
      </c>
      <c r="H3415" s="1" t="str">
        <f>IFERROR(__xludf.DUMMYFUNCTION("""COMPUTED_VALUE"""),"#N/A")</f>
        <v>#N/A</v>
      </c>
      <c r="I3415" s="1">
        <f>IFERROR(__xludf.DUMMYFUNCTION("""COMPUTED_VALUE"""),639178356203)</f>
        <v>639178356203</v>
      </c>
      <c r="J3415" s="1"/>
      <c r="K3415" s="1"/>
      <c r="L3415" s="1" t="str">
        <f>IFERROR(__xludf.DUMMYFUNCTION("""COMPUTED_VALUE"""),"002-BL-000")</f>
        <v>002-BL-000</v>
      </c>
      <c r="M3415" s="1" t="str">
        <f>IFERROR(__xludf.DUMMYFUNCTION("""COMPUTED_VALUE"""),"GOVERNORS")</f>
        <v>GOVERNORS</v>
      </c>
      <c r="N3415" s="1" t="str">
        <f>IFERROR(__xludf.DUMMYFUNCTION("""COMPUTED_VALUE"""),"GREENWAY BUSSINESS PARK")</f>
        <v>GREENWAY BUSSINESS PARK</v>
      </c>
      <c r="O3415" s="1" t="str">
        <f>IFERROR(__xludf.DUMMYFUNCTION("""COMPUTED_VALUE"""),"BULIHAN")</f>
        <v>BULIHAN</v>
      </c>
      <c r="P3415" s="1" t="str">
        <f>IFERROR(__xludf.DUMMYFUNCTION("""COMPUTED_VALUE"""),"SILANG")</f>
        <v>SILANG</v>
      </c>
      <c r="Q3415" s="1" t="str">
        <f>IFERROR(__xludf.DUMMYFUNCTION("""COMPUTED_VALUE"""),"CAVITE")</f>
        <v>CAVITE</v>
      </c>
      <c r="R3415" s="1" t="str">
        <f>IFERROR(__xludf.DUMMYFUNCTION("""COMPUTED_VALUE"""),"HOME BIZ PLAN 2699")</f>
        <v>HOME BIZ PLAN 2699</v>
      </c>
      <c r="S3415" s="1" t="str">
        <f>IFERROR(__xludf.DUMMYFUNCTION("""COMPUTED_VALUE"""),"APPROVED")</f>
        <v>APPROVED</v>
      </c>
      <c r="T3415" s="1" t="str">
        <f>IFERROR(__xludf.DUMMYFUNCTION("""COMPUTED_VALUE"""),"CLOSED")</f>
        <v>CLOSED</v>
      </c>
      <c r="U3415" s="1" t="str">
        <f>IFERROR(__xludf.DUMMYFUNCTION("""COMPUTED_VALUE"""),"POSTED")</f>
        <v>POSTED</v>
      </c>
      <c r="V3415" s="1" t="str">
        <f>IFERROR(__xludf.DUMMYFUNCTION("""COMPUTED_VALUE"""),"WITH 1 AMSF")</f>
        <v>WITH 1 AMSF</v>
      </c>
      <c r="W3415" s="1"/>
    </row>
    <row r="3416" customHeight="1" spans="1:23">
      <c r="A3416" s="3">
        <f>IFERROR(__xludf.DUMMYFUNCTION("""COMPUTED_VALUE"""),46307)</f>
        <v>46307</v>
      </c>
      <c r="B3416" s="1" t="str">
        <f>IFERROR(__xludf.DUMMYFUNCTION("""COMPUTED_VALUE"""),"BAQUIT ,JAZMIN")</f>
        <v>BAQUIT ,JAZMIN</v>
      </c>
      <c r="C3416" s="1" t="str">
        <f>IFERROR(__xludf.DUMMYFUNCTION("""COMPUTED_VALUE"""),"ORGANIC")</f>
        <v>ORGANIC</v>
      </c>
      <c r="D3416" s="1" t="str">
        <f>IFERROR(__xludf.DUMMYFUNCTION("""COMPUTED_VALUE"""),"REMOLLO LEA")</f>
        <v>REMOLLO LEA</v>
      </c>
      <c r="E3416" s="1" t="str">
        <f>IFERROR(__xludf.DUMMYFUNCTION("""COMPUTED_VALUE"""),"PLDT / H2H")</f>
        <v>PLDT / H2H</v>
      </c>
      <c r="F3416" s="1"/>
      <c r="G3416" s="1">
        <f>IFERROR(__xludf.DUMMYFUNCTION("""COMPUTED_VALUE"""),2313118699)</f>
        <v>2313118699</v>
      </c>
      <c r="H3416" s="1" t="str">
        <f>IFERROR(__xludf.DUMMYFUNCTION("""COMPUTED_VALUE"""),"#N/A")</f>
        <v>#N/A</v>
      </c>
      <c r="I3416" s="1">
        <f>IFERROR(__xludf.DUMMYFUNCTION("""COMPUTED_VALUE"""),639953818698)</f>
        <v>639953818698</v>
      </c>
      <c r="J3416" s="1"/>
      <c r="K3416" s="1"/>
      <c r="L3416" s="1" t="str">
        <f>IFERROR(__xludf.DUMMYFUNCTION("""COMPUTED_VALUE"""),"002-BL-006")</f>
        <v>002-BL-006</v>
      </c>
      <c r="M3416" s="1" t="str">
        <f>IFERROR(__xludf.DUMMYFUNCTION("""COMPUTED_VALUE"""),"J LUMBRERAS")</f>
        <v>J LUMBRERAS</v>
      </c>
      <c r="N3416" s="1" t="str">
        <f>IFERROR(__xludf.DUMMYFUNCTION("""COMPUTED_VALUE"""),"#N/A")</f>
        <v>#N/A</v>
      </c>
      <c r="O3416" s="1" t="str">
        <f>IFERROR(__xludf.DUMMYFUNCTION("""COMPUTED_VALUE"""),"JACINTO LUMBRERAS")</f>
        <v>JACINTO LUMBRERAS</v>
      </c>
      <c r="P3416" s="1" t="str">
        <f>IFERROR(__xludf.DUMMYFUNCTION("""COMPUTED_VALUE"""),"GEN MARIANO ALVAREZ")</f>
        <v>GEN MARIANO ALVAREZ</v>
      </c>
      <c r="Q3416" s="1" t="str">
        <f>IFERROR(__xludf.DUMMYFUNCTION("""COMPUTED_VALUE"""),"CAVITE")</f>
        <v>CAVITE</v>
      </c>
      <c r="R3416" s="1" t="str">
        <f>IFERROR(__xludf.DUMMYFUNCTION("""COMPUTED_VALUE"""),"FIBER UNLI PLAN 1399")</f>
        <v>FIBER UNLI PLAN 1399</v>
      </c>
      <c r="S3416" s="1" t="str">
        <f>IFERROR(__xludf.DUMMYFUNCTION("""COMPUTED_VALUE"""),"APPROVED")</f>
        <v>APPROVED</v>
      </c>
      <c r="T3416" s="1" t="str">
        <f>IFERROR(__xludf.DUMMYFUNCTION("""COMPUTED_VALUE"""),"CANCELLED")</f>
        <v>CANCELLED</v>
      </c>
      <c r="U3416" s="1" t="str">
        <f>IFERROR(__xludf.DUMMYFUNCTION("""COMPUTED_VALUE"""),"CANCELLED - DUPLICATE APP")</f>
        <v>CANCELLED - DUPLICATE APP</v>
      </c>
      <c r="V3416" s="1"/>
      <c r="W3416" s="1"/>
    </row>
    <row r="3417" customHeight="1" spans="1:23">
      <c r="A3417" s="3">
        <f>IFERROR(__xludf.DUMMYFUNCTION("""COMPUTED_VALUE"""),46307)</f>
        <v>46307</v>
      </c>
      <c r="B3417" s="1" t="str">
        <f>IFERROR(__xludf.DUMMYFUNCTION("""COMPUTED_VALUE"""),"MANDUCDOC, MARIANE")</f>
        <v>MANDUCDOC, MARIANE</v>
      </c>
      <c r="C3417" s="1" t="str">
        <f>IFERROR(__xludf.DUMMYFUNCTION("""COMPUTED_VALUE"""),"ORGANIC")</f>
        <v>ORGANIC</v>
      </c>
      <c r="D3417" s="1" t="str">
        <f>IFERROR(__xludf.DUMMYFUNCTION("""COMPUTED_VALUE"""),"REMOLLO LEA")</f>
        <v>REMOLLO LEA</v>
      </c>
      <c r="E3417" s="1" t="str">
        <f>IFERROR(__xludf.DUMMYFUNCTION("""COMPUTED_VALUE"""),"PLDT / H2H")</f>
        <v>PLDT / H2H</v>
      </c>
      <c r="F3417" s="1"/>
      <c r="G3417" s="1">
        <f>IFERROR(__xludf.DUMMYFUNCTION("""COMPUTED_VALUE"""),2313120349)</f>
        <v>2313120349</v>
      </c>
      <c r="H3417" s="1" t="str">
        <f>IFERROR(__xludf.DUMMYFUNCTION("""COMPUTED_VALUE"""),"#N/A")</f>
        <v>#N/A</v>
      </c>
      <c r="I3417" s="1">
        <f>IFERROR(__xludf.DUMMYFUNCTION("""COMPUTED_VALUE"""),639704772353)</f>
        <v>639704772353</v>
      </c>
      <c r="J3417" s="1">
        <f>IFERROR(__xludf.DUMMYFUNCTION("""COMPUTED_VALUE"""),639103986309)</f>
        <v>639103986309</v>
      </c>
      <c r="K3417" s="1"/>
      <c r="L3417" s="1" t="str">
        <f>IFERROR(__xludf.DUMMYFUNCTION("""COMPUTED_VALUE"""),"027-BL-000")</f>
        <v>027-BL-000</v>
      </c>
      <c r="M3417" s="1" t="str">
        <f>IFERROR(__xludf.DUMMYFUNCTION("""COMPUTED_VALUE"""),"EXTENSION")</f>
        <v>EXTENSION</v>
      </c>
      <c r="N3417" s="1" t="str">
        <f>IFERROR(__xludf.DUMMYFUNCTION("""COMPUTED_VALUE"""),"#N/A")</f>
        <v>#N/A</v>
      </c>
      <c r="O3417" s="1" t="str">
        <f>IFERROR(__xludf.DUMMYFUNCTION("""COMPUTED_VALUE"""),"GAVINO MADERAN")</f>
        <v>GAVINO MADERAN</v>
      </c>
      <c r="P3417" s="1" t="str">
        <f>IFERROR(__xludf.DUMMYFUNCTION("""COMPUTED_VALUE"""),"GEN MARIANO ALVAREZ")</f>
        <v>GEN MARIANO ALVAREZ</v>
      </c>
      <c r="Q3417" s="1" t="str">
        <f>IFERROR(__xludf.DUMMYFUNCTION("""COMPUTED_VALUE"""),"CAVITE")</f>
        <v>CAVITE</v>
      </c>
      <c r="R3417" s="1" t="str">
        <f>IFERROR(__xludf.DUMMYFUNCTION("""COMPUTED_VALUE"""),"FIBR UNLI ALL PLAN 999")</f>
        <v>FIBR UNLI ALL PLAN 999</v>
      </c>
      <c r="S3417" s="1" t="str">
        <f>IFERROR(__xludf.DUMMYFUNCTION("""COMPUTED_VALUE"""),"APPROVED")</f>
        <v>APPROVED</v>
      </c>
      <c r="T3417" s="1" t="str">
        <f>IFERROR(__xludf.DUMMYFUNCTION("""COMPUTED_VALUE"""),"CANCELLED")</f>
        <v>CANCELLED</v>
      </c>
      <c r="U3417" s="1" t="str">
        <f>IFERROR(__xludf.DUMMYFUNCTION("""COMPUTED_VALUE"""),"CANCELLED - UNCONTACTED")</f>
        <v>CANCELLED - UNCONTACTED</v>
      </c>
      <c r="V3417" s="1"/>
      <c r="W3417" s="1"/>
    </row>
    <row r="3418" customHeight="1" spans="1:23">
      <c r="A3418" s="3">
        <f>IFERROR(__xludf.DUMMYFUNCTION("""COMPUTED_VALUE"""),46308)</f>
        <v>46308</v>
      </c>
      <c r="B3418" s="1" t="str">
        <f>IFERROR(__xludf.DUMMYFUNCTION("""COMPUTED_VALUE"""),"SALIOA JB")</f>
        <v>SALIOA JB</v>
      </c>
      <c r="C3418" s="1" t="str">
        <f>IFERROR(__xludf.DUMMYFUNCTION("""COMPUTED_VALUE"""),"FLA")</f>
        <v>FLA</v>
      </c>
      <c r="D3418" s="1" t="str">
        <f>IFERROR(__xludf.DUMMYFUNCTION("""COMPUTED_VALUE"""),"JERIC NAVARRO")</f>
        <v>JERIC NAVARRO</v>
      </c>
      <c r="E3418" s="1" t="str">
        <f>IFERROR(__xludf.DUMMYFUNCTION("""COMPUTED_VALUE"""),"PLDT / ONLINE")</f>
        <v>PLDT / ONLINE</v>
      </c>
      <c r="F3418" s="1"/>
      <c r="G3418" s="1">
        <f>IFERROR(__xludf.DUMMYFUNCTION("""COMPUTED_VALUE"""),2313130237)</f>
        <v>2313130237</v>
      </c>
      <c r="H3418" s="1" t="str">
        <f>IFERROR(__xludf.DUMMYFUNCTION("""COMPUTED_VALUE"""),"#N/A")</f>
        <v>#N/A</v>
      </c>
      <c r="I3418" s="1">
        <f>IFERROR(__xludf.DUMMYFUNCTION("""COMPUTED_VALUE"""),639753529170)</f>
        <v>639753529170</v>
      </c>
      <c r="J3418" s="1"/>
      <c r="K3418" s="1"/>
      <c r="L3418" s="1" t="str">
        <f>IFERROR(__xludf.DUMMYFUNCTION("""COMPUTED_VALUE"""),"004-BL-037")</f>
        <v>004-BL-037</v>
      </c>
      <c r="M3418" s="1" t="str">
        <f>IFERROR(__xludf.DUMMYFUNCTION("""COMPUTED_VALUE"""),"ILOCOS")</f>
        <v>ILOCOS</v>
      </c>
      <c r="N3418" s="1" t="str">
        <f>IFERROR(__xludf.DUMMYFUNCTION("""COMPUTED_VALUE"""),"#N/A")</f>
        <v>#N/A</v>
      </c>
      <c r="O3418" s="1" t="str">
        <f>IFERROR(__xludf.DUMMYFUNCTION("""COMPUTED_VALUE"""),"GAVINO MADERAN")</f>
        <v>GAVINO MADERAN</v>
      </c>
      <c r="P3418" s="1" t="str">
        <f>IFERROR(__xludf.DUMMYFUNCTION("""COMPUTED_VALUE"""),"GEN MARIANO ALVAREZ")</f>
        <v>GEN MARIANO ALVAREZ</v>
      </c>
      <c r="Q3418" s="1" t="str">
        <f>IFERROR(__xludf.DUMMYFUNCTION("""COMPUTED_VALUE"""),"CAVITE")</f>
        <v>CAVITE</v>
      </c>
      <c r="R3418" s="1" t="str">
        <f>IFERROR(__xludf.DUMMYFUNCTION("""COMPUTED_VALUE"""),"FIBER UNLI ALL PLAN 1899")</f>
        <v>FIBER UNLI ALL PLAN 1899</v>
      </c>
      <c r="S3418" s="1" t="str">
        <f>IFERROR(__xludf.DUMMYFUNCTION("""COMPUTED_VALUE"""),"APPROVED")</f>
        <v>APPROVED</v>
      </c>
      <c r="T3418" s="1" t="str">
        <f>IFERROR(__xludf.DUMMYFUNCTION("""COMPUTED_VALUE"""),"CANCELLED")</f>
        <v>CANCELLED</v>
      </c>
      <c r="U3418" s="1" t="str">
        <f>IFERROR(__xludf.DUMMYFUNCTION("""COMPUTED_VALUE"""),"CANCELLED - WITH OB")</f>
        <v>CANCELLED - WITH OB</v>
      </c>
      <c r="V3418" s="1"/>
      <c r="W3418" s="1"/>
    </row>
    <row r="3419" customHeight="1" spans="1:23">
      <c r="A3419" s="3">
        <f>IFERROR(__xludf.DUMMYFUNCTION("""COMPUTED_VALUE"""),46308)</f>
        <v>46308</v>
      </c>
      <c r="B3419" s="1" t="str">
        <f>IFERROR(__xludf.DUMMYFUNCTION("""COMPUTED_VALUE"""),"REMOLLO, LEA")</f>
        <v>REMOLLO, LEA</v>
      </c>
      <c r="C3419" s="1" t="str">
        <f>IFERROR(__xludf.DUMMYFUNCTION("""COMPUTED_VALUE"""),"FLA")</f>
        <v>FLA</v>
      </c>
      <c r="D3419" s="1" t="str">
        <f>IFERROR(__xludf.DUMMYFUNCTION("""COMPUTED_VALUE"""),"JERIC NAVARRO")</f>
        <v>JERIC NAVARRO</v>
      </c>
      <c r="E3419" s="1" t="str">
        <f>IFERROR(__xludf.DUMMYFUNCTION("""COMPUTED_VALUE"""),"PLDT / H2H")</f>
        <v>PLDT / H2H</v>
      </c>
      <c r="F3419" s="1"/>
      <c r="G3419" s="1">
        <f>IFERROR(__xludf.DUMMYFUNCTION("""COMPUTED_VALUE"""),2313132877)</f>
        <v>2313132877</v>
      </c>
      <c r="H3419" s="1" t="str">
        <f>IFERROR(__xludf.DUMMYFUNCTION("""COMPUTED_VALUE"""),"475603737004")</f>
        <v>475603737004</v>
      </c>
      <c r="I3419" s="1">
        <f>IFERROR(__xludf.DUMMYFUNCTION("""COMPUTED_VALUE"""),639766575685)</f>
        <v>639766575685</v>
      </c>
      <c r="J3419" s="1"/>
      <c r="K3419" s="1"/>
      <c r="L3419" s="1" t="str">
        <f>IFERROR(__xludf.DUMMYFUNCTION("""COMPUTED_VALUE"""),"98")</f>
        <v>98</v>
      </c>
      <c r="M3419" s="1" t="str">
        <f>IFERROR(__xludf.DUMMYFUNCTION("""COMPUTED_VALUE"""),"CAUSAREN")</f>
        <v>CAUSAREN</v>
      </c>
      <c r="N3419" s="1" t="str">
        <f>IFERROR(__xludf.DUMMYFUNCTION("""COMPUTED_VALUE"""),"DOLOR DANILO APARTMENT UNIT D")</f>
        <v>DOLOR DANILO APARTMENT UNIT D</v>
      </c>
      <c r="O3419" s="1" t="str">
        <f>IFERROR(__xludf.DUMMYFUNCTION("""COMPUTED_VALUE"""),"BUHO")</f>
        <v>BUHO</v>
      </c>
      <c r="P3419" s="1" t="str">
        <f>IFERROR(__xludf.DUMMYFUNCTION("""COMPUTED_VALUE"""),"SILANG")</f>
        <v>SILANG</v>
      </c>
      <c r="Q3419" s="1" t="str">
        <f>IFERROR(__xludf.DUMMYFUNCTION("""COMPUTED_VALUE"""),"CAVITE")</f>
        <v>CAVITE</v>
      </c>
      <c r="R3419" s="1" t="str">
        <f>IFERROR(__xludf.DUMMYFUNCTION("""COMPUTED_VALUE"""),"FIBER UNLI PLAN 1399")</f>
        <v>FIBER UNLI PLAN 1399</v>
      </c>
      <c r="S3419" s="1" t="str">
        <f>IFERROR(__xludf.DUMMYFUNCTION("""COMPUTED_VALUE"""),"APPROVED")</f>
        <v>APPROVED</v>
      </c>
      <c r="T3419" s="1" t="str">
        <f>IFERROR(__xludf.DUMMYFUNCTION("""COMPUTED_VALUE"""),"FOR PAYMENT")</f>
        <v>FOR PAYMENT</v>
      </c>
      <c r="U3419" s="1" t="str">
        <f>IFERROR(__xludf.DUMMYFUNCTION("""COMPUTED_VALUE"""),"FOR PAYMENT")</f>
        <v>FOR PAYMENT</v>
      </c>
      <c r="V3419" s="1"/>
      <c r="W3419" s="1"/>
    </row>
    <row r="3420" customHeight="1" spans="1:23">
      <c r="A3420" s="3">
        <f>IFERROR(__xludf.DUMMYFUNCTION("""COMPUTED_VALUE"""),46308)</f>
        <v>46308</v>
      </c>
      <c r="B3420" s="1" t="str">
        <f>IFERROR(__xludf.DUMMYFUNCTION("""COMPUTED_VALUE"""),"MAGDARAOG, KENNETH")</f>
        <v>MAGDARAOG, KENNETH</v>
      </c>
      <c r="C3420" s="1" t="str">
        <f>IFERROR(__xludf.DUMMYFUNCTION("""COMPUTED_VALUE"""),"ORGANIC")</f>
        <v>ORGANIC</v>
      </c>
      <c r="D3420" s="1" t="str">
        <f>IFERROR(__xludf.DUMMYFUNCTION("""COMPUTED_VALUE"""),"REMOLLO LEA")</f>
        <v>REMOLLO LEA</v>
      </c>
      <c r="E3420" s="1" t="str">
        <f>IFERROR(__xludf.DUMMYFUNCTION("""COMPUTED_VALUE"""),"PLDT / H2H")</f>
        <v>PLDT / H2H</v>
      </c>
      <c r="F3420" s="1"/>
      <c r="G3420" s="1">
        <f>IFERROR(__xludf.DUMMYFUNCTION("""COMPUTED_VALUE"""),2313142850)</f>
        <v>2313142850</v>
      </c>
      <c r="H3420" s="1" t="str">
        <f>IFERROR(__xludf.DUMMYFUNCTION("""COMPUTED_VALUE"""),"475452035004")</f>
        <v>475452035004</v>
      </c>
      <c r="I3420" s="1">
        <f>IFERROR(__xludf.DUMMYFUNCTION("""COMPUTED_VALUE"""),639178992007)</f>
        <v>639178992007</v>
      </c>
      <c r="J3420" s="1">
        <f>IFERROR(__xludf.DUMMYFUNCTION("""COMPUTED_VALUE"""),639277004236)</f>
        <v>639277004236</v>
      </c>
      <c r="K3420" s="1"/>
      <c r="L3420" s="1" t="str">
        <f>IFERROR(__xludf.DUMMYFUNCTION("""COMPUTED_VALUE"""),"133")</f>
        <v>133</v>
      </c>
      <c r="M3420" s="1" t="str">
        <f>IFERROR(__xludf.DUMMYFUNCTION("""COMPUTED_VALUE"""),"P FERMA")</f>
        <v>P FERMA</v>
      </c>
      <c r="N3420" s="1" t="str">
        <f>IFERROR(__xludf.DUMMYFUNCTION("""COMPUTED_VALUE"""),"#N/A")</f>
        <v>#N/A</v>
      </c>
      <c r="O3420" s="1" t="str">
        <f>IFERROR(__xludf.DUMMYFUNCTION("""COMPUTED_VALUE"""),"ANULING CERCA I")</f>
        <v>ANULING CERCA I</v>
      </c>
      <c r="P3420" s="1" t="str">
        <f>IFERROR(__xludf.DUMMYFUNCTION("""COMPUTED_VALUE"""),"MENDEZ")</f>
        <v>MENDEZ</v>
      </c>
      <c r="Q3420" s="1" t="str">
        <f>IFERROR(__xludf.DUMMYFUNCTION("""COMPUTED_VALUE"""),"CAVITE")</f>
        <v>CAVITE</v>
      </c>
      <c r="R3420" s="1" t="str">
        <f>IFERROR(__xludf.DUMMYFUNCTION("""COMPUTED_VALUE"""),"FIBER UNLI ALL PLAN 1499")</f>
        <v>FIBER UNLI ALL PLAN 1499</v>
      </c>
      <c r="S3420" s="1" t="str">
        <f>IFERROR(__xludf.DUMMYFUNCTION("""COMPUTED_VALUE"""),"APPROVED")</f>
        <v>APPROVED</v>
      </c>
      <c r="T3420" s="1" t="str">
        <f>IFERROR(__xludf.DUMMYFUNCTION("""COMPUTED_VALUE"""),"CLOSED")</f>
        <v>CLOSED</v>
      </c>
      <c r="U3420" s="1" t="str">
        <f>IFERROR(__xludf.DUMMYFUNCTION("""COMPUTED_VALUE"""),"POSTED")</f>
        <v>POSTED</v>
      </c>
      <c r="V3420" s="1" t="str">
        <f>IFERROR(__xludf.DUMMYFUNCTION("""COMPUTED_VALUE"""),"WITH 1 AMSF")</f>
        <v>WITH 1 AMSF</v>
      </c>
      <c r="W3420" s="1"/>
    </row>
    <row r="3421" customHeight="1" spans="1:23">
      <c r="A3421" s="3">
        <f>IFERROR(__xludf.DUMMYFUNCTION("""COMPUTED_VALUE"""),46308)</f>
        <v>46308</v>
      </c>
      <c r="B3421" s="1" t="str">
        <f>IFERROR(__xludf.DUMMYFUNCTION("""COMPUTED_VALUE"""),"FRANCISCO , ROSELYN")</f>
        <v>FRANCISCO , ROSELYN</v>
      </c>
      <c r="C3421" s="1" t="str">
        <f>IFERROR(__xludf.DUMMYFUNCTION("""COMPUTED_VALUE"""),"ORGANIC")</f>
        <v>ORGANIC</v>
      </c>
      <c r="D3421" s="1" t="str">
        <f>IFERROR(__xludf.DUMMYFUNCTION("""COMPUTED_VALUE"""),"REMOLLO LEA")</f>
        <v>REMOLLO LEA</v>
      </c>
      <c r="E3421" s="1" t="str">
        <f>IFERROR(__xludf.DUMMYFUNCTION("""COMPUTED_VALUE"""),"PLDT / H2H")</f>
        <v>PLDT / H2H</v>
      </c>
      <c r="F3421" s="1"/>
      <c r="G3421" s="1">
        <f>IFERROR(__xludf.DUMMYFUNCTION("""COMPUTED_VALUE"""),2313143209)</f>
        <v>2313143209</v>
      </c>
      <c r="H3421" s="1" t="str">
        <f>IFERROR(__xludf.DUMMYFUNCTION("""COMPUTED_VALUE"""),"475455653004")</f>
        <v>475455653004</v>
      </c>
      <c r="I3421" s="1">
        <f>IFERROR(__xludf.DUMMYFUNCTION("""COMPUTED_VALUE"""),639481018620)</f>
        <v>639481018620</v>
      </c>
      <c r="J3421" s="1"/>
      <c r="K3421" s="1"/>
      <c r="L3421" s="1" t="str">
        <f>IFERROR(__xludf.DUMMYFUNCTION("""COMPUTED_VALUE"""),"140")</f>
        <v>140</v>
      </c>
      <c r="M3421" s="1" t="str">
        <f>IFERROR(__xludf.DUMMYFUNCTION("""COMPUTED_VALUE"""),"PUROK 2")</f>
        <v>PUROK 2</v>
      </c>
      <c r="N3421" s="1" t="str">
        <f>IFERROR(__xludf.DUMMYFUNCTION("""COMPUTED_VALUE"""),"#N/A")</f>
        <v>#N/A</v>
      </c>
      <c r="O3421" s="1" t="str">
        <f>IFERROR(__xludf.DUMMYFUNCTION("""COMPUTED_VALUE"""),"BIGA II")</f>
        <v>BIGA II</v>
      </c>
      <c r="P3421" s="1" t="str">
        <f>IFERROR(__xludf.DUMMYFUNCTION("""COMPUTED_VALUE"""),"SILANG")</f>
        <v>SILANG</v>
      </c>
      <c r="Q3421" s="1" t="str">
        <f>IFERROR(__xludf.DUMMYFUNCTION("""COMPUTED_VALUE"""),"CAVITE")</f>
        <v>CAVITE</v>
      </c>
      <c r="R3421" s="1" t="str">
        <f>IFERROR(__xludf.DUMMYFUNCTION("""COMPUTED_VALUE"""),"FIBER UNLI PLAN 1399")</f>
        <v>FIBER UNLI PLAN 1399</v>
      </c>
      <c r="S3421" s="1" t="str">
        <f>IFERROR(__xludf.DUMMYFUNCTION("""COMPUTED_VALUE"""),"APPROVED")</f>
        <v>APPROVED</v>
      </c>
      <c r="T3421" s="1" t="str">
        <f>IFERROR(__xludf.DUMMYFUNCTION("""COMPUTED_VALUE"""),"CLOSED")</f>
        <v>CLOSED</v>
      </c>
      <c r="U3421" s="1" t="str">
        <f>IFERROR(__xludf.DUMMYFUNCTION("""COMPUTED_VALUE"""),"POSTED")</f>
        <v>POSTED</v>
      </c>
      <c r="V3421" s="1" t="str">
        <f>IFERROR(__xludf.DUMMYFUNCTION("""COMPUTED_VALUE"""),"NO 1 AMSF")</f>
        <v>NO 1 AMSF</v>
      </c>
      <c r="W3421" s="1"/>
    </row>
    <row r="3422" customHeight="1" spans="1:23">
      <c r="A3422" s="3">
        <f>IFERROR(__xludf.DUMMYFUNCTION("""COMPUTED_VALUE"""),46308)</f>
        <v>46308</v>
      </c>
      <c r="B3422" s="1" t="str">
        <f>IFERROR(__xludf.DUMMYFUNCTION("""COMPUTED_VALUE"""),"GABAY, MANUEL")</f>
        <v>GABAY, MANUEL</v>
      </c>
      <c r="C3422" s="1" t="str">
        <f>IFERROR(__xludf.DUMMYFUNCTION("""COMPUTED_VALUE"""),"FLA")</f>
        <v>FLA</v>
      </c>
      <c r="D3422" s="1" t="str">
        <f>IFERROR(__xludf.DUMMYFUNCTION("""COMPUTED_VALUE"""),"JERIC NAVARRO")</f>
        <v>JERIC NAVARRO</v>
      </c>
      <c r="E3422" s="1" t="str">
        <f>IFERROR(__xludf.DUMMYFUNCTION("""COMPUTED_VALUE"""),"PLDT / H2H")</f>
        <v>PLDT / H2H</v>
      </c>
      <c r="F3422" s="1"/>
      <c r="G3422" s="1">
        <f>IFERROR(__xludf.DUMMYFUNCTION("""COMPUTED_VALUE"""),2313143424)</f>
        <v>2313143424</v>
      </c>
      <c r="H3422" s="1" t="str">
        <f>IFERROR(__xludf.DUMMYFUNCTION("""COMPUTED_VALUE"""),"475452037004")</f>
        <v>475452037004</v>
      </c>
      <c r="I3422" s="1">
        <f>IFERROR(__xludf.DUMMYFUNCTION("""COMPUTED_VALUE"""),639485263393)</f>
        <v>639485263393</v>
      </c>
      <c r="J3422" s="1">
        <f>IFERROR(__xludf.DUMMYFUNCTION("""COMPUTED_VALUE"""),639702197008)</f>
        <v>639702197008</v>
      </c>
      <c r="K3422" s="1"/>
      <c r="L3422" s="1" t="str">
        <f>IFERROR(__xludf.DUMMYFUNCTION("""COMPUTED_VALUE"""),"152")</f>
        <v>152</v>
      </c>
      <c r="M3422" s="1" t="str">
        <f>IFERROR(__xludf.DUMMYFUNCTION("""COMPUTED_VALUE"""),"FERMA")</f>
        <v>FERMA</v>
      </c>
      <c r="N3422" s="1" t="str">
        <f>IFERROR(__xludf.DUMMYFUNCTION("""COMPUTED_VALUE"""),"#N/A")</f>
        <v>#N/A</v>
      </c>
      <c r="O3422" s="1" t="str">
        <f>IFERROR(__xludf.DUMMYFUNCTION("""COMPUTED_VALUE"""),"ANULING CERCA I")</f>
        <v>ANULING CERCA I</v>
      </c>
      <c r="P3422" s="1" t="str">
        <f>IFERROR(__xludf.DUMMYFUNCTION("""COMPUTED_VALUE"""),"MENDEZ")</f>
        <v>MENDEZ</v>
      </c>
      <c r="Q3422" s="1" t="str">
        <f>IFERROR(__xludf.DUMMYFUNCTION("""COMPUTED_VALUE"""),"CAVITE")</f>
        <v>CAVITE</v>
      </c>
      <c r="R3422" s="1" t="str">
        <f>IFERROR(__xludf.DUMMYFUNCTION("""COMPUTED_VALUE"""),"FIBER UNLI ALL PLAN 1499")</f>
        <v>FIBER UNLI ALL PLAN 1499</v>
      </c>
      <c r="S3422" s="1" t="str">
        <f>IFERROR(__xludf.DUMMYFUNCTION("""COMPUTED_VALUE"""),"APPROVED")</f>
        <v>APPROVED</v>
      </c>
      <c r="T3422" s="1" t="str">
        <f>IFERROR(__xludf.DUMMYFUNCTION("""COMPUTED_VALUE"""),"CLOSED")</f>
        <v>CLOSED</v>
      </c>
      <c r="U3422" s="1" t="str">
        <f>IFERROR(__xludf.DUMMYFUNCTION("""COMPUTED_VALUE"""),"POSTED")</f>
        <v>POSTED</v>
      </c>
      <c r="V3422" s="1" t="str">
        <f>IFERROR(__xludf.DUMMYFUNCTION("""COMPUTED_VALUE"""),"WITH 1 AMSF")</f>
        <v>WITH 1 AMSF</v>
      </c>
      <c r="W3422" s="1"/>
    </row>
    <row r="3423" customHeight="1" spans="1:23">
      <c r="A3423" s="3">
        <f>IFERROR(__xludf.DUMMYFUNCTION("""COMPUTED_VALUE"""),46308)</f>
        <v>46308</v>
      </c>
      <c r="B3423" s="1" t="str">
        <f>IFERROR(__xludf.DUMMYFUNCTION("""COMPUTED_VALUE"""),"MAGDARAOG, KENNETH")</f>
        <v>MAGDARAOG, KENNETH</v>
      </c>
      <c r="C3423" s="1" t="str">
        <f>IFERROR(__xludf.DUMMYFUNCTION("""COMPUTED_VALUE"""),"ORGANIC")</f>
        <v>ORGANIC</v>
      </c>
      <c r="D3423" s="1" t="str">
        <f>IFERROR(__xludf.DUMMYFUNCTION("""COMPUTED_VALUE"""),"REMOLLO LEA")</f>
        <v>REMOLLO LEA</v>
      </c>
      <c r="E3423" s="1" t="str">
        <f>IFERROR(__xludf.DUMMYFUNCTION("""COMPUTED_VALUE"""),"PLDT / H2H")</f>
        <v>PLDT / H2H</v>
      </c>
      <c r="F3423" s="1"/>
      <c r="G3423" s="1">
        <f>IFERROR(__xludf.DUMMYFUNCTION("""COMPUTED_VALUE"""),2313143562)</f>
        <v>2313143562</v>
      </c>
      <c r="H3423" s="1" t="str">
        <f>IFERROR(__xludf.DUMMYFUNCTION("""COMPUTED_VALUE"""),"475525273004")</f>
        <v>475525273004</v>
      </c>
      <c r="I3423" s="1">
        <f>IFERROR(__xludf.DUMMYFUNCTION("""COMPUTED_VALUE"""),639276768124)</f>
        <v>639276768124</v>
      </c>
      <c r="J3423" s="1">
        <f>IFERROR(__xludf.DUMMYFUNCTION("""COMPUTED_VALUE"""),639760685234)</f>
        <v>639760685234</v>
      </c>
      <c r="K3423" s="1"/>
      <c r="L3423" s="1" t="str">
        <f>IFERROR(__xludf.DUMMYFUNCTION("""COMPUTED_VALUE"""),"205")</f>
        <v>205</v>
      </c>
      <c r="M3423" s="1" t="str">
        <f>IFERROR(__xludf.DUMMYFUNCTION("""COMPUTED_VALUE"""),"TAGAYTAY-STA ROSA")</f>
        <v>TAGAYTAY-STA ROSA</v>
      </c>
      <c r="N3423" s="1" t="str">
        <f>IFERROR(__xludf.DUMMYFUNCTION("""COMPUTED_VALUE"""),"#N/A")</f>
        <v>#N/A</v>
      </c>
      <c r="O3423" s="1" t="str">
        <f>IFERROR(__xludf.DUMMYFUNCTION("""COMPUTED_VALUE"""),"TARTARIA")</f>
        <v>TARTARIA</v>
      </c>
      <c r="P3423" s="1" t="str">
        <f>IFERROR(__xludf.DUMMYFUNCTION("""COMPUTED_VALUE"""),"SILANG")</f>
        <v>SILANG</v>
      </c>
      <c r="Q3423" s="1" t="str">
        <f>IFERROR(__xludf.DUMMYFUNCTION("""COMPUTED_VALUE"""),"CAVITE")</f>
        <v>CAVITE</v>
      </c>
      <c r="R3423" s="1" t="str">
        <f>IFERROR(__xludf.DUMMYFUNCTION("""COMPUTED_VALUE"""),"FIBER UNLI PLAN 1399")</f>
        <v>FIBER UNLI PLAN 1399</v>
      </c>
      <c r="S3423" s="1" t="str">
        <f>IFERROR(__xludf.DUMMYFUNCTION("""COMPUTED_VALUE"""),"APPROVED")</f>
        <v>APPROVED</v>
      </c>
      <c r="T3423" s="1" t="str">
        <f>IFERROR(__xludf.DUMMYFUNCTION("""COMPUTED_VALUE"""),"CLOSED")</f>
        <v>CLOSED</v>
      </c>
      <c r="U3423" s="1" t="str">
        <f>IFERROR(__xludf.DUMMYFUNCTION("""COMPUTED_VALUE"""),"POSTED")</f>
        <v>POSTED</v>
      </c>
      <c r="V3423" s="1" t="str">
        <f>IFERROR(__xludf.DUMMYFUNCTION("""COMPUTED_VALUE"""),"WITH 1 AMSF")</f>
        <v>WITH 1 AMSF</v>
      </c>
      <c r="W3423" s="1"/>
    </row>
    <row r="3424" customHeight="1" spans="1:23">
      <c r="A3424" s="3">
        <f>IFERROR(__xludf.DUMMYFUNCTION("""COMPUTED_VALUE"""),46308)</f>
        <v>46308</v>
      </c>
      <c r="B3424" s="1" t="str">
        <f>IFERROR(__xludf.DUMMYFUNCTION("""COMPUTED_VALUE"""),"ALINGARO, CINDY")</f>
        <v>ALINGARO, CINDY</v>
      </c>
      <c r="C3424" s="1" t="str">
        <f>IFERROR(__xludf.DUMMYFUNCTION("""COMPUTED_VALUE"""),"ORGANIC")</f>
        <v>ORGANIC</v>
      </c>
      <c r="D3424" s="1" t="str">
        <f>IFERROR(__xludf.DUMMYFUNCTION("""COMPUTED_VALUE"""),"REMOLLO LEA")</f>
        <v>REMOLLO LEA</v>
      </c>
      <c r="E3424" s="1" t="str">
        <f>IFERROR(__xludf.DUMMYFUNCTION("""COMPUTED_VALUE"""),"PLDT / H2H")</f>
        <v>PLDT / H2H</v>
      </c>
      <c r="F3424" s="1"/>
      <c r="G3424" s="1">
        <f>IFERROR(__xludf.DUMMYFUNCTION("""COMPUTED_VALUE"""),2313143765)</f>
        <v>2313143765</v>
      </c>
      <c r="H3424" s="1" t="str">
        <f>IFERROR(__xludf.DUMMYFUNCTION("""COMPUTED_VALUE"""),"475455760004")</f>
        <v>475455760004</v>
      </c>
      <c r="I3424" s="1">
        <f>IFERROR(__xludf.DUMMYFUNCTION("""COMPUTED_VALUE"""),639279971254)</f>
        <v>639279971254</v>
      </c>
      <c r="J3424" s="1"/>
      <c r="K3424" s="1"/>
      <c r="L3424" s="1" t="str">
        <f>IFERROR(__xludf.DUMMYFUNCTION("""COMPUTED_VALUE"""),"210")</f>
        <v>210</v>
      </c>
      <c r="M3424" s="1" t="str">
        <f>IFERROR(__xludf.DUMMYFUNCTION("""COMPUTED_VALUE"""),"STA ROSA")</f>
        <v>STA ROSA</v>
      </c>
      <c r="N3424" s="1" t="str">
        <f>IFERROR(__xludf.DUMMYFUNCTION("""COMPUTED_VALUE"""),"#N/A")</f>
        <v>#N/A</v>
      </c>
      <c r="O3424" s="1" t="str">
        <f>IFERROR(__xludf.DUMMYFUNCTION("""COMPUTED_VALUE"""),"TARTARIA")</f>
        <v>TARTARIA</v>
      </c>
      <c r="P3424" s="1" t="str">
        <f>IFERROR(__xludf.DUMMYFUNCTION("""COMPUTED_VALUE"""),"SILANG")</f>
        <v>SILANG</v>
      </c>
      <c r="Q3424" s="1" t="str">
        <f>IFERROR(__xludf.DUMMYFUNCTION("""COMPUTED_VALUE"""),"CAVITE")</f>
        <v>CAVITE</v>
      </c>
      <c r="R3424" s="1" t="str">
        <f>IFERROR(__xludf.DUMMYFUNCTION("""COMPUTED_VALUE"""),"FIBER UNLI PLAN 1399")</f>
        <v>FIBER UNLI PLAN 1399</v>
      </c>
      <c r="S3424" s="1" t="str">
        <f>IFERROR(__xludf.DUMMYFUNCTION("""COMPUTED_VALUE"""),"APPROVED")</f>
        <v>APPROVED</v>
      </c>
      <c r="T3424" s="1" t="str">
        <f>IFERROR(__xludf.DUMMYFUNCTION("""COMPUTED_VALUE"""),"CLOSED")</f>
        <v>CLOSED</v>
      </c>
      <c r="U3424" s="1" t="str">
        <f>IFERROR(__xludf.DUMMYFUNCTION("""COMPUTED_VALUE"""),"POSTED")</f>
        <v>POSTED</v>
      </c>
      <c r="V3424" s="1" t="str">
        <f>IFERROR(__xludf.DUMMYFUNCTION("""COMPUTED_VALUE"""),"NO 1 AMSF")</f>
        <v>NO 1 AMSF</v>
      </c>
      <c r="W3424" s="1"/>
    </row>
    <row r="3425" customHeight="1" spans="1:23">
      <c r="A3425" s="3">
        <f>IFERROR(__xludf.DUMMYFUNCTION("""COMPUTED_VALUE"""),46308)</f>
        <v>46308</v>
      </c>
      <c r="B3425" s="1" t="str">
        <f>IFERROR(__xludf.DUMMYFUNCTION("""COMPUTED_VALUE"""),"CADERAO, RONALD")</f>
        <v>CADERAO, RONALD</v>
      </c>
      <c r="C3425" s="1" t="str">
        <f>IFERROR(__xludf.DUMMYFUNCTION("""COMPUTED_VALUE"""),"ORGANIC")</f>
        <v>ORGANIC</v>
      </c>
      <c r="D3425" s="1" t="str">
        <f>IFERROR(__xludf.DUMMYFUNCTION("""COMPUTED_VALUE"""),"REMOLLO LEA")</f>
        <v>REMOLLO LEA</v>
      </c>
      <c r="E3425" s="1" t="str">
        <f>IFERROR(__xludf.DUMMYFUNCTION("""COMPUTED_VALUE"""),"PLDT / H2H")</f>
        <v>PLDT / H2H</v>
      </c>
      <c r="F3425" s="1"/>
      <c r="G3425" s="1">
        <f>IFERROR(__xludf.DUMMYFUNCTION("""COMPUTED_VALUE"""),2313143956)</f>
        <v>2313143956</v>
      </c>
      <c r="H3425" s="1" t="str">
        <f>IFERROR(__xludf.DUMMYFUNCTION("""COMPUTED_VALUE"""),"475458727004")</f>
        <v>475458727004</v>
      </c>
      <c r="I3425" s="1">
        <f>IFERROR(__xludf.DUMMYFUNCTION("""COMPUTED_VALUE"""),639636300148)</f>
        <v>639636300148</v>
      </c>
      <c r="J3425" s="1"/>
      <c r="K3425" s="1"/>
      <c r="L3425" s="1" t="str">
        <f>IFERROR(__xludf.DUMMYFUNCTION("""COMPUTED_VALUE"""),"59")</f>
        <v>59</v>
      </c>
      <c r="M3425" s="1" t="str">
        <f>IFERROR(__xludf.DUMMYFUNCTION("""COMPUTED_VALUE"""),"PUROK 5")</f>
        <v>PUROK 5</v>
      </c>
      <c r="N3425" s="1" t="str">
        <f>IFERROR(__xludf.DUMMYFUNCTION("""COMPUTED_VALUE"""),"#N/A")</f>
        <v>#N/A</v>
      </c>
      <c r="O3425" s="1" t="str">
        <f>IFERROR(__xludf.DUMMYFUNCTION("""COMPUTED_VALUE"""),"PULONG BUNGA")</f>
        <v>PULONG BUNGA</v>
      </c>
      <c r="P3425" s="1" t="str">
        <f>IFERROR(__xludf.DUMMYFUNCTION("""COMPUTED_VALUE"""),"SILANG")</f>
        <v>SILANG</v>
      </c>
      <c r="Q3425" s="1" t="str">
        <f>IFERROR(__xludf.DUMMYFUNCTION("""COMPUTED_VALUE"""),"CAVITE")</f>
        <v>CAVITE</v>
      </c>
      <c r="R3425" s="1" t="str">
        <f>IFERROR(__xludf.DUMMYFUNCTION("""COMPUTED_VALUE"""),"FIBER UNLI PLAN 1399")</f>
        <v>FIBER UNLI PLAN 1399</v>
      </c>
      <c r="S3425" s="1" t="str">
        <f>IFERROR(__xludf.DUMMYFUNCTION("""COMPUTED_VALUE"""),"APPROVED")</f>
        <v>APPROVED</v>
      </c>
      <c r="T3425" s="1" t="str">
        <f>IFERROR(__xludf.DUMMYFUNCTION("""COMPUTED_VALUE"""),"RPR")</f>
        <v>RPR</v>
      </c>
      <c r="U3425" s="1" t="str">
        <f>IFERROR(__xludf.DUMMYFUNCTION("""COMPUTED_VALUE"""),"RPR- SUBS CANCEL REQUEST")</f>
        <v>RPR- SUBS CANCEL REQUEST</v>
      </c>
      <c r="V3425" s="1"/>
      <c r="W3425" s="1"/>
    </row>
    <row r="3426" customHeight="1" spans="1:23">
      <c r="A3426" s="3">
        <f>IFERROR(__xludf.DUMMYFUNCTION("""COMPUTED_VALUE"""),46308)</f>
        <v>46308</v>
      </c>
      <c r="B3426" s="1" t="str">
        <f>IFERROR(__xludf.DUMMYFUNCTION("""COMPUTED_VALUE"""),"AYON MANUEL")</f>
        <v>AYON MANUEL</v>
      </c>
      <c r="C3426" s="1" t="str">
        <f>IFERROR(__xludf.DUMMYFUNCTION("""COMPUTED_VALUE"""),"FLA")</f>
        <v>FLA</v>
      </c>
      <c r="D3426" s="1" t="str">
        <f>IFERROR(__xludf.DUMMYFUNCTION("""COMPUTED_VALUE"""),"JERIC NAVARRO")</f>
        <v>JERIC NAVARRO</v>
      </c>
      <c r="E3426" s="1" t="str">
        <f>IFERROR(__xludf.DUMMYFUNCTION("""COMPUTED_VALUE"""),"PLDT / H2H")</f>
        <v>PLDT / H2H</v>
      </c>
      <c r="F3426" s="1"/>
      <c r="G3426" s="1">
        <f>IFERROR(__xludf.DUMMYFUNCTION("""COMPUTED_VALUE"""),2313144722)</f>
        <v>2313144722</v>
      </c>
      <c r="H3426" s="1" t="str">
        <f>IFERROR(__xludf.DUMMYFUNCTION("""COMPUTED_VALUE"""),"475525271004")</f>
        <v>475525271004</v>
      </c>
      <c r="I3426" s="1">
        <f>IFERROR(__xludf.DUMMYFUNCTION("""COMPUTED_VALUE"""),639178241491)</f>
        <v>639178241491</v>
      </c>
      <c r="J3426" s="1">
        <f>IFERROR(__xludf.DUMMYFUNCTION("""COMPUTED_VALUE"""),639625227643)</f>
        <v>639625227643</v>
      </c>
      <c r="K3426" s="1"/>
      <c r="L3426" s="1" t="str">
        <f>IFERROR(__xludf.DUMMYFUNCTION("""COMPUTED_VALUE"""),"9125")</f>
        <v>9125</v>
      </c>
      <c r="M3426" s="1" t="str">
        <f>IFERROR(__xludf.DUMMYFUNCTION("""COMPUTED_VALUE"""),"BILUSO")</f>
        <v>BILUSO</v>
      </c>
      <c r="N3426" s="1" t="str">
        <f>IFERROR(__xludf.DUMMYFUNCTION("""COMPUTED_VALUE"""),"#N/A")</f>
        <v>#N/A</v>
      </c>
      <c r="O3426" s="1" t="str">
        <f>IFERROR(__xludf.DUMMYFUNCTION("""COMPUTED_VALUE"""),"SAN VICENTE II")</f>
        <v>SAN VICENTE II</v>
      </c>
      <c r="P3426" s="1" t="str">
        <f>IFERROR(__xludf.DUMMYFUNCTION("""COMPUTED_VALUE"""),"SILANG")</f>
        <v>SILANG</v>
      </c>
      <c r="Q3426" s="1" t="str">
        <f>IFERROR(__xludf.DUMMYFUNCTION("""COMPUTED_VALUE"""),"CAVITE")</f>
        <v>CAVITE</v>
      </c>
      <c r="R3426" s="1" t="str">
        <f>IFERROR(__xludf.DUMMYFUNCTION("""COMPUTED_VALUE"""),"FIBER UNLI ALL PLAN 1499")</f>
        <v>FIBER UNLI ALL PLAN 1499</v>
      </c>
      <c r="S3426" s="1" t="str">
        <f>IFERROR(__xludf.DUMMYFUNCTION("""COMPUTED_VALUE"""),"APPROVED")</f>
        <v>APPROVED</v>
      </c>
      <c r="T3426" s="1" t="str">
        <f>IFERROR(__xludf.DUMMYFUNCTION("""COMPUTED_VALUE"""),"CLOSED")</f>
        <v>CLOSED</v>
      </c>
      <c r="U3426" s="1" t="str">
        <f>IFERROR(__xludf.DUMMYFUNCTION("""COMPUTED_VALUE"""),"POSTED")</f>
        <v>POSTED</v>
      </c>
      <c r="V3426" s="1" t="str">
        <f>IFERROR(__xludf.DUMMYFUNCTION("""COMPUTED_VALUE"""),"WITH 1 AMSF")</f>
        <v>WITH 1 AMSF</v>
      </c>
      <c r="W3426" s="1"/>
    </row>
    <row r="3427" customHeight="1" spans="1:23">
      <c r="A3427" s="3">
        <f>IFERROR(__xludf.DUMMYFUNCTION("""COMPUTED_VALUE"""),46309)</f>
        <v>46309</v>
      </c>
      <c r="B3427" s="1" t="str">
        <f>IFERROR(__xludf.DUMMYFUNCTION("""COMPUTED_VALUE"""),"BAQUIT ,JAZMIN")</f>
        <v>BAQUIT ,JAZMIN</v>
      </c>
      <c r="C3427" s="1" t="str">
        <f>IFERROR(__xludf.DUMMYFUNCTION("""COMPUTED_VALUE"""),"ORGANIC")</f>
        <v>ORGANIC</v>
      </c>
      <c r="D3427" s="1" t="str">
        <f>IFERROR(__xludf.DUMMYFUNCTION("""COMPUTED_VALUE"""),"REMOLLO LEA")</f>
        <v>REMOLLO LEA</v>
      </c>
      <c r="E3427" s="1" t="str">
        <f>IFERROR(__xludf.DUMMYFUNCTION("""COMPUTED_VALUE"""),"PLDT / ONLINE")</f>
        <v>PLDT / ONLINE</v>
      </c>
      <c r="F3427" s="1"/>
      <c r="G3427" s="1">
        <f>IFERROR(__xludf.DUMMYFUNCTION("""COMPUTED_VALUE"""),2313160722)</f>
        <v>2313160722</v>
      </c>
      <c r="H3427" s="1" t="str">
        <f>IFERROR(__xludf.DUMMYFUNCTION("""COMPUTED_VALUE"""),"475829218004")</f>
        <v>475829218004</v>
      </c>
      <c r="I3427" s="1">
        <f>IFERROR(__xludf.DUMMYFUNCTION("""COMPUTED_VALUE"""),639703459189)</f>
        <v>639703459189</v>
      </c>
      <c r="J3427" s="1">
        <f>IFERROR(__xludf.DUMMYFUNCTION("""COMPUTED_VALUE"""),639069446579)</f>
        <v>639069446579</v>
      </c>
      <c r="K3427" s="1"/>
      <c r="L3427" s="1" t="str">
        <f>IFERROR(__xludf.DUMMYFUNCTION("""COMPUTED_VALUE"""),"#N/A")</f>
        <v>#N/A</v>
      </c>
      <c r="M3427" s="1" t="str">
        <f>IFERROR(__xludf.DUMMYFUNCTION("""COMPUTED_VALUE"""),"ILANG ILANG")</f>
        <v>ILANG ILANG</v>
      </c>
      <c r="N3427" s="1" t="str">
        <f>IFERROR(__xludf.DUMMYFUNCTION("""COMPUTED_VALUE"""),"RAMOS RESIDENCE")</f>
        <v>RAMOS RESIDENCE</v>
      </c>
      <c r="O3427" s="1" t="str">
        <f>IFERROR(__xludf.DUMMYFUNCTION("""COMPUTED_VALUE"""),"BGY MALITAM")</f>
        <v>BGY MALITAM</v>
      </c>
      <c r="P3427" s="1" t="str">
        <f>IFERROR(__xludf.DUMMYFUNCTION("""COMPUTED_VALUE"""),"BATANGAS CITY")</f>
        <v>BATANGAS CITY</v>
      </c>
      <c r="Q3427" s="1" t="str">
        <f>IFERROR(__xludf.DUMMYFUNCTION("""COMPUTED_VALUE"""),"BATANGAS")</f>
        <v>BATANGAS</v>
      </c>
      <c r="R3427" s="1" t="str">
        <f>IFERROR(__xludf.DUMMYFUNCTION("""COMPUTED_VALUE"""),"FIBR PLAN 1299")</f>
        <v>FIBR PLAN 1299</v>
      </c>
      <c r="S3427" s="1" t="str">
        <f>IFERROR(__xludf.DUMMYFUNCTION("""COMPUTED_VALUE"""),"APPROVED")</f>
        <v>APPROVED</v>
      </c>
      <c r="T3427" s="1" t="str">
        <f>IFERROR(__xludf.DUMMYFUNCTION("""COMPUTED_VALUE"""),"RESERVED FACILITY")</f>
        <v>RESERVED FACILITY</v>
      </c>
      <c r="U3427" s="1" t="str">
        <f>IFERROR(__xludf.DUMMYFUNCTION("""COMPUTED_VALUE"""),"OPEN")</f>
        <v>OPEN</v>
      </c>
      <c r="V3427" s="1"/>
      <c r="W3427" s="1"/>
    </row>
    <row r="3428" customHeight="1" spans="1:23">
      <c r="A3428" s="3">
        <f>IFERROR(__xludf.DUMMYFUNCTION("""COMPUTED_VALUE"""),46309)</f>
        <v>46309</v>
      </c>
      <c r="B3428" s="1" t="str">
        <f>IFERROR(__xludf.DUMMYFUNCTION("""COMPUTED_VALUE"""),"CARPIO, STEPHANIE NICOLE")</f>
        <v>CARPIO, STEPHANIE NICOLE</v>
      </c>
      <c r="C3428" s="1" t="str">
        <f>IFERROR(__xludf.DUMMYFUNCTION("""COMPUTED_VALUE"""),"FLA")</f>
        <v>FLA</v>
      </c>
      <c r="D3428" s="1" t="str">
        <f>IFERROR(__xludf.DUMMYFUNCTION("""COMPUTED_VALUE"""),"JERIC NAVARRO")</f>
        <v>JERIC NAVARRO</v>
      </c>
      <c r="E3428" s="1" t="str">
        <f>IFERROR(__xludf.DUMMYFUNCTION("""COMPUTED_VALUE"""),"PLDT / ONLINE")</f>
        <v>PLDT / ONLINE</v>
      </c>
      <c r="F3428" s="1"/>
      <c r="G3428" s="1">
        <f>IFERROR(__xludf.DUMMYFUNCTION("""COMPUTED_VALUE"""),2313149682)</f>
        <v>2313149682</v>
      </c>
      <c r="H3428" s="1" t="str">
        <f>IFERROR(__xludf.DUMMYFUNCTION("""COMPUTED_VALUE"""),"475606336004")</f>
        <v>475606336004</v>
      </c>
      <c r="I3428" s="1">
        <f>IFERROR(__xludf.DUMMYFUNCTION("""COMPUTED_VALUE"""),639469842616)</f>
        <v>639469842616</v>
      </c>
      <c r="J3428" s="1"/>
      <c r="K3428" s="1"/>
      <c r="L3428" s="1" t="str">
        <f>IFERROR(__xludf.DUMMYFUNCTION("""COMPUTED_VALUE"""),"#N/A")</f>
        <v>#N/A</v>
      </c>
      <c r="M3428" s="1" t="str">
        <f>IFERROR(__xludf.DUMMYFUNCTION("""COMPUTED_VALUE"""),"CUEVAS SUBD")</f>
        <v>CUEVAS SUBD</v>
      </c>
      <c r="N3428" s="1" t="str">
        <f>IFERROR(__xludf.DUMMYFUNCTION("""COMPUTED_VALUE"""),"CUEVAS SUBD")</f>
        <v>CUEVAS SUBD</v>
      </c>
      <c r="O3428" s="1" t="str">
        <f>IFERROR(__xludf.DUMMYFUNCTION("""COMPUTED_VALUE"""),"SALCEDO I")</f>
        <v>SALCEDO I</v>
      </c>
      <c r="P3428" s="1" t="str">
        <f>IFERROR(__xludf.DUMMYFUNCTION("""COMPUTED_VALUE"""),"NOVELETA")</f>
        <v>NOVELETA</v>
      </c>
      <c r="Q3428" s="1" t="str">
        <f>IFERROR(__xludf.DUMMYFUNCTION("""COMPUTED_VALUE"""),"CAVITE")</f>
        <v>CAVITE</v>
      </c>
      <c r="R3428" s="1" t="str">
        <f>IFERROR(__xludf.DUMMYFUNCTION("""COMPUTED_VALUE"""),"SWITCH FIBER NETFLIX PLAN 1599 ")</f>
        <v>SWITCH FIBER NETFLIX PLAN 1599 </v>
      </c>
      <c r="S3428" s="1" t="str">
        <f>IFERROR(__xludf.DUMMYFUNCTION("""COMPUTED_VALUE"""),"APPROVED")</f>
        <v>APPROVED</v>
      </c>
      <c r="T3428" s="1" t="str">
        <f>IFERROR(__xludf.DUMMYFUNCTION("""COMPUTED_VALUE"""),"CLOSED")</f>
        <v>CLOSED</v>
      </c>
      <c r="U3428" s="1" t="str">
        <f>IFERROR(__xludf.DUMMYFUNCTION("""COMPUTED_VALUE"""),"POSTED")</f>
        <v>POSTED</v>
      </c>
      <c r="V3428" s="1" t="str">
        <f>IFERROR(__xludf.DUMMYFUNCTION("""COMPUTED_VALUE"""),"NO 1 AMSF")</f>
        <v>NO 1 AMSF</v>
      </c>
      <c r="W3428" s="1"/>
    </row>
    <row r="3429" customHeight="1" spans="1:23">
      <c r="A3429" s="3">
        <f>IFERROR(__xludf.DUMMYFUNCTION("""COMPUTED_VALUE"""),46309)</f>
        <v>46309</v>
      </c>
      <c r="B3429" s="1" t="str">
        <f>IFERROR(__xludf.DUMMYFUNCTION("""COMPUTED_VALUE"""),"MALIWAT MARK ELVIN")</f>
        <v>MALIWAT MARK ELVIN</v>
      </c>
      <c r="C3429" s="1" t="str">
        <f>IFERROR(__xludf.DUMMYFUNCTION("""COMPUTED_VALUE"""),"FLA")</f>
        <v>FLA</v>
      </c>
      <c r="D3429" s="1" t="str">
        <f>IFERROR(__xludf.DUMMYFUNCTION("""COMPUTED_VALUE"""),"JERIC NAVARRO")</f>
        <v>JERIC NAVARRO</v>
      </c>
      <c r="E3429" s="1" t="str">
        <f>IFERROR(__xludf.DUMMYFUNCTION("""COMPUTED_VALUE"""),"PLDT / H2H")</f>
        <v>PLDT / H2H</v>
      </c>
      <c r="F3429" s="1"/>
      <c r="G3429" s="1">
        <f>IFERROR(__xludf.DUMMYFUNCTION("""COMPUTED_VALUE"""),2313150160)</f>
        <v>2313150160</v>
      </c>
      <c r="H3429" s="1" t="str">
        <f>IFERROR(__xludf.DUMMYFUNCTION("""COMPUTED_VALUE"""),"475605602004")</f>
        <v>475605602004</v>
      </c>
      <c r="I3429" s="1">
        <f>IFERROR(__xludf.DUMMYFUNCTION("""COMPUTED_VALUE"""),639918494550)</f>
        <v>639918494550</v>
      </c>
      <c r="J3429" s="1"/>
      <c r="K3429" s="1"/>
      <c r="L3429" s="1" t="str">
        <f>IFERROR(__xludf.DUMMYFUNCTION("""COMPUTED_VALUE"""),"042-BL-007")</f>
        <v>042-BL-007</v>
      </c>
      <c r="M3429" s="1" t="str">
        <f>IFERROR(__xludf.DUMMYFUNCTION("""COMPUTED_VALUE"""),"MAHOGANY")</f>
        <v>MAHOGANY</v>
      </c>
      <c r="N3429" s="1" t="str">
        <f>IFERROR(__xludf.DUMMYFUNCTION("""COMPUTED_VALUE"""),"#N/A")</f>
        <v>#N/A</v>
      </c>
      <c r="O3429" s="1" t="str">
        <f>IFERROR(__xludf.DUMMYFUNCTION("""COMPUTED_VALUE"""),"SANTO NINO II")</f>
        <v>SANTO NINO II</v>
      </c>
      <c r="P3429" s="1" t="str">
        <f>IFERROR(__xludf.DUMMYFUNCTION("""COMPUTED_VALUE"""),"DASMARINAS")</f>
        <v>DASMARINAS</v>
      </c>
      <c r="Q3429" s="1" t="str">
        <f>IFERROR(__xludf.DUMMYFUNCTION("""COMPUTED_VALUE"""),"CAVITE")</f>
        <v>CAVITE</v>
      </c>
      <c r="R3429" s="1" t="str">
        <f>IFERROR(__xludf.DUMMYFUNCTION("""COMPUTED_VALUE"""),"FIBER UNLI PLAN 1399")</f>
        <v>FIBER UNLI PLAN 1399</v>
      </c>
      <c r="S3429" s="1" t="str">
        <f>IFERROR(__xludf.DUMMYFUNCTION("""COMPUTED_VALUE"""),"APPROVED")</f>
        <v>APPROVED</v>
      </c>
      <c r="T3429" s="1" t="str">
        <f>IFERROR(__xludf.DUMMYFUNCTION("""COMPUTED_VALUE"""),"CLOSED")</f>
        <v>CLOSED</v>
      </c>
      <c r="U3429" s="1" t="str">
        <f>IFERROR(__xludf.DUMMYFUNCTION("""COMPUTED_VALUE"""),"POSTED")</f>
        <v>POSTED</v>
      </c>
      <c r="V3429" s="1" t="str">
        <f>IFERROR(__xludf.DUMMYFUNCTION("""COMPUTED_VALUE"""),"WITH 1 AMSF")</f>
        <v>WITH 1 AMSF</v>
      </c>
      <c r="W3429" s="1"/>
    </row>
    <row r="3430" customHeight="1" spans="1:23">
      <c r="A3430" s="3">
        <f>IFERROR(__xludf.DUMMYFUNCTION("""COMPUTED_VALUE"""),46309)</f>
        <v>46309</v>
      </c>
      <c r="B3430" s="1" t="str">
        <f>IFERROR(__xludf.DUMMYFUNCTION("""COMPUTED_VALUE"""),"TAMAYO, MARY ROSE")</f>
        <v>TAMAYO, MARY ROSE</v>
      </c>
      <c r="C3430" s="1" t="str">
        <f>IFERROR(__xludf.DUMMYFUNCTION("""COMPUTED_VALUE"""),"ORGANIC")</f>
        <v>ORGANIC</v>
      </c>
      <c r="D3430" s="1" t="str">
        <f>IFERROR(__xludf.DUMMYFUNCTION("""COMPUTED_VALUE"""),"REMOLLO LEA")</f>
        <v>REMOLLO LEA</v>
      </c>
      <c r="E3430" s="1" t="str">
        <f>IFERROR(__xludf.DUMMYFUNCTION("""COMPUTED_VALUE"""),"PLDT / H2H")</f>
        <v>PLDT / H2H</v>
      </c>
      <c r="F3430" s="1"/>
      <c r="G3430" s="1">
        <f>IFERROR(__xludf.DUMMYFUNCTION("""COMPUTED_VALUE"""),2313152580)</f>
        <v>2313152580</v>
      </c>
      <c r="H3430" s="1" t="str">
        <f>IFERROR(__xludf.DUMMYFUNCTION("""COMPUTED_VALUE"""),"475546338004")</f>
        <v>475546338004</v>
      </c>
      <c r="I3430" s="1">
        <f>IFERROR(__xludf.DUMMYFUNCTION("""COMPUTED_VALUE"""),639977588640)</f>
        <v>639977588640</v>
      </c>
      <c r="J3430" s="1"/>
      <c r="K3430" s="1"/>
      <c r="L3430" s="1" t="str">
        <f>IFERROR(__xludf.DUMMYFUNCTION("""COMPUTED_VALUE"""),"1369")</f>
        <v>1369</v>
      </c>
      <c r="M3430" s="1" t="str">
        <f>IFERROR(__xludf.DUMMYFUNCTION("""COMPUTED_VALUE"""),"LANTIC")</f>
        <v>LANTIC</v>
      </c>
      <c r="N3430" s="1"/>
      <c r="O3430" s="1" t="str">
        <f>IFERROR(__xludf.DUMMYFUNCTION("""COMPUTED_VALUE"""),"LANTIC")</f>
        <v>LANTIC</v>
      </c>
      <c r="P3430" s="1" t="str">
        <f>IFERROR(__xludf.DUMMYFUNCTION("""COMPUTED_VALUE"""),"CARMONA")</f>
        <v>CARMONA</v>
      </c>
      <c r="Q3430" s="1" t="str">
        <f>IFERROR(__xludf.DUMMYFUNCTION("""COMPUTED_VALUE"""),"CAVITE")</f>
        <v>CAVITE</v>
      </c>
      <c r="R3430" s="1" t="str">
        <f>IFERROR(__xludf.DUMMYFUNCTION("""COMPUTED_VALUE"""),"SWITCH FIBR UNLI ALL PLAN 1399")</f>
        <v>SWITCH FIBR UNLI ALL PLAN 1399</v>
      </c>
      <c r="S3430" s="1" t="str">
        <f>IFERROR(__xludf.DUMMYFUNCTION("""COMPUTED_VALUE"""),"APPROVED")</f>
        <v>APPROVED</v>
      </c>
      <c r="T3430" s="1" t="str">
        <f>IFERROR(__xludf.DUMMYFUNCTION("""COMPUTED_VALUE"""),"CLOSED")</f>
        <v>CLOSED</v>
      </c>
      <c r="U3430" s="1" t="str">
        <f>IFERROR(__xludf.DUMMYFUNCTION("""COMPUTED_VALUE"""),"POSTED")</f>
        <v>POSTED</v>
      </c>
      <c r="V3430" s="1" t="str">
        <f>IFERROR(__xludf.DUMMYFUNCTION("""COMPUTED_VALUE"""),"WITH 1 AMSF")</f>
        <v>WITH 1 AMSF</v>
      </c>
      <c r="W3430" s="1"/>
    </row>
    <row r="3431" customHeight="1" spans="1:23">
      <c r="A3431" s="3">
        <f>IFERROR(__xludf.DUMMYFUNCTION("""COMPUTED_VALUE"""),46309)</f>
        <v>46309</v>
      </c>
      <c r="B3431" s="1" t="str">
        <f>IFERROR(__xludf.DUMMYFUNCTION("""COMPUTED_VALUE"""),"TAMAYO, MARY ROSE")</f>
        <v>TAMAYO, MARY ROSE</v>
      </c>
      <c r="C3431" s="1" t="str">
        <f>IFERROR(__xludf.DUMMYFUNCTION("""COMPUTED_VALUE"""),"ORGANIC")</f>
        <v>ORGANIC</v>
      </c>
      <c r="D3431" s="1" t="str">
        <f>IFERROR(__xludf.DUMMYFUNCTION("""COMPUTED_VALUE"""),"REMOLLO LEA")</f>
        <v>REMOLLO LEA</v>
      </c>
      <c r="E3431" s="1" t="str">
        <f>IFERROR(__xludf.DUMMYFUNCTION("""COMPUTED_VALUE"""),"PLDT / H2H")</f>
        <v>PLDT / H2H</v>
      </c>
      <c r="F3431" s="1"/>
      <c r="G3431" s="1">
        <f>IFERROR(__xludf.DUMMYFUNCTION("""COMPUTED_VALUE"""),2313152921)</f>
        <v>2313152921</v>
      </c>
      <c r="H3431" s="1" t="str">
        <f>IFERROR(__xludf.DUMMYFUNCTION("""COMPUTED_VALUE"""),"475607985004")</f>
        <v>475607985004</v>
      </c>
      <c r="I3431" s="1">
        <f>IFERROR(__xludf.DUMMYFUNCTION("""COMPUTED_VALUE"""),639380568250)</f>
        <v>639380568250</v>
      </c>
      <c r="J3431" s="1"/>
      <c r="K3431" s="1"/>
      <c r="L3431" s="1" t="str">
        <f>IFERROR(__xludf.DUMMYFUNCTION("""COMPUTED_VALUE"""),"68")</f>
        <v>68</v>
      </c>
      <c r="M3431" s="1" t="str">
        <f>IFERROR(__xludf.DUMMYFUNCTION("""COMPUTED_VALUE"""),"MABUHAY")</f>
        <v>MABUHAY</v>
      </c>
      <c r="N3431" s="1" t="str">
        <f>IFERROR(__xludf.DUMMYFUNCTION("""COMPUTED_VALUE"""),"ZALASAR COMPOUND")</f>
        <v>ZALASAR COMPOUND</v>
      </c>
      <c r="O3431" s="1" t="str">
        <f>IFERROR(__xludf.DUMMYFUNCTION("""COMPUTED_VALUE"""),"MABUHAY")</f>
        <v>MABUHAY</v>
      </c>
      <c r="P3431" s="1" t="str">
        <f>IFERROR(__xludf.DUMMYFUNCTION("""COMPUTED_VALUE"""),"CARMONA")</f>
        <v>CARMONA</v>
      </c>
      <c r="Q3431" s="1" t="str">
        <f>IFERROR(__xludf.DUMMYFUNCTION("""COMPUTED_VALUE"""),"CAVITE")</f>
        <v>CAVITE</v>
      </c>
      <c r="R3431" s="1" t="str">
        <f>IFERROR(__xludf.DUMMYFUNCTION("""COMPUTED_VALUE"""),"FIBER UNLI PLAN 1399")</f>
        <v>FIBER UNLI PLAN 1399</v>
      </c>
      <c r="S3431" s="1" t="str">
        <f>IFERROR(__xludf.DUMMYFUNCTION("""COMPUTED_VALUE"""),"APPROVED")</f>
        <v>APPROVED</v>
      </c>
      <c r="T3431" s="1" t="str">
        <f>IFERROR(__xludf.DUMMYFUNCTION("""COMPUTED_VALUE"""),"PAID")</f>
        <v>PAID</v>
      </c>
      <c r="U3431" s="1" t="str">
        <f>IFERROR(__xludf.DUMMYFUNCTION("""COMPUTED_VALUE"""),"PAID - FOR INSTALLATION")</f>
        <v>PAID - FOR INSTALLATION</v>
      </c>
      <c r="V3431" s="1" t="str">
        <f>IFERROR(__xludf.DUMMYFUNCTION("""COMPUTED_VALUE"""),"NO 1 AMSF")</f>
        <v>NO 1 AMSF</v>
      </c>
      <c r="W3431" s="1"/>
    </row>
    <row r="3432" customHeight="1" spans="1:23">
      <c r="A3432" s="3">
        <f>IFERROR(__xludf.DUMMYFUNCTION("""COMPUTED_VALUE"""),46309)</f>
        <v>46309</v>
      </c>
      <c r="B3432" s="1" t="str">
        <f>IFERROR(__xludf.DUMMYFUNCTION("""COMPUTED_VALUE"""),"ARIENA, LYKA")</f>
        <v>ARIENA, LYKA</v>
      </c>
      <c r="C3432" s="1" t="str">
        <f>IFERROR(__xludf.DUMMYFUNCTION("""COMPUTED_VALUE"""),"ORGANIC")</f>
        <v>ORGANIC</v>
      </c>
      <c r="D3432" s="1" t="str">
        <f>IFERROR(__xludf.DUMMYFUNCTION("""COMPUTED_VALUE"""),"REMOLLO LEA")</f>
        <v>REMOLLO LEA</v>
      </c>
      <c r="E3432" s="1" t="str">
        <f>IFERROR(__xludf.DUMMYFUNCTION("""COMPUTED_VALUE"""),"PLDT / H2H")</f>
        <v>PLDT / H2H</v>
      </c>
      <c r="F3432" s="1"/>
      <c r="G3432" s="1">
        <f>IFERROR(__xludf.DUMMYFUNCTION("""COMPUTED_VALUE"""),2313153320)</f>
        <v>2313153320</v>
      </c>
      <c r="H3432" s="1" t="str">
        <f>IFERROR(__xludf.DUMMYFUNCTION("""COMPUTED_VALUE"""),"475547560004")</f>
        <v>475547560004</v>
      </c>
      <c r="I3432" s="1">
        <f>IFERROR(__xludf.DUMMYFUNCTION("""COMPUTED_VALUE"""),639477641248)</f>
        <v>639477641248</v>
      </c>
      <c r="J3432" s="1"/>
      <c r="K3432" s="1"/>
      <c r="L3432" s="1" t="str">
        <f>IFERROR(__xludf.DUMMYFUNCTION("""COMPUTED_VALUE"""),"128")</f>
        <v>128</v>
      </c>
      <c r="M3432" s="1" t="str">
        <f>IFERROR(__xludf.DUMMYFUNCTION("""COMPUTED_VALUE"""),"MABUHAY")</f>
        <v>MABUHAY</v>
      </c>
      <c r="N3432" s="1" t="str">
        <f>IFERROR(__xludf.DUMMYFUNCTION("""COMPUTED_VALUE"""),"SALAZAR COMPOUND")</f>
        <v>SALAZAR COMPOUND</v>
      </c>
      <c r="O3432" s="1" t="str">
        <f>IFERROR(__xludf.DUMMYFUNCTION("""COMPUTED_VALUE"""),"MABUHAY")</f>
        <v>MABUHAY</v>
      </c>
      <c r="P3432" s="1" t="str">
        <f>IFERROR(__xludf.DUMMYFUNCTION("""COMPUTED_VALUE"""),"CARMONA")</f>
        <v>CARMONA</v>
      </c>
      <c r="Q3432" s="1" t="str">
        <f>IFERROR(__xludf.DUMMYFUNCTION("""COMPUTED_VALUE"""),"CAVITE")</f>
        <v>CAVITE</v>
      </c>
      <c r="R3432" s="1" t="str">
        <f>IFERROR(__xludf.DUMMYFUNCTION("""COMPUTED_VALUE"""),"FIBER UNLI PLAN 1399")</f>
        <v>FIBER UNLI PLAN 1399</v>
      </c>
      <c r="S3432" s="1" t="str">
        <f>IFERROR(__xludf.DUMMYFUNCTION("""COMPUTED_VALUE"""),"APPROVED")</f>
        <v>APPROVED</v>
      </c>
      <c r="T3432" s="1" t="str">
        <f>IFERROR(__xludf.DUMMYFUNCTION("""COMPUTED_VALUE"""),"RPR")</f>
        <v>RPR</v>
      </c>
      <c r="U3432" s="1" t="str">
        <f>IFERROR(__xludf.DUMMYFUNCTION("""COMPUTED_VALUE"""),"RPR - NO FTTH")</f>
        <v>RPR - NO FTTH</v>
      </c>
      <c r="V3432" s="1" t="str">
        <f>IFERROR(__xludf.DUMMYFUNCTION("""COMPUTED_VALUE"""),"NO 1 AMSF")</f>
        <v>NO 1 AMSF</v>
      </c>
      <c r="W3432" s="1"/>
    </row>
    <row r="3433" customHeight="1" spans="1:23">
      <c r="A3433" s="3">
        <f>IFERROR(__xludf.DUMMYFUNCTION("""COMPUTED_VALUE"""),46309)</f>
        <v>46309</v>
      </c>
      <c r="B3433" s="1" t="str">
        <f>IFERROR(__xludf.DUMMYFUNCTION("""COMPUTED_VALUE"""),"BAQUIT ,JAZMIN")</f>
        <v>BAQUIT ,JAZMIN</v>
      </c>
      <c r="C3433" s="1" t="str">
        <f>IFERROR(__xludf.DUMMYFUNCTION("""COMPUTED_VALUE"""),"ORGANIC")</f>
        <v>ORGANIC</v>
      </c>
      <c r="D3433" s="1" t="str">
        <f>IFERROR(__xludf.DUMMYFUNCTION("""COMPUTED_VALUE"""),"REMOLLO LEA")</f>
        <v>REMOLLO LEA</v>
      </c>
      <c r="E3433" s="1" t="str">
        <f>IFERROR(__xludf.DUMMYFUNCTION("""COMPUTED_VALUE"""),"PLDT / H2H")</f>
        <v>PLDT / H2H</v>
      </c>
      <c r="F3433" s="1"/>
      <c r="G3433" s="1">
        <f>IFERROR(__xludf.DUMMYFUNCTION("""COMPUTED_VALUE"""),2313156505)</f>
        <v>2313156505</v>
      </c>
      <c r="H3433" s="1" t="str">
        <f>IFERROR(__xludf.DUMMYFUNCTION("""COMPUTED_VALUE"""),"475555019004")</f>
        <v>475555019004</v>
      </c>
      <c r="I3433" s="1">
        <f>IFERROR(__xludf.DUMMYFUNCTION("""COMPUTED_VALUE"""),639852868613)</f>
        <v>639852868613</v>
      </c>
      <c r="J3433" s="1"/>
      <c r="K3433" s="1"/>
      <c r="L3433" s="1" t="str">
        <f>IFERROR(__xludf.DUMMYFUNCTION("""COMPUTED_VALUE"""),"78")</f>
        <v>78</v>
      </c>
      <c r="M3433" s="1" t="str">
        <f>IFERROR(__xludf.DUMMYFUNCTION("""COMPUTED_VALUE"""),"MABUHAY")</f>
        <v>MABUHAY</v>
      </c>
      <c r="N3433" s="1" t="str">
        <f>IFERROR(__xludf.DUMMYFUNCTION("""COMPUTED_VALUE"""),"SALAZAR COMPOUND")</f>
        <v>SALAZAR COMPOUND</v>
      </c>
      <c r="O3433" s="1" t="str">
        <f>IFERROR(__xludf.DUMMYFUNCTION("""COMPUTED_VALUE"""),"MABUHAY")</f>
        <v>MABUHAY</v>
      </c>
      <c r="P3433" s="1" t="str">
        <f>IFERROR(__xludf.DUMMYFUNCTION("""COMPUTED_VALUE"""),"CARMONA")</f>
        <v>CARMONA</v>
      </c>
      <c r="Q3433" s="1" t="str">
        <f>IFERROR(__xludf.DUMMYFUNCTION("""COMPUTED_VALUE"""),"CAVITE")</f>
        <v>CAVITE</v>
      </c>
      <c r="R3433" s="1" t="str">
        <f>IFERROR(__xludf.DUMMYFUNCTION("""COMPUTED_VALUE"""),"FIBER UNLI PLAN 1399")</f>
        <v>FIBER UNLI PLAN 1399</v>
      </c>
      <c r="S3433" s="1" t="str">
        <f>IFERROR(__xludf.DUMMYFUNCTION("""COMPUTED_VALUE"""),"APPROVED")</f>
        <v>APPROVED</v>
      </c>
      <c r="T3433" s="1" t="str">
        <f>IFERROR(__xludf.DUMMYFUNCTION("""COMPUTED_VALUE"""),"RPR")</f>
        <v>RPR</v>
      </c>
      <c r="U3433" s="1" t="str">
        <f>IFERROR(__xludf.DUMMYFUNCTION("""COMPUTED_VALUE"""),"RPR- NAP FULL")</f>
        <v>RPR- NAP FULL</v>
      </c>
      <c r="V3433" s="1" t="str">
        <f>IFERROR(__xludf.DUMMYFUNCTION("""COMPUTED_VALUE"""),"NO 1 AMSF")</f>
        <v>NO 1 AMSF</v>
      </c>
      <c r="W3433" s="1"/>
    </row>
    <row r="3434" customHeight="1" spans="1:23">
      <c r="A3434" s="3">
        <f>IFERROR(__xludf.DUMMYFUNCTION("""COMPUTED_VALUE"""),46309)</f>
        <v>46309</v>
      </c>
      <c r="B3434" s="1" t="str">
        <f>IFERROR(__xludf.DUMMYFUNCTION("""COMPUTED_VALUE"""),"ESCARCHA, MA ALMA  ESCOTO")</f>
        <v>ESCARCHA, MA ALMA  ESCOTO</v>
      </c>
      <c r="C3434" s="1" t="str">
        <f>IFERROR(__xludf.DUMMYFUNCTION("""COMPUTED_VALUE"""),"ORGANIC")</f>
        <v>ORGANIC</v>
      </c>
      <c r="D3434" s="1" t="str">
        <f>IFERROR(__xludf.DUMMYFUNCTION("""COMPUTED_VALUE"""),"REMOLLO LEA")</f>
        <v>REMOLLO LEA</v>
      </c>
      <c r="E3434" s="1" t="str">
        <f>IFERROR(__xludf.DUMMYFUNCTION("""COMPUTED_VALUE"""),"PLDT / H2H")</f>
        <v>PLDT / H2H</v>
      </c>
      <c r="F3434" s="1"/>
      <c r="G3434" s="1">
        <f>IFERROR(__xludf.DUMMYFUNCTION("""COMPUTED_VALUE"""),2313157012)</f>
        <v>2313157012</v>
      </c>
      <c r="H3434" s="1" t="str">
        <f>IFERROR(__xludf.DUMMYFUNCTION("""COMPUTED_VALUE"""),"475568915004")</f>
        <v>475568915004</v>
      </c>
      <c r="I3434" s="1">
        <f>IFERROR(__xludf.DUMMYFUNCTION("""COMPUTED_VALUE"""),639092557214)</f>
        <v>639092557214</v>
      </c>
      <c r="J3434" s="1"/>
      <c r="K3434" s="1"/>
      <c r="L3434" s="1" t="str">
        <f>IFERROR(__xludf.DUMMYFUNCTION("""COMPUTED_VALUE"""),"15")</f>
        <v>15</v>
      </c>
      <c r="M3434" s="1" t="str">
        <f>IFERROR(__xludf.DUMMYFUNCTION("""COMPUTED_VALUE"""),"MABUHAY")</f>
        <v>MABUHAY</v>
      </c>
      <c r="N3434" s="1" t="str">
        <f>IFERROR(__xludf.DUMMYFUNCTION("""COMPUTED_VALUE"""),"SALAZAR COMPOUND")</f>
        <v>SALAZAR COMPOUND</v>
      </c>
      <c r="O3434" s="1" t="str">
        <f>IFERROR(__xludf.DUMMYFUNCTION("""COMPUTED_VALUE"""),"MABUHAY")</f>
        <v>MABUHAY</v>
      </c>
      <c r="P3434" s="1" t="str">
        <f>IFERROR(__xludf.DUMMYFUNCTION("""COMPUTED_VALUE"""),"CARMONA")</f>
        <v>CARMONA</v>
      </c>
      <c r="Q3434" s="1" t="str">
        <f>IFERROR(__xludf.DUMMYFUNCTION("""COMPUTED_VALUE"""),"CAVITE")</f>
        <v>CAVITE</v>
      </c>
      <c r="R3434" s="1" t="str">
        <f>IFERROR(__xludf.DUMMYFUNCTION("""COMPUTED_VALUE"""),"FIBER UNLI PLAN 1399")</f>
        <v>FIBER UNLI PLAN 1399</v>
      </c>
      <c r="S3434" s="1" t="str">
        <f>IFERROR(__xludf.DUMMYFUNCTION("""COMPUTED_VALUE"""),"APPROVED")</f>
        <v>APPROVED</v>
      </c>
      <c r="T3434" s="1" t="str">
        <f>IFERROR(__xludf.DUMMYFUNCTION("""COMPUTED_VALUE"""),"RPR")</f>
        <v>RPR</v>
      </c>
      <c r="U3434" s="1" t="str">
        <f>IFERROR(__xludf.DUMMYFUNCTION("""COMPUTED_VALUE"""),"RPR  - NAP FULL")</f>
        <v>RPR  - NAP FULL</v>
      </c>
      <c r="V3434" s="1" t="str">
        <f>IFERROR(__xludf.DUMMYFUNCTION("""COMPUTED_VALUE"""),"NO 1 AMSF")</f>
        <v>NO 1 AMSF</v>
      </c>
      <c r="W3434" s="1"/>
    </row>
    <row r="3435" customHeight="1" spans="1:23">
      <c r="A3435" s="3">
        <f>IFERROR(__xludf.DUMMYFUNCTION("""COMPUTED_VALUE"""),46309)</f>
        <v>46309</v>
      </c>
      <c r="B3435" s="1" t="str">
        <f>IFERROR(__xludf.DUMMYFUNCTION("""COMPUTED_VALUE"""),"FAUSTINO, KIM")</f>
        <v>FAUSTINO, KIM</v>
      </c>
      <c r="C3435" s="1" t="str">
        <f>IFERROR(__xludf.DUMMYFUNCTION("""COMPUTED_VALUE"""),"ORGANIC")</f>
        <v>ORGANIC</v>
      </c>
      <c r="D3435" s="1" t="str">
        <f>IFERROR(__xludf.DUMMYFUNCTION("""COMPUTED_VALUE"""),"REMOLLO LEA")</f>
        <v>REMOLLO LEA</v>
      </c>
      <c r="E3435" s="1" t="str">
        <f>IFERROR(__xludf.DUMMYFUNCTION("""COMPUTED_VALUE"""),"PLDT / H2H")</f>
        <v>PLDT / H2H</v>
      </c>
      <c r="F3435" s="1"/>
      <c r="G3435" s="1">
        <f>IFERROR(__xludf.DUMMYFUNCTION("""COMPUTED_VALUE"""),2313157249)</f>
        <v>2313157249</v>
      </c>
      <c r="H3435" s="1" t="str">
        <f>IFERROR(__xludf.DUMMYFUNCTION("""COMPUTED_VALUE"""),"475605258004")</f>
        <v>475605258004</v>
      </c>
      <c r="I3435" s="1">
        <f>IFERROR(__xludf.DUMMYFUNCTION("""COMPUTED_VALUE"""),639454502233)</f>
        <v>639454502233</v>
      </c>
      <c r="J3435" s="1">
        <f>IFERROR(__xludf.DUMMYFUNCTION("""COMPUTED_VALUE"""),639241647623)</f>
        <v>639241647623</v>
      </c>
      <c r="K3435" s="1"/>
      <c r="L3435" s="1" t="str">
        <f>IFERROR(__xludf.DUMMYFUNCTION("""COMPUTED_VALUE"""),"9150")</f>
        <v>9150</v>
      </c>
      <c r="M3435" s="1" t="str">
        <f>IFERROR(__xludf.DUMMYFUNCTION("""COMPUTED_VALUE"""),"F BELEN")</f>
        <v>F BELEN</v>
      </c>
      <c r="N3435" s="1" t="str">
        <f>IFERROR(__xludf.DUMMYFUNCTION("""COMPUTED_VALUE"""),"PUROK 4")</f>
        <v>PUROK 4</v>
      </c>
      <c r="O3435" s="1" t="str">
        <f>IFERROR(__xludf.DUMMYFUNCTION("""COMPUTED_VALUE"""),"BATAS")</f>
        <v>BATAS</v>
      </c>
      <c r="P3435" s="1" t="str">
        <f>IFERROR(__xludf.DUMMYFUNCTION("""COMPUTED_VALUE"""),"SILANG")</f>
        <v>SILANG</v>
      </c>
      <c r="Q3435" s="1" t="str">
        <f>IFERROR(__xludf.DUMMYFUNCTION("""COMPUTED_VALUE"""),"CAVITE")</f>
        <v>CAVITE</v>
      </c>
      <c r="R3435" s="1" t="str">
        <f>IFERROR(__xludf.DUMMYFUNCTION("""COMPUTED_VALUE"""),"FIBR NETFLIX PLAN 1599")</f>
        <v>FIBR NETFLIX PLAN 1599</v>
      </c>
      <c r="S3435" s="1" t="str">
        <f>IFERROR(__xludf.DUMMYFUNCTION("""COMPUTED_VALUE"""),"APPROVED")</f>
        <v>APPROVED</v>
      </c>
      <c r="T3435" s="1" t="str">
        <f>IFERROR(__xludf.DUMMYFUNCTION("""COMPUTED_VALUE"""),"RPR - RESCHEDULE")</f>
        <v>RPR - RESCHEDULE</v>
      </c>
      <c r="U3435" s="1" t="str">
        <f>IFERROR(__xludf.DUMMYFUNCTION("""COMPUTED_VALUE"""),"RPR - PASSING PRIVATE PROPERTY")</f>
        <v>RPR - PASSING PRIVATE PROPERTY</v>
      </c>
      <c r="V3435" s="1"/>
      <c r="W3435" s="1"/>
    </row>
    <row r="3436" customHeight="1" spans="1:23">
      <c r="A3436" s="3">
        <f>IFERROR(__xludf.DUMMYFUNCTION("""COMPUTED_VALUE"""),46309)</f>
        <v>46309</v>
      </c>
      <c r="B3436" s="1" t="str">
        <f>IFERROR(__xludf.DUMMYFUNCTION("""COMPUTED_VALUE"""),"FRANCISCO , ROSELYN")</f>
        <v>FRANCISCO , ROSELYN</v>
      </c>
      <c r="C3436" s="1" t="str">
        <f>IFERROR(__xludf.DUMMYFUNCTION("""COMPUTED_VALUE"""),"ORGANIC")</f>
        <v>ORGANIC</v>
      </c>
      <c r="D3436" s="1" t="str">
        <f>IFERROR(__xludf.DUMMYFUNCTION("""COMPUTED_VALUE"""),"REMOLLO LEA")</f>
        <v>REMOLLO LEA</v>
      </c>
      <c r="E3436" s="1" t="str">
        <f>IFERROR(__xludf.DUMMYFUNCTION("""COMPUTED_VALUE"""),"PLDT / H2H")</f>
        <v>PLDT / H2H</v>
      </c>
      <c r="F3436" s="1"/>
      <c r="G3436" s="1">
        <f>IFERROR(__xludf.DUMMYFUNCTION("""COMPUTED_VALUE"""),2313157849)</f>
        <v>2313157849</v>
      </c>
      <c r="H3436" s="1" t="str">
        <f>IFERROR(__xludf.DUMMYFUNCTION("""COMPUTED_VALUE"""),"475552442004")</f>
        <v>475552442004</v>
      </c>
      <c r="I3436" s="1">
        <f>IFERROR(__xludf.DUMMYFUNCTION("""COMPUTED_VALUE"""),639750933934)</f>
        <v>639750933934</v>
      </c>
      <c r="J3436" s="1"/>
      <c r="K3436" s="1"/>
      <c r="L3436" s="1" t="str">
        <f>IFERROR(__xludf.DUMMYFUNCTION("""COMPUTED_VALUE"""),"6")</f>
        <v>6</v>
      </c>
      <c r="M3436" s="1" t="str">
        <f>IFERROR(__xludf.DUMMYFUNCTION("""COMPUTED_VALUE"""),"PUROK 5")</f>
        <v>PUROK 5</v>
      </c>
      <c r="N3436" s="1" t="str">
        <f>IFERROR(__xludf.DUMMYFUNCTION("""COMPUTED_VALUE"""),"#N/A")</f>
        <v>#N/A</v>
      </c>
      <c r="O3436" s="1" t="str">
        <f>IFERROR(__xludf.DUMMYFUNCTION("""COMPUTED_VALUE"""),"LUMIL")</f>
        <v>LUMIL</v>
      </c>
      <c r="P3436" s="1" t="str">
        <f>IFERROR(__xludf.DUMMYFUNCTION("""COMPUTED_VALUE"""),"SILANG")</f>
        <v>SILANG</v>
      </c>
      <c r="Q3436" s="1" t="str">
        <f>IFERROR(__xludf.DUMMYFUNCTION("""COMPUTED_VALUE"""),"CAVITE")</f>
        <v>CAVITE</v>
      </c>
      <c r="R3436" s="1" t="str">
        <f>IFERROR(__xludf.DUMMYFUNCTION("""COMPUTED_VALUE"""),"FIBER UNLI PLAN 1399")</f>
        <v>FIBER UNLI PLAN 1399</v>
      </c>
      <c r="S3436" s="1" t="str">
        <f>IFERROR(__xludf.DUMMYFUNCTION("""COMPUTED_VALUE"""),"APPROVED")</f>
        <v>APPROVED</v>
      </c>
      <c r="T3436" s="1" t="str">
        <f>IFERROR(__xludf.DUMMYFUNCTION("""COMPUTED_VALUE"""),"CLOSED")</f>
        <v>CLOSED</v>
      </c>
      <c r="U3436" s="1" t="str">
        <f>IFERROR(__xludf.DUMMYFUNCTION("""COMPUTED_VALUE"""),"POSTED")</f>
        <v>POSTED</v>
      </c>
      <c r="V3436" s="1" t="str">
        <f>IFERROR(__xludf.DUMMYFUNCTION("""COMPUTED_VALUE"""),"NO 1 AMSF")</f>
        <v>NO 1 AMSF</v>
      </c>
      <c r="W3436" s="1"/>
    </row>
    <row r="3437" customHeight="1" spans="1:23">
      <c r="A3437" s="3">
        <f>IFERROR(__xludf.DUMMYFUNCTION("""COMPUTED_VALUE"""),46309)</f>
        <v>46309</v>
      </c>
      <c r="B3437" s="1" t="str">
        <f>IFERROR(__xludf.DUMMYFUNCTION("""COMPUTED_VALUE"""),"ARIENA, LYKA")</f>
        <v>ARIENA, LYKA</v>
      </c>
      <c r="C3437" s="1" t="str">
        <f>IFERROR(__xludf.DUMMYFUNCTION("""COMPUTED_VALUE"""),"ORGANIC")</f>
        <v>ORGANIC</v>
      </c>
      <c r="D3437" s="1" t="str">
        <f>IFERROR(__xludf.DUMMYFUNCTION("""COMPUTED_VALUE"""),"REMOLLO LEA")</f>
        <v>REMOLLO LEA</v>
      </c>
      <c r="E3437" s="1" t="str">
        <f>IFERROR(__xludf.DUMMYFUNCTION("""COMPUTED_VALUE"""),"PLDT / H2H")</f>
        <v>PLDT / H2H</v>
      </c>
      <c r="F3437" s="1"/>
      <c r="G3437" s="1">
        <f>IFERROR(__xludf.DUMMYFUNCTION("""COMPUTED_VALUE"""),2313228994)</f>
        <v>2313228994</v>
      </c>
      <c r="H3437" s="1" t="str">
        <f>IFERROR(__xludf.DUMMYFUNCTION("""COMPUTED_VALUE"""),"#N/A")</f>
        <v>#N/A</v>
      </c>
      <c r="I3437" s="1">
        <f>IFERROR(__xludf.DUMMYFUNCTION("""COMPUTED_VALUE"""),639171781816)</f>
        <v>639171781816</v>
      </c>
      <c r="J3437" s="1"/>
      <c r="K3437" s="1"/>
      <c r="L3437" s="1" t="str">
        <f>IFERROR(__xludf.DUMMYFUNCTION("""COMPUTED_VALUE"""),"UNIT 1")</f>
        <v>UNIT 1</v>
      </c>
      <c r="M3437" s="1" t="str">
        <f>IFERROR(__xludf.DUMMYFUNCTION("""COMPUTED_VALUE"""),"BAYLA")</f>
        <v>BAYLA</v>
      </c>
      <c r="N3437" s="1" t="str">
        <f>IFERROR(__xludf.DUMMYFUNCTION("""COMPUTED_VALUE"""),"PUROK 5")</f>
        <v>PUROK 5</v>
      </c>
      <c r="O3437" s="1" t="str">
        <f>IFERROR(__xludf.DUMMYFUNCTION("""COMPUTED_VALUE"""),"LUMIL")</f>
        <v>LUMIL</v>
      </c>
      <c r="P3437" s="1" t="str">
        <f>IFERROR(__xludf.DUMMYFUNCTION("""COMPUTED_VALUE"""),"SILANG")</f>
        <v>SILANG</v>
      </c>
      <c r="Q3437" s="1" t="str">
        <f>IFERROR(__xludf.DUMMYFUNCTION("""COMPUTED_VALUE"""),"CAVITE")</f>
        <v>CAVITE</v>
      </c>
      <c r="R3437" s="1" t="str">
        <f>IFERROR(__xludf.DUMMYFUNCTION("""COMPUTED_VALUE"""),"FIBER UNLI ALL PLAN 1499")</f>
        <v>FIBER UNLI ALL PLAN 1499</v>
      </c>
      <c r="S3437" s="1" t="str">
        <f>IFERROR(__xludf.DUMMYFUNCTION("""COMPUTED_VALUE"""),"APPROVED")</f>
        <v>APPROVED</v>
      </c>
      <c r="T3437" s="1" t="str">
        <f>IFERROR(__xludf.DUMMYFUNCTION("""COMPUTED_VALUE"""),"FOR COMPLIANCE VERIFICATION CVA A")</f>
        <v>FOR COMPLIANCE VERIFICATION CVA A</v>
      </c>
      <c r="U3437" s="1" t="str">
        <f>IFERROR(__xludf.DUMMYFUNCTION("""COMPUTED_VALUE"""),"CREDIT VALIDATION")</f>
        <v>CREDIT VALIDATION</v>
      </c>
      <c r="V3437" s="1"/>
      <c r="W3437" s="1"/>
    </row>
    <row r="3438" customHeight="1" spans="1:23">
      <c r="A3438" s="3">
        <f>IFERROR(__xludf.DUMMYFUNCTION("""COMPUTED_VALUE"""),46309)</f>
        <v>46309</v>
      </c>
      <c r="B3438" s="1" t="str">
        <f>IFERROR(__xludf.DUMMYFUNCTION("""COMPUTED_VALUE"""),"TAMAYO, MARY ROSE")</f>
        <v>TAMAYO, MARY ROSE</v>
      </c>
      <c r="C3438" s="1" t="str">
        <f>IFERROR(__xludf.DUMMYFUNCTION("""COMPUTED_VALUE"""),"ORGANIC")</f>
        <v>ORGANIC</v>
      </c>
      <c r="D3438" s="1" t="str">
        <f>IFERROR(__xludf.DUMMYFUNCTION("""COMPUTED_VALUE"""),"REMOLLO LEA")</f>
        <v>REMOLLO LEA</v>
      </c>
      <c r="E3438" s="1" t="str">
        <f>IFERROR(__xludf.DUMMYFUNCTION("""COMPUTED_VALUE"""),"PLDT / H2H")</f>
        <v>PLDT / H2H</v>
      </c>
      <c r="F3438" s="1"/>
      <c r="G3438" s="1">
        <f>IFERROR(__xludf.DUMMYFUNCTION("""COMPUTED_VALUE"""),2313159681)</f>
        <v>2313159681</v>
      </c>
      <c r="H3438" s="1" t="str">
        <f>IFERROR(__xludf.DUMMYFUNCTION("""COMPUTED_VALUE"""),"475562346004")</f>
        <v>475562346004</v>
      </c>
      <c r="I3438" s="1">
        <f>IFERROR(__xludf.DUMMYFUNCTION("""COMPUTED_VALUE"""),639150995342)</f>
        <v>639150995342</v>
      </c>
      <c r="J3438" s="1">
        <f>IFERROR(__xludf.DUMMYFUNCTION("""COMPUTED_VALUE"""),639915237825)</f>
        <v>639915237825</v>
      </c>
      <c r="K3438" s="1"/>
      <c r="L3438" s="1" t="str">
        <f>IFERROR(__xludf.DUMMYFUNCTION("""COMPUTED_VALUE"""),"9041")</f>
        <v>9041</v>
      </c>
      <c r="M3438" s="1" t="str">
        <f>IFERROR(__xludf.DUMMYFUNCTION("""COMPUTED_VALUE"""),"ALTAREZ VILLAGE")</f>
        <v>ALTAREZ VILLAGE</v>
      </c>
      <c r="N3438" s="1" t="str">
        <f>IFERROR(__xludf.DUMMYFUNCTION("""COMPUTED_VALUE"""),"ALTAREZ VILLAGE")</f>
        <v>ALTAREZ VILLAGE</v>
      </c>
      <c r="O3438" s="1" t="str">
        <f>IFERROR(__xludf.DUMMYFUNCTION("""COMPUTED_VALUE"""),"MADUYA")</f>
        <v>MADUYA</v>
      </c>
      <c r="P3438" s="1" t="str">
        <f>IFERROR(__xludf.DUMMYFUNCTION("""COMPUTED_VALUE"""),"CARMONA")</f>
        <v>CARMONA</v>
      </c>
      <c r="Q3438" s="1" t="str">
        <f>IFERROR(__xludf.DUMMYFUNCTION("""COMPUTED_VALUE"""),"CAVITE")</f>
        <v>CAVITE</v>
      </c>
      <c r="R3438" s="1" t="str">
        <f>IFERROR(__xludf.DUMMYFUNCTION("""COMPUTED_VALUE"""),"FIBER UNLI PLAN 1399")</f>
        <v>FIBER UNLI PLAN 1399</v>
      </c>
      <c r="S3438" s="1" t="str">
        <f>IFERROR(__xludf.DUMMYFUNCTION("""COMPUTED_VALUE"""),"APPROVED")</f>
        <v>APPROVED</v>
      </c>
      <c r="T3438" s="1" t="str">
        <f>IFERROR(__xludf.DUMMYFUNCTION("""COMPUTED_VALUE"""),"PAID")</f>
        <v>PAID</v>
      </c>
      <c r="U3438" s="1" t="str">
        <f>IFERROR(__xludf.DUMMYFUNCTION("""COMPUTED_VALUE"""),"PAID - FOR INSTALLATION")</f>
        <v>PAID - FOR INSTALLATION</v>
      </c>
      <c r="V3438" s="1" t="str">
        <f>IFERROR(__xludf.DUMMYFUNCTION("""COMPUTED_VALUE"""),"WITH 1 AMSF")</f>
        <v>WITH 1 AMSF</v>
      </c>
      <c r="W3438" s="1"/>
    </row>
    <row r="3439" customHeight="1" spans="1:23">
      <c r="A3439" s="3">
        <f>IFERROR(__xludf.DUMMYFUNCTION("""COMPUTED_VALUE"""),46309)</f>
        <v>46309</v>
      </c>
      <c r="B3439" s="1" t="str">
        <f>IFERROR(__xludf.DUMMYFUNCTION("""COMPUTED_VALUE"""),"ALINGARO, CINDY")</f>
        <v>ALINGARO, CINDY</v>
      </c>
      <c r="C3439" s="1" t="str">
        <f>IFERROR(__xludf.DUMMYFUNCTION("""COMPUTED_VALUE"""),"ORGANIC")</f>
        <v>ORGANIC</v>
      </c>
      <c r="D3439" s="1" t="str">
        <f>IFERROR(__xludf.DUMMYFUNCTION("""COMPUTED_VALUE"""),"REMOLLO LEA")</f>
        <v>REMOLLO LEA</v>
      </c>
      <c r="E3439" s="1" t="str">
        <f>IFERROR(__xludf.DUMMYFUNCTION("""COMPUTED_VALUE"""),"PLDT / H2H")</f>
        <v>PLDT / H2H</v>
      </c>
      <c r="F3439" s="1"/>
      <c r="G3439" s="1">
        <f>IFERROR(__xludf.DUMMYFUNCTION("""COMPUTED_VALUE"""),2313160107)</f>
        <v>2313160107</v>
      </c>
      <c r="H3439" s="1" t="str">
        <f>IFERROR(__xludf.DUMMYFUNCTION("""COMPUTED_VALUE"""),"475844207004")</f>
        <v>475844207004</v>
      </c>
      <c r="I3439" s="1">
        <f>IFERROR(__xludf.DUMMYFUNCTION("""COMPUTED_VALUE"""),639385715863)</f>
        <v>639385715863</v>
      </c>
      <c r="J3439" s="1"/>
      <c r="K3439" s="1"/>
      <c r="L3439" s="1" t="str">
        <f>IFERROR(__xludf.DUMMYFUNCTION("""COMPUTED_VALUE"""),"68")</f>
        <v>68</v>
      </c>
      <c r="M3439" s="1" t="str">
        <f>IFERROR(__xludf.DUMMYFUNCTION("""COMPUTED_VALUE"""),"SITIO ULI ULI")</f>
        <v>SITIO ULI ULI</v>
      </c>
      <c r="N3439" s="1" t="str">
        <f>IFERROR(__xludf.DUMMYFUNCTION("""COMPUTED_VALUE"""),"#N/A")</f>
        <v>#N/A</v>
      </c>
      <c r="O3439" s="1" t="str">
        <f>IFERROR(__xludf.DUMMYFUNCTION("""COMPUTED_VALUE"""),"SANTA TERESA")</f>
        <v>SANTA TERESA</v>
      </c>
      <c r="P3439" s="1" t="str">
        <f>IFERROR(__xludf.DUMMYFUNCTION("""COMPUTED_VALUE"""),"ALFONSO")</f>
        <v>ALFONSO</v>
      </c>
      <c r="Q3439" s="1" t="str">
        <f>IFERROR(__xludf.DUMMYFUNCTION("""COMPUTED_VALUE"""),"CAVITE")</f>
        <v>CAVITE</v>
      </c>
      <c r="R3439" s="1" t="str">
        <f>IFERROR(__xludf.DUMMYFUNCTION("""COMPUTED_VALUE"""),"FIBER UNLI PLAN 1399")</f>
        <v>FIBER UNLI PLAN 1399</v>
      </c>
      <c r="S3439" s="1" t="str">
        <f>IFERROR(__xludf.DUMMYFUNCTION("""COMPUTED_VALUE"""),"APPROVED")</f>
        <v>APPROVED</v>
      </c>
      <c r="T3439" s="1" t="str">
        <f>IFERROR(__xludf.DUMMYFUNCTION("""COMPUTED_VALUE"""),"CLOSED")</f>
        <v>CLOSED</v>
      </c>
      <c r="U3439" s="1" t="str">
        <f>IFERROR(__xludf.DUMMYFUNCTION("""COMPUTED_VALUE"""),"POSTED")</f>
        <v>POSTED</v>
      </c>
      <c r="V3439" s="1" t="str">
        <f>IFERROR(__xludf.DUMMYFUNCTION("""COMPUTED_VALUE"""),"NO 1 AMSF")</f>
        <v>NO 1 AMSF</v>
      </c>
      <c r="W3439" s="1"/>
    </row>
    <row r="3440" customHeight="1" spans="1:23">
      <c r="A3440" s="3">
        <f>IFERROR(__xludf.DUMMYFUNCTION("""COMPUTED_VALUE"""),46310)</f>
        <v>46310</v>
      </c>
      <c r="B3440" s="1" t="str">
        <f>IFERROR(__xludf.DUMMYFUNCTION("""COMPUTED_VALUE"""),"FARO, REFRANTA")</f>
        <v>FARO, REFRANTA</v>
      </c>
      <c r="C3440" s="1" t="str">
        <f>IFERROR(__xludf.DUMMYFUNCTION("""COMPUTED_VALUE"""),"FLA")</f>
        <v>FLA</v>
      </c>
      <c r="D3440" s="1" t="str">
        <f>IFERROR(__xludf.DUMMYFUNCTION("""COMPUTED_VALUE"""),"JERIC NAVARRO")</f>
        <v>JERIC NAVARRO</v>
      </c>
      <c r="E3440" s="1" t="str">
        <f>IFERROR(__xludf.DUMMYFUNCTION("""COMPUTED_VALUE"""),"PLDT / H2H")</f>
        <v>PLDT / H2H</v>
      </c>
      <c r="F3440" s="1"/>
      <c r="G3440" s="1">
        <f>IFERROR(__xludf.DUMMYFUNCTION("""COMPUTED_VALUE"""),2313169607)</f>
        <v>2313169607</v>
      </c>
      <c r="H3440" s="1" t="str">
        <f>IFERROR(__xludf.DUMMYFUNCTION("""COMPUTED_VALUE"""),"#N/A")</f>
        <v>#N/A</v>
      </c>
      <c r="I3440" s="1">
        <f>IFERROR(__xludf.DUMMYFUNCTION("""COMPUTED_VALUE"""),639178804034)</f>
        <v>639178804034</v>
      </c>
      <c r="J3440" s="1"/>
      <c r="K3440" s="1"/>
      <c r="L3440" s="1" t="str">
        <f>IFERROR(__xludf.DUMMYFUNCTION("""COMPUTED_VALUE"""),"2083")</f>
        <v>2083</v>
      </c>
      <c r="M3440" s="1" t="str">
        <f>IFERROR(__xludf.DUMMYFUNCTION("""COMPUTED_VALUE"""),"ELEVE HOMES")</f>
        <v>ELEVE HOMES</v>
      </c>
      <c r="N3440" s="1" t="str">
        <f>IFERROR(__xludf.DUMMYFUNCTION("""COMPUTED_VALUE"""),"ELEVE HOMES")</f>
        <v>ELEVE HOMES</v>
      </c>
      <c r="O3440" s="1" t="str">
        <f>IFERROR(__xludf.DUMMYFUNCTION("""COMPUTED_VALUE"""),"MAHARLIKA WEST")</f>
        <v>MAHARLIKA WEST</v>
      </c>
      <c r="P3440" s="1" t="str">
        <f>IFERROR(__xludf.DUMMYFUNCTION("""COMPUTED_VALUE"""),"TAGAYTAY")</f>
        <v>TAGAYTAY</v>
      </c>
      <c r="Q3440" s="1" t="str">
        <f>IFERROR(__xludf.DUMMYFUNCTION("""COMPUTED_VALUE"""),"CAVITE")</f>
        <v>CAVITE</v>
      </c>
      <c r="R3440" s="1" t="str">
        <f>IFERROR(__xludf.DUMMYFUNCTION("""COMPUTED_VALUE"""),"FIBR NETFLIX PLAN 1599")</f>
        <v>FIBR NETFLIX PLAN 1599</v>
      </c>
      <c r="S3440" s="1" t="str">
        <f>IFERROR(__xludf.DUMMYFUNCTION("""COMPUTED_VALUE"""),"APPROVED")</f>
        <v>APPROVED</v>
      </c>
      <c r="T3440" s="1" t="str">
        <f>IFERROR(__xludf.DUMMYFUNCTION("""COMPUTED_VALUE"""),"CANCELLED")</f>
        <v>CANCELLED</v>
      </c>
      <c r="U3440" s="1" t="str">
        <f>IFERROR(__xludf.DUMMYFUNCTION("""COMPUTED_VALUE"""),"CANCELLED - WITH ACTIVE LINE")</f>
        <v>CANCELLED - WITH ACTIVE LINE</v>
      </c>
      <c r="V3440" s="1"/>
      <c r="W3440" s="1"/>
    </row>
    <row r="3441" customHeight="1" spans="1:23">
      <c r="A3441" s="3">
        <f>IFERROR(__xludf.DUMMYFUNCTION("""COMPUTED_VALUE"""),46310)</f>
        <v>46310</v>
      </c>
      <c r="B3441" s="1" t="str">
        <f>IFERROR(__xludf.DUMMYFUNCTION("""COMPUTED_VALUE"""),"ALTO, JUNBIRTH")</f>
        <v>ALTO, JUNBIRTH</v>
      </c>
      <c r="C3441" s="1" t="str">
        <f>IFERROR(__xludf.DUMMYFUNCTION("""COMPUTED_VALUE"""),"ORGANIC")</f>
        <v>ORGANIC</v>
      </c>
      <c r="D3441" s="1" t="str">
        <f>IFERROR(__xludf.DUMMYFUNCTION("""COMPUTED_VALUE"""),"REMOLLO LEA")</f>
        <v>REMOLLO LEA</v>
      </c>
      <c r="E3441" s="1" t="str">
        <f>IFERROR(__xludf.DUMMYFUNCTION("""COMPUTED_VALUE"""),"PLDT / H2H")</f>
        <v>PLDT / H2H</v>
      </c>
      <c r="F3441" s="1"/>
      <c r="G3441" s="1">
        <f>IFERROR(__xludf.DUMMYFUNCTION("""COMPUTED_VALUE"""),2313170897)</f>
        <v>2313170897</v>
      </c>
      <c r="H3441" s="1" t="str">
        <f>IFERROR(__xludf.DUMMYFUNCTION("""COMPUTED_VALUE"""),"475682059004")</f>
        <v>475682059004</v>
      </c>
      <c r="I3441" s="1">
        <f>IFERROR(__xludf.DUMMYFUNCTION("""COMPUTED_VALUE"""),639954322385)</f>
        <v>639954322385</v>
      </c>
      <c r="J3441" s="1"/>
      <c r="K3441" s="1"/>
      <c r="L3441" s="1" t="str">
        <f>IFERROR(__xludf.DUMMYFUNCTION("""COMPUTED_VALUE"""),"017-BL-006")</f>
        <v>017-BL-006</v>
      </c>
      <c r="M3441" s="1" t="str">
        <f>IFERROR(__xludf.DUMMYFUNCTION("""COMPUTED_VALUE"""),"BUKLURAN 2")</f>
        <v>BUKLURAN 2</v>
      </c>
      <c r="N3441" s="1" t="str">
        <f>IFERROR(__xludf.DUMMYFUNCTION("""COMPUTED_VALUE"""),"#N/A")</f>
        <v>#N/A</v>
      </c>
      <c r="O3441" s="1" t="str">
        <f>IFERROR(__xludf.DUMMYFUNCTION("""COMPUTED_VALUE"""),"BULIHAN")</f>
        <v>BULIHAN</v>
      </c>
      <c r="P3441" s="1" t="str">
        <f>IFERROR(__xludf.DUMMYFUNCTION("""COMPUTED_VALUE"""),"SILANG")</f>
        <v>SILANG</v>
      </c>
      <c r="Q3441" s="1" t="str">
        <f>IFERROR(__xludf.DUMMYFUNCTION("""COMPUTED_VALUE"""),"CAVITE")</f>
        <v>CAVITE</v>
      </c>
      <c r="R3441" s="1" t="str">
        <f>IFERROR(__xludf.DUMMYFUNCTION("""COMPUTED_VALUE"""),"FIBER UNLI PLAN 1399")</f>
        <v>FIBER UNLI PLAN 1399</v>
      </c>
      <c r="S3441" s="1" t="str">
        <f>IFERROR(__xludf.DUMMYFUNCTION("""COMPUTED_VALUE"""),"APPROVED")</f>
        <v>APPROVED</v>
      </c>
      <c r="T3441" s="1" t="str">
        <f>IFERROR(__xludf.DUMMYFUNCTION("""COMPUTED_VALUE"""),"FOR PAYMENT")</f>
        <v>FOR PAYMENT</v>
      </c>
      <c r="U3441" s="1" t="str">
        <f>IFERROR(__xludf.DUMMYFUNCTION("""COMPUTED_VALUE"""),"FOR PAYMENT")</f>
        <v>FOR PAYMENT</v>
      </c>
      <c r="V3441" s="1"/>
      <c r="W3441" s="1"/>
    </row>
    <row r="3442" customHeight="1" spans="1:23">
      <c r="A3442" s="3">
        <f>IFERROR(__xludf.DUMMYFUNCTION("""COMPUTED_VALUE"""),46310)</f>
        <v>46310</v>
      </c>
      <c r="B3442" s="1" t="str">
        <f>IFERROR(__xludf.DUMMYFUNCTION("""COMPUTED_VALUE"""),"ESCARCHA, MA ALMA  ESCOTO")</f>
        <v>ESCARCHA, MA ALMA  ESCOTO</v>
      </c>
      <c r="C3442" s="1" t="str">
        <f>IFERROR(__xludf.DUMMYFUNCTION("""COMPUTED_VALUE"""),"ORGANIC")</f>
        <v>ORGANIC</v>
      </c>
      <c r="D3442" s="1" t="str">
        <f>IFERROR(__xludf.DUMMYFUNCTION("""COMPUTED_VALUE"""),"REMOLLO LEA")</f>
        <v>REMOLLO LEA</v>
      </c>
      <c r="E3442" s="1" t="str">
        <f>IFERROR(__xludf.DUMMYFUNCTION("""COMPUTED_VALUE"""),"PLDT / H2H")</f>
        <v>PLDT / H2H</v>
      </c>
      <c r="F3442" s="1"/>
      <c r="G3442" s="1">
        <f>IFERROR(__xludf.DUMMYFUNCTION("""COMPUTED_VALUE"""),2313171655)</f>
        <v>2313171655</v>
      </c>
      <c r="H3442" s="1" t="str">
        <f>IFERROR(__xludf.DUMMYFUNCTION("""COMPUTED_VALUE"""),"475827733004")</f>
        <v>475827733004</v>
      </c>
      <c r="I3442" s="1">
        <f>IFERROR(__xludf.DUMMYFUNCTION("""COMPUTED_VALUE"""),639050627516)</f>
        <v>639050627516</v>
      </c>
      <c r="J3442" s="1"/>
      <c r="K3442" s="1"/>
      <c r="L3442" s="1" t="str">
        <f>IFERROR(__xludf.DUMMYFUNCTION("""COMPUTED_VALUE"""),"094-BL-021")</f>
        <v>094-BL-021</v>
      </c>
      <c r="M3442" s="1" t="str">
        <f>IFERROR(__xludf.DUMMYFUNCTION("""COMPUTED_VALUE"""),"IPIL 2")</f>
        <v>IPIL 2</v>
      </c>
      <c r="N3442" s="1" t="str">
        <f>IFERROR(__xludf.DUMMYFUNCTION("""COMPUTED_VALUE"""),"#N/A")</f>
        <v>#N/A</v>
      </c>
      <c r="O3442" s="1" t="str">
        <f>IFERROR(__xludf.DUMMYFUNCTION("""COMPUTED_VALUE"""),"IPIL II")</f>
        <v>IPIL II</v>
      </c>
      <c r="P3442" s="1" t="str">
        <f>IFERROR(__xludf.DUMMYFUNCTION("""COMPUTED_VALUE"""),"SILANG")</f>
        <v>SILANG</v>
      </c>
      <c r="Q3442" s="1" t="str">
        <f>IFERROR(__xludf.DUMMYFUNCTION("""COMPUTED_VALUE"""),"CAVITE")</f>
        <v>CAVITE</v>
      </c>
      <c r="R3442" s="1" t="str">
        <f>IFERROR(__xludf.DUMMYFUNCTION("""COMPUTED_VALUE"""),"FIBR UNLI ALL PLAN 999")</f>
        <v>FIBR UNLI ALL PLAN 999</v>
      </c>
      <c r="S3442" s="1" t="str">
        <f>IFERROR(__xludf.DUMMYFUNCTION("""COMPUTED_VALUE"""),"APPROVED")</f>
        <v>APPROVED</v>
      </c>
      <c r="T3442" s="1" t="str">
        <f>IFERROR(__xludf.DUMMYFUNCTION("""COMPUTED_VALUE"""),"FOR PAYMENT")</f>
        <v>FOR PAYMENT</v>
      </c>
      <c r="U3442" s="1" t="str">
        <f>IFERROR(__xludf.DUMMYFUNCTION("""COMPUTED_VALUE"""),"FOR PAYMENT")</f>
        <v>FOR PAYMENT</v>
      </c>
      <c r="V3442" s="1"/>
      <c r="W3442" s="1"/>
    </row>
    <row r="3443" customHeight="1" spans="1:23">
      <c r="A3443" s="3">
        <f>IFERROR(__xludf.DUMMYFUNCTION("""COMPUTED_VALUE"""),46310)</f>
        <v>46310</v>
      </c>
      <c r="B3443" s="1" t="str">
        <f>IFERROR(__xludf.DUMMYFUNCTION("""COMPUTED_VALUE"""),"LOTOJA, LOVELY JOICE")</f>
        <v>LOTOJA, LOVELY JOICE</v>
      </c>
      <c r="C3443" s="1" t="str">
        <f>IFERROR(__xludf.DUMMYFUNCTION("""COMPUTED_VALUE"""),"ORGANIC")</f>
        <v>ORGANIC</v>
      </c>
      <c r="D3443" s="1" t="str">
        <f>IFERROR(__xludf.DUMMYFUNCTION("""COMPUTED_VALUE"""),"REMOLLO LEA")</f>
        <v>REMOLLO LEA</v>
      </c>
      <c r="E3443" s="1" t="str">
        <f>IFERROR(__xludf.DUMMYFUNCTION("""COMPUTED_VALUE"""),"PLDT / H2H")</f>
        <v>PLDT / H2H</v>
      </c>
      <c r="F3443" s="1"/>
      <c r="G3443" s="1">
        <f>IFERROR(__xludf.DUMMYFUNCTION("""COMPUTED_VALUE"""),2313172956)</f>
        <v>2313172956</v>
      </c>
      <c r="H3443" s="1" t="str">
        <f>IFERROR(__xludf.DUMMYFUNCTION("""COMPUTED_VALUE"""),"475683208004")</f>
        <v>475683208004</v>
      </c>
      <c r="I3443" s="1">
        <f>IFERROR(__xludf.DUMMYFUNCTION("""COMPUTED_VALUE"""),639917485675)</f>
        <v>639917485675</v>
      </c>
      <c r="J3443" s="1"/>
      <c r="K3443" s="1"/>
      <c r="L3443" s="1" t="str">
        <f>IFERROR(__xludf.DUMMYFUNCTION("""COMPUTED_VALUE"""),"13125")</f>
        <v>13125</v>
      </c>
      <c r="M3443" s="1" t="str">
        <f>IFERROR(__xludf.DUMMYFUNCTION("""COMPUTED_VALUE"""),"CALUMPANG")</f>
        <v>CALUMPANG</v>
      </c>
      <c r="N3443" s="1"/>
      <c r="O3443" s="1" t="str">
        <f>IFERROR(__xludf.DUMMYFUNCTION("""COMPUTED_VALUE"""),"LANTIC")</f>
        <v>LANTIC</v>
      </c>
      <c r="P3443" s="1" t="str">
        <f>IFERROR(__xludf.DUMMYFUNCTION("""COMPUTED_VALUE"""),"CARMONA")</f>
        <v>CARMONA</v>
      </c>
      <c r="Q3443" s="1" t="str">
        <f>IFERROR(__xludf.DUMMYFUNCTION("""COMPUTED_VALUE"""),"CAVITE")</f>
        <v>CAVITE</v>
      </c>
      <c r="R3443" s="1" t="str">
        <f>IFERROR(__xludf.DUMMYFUNCTION("""COMPUTED_VALUE"""),"FIBR UNLI ALL PLAN 999")</f>
        <v>FIBR UNLI ALL PLAN 999</v>
      </c>
      <c r="S3443" s="1" t="str">
        <f>IFERROR(__xludf.DUMMYFUNCTION("""COMPUTED_VALUE"""),"APPROVED")</f>
        <v>APPROVED</v>
      </c>
      <c r="T3443" s="1" t="str">
        <f>IFERROR(__xludf.DUMMYFUNCTION("""COMPUTED_VALUE"""),"CLOSED")</f>
        <v>CLOSED</v>
      </c>
      <c r="U3443" s="1" t="str">
        <f>IFERROR(__xludf.DUMMYFUNCTION("""COMPUTED_VALUE"""),"POSTED")</f>
        <v>POSTED</v>
      </c>
      <c r="V3443" s="1" t="str">
        <f>IFERROR(__xludf.DUMMYFUNCTION("""COMPUTED_VALUE"""),"NO 1 AMSF")</f>
        <v>NO 1 AMSF</v>
      </c>
      <c r="W3443" s="1"/>
    </row>
    <row r="3444" customHeight="1" spans="1:23">
      <c r="A3444" s="3">
        <f>IFERROR(__xludf.DUMMYFUNCTION("""COMPUTED_VALUE"""),46310)</f>
        <v>46310</v>
      </c>
      <c r="B3444" s="1" t="str">
        <f>IFERROR(__xludf.DUMMYFUNCTION("""COMPUTED_VALUE"""),"ALINGARO, CINDY")</f>
        <v>ALINGARO, CINDY</v>
      </c>
      <c r="C3444" s="1" t="str">
        <f>IFERROR(__xludf.DUMMYFUNCTION("""COMPUTED_VALUE"""),"ORGANIC")</f>
        <v>ORGANIC</v>
      </c>
      <c r="D3444" s="1" t="str">
        <f>IFERROR(__xludf.DUMMYFUNCTION("""COMPUTED_VALUE"""),"REMOLLO LEA")</f>
        <v>REMOLLO LEA</v>
      </c>
      <c r="E3444" s="1" t="str">
        <f>IFERROR(__xludf.DUMMYFUNCTION("""COMPUTED_VALUE"""),"PLDT / H2H")</f>
        <v>PLDT / H2H</v>
      </c>
      <c r="F3444" s="1"/>
      <c r="G3444" s="1">
        <f>IFERROR(__xludf.DUMMYFUNCTION("""COMPUTED_VALUE"""),2313176087)</f>
        <v>2313176087</v>
      </c>
      <c r="H3444" s="1" t="str">
        <f>IFERROR(__xludf.DUMMYFUNCTION("""COMPUTED_VALUE"""),"475839449004")</f>
        <v>475839449004</v>
      </c>
      <c r="I3444" s="1">
        <f>IFERROR(__xludf.DUMMYFUNCTION("""COMPUTED_VALUE"""),639910619110)</f>
        <v>639910619110</v>
      </c>
      <c r="J3444" s="1"/>
      <c r="K3444" s="1"/>
      <c r="L3444" s="1" t="str">
        <f>IFERROR(__xludf.DUMMYFUNCTION("""COMPUTED_VALUE"""),"85")</f>
        <v>85</v>
      </c>
      <c r="M3444" s="1" t="str">
        <f>IFERROR(__xludf.DUMMYFUNCTION("""COMPUTED_VALUE"""),"ALIANG")</f>
        <v>ALIANG</v>
      </c>
      <c r="N3444" s="1" t="str">
        <f>IFERROR(__xludf.DUMMYFUNCTION("""COMPUTED_VALUE"""),"PUROK 2")</f>
        <v>PUROK 2</v>
      </c>
      <c r="O3444" s="1" t="str">
        <f>IFERROR(__xludf.DUMMYFUNCTION("""COMPUTED_VALUE"""),"GREGORIO (ALIANG)")</f>
        <v>GREGORIO (ALIANG)</v>
      </c>
      <c r="P3444" s="1" t="str">
        <f>IFERROR(__xludf.DUMMYFUNCTION("""COMPUTED_VALUE"""),"TRECE MARTIRES")</f>
        <v>TRECE MARTIRES</v>
      </c>
      <c r="Q3444" s="1" t="str">
        <f>IFERROR(__xludf.DUMMYFUNCTION("""COMPUTED_VALUE"""),"CAVITE")</f>
        <v>CAVITE</v>
      </c>
      <c r="R3444" s="1" t="str">
        <f>IFERROR(__xludf.DUMMYFUNCTION("""COMPUTED_VALUE"""),"FIBR UNLI ALL PLAN 999")</f>
        <v>FIBR UNLI ALL PLAN 999</v>
      </c>
      <c r="S3444" s="1" t="str">
        <f>IFERROR(__xludf.DUMMYFUNCTION("""COMPUTED_VALUE"""),"APPROVED")</f>
        <v>APPROVED</v>
      </c>
      <c r="T3444" s="1" t="str">
        <f>IFERROR(__xludf.DUMMYFUNCTION("""COMPUTED_VALUE"""),"FOR PAYMENT")</f>
        <v>FOR PAYMENT</v>
      </c>
      <c r="U3444" s="1" t="str">
        <f>IFERROR(__xludf.DUMMYFUNCTION("""COMPUTED_VALUE"""),"FOR PAYMENT")</f>
        <v>FOR PAYMENT</v>
      </c>
      <c r="V3444" s="1"/>
      <c r="W3444" s="1"/>
    </row>
    <row r="3445" customHeight="1" spans="1:23">
      <c r="A3445" s="3">
        <f>IFERROR(__xludf.DUMMYFUNCTION("""COMPUTED_VALUE"""),46310)</f>
        <v>46310</v>
      </c>
      <c r="B3445" s="1" t="str">
        <f>IFERROR(__xludf.DUMMYFUNCTION("""COMPUTED_VALUE"""),"FRANCISCO , ROSELYN")</f>
        <v>FRANCISCO , ROSELYN</v>
      </c>
      <c r="C3445" s="1" t="str">
        <f>IFERROR(__xludf.DUMMYFUNCTION("""COMPUTED_VALUE"""),"ORGANIC")</f>
        <v>ORGANIC</v>
      </c>
      <c r="D3445" s="1" t="str">
        <f>IFERROR(__xludf.DUMMYFUNCTION("""COMPUTED_VALUE"""),"REMOLLO LEA")</f>
        <v>REMOLLO LEA</v>
      </c>
      <c r="E3445" s="1" t="str">
        <f>IFERROR(__xludf.DUMMYFUNCTION("""COMPUTED_VALUE"""),"PLDT / H2H")</f>
        <v>PLDT / H2H</v>
      </c>
      <c r="F3445" s="1"/>
      <c r="G3445" s="1">
        <f>IFERROR(__xludf.DUMMYFUNCTION("""COMPUTED_VALUE"""),2313176694)</f>
        <v>2313176694</v>
      </c>
      <c r="H3445" s="1" t="str">
        <f>IFERROR(__xludf.DUMMYFUNCTION("""COMPUTED_VALUE"""),"475693774004")</f>
        <v>475693774004</v>
      </c>
      <c r="I3445" s="1">
        <f>IFERROR(__xludf.DUMMYFUNCTION("""COMPUTED_VALUE"""),639930886193)</f>
        <v>639930886193</v>
      </c>
      <c r="J3445" s="1">
        <f>IFERROR(__xludf.DUMMYFUNCTION("""COMPUTED_VALUE"""),639814538301)</f>
        <v>639814538301</v>
      </c>
      <c r="K3445" s="1"/>
      <c r="L3445" s="1" t="str">
        <f>IFERROR(__xludf.DUMMYFUNCTION("""COMPUTED_VALUE"""),"9118")</f>
        <v>9118</v>
      </c>
      <c r="M3445" s="1" t="str">
        <f>IFERROR(__xludf.DUMMYFUNCTION("""COMPUTED_VALUE"""),"CALUMPANG")</f>
        <v>CALUMPANG</v>
      </c>
      <c r="N3445" s="1" t="str">
        <f>IFERROR(__xludf.DUMMYFUNCTION("""COMPUTED_VALUE"""),"#N/A")</f>
        <v>#N/A</v>
      </c>
      <c r="O3445" s="1" t="str">
        <f>IFERROR(__xludf.DUMMYFUNCTION("""COMPUTED_VALUE"""),"LANTIC")</f>
        <v>LANTIC</v>
      </c>
      <c r="P3445" s="1" t="str">
        <f>IFERROR(__xludf.DUMMYFUNCTION("""COMPUTED_VALUE"""),"CARMONA")</f>
        <v>CARMONA</v>
      </c>
      <c r="Q3445" s="1" t="str">
        <f>IFERROR(__xludf.DUMMYFUNCTION("""COMPUTED_VALUE"""),"CAVITE")</f>
        <v>CAVITE</v>
      </c>
      <c r="R3445" s="1" t="str">
        <f>IFERROR(__xludf.DUMMYFUNCTION("""COMPUTED_VALUE"""),"FIBR PLAN 1299")</f>
        <v>FIBR PLAN 1299</v>
      </c>
      <c r="S3445" s="1" t="str">
        <f>IFERROR(__xludf.DUMMYFUNCTION("""COMPUTED_VALUE"""),"APPROVED")</f>
        <v>APPROVED</v>
      </c>
      <c r="T3445" s="1" t="str">
        <f>IFERROR(__xludf.DUMMYFUNCTION("""COMPUTED_VALUE"""),"CLOSED")</f>
        <v>CLOSED</v>
      </c>
      <c r="U3445" s="1" t="str">
        <f>IFERROR(__xludf.DUMMYFUNCTION("""COMPUTED_VALUE"""),"POSTED")</f>
        <v>POSTED</v>
      </c>
      <c r="V3445" s="1" t="str">
        <f>IFERROR(__xludf.DUMMYFUNCTION("""COMPUTED_VALUE"""),"WITH 1 AMSF")</f>
        <v>WITH 1 AMSF</v>
      </c>
      <c r="W3445" s="1"/>
    </row>
    <row r="3446" customHeight="1" spans="1:23">
      <c r="A3446" s="3">
        <f>IFERROR(__xludf.DUMMYFUNCTION("""COMPUTED_VALUE"""),46310)</f>
        <v>46310</v>
      </c>
      <c r="B3446" s="1" t="str">
        <f>IFERROR(__xludf.DUMMYFUNCTION("""COMPUTED_VALUE"""),"ARIENA, LYKA")</f>
        <v>ARIENA, LYKA</v>
      </c>
      <c r="C3446" s="1" t="str">
        <f>IFERROR(__xludf.DUMMYFUNCTION("""COMPUTED_VALUE"""),"ORGANIC")</f>
        <v>ORGANIC</v>
      </c>
      <c r="D3446" s="1" t="str">
        <f>IFERROR(__xludf.DUMMYFUNCTION("""COMPUTED_VALUE"""),"REMOLLO LEA")</f>
        <v>REMOLLO LEA</v>
      </c>
      <c r="E3446" s="1" t="str">
        <f>IFERROR(__xludf.DUMMYFUNCTION("""COMPUTED_VALUE"""),"PLDT / H2H")</f>
        <v>PLDT / H2H</v>
      </c>
      <c r="F3446" s="1"/>
      <c r="G3446" s="1">
        <f>IFERROR(__xludf.DUMMYFUNCTION("""COMPUTED_VALUE"""),2313178990)</f>
        <v>2313178990</v>
      </c>
      <c r="H3446" s="1" t="str">
        <f>IFERROR(__xludf.DUMMYFUNCTION("""COMPUTED_VALUE"""),"475703539004")</f>
        <v>475703539004</v>
      </c>
      <c r="I3446" s="1">
        <f>IFERROR(__xludf.DUMMYFUNCTION("""COMPUTED_VALUE"""),639171781816)</f>
        <v>639171781816</v>
      </c>
      <c r="J3446" s="1"/>
      <c r="K3446" s="1"/>
      <c r="L3446" s="1" t="str">
        <f>IFERROR(__xludf.DUMMYFUNCTION("""COMPUTED_VALUE"""),"1")</f>
        <v>1</v>
      </c>
      <c r="M3446" s="1" t="str">
        <f>IFERROR(__xludf.DUMMYFUNCTION("""COMPUTED_VALUE"""),"BAYLA")</f>
        <v>BAYLA</v>
      </c>
      <c r="N3446" s="1" t="str">
        <f>IFERROR(__xludf.DUMMYFUNCTION("""COMPUTED_VALUE"""),"PUROK 5")</f>
        <v>PUROK 5</v>
      </c>
      <c r="O3446" s="1" t="str">
        <f>IFERROR(__xludf.DUMMYFUNCTION("""COMPUTED_VALUE"""),"LUMIL")</f>
        <v>LUMIL</v>
      </c>
      <c r="P3446" s="1" t="str">
        <f>IFERROR(__xludf.DUMMYFUNCTION("""COMPUTED_VALUE"""),"SILANG")</f>
        <v>SILANG</v>
      </c>
      <c r="Q3446" s="1" t="str">
        <f>IFERROR(__xludf.DUMMYFUNCTION("""COMPUTED_VALUE"""),"CAVITE")</f>
        <v>CAVITE</v>
      </c>
      <c r="R3446" s="1" t="str">
        <f>IFERROR(__xludf.DUMMYFUNCTION("""COMPUTED_VALUE"""),"FIBER UNLI ALL PLAN 1499")</f>
        <v>FIBER UNLI ALL PLAN 1499</v>
      </c>
      <c r="S3446" s="1" t="str">
        <f>IFERROR(__xludf.DUMMYFUNCTION("""COMPUTED_VALUE"""),"APPROVED")</f>
        <v>APPROVED</v>
      </c>
      <c r="T3446" s="1" t="str">
        <f>IFERROR(__xludf.DUMMYFUNCTION("""COMPUTED_VALUE"""),"CLOSED")</f>
        <v>CLOSED</v>
      </c>
      <c r="U3446" s="1" t="str">
        <f>IFERROR(__xludf.DUMMYFUNCTION("""COMPUTED_VALUE"""),"POSTED")</f>
        <v>POSTED</v>
      </c>
      <c r="V3446" s="1" t="str">
        <f>IFERROR(__xludf.DUMMYFUNCTION("""COMPUTED_VALUE"""),"WITH 1 AMSF")</f>
        <v>WITH 1 AMSF</v>
      </c>
      <c r="W3446" s="1"/>
    </row>
    <row r="3447" customHeight="1" spans="1:23">
      <c r="A3447" s="3">
        <f>IFERROR(__xludf.DUMMYFUNCTION("""COMPUTED_VALUE"""),46310)</f>
        <v>46310</v>
      </c>
      <c r="B3447" s="1" t="str">
        <f>IFERROR(__xludf.DUMMYFUNCTION("""COMPUTED_VALUE"""),"TAMAYO, MARY ROSE")</f>
        <v>TAMAYO, MARY ROSE</v>
      </c>
      <c r="C3447" s="1" t="str">
        <f>IFERROR(__xludf.DUMMYFUNCTION("""COMPUTED_VALUE"""),"ORGANIC")</f>
        <v>ORGANIC</v>
      </c>
      <c r="D3447" s="1" t="str">
        <f>IFERROR(__xludf.DUMMYFUNCTION("""COMPUTED_VALUE"""),"REMOLLO LEA")</f>
        <v>REMOLLO LEA</v>
      </c>
      <c r="E3447" s="1" t="str">
        <f>IFERROR(__xludf.DUMMYFUNCTION("""COMPUTED_VALUE"""),"PLDT / H2H")</f>
        <v>PLDT / H2H</v>
      </c>
      <c r="F3447" s="1"/>
      <c r="G3447" s="1">
        <f>IFERROR(__xludf.DUMMYFUNCTION("""COMPUTED_VALUE"""),2313179548)</f>
        <v>2313179548</v>
      </c>
      <c r="H3447" s="1" t="str">
        <f>IFERROR(__xludf.DUMMYFUNCTION("""COMPUTED_VALUE"""),"475871598004")</f>
        <v>475871598004</v>
      </c>
      <c r="I3447" s="1">
        <f>IFERROR(__xludf.DUMMYFUNCTION("""COMPUTED_VALUE"""),639082887876)</f>
        <v>639082887876</v>
      </c>
      <c r="J3447" s="1"/>
      <c r="K3447" s="1"/>
      <c r="L3447" s="1" t="str">
        <f>IFERROR(__xludf.DUMMYFUNCTION("""COMPUTED_VALUE"""),"2")</f>
        <v>2</v>
      </c>
      <c r="M3447" s="1" t="str">
        <f>IFERROR(__xludf.DUMMYFUNCTION("""COMPUTED_VALUE"""),"PUROK 6")</f>
        <v>PUROK 6</v>
      </c>
      <c r="N3447" s="1" t="str">
        <f>IFERROR(__xludf.DUMMYFUNCTION("""COMPUTED_VALUE"""),"#N/A")</f>
        <v>#N/A</v>
      </c>
      <c r="O3447" s="1" t="str">
        <f>IFERROR(__xludf.DUMMYFUNCTION("""COMPUTED_VALUE"""),"TALON")</f>
        <v>TALON</v>
      </c>
      <c r="P3447" s="1" t="str">
        <f>IFERROR(__xludf.DUMMYFUNCTION("""COMPUTED_VALUE"""),"AMADEO")</f>
        <v>AMADEO</v>
      </c>
      <c r="Q3447" s="1" t="str">
        <f>IFERROR(__xludf.DUMMYFUNCTION("""COMPUTED_VALUE"""),"CAVITE")</f>
        <v>CAVITE</v>
      </c>
      <c r="R3447" s="1" t="str">
        <f>IFERROR(__xludf.DUMMYFUNCTION("""COMPUTED_VALUE"""),"FIBER UNLI ALL PLAN 1499")</f>
        <v>FIBER UNLI ALL PLAN 1499</v>
      </c>
      <c r="S3447" s="1" t="str">
        <f>IFERROR(__xludf.DUMMYFUNCTION("""COMPUTED_VALUE"""),"APPROVED")</f>
        <v>APPROVED</v>
      </c>
      <c r="T3447" s="1" t="str">
        <f>IFERROR(__xludf.DUMMYFUNCTION("""COMPUTED_VALUE"""),"FOR PAYMENT")</f>
        <v>FOR PAYMENT</v>
      </c>
      <c r="U3447" s="1" t="str">
        <f>IFERROR(__xludf.DUMMYFUNCTION("""COMPUTED_VALUE"""),"FOR PAYMENT")</f>
        <v>FOR PAYMENT</v>
      </c>
      <c r="V3447" s="1"/>
      <c r="W3447" s="1"/>
    </row>
    <row r="3448" customHeight="1" spans="1:23">
      <c r="A3448" s="3">
        <f>IFERROR(__xludf.DUMMYFUNCTION("""COMPUTED_VALUE"""),46310)</f>
        <v>46310</v>
      </c>
      <c r="B3448" s="1" t="str">
        <f>IFERROR(__xludf.DUMMYFUNCTION("""COMPUTED_VALUE"""),"REMOLLO, LEA")</f>
        <v>REMOLLO, LEA</v>
      </c>
      <c r="C3448" s="1" t="str">
        <f>IFERROR(__xludf.DUMMYFUNCTION("""COMPUTED_VALUE"""),"FLA")</f>
        <v>FLA</v>
      </c>
      <c r="D3448" s="1" t="str">
        <f>IFERROR(__xludf.DUMMYFUNCTION("""COMPUTED_VALUE"""),"JERIC NAVARRO")</f>
        <v>JERIC NAVARRO</v>
      </c>
      <c r="E3448" s="1" t="str">
        <f>IFERROR(__xludf.DUMMYFUNCTION("""COMPUTED_VALUE"""),"PLDT / H2H")</f>
        <v>PLDT / H2H</v>
      </c>
      <c r="F3448" s="1"/>
      <c r="G3448" s="1">
        <f>IFERROR(__xludf.DUMMYFUNCTION("""COMPUTED_VALUE"""),2313179487)</f>
        <v>2313179487</v>
      </c>
      <c r="H3448" s="1" t="str">
        <f>IFERROR(__xludf.DUMMYFUNCTION("""COMPUTED_VALUE"""),"475723335004")</f>
        <v>475723335004</v>
      </c>
      <c r="I3448" s="1">
        <f>IFERROR(__xludf.DUMMYFUNCTION("""COMPUTED_VALUE"""),639383610306)</f>
        <v>639383610306</v>
      </c>
      <c r="J3448" s="1"/>
      <c r="K3448" s="1"/>
      <c r="L3448" s="1" t="str">
        <f>IFERROR(__xludf.DUMMYFUNCTION("""COMPUTED_VALUE"""),"20")</f>
        <v>20</v>
      </c>
      <c r="M3448" s="1" t="str">
        <f>IFERROR(__xludf.DUMMYFUNCTION("""COMPUTED_VALUE"""),"OLIVAREZ")</f>
        <v>OLIVAREZ</v>
      </c>
      <c r="N3448" s="1" t="str">
        <f>IFERROR(__xludf.DUMMYFUNCTION("""COMPUTED_VALUE"""),"#N/A")</f>
        <v>#N/A</v>
      </c>
      <c r="O3448" s="1" t="str">
        <f>IFERROR(__xludf.DUMMYFUNCTION("""COMPUTED_VALUE"""),"SAN JOSE")</f>
        <v>SAN JOSE</v>
      </c>
      <c r="P3448" s="1" t="str">
        <f>IFERROR(__xludf.DUMMYFUNCTION("""COMPUTED_VALUE"""),"GEN MARIANO ALVAREZ")</f>
        <v>GEN MARIANO ALVAREZ</v>
      </c>
      <c r="Q3448" s="1" t="str">
        <f>IFERROR(__xludf.DUMMYFUNCTION("""COMPUTED_VALUE"""),"CAVITE")</f>
        <v>CAVITE</v>
      </c>
      <c r="R3448" s="1" t="str">
        <f>IFERROR(__xludf.DUMMYFUNCTION("""COMPUTED_VALUE"""),"FIBER UNLI PLAN 1399")</f>
        <v>FIBER UNLI PLAN 1399</v>
      </c>
      <c r="S3448" s="1" t="str">
        <f>IFERROR(__xludf.DUMMYFUNCTION("""COMPUTED_VALUE"""),"APPROVED")</f>
        <v>APPROVED</v>
      </c>
      <c r="T3448" s="1" t="str">
        <f>IFERROR(__xludf.DUMMYFUNCTION("""COMPUTED_VALUE"""),"CLOSED")</f>
        <v>CLOSED</v>
      </c>
      <c r="U3448" s="1" t="str">
        <f>IFERROR(__xludf.DUMMYFUNCTION("""COMPUTED_VALUE"""),"POSTED")</f>
        <v>POSTED</v>
      </c>
      <c r="V3448" s="1" t="str">
        <f>IFERROR(__xludf.DUMMYFUNCTION("""COMPUTED_VALUE"""),"WITH 1 AMSF")</f>
        <v>WITH 1 AMSF</v>
      </c>
      <c r="W3448" s="1"/>
    </row>
    <row r="3449" customHeight="1" spans="1:23">
      <c r="A3449" s="3">
        <f>IFERROR(__xludf.DUMMYFUNCTION("""COMPUTED_VALUE"""),46310)</f>
        <v>46310</v>
      </c>
      <c r="B3449" s="1" t="str">
        <f>IFERROR(__xludf.DUMMYFUNCTION("""COMPUTED_VALUE"""),"DACLAN, IVY")</f>
        <v>DACLAN, IVY</v>
      </c>
      <c r="C3449" s="1" t="str">
        <f>IFERROR(__xludf.DUMMYFUNCTION("""COMPUTED_VALUE"""),"ORGANIC")</f>
        <v>ORGANIC</v>
      </c>
      <c r="D3449" s="1" t="str">
        <f>IFERROR(__xludf.DUMMYFUNCTION("""COMPUTED_VALUE"""),"REMOLLO LEA")</f>
        <v>REMOLLO LEA</v>
      </c>
      <c r="E3449" s="1" t="str">
        <f>IFERROR(__xludf.DUMMYFUNCTION("""COMPUTED_VALUE"""),"PLDT / H2H")</f>
        <v>PLDT / H2H</v>
      </c>
      <c r="F3449" s="1"/>
      <c r="G3449" s="1">
        <f>IFERROR(__xludf.DUMMYFUNCTION("""COMPUTED_VALUE"""),2313182632)</f>
        <v>2313182632</v>
      </c>
      <c r="H3449" s="1" t="str">
        <f>IFERROR(__xludf.DUMMYFUNCTION("""COMPUTED_VALUE"""),"475868779004")</f>
        <v>475868779004</v>
      </c>
      <c r="I3449" s="1">
        <f>IFERROR(__xludf.DUMMYFUNCTION("""COMPUTED_VALUE"""),639515876762)</f>
        <v>639515876762</v>
      </c>
      <c r="J3449" s="1"/>
      <c r="K3449" s="1"/>
      <c r="L3449" s="1" t="str">
        <f>IFERROR(__xludf.DUMMYFUNCTION("""COMPUTED_VALUE"""),"038-BL-010")</f>
        <v>038-BL-010</v>
      </c>
      <c r="M3449" s="1" t="str">
        <f>IFERROR(__xludf.DUMMYFUNCTION("""COMPUTED_VALUE"""),"POBLACION 3")</f>
        <v>POBLACION 3</v>
      </c>
      <c r="N3449" s="1" t="str">
        <f>IFERROR(__xludf.DUMMYFUNCTION("""COMPUTED_VALUE"""),"#N/A")</f>
        <v>#N/A</v>
      </c>
      <c r="O3449" s="1" t="str">
        <f>IFERROR(__xludf.DUMMYFUNCTION("""COMPUTED_VALUE"""),"POBLACION III")</f>
        <v>POBLACION III</v>
      </c>
      <c r="P3449" s="1" t="str">
        <f>IFERROR(__xludf.DUMMYFUNCTION("""COMPUTED_VALUE"""),"GEN MARIANO ALVAREZ")</f>
        <v>GEN MARIANO ALVAREZ</v>
      </c>
      <c r="Q3449" s="1" t="str">
        <f>IFERROR(__xludf.DUMMYFUNCTION("""COMPUTED_VALUE"""),"CAVITE")</f>
        <v>CAVITE</v>
      </c>
      <c r="R3449" s="1" t="str">
        <f>IFERROR(__xludf.DUMMYFUNCTION("""COMPUTED_VALUE"""),"FIBER UNLI PLAN 1399")</f>
        <v>FIBER UNLI PLAN 1399</v>
      </c>
      <c r="S3449" s="1" t="str">
        <f>IFERROR(__xludf.DUMMYFUNCTION("""COMPUTED_VALUE"""),"APPROVED")</f>
        <v>APPROVED</v>
      </c>
      <c r="T3449" s="1" t="str">
        <f>IFERROR(__xludf.DUMMYFUNCTION("""COMPUTED_VALUE"""),"CLOSED")</f>
        <v>CLOSED</v>
      </c>
      <c r="U3449" s="1" t="str">
        <f>IFERROR(__xludf.DUMMYFUNCTION("""COMPUTED_VALUE"""),"POSTED")</f>
        <v>POSTED</v>
      </c>
      <c r="V3449" s="1" t="str">
        <f>IFERROR(__xludf.DUMMYFUNCTION("""COMPUTED_VALUE"""),"NO 1 AMSF")</f>
        <v>NO 1 AMSF</v>
      </c>
      <c r="W3449" s="1"/>
    </row>
    <row r="3450" customHeight="1" spans="1:23">
      <c r="A3450" s="3">
        <f>IFERROR(__xludf.DUMMYFUNCTION("""COMPUTED_VALUE"""),46310)</f>
        <v>46310</v>
      </c>
      <c r="B3450" s="1" t="str">
        <f>IFERROR(__xludf.DUMMYFUNCTION("""COMPUTED_VALUE"""),"GABAY, MANUEL")</f>
        <v>GABAY, MANUEL</v>
      </c>
      <c r="C3450" s="1" t="str">
        <f>IFERROR(__xludf.DUMMYFUNCTION("""COMPUTED_VALUE"""),"FLA")</f>
        <v>FLA</v>
      </c>
      <c r="D3450" s="1" t="str">
        <f>IFERROR(__xludf.DUMMYFUNCTION("""COMPUTED_VALUE"""),"JERIC NAVARRO")</f>
        <v>JERIC NAVARRO</v>
      </c>
      <c r="E3450" s="1" t="str">
        <f>IFERROR(__xludf.DUMMYFUNCTION("""COMPUTED_VALUE"""),"PLDT / H2H")</f>
        <v>PLDT / H2H</v>
      </c>
      <c r="F3450" s="1"/>
      <c r="G3450" s="1">
        <f>IFERROR(__xludf.DUMMYFUNCTION("""COMPUTED_VALUE"""),2313182411)</f>
        <v>2313182411</v>
      </c>
      <c r="H3450" s="1" t="str">
        <f>IFERROR(__xludf.DUMMYFUNCTION("""COMPUTED_VALUE"""),"475827843004")</f>
        <v>475827843004</v>
      </c>
      <c r="I3450" s="1">
        <f>IFERROR(__xludf.DUMMYFUNCTION("""COMPUTED_VALUE"""),639649824090)</f>
        <v>639649824090</v>
      </c>
      <c r="J3450" s="1">
        <f>IFERROR(__xludf.DUMMYFUNCTION("""COMPUTED_VALUE"""),639506123179)</f>
        <v>639506123179</v>
      </c>
      <c r="K3450" s="1"/>
      <c r="L3450" s="1" t="str">
        <f>IFERROR(__xludf.DUMMYFUNCTION("""COMPUTED_VALUE"""),"007-BL-019")</f>
        <v>007-BL-019</v>
      </c>
      <c r="M3450" s="1" t="str">
        <f>IFERROR(__xludf.DUMMYFUNCTION("""COMPUTED_VALUE"""),"HAPPY VALLEY")</f>
        <v>HAPPY VALLEY</v>
      </c>
      <c r="N3450" s="1" t="str">
        <f>IFERROR(__xludf.DUMMYFUNCTION("""COMPUTED_VALUE"""),"HAPPY VALLEY SUBDIVISION")</f>
        <v>HAPPY VALLEY SUBDIVISION</v>
      </c>
      <c r="O3450" s="1" t="str">
        <f>IFERROR(__xludf.DUMMYFUNCTION("""COMPUTED_VALUE"""),"RAMON CRUZ (AREA J)")</f>
        <v>RAMON CRUZ (AREA J)</v>
      </c>
      <c r="P3450" s="1" t="str">
        <f>IFERROR(__xludf.DUMMYFUNCTION("""COMPUTED_VALUE"""),"GEN MARIANO ALVAREZ")</f>
        <v>GEN MARIANO ALVAREZ</v>
      </c>
      <c r="Q3450" s="1" t="str">
        <f>IFERROR(__xludf.DUMMYFUNCTION("""COMPUTED_VALUE"""),"CAVITE")</f>
        <v>CAVITE</v>
      </c>
      <c r="R3450" s="1" t="str">
        <f>IFERROR(__xludf.DUMMYFUNCTION("""COMPUTED_VALUE"""),"FIBR NETFLIX PLAN 1599")</f>
        <v>FIBR NETFLIX PLAN 1599</v>
      </c>
      <c r="S3450" s="1" t="str">
        <f>IFERROR(__xludf.DUMMYFUNCTION("""COMPUTED_VALUE"""),"APPROVED")</f>
        <v>APPROVED</v>
      </c>
      <c r="T3450" s="1" t="str">
        <f>IFERROR(__xludf.DUMMYFUNCTION("""COMPUTED_VALUE"""),"FOR PAYMENT")</f>
        <v>FOR PAYMENT</v>
      </c>
      <c r="U3450" s="1" t="str">
        <f>IFERROR(__xludf.DUMMYFUNCTION("""COMPUTED_VALUE"""),"FOR PAYMENT")</f>
        <v>FOR PAYMENT</v>
      </c>
      <c r="V3450" s="1"/>
      <c r="W3450" s="1"/>
    </row>
    <row r="3451" customHeight="1" spans="1:23">
      <c r="A3451" s="3">
        <f>IFERROR(__xludf.DUMMYFUNCTION("""COMPUTED_VALUE"""),46310)</f>
        <v>46310</v>
      </c>
      <c r="B3451" s="1" t="str">
        <f>IFERROR(__xludf.DUMMYFUNCTION("""COMPUTED_VALUE"""),"MANDUCDOC, MARIANE")</f>
        <v>MANDUCDOC, MARIANE</v>
      </c>
      <c r="C3451" s="1" t="str">
        <f>IFERROR(__xludf.DUMMYFUNCTION("""COMPUTED_VALUE"""),"ORGANIC")</f>
        <v>ORGANIC</v>
      </c>
      <c r="D3451" s="1" t="str">
        <f>IFERROR(__xludf.DUMMYFUNCTION("""COMPUTED_VALUE"""),"REMOLLO LEA")</f>
        <v>REMOLLO LEA</v>
      </c>
      <c r="E3451" s="1" t="str">
        <f>IFERROR(__xludf.DUMMYFUNCTION("""COMPUTED_VALUE"""),"PLDT / H2H")</f>
        <v>PLDT / H2H</v>
      </c>
      <c r="F3451" s="1"/>
      <c r="G3451" s="1">
        <f>IFERROR(__xludf.DUMMYFUNCTION("""COMPUTED_VALUE"""),2313183337)</f>
        <v>2313183337</v>
      </c>
      <c r="H3451" s="1" t="str">
        <f>IFERROR(__xludf.DUMMYFUNCTION("""COMPUTED_VALUE"""),"475842614004")</f>
        <v>475842614004</v>
      </c>
      <c r="I3451" s="1">
        <f>IFERROR(__xludf.DUMMYFUNCTION("""COMPUTED_VALUE"""),639319665688)</f>
        <v>639319665688</v>
      </c>
      <c r="J3451" s="1"/>
      <c r="K3451" s="1"/>
      <c r="L3451" s="1" t="str">
        <f>IFERROR(__xludf.DUMMYFUNCTION("""COMPUTED_VALUE"""),"038-BL-10B")</f>
        <v>038-BL-10B</v>
      </c>
      <c r="M3451" s="1" t="str">
        <f>IFERROR(__xludf.DUMMYFUNCTION("""COMPUTED_VALUE"""),"OMEGA")</f>
        <v>OMEGA</v>
      </c>
      <c r="N3451" s="1" t="str">
        <f>IFERROR(__xludf.DUMMYFUNCTION("""COMPUTED_VALUE"""),"#N/A")</f>
        <v>#N/A</v>
      </c>
      <c r="O3451" s="1" t="str">
        <f>IFERROR(__xludf.DUMMYFUNCTION("""COMPUTED_VALUE"""),"POBLACION III")</f>
        <v>POBLACION III</v>
      </c>
      <c r="P3451" s="1" t="str">
        <f>IFERROR(__xludf.DUMMYFUNCTION("""COMPUTED_VALUE"""),"GEN MARIANO ALVAREZ")</f>
        <v>GEN MARIANO ALVAREZ</v>
      </c>
      <c r="Q3451" s="1" t="str">
        <f>IFERROR(__xludf.DUMMYFUNCTION("""COMPUTED_VALUE"""),"CAVITE")</f>
        <v>CAVITE</v>
      </c>
      <c r="R3451" s="1" t="str">
        <f>IFERROR(__xludf.DUMMYFUNCTION("""COMPUTED_VALUE"""),"FIBR UNLI ALL PLAN 999")</f>
        <v>FIBR UNLI ALL PLAN 999</v>
      </c>
      <c r="S3451" s="1" t="str">
        <f>IFERROR(__xludf.DUMMYFUNCTION("""COMPUTED_VALUE"""),"APPROVED")</f>
        <v>APPROVED</v>
      </c>
      <c r="T3451" s="1" t="str">
        <f>IFERROR(__xludf.DUMMYFUNCTION("""COMPUTED_VALUE"""),"FOR PAYMENT")</f>
        <v>FOR PAYMENT</v>
      </c>
      <c r="U3451" s="1" t="str">
        <f>IFERROR(__xludf.DUMMYFUNCTION("""COMPUTED_VALUE"""),"FOR PAYMENT")</f>
        <v>FOR PAYMENT</v>
      </c>
      <c r="V3451" s="1"/>
      <c r="W3451" s="1"/>
    </row>
    <row r="3452" customHeight="1" spans="1:23">
      <c r="A3452" s="3">
        <f>IFERROR(__xludf.DUMMYFUNCTION("""COMPUTED_VALUE"""),46311)</f>
        <v>46311</v>
      </c>
      <c r="B3452" s="1" t="str">
        <f>IFERROR(__xludf.DUMMYFUNCTION("""COMPUTED_VALUE"""),"CADERAO, RONALD")</f>
        <v>CADERAO, RONALD</v>
      </c>
      <c r="C3452" s="1" t="str">
        <f>IFERROR(__xludf.DUMMYFUNCTION("""COMPUTED_VALUE"""),"ORGANIC")</f>
        <v>ORGANIC</v>
      </c>
      <c r="D3452" s="1" t="str">
        <f>IFERROR(__xludf.DUMMYFUNCTION("""COMPUTED_VALUE"""),"REMOLLO LEA")</f>
        <v>REMOLLO LEA</v>
      </c>
      <c r="E3452" s="1" t="str">
        <f>IFERROR(__xludf.DUMMYFUNCTION("""COMPUTED_VALUE"""),"PLDT / H2H")</f>
        <v>PLDT / H2H</v>
      </c>
      <c r="F3452" s="1"/>
      <c r="G3452" s="1">
        <f>IFERROR(__xludf.DUMMYFUNCTION("""COMPUTED_VALUE"""),2313190913)</f>
        <v>2313190913</v>
      </c>
      <c r="H3452" s="1" t="str">
        <f>IFERROR(__xludf.DUMMYFUNCTION("""COMPUTED_VALUE"""),"#N/A")</f>
        <v>#N/A</v>
      </c>
      <c r="I3452" s="1">
        <f>IFERROR(__xludf.DUMMYFUNCTION("""COMPUTED_VALUE"""),639664089583)</f>
        <v>639664089583</v>
      </c>
      <c r="J3452" s="1"/>
      <c r="K3452" s="1"/>
      <c r="L3452" s="1" t="str">
        <f>IFERROR(__xludf.DUMMYFUNCTION("""COMPUTED_VALUE"""),"86")</f>
        <v>86</v>
      </c>
      <c r="M3452" s="1" t="str">
        <f>IFERROR(__xludf.DUMMYFUNCTION("""COMPUTED_VALUE"""),"SITIO ILAYA")</f>
        <v>SITIO ILAYA</v>
      </c>
      <c r="N3452" s="1" t="str">
        <f>IFERROR(__xludf.DUMMYFUNCTION("""COMPUTED_VALUE"""),"#N/A")</f>
        <v>#N/A</v>
      </c>
      <c r="O3452" s="1" t="str">
        <f>IFERROR(__xludf.DUMMYFUNCTION("""COMPUTED_VALUE"""),"MAITIM I")</f>
        <v>MAITIM I</v>
      </c>
      <c r="P3452" s="1" t="str">
        <f>IFERROR(__xludf.DUMMYFUNCTION("""COMPUTED_VALUE"""),"AMADEO")</f>
        <v>AMADEO</v>
      </c>
      <c r="Q3452" s="1" t="str">
        <f>IFERROR(__xludf.DUMMYFUNCTION("""COMPUTED_VALUE"""),"CAVITE")</f>
        <v>CAVITE</v>
      </c>
      <c r="R3452" s="1" t="str">
        <f>IFERROR(__xludf.DUMMYFUNCTION("""COMPUTED_VALUE"""),"FIBR PLAN 1699")</f>
        <v>FIBR PLAN 1699</v>
      </c>
      <c r="S3452" s="1" t="str">
        <f>IFERROR(__xludf.DUMMYFUNCTION("""COMPUTED_VALUE"""),"APPROVED")</f>
        <v>APPROVED</v>
      </c>
      <c r="T3452" s="1" t="str">
        <f>IFERROR(__xludf.DUMMYFUNCTION("""COMPUTED_VALUE"""),"RETURN TO SALES CVA A")</f>
        <v>RETURN TO SALES CVA A</v>
      </c>
      <c r="U3452" s="1" t="str">
        <f>IFERROR(__xludf.DUMMYFUNCTION("""COMPUTED_VALUE"""),"RTS - UNCONTACTED")</f>
        <v>RTS - UNCONTACTED</v>
      </c>
      <c r="V3452" s="1"/>
      <c r="W3452" s="1"/>
    </row>
    <row r="3453" customHeight="1" spans="1:23">
      <c r="A3453" s="3">
        <f>IFERROR(__xludf.DUMMYFUNCTION("""COMPUTED_VALUE"""),46311)</f>
        <v>46311</v>
      </c>
      <c r="B3453" s="1" t="str">
        <f>IFERROR(__xludf.DUMMYFUNCTION("""COMPUTED_VALUE"""),"MERCADO, MARK ANTHONY")</f>
        <v>MERCADO, MARK ANTHONY</v>
      </c>
      <c r="C3453" s="1" t="str">
        <f>IFERROR(__xludf.DUMMYFUNCTION("""COMPUTED_VALUE"""),"ORGANIC")</f>
        <v>ORGANIC</v>
      </c>
      <c r="D3453" s="1" t="str">
        <f>IFERROR(__xludf.DUMMYFUNCTION("""COMPUTED_VALUE"""),"REMOLLO LEA")</f>
        <v>REMOLLO LEA</v>
      </c>
      <c r="E3453" s="1" t="str">
        <f>IFERROR(__xludf.DUMMYFUNCTION("""COMPUTED_VALUE"""),"PLDT / H2H")</f>
        <v>PLDT / H2H</v>
      </c>
      <c r="F3453" s="1"/>
      <c r="G3453" s="1">
        <f>IFERROR(__xludf.DUMMYFUNCTION("""COMPUTED_VALUE"""),2313191467)</f>
        <v>2313191467</v>
      </c>
      <c r="H3453" s="1" t="str">
        <f>IFERROR(__xludf.DUMMYFUNCTION("""COMPUTED_VALUE"""),"#N/A")</f>
        <v>#N/A</v>
      </c>
      <c r="I3453" s="1">
        <f>IFERROR(__xludf.DUMMYFUNCTION("""COMPUTED_VALUE"""),639451166096)</f>
        <v>639451166096</v>
      </c>
      <c r="J3453" s="1"/>
      <c r="K3453" s="1"/>
      <c r="L3453" s="1" t="str">
        <f>IFERROR(__xludf.DUMMYFUNCTION("""COMPUTED_VALUE"""),"15")</f>
        <v>15</v>
      </c>
      <c r="M3453" s="1" t="str">
        <f>IFERROR(__xludf.DUMMYFUNCTION("""COMPUTED_VALUE"""),"PANAMA")</f>
        <v>PANAMA</v>
      </c>
      <c r="N3453" s="1" t="str">
        <f>IFERROR(__xludf.DUMMYFUNCTION("""COMPUTED_VALUE"""),"SOUTHPLAINS EXEC VILL")</f>
        <v>SOUTHPLAINS EXEC VILL</v>
      </c>
      <c r="O3453" s="1" t="str">
        <f>IFERROR(__xludf.DUMMYFUNCTION("""COMPUTED_VALUE"""),"SALITRAN II")</f>
        <v>SALITRAN II</v>
      </c>
      <c r="P3453" s="1" t="str">
        <f>IFERROR(__xludf.DUMMYFUNCTION("""COMPUTED_VALUE"""),"DASMARINAS")</f>
        <v>DASMARINAS</v>
      </c>
      <c r="Q3453" s="1" t="str">
        <f>IFERROR(__xludf.DUMMYFUNCTION("""COMPUTED_VALUE"""),"CAVITE")</f>
        <v>CAVITE</v>
      </c>
      <c r="R3453" s="1" t="str">
        <f>IFERROR(__xludf.DUMMYFUNCTION("""COMPUTED_VALUE"""),"FIBER UNLI PLAN 1399")</f>
        <v>FIBER UNLI PLAN 1399</v>
      </c>
      <c r="S3453" s="1" t="str">
        <f>IFERROR(__xludf.DUMMYFUNCTION("""COMPUTED_VALUE"""),"APPROVED")</f>
        <v>APPROVED</v>
      </c>
      <c r="T3453" s="1" t="str">
        <f>IFERROR(__xludf.DUMMYFUNCTION("""COMPUTED_VALUE"""),"CANCELLED")</f>
        <v>CANCELLED</v>
      </c>
      <c r="U3453" s="1" t="str">
        <f>IFERROR(__xludf.DUMMYFUNCTION("""COMPUTED_VALUE"""),"CANCELLED - WITH OB")</f>
        <v>CANCELLED - WITH OB</v>
      </c>
      <c r="V3453" s="1"/>
      <c r="W3453" s="1"/>
    </row>
    <row r="3454" customHeight="1" spans="1:23">
      <c r="A3454" s="3">
        <f>IFERROR(__xludf.DUMMYFUNCTION("""COMPUTED_VALUE"""),46311)</f>
        <v>46311</v>
      </c>
      <c r="B3454" s="1" t="str">
        <f>IFERROR(__xludf.DUMMYFUNCTION("""COMPUTED_VALUE"""),"PEREZ, RONELL")</f>
        <v>PEREZ, RONELL</v>
      </c>
      <c r="C3454" s="1" t="str">
        <f>IFERROR(__xludf.DUMMYFUNCTION("""COMPUTED_VALUE"""),"ORGANIC")</f>
        <v>ORGANIC</v>
      </c>
      <c r="D3454" s="1" t="str">
        <f>IFERROR(__xludf.DUMMYFUNCTION("""COMPUTED_VALUE"""),"MICHALE GARCIA")</f>
        <v>MICHALE GARCIA</v>
      </c>
      <c r="E3454" s="1" t="str">
        <f>IFERROR(__xludf.DUMMYFUNCTION("""COMPUTED_VALUE"""),"PLDT / H2H")</f>
        <v>PLDT / H2H</v>
      </c>
      <c r="F3454" s="1"/>
      <c r="G3454" s="1">
        <f>IFERROR(__xludf.DUMMYFUNCTION("""COMPUTED_VALUE"""),2313192271)</f>
        <v>2313192271</v>
      </c>
      <c r="H3454" s="1" t="str">
        <f>IFERROR(__xludf.DUMMYFUNCTION("""COMPUTED_VALUE"""),"#N/A")</f>
        <v>#N/A</v>
      </c>
      <c r="I3454" s="1">
        <f>IFERROR(__xludf.DUMMYFUNCTION("""COMPUTED_VALUE"""),639929724678)</f>
        <v>639929724678</v>
      </c>
      <c r="J3454" s="1"/>
      <c r="K3454" s="1"/>
      <c r="L3454" s="1" t="str">
        <f>IFERROR(__xludf.DUMMYFUNCTION("""COMPUTED_VALUE"""),"020-BL-03B")</f>
        <v>020-BL-03B</v>
      </c>
      <c r="M3454" s="1" t="str">
        <f>IFERROR(__xludf.DUMMYFUNCTION("""COMPUTED_VALUE"""),"CAMACHILE SUBD")</f>
        <v>CAMACHILE SUBD</v>
      </c>
      <c r="N3454" s="1" t="str">
        <f>IFERROR(__xludf.DUMMYFUNCTION("""COMPUTED_VALUE"""),"CAMACHILE SUBD")</f>
        <v>CAMACHILE SUBD</v>
      </c>
      <c r="O3454" s="1" t="str">
        <f>IFERROR(__xludf.DUMMYFUNCTION("""COMPUTED_VALUE"""),"PASONG CAMACHILE I")</f>
        <v>PASONG CAMACHILE I</v>
      </c>
      <c r="P3454" s="1" t="str">
        <f>IFERROR(__xludf.DUMMYFUNCTION("""COMPUTED_VALUE"""),"GENERAL TRIAS")</f>
        <v>GENERAL TRIAS</v>
      </c>
      <c r="Q3454" s="1" t="str">
        <f>IFERROR(__xludf.DUMMYFUNCTION("""COMPUTED_VALUE"""),"CAVITE")</f>
        <v>CAVITE</v>
      </c>
      <c r="R3454" s="1" t="str">
        <f>IFERROR(__xludf.DUMMYFUNCTION("""COMPUTED_VALUE"""),"FIBR PLAN 1299")</f>
        <v>FIBR PLAN 1299</v>
      </c>
      <c r="S3454" s="1" t="str">
        <f>IFERROR(__xludf.DUMMYFUNCTION("""COMPUTED_VALUE"""),"APPROVED")</f>
        <v>APPROVED</v>
      </c>
      <c r="T3454" s="1" t="str">
        <f>IFERROR(__xludf.DUMMYFUNCTION("""COMPUTED_VALUE"""),"CANCELLED")</f>
        <v>CANCELLED</v>
      </c>
      <c r="U3454" s="1" t="str">
        <f>IFERROR(__xludf.DUMMYFUNCTION("""COMPUTED_VALUE"""),"CANCELLED - WITH OB")</f>
        <v>CANCELLED - WITH OB</v>
      </c>
      <c r="V3454" s="1"/>
      <c r="W3454" s="1"/>
    </row>
    <row r="3455" customHeight="1" spans="1:23">
      <c r="A3455" s="3">
        <f>IFERROR(__xludf.DUMMYFUNCTION("""COMPUTED_VALUE"""),46311)</f>
        <v>46311</v>
      </c>
      <c r="B3455" s="1" t="str">
        <f>IFERROR(__xludf.DUMMYFUNCTION("""COMPUTED_VALUE"""),"CADERAO, RONALD")</f>
        <v>CADERAO, RONALD</v>
      </c>
      <c r="C3455" s="1" t="str">
        <f>IFERROR(__xludf.DUMMYFUNCTION("""COMPUTED_VALUE"""),"ORGANIC")</f>
        <v>ORGANIC</v>
      </c>
      <c r="D3455" s="1" t="str">
        <f>IFERROR(__xludf.DUMMYFUNCTION("""COMPUTED_VALUE"""),"REMOLLO LEA")</f>
        <v>REMOLLO LEA</v>
      </c>
      <c r="E3455" s="1" t="str">
        <f>IFERROR(__xludf.DUMMYFUNCTION("""COMPUTED_VALUE"""),"PLDT / H2H")</f>
        <v>PLDT / H2H</v>
      </c>
      <c r="F3455" s="1"/>
      <c r="G3455" s="1">
        <f>IFERROR(__xludf.DUMMYFUNCTION("""COMPUTED_VALUE"""),2313192703)</f>
        <v>2313192703</v>
      </c>
      <c r="H3455" s="1" t="str">
        <f>IFERROR(__xludf.DUMMYFUNCTION("""COMPUTED_VALUE"""),"475841351004")</f>
        <v>475841351004</v>
      </c>
      <c r="I3455" s="1">
        <f>IFERROR(__xludf.DUMMYFUNCTION("""COMPUTED_VALUE"""),639286136682)</f>
        <v>639286136682</v>
      </c>
      <c r="J3455" s="1"/>
      <c r="K3455" s="1"/>
      <c r="L3455" s="1" t="str">
        <f>IFERROR(__xludf.DUMMYFUNCTION("""COMPUTED_VALUE"""),"921")</f>
        <v>921</v>
      </c>
      <c r="M3455" s="1" t="str">
        <f>IFERROR(__xludf.DUMMYFUNCTION("""COMPUTED_VALUE"""),"ZONE 3")</f>
        <v>ZONE 3</v>
      </c>
      <c r="N3455" s="1" t="str">
        <f>IFERROR(__xludf.DUMMYFUNCTION("""COMPUTED_VALUE"""),"#N/A")</f>
        <v>#N/A</v>
      </c>
      <c r="O3455" s="1" t="str">
        <f>IFERROR(__xludf.DUMMYFUNCTION("""COMPUTED_VALUE"""),"BULIHAN")</f>
        <v>BULIHAN</v>
      </c>
      <c r="P3455" s="1" t="str">
        <f>IFERROR(__xludf.DUMMYFUNCTION("""COMPUTED_VALUE"""),"SILANG")</f>
        <v>SILANG</v>
      </c>
      <c r="Q3455" s="1" t="str">
        <f>IFERROR(__xludf.DUMMYFUNCTION("""COMPUTED_VALUE"""),"CAVITE")</f>
        <v>CAVITE</v>
      </c>
      <c r="R3455" s="1" t="str">
        <f>IFERROR(__xludf.DUMMYFUNCTION("""COMPUTED_VALUE"""),"FIBER UNLI PLAN 1399")</f>
        <v>FIBER UNLI PLAN 1399</v>
      </c>
      <c r="S3455" s="1" t="str">
        <f>IFERROR(__xludf.DUMMYFUNCTION("""COMPUTED_VALUE"""),"APPROVED")</f>
        <v>APPROVED</v>
      </c>
      <c r="T3455" s="1" t="str">
        <f>IFERROR(__xludf.DUMMYFUNCTION("""COMPUTED_VALUE"""),"FOR PAYMENT")</f>
        <v>FOR PAYMENT</v>
      </c>
      <c r="U3455" s="1" t="str">
        <f>IFERROR(__xludf.DUMMYFUNCTION("""COMPUTED_VALUE"""),"FOR PAYMENT")</f>
        <v>FOR PAYMENT</v>
      </c>
      <c r="V3455" s="1"/>
      <c r="W3455" s="1"/>
    </row>
    <row r="3456" customHeight="1" spans="1:23">
      <c r="A3456" s="3">
        <f>IFERROR(__xludf.DUMMYFUNCTION("""COMPUTED_VALUE"""),46311)</f>
        <v>46311</v>
      </c>
      <c r="B3456" s="1" t="str">
        <f>IFERROR(__xludf.DUMMYFUNCTION("""COMPUTED_VALUE"""),"AYON MANUEL")</f>
        <v>AYON MANUEL</v>
      </c>
      <c r="C3456" s="1" t="str">
        <f>IFERROR(__xludf.DUMMYFUNCTION("""COMPUTED_VALUE"""),"FLA")</f>
        <v>FLA</v>
      </c>
      <c r="D3456" s="1" t="str">
        <f>IFERROR(__xludf.DUMMYFUNCTION("""COMPUTED_VALUE"""),"JERIC NAVARRO")</f>
        <v>JERIC NAVARRO</v>
      </c>
      <c r="E3456" s="1" t="str">
        <f>IFERROR(__xludf.DUMMYFUNCTION("""COMPUTED_VALUE"""),"PLDT / H2H")</f>
        <v>PLDT / H2H</v>
      </c>
      <c r="F3456" s="1"/>
      <c r="G3456" s="1">
        <f>IFERROR(__xludf.DUMMYFUNCTION("""COMPUTED_VALUE"""),2313194717)</f>
        <v>2313194717</v>
      </c>
      <c r="H3456" s="1" t="str">
        <f>IFERROR(__xludf.DUMMYFUNCTION("""COMPUTED_VALUE"""),"475844108004")</f>
        <v>475844108004</v>
      </c>
      <c r="I3456" s="1">
        <f>IFERROR(__xludf.DUMMYFUNCTION("""COMPUTED_VALUE"""),639620847103)</f>
        <v>639620847103</v>
      </c>
      <c r="J3456" s="1">
        <f>IFERROR(__xludf.DUMMYFUNCTION("""COMPUTED_VALUE"""),639608716992)</f>
        <v>639608716992</v>
      </c>
      <c r="K3456" s="1"/>
      <c r="L3456" s="1" t="str">
        <f>IFERROR(__xludf.DUMMYFUNCTION("""COMPUTED_VALUE"""),"606-BL-011")</f>
        <v>606-BL-011</v>
      </c>
      <c r="M3456" s="1" t="str">
        <f>IFERROR(__xludf.DUMMYFUNCTION("""COMPUTED_VALUE"""),"PHASE 6")</f>
        <v>PHASE 6</v>
      </c>
      <c r="N3456" s="1" t="str">
        <f>IFERROR(__xludf.DUMMYFUNCTION("""COMPUTED_VALUE"""),"METROGATE SILANG ESTATE")</f>
        <v>METROGATE SILANG ESTATE</v>
      </c>
      <c r="O3456" s="1" t="str">
        <f>IFERROR(__xludf.DUMMYFUNCTION("""COMPUTED_VALUE"""),"BILUSO")</f>
        <v>BILUSO</v>
      </c>
      <c r="P3456" s="1" t="str">
        <f>IFERROR(__xludf.DUMMYFUNCTION("""COMPUTED_VALUE"""),"SILANG")</f>
        <v>SILANG</v>
      </c>
      <c r="Q3456" s="1" t="str">
        <f>IFERROR(__xludf.DUMMYFUNCTION("""COMPUTED_VALUE"""),"CAVITE")</f>
        <v>CAVITE</v>
      </c>
      <c r="R3456" s="1" t="str">
        <f>IFERROR(__xludf.DUMMYFUNCTION("""COMPUTED_VALUE"""),"FIBER UNLI ALL PLAN 1899")</f>
        <v>FIBER UNLI ALL PLAN 1899</v>
      </c>
      <c r="S3456" s="1" t="str">
        <f>IFERROR(__xludf.DUMMYFUNCTION("""COMPUTED_VALUE"""),"APPROVED")</f>
        <v>APPROVED</v>
      </c>
      <c r="T3456" s="1" t="str">
        <f>IFERROR(__xludf.DUMMYFUNCTION("""COMPUTED_VALUE"""),"PAID")</f>
        <v>PAID</v>
      </c>
      <c r="U3456" s="1" t="str">
        <f>IFERROR(__xludf.DUMMYFUNCTION("""COMPUTED_VALUE"""),"PAID - FOR INSTALLATION")</f>
        <v>PAID - FOR INSTALLATION</v>
      </c>
      <c r="V3456" s="1" t="str">
        <f>IFERROR(__xludf.DUMMYFUNCTION("""COMPUTED_VALUE"""),"NO 1 AMSF")</f>
        <v>NO 1 AMSF</v>
      </c>
      <c r="W3456" s="1"/>
    </row>
    <row r="3457" customHeight="1" spans="1:23">
      <c r="A3457" s="3">
        <f>IFERROR(__xludf.DUMMYFUNCTION("""COMPUTED_VALUE"""),46311)</f>
        <v>46311</v>
      </c>
      <c r="B3457" s="1" t="str">
        <f>IFERROR(__xludf.DUMMYFUNCTION("""COMPUTED_VALUE"""),"TISTON, CEDRIC")</f>
        <v>TISTON, CEDRIC</v>
      </c>
      <c r="C3457" s="1" t="str">
        <f>IFERROR(__xludf.DUMMYFUNCTION("""COMPUTED_VALUE"""),"ORGANIC")</f>
        <v>ORGANIC</v>
      </c>
      <c r="D3457" s="1" t="str">
        <f>IFERROR(__xludf.DUMMYFUNCTION("""COMPUTED_VALUE"""),"REMOLLO LEA")</f>
        <v>REMOLLO LEA</v>
      </c>
      <c r="E3457" s="1" t="str">
        <f>IFERROR(__xludf.DUMMYFUNCTION("""COMPUTED_VALUE"""),"PLDT / H2H")</f>
        <v>PLDT / H2H</v>
      </c>
      <c r="F3457" s="1"/>
      <c r="G3457" s="1">
        <f>IFERROR(__xludf.DUMMYFUNCTION("""COMPUTED_VALUE"""),2313195256)</f>
        <v>2313195256</v>
      </c>
      <c r="H3457" s="1" t="str">
        <f>IFERROR(__xludf.DUMMYFUNCTION("""COMPUTED_VALUE"""),"475970239004")</f>
        <v>475970239004</v>
      </c>
      <c r="I3457" s="1">
        <f>IFERROR(__xludf.DUMMYFUNCTION("""COMPUTED_VALUE"""),639558070841)</f>
        <v>639558070841</v>
      </c>
      <c r="J3457" s="1"/>
      <c r="K3457" s="1"/>
      <c r="L3457" s="1" t="str">
        <f>IFERROR(__xludf.DUMMYFUNCTION("""COMPUTED_VALUE"""),"1387")</f>
        <v>1387</v>
      </c>
      <c r="M3457" s="1" t="str">
        <f>IFERROR(__xludf.DUMMYFUNCTION("""COMPUTED_VALUE"""),"CALUMPANG")</f>
        <v>CALUMPANG</v>
      </c>
      <c r="N3457" s="1" t="str">
        <f>IFERROR(__xludf.DUMMYFUNCTION("""COMPUTED_VALUE"""),"#N/A")</f>
        <v>#N/A</v>
      </c>
      <c r="O3457" s="1" t="str">
        <f>IFERROR(__xludf.DUMMYFUNCTION("""COMPUTED_VALUE"""),"LANTIC")</f>
        <v>LANTIC</v>
      </c>
      <c r="P3457" s="1" t="str">
        <f>IFERROR(__xludf.DUMMYFUNCTION("""COMPUTED_VALUE"""),"CARMONA")</f>
        <v>CARMONA</v>
      </c>
      <c r="Q3457" s="1" t="str">
        <f>IFERROR(__xludf.DUMMYFUNCTION("""COMPUTED_VALUE"""),"CAVITE")</f>
        <v>CAVITE</v>
      </c>
      <c r="R3457" s="1" t="str">
        <f>IFERROR(__xludf.DUMMYFUNCTION("""COMPUTED_VALUE"""),"FIBER UNLI PLAN 1399")</f>
        <v>FIBER UNLI PLAN 1399</v>
      </c>
      <c r="S3457" s="1" t="str">
        <f>IFERROR(__xludf.DUMMYFUNCTION("""COMPUTED_VALUE"""),"APPROVED")</f>
        <v>APPROVED</v>
      </c>
      <c r="T3457" s="1" t="str">
        <f>IFERROR(__xludf.DUMMYFUNCTION("""COMPUTED_VALUE"""),"CLOSED")</f>
        <v>CLOSED</v>
      </c>
      <c r="U3457" s="1" t="str">
        <f>IFERROR(__xludf.DUMMYFUNCTION("""COMPUTED_VALUE"""),"POSTED")</f>
        <v>POSTED</v>
      </c>
      <c r="V3457" s="1"/>
      <c r="W3457" s="1"/>
    </row>
    <row r="3458" customHeight="1" spans="1:23">
      <c r="A3458" s="3">
        <f>IFERROR(__xludf.DUMMYFUNCTION("""COMPUTED_VALUE"""),46311)</f>
        <v>46311</v>
      </c>
      <c r="B3458" s="1" t="str">
        <f>IFERROR(__xludf.DUMMYFUNCTION("""COMPUTED_VALUE"""),"PEREZ, RONELL")</f>
        <v>PEREZ, RONELL</v>
      </c>
      <c r="C3458" s="1" t="str">
        <f>IFERROR(__xludf.DUMMYFUNCTION("""COMPUTED_VALUE"""),"ORGANIC")</f>
        <v>ORGANIC</v>
      </c>
      <c r="D3458" s="1" t="str">
        <f>IFERROR(__xludf.DUMMYFUNCTION("""COMPUTED_VALUE"""),"MICHALE GARCIA")</f>
        <v>MICHALE GARCIA</v>
      </c>
      <c r="E3458" s="1" t="str">
        <f>IFERROR(__xludf.DUMMYFUNCTION("""COMPUTED_VALUE"""),"PLDT / ONLINE")</f>
        <v>PLDT / ONLINE</v>
      </c>
      <c r="F3458" s="1"/>
      <c r="G3458" s="1">
        <f>IFERROR(__xludf.DUMMYFUNCTION("""COMPUTED_VALUE"""),2313195368)</f>
        <v>2313195368</v>
      </c>
      <c r="H3458" s="1" t="str">
        <f>IFERROR(__xludf.DUMMYFUNCTION("""COMPUTED_VALUE"""),"475946106004")</f>
        <v>475946106004</v>
      </c>
      <c r="I3458" s="1">
        <f>IFERROR(__xludf.DUMMYFUNCTION("""COMPUTED_VALUE"""),639674568746)</f>
        <v>639674568746</v>
      </c>
      <c r="J3458" s="1"/>
      <c r="K3458" s="1"/>
      <c r="L3458" s="1" t="str">
        <f>IFERROR(__xludf.DUMMYFUNCTION("""COMPUTED_VALUE"""),"009-BL-031")</f>
        <v>009-BL-031</v>
      </c>
      <c r="M3458" s="1" t="str">
        <f>IFERROR(__xludf.DUMMYFUNCTION("""COMPUTED_VALUE"""),"ISTANA SUBDIVISION")</f>
        <v>ISTANA SUBDIVISION</v>
      </c>
      <c r="N3458" s="1" t="str">
        <f>IFERROR(__xludf.DUMMYFUNCTION("""COMPUTED_VALUE"""),"ISTANA SUBDIVISION PHASE A")</f>
        <v>ISTANA SUBDIVISION PHASE A</v>
      </c>
      <c r="O3458" s="1" t="str">
        <f>IFERROR(__xludf.DUMMYFUNCTION("""COMPUTED_VALUE"""),"AMAYA II")</f>
        <v>AMAYA II</v>
      </c>
      <c r="P3458" s="1" t="str">
        <f>IFERROR(__xludf.DUMMYFUNCTION("""COMPUTED_VALUE"""),"TANZA")</f>
        <v>TANZA</v>
      </c>
      <c r="Q3458" s="1" t="str">
        <f>IFERROR(__xludf.DUMMYFUNCTION("""COMPUTED_VALUE"""),"CAVITE")</f>
        <v>CAVITE</v>
      </c>
      <c r="R3458" s="1" t="str">
        <f>IFERROR(__xludf.DUMMYFUNCTION("""COMPUTED_VALUE"""),"FIBR PLAN 1299")</f>
        <v>FIBR PLAN 1299</v>
      </c>
      <c r="S3458" s="1" t="str">
        <f>IFERROR(__xludf.DUMMYFUNCTION("""COMPUTED_VALUE"""),"APPROVED")</f>
        <v>APPROVED</v>
      </c>
      <c r="T3458" s="1" t="str">
        <f>IFERROR(__xludf.DUMMYFUNCTION("""COMPUTED_VALUE"""),"CLOSED")</f>
        <v>CLOSED</v>
      </c>
      <c r="U3458" s="1" t="str">
        <f>IFERROR(__xludf.DUMMYFUNCTION("""COMPUTED_VALUE"""),"POSTED")</f>
        <v>POSTED</v>
      </c>
      <c r="V3458" s="1" t="str">
        <f>IFERROR(__xludf.DUMMYFUNCTION("""COMPUTED_VALUE"""),"WITH 1 AMSF")</f>
        <v>WITH 1 AMSF</v>
      </c>
      <c r="W3458" s="1"/>
    </row>
    <row r="3459" customHeight="1" spans="1:23">
      <c r="A3459" s="3">
        <f>IFERROR(__xludf.DUMMYFUNCTION("""COMPUTED_VALUE"""),46311)</f>
        <v>46311</v>
      </c>
      <c r="B3459" s="1" t="str">
        <f>IFERROR(__xludf.DUMMYFUNCTION("""COMPUTED_VALUE"""),"TAMAYO, MARY ROSE")</f>
        <v>TAMAYO, MARY ROSE</v>
      </c>
      <c r="C3459" s="1" t="str">
        <f>IFERROR(__xludf.DUMMYFUNCTION("""COMPUTED_VALUE"""),"ORGANIC")</f>
        <v>ORGANIC</v>
      </c>
      <c r="D3459" s="1" t="str">
        <f>IFERROR(__xludf.DUMMYFUNCTION("""COMPUTED_VALUE"""),"REMOLLO LEA")</f>
        <v>REMOLLO LEA</v>
      </c>
      <c r="E3459" s="1" t="str">
        <f>IFERROR(__xludf.DUMMYFUNCTION("""COMPUTED_VALUE"""),"PLDT / ONLINE")</f>
        <v>PLDT / ONLINE</v>
      </c>
      <c r="F3459" s="1"/>
      <c r="G3459" s="1">
        <f>IFERROR(__xludf.DUMMYFUNCTION("""COMPUTED_VALUE"""),2313196000)</f>
        <v>2313196000</v>
      </c>
      <c r="H3459" s="1" t="str">
        <f>IFERROR(__xludf.DUMMYFUNCTION("""COMPUTED_VALUE"""),"475842106004")</f>
        <v>475842106004</v>
      </c>
      <c r="I3459" s="1">
        <f>IFERROR(__xludf.DUMMYFUNCTION("""COMPUTED_VALUE"""),639184839694)</f>
        <v>639184839694</v>
      </c>
      <c r="J3459" s="1">
        <f>IFERROR(__xludf.DUMMYFUNCTION("""COMPUTED_VALUE"""),639208747912)</f>
        <v>639208747912</v>
      </c>
      <c r="K3459" s="1"/>
      <c r="L3459" s="1" t="str">
        <f>IFERROR(__xludf.DUMMYFUNCTION("""COMPUTED_VALUE"""),"UNIT C")</f>
        <v>UNIT C</v>
      </c>
      <c r="M3459" s="1" t="str">
        <f>IFERROR(__xludf.DUMMYFUNCTION("""COMPUTED_VALUE"""),"BRITSUM")</f>
        <v>BRITSUM</v>
      </c>
      <c r="N3459" s="1" t="str">
        <f>IFERROR(__xludf.DUMMYFUNCTION("""COMPUTED_VALUE"""),"BLDG 3 APARTMENT")</f>
        <v>BLDG 3 APARTMENT</v>
      </c>
      <c r="O3459" s="1" t="str">
        <f>IFERROR(__xludf.DUMMYFUNCTION("""COMPUTED_VALUE"""),"P.F. ESPIRITU III")</f>
        <v>P.F. ESPIRITU III</v>
      </c>
      <c r="P3459" s="1" t="str">
        <f>IFERROR(__xludf.DUMMYFUNCTION("""COMPUTED_VALUE"""),"BACOOR")</f>
        <v>BACOOR</v>
      </c>
      <c r="Q3459" s="1" t="str">
        <f>IFERROR(__xludf.DUMMYFUNCTION("""COMPUTED_VALUE"""),"CAVITE")</f>
        <v>CAVITE</v>
      </c>
      <c r="R3459" s="1" t="str">
        <f>IFERROR(__xludf.DUMMYFUNCTION("""COMPUTED_VALUE"""),"FIBR PLAN 1299")</f>
        <v>FIBR PLAN 1299</v>
      </c>
      <c r="S3459" s="1" t="str">
        <f>IFERROR(__xludf.DUMMYFUNCTION("""COMPUTED_VALUE"""),"APPROVED")</f>
        <v>APPROVED</v>
      </c>
      <c r="T3459" s="1" t="str">
        <f>IFERROR(__xludf.DUMMYFUNCTION("""COMPUTED_VALUE"""),"CLOSED")</f>
        <v>CLOSED</v>
      </c>
      <c r="U3459" s="1" t="str">
        <f>IFERROR(__xludf.DUMMYFUNCTION("""COMPUTED_VALUE"""),"POSTED")</f>
        <v>POSTED</v>
      </c>
      <c r="V3459" s="1" t="str">
        <f>IFERROR(__xludf.DUMMYFUNCTION("""COMPUTED_VALUE"""),"WITH 1 AMSF")</f>
        <v>WITH 1 AMSF</v>
      </c>
      <c r="W3459" s="1"/>
    </row>
    <row r="3460" customHeight="1" spans="1:23">
      <c r="A3460" s="3">
        <f>IFERROR(__xludf.DUMMYFUNCTION("""COMPUTED_VALUE"""),46311)</f>
        <v>46311</v>
      </c>
      <c r="B3460" s="1" t="str">
        <f>IFERROR(__xludf.DUMMYFUNCTION("""COMPUTED_VALUE"""),"MALIWAT MARK ELVIN")</f>
        <v>MALIWAT MARK ELVIN</v>
      </c>
      <c r="C3460" s="1" t="str">
        <f>IFERROR(__xludf.DUMMYFUNCTION("""COMPUTED_VALUE"""),"FLA")</f>
        <v>FLA</v>
      </c>
      <c r="D3460" s="1" t="str">
        <f>IFERROR(__xludf.DUMMYFUNCTION("""COMPUTED_VALUE"""),"JERIC NAVARRO")</f>
        <v>JERIC NAVARRO</v>
      </c>
      <c r="E3460" s="1" t="str">
        <f>IFERROR(__xludf.DUMMYFUNCTION("""COMPUTED_VALUE"""),"PLDT / H2H")</f>
        <v>PLDT / H2H</v>
      </c>
      <c r="F3460" s="1"/>
      <c r="G3460" s="1">
        <f>IFERROR(__xludf.DUMMYFUNCTION("""COMPUTED_VALUE"""),2313196441)</f>
        <v>2313196441</v>
      </c>
      <c r="H3460" s="1" t="str">
        <f>IFERROR(__xludf.DUMMYFUNCTION("""COMPUTED_VALUE"""),"475842533004")</f>
        <v>475842533004</v>
      </c>
      <c r="I3460" s="1">
        <f>IFERROR(__xludf.DUMMYFUNCTION("""COMPUTED_VALUE"""),639176230272)</f>
        <v>639176230272</v>
      </c>
      <c r="J3460" s="1">
        <f>IFERROR(__xludf.DUMMYFUNCTION("""COMPUTED_VALUE"""),639178772360)</f>
        <v>639178772360</v>
      </c>
      <c r="K3460" s="1"/>
      <c r="L3460" s="1" t="str">
        <f>IFERROR(__xludf.DUMMYFUNCTION("""COMPUTED_VALUE"""),"1095")</f>
        <v>1095</v>
      </c>
      <c r="M3460" s="1" t="str">
        <f>IFERROR(__xludf.DUMMYFUNCTION("""COMPUTED_VALUE"""),"ALILIO DRIVE")</f>
        <v>ALILIO DRIVE</v>
      </c>
      <c r="N3460" s="1" t="str">
        <f>IFERROR(__xludf.DUMMYFUNCTION("""COMPUTED_VALUE"""),"#N/A")</f>
        <v>#N/A</v>
      </c>
      <c r="O3460" s="1" t="str">
        <f>IFERROR(__xludf.DUMMYFUNCTION("""COMPUTED_VALUE"""),"UPLI")</f>
        <v>UPLI</v>
      </c>
      <c r="P3460" s="1" t="str">
        <f>IFERROR(__xludf.DUMMYFUNCTION("""COMPUTED_VALUE"""),"ALFONSO")</f>
        <v>ALFONSO</v>
      </c>
      <c r="Q3460" s="1" t="str">
        <f>IFERROR(__xludf.DUMMYFUNCTION("""COMPUTED_VALUE"""),"CAVITE")</f>
        <v>CAVITE</v>
      </c>
      <c r="R3460" s="1" t="str">
        <f>IFERROR(__xludf.DUMMYFUNCTION("""COMPUTED_VALUE"""),"FIBER UNLI PLAN 1399")</f>
        <v>FIBER UNLI PLAN 1399</v>
      </c>
      <c r="S3460" s="1" t="str">
        <f>IFERROR(__xludf.DUMMYFUNCTION("""COMPUTED_VALUE"""),"APPROVED")</f>
        <v>APPROVED</v>
      </c>
      <c r="T3460" s="1" t="str">
        <f>IFERROR(__xludf.DUMMYFUNCTION("""COMPUTED_VALUE"""),"AFD")</f>
        <v>AFD</v>
      </c>
      <c r="U3460" s="1" t="str">
        <f>IFERROR(__xludf.DUMMYFUNCTION("""COMPUTED_VALUE"""),"AFD - RESCHEDULED")</f>
        <v>AFD - RESCHEDULED</v>
      </c>
      <c r="V3460" s="1" t="str">
        <f>IFERROR(__xludf.DUMMYFUNCTION("""COMPUTED_VALUE"""),"NO 1 AMSF")</f>
        <v>NO 1 AMSF</v>
      </c>
      <c r="W3460" s="1"/>
    </row>
    <row r="3461" customHeight="1" spans="1:23">
      <c r="A3461" s="3">
        <f>IFERROR(__xludf.DUMMYFUNCTION("""COMPUTED_VALUE"""),46311)</f>
        <v>46311</v>
      </c>
      <c r="B3461" s="1" t="str">
        <f>IFERROR(__xludf.DUMMYFUNCTION("""COMPUTED_VALUE"""),"CORNELIO, CATHERINE")</f>
        <v>CORNELIO, CATHERINE</v>
      </c>
      <c r="C3461" s="1" t="str">
        <f>IFERROR(__xludf.DUMMYFUNCTION("""COMPUTED_VALUE"""),"ORGANIC")</f>
        <v>ORGANIC</v>
      </c>
      <c r="D3461" s="1" t="str">
        <f>IFERROR(__xludf.DUMMYFUNCTION("""COMPUTED_VALUE"""),"REMOLLO LEA")</f>
        <v>REMOLLO LEA</v>
      </c>
      <c r="E3461" s="1" t="str">
        <f>IFERROR(__xludf.DUMMYFUNCTION("""COMPUTED_VALUE"""),"PLDT / H2H")</f>
        <v>PLDT / H2H</v>
      </c>
      <c r="F3461" s="1"/>
      <c r="G3461" s="1">
        <f>IFERROR(__xludf.DUMMYFUNCTION("""COMPUTED_VALUE"""),2313226924)</f>
        <v>2313226924</v>
      </c>
      <c r="H3461" s="1" t="str">
        <f>IFERROR(__xludf.DUMMYFUNCTION("""COMPUTED_VALUE"""),"476092856004")</f>
        <v>476092856004</v>
      </c>
      <c r="I3461" s="1">
        <f>IFERROR(__xludf.DUMMYFUNCTION("""COMPUTED_VALUE"""),639686814578)</f>
        <v>639686814578</v>
      </c>
      <c r="J3461" s="1"/>
      <c r="K3461" s="1"/>
      <c r="L3461" s="1" t="str">
        <f>IFERROR(__xludf.DUMMYFUNCTION("""COMPUTED_VALUE"""),"267A")</f>
        <v>267A</v>
      </c>
      <c r="M3461" s="1" t="str">
        <f>IFERROR(__xludf.DUMMYFUNCTION("""COMPUTED_VALUE"""),"AMBID")</f>
        <v>AMBID</v>
      </c>
      <c r="N3461" s="1" t="str">
        <f>IFERROR(__xludf.DUMMYFUNCTION("""COMPUTED_VALUE"""),"#N/A")</f>
        <v>#N/A</v>
      </c>
      <c r="O3461" s="1" t="str">
        <f>IFERROR(__xludf.DUMMYFUNCTION("""COMPUTED_VALUE"""),"BILUSO")</f>
        <v>BILUSO</v>
      </c>
      <c r="P3461" s="1" t="str">
        <f>IFERROR(__xludf.DUMMYFUNCTION("""COMPUTED_VALUE"""),"SILANG")</f>
        <v>SILANG</v>
      </c>
      <c r="Q3461" s="1" t="str">
        <f>IFERROR(__xludf.DUMMYFUNCTION("""COMPUTED_VALUE"""),"CAVITE")</f>
        <v>CAVITE</v>
      </c>
      <c r="R3461" s="1" t="str">
        <f>IFERROR(__xludf.DUMMYFUNCTION("""COMPUTED_VALUE"""),"FIBER UNLI PLAN 1399")</f>
        <v>FIBER UNLI PLAN 1399</v>
      </c>
      <c r="S3461" s="1" t="str">
        <f>IFERROR(__xludf.DUMMYFUNCTION("""COMPUTED_VALUE"""),"APPROVED")</f>
        <v>APPROVED</v>
      </c>
      <c r="T3461" s="1" t="str">
        <f>IFERROR(__xludf.DUMMYFUNCTION("""COMPUTED_VALUE"""),"PAID")</f>
        <v>PAID</v>
      </c>
      <c r="U3461" s="1" t="str">
        <f>IFERROR(__xludf.DUMMYFUNCTION("""COMPUTED_VALUE"""),"PAID - FOR INSTALLATION")</f>
        <v>PAID - FOR INSTALLATION</v>
      </c>
      <c r="V3461" s="1" t="str">
        <f>IFERROR(__xludf.DUMMYFUNCTION("""COMPUTED_VALUE"""),"WITH 1 AMSF")</f>
        <v>WITH 1 AMSF</v>
      </c>
      <c r="W3461" s="1"/>
    </row>
    <row r="3462" customHeight="1" spans="1:23">
      <c r="A3462" s="3">
        <f>IFERROR(__xludf.DUMMYFUNCTION("""COMPUTED_VALUE"""),46311)</f>
        <v>46311</v>
      </c>
      <c r="B3462" s="1" t="str">
        <f>IFERROR(__xludf.DUMMYFUNCTION("""COMPUTED_VALUE"""),"FRANCISCO , ROSELYN")</f>
        <v>FRANCISCO , ROSELYN</v>
      </c>
      <c r="C3462" s="1" t="str">
        <f>IFERROR(__xludf.DUMMYFUNCTION("""COMPUTED_VALUE"""),"ORGANIC")</f>
        <v>ORGANIC</v>
      </c>
      <c r="D3462" s="1" t="str">
        <f>IFERROR(__xludf.DUMMYFUNCTION("""COMPUTED_VALUE"""),"REMOLLO LEA")</f>
        <v>REMOLLO LEA</v>
      </c>
      <c r="E3462" s="1" t="str">
        <f>IFERROR(__xludf.DUMMYFUNCTION("""COMPUTED_VALUE"""),"PLDT / H2H")</f>
        <v>PLDT / H2H</v>
      </c>
      <c r="F3462" s="1"/>
      <c r="G3462" s="1">
        <f>IFERROR(__xludf.DUMMYFUNCTION("""COMPUTED_VALUE"""),2313197411)</f>
        <v>2313197411</v>
      </c>
      <c r="H3462" s="1" t="str">
        <f>IFERROR(__xludf.DUMMYFUNCTION("""COMPUTED_VALUE"""),"475970235004")</f>
        <v>475970235004</v>
      </c>
      <c r="I3462" s="1">
        <f>IFERROR(__xludf.DUMMYFUNCTION("""COMPUTED_VALUE"""),639665681416)</f>
        <v>639665681416</v>
      </c>
      <c r="J3462" s="1">
        <f>IFERROR(__xludf.DUMMYFUNCTION("""COMPUTED_VALUE"""),639563544613)</f>
        <v>639563544613</v>
      </c>
      <c r="K3462" s="1"/>
      <c r="L3462" s="1" t="str">
        <f>IFERROR(__xludf.DUMMYFUNCTION("""COMPUTED_VALUE"""),"108")</f>
        <v>108</v>
      </c>
      <c r="M3462" s="1" t="str">
        <f>IFERROR(__xludf.DUMMYFUNCTION("""COMPUTED_VALUE"""),"ALTAREZ")</f>
        <v>ALTAREZ</v>
      </c>
      <c r="N3462" s="1" t="str">
        <f>IFERROR(__xludf.DUMMYFUNCTION("""COMPUTED_VALUE"""),"#N/A")</f>
        <v>#N/A</v>
      </c>
      <c r="O3462" s="1" t="str">
        <f>IFERROR(__xludf.DUMMYFUNCTION("""COMPUTED_VALUE"""),"MADUYA")</f>
        <v>MADUYA</v>
      </c>
      <c r="P3462" s="1" t="str">
        <f>IFERROR(__xludf.DUMMYFUNCTION("""COMPUTED_VALUE"""),"CARMONA")</f>
        <v>CARMONA</v>
      </c>
      <c r="Q3462" s="1" t="str">
        <f>IFERROR(__xludf.DUMMYFUNCTION("""COMPUTED_VALUE"""),"CAVITE")</f>
        <v>CAVITE</v>
      </c>
      <c r="R3462" s="1" t="str">
        <f>IFERROR(__xludf.DUMMYFUNCTION("""COMPUTED_VALUE"""),"FIBER UNLI PLAN 1399")</f>
        <v>FIBER UNLI PLAN 1399</v>
      </c>
      <c r="S3462" s="1" t="str">
        <f>IFERROR(__xludf.DUMMYFUNCTION("""COMPUTED_VALUE"""),"APPROVED")</f>
        <v>APPROVED</v>
      </c>
      <c r="T3462" s="1" t="str">
        <f>IFERROR(__xludf.DUMMYFUNCTION("""COMPUTED_VALUE"""),"FOR PAYMENT")</f>
        <v>FOR PAYMENT</v>
      </c>
      <c r="U3462" s="1" t="str">
        <f>IFERROR(__xludf.DUMMYFUNCTION("""COMPUTED_VALUE"""),"FOR PAYMENT")</f>
        <v>FOR PAYMENT</v>
      </c>
      <c r="V3462" s="1"/>
      <c r="W3462" s="1"/>
    </row>
    <row r="3463" customHeight="1" spans="1:23">
      <c r="A3463" s="3">
        <f>IFERROR(__xludf.DUMMYFUNCTION("""COMPUTED_VALUE"""),46311)</f>
        <v>46311</v>
      </c>
      <c r="B3463" s="1" t="str">
        <f>IFERROR(__xludf.DUMMYFUNCTION("""COMPUTED_VALUE"""),"ALINGARO, CINDY")</f>
        <v>ALINGARO, CINDY</v>
      </c>
      <c r="C3463" s="1" t="str">
        <f>IFERROR(__xludf.DUMMYFUNCTION("""COMPUTED_VALUE"""),"ORGANIC")</f>
        <v>ORGANIC</v>
      </c>
      <c r="D3463" s="1" t="str">
        <f>IFERROR(__xludf.DUMMYFUNCTION("""COMPUTED_VALUE"""),"REMOLLO LEA")</f>
        <v>REMOLLO LEA</v>
      </c>
      <c r="E3463" s="1" t="str">
        <f>IFERROR(__xludf.DUMMYFUNCTION("""COMPUTED_VALUE"""),"PLDT / H2H")</f>
        <v>PLDT / H2H</v>
      </c>
      <c r="F3463" s="1"/>
      <c r="G3463" s="1">
        <f>IFERROR(__xludf.DUMMYFUNCTION("""COMPUTED_VALUE"""),2313197755)</f>
        <v>2313197755</v>
      </c>
      <c r="H3463" s="1" t="str">
        <f>IFERROR(__xludf.DUMMYFUNCTION("""COMPUTED_VALUE"""),"475843696004")</f>
        <v>475843696004</v>
      </c>
      <c r="I3463" s="1">
        <f>IFERROR(__xludf.DUMMYFUNCTION("""COMPUTED_VALUE"""),639065736442)</f>
        <v>639065736442</v>
      </c>
      <c r="J3463" s="1"/>
      <c r="K3463" s="1"/>
      <c r="L3463" s="1" t="str">
        <f>IFERROR(__xludf.DUMMYFUNCTION("""COMPUTED_VALUE"""),"57")</f>
        <v>57</v>
      </c>
      <c r="M3463" s="1" t="str">
        <f>IFERROR(__xludf.DUMMYFUNCTION("""COMPUTED_VALUE"""),"PAREDES")</f>
        <v>PAREDES</v>
      </c>
      <c r="N3463" s="1" t="str">
        <f>IFERROR(__xludf.DUMMYFUNCTION("""COMPUTED_VALUE"""),"#N/A")</f>
        <v>#N/A</v>
      </c>
      <c r="O3463" s="1" t="str">
        <f>IFERROR(__xludf.DUMMYFUNCTION("""COMPUTED_VALUE"""),"SAN VICENTE I")</f>
        <v>SAN VICENTE I</v>
      </c>
      <c r="P3463" s="1" t="str">
        <f>IFERROR(__xludf.DUMMYFUNCTION("""COMPUTED_VALUE"""),"SILANG")</f>
        <v>SILANG</v>
      </c>
      <c r="Q3463" s="1" t="str">
        <f>IFERROR(__xludf.DUMMYFUNCTION("""COMPUTED_VALUE"""),"CAVITE")</f>
        <v>CAVITE</v>
      </c>
      <c r="R3463" s="1" t="str">
        <f>IFERROR(__xludf.DUMMYFUNCTION("""COMPUTED_VALUE"""),"FIBER UNLI PLAN 1399")</f>
        <v>FIBER UNLI PLAN 1399</v>
      </c>
      <c r="S3463" s="1" t="str">
        <f>IFERROR(__xludf.DUMMYFUNCTION("""COMPUTED_VALUE"""),"APPROVED")</f>
        <v>APPROVED</v>
      </c>
      <c r="T3463" s="1" t="str">
        <f>IFERROR(__xludf.DUMMYFUNCTION("""COMPUTED_VALUE"""),"CLOSED")</f>
        <v>CLOSED</v>
      </c>
      <c r="U3463" s="1" t="str">
        <f>IFERROR(__xludf.DUMMYFUNCTION("""COMPUTED_VALUE"""),"POSTED")</f>
        <v>POSTED</v>
      </c>
      <c r="V3463" s="1" t="str">
        <f>IFERROR(__xludf.DUMMYFUNCTION("""COMPUTED_VALUE"""),"NO 1 AMSF")</f>
        <v>NO 1 AMSF</v>
      </c>
      <c r="W3463" s="1"/>
    </row>
    <row r="3464" customHeight="1" spans="1:23">
      <c r="A3464" s="3">
        <f>IFERROR(__xludf.DUMMYFUNCTION("""COMPUTED_VALUE"""),46311)</f>
        <v>46311</v>
      </c>
      <c r="B3464" s="1" t="str">
        <f>IFERROR(__xludf.DUMMYFUNCTION("""COMPUTED_VALUE"""),"MALIWAT MARK ELVIN")</f>
        <v>MALIWAT MARK ELVIN</v>
      </c>
      <c r="C3464" s="1" t="str">
        <f>IFERROR(__xludf.DUMMYFUNCTION("""COMPUTED_VALUE"""),"FLA")</f>
        <v>FLA</v>
      </c>
      <c r="D3464" s="1" t="str">
        <f>IFERROR(__xludf.DUMMYFUNCTION("""COMPUTED_VALUE"""),"JERIC NAVARRO")</f>
        <v>JERIC NAVARRO</v>
      </c>
      <c r="E3464" s="1" t="str">
        <f>IFERROR(__xludf.DUMMYFUNCTION("""COMPUTED_VALUE"""),"PLDT / H2H")</f>
        <v>PLDT / H2H</v>
      </c>
      <c r="F3464" s="1"/>
      <c r="G3464" s="1">
        <f>IFERROR(__xludf.DUMMYFUNCTION("""COMPUTED_VALUE"""),2313200014)</f>
        <v>2313200014</v>
      </c>
      <c r="H3464" s="1" t="str">
        <f>IFERROR(__xludf.DUMMYFUNCTION("""COMPUTED_VALUE"""),"#N/A")</f>
        <v>#N/A</v>
      </c>
      <c r="I3464" s="1">
        <f>IFERROR(__xludf.DUMMYFUNCTION("""COMPUTED_VALUE"""),639993253625)</f>
        <v>639993253625</v>
      </c>
      <c r="J3464" s="1"/>
      <c r="K3464" s="1"/>
      <c r="L3464" s="1" t="str">
        <f>IFERROR(__xludf.DUMMYFUNCTION("""COMPUTED_VALUE"""),"026-BL-013")</f>
        <v>026-BL-013</v>
      </c>
      <c r="M3464" s="1" t="str">
        <f>IFERROR(__xludf.DUMMYFUNCTION("""COMPUTED_VALUE"""),"STAR")</f>
        <v>STAR</v>
      </c>
      <c r="N3464" s="1" t="str">
        <f>IFERROR(__xludf.DUMMYFUNCTION("""COMPUTED_VALUE"""),"SOLAR HOMES PHASE 1")</f>
        <v>SOLAR HOMES PHASE 1</v>
      </c>
      <c r="O3464" s="1" t="str">
        <f>IFERROR(__xludf.DUMMYFUNCTION("""COMPUTED_VALUE"""),"SAN AGUSTIN I")</f>
        <v>SAN AGUSTIN I</v>
      </c>
      <c r="P3464" s="1" t="str">
        <f>IFERROR(__xludf.DUMMYFUNCTION("""COMPUTED_VALUE"""),"DASMARINAS")</f>
        <v>DASMARINAS</v>
      </c>
      <c r="Q3464" s="1" t="str">
        <f>IFERROR(__xludf.DUMMYFUNCTION("""COMPUTED_VALUE"""),"CAVITE")</f>
        <v>CAVITE</v>
      </c>
      <c r="R3464" s="1" t="str">
        <f>IFERROR(__xludf.DUMMYFUNCTION("""COMPUTED_VALUE"""),"FIBR UNLI ALL PLAN 999")</f>
        <v>FIBR UNLI ALL PLAN 999</v>
      </c>
      <c r="S3464" s="1" t="str">
        <f>IFERROR(__xludf.DUMMYFUNCTION("""COMPUTED_VALUE"""),"APPROVED")</f>
        <v>APPROVED</v>
      </c>
      <c r="T3464" s="1" t="str">
        <f>IFERROR(__xludf.DUMMYFUNCTION("""COMPUTED_VALUE"""),"ESCALATED TO CVA A")</f>
        <v>ESCALATED TO CVA A</v>
      </c>
      <c r="U3464" s="1" t="str">
        <f>IFERROR(__xludf.DUMMYFUNCTION("""COMPUTED_VALUE"""),"CREDIT VALIDATION")</f>
        <v>CREDIT VALIDATION</v>
      </c>
      <c r="V3464" s="1"/>
      <c r="W3464" s="1"/>
    </row>
    <row r="3465" customHeight="1" spans="1:23">
      <c r="A3465" s="3">
        <f>IFERROR(__xludf.DUMMYFUNCTION("""COMPUTED_VALUE"""),46312)</f>
        <v>46312</v>
      </c>
      <c r="B3465" s="1" t="str">
        <f>IFERROR(__xludf.DUMMYFUNCTION("""COMPUTED_VALUE"""),"CARPIO, STEPHANIE NICOLE")</f>
        <v>CARPIO, STEPHANIE NICOLE</v>
      </c>
      <c r="C3465" s="1" t="str">
        <f>IFERROR(__xludf.DUMMYFUNCTION("""COMPUTED_VALUE"""),"FLA")</f>
        <v>FLA</v>
      </c>
      <c r="D3465" s="1" t="str">
        <f>IFERROR(__xludf.DUMMYFUNCTION("""COMPUTED_VALUE"""),"JERIC NAVARRO")</f>
        <v>JERIC NAVARRO</v>
      </c>
      <c r="E3465" s="1" t="str">
        <f>IFERROR(__xludf.DUMMYFUNCTION("""COMPUTED_VALUE"""),"PLDT / ONLINE")</f>
        <v>PLDT / ONLINE</v>
      </c>
      <c r="F3465" s="1"/>
      <c r="G3465" s="1">
        <f>IFERROR(__xludf.DUMMYFUNCTION("""COMPUTED_VALUE"""),2313210305)</f>
        <v>2313210305</v>
      </c>
      <c r="H3465" s="1" t="str">
        <f>IFERROR(__xludf.DUMMYFUNCTION("""COMPUTED_VALUE"""),"475940839004")</f>
        <v>475940839004</v>
      </c>
      <c r="I3465" s="1">
        <f>IFERROR(__xludf.DUMMYFUNCTION("""COMPUTED_VALUE"""),639650472719)</f>
        <v>639650472719</v>
      </c>
      <c r="J3465" s="1"/>
      <c r="K3465" s="1"/>
      <c r="L3465" s="1" t="str">
        <f>IFERROR(__xludf.DUMMYFUNCTION("""COMPUTED_VALUE"""),"237")</f>
        <v>237</v>
      </c>
      <c r="M3465" s="1" t="str">
        <f>IFERROR(__xludf.DUMMYFUNCTION("""COMPUTED_VALUE"""),"ALVAREZ")</f>
        <v>ALVAREZ</v>
      </c>
      <c r="N3465" s="1" t="str">
        <f>IFERROR(__xludf.DUMMYFUNCTION("""COMPUTED_VALUE"""),"#N/A")</f>
        <v>#N/A</v>
      </c>
      <c r="O3465" s="1" t="str">
        <f>IFERROR(__xludf.DUMMYFUNCTION("""COMPUTED_VALUE"""),"BARANGAY 42-C (PINAGBUKLOD C)")</f>
        <v>BARANGAY 42-C (PINAGBUKLOD C)</v>
      </c>
      <c r="P3465" s="1" t="str">
        <f>IFERROR(__xludf.DUMMYFUNCTION("""COMPUTED_VALUE"""),"CAVITE CITY")</f>
        <v>CAVITE CITY</v>
      </c>
      <c r="Q3465" s="1" t="str">
        <f>IFERROR(__xludf.DUMMYFUNCTION("""COMPUTED_VALUE"""),"CAVITE")</f>
        <v>CAVITE</v>
      </c>
      <c r="R3465" s="1" t="str">
        <f>IFERROR(__xludf.DUMMYFUNCTION("""COMPUTED_VALUE"""),"FIBR NETFLIX PLAN 1599")</f>
        <v>FIBR NETFLIX PLAN 1599</v>
      </c>
      <c r="S3465" s="1" t="str">
        <f>IFERROR(__xludf.DUMMYFUNCTION("""COMPUTED_VALUE"""),"APPROVED")</f>
        <v>APPROVED</v>
      </c>
      <c r="T3465" s="1" t="str">
        <f>IFERROR(__xludf.DUMMYFUNCTION("""COMPUTED_VALUE"""),"FOR PAYMENT")</f>
        <v>FOR PAYMENT</v>
      </c>
      <c r="U3465" s="1" t="str">
        <f>IFERROR(__xludf.DUMMYFUNCTION("""COMPUTED_VALUE"""),"FOR PAYMENT")</f>
        <v>FOR PAYMENT</v>
      </c>
      <c r="V3465" s="1"/>
      <c r="W3465" s="1"/>
    </row>
    <row r="3466" customHeight="1" spans="1:23">
      <c r="A3466" s="3">
        <f>IFERROR(__xludf.DUMMYFUNCTION("""COMPUTED_VALUE"""),46312)</f>
        <v>46312</v>
      </c>
      <c r="B3466" s="1" t="str">
        <f>IFERROR(__xludf.DUMMYFUNCTION("""COMPUTED_VALUE"""),"CORNELIO, CATHERINE")</f>
        <v>CORNELIO, CATHERINE</v>
      </c>
      <c r="C3466" s="1" t="str">
        <f>IFERROR(__xludf.DUMMYFUNCTION("""COMPUTED_VALUE"""),"ORGANIC")</f>
        <v>ORGANIC</v>
      </c>
      <c r="D3466" s="1" t="str">
        <f>IFERROR(__xludf.DUMMYFUNCTION("""COMPUTED_VALUE"""),"REMOLLO LEA")</f>
        <v>REMOLLO LEA</v>
      </c>
      <c r="E3466" s="1" t="str">
        <f>IFERROR(__xludf.DUMMYFUNCTION("""COMPUTED_VALUE"""),"PLDT / H2H")</f>
        <v>PLDT / H2H</v>
      </c>
      <c r="F3466" s="1"/>
      <c r="G3466" s="1">
        <f>IFERROR(__xludf.DUMMYFUNCTION("""COMPUTED_VALUE"""),2313210877)</f>
        <v>2313210877</v>
      </c>
      <c r="H3466" s="1" t="str">
        <f>IFERROR(__xludf.DUMMYFUNCTION("""COMPUTED_VALUE"""),"475941596004")</f>
        <v>475941596004</v>
      </c>
      <c r="I3466" s="1">
        <f>IFERROR(__xludf.DUMMYFUNCTION("""COMPUTED_VALUE"""),639099995906)</f>
        <v>639099995906</v>
      </c>
      <c r="J3466" s="1">
        <f>IFERROR(__xludf.DUMMYFUNCTION("""COMPUTED_VALUE"""),639853178408)</f>
        <v>639853178408</v>
      </c>
      <c r="K3466" s="1"/>
      <c r="L3466" s="1" t="str">
        <f>IFERROR(__xludf.DUMMYFUNCTION("""COMPUTED_VALUE"""),"008-BL-012")</f>
        <v>008-BL-012</v>
      </c>
      <c r="M3466" s="1" t="str">
        <f>IFERROR(__xludf.DUMMYFUNCTION("""COMPUTED_VALUE"""),"PABAHAY")</f>
        <v>PABAHAY</v>
      </c>
      <c r="N3466" s="1" t="str">
        <f>IFERROR(__xludf.DUMMYFUNCTION("""COMPUTED_VALUE"""),"PABAHAY")</f>
        <v>PABAHAY</v>
      </c>
      <c r="O3466" s="1" t="str">
        <f>IFERROR(__xludf.DUMMYFUNCTION("""COMPUTED_VALUE"""),"ZAMBAL")</f>
        <v>ZAMBAL</v>
      </c>
      <c r="P3466" s="1" t="str">
        <f>IFERROR(__xludf.DUMMYFUNCTION("""COMPUTED_VALUE"""),"TAGAYTAY")</f>
        <v>TAGAYTAY</v>
      </c>
      <c r="Q3466" s="1" t="str">
        <f>IFERROR(__xludf.DUMMYFUNCTION("""COMPUTED_VALUE"""),"CAVITE")</f>
        <v>CAVITE</v>
      </c>
      <c r="R3466" s="1" t="str">
        <f>IFERROR(__xludf.DUMMYFUNCTION("""COMPUTED_VALUE"""),"FIBER UNLI PLAN 1399")</f>
        <v>FIBER UNLI PLAN 1399</v>
      </c>
      <c r="S3466" s="1" t="str">
        <f>IFERROR(__xludf.DUMMYFUNCTION("""COMPUTED_VALUE"""),"APPROVED")</f>
        <v>APPROVED</v>
      </c>
      <c r="T3466" s="1" t="str">
        <f>IFERROR(__xludf.DUMMYFUNCTION("""COMPUTED_VALUE"""),"CLOSED")</f>
        <v>CLOSED</v>
      </c>
      <c r="U3466" s="1" t="str">
        <f>IFERROR(__xludf.DUMMYFUNCTION("""COMPUTED_VALUE"""),"POSTED")</f>
        <v>POSTED</v>
      </c>
      <c r="V3466" s="1" t="str">
        <f>IFERROR(__xludf.DUMMYFUNCTION("""COMPUTED_VALUE"""),"NO 1 AMSF")</f>
        <v>NO 1 AMSF</v>
      </c>
      <c r="W3466" s="1"/>
    </row>
    <row r="3467" customHeight="1" spans="1:23">
      <c r="A3467" s="3">
        <f>IFERROR(__xludf.DUMMYFUNCTION("""COMPUTED_VALUE"""),46312)</f>
        <v>46312</v>
      </c>
      <c r="B3467" s="1" t="str">
        <f>IFERROR(__xludf.DUMMYFUNCTION("""COMPUTED_VALUE"""),"ARIENA, LYKA")</f>
        <v>ARIENA, LYKA</v>
      </c>
      <c r="C3467" s="1" t="str">
        <f>IFERROR(__xludf.DUMMYFUNCTION("""COMPUTED_VALUE"""),"ORGANIC")</f>
        <v>ORGANIC</v>
      </c>
      <c r="D3467" s="1" t="str">
        <f>IFERROR(__xludf.DUMMYFUNCTION("""COMPUTED_VALUE"""),"REMOLLO LEA")</f>
        <v>REMOLLO LEA</v>
      </c>
      <c r="E3467" s="1" t="str">
        <f>IFERROR(__xludf.DUMMYFUNCTION("""COMPUTED_VALUE"""),"PLDT / H2H")</f>
        <v>PLDT / H2H</v>
      </c>
      <c r="F3467" s="1"/>
      <c r="G3467" s="1">
        <f>IFERROR(__xludf.DUMMYFUNCTION("""COMPUTED_VALUE"""),2313211130)</f>
        <v>2313211130</v>
      </c>
      <c r="H3467" s="1" t="str">
        <f>IFERROR(__xludf.DUMMYFUNCTION("""COMPUTED_VALUE"""),"475944585004")</f>
        <v>475944585004</v>
      </c>
      <c r="I3467" s="1">
        <f>IFERROR(__xludf.DUMMYFUNCTION("""COMPUTED_VALUE"""),639700801328)</f>
        <v>639700801328</v>
      </c>
      <c r="J3467" s="1"/>
      <c r="K3467" s="1"/>
      <c r="L3467" s="1" t="str">
        <f>IFERROR(__xludf.DUMMYFUNCTION("""COMPUTED_VALUE"""),"001-BL-022")</f>
        <v>001-BL-022</v>
      </c>
      <c r="M3467" s="1" t="str">
        <f>IFERROR(__xludf.DUMMYFUNCTION("""COMPUTED_VALUE"""),"GARNET")</f>
        <v>GARNET</v>
      </c>
      <c r="N3467" s="1" t="str">
        <f>IFERROR(__xludf.DUMMYFUNCTION("""COMPUTED_VALUE"""),"#N/A")</f>
        <v>#N/A</v>
      </c>
      <c r="O3467" s="1" t="str">
        <f>IFERROR(__xludf.DUMMYFUNCTION("""COMPUTED_VALUE"""),"MARCELINO MEMIJE")</f>
        <v>MARCELINO MEMIJE</v>
      </c>
      <c r="P3467" s="1" t="str">
        <f>IFERROR(__xludf.DUMMYFUNCTION("""COMPUTED_VALUE"""),"GEN MARIANO ALVAREZ")</f>
        <v>GEN MARIANO ALVAREZ</v>
      </c>
      <c r="Q3467" s="1" t="str">
        <f>IFERROR(__xludf.DUMMYFUNCTION("""COMPUTED_VALUE"""),"CAVITE")</f>
        <v>CAVITE</v>
      </c>
      <c r="R3467" s="1" t="str">
        <f>IFERROR(__xludf.DUMMYFUNCTION("""COMPUTED_VALUE"""),"FIBER UNLI PLAN 1399")</f>
        <v>FIBER UNLI PLAN 1399</v>
      </c>
      <c r="S3467" s="1" t="str">
        <f>IFERROR(__xludf.DUMMYFUNCTION("""COMPUTED_VALUE"""),"APPROVED")</f>
        <v>APPROVED</v>
      </c>
      <c r="T3467" s="1" t="str">
        <f>IFERROR(__xludf.DUMMYFUNCTION("""COMPUTED_VALUE"""),"CLOSED")</f>
        <v>CLOSED</v>
      </c>
      <c r="U3467" s="1" t="str">
        <f>IFERROR(__xludf.DUMMYFUNCTION("""COMPUTED_VALUE"""),"POSTED")</f>
        <v>POSTED</v>
      </c>
      <c r="V3467" s="1" t="str">
        <f>IFERROR(__xludf.DUMMYFUNCTION("""COMPUTED_VALUE"""),"NO 1 AMSF")</f>
        <v>NO 1 AMSF</v>
      </c>
      <c r="W3467" s="1"/>
    </row>
    <row r="3468" customHeight="1" spans="1:23">
      <c r="A3468" s="3">
        <f>IFERROR(__xludf.DUMMYFUNCTION("""COMPUTED_VALUE"""),46312)</f>
        <v>46312</v>
      </c>
      <c r="B3468" s="1" t="str">
        <f>IFERROR(__xludf.DUMMYFUNCTION("""COMPUTED_VALUE"""),"GABAY, MANUEL")</f>
        <v>GABAY, MANUEL</v>
      </c>
      <c r="C3468" s="1" t="str">
        <f>IFERROR(__xludf.DUMMYFUNCTION("""COMPUTED_VALUE"""),"FLA")</f>
        <v>FLA</v>
      </c>
      <c r="D3468" s="1" t="str">
        <f>IFERROR(__xludf.DUMMYFUNCTION("""COMPUTED_VALUE"""),"JERIC NAVARRO")</f>
        <v>JERIC NAVARRO</v>
      </c>
      <c r="E3468" s="1" t="str">
        <f>IFERROR(__xludf.DUMMYFUNCTION("""COMPUTED_VALUE"""),"PLDT / H2H")</f>
        <v>PLDT / H2H</v>
      </c>
      <c r="F3468" s="1"/>
      <c r="G3468" s="1">
        <f>IFERROR(__xludf.DUMMYFUNCTION("""COMPUTED_VALUE"""),2313211363)</f>
        <v>2313211363</v>
      </c>
      <c r="H3468" s="1" t="str">
        <f>IFERROR(__xludf.DUMMYFUNCTION("""COMPUTED_VALUE"""),"476163119004")</f>
        <v>476163119004</v>
      </c>
      <c r="I3468" s="1">
        <f>IFERROR(__xludf.DUMMYFUNCTION("""COMPUTED_VALUE"""),639056329340)</f>
        <v>639056329340</v>
      </c>
      <c r="J3468" s="1">
        <f>IFERROR(__xludf.DUMMYFUNCTION("""COMPUTED_VALUE"""),639850417124)</f>
        <v>639850417124</v>
      </c>
      <c r="K3468" s="1"/>
      <c r="L3468" s="1" t="str">
        <f>IFERROR(__xludf.DUMMYFUNCTION("""COMPUTED_VALUE"""),"024-BL-24B")</f>
        <v>024-BL-24B</v>
      </c>
      <c r="M3468" s="1" t="str">
        <f>IFERROR(__xludf.DUMMYFUNCTION("""COMPUTED_VALUE"""),"PHASE 6")</f>
        <v>PHASE 6</v>
      </c>
      <c r="N3468" s="1" t="str">
        <f>IFERROR(__xludf.DUMMYFUNCTION("""COMPUTED_VALUE"""),"#N/A")</f>
        <v>#N/A</v>
      </c>
      <c r="O3468" s="1" t="str">
        <f>IFERROR(__xludf.DUMMYFUNCTION("""COMPUTED_VALUE"""),"BANABA")</f>
        <v>BANABA</v>
      </c>
      <c r="P3468" s="1" t="str">
        <f>IFERROR(__xludf.DUMMYFUNCTION("""COMPUTED_VALUE"""),"SILANG")</f>
        <v>SILANG</v>
      </c>
      <c r="Q3468" s="1" t="str">
        <f>IFERROR(__xludf.DUMMYFUNCTION("""COMPUTED_VALUE"""),"CAVITE")</f>
        <v>CAVITE</v>
      </c>
      <c r="R3468" s="1" t="str">
        <f>IFERROR(__xludf.DUMMYFUNCTION("""COMPUTED_VALUE"""),"FIBR NETFLIX PLAN 1599")</f>
        <v>FIBR NETFLIX PLAN 1599</v>
      </c>
      <c r="S3468" s="1" t="str">
        <f>IFERROR(__xludf.DUMMYFUNCTION("""COMPUTED_VALUE"""),"APPROVED")</f>
        <v>APPROVED</v>
      </c>
      <c r="T3468" s="1" t="str">
        <f>IFERROR(__xludf.DUMMYFUNCTION("""COMPUTED_VALUE"""),"ORDER CREATED")</f>
        <v>ORDER CREATED</v>
      </c>
      <c r="U3468" s="1" t="str">
        <f>IFERROR(__xludf.DUMMYFUNCTION("""COMPUTED_VALUE"""),"OPEN")</f>
        <v>OPEN</v>
      </c>
      <c r="V3468" s="1"/>
      <c r="W3468" s="1"/>
    </row>
    <row r="3469" customHeight="1" spans="1:23">
      <c r="A3469" s="3">
        <f>IFERROR(__xludf.DUMMYFUNCTION("""COMPUTED_VALUE"""),46312)</f>
        <v>46312</v>
      </c>
      <c r="B3469" s="1" t="str">
        <f>IFERROR(__xludf.DUMMYFUNCTION("""COMPUTED_VALUE"""),"GABAY, MANUEL")</f>
        <v>GABAY, MANUEL</v>
      </c>
      <c r="C3469" s="1" t="str">
        <f>IFERROR(__xludf.DUMMYFUNCTION("""COMPUTED_VALUE"""),"FLA")</f>
        <v>FLA</v>
      </c>
      <c r="D3469" s="1" t="str">
        <f>IFERROR(__xludf.DUMMYFUNCTION("""COMPUTED_VALUE"""),"JERIC NAVARRO")</f>
        <v>JERIC NAVARRO</v>
      </c>
      <c r="E3469" s="1" t="str">
        <f>IFERROR(__xludf.DUMMYFUNCTION("""COMPUTED_VALUE"""),"PLDT / H2H")</f>
        <v>PLDT / H2H</v>
      </c>
      <c r="F3469" s="1"/>
      <c r="G3469" s="1">
        <f>IFERROR(__xludf.DUMMYFUNCTION("""COMPUTED_VALUE"""),2313243080)</f>
        <v>2313243080</v>
      </c>
      <c r="H3469" s="1" t="str">
        <f>IFERROR(__xludf.DUMMYFUNCTION("""COMPUTED_VALUE"""),"#N/A")</f>
        <v>#N/A</v>
      </c>
      <c r="I3469" s="1">
        <f>IFERROR(__xludf.DUMMYFUNCTION("""COMPUTED_VALUE"""),639708371732)</f>
        <v>639708371732</v>
      </c>
      <c r="J3469" s="1">
        <f>IFERROR(__xludf.DUMMYFUNCTION("""COMPUTED_VALUE"""),639757883545)</f>
        <v>639757883545</v>
      </c>
      <c r="K3469" s="1"/>
      <c r="L3469" s="1" t="str">
        <f>IFERROR(__xludf.DUMMYFUNCTION("""COMPUTED_VALUE"""),"007-BL-013")</f>
        <v>007-BL-013</v>
      </c>
      <c r="M3469" s="1" t="str">
        <f>IFERROR(__xludf.DUMMYFUNCTION("""COMPUTED_VALUE"""),"SAN FRANCESCO VILLAGGIO")</f>
        <v>SAN FRANCESCO VILLAGGIO</v>
      </c>
      <c r="N3469" s="1" t="str">
        <f>IFERROR(__xludf.DUMMYFUNCTION("""COMPUTED_VALUE"""),"SAN FRANCESCO VILLAGGIO")</f>
        <v>SAN FRANCESCO VILLAGGIO</v>
      </c>
      <c r="O3469" s="1" t="str">
        <f>IFERROR(__xludf.DUMMYFUNCTION("""COMPUTED_VALUE"""),"LALLANA")</f>
        <v>LALLANA</v>
      </c>
      <c r="P3469" s="1" t="str">
        <f>IFERROR(__xludf.DUMMYFUNCTION("""COMPUTED_VALUE"""),"TRECE MARTIRES")</f>
        <v>TRECE MARTIRES</v>
      </c>
      <c r="Q3469" s="1" t="str">
        <f>IFERROR(__xludf.DUMMYFUNCTION("""COMPUTED_VALUE"""),"CAVITE")</f>
        <v>CAVITE</v>
      </c>
      <c r="R3469" s="1" t="str">
        <f>IFERROR(__xludf.DUMMYFUNCTION("""COMPUTED_VALUE"""),"FIBER UNLI PLAN 1399")</f>
        <v>FIBER UNLI PLAN 1399</v>
      </c>
      <c r="S3469" s="1" t="str">
        <f>IFERROR(__xludf.DUMMYFUNCTION("""COMPUTED_VALUE"""),"APPROVED")</f>
        <v>APPROVED</v>
      </c>
      <c r="T3469" s="1" t="str">
        <f>IFERROR(__xludf.DUMMYFUNCTION("""COMPUTED_VALUE"""),"ESCALATED TO CVA A")</f>
        <v>ESCALATED TO CVA A</v>
      </c>
      <c r="U3469" s="1" t="str">
        <f>IFERROR(__xludf.DUMMYFUNCTION("""COMPUTED_VALUE"""),"CREDIT VALIDATION")</f>
        <v>CREDIT VALIDATION</v>
      </c>
      <c r="V3469" s="1"/>
      <c r="W3469" s="1"/>
    </row>
    <row r="3470" customHeight="1" spans="1:23">
      <c r="A3470" s="3">
        <f>IFERROR(__xludf.DUMMYFUNCTION("""COMPUTED_VALUE"""),46312)</f>
        <v>46312</v>
      </c>
      <c r="B3470" s="1" t="str">
        <f>IFERROR(__xludf.DUMMYFUNCTION("""COMPUTED_VALUE"""),"BAQUIT ,JAZMIN")</f>
        <v>BAQUIT ,JAZMIN</v>
      </c>
      <c r="C3470" s="1" t="str">
        <f>IFERROR(__xludf.DUMMYFUNCTION("""COMPUTED_VALUE"""),"ORGANIC")</f>
        <v>ORGANIC</v>
      </c>
      <c r="D3470" s="1" t="str">
        <f>IFERROR(__xludf.DUMMYFUNCTION("""COMPUTED_VALUE"""),"REMOLLO LEA")</f>
        <v>REMOLLO LEA</v>
      </c>
      <c r="E3470" s="1" t="str">
        <f>IFERROR(__xludf.DUMMYFUNCTION("""COMPUTED_VALUE"""),"PLDT / H2H")</f>
        <v>PLDT / H2H</v>
      </c>
      <c r="F3470" s="1"/>
      <c r="G3470" s="1">
        <f>IFERROR(__xludf.DUMMYFUNCTION("""COMPUTED_VALUE"""),2313213397)</f>
        <v>2313213397</v>
      </c>
      <c r="H3470" s="1" t="str">
        <f>IFERROR(__xludf.DUMMYFUNCTION("""COMPUTED_VALUE"""),"475959785004")</f>
        <v>475959785004</v>
      </c>
      <c r="I3470" s="1">
        <f>IFERROR(__xludf.DUMMYFUNCTION("""COMPUTED_VALUE"""),639702197706)</f>
        <v>639702197706</v>
      </c>
      <c r="J3470" s="1"/>
      <c r="K3470" s="1"/>
      <c r="L3470" s="1" t="str">
        <f>IFERROR(__xludf.DUMMYFUNCTION("""COMPUTED_VALUE"""),"11628")</f>
        <v>11628</v>
      </c>
      <c r="M3470" s="1" t="str">
        <f>IFERROR(__xludf.DUMMYFUNCTION("""COMPUTED_VALUE"""),"PURIFICACION")</f>
        <v>PURIFICACION</v>
      </c>
      <c r="N3470" s="1" t="str">
        <f>IFERROR(__xludf.DUMMYFUNCTION("""COMPUTED_VALUE"""),"#N/A")</f>
        <v>#N/A</v>
      </c>
      <c r="O3470" s="1" t="str">
        <f>IFERROR(__xludf.DUMMYFUNCTION("""COMPUTED_VALUE"""),"MABUHAY")</f>
        <v>MABUHAY</v>
      </c>
      <c r="P3470" s="1" t="str">
        <f>IFERROR(__xludf.DUMMYFUNCTION("""COMPUTED_VALUE"""),"CARMONA")</f>
        <v>CARMONA</v>
      </c>
      <c r="Q3470" s="1" t="str">
        <f>IFERROR(__xludf.DUMMYFUNCTION("""COMPUTED_VALUE"""),"CAVITE")</f>
        <v>CAVITE</v>
      </c>
      <c r="R3470" s="1" t="str">
        <f>IFERROR(__xludf.DUMMYFUNCTION("""COMPUTED_VALUE"""),"FIBER UNLI PLAN 1399")</f>
        <v>FIBER UNLI PLAN 1399</v>
      </c>
      <c r="S3470" s="1" t="str">
        <f>IFERROR(__xludf.DUMMYFUNCTION("""COMPUTED_VALUE"""),"APPROVED")</f>
        <v>APPROVED</v>
      </c>
      <c r="T3470" s="1" t="str">
        <f>IFERROR(__xludf.DUMMYFUNCTION("""COMPUTED_VALUE"""),"PAID")</f>
        <v>PAID</v>
      </c>
      <c r="U3470" s="1" t="str">
        <f>IFERROR(__xludf.DUMMYFUNCTION("""COMPUTED_VALUE"""),"PAID - FOR INSTALLATION")</f>
        <v>PAID - FOR INSTALLATION</v>
      </c>
      <c r="V3470" s="1" t="str">
        <f>IFERROR(__xludf.DUMMYFUNCTION("""COMPUTED_VALUE"""),"NO 1 AMSF")</f>
        <v>NO 1 AMSF</v>
      </c>
      <c r="W3470" s="1"/>
    </row>
    <row r="3471" customHeight="1" spans="1:23">
      <c r="A3471" s="3">
        <f>IFERROR(__xludf.DUMMYFUNCTION("""COMPUTED_VALUE"""),46312)</f>
        <v>46312</v>
      </c>
      <c r="B3471" s="1" t="str">
        <f>IFERROR(__xludf.DUMMYFUNCTION("""COMPUTED_VALUE"""),"FRANCISCO , ROSELYN")</f>
        <v>FRANCISCO , ROSELYN</v>
      </c>
      <c r="C3471" s="1" t="str">
        <f>IFERROR(__xludf.DUMMYFUNCTION("""COMPUTED_VALUE"""),"ORGANIC")</f>
        <v>ORGANIC</v>
      </c>
      <c r="D3471" s="1" t="str">
        <f>IFERROR(__xludf.DUMMYFUNCTION("""COMPUTED_VALUE"""),"REMOLLO LEA")</f>
        <v>REMOLLO LEA</v>
      </c>
      <c r="E3471" s="1" t="str">
        <f>IFERROR(__xludf.DUMMYFUNCTION("""COMPUTED_VALUE"""),"PLDT / H2H")</f>
        <v>PLDT / H2H</v>
      </c>
      <c r="F3471" s="1"/>
      <c r="G3471" s="1">
        <f>IFERROR(__xludf.DUMMYFUNCTION("""COMPUTED_VALUE"""),2313213672)</f>
        <v>2313213672</v>
      </c>
      <c r="H3471" s="1" t="str">
        <f>IFERROR(__xludf.DUMMYFUNCTION("""COMPUTED_VALUE"""),"475960664004")</f>
        <v>475960664004</v>
      </c>
      <c r="I3471" s="1">
        <f>IFERROR(__xludf.DUMMYFUNCTION("""COMPUTED_VALUE"""),639679559940)</f>
        <v>639679559940</v>
      </c>
      <c r="J3471" s="1">
        <f>IFERROR(__xludf.DUMMYFUNCTION("""COMPUTED_VALUE"""),639954362685)</f>
        <v>639954362685</v>
      </c>
      <c r="K3471" s="1"/>
      <c r="L3471" s="1" t="str">
        <f>IFERROR(__xludf.DUMMYFUNCTION("""COMPUTED_VALUE"""),"11609")</f>
        <v>11609</v>
      </c>
      <c r="M3471" s="1" t="str">
        <f>IFERROR(__xludf.DUMMYFUNCTION("""COMPUTED_VALUE"""),"PURIFICACION")</f>
        <v>PURIFICACION</v>
      </c>
      <c r="N3471" s="1" t="str">
        <f>IFERROR(__xludf.DUMMYFUNCTION("""COMPUTED_VALUE"""),"#N/A")</f>
        <v>#N/A</v>
      </c>
      <c r="O3471" s="1" t="str">
        <f>IFERROR(__xludf.DUMMYFUNCTION("""COMPUTED_VALUE"""),"MABUHAY")</f>
        <v>MABUHAY</v>
      </c>
      <c r="P3471" s="1" t="str">
        <f>IFERROR(__xludf.DUMMYFUNCTION("""COMPUTED_VALUE"""),"CARMONA")</f>
        <v>CARMONA</v>
      </c>
      <c r="Q3471" s="1" t="str">
        <f>IFERROR(__xludf.DUMMYFUNCTION("""COMPUTED_VALUE"""),"CAVITE")</f>
        <v>CAVITE</v>
      </c>
      <c r="R3471" s="1" t="str">
        <f>IFERROR(__xludf.DUMMYFUNCTION("""COMPUTED_VALUE"""),"FIBER UNLI PLAN 1399")</f>
        <v>FIBER UNLI PLAN 1399</v>
      </c>
      <c r="S3471" s="1" t="str">
        <f>IFERROR(__xludf.DUMMYFUNCTION("""COMPUTED_VALUE"""),"APPROVED")</f>
        <v>APPROVED</v>
      </c>
      <c r="T3471" s="1" t="str">
        <f>IFERROR(__xludf.DUMMYFUNCTION("""COMPUTED_VALUE"""),"CLOSED")</f>
        <v>CLOSED</v>
      </c>
      <c r="U3471" s="1" t="str">
        <f>IFERROR(__xludf.DUMMYFUNCTION("""COMPUTED_VALUE"""),"POSTED")</f>
        <v>POSTED</v>
      </c>
      <c r="V3471" s="1" t="str">
        <f>IFERROR(__xludf.DUMMYFUNCTION("""COMPUTED_VALUE"""),"NO 1 AMSF")</f>
        <v>NO 1 AMSF</v>
      </c>
      <c r="W3471" s="1"/>
    </row>
    <row r="3472" customHeight="1" spans="1:23">
      <c r="A3472" s="3">
        <f>IFERROR(__xludf.DUMMYFUNCTION("""COMPUTED_VALUE"""),46312)</f>
        <v>46312</v>
      </c>
      <c r="B3472" s="1" t="str">
        <f>IFERROR(__xludf.DUMMYFUNCTION("""COMPUTED_VALUE"""),"DACLAN, IVY")</f>
        <v>DACLAN, IVY</v>
      </c>
      <c r="C3472" s="1" t="str">
        <f>IFERROR(__xludf.DUMMYFUNCTION("""COMPUTED_VALUE"""),"ORGANIC")</f>
        <v>ORGANIC</v>
      </c>
      <c r="D3472" s="1" t="str">
        <f>IFERROR(__xludf.DUMMYFUNCTION("""COMPUTED_VALUE"""),"REMOLLO LEA")</f>
        <v>REMOLLO LEA</v>
      </c>
      <c r="E3472" s="1" t="str">
        <f>IFERROR(__xludf.DUMMYFUNCTION("""COMPUTED_VALUE"""),"PLDT / H2H")</f>
        <v>PLDT / H2H</v>
      </c>
      <c r="F3472" s="1"/>
      <c r="G3472" s="1">
        <f>IFERROR(__xludf.DUMMYFUNCTION("""COMPUTED_VALUE"""),2313213998)</f>
        <v>2313213998</v>
      </c>
      <c r="H3472" s="1" t="str">
        <f>IFERROR(__xludf.DUMMYFUNCTION("""COMPUTED_VALUE"""),"#N/A")</f>
        <v>#N/A</v>
      </c>
      <c r="I3472" s="1">
        <f>IFERROR(__xludf.DUMMYFUNCTION("""COMPUTED_VALUE"""),639979542316)</f>
        <v>639979542316</v>
      </c>
      <c r="J3472" s="1"/>
      <c r="K3472" s="1"/>
      <c r="L3472" s="1" t="str">
        <f>IFERROR(__xludf.DUMMYFUNCTION("""COMPUTED_VALUE"""),"015-BL-024")</f>
        <v>015-BL-024</v>
      </c>
      <c r="M3472" s="1" t="str">
        <f>IFERROR(__xludf.DUMMYFUNCTION("""COMPUTED_VALUE"""),"TOWNHOMES")</f>
        <v>TOWNHOMES</v>
      </c>
      <c r="N3472" s="1" t="str">
        <f>IFERROR(__xludf.DUMMYFUNCTION("""COMPUTED_VALUE"""),"TOWNHOMES SUBDIVISION")</f>
        <v>TOWNHOMES SUBDIVISION</v>
      </c>
      <c r="O3472" s="1" t="str">
        <f>IFERROR(__xludf.DUMMYFUNCTION("""COMPUTED_VALUE"""),"MILAGROSA")</f>
        <v>MILAGROSA</v>
      </c>
      <c r="P3472" s="1" t="str">
        <f>IFERROR(__xludf.DUMMYFUNCTION("""COMPUTED_VALUE"""),"CARMONA")</f>
        <v>CARMONA</v>
      </c>
      <c r="Q3472" s="1" t="str">
        <f>IFERROR(__xludf.DUMMYFUNCTION("""COMPUTED_VALUE"""),"CAVITE")</f>
        <v>CAVITE</v>
      </c>
      <c r="R3472" s="1" t="str">
        <f>IFERROR(__xludf.DUMMYFUNCTION("""COMPUTED_VALUE"""),"FIBER UNLI PLAN 1399")</f>
        <v>FIBER UNLI PLAN 1399</v>
      </c>
      <c r="S3472" s="1" t="str">
        <f>IFERROR(__xludf.DUMMYFUNCTION("""COMPUTED_VALUE"""),"APPROVED")</f>
        <v>APPROVED</v>
      </c>
      <c r="T3472" s="1" t="str">
        <f>IFERROR(__xludf.DUMMYFUNCTION("""COMPUTED_VALUE"""),"CANCELLED")</f>
        <v>CANCELLED</v>
      </c>
      <c r="U3472" s="1" t="str">
        <f>IFERROR(__xludf.DUMMYFUNCTION("""COMPUTED_VALUE"""),"CANCELLED - WITH OB")</f>
        <v>CANCELLED - WITH OB</v>
      </c>
      <c r="V3472" s="1"/>
      <c r="W3472" s="1"/>
    </row>
    <row r="3473" customHeight="1" spans="1:23">
      <c r="A3473" s="3">
        <f>IFERROR(__xludf.DUMMYFUNCTION("""COMPUTED_VALUE"""),46312)</f>
        <v>46312</v>
      </c>
      <c r="B3473" s="1" t="str">
        <f>IFERROR(__xludf.DUMMYFUNCTION("""COMPUTED_VALUE"""),"ESCARCHA, MA ALMA  ESCOTO")</f>
        <v>ESCARCHA, MA ALMA  ESCOTO</v>
      </c>
      <c r="C3473" s="1" t="str">
        <f>IFERROR(__xludf.DUMMYFUNCTION("""COMPUTED_VALUE"""),"ORGANIC")</f>
        <v>ORGANIC</v>
      </c>
      <c r="D3473" s="1" t="str">
        <f>IFERROR(__xludf.DUMMYFUNCTION("""COMPUTED_VALUE"""),"REMOLLO LEA")</f>
        <v>REMOLLO LEA</v>
      </c>
      <c r="E3473" s="1" t="str">
        <f>IFERROR(__xludf.DUMMYFUNCTION("""COMPUTED_VALUE"""),"PLDT / H2H")</f>
        <v>PLDT / H2H</v>
      </c>
      <c r="F3473" s="1"/>
      <c r="G3473" s="1">
        <f>IFERROR(__xludf.DUMMYFUNCTION("""COMPUTED_VALUE"""),2313214229)</f>
        <v>2313214229</v>
      </c>
      <c r="H3473" s="1" t="str">
        <f>IFERROR(__xludf.DUMMYFUNCTION("""COMPUTED_VALUE"""),"476221065004")</f>
        <v>476221065004</v>
      </c>
      <c r="I3473" s="1">
        <f>IFERROR(__xludf.DUMMYFUNCTION("""COMPUTED_VALUE"""),639300635307)</f>
        <v>639300635307</v>
      </c>
      <c r="J3473" s="1"/>
      <c r="K3473" s="1"/>
      <c r="L3473" s="1" t="str">
        <f>IFERROR(__xludf.DUMMYFUNCTION("""COMPUTED_VALUE"""),"11415")</f>
        <v>11415</v>
      </c>
      <c r="M3473" s="1" t="str">
        <f>IFERROR(__xludf.DUMMYFUNCTION("""COMPUTED_VALUE"""),"M REYES")</f>
        <v>M REYES</v>
      </c>
      <c r="N3473" s="1" t="str">
        <f>IFERROR(__xludf.DUMMYFUNCTION("""COMPUTED_VALUE"""),"#N/A")</f>
        <v>#N/A</v>
      </c>
      <c r="O3473" s="1" t="str">
        <f>IFERROR(__xludf.DUMMYFUNCTION("""COMPUTED_VALUE"""),"MABUHAY")</f>
        <v>MABUHAY</v>
      </c>
      <c r="P3473" s="1" t="str">
        <f>IFERROR(__xludf.DUMMYFUNCTION("""COMPUTED_VALUE"""),"CARMONA")</f>
        <v>CARMONA</v>
      </c>
      <c r="Q3473" s="1" t="str">
        <f>IFERROR(__xludf.DUMMYFUNCTION("""COMPUTED_VALUE"""),"CAVITE")</f>
        <v>CAVITE</v>
      </c>
      <c r="R3473" s="1" t="str">
        <f>IFERROR(__xludf.DUMMYFUNCTION("""COMPUTED_VALUE"""),"FIBER UNLI PLAN 1399")</f>
        <v>FIBER UNLI PLAN 1399</v>
      </c>
      <c r="S3473" s="1" t="str">
        <f>IFERROR(__xludf.DUMMYFUNCTION("""COMPUTED_VALUE"""),"APPROVED")</f>
        <v>APPROVED</v>
      </c>
      <c r="T3473" s="1" t="str">
        <f>IFERROR(__xludf.DUMMYFUNCTION("""COMPUTED_VALUE"""),"AFD")</f>
        <v>AFD</v>
      </c>
      <c r="U3473" s="1" t="str">
        <f>IFERROR(__xludf.DUMMYFUNCTION("""COMPUTED_VALUE"""),"AFD - RESCHEDULE")</f>
        <v>AFD - RESCHEDULE</v>
      </c>
      <c r="V3473" s="1" t="str">
        <f>IFERROR(__xludf.DUMMYFUNCTION("""COMPUTED_VALUE"""),"NO 1 AMSF")</f>
        <v>NO 1 AMSF</v>
      </c>
      <c r="W3473" s="1"/>
    </row>
    <row r="3474" customHeight="1" spans="1:23">
      <c r="A3474" s="3">
        <f>IFERROR(__xludf.DUMMYFUNCTION("""COMPUTED_VALUE"""),46312)</f>
        <v>46312</v>
      </c>
      <c r="B3474" s="1" t="str">
        <f>IFERROR(__xludf.DUMMYFUNCTION("""COMPUTED_VALUE"""),"AYON MANUEL")</f>
        <v>AYON MANUEL</v>
      </c>
      <c r="C3474" s="1" t="str">
        <f>IFERROR(__xludf.DUMMYFUNCTION("""COMPUTED_VALUE"""),"FLA")</f>
        <v>FLA</v>
      </c>
      <c r="D3474" s="1" t="str">
        <f>IFERROR(__xludf.DUMMYFUNCTION("""COMPUTED_VALUE"""),"JERIC NAVARRO")</f>
        <v>JERIC NAVARRO</v>
      </c>
      <c r="E3474" s="1" t="str">
        <f>IFERROR(__xludf.DUMMYFUNCTION("""COMPUTED_VALUE"""),"PLDT / H2H")</f>
        <v>PLDT / H2H</v>
      </c>
      <c r="F3474" s="1"/>
      <c r="G3474" s="1">
        <f>IFERROR(__xludf.DUMMYFUNCTION("""COMPUTED_VALUE"""),2313214634)</f>
        <v>2313214634</v>
      </c>
      <c r="H3474" s="1" t="str">
        <f>IFERROR(__xludf.DUMMYFUNCTION("""COMPUTED_VALUE"""),"476120190004")</f>
        <v>476120190004</v>
      </c>
      <c r="I3474" s="1">
        <f>IFERROR(__xludf.DUMMYFUNCTION("""COMPUTED_VALUE"""),639399824354)</f>
        <v>639399824354</v>
      </c>
      <c r="J3474" s="1">
        <f>IFERROR(__xludf.DUMMYFUNCTION("""COMPUTED_VALUE"""),639499281880)</f>
        <v>639499281880</v>
      </c>
      <c r="K3474" s="1"/>
      <c r="L3474" s="1" t="str">
        <f>IFERROR(__xludf.DUMMYFUNCTION("""COMPUTED_VALUE"""),"009-BL-022")</f>
        <v>009-BL-022</v>
      </c>
      <c r="M3474" s="1" t="str">
        <f>IFERROR(__xludf.DUMMYFUNCTION("""COMPUTED_VALUE"""),"CHATEAUX DE PARIS")</f>
        <v>CHATEAUX DE PARIS</v>
      </c>
      <c r="N3474" s="1" t="str">
        <f>IFERROR(__xludf.DUMMYFUNCTION("""COMPUTED_VALUE"""),"CHATEAUX DE PARIS")</f>
        <v>CHATEAUX DE PARIS</v>
      </c>
      <c r="O3474" s="1" t="str">
        <f>IFERROR(__xludf.DUMMYFUNCTION("""COMPUTED_VALUE"""),"INCHICAN")</f>
        <v>INCHICAN</v>
      </c>
      <c r="P3474" s="1" t="str">
        <f>IFERROR(__xludf.DUMMYFUNCTION("""COMPUTED_VALUE"""),"SILANG")</f>
        <v>SILANG</v>
      </c>
      <c r="Q3474" s="1" t="str">
        <f>IFERROR(__xludf.DUMMYFUNCTION("""COMPUTED_VALUE"""),"CAVITE")</f>
        <v>CAVITE</v>
      </c>
      <c r="R3474" s="1" t="str">
        <f>IFERROR(__xludf.DUMMYFUNCTION("""COMPUTED_VALUE"""),"FIBER UNLI ALL PLAN 1499")</f>
        <v>FIBER UNLI ALL PLAN 1499</v>
      </c>
      <c r="S3474" s="1" t="str">
        <f>IFERROR(__xludf.DUMMYFUNCTION("""COMPUTED_VALUE"""),"APPROVED")</f>
        <v>APPROVED</v>
      </c>
      <c r="T3474" s="1" t="str">
        <f>IFERROR(__xludf.DUMMYFUNCTION("""COMPUTED_VALUE"""),"FOR PAYMENT")</f>
        <v>FOR PAYMENT</v>
      </c>
      <c r="U3474" s="1" t="str">
        <f>IFERROR(__xludf.DUMMYFUNCTION("""COMPUTED_VALUE"""),"FOR PAYMENT")</f>
        <v>FOR PAYMENT</v>
      </c>
      <c r="V3474" s="1"/>
      <c r="W3474" s="1"/>
    </row>
    <row r="3475" customHeight="1" spans="1:23">
      <c r="A3475" s="3">
        <f>IFERROR(__xludf.DUMMYFUNCTION("""COMPUTED_VALUE"""),46312)</f>
        <v>46312</v>
      </c>
      <c r="B3475" s="1" t="str">
        <f>IFERROR(__xludf.DUMMYFUNCTION("""COMPUTED_VALUE"""),"GABAY, MANUEL")</f>
        <v>GABAY, MANUEL</v>
      </c>
      <c r="C3475" s="1" t="str">
        <f>IFERROR(__xludf.DUMMYFUNCTION("""COMPUTED_VALUE"""),"FLA")</f>
        <v>FLA</v>
      </c>
      <c r="D3475" s="1" t="str">
        <f>IFERROR(__xludf.DUMMYFUNCTION("""COMPUTED_VALUE"""),"JERIC NAVARRO")</f>
        <v>JERIC NAVARRO</v>
      </c>
      <c r="E3475" s="1" t="str">
        <f>IFERROR(__xludf.DUMMYFUNCTION("""COMPUTED_VALUE"""),"PLDT / H2H")</f>
        <v>PLDT / H2H</v>
      </c>
      <c r="F3475" s="1"/>
      <c r="G3475" s="1">
        <f>IFERROR(__xludf.DUMMYFUNCTION("""COMPUTED_VALUE"""),2313214957)</f>
        <v>2313214957</v>
      </c>
      <c r="H3475" s="1" t="str">
        <f>IFERROR(__xludf.DUMMYFUNCTION("""COMPUTED_VALUE"""),"475962541004")</f>
        <v>475962541004</v>
      </c>
      <c r="I3475" s="1">
        <f>IFERROR(__xludf.DUMMYFUNCTION("""COMPUTED_VALUE"""),639350398438)</f>
        <v>639350398438</v>
      </c>
      <c r="J3475" s="1">
        <f>IFERROR(__xludf.DUMMYFUNCTION("""COMPUTED_VALUE"""),639750961173)</f>
        <v>639750961173</v>
      </c>
      <c r="K3475" s="1"/>
      <c r="L3475" s="1" t="str">
        <f>IFERROR(__xludf.DUMMYFUNCTION("""COMPUTED_VALUE"""),"002-BL-007")</f>
        <v>002-BL-007</v>
      </c>
      <c r="M3475" s="1" t="str">
        <f>IFERROR(__xludf.DUMMYFUNCTION("""COMPUTED_VALUE"""),"AFP HOUSING")</f>
        <v>AFP HOUSING</v>
      </c>
      <c r="N3475" s="1" t="str">
        <f>IFERROR(__xludf.DUMMYFUNCTION("""COMPUTED_VALUE"""),"AFP HOUSING ZONE 11")</f>
        <v>AFP HOUSING ZONE 11</v>
      </c>
      <c r="O3475" s="1" t="str">
        <f>IFERROR(__xludf.DUMMYFUNCTION("""COMPUTED_VALUE"""),"BULIHAN")</f>
        <v>BULIHAN</v>
      </c>
      <c r="P3475" s="1" t="str">
        <f>IFERROR(__xludf.DUMMYFUNCTION("""COMPUTED_VALUE"""),"SILANG")</f>
        <v>SILANG</v>
      </c>
      <c r="Q3475" s="1" t="str">
        <f>IFERROR(__xludf.DUMMYFUNCTION("""COMPUTED_VALUE"""),"CAVITE")</f>
        <v>CAVITE</v>
      </c>
      <c r="R3475" s="1" t="str">
        <f>IFERROR(__xludf.DUMMYFUNCTION("""COMPUTED_VALUE"""),"FIBR NETFLIX PLAN 1599")</f>
        <v>FIBR NETFLIX PLAN 1599</v>
      </c>
      <c r="S3475" s="1" t="str">
        <f>IFERROR(__xludf.DUMMYFUNCTION("""COMPUTED_VALUE"""),"APPROVED")</f>
        <v>APPROVED</v>
      </c>
      <c r="T3475" s="1" t="str">
        <f>IFERROR(__xludf.DUMMYFUNCTION("""COMPUTED_VALUE"""),"FOR PAYMENT")</f>
        <v>FOR PAYMENT</v>
      </c>
      <c r="U3475" s="1" t="str">
        <f>IFERROR(__xludf.DUMMYFUNCTION("""COMPUTED_VALUE"""),"FOR PAYMENT")</f>
        <v>FOR PAYMENT</v>
      </c>
      <c r="V3475" s="1"/>
      <c r="W3475" s="1"/>
    </row>
    <row r="3476" customHeight="1" spans="1:23">
      <c r="A3476" s="3">
        <f>IFERROR(__xludf.DUMMYFUNCTION("""COMPUTED_VALUE"""),46312)</f>
        <v>46312</v>
      </c>
      <c r="B3476" s="1" t="str">
        <f>IFERROR(__xludf.DUMMYFUNCTION("""COMPUTED_VALUE"""),"ALINGARO, CINDY")</f>
        <v>ALINGARO, CINDY</v>
      </c>
      <c r="C3476" s="1" t="str">
        <f>IFERROR(__xludf.DUMMYFUNCTION("""COMPUTED_VALUE"""),"ORGANIC")</f>
        <v>ORGANIC</v>
      </c>
      <c r="D3476" s="1" t="str">
        <f>IFERROR(__xludf.DUMMYFUNCTION("""COMPUTED_VALUE"""),"REMOLLO LEA")</f>
        <v>REMOLLO LEA</v>
      </c>
      <c r="E3476" s="1" t="str">
        <f>IFERROR(__xludf.DUMMYFUNCTION("""COMPUTED_VALUE"""),"PLDT / H2H")</f>
        <v>PLDT / H2H</v>
      </c>
      <c r="F3476" s="1"/>
      <c r="G3476" s="1">
        <f>IFERROR(__xludf.DUMMYFUNCTION("""COMPUTED_VALUE"""),2313216880)</f>
        <v>2313216880</v>
      </c>
      <c r="H3476" s="1" t="str">
        <f>IFERROR(__xludf.DUMMYFUNCTION("""COMPUTED_VALUE"""),"475963424004")</f>
        <v>475963424004</v>
      </c>
      <c r="I3476" s="1">
        <f>IFERROR(__xludf.DUMMYFUNCTION("""COMPUTED_VALUE"""),639482119461)</f>
        <v>639482119461</v>
      </c>
      <c r="J3476" s="1"/>
      <c r="K3476" s="1"/>
      <c r="L3476" s="1" t="str">
        <f>IFERROR(__xludf.DUMMYFUNCTION("""COMPUTED_VALUE"""),"652")</f>
        <v>652</v>
      </c>
      <c r="M3476" s="1" t="str">
        <f>IFERROR(__xludf.DUMMYFUNCTION("""COMPUTED_VALUE"""),"PHASE 3")</f>
        <v>PHASE 3</v>
      </c>
      <c r="N3476" s="1" t="str">
        <f>IFERROR(__xludf.DUMMYFUNCTION("""COMPUTED_VALUE"""),"ST MICHAEL VILLAGE")</f>
        <v>ST MICHAEL VILLAGE</v>
      </c>
      <c r="O3476" s="1" t="str">
        <f>IFERROR(__xludf.DUMMYFUNCTION("""COMPUTED_VALUE"""),"SUNGAY NORTH")</f>
        <v>SUNGAY NORTH</v>
      </c>
      <c r="P3476" s="1" t="str">
        <f>IFERROR(__xludf.DUMMYFUNCTION("""COMPUTED_VALUE"""),"TAGAYTAY")</f>
        <v>TAGAYTAY</v>
      </c>
      <c r="Q3476" s="1" t="str">
        <f>IFERROR(__xludf.DUMMYFUNCTION("""COMPUTED_VALUE"""),"CAVITE")</f>
        <v>CAVITE</v>
      </c>
      <c r="R3476" s="1" t="str">
        <f>IFERROR(__xludf.DUMMYFUNCTION("""COMPUTED_VALUE"""),"FIBER UNLI PLAN 1399")</f>
        <v>FIBER UNLI PLAN 1399</v>
      </c>
      <c r="S3476" s="1" t="str">
        <f>IFERROR(__xludf.DUMMYFUNCTION("""COMPUTED_VALUE"""),"APPROVED")</f>
        <v>APPROVED</v>
      </c>
      <c r="T3476" s="1" t="str">
        <f>IFERROR(__xludf.DUMMYFUNCTION("""COMPUTED_VALUE"""),"CLOSED")</f>
        <v>CLOSED</v>
      </c>
      <c r="U3476" s="1" t="str">
        <f>IFERROR(__xludf.DUMMYFUNCTION("""COMPUTED_VALUE"""),"POSTED")</f>
        <v>POSTED</v>
      </c>
      <c r="V3476" s="1" t="str">
        <f>IFERROR(__xludf.DUMMYFUNCTION("""COMPUTED_VALUE"""),"NO 1 AMSF")</f>
        <v>NO 1 AMSF</v>
      </c>
      <c r="W3476" s="1"/>
    </row>
    <row r="3477" customHeight="1" spans="1:23">
      <c r="A3477" s="3">
        <f>IFERROR(__xludf.DUMMYFUNCTION("""COMPUTED_VALUE"""),46312)</f>
        <v>46312</v>
      </c>
      <c r="B3477" s="1" t="str">
        <f>IFERROR(__xludf.DUMMYFUNCTION("""COMPUTED_VALUE"""),"TAMAYO, MARY ROSE")</f>
        <v>TAMAYO, MARY ROSE</v>
      </c>
      <c r="C3477" s="1" t="str">
        <f>IFERROR(__xludf.DUMMYFUNCTION("""COMPUTED_VALUE"""),"ORGANIC")</f>
        <v>ORGANIC</v>
      </c>
      <c r="D3477" s="1" t="str">
        <f>IFERROR(__xludf.DUMMYFUNCTION("""COMPUTED_VALUE"""),"REMOLLO LEA")</f>
        <v>REMOLLO LEA</v>
      </c>
      <c r="E3477" s="1" t="str">
        <f>IFERROR(__xludf.DUMMYFUNCTION("""COMPUTED_VALUE"""),"PLDT / H2H")</f>
        <v>PLDT / H2H</v>
      </c>
      <c r="F3477" s="1"/>
      <c r="G3477" s="1">
        <f>IFERROR(__xludf.DUMMYFUNCTION("""COMPUTED_VALUE"""),2313217471)</f>
        <v>2313217471</v>
      </c>
      <c r="H3477" s="1" t="str">
        <f>IFERROR(__xludf.DUMMYFUNCTION("""COMPUTED_VALUE"""),"475966248004")</f>
        <v>475966248004</v>
      </c>
      <c r="I3477" s="1">
        <f>IFERROR(__xludf.DUMMYFUNCTION("""COMPUTED_VALUE"""),639368968299)</f>
        <v>639368968299</v>
      </c>
      <c r="J3477" s="1">
        <f>IFERROR(__xludf.DUMMYFUNCTION("""COMPUTED_VALUE"""),639099179298)</f>
        <v>639099179298</v>
      </c>
      <c r="K3477" s="1"/>
      <c r="L3477" s="1" t="str">
        <f>IFERROR(__xludf.DUMMYFUNCTION("""COMPUTED_VALUE"""),"025-BL-006")</f>
        <v>025-BL-006</v>
      </c>
      <c r="M3477" s="1" t="str">
        <f>IFERROR(__xludf.DUMMYFUNCTION("""COMPUTED_VALUE"""),"F REYES")</f>
        <v>F REYES</v>
      </c>
      <c r="N3477" s="1" t="str">
        <f>IFERROR(__xludf.DUMMYFUNCTION("""COMPUTED_VALUE"""),"#N/A")</f>
        <v>#N/A</v>
      </c>
      <c r="O3477" s="1" t="str">
        <f>IFERROR(__xludf.DUMMYFUNCTION("""COMPUTED_VALUE"""),"FRANCISCO REYES")</f>
        <v>FRANCISCO REYES</v>
      </c>
      <c r="P3477" s="1" t="str">
        <f>IFERROR(__xludf.DUMMYFUNCTION("""COMPUTED_VALUE"""),"GEN MARIANO ALVAREZ")</f>
        <v>GEN MARIANO ALVAREZ</v>
      </c>
      <c r="Q3477" s="1" t="str">
        <f>IFERROR(__xludf.DUMMYFUNCTION("""COMPUTED_VALUE"""),"CAVITE")</f>
        <v>CAVITE</v>
      </c>
      <c r="R3477" s="1" t="str">
        <f>IFERROR(__xludf.DUMMYFUNCTION("""COMPUTED_VALUE"""),"FIBR UNLI ALL PLAN 999")</f>
        <v>FIBR UNLI ALL PLAN 999</v>
      </c>
      <c r="S3477" s="1" t="str">
        <f>IFERROR(__xludf.DUMMYFUNCTION("""COMPUTED_VALUE"""),"APPROVED")</f>
        <v>APPROVED</v>
      </c>
      <c r="T3477" s="1" t="str">
        <f>IFERROR(__xludf.DUMMYFUNCTION("""COMPUTED_VALUE"""),"CLOSED")</f>
        <v>CLOSED</v>
      </c>
      <c r="U3477" s="1" t="str">
        <f>IFERROR(__xludf.DUMMYFUNCTION("""COMPUTED_VALUE"""),"POSTED")</f>
        <v>POSTED</v>
      </c>
      <c r="V3477" s="1" t="str">
        <f>IFERROR(__xludf.DUMMYFUNCTION("""COMPUTED_VALUE"""),"WITH 1 AMSF")</f>
        <v>WITH 1 AMSF</v>
      </c>
      <c r="W3477" s="1"/>
    </row>
    <row r="3478" customHeight="1" spans="1:23">
      <c r="A3478" s="3">
        <f>IFERROR(__xludf.DUMMYFUNCTION("""COMPUTED_VALUE"""),46312)</f>
        <v>46312</v>
      </c>
      <c r="B3478" s="1" t="str">
        <f>IFERROR(__xludf.DUMMYFUNCTION("""COMPUTED_VALUE"""),"IVNO, RAZZEL")</f>
        <v>IVNO, RAZZEL</v>
      </c>
      <c r="C3478" s="1" t="str">
        <f>IFERROR(__xludf.DUMMYFUNCTION("""COMPUTED_VALUE"""),"FLA")</f>
        <v>FLA</v>
      </c>
      <c r="D3478" s="1" t="str">
        <f>IFERROR(__xludf.DUMMYFUNCTION("""COMPUTED_VALUE"""),"JERIC NAVARRO")</f>
        <v>JERIC NAVARRO</v>
      </c>
      <c r="E3478" s="1" t="str">
        <f>IFERROR(__xludf.DUMMYFUNCTION("""COMPUTED_VALUE"""),"PLDT / H2H")</f>
        <v>PLDT / H2H</v>
      </c>
      <c r="F3478" s="1"/>
      <c r="G3478" s="1">
        <f>IFERROR(__xludf.DUMMYFUNCTION("""COMPUTED_VALUE"""),2313217716)</f>
        <v>2313217716</v>
      </c>
      <c r="H3478" s="1" t="str">
        <f>IFERROR(__xludf.DUMMYFUNCTION("""COMPUTED_VALUE"""),"475966849004")</f>
        <v>475966849004</v>
      </c>
      <c r="I3478" s="1">
        <f>IFERROR(__xludf.DUMMYFUNCTION("""COMPUTED_VALUE"""),639215704596)</f>
        <v>639215704596</v>
      </c>
      <c r="J3478" s="1"/>
      <c r="K3478" s="1"/>
      <c r="L3478" s="1" t="str">
        <f>IFERROR(__xludf.DUMMYFUNCTION("""COMPUTED_VALUE"""),"019-BL-010")</f>
        <v>019-BL-010</v>
      </c>
      <c r="M3478" s="1" t="str">
        <f>IFERROR(__xludf.DUMMYFUNCTION("""COMPUTED_VALUE"""),"GREENLAND")</f>
        <v>GREENLAND</v>
      </c>
      <c r="N3478" s="1" t="str">
        <f>IFERROR(__xludf.DUMMYFUNCTION("""COMPUTED_VALUE"""),"CASA DE MONTEVERDE")</f>
        <v>CASA DE MONTEVERDE</v>
      </c>
      <c r="O3478" s="1" t="str">
        <f>IFERROR(__xludf.DUMMYFUNCTION("""COMPUTED_VALUE"""),"FRANCISCO DE CASTRO (SUNSHINE VILL.)")</f>
        <v>FRANCISCO DE CASTRO (SUNSHINE VILL.)</v>
      </c>
      <c r="P3478" s="1" t="str">
        <f>IFERROR(__xludf.DUMMYFUNCTION("""COMPUTED_VALUE"""),"GEN MARIANO ALVAREZ")</f>
        <v>GEN MARIANO ALVAREZ</v>
      </c>
      <c r="Q3478" s="1" t="str">
        <f>IFERROR(__xludf.DUMMYFUNCTION("""COMPUTED_VALUE"""),"CAVITE")</f>
        <v>CAVITE</v>
      </c>
      <c r="R3478" s="1" t="str">
        <f>IFERROR(__xludf.DUMMYFUNCTION("""COMPUTED_VALUE"""),"FIBER UNLI ALL PLAN 1499")</f>
        <v>FIBER UNLI ALL PLAN 1499</v>
      </c>
      <c r="S3478" s="1" t="str">
        <f>IFERROR(__xludf.DUMMYFUNCTION("""COMPUTED_VALUE"""),"APPROVED")</f>
        <v>APPROVED</v>
      </c>
      <c r="T3478" s="1" t="str">
        <f>IFERROR(__xludf.DUMMYFUNCTION("""COMPUTED_VALUE"""),"PAID")</f>
        <v>PAID</v>
      </c>
      <c r="U3478" s="1" t="str">
        <f>IFERROR(__xludf.DUMMYFUNCTION("""COMPUTED_VALUE"""),"PAID - FOR INSTALLATION")</f>
        <v>PAID - FOR INSTALLATION</v>
      </c>
      <c r="V3478" s="1" t="str">
        <f>IFERROR(__xludf.DUMMYFUNCTION("""COMPUTED_VALUE"""),"WITH 1 AMSF")</f>
        <v>WITH 1 AMSF</v>
      </c>
      <c r="W3478" s="1"/>
    </row>
    <row r="3479" customHeight="1" spans="1:23">
      <c r="A3479" s="3">
        <f>IFERROR(__xludf.DUMMYFUNCTION("""COMPUTED_VALUE"""),46312)</f>
        <v>46312</v>
      </c>
      <c r="B3479" s="1" t="str">
        <f>IFERROR(__xludf.DUMMYFUNCTION("""COMPUTED_VALUE"""),"FRANCISCO , ROSELYN")</f>
        <v>FRANCISCO , ROSELYN</v>
      </c>
      <c r="C3479" s="1" t="str">
        <f>IFERROR(__xludf.DUMMYFUNCTION("""COMPUTED_VALUE"""),"ORGANIC")</f>
        <v>ORGANIC</v>
      </c>
      <c r="D3479" s="1" t="str">
        <f>IFERROR(__xludf.DUMMYFUNCTION("""COMPUTED_VALUE"""),"REMOLLO LEA")</f>
        <v>REMOLLO LEA</v>
      </c>
      <c r="E3479" s="1" t="str">
        <f>IFERROR(__xludf.DUMMYFUNCTION("""COMPUTED_VALUE"""),"PLDT / H2H")</f>
        <v>PLDT / H2H</v>
      </c>
      <c r="F3479" s="1"/>
      <c r="G3479" s="1">
        <f>IFERROR(__xludf.DUMMYFUNCTION("""COMPUTED_VALUE"""),2313217996)</f>
        <v>2313217996</v>
      </c>
      <c r="H3479" s="1" t="str">
        <f>IFERROR(__xludf.DUMMYFUNCTION("""COMPUTED_VALUE"""),"476154840004")</f>
        <v>476154840004</v>
      </c>
      <c r="I3479" s="1">
        <f>IFERROR(__xludf.DUMMYFUNCTION("""COMPUTED_VALUE"""),639451051070)</f>
        <v>639451051070</v>
      </c>
      <c r="J3479" s="1">
        <f>IFERROR(__xludf.DUMMYFUNCTION("""COMPUTED_VALUE"""),639505688581)</f>
        <v>639505688581</v>
      </c>
      <c r="K3479" s="1"/>
      <c r="L3479" s="1" t="str">
        <f>IFERROR(__xludf.DUMMYFUNCTION("""COMPUTED_VALUE"""),"174")</f>
        <v>174</v>
      </c>
      <c r="M3479" s="1" t="str">
        <f>IFERROR(__xludf.DUMMYFUNCTION("""COMPUTED_VALUE"""),"PUROK 2")</f>
        <v>PUROK 2</v>
      </c>
      <c r="N3479" s="1" t="str">
        <f>IFERROR(__xludf.DUMMYFUNCTION("""COMPUTED_VALUE"""),"#N/A")</f>
        <v>#N/A</v>
      </c>
      <c r="O3479" s="1" t="str">
        <f>IFERROR(__xludf.DUMMYFUNCTION("""COMPUTED_VALUE"""),"ADLAS")</f>
        <v>ADLAS</v>
      </c>
      <c r="P3479" s="1" t="str">
        <f>IFERROR(__xludf.DUMMYFUNCTION("""COMPUTED_VALUE"""),"SILANG")</f>
        <v>SILANG</v>
      </c>
      <c r="Q3479" s="1" t="str">
        <f>IFERROR(__xludf.DUMMYFUNCTION("""COMPUTED_VALUE"""),"CAVITE")</f>
        <v>CAVITE</v>
      </c>
      <c r="R3479" s="1" t="str">
        <f>IFERROR(__xludf.DUMMYFUNCTION("""COMPUTED_VALUE"""),"FIBER UNLI PLAN 1399")</f>
        <v>FIBER UNLI PLAN 1399</v>
      </c>
      <c r="S3479" s="1" t="str">
        <f>IFERROR(__xludf.DUMMYFUNCTION("""COMPUTED_VALUE"""),"APPROVED")</f>
        <v>APPROVED</v>
      </c>
      <c r="T3479" s="1" t="str">
        <f>IFERROR(__xludf.DUMMYFUNCTION("""COMPUTED_VALUE"""),"CLOSED")</f>
        <v>CLOSED</v>
      </c>
      <c r="U3479" s="1" t="str">
        <f>IFERROR(__xludf.DUMMYFUNCTION("""COMPUTED_VALUE"""),"POSTED")</f>
        <v>POSTED</v>
      </c>
      <c r="V3479" s="1" t="str">
        <f>IFERROR(__xludf.DUMMYFUNCTION("""COMPUTED_VALUE"""),"WITH 1 AMSF")</f>
        <v>WITH 1 AMSF</v>
      </c>
      <c r="W3479" s="1"/>
    </row>
    <row r="3480" customHeight="1" spans="1:23">
      <c r="A3480" s="3">
        <f>IFERROR(__xludf.DUMMYFUNCTION("""COMPUTED_VALUE"""),46312)</f>
        <v>46312</v>
      </c>
      <c r="B3480" s="1" t="str">
        <f>IFERROR(__xludf.DUMMYFUNCTION("""COMPUTED_VALUE"""),"FRANCISCO , ROSELYN")</f>
        <v>FRANCISCO , ROSELYN</v>
      </c>
      <c r="C3480" s="1" t="str">
        <f>IFERROR(__xludf.DUMMYFUNCTION("""COMPUTED_VALUE"""),"ORGANIC")</f>
        <v>ORGANIC</v>
      </c>
      <c r="D3480" s="1" t="str">
        <f>IFERROR(__xludf.DUMMYFUNCTION("""COMPUTED_VALUE"""),"REMOLLO LEA")</f>
        <v>REMOLLO LEA</v>
      </c>
      <c r="E3480" s="1" t="str">
        <f>IFERROR(__xludf.DUMMYFUNCTION("""COMPUTED_VALUE"""),"PLDT / H2H")</f>
        <v>PLDT / H2H</v>
      </c>
      <c r="F3480" s="1"/>
      <c r="G3480" s="1">
        <f>IFERROR(__xludf.DUMMYFUNCTION("""COMPUTED_VALUE"""),2313218177)</f>
        <v>2313218177</v>
      </c>
      <c r="H3480" s="1" t="str">
        <f>IFERROR(__xludf.DUMMYFUNCTION("""COMPUTED_VALUE"""),"475966042004")</f>
        <v>475966042004</v>
      </c>
      <c r="I3480" s="1">
        <f>IFERROR(__xludf.DUMMYFUNCTION("""COMPUTED_VALUE"""),639308790172)</f>
        <v>639308790172</v>
      </c>
      <c r="J3480" s="1"/>
      <c r="K3480" s="1"/>
      <c r="L3480" s="1" t="str">
        <f>IFERROR(__xludf.DUMMYFUNCTION("""COMPUTED_VALUE"""),"143")</f>
        <v>143</v>
      </c>
      <c r="M3480" s="1" t="str">
        <f>IFERROR(__xludf.DUMMYFUNCTION("""COMPUTED_VALUE"""),"ADLAS")</f>
        <v>ADLAS</v>
      </c>
      <c r="N3480" s="1" t="str">
        <f>IFERROR(__xludf.DUMMYFUNCTION("""COMPUTED_VALUE"""),"#N/A")</f>
        <v>#N/A</v>
      </c>
      <c r="O3480" s="1" t="str">
        <f>IFERROR(__xludf.DUMMYFUNCTION("""COMPUTED_VALUE"""),"ADLAS")</f>
        <v>ADLAS</v>
      </c>
      <c r="P3480" s="1" t="str">
        <f>IFERROR(__xludf.DUMMYFUNCTION("""COMPUTED_VALUE"""),"SILANG")</f>
        <v>SILANG</v>
      </c>
      <c r="Q3480" s="1" t="str">
        <f>IFERROR(__xludf.DUMMYFUNCTION("""COMPUTED_VALUE"""),"CAVITE")</f>
        <v>CAVITE</v>
      </c>
      <c r="R3480" s="1" t="str">
        <f>IFERROR(__xludf.DUMMYFUNCTION("""COMPUTED_VALUE"""),"FIBER UNLI PLAN 1399")</f>
        <v>FIBER UNLI PLAN 1399</v>
      </c>
      <c r="S3480" s="1" t="str">
        <f>IFERROR(__xludf.DUMMYFUNCTION("""COMPUTED_VALUE"""),"APPROVED")</f>
        <v>APPROVED</v>
      </c>
      <c r="T3480" s="1" t="str">
        <f>IFERROR(__xludf.DUMMYFUNCTION("""COMPUTED_VALUE"""),"FOR PAYMENT")</f>
        <v>FOR PAYMENT</v>
      </c>
      <c r="U3480" s="1" t="str">
        <f>IFERROR(__xludf.DUMMYFUNCTION("""COMPUTED_VALUE"""),"FOR PAYMENT")</f>
        <v>FOR PAYMENT</v>
      </c>
      <c r="V3480" s="1"/>
      <c r="W3480" s="1"/>
    </row>
    <row r="3481" customHeight="1" spans="1:23">
      <c r="A3481" s="3">
        <f>IFERROR(__xludf.DUMMYFUNCTION("""COMPUTED_VALUE"""),46313)</f>
        <v>46313</v>
      </c>
      <c r="B3481" s="1" t="str">
        <f>IFERROR(__xludf.DUMMYFUNCTION("""COMPUTED_VALUE"""),"DACLAN, IVY")</f>
        <v>DACLAN, IVY</v>
      </c>
      <c r="C3481" s="1" t="str">
        <f>IFERROR(__xludf.DUMMYFUNCTION("""COMPUTED_VALUE"""),"ORGANIC")</f>
        <v>ORGANIC</v>
      </c>
      <c r="D3481" s="1" t="str">
        <f>IFERROR(__xludf.DUMMYFUNCTION("""COMPUTED_VALUE"""),"REMOLLO LEA")</f>
        <v>REMOLLO LEA</v>
      </c>
      <c r="E3481" s="1" t="str">
        <f>IFERROR(__xludf.DUMMYFUNCTION("""COMPUTED_VALUE"""),"PLDT / H2H")</f>
        <v>PLDT / H2H</v>
      </c>
      <c r="F3481" s="1"/>
      <c r="G3481" s="1">
        <f>IFERROR(__xludf.DUMMYFUNCTION("""COMPUTED_VALUE"""),2313228018)</f>
        <v>2313228018</v>
      </c>
      <c r="H3481" s="1" t="str">
        <f>IFERROR(__xludf.DUMMYFUNCTION("""COMPUTED_VALUE"""),"476101390004")</f>
        <v>476101390004</v>
      </c>
      <c r="I3481" s="1">
        <f>IFERROR(__xludf.DUMMYFUNCTION("""COMPUTED_VALUE"""),639150997057)</f>
        <v>639150997057</v>
      </c>
      <c r="J3481" s="1"/>
      <c r="K3481" s="1"/>
      <c r="L3481" s="1" t="str">
        <f>IFERROR(__xludf.DUMMYFUNCTION("""COMPUTED_VALUE"""),"12133")</f>
        <v>12133</v>
      </c>
      <c r="M3481" s="1" t="str">
        <f>IFERROR(__xludf.DUMMYFUNCTION("""COMPUTED_VALUE"""),"REAL")</f>
        <v>REAL</v>
      </c>
      <c r="N3481" s="1" t="str">
        <f>IFERROR(__xludf.DUMMYFUNCTION("""COMPUTED_VALUE"""),"UNIT 8")</f>
        <v>UNIT 8</v>
      </c>
      <c r="O3481" s="1" t="str">
        <f>IFERROR(__xludf.DUMMYFUNCTION("""COMPUTED_VALUE"""),"MILAGROSA")</f>
        <v>MILAGROSA</v>
      </c>
      <c r="P3481" s="1" t="str">
        <f>IFERROR(__xludf.DUMMYFUNCTION("""COMPUTED_VALUE"""),"CARMONA")</f>
        <v>CARMONA</v>
      </c>
      <c r="Q3481" s="1" t="str">
        <f>IFERROR(__xludf.DUMMYFUNCTION("""COMPUTED_VALUE"""),"CAVITE")</f>
        <v>CAVITE</v>
      </c>
      <c r="R3481" s="1" t="str">
        <f>IFERROR(__xludf.DUMMYFUNCTION("""COMPUTED_VALUE"""),"FIBER UNLI PLAN 1399")</f>
        <v>FIBER UNLI PLAN 1399</v>
      </c>
      <c r="S3481" s="1" t="str">
        <f>IFERROR(__xludf.DUMMYFUNCTION("""COMPUTED_VALUE"""),"APPROVED")</f>
        <v>APPROVED</v>
      </c>
      <c r="T3481" s="1" t="str">
        <f>IFERROR(__xludf.DUMMYFUNCTION("""COMPUTED_VALUE"""),"PAID")</f>
        <v>PAID</v>
      </c>
      <c r="U3481" s="1" t="str">
        <f>IFERROR(__xludf.DUMMYFUNCTION("""COMPUTED_VALUE"""),"PAID - FOR INSTALLATION")</f>
        <v>PAID - FOR INSTALLATION</v>
      </c>
      <c r="V3481" s="1" t="str">
        <f>IFERROR(__xludf.DUMMYFUNCTION("""COMPUTED_VALUE"""),"WITH 1 AMSF")</f>
        <v>WITH 1 AMSF</v>
      </c>
      <c r="W3481" s="1"/>
    </row>
    <row r="3482" customHeight="1" spans="1:23">
      <c r="A3482" s="3">
        <f>IFERROR(__xludf.DUMMYFUNCTION("""COMPUTED_VALUE"""),46313)</f>
        <v>46313</v>
      </c>
      <c r="B3482" s="1" t="str">
        <f>IFERROR(__xludf.DUMMYFUNCTION("""COMPUTED_VALUE"""),"LOTOJA, LOVELY JOICE")</f>
        <v>LOTOJA, LOVELY JOICE</v>
      </c>
      <c r="C3482" s="1" t="str">
        <f>IFERROR(__xludf.DUMMYFUNCTION("""COMPUTED_VALUE"""),"ORGANIC")</f>
        <v>ORGANIC</v>
      </c>
      <c r="D3482" s="1" t="str">
        <f>IFERROR(__xludf.DUMMYFUNCTION("""COMPUTED_VALUE"""),"REMOLLO LEA")</f>
        <v>REMOLLO LEA</v>
      </c>
      <c r="E3482" s="1" t="str">
        <f>IFERROR(__xludf.DUMMYFUNCTION("""COMPUTED_VALUE"""),"PLDT / H2H")</f>
        <v>PLDT / H2H</v>
      </c>
      <c r="F3482" s="1"/>
      <c r="G3482" s="1">
        <f>IFERROR(__xludf.DUMMYFUNCTION("""COMPUTED_VALUE"""),2313229556)</f>
        <v>2313229556</v>
      </c>
      <c r="H3482" s="1" t="str">
        <f>IFERROR(__xludf.DUMMYFUNCTION("""COMPUTED_VALUE"""),"476166835004")</f>
        <v>476166835004</v>
      </c>
      <c r="I3482" s="1">
        <f>IFERROR(__xludf.DUMMYFUNCTION("""COMPUTED_VALUE"""),639914189487)</f>
        <v>639914189487</v>
      </c>
      <c r="J3482" s="1">
        <f>IFERROR(__xludf.DUMMYFUNCTION("""COMPUTED_VALUE"""),639948017095)</f>
        <v>639948017095</v>
      </c>
      <c r="K3482" s="1"/>
      <c r="L3482" s="1" t="str">
        <f>IFERROR(__xludf.DUMMYFUNCTION("""COMPUTED_VALUE"""),"1221")</f>
        <v>1221</v>
      </c>
      <c r="M3482" s="1" t="str">
        <f>IFERROR(__xludf.DUMMYFUNCTION("""COMPUTED_VALUE"""),"SAN PABLO")</f>
        <v>SAN PABLO</v>
      </c>
      <c r="N3482" s="1" t="str">
        <f>IFERROR(__xludf.DUMMYFUNCTION("""COMPUTED_VALUE"""),"#N/A")</f>
        <v>#N/A</v>
      </c>
      <c r="O3482" s="1" t="str">
        <f>IFERROR(__xludf.DUMMYFUNCTION("""COMPUTED_VALUE"""),"BARANGAY 1 (POB.)")</f>
        <v>BARANGAY 1 (POB.)</v>
      </c>
      <c r="P3482" s="1" t="str">
        <f>IFERROR(__xludf.DUMMYFUNCTION("""COMPUTED_VALUE"""),"CARMONA")</f>
        <v>CARMONA</v>
      </c>
      <c r="Q3482" s="1" t="str">
        <f>IFERROR(__xludf.DUMMYFUNCTION("""COMPUTED_VALUE"""),"CAVITE")</f>
        <v>CAVITE</v>
      </c>
      <c r="R3482" s="1" t="str">
        <f>IFERROR(__xludf.DUMMYFUNCTION("""COMPUTED_VALUE"""),"FIBER UNLI PLAN 1399")</f>
        <v>FIBER UNLI PLAN 1399</v>
      </c>
      <c r="S3482" s="1" t="str">
        <f>IFERROR(__xludf.DUMMYFUNCTION("""COMPUTED_VALUE"""),"APPROVED")</f>
        <v>APPROVED</v>
      </c>
      <c r="T3482" s="1" t="str">
        <f>IFERROR(__xludf.DUMMYFUNCTION("""COMPUTED_VALUE"""),"FOR PAYMENT")</f>
        <v>FOR PAYMENT</v>
      </c>
      <c r="U3482" s="1" t="str">
        <f>IFERROR(__xludf.DUMMYFUNCTION("""COMPUTED_VALUE"""),"FOR PAYMENT")</f>
        <v>FOR PAYMENT</v>
      </c>
      <c r="V3482" s="1"/>
      <c r="W3482" s="1"/>
    </row>
    <row r="3483" customHeight="1" spans="1:23">
      <c r="A3483" s="3">
        <f>IFERROR(__xludf.DUMMYFUNCTION("""COMPUTED_VALUE"""),46313)</f>
        <v>46313</v>
      </c>
      <c r="B3483" s="1" t="str">
        <f>IFERROR(__xludf.DUMMYFUNCTION("""COMPUTED_VALUE"""),"CADERAO, RONALD")</f>
        <v>CADERAO, RONALD</v>
      </c>
      <c r="C3483" s="1" t="str">
        <f>IFERROR(__xludf.DUMMYFUNCTION("""COMPUTED_VALUE"""),"ORGANIC")</f>
        <v>ORGANIC</v>
      </c>
      <c r="D3483" s="1" t="str">
        <f>IFERROR(__xludf.DUMMYFUNCTION("""COMPUTED_VALUE"""),"REMOLLO LEA")</f>
        <v>REMOLLO LEA</v>
      </c>
      <c r="E3483" s="1" t="str">
        <f>IFERROR(__xludf.DUMMYFUNCTION("""COMPUTED_VALUE"""),"PLDT / H2H")</f>
        <v>PLDT / H2H</v>
      </c>
      <c r="F3483" s="1"/>
      <c r="G3483" s="1">
        <f>IFERROR(__xludf.DUMMYFUNCTION("""COMPUTED_VALUE"""),2313229824)</f>
        <v>2313229824</v>
      </c>
      <c r="H3483" s="1" t="str">
        <f>IFERROR(__xludf.DUMMYFUNCTION("""COMPUTED_VALUE"""),"476107167004")</f>
        <v>476107167004</v>
      </c>
      <c r="I3483" s="1">
        <f>IFERROR(__xludf.DUMMYFUNCTION("""COMPUTED_VALUE"""),639557305266)</f>
        <v>639557305266</v>
      </c>
      <c r="J3483" s="1">
        <f>IFERROR(__xludf.DUMMYFUNCTION("""COMPUTED_VALUE"""),639369489321)</f>
        <v>639369489321</v>
      </c>
      <c r="K3483" s="1"/>
      <c r="L3483" s="1" t="str">
        <f>IFERROR(__xludf.DUMMYFUNCTION("""COMPUTED_VALUE"""),"127")</f>
        <v>127</v>
      </c>
      <c r="M3483" s="1" t="str">
        <f>IFERROR(__xludf.DUMMYFUNCTION("""COMPUTED_VALUE"""),"PUROK 1")</f>
        <v>PUROK 1</v>
      </c>
      <c r="N3483" s="1" t="str">
        <f>IFERROR(__xludf.DUMMYFUNCTION("""COMPUTED_VALUE"""),"#N/A")</f>
        <v>#N/A</v>
      </c>
      <c r="O3483" s="1" t="str">
        <f>IFERROR(__xludf.DUMMYFUNCTION("""COMPUTED_VALUE"""),"AMUYONG")</f>
        <v>AMUYONG</v>
      </c>
      <c r="P3483" s="1" t="str">
        <f>IFERROR(__xludf.DUMMYFUNCTION("""COMPUTED_VALUE"""),"AMADEO")</f>
        <v>AMADEO</v>
      </c>
      <c r="Q3483" s="1" t="str">
        <f>IFERROR(__xludf.DUMMYFUNCTION("""COMPUTED_VALUE"""),"CAVITE")</f>
        <v>CAVITE</v>
      </c>
      <c r="R3483" s="1" t="str">
        <f>IFERROR(__xludf.DUMMYFUNCTION("""COMPUTED_VALUE"""),"FIBER UNLI PLAN 1399")</f>
        <v>FIBER UNLI PLAN 1399</v>
      </c>
      <c r="S3483" s="1" t="str">
        <f>IFERROR(__xludf.DUMMYFUNCTION("""COMPUTED_VALUE"""),"APPROVED")</f>
        <v>APPROVED</v>
      </c>
      <c r="T3483" s="1" t="str">
        <f>IFERROR(__xludf.DUMMYFUNCTION("""COMPUTED_VALUE"""),"AFD")</f>
        <v>AFD</v>
      </c>
      <c r="U3483" s="1" t="str">
        <f>IFERROR(__xludf.DUMMYFUNCTION("""COMPUTED_VALUE"""),"AFD - RESCHEDULE")</f>
        <v>AFD - RESCHEDULE</v>
      </c>
      <c r="V3483" s="1" t="str">
        <f>IFERROR(__xludf.DUMMYFUNCTION("""COMPUTED_VALUE"""),"NO 1 AMSF")</f>
        <v>NO 1 AMSF</v>
      </c>
      <c r="W3483" s="1"/>
    </row>
    <row r="3484" customHeight="1" spans="1:23">
      <c r="A3484" s="3">
        <f>IFERROR(__xludf.DUMMYFUNCTION("""COMPUTED_VALUE"""),46313)</f>
        <v>46313</v>
      </c>
      <c r="B3484" s="1" t="str">
        <f>IFERROR(__xludf.DUMMYFUNCTION("""COMPUTED_VALUE"""),"FRANCISCO , ROSELYN")</f>
        <v>FRANCISCO , ROSELYN</v>
      </c>
      <c r="C3484" s="1" t="str">
        <f>IFERROR(__xludf.DUMMYFUNCTION("""COMPUTED_VALUE"""),"ORGANIC")</f>
        <v>ORGANIC</v>
      </c>
      <c r="D3484" s="1" t="str">
        <f>IFERROR(__xludf.DUMMYFUNCTION("""COMPUTED_VALUE"""),"REMOLLO LEA")</f>
        <v>REMOLLO LEA</v>
      </c>
      <c r="E3484" s="1" t="str">
        <f>IFERROR(__xludf.DUMMYFUNCTION("""COMPUTED_VALUE"""),"PLDT / H2H")</f>
        <v>PLDT / H2H</v>
      </c>
      <c r="F3484" s="1"/>
      <c r="G3484" s="1">
        <f>IFERROR(__xludf.DUMMYFUNCTION("""COMPUTED_VALUE"""),2313230030)</f>
        <v>2313230030</v>
      </c>
      <c r="H3484" s="1" t="str">
        <f>IFERROR(__xludf.DUMMYFUNCTION("""COMPUTED_VALUE"""),"476107090004")</f>
        <v>476107090004</v>
      </c>
      <c r="I3484" s="1">
        <f>IFERROR(__xludf.DUMMYFUNCTION("""COMPUTED_VALUE"""),639770736566)</f>
        <v>639770736566</v>
      </c>
      <c r="J3484" s="1"/>
      <c r="K3484" s="1"/>
      <c r="L3484" s="1" t="str">
        <f>IFERROR(__xludf.DUMMYFUNCTION("""COMPUTED_VALUE"""),"52")</f>
        <v>52</v>
      </c>
      <c r="M3484" s="1" t="str">
        <f>IFERROR(__xludf.DUMMYFUNCTION("""COMPUTED_VALUE"""),"PUROK 5")</f>
        <v>PUROK 5</v>
      </c>
      <c r="N3484" s="1" t="str">
        <f>IFERROR(__xludf.DUMMYFUNCTION("""COMPUTED_VALUE"""),"#N/A")</f>
        <v>#N/A</v>
      </c>
      <c r="O3484" s="1" t="str">
        <f>IFERROR(__xludf.DUMMYFUNCTION("""COMPUTED_VALUE"""),"ULAT")</f>
        <v>ULAT</v>
      </c>
      <c r="P3484" s="1" t="str">
        <f>IFERROR(__xludf.DUMMYFUNCTION("""COMPUTED_VALUE"""),"SILANG")</f>
        <v>SILANG</v>
      </c>
      <c r="Q3484" s="1" t="str">
        <f>IFERROR(__xludf.DUMMYFUNCTION("""COMPUTED_VALUE"""),"CAVITE")</f>
        <v>CAVITE</v>
      </c>
      <c r="R3484" s="1" t="str">
        <f>IFERROR(__xludf.DUMMYFUNCTION("""COMPUTED_VALUE"""),"FIBER UNLI PLAN 1399")</f>
        <v>FIBER UNLI PLAN 1399</v>
      </c>
      <c r="S3484" s="1" t="str">
        <f>IFERROR(__xludf.DUMMYFUNCTION("""COMPUTED_VALUE"""),"APPROVED")</f>
        <v>APPROVED</v>
      </c>
      <c r="T3484" s="1" t="str">
        <f>IFERROR(__xludf.DUMMYFUNCTION("""COMPUTED_VALUE"""),"CLOSED")</f>
        <v>CLOSED</v>
      </c>
      <c r="U3484" s="1" t="str">
        <f>IFERROR(__xludf.DUMMYFUNCTION("""COMPUTED_VALUE"""),"POSTED")</f>
        <v>POSTED</v>
      </c>
      <c r="V3484" s="1" t="str">
        <f>IFERROR(__xludf.DUMMYFUNCTION("""COMPUTED_VALUE"""),"NO 1 AMSF")</f>
        <v>NO 1 AMSF</v>
      </c>
      <c r="W3484" s="1"/>
    </row>
    <row r="3485" customHeight="1" spans="1:23">
      <c r="A3485" s="3">
        <f>IFERROR(__xludf.DUMMYFUNCTION("""COMPUTED_VALUE"""),46313)</f>
        <v>46313</v>
      </c>
      <c r="B3485" s="1" t="str">
        <f>IFERROR(__xludf.DUMMYFUNCTION("""COMPUTED_VALUE"""),"ALINGARO, CINDY")</f>
        <v>ALINGARO, CINDY</v>
      </c>
      <c r="C3485" s="1" t="str">
        <f>IFERROR(__xludf.DUMMYFUNCTION("""COMPUTED_VALUE"""),"ORGANIC")</f>
        <v>ORGANIC</v>
      </c>
      <c r="D3485" s="1" t="str">
        <f>IFERROR(__xludf.DUMMYFUNCTION("""COMPUTED_VALUE"""),"REMOLLO LEA")</f>
        <v>REMOLLO LEA</v>
      </c>
      <c r="E3485" s="1" t="str">
        <f>IFERROR(__xludf.DUMMYFUNCTION("""COMPUTED_VALUE"""),"PLDT / H2H")</f>
        <v>PLDT / H2H</v>
      </c>
      <c r="F3485" s="1"/>
      <c r="G3485" s="1">
        <f>IFERROR(__xludf.DUMMYFUNCTION("""COMPUTED_VALUE"""),2313231136)</f>
        <v>2313231136</v>
      </c>
      <c r="H3485" s="1" t="str">
        <f>IFERROR(__xludf.DUMMYFUNCTION("""COMPUTED_VALUE"""),"476110760004")</f>
        <v>476110760004</v>
      </c>
      <c r="I3485" s="1">
        <f>IFERROR(__xludf.DUMMYFUNCTION("""COMPUTED_VALUE"""),639629077160)</f>
        <v>639629077160</v>
      </c>
      <c r="J3485" s="1"/>
      <c r="K3485" s="1"/>
      <c r="L3485" s="1" t="str">
        <f>IFERROR(__xludf.DUMMYFUNCTION("""COMPUTED_VALUE"""),"73")</f>
        <v>73</v>
      </c>
      <c r="M3485" s="1" t="str">
        <f>IFERROR(__xludf.DUMMYFUNCTION("""COMPUTED_VALUE"""),"PUROK 4")</f>
        <v>PUROK 4</v>
      </c>
      <c r="N3485" s="1" t="str">
        <f>IFERROR(__xludf.DUMMYFUNCTION("""COMPUTED_VALUE"""),"#N/A")</f>
        <v>#N/A</v>
      </c>
      <c r="O3485" s="1" t="str">
        <f>IFERROR(__xludf.DUMMYFUNCTION("""COMPUTED_VALUE"""),"AMUYONG")</f>
        <v>AMUYONG</v>
      </c>
      <c r="P3485" s="1" t="str">
        <f>IFERROR(__xludf.DUMMYFUNCTION("""COMPUTED_VALUE"""),"ALFONSO")</f>
        <v>ALFONSO</v>
      </c>
      <c r="Q3485" s="1" t="str">
        <f>IFERROR(__xludf.DUMMYFUNCTION("""COMPUTED_VALUE"""),"CAVITE")</f>
        <v>CAVITE</v>
      </c>
      <c r="R3485" s="1" t="str">
        <f>IFERROR(__xludf.DUMMYFUNCTION("""COMPUTED_VALUE"""),"FIBER UNLI PLAN 1399")</f>
        <v>FIBER UNLI PLAN 1399</v>
      </c>
      <c r="S3485" s="1" t="str">
        <f>IFERROR(__xludf.DUMMYFUNCTION("""COMPUTED_VALUE"""),"APPROVED")</f>
        <v>APPROVED</v>
      </c>
      <c r="T3485" s="1" t="str">
        <f>IFERROR(__xludf.DUMMYFUNCTION("""COMPUTED_VALUE"""),"CLOSED")</f>
        <v>CLOSED</v>
      </c>
      <c r="U3485" s="1" t="str">
        <f>IFERROR(__xludf.DUMMYFUNCTION("""COMPUTED_VALUE"""),"POSTED")</f>
        <v>POSTED</v>
      </c>
      <c r="V3485" s="1" t="str">
        <f>IFERROR(__xludf.DUMMYFUNCTION("""COMPUTED_VALUE"""),"NO 1 AMSF")</f>
        <v>NO 1 AMSF</v>
      </c>
      <c r="W3485" s="1"/>
    </row>
    <row r="3486" customHeight="1" spans="1:23">
      <c r="A3486" s="3">
        <f>IFERROR(__xludf.DUMMYFUNCTION("""COMPUTED_VALUE"""),46313)</f>
        <v>46313</v>
      </c>
      <c r="B3486" s="1" t="str">
        <f>IFERROR(__xludf.DUMMYFUNCTION("""COMPUTED_VALUE"""),"GABAY, MANUEL")</f>
        <v>GABAY, MANUEL</v>
      </c>
      <c r="C3486" s="1" t="str">
        <f>IFERROR(__xludf.DUMMYFUNCTION("""COMPUTED_VALUE"""),"FLA")</f>
        <v>FLA</v>
      </c>
      <c r="D3486" s="1" t="str">
        <f>IFERROR(__xludf.DUMMYFUNCTION("""COMPUTED_VALUE"""),"JERIC NAVARRO")</f>
        <v>JERIC NAVARRO</v>
      </c>
      <c r="E3486" s="1" t="str">
        <f>IFERROR(__xludf.DUMMYFUNCTION("""COMPUTED_VALUE"""),"PLDT / H2H")</f>
        <v>PLDT / H2H</v>
      </c>
      <c r="F3486" s="1"/>
      <c r="G3486" s="1">
        <f>IFERROR(__xludf.DUMMYFUNCTION("""COMPUTED_VALUE"""),2313231381)</f>
        <v>2313231381</v>
      </c>
      <c r="H3486" s="1" t="str">
        <f>IFERROR(__xludf.DUMMYFUNCTION("""COMPUTED_VALUE"""),"476109349004")</f>
        <v>476109349004</v>
      </c>
      <c r="I3486" s="1">
        <f>IFERROR(__xludf.DUMMYFUNCTION("""COMPUTED_VALUE"""),639676372864)</f>
        <v>639676372864</v>
      </c>
      <c r="J3486" s="1">
        <f>IFERROR(__xludf.DUMMYFUNCTION("""COMPUTED_VALUE"""),639631429326)</f>
        <v>639631429326</v>
      </c>
      <c r="K3486" s="1"/>
      <c r="L3486" s="1" t="str">
        <f>IFERROR(__xludf.DUMMYFUNCTION("""COMPUTED_VALUE"""),"78")</f>
        <v>78</v>
      </c>
      <c r="M3486" s="1" t="str">
        <f>IFERROR(__xludf.DUMMYFUNCTION("""COMPUTED_VALUE"""),"AMUYONG")</f>
        <v>AMUYONG</v>
      </c>
      <c r="N3486" s="1" t="str">
        <f>IFERROR(__xludf.DUMMYFUNCTION("""COMPUTED_VALUE"""),"#N/A")</f>
        <v>#N/A</v>
      </c>
      <c r="O3486" s="1" t="str">
        <f>IFERROR(__xludf.DUMMYFUNCTION("""COMPUTED_VALUE"""),"AMUYONG")</f>
        <v>AMUYONG</v>
      </c>
      <c r="P3486" s="1" t="str">
        <f>IFERROR(__xludf.DUMMYFUNCTION("""COMPUTED_VALUE"""),"ALFONSO")</f>
        <v>ALFONSO</v>
      </c>
      <c r="Q3486" s="1" t="str">
        <f>IFERROR(__xludf.DUMMYFUNCTION("""COMPUTED_VALUE"""),"CAVITE")</f>
        <v>CAVITE</v>
      </c>
      <c r="R3486" s="1" t="str">
        <f>IFERROR(__xludf.DUMMYFUNCTION("""COMPUTED_VALUE"""),"FIBER UNLI PLAN 1399")</f>
        <v>FIBER UNLI PLAN 1399</v>
      </c>
      <c r="S3486" s="1" t="str">
        <f>IFERROR(__xludf.DUMMYFUNCTION("""COMPUTED_VALUE"""),"APPROVED")</f>
        <v>APPROVED</v>
      </c>
      <c r="T3486" s="1" t="str">
        <f>IFERROR(__xludf.DUMMYFUNCTION("""COMPUTED_VALUE"""),"ORDER CREATED")</f>
        <v>ORDER CREATED</v>
      </c>
      <c r="U3486" s="1" t="str">
        <f>IFERROR(__xludf.DUMMYFUNCTION("""COMPUTED_VALUE"""),"OPEN")</f>
        <v>OPEN</v>
      </c>
      <c r="V3486" s="1"/>
      <c r="W3486" s="1"/>
    </row>
    <row r="3487" customHeight="1" spans="1:23">
      <c r="A3487" s="3">
        <f>IFERROR(__xludf.DUMMYFUNCTION("""COMPUTED_VALUE"""),46313)</f>
        <v>46313</v>
      </c>
      <c r="B3487" s="1" t="str">
        <f>IFERROR(__xludf.DUMMYFUNCTION("""COMPUTED_VALUE"""),"ARIENA, LYKA")</f>
        <v>ARIENA, LYKA</v>
      </c>
      <c r="C3487" s="1" t="str">
        <f>IFERROR(__xludf.DUMMYFUNCTION("""COMPUTED_VALUE"""),"ORGANIC")</f>
        <v>ORGANIC</v>
      </c>
      <c r="D3487" s="1" t="str">
        <f>IFERROR(__xludf.DUMMYFUNCTION("""COMPUTED_VALUE"""),"REMOLLO LEA")</f>
        <v>REMOLLO LEA</v>
      </c>
      <c r="E3487" s="1" t="str">
        <f>IFERROR(__xludf.DUMMYFUNCTION("""COMPUTED_VALUE"""),"PLDT / H2H")</f>
        <v>PLDT / H2H</v>
      </c>
      <c r="F3487" s="1"/>
      <c r="G3487" s="1">
        <f>IFERROR(__xludf.DUMMYFUNCTION("""COMPUTED_VALUE"""),2313231669)</f>
        <v>2313231669</v>
      </c>
      <c r="H3487" s="1" t="str">
        <f>IFERROR(__xludf.DUMMYFUNCTION("""COMPUTED_VALUE"""),"476110925004")</f>
        <v>476110925004</v>
      </c>
      <c r="I3487" s="1">
        <f>IFERROR(__xludf.DUMMYFUNCTION("""COMPUTED_VALUE"""),639508542363)</f>
        <v>639508542363</v>
      </c>
      <c r="J3487" s="1"/>
      <c r="K3487" s="1"/>
      <c r="L3487" s="1" t="str">
        <f>IFERROR(__xludf.DUMMYFUNCTION("""COMPUTED_VALUE"""),"012-BL-058")</f>
        <v>012-BL-058</v>
      </c>
      <c r="M3487" s="1" t="str">
        <f>IFERROR(__xludf.DUMMYFUNCTION("""COMPUTED_VALUE"""),"SAMBONG")</f>
        <v>SAMBONG</v>
      </c>
      <c r="N3487" s="1" t="str">
        <f>IFERROR(__xludf.DUMMYFUNCTION("""COMPUTED_VALUE"""),"#N/A")</f>
        <v>#N/A</v>
      </c>
      <c r="O3487" s="1" t="str">
        <f>IFERROR(__xludf.DUMMYFUNCTION("""COMPUTED_VALUE"""),"RAMON CRUZ (AREA J)")</f>
        <v>RAMON CRUZ (AREA J)</v>
      </c>
      <c r="P3487" s="1" t="str">
        <f>IFERROR(__xludf.DUMMYFUNCTION("""COMPUTED_VALUE"""),"GEN MARIANO ALVAREZ")</f>
        <v>GEN MARIANO ALVAREZ</v>
      </c>
      <c r="Q3487" s="1" t="str">
        <f>IFERROR(__xludf.DUMMYFUNCTION("""COMPUTED_VALUE"""),"CAVITE")</f>
        <v>CAVITE</v>
      </c>
      <c r="R3487" s="1" t="str">
        <f>IFERROR(__xludf.DUMMYFUNCTION("""COMPUTED_VALUE"""),"FIBR UNLI ALL PLAN 999")</f>
        <v>FIBR UNLI ALL PLAN 999</v>
      </c>
      <c r="S3487" s="1" t="str">
        <f>IFERROR(__xludf.DUMMYFUNCTION("""COMPUTED_VALUE"""),"APPROVED")</f>
        <v>APPROVED</v>
      </c>
      <c r="T3487" s="1" t="str">
        <f>IFERROR(__xludf.DUMMYFUNCTION("""COMPUTED_VALUE"""),"FOR PAYMENT")</f>
        <v>FOR PAYMENT</v>
      </c>
      <c r="U3487" s="1" t="str">
        <f>IFERROR(__xludf.DUMMYFUNCTION("""COMPUTED_VALUE"""),"FOR PAYMENT")</f>
        <v>FOR PAYMENT</v>
      </c>
      <c r="V3487" s="1"/>
      <c r="W3487" s="1"/>
    </row>
    <row r="3488" customHeight="1" spans="1:23">
      <c r="A3488" s="3">
        <f>IFERROR(__xludf.DUMMYFUNCTION("""COMPUTED_VALUE"""),46313)</f>
        <v>46313</v>
      </c>
      <c r="B3488" s="1" t="str">
        <f>IFERROR(__xludf.DUMMYFUNCTION("""COMPUTED_VALUE"""),"TAMAYO, MARY ROSE")</f>
        <v>TAMAYO, MARY ROSE</v>
      </c>
      <c r="C3488" s="1" t="str">
        <f>IFERROR(__xludf.DUMMYFUNCTION("""COMPUTED_VALUE"""),"ORGANIC")</f>
        <v>ORGANIC</v>
      </c>
      <c r="D3488" s="1" t="str">
        <f>IFERROR(__xludf.DUMMYFUNCTION("""COMPUTED_VALUE"""),"REMOLLO LEA")</f>
        <v>REMOLLO LEA</v>
      </c>
      <c r="E3488" s="1" t="str">
        <f>IFERROR(__xludf.DUMMYFUNCTION("""COMPUTED_VALUE"""),"PLDT / H2H")</f>
        <v>PLDT / H2H</v>
      </c>
      <c r="F3488" s="1"/>
      <c r="G3488" s="1">
        <f>IFERROR(__xludf.DUMMYFUNCTION("""COMPUTED_VALUE"""),2313231865)</f>
        <v>2313231865</v>
      </c>
      <c r="H3488" s="1" t="str">
        <f>IFERROR(__xludf.DUMMYFUNCTION("""COMPUTED_VALUE"""),"476369547004")</f>
        <v>476369547004</v>
      </c>
      <c r="I3488" s="1">
        <f>IFERROR(__xludf.DUMMYFUNCTION("""COMPUTED_VALUE"""),639513428891)</f>
        <v>639513428891</v>
      </c>
      <c r="J3488" s="1">
        <f>IFERROR(__xludf.DUMMYFUNCTION("""COMPUTED_VALUE"""),639513419373)</f>
        <v>639513419373</v>
      </c>
      <c r="K3488" s="1"/>
      <c r="L3488" s="1" t="str">
        <f>IFERROR(__xludf.DUMMYFUNCTION("""COMPUTED_VALUE"""),"777")</f>
        <v>777</v>
      </c>
      <c r="M3488" s="1" t="str">
        <f>IFERROR(__xludf.DUMMYFUNCTION("""COMPUTED_VALUE"""),"SITIO MUZON")</f>
        <v>SITIO MUZON</v>
      </c>
      <c r="N3488" s="1" t="str">
        <f>IFERROR(__xludf.DUMMYFUNCTION("""COMPUTED_VALUE"""),"#N/A")</f>
        <v>#N/A</v>
      </c>
      <c r="O3488" s="1" t="str">
        <f>IFERROR(__xludf.DUMMYFUNCTION("""COMPUTED_VALUE"""),"PUTING KAHOY")</f>
        <v>PUTING KAHOY</v>
      </c>
      <c r="P3488" s="1" t="str">
        <f>IFERROR(__xludf.DUMMYFUNCTION("""COMPUTED_VALUE"""),"SILANG")</f>
        <v>SILANG</v>
      </c>
      <c r="Q3488" s="1" t="str">
        <f>IFERROR(__xludf.DUMMYFUNCTION("""COMPUTED_VALUE"""),"CAVITE")</f>
        <v>CAVITE</v>
      </c>
      <c r="R3488" s="1" t="str">
        <f>IFERROR(__xludf.DUMMYFUNCTION("""COMPUTED_VALUE"""),"FIBR UNLI ALL PLAN 999")</f>
        <v>FIBR UNLI ALL PLAN 999</v>
      </c>
      <c r="S3488" s="1" t="str">
        <f>IFERROR(__xludf.DUMMYFUNCTION("""COMPUTED_VALUE"""),"APPROVED")</f>
        <v>APPROVED</v>
      </c>
      <c r="T3488" s="1" t="str">
        <f>IFERROR(__xludf.DUMMYFUNCTION("""COMPUTED_VALUE"""),"FOR PAYMENT")</f>
        <v>FOR PAYMENT</v>
      </c>
      <c r="U3488" s="1" t="str">
        <f>IFERROR(__xludf.DUMMYFUNCTION("""COMPUTED_VALUE"""),"FOR PAYMENT")</f>
        <v>FOR PAYMENT</v>
      </c>
      <c r="V3488" s="1"/>
      <c r="W3488" s="1"/>
    </row>
    <row r="3489" customHeight="1" spans="1:23">
      <c r="A3489" s="3">
        <f>IFERROR(__xludf.DUMMYFUNCTION("""COMPUTED_VALUE"""),46313)</f>
        <v>46313</v>
      </c>
      <c r="B3489" s="1" t="str">
        <f>IFERROR(__xludf.DUMMYFUNCTION("""COMPUTED_VALUE"""),"GABAY, MANUEL")</f>
        <v>GABAY, MANUEL</v>
      </c>
      <c r="C3489" s="1" t="str">
        <f>IFERROR(__xludf.DUMMYFUNCTION("""COMPUTED_VALUE"""),"FLA")</f>
        <v>FLA</v>
      </c>
      <c r="D3489" s="1" t="str">
        <f>IFERROR(__xludf.DUMMYFUNCTION("""COMPUTED_VALUE"""),"JERIC NAVARRO")</f>
        <v>JERIC NAVARRO</v>
      </c>
      <c r="E3489" s="1" t="str">
        <f>IFERROR(__xludf.DUMMYFUNCTION("""COMPUTED_VALUE"""),"PLDT / H2H")</f>
        <v>PLDT / H2H</v>
      </c>
      <c r="F3489" s="1"/>
      <c r="G3489" s="1">
        <f>IFERROR(__xludf.DUMMYFUNCTION("""COMPUTED_VALUE"""),2313232095)</f>
        <v>2313232095</v>
      </c>
      <c r="H3489" s="1" t="str">
        <f>IFERROR(__xludf.DUMMYFUNCTION("""COMPUTED_VALUE"""),"476110806004")</f>
        <v>476110806004</v>
      </c>
      <c r="I3489" s="1">
        <f>IFERROR(__xludf.DUMMYFUNCTION("""COMPUTED_VALUE"""),639516689552)</f>
        <v>639516689552</v>
      </c>
      <c r="J3489" s="1">
        <f>IFERROR(__xludf.DUMMYFUNCTION("""COMPUTED_VALUE"""),639957530919)</f>
        <v>639957530919</v>
      </c>
      <c r="K3489" s="1"/>
      <c r="L3489" s="1" t="str">
        <f>IFERROR(__xludf.DUMMYFUNCTION("""COMPUTED_VALUE"""),"208")</f>
        <v>208</v>
      </c>
      <c r="M3489" s="1" t="str">
        <f>IFERROR(__xludf.DUMMYFUNCTION("""COMPUTED_VALUE"""),"PUROK 6")</f>
        <v>PUROK 6</v>
      </c>
      <c r="N3489" s="1" t="str">
        <f>IFERROR(__xludf.DUMMYFUNCTION("""COMPUTED_VALUE"""),"#N/A")</f>
        <v>#N/A</v>
      </c>
      <c r="O3489" s="1" t="str">
        <f>IFERROR(__xludf.DUMMYFUNCTION("""COMPUTED_VALUE"""),"KAYSUYO")</f>
        <v>KAYSUYO</v>
      </c>
      <c r="P3489" s="1" t="str">
        <f>IFERROR(__xludf.DUMMYFUNCTION("""COMPUTED_VALUE"""),"ALFONSO")</f>
        <v>ALFONSO</v>
      </c>
      <c r="Q3489" s="1" t="str">
        <f>IFERROR(__xludf.DUMMYFUNCTION("""COMPUTED_VALUE"""),"CAVITE")</f>
        <v>CAVITE</v>
      </c>
      <c r="R3489" s="1" t="str">
        <f>IFERROR(__xludf.DUMMYFUNCTION("""COMPUTED_VALUE"""),"FIBER UNLI PLAN 1399")</f>
        <v>FIBER UNLI PLAN 1399</v>
      </c>
      <c r="S3489" s="1" t="str">
        <f>IFERROR(__xludf.DUMMYFUNCTION("""COMPUTED_VALUE"""),"APPROVED")</f>
        <v>APPROVED</v>
      </c>
      <c r="T3489" s="1" t="str">
        <f>IFERROR(__xludf.DUMMYFUNCTION("""COMPUTED_VALUE"""),"ORDER CREATED")</f>
        <v>ORDER CREATED</v>
      </c>
      <c r="U3489" s="1" t="str">
        <f>IFERROR(__xludf.DUMMYFUNCTION("""COMPUTED_VALUE"""),"OPEN")</f>
        <v>OPEN</v>
      </c>
      <c r="V3489" s="1"/>
      <c r="W3489" s="1"/>
    </row>
    <row r="3490" customHeight="1" spans="1:23">
      <c r="A3490" s="3">
        <f>IFERROR(__xludf.DUMMYFUNCTION("""COMPUTED_VALUE"""),46313)</f>
        <v>46313</v>
      </c>
      <c r="B3490" s="1" t="str">
        <f>IFERROR(__xludf.DUMMYFUNCTION("""COMPUTED_VALUE"""),"PEREZ, RONELL")</f>
        <v>PEREZ, RONELL</v>
      </c>
      <c r="C3490" s="1" t="str">
        <f>IFERROR(__xludf.DUMMYFUNCTION("""COMPUTED_VALUE"""),"ORGANIC")</f>
        <v>ORGANIC</v>
      </c>
      <c r="D3490" s="1" t="str">
        <f>IFERROR(__xludf.DUMMYFUNCTION("""COMPUTED_VALUE"""),"MICHALE GARCIA")</f>
        <v>MICHALE GARCIA</v>
      </c>
      <c r="E3490" s="1" t="str">
        <f>IFERROR(__xludf.DUMMYFUNCTION("""COMPUTED_VALUE"""),"PLDT / ONLINE")</f>
        <v>PLDT / ONLINE</v>
      </c>
      <c r="F3490" s="1"/>
      <c r="G3490" s="1">
        <f>IFERROR(__xludf.DUMMYFUNCTION("""COMPUTED_VALUE"""),2313232297)</f>
        <v>2313232297</v>
      </c>
      <c r="H3490" s="1" t="str">
        <f>IFERROR(__xludf.DUMMYFUNCTION("""COMPUTED_VALUE"""),"476240356004")</f>
        <v>476240356004</v>
      </c>
      <c r="I3490" s="1">
        <f>IFERROR(__xludf.DUMMYFUNCTION("""COMPUTED_VALUE"""),639666520697)</f>
        <v>639666520697</v>
      </c>
      <c r="J3490" s="1">
        <f>IFERROR(__xludf.DUMMYFUNCTION("""COMPUTED_VALUE"""),639536181964)</f>
        <v>639536181964</v>
      </c>
      <c r="K3490" s="1"/>
      <c r="L3490" s="1" t="str">
        <f>IFERROR(__xludf.DUMMYFUNCTION("""COMPUTED_VALUE"""),"033-BL-003")</f>
        <v>033-BL-003</v>
      </c>
      <c r="M3490" s="1" t="str">
        <f>IFERROR(__xludf.DUMMYFUNCTION("""COMPUTED_VALUE"""),"XIAMEN")</f>
        <v>XIAMEN</v>
      </c>
      <c r="N3490" s="1" t="str">
        <f>IFERROR(__xludf.DUMMYFUNCTION("""COMPUTED_VALUE"""),"KENSINGTON 15 LANCASTER")</f>
        <v>KENSINGTON 15 LANCASTER</v>
      </c>
      <c r="O3490" s="1" t="str">
        <f>IFERROR(__xludf.DUMMYFUNCTION("""COMPUTED_VALUE"""),"NAVARRO")</f>
        <v>NAVARRO</v>
      </c>
      <c r="P3490" s="1" t="str">
        <f>IFERROR(__xludf.DUMMYFUNCTION("""COMPUTED_VALUE"""),"GENERAL TRIAS")</f>
        <v>GENERAL TRIAS</v>
      </c>
      <c r="Q3490" s="1" t="str">
        <f>IFERROR(__xludf.DUMMYFUNCTION("""COMPUTED_VALUE"""),"CAVITE")</f>
        <v>CAVITE</v>
      </c>
      <c r="R3490" s="1" t="str">
        <f>IFERROR(__xludf.DUMMYFUNCTION("""COMPUTED_VALUE"""),"FIBR PLAN 1299")</f>
        <v>FIBR PLAN 1299</v>
      </c>
      <c r="S3490" s="1" t="str">
        <f>IFERROR(__xludf.DUMMYFUNCTION("""COMPUTED_VALUE"""),"APPROVED")</f>
        <v>APPROVED</v>
      </c>
      <c r="T3490" s="1" t="str">
        <f>IFERROR(__xludf.DUMMYFUNCTION("""COMPUTED_VALUE"""),"FOR PAYMENT")</f>
        <v>FOR PAYMENT</v>
      </c>
      <c r="U3490" s="1" t="str">
        <f>IFERROR(__xludf.DUMMYFUNCTION("""COMPUTED_VALUE"""),"FOR PAYMENT")</f>
        <v>FOR PAYMENT</v>
      </c>
      <c r="V3490" s="1"/>
      <c r="W3490" s="1"/>
    </row>
    <row r="3491" customHeight="1" spans="1:23">
      <c r="A3491" s="3">
        <f>IFERROR(__xludf.DUMMYFUNCTION("""COMPUTED_VALUE"""),46313)</f>
        <v>46313</v>
      </c>
      <c r="B3491" s="1" t="str">
        <f>IFERROR(__xludf.DUMMYFUNCTION("""COMPUTED_VALUE"""),"ARIENA, LYKA")</f>
        <v>ARIENA, LYKA</v>
      </c>
      <c r="C3491" s="1" t="str">
        <f>IFERROR(__xludf.DUMMYFUNCTION("""COMPUTED_VALUE"""),"ORGANIC")</f>
        <v>ORGANIC</v>
      </c>
      <c r="D3491" s="1" t="str">
        <f>IFERROR(__xludf.DUMMYFUNCTION("""COMPUTED_VALUE"""),"REMOLLO LEA")</f>
        <v>REMOLLO LEA</v>
      </c>
      <c r="E3491" s="1" t="str">
        <f>IFERROR(__xludf.DUMMYFUNCTION("""COMPUTED_VALUE"""),"PLDT / H2H")</f>
        <v>PLDT / H2H</v>
      </c>
      <c r="F3491" s="1"/>
      <c r="G3491" s="1">
        <f>IFERROR(__xludf.DUMMYFUNCTION("""COMPUTED_VALUE"""),2313232492)</f>
        <v>2313232492</v>
      </c>
      <c r="H3491" s="1" t="str">
        <f>IFERROR(__xludf.DUMMYFUNCTION("""COMPUTED_VALUE"""),"476111178004")</f>
        <v>476111178004</v>
      </c>
      <c r="I3491" s="1">
        <f>IFERROR(__xludf.DUMMYFUNCTION("""COMPUTED_VALUE"""),639359818001)</f>
        <v>639359818001</v>
      </c>
      <c r="J3491" s="1"/>
      <c r="K3491" s="1"/>
      <c r="L3491" s="1" t="str">
        <f>IFERROR(__xludf.DUMMYFUNCTION("""COMPUTED_VALUE"""),"198")</f>
        <v>198</v>
      </c>
      <c r="M3491" s="1" t="str">
        <f>IFERROR(__xludf.DUMMYFUNCTION("""COMPUTED_VALUE"""),"LAYSA")</f>
        <v>LAYSA</v>
      </c>
      <c r="N3491" s="1" t="str">
        <f>IFERROR(__xludf.DUMMYFUNCTION("""COMPUTED_VALUE"""),"#N/A")</f>
        <v>#N/A</v>
      </c>
      <c r="O3491" s="1" t="str">
        <f>IFERROR(__xludf.DUMMYFUNCTION("""COMPUTED_VALUE"""),"BATAS")</f>
        <v>BATAS</v>
      </c>
      <c r="P3491" s="1" t="str">
        <f>IFERROR(__xludf.DUMMYFUNCTION("""COMPUTED_VALUE"""),"SILANG")</f>
        <v>SILANG</v>
      </c>
      <c r="Q3491" s="1" t="str">
        <f>IFERROR(__xludf.DUMMYFUNCTION("""COMPUTED_VALUE"""),"CAVITE")</f>
        <v>CAVITE</v>
      </c>
      <c r="R3491" s="1" t="str">
        <f>IFERROR(__xludf.DUMMYFUNCTION("""COMPUTED_VALUE"""),"FIBER UNLI PLAN 1399")</f>
        <v>FIBER UNLI PLAN 1399</v>
      </c>
      <c r="S3491" s="1" t="str">
        <f>IFERROR(__xludf.DUMMYFUNCTION("""COMPUTED_VALUE"""),"APPROVED")</f>
        <v>APPROVED</v>
      </c>
      <c r="T3491" s="1" t="str">
        <f>IFERROR(__xludf.DUMMYFUNCTION("""COMPUTED_VALUE"""),"AFD")</f>
        <v>AFD</v>
      </c>
      <c r="U3491" s="1" t="str">
        <f>IFERROR(__xludf.DUMMYFUNCTION("""COMPUTED_VALUE"""),"AFD - RESCHEDULE")</f>
        <v>AFD - RESCHEDULE</v>
      </c>
      <c r="V3491" s="1" t="str">
        <f>IFERROR(__xludf.DUMMYFUNCTION("""COMPUTED_VALUE"""),"NO 1 AMSF")</f>
        <v>NO 1 AMSF</v>
      </c>
      <c r="W3491" s="1"/>
    </row>
    <row r="3492" customHeight="1" spans="1:23">
      <c r="A3492" s="3">
        <f>IFERROR(__xludf.DUMMYFUNCTION("""COMPUTED_VALUE"""),46313)</f>
        <v>46313</v>
      </c>
      <c r="B3492" s="1" t="str">
        <f>IFERROR(__xludf.DUMMYFUNCTION("""COMPUTED_VALUE"""),"MERCADO, MARK ANTHONY")</f>
        <v>MERCADO, MARK ANTHONY</v>
      </c>
      <c r="C3492" s="1" t="str">
        <f>IFERROR(__xludf.DUMMYFUNCTION("""COMPUTED_VALUE"""),"ORGANIC")</f>
        <v>ORGANIC</v>
      </c>
      <c r="D3492" s="1" t="str">
        <f>IFERROR(__xludf.DUMMYFUNCTION("""COMPUTED_VALUE"""),"REMOLLO LEA")</f>
        <v>REMOLLO LEA</v>
      </c>
      <c r="E3492" s="1" t="str">
        <f>IFERROR(__xludf.DUMMYFUNCTION("""COMPUTED_VALUE"""),"PLDT / H2H")</f>
        <v>PLDT / H2H</v>
      </c>
      <c r="F3492" s="1"/>
      <c r="G3492" s="1">
        <f>IFERROR(__xludf.DUMMYFUNCTION("""COMPUTED_VALUE"""),2313233121)</f>
        <v>2313233121</v>
      </c>
      <c r="H3492" s="1" t="str">
        <f>IFERROR(__xludf.DUMMYFUNCTION("""COMPUTED_VALUE"""),"476111873004")</f>
        <v>476111873004</v>
      </c>
      <c r="I3492" s="1">
        <f>IFERROR(__xludf.DUMMYFUNCTION("""COMPUTED_VALUE"""),639272870989)</f>
        <v>639272870989</v>
      </c>
      <c r="J3492" s="1"/>
      <c r="K3492" s="1"/>
      <c r="L3492" s="1" t="str">
        <f>IFERROR(__xludf.DUMMYFUNCTION("""COMPUTED_VALUE"""),"6777")</f>
        <v>6777</v>
      </c>
      <c r="M3492" s="1" t="str">
        <f>IFERROR(__xludf.DUMMYFUNCTION("""COMPUTED_VALUE"""),"BURGOS")</f>
        <v>BURGOS</v>
      </c>
      <c r="N3492" s="1" t="str">
        <f>IFERROR(__xludf.DUMMYFUNCTION("""COMPUTED_VALUE"""),"#N/A")</f>
        <v>#N/A</v>
      </c>
      <c r="O3492" s="1" t="str">
        <f>IFERROR(__xludf.DUMMYFUNCTION("""COMPUTED_VALUE"""),"BARANGAY 3 (POB.)")</f>
        <v>BARANGAY 3 (POB.)</v>
      </c>
      <c r="P3492" s="1" t="str">
        <f>IFERROR(__xludf.DUMMYFUNCTION("""COMPUTED_VALUE"""),"ALFONSO")</f>
        <v>ALFONSO</v>
      </c>
      <c r="Q3492" s="1" t="str">
        <f>IFERROR(__xludf.DUMMYFUNCTION("""COMPUTED_VALUE"""),"CAVITE")</f>
        <v>CAVITE</v>
      </c>
      <c r="R3492" s="1" t="str">
        <f>IFERROR(__xludf.DUMMYFUNCTION("""COMPUTED_VALUE"""),"FIBER UNLI PLAN 1399")</f>
        <v>FIBER UNLI PLAN 1399</v>
      </c>
      <c r="S3492" s="1" t="str">
        <f>IFERROR(__xludf.DUMMYFUNCTION("""COMPUTED_VALUE"""),"APPROVED")</f>
        <v>APPROVED</v>
      </c>
      <c r="T3492" s="1" t="str">
        <f>IFERROR(__xludf.DUMMYFUNCTION("""COMPUTED_VALUE"""),"CLOSED")</f>
        <v>CLOSED</v>
      </c>
      <c r="U3492" s="1" t="str">
        <f>IFERROR(__xludf.DUMMYFUNCTION("""COMPUTED_VALUE"""),"POSTED")</f>
        <v>POSTED</v>
      </c>
      <c r="V3492" s="1" t="str">
        <f>IFERROR(__xludf.DUMMYFUNCTION("""COMPUTED_VALUE"""),"NO 1 AMSF")</f>
        <v>NO 1 AMSF</v>
      </c>
      <c r="W3492" s="1"/>
    </row>
    <row r="3493" customHeight="1" spans="1:23">
      <c r="A3493" s="3">
        <f>IFERROR(__xludf.DUMMYFUNCTION("""COMPUTED_VALUE"""),46313)</f>
        <v>46313</v>
      </c>
      <c r="B3493" s="1" t="str">
        <f>IFERROR(__xludf.DUMMYFUNCTION("""COMPUTED_VALUE"""),"MERCADO, MARK ANTHONY")</f>
        <v>MERCADO, MARK ANTHONY</v>
      </c>
      <c r="C3493" s="1" t="str">
        <f>IFERROR(__xludf.DUMMYFUNCTION("""COMPUTED_VALUE"""),"ORGANIC")</f>
        <v>ORGANIC</v>
      </c>
      <c r="D3493" s="1" t="str">
        <f>IFERROR(__xludf.DUMMYFUNCTION("""COMPUTED_VALUE"""),"REMOLLO LEA")</f>
        <v>REMOLLO LEA</v>
      </c>
      <c r="E3493" s="1" t="str">
        <f>IFERROR(__xludf.DUMMYFUNCTION("""COMPUTED_VALUE"""),"PLDT / H2H")</f>
        <v>PLDT / H2H</v>
      </c>
      <c r="F3493" s="1"/>
      <c r="G3493" s="1">
        <f>IFERROR(__xludf.DUMMYFUNCTION("""COMPUTED_VALUE"""),2313234164)</f>
        <v>2313234164</v>
      </c>
      <c r="H3493" s="1" t="str">
        <f>IFERROR(__xludf.DUMMYFUNCTION("""COMPUTED_VALUE"""),"476167380004")</f>
        <v>476167380004</v>
      </c>
      <c r="I3493" s="1">
        <f>IFERROR(__xludf.DUMMYFUNCTION("""COMPUTED_VALUE"""),639692056942)</f>
        <v>639692056942</v>
      </c>
      <c r="J3493" s="1">
        <f>IFERROR(__xludf.DUMMYFUNCTION("""COMPUTED_VALUE"""),639451166046)</f>
        <v>639451166046</v>
      </c>
      <c r="K3493" s="1"/>
      <c r="L3493" s="1" t="str">
        <f>IFERROR(__xludf.DUMMYFUNCTION("""COMPUTED_VALUE"""),"15")</f>
        <v>15</v>
      </c>
      <c r="M3493" s="1" t="str">
        <f>IFERROR(__xludf.DUMMYFUNCTION("""COMPUTED_VALUE"""),"SOUTHPLAIN VILLAGE")</f>
        <v>SOUTHPLAIN VILLAGE</v>
      </c>
      <c r="N3493" s="1" t="str">
        <f>IFERROR(__xludf.DUMMYFUNCTION("""COMPUTED_VALUE"""),"SOUTHPLAIN VILLAGE")</f>
        <v>SOUTHPLAIN VILLAGE</v>
      </c>
      <c r="O3493" s="1" t="str">
        <f>IFERROR(__xludf.DUMMYFUNCTION("""COMPUTED_VALUE"""),"SALITRAN II")</f>
        <v>SALITRAN II</v>
      </c>
      <c r="P3493" s="1" t="str">
        <f>IFERROR(__xludf.DUMMYFUNCTION("""COMPUTED_VALUE"""),"DASMARINAS")</f>
        <v>DASMARINAS</v>
      </c>
      <c r="Q3493" s="1" t="str">
        <f>IFERROR(__xludf.DUMMYFUNCTION("""COMPUTED_VALUE"""),"CAVITE")</f>
        <v>CAVITE</v>
      </c>
      <c r="R3493" s="1" t="str">
        <f>IFERROR(__xludf.DUMMYFUNCTION("""COMPUTED_VALUE"""),"FIBER UNLI PLAN 1399")</f>
        <v>FIBER UNLI PLAN 1399</v>
      </c>
      <c r="S3493" s="1" t="str">
        <f>IFERROR(__xludf.DUMMYFUNCTION("""COMPUTED_VALUE"""),"APPROVED")</f>
        <v>APPROVED</v>
      </c>
      <c r="T3493" s="1" t="str">
        <f>IFERROR(__xludf.DUMMYFUNCTION("""COMPUTED_VALUE"""),"PAID")</f>
        <v>PAID</v>
      </c>
      <c r="U3493" s="1" t="str">
        <f>IFERROR(__xludf.DUMMYFUNCTION("""COMPUTED_VALUE"""),"PAID - FOR INSTALLATION")</f>
        <v>PAID - FOR INSTALLATION</v>
      </c>
      <c r="V3493" s="1" t="str">
        <f>IFERROR(__xludf.DUMMYFUNCTION("""COMPUTED_VALUE"""),"NO 1 AMSF")</f>
        <v>NO 1 AMSF</v>
      </c>
      <c r="W3493" s="1"/>
    </row>
    <row r="3494" customHeight="1" spans="1:23">
      <c r="A3494" s="3">
        <f>IFERROR(__xludf.DUMMYFUNCTION("""COMPUTED_VALUE"""),46313)</f>
        <v>46313</v>
      </c>
      <c r="B3494" s="1" t="str">
        <f>IFERROR(__xludf.DUMMYFUNCTION("""COMPUTED_VALUE"""),"CORNELIO, CATHERINE")</f>
        <v>CORNELIO, CATHERINE</v>
      </c>
      <c r="C3494" s="1" t="str">
        <f>IFERROR(__xludf.DUMMYFUNCTION("""COMPUTED_VALUE"""),"ORGANIC")</f>
        <v>ORGANIC</v>
      </c>
      <c r="D3494" s="1" t="str">
        <f>IFERROR(__xludf.DUMMYFUNCTION("""COMPUTED_VALUE"""),"REMOLLO LEA")</f>
        <v>REMOLLO LEA</v>
      </c>
      <c r="E3494" s="1" t="str">
        <f>IFERROR(__xludf.DUMMYFUNCTION("""COMPUTED_VALUE"""),"PLDT / H2H")</f>
        <v>PLDT / H2H</v>
      </c>
      <c r="F3494" s="1"/>
      <c r="G3494" s="1">
        <f>IFERROR(__xludf.DUMMYFUNCTION("""COMPUTED_VALUE"""),2313234932)</f>
        <v>2313234932</v>
      </c>
      <c r="H3494" s="1" t="str">
        <f>IFERROR(__xludf.DUMMYFUNCTION("""COMPUTED_VALUE"""),"476116812004")</f>
        <v>476116812004</v>
      </c>
      <c r="I3494" s="1">
        <f>IFERROR(__xludf.DUMMYFUNCTION("""COMPUTED_VALUE"""),639638863260)</f>
        <v>639638863260</v>
      </c>
      <c r="J3494" s="1">
        <f>IFERROR(__xludf.DUMMYFUNCTION("""COMPUTED_VALUE"""),639994900336)</f>
        <v>639994900336</v>
      </c>
      <c r="K3494" s="1"/>
      <c r="L3494" s="1" t="str">
        <f>IFERROR(__xludf.DUMMYFUNCTION("""COMPUTED_VALUE"""),"49")</f>
        <v>49</v>
      </c>
      <c r="M3494" s="1" t="str">
        <f>IFERROR(__xludf.DUMMYFUNCTION("""COMPUTED_VALUE"""),"PUROK 7")</f>
        <v>PUROK 7</v>
      </c>
      <c r="N3494" s="1" t="str">
        <f>IFERROR(__xludf.DUMMYFUNCTION("""COMPUTED_VALUE"""),"#N/A")</f>
        <v>#N/A</v>
      </c>
      <c r="O3494" s="1" t="str">
        <f>IFERROR(__xludf.DUMMYFUNCTION("""COMPUTED_VALUE"""),"BUCAL")</f>
        <v>BUCAL</v>
      </c>
      <c r="P3494" s="1" t="str">
        <f>IFERROR(__xludf.DUMMYFUNCTION("""COMPUTED_VALUE"""),"AMADEO")</f>
        <v>AMADEO</v>
      </c>
      <c r="Q3494" s="1" t="str">
        <f>IFERROR(__xludf.DUMMYFUNCTION("""COMPUTED_VALUE"""),"CAVITE")</f>
        <v>CAVITE</v>
      </c>
      <c r="R3494" s="1" t="str">
        <f>IFERROR(__xludf.DUMMYFUNCTION("""COMPUTED_VALUE"""),"FIBER UNLI PLAN 1399")</f>
        <v>FIBER UNLI PLAN 1399</v>
      </c>
      <c r="S3494" s="1" t="str">
        <f>IFERROR(__xludf.DUMMYFUNCTION("""COMPUTED_VALUE"""),"APPROVED")</f>
        <v>APPROVED</v>
      </c>
      <c r="T3494" s="1" t="str">
        <f>IFERROR(__xludf.DUMMYFUNCTION("""COMPUTED_VALUE"""),"ORDER CREATED")</f>
        <v>ORDER CREATED</v>
      </c>
      <c r="U3494" s="1" t="str">
        <f>IFERROR(__xludf.DUMMYFUNCTION("""COMPUTED_VALUE"""),"OPEN")</f>
        <v>OPEN</v>
      </c>
      <c r="V3494" s="1"/>
      <c r="W3494" s="1"/>
    </row>
    <row r="3495" customHeight="1" spans="1:23">
      <c r="A3495" s="3">
        <f>IFERROR(__xludf.DUMMYFUNCTION("""COMPUTED_VALUE"""),46314)</f>
        <v>46314</v>
      </c>
      <c r="B3495" s="1" t="str">
        <f>IFERROR(__xludf.DUMMYFUNCTION("""COMPUTED_VALUE"""),"LEADSTORE - ILANO, LIANDRO TEJAS")</f>
        <v>LEADSTORE - ILANO, LIANDRO TEJAS</v>
      </c>
      <c r="C3495" s="1" t="str">
        <f>IFERROR(__xludf.DUMMYFUNCTION("""COMPUTED_VALUE"""),"LEADSTORE")</f>
        <v>LEADSTORE</v>
      </c>
      <c r="D3495" s="1" t="str">
        <f>IFERROR(__xludf.DUMMYFUNCTION("""COMPUTED_VALUE"""),"JERIC NAVARRO")</f>
        <v>JERIC NAVARRO</v>
      </c>
      <c r="E3495" s="1" t="str">
        <f>IFERROR(__xludf.DUMMYFUNCTION("""COMPUTED_VALUE"""),"PLDT / H2H")</f>
        <v>PLDT / H2H</v>
      </c>
      <c r="F3495" s="1"/>
      <c r="G3495" s="1">
        <f>IFERROR(__xludf.DUMMYFUNCTION("""COMPUTED_VALUE"""),2313244716)</f>
        <v>2313244716</v>
      </c>
      <c r="H3495" s="1" t="str">
        <f>IFERROR(__xludf.DUMMYFUNCTION("""COMPUTED_VALUE"""),"476572033004")</f>
        <v>476572033004</v>
      </c>
      <c r="I3495" s="1">
        <f>IFERROR(__xludf.DUMMYFUNCTION("""COMPUTED_VALUE"""),639066840902)</f>
        <v>639066840902</v>
      </c>
      <c r="J3495" s="1">
        <f>IFERROR(__xludf.DUMMYFUNCTION("""COMPUTED_VALUE"""),639161856197)</f>
        <v>639161856197</v>
      </c>
      <c r="K3495" s="1"/>
      <c r="L3495" s="1" t="str">
        <f>IFERROR(__xludf.DUMMYFUNCTION("""COMPUTED_VALUE"""),"33")</f>
        <v>33</v>
      </c>
      <c r="M3495" s="1" t="str">
        <f>IFERROR(__xludf.DUMMYFUNCTION("""COMPUTED_VALUE"""),"LITLIT")</f>
        <v>LITLIT</v>
      </c>
      <c r="N3495" s="1"/>
      <c r="O3495" s="1" t="str">
        <f>IFERROR(__xludf.DUMMYFUNCTION("""COMPUTED_VALUE"""),"LITLIT")</f>
        <v>LITLIT</v>
      </c>
      <c r="P3495" s="1" t="str">
        <f>IFERROR(__xludf.DUMMYFUNCTION("""COMPUTED_VALUE"""),"SILANG")</f>
        <v>SILANG</v>
      </c>
      <c r="Q3495" s="1" t="str">
        <f>IFERROR(__xludf.DUMMYFUNCTION("""COMPUTED_VALUE"""),"CAVITE")</f>
        <v>CAVITE</v>
      </c>
      <c r="R3495" s="1" t="str">
        <f>IFERROR(__xludf.DUMMYFUNCTION("""COMPUTED_VALUE"""),"FIBR PLAN 2099")</f>
        <v>FIBR PLAN 2099</v>
      </c>
      <c r="S3495" s="1" t="str">
        <f>IFERROR(__xludf.DUMMYFUNCTION("""COMPUTED_VALUE"""),"APPROVED")</f>
        <v>APPROVED</v>
      </c>
      <c r="T3495" s="1" t="str">
        <f>IFERROR(__xludf.DUMMYFUNCTION("""COMPUTED_VALUE"""),"CLOSED")</f>
        <v>CLOSED</v>
      </c>
      <c r="U3495" s="1" t="str">
        <f>IFERROR(__xludf.DUMMYFUNCTION("""COMPUTED_VALUE"""),"POSTED")</f>
        <v>POSTED</v>
      </c>
      <c r="V3495" s="1"/>
      <c r="W3495" s="1"/>
    </row>
    <row r="3496" customHeight="1" spans="1:23">
      <c r="A3496" s="3">
        <f>IFERROR(__xludf.DUMMYFUNCTION("""COMPUTED_VALUE"""),46314)</f>
        <v>46314</v>
      </c>
      <c r="B3496" s="1" t="str">
        <f>IFERROR(__xludf.DUMMYFUNCTION("""COMPUTED_VALUE"""),"LOTOJA, LOVELY JOICE")</f>
        <v>LOTOJA, LOVELY JOICE</v>
      </c>
      <c r="C3496" s="1" t="str">
        <f>IFERROR(__xludf.DUMMYFUNCTION("""COMPUTED_VALUE"""),"ORGANIC")</f>
        <v>ORGANIC</v>
      </c>
      <c r="D3496" s="1" t="str">
        <f>IFERROR(__xludf.DUMMYFUNCTION("""COMPUTED_VALUE"""),"REMOLLO LEA")</f>
        <v>REMOLLO LEA</v>
      </c>
      <c r="E3496" s="1" t="str">
        <f>IFERROR(__xludf.DUMMYFUNCTION("""COMPUTED_VALUE"""),"PLDT / H2H")</f>
        <v>PLDT / H2H</v>
      </c>
      <c r="F3496" s="1"/>
      <c r="G3496" s="1">
        <f>IFERROR(__xludf.DUMMYFUNCTION("""COMPUTED_VALUE"""),2313245315)</f>
        <v>2313245315</v>
      </c>
      <c r="H3496" s="1" t="str">
        <f>IFERROR(__xludf.DUMMYFUNCTION("""COMPUTED_VALUE"""),"476237762004")</f>
        <v>476237762004</v>
      </c>
      <c r="I3496" s="1">
        <f>IFERROR(__xludf.DUMMYFUNCTION("""COMPUTED_VALUE"""),639629516749)</f>
        <v>639629516749</v>
      </c>
      <c r="J3496" s="1"/>
      <c r="K3496" s="1"/>
      <c r="L3496" s="1" t="str">
        <f>IFERROR(__xludf.DUMMYFUNCTION("""COMPUTED_VALUE"""),"029-BL-008")</f>
        <v>029-BL-008</v>
      </c>
      <c r="M3496" s="1" t="str">
        <f>IFERROR(__xludf.DUMMYFUNCTION("""COMPUTED_VALUE"""),"PHASE 6")</f>
        <v>PHASE 6</v>
      </c>
      <c r="N3496" s="1" t="str">
        <f>IFERROR(__xludf.DUMMYFUNCTION("""COMPUTED_VALUE"""),"CARMONA STATES")</f>
        <v>CARMONA STATES</v>
      </c>
      <c r="O3496" s="1" t="str">
        <f>IFERROR(__xludf.DUMMYFUNCTION("""COMPUTED_VALUE"""),"LANTIC")</f>
        <v>LANTIC</v>
      </c>
      <c r="P3496" s="1" t="str">
        <f>IFERROR(__xludf.DUMMYFUNCTION("""COMPUTED_VALUE"""),"CARMONA")</f>
        <v>CARMONA</v>
      </c>
      <c r="Q3496" s="1" t="str">
        <f>IFERROR(__xludf.DUMMYFUNCTION("""COMPUTED_VALUE"""),"CAVITE")</f>
        <v>CAVITE</v>
      </c>
      <c r="R3496" s="1" t="str">
        <f>IFERROR(__xludf.DUMMYFUNCTION("""COMPUTED_VALUE"""),"FIBER UNLI PLAN 1399")</f>
        <v>FIBER UNLI PLAN 1399</v>
      </c>
      <c r="S3496" s="1" t="str">
        <f>IFERROR(__xludf.DUMMYFUNCTION("""COMPUTED_VALUE"""),"APPROVED")</f>
        <v>APPROVED</v>
      </c>
      <c r="T3496" s="1" t="str">
        <f>IFERROR(__xludf.DUMMYFUNCTION("""COMPUTED_VALUE"""),"RPR")</f>
        <v>RPR</v>
      </c>
      <c r="U3496" s="1" t="str">
        <f>IFERROR(__xludf.DUMMYFUNCTION("""COMPUTED_VALUE"""),"RPR- SUBS CANCEL REQUEST")</f>
        <v>RPR- SUBS CANCEL REQUEST</v>
      </c>
      <c r="V3496" s="1"/>
      <c r="W3496" s="1"/>
    </row>
    <row r="3497" customHeight="1" spans="1:23">
      <c r="A3497" s="3">
        <f>IFERROR(__xludf.DUMMYFUNCTION("""COMPUTED_VALUE"""),46314)</f>
        <v>46314</v>
      </c>
      <c r="B3497" s="1" t="str">
        <f>IFERROR(__xludf.DUMMYFUNCTION("""COMPUTED_VALUE"""),"MERCADO, MARK ANTHONY")</f>
        <v>MERCADO, MARK ANTHONY</v>
      </c>
      <c r="C3497" s="1" t="str">
        <f>IFERROR(__xludf.DUMMYFUNCTION("""COMPUTED_VALUE"""),"ORGANIC")</f>
        <v>ORGANIC</v>
      </c>
      <c r="D3497" s="1" t="str">
        <f>IFERROR(__xludf.DUMMYFUNCTION("""COMPUTED_VALUE"""),"REMOLLO LEA")</f>
        <v>REMOLLO LEA</v>
      </c>
      <c r="E3497" s="1" t="str">
        <f>IFERROR(__xludf.DUMMYFUNCTION("""COMPUTED_VALUE"""),"PLDT / H2H")</f>
        <v>PLDT / H2H</v>
      </c>
      <c r="F3497" s="1"/>
      <c r="G3497" s="1">
        <f>IFERROR(__xludf.DUMMYFUNCTION("""COMPUTED_VALUE"""),2313274478)</f>
        <v>2313274478</v>
      </c>
      <c r="H3497" s="1"/>
      <c r="I3497" s="1">
        <f>IFERROR(__xludf.DUMMYFUNCTION("""COMPUTED_VALUE"""),639958979962)</f>
        <v>639958979962</v>
      </c>
      <c r="J3497" s="1">
        <f>IFERROR(__xludf.DUMMYFUNCTION("""COMPUTED_VALUE"""),639568432999)</f>
        <v>639568432999</v>
      </c>
      <c r="K3497" s="1"/>
      <c r="L3497" s="1" t="str">
        <f>IFERROR(__xludf.DUMMYFUNCTION("""COMPUTED_VALUE"""),"1588F")</f>
        <v>1588F</v>
      </c>
      <c r="M3497" s="1" t="str">
        <f>IFERROR(__xludf.DUMMYFUNCTION("""COMPUTED_VALUE"""),"SANTOL")</f>
        <v>SANTOL</v>
      </c>
      <c r="N3497" s="1"/>
      <c r="O3497" s="1" t="str">
        <f>IFERROR(__xludf.DUMMYFUNCTION("""COMPUTED_VALUE"""),"AMUYONG")</f>
        <v>AMUYONG</v>
      </c>
      <c r="P3497" s="1" t="str">
        <f>IFERROR(__xludf.DUMMYFUNCTION("""COMPUTED_VALUE"""),"ALFONSO")</f>
        <v>ALFONSO</v>
      </c>
      <c r="Q3497" s="1" t="str">
        <f>IFERROR(__xludf.DUMMYFUNCTION("""COMPUTED_VALUE"""),"CAVITE")</f>
        <v>CAVITE</v>
      </c>
      <c r="R3497" s="1" t="str">
        <f>IFERROR(__xludf.DUMMYFUNCTION("""COMPUTED_VALUE"""),"FIBER UNLI PLAN 1399")</f>
        <v>FIBER UNLI PLAN 1399</v>
      </c>
      <c r="S3497" s="1" t="str">
        <f>IFERROR(__xludf.DUMMYFUNCTION("""COMPUTED_VALUE"""),"APPROVED")</f>
        <v>APPROVED</v>
      </c>
      <c r="T3497" s="1" t="str">
        <f>IFERROR(__xludf.DUMMYFUNCTION("""COMPUTED_VALUE"""),"CANCELLED")</f>
        <v>CANCELLED</v>
      </c>
      <c r="U3497" s="1" t="str">
        <f>IFERROR(__xludf.DUMMYFUNCTION("""COMPUTED_VALUE"""),"CANCELLED - WITH ACTIVE LINE")</f>
        <v>CANCELLED - WITH ACTIVE LINE</v>
      </c>
      <c r="V3497" s="1" t="str">
        <f>IFERROR(__xludf.DUMMYFUNCTION("""COMPUTED_VALUE"""),"WITH 1 AMSF")</f>
        <v>WITH 1 AMSF</v>
      </c>
      <c r="W3497" s="1"/>
    </row>
    <row r="3498" customHeight="1" spans="1:23">
      <c r="A3498" s="3">
        <f>IFERROR(__xludf.DUMMYFUNCTION("""COMPUTED_VALUE"""),46314)</f>
        <v>46314</v>
      </c>
      <c r="B3498" s="1" t="str">
        <f>IFERROR(__xludf.DUMMYFUNCTION("""COMPUTED_VALUE"""),"CORNELIO, CATHERINE")</f>
        <v>CORNELIO, CATHERINE</v>
      </c>
      <c r="C3498" s="1" t="str">
        <f>IFERROR(__xludf.DUMMYFUNCTION("""COMPUTED_VALUE"""),"ORGANIC")</f>
        <v>ORGANIC</v>
      </c>
      <c r="D3498" s="1" t="str">
        <f>IFERROR(__xludf.DUMMYFUNCTION("""COMPUTED_VALUE"""),"REMOLLO LEA")</f>
        <v>REMOLLO LEA</v>
      </c>
      <c r="E3498" s="1" t="str">
        <f>IFERROR(__xludf.DUMMYFUNCTION("""COMPUTED_VALUE"""),"PLDT / H2H")</f>
        <v>PLDT / H2H</v>
      </c>
      <c r="F3498" s="1"/>
      <c r="G3498" s="1">
        <f>IFERROR(__xludf.DUMMYFUNCTION("""COMPUTED_VALUE"""),2313246587)</f>
        <v>2313246587</v>
      </c>
      <c r="H3498" s="1" t="str">
        <f>IFERROR(__xludf.DUMMYFUNCTION("""COMPUTED_VALUE"""),"476238626004")</f>
        <v>476238626004</v>
      </c>
      <c r="I3498" s="1">
        <f>IFERROR(__xludf.DUMMYFUNCTION("""COMPUTED_VALUE"""),639634182450)</f>
        <v>639634182450</v>
      </c>
      <c r="J3498" s="1"/>
      <c r="K3498" s="1"/>
      <c r="L3498" s="1" t="str">
        <f>IFERROR(__xludf.DUMMYFUNCTION("""COMPUTED_VALUE"""),"248")</f>
        <v>248</v>
      </c>
      <c r="M3498" s="1" t="str">
        <f>IFERROR(__xludf.DUMMYFUNCTION("""COMPUTED_VALUE"""),"PUROK 4")</f>
        <v>PUROK 4</v>
      </c>
      <c r="N3498" s="1"/>
      <c r="O3498" s="1" t="str">
        <f>IFERROR(__xludf.DUMMYFUNCTION("""COMPUTED_VALUE"""),"AMUYONG")</f>
        <v>AMUYONG</v>
      </c>
      <c r="P3498" s="1" t="str">
        <f>IFERROR(__xludf.DUMMYFUNCTION("""COMPUTED_VALUE"""),"ALFONSO")</f>
        <v>ALFONSO</v>
      </c>
      <c r="Q3498" s="1" t="str">
        <f>IFERROR(__xludf.DUMMYFUNCTION("""COMPUTED_VALUE"""),"CAVITE")</f>
        <v>CAVITE</v>
      </c>
      <c r="R3498" s="1" t="str">
        <f>IFERROR(__xludf.DUMMYFUNCTION("""COMPUTED_VALUE"""),"FIBER UNLI ALL PLAN 1499")</f>
        <v>FIBER UNLI ALL PLAN 1499</v>
      </c>
      <c r="S3498" s="1" t="str">
        <f>IFERROR(__xludf.DUMMYFUNCTION("""COMPUTED_VALUE"""),"APPROVED")</f>
        <v>APPROVED</v>
      </c>
      <c r="T3498" s="1" t="str">
        <f>IFERROR(__xludf.DUMMYFUNCTION("""COMPUTED_VALUE"""),"CANCELED")</f>
        <v>CANCELED</v>
      </c>
      <c r="U3498" s="1" t="str">
        <f>IFERROR(__xludf.DUMMYFUNCTION("""COMPUTED_VALUE"""),"CANCELLED - SUBS CANCEL REQUEST")</f>
        <v>CANCELLED - SUBS CANCEL REQUEST</v>
      </c>
      <c r="V3498" s="1"/>
      <c r="W3498" s="1"/>
    </row>
    <row r="3499" customHeight="1" spans="1:23">
      <c r="A3499" s="3">
        <f>IFERROR(__xludf.DUMMYFUNCTION("""COMPUTED_VALUE"""),46314)</f>
        <v>46314</v>
      </c>
      <c r="B3499" s="1" t="str">
        <f>IFERROR(__xludf.DUMMYFUNCTION("""COMPUTED_VALUE"""),"ESCARCHA, MA ALMA  ESCOTO")</f>
        <v>ESCARCHA, MA ALMA  ESCOTO</v>
      </c>
      <c r="C3499" s="1" t="str">
        <f>IFERROR(__xludf.DUMMYFUNCTION("""COMPUTED_VALUE"""),"ORGANIC")</f>
        <v>ORGANIC</v>
      </c>
      <c r="D3499" s="1" t="str">
        <f>IFERROR(__xludf.DUMMYFUNCTION("""COMPUTED_VALUE"""),"REMOLLO LEA")</f>
        <v>REMOLLO LEA</v>
      </c>
      <c r="E3499" s="1" t="str">
        <f>IFERROR(__xludf.DUMMYFUNCTION("""COMPUTED_VALUE"""),"PLDT / H2H")</f>
        <v>PLDT / H2H</v>
      </c>
      <c r="F3499" s="1"/>
      <c r="G3499" s="1">
        <f>IFERROR(__xludf.DUMMYFUNCTION("""COMPUTED_VALUE"""),2313248637)</f>
        <v>2313248637</v>
      </c>
      <c r="H3499" s="1"/>
      <c r="I3499" s="1">
        <f>IFERROR(__xludf.DUMMYFUNCTION("""COMPUTED_VALUE"""),639268879525)</f>
        <v>639268879525</v>
      </c>
      <c r="J3499" s="1"/>
      <c r="K3499" s="1"/>
      <c r="L3499" s="1" t="str">
        <f>IFERROR(__xludf.DUMMYFUNCTION("""COMPUTED_VALUE"""),"67A")</f>
        <v>67A</v>
      </c>
      <c r="M3499" s="1" t="str">
        <f>IFERROR(__xludf.DUMMYFUNCTION("""COMPUTED_VALUE"""),"MAGLABE DRIVE")</f>
        <v>MAGLABE DRIVE</v>
      </c>
      <c r="N3499" s="1" t="str">
        <f>IFERROR(__xludf.DUMMYFUNCTION("""COMPUTED_VALUE"""),"CUADRA APARTMENT UNIT A")</f>
        <v>CUADRA APARTMENT UNIT A</v>
      </c>
      <c r="O3499" s="1" t="str">
        <f>IFERROR(__xludf.DUMMYFUNCTION("""COMPUTED_VALUE"""),"ANULING LEJOS I (ANULING)")</f>
        <v>ANULING LEJOS I (ANULING)</v>
      </c>
      <c r="P3499" s="1" t="str">
        <f>IFERROR(__xludf.DUMMYFUNCTION("""COMPUTED_VALUE"""),"MENDEZ")</f>
        <v>MENDEZ</v>
      </c>
      <c r="Q3499" s="1" t="str">
        <f>IFERROR(__xludf.DUMMYFUNCTION("""COMPUTED_VALUE"""),"CAVITE")</f>
        <v>CAVITE</v>
      </c>
      <c r="R3499" s="1" t="str">
        <f>IFERROR(__xludf.DUMMYFUNCTION("""COMPUTED_VALUE"""),"FIBR PLAN 1299")</f>
        <v>FIBR PLAN 1299</v>
      </c>
      <c r="S3499" s="1" t="str">
        <f>IFERROR(__xludf.DUMMYFUNCTION("""COMPUTED_VALUE"""),"APPROVED")</f>
        <v>APPROVED</v>
      </c>
      <c r="T3499" s="1" t="str">
        <f>IFERROR(__xludf.DUMMYFUNCTION("""COMPUTED_VALUE"""),"DISAPPROVED")</f>
        <v>DISAPPROVED</v>
      </c>
      <c r="U3499" s="1" t="str">
        <f>IFERROR(__xludf.DUMMYFUNCTION("""COMPUTED_VALUE"""),"DISAPPROVED - WITH OB")</f>
        <v>DISAPPROVED - WITH OB</v>
      </c>
      <c r="V3499" s="1"/>
      <c r="W3499" s="1"/>
    </row>
    <row r="3500" customHeight="1" spans="1:23">
      <c r="A3500" s="3">
        <f>IFERROR(__xludf.DUMMYFUNCTION("""COMPUTED_VALUE"""),46314)</f>
        <v>46314</v>
      </c>
      <c r="B3500" s="1" t="str">
        <f>IFERROR(__xludf.DUMMYFUNCTION("""COMPUTED_VALUE"""),"FRANCISCO , ROSELYN")</f>
        <v>FRANCISCO , ROSELYN</v>
      </c>
      <c r="C3500" s="1" t="str">
        <f>IFERROR(__xludf.DUMMYFUNCTION("""COMPUTED_VALUE"""),"ORGANIC")</f>
        <v>ORGANIC</v>
      </c>
      <c r="D3500" s="1" t="str">
        <f>IFERROR(__xludf.DUMMYFUNCTION("""COMPUTED_VALUE"""),"REMOLLO LEA")</f>
        <v>REMOLLO LEA</v>
      </c>
      <c r="E3500" s="1" t="str">
        <f>IFERROR(__xludf.DUMMYFUNCTION("""COMPUTED_VALUE"""),"PLDT BK EXPRESS")</f>
        <v>PLDT BK EXPRESS</v>
      </c>
      <c r="F3500" s="1"/>
      <c r="G3500" s="1">
        <f>IFERROR(__xludf.DUMMYFUNCTION("""COMPUTED_VALUE"""),2313249508)</f>
        <v>2313249508</v>
      </c>
      <c r="H3500" s="1" t="str">
        <f>IFERROR(__xludf.DUMMYFUNCTION("""COMPUTED_VALUE"""),"476244538004")</f>
        <v>476244538004</v>
      </c>
      <c r="I3500" s="1">
        <f>IFERROR(__xludf.DUMMYFUNCTION("""COMPUTED_VALUE"""),639560074280)</f>
        <v>639560074280</v>
      </c>
      <c r="J3500" s="1"/>
      <c r="K3500" s="1"/>
      <c r="L3500" s="1" t="str">
        <f>IFERROR(__xludf.DUMMYFUNCTION("""COMPUTED_VALUE"""),"1193")</f>
        <v>1193</v>
      </c>
      <c r="M3500" s="1" t="str">
        <f>IFERROR(__xludf.DUMMYFUNCTION("""COMPUTED_VALUE"""),"HEBRON")</f>
        <v>HEBRON</v>
      </c>
      <c r="N3500" s="1"/>
      <c r="O3500" s="1" t="str">
        <f>IFERROR(__xludf.DUMMYFUNCTION("""COMPUTED_VALUE"""),"MABUHAY")</f>
        <v>MABUHAY</v>
      </c>
      <c r="P3500" s="1" t="str">
        <f>IFERROR(__xludf.DUMMYFUNCTION("""COMPUTED_VALUE"""),"CARMONA")</f>
        <v>CARMONA</v>
      </c>
      <c r="Q3500" s="1" t="str">
        <f>IFERROR(__xludf.DUMMYFUNCTION("""COMPUTED_VALUE"""),"CAVITE")</f>
        <v>CAVITE</v>
      </c>
      <c r="R3500" s="1" t="str">
        <f>IFERROR(__xludf.DUMMYFUNCTION("""COMPUTED_VALUE"""),"FIBER UNLI PLAN 1399")</f>
        <v>FIBER UNLI PLAN 1399</v>
      </c>
      <c r="S3500" s="1" t="str">
        <f>IFERROR(__xludf.DUMMYFUNCTION("""COMPUTED_VALUE"""),"APPROVED")</f>
        <v>APPROVED</v>
      </c>
      <c r="T3500" s="1" t="str">
        <f>IFERROR(__xludf.DUMMYFUNCTION("""COMPUTED_VALUE"""),"AFD")</f>
        <v>AFD</v>
      </c>
      <c r="U3500" s="1" t="str">
        <f>IFERROR(__xludf.DUMMYFUNCTION("""COMPUTED_VALUE"""),"AFD - RESCHEDULED")</f>
        <v>AFD - RESCHEDULED</v>
      </c>
      <c r="V3500" s="1"/>
      <c r="W3500" s="1"/>
    </row>
    <row r="3501" customHeight="1" spans="1:23">
      <c r="A3501" s="3">
        <f>IFERROR(__xludf.DUMMYFUNCTION("""COMPUTED_VALUE"""),46314)</f>
        <v>46314</v>
      </c>
      <c r="B3501" s="1" t="str">
        <f>IFERROR(__xludf.DUMMYFUNCTION("""COMPUTED_VALUE"""),"MERCADO, MARK ANTHONY")</f>
        <v>MERCADO, MARK ANTHONY</v>
      </c>
      <c r="C3501" s="1" t="str">
        <f>IFERROR(__xludf.DUMMYFUNCTION("""COMPUTED_VALUE"""),"ORGANIC")</f>
        <v>ORGANIC</v>
      </c>
      <c r="D3501" s="1" t="str">
        <f>IFERROR(__xludf.DUMMYFUNCTION("""COMPUTED_VALUE"""),"REMOLLO LEA")</f>
        <v>REMOLLO LEA</v>
      </c>
      <c r="E3501" s="1" t="str">
        <f>IFERROR(__xludf.DUMMYFUNCTION("""COMPUTED_VALUE"""),"PLDT / H2H")</f>
        <v>PLDT / H2H</v>
      </c>
      <c r="F3501" s="1"/>
      <c r="G3501" s="1">
        <f>IFERROR(__xludf.DUMMYFUNCTION("""COMPUTED_VALUE"""),2313249447)</f>
        <v>2313249447</v>
      </c>
      <c r="H3501" s="1" t="str">
        <f>IFERROR(__xludf.DUMMYFUNCTION("""COMPUTED_VALUE"""),"476243051004")</f>
        <v>476243051004</v>
      </c>
      <c r="I3501" s="1">
        <f>IFERROR(__xludf.DUMMYFUNCTION("""COMPUTED_VALUE"""),639565413392)</f>
        <v>639565413392</v>
      </c>
      <c r="J3501" s="1"/>
      <c r="K3501" s="1"/>
      <c r="L3501" s="1" t="str">
        <f>IFERROR(__xludf.DUMMYFUNCTION("""COMPUTED_VALUE"""),"002-BL-004")</f>
        <v>002-BL-004</v>
      </c>
      <c r="M3501" s="1" t="str">
        <f>IFERROR(__xludf.DUMMYFUNCTION("""COMPUTED_VALUE"""),"WOODSBOROUGH")</f>
        <v>WOODSBOROUGH</v>
      </c>
      <c r="N3501" s="1" t="str">
        <f>IFERROR(__xludf.DUMMYFUNCTION("""COMPUTED_VALUE"""),"WOODSBOROUGH VILLAGE")</f>
        <v>WOODSBOROUGH VILLAGE</v>
      </c>
      <c r="O3501" s="1" t="str">
        <f>IFERROR(__xludf.DUMMYFUNCTION("""COMPUTED_VALUE"""),"ASISAN")</f>
        <v>ASISAN</v>
      </c>
      <c r="P3501" s="1" t="str">
        <f>IFERROR(__xludf.DUMMYFUNCTION("""COMPUTED_VALUE"""),"TAGAYTAY")</f>
        <v>TAGAYTAY</v>
      </c>
      <c r="Q3501" s="1" t="str">
        <f>IFERROR(__xludf.DUMMYFUNCTION("""COMPUTED_VALUE"""),"CAVITE")</f>
        <v>CAVITE</v>
      </c>
      <c r="R3501" s="1" t="str">
        <f>IFERROR(__xludf.DUMMYFUNCTION("""COMPUTED_VALUE"""),"FIBER UNLI PLAN 1399")</f>
        <v>FIBER UNLI PLAN 1399</v>
      </c>
      <c r="S3501" s="1" t="str">
        <f>IFERROR(__xludf.DUMMYFUNCTION("""COMPUTED_VALUE"""),"APPROVED")</f>
        <v>APPROVED</v>
      </c>
      <c r="T3501" s="1" t="str">
        <f>IFERROR(__xludf.DUMMYFUNCTION("""COMPUTED_VALUE"""),"CLOSED")</f>
        <v>CLOSED</v>
      </c>
      <c r="U3501" s="1" t="str">
        <f>IFERROR(__xludf.DUMMYFUNCTION("""COMPUTED_VALUE"""),"POSTED")</f>
        <v>POSTED</v>
      </c>
      <c r="V3501" s="1" t="str">
        <f>IFERROR(__xludf.DUMMYFUNCTION("""COMPUTED_VALUE"""),"NO 1 AMSF")</f>
        <v>NO 1 AMSF</v>
      </c>
      <c r="W3501" s="1"/>
    </row>
    <row r="3502" customHeight="1" spans="1:23">
      <c r="A3502" s="3">
        <f>IFERROR(__xludf.DUMMYFUNCTION("""COMPUTED_VALUE"""),46314)</f>
        <v>46314</v>
      </c>
      <c r="B3502" s="1" t="str">
        <f>IFERROR(__xludf.DUMMYFUNCTION("""COMPUTED_VALUE"""),"MERCADO, MARK ANTHONY")</f>
        <v>MERCADO, MARK ANTHONY</v>
      </c>
      <c r="C3502" s="1" t="str">
        <f>IFERROR(__xludf.DUMMYFUNCTION("""COMPUTED_VALUE"""),"ORGANIC")</f>
        <v>ORGANIC</v>
      </c>
      <c r="D3502" s="1" t="str">
        <f>IFERROR(__xludf.DUMMYFUNCTION("""COMPUTED_VALUE"""),"REMOLLO LEA")</f>
        <v>REMOLLO LEA</v>
      </c>
      <c r="E3502" s="1" t="str">
        <f>IFERROR(__xludf.DUMMYFUNCTION("""COMPUTED_VALUE"""),"PLDT / H2H")</f>
        <v>PLDT / H2H</v>
      </c>
      <c r="F3502" s="1"/>
      <c r="G3502" s="1">
        <f>IFERROR(__xludf.DUMMYFUNCTION("""COMPUTED_VALUE"""),2313250362)</f>
        <v>2313250362</v>
      </c>
      <c r="H3502" s="1" t="str">
        <f>IFERROR(__xludf.DUMMYFUNCTION("""COMPUTED_VALUE"""),"476243031004")</f>
        <v>476243031004</v>
      </c>
      <c r="I3502" s="1">
        <f>IFERROR(__xludf.DUMMYFUNCTION("""COMPUTED_VALUE"""),639517390191)</f>
        <v>639517390191</v>
      </c>
      <c r="J3502" s="1"/>
      <c r="K3502" s="1"/>
      <c r="L3502" s="1" t="str">
        <f>IFERROR(__xludf.DUMMYFUNCTION("""COMPUTED_VALUE"""),"745")</f>
        <v>745</v>
      </c>
      <c r="M3502" s="1" t="str">
        <f>IFERROR(__xludf.DUMMYFUNCTION("""COMPUTED_VALUE"""),"PUROK 6")</f>
        <v>PUROK 6</v>
      </c>
      <c r="N3502" s="1"/>
      <c r="O3502" s="1" t="str">
        <f>IFERROR(__xludf.DUMMYFUNCTION("""COMPUTED_VALUE"""),"NEOGAN")</f>
        <v>NEOGAN</v>
      </c>
      <c r="P3502" s="1" t="str">
        <f>IFERROR(__xludf.DUMMYFUNCTION("""COMPUTED_VALUE"""),"TAGAYTAY")</f>
        <v>TAGAYTAY</v>
      </c>
      <c r="Q3502" s="1" t="str">
        <f>IFERROR(__xludf.DUMMYFUNCTION("""COMPUTED_VALUE"""),"CAVITE")</f>
        <v>CAVITE</v>
      </c>
      <c r="R3502" s="1" t="str">
        <f>IFERROR(__xludf.DUMMYFUNCTION("""COMPUTED_VALUE"""),"FIBER UNLI PLAN 1399")</f>
        <v>FIBER UNLI PLAN 1399</v>
      </c>
      <c r="S3502" s="1" t="str">
        <f>IFERROR(__xludf.DUMMYFUNCTION("""COMPUTED_VALUE"""),"APPROVED")</f>
        <v>APPROVED</v>
      </c>
      <c r="T3502" s="1" t="str">
        <f>IFERROR(__xludf.DUMMYFUNCTION("""COMPUTED_VALUE"""),"RPR")</f>
        <v>RPR</v>
      </c>
      <c r="U3502" s="1" t="str">
        <f>IFERROR(__xludf.DUMMYFUNCTION("""COMPUTED_VALUE"""),"RPR- SUBS CANCEL REQUEST")</f>
        <v>RPR- SUBS CANCEL REQUEST</v>
      </c>
      <c r="V3502" s="1" t="str">
        <f>IFERROR(__xludf.DUMMYFUNCTION("""COMPUTED_VALUE"""),"NO 1 AMSF")</f>
        <v>NO 1 AMSF</v>
      </c>
      <c r="W3502" s="1"/>
    </row>
    <row r="3503" customHeight="1" spans="1:23">
      <c r="A3503" s="3">
        <f>IFERROR(__xludf.DUMMYFUNCTION("""COMPUTED_VALUE"""),46314)</f>
        <v>46314</v>
      </c>
      <c r="B3503" s="1" t="str">
        <f>IFERROR(__xludf.DUMMYFUNCTION("""COMPUTED_VALUE"""),"ESCARCHA, MA ALMA  ESCOTO")</f>
        <v>ESCARCHA, MA ALMA  ESCOTO</v>
      </c>
      <c r="C3503" s="1" t="str">
        <f>IFERROR(__xludf.DUMMYFUNCTION("""COMPUTED_VALUE"""),"ORGANIC")</f>
        <v>ORGANIC</v>
      </c>
      <c r="D3503" s="1" t="str">
        <f>IFERROR(__xludf.DUMMYFUNCTION("""COMPUTED_VALUE"""),"REMOLLO LEA")</f>
        <v>REMOLLO LEA</v>
      </c>
      <c r="E3503" s="1" t="str">
        <f>IFERROR(__xludf.DUMMYFUNCTION("""COMPUTED_VALUE"""),"PLDT / H2H")</f>
        <v>PLDT / H2H</v>
      </c>
      <c r="F3503" s="1"/>
      <c r="G3503" s="1">
        <f>IFERROR(__xludf.DUMMYFUNCTION("""COMPUTED_VALUE"""),2313250394)</f>
        <v>2313250394</v>
      </c>
      <c r="H3503" s="1" t="str">
        <f>IFERROR(__xludf.DUMMYFUNCTION("""COMPUTED_VALUE"""),"476244502004")</f>
        <v>476244502004</v>
      </c>
      <c r="I3503" s="1">
        <f>IFERROR(__xludf.DUMMYFUNCTION("""COMPUTED_VALUE"""),639271747054)</f>
        <v>639271747054</v>
      </c>
      <c r="J3503" s="1"/>
      <c r="K3503" s="1"/>
      <c r="L3503" s="1" t="str">
        <f>IFERROR(__xludf.DUMMYFUNCTION("""COMPUTED_VALUE"""),"11415")</f>
        <v>11415</v>
      </c>
      <c r="M3503" s="1" t="str">
        <f>IFERROR(__xludf.DUMMYFUNCTION("""COMPUTED_VALUE"""),"M REYES")</f>
        <v>M REYES</v>
      </c>
      <c r="N3503" s="1"/>
      <c r="O3503" s="1" t="str">
        <f>IFERROR(__xludf.DUMMYFUNCTION("""COMPUTED_VALUE"""),"MABUHAY")</f>
        <v>MABUHAY</v>
      </c>
      <c r="P3503" s="1" t="str">
        <f>IFERROR(__xludf.DUMMYFUNCTION("""COMPUTED_VALUE"""),"CARMONA")</f>
        <v>CARMONA</v>
      </c>
      <c r="Q3503" s="1" t="str">
        <f>IFERROR(__xludf.DUMMYFUNCTION("""COMPUTED_VALUE"""),"CAVITE")</f>
        <v>CAVITE</v>
      </c>
      <c r="R3503" s="1" t="str">
        <f>IFERROR(__xludf.DUMMYFUNCTION("""COMPUTED_VALUE"""),"FIBER UNLI PLAN 1399")</f>
        <v>FIBER UNLI PLAN 1399</v>
      </c>
      <c r="S3503" s="1" t="str">
        <f>IFERROR(__xludf.DUMMYFUNCTION("""COMPUTED_VALUE"""),"APPROVED")</f>
        <v>APPROVED</v>
      </c>
      <c r="T3503" s="1" t="str">
        <f>IFERROR(__xludf.DUMMYFUNCTION("""COMPUTED_VALUE"""),"AFD")</f>
        <v>AFD</v>
      </c>
      <c r="U3503" s="1" t="str">
        <f>IFERROR(__xludf.DUMMYFUNCTION("""COMPUTED_VALUE"""),"AFD - RESCHEDULED")</f>
        <v>AFD - RESCHEDULED</v>
      </c>
      <c r="V3503" s="1"/>
      <c r="W3503" s="1"/>
    </row>
    <row r="3504" customHeight="1" spans="1:23">
      <c r="A3504" s="3">
        <f>IFERROR(__xludf.DUMMYFUNCTION("""COMPUTED_VALUE"""),46314)</f>
        <v>46314</v>
      </c>
      <c r="B3504" s="1" t="str">
        <f>IFERROR(__xludf.DUMMYFUNCTION("""COMPUTED_VALUE"""),"TAMAYO, MARY ROSE")</f>
        <v>TAMAYO, MARY ROSE</v>
      </c>
      <c r="C3504" s="1" t="str">
        <f>IFERROR(__xludf.DUMMYFUNCTION("""COMPUTED_VALUE"""),"ORGANIC")</f>
        <v>ORGANIC</v>
      </c>
      <c r="D3504" s="1" t="str">
        <f>IFERROR(__xludf.DUMMYFUNCTION("""COMPUTED_VALUE"""),"REMOLLO LEA")</f>
        <v>REMOLLO LEA</v>
      </c>
      <c r="E3504" s="1" t="str">
        <f>IFERROR(__xludf.DUMMYFUNCTION("""COMPUTED_VALUE"""),"PLDT / H2H")</f>
        <v>PLDT / H2H</v>
      </c>
      <c r="F3504" s="1"/>
      <c r="G3504" s="1">
        <f>IFERROR(__xludf.DUMMYFUNCTION("""COMPUTED_VALUE"""),2313250949)</f>
        <v>2313250949</v>
      </c>
      <c r="H3504" s="1" t="str">
        <f>IFERROR(__xludf.DUMMYFUNCTION("""COMPUTED_VALUE"""),"476244993004")</f>
        <v>476244993004</v>
      </c>
      <c r="I3504" s="1">
        <f>IFERROR(__xludf.DUMMYFUNCTION("""COMPUTED_VALUE"""),639279515734)</f>
        <v>639279515734</v>
      </c>
      <c r="J3504" s="1"/>
      <c r="K3504" s="1"/>
      <c r="L3504" s="1" t="str">
        <f>IFERROR(__xludf.DUMMYFUNCTION("""COMPUTED_VALUE"""),"121")</f>
        <v>121</v>
      </c>
      <c r="M3504" s="1" t="str">
        <f>IFERROR(__xludf.DUMMYFUNCTION("""COMPUTED_VALUE"""),"CRISANTO DELOS REYES")</f>
        <v>CRISANTO DELOS REYES</v>
      </c>
      <c r="N3504" s="1"/>
      <c r="O3504" s="1" t="str">
        <f>IFERROR(__xludf.DUMMYFUNCTION("""COMPUTED_VALUE"""),"SALABAN")</f>
        <v>SALABAN</v>
      </c>
      <c r="P3504" s="1" t="str">
        <f>IFERROR(__xludf.DUMMYFUNCTION("""COMPUTED_VALUE"""),"AMADEO")</f>
        <v>AMADEO</v>
      </c>
      <c r="Q3504" s="1" t="str">
        <f>IFERROR(__xludf.DUMMYFUNCTION("""COMPUTED_VALUE"""),"CAVITE")</f>
        <v>CAVITE</v>
      </c>
      <c r="R3504" s="1" t="str">
        <f>IFERROR(__xludf.DUMMYFUNCTION("""COMPUTED_VALUE"""),"FIBER UNLI PLAN 1399")</f>
        <v>FIBER UNLI PLAN 1399</v>
      </c>
      <c r="S3504" s="1" t="str">
        <f>IFERROR(__xludf.DUMMYFUNCTION("""COMPUTED_VALUE"""),"APPROVED")</f>
        <v>APPROVED</v>
      </c>
      <c r="T3504" s="1" t="str">
        <f>IFERROR(__xludf.DUMMYFUNCTION("""COMPUTED_VALUE"""),"CLOSED")</f>
        <v>CLOSED</v>
      </c>
      <c r="U3504" s="1" t="str">
        <f>IFERROR(__xludf.DUMMYFUNCTION("""COMPUTED_VALUE"""),"POSTED")</f>
        <v>POSTED</v>
      </c>
      <c r="V3504" s="1" t="str">
        <f>IFERROR(__xludf.DUMMYFUNCTION("""COMPUTED_VALUE"""),"NO 1 AMSF")</f>
        <v>NO 1 AMSF</v>
      </c>
      <c r="W3504" s="1"/>
    </row>
    <row r="3505" customHeight="1" spans="1:23">
      <c r="A3505" s="3">
        <f>IFERROR(__xludf.DUMMYFUNCTION("""COMPUTED_VALUE"""),46314)</f>
        <v>46314</v>
      </c>
      <c r="B3505" s="1" t="str">
        <f>IFERROR(__xludf.DUMMYFUNCTION("""COMPUTED_VALUE"""),"GABAY, MANUEL")</f>
        <v>GABAY, MANUEL</v>
      </c>
      <c r="C3505" s="1" t="str">
        <f>IFERROR(__xludf.DUMMYFUNCTION("""COMPUTED_VALUE"""),"FLA")</f>
        <v>FLA</v>
      </c>
      <c r="D3505" s="1" t="str">
        <f>IFERROR(__xludf.DUMMYFUNCTION("""COMPUTED_VALUE"""),"JERIC NAVARRO")</f>
        <v>JERIC NAVARRO</v>
      </c>
      <c r="E3505" s="1" t="str">
        <f>IFERROR(__xludf.DUMMYFUNCTION("""COMPUTED_VALUE"""),"PLDT / H2H")</f>
        <v>PLDT / H2H</v>
      </c>
      <c r="F3505" s="1"/>
      <c r="G3505" s="1">
        <f>IFERROR(__xludf.DUMMYFUNCTION("""COMPUTED_VALUE"""),2313251241)</f>
        <v>2313251241</v>
      </c>
      <c r="H3505" s="1" t="str">
        <f>IFERROR(__xludf.DUMMYFUNCTION("""COMPUTED_VALUE"""),"476244430004")</f>
        <v>476244430004</v>
      </c>
      <c r="I3505" s="1">
        <f>IFERROR(__xludf.DUMMYFUNCTION("""COMPUTED_VALUE"""),639344135248)</f>
        <v>639344135248</v>
      </c>
      <c r="J3505" s="1">
        <f>IFERROR(__xludf.DUMMYFUNCTION("""COMPUTED_VALUE"""),639177761990)</f>
        <v>639177761990</v>
      </c>
      <c r="K3505" s="1"/>
      <c r="L3505" s="1" t="str">
        <f>IFERROR(__xludf.DUMMYFUNCTION("""COMPUTED_VALUE"""),"88")</f>
        <v>88</v>
      </c>
      <c r="M3505" s="1" t="str">
        <f>IFERROR(__xludf.DUMMYFUNCTION("""COMPUTED_VALUE"""),"ASISAN")</f>
        <v>ASISAN</v>
      </c>
      <c r="N3505" s="1"/>
      <c r="O3505" s="1" t="str">
        <f>IFERROR(__xludf.DUMMYFUNCTION("""COMPUTED_VALUE"""),"ASISAN")</f>
        <v>ASISAN</v>
      </c>
      <c r="P3505" s="1" t="str">
        <f>IFERROR(__xludf.DUMMYFUNCTION("""COMPUTED_VALUE"""),"TAGAYTAY")</f>
        <v>TAGAYTAY</v>
      </c>
      <c r="Q3505" s="1" t="str">
        <f>IFERROR(__xludf.DUMMYFUNCTION("""COMPUTED_VALUE"""),"CAVITE")</f>
        <v>CAVITE</v>
      </c>
      <c r="R3505" s="1" t="str">
        <f>IFERROR(__xludf.DUMMYFUNCTION("""COMPUTED_VALUE"""),"FIBER UNLI PLAN 1399")</f>
        <v>FIBER UNLI PLAN 1399</v>
      </c>
      <c r="S3505" s="1" t="str">
        <f>IFERROR(__xludf.DUMMYFUNCTION("""COMPUTED_VALUE"""),"APPROVED")</f>
        <v>APPROVED</v>
      </c>
      <c r="T3505" s="1" t="str">
        <f>IFERROR(__xludf.DUMMYFUNCTION("""COMPUTED_VALUE"""),"CLOSED")</f>
        <v>CLOSED</v>
      </c>
      <c r="U3505" s="1" t="str">
        <f>IFERROR(__xludf.DUMMYFUNCTION("""COMPUTED_VALUE"""),"POSTED")</f>
        <v>POSTED</v>
      </c>
      <c r="V3505" s="1"/>
      <c r="W3505" s="1"/>
    </row>
    <row r="3506" customHeight="1" spans="1:23">
      <c r="A3506" s="3">
        <f>IFERROR(__xludf.DUMMYFUNCTION("""COMPUTED_VALUE"""),46314)</f>
        <v>46314</v>
      </c>
      <c r="B3506" s="1" t="str">
        <f>IFERROR(__xludf.DUMMYFUNCTION("""COMPUTED_VALUE"""),"CORNELIO, CATHERINE")</f>
        <v>CORNELIO, CATHERINE</v>
      </c>
      <c r="C3506" s="1" t="str">
        <f>IFERROR(__xludf.DUMMYFUNCTION("""COMPUTED_VALUE"""),"ORGANIC")</f>
        <v>ORGANIC</v>
      </c>
      <c r="D3506" s="1" t="str">
        <f>IFERROR(__xludf.DUMMYFUNCTION("""COMPUTED_VALUE"""),"REMOLLO LEA")</f>
        <v>REMOLLO LEA</v>
      </c>
      <c r="E3506" s="1" t="str">
        <f>IFERROR(__xludf.DUMMYFUNCTION("""COMPUTED_VALUE"""),"PLDT / H2H")</f>
        <v>PLDT / H2H</v>
      </c>
      <c r="F3506" s="1"/>
      <c r="G3506" s="1">
        <f>IFERROR(__xludf.DUMMYFUNCTION("""COMPUTED_VALUE"""),2313251787)</f>
        <v>2313251787</v>
      </c>
      <c r="H3506" s="1" t="str">
        <f>IFERROR(__xludf.DUMMYFUNCTION("""COMPUTED_VALUE"""),"476387726004")</f>
        <v>476387726004</v>
      </c>
      <c r="I3506" s="1">
        <f>IFERROR(__xludf.DUMMYFUNCTION("""COMPUTED_VALUE"""),639458350120)</f>
        <v>639458350120</v>
      </c>
      <c r="J3506" s="1">
        <f>IFERROR(__xludf.DUMMYFUNCTION("""COMPUTED_VALUE"""),639301752260)</f>
        <v>639301752260</v>
      </c>
      <c r="K3506" s="1"/>
      <c r="L3506" s="1" t="str">
        <f>IFERROR(__xludf.DUMMYFUNCTION("""COMPUTED_VALUE"""),"24")</f>
        <v>24</v>
      </c>
      <c r="M3506" s="1" t="str">
        <f>IFERROR(__xludf.DUMMYFUNCTION("""COMPUTED_VALUE"""),"PUROK 1")</f>
        <v>PUROK 1</v>
      </c>
      <c r="N3506" s="1"/>
      <c r="O3506" s="1" t="str">
        <f>IFERROR(__xludf.DUMMYFUNCTION("""COMPUTED_VALUE"""),"BIGA I")</f>
        <v>BIGA I</v>
      </c>
      <c r="P3506" s="1" t="str">
        <f>IFERROR(__xludf.DUMMYFUNCTION("""COMPUTED_VALUE"""),"SILANG")</f>
        <v>SILANG</v>
      </c>
      <c r="Q3506" s="1" t="str">
        <f>IFERROR(__xludf.DUMMYFUNCTION("""COMPUTED_VALUE"""),"CAVITE")</f>
        <v>CAVITE</v>
      </c>
      <c r="R3506" s="1" t="str">
        <f>IFERROR(__xludf.DUMMYFUNCTION("""COMPUTED_VALUE"""),"FIBER UNLI PLAN 1399")</f>
        <v>FIBER UNLI PLAN 1399</v>
      </c>
      <c r="S3506" s="1" t="str">
        <f>IFERROR(__xludf.DUMMYFUNCTION("""COMPUTED_VALUE"""),"APPROVED")</f>
        <v>APPROVED</v>
      </c>
      <c r="T3506" s="1" t="str">
        <f>IFERROR(__xludf.DUMMYFUNCTION("""COMPUTED_VALUE"""),"CLOSED")</f>
        <v>CLOSED</v>
      </c>
      <c r="U3506" s="1" t="str">
        <f>IFERROR(__xludf.DUMMYFUNCTION("""COMPUTED_VALUE"""),"POSTED")</f>
        <v>POSTED</v>
      </c>
      <c r="V3506" s="1"/>
      <c r="W3506" s="1"/>
    </row>
    <row r="3507" customHeight="1" spans="1:23">
      <c r="A3507" s="3">
        <f>IFERROR(__xludf.DUMMYFUNCTION("""COMPUTED_VALUE"""),46315)</f>
        <v>46315</v>
      </c>
      <c r="B3507" s="1" t="str">
        <f>IFERROR(__xludf.DUMMYFUNCTION("""COMPUTED_VALUE"""),"CORNELIO, CATHERINE")</f>
        <v>CORNELIO, CATHERINE</v>
      </c>
      <c r="C3507" s="1" t="str">
        <f>IFERROR(__xludf.DUMMYFUNCTION("""COMPUTED_VALUE"""),"ORGANIC")</f>
        <v>ORGANIC</v>
      </c>
      <c r="D3507" s="1" t="str">
        <f>IFERROR(__xludf.DUMMYFUNCTION("""COMPUTED_VALUE"""),"REMOLLO LEA")</f>
        <v>REMOLLO LEA</v>
      </c>
      <c r="E3507" s="1" t="str">
        <f>IFERROR(__xludf.DUMMYFUNCTION("""COMPUTED_VALUE"""),"PLDT / H2H")</f>
        <v>PLDT / H2H</v>
      </c>
      <c r="F3507" s="1"/>
      <c r="G3507" s="1">
        <f>IFERROR(__xludf.DUMMYFUNCTION("""COMPUTED_VALUE"""),2313262970)</f>
        <v>2313262970</v>
      </c>
      <c r="H3507" s="1" t="str">
        <f>IFERROR(__xludf.DUMMYFUNCTION("""COMPUTED_VALUE"""),"476360472004")</f>
        <v>476360472004</v>
      </c>
      <c r="I3507" s="1">
        <f>IFERROR(__xludf.DUMMYFUNCTION("""COMPUTED_VALUE"""),639305797827)</f>
        <v>639305797827</v>
      </c>
      <c r="J3507" s="1">
        <f>IFERROR(__xludf.DUMMYFUNCTION("""COMPUTED_VALUE"""),639641499067)</f>
        <v>639641499067</v>
      </c>
      <c r="K3507" s="1"/>
      <c r="L3507" s="1" t="str">
        <f>IFERROR(__xludf.DUMMYFUNCTION("""COMPUTED_VALUE"""),"29")</f>
        <v>29</v>
      </c>
      <c r="M3507" s="1" t="str">
        <f>IFERROR(__xludf.DUMMYFUNCTION("""COMPUTED_VALUE"""),"MAITIM 1")</f>
        <v>MAITIM 1</v>
      </c>
      <c r="N3507" s="1" t="str">
        <f>IFERROR(__xludf.DUMMYFUNCTION("""COMPUTED_VALUE"""),"NANAY PAYANGS APARTMENT")</f>
        <v>NANAY PAYANGS APARTMENT</v>
      </c>
      <c r="O3507" s="1" t="str">
        <f>IFERROR(__xludf.DUMMYFUNCTION("""COMPUTED_VALUE"""),"MAITIM I")</f>
        <v>MAITIM I</v>
      </c>
      <c r="P3507" s="1" t="str">
        <f>IFERROR(__xludf.DUMMYFUNCTION("""COMPUTED_VALUE"""),"AMADEO")</f>
        <v>AMADEO</v>
      </c>
      <c r="Q3507" s="1" t="str">
        <f>IFERROR(__xludf.DUMMYFUNCTION("""COMPUTED_VALUE"""),"CAVITE")</f>
        <v>CAVITE</v>
      </c>
      <c r="R3507" s="1" t="str">
        <f>IFERROR(__xludf.DUMMYFUNCTION("""COMPUTED_VALUE"""),"FIBER UNLI PLAN 1399")</f>
        <v>FIBER UNLI PLAN 1399</v>
      </c>
      <c r="S3507" s="1" t="str">
        <f>IFERROR(__xludf.DUMMYFUNCTION("""COMPUTED_VALUE"""),"APPROVED")</f>
        <v>APPROVED</v>
      </c>
      <c r="T3507" s="1" t="str">
        <f>IFERROR(__xludf.DUMMYFUNCTION("""COMPUTED_VALUE"""),"CLOSED")</f>
        <v>CLOSED</v>
      </c>
      <c r="U3507" s="1" t="str">
        <f>IFERROR(__xludf.DUMMYFUNCTION("""COMPUTED_VALUE"""),"POSTED")</f>
        <v>POSTED</v>
      </c>
      <c r="V3507" s="1"/>
      <c r="W3507" s="1"/>
    </row>
    <row r="3508" customHeight="1" spans="1:23">
      <c r="A3508" s="3">
        <f>IFERROR(__xludf.DUMMYFUNCTION("""COMPUTED_VALUE"""),46315)</f>
        <v>46315</v>
      </c>
      <c r="B3508" s="1" t="str">
        <f>IFERROR(__xludf.DUMMYFUNCTION("""COMPUTED_VALUE"""),"LEADSTORE - ILANO, LIANDRO TEJAS")</f>
        <v>LEADSTORE - ILANO, LIANDRO TEJAS</v>
      </c>
      <c r="C3508" s="1" t="str">
        <f>IFERROR(__xludf.DUMMYFUNCTION("""COMPUTED_VALUE"""),"FLA")</f>
        <v>FLA</v>
      </c>
      <c r="D3508" s="1" t="str">
        <f>IFERROR(__xludf.DUMMYFUNCTION("""COMPUTED_VALUE"""),"JERIC NAVARRO")</f>
        <v>JERIC NAVARRO</v>
      </c>
      <c r="E3508" s="1" t="str">
        <f>IFERROR(__xludf.DUMMYFUNCTION("""COMPUTED_VALUE"""),"PLDT / ONLINE")</f>
        <v>PLDT / ONLINE</v>
      </c>
      <c r="F3508" s="1"/>
      <c r="G3508" s="1">
        <f>IFERROR(__xludf.DUMMYFUNCTION("""COMPUTED_VALUE"""),2313267052)</f>
        <v>2313267052</v>
      </c>
      <c r="H3508" s="1" t="str">
        <f>IFERROR(__xludf.DUMMYFUNCTION("""COMPUTED_VALUE"""),"476538809004")</f>
        <v>476538809004</v>
      </c>
      <c r="I3508" s="1">
        <f>IFERROR(__xludf.DUMMYFUNCTION("""COMPUTED_VALUE"""),639676026145)</f>
        <v>639676026145</v>
      </c>
      <c r="J3508" s="1"/>
      <c r="K3508" s="1"/>
      <c r="L3508" s="1" t="str">
        <f>IFERROR(__xludf.DUMMYFUNCTION("""COMPUTED_VALUE"""),"039-BL-016")</f>
        <v>039-BL-016</v>
      </c>
      <c r="M3508" s="1" t="str">
        <f>IFERROR(__xludf.DUMMYFUNCTION("""COMPUTED_VALUE"""),"MAGILIW")</f>
        <v>MAGILIW</v>
      </c>
      <c r="N3508" s="1" t="str">
        <f>IFERROR(__xludf.DUMMYFUNCTION("""COMPUTED_VALUE"""),"PASINAYA PRIME CENTRAL")</f>
        <v>PASINAYA PRIME CENTRAL</v>
      </c>
      <c r="O3508" s="1" t="str">
        <f>IFERROR(__xludf.DUMMYFUNCTION("""COMPUTED_VALUE"""),"TIMALAN BALSAHAN")</f>
        <v>TIMALAN BALSAHAN</v>
      </c>
      <c r="P3508" s="1" t="str">
        <f>IFERROR(__xludf.DUMMYFUNCTION("""COMPUTED_VALUE"""),"NAIC")</f>
        <v>NAIC</v>
      </c>
      <c r="Q3508" s="1" t="str">
        <f>IFERROR(__xludf.DUMMYFUNCTION("""COMPUTED_VALUE"""),"CAVITE")</f>
        <v>CAVITE</v>
      </c>
      <c r="R3508" s="1" t="str">
        <f>IFERROR(__xludf.DUMMYFUNCTION("""COMPUTED_VALUE"""),"FIBER UNLI PLAN 1399")</f>
        <v>FIBER UNLI PLAN 1399</v>
      </c>
      <c r="S3508" s="1" t="str">
        <f>IFERROR(__xludf.DUMMYFUNCTION("""COMPUTED_VALUE"""),"APPROVED")</f>
        <v>APPROVED</v>
      </c>
      <c r="T3508" s="1" t="str">
        <f>IFERROR(__xludf.DUMMYFUNCTION("""COMPUTED_VALUE"""),"FOR PAYMENT")</f>
        <v>FOR PAYMENT</v>
      </c>
      <c r="U3508" s="1" t="str">
        <f>IFERROR(__xludf.DUMMYFUNCTION("""COMPUTED_VALUE"""),"FOR PAYMENT - FOR CALL OUT")</f>
        <v>FOR PAYMENT - FOR CALL OUT</v>
      </c>
      <c r="V3508" s="1"/>
      <c r="W3508" s="1"/>
    </row>
    <row r="3509" customHeight="1" spans="1:23">
      <c r="A3509" s="3">
        <f>IFERROR(__xludf.DUMMYFUNCTION("""COMPUTED_VALUE"""),46315)</f>
        <v>46315</v>
      </c>
      <c r="B3509" s="1" t="str">
        <f>IFERROR(__xludf.DUMMYFUNCTION("""COMPUTED_VALUE"""),"LEADSTORE - ILANO, LIANDRO TEJAS")</f>
        <v>LEADSTORE - ILANO, LIANDRO TEJAS</v>
      </c>
      <c r="C3509" s="1" t="str">
        <f>IFERROR(__xludf.DUMMYFUNCTION("""COMPUTED_VALUE"""),"FLA")</f>
        <v>FLA</v>
      </c>
      <c r="D3509" s="1" t="str">
        <f>IFERROR(__xludf.DUMMYFUNCTION("""COMPUTED_VALUE"""),"JERIC NAVARRO")</f>
        <v>JERIC NAVARRO</v>
      </c>
      <c r="E3509" s="1" t="str">
        <f>IFERROR(__xludf.DUMMYFUNCTION("""COMPUTED_VALUE"""),"PLDT / ONLINE")</f>
        <v>PLDT / ONLINE</v>
      </c>
      <c r="F3509" s="1"/>
      <c r="G3509" s="1">
        <f>IFERROR(__xludf.DUMMYFUNCTION("""COMPUTED_VALUE"""),2313269430)</f>
        <v>2313269430</v>
      </c>
      <c r="H3509" s="1" t="str">
        <f>IFERROR(__xludf.DUMMYFUNCTION("""COMPUTED_VALUE"""),"476376209004")</f>
        <v>476376209004</v>
      </c>
      <c r="I3509" s="1">
        <f>IFERROR(__xludf.DUMMYFUNCTION("""COMPUTED_VALUE"""),639277020727)</f>
        <v>639277020727</v>
      </c>
      <c r="J3509" s="1"/>
      <c r="K3509" s="1"/>
      <c r="L3509" s="1" t="str">
        <f>IFERROR(__xludf.DUMMYFUNCTION("""COMPUTED_VALUE"""),"035-BL-040")</f>
        <v>035-BL-040</v>
      </c>
      <c r="M3509" s="1" t="str">
        <f>IFERROR(__xludf.DUMMYFUNCTION("""COMPUTED_VALUE"""),"NAGNININGNING")</f>
        <v>NAGNININGNING</v>
      </c>
      <c r="N3509" s="1" t="str">
        <f>IFERROR(__xludf.DUMMYFUNCTION("""COMPUTED_VALUE"""),"PASINARAW VILLAGE")</f>
        <v>PASINARAW VILLAGE</v>
      </c>
      <c r="O3509" s="1" t="str">
        <f>IFERROR(__xludf.DUMMYFUNCTION("""COMPUTED_VALUE"""),"TIMALAN BALSAHAN")</f>
        <v>TIMALAN BALSAHAN</v>
      </c>
      <c r="P3509" s="1" t="str">
        <f>IFERROR(__xludf.DUMMYFUNCTION("""COMPUTED_VALUE"""),"NAIC")</f>
        <v>NAIC</v>
      </c>
      <c r="Q3509" s="1" t="str">
        <f>IFERROR(__xludf.DUMMYFUNCTION("""COMPUTED_VALUE"""),"CAVITE")</f>
        <v>CAVITE</v>
      </c>
      <c r="R3509" s="1" t="str">
        <f>IFERROR(__xludf.DUMMYFUNCTION("""COMPUTED_VALUE"""),"FIBER UNLI PLAN 1399")</f>
        <v>FIBER UNLI PLAN 1399</v>
      </c>
      <c r="S3509" s="1" t="str">
        <f>IFERROR(__xludf.DUMMYFUNCTION("""COMPUTED_VALUE"""),"APPROVED")</f>
        <v>APPROVED</v>
      </c>
      <c r="T3509" s="1" t="str">
        <f>IFERROR(__xludf.DUMMYFUNCTION("""COMPUTED_VALUE"""),"CLOSED")</f>
        <v>CLOSED</v>
      </c>
      <c r="U3509" s="1" t="str">
        <f>IFERROR(__xludf.DUMMYFUNCTION("""COMPUTED_VALUE"""),"POSTED")</f>
        <v>POSTED</v>
      </c>
      <c r="V3509" s="1"/>
      <c r="W3509" s="1"/>
    </row>
    <row r="3510" customHeight="1" spans="1:23">
      <c r="A3510" s="3">
        <f>IFERROR(__xludf.DUMMYFUNCTION("""COMPUTED_VALUE"""),46315)</f>
        <v>46315</v>
      </c>
      <c r="B3510" s="1" t="str">
        <f>IFERROR(__xludf.DUMMYFUNCTION("""COMPUTED_VALUE"""),"CORNELIO, CATHERINE")</f>
        <v>CORNELIO, CATHERINE</v>
      </c>
      <c r="C3510" s="1" t="str">
        <f>IFERROR(__xludf.DUMMYFUNCTION("""COMPUTED_VALUE"""),"ORGANIC")</f>
        <v>ORGANIC</v>
      </c>
      <c r="D3510" s="1" t="str">
        <f>IFERROR(__xludf.DUMMYFUNCTION("""COMPUTED_VALUE"""),"REMOLLO LEA")</f>
        <v>REMOLLO LEA</v>
      </c>
      <c r="E3510" s="1" t="str">
        <f>IFERROR(__xludf.DUMMYFUNCTION("""COMPUTED_VALUE"""),"PLDT / H2H")</f>
        <v>PLDT / H2H</v>
      </c>
      <c r="F3510" s="1"/>
      <c r="G3510" s="1">
        <f>IFERROR(__xludf.DUMMYFUNCTION("""COMPUTED_VALUE"""),2313269834)</f>
        <v>2313269834</v>
      </c>
      <c r="H3510" s="1" t="str">
        <f>IFERROR(__xludf.DUMMYFUNCTION("""COMPUTED_VALUE"""),"476534294004")</f>
        <v>476534294004</v>
      </c>
      <c r="I3510" s="1">
        <f>IFERROR(__xludf.DUMMYFUNCTION("""COMPUTED_VALUE"""),639102492201)</f>
        <v>639102492201</v>
      </c>
      <c r="J3510" s="1">
        <f>IFERROR(__xludf.DUMMYFUNCTION("""COMPUTED_VALUE"""),639380429338)</f>
        <v>639380429338</v>
      </c>
      <c r="K3510" s="1"/>
      <c r="L3510" s="1" t="str">
        <f>IFERROR(__xludf.DUMMYFUNCTION("""COMPUTED_VALUE"""),"92")</f>
        <v>92</v>
      </c>
      <c r="M3510" s="1" t="str">
        <f>IFERROR(__xludf.DUMMYFUNCTION("""COMPUTED_VALUE"""),"AMUYONG")</f>
        <v>AMUYONG</v>
      </c>
      <c r="N3510" s="1"/>
      <c r="O3510" s="1" t="str">
        <f>IFERROR(__xludf.DUMMYFUNCTION("""COMPUTED_VALUE"""),"AMUYONG")</f>
        <v>AMUYONG</v>
      </c>
      <c r="P3510" s="1" t="str">
        <f>IFERROR(__xludf.DUMMYFUNCTION("""COMPUTED_VALUE"""),"ALFONSO")</f>
        <v>ALFONSO</v>
      </c>
      <c r="Q3510" s="1" t="str">
        <f>IFERROR(__xludf.DUMMYFUNCTION("""COMPUTED_VALUE"""),"CAVITE")</f>
        <v>CAVITE</v>
      </c>
      <c r="R3510" s="1" t="str">
        <f>IFERROR(__xludf.DUMMYFUNCTION("""COMPUTED_VALUE"""),"SWITCH FIBER UNLI ALL PLAN 1499")</f>
        <v>SWITCH FIBER UNLI ALL PLAN 1499</v>
      </c>
      <c r="S3510" s="1" t="str">
        <f>IFERROR(__xludf.DUMMYFUNCTION("""COMPUTED_VALUE"""),"APPROVED")</f>
        <v>APPROVED</v>
      </c>
      <c r="T3510" s="1" t="str">
        <f>IFERROR(__xludf.DUMMYFUNCTION("""COMPUTED_VALUE"""),"FOR PAYMENT")</f>
        <v>FOR PAYMENT</v>
      </c>
      <c r="U3510" s="1" t="str">
        <f>IFERROR(__xludf.DUMMYFUNCTION("""COMPUTED_VALUE"""),"FOR PAYMENT - FOR CALL OUT")</f>
        <v>FOR PAYMENT - FOR CALL OUT</v>
      </c>
      <c r="V3510" s="1"/>
      <c r="W3510" s="1"/>
    </row>
    <row r="3511" customHeight="1" spans="1:23">
      <c r="A3511" s="3">
        <f>IFERROR(__xludf.DUMMYFUNCTION("""COMPUTED_VALUE"""),46315)</f>
        <v>46315</v>
      </c>
      <c r="B3511" s="1" t="str">
        <f>IFERROR(__xludf.DUMMYFUNCTION("""COMPUTED_VALUE"""),"AYON MANUEL")</f>
        <v>AYON MANUEL</v>
      </c>
      <c r="C3511" s="1" t="str">
        <f>IFERROR(__xludf.DUMMYFUNCTION("""COMPUTED_VALUE"""),"FLA")</f>
        <v>FLA</v>
      </c>
      <c r="D3511" s="1" t="str">
        <f>IFERROR(__xludf.DUMMYFUNCTION("""COMPUTED_VALUE"""),"JERIC NAVARRO")</f>
        <v>JERIC NAVARRO</v>
      </c>
      <c r="E3511" s="1" t="str">
        <f>IFERROR(__xludf.DUMMYFUNCTION("""COMPUTED_VALUE"""),"PLDT / H2H")</f>
        <v>PLDT / H2H</v>
      </c>
      <c r="F3511" s="1"/>
      <c r="G3511" s="1">
        <f>IFERROR(__xludf.DUMMYFUNCTION("""COMPUTED_VALUE"""),2313270416)</f>
        <v>2313270416</v>
      </c>
      <c r="H3511" s="1" t="str">
        <f>IFERROR(__xludf.DUMMYFUNCTION("""COMPUTED_VALUE"""),"476777471004")</f>
        <v>476777471004</v>
      </c>
      <c r="I3511" s="1">
        <f>IFERROR(__xludf.DUMMYFUNCTION("""COMPUTED_VALUE"""),639454685180)</f>
        <v>639454685180</v>
      </c>
      <c r="J3511" s="1">
        <f>IFERROR(__xludf.DUMMYFUNCTION("""COMPUTED_VALUE"""),639150415725)</f>
        <v>639150415725</v>
      </c>
      <c r="K3511" s="1"/>
      <c r="L3511" s="1" t="str">
        <f>IFERROR(__xludf.DUMMYFUNCTION("""COMPUTED_VALUE"""),"13")</f>
        <v>13</v>
      </c>
      <c r="M3511" s="1" t="str">
        <f>IFERROR(__xludf.DUMMYFUNCTION("""COMPUTED_VALUE"""),"29TH")</f>
        <v>29TH</v>
      </c>
      <c r="N3511" s="1" t="str">
        <f>IFERROR(__xludf.DUMMYFUNCTION("""COMPUTED_VALUE"""),"METROGATE SILANG ESTATE PH 1")</f>
        <v>METROGATE SILANG ESTATE PH 1</v>
      </c>
      <c r="O3511" s="1" t="str">
        <f>IFERROR(__xludf.DUMMYFUNCTION("""COMPUTED_VALUE"""),"BILUSO")</f>
        <v>BILUSO</v>
      </c>
      <c r="P3511" s="1" t="str">
        <f>IFERROR(__xludf.DUMMYFUNCTION("""COMPUTED_VALUE"""),"SILANG")</f>
        <v>SILANG</v>
      </c>
      <c r="Q3511" s="1" t="str">
        <f>IFERROR(__xludf.DUMMYFUNCTION("""COMPUTED_VALUE"""),"CAVITE")</f>
        <v>CAVITE</v>
      </c>
      <c r="R3511" s="1" t="str">
        <f>IFERROR(__xludf.DUMMYFUNCTION("""COMPUTED_VALUE"""),"FIBR PLAN 1699")</f>
        <v>FIBR PLAN 1699</v>
      </c>
      <c r="S3511" s="1" t="str">
        <f>IFERROR(__xludf.DUMMYFUNCTION("""COMPUTED_VALUE"""),"APPROVED")</f>
        <v>APPROVED</v>
      </c>
      <c r="T3511" s="1" t="str">
        <f>IFERROR(__xludf.DUMMYFUNCTION("""COMPUTED_VALUE"""),"PAID")</f>
        <v>PAID</v>
      </c>
      <c r="U3511" s="1" t="str">
        <f>IFERROR(__xludf.DUMMYFUNCTION("""COMPUTED_VALUE"""),"PAID - FOR INSTALLATION")</f>
        <v>PAID - FOR INSTALLATION</v>
      </c>
      <c r="V3511" s="1"/>
      <c r="W3511" s="1"/>
    </row>
    <row r="3512" customHeight="1" spans="1:23">
      <c r="A3512" s="3">
        <f>IFERROR(__xludf.DUMMYFUNCTION("""COMPUTED_VALUE"""),46315)</f>
        <v>46315</v>
      </c>
      <c r="B3512" s="1" t="str">
        <f>IFERROR(__xludf.DUMMYFUNCTION("""COMPUTED_VALUE"""),"CORNELIO, CATHERINE")</f>
        <v>CORNELIO, CATHERINE</v>
      </c>
      <c r="C3512" s="1" t="str">
        <f>IFERROR(__xludf.DUMMYFUNCTION("""COMPUTED_VALUE"""),"ORGANIC")</f>
        <v>ORGANIC</v>
      </c>
      <c r="D3512" s="1" t="str">
        <f>IFERROR(__xludf.DUMMYFUNCTION("""COMPUTED_VALUE"""),"REMOLLO LEA")</f>
        <v>REMOLLO LEA</v>
      </c>
      <c r="E3512" s="1" t="str">
        <f>IFERROR(__xludf.DUMMYFUNCTION("""COMPUTED_VALUE"""),"PLDT / H2H")</f>
        <v>PLDT / H2H</v>
      </c>
      <c r="F3512" s="1"/>
      <c r="G3512" s="1">
        <f>IFERROR(__xludf.DUMMYFUNCTION("""COMPUTED_VALUE"""),2313271071)</f>
        <v>2313271071</v>
      </c>
      <c r="H3512" s="1" t="str">
        <f>IFERROR(__xludf.DUMMYFUNCTION("""COMPUTED_VALUE"""),"476538053004")</f>
        <v>476538053004</v>
      </c>
      <c r="I3512" s="1">
        <f>IFERROR(__xludf.DUMMYFUNCTION("""COMPUTED_VALUE"""),639171378730)</f>
        <v>639171378730</v>
      </c>
      <c r="J3512" s="1">
        <f>IFERROR(__xludf.DUMMYFUNCTION("""COMPUTED_VALUE"""),639062034388)</f>
        <v>639062034388</v>
      </c>
      <c r="K3512" s="1"/>
      <c r="L3512" s="1" t="str">
        <f>IFERROR(__xludf.DUMMYFUNCTION("""COMPUTED_VALUE"""),"88")</f>
        <v>88</v>
      </c>
      <c r="M3512" s="1" t="str">
        <f>IFERROR(__xludf.DUMMYFUNCTION("""COMPUTED_VALUE"""),"TUBUAN 2")</f>
        <v>TUBUAN 2</v>
      </c>
      <c r="N3512" s="1"/>
      <c r="O3512" s="1" t="str">
        <f>IFERROR(__xludf.DUMMYFUNCTION("""COMPUTED_VALUE"""),"TUBUAN II")</f>
        <v>TUBUAN II</v>
      </c>
      <c r="P3512" s="1" t="str">
        <f>IFERROR(__xludf.DUMMYFUNCTION("""COMPUTED_VALUE"""),"SILANG")</f>
        <v>SILANG</v>
      </c>
      <c r="Q3512" s="1" t="str">
        <f>IFERROR(__xludf.DUMMYFUNCTION("""COMPUTED_VALUE"""),"CAVITE")</f>
        <v>CAVITE</v>
      </c>
      <c r="R3512" s="1" t="str">
        <f>IFERROR(__xludf.DUMMYFUNCTION("""COMPUTED_VALUE"""),"FIBR PLAN 1299")</f>
        <v>FIBR PLAN 1299</v>
      </c>
      <c r="S3512" s="1" t="str">
        <f>IFERROR(__xludf.DUMMYFUNCTION("""COMPUTED_VALUE"""),"APPROVED")</f>
        <v>APPROVED</v>
      </c>
      <c r="T3512" s="1" t="str">
        <f>IFERROR(__xludf.DUMMYFUNCTION("""COMPUTED_VALUE"""),"FOR PAYMENT")</f>
        <v>FOR PAYMENT</v>
      </c>
      <c r="U3512" s="1" t="str">
        <f>IFERROR(__xludf.DUMMYFUNCTION("""COMPUTED_VALUE"""),"FOR PAYMENT - FOR CALL OUT")</f>
        <v>FOR PAYMENT - FOR CALL OUT</v>
      </c>
      <c r="V3512" s="1"/>
      <c r="W3512" s="1"/>
    </row>
    <row r="3513" customHeight="1" spans="1:23">
      <c r="A3513" s="3">
        <f>IFERROR(__xludf.DUMMYFUNCTION("""COMPUTED_VALUE"""),46315)</f>
        <v>46315</v>
      </c>
      <c r="B3513" s="1" t="str">
        <f>IFERROR(__xludf.DUMMYFUNCTION("""COMPUTED_VALUE"""),"FRANCISCO , ROSELYN")</f>
        <v>FRANCISCO , ROSELYN</v>
      </c>
      <c r="C3513" s="1" t="str">
        <f>IFERROR(__xludf.DUMMYFUNCTION("""COMPUTED_VALUE"""),"ORGANIC")</f>
        <v>ORGANIC</v>
      </c>
      <c r="D3513" s="1" t="str">
        <f>IFERROR(__xludf.DUMMYFUNCTION("""COMPUTED_VALUE"""),"REMOLLO LEA")</f>
        <v>REMOLLO LEA</v>
      </c>
      <c r="E3513" s="1" t="str">
        <f>IFERROR(__xludf.DUMMYFUNCTION("""COMPUTED_VALUE"""),"PLDT / H2H")</f>
        <v>PLDT / H2H</v>
      </c>
      <c r="F3513" s="1"/>
      <c r="G3513" s="1">
        <f>IFERROR(__xludf.DUMMYFUNCTION("""COMPUTED_VALUE"""),2313271544)</f>
        <v>2313271544</v>
      </c>
      <c r="H3513" s="1" t="str">
        <f>IFERROR(__xludf.DUMMYFUNCTION("""COMPUTED_VALUE"""),"476379250004")</f>
        <v>476379250004</v>
      </c>
      <c r="I3513" s="1">
        <f>IFERROR(__xludf.DUMMYFUNCTION("""COMPUTED_VALUE"""),639937239281)</f>
        <v>639937239281</v>
      </c>
      <c r="J3513" s="1"/>
      <c r="K3513" s="1"/>
      <c r="L3513" s="1" t="str">
        <f>IFERROR(__xludf.DUMMYFUNCTION("""COMPUTED_VALUE"""),"002-BL-028")</f>
        <v>002-BL-028</v>
      </c>
      <c r="M3513" s="1" t="str">
        <f>IFERROR(__xludf.DUMMYFUNCTION("""COMPUTED_VALUE"""),"VILLA PATRICIA")</f>
        <v>VILLA PATRICIA</v>
      </c>
      <c r="N3513" s="1" t="str">
        <f>IFERROR(__xludf.DUMMYFUNCTION("""COMPUTED_VALUE"""),"VILLA PATRICIA")</f>
        <v>VILLA PATRICIA</v>
      </c>
      <c r="O3513" s="1" t="str">
        <f>IFERROR(__xludf.DUMMYFUNCTION("""COMPUTED_VALUE"""),"ASIS I")</f>
        <v>ASIS I</v>
      </c>
      <c r="P3513" s="1" t="str">
        <f>IFERROR(__xludf.DUMMYFUNCTION("""COMPUTED_VALUE"""),"MENDEZ")</f>
        <v>MENDEZ</v>
      </c>
      <c r="Q3513" s="1" t="str">
        <f>IFERROR(__xludf.DUMMYFUNCTION("""COMPUTED_VALUE"""),"CAVITE")</f>
        <v>CAVITE</v>
      </c>
      <c r="R3513" s="1" t="str">
        <f>IFERROR(__xludf.DUMMYFUNCTION("""COMPUTED_VALUE"""),"FIBR PLAN 1699")</f>
        <v>FIBR PLAN 1699</v>
      </c>
      <c r="S3513" s="1" t="str">
        <f>IFERROR(__xludf.DUMMYFUNCTION("""COMPUTED_VALUE"""),"APPROVED")</f>
        <v>APPROVED</v>
      </c>
      <c r="T3513" s="1" t="str">
        <f>IFERROR(__xludf.DUMMYFUNCTION("""COMPUTED_VALUE"""),"CLOSED")</f>
        <v>CLOSED</v>
      </c>
      <c r="U3513" s="1" t="str">
        <f>IFERROR(__xludf.DUMMYFUNCTION("""COMPUTED_VALUE"""),"POSTED")</f>
        <v>POSTED</v>
      </c>
      <c r="V3513" s="1"/>
      <c r="W3513" s="1"/>
    </row>
    <row r="3514" customHeight="1" spans="1:23">
      <c r="A3514" s="3">
        <f>IFERROR(__xludf.DUMMYFUNCTION("""COMPUTED_VALUE"""),46315)</f>
        <v>46315</v>
      </c>
      <c r="B3514" s="1" t="str">
        <f>IFERROR(__xludf.DUMMYFUNCTION("""COMPUTED_VALUE"""),"FARO, REFRANTA")</f>
        <v>FARO, REFRANTA</v>
      </c>
      <c r="C3514" s="1" t="str">
        <f>IFERROR(__xludf.DUMMYFUNCTION("""COMPUTED_VALUE"""),"FLA")</f>
        <v>FLA</v>
      </c>
      <c r="D3514" s="1" t="str">
        <f>IFERROR(__xludf.DUMMYFUNCTION("""COMPUTED_VALUE"""),"JERIC NAVARRO")</f>
        <v>JERIC NAVARRO</v>
      </c>
      <c r="E3514" s="1" t="str">
        <f>IFERROR(__xludf.DUMMYFUNCTION("""COMPUTED_VALUE"""),"PLDT / H2H")</f>
        <v>PLDT / H2H</v>
      </c>
      <c r="F3514" s="1"/>
      <c r="G3514" s="1">
        <f>IFERROR(__xludf.DUMMYFUNCTION("""COMPUTED_VALUE"""),2313272054)</f>
        <v>2313272054</v>
      </c>
      <c r="H3514" s="1"/>
      <c r="I3514" s="1">
        <f>IFERROR(__xludf.DUMMYFUNCTION("""COMPUTED_VALUE"""),639663007739)</f>
        <v>639663007739</v>
      </c>
      <c r="J3514" s="1"/>
      <c r="K3514" s="1"/>
      <c r="L3514" s="1" t="str">
        <f>IFERROR(__xludf.DUMMYFUNCTION("""COMPUTED_VALUE"""),"UNIT 2077")</f>
        <v>UNIT 2077</v>
      </c>
      <c r="M3514" s="1" t="str">
        <f>IFERROR(__xludf.DUMMYFUNCTION("""COMPUTED_VALUE"""),"PUROK 98")</f>
        <v>PUROK 98</v>
      </c>
      <c r="N3514" s="1" t="str">
        <f>IFERROR(__xludf.DUMMYFUNCTION("""COMPUTED_VALUE"""),"ELEVE HOMES")</f>
        <v>ELEVE HOMES</v>
      </c>
      <c r="O3514" s="1" t="str">
        <f>IFERROR(__xludf.DUMMYFUNCTION("""COMPUTED_VALUE"""),"MAHARLIKA WEST")</f>
        <v>MAHARLIKA WEST</v>
      </c>
      <c r="P3514" s="1" t="str">
        <f>IFERROR(__xludf.DUMMYFUNCTION("""COMPUTED_VALUE"""),"TAGAYTAY")</f>
        <v>TAGAYTAY</v>
      </c>
      <c r="Q3514" s="1" t="str">
        <f>IFERROR(__xludf.DUMMYFUNCTION("""COMPUTED_VALUE"""),"CAVITE")</f>
        <v>CAVITE</v>
      </c>
      <c r="R3514" s="1" t="str">
        <f>IFERROR(__xludf.DUMMYFUNCTION("""COMPUTED_VALUE"""),"FIBR NETFLIX PLAN 1599")</f>
        <v>FIBR NETFLIX PLAN 1599</v>
      </c>
      <c r="S3514" s="1" t="str">
        <f>IFERROR(__xludf.DUMMYFUNCTION("""COMPUTED_VALUE"""),"APPROVED")</f>
        <v>APPROVED</v>
      </c>
      <c r="T3514" s="1" t="str">
        <f>IFERROR(__xludf.DUMMYFUNCTION("""COMPUTED_VALUE"""),"CANCELLED")</f>
        <v>CANCELLED</v>
      </c>
      <c r="U3514" s="1" t="str">
        <f>IFERROR(__xludf.DUMMYFUNCTION("""COMPUTED_VALUE"""),"CANCELLED - WITH ACTIVE LINE")</f>
        <v>CANCELLED - WITH ACTIVE LINE</v>
      </c>
      <c r="V3514" s="1"/>
      <c r="W3514" s="1"/>
    </row>
    <row r="3515" customHeight="1" spans="1:23">
      <c r="A3515" s="3">
        <f>IFERROR(__xludf.DUMMYFUNCTION("""COMPUTED_VALUE"""),46315)</f>
        <v>46315</v>
      </c>
      <c r="B3515" s="1" t="str">
        <f>IFERROR(__xludf.DUMMYFUNCTION("""COMPUTED_VALUE"""),"CADERAO, RONALD")</f>
        <v>CADERAO, RONALD</v>
      </c>
      <c r="C3515" s="1" t="str">
        <f>IFERROR(__xludf.DUMMYFUNCTION("""COMPUTED_VALUE"""),"ORGANIC")</f>
        <v>ORGANIC</v>
      </c>
      <c r="D3515" s="1" t="str">
        <f>IFERROR(__xludf.DUMMYFUNCTION("""COMPUTED_VALUE"""),"REMOLLO LEA")</f>
        <v>REMOLLO LEA</v>
      </c>
      <c r="E3515" s="1" t="str">
        <f>IFERROR(__xludf.DUMMYFUNCTION("""COMPUTED_VALUE"""),"PLDT / H2H")</f>
        <v>PLDT / H2H</v>
      </c>
      <c r="F3515" s="1"/>
      <c r="G3515" s="1">
        <f>IFERROR(__xludf.DUMMYFUNCTION("""COMPUTED_VALUE"""),2313274478)</f>
        <v>2313274478</v>
      </c>
      <c r="H3515" s="1"/>
      <c r="I3515" s="1">
        <f>IFERROR(__xludf.DUMMYFUNCTION("""COMPUTED_VALUE"""),639958979962)</f>
        <v>639958979962</v>
      </c>
      <c r="J3515" s="1">
        <f>IFERROR(__xludf.DUMMYFUNCTION("""COMPUTED_VALUE"""),639568432999)</f>
        <v>639568432999</v>
      </c>
      <c r="K3515" s="1"/>
      <c r="L3515" s="1" t="str">
        <f>IFERROR(__xludf.DUMMYFUNCTION("""COMPUTED_VALUE"""),"1588F")</f>
        <v>1588F</v>
      </c>
      <c r="M3515" s="1" t="str">
        <f>IFERROR(__xludf.DUMMYFUNCTION("""COMPUTED_VALUE"""),"SANTOL")</f>
        <v>SANTOL</v>
      </c>
      <c r="N3515" s="1"/>
      <c r="O3515" s="1" t="str">
        <f>IFERROR(__xludf.DUMMYFUNCTION("""COMPUTED_VALUE"""),"SANTOL")</f>
        <v>SANTOL</v>
      </c>
      <c r="P3515" s="1" t="str">
        <f>IFERROR(__xludf.DUMMYFUNCTION("""COMPUTED_VALUE"""),"SILANG")</f>
        <v>SILANG</v>
      </c>
      <c r="Q3515" s="1" t="str">
        <f>IFERROR(__xludf.DUMMYFUNCTION("""COMPUTED_VALUE"""),"CAVITE")</f>
        <v>CAVITE</v>
      </c>
      <c r="R3515" s="1" t="str">
        <f>IFERROR(__xludf.DUMMYFUNCTION("""COMPUTED_VALUE"""),"FIBER UNLI PLAN 1399")</f>
        <v>FIBER UNLI PLAN 1399</v>
      </c>
      <c r="S3515" s="1" t="str">
        <f>IFERROR(__xludf.DUMMYFUNCTION("""COMPUTED_VALUE"""),"APPROVED")</f>
        <v>APPROVED</v>
      </c>
      <c r="T3515" s="1" t="str">
        <f>IFERROR(__xludf.DUMMYFUNCTION("""COMPUTED_VALUE"""),"CANCELLED")</f>
        <v>CANCELLED</v>
      </c>
      <c r="U3515" s="1" t="str">
        <f>IFERROR(__xludf.DUMMYFUNCTION("""COMPUTED_VALUE"""),"CANCELLED - WITH ACTIVE LINE")</f>
        <v>CANCELLED - WITH ACTIVE LINE</v>
      </c>
      <c r="V3515" s="1"/>
      <c r="W3515" s="1"/>
    </row>
    <row r="3516" customHeight="1" spans="1:23">
      <c r="A3516" s="3">
        <f>IFERROR(__xludf.DUMMYFUNCTION("""COMPUTED_VALUE"""),46316)</f>
        <v>46316</v>
      </c>
      <c r="B3516" s="1" t="str">
        <f>IFERROR(__xludf.DUMMYFUNCTION("""COMPUTED_VALUE"""),"MALIWAT MARK ELVIN")</f>
        <v>MALIWAT MARK ELVIN</v>
      </c>
      <c r="C3516" s="1" t="str">
        <f>IFERROR(__xludf.DUMMYFUNCTION("""COMPUTED_VALUE"""),"FLA")</f>
        <v>FLA</v>
      </c>
      <c r="D3516" s="1" t="str">
        <f>IFERROR(__xludf.DUMMYFUNCTION("""COMPUTED_VALUE"""),"JERIC NAVARRO")</f>
        <v>JERIC NAVARRO</v>
      </c>
      <c r="E3516" s="1" t="str">
        <f>IFERROR(__xludf.DUMMYFUNCTION("""COMPUTED_VALUE"""),"PLDT / H2H")</f>
        <v>PLDT / H2H</v>
      </c>
      <c r="F3516" s="1"/>
      <c r="G3516" s="1">
        <f>IFERROR(__xludf.DUMMYFUNCTION("""COMPUTED_VALUE"""),2313286634)</f>
        <v>2313286634</v>
      </c>
      <c r="H3516" s="1" t="str">
        <f>IFERROR(__xludf.DUMMYFUNCTION("""COMPUTED_VALUE"""),"476532959004")</f>
        <v>476532959004</v>
      </c>
      <c r="I3516" s="1">
        <f>IFERROR(__xludf.DUMMYFUNCTION("""COMPUTED_VALUE"""),639614096528)</f>
        <v>639614096528</v>
      </c>
      <c r="J3516" s="1">
        <f>IFERROR(__xludf.DUMMYFUNCTION("""COMPUTED_VALUE"""),639634861499)</f>
        <v>639634861499</v>
      </c>
      <c r="K3516" s="1"/>
      <c r="L3516" s="1" t="str">
        <f>IFERROR(__xludf.DUMMYFUNCTION("""COMPUTED_VALUE"""),"71")</f>
        <v>71</v>
      </c>
      <c r="M3516" s="1" t="str">
        <f>IFERROR(__xludf.DUMMYFUNCTION("""COMPUTED_VALUE"""),"DAMAYAN")</f>
        <v>DAMAYAN</v>
      </c>
      <c r="N3516" s="1"/>
      <c r="O3516" s="1" t="str">
        <f>IFERROR(__xludf.DUMMYFUNCTION("""COMPUTED_VALUE"""),"MATAGBAK II")</f>
        <v>MATAGBAK II</v>
      </c>
      <c r="P3516" s="1" t="str">
        <f>IFERROR(__xludf.DUMMYFUNCTION("""COMPUTED_VALUE"""),"ALFONSO")</f>
        <v>ALFONSO</v>
      </c>
      <c r="Q3516" s="1" t="str">
        <f>IFERROR(__xludf.DUMMYFUNCTION("""COMPUTED_VALUE"""),"CAVITE")</f>
        <v>CAVITE</v>
      </c>
      <c r="R3516" s="1" t="str">
        <f>IFERROR(__xludf.DUMMYFUNCTION("""COMPUTED_VALUE"""),"FIBER UNLI PLAN 1399")</f>
        <v>FIBER UNLI PLAN 1399</v>
      </c>
      <c r="S3516" s="1" t="str">
        <f>IFERROR(__xludf.DUMMYFUNCTION("""COMPUTED_VALUE"""),"APPROVED")</f>
        <v>APPROVED</v>
      </c>
      <c r="T3516" s="1" t="str">
        <f>IFERROR(__xludf.DUMMYFUNCTION("""COMPUTED_VALUE"""),"CLOSED")</f>
        <v>CLOSED</v>
      </c>
      <c r="U3516" s="1" t="str">
        <f>IFERROR(__xludf.DUMMYFUNCTION("""COMPUTED_VALUE"""),"POSTED")</f>
        <v>POSTED</v>
      </c>
      <c r="V3516" s="1"/>
      <c r="W3516" s="1"/>
    </row>
    <row r="3517" customHeight="1" spans="1:23">
      <c r="A3517" s="3">
        <f>IFERROR(__xludf.DUMMYFUNCTION("""COMPUTED_VALUE"""),46316)</f>
        <v>46316</v>
      </c>
      <c r="B3517" s="1" t="str">
        <f>IFERROR(__xludf.DUMMYFUNCTION("""COMPUTED_VALUE"""),"ALTO, JUNBIRTH")</f>
        <v>ALTO, JUNBIRTH</v>
      </c>
      <c r="C3517" s="1" t="str">
        <f>IFERROR(__xludf.DUMMYFUNCTION("""COMPUTED_VALUE"""),"ORGANIC")</f>
        <v>ORGANIC</v>
      </c>
      <c r="D3517" s="1" t="str">
        <f>IFERROR(__xludf.DUMMYFUNCTION("""COMPUTED_VALUE"""),"REMOLLO LEA")</f>
        <v>REMOLLO LEA</v>
      </c>
      <c r="E3517" s="1" t="str">
        <f>IFERROR(__xludf.DUMMYFUNCTION("""COMPUTED_VALUE"""),"PLDT / H2H")</f>
        <v>PLDT / H2H</v>
      </c>
      <c r="F3517" s="1"/>
      <c r="G3517" s="1">
        <f>IFERROR(__xludf.DUMMYFUNCTION("""COMPUTED_VALUE"""),2313288003)</f>
        <v>2313288003</v>
      </c>
      <c r="H3517" s="1" t="str">
        <f>IFERROR(__xludf.DUMMYFUNCTION("""COMPUTED_VALUE"""),"476535541004")</f>
        <v>476535541004</v>
      </c>
      <c r="I3517" s="1">
        <f>IFERROR(__xludf.DUMMYFUNCTION("""COMPUTED_VALUE"""),639648637034)</f>
        <v>639648637034</v>
      </c>
      <c r="J3517" s="1"/>
      <c r="K3517" s="1"/>
      <c r="L3517" s="1" t="str">
        <f>IFERROR(__xludf.DUMMYFUNCTION("""COMPUTED_VALUE"""),"160")</f>
        <v>160</v>
      </c>
      <c r="M3517" s="1" t="str">
        <f>IFERROR(__xludf.DUMMYFUNCTION("""COMPUTED_VALUE"""),"DAHLIA")</f>
        <v>DAHLIA</v>
      </c>
      <c r="N3517" s="1"/>
      <c r="O3517" s="1" t="str">
        <f>IFERROR(__xludf.DUMMYFUNCTION("""COMPUTED_VALUE"""),"SAN MIGUEL II")</f>
        <v>SAN MIGUEL II</v>
      </c>
      <c r="P3517" s="1" t="str">
        <f>IFERROR(__xludf.DUMMYFUNCTION("""COMPUTED_VALUE"""),"SILANG")</f>
        <v>SILANG</v>
      </c>
      <c r="Q3517" s="1" t="str">
        <f>IFERROR(__xludf.DUMMYFUNCTION("""COMPUTED_VALUE"""),"CAVITE")</f>
        <v>CAVITE</v>
      </c>
      <c r="R3517" s="1" t="str">
        <f>IFERROR(__xludf.DUMMYFUNCTION("""COMPUTED_VALUE"""),"FIBER UNLI PLAN 1399")</f>
        <v>FIBER UNLI PLAN 1399</v>
      </c>
      <c r="S3517" s="1" t="str">
        <f>IFERROR(__xludf.DUMMYFUNCTION("""COMPUTED_VALUE"""),"APPROVED")</f>
        <v>APPROVED</v>
      </c>
      <c r="T3517" s="1" t="str">
        <f>IFERROR(__xludf.DUMMYFUNCTION("""COMPUTED_VALUE"""),"RPR")</f>
        <v>RPR</v>
      </c>
      <c r="U3517" s="1" t="str">
        <f>IFERROR(__xludf.DUMMYFUNCTION("""COMPUTED_VALUE"""),"RPR- SUBS CANCEL REQUEST")</f>
        <v>RPR- SUBS CANCEL REQUEST</v>
      </c>
      <c r="V3517" s="1"/>
      <c r="W3517" s="1"/>
    </row>
    <row r="3518" customHeight="1" spans="1:23">
      <c r="A3518" s="3">
        <f>IFERROR(__xludf.DUMMYFUNCTION("""COMPUTED_VALUE"""),46316)</f>
        <v>46316</v>
      </c>
      <c r="B3518" s="1" t="str">
        <f>IFERROR(__xludf.DUMMYFUNCTION("""COMPUTED_VALUE"""),"ESCARCHA, MA ALMA  ESCOTO")</f>
        <v>ESCARCHA, MA ALMA  ESCOTO</v>
      </c>
      <c r="C3518" s="1" t="str">
        <f>IFERROR(__xludf.DUMMYFUNCTION("""COMPUTED_VALUE"""),"ORGANIC")</f>
        <v>ORGANIC</v>
      </c>
      <c r="D3518" s="1" t="str">
        <f>IFERROR(__xludf.DUMMYFUNCTION("""COMPUTED_VALUE"""),"REMOLLO LEA")</f>
        <v>REMOLLO LEA</v>
      </c>
      <c r="E3518" s="1" t="str">
        <f>IFERROR(__xludf.DUMMYFUNCTION("""COMPUTED_VALUE"""),"PLDT / H2H")</f>
        <v>PLDT / H2H</v>
      </c>
      <c r="F3518" s="1"/>
      <c r="G3518" s="1">
        <f>IFERROR(__xludf.DUMMYFUNCTION("""COMPUTED_VALUE"""),2313288272)</f>
        <v>2313288272</v>
      </c>
      <c r="H3518" s="1" t="str">
        <f>IFERROR(__xludf.DUMMYFUNCTION("""COMPUTED_VALUE"""),"476537619004")</f>
        <v>476537619004</v>
      </c>
      <c r="I3518" s="1">
        <f>IFERROR(__xludf.DUMMYFUNCTION("""COMPUTED_VALUE"""),639095859286)</f>
        <v>639095859286</v>
      </c>
      <c r="J3518" s="1">
        <f>IFERROR(__xludf.DUMMYFUNCTION("""COMPUTED_VALUE"""),639504899022)</f>
        <v>639504899022</v>
      </c>
      <c r="K3518" s="1"/>
      <c r="L3518" s="1" t="str">
        <f>IFERROR(__xludf.DUMMYFUNCTION("""COMPUTED_VALUE"""),"011-BL-007")</f>
        <v>011-BL-007</v>
      </c>
      <c r="M3518" s="1" t="str">
        <f>IFERROR(__xludf.DUMMYFUNCTION("""COMPUTED_VALUE"""),"DON JUAN")</f>
        <v>DON JUAN</v>
      </c>
      <c r="N3518" s="1" t="str">
        <f>IFERROR(__xludf.DUMMYFUNCTION("""COMPUTED_VALUE"""),"DON JUAN SUBD")</f>
        <v>DON JUAN SUBD</v>
      </c>
      <c r="O3518" s="1" t="str">
        <f>IFERROR(__xludf.DUMMYFUNCTION("""COMPUTED_VALUE"""),"SAN MIGUEL II")</f>
        <v>SAN MIGUEL II</v>
      </c>
      <c r="P3518" s="1" t="str">
        <f>IFERROR(__xludf.DUMMYFUNCTION("""COMPUTED_VALUE"""),"SILANG")</f>
        <v>SILANG</v>
      </c>
      <c r="Q3518" s="1" t="str">
        <f>IFERROR(__xludf.DUMMYFUNCTION("""COMPUTED_VALUE"""),"CAVITE")</f>
        <v>CAVITE</v>
      </c>
      <c r="R3518" s="1" t="str">
        <f>IFERROR(__xludf.DUMMYFUNCTION("""COMPUTED_VALUE"""),"FIBER UNLI PLAN 1399")</f>
        <v>FIBER UNLI PLAN 1399</v>
      </c>
      <c r="S3518" s="1" t="str">
        <f>IFERROR(__xludf.DUMMYFUNCTION("""COMPUTED_VALUE"""),"APPROVED")</f>
        <v>APPROVED</v>
      </c>
      <c r="T3518" s="1" t="str">
        <f>IFERROR(__xludf.DUMMYFUNCTION("""COMPUTED_VALUE"""),"CLOSED")</f>
        <v>CLOSED</v>
      </c>
      <c r="U3518" s="1" t="str">
        <f>IFERROR(__xludf.DUMMYFUNCTION("""COMPUTED_VALUE"""),"POSTED")</f>
        <v>POSTED</v>
      </c>
      <c r="V3518" s="1"/>
      <c r="W3518" s="1"/>
    </row>
    <row r="3519" customHeight="1" spans="1:23">
      <c r="A3519" s="3">
        <f>IFERROR(__xludf.DUMMYFUNCTION("""COMPUTED_VALUE"""),46316)</f>
        <v>46316</v>
      </c>
      <c r="B3519" s="1" t="str">
        <f>IFERROR(__xludf.DUMMYFUNCTION("""COMPUTED_VALUE"""),"ARIENA, LYKA")</f>
        <v>ARIENA, LYKA</v>
      </c>
      <c r="C3519" s="1" t="str">
        <f>IFERROR(__xludf.DUMMYFUNCTION("""COMPUTED_VALUE"""),"ORGANIC")</f>
        <v>ORGANIC</v>
      </c>
      <c r="D3519" s="1" t="str">
        <f>IFERROR(__xludf.DUMMYFUNCTION("""COMPUTED_VALUE"""),"REMOLLO LEA")</f>
        <v>REMOLLO LEA</v>
      </c>
      <c r="E3519" s="1" t="str">
        <f>IFERROR(__xludf.DUMMYFUNCTION("""COMPUTED_VALUE"""),"PLDT / H2H")</f>
        <v>PLDT / H2H</v>
      </c>
      <c r="F3519" s="1"/>
      <c r="G3519" s="1">
        <f>IFERROR(__xludf.DUMMYFUNCTION("""COMPUTED_VALUE"""),2313292345)</f>
        <v>2313292345</v>
      </c>
      <c r="H3519" s="1"/>
      <c r="I3519" s="1">
        <f>IFERROR(__xludf.DUMMYFUNCTION("""COMPUTED_VALUE"""),639994107654)</f>
        <v>639994107654</v>
      </c>
      <c r="J3519" s="1"/>
      <c r="K3519" s="1"/>
      <c r="L3519" s="1" t="str">
        <f>IFERROR(__xludf.DUMMYFUNCTION("""COMPUTED_VALUE"""),"014-BL-005")</f>
        <v>014-BL-005</v>
      </c>
      <c r="M3519" s="1" t="str">
        <f>IFERROR(__xludf.DUMMYFUNCTION("""COMPUTED_VALUE"""),"SIKAP VILLE")</f>
        <v>SIKAP VILLE</v>
      </c>
      <c r="N3519" s="1" t="str">
        <f>IFERROR(__xludf.DUMMYFUNCTION("""COMPUTED_VALUE"""),"SIKAP VILLE")</f>
        <v>SIKAP VILLE</v>
      </c>
      <c r="O3519" s="1" t="str">
        <f>IFERROR(__xludf.DUMMYFUNCTION("""COMPUTED_VALUE"""),"SABUTAN")</f>
        <v>SABUTAN</v>
      </c>
      <c r="P3519" s="1" t="str">
        <f>IFERROR(__xludf.DUMMYFUNCTION("""COMPUTED_VALUE"""),"SILANG")</f>
        <v>SILANG</v>
      </c>
      <c r="Q3519" s="1" t="str">
        <f>IFERROR(__xludf.DUMMYFUNCTION("""COMPUTED_VALUE"""),"CAVITE")</f>
        <v>CAVITE</v>
      </c>
      <c r="R3519" s="1" t="str">
        <f>IFERROR(__xludf.DUMMYFUNCTION("""COMPUTED_VALUE"""),"FIBER UNLI PLAN 1399")</f>
        <v>FIBER UNLI PLAN 1399</v>
      </c>
      <c r="S3519" s="1" t="str">
        <f>IFERROR(__xludf.DUMMYFUNCTION("""COMPUTED_VALUE"""),"APPROVED")</f>
        <v>APPROVED</v>
      </c>
      <c r="T3519" s="1" t="str">
        <f>IFERROR(__xludf.DUMMYFUNCTION("""COMPUTED_VALUE"""),"CANCELLED")</f>
        <v>CANCELLED</v>
      </c>
      <c r="U3519" s="1" t="str">
        <f>IFERROR(__xludf.DUMMYFUNCTION("""COMPUTED_VALUE"""),"CANCELLED - WITH ACTIVE LINE")</f>
        <v>CANCELLED - WITH ACTIVE LINE</v>
      </c>
      <c r="V3519" s="1"/>
      <c r="W3519" s="1"/>
    </row>
    <row r="3520" customHeight="1" spans="1:23">
      <c r="A3520" s="3">
        <f>IFERROR(__xludf.DUMMYFUNCTION("""COMPUTED_VALUE"""),46316)</f>
        <v>46316</v>
      </c>
      <c r="B3520" s="1" t="str">
        <f>IFERROR(__xludf.DUMMYFUNCTION("""COMPUTED_VALUE"""),"LOTOJA, LOVELY JOICE")</f>
        <v>LOTOJA, LOVELY JOICE</v>
      </c>
      <c r="C3520" s="1" t="str">
        <f>IFERROR(__xludf.DUMMYFUNCTION("""COMPUTED_VALUE"""),"ORGANIC")</f>
        <v>ORGANIC</v>
      </c>
      <c r="D3520" s="1" t="str">
        <f>IFERROR(__xludf.DUMMYFUNCTION("""COMPUTED_VALUE"""),"REMOLLO LEA")</f>
        <v>REMOLLO LEA</v>
      </c>
      <c r="E3520" s="1" t="str">
        <f>IFERROR(__xludf.DUMMYFUNCTION("""COMPUTED_VALUE"""),"PLDT / H2H")</f>
        <v>PLDT / H2H</v>
      </c>
      <c r="F3520" s="1"/>
      <c r="G3520" s="1">
        <f>IFERROR(__xludf.DUMMYFUNCTION("""COMPUTED_VALUE"""),2313293620)</f>
        <v>2313293620</v>
      </c>
      <c r="H3520" s="1"/>
      <c r="I3520" s="1">
        <f>IFERROR(__xludf.DUMMYFUNCTION("""COMPUTED_VALUE"""),639508840689)</f>
        <v>639508840689</v>
      </c>
      <c r="J3520" s="1"/>
      <c r="K3520" s="1"/>
      <c r="L3520" s="1" t="str">
        <f>IFERROR(__xludf.DUMMYFUNCTION("""COMPUTED_VALUE"""),"039-BL-007")</f>
        <v>039-BL-007</v>
      </c>
      <c r="M3520" s="1" t="str">
        <f>IFERROR(__xludf.DUMMYFUNCTION("""COMPUTED_VALUE"""),"OMEGA")</f>
        <v>OMEGA</v>
      </c>
      <c r="N3520" s="1"/>
      <c r="O3520" s="1" t="str">
        <f>IFERROR(__xludf.DUMMYFUNCTION("""COMPUTED_VALUE"""),"POBLACION III")</f>
        <v>POBLACION III</v>
      </c>
      <c r="P3520" s="1" t="str">
        <f>IFERROR(__xludf.DUMMYFUNCTION("""COMPUTED_VALUE"""),"GEN MARIANO ALVAREZ")</f>
        <v>GEN MARIANO ALVAREZ</v>
      </c>
      <c r="Q3520" s="1" t="str">
        <f>IFERROR(__xludf.DUMMYFUNCTION("""COMPUTED_VALUE"""),"CAVITE")</f>
        <v>CAVITE</v>
      </c>
      <c r="R3520" s="1" t="str">
        <f>IFERROR(__xludf.DUMMYFUNCTION("""COMPUTED_VALUE"""),"FIBER UNLI PLAN 1399")</f>
        <v>FIBER UNLI PLAN 1399</v>
      </c>
      <c r="S3520" s="1" t="str">
        <f>IFERROR(__xludf.DUMMYFUNCTION("""COMPUTED_VALUE"""),"APPROVED")</f>
        <v>APPROVED</v>
      </c>
      <c r="T3520" s="1" t="str">
        <f>IFERROR(__xludf.DUMMYFUNCTION("""COMPUTED_VALUE"""),"CANCELLED")</f>
        <v>CANCELLED</v>
      </c>
      <c r="U3520" s="1" t="str">
        <f>IFERROR(__xludf.DUMMYFUNCTION("""COMPUTED_VALUE"""),"CANCELLED - WITH ACTIVE LINE")</f>
        <v>CANCELLED - WITH ACTIVE LINE</v>
      </c>
      <c r="V3520" s="1"/>
      <c r="W3520" s="1"/>
    </row>
    <row r="3521" customHeight="1" spans="1:23">
      <c r="A3521" s="3">
        <f>IFERROR(__xludf.DUMMYFUNCTION("""COMPUTED_VALUE"""),46317)</f>
        <v>46317</v>
      </c>
      <c r="B3521" s="1" t="str">
        <f>IFERROR(__xludf.DUMMYFUNCTION("""COMPUTED_VALUE"""),"CARPIO, STEPHANIE NICOLE")</f>
        <v>CARPIO, STEPHANIE NICOLE</v>
      </c>
      <c r="C3521" s="1" t="str">
        <f>IFERROR(__xludf.DUMMYFUNCTION("""COMPUTED_VALUE"""),"FLA")</f>
        <v>FLA</v>
      </c>
      <c r="D3521" s="1" t="str">
        <f>IFERROR(__xludf.DUMMYFUNCTION("""COMPUTED_VALUE"""),"JERIC NAVARRO")</f>
        <v>JERIC NAVARRO</v>
      </c>
      <c r="E3521" s="1" t="str">
        <f>IFERROR(__xludf.DUMMYFUNCTION("""COMPUTED_VALUE"""),"PLDT / H2H")</f>
        <v>PLDT / H2H</v>
      </c>
      <c r="F3521" s="1"/>
      <c r="G3521" s="1">
        <f>IFERROR(__xludf.DUMMYFUNCTION("""COMPUTED_VALUE"""),2313311714)</f>
        <v>2313311714</v>
      </c>
      <c r="H3521" s="1" t="str">
        <f>IFERROR(__xludf.DUMMYFUNCTION("""COMPUTED_VALUE"""),"476703525004")</f>
        <v>476703525004</v>
      </c>
      <c r="I3521" s="1">
        <f>IFERROR(__xludf.DUMMYFUNCTION("""COMPUTED_VALUE"""),639659887458)</f>
        <v>639659887458</v>
      </c>
      <c r="J3521" s="1"/>
      <c r="K3521" s="1"/>
      <c r="L3521" s="1" t="str">
        <f>IFERROR(__xludf.DUMMYFUNCTION("""COMPUTED_VALUE"""),"586")</f>
        <v>586</v>
      </c>
      <c r="M3521" s="1" t="str">
        <f>IFERROR(__xludf.DUMMYFUNCTION("""COMPUTED_VALUE"""),"ILANO")</f>
        <v>ILANO</v>
      </c>
      <c r="N3521" s="1"/>
      <c r="O3521" s="1" t="str">
        <f>IFERROR(__xludf.DUMMYFUNCTION("""COMPUTED_VALUE"""),"MANGGAHAN")</f>
        <v>MANGGAHAN</v>
      </c>
      <c r="P3521" s="1" t="str">
        <f>IFERROR(__xludf.DUMMYFUNCTION("""COMPUTED_VALUE"""),"KAWIT")</f>
        <v>KAWIT</v>
      </c>
      <c r="Q3521" s="1" t="str">
        <f>IFERROR(__xludf.DUMMYFUNCTION("""COMPUTED_VALUE"""),"CAVITE")</f>
        <v>CAVITE</v>
      </c>
      <c r="R3521" s="1" t="str">
        <f>IFERROR(__xludf.DUMMYFUNCTION("""COMPUTED_VALUE"""),"FIBR PLAN 1699")</f>
        <v>FIBR PLAN 1699</v>
      </c>
      <c r="S3521" s="1" t="str">
        <f>IFERROR(__xludf.DUMMYFUNCTION("""COMPUTED_VALUE"""),"APPROVED")</f>
        <v>APPROVED</v>
      </c>
      <c r="T3521" s="1" t="str">
        <f>IFERROR(__xludf.DUMMYFUNCTION("""COMPUTED_VALUE"""),"CLOSED")</f>
        <v>CLOSED</v>
      </c>
      <c r="U3521" s="1" t="str">
        <f>IFERROR(__xludf.DUMMYFUNCTION("""COMPUTED_VALUE"""),"POSTED")</f>
        <v>POSTED</v>
      </c>
      <c r="V3521" s="1"/>
      <c r="W3521" s="1"/>
    </row>
    <row r="3522" customHeight="1" spans="1:23">
      <c r="A3522" s="3">
        <f>IFERROR(__xludf.DUMMYFUNCTION("""COMPUTED_VALUE"""),46317)</f>
        <v>46317</v>
      </c>
      <c r="B3522" s="1" t="str">
        <f>IFERROR(__xludf.DUMMYFUNCTION("""COMPUTED_VALUE"""),"REMOLLO, LEA")</f>
        <v>REMOLLO, LEA</v>
      </c>
      <c r="C3522" s="1" t="str">
        <f>IFERROR(__xludf.DUMMYFUNCTION("""COMPUTED_VALUE"""),"FLA")</f>
        <v>FLA</v>
      </c>
      <c r="D3522" s="1" t="str">
        <f>IFERROR(__xludf.DUMMYFUNCTION("""COMPUTED_VALUE"""),"JERIC NAVARRO")</f>
        <v>JERIC NAVARRO</v>
      </c>
      <c r="E3522" s="1" t="str">
        <f>IFERROR(__xludf.DUMMYFUNCTION("""COMPUTED_VALUE"""),"PLDT / H2H")</f>
        <v>PLDT / H2H</v>
      </c>
      <c r="F3522" s="1"/>
      <c r="G3522" s="1">
        <f>IFERROR(__xludf.DUMMYFUNCTION("""COMPUTED_VALUE"""),2313312227)</f>
        <v>2313312227</v>
      </c>
      <c r="H3522" s="1"/>
      <c r="I3522" s="1">
        <f>IFERROR(__xludf.DUMMYFUNCTION("""COMPUTED_VALUE"""),639101054485)</f>
        <v>639101054485</v>
      </c>
      <c r="J3522" s="1"/>
      <c r="K3522" s="1"/>
      <c r="L3522" s="1" t="str">
        <f>IFERROR(__xludf.DUMMYFUNCTION("""COMPUTED_VALUE"""),"2077")</f>
        <v>2077</v>
      </c>
      <c r="M3522" s="1" t="str">
        <f>IFERROR(__xludf.DUMMYFUNCTION("""COMPUTED_VALUE"""),"PUROK 98")</f>
        <v>PUROK 98</v>
      </c>
      <c r="N3522" s="1" t="str">
        <f>IFERROR(__xludf.DUMMYFUNCTION("""COMPUTED_VALUE"""),"ELEVE HOMES")</f>
        <v>ELEVE HOMES</v>
      </c>
      <c r="O3522" s="1" t="str">
        <f>IFERROR(__xludf.DUMMYFUNCTION("""COMPUTED_VALUE"""),"MAHARLIKA WEST")</f>
        <v>MAHARLIKA WEST</v>
      </c>
      <c r="P3522" s="1" t="str">
        <f>IFERROR(__xludf.DUMMYFUNCTION("""COMPUTED_VALUE"""),"TAGAYTAY")</f>
        <v>TAGAYTAY</v>
      </c>
      <c r="Q3522" s="1" t="str">
        <f>IFERROR(__xludf.DUMMYFUNCTION("""COMPUTED_VALUE"""),"CAVITE")</f>
        <v>CAVITE</v>
      </c>
      <c r="R3522" s="1" t="str">
        <f>IFERROR(__xludf.DUMMYFUNCTION("""COMPUTED_VALUE"""),"FIBR NETFLIX PLAN 1599")</f>
        <v>FIBR NETFLIX PLAN 1599</v>
      </c>
      <c r="S3522" s="1" t="str">
        <f>IFERROR(__xludf.DUMMYFUNCTION("""COMPUTED_VALUE"""),"APPROVED")</f>
        <v>APPROVED</v>
      </c>
      <c r="T3522" s="1" t="str">
        <f>IFERROR(__xludf.DUMMYFUNCTION("""COMPUTED_VALUE"""),"CANCELLED")</f>
        <v>CANCELLED</v>
      </c>
      <c r="U3522" s="1" t="str">
        <f>IFERROR(__xludf.DUMMYFUNCTION("""COMPUTED_VALUE"""),"CANCELLED - WITH ACTIVE LINE")</f>
        <v>CANCELLED - WITH ACTIVE LINE</v>
      </c>
      <c r="V3522" s="1"/>
      <c r="W3522" s="1"/>
    </row>
    <row r="3523" customHeight="1" spans="1:23">
      <c r="A3523" s="3">
        <f>IFERROR(__xludf.DUMMYFUNCTION("""COMPUTED_VALUE"""),46317)</f>
        <v>46317</v>
      </c>
      <c r="B3523" s="1" t="str">
        <f>IFERROR(__xludf.DUMMYFUNCTION("""COMPUTED_VALUE"""),"MALIWAT MARK ELVIN")</f>
        <v>MALIWAT MARK ELVIN</v>
      </c>
      <c r="C3523" s="1" t="str">
        <f>IFERROR(__xludf.DUMMYFUNCTION("""COMPUTED_VALUE"""),"FLA")</f>
        <v>FLA</v>
      </c>
      <c r="D3523" s="1" t="str">
        <f>IFERROR(__xludf.DUMMYFUNCTION("""COMPUTED_VALUE"""),"JERIC NAVARRO")</f>
        <v>JERIC NAVARRO</v>
      </c>
      <c r="E3523" s="1" t="str">
        <f>IFERROR(__xludf.DUMMYFUNCTION("""COMPUTED_VALUE"""),"PLDT / H2H")</f>
        <v>PLDT / H2H</v>
      </c>
      <c r="F3523" s="1"/>
      <c r="G3523" s="1">
        <f>IFERROR(__xludf.DUMMYFUNCTION("""COMPUTED_VALUE"""),2313312656)</f>
        <v>2313312656</v>
      </c>
      <c r="H3523" s="1" t="str">
        <f>IFERROR(__xludf.DUMMYFUNCTION("""COMPUTED_VALUE"""),"476661749004")</f>
        <v>476661749004</v>
      </c>
      <c r="I3523" s="1">
        <f>IFERROR(__xludf.DUMMYFUNCTION("""COMPUTED_VALUE"""),639971081901)</f>
        <v>639971081901</v>
      </c>
      <c r="J3523" s="1">
        <f>IFERROR(__xludf.DUMMYFUNCTION("""COMPUTED_VALUE"""),639516099333)</f>
        <v>639516099333</v>
      </c>
      <c r="K3523" s="1"/>
      <c r="L3523" s="1" t="str">
        <f>IFERROR(__xludf.DUMMYFUNCTION("""COMPUTED_VALUE"""),"1")</f>
        <v>1</v>
      </c>
      <c r="M3523" s="1" t="str">
        <f>IFERROR(__xludf.DUMMYFUNCTION("""COMPUTED_VALUE"""),"BAGONG TUBIG")</f>
        <v>BAGONG TUBIG</v>
      </c>
      <c r="N3523" s="1"/>
      <c r="O3523" s="1" t="str">
        <f>IFERROR(__xludf.DUMMYFUNCTION("""COMPUTED_VALUE"""),"GALICIA I")</f>
        <v>GALICIA I</v>
      </c>
      <c r="P3523" s="1" t="str">
        <f>IFERROR(__xludf.DUMMYFUNCTION("""COMPUTED_VALUE"""),"MENDEZ")</f>
        <v>MENDEZ</v>
      </c>
      <c r="Q3523" s="1" t="str">
        <f>IFERROR(__xludf.DUMMYFUNCTION("""COMPUTED_VALUE"""),"CAVITE")</f>
        <v>CAVITE</v>
      </c>
      <c r="R3523" s="1" t="str">
        <f>IFERROR(__xludf.DUMMYFUNCTION("""COMPUTED_VALUE"""),"FIBER UNLI PLAN 1399")</f>
        <v>FIBER UNLI PLAN 1399</v>
      </c>
      <c r="S3523" s="1" t="str">
        <f>IFERROR(__xludf.DUMMYFUNCTION("""COMPUTED_VALUE"""),"APPROVED")</f>
        <v>APPROVED</v>
      </c>
      <c r="T3523" s="1" t="str">
        <f>IFERROR(__xludf.DUMMYFUNCTION("""COMPUTED_VALUE"""),"CLOSED")</f>
        <v>CLOSED</v>
      </c>
      <c r="U3523" s="1" t="str">
        <f>IFERROR(__xludf.DUMMYFUNCTION("""COMPUTED_VALUE"""),"POSTED")</f>
        <v>POSTED</v>
      </c>
      <c r="V3523" s="1"/>
      <c r="W3523" s="1"/>
    </row>
    <row r="3524" customHeight="1" spans="1:23">
      <c r="A3524" s="3">
        <f>IFERROR(__xludf.DUMMYFUNCTION("""COMPUTED_VALUE"""),46317)</f>
        <v>46317</v>
      </c>
      <c r="B3524" s="1" t="str">
        <f>IFERROR(__xludf.DUMMYFUNCTION("""COMPUTED_VALUE"""),"MERCADO, MARK ANTHONY")</f>
        <v>MERCADO, MARK ANTHONY</v>
      </c>
      <c r="C3524" s="1" t="str">
        <f>IFERROR(__xludf.DUMMYFUNCTION("""COMPUTED_VALUE"""),"ORGANIC")</f>
        <v>ORGANIC</v>
      </c>
      <c r="D3524" s="1" t="str">
        <f>IFERROR(__xludf.DUMMYFUNCTION("""COMPUTED_VALUE"""),"REMOLLO LEA")</f>
        <v>REMOLLO LEA</v>
      </c>
      <c r="E3524" s="1" t="str">
        <f>IFERROR(__xludf.DUMMYFUNCTION("""COMPUTED_VALUE"""),"PLDT / H2H")</f>
        <v>PLDT / H2H</v>
      </c>
      <c r="F3524" s="1"/>
      <c r="G3524" s="1">
        <f>IFERROR(__xludf.DUMMYFUNCTION("""COMPUTED_VALUE"""),2313313768)</f>
        <v>2313313768</v>
      </c>
      <c r="H3524" s="1" t="str">
        <f>IFERROR(__xludf.DUMMYFUNCTION("""COMPUTED_VALUE"""),"476664791004")</f>
        <v>476664791004</v>
      </c>
      <c r="I3524" s="1">
        <f>IFERROR(__xludf.DUMMYFUNCTION("""COMPUTED_VALUE"""),639763714791)</f>
        <v>639763714791</v>
      </c>
      <c r="J3524" s="1">
        <f>IFERROR(__xludf.DUMMYFUNCTION("""COMPUTED_VALUE"""),639972156298)</f>
        <v>639972156298</v>
      </c>
      <c r="K3524" s="1"/>
      <c r="L3524" s="1" t="str">
        <f>IFERROR(__xludf.DUMMYFUNCTION("""COMPUTED_VALUE"""),"183")</f>
        <v>183</v>
      </c>
      <c r="M3524" s="1" t="str">
        <f>IFERROR(__xludf.DUMMYFUNCTION("""COMPUTED_VALUE"""),"BALUBAD")</f>
        <v>BALUBAD</v>
      </c>
      <c r="N3524" s="1"/>
      <c r="O3524" s="1" t="str">
        <f>IFERROR(__xludf.DUMMYFUNCTION("""COMPUTED_VALUE"""),"MARAHAN II")</f>
        <v>MARAHAN II</v>
      </c>
      <c r="P3524" s="1" t="str">
        <f>IFERROR(__xludf.DUMMYFUNCTION("""COMPUTED_VALUE"""),"ALFONSO")</f>
        <v>ALFONSO</v>
      </c>
      <c r="Q3524" s="1" t="str">
        <f>IFERROR(__xludf.DUMMYFUNCTION("""COMPUTED_VALUE"""),"CAVITE")</f>
        <v>CAVITE</v>
      </c>
      <c r="R3524" s="1" t="str">
        <f>IFERROR(__xludf.DUMMYFUNCTION("""COMPUTED_VALUE"""),"FIBR UNLI ALL PLAN 999")</f>
        <v>FIBR UNLI ALL PLAN 999</v>
      </c>
      <c r="S3524" s="1" t="str">
        <f>IFERROR(__xludf.DUMMYFUNCTION("""COMPUTED_VALUE"""),"APPROVED")</f>
        <v>APPROVED</v>
      </c>
      <c r="T3524" s="1" t="str">
        <f>IFERROR(__xludf.DUMMYFUNCTION("""COMPUTED_VALUE"""),"FOR PAYMENT")</f>
        <v>FOR PAYMENT</v>
      </c>
      <c r="U3524" s="1" t="str">
        <f>IFERROR(__xludf.DUMMYFUNCTION("""COMPUTED_VALUE"""),"FOR PAYMENT - FOR CALL OUT")</f>
        <v>FOR PAYMENT - FOR CALL OUT</v>
      </c>
      <c r="V3524" s="1"/>
      <c r="W3524" s="1"/>
    </row>
    <row r="3525" customHeight="1" spans="1:23">
      <c r="A3525" s="3">
        <f>IFERROR(__xludf.DUMMYFUNCTION("""COMPUTED_VALUE"""),46317)</f>
        <v>46317</v>
      </c>
      <c r="B3525" s="1" t="str">
        <f>IFERROR(__xludf.DUMMYFUNCTION("""COMPUTED_VALUE"""),"CORNELIO, CATHERINE")</f>
        <v>CORNELIO, CATHERINE</v>
      </c>
      <c r="C3525" s="1" t="str">
        <f>IFERROR(__xludf.DUMMYFUNCTION("""COMPUTED_VALUE"""),"ORGANIC")</f>
        <v>ORGANIC</v>
      </c>
      <c r="D3525" s="1" t="str">
        <f>IFERROR(__xludf.DUMMYFUNCTION("""COMPUTED_VALUE"""),"REMOLLO LEA")</f>
        <v>REMOLLO LEA</v>
      </c>
      <c r="E3525" s="1" t="str">
        <f>IFERROR(__xludf.DUMMYFUNCTION("""COMPUTED_VALUE"""),"PLDT / H2H")</f>
        <v>PLDT / H2H</v>
      </c>
      <c r="F3525" s="1"/>
      <c r="G3525" s="1">
        <f>IFERROR(__xludf.DUMMYFUNCTION("""COMPUTED_VALUE"""),2313317643)</f>
        <v>2313317643</v>
      </c>
      <c r="H3525" s="1" t="str">
        <f>IFERROR(__xludf.DUMMYFUNCTION("""COMPUTED_VALUE"""),"476670719004")</f>
        <v>476670719004</v>
      </c>
      <c r="I3525" s="1">
        <f>IFERROR(__xludf.DUMMYFUNCTION("""COMPUTED_VALUE"""),639429797758)</f>
        <v>639429797758</v>
      </c>
      <c r="J3525" s="1"/>
      <c r="K3525" s="1"/>
      <c r="L3525" s="1" t="str">
        <f>IFERROR(__xludf.DUMMYFUNCTION("""COMPUTED_VALUE"""),"1A-2")</f>
        <v>1A-2</v>
      </c>
      <c r="M3525" s="1" t="str">
        <f>IFERROR(__xludf.DUMMYFUNCTION("""COMPUTED_VALUE"""),"GEN EMILIO AGUINALDO HWAY")</f>
        <v>GEN EMILIO AGUINALDO HWAY</v>
      </c>
      <c r="N3525" s="1" t="str">
        <f>IFERROR(__xludf.DUMMYFUNCTION("""COMPUTED_VALUE"""),"PUROK 5")</f>
        <v>PUROK 5</v>
      </c>
      <c r="O3525" s="1" t="str">
        <f>IFERROR(__xludf.DUMMYFUNCTION("""COMPUTED_VALUE"""),"LALAAN II")</f>
        <v>LALAAN II</v>
      </c>
      <c r="P3525" s="1" t="str">
        <f>IFERROR(__xludf.DUMMYFUNCTION("""COMPUTED_VALUE"""),"SILANG")</f>
        <v>SILANG</v>
      </c>
      <c r="Q3525" s="1" t="str">
        <f>IFERROR(__xludf.DUMMYFUNCTION("""COMPUTED_VALUE"""),"CAVITE")</f>
        <v>CAVITE</v>
      </c>
      <c r="R3525" s="1" t="str">
        <f>IFERROR(__xludf.DUMMYFUNCTION("""COMPUTED_VALUE"""),"HOME BIZ PLAN 1299")</f>
        <v>HOME BIZ PLAN 1299</v>
      </c>
      <c r="S3525" s="1" t="str">
        <f>IFERROR(__xludf.DUMMYFUNCTION("""COMPUTED_VALUE"""),"APPROVED")</f>
        <v>APPROVED</v>
      </c>
      <c r="T3525" s="1" t="str">
        <f>IFERROR(__xludf.DUMMYFUNCTION("""COMPUTED_VALUE"""),"CLOSED")</f>
        <v>CLOSED</v>
      </c>
      <c r="U3525" s="1" t="str">
        <f>IFERROR(__xludf.DUMMYFUNCTION("""COMPUTED_VALUE"""),"POSTED")</f>
        <v>POSTED</v>
      </c>
      <c r="V3525" s="1"/>
      <c r="W3525" s="1"/>
    </row>
    <row r="3526" customHeight="1" spans="1:23">
      <c r="A3526" s="3">
        <f>IFERROR(__xludf.DUMMYFUNCTION("""COMPUTED_VALUE"""),46318)</f>
        <v>46318</v>
      </c>
      <c r="B3526" s="1" t="str">
        <f>IFERROR(__xludf.DUMMYFUNCTION("""COMPUTED_VALUE"""),"REMOLLO, LEA")</f>
        <v>REMOLLO, LEA</v>
      </c>
      <c r="C3526" s="1" t="str">
        <f>IFERROR(__xludf.DUMMYFUNCTION("""COMPUTED_VALUE"""),"FLA")</f>
        <v>FLA</v>
      </c>
      <c r="D3526" s="1" t="str">
        <f>IFERROR(__xludf.DUMMYFUNCTION("""COMPUTED_VALUE"""),"JERIC NAVARRO")</f>
        <v>JERIC NAVARRO</v>
      </c>
      <c r="E3526" s="1" t="str">
        <f>IFERROR(__xludf.DUMMYFUNCTION("""COMPUTED_VALUE"""),"PLDT / H2H")</f>
        <v>PLDT / H2H</v>
      </c>
      <c r="F3526" s="1"/>
      <c r="G3526" s="1">
        <f>IFERROR(__xludf.DUMMYFUNCTION("""COMPUTED_VALUE"""),2313363823)</f>
        <v>2313363823</v>
      </c>
      <c r="H3526" s="1"/>
      <c r="I3526" s="1">
        <f>IFERROR(__xludf.DUMMYFUNCTION("""COMPUTED_VALUE"""),639663007739)</f>
        <v>639663007739</v>
      </c>
      <c r="J3526" s="1"/>
      <c r="K3526" s="1"/>
      <c r="L3526" s="1" t="str">
        <f>IFERROR(__xludf.DUMMYFUNCTION("""COMPUTED_VALUE"""),"UNIT 2077")</f>
        <v>UNIT 2077</v>
      </c>
      <c r="M3526" s="1" t="str">
        <f>IFERROR(__xludf.DUMMYFUNCTION("""COMPUTED_VALUE"""),"PUROK 98")</f>
        <v>PUROK 98</v>
      </c>
      <c r="N3526" s="1" t="str">
        <f>IFERROR(__xludf.DUMMYFUNCTION("""COMPUTED_VALUE"""),"ELEVE HOMES")</f>
        <v>ELEVE HOMES</v>
      </c>
      <c r="O3526" s="1" t="str">
        <f>IFERROR(__xludf.DUMMYFUNCTION("""COMPUTED_VALUE"""),"MAHARLIKA WEST")</f>
        <v>MAHARLIKA WEST</v>
      </c>
      <c r="P3526" s="1" t="str">
        <f>IFERROR(__xludf.DUMMYFUNCTION("""COMPUTED_VALUE"""),"TAGAYTAY")</f>
        <v>TAGAYTAY</v>
      </c>
      <c r="Q3526" s="1" t="str">
        <f>IFERROR(__xludf.DUMMYFUNCTION("""COMPUTED_VALUE"""),"CAVITE")</f>
        <v>CAVITE</v>
      </c>
      <c r="R3526" s="1" t="str">
        <f>IFERROR(__xludf.DUMMYFUNCTION("""COMPUTED_VALUE"""),"FIBR NETFLIX PLAN 1599")</f>
        <v>FIBR NETFLIX PLAN 1599</v>
      </c>
      <c r="S3526" s="1" t="str">
        <f>IFERROR(__xludf.DUMMYFUNCTION("""COMPUTED_VALUE"""),"APPROVED")</f>
        <v>APPROVED</v>
      </c>
      <c r="T3526" s="1" t="str">
        <f>IFERROR(__xludf.DUMMYFUNCTION("""COMPUTED_VALUE"""),"DUPLICATE NAME")</f>
        <v>DUPLICATE NAME</v>
      </c>
      <c r="U3526" s="1" t="str">
        <f>IFERROR(__xludf.DUMMYFUNCTION("""COMPUTED_VALUE"""),"CUSTOMERS COMPLIANCE - REQS")</f>
        <v>CUSTOMERS COMPLIANCE - REQS</v>
      </c>
      <c r="V3526" s="1"/>
      <c r="W3526" s="1"/>
    </row>
    <row r="3527" customHeight="1" spans="1:23">
      <c r="A3527" s="3">
        <f>IFERROR(__xludf.DUMMYFUNCTION("""COMPUTED_VALUE"""),46318)</f>
        <v>46318</v>
      </c>
      <c r="B3527" s="1" t="str">
        <f>IFERROR(__xludf.DUMMYFUNCTION("""COMPUTED_VALUE"""),"BAQUIT ,JAZMIN")</f>
        <v>BAQUIT ,JAZMIN</v>
      </c>
      <c r="C3527" s="1" t="str">
        <f>IFERROR(__xludf.DUMMYFUNCTION("""COMPUTED_VALUE"""),"ORGANIC")</f>
        <v>ORGANIC</v>
      </c>
      <c r="D3527" s="1" t="str">
        <f>IFERROR(__xludf.DUMMYFUNCTION("""COMPUTED_VALUE"""),"REMOLLO LEA")</f>
        <v>REMOLLO LEA</v>
      </c>
      <c r="E3527" s="1" t="str">
        <f>IFERROR(__xludf.DUMMYFUNCTION("""COMPUTED_VALUE"""),"PLDT / ONLINE")</f>
        <v>PLDT / ONLINE</v>
      </c>
      <c r="F3527" s="1"/>
      <c r="G3527" s="1">
        <f>IFERROR(__xludf.DUMMYFUNCTION("""COMPUTED_VALUE"""),2313333796)</f>
        <v>2313333796</v>
      </c>
      <c r="H3527" s="1" t="str">
        <f>IFERROR(__xludf.DUMMYFUNCTION("""COMPUTED_VALUE"""),"#N/A")</f>
        <v>#N/A</v>
      </c>
      <c r="I3527" s="1">
        <f>IFERROR(__xludf.DUMMYFUNCTION("""COMPUTED_VALUE"""),639500339571)</f>
        <v>639500339571</v>
      </c>
      <c r="J3527" s="1">
        <f>IFERROR(__xludf.DUMMYFUNCTION("""COMPUTED_VALUE"""),639939583195)</f>
        <v>639939583195</v>
      </c>
      <c r="K3527" s="1"/>
      <c r="L3527" s="1" t="str">
        <f>IFERROR(__xludf.DUMMYFUNCTION("""COMPUTED_VALUE"""),"031-BL-061")</f>
        <v>031-BL-061</v>
      </c>
      <c r="M3527" s="1" t="str">
        <f>IFERROR(__xludf.DUMMYFUNCTION("""COMPUTED_VALUE"""),"BAGONG POOK")</f>
        <v>BAGONG POOK</v>
      </c>
      <c r="N3527" s="1" t="str">
        <f>IFERROR(__xludf.DUMMYFUNCTION("""COMPUTED_VALUE"""),"VIA VERDE SUBDIVISION")</f>
        <v>VIA VERDE SUBDIVISION</v>
      </c>
      <c r="O3527" s="1" t="str">
        <f>IFERROR(__xludf.DUMMYFUNCTION("""COMPUTED_VALUE"""),"BAGONG POOK")</f>
        <v>BAGONG POOK</v>
      </c>
      <c r="P3527" s="1" t="str">
        <f>IFERROR(__xludf.DUMMYFUNCTION("""COMPUTED_VALUE"""),"ROSARIO")</f>
        <v>ROSARIO</v>
      </c>
      <c r="Q3527" s="1" t="str">
        <f>IFERROR(__xludf.DUMMYFUNCTION("""COMPUTED_VALUE"""),"BATANGAS")</f>
        <v>BATANGAS</v>
      </c>
      <c r="R3527" s="1" t="str">
        <f>IFERROR(__xludf.DUMMYFUNCTION("""COMPUTED_VALUE"""),"FIBR NETFLIX PLAN 1599")</f>
        <v>FIBR NETFLIX PLAN 1599</v>
      </c>
      <c r="S3527" s="1" t="str">
        <f>IFERROR(__xludf.DUMMYFUNCTION("""COMPUTED_VALUE"""),"APPROVED")</f>
        <v>APPROVED</v>
      </c>
      <c r="T3527" s="1" t="str">
        <f>IFERROR(__xludf.DUMMYFUNCTION("""COMPUTED_VALUE"""),"CANCELLED")</f>
        <v>CANCELLED</v>
      </c>
      <c r="U3527" s="1" t="str">
        <f>IFERROR(__xludf.DUMMYFUNCTION("""COMPUTED_VALUE"""),"CANCELLED - DUPLICATE APP")</f>
        <v>CANCELLED - DUPLICATE APP</v>
      </c>
      <c r="V3527" s="1"/>
      <c r="W3527" s="1"/>
    </row>
    <row r="3528" customHeight="1" spans="1:23">
      <c r="A3528" s="3">
        <f>IFERROR(__xludf.DUMMYFUNCTION("""COMPUTED_VALUE"""),46318)</f>
        <v>46318</v>
      </c>
      <c r="B3528" s="1" t="str">
        <f>IFERROR(__xludf.DUMMYFUNCTION("""COMPUTED_VALUE"""),"BAQUIT ,JAZMIN")</f>
        <v>BAQUIT ,JAZMIN</v>
      </c>
      <c r="C3528" s="1" t="str">
        <f>IFERROR(__xludf.DUMMYFUNCTION("""COMPUTED_VALUE"""),"ORGANIC")</f>
        <v>ORGANIC</v>
      </c>
      <c r="D3528" s="1" t="str">
        <f>IFERROR(__xludf.DUMMYFUNCTION("""COMPUTED_VALUE"""),"REMOLLO LEA")</f>
        <v>REMOLLO LEA</v>
      </c>
      <c r="E3528" s="1" t="str">
        <f>IFERROR(__xludf.DUMMYFUNCTION("""COMPUTED_VALUE"""),"PLDT / H2H")</f>
        <v>PLDT / H2H</v>
      </c>
      <c r="F3528" s="1"/>
      <c r="G3528" s="1">
        <f>IFERROR(__xludf.DUMMYFUNCTION("""COMPUTED_VALUE"""),2313335514)</f>
        <v>2313335514</v>
      </c>
      <c r="H3528" s="1" t="str">
        <f>IFERROR(__xludf.DUMMYFUNCTION("""COMPUTED_VALUE"""),"#N/A")</f>
        <v>#N/A</v>
      </c>
      <c r="I3528" s="1">
        <f>IFERROR(__xludf.DUMMYFUNCTION("""COMPUTED_VALUE"""),639777426113)</f>
        <v>639777426113</v>
      </c>
      <c r="J3528" s="1">
        <f>IFERROR(__xludf.DUMMYFUNCTION("""COMPUTED_VALUE"""),639674314712)</f>
        <v>639674314712</v>
      </c>
      <c r="K3528" s="1"/>
      <c r="L3528" s="1" t="str">
        <f>IFERROR(__xludf.DUMMYFUNCTION("""COMPUTED_VALUE"""),"042-BL-001")</f>
        <v>042-BL-001</v>
      </c>
      <c r="M3528" s="1" t="str">
        <f>IFERROR(__xludf.DUMMYFUNCTION("""COMPUTED_VALUE"""),"LOTUS")</f>
        <v>LOTUS</v>
      </c>
      <c r="N3528" s="1" t="str">
        <f>IFERROR(__xludf.DUMMYFUNCTION("""COMPUTED_VALUE"""),"ROSEWOOD 2")</f>
        <v>ROSEWOOD 2</v>
      </c>
      <c r="O3528" s="1" t="str">
        <f>IFERROR(__xludf.DUMMYFUNCTION("""COMPUTED_VALUE"""),"SAN LUCAS")</f>
        <v>SAN LUCAS</v>
      </c>
      <c r="P3528" s="1" t="str">
        <f>IFERROR(__xludf.DUMMYFUNCTION("""COMPUTED_VALUE"""),"LIPA CITY")</f>
        <v>LIPA CITY</v>
      </c>
      <c r="Q3528" s="1" t="str">
        <f>IFERROR(__xludf.DUMMYFUNCTION("""COMPUTED_VALUE"""),"BATANGAS")</f>
        <v>BATANGAS</v>
      </c>
      <c r="R3528" s="1" t="str">
        <f>IFERROR(__xludf.DUMMYFUNCTION("""COMPUTED_VALUE"""),"FIBR PLAN 1299")</f>
        <v>FIBR PLAN 1299</v>
      </c>
      <c r="S3528" s="1" t="str">
        <f>IFERROR(__xludf.DUMMYFUNCTION("""COMPUTED_VALUE"""),"APPROVED")</f>
        <v>APPROVED</v>
      </c>
      <c r="T3528" s="1" t="str">
        <f>IFERROR(__xludf.DUMMYFUNCTION("""COMPUTED_VALUE"""),"CANCELLED")</f>
        <v>CANCELLED</v>
      </c>
      <c r="U3528" s="1" t="str">
        <f>IFERROR(__xludf.DUMMYFUNCTION("""COMPUTED_VALUE"""),"CANCELLED - WITH OB")</f>
        <v>CANCELLED - WITH OB</v>
      </c>
      <c r="V3528" s="1"/>
      <c r="W3528" s="1"/>
    </row>
    <row r="3529" customHeight="1" spans="1:23">
      <c r="A3529" s="3">
        <f>IFERROR(__xludf.DUMMYFUNCTION("""COMPUTED_VALUE"""),46318)</f>
        <v>46318</v>
      </c>
      <c r="B3529" s="1" t="str">
        <f>IFERROR(__xludf.DUMMYFUNCTION("""COMPUTED_VALUE"""),"ALINGARO, CINDY")</f>
        <v>ALINGARO, CINDY</v>
      </c>
      <c r="C3529" s="1" t="str">
        <f>IFERROR(__xludf.DUMMYFUNCTION("""COMPUTED_VALUE"""),"ORGANIC")</f>
        <v>ORGANIC</v>
      </c>
      <c r="D3529" s="1" t="str">
        <f>IFERROR(__xludf.DUMMYFUNCTION("""COMPUTED_VALUE"""),"REMOLLO LEA")</f>
        <v>REMOLLO LEA</v>
      </c>
      <c r="E3529" s="1" t="str">
        <f>IFERROR(__xludf.DUMMYFUNCTION("""COMPUTED_VALUE"""),"PLDT / H2H")</f>
        <v>PLDT / H2H</v>
      </c>
      <c r="F3529" s="1"/>
      <c r="G3529" s="1">
        <f>IFERROR(__xludf.DUMMYFUNCTION("""COMPUTED_VALUE"""),2313327073)</f>
        <v>2313327073</v>
      </c>
      <c r="H3529" s="1"/>
      <c r="I3529" s="1">
        <f>IFERROR(__xludf.DUMMYFUNCTION("""COMPUTED_VALUE"""),639672802041)</f>
        <v>639672802041</v>
      </c>
      <c r="J3529" s="1">
        <f>IFERROR(__xludf.DUMMYFUNCTION("""COMPUTED_VALUE"""),639269680956)</f>
        <v>639269680956</v>
      </c>
      <c r="K3529" s="1"/>
      <c r="L3529" s="1" t="str">
        <f>IFERROR(__xludf.DUMMYFUNCTION("""COMPUTED_VALUE"""),"277")</f>
        <v>277</v>
      </c>
      <c r="M3529" s="1" t="str">
        <f>IFERROR(__xludf.DUMMYFUNCTION("""COMPUTED_VALUE"""),"2ND")</f>
        <v>2ND</v>
      </c>
      <c r="N3529" s="1" t="str">
        <f>IFERROR(__xludf.DUMMYFUNCTION("""COMPUTED_VALUE"""),"UNIT C")</f>
        <v>UNIT C</v>
      </c>
      <c r="O3529" s="1" t="str">
        <f>IFERROR(__xludf.DUMMYFUNCTION("""COMPUTED_VALUE"""),"SALINAS I")</f>
        <v>SALINAS I</v>
      </c>
      <c r="P3529" s="1" t="str">
        <f>IFERROR(__xludf.DUMMYFUNCTION("""COMPUTED_VALUE"""),"BACOOR")</f>
        <v>BACOOR</v>
      </c>
      <c r="Q3529" s="1" t="str">
        <f>IFERROR(__xludf.DUMMYFUNCTION("""COMPUTED_VALUE"""),"CAVITE")</f>
        <v>CAVITE</v>
      </c>
      <c r="R3529" s="1" t="str">
        <f>IFERROR(__xludf.DUMMYFUNCTION("""COMPUTED_VALUE"""),"FIBER UNLI ALL PLAN 1499")</f>
        <v>FIBER UNLI ALL PLAN 1499</v>
      </c>
      <c r="S3529" s="1" t="str">
        <f>IFERROR(__xludf.DUMMYFUNCTION("""COMPUTED_VALUE"""),"APPROVED")</f>
        <v>APPROVED</v>
      </c>
      <c r="T3529" s="1" t="str">
        <f>IFERROR(__xludf.DUMMYFUNCTION("""COMPUTED_VALUE"""),"CANCELLED")</f>
        <v>CANCELLED</v>
      </c>
      <c r="U3529" s="1" t="str">
        <f>IFERROR(__xludf.DUMMYFUNCTION("""COMPUTED_VALUE"""),"CANCELLED - WITH ACTIVE LINE")</f>
        <v>CANCELLED - WITH ACTIVE LINE</v>
      </c>
      <c r="V3529" s="1"/>
      <c r="W3529" s="1"/>
    </row>
    <row r="3530" customHeight="1" spans="1:23">
      <c r="A3530" s="3">
        <f>IFERROR(__xludf.DUMMYFUNCTION("""COMPUTED_VALUE"""),46318)</f>
        <v>46318</v>
      </c>
      <c r="B3530" s="1" t="str">
        <f>IFERROR(__xludf.DUMMYFUNCTION("""COMPUTED_VALUE"""),"CORNELIO, CATHERINE")</f>
        <v>CORNELIO, CATHERINE</v>
      </c>
      <c r="C3530" s="1" t="str">
        <f>IFERROR(__xludf.DUMMYFUNCTION("""COMPUTED_VALUE"""),"ORGANIC")</f>
        <v>ORGANIC</v>
      </c>
      <c r="D3530" s="1" t="str">
        <f>IFERROR(__xludf.DUMMYFUNCTION("""COMPUTED_VALUE"""),"REMOLLO LEA")</f>
        <v>REMOLLO LEA</v>
      </c>
      <c r="E3530" s="1" t="str">
        <f>IFERROR(__xludf.DUMMYFUNCTION("""COMPUTED_VALUE"""),"PLDT / H2H")</f>
        <v>PLDT / H2H</v>
      </c>
      <c r="F3530" s="1"/>
      <c r="G3530" s="1">
        <f>IFERROR(__xludf.DUMMYFUNCTION("""COMPUTED_VALUE"""),2313327990)</f>
        <v>2313327990</v>
      </c>
      <c r="H3530" s="1"/>
      <c r="I3530" s="1">
        <f>IFERROR(__xludf.DUMMYFUNCTION("""COMPUTED_VALUE"""),639277949211)</f>
        <v>639277949211</v>
      </c>
      <c r="J3530" s="1"/>
      <c r="K3530" s="1"/>
      <c r="L3530" s="1" t="str">
        <f>IFERROR(__xludf.DUMMYFUNCTION("""COMPUTED_VALUE"""),"214")</f>
        <v>214</v>
      </c>
      <c r="M3530" s="1" t="str">
        <f>IFERROR(__xludf.DUMMYFUNCTION("""COMPUTED_VALUE"""),"BALUBAD")</f>
        <v>BALUBAD</v>
      </c>
      <c r="N3530" s="1"/>
      <c r="O3530" s="1" t="str">
        <f>IFERROR(__xludf.DUMMYFUNCTION("""COMPUTED_VALUE"""),"MARAHAN II")</f>
        <v>MARAHAN II</v>
      </c>
      <c r="P3530" s="1" t="str">
        <f>IFERROR(__xludf.DUMMYFUNCTION("""COMPUTED_VALUE"""),"ALFONSO")</f>
        <v>ALFONSO</v>
      </c>
      <c r="Q3530" s="1" t="str">
        <f>IFERROR(__xludf.DUMMYFUNCTION("""COMPUTED_VALUE"""),"CAVITE")</f>
        <v>CAVITE</v>
      </c>
      <c r="R3530" s="1" t="str">
        <f>IFERROR(__xludf.DUMMYFUNCTION("""COMPUTED_VALUE"""),"FIBER UNLI PLAN 1399")</f>
        <v>FIBER UNLI PLAN 1399</v>
      </c>
      <c r="S3530" s="1" t="str">
        <f>IFERROR(__xludf.DUMMYFUNCTION("""COMPUTED_VALUE"""),"APPROVED")</f>
        <v>APPROVED</v>
      </c>
      <c r="T3530" s="1" t="str">
        <f>IFERROR(__xludf.DUMMYFUNCTION("""COMPUTED_VALUE"""),"CANCELLED")</f>
        <v>CANCELLED</v>
      </c>
      <c r="U3530" s="1" t="str">
        <f>IFERROR(__xludf.DUMMYFUNCTION("""COMPUTED_VALUE"""),"CANCELLED - WITH ACTIVE LINE")</f>
        <v>CANCELLED - WITH ACTIVE LINE</v>
      </c>
      <c r="V3530" s="1"/>
      <c r="W3530" s="1"/>
    </row>
    <row r="3531" customHeight="1" spans="1:23">
      <c r="A3531" s="3">
        <f>IFERROR(__xludf.DUMMYFUNCTION("""COMPUTED_VALUE"""),46318)</f>
        <v>46318</v>
      </c>
      <c r="B3531" s="1" t="str">
        <f>IFERROR(__xludf.DUMMYFUNCTION("""COMPUTED_VALUE"""),"ARIENA, LYKA")</f>
        <v>ARIENA, LYKA</v>
      </c>
      <c r="C3531" s="1" t="str">
        <f>IFERROR(__xludf.DUMMYFUNCTION("""COMPUTED_VALUE"""),"ORGANIC")</f>
        <v>ORGANIC</v>
      </c>
      <c r="D3531" s="1" t="str">
        <f>IFERROR(__xludf.DUMMYFUNCTION("""COMPUTED_VALUE"""),"REMOLLO LEA")</f>
        <v>REMOLLO LEA</v>
      </c>
      <c r="E3531" s="1" t="str">
        <f>IFERROR(__xludf.DUMMYFUNCTION("""COMPUTED_VALUE"""),"PLDT / H2H")</f>
        <v>PLDT / H2H</v>
      </c>
      <c r="F3531" s="1"/>
      <c r="G3531" s="1">
        <f>IFERROR(__xludf.DUMMYFUNCTION("""COMPUTED_VALUE"""),2313328446)</f>
        <v>2313328446</v>
      </c>
      <c r="H3531" s="1" t="str">
        <f>IFERROR(__xludf.DUMMYFUNCTION("""COMPUTED_VALUE"""),"476786677004")</f>
        <v>476786677004</v>
      </c>
      <c r="I3531" s="1">
        <f>IFERROR(__xludf.DUMMYFUNCTION("""COMPUTED_VALUE"""),639928693662)</f>
        <v>639928693662</v>
      </c>
      <c r="J3531" s="1"/>
      <c r="K3531" s="1"/>
      <c r="L3531" s="1" t="str">
        <f>IFERROR(__xludf.DUMMYFUNCTION("""COMPUTED_VALUE"""),"11")</f>
        <v>11</v>
      </c>
      <c r="M3531" s="1" t="str">
        <f>IFERROR(__xludf.DUMMYFUNCTION("""COMPUTED_VALUE"""),"PUROK 6")</f>
        <v>PUROK 6</v>
      </c>
      <c r="N3531" s="1"/>
      <c r="O3531" s="1" t="str">
        <f>IFERROR(__xludf.DUMMYFUNCTION("""COMPUTED_VALUE"""),"BIGA II")</f>
        <v>BIGA II</v>
      </c>
      <c r="P3531" s="1" t="str">
        <f>IFERROR(__xludf.DUMMYFUNCTION("""COMPUTED_VALUE"""),"SILANG")</f>
        <v>SILANG</v>
      </c>
      <c r="Q3531" s="1" t="str">
        <f>IFERROR(__xludf.DUMMYFUNCTION("""COMPUTED_VALUE"""),"CAVITE")</f>
        <v>CAVITE</v>
      </c>
      <c r="R3531" s="1" t="str">
        <f>IFERROR(__xludf.DUMMYFUNCTION("""COMPUTED_VALUE"""),"FIBER UNLI PLAN 1399")</f>
        <v>FIBER UNLI PLAN 1399</v>
      </c>
      <c r="S3531" s="1" t="str">
        <f>IFERROR(__xludf.DUMMYFUNCTION("""COMPUTED_VALUE"""),"APPROVED")</f>
        <v>APPROVED</v>
      </c>
      <c r="T3531" s="1" t="str">
        <f>IFERROR(__xludf.DUMMYFUNCTION("""COMPUTED_VALUE"""),"AFD")</f>
        <v>AFD</v>
      </c>
      <c r="U3531" s="1" t="str">
        <f>IFERROR(__xludf.DUMMYFUNCTION("""COMPUTED_VALUE"""),"AFD - RESCHEDULED")</f>
        <v>AFD - RESCHEDULED</v>
      </c>
      <c r="V3531" s="1"/>
      <c r="W3531" s="1"/>
    </row>
    <row r="3532" customHeight="1" spans="1:23">
      <c r="A3532" s="3">
        <f>IFERROR(__xludf.DUMMYFUNCTION("""COMPUTED_VALUE"""),46318)</f>
        <v>46318</v>
      </c>
      <c r="B3532" s="1" t="str">
        <f>IFERROR(__xludf.DUMMYFUNCTION("""COMPUTED_VALUE"""),"LOTOJA, LOVELY JOICE")</f>
        <v>LOTOJA, LOVELY JOICE</v>
      </c>
      <c r="C3532" s="1" t="str">
        <f>IFERROR(__xludf.DUMMYFUNCTION("""COMPUTED_VALUE"""),"ORGANIC")</f>
        <v>ORGANIC</v>
      </c>
      <c r="D3532" s="1" t="str">
        <f>IFERROR(__xludf.DUMMYFUNCTION("""COMPUTED_VALUE"""),"REMOLLO LEA")</f>
        <v>REMOLLO LEA</v>
      </c>
      <c r="E3532" s="1" t="str">
        <f>IFERROR(__xludf.DUMMYFUNCTION("""COMPUTED_VALUE"""),"PLDT / H2H")</f>
        <v>PLDT / H2H</v>
      </c>
      <c r="F3532" s="1"/>
      <c r="G3532" s="1">
        <f>IFERROR(__xludf.DUMMYFUNCTION("""COMPUTED_VALUE"""),2313328975)</f>
        <v>2313328975</v>
      </c>
      <c r="H3532" s="1" t="str">
        <f>IFERROR(__xludf.DUMMYFUNCTION("""COMPUTED_VALUE"""),"476788429004")</f>
        <v>476788429004</v>
      </c>
      <c r="I3532" s="1">
        <f>IFERROR(__xludf.DUMMYFUNCTION("""COMPUTED_VALUE"""),639242745781)</f>
        <v>639242745781</v>
      </c>
      <c r="J3532" s="1"/>
      <c r="K3532" s="1"/>
      <c r="L3532" s="1"/>
      <c r="M3532" s="1" t="str">
        <f>IFERROR(__xludf.DUMMYFUNCTION("""COMPUTED_VALUE"""),"PUROK 6")</f>
        <v>PUROK 6</v>
      </c>
      <c r="N3532" s="1"/>
      <c r="O3532" s="1" t="str">
        <f>IFERROR(__xludf.DUMMYFUNCTION("""COMPUTED_VALUE"""),"BIGA II")</f>
        <v>BIGA II</v>
      </c>
      <c r="P3532" s="1" t="str">
        <f>IFERROR(__xludf.DUMMYFUNCTION("""COMPUTED_VALUE"""),"SILANG")</f>
        <v>SILANG</v>
      </c>
      <c r="Q3532" s="1" t="str">
        <f>IFERROR(__xludf.DUMMYFUNCTION("""COMPUTED_VALUE"""),"CAVITE")</f>
        <v>CAVITE</v>
      </c>
      <c r="R3532" s="1" t="str">
        <f>IFERROR(__xludf.DUMMYFUNCTION("""COMPUTED_VALUE"""),"FIBER UNLI PLAN 1399")</f>
        <v>FIBER UNLI PLAN 1399</v>
      </c>
      <c r="S3532" s="1" t="str">
        <f>IFERROR(__xludf.DUMMYFUNCTION("""COMPUTED_VALUE"""),"APPROVED")</f>
        <v>APPROVED</v>
      </c>
      <c r="T3532" s="1" t="str">
        <f>IFERROR(__xludf.DUMMYFUNCTION("""COMPUTED_VALUE"""),"CLOSED")</f>
        <v>CLOSED</v>
      </c>
      <c r="U3532" s="1" t="str">
        <f>IFERROR(__xludf.DUMMYFUNCTION("""COMPUTED_VALUE"""),"POSTED")</f>
        <v>POSTED</v>
      </c>
      <c r="V3532" s="1"/>
      <c r="W3532" s="1"/>
    </row>
    <row r="3533" customHeight="1" spans="1:23">
      <c r="A3533" s="3">
        <f>IFERROR(__xludf.DUMMYFUNCTION("""COMPUTED_VALUE"""),46318)</f>
        <v>46318</v>
      </c>
      <c r="B3533" s="1" t="str">
        <f>IFERROR(__xludf.DUMMYFUNCTION("""COMPUTED_VALUE"""),"ARIENA, LYKA")</f>
        <v>ARIENA, LYKA</v>
      </c>
      <c r="C3533" s="1" t="str">
        <f>IFERROR(__xludf.DUMMYFUNCTION("""COMPUTED_VALUE"""),"ORGANIC")</f>
        <v>ORGANIC</v>
      </c>
      <c r="D3533" s="1" t="str">
        <f>IFERROR(__xludf.DUMMYFUNCTION("""COMPUTED_VALUE"""),"REMOLLO LEA")</f>
        <v>REMOLLO LEA</v>
      </c>
      <c r="E3533" s="1" t="str">
        <f>IFERROR(__xludf.DUMMYFUNCTION("""COMPUTED_VALUE"""),"PLDT / H2H")</f>
        <v>PLDT / H2H</v>
      </c>
      <c r="F3533" s="1"/>
      <c r="G3533" s="1">
        <f>IFERROR(__xludf.DUMMYFUNCTION("""COMPUTED_VALUE"""),2313329711)</f>
        <v>2313329711</v>
      </c>
      <c r="H3533" s="1" t="str">
        <f>IFERROR(__xludf.DUMMYFUNCTION("""COMPUTED_VALUE"""),"476787862004")</f>
        <v>476787862004</v>
      </c>
      <c r="I3533" s="1">
        <f>IFERROR(__xludf.DUMMYFUNCTION("""COMPUTED_VALUE"""),639669373981)</f>
        <v>639669373981</v>
      </c>
      <c r="J3533" s="1"/>
      <c r="K3533" s="1"/>
      <c r="L3533" s="1" t="str">
        <f>IFERROR(__xludf.DUMMYFUNCTION("""COMPUTED_VALUE"""),"5")</f>
        <v>5</v>
      </c>
      <c r="M3533" s="1" t="str">
        <f>IFERROR(__xludf.DUMMYFUNCTION("""COMPUTED_VALUE"""),"PUROK 6")</f>
        <v>PUROK 6</v>
      </c>
      <c r="N3533" s="1"/>
      <c r="O3533" s="1" t="str">
        <f>IFERROR(__xludf.DUMMYFUNCTION("""COMPUTED_VALUE"""),"BIGA II")</f>
        <v>BIGA II</v>
      </c>
      <c r="P3533" s="1" t="str">
        <f>IFERROR(__xludf.DUMMYFUNCTION("""COMPUTED_VALUE"""),"SILANG")</f>
        <v>SILANG</v>
      </c>
      <c r="Q3533" s="1" t="str">
        <f>IFERROR(__xludf.DUMMYFUNCTION("""COMPUTED_VALUE"""),"CAVITE")</f>
        <v>CAVITE</v>
      </c>
      <c r="R3533" s="1" t="str">
        <f>IFERROR(__xludf.DUMMYFUNCTION("""COMPUTED_VALUE"""),"FIBER UNLI ALL PLAN 1499")</f>
        <v>FIBER UNLI ALL PLAN 1499</v>
      </c>
      <c r="S3533" s="1" t="str">
        <f>IFERROR(__xludf.DUMMYFUNCTION("""COMPUTED_VALUE"""),"APPROVED")</f>
        <v>APPROVED</v>
      </c>
      <c r="T3533" s="1" t="str">
        <f>IFERROR(__xludf.DUMMYFUNCTION("""COMPUTED_VALUE"""),"CLOSED")</f>
        <v>CLOSED</v>
      </c>
      <c r="U3533" s="1" t="str">
        <f>IFERROR(__xludf.DUMMYFUNCTION("""COMPUTED_VALUE"""),"POSTED")</f>
        <v>POSTED</v>
      </c>
      <c r="V3533" s="1"/>
      <c r="W3533" s="1"/>
    </row>
    <row r="3534" customHeight="1" spans="1:23">
      <c r="A3534" s="3">
        <f>IFERROR(__xludf.DUMMYFUNCTION("""COMPUTED_VALUE"""),46318)</f>
        <v>46318</v>
      </c>
      <c r="B3534" s="1" t="str">
        <f>IFERROR(__xludf.DUMMYFUNCTION("""COMPUTED_VALUE"""),"MAGDARAOG, KENNETH")</f>
        <v>MAGDARAOG, KENNETH</v>
      </c>
      <c r="C3534" s="1" t="str">
        <f>IFERROR(__xludf.DUMMYFUNCTION("""COMPUTED_VALUE"""),"ORGANIC")</f>
        <v>ORGANIC</v>
      </c>
      <c r="D3534" s="1" t="str">
        <f>IFERROR(__xludf.DUMMYFUNCTION("""COMPUTED_VALUE"""),"REMOLLO LEA")</f>
        <v>REMOLLO LEA</v>
      </c>
      <c r="E3534" s="1" t="str">
        <f>IFERROR(__xludf.DUMMYFUNCTION("""COMPUTED_VALUE"""),"PLDT / H2H")</f>
        <v>PLDT / H2H</v>
      </c>
      <c r="F3534" s="1"/>
      <c r="G3534" s="1">
        <f>IFERROR(__xludf.DUMMYFUNCTION("""COMPUTED_VALUE"""),2313331465)</f>
        <v>2313331465</v>
      </c>
      <c r="H3534" s="1" t="str">
        <f>IFERROR(__xludf.DUMMYFUNCTION("""COMPUTED_VALUE"""),"476790707004")</f>
        <v>476790707004</v>
      </c>
      <c r="I3534" s="1">
        <f>IFERROR(__xludf.DUMMYFUNCTION("""COMPUTED_VALUE"""),639940098397)</f>
        <v>639940098397</v>
      </c>
      <c r="J3534" s="1"/>
      <c r="K3534" s="1"/>
      <c r="L3534" s="1" t="str">
        <f>IFERROR(__xludf.DUMMYFUNCTION("""COMPUTED_VALUE"""),"187")</f>
        <v>187</v>
      </c>
      <c r="M3534" s="1" t="str">
        <f>IFERROR(__xludf.DUMMYFUNCTION("""COMPUTED_VALUE"""),"PUROK 4")</f>
        <v>PUROK 4</v>
      </c>
      <c r="N3534" s="1"/>
      <c r="O3534" s="1" t="str">
        <f>IFERROR(__xludf.DUMMYFUNCTION("""COMPUTED_VALUE"""),"BIGA I")</f>
        <v>BIGA I</v>
      </c>
      <c r="P3534" s="1" t="str">
        <f>IFERROR(__xludf.DUMMYFUNCTION("""COMPUTED_VALUE"""),"SILANG")</f>
        <v>SILANG</v>
      </c>
      <c r="Q3534" s="1" t="str">
        <f>IFERROR(__xludf.DUMMYFUNCTION("""COMPUTED_VALUE"""),"CAVITE")</f>
        <v>CAVITE</v>
      </c>
      <c r="R3534" s="1" t="str">
        <f>IFERROR(__xludf.DUMMYFUNCTION("""COMPUTED_VALUE"""),"FIBR PLAN 1299")</f>
        <v>FIBR PLAN 1299</v>
      </c>
      <c r="S3534" s="1" t="str">
        <f>IFERROR(__xludf.DUMMYFUNCTION("""COMPUTED_VALUE"""),"APPROVED")</f>
        <v>APPROVED</v>
      </c>
      <c r="T3534" s="1" t="str">
        <f>IFERROR(__xludf.DUMMYFUNCTION("""COMPUTED_VALUE"""),"CLOSED")</f>
        <v>CLOSED</v>
      </c>
      <c r="U3534" s="1" t="str">
        <f>IFERROR(__xludf.DUMMYFUNCTION("""COMPUTED_VALUE"""),"POSTED")</f>
        <v>POSTED</v>
      </c>
      <c r="V3534" s="1"/>
      <c r="W3534" s="1"/>
    </row>
    <row r="3535" customHeight="1" spans="1:23">
      <c r="A3535" s="3">
        <f>IFERROR(__xludf.DUMMYFUNCTION("""COMPUTED_VALUE"""),46318)</f>
        <v>46318</v>
      </c>
      <c r="B3535" s="1" t="str">
        <f>IFERROR(__xludf.DUMMYFUNCTION("""COMPUTED_VALUE"""),"FRANCISCO , ROSELYN")</f>
        <v>FRANCISCO , ROSELYN</v>
      </c>
      <c r="C3535" s="1" t="str">
        <f>IFERROR(__xludf.DUMMYFUNCTION("""COMPUTED_VALUE"""),"ORGANIC")</f>
        <v>ORGANIC</v>
      </c>
      <c r="D3535" s="1" t="str">
        <f>IFERROR(__xludf.DUMMYFUNCTION("""COMPUTED_VALUE"""),"REMOLLO LEA")</f>
        <v>REMOLLO LEA</v>
      </c>
      <c r="E3535" s="1" t="str">
        <f>IFERROR(__xludf.DUMMYFUNCTION("""COMPUTED_VALUE"""),"PLDT / H2H")</f>
        <v>PLDT / H2H</v>
      </c>
      <c r="F3535" s="1"/>
      <c r="G3535" s="1">
        <f>IFERROR(__xludf.DUMMYFUNCTION("""COMPUTED_VALUE"""),2313331732)</f>
        <v>2313331732</v>
      </c>
      <c r="H3535" s="1" t="str">
        <f>IFERROR(__xludf.DUMMYFUNCTION("""COMPUTED_VALUE"""),"476791491004")</f>
        <v>476791491004</v>
      </c>
      <c r="I3535" s="1">
        <f>IFERROR(__xludf.DUMMYFUNCTION("""COMPUTED_VALUE"""),639701859583)</f>
        <v>639701859583</v>
      </c>
      <c r="J3535" s="1">
        <f>IFERROR(__xludf.DUMMYFUNCTION("""COMPUTED_VALUE"""),639054435026)</f>
        <v>639054435026</v>
      </c>
      <c r="K3535" s="1"/>
      <c r="L3535" s="1" t="str">
        <f>IFERROR(__xludf.DUMMYFUNCTION("""COMPUTED_VALUE"""),"199")</f>
        <v>199</v>
      </c>
      <c r="M3535" s="1" t="str">
        <f>IFERROR(__xludf.DUMMYFUNCTION("""COMPUTED_VALUE"""),"P MONTOYA")</f>
        <v>P MONTOYA</v>
      </c>
      <c r="N3535" s="1"/>
      <c r="O3535" s="1" t="str">
        <f>IFERROR(__xludf.DUMMYFUNCTION("""COMPUTED_VALUE"""),"SAN VICENTE II")</f>
        <v>SAN VICENTE II</v>
      </c>
      <c r="P3535" s="1" t="str">
        <f>IFERROR(__xludf.DUMMYFUNCTION("""COMPUTED_VALUE"""),"SILANG")</f>
        <v>SILANG</v>
      </c>
      <c r="Q3535" s="1" t="str">
        <f>IFERROR(__xludf.DUMMYFUNCTION("""COMPUTED_VALUE"""),"CAVITE")</f>
        <v>CAVITE</v>
      </c>
      <c r="R3535" s="1" t="str">
        <f>IFERROR(__xludf.DUMMYFUNCTION("""COMPUTED_VALUE"""),"FIBER UNLI PLAN 1399")</f>
        <v>FIBER UNLI PLAN 1399</v>
      </c>
      <c r="S3535" s="1" t="str">
        <f>IFERROR(__xludf.DUMMYFUNCTION("""COMPUTED_VALUE"""),"APPROVED")</f>
        <v>APPROVED</v>
      </c>
      <c r="T3535" s="1" t="str">
        <f>IFERROR(__xludf.DUMMYFUNCTION("""COMPUTED_VALUE"""),"CLOSED")</f>
        <v>CLOSED</v>
      </c>
      <c r="U3535" s="1" t="str">
        <f>IFERROR(__xludf.DUMMYFUNCTION("""COMPUTED_VALUE"""),"POSTED")</f>
        <v>POSTED</v>
      </c>
      <c r="V3535" s="1"/>
      <c r="W3535" s="1"/>
    </row>
    <row r="3536" customHeight="1" spans="1:23">
      <c r="A3536" s="3">
        <f>IFERROR(__xludf.DUMMYFUNCTION("""COMPUTED_VALUE"""),46318)</f>
        <v>46318</v>
      </c>
      <c r="B3536" s="1" t="str">
        <f>IFERROR(__xludf.DUMMYFUNCTION("""COMPUTED_VALUE"""),"CORNELIO, CATHERINE")</f>
        <v>CORNELIO, CATHERINE</v>
      </c>
      <c r="C3536" s="1" t="str">
        <f>IFERROR(__xludf.DUMMYFUNCTION("""COMPUTED_VALUE"""),"ORGANIC")</f>
        <v>ORGANIC</v>
      </c>
      <c r="D3536" s="1" t="str">
        <f>IFERROR(__xludf.DUMMYFUNCTION("""COMPUTED_VALUE"""),"REMOLLO LEA")</f>
        <v>REMOLLO LEA</v>
      </c>
      <c r="E3536" s="1" t="str">
        <f>IFERROR(__xludf.DUMMYFUNCTION("""COMPUTED_VALUE"""),"PLDT / H2H")</f>
        <v>PLDT / H2H</v>
      </c>
      <c r="F3536" s="1"/>
      <c r="G3536" s="1">
        <f>IFERROR(__xludf.DUMMYFUNCTION("""COMPUTED_VALUE"""),2313332455)</f>
        <v>2313332455</v>
      </c>
      <c r="H3536" s="1" t="str">
        <f>IFERROR(__xludf.DUMMYFUNCTION("""COMPUTED_VALUE"""),"476792105004")</f>
        <v>476792105004</v>
      </c>
      <c r="I3536" s="1">
        <f>IFERROR(__xludf.DUMMYFUNCTION("""COMPUTED_VALUE"""),639627969130)</f>
        <v>639627969130</v>
      </c>
      <c r="J3536" s="1"/>
      <c r="K3536" s="1"/>
      <c r="L3536" s="1" t="str">
        <f>IFERROR(__xludf.DUMMYFUNCTION("""COMPUTED_VALUE"""),"243")</f>
        <v>243</v>
      </c>
      <c r="M3536" s="1" t="str">
        <f>IFERROR(__xludf.DUMMYFUNCTION("""COMPUTED_VALUE"""),"PUROK 4")</f>
        <v>PUROK 4</v>
      </c>
      <c r="N3536" s="1"/>
      <c r="O3536" s="1" t="str">
        <f>IFERROR(__xludf.DUMMYFUNCTION("""COMPUTED_VALUE"""),"AMUYONG")</f>
        <v>AMUYONG</v>
      </c>
      <c r="P3536" s="1" t="str">
        <f>IFERROR(__xludf.DUMMYFUNCTION("""COMPUTED_VALUE"""),"ALFONSO")</f>
        <v>ALFONSO</v>
      </c>
      <c r="Q3536" s="1" t="str">
        <f>IFERROR(__xludf.DUMMYFUNCTION("""COMPUTED_VALUE"""),"CAVITE")</f>
        <v>CAVITE</v>
      </c>
      <c r="R3536" s="1" t="str">
        <f>IFERROR(__xludf.DUMMYFUNCTION("""COMPUTED_VALUE"""),"FIBER UNLI ALL PLAN 1499")</f>
        <v>FIBER UNLI ALL PLAN 1499</v>
      </c>
      <c r="S3536" s="1" t="str">
        <f>IFERROR(__xludf.DUMMYFUNCTION("""COMPUTED_VALUE"""),"APPROVED")</f>
        <v>APPROVED</v>
      </c>
      <c r="T3536" s="1" t="str">
        <f>IFERROR(__xludf.DUMMYFUNCTION("""COMPUTED_VALUE"""),"FOR PAYMENT")</f>
        <v>FOR PAYMENT</v>
      </c>
      <c r="U3536" s="1" t="str">
        <f>IFERROR(__xludf.DUMMYFUNCTION("""COMPUTED_VALUE"""),"FOR PAYMENT - FOR CALL OUT")</f>
        <v>FOR PAYMENT - FOR CALL OUT</v>
      </c>
      <c r="V3536" s="1"/>
      <c r="W3536" s="1"/>
    </row>
    <row r="3537" customHeight="1" spans="1:23">
      <c r="A3537" s="3">
        <f>IFERROR(__xludf.DUMMYFUNCTION("""COMPUTED_VALUE"""),46318)</f>
        <v>46318</v>
      </c>
      <c r="B3537" s="1" t="str">
        <f>IFERROR(__xludf.DUMMYFUNCTION("""COMPUTED_VALUE"""),"MALIWAT MARK ELVIN")</f>
        <v>MALIWAT MARK ELVIN</v>
      </c>
      <c r="C3537" s="1" t="str">
        <f>IFERROR(__xludf.DUMMYFUNCTION("""COMPUTED_VALUE"""),"FLA")</f>
        <v>FLA</v>
      </c>
      <c r="D3537" s="1" t="str">
        <f>IFERROR(__xludf.DUMMYFUNCTION("""COMPUTED_VALUE"""),"JERIC NAVARRO")</f>
        <v>JERIC NAVARRO</v>
      </c>
      <c r="E3537" s="1" t="str">
        <f>IFERROR(__xludf.DUMMYFUNCTION("""COMPUTED_VALUE"""),"PLDT / H2H")</f>
        <v>PLDT / H2H</v>
      </c>
      <c r="F3537" s="1"/>
      <c r="G3537" s="1">
        <f>IFERROR(__xludf.DUMMYFUNCTION("""COMPUTED_VALUE"""),2313334598)</f>
        <v>2313334598</v>
      </c>
      <c r="H3537" s="1"/>
      <c r="I3537" s="1">
        <f>IFERROR(__xludf.DUMMYFUNCTION("""COMPUTED_VALUE"""),639853693875)</f>
        <v>639853693875</v>
      </c>
      <c r="J3537" s="1"/>
      <c r="K3537" s="1"/>
      <c r="L3537" s="1" t="str">
        <f>IFERROR(__xludf.DUMMYFUNCTION("""COMPUTED_VALUE"""),"B3")</f>
        <v>B3</v>
      </c>
      <c r="M3537" s="1" t="str">
        <f>IFERROR(__xludf.DUMMYFUNCTION("""COMPUTED_VALUE"""),"SAN ISIDRO")</f>
        <v>SAN ISIDRO</v>
      </c>
      <c r="N3537" s="1"/>
      <c r="O3537" s="1" t="str">
        <f>IFERROR(__xludf.DUMMYFUNCTION("""COMPUTED_VALUE"""),"SAN GABRIEL (AREA K)")</f>
        <v>SAN GABRIEL (AREA K)</v>
      </c>
      <c r="P3537" s="1" t="str">
        <f>IFERROR(__xludf.DUMMYFUNCTION("""COMPUTED_VALUE"""),"GEN MARIANO ALVAREZ")</f>
        <v>GEN MARIANO ALVAREZ</v>
      </c>
      <c r="Q3537" s="1" t="str">
        <f>IFERROR(__xludf.DUMMYFUNCTION("""COMPUTED_VALUE"""),"CAVITE")</f>
        <v>CAVITE</v>
      </c>
      <c r="R3537" s="1" t="str">
        <f>IFERROR(__xludf.DUMMYFUNCTION("""COMPUTED_VALUE"""),"FIBER UNLI PLAN 1399")</f>
        <v>FIBER UNLI PLAN 1399</v>
      </c>
      <c r="S3537" s="1" t="str">
        <f>IFERROR(__xludf.DUMMYFUNCTION("""COMPUTED_VALUE"""),"APPROVED")</f>
        <v>APPROVED</v>
      </c>
      <c r="T3537" s="1" t="str">
        <f>IFERROR(__xludf.DUMMYFUNCTION("""COMPUTED_VALUE"""),"CANCELLED")</f>
        <v>CANCELLED</v>
      </c>
      <c r="U3537" s="1" t="str">
        <f>IFERROR(__xludf.DUMMYFUNCTION("""COMPUTED_VALUE"""),"CANCELLED - WITH ACTIVE LINE")</f>
        <v>CANCELLED - WITH ACTIVE LINE</v>
      </c>
      <c r="V3537" s="1"/>
      <c r="W3537" s="1"/>
    </row>
    <row r="3538" customHeight="1" spans="1:23">
      <c r="A3538" s="3">
        <f>IFERROR(__xludf.DUMMYFUNCTION("""COMPUTED_VALUE"""),46318)</f>
        <v>46318</v>
      </c>
      <c r="B3538" s="1" t="str">
        <f>IFERROR(__xludf.DUMMYFUNCTION("""COMPUTED_VALUE"""),"ARIENA, LYKA")</f>
        <v>ARIENA, LYKA</v>
      </c>
      <c r="C3538" s="1" t="str">
        <f>IFERROR(__xludf.DUMMYFUNCTION("""COMPUTED_VALUE"""),"ORGANIC")</f>
        <v>ORGANIC</v>
      </c>
      <c r="D3538" s="1" t="str">
        <f>IFERROR(__xludf.DUMMYFUNCTION("""COMPUTED_VALUE"""),"REMOLLO LEA")</f>
        <v>REMOLLO LEA</v>
      </c>
      <c r="E3538" s="1" t="str">
        <f>IFERROR(__xludf.DUMMYFUNCTION("""COMPUTED_VALUE"""),"PLDT / H2H")</f>
        <v>PLDT / H2H</v>
      </c>
      <c r="F3538" s="1"/>
      <c r="G3538" s="1">
        <f>IFERROR(__xludf.DUMMYFUNCTION("""COMPUTED_VALUE"""),2313334834)</f>
        <v>2313334834</v>
      </c>
      <c r="H3538" s="1" t="str">
        <f>IFERROR(__xludf.DUMMYFUNCTION("""COMPUTED_VALUE"""),"476800998004")</f>
        <v>476800998004</v>
      </c>
      <c r="I3538" s="1">
        <f>IFERROR(__xludf.DUMMYFUNCTION("""COMPUTED_VALUE"""),639994107654)</f>
        <v>639994107654</v>
      </c>
      <c r="J3538" s="1"/>
      <c r="K3538" s="1"/>
      <c r="L3538" s="1" t="str">
        <f>IFERROR(__xludf.DUMMYFUNCTION("""COMPUTED_VALUE"""),"014-BL-005")</f>
        <v>014-BL-005</v>
      </c>
      <c r="M3538" s="1" t="str">
        <f>IFERROR(__xludf.DUMMYFUNCTION("""COMPUTED_VALUE"""),"SIKAP VILLE")</f>
        <v>SIKAP VILLE</v>
      </c>
      <c r="N3538" s="1" t="str">
        <f>IFERROR(__xludf.DUMMYFUNCTION("""COMPUTED_VALUE"""),"SIKAP VILLE")</f>
        <v>SIKAP VILLE</v>
      </c>
      <c r="O3538" s="1" t="str">
        <f>IFERROR(__xludf.DUMMYFUNCTION("""COMPUTED_VALUE"""),"SABUTAN")</f>
        <v>SABUTAN</v>
      </c>
      <c r="P3538" s="1" t="str">
        <f>IFERROR(__xludf.DUMMYFUNCTION("""COMPUTED_VALUE"""),"SILANG")</f>
        <v>SILANG</v>
      </c>
      <c r="Q3538" s="1" t="str">
        <f>IFERROR(__xludf.DUMMYFUNCTION("""COMPUTED_VALUE"""),"CAVITE")</f>
        <v>CAVITE</v>
      </c>
      <c r="R3538" s="1" t="str">
        <f>IFERROR(__xludf.DUMMYFUNCTION("""COMPUTED_VALUE"""),"FIBER UNLI PLAN 1399")</f>
        <v>FIBER UNLI PLAN 1399</v>
      </c>
      <c r="S3538" s="1" t="str">
        <f>IFERROR(__xludf.DUMMYFUNCTION("""COMPUTED_VALUE"""),"APPROVED")</f>
        <v>APPROVED</v>
      </c>
      <c r="T3538" s="1" t="str">
        <f>IFERROR(__xludf.DUMMYFUNCTION("""COMPUTED_VALUE"""),"AFD")</f>
        <v>AFD</v>
      </c>
      <c r="U3538" s="1" t="str">
        <f>IFERROR(__xludf.DUMMYFUNCTION("""COMPUTED_VALUE"""),"AFD - RESCHEDULED")</f>
        <v>AFD - RESCHEDULED</v>
      </c>
      <c r="V3538" s="1"/>
      <c r="W3538" s="1"/>
    </row>
    <row r="3539" customHeight="1" spans="1:23">
      <c r="A3539" s="3">
        <f>IFERROR(__xludf.DUMMYFUNCTION("""COMPUTED_VALUE"""),46318)</f>
        <v>46318</v>
      </c>
      <c r="B3539" s="1" t="str">
        <f>IFERROR(__xludf.DUMMYFUNCTION("""COMPUTED_VALUE"""),"FRANCISCO , ROSELYN")</f>
        <v>FRANCISCO , ROSELYN</v>
      </c>
      <c r="C3539" s="1" t="str">
        <f>IFERROR(__xludf.DUMMYFUNCTION("""COMPUTED_VALUE"""),"ORGANIC")</f>
        <v>ORGANIC</v>
      </c>
      <c r="D3539" s="1" t="str">
        <f>IFERROR(__xludf.DUMMYFUNCTION("""COMPUTED_VALUE"""),"REMOLLO LEA")</f>
        <v>REMOLLO LEA</v>
      </c>
      <c r="E3539" s="1" t="str">
        <f>IFERROR(__xludf.DUMMYFUNCTION("""COMPUTED_VALUE"""),"PLDT / H2H")</f>
        <v>PLDT / H2H</v>
      </c>
      <c r="F3539" s="1"/>
      <c r="G3539" s="1">
        <f>IFERROR(__xludf.DUMMYFUNCTION("""COMPUTED_VALUE"""),2313335280)</f>
        <v>2313335280</v>
      </c>
      <c r="H3539" s="1" t="str">
        <f>IFERROR(__xludf.DUMMYFUNCTION("""COMPUTED_VALUE"""),"476798469004")</f>
        <v>476798469004</v>
      </c>
      <c r="I3539" s="1">
        <f>IFERROR(__xludf.DUMMYFUNCTION("""COMPUTED_VALUE"""),639485335184)</f>
        <v>639485335184</v>
      </c>
      <c r="J3539" s="1">
        <f>IFERROR(__xludf.DUMMYFUNCTION("""COMPUTED_VALUE"""),639505688581)</f>
        <v>639505688581</v>
      </c>
      <c r="K3539" s="1"/>
      <c r="L3539" s="1" t="str">
        <f>IFERROR(__xludf.DUMMYFUNCTION("""COMPUTED_VALUE"""),"173")</f>
        <v>173</v>
      </c>
      <c r="M3539" s="1" t="str">
        <f>IFERROR(__xludf.DUMMYFUNCTION("""COMPUTED_VALUE"""),"ILAYA")</f>
        <v>ILAYA</v>
      </c>
      <c r="N3539" s="1" t="str">
        <f>IFERROR(__xludf.DUMMYFUNCTION("""COMPUTED_VALUE"""),"PUROK 2")</f>
        <v>PUROK 2</v>
      </c>
      <c r="O3539" s="1" t="str">
        <f>IFERROR(__xludf.DUMMYFUNCTION("""COMPUTED_VALUE"""),"ADLAS")</f>
        <v>ADLAS</v>
      </c>
      <c r="P3539" s="1" t="str">
        <f>IFERROR(__xludf.DUMMYFUNCTION("""COMPUTED_VALUE"""),"SILANG")</f>
        <v>SILANG</v>
      </c>
      <c r="Q3539" s="1" t="str">
        <f>IFERROR(__xludf.DUMMYFUNCTION("""COMPUTED_VALUE"""),"CAVITE")</f>
        <v>CAVITE</v>
      </c>
      <c r="R3539" s="1" t="str">
        <f>IFERROR(__xludf.DUMMYFUNCTION("""COMPUTED_VALUE"""),"FIBER UNLI PLAN 1399")</f>
        <v>FIBER UNLI PLAN 1399</v>
      </c>
      <c r="S3539" s="1" t="str">
        <f>IFERROR(__xludf.DUMMYFUNCTION("""COMPUTED_VALUE"""),"APPROVED")</f>
        <v>APPROVED</v>
      </c>
      <c r="T3539" s="1" t="str">
        <f>IFERROR(__xludf.DUMMYFUNCTION("""COMPUTED_VALUE"""),"CLOSED")</f>
        <v>CLOSED</v>
      </c>
      <c r="U3539" s="1" t="str">
        <f>IFERROR(__xludf.DUMMYFUNCTION("""COMPUTED_VALUE"""),"POSTED")</f>
        <v>POSTED</v>
      </c>
      <c r="V3539" s="1"/>
      <c r="W3539" s="1"/>
    </row>
    <row r="3540" customHeight="1" spans="1:23">
      <c r="A3540" s="3">
        <f>IFERROR(__xludf.DUMMYFUNCTION("""COMPUTED_VALUE"""),46318)</f>
        <v>46318</v>
      </c>
      <c r="B3540" s="1" t="str">
        <f>IFERROR(__xludf.DUMMYFUNCTION("""COMPUTED_VALUE"""),"ESCARCHA, MA ALMA  ESCOTO")</f>
        <v>ESCARCHA, MA ALMA  ESCOTO</v>
      </c>
      <c r="C3540" s="1" t="str">
        <f>IFERROR(__xludf.DUMMYFUNCTION("""COMPUTED_VALUE"""),"ORGANIC")</f>
        <v>ORGANIC</v>
      </c>
      <c r="D3540" s="1" t="str">
        <f>IFERROR(__xludf.DUMMYFUNCTION("""COMPUTED_VALUE"""),"REMOLLO LEA")</f>
        <v>REMOLLO LEA</v>
      </c>
      <c r="E3540" s="1" t="str">
        <f>IFERROR(__xludf.DUMMYFUNCTION("""COMPUTED_VALUE"""),"PLDT / H2H")</f>
        <v>PLDT / H2H</v>
      </c>
      <c r="F3540" s="1"/>
      <c r="G3540" s="1">
        <f>IFERROR(__xludf.DUMMYFUNCTION("""COMPUTED_VALUE"""),2313335956)</f>
        <v>2313335956</v>
      </c>
      <c r="H3540" s="1"/>
      <c r="I3540" s="1">
        <f>IFERROR(__xludf.DUMMYFUNCTION("""COMPUTED_VALUE"""),639626870623)</f>
        <v>639626870623</v>
      </c>
      <c r="J3540" s="1">
        <f>IFERROR(__xludf.DUMMYFUNCTION("""COMPUTED_VALUE"""),639943450987)</f>
        <v>639943450987</v>
      </c>
      <c r="K3540" s="1"/>
      <c r="L3540" s="1" t="str">
        <f>IFERROR(__xludf.DUMMYFUNCTION("""COMPUTED_VALUE"""),"021-BL-014")</f>
        <v>021-BL-014</v>
      </c>
      <c r="M3540" s="1" t="str">
        <f>IFERROR(__xludf.DUMMYFUNCTION("""COMPUTED_VALUE"""),"ANAHAW 1")</f>
        <v>ANAHAW 1</v>
      </c>
      <c r="N3540" s="1"/>
      <c r="O3540" s="1" t="str">
        <f>IFERROR(__xludf.DUMMYFUNCTION("""COMPUTED_VALUE"""),"ANAHAW I")</f>
        <v>ANAHAW I</v>
      </c>
      <c r="P3540" s="1" t="str">
        <f>IFERROR(__xludf.DUMMYFUNCTION("""COMPUTED_VALUE"""),"SILANG")</f>
        <v>SILANG</v>
      </c>
      <c r="Q3540" s="1" t="str">
        <f>IFERROR(__xludf.DUMMYFUNCTION("""COMPUTED_VALUE"""),"CAVITE")</f>
        <v>CAVITE</v>
      </c>
      <c r="R3540" s="1" t="str">
        <f>IFERROR(__xludf.DUMMYFUNCTION("""COMPUTED_VALUE"""),"FIBER UNLI PLAN 1399")</f>
        <v>FIBER UNLI PLAN 1399</v>
      </c>
      <c r="S3540" s="1" t="str">
        <f>IFERROR(__xludf.DUMMYFUNCTION("""COMPUTED_VALUE"""),"APPROVED")</f>
        <v>APPROVED</v>
      </c>
      <c r="T3540" s="1" t="str">
        <f>IFERROR(__xludf.DUMMYFUNCTION("""COMPUTED_VALUE"""),"DUPLICATE NAME")</f>
        <v>DUPLICATE NAME</v>
      </c>
      <c r="U3540" s="1" t="str">
        <f>IFERROR(__xludf.DUMMYFUNCTION("""COMPUTED_VALUE"""),"CUSTOMERS COMPLIANCE - REQS")</f>
        <v>CUSTOMERS COMPLIANCE - REQS</v>
      </c>
      <c r="V3540" s="1"/>
      <c r="W3540" s="1"/>
    </row>
    <row r="3541" customHeight="1" spans="1:23">
      <c r="A3541" s="3">
        <f>IFERROR(__xludf.DUMMYFUNCTION("""COMPUTED_VALUE"""),46318)</f>
        <v>46318</v>
      </c>
      <c r="B3541" s="1" t="str">
        <f>IFERROR(__xludf.DUMMYFUNCTION("""COMPUTED_VALUE"""),"CADERAO, RONALD")</f>
        <v>CADERAO, RONALD</v>
      </c>
      <c r="C3541" s="1" t="str">
        <f>IFERROR(__xludf.DUMMYFUNCTION("""COMPUTED_VALUE"""),"ORGANIC")</f>
        <v>ORGANIC</v>
      </c>
      <c r="D3541" s="1" t="str">
        <f>IFERROR(__xludf.DUMMYFUNCTION("""COMPUTED_VALUE"""),"REMOLLO LEA")</f>
        <v>REMOLLO LEA</v>
      </c>
      <c r="E3541" s="1" t="str">
        <f>IFERROR(__xludf.DUMMYFUNCTION("""COMPUTED_VALUE"""),"PLDT / H2H")</f>
        <v>PLDT / H2H</v>
      </c>
      <c r="F3541" s="1"/>
      <c r="G3541" s="1">
        <f>IFERROR(__xludf.DUMMYFUNCTION("""COMPUTED_VALUE"""),2313336094)</f>
        <v>2313336094</v>
      </c>
      <c r="H3541" s="1" t="str">
        <f>IFERROR(__xludf.DUMMYFUNCTION("""COMPUTED_VALUE"""),"476800700004")</f>
        <v>476800700004</v>
      </c>
      <c r="I3541" s="1">
        <f>IFERROR(__xludf.DUMMYFUNCTION("""COMPUTED_VALUE"""),639550336409)</f>
        <v>639550336409</v>
      </c>
      <c r="J3541" s="1">
        <f>IFERROR(__xludf.DUMMYFUNCTION("""COMPUTED_VALUE"""),639309434066)</f>
        <v>639309434066</v>
      </c>
      <c r="K3541" s="1"/>
      <c r="L3541" s="1" t="str">
        <f>IFERROR(__xludf.DUMMYFUNCTION("""COMPUTED_VALUE"""),"151")</f>
        <v>151</v>
      </c>
      <c r="M3541" s="1" t="str">
        <f>IFERROR(__xludf.DUMMYFUNCTION("""COMPUTED_VALUE"""),"PUROK 3")</f>
        <v>PUROK 3</v>
      </c>
      <c r="N3541" s="1"/>
      <c r="O3541" s="1" t="str">
        <f>IFERROR(__xludf.DUMMYFUNCTION("""COMPUTED_VALUE"""),"LALAAN II")</f>
        <v>LALAAN II</v>
      </c>
      <c r="P3541" s="1" t="str">
        <f>IFERROR(__xludf.DUMMYFUNCTION("""COMPUTED_VALUE"""),"SILANG")</f>
        <v>SILANG</v>
      </c>
      <c r="Q3541" s="1" t="str">
        <f>IFERROR(__xludf.DUMMYFUNCTION("""COMPUTED_VALUE"""),"CAVITE")</f>
        <v>CAVITE</v>
      </c>
      <c r="R3541" s="1" t="str">
        <f>IFERROR(__xludf.DUMMYFUNCTION("""COMPUTED_VALUE"""),"FIBER UNLI PLAN 1399")</f>
        <v>FIBER UNLI PLAN 1399</v>
      </c>
      <c r="S3541" s="1" t="str">
        <f>IFERROR(__xludf.DUMMYFUNCTION("""COMPUTED_VALUE"""),"APPROVED")</f>
        <v>APPROVED</v>
      </c>
      <c r="T3541" s="1" t="str">
        <f>IFERROR(__xludf.DUMMYFUNCTION("""COMPUTED_VALUE"""),"PAID")</f>
        <v>PAID</v>
      </c>
      <c r="U3541" s="1" t="str">
        <f>IFERROR(__xludf.DUMMYFUNCTION("""COMPUTED_VALUE"""),"PAID - FOR INSTALLATION")</f>
        <v>PAID - FOR INSTALLATION</v>
      </c>
      <c r="V3541" s="1"/>
      <c r="W3541" s="1"/>
    </row>
    <row r="3542" customHeight="1" spans="1:23">
      <c r="A3542" s="3">
        <f>IFERROR(__xludf.DUMMYFUNCTION("""COMPUTED_VALUE"""),46318)</f>
        <v>46318</v>
      </c>
      <c r="B3542" s="1" t="str">
        <f>IFERROR(__xludf.DUMMYFUNCTION("""COMPUTED_VALUE"""),"MALIWAT MARK ELVIN")</f>
        <v>MALIWAT MARK ELVIN</v>
      </c>
      <c r="C3542" s="1" t="str">
        <f>IFERROR(__xludf.DUMMYFUNCTION("""COMPUTED_VALUE"""),"FLA")</f>
        <v>FLA</v>
      </c>
      <c r="D3542" s="1" t="str">
        <f>IFERROR(__xludf.DUMMYFUNCTION("""COMPUTED_VALUE"""),"JERIC NAVARRO")</f>
        <v>JERIC NAVARRO</v>
      </c>
      <c r="E3542" s="1" t="str">
        <f>IFERROR(__xludf.DUMMYFUNCTION("""COMPUTED_VALUE"""),"PLDT / H2H")</f>
        <v>PLDT / H2H</v>
      </c>
      <c r="F3542" s="1"/>
      <c r="G3542" s="1">
        <f>IFERROR(__xludf.DUMMYFUNCTION("""COMPUTED_VALUE"""),2313353804)</f>
        <v>2313353804</v>
      </c>
      <c r="H3542" s="1"/>
      <c r="I3542" s="1">
        <f>IFERROR(__xludf.DUMMYFUNCTION("""COMPUTED_VALUE"""),639954322385)</f>
        <v>639954322385</v>
      </c>
      <c r="J3542" s="1"/>
      <c r="K3542" s="1"/>
      <c r="L3542" s="1" t="str">
        <f>IFERROR(__xludf.DUMMYFUNCTION("""COMPUTED_VALUE"""),"017-BL-006")</f>
        <v>017-BL-006</v>
      </c>
      <c r="M3542" s="1" t="str">
        <f>IFERROR(__xludf.DUMMYFUNCTION("""COMPUTED_VALUE"""),"BUKLURAN 2")</f>
        <v>BUKLURAN 2</v>
      </c>
      <c r="N3542" s="1"/>
      <c r="O3542" s="1" t="str">
        <f>IFERROR(__xludf.DUMMYFUNCTION("""COMPUTED_VALUE"""),"BULIHAN")</f>
        <v>BULIHAN</v>
      </c>
      <c r="P3542" s="1" t="str">
        <f>IFERROR(__xludf.DUMMYFUNCTION("""COMPUTED_VALUE"""),"SILANG")</f>
        <v>SILANG</v>
      </c>
      <c r="Q3542" s="1" t="str">
        <f>IFERROR(__xludf.DUMMYFUNCTION("""COMPUTED_VALUE"""),"CAVITE")</f>
        <v>CAVITE</v>
      </c>
      <c r="R3542" s="1" t="str">
        <f>IFERROR(__xludf.DUMMYFUNCTION("""COMPUTED_VALUE"""),"FIBER UNLI PLAN 1399")</f>
        <v>FIBER UNLI PLAN 1399</v>
      </c>
      <c r="S3542" s="1" t="str">
        <f>IFERROR(__xludf.DUMMYFUNCTION("""COMPUTED_VALUE"""),"APPROVED")</f>
        <v>APPROVED</v>
      </c>
      <c r="T3542" s="1" t="str">
        <f>IFERROR(__xludf.DUMMYFUNCTION("""COMPUTED_VALUE"""),"DUPLICATE SUBS INFO")</f>
        <v>DUPLICATE SUBS INFO</v>
      </c>
      <c r="U3542" s="1" t="str">
        <f>IFERROR(__xludf.DUMMYFUNCTION("""COMPUTED_VALUE"""),"SFS VALIDATION")</f>
        <v>SFS VALIDATION</v>
      </c>
      <c r="V3542" s="1"/>
      <c r="W3542" s="1"/>
    </row>
    <row r="3543" customHeight="1" spans="1:23">
      <c r="A3543" s="3">
        <f>IFERROR(__xludf.DUMMYFUNCTION("""COMPUTED_VALUE"""),46318)</f>
        <v>46318</v>
      </c>
      <c r="B3543" s="1" t="str">
        <f>IFERROR(__xludf.DUMMYFUNCTION("""COMPUTED_VALUE"""),"AYON MANUEL")</f>
        <v>AYON MANUEL</v>
      </c>
      <c r="C3543" s="1" t="str">
        <f>IFERROR(__xludf.DUMMYFUNCTION("""COMPUTED_VALUE"""),"FLA")</f>
        <v>FLA</v>
      </c>
      <c r="D3543" s="1" t="str">
        <f>IFERROR(__xludf.DUMMYFUNCTION("""COMPUTED_VALUE"""),"JERIC NAVARRO")</f>
        <v>JERIC NAVARRO</v>
      </c>
      <c r="E3543" s="1" t="str">
        <f>IFERROR(__xludf.DUMMYFUNCTION("""COMPUTED_VALUE"""),"PLDT / ONLINE")</f>
        <v>PLDT / ONLINE</v>
      </c>
      <c r="F3543" s="1"/>
      <c r="G3543" s="1">
        <f>IFERROR(__xludf.DUMMYFUNCTION("""COMPUTED_VALUE"""),2313337328)</f>
        <v>2313337328</v>
      </c>
      <c r="H3543" s="1"/>
      <c r="I3543" s="1">
        <f>IFERROR(__xludf.DUMMYFUNCTION("""COMPUTED_VALUE"""),639457216659)</f>
        <v>639457216659</v>
      </c>
      <c r="J3543" s="1">
        <f>IFERROR(__xludf.DUMMYFUNCTION("""COMPUTED_VALUE"""),639954360746)</f>
        <v>639954360746</v>
      </c>
      <c r="K3543" s="1"/>
      <c r="L3543" s="1" t="str">
        <f>IFERROR(__xludf.DUMMYFUNCTION("""COMPUTED_VALUE"""),"005-BL-019")</f>
        <v>005-BL-019</v>
      </c>
      <c r="M3543" s="1" t="str">
        <f>IFERROR(__xludf.DUMMYFUNCTION("""COMPUTED_VALUE"""),"VALENCIA")</f>
        <v>VALENCIA</v>
      </c>
      <c r="N3543" s="1" t="str">
        <f>IFERROR(__xludf.DUMMYFUNCTION("""COMPUTED_VALUE"""),"SANTA ROSA HEIGHTS PHASE 6")</f>
        <v>SANTA ROSA HEIGHTS PHASE 6</v>
      </c>
      <c r="O3543" s="1" t="str">
        <f>IFERROR(__xludf.DUMMYFUNCTION("""COMPUTED_VALUE"""),"PUTING KAHOY")</f>
        <v>PUTING KAHOY</v>
      </c>
      <c r="P3543" s="1" t="str">
        <f>IFERROR(__xludf.DUMMYFUNCTION("""COMPUTED_VALUE"""),"SILANG")</f>
        <v>SILANG</v>
      </c>
      <c r="Q3543" s="1" t="str">
        <f>IFERROR(__xludf.DUMMYFUNCTION("""COMPUTED_VALUE"""),"CAVITE")</f>
        <v>CAVITE</v>
      </c>
      <c r="R3543" s="1" t="str">
        <f>IFERROR(__xludf.DUMMYFUNCTION("""COMPUTED_VALUE"""),"FIBER UNLI ALL PLAN 1899")</f>
        <v>FIBER UNLI ALL PLAN 1899</v>
      </c>
      <c r="S3543" s="1" t="str">
        <f>IFERROR(__xludf.DUMMYFUNCTION("""COMPUTED_VALUE"""),"APPROVED")</f>
        <v>APPROVED</v>
      </c>
      <c r="T3543" s="1" t="str">
        <f>IFERROR(__xludf.DUMMYFUNCTION("""COMPUTED_VALUE"""),"ESCALATED TO CVA A")</f>
        <v>ESCALATED TO CVA A</v>
      </c>
      <c r="U3543" s="1" t="str">
        <f>IFERROR(__xludf.DUMMYFUNCTION("""COMPUTED_VALUE"""),"CREDIT VALIDATION")</f>
        <v>CREDIT VALIDATION</v>
      </c>
      <c r="V3543" s="1"/>
      <c r="W3543" s="1"/>
    </row>
    <row r="3544" customHeight="1" spans="1:23">
      <c r="A3544" s="3">
        <f>IFERROR(__xludf.DUMMYFUNCTION("""COMPUTED_VALUE"""),46319)</f>
        <v>46319</v>
      </c>
      <c r="B3544" s="1" t="str">
        <f>IFERROR(__xludf.DUMMYFUNCTION("""COMPUTED_VALUE"""),"MAGDARAOG, KENNETH")</f>
        <v>MAGDARAOG, KENNETH</v>
      </c>
      <c r="C3544" s="1" t="str">
        <f>IFERROR(__xludf.DUMMYFUNCTION("""COMPUTED_VALUE"""),"ORGANIC")</f>
        <v>ORGANIC</v>
      </c>
      <c r="D3544" s="1" t="str">
        <f>IFERROR(__xludf.DUMMYFUNCTION("""COMPUTED_VALUE"""),"REMOLLO LEA")</f>
        <v>REMOLLO LEA</v>
      </c>
      <c r="E3544" s="1" t="str">
        <f>IFERROR(__xludf.DUMMYFUNCTION("""COMPUTED_VALUE"""),"PLDT / H2H")</f>
        <v>PLDT / H2H</v>
      </c>
      <c r="F3544" s="1"/>
      <c r="G3544" s="1">
        <f>IFERROR(__xludf.DUMMYFUNCTION("""COMPUTED_VALUE"""),2313347264)</f>
        <v>2313347264</v>
      </c>
      <c r="H3544" s="1" t="str">
        <f>IFERROR(__xludf.DUMMYFUNCTION("""COMPUTED_VALUE"""),"476922757004")</f>
        <v>476922757004</v>
      </c>
      <c r="I3544" s="1">
        <f>IFERROR(__xludf.DUMMYFUNCTION("""COMPUTED_VALUE"""),639985304103)</f>
        <v>639985304103</v>
      </c>
      <c r="J3544" s="1"/>
      <c r="K3544" s="1"/>
      <c r="L3544" s="1" t="str">
        <f>IFERROR(__xludf.DUMMYFUNCTION("""COMPUTED_VALUE"""),"179")</f>
        <v>179</v>
      </c>
      <c r="M3544" s="1" t="str">
        <f>IFERROR(__xludf.DUMMYFUNCTION("""COMPUTED_VALUE"""),"ADLAS")</f>
        <v>ADLAS</v>
      </c>
      <c r="N3544" s="1"/>
      <c r="O3544" s="1" t="str">
        <f>IFERROR(__xludf.DUMMYFUNCTION("""COMPUTED_VALUE"""),"BIGA II")</f>
        <v>BIGA II</v>
      </c>
      <c r="P3544" s="1" t="str">
        <f>IFERROR(__xludf.DUMMYFUNCTION("""COMPUTED_VALUE"""),"SILANG")</f>
        <v>SILANG</v>
      </c>
      <c r="Q3544" s="1" t="str">
        <f>IFERROR(__xludf.DUMMYFUNCTION("""COMPUTED_VALUE"""),"CAVITE")</f>
        <v>CAVITE</v>
      </c>
      <c r="R3544" s="1" t="str">
        <f>IFERROR(__xludf.DUMMYFUNCTION("""COMPUTED_VALUE"""),"FIBR UNLI ALL PLAN 999")</f>
        <v>FIBR UNLI ALL PLAN 999</v>
      </c>
      <c r="S3544" s="1" t="str">
        <f>IFERROR(__xludf.DUMMYFUNCTION("""COMPUTED_VALUE"""),"APPROVED")</f>
        <v>APPROVED</v>
      </c>
      <c r="T3544" s="1" t="str">
        <f>IFERROR(__xludf.DUMMYFUNCTION("""COMPUTED_VALUE"""),"CLOSED")</f>
        <v>CLOSED</v>
      </c>
      <c r="U3544" s="1" t="str">
        <f>IFERROR(__xludf.DUMMYFUNCTION("""COMPUTED_VALUE"""),"POSTED")</f>
        <v>POSTED</v>
      </c>
      <c r="V3544" s="1" t="str">
        <f>IFERROR(__xludf.DUMMYFUNCTION("""COMPUTED_VALUE"""),"NO 1 AMSF")</f>
        <v>NO 1 AMSF</v>
      </c>
      <c r="W3544" s="1"/>
    </row>
    <row r="3545" customHeight="1" spans="1:23">
      <c r="A3545" s="3">
        <f>IFERROR(__xludf.DUMMYFUNCTION("""COMPUTED_VALUE"""),46319)</f>
        <v>46319</v>
      </c>
      <c r="B3545" s="1" t="str">
        <f>IFERROR(__xludf.DUMMYFUNCTION("""COMPUTED_VALUE"""),"ARIENA, LYKA")</f>
        <v>ARIENA, LYKA</v>
      </c>
      <c r="C3545" s="1" t="str">
        <f>IFERROR(__xludf.DUMMYFUNCTION("""COMPUTED_VALUE"""),"ORGANIC")</f>
        <v>ORGANIC</v>
      </c>
      <c r="D3545" s="1" t="str">
        <f>IFERROR(__xludf.DUMMYFUNCTION("""COMPUTED_VALUE"""),"REMOLLO LEA")</f>
        <v>REMOLLO LEA</v>
      </c>
      <c r="E3545" s="1" t="str">
        <f>IFERROR(__xludf.DUMMYFUNCTION("""COMPUTED_VALUE"""),"PLDT / H2H")</f>
        <v>PLDT / H2H</v>
      </c>
      <c r="F3545" s="1"/>
      <c r="G3545" s="1">
        <f>IFERROR(__xludf.DUMMYFUNCTION("""COMPUTED_VALUE"""),2313347670)</f>
        <v>2313347670</v>
      </c>
      <c r="H3545" s="1" t="str">
        <f>IFERROR(__xludf.DUMMYFUNCTION("""COMPUTED_VALUE"""),"476922618004")</f>
        <v>476922618004</v>
      </c>
      <c r="I3545" s="1">
        <f>IFERROR(__xludf.DUMMYFUNCTION("""COMPUTED_VALUE"""),639278051834)</f>
        <v>639278051834</v>
      </c>
      <c r="J3545" s="1"/>
      <c r="K3545" s="1"/>
      <c r="L3545" s="1" t="str">
        <f>IFERROR(__xludf.DUMMYFUNCTION("""COMPUTED_VALUE"""),"54")</f>
        <v>54</v>
      </c>
      <c r="M3545" s="1" t="str">
        <f>IFERROR(__xludf.DUMMYFUNCTION("""COMPUTED_VALUE"""),"PUROK 4")</f>
        <v>PUROK 4</v>
      </c>
      <c r="N3545" s="1"/>
      <c r="O3545" s="1" t="str">
        <f>IFERROR(__xludf.DUMMYFUNCTION("""COMPUTED_VALUE"""),"BIGA II")</f>
        <v>BIGA II</v>
      </c>
      <c r="P3545" s="1" t="str">
        <f>IFERROR(__xludf.DUMMYFUNCTION("""COMPUTED_VALUE"""),"SILANG")</f>
        <v>SILANG</v>
      </c>
      <c r="Q3545" s="1" t="str">
        <f>IFERROR(__xludf.DUMMYFUNCTION("""COMPUTED_VALUE"""),"CAVITE")</f>
        <v>CAVITE</v>
      </c>
      <c r="R3545" s="1" t="str">
        <f>IFERROR(__xludf.DUMMYFUNCTION("""COMPUTED_VALUE"""),"FIBR UNLI ALL PLAN 999")</f>
        <v>FIBR UNLI ALL PLAN 999</v>
      </c>
      <c r="S3545" s="1" t="str">
        <f>IFERROR(__xludf.DUMMYFUNCTION("""COMPUTED_VALUE"""),"APPROVED")</f>
        <v>APPROVED</v>
      </c>
      <c r="T3545" s="1" t="str">
        <f>IFERROR(__xludf.DUMMYFUNCTION("""COMPUTED_VALUE"""),"CLOSED")</f>
        <v>CLOSED</v>
      </c>
      <c r="U3545" s="1" t="str">
        <f>IFERROR(__xludf.DUMMYFUNCTION("""COMPUTED_VALUE"""),"POSTED")</f>
        <v>POSTED</v>
      </c>
      <c r="V3545" s="1" t="str">
        <f>IFERROR(__xludf.DUMMYFUNCTION("""COMPUTED_VALUE"""),"NO 1 AMSF")</f>
        <v>NO 1 AMSF</v>
      </c>
      <c r="W3545" s="1"/>
    </row>
    <row r="3546" customHeight="1" spans="1:23">
      <c r="A3546" s="3">
        <f>IFERROR(__xludf.DUMMYFUNCTION("""COMPUTED_VALUE"""),46319)</f>
        <v>46319</v>
      </c>
      <c r="B3546" s="1" t="str">
        <f>IFERROR(__xludf.DUMMYFUNCTION("""COMPUTED_VALUE"""),"ALINGARO, CINDY")</f>
        <v>ALINGARO, CINDY</v>
      </c>
      <c r="C3546" s="1" t="str">
        <f>IFERROR(__xludf.DUMMYFUNCTION("""COMPUTED_VALUE"""),"ORGANIC")</f>
        <v>ORGANIC</v>
      </c>
      <c r="D3546" s="1" t="str">
        <f>IFERROR(__xludf.DUMMYFUNCTION("""COMPUTED_VALUE"""),"REMOLLO LEA")</f>
        <v>REMOLLO LEA</v>
      </c>
      <c r="E3546" s="1" t="str">
        <f>IFERROR(__xludf.DUMMYFUNCTION("""COMPUTED_VALUE"""),"PLDT / H2H")</f>
        <v>PLDT / H2H</v>
      </c>
      <c r="F3546" s="1"/>
      <c r="G3546" s="1">
        <f>IFERROR(__xludf.DUMMYFUNCTION("""COMPUTED_VALUE"""),2313347888)</f>
        <v>2313347888</v>
      </c>
      <c r="H3546" s="1" t="str">
        <f>IFERROR(__xludf.DUMMYFUNCTION("""COMPUTED_VALUE"""),"476922633004")</f>
        <v>476922633004</v>
      </c>
      <c r="I3546" s="1">
        <f>IFERROR(__xludf.DUMMYFUNCTION("""COMPUTED_VALUE"""),639925139255)</f>
        <v>639925139255</v>
      </c>
      <c r="J3546" s="1">
        <f>IFERROR(__xludf.DUMMYFUNCTION("""COMPUTED_VALUE"""),639109908435)</f>
        <v>639109908435</v>
      </c>
      <c r="K3546" s="1"/>
      <c r="L3546" s="1" t="str">
        <f>IFERROR(__xludf.DUMMYFUNCTION("""COMPUTED_VALUE"""),"9183")</f>
        <v>9183</v>
      </c>
      <c r="M3546" s="1" t="str">
        <f>IFERROR(__xludf.DUMMYFUNCTION("""COMPUTED_VALUE"""),"GENERAL EMILIO AGUINALDO")</f>
        <v>GENERAL EMILIO AGUINALDO</v>
      </c>
      <c r="N3546" s="1"/>
      <c r="O3546" s="1" t="str">
        <f>IFERROR(__xludf.DUMMYFUNCTION("""COMPUTED_VALUE"""),"BUHO")</f>
        <v>BUHO</v>
      </c>
      <c r="P3546" s="1" t="str">
        <f>IFERROR(__xludf.DUMMYFUNCTION("""COMPUTED_VALUE"""),"SILANG")</f>
        <v>SILANG</v>
      </c>
      <c r="Q3546" s="1" t="str">
        <f>IFERROR(__xludf.DUMMYFUNCTION("""COMPUTED_VALUE"""),"CAVITE")</f>
        <v>CAVITE</v>
      </c>
      <c r="R3546" s="1" t="str">
        <f>IFERROR(__xludf.DUMMYFUNCTION("""COMPUTED_VALUE"""),"FIBER UNLI PLAN 1399")</f>
        <v>FIBER UNLI PLAN 1399</v>
      </c>
      <c r="S3546" s="1" t="str">
        <f>IFERROR(__xludf.DUMMYFUNCTION("""COMPUTED_VALUE"""),"APPROVED")</f>
        <v>APPROVED</v>
      </c>
      <c r="T3546" s="1" t="str">
        <f>IFERROR(__xludf.DUMMYFUNCTION("""COMPUTED_VALUE"""),"RPR")</f>
        <v>RPR</v>
      </c>
      <c r="U3546" s="1" t="str">
        <f>IFERROR(__xludf.DUMMYFUNCTION("""COMPUTED_VALUE"""),"RPR- SUBS CANCEL REQUEST")</f>
        <v>RPR- SUBS CANCEL REQUEST</v>
      </c>
      <c r="V3546" s="1"/>
      <c r="W3546" s="1"/>
    </row>
    <row r="3547" customHeight="1" spans="1:23">
      <c r="A3547" s="3">
        <f>IFERROR(__xludf.DUMMYFUNCTION("""COMPUTED_VALUE"""),46319)</f>
        <v>46319</v>
      </c>
      <c r="B3547" s="1" t="str">
        <f>IFERROR(__xludf.DUMMYFUNCTION("""COMPUTED_VALUE"""),"MAGDARAOG, KENNETH")</f>
        <v>MAGDARAOG, KENNETH</v>
      </c>
      <c r="C3547" s="1" t="str">
        <f>IFERROR(__xludf.DUMMYFUNCTION("""COMPUTED_VALUE"""),"ORGANIC")</f>
        <v>ORGANIC</v>
      </c>
      <c r="D3547" s="1" t="str">
        <f>IFERROR(__xludf.DUMMYFUNCTION("""COMPUTED_VALUE"""),"REMOLLO LEA")</f>
        <v>REMOLLO LEA</v>
      </c>
      <c r="E3547" s="1" t="str">
        <f>IFERROR(__xludf.DUMMYFUNCTION("""COMPUTED_VALUE"""),"PLDT / H2H")</f>
        <v>PLDT / H2H</v>
      </c>
      <c r="F3547" s="1"/>
      <c r="G3547" s="1">
        <f>IFERROR(__xludf.DUMMYFUNCTION("""COMPUTED_VALUE"""),2313348295)</f>
        <v>2313348295</v>
      </c>
      <c r="H3547" s="1" t="str">
        <f>IFERROR(__xludf.DUMMYFUNCTION("""COMPUTED_VALUE"""),"476922881004")</f>
        <v>476922881004</v>
      </c>
      <c r="I3547" s="1">
        <f>IFERROR(__xludf.DUMMYFUNCTION("""COMPUTED_VALUE"""),639691458693)</f>
        <v>639691458693</v>
      </c>
      <c r="J3547" s="1"/>
      <c r="K3547" s="1"/>
      <c r="L3547" s="1" t="str">
        <f>IFERROR(__xludf.DUMMYFUNCTION("""COMPUTED_VALUE"""),"42")</f>
        <v>42</v>
      </c>
      <c r="M3547" s="1" t="str">
        <f>IFERROR(__xludf.DUMMYFUNCTION("""COMPUTED_VALUE"""),"PHASE 4")</f>
        <v>PHASE 4</v>
      </c>
      <c r="N3547" s="1"/>
      <c r="O3547" s="1" t="str">
        <f>IFERROR(__xludf.DUMMYFUNCTION("""COMPUTED_VALUE"""),"PALIPARAN III")</f>
        <v>PALIPARAN III</v>
      </c>
      <c r="P3547" s="1" t="str">
        <f>IFERROR(__xludf.DUMMYFUNCTION("""COMPUTED_VALUE"""),"DASMARINAS")</f>
        <v>DASMARINAS</v>
      </c>
      <c r="Q3547" s="1" t="str">
        <f>IFERROR(__xludf.DUMMYFUNCTION("""COMPUTED_VALUE"""),"CAVITE")</f>
        <v>CAVITE</v>
      </c>
      <c r="R3547" s="1" t="str">
        <f>IFERROR(__xludf.DUMMYFUNCTION("""COMPUTED_VALUE"""),"FIBR UNLI ALL PLAN 999")</f>
        <v>FIBR UNLI ALL PLAN 999</v>
      </c>
      <c r="S3547" s="1" t="str">
        <f>IFERROR(__xludf.DUMMYFUNCTION("""COMPUTED_VALUE"""),"APPROVED")</f>
        <v>APPROVED</v>
      </c>
      <c r="T3547" s="1" t="str">
        <f>IFERROR(__xludf.DUMMYFUNCTION("""COMPUTED_VALUE"""),"FOR PAYMENT")</f>
        <v>FOR PAYMENT</v>
      </c>
      <c r="U3547" s="1" t="str">
        <f>IFERROR(__xludf.DUMMYFUNCTION("""COMPUTED_VALUE"""),"FOR PAYMENT - FOR CALL OUT")</f>
        <v>FOR PAYMENT - FOR CALL OUT</v>
      </c>
      <c r="V3547" s="1"/>
      <c r="W3547" s="1"/>
    </row>
    <row r="3548" customHeight="1" spans="1:23">
      <c r="A3548" s="3">
        <f>IFERROR(__xludf.DUMMYFUNCTION("""COMPUTED_VALUE"""),46319)</f>
        <v>46319</v>
      </c>
      <c r="B3548" s="1" t="str">
        <f>IFERROR(__xludf.DUMMYFUNCTION("""COMPUTED_VALUE"""),"MERCADO, MARK ANTHONY")</f>
        <v>MERCADO, MARK ANTHONY</v>
      </c>
      <c r="C3548" s="1" t="str">
        <f>IFERROR(__xludf.DUMMYFUNCTION("""COMPUTED_VALUE"""),"ORGANIC")</f>
        <v>ORGANIC</v>
      </c>
      <c r="D3548" s="1" t="str">
        <f>IFERROR(__xludf.DUMMYFUNCTION("""COMPUTED_VALUE"""),"REMOLLO LEA")</f>
        <v>REMOLLO LEA</v>
      </c>
      <c r="E3548" s="1" t="str">
        <f>IFERROR(__xludf.DUMMYFUNCTION("""COMPUTED_VALUE"""),"PLDT / H2H")</f>
        <v>PLDT / H2H</v>
      </c>
      <c r="F3548" s="1"/>
      <c r="G3548" s="1">
        <f>IFERROR(__xludf.DUMMYFUNCTION("""COMPUTED_VALUE"""),2313350590)</f>
        <v>2313350590</v>
      </c>
      <c r="H3548" s="1" t="str">
        <f>IFERROR(__xludf.DUMMYFUNCTION("""COMPUTED_VALUE"""),"476927778004")</f>
        <v>476927778004</v>
      </c>
      <c r="I3548" s="1">
        <f>IFERROR(__xludf.DUMMYFUNCTION("""COMPUTED_VALUE"""),639944685251)</f>
        <v>639944685251</v>
      </c>
      <c r="J3548" s="1"/>
      <c r="K3548" s="1"/>
      <c r="L3548" s="1" t="str">
        <f>IFERROR(__xludf.DUMMYFUNCTION("""COMPUTED_VALUE"""),"69")</f>
        <v>69</v>
      </c>
      <c r="M3548" s="1" t="str">
        <f>IFERROR(__xludf.DUMMYFUNCTION("""COMPUTED_VALUE"""),"BILOG")</f>
        <v>BILOG</v>
      </c>
      <c r="N3548" s="1"/>
      <c r="O3548" s="1" t="str">
        <f>IFERROR(__xludf.DUMMYFUNCTION("""COMPUTED_VALUE"""),"BILOG")</f>
        <v>BILOG</v>
      </c>
      <c r="P3548" s="1" t="str">
        <f>IFERROR(__xludf.DUMMYFUNCTION("""COMPUTED_VALUE"""),"ALFONSO")</f>
        <v>ALFONSO</v>
      </c>
      <c r="Q3548" s="1" t="str">
        <f>IFERROR(__xludf.DUMMYFUNCTION("""COMPUTED_VALUE"""),"CAVITE")</f>
        <v>CAVITE</v>
      </c>
      <c r="R3548" s="1" t="str">
        <f>IFERROR(__xludf.DUMMYFUNCTION("""COMPUTED_VALUE"""),"FIBER UNLI PLAN 1399")</f>
        <v>FIBER UNLI PLAN 1399</v>
      </c>
      <c r="S3548" s="1" t="str">
        <f>IFERROR(__xludf.DUMMYFUNCTION("""COMPUTED_VALUE"""),"APPROVED")</f>
        <v>APPROVED</v>
      </c>
      <c r="T3548" s="1" t="str">
        <f>IFERROR(__xludf.DUMMYFUNCTION("""COMPUTED_VALUE"""),"FOR PAYMENT")</f>
        <v>FOR PAYMENT</v>
      </c>
      <c r="U3548" s="1" t="str">
        <f>IFERROR(__xludf.DUMMYFUNCTION("""COMPUTED_VALUE"""),"FOR PAYMENT - FOR CALL OUT")</f>
        <v>FOR PAYMENT - FOR CALL OUT</v>
      </c>
      <c r="V3548" s="1"/>
      <c r="W3548" s="1"/>
    </row>
    <row r="3549" customHeight="1" spans="1:23">
      <c r="A3549" s="3">
        <f>IFERROR(__xludf.DUMMYFUNCTION("""COMPUTED_VALUE"""),46319)</f>
        <v>46319</v>
      </c>
      <c r="B3549" s="1" t="str">
        <f>IFERROR(__xludf.DUMMYFUNCTION("""COMPUTED_VALUE"""),"GABAY, MANUEL")</f>
        <v>GABAY, MANUEL</v>
      </c>
      <c r="C3549" s="1" t="str">
        <f>IFERROR(__xludf.DUMMYFUNCTION("""COMPUTED_VALUE"""),"FLA")</f>
        <v>FLA</v>
      </c>
      <c r="D3549" s="1" t="str">
        <f>IFERROR(__xludf.DUMMYFUNCTION("""COMPUTED_VALUE"""),"JERIC NAVARRO")</f>
        <v>JERIC NAVARRO</v>
      </c>
      <c r="E3549" s="1" t="str">
        <f>IFERROR(__xludf.DUMMYFUNCTION("""COMPUTED_VALUE"""),"PLDT / H2H")</f>
        <v>PLDT / H2H</v>
      </c>
      <c r="F3549" s="1"/>
      <c r="G3549" s="1">
        <f>IFERROR(__xludf.DUMMYFUNCTION("""COMPUTED_VALUE"""),2313350860)</f>
        <v>2313350860</v>
      </c>
      <c r="H3549" s="1" t="str">
        <f>IFERROR(__xludf.DUMMYFUNCTION("""COMPUTED_VALUE"""),"476928471004")</f>
        <v>476928471004</v>
      </c>
      <c r="I3549" s="1">
        <f>IFERROR(__xludf.DUMMYFUNCTION("""COMPUTED_VALUE"""),639508950843)</f>
        <v>639508950843</v>
      </c>
      <c r="J3549" s="1"/>
      <c r="K3549" s="1"/>
      <c r="L3549" s="1" t="str">
        <f>IFERROR(__xludf.DUMMYFUNCTION("""COMPUTED_VALUE"""),"4690B")</f>
        <v>4690B</v>
      </c>
      <c r="M3549" s="1" t="str">
        <f>IFERROR(__xludf.DUMMYFUNCTION("""COMPUTED_VALUE"""),"LUKSUHIN-MANGAS")</f>
        <v>LUKSUHIN-MANGAS</v>
      </c>
      <c r="N3549" s="1"/>
      <c r="O3549" s="1" t="str">
        <f>IFERROR(__xludf.DUMMYFUNCTION("""COMPUTED_VALUE"""),"MANGAS I")</f>
        <v>MANGAS I</v>
      </c>
      <c r="P3549" s="1" t="str">
        <f>IFERROR(__xludf.DUMMYFUNCTION("""COMPUTED_VALUE"""),"ALFONSO")</f>
        <v>ALFONSO</v>
      </c>
      <c r="Q3549" s="1" t="str">
        <f>IFERROR(__xludf.DUMMYFUNCTION("""COMPUTED_VALUE"""),"CAVITE")</f>
        <v>CAVITE</v>
      </c>
      <c r="R3549" s="1" t="str">
        <f>IFERROR(__xludf.DUMMYFUNCTION("""COMPUTED_VALUE"""),"FIBER UNLI PLAN 1399")</f>
        <v>FIBER UNLI PLAN 1399</v>
      </c>
      <c r="S3549" s="1" t="str">
        <f>IFERROR(__xludf.DUMMYFUNCTION("""COMPUTED_VALUE"""),"APPROVED")</f>
        <v>APPROVED</v>
      </c>
      <c r="T3549" s="1" t="str">
        <f>IFERROR(__xludf.DUMMYFUNCTION("""COMPUTED_VALUE"""),"CLOSED")</f>
        <v>CLOSED</v>
      </c>
      <c r="U3549" s="1" t="str">
        <f>IFERROR(__xludf.DUMMYFUNCTION("""COMPUTED_VALUE"""),"POSTED")</f>
        <v>POSTED</v>
      </c>
      <c r="V3549" s="1"/>
      <c r="W3549" s="1"/>
    </row>
    <row r="3550" customHeight="1" spans="1:23">
      <c r="A3550" s="3">
        <f>IFERROR(__xludf.DUMMYFUNCTION("""COMPUTED_VALUE"""),46319)</f>
        <v>46319</v>
      </c>
      <c r="B3550" s="1" t="str">
        <f>IFERROR(__xludf.DUMMYFUNCTION("""COMPUTED_VALUE"""),"LOPEZ, JENIELYN")</f>
        <v>LOPEZ, JENIELYN</v>
      </c>
      <c r="C3550" s="1" t="str">
        <f>IFERROR(__xludf.DUMMYFUNCTION("""COMPUTED_VALUE"""),"ORGANIC")</f>
        <v>ORGANIC</v>
      </c>
      <c r="D3550" s="1" t="str">
        <f>IFERROR(__xludf.DUMMYFUNCTION("""COMPUTED_VALUE"""),"REMOLLO LEA")</f>
        <v>REMOLLO LEA</v>
      </c>
      <c r="E3550" s="1" t="str">
        <f>IFERROR(__xludf.DUMMYFUNCTION("""COMPUTED_VALUE"""),"PLDT / H2H")</f>
        <v>PLDT / H2H</v>
      </c>
      <c r="F3550" s="1"/>
      <c r="G3550" s="1">
        <f>IFERROR(__xludf.DUMMYFUNCTION("""COMPUTED_VALUE"""),2313351381)</f>
        <v>2313351381</v>
      </c>
      <c r="H3550" s="1" t="str">
        <f>IFERROR(__xludf.DUMMYFUNCTION("""COMPUTED_VALUE"""),"476931246004")</f>
        <v>476931246004</v>
      </c>
      <c r="I3550" s="1">
        <f>IFERROR(__xludf.DUMMYFUNCTION("""COMPUTED_VALUE"""),639667068010)</f>
        <v>639667068010</v>
      </c>
      <c r="J3550" s="1"/>
      <c r="K3550" s="1"/>
      <c r="L3550" s="1" t="str">
        <f>IFERROR(__xludf.DUMMYFUNCTION("""COMPUTED_VALUE"""),"512")</f>
        <v>512</v>
      </c>
      <c r="M3550" s="1" t="str">
        <f>IFERROR(__xludf.DUMMYFUNCTION("""COMPUTED_VALUE"""),"MAGUYAM")</f>
        <v>MAGUYAM</v>
      </c>
      <c r="N3550" s="1"/>
      <c r="O3550" s="1" t="str">
        <f>IFERROR(__xludf.DUMMYFUNCTION("""COMPUTED_VALUE"""),"MAGUYAM")</f>
        <v>MAGUYAM</v>
      </c>
      <c r="P3550" s="1" t="str">
        <f>IFERROR(__xludf.DUMMYFUNCTION("""COMPUTED_VALUE"""),"SILANG")</f>
        <v>SILANG</v>
      </c>
      <c r="Q3550" s="1" t="str">
        <f>IFERROR(__xludf.DUMMYFUNCTION("""COMPUTED_VALUE"""),"CAVITE")</f>
        <v>CAVITE</v>
      </c>
      <c r="R3550" s="1" t="str">
        <f>IFERROR(__xludf.DUMMYFUNCTION("""COMPUTED_VALUE"""),"FIBR UNLI ALL PLAN 999")</f>
        <v>FIBR UNLI ALL PLAN 999</v>
      </c>
      <c r="S3550" s="1" t="str">
        <f>IFERROR(__xludf.DUMMYFUNCTION("""COMPUTED_VALUE"""),"APPROVED")</f>
        <v>APPROVED</v>
      </c>
      <c r="T3550" s="1" t="str">
        <f>IFERROR(__xludf.DUMMYFUNCTION("""COMPUTED_VALUE"""),"FOR PAYMENT")</f>
        <v>FOR PAYMENT</v>
      </c>
      <c r="U3550" s="1" t="str">
        <f>IFERROR(__xludf.DUMMYFUNCTION("""COMPUTED_VALUE"""),"FOR PAYMENT - FOR CALL OUT")</f>
        <v>FOR PAYMENT - FOR CALL OUT</v>
      </c>
      <c r="V3550" s="1"/>
      <c r="W3550" s="1"/>
    </row>
    <row r="3551" customHeight="1" spans="1:23">
      <c r="A3551" s="3">
        <f>IFERROR(__xludf.DUMMYFUNCTION("""COMPUTED_VALUE"""),46319)</f>
        <v>46319</v>
      </c>
      <c r="B3551" s="1" t="str">
        <f>IFERROR(__xludf.DUMMYFUNCTION("""COMPUTED_VALUE"""),"TAMAYO, MARY ROSE")</f>
        <v>TAMAYO, MARY ROSE</v>
      </c>
      <c r="C3551" s="1" t="str">
        <f>IFERROR(__xludf.DUMMYFUNCTION("""COMPUTED_VALUE"""),"ORGANIC")</f>
        <v>ORGANIC</v>
      </c>
      <c r="D3551" s="1" t="str">
        <f>IFERROR(__xludf.DUMMYFUNCTION("""COMPUTED_VALUE"""),"REMOLLO LEA")</f>
        <v>REMOLLO LEA</v>
      </c>
      <c r="E3551" s="1" t="str">
        <f>IFERROR(__xludf.DUMMYFUNCTION("""COMPUTED_VALUE"""),"PLDT / H2H")</f>
        <v>PLDT / H2H</v>
      </c>
      <c r="F3551" s="1"/>
      <c r="G3551" s="1">
        <f>IFERROR(__xludf.DUMMYFUNCTION("""COMPUTED_VALUE"""),2313352131)</f>
        <v>2313352131</v>
      </c>
      <c r="H3551" s="1"/>
      <c r="I3551" s="1">
        <f>IFERROR(__xludf.DUMMYFUNCTION("""COMPUTED_VALUE"""),639127385280)</f>
        <v>639127385280</v>
      </c>
      <c r="J3551" s="1">
        <f>IFERROR(__xludf.DUMMYFUNCTION("""COMPUTED_VALUE"""),639925153323)</f>
        <v>639925153323</v>
      </c>
      <c r="K3551" s="1"/>
      <c r="L3551" s="1" t="str">
        <f>IFERROR(__xludf.DUMMYFUNCTION("""COMPUTED_VALUE"""),"9009")</f>
        <v>9009</v>
      </c>
      <c r="M3551" s="1" t="str">
        <f>IFERROR(__xludf.DUMMYFUNCTION("""COMPUTED_VALUE"""),"SAN PEDRO")</f>
        <v>SAN PEDRO</v>
      </c>
      <c r="N3551" s="1"/>
      <c r="O3551" s="1" t="str">
        <f>IFERROR(__xludf.DUMMYFUNCTION("""COMPUTED_VALUE"""),"CABILANG BAYBAY")</f>
        <v>CABILANG BAYBAY</v>
      </c>
      <c r="P3551" s="1" t="str">
        <f>IFERROR(__xludf.DUMMYFUNCTION("""COMPUTED_VALUE"""),"CARMONA")</f>
        <v>CARMONA</v>
      </c>
      <c r="Q3551" s="1" t="str">
        <f>IFERROR(__xludf.DUMMYFUNCTION("""COMPUTED_VALUE"""),"CAVITE")</f>
        <v>CAVITE</v>
      </c>
      <c r="R3551" s="1" t="str">
        <f>IFERROR(__xludf.DUMMYFUNCTION("""COMPUTED_VALUE"""),"FIBER UNLI PLAN 1399")</f>
        <v>FIBER UNLI PLAN 1399</v>
      </c>
      <c r="S3551" s="1" t="str">
        <f>IFERROR(__xludf.DUMMYFUNCTION("""COMPUTED_VALUE"""),"APPROVED")</f>
        <v>APPROVED</v>
      </c>
      <c r="T3551" s="1" t="str">
        <f>IFERROR(__xludf.DUMMYFUNCTION("""COMPUTED_VALUE"""),"ESCALATED TO CVA A")</f>
        <v>ESCALATED TO CVA A</v>
      </c>
      <c r="U3551" s="1" t="str">
        <f>IFERROR(__xludf.DUMMYFUNCTION("""COMPUTED_VALUE"""),"CREDIT VALIDATION")</f>
        <v>CREDIT VALIDATION</v>
      </c>
      <c r="V3551" s="1"/>
      <c r="W3551" s="1"/>
    </row>
    <row r="3552" customHeight="1" spans="1:23">
      <c r="A3552" s="3">
        <f>IFERROR(__xludf.DUMMYFUNCTION("""COMPUTED_VALUE"""),46319)</f>
        <v>46319</v>
      </c>
      <c r="B3552" s="1" t="str">
        <f>IFERROR(__xludf.DUMMYFUNCTION("""COMPUTED_VALUE"""),"GABAY, MANUEL")</f>
        <v>GABAY, MANUEL</v>
      </c>
      <c r="C3552" s="1" t="str">
        <f>IFERROR(__xludf.DUMMYFUNCTION("""COMPUTED_VALUE"""),"FLA")</f>
        <v>FLA</v>
      </c>
      <c r="D3552" s="1" t="str">
        <f>IFERROR(__xludf.DUMMYFUNCTION("""COMPUTED_VALUE"""),"JERIC NAVARRO")</f>
        <v>JERIC NAVARRO</v>
      </c>
      <c r="E3552" s="1" t="str">
        <f>IFERROR(__xludf.DUMMYFUNCTION("""COMPUTED_VALUE"""),"PLDT / H2H")</f>
        <v>PLDT / H2H</v>
      </c>
      <c r="F3552" s="1"/>
      <c r="G3552" s="1">
        <f>IFERROR(__xludf.DUMMYFUNCTION("""COMPUTED_VALUE"""),2313352469)</f>
        <v>2313352469</v>
      </c>
      <c r="H3552" s="1" t="str">
        <f>IFERROR(__xludf.DUMMYFUNCTION("""COMPUTED_VALUE"""),"476932194004")</f>
        <v>476932194004</v>
      </c>
      <c r="I3552" s="1">
        <f>IFERROR(__xludf.DUMMYFUNCTION("""COMPUTED_VALUE"""),639245339940)</f>
        <v>639245339940</v>
      </c>
      <c r="J3552" s="1">
        <f>IFERROR(__xludf.DUMMYFUNCTION("""COMPUTED_VALUE"""),639508950843)</f>
        <v>639508950843</v>
      </c>
      <c r="K3552" s="1"/>
      <c r="L3552" s="1" t="str">
        <f>IFERROR(__xludf.DUMMYFUNCTION("""COMPUTED_VALUE"""),"4690")</f>
        <v>4690</v>
      </c>
      <c r="M3552" s="1" t="str">
        <f>IFERROR(__xludf.DUMMYFUNCTION("""COMPUTED_VALUE"""),"LUKSUHIN-MANGAS")</f>
        <v>LUKSUHIN-MANGAS</v>
      </c>
      <c r="N3552" s="1"/>
      <c r="O3552" s="1" t="str">
        <f>IFERROR(__xludf.DUMMYFUNCTION("""COMPUTED_VALUE"""),"MANGAS I")</f>
        <v>MANGAS I</v>
      </c>
      <c r="P3552" s="1" t="str">
        <f>IFERROR(__xludf.DUMMYFUNCTION("""COMPUTED_VALUE"""),"ALFONSO")</f>
        <v>ALFONSO</v>
      </c>
      <c r="Q3552" s="1" t="str">
        <f>IFERROR(__xludf.DUMMYFUNCTION("""COMPUTED_VALUE"""),"CAVITE")</f>
        <v>CAVITE</v>
      </c>
      <c r="R3552" s="1" t="str">
        <f>IFERROR(__xludf.DUMMYFUNCTION("""COMPUTED_VALUE"""),"FIBER UNLI PLAN 1399")</f>
        <v>FIBER UNLI PLAN 1399</v>
      </c>
      <c r="S3552" s="1" t="str">
        <f>IFERROR(__xludf.DUMMYFUNCTION("""COMPUTED_VALUE"""),"APPROVED")</f>
        <v>APPROVED</v>
      </c>
      <c r="T3552" s="1" t="str">
        <f>IFERROR(__xludf.DUMMYFUNCTION("""COMPUTED_VALUE"""),"ORDER IN PROGRESS")</f>
        <v>ORDER IN PROGRESS</v>
      </c>
      <c r="U3552" s="1" t="str">
        <f>IFERROR(__xludf.DUMMYFUNCTION("""COMPUTED_VALUE"""),"OPEN")</f>
        <v>OPEN</v>
      </c>
      <c r="V3552" s="1"/>
      <c r="W3552" s="1"/>
    </row>
    <row r="3553" customHeight="1" spans="1:23">
      <c r="A3553" s="3">
        <f>IFERROR(__xludf.DUMMYFUNCTION("""COMPUTED_VALUE"""),46319)</f>
        <v>46319</v>
      </c>
      <c r="B3553" s="1" t="str">
        <f>IFERROR(__xludf.DUMMYFUNCTION("""COMPUTED_VALUE"""),"MALIWAT MARK ELVIN")</f>
        <v>MALIWAT MARK ELVIN</v>
      </c>
      <c r="C3553" s="1" t="str">
        <f>IFERROR(__xludf.DUMMYFUNCTION("""COMPUTED_VALUE"""),"FLA")</f>
        <v>FLA</v>
      </c>
      <c r="D3553" s="1" t="str">
        <f>IFERROR(__xludf.DUMMYFUNCTION("""COMPUTED_VALUE"""),"JERIC NAVARRO")</f>
        <v>JERIC NAVARRO</v>
      </c>
      <c r="E3553" s="1" t="str">
        <f>IFERROR(__xludf.DUMMYFUNCTION("""COMPUTED_VALUE"""),"PLDT / H2H")</f>
        <v>PLDT / H2H</v>
      </c>
      <c r="F3553" s="1"/>
      <c r="G3553" s="1">
        <f>IFERROR(__xludf.DUMMYFUNCTION("""COMPUTED_VALUE"""),2313352826)</f>
        <v>2313352826</v>
      </c>
      <c r="H3553" s="1"/>
      <c r="I3553" s="1">
        <f>IFERROR(__xludf.DUMMYFUNCTION("""COMPUTED_VALUE"""),639648826201)</f>
        <v>639648826201</v>
      </c>
      <c r="J3553" s="1">
        <f>IFERROR(__xludf.DUMMYFUNCTION("""COMPUTED_VALUE"""),639941090747)</f>
        <v>639941090747</v>
      </c>
      <c r="K3553" s="1"/>
      <c r="L3553" s="1" t="str">
        <f>IFERROR(__xludf.DUMMYFUNCTION("""COMPUTED_VALUE"""),"38")</f>
        <v>38</v>
      </c>
      <c r="M3553" s="1" t="str">
        <f>IFERROR(__xludf.DUMMYFUNCTION("""COMPUTED_VALUE"""),"MARAHAN 2")</f>
        <v>MARAHAN 2</v>
      </c>
      <c r="N3553" s="1"/>
      <c r="O3553" s="1" t="str">
        <f>IFERROR(__xludf.DUMMYFUNCTION("""COMPUTED_VALUE"""),"MARAHAN II")</f>
        <v>MARAHAN II</v>
      </c>
      <c r="P3553" s="1" t="str">
        <f>IFERROR(__xludf.DUMMYFUNCTION("""COMPUTED_VALUE"""),"ALFONSO")</f>
        <v>ALFONSO</v>
      </c>
      <c r="Q3553" s="1" t="str">
        <f>IFERROR(__xludf.DUMMYFUNCTION("""COMPUTED_VALUE"""),"CAVITE")</f>
        <v>CAVITE</v>
      </c>
      <c r="R3553" s="1" t="str">
        <f>IFERROR(__xludf.DUMMYFUNCTION("""COMPUTED_VALUE"""),"FIBER UNLI PLAN 1399")</f>
        <v>FIBER UNLI PLAN 1399</v>
      </c>
      <c r="S3553" s="1" t="str">
        <f>IFERROR(__xludf.DUMMYFUNCTION("""COMPUTED_VALUE"""),"APPROVED")</f>
        <v>APPROVED</v>
      </c>
      <c r="T3553" s="1" t="str">
        <f>IFERROR(__xludf.DUMMYFUNCTION("""COMPUTED_VALUE"""),"ESCALATED TO CVA A")</f>
        <v>ESCALATED TO CVA A</v>
      </c>
      <c r="U3553" s="1" t="str">
        <f>IFERROR(__xludf.DUMMYFUNCTION("""COMPUTED_VALUE"""),"CREDIT VALIDATION")</f>
        <v>CREDIT VALIDATION</v>
      </c>
      <c r="V3553" s="1"/>
      <c r="W3553" s="1"/>
    </row>
    <row r="3554" customHeight="1" spans="1:23">
      <c r="A3554" s="3">
        <f>IFERROR(__xludf.DUMMYFUNCTION("""COMPUTED_VALUE"""),46319)</f>
        <v>46319</v>
      </c>
      <c r="B3554" s="1" t="str">
        <f>IFERROR(__xludf.DUMMYFUNCTION("""COMPUTED_VALUE"""),"ARIENA, LYKA")</f>
        <v>ARIENA, LYKA</v>
      </c>
      <c r="C3554" s="1" t="str">
        <f>IFERROR(__xludf.DUMMYFUNCTION("""COMPUTED_VALUE"""),"ORGANIC")</f>
        <v>ORGANIC</v>
      </c>
      <c r="D3554" s="1" t="str">
        <f>IFERROR(__xludf.DUMMYFUNCTION("""COMPUTED_VALUE"""),"REMOLLO LEA")</f>
        <v>REMOLLO LEA</v>
      </c>
      <c r="E3554" s="1" t="str">
        <f>IFERROR(__xludf.DUMMYFUNCTION("""COMPUTED_VALUE"""),"PLDT / H2H")</f>
        <v>PLDT / H2H</v>
      </c>
      <c r="F3554" s="1"/>
      <c r="G3554" s="1">
        <f>IFERROR(__xludf.DUMMYFUNCTION("""COMPUTED_VALUE"""),2313353248)</f>
        <v>2313353248</v>
      </c>
      <c r="H3554" s="1" t="str">
        <f>IFERROR(__xludf.DUMMYFUNCTION("""COMPUTED_VALUE"""),"476935417004")</f>
        <v>476935417004</v>
      </c>
      <c r="I3554" s="1">
        <f>IFERROR(__xludf.DUMMYFUNCTION("""COMPUTED_VALUE"""),639463138028)</f>
        <v>639463138028</v>
      </c>
      <c r="J3554" s="1"/>
      <c r="K3554" s="1"/>
      <c r="L3554" s="1" t="str">
        <f>IFERROR(__xludf.DUMMYFUNCTION("""COMPUTED_VALUE"""),"211")</f>
        <v>211</v>
      </c>
      <c r="M3554" s="1" t="str">
        <f>IFERROR(__xludf.DUMMYFUNCTION("""COMPUTED_VALUE"""),"AGUINALDO")</f>
        <v>AGUINALDO</v>
      </c>
      <c r="N3554" s="1"/>
      <c r="O3554" s="1" t="str">
        <f>IFERROR(__xludf.DUMMYFUNCTION("""COMPUTED_VALUE"""),"BIGA II")</f>
        <v>BIGA II</v>
      </c>
      <c r="P3554" s="1" t="str">
        <f>IFERROR(__xludf.DUMMYFUNCTION("""COMPUTED_VALUE"""),"SILANG")</f>
        <v>SILANG</v>
      </c>
      <c r="Q3554" s="1" t="str">
        <f>IFERROR(__xludf.DUMMYFUNCTION("""COMPUTED_VALUE"""),"CAVITE")</f>
        <v>CAVITE</v>
      </c>
      <c r="R3554" s="1" t="str">
        <f>IFERROR(__xludf.DUMMYFUNCTION("""COMPUTED_VALUE"""),"FIBER UNLI ALL PLAN 1499")</f>
        <v>FIBER UNLI ALL PLAN 1499</v>
      </c>
      <c r="S3554" s="1" t="str">
        <f>IFERROR(__xludf.DUMMYFUNCTION("""COMPUTED_VALUE"""),"APPROVED")</f>
        <v>APPROVED</v>
      </c>
      <c r="T3554" s="1" t="str">
        <f>IFERROR(__xludf.DUMMYFUNCTION("""COMPUTED_VALUE"""),"PAID")</f>
        <v>PAID</v>
      </c>
      <c r="U3554" s="1" t="str">
        <f>IFERROR(__xludf.DUMMYFUNCTION("""COMPUTED_VALUE"""),"PAID - FOR INSTALLATION")</f>
        <v>PAID - FOR INSTALLATION</v>
      </c>
      <c r="V3554" s="1"/>
      <c r="W3554" s="1"/>
    </row>
    <row r="3555" customHeight="1" spans="1:23">
      <c r="A3555" s="3">
        <f>IFERROR(__xludf.DUMMYFUNCTION("""COMPUTED_VALUE"""),46319)</f>
        <v>46319</v>
      </c>
      <c r="B3555" s="1" t="str">
        <f>IFERROR(__xludf.DUMMYFUNCTION("""COMPUTED_VALUE"""),"BAQUIT ,JAZMIN")</f>
        <v>BAQUIT ,JAZMIN</v>
      </c>
      <c r="C3555" s="1" t="str">
        <f>IFERROR(__xludf.DUMMYFUNCTION("""COMPUTED_VALUE"""),"ORGANIC")</f>
        <v>ORGANIC</v>
      </c>
      <c r="D3555" s="1" t="str">
        <f>IFERROR(__xludf.DUMMYFUNCTION("""COMPUTED_VALUE"""),"REMOLLO LEA")</f>
        <v>REMOLLO LEA</v>
      </c>
      <c r="E3555" s="1" t="str">
        <f>IFERROR(__xludf.DUMMYFUNCTION("""COMPUTED_VALUE"""),"PLDT / H2H")</f>
        <v>PLDT / H2H</v>
      </c>
      <c r="F3555" s="1"/>
      <c r="G3555" s="1">
        <f>IFERROR(__xludf.DUMMYFUNCTION("""COMPUTED_VALUE"""),2313354602)</f>
        <v>2313354602</v>
      </c>
      <c r="H3555" s="1"/>
      <c r="I3555" s="1">
        <f>IFERROR(__xludf.DUMMYFUNCTION("""COMPUTED_VALUE"""),639953004721)</f>
        <v>639953004721</v>
      </c>
      <c r="J3555" s="1"/>
      <c r="K3555" s="1"/>
      <c r="L3555" s="1" t="str">
        <f>IFERROR(__xludf.DUMMYFUNCTION("""COMPUTED_VALUE"""),"176")</f>
        <v>176</v>
      </c>
      <c r="M3555" s="1" t="str">
        <f>IFERROR(__xludf.DUMMYFUNCTION("""COMPUTED_VALUE"""),"VISAYA")</f>
        <v>VISAYA</v>
      </c>
      <c r="N3555" s="1"/>
      <c r="O3555" s="1" t="str">
        <f>IFERROR(__xludf.DUMMYFUNCTION("""COMPUTED_VALUE"""),"GAVINO MADERAN")</f>
        <v>GAVINO MADERAN</v>
      </c>
      <c r="P3555" s="1" t="str">
        <f>IFERROR(__xludf.DUMMYFUNCTION("""COMPUTED_VALUE"""),"GEN MARIANO ALVAREZ")</f>
        <v>GEN MARIANO ALVAREZ</v>
      </c>
      <c r="Q3555" s="1" t="str">
        <f>IFERROR(__xludf.DUMMYFUNCTION("""COMPUTED_VALUE"""),"CAVITE")</f>
        <v>CAVITE</v>
      </c>
      <c r="R3555" s="1" t="str">
        <f>IFERROR(__xludf.DUMMYFUNCTION("""COMPUTED_VALUE"""),"FIBER UNLI PLAN 1399")</f>
        <v>FIBER UNLI PLAN 1399</v>
      </c>
      <c r="S3555" s="1" t="str">
        <f>IFERROR(__xludf.DUMMYFUNCTION("""COMPUTED_VALUE"""),"APPROVED")</f>
        <v>APPROVED</v>
      </c>
      <c r="T3555" s="1" t="str">
        <f>IFERROR(__xludf.DUMMYFUNCTION("""COMPUTED_VALUE"""),"DUPLICATE SUBS INFO")</f>
        <v>DUPLICATE SUBS INFO</v>
      </c>
      <c r="U3555" s="1" t="str">
        <f>IFERROR(__xludf.DUMMYFUNCTION("""COMPUTED_VALUE"""),"SFS VALIDATION")</f>
        <v>SFS VALIDATION</v>
      </c>
      <c r="V3555" s="1"/>
      <c r="W3555" s="1"/>
    </row>
    <row r="3556" customHeight="1" spans="1:23">
      <c r="A3556" s="3">
        <f>IFERROR(__xludf.DUMMYFUNCTION("""COMPUTED_VALUE"""),46319)</f>
        <v>46319</v>
      </c>
      <c r="B3556" s="1" t="str">
        <f>IFERROR(__xludf.DUMMYFUNCTION("""COMPUTED_VALUE"""),"CORNELIO, CATHERINE")</f>
        <v>CORNELIO, CATHERINE</v>
      </c>
      <c r="C3556" s="1" t="str">
        <f>IFERROR(__xludf.DUMMYFUNCTION("""COMPUTED_VALUE"""),"ORGANIC")</f>
        <v>ORGANIC</v>
      </c>
      <c r="D3556" s="1" t="str">
        <f>IFERROR(__xludf.DUMMYFUNCTION("""COMPUTED_VALUE"""),"REMOLLO LEA")</f>
        <v>REMOLLO LEA</v>
      </c>
      <c r="E3556" s="1" t="str">
        <f>IFERROR(__xludf.DUMMYFUNCTION("""COMPUTED_VALUE"""),"PLDT / H2H")</f>
        <v>PLDT / H2H</v>
      </c>
      <c r="F3556" s="1"/>
      <c r="G3556" s="1">
        <f>IFERROR(__xludf.DUMMYFUNCTION("""COMPUTED_VALUE"""),2313355245)</f>
        <v>2313355245</v>
      </c>
      <c r="H3556" s="1"/>
      <c r="I3556" s="1">
        <f>IFERROR(__xludf.DUMMYFUNCTION("""COMPUTED_VALUE"""),639950217947)</f>
        <v>639950217947</v>
      </c>
      <c r="J3556" s="1"/>
      <c r="K3556" s="1"/>
      <c r="L3556" s="1" t="str">
        <f>IFERROR(__xludf.DUMMYFUNCTION("""COMPUTED_VALUE"""),"25")</f>
        <v>25</v>
      </c>
      <c r="M3556" s="1" t="str">
        <f>IFERROR(__xludf.DUMMYFUNCTION("""COMPUTED_VALUE"""),"PUROK 1")</f>
        <v>PUROK 1</v>
      </c>
      <c r="N3556" s="1"/>
      <c r="O3556" s="1" t="str">
        <f>IFERROR(__xludf.DUMMYFUNCTION("""COMPUTED_VALUE"""),"MALAKING TATYAO")</f>
        <v>MALAKING TATYAO</v>
      </c>
      <c r="P3556" s="1" t="str">
        <f>IFERROR(__xludf.DUMMYFUNCTION("""COMPUTED_VALUE"""),"SILANG")</f>
        <v>SILANG</v>
      </c>
      <c r="Q3556" s="1" t="str">
        <f>IFERROR(__xludf.DUMMYFUNCTION("""COMPUTED_VALUE"""),"CAVITE")</f>
        <v>CAVITE</v>
      </c>
      <c r="R3556" s="1" t="str">
        <f>IFERROR(__xludf.DUMMYFUNCTION("""COMPUTED_VALUE"""),"FIBER UNLI PLAN 1399")</f>
        <v>FIBER UNLI PLAN 1399</v>
      </c>
      <c r="S3556" s="1" t="str">
        <f>IFERROR(__xludf.DUMMYFUNCTION("""COMPUTED_VALUE"""),"APPROVED")</f>
        <v>APPROVED</v>
      </c>
      <c r="T3556" s="1" t="str">
        <f>IFERROR(__xludf.DUMMYFUNCTION("""COMPUTED_VALUE"""),"ESCALATED TO CVA A")</f>
        <v>ESCALATED TO CVA A</v>
      </c>
      <c r="U3556" s="1" t="str">
        <f>IFERROR(__xludf.DUMMYFUNCTION("""COMPUTED_VALUE"""),"CREDIT VALIDATION")</f>
        <v>CREDIT VALIDATION</v>
      </c>
      <c r="V3556" s="1"/>
      <c r="W3556" s="1"/>
    </row>
    <row r="3557" customHeight="1" spans="1:23">
      <c r="A3557" s="3">
        <f>IFERROR(__xludf.DUMMYFUNCTION("""COMPUTED_VALUE"""),46319)</f>
        <v>46319</v>
      </c>
      <c r="B3557" s="1" t="str">
        <f>IFERROR(__xludf.DUMMYFUNCTION("""COMPUTED_VALUE"""),"CORNELIO, CATHERINE")</f>
        <v>CORNELIO, CATHERINE</v>
      </c>
      <c r="C3557" s="1" t="str">
        <f>IFERROR(__xludf.DUMMYFUNCTION("""COMPUTED_VALUE"""),"ORGANIC")</f>
        <v>ORGANIC</v>
      </c>
      <c r="D3557" s="1" t="str">
        <f>IFERROR(__xludf.DUMMYFUNCTION("""COMPUTED_VALUE"""),"REMOLLO LEA")</f>
        <v>REMOLLO LEA</v>
      </c>
      <c r="E3557" s="1" t="str">
        <f>IFERROR(__xludf.DUMMYFUNCTION("""COMPUTED_VALUE"""),"PLDT / H2H")</f>
        <v>PLDT / H2H</v>
      </c>
      <c r="F3557" s="1"/>
      <c r="G3557" s="1">
        <f>IFERROR(__xludf.DUMMYFUNCTION("""COMPUTED_VALUE"""),2313359019)</f>
        <v>2313359019</v>
      </c>
      <c r="H3557" s="1"/>
      <c r="I3557" s="1">
        <f>IFERROR(__xludf.DUMMYFUNCTION("""COMPUTED_VALUE"""),639244821014)</f>
        <v>639244821014</v>
      </c>
      <c r="J3557" s="1">
        <f>IFERROR(__xludf.DUMMYFUNCTION("""COMPUTED_VALUE"""),639543447113)</f>
        <v>639543447113</v>
      </c>
      <c r="K3557" s="1"/>
      <c r="L3557" s="1" t="str">
        <f>IFERROR(__xludf.DUMMYFUNCTION("""COMPUTED_VALUE"""),"9")</f>
        <v>9</v>
      </c>
      <c r="M3557" s="1" t="str">
        <f>IFERROR(__xludf.DUMMYFUNCTION("""COMPUTED_VALUE"""),"IBAYONG ILOG")</f>
        <v>IBAYONG ILOG</v>
      </c>
      <c r="N3557" s="1"/>
      <c r="O3557" s="1" t="str">
        <f>IFERROR(__xludf.DUMMYFUNCTION("""COMPUTED_VALUE"""),"KAONG")</f>
        <v>KAONG</v>
      </c>
      <c r="P3557" s="1" t="str">
        <f>IFERROR(__xludf.DUMMYFUNCTION("""COMPUTED_VALUE"""),"SILANG")</f>
        <v>SILANG</v>
      </c>
      <c r="Q3557" s="1" t="str">
        <f>IFERROR(__xludf.DUMMYFUNCTION("""COMPUTED_VALUE"""),"CAVITE")</f>
        <v>CAVITE</v>
      </c>
      <c r="R3557" s="1" t="str">
        <f>IFERROR(__xludf.DUMMYFUNCTION("""COMPUTED_VALUE"""),"FIBER UNLI PLAN 1399")</f>
        <v>FIBER UNLI PLAN 1399</v>
      </c>
      <c r="S3557" s="1" t="str">
        <f>IFERROR(__xludf.DUMMYFUNCTION("""COMPUTED_VALUE"""),"APPROVED")</f>
        <v>APPROVED</v>
      </c>
      <c r="T3557" s="1" t="str">
        <f>IFERROR(__xludf.DUMMYFUNCTION("""COMPUTED_VALUE"""),"ESCALATED TO CVA A")</f>
        <v>ESCALATED TO CVA A</v>
      </c>
      <c r="U3557" s="1" t="str">
        <f>IFERROR(__xludf.DUMMYFUNCTION("""COMPUTED_VALUE"""),"CREDIT VALIDATION")</f>
        <v>CREDIT VALIDATION</v>
      </c>
      <c r="V3557" s="1"/>
      <c r="W3557" s="1"/>
    </row>
    <row r="3558" customHeight="1" spans="1:23">
      <c r="A3558" s="3">
        <f>IFERROR(__xludf.DUMMYFUNCTION("""COMPUTED_VALUE"""),46319)</f>
        <v>46319</v>
      </c>
      <c r="B3558" s="1" t="str">
        <f>IFERROR(__xludf.DUMMYFUNCTION("""COMPUTED_VALUE"""),"GABAY, MANUEL")</f>
        <v>GABAY, MANUEL</v>
      </c>
      <c r="C3558" s="1" t="str">
        <f>IFERROR(__xludf.DUMMYFUNCTION("""COMPUTED_VALUE"""),"FLA")</f>
        <v>FLA</v>
      </c>
      <c r="D3558" s="1" t="str">
        <f>IFERROR(__xludf.DUMMYFUNCTION("""COMPUTED_VALUE"""),"JERIC NAVARRO")</f>
        <v>JERIC NAVARRO</v>
      </c>
      <c r="E3558" s="1" t="str">
        <f>IFERROR(__xludf.DUMMYFUNCTION("""COMPUTED_VALUE"""),"PLDT / H2H")</f>
        <v>PLDT / H2H</v>
      </c>
      <c r="F3558" s="1"/>
      <c r="G3558" s="1">
        <f>IFERROR(__xludf.DUMMYFUNCTION("""COMPUTED_VALUE"""),2313359172)</f>
        <v>2313359172</v>
      </c>
      <c r="H3558" s="1"/>
      <c r="I3558" s="1">
        <f>IFERROR(__xludf.DUMMYFUNCTION("""COMPUTED_VALUE"""),639929058542)</f>
        <v>639929058542</v>
      </c>
      <c r="J3558" s="1">
        <f>IFERROR(__xludf.DUMMYFUNCTION("""COMPUTED_VALUE"""),639477342123)</f>
        <v>639477342123</v>
      </c>
      <c r="K3558" s="1"/>
      <c r="L3558" s="1" t="str">
        <f>IFERROR(__xludf.DUMMYFUNCTION("""COMPUTED_VALUE"""),"236")</f>
        <v>236</v>
      </c>
      <c r="M3558" s="1" t="str">
        <f>IFERROR(__xludf.DUMMYFUNCTION("""COMPUTED_VALUE"""),"SITIO BIGTASIN")</f>
        <v>SITIO BIGTASIN</v>
      </c>
      <c r="N3558" s="1" t="str">
        <f>IFERROR(__xludf.DUMMYFUNCTION("""COMPUTED_VALUE"""),"PUROK 1")</f>
        <v>PUROK 1</v>
      </c>
      <c r="O3558" s="1" t="str">
        <f>IFERROR(__xludf.DUMMYFUNCTION("""COMPUTED_VALUE"""),"KAYSUYO")</f>
        <v>KAYSUYO</v>
      </c>
      <c r="P3558" s="1" t="str">
        <f>IFERROR(__xludf.DUMMYFUNCTION("""COMPUTED_VALUE"""),"ALFONSO")</f>
        <v>ALFONSO</v>
      </c>
      <c r="Q3558" s="1" t="str">
        <f>IFERROR(__xludf.DUMMYFUNCTION("""COMPUTED_VALUE"""),"CAVITE")</f>
        <v>CAVITE</v>
      </c>
      <c r="R3558" s="1" t="str">
        <f>IFERROR(__xludf.DUMMYFUNCTION("""COMPUTED_VALUE"""),"FIBER UNLI PLAN 1399")</f>
        <v>FIBER UNLI PLAN 1399</v>
      </c>
      <c r="S3558" s="1" t="str">
        <f>IFERROR(__xludf.DUMMYFUNCTION("""COMPUTED_VALUE"""),"APPROVED")</f>
        <v>APPROVED</v>
      </c>
      <c r="T3558" s="1" t="str">
        <f>IFERROR(__xludf.DUMMYFUNCTION("""COMPUTED_VALUE"""),"FOR COMPLIANCE VERIFICATION RCM")</f>
        <v>FOR COMPLIANCE VERIFICATION RCM</v>
      </c>
      <c r="U3558" s="1" t="str">
        <f>IFERROR(__xludf.DUMMYFUNCTION("""COMPUTED_VALUE"""),"CREDIT VALIDATION")</f>
        <v>CREDIT VALIDATION</v>
      </c>
      <c r="V3558" s="1"/>
      <c r="W3558" s="1"/>
    </row>
    <row r="3559" customHeight="1" spans="1:23">
      <c r="A3559" s="1"/>
      <c r="B3559" s="1"/>
      <c r="C3559" s="1"/>
      <c r="D3559" s="1"/>
      <c r="E3559" s="1"/>
      <c r="F3559" s="1"/>
      <c r="G3559" s="1"/>
      <c r="H3559" s="1"/>
      <c r="I3559" s="1"/>
      <c r="J3559" s="1"/>
      <c r="K3559" s="1"/>
      <c r="L3559" s="1"/>
      <c r="M3559" s="1"/>
      <c r="N3559" s="1"/>
      <c r="O3559" s="1"/>
      <c r="P3559" s="1"/>
      <c r="Q3559" s="1"/>
      <c r="R3559" s="1"/>
      <c r="S3559" s="1"/>
      <c r="T3559" s="1"/>
      <c r="U3559" s="1"/>
      <c r="V3559" s="1"/>
      <c r="W3559" s="1"/>
    </row>
    <row r="3560" customHeight="1" spans="1:23">
      <c r="A3560" s="1"/>
      <c r="B3560" s="1"/>
      <c r="C3560" s="1"/>
      <c r="D3560" s="1"/>
      <c r="E3560" s="1"/>
      <c r="F3560" s="1"/>
      <c r="G3560" s="1"/>
      <c r="H3560" s="1"/>
      <c r="I3560" s="1"/>
      <c r="J3560" s="1"/>
      <c r="K3560" s="1"/>
      <c r="L3560" s="1"/>
      <c r="M3560" s="1"/>
      <c r="N3560" s="1"/>
      <c r="O3560" s="1"/>
      <c r="P3560" s="1"/>
      <c r="Q3560" s="1"/>
      <c r="R3560" s="1"/>
      <c r="S3560" s="1"/>
      <c r="T3560" s="1"/>
      <c r="U3560" s="1"/>
      <c r="V3560" s="1"/>
      <c r="W3560" s="1"/>
    </row>
    <row r="3561" customHeight="1" spans="1:23">
      <c r="A3561" s="1"/>
      <c r="B3561" s="1"/>
      <c r="C3561" s="1"/>
      <c r="D3561" s="1"/>
      <c r="E3561" s="1"/>
      <c r="F3561" s="1"/>
      <c r="G3561" s="1"/>
      <c r="H3561" s="1"/>
      <c r="I3561" s="1"/>
      <c r="J3561" s="1"/>
      <c r="K3561" s="1"/>
      <c r="L3561" s="1"/>
      <c r="M3561" s="1"/>
      <c r="N3561" s="1"/>
      <c r="O3561" s="1"/>
      <c r="P3561" s="1"/>
      <c r="Q3561" s="1"/>
      <c r="R3561" s="1"/>
      <c r="S3561" s="1"/>
      <c r="T3561" s="1"/>
      <c r="U3561" s="1"/>
      <c r="V3561" s="1"/>
      <c r="W3561" s="1"/>
    </row>
    <row r="3562" customHeight="1" spans="1:23">
      <c r="A3562" s="1"/>
      <c r="B3562" s="1"/>
      <c r="C3562" s="1"/>
      <c r="D3562" s="1"/>
      <c r="E3562" s="1"/>
      <c r="F3562" s="1"/>
      <c r="G3562" s="1"/>
      <c r="H3562" s="1"/>
      <c r="I3562" s="1"/>
      <c r="J3562" s="1"/>
      <c r="K3562" s="1"/>
      <c r="L3562" s="1"/>
      <c r="M3562" s="1"/>
      <c r="N3562" s="1"/>
      <c r="O3562" s="1"/>
      <c r="P3562" s="1"/>
      <c r="Q3562" s="1"/>
      <c r="R3562" s="1"/>
      <c r="S3562" s="1"/>
      <c r="T3562" s="1"/>
      <c r="U3562" s="1"/>
      <c r="V3562" s="1"/>
      <c r="W3562" s="1"/>
    </row>
    <row r="3563" customHeight="1" spans="1:23">
      <c r="A3563" s="1"/>
      <c r="B3563" s="1"/>
      <c r="C3563" s="1"/>
      <c r="D3563" s="1"/>
      <c r="E3563" s="1"/>
      <c r="F3563" s="1"/>
      <c r="G3563" s="1"/>
      <c r="H3563" s="1"/>
      <c r="I3563" s="1"/>
      <c r="J3563" s="1"/>
      <c r="K3563" s="1"/>
      <c r="L3563" s="1"/>
      <c r="M3563" s="1"/>
      <c r="N3563" s="1"/>
      <c r="O3563" s="1"/>
      <c r="P3563" s="1"/>
      <c r="Q3563" s="1"/>
      <c r="R3563" s="1"/>
      <c r="S3563" s="1"/>
      <c r="T3563" s="1"/>
      <c r="U3563" s="1"/>
      <c r="V3563" s="1"/>
      <c r="W3563" s="1"/>
    </row>
    <row r="3564" customHeight="1" spans="1:23">
      <c r="A3564" s="1"/>
      <c r="B3564" s="1"/>
      <c r="C3564" s="1"/>
      <c r="D3564" s="1"/>
      <c r="E3564" s="1"/>
      <c r="F3564" s="1"/>
      <c r="G3564" s="1"/>
      <c r="H3564" s="1"/>
      <c r="I3564" s="1"/>
      <c r="J3564" s="1"/>
      <c r="K3564" s="1"/>
      <c r="L3564" s="1"/>
      <c r="M3564" s="1"/>
      <c r="N3564" s="1"/>
      <c r="O3564" s="1"/>
      <c r="P3564" s="1"/>
      <c r="Q3564" s="1"/>
      <c r="R3564" s="1"/>
      <c r="S3564" s="1"/>
      <c r="T3564" s="1"/>
      <c r="U3564" s="1"/>
      <c r="V3564" s="1"/>
      <c r="W3564" s="1"/>
    </row>
    <row r="3565" customHeight="1" spans="1:23">
      <c r="A3565" s="1"/>
      <c r="B3565" s="1"/>
      <c r="C3565" s="1"/>
      <c r="D3565" s="1"/>
      <c r="E3565" s="1"/>
      <c r="F3565" s="1"/>
      <c r="G3565" s="1"/>
      <c r="H3565" s="1"/>
      <c r="I3565" s="1"/>
      <c r="J3565" s="1"/>
      <c r="K3565" s="1"/>
      <c r="L3565" s="1"/>
      <c r="M3565" s="1"/>
      <c r="N3565" s="1"/>
      <c r="O3565" s="1"/>
      <c r="P3565" s="1"/>
      <c r="Q3565" s="1"/>
      <c r="R3565" s="1"/>
      <c r="S3565" s="1"/>
      <c r="T3565" s="1"/>
      <c r="U3565" s="1"/>
      <c r="V3565" s="1"/>
      <c r="W3565" s="1"/>
    </row>
    <row r="3566" customHeight="1" spans="1:23">
      <c r="A3566" s="1"/>
      <c r="B3566" s="1"/>
      <c r="C3566" s="1"/>
      <c r="D3566" s="1"/>
      <c r="E3566" s="1"/>
      <c r="F3566" s="1"/>
      <c r="G3566" s="1"/>
      <c r="H3566" s="1"/>
      <c r="I3566" s="1"/>
      <c r="J3566" s="1"/>
      <c r="K3566" s="1"/>
      <c r="L3566" s="1"/>
      <c r="M3566" s="1"/>
      <c r="N3566" s="1"/>
      <c r="O3566" s="1"/>
      <c r="P3566" s="1"/>
      <c r="Q3566" s="1"/>
      <c r="R3566" s="1"/>
      <c r="S3566" s="1"/>
      <c r="T3566" s="1"/>
      <c r="U3566" s="1"/>
      <c r="V3566" s="1"/>
      <c r="W3566" s="1"/>
    </row>
    <row r="3567" customHeight="1" spans="1:23">
      <c r="A3567" s="1"/>
      <c r="B3567" s="1"/>
      <c r="C3567" s="1"/>
      <c r="D3567" s="1"/>
      <c r="E3567" s="1"/>
      <c r="F3567" s="1"/>
      <c r="G3567" s="1"/>
      <c r="H3567" s="1"/>
      <c r="I3567" s="1"/>
      <c r="J3567" s="1"/>
      <c r="K3567" s="1"/>
      <c r="L3567" s="1"/>
      <c r="M3567" s="1"/>
      <c r="N3567" s="1"/>
      <c r="O3567" s="1"/>
      <c r="P3567" s="1"/>
      <c r="Q3567" s="1"/>
      <c r="R3567" s="1"/>
      <c r="S3567" s="1"/>
      <c r="T3567" s="1"/>
      <c r="U3567" s="1"/>
      <c r="V3567" s="1"/>
      <c r="W3567" s="1"/>
    </row>
    <row r="3568" customHeight="1" spans="1:23">
      <c r="A3568" s="1"/>
      <c r="B3568" s="1"/>
      <c r="C3568" s="1"/>
      <c r="D3568" s="1"/>
      <c r="E3568" s="1"/>
      <c r="F3568" s="1"/>
      <c r="G3568" s="1"/>
      <c r="H3568" s="1"/>
      <c r="I3568" s="1"/>
      <c r="J3568" s="1"/>
      <c r="K3568" s="1"/>
      <c r="L3568" s="1"/>
      <c r="M3568" s="1"/>
      <c r="N3568" s="1"/>
      <c r="O3568" s="1"/>
      <c r="P3568" s="1"/>
      <c r="Q3568" s="1"/>
      <c r="R3568" s="1"/>
      <c r="S3568" s="1"/>
      <c r="T3568" s="1"/>
      <c r="U3568" s="1"/>
      <c r="V3568" s="1"/>
      <c r="W3568" s="1"/>
    </row>
    <row r="3569" customHeight="1" spans="1:23">
      <c r="A3569" s="1"/>
      <c r="B3569" s="1"/>
      <c r="C3569" s="1"/>
      <c r="D3569" s="1"/>
      <c r="E3569" s="1"/>
      <c r="F3569" s="1"/>
      <c r="G3569" s="1"/>
      <c r="H3569" s="1"/>
      <c r="I3569" s="1"/>
      <c r="J3569" s="1"/>
      <c r="K3569" s="1"/>
      <c r="L3569" s="1"/>
      <c r="M3569" s="1"/>
      <c r="N3569" s="1"/>
      <c r="O3569" s="1"/>
      <c r="P3569" s="1"/>
      <c r="Q3569" s="1"/>
      <c r="R3569" s="1"/>
      <c r="S3569" s="1"/>
      <c r="T3569" s="1"/>
      <c r="U3569" s="1"/>
      <c r="V3569" s="1"/>
      <c r="W3569" s="1"/>
    </row>
    <row r="3570" customHeight="1" spans="1:23">
      <c r="A3570" s="1"/>
      <c r="B3570" s="1"/>
      <c r="C3570" s="1"/>
      <c r="D3570" s="1"/>
      <c r="E3570" s="1"/>
      <c r="F3570" s="1"/>
      <c r="G3570" s="1"/>
      <c r="H3570" s="1"/>
      <c r="I3570" s="1"/>
      <c r="J3570" s="1"/>
      <c r="K3570" s="1"/>
      <c r="L3570" s="1"/>
      <c r="M3570" s="1"/>
      <c r="N3570" s="1"/>
      <c r="O3570" s="1"/>
      <c r="P3570" s="1"/>
      <c r="Q3570" s="1"/>
      <c r="R3570" s="1"/>
      <c r="S3570" s="1"/>
      <c r="T3570" s="1"/>
      <c r="U3570" s="1"/>
      <c r="V3570" s="1"/>
      <c r="W3570" s="1"/>
    </row>
    <row r="3571" customHeight="1" spans="1:23">
      <c r="A3571" s="1"/>
      <c r="B3571" s="1"/>
      <c r="C3571" s="1"/>
      <c r="D3571" s="1"/>
      <c r="E3571" s="1"/>
      <c r="F3571" s="1"/>
      <c r="G3571" s="1"/>
      <c r="H3571" s="1"/>
      <c r="I3571" s="1"/>
      <c r="J3571" s="1"/>
      <c r="K3571" s="1"/>
      <c r="L3571" s="1"/>
      <c r="M3571" s="1"/>
      <c r="N3571" s="1"/>
      <c r="O3571" s="1"/>
      <c r="P3571" s="1"/>
      <c r="Q3571" s="1"/>
      <c r="R3571" s="1"/>
      <c r="S3571" s="1"/>
      <c r="T3571" s="1"/>
      <c r="U3571" s="1"/>
      <c r="V3571" s="1"/>
      <c r="W3571" s="1"/>
    </row>
    <row r="3572" customHeight="1" spans="1:23">
      <c r="A3572" s="1"/>
      <c r="B3572" s="1"/>
      <c r="C3572" s="1"/>
      <c r="D3572" s="1"/>
      <c r="E3572" s="1"/>
      <c r="F3572" s="1"/>
      <c r="G3572" s="1"/>
      <c r="H3572" s="1"/>
      <c r="I3572" s="1"/>
      <c r="J3572" s="1"/>
      <c r="K3572" s="1"/>
      <c r="L3572" s="1"/>
      <c r="M3572" s="1"/>
      <c r="N3572" s="1"/>
      <c r="O3572" s="1"/>
      <c r="P3572" s="1"/>
      <c r="Q3572" s="1"/>
      <c r="R3572" s="1"/>
      <c r="S3572" s="1"/>
      <c r="T3572" s="1"/>
      <c r="U3572" s="1"/>
      <c r="V3572" s="1"/>
      <c r="W3572" s="1"/>
    </row>
    <row r="3573" customHeight="1" spans="1:23">
      <c r="A3573" s="1"/>
      <c r="B3573" s="1"/>
      <c r="C3573" s="1"/>
      <c r="D3573" s="1"/>
      <c r="E3573" s="1"/>
      <c r="F3573" s="1"/>
      <c r="G3573" s="1"/>
      <c r="H3573" s="1"/>
      <c r="I3573" s="1"/>
      <c r="J3573" s="1"/>
      <c r="K3573" s="1"/>
      <c r="L3573" s="1"/>
      <c r="M3573" s="1"/>
      <c r="N3573" s="1"/>
      <c r="O3573" s="1"/>
      <c r="P3573" s="1"/>
      <c r="Q3573" s="1"/>
      <c r="R3573" s="1"/>
      <c r="S3573" s="1"/>
      <c r="T3573" s="1"/>
      <c r="U3573" s="1"/>
      <c r="V3573" s="1"/>
      <c r="W3573" s="1"/>
    </row>
    <row r="3574" customHeight="1" spans="1:23">
      <c r="A3574" s="1"/>
      <c r="B3574" s="1"/>
      <c r="C3574" s="1"/>
      <c r="D3574" s="1"/>
      <c r="E3574" s="1"/>
      <c r="F3574" s="1"/>
      <c r="G3574" s="1"/>
      <c r="H3574" s="1"/>
      <c r="I3574" s="1"/>
      <c r="J3574" s="1"/>
      <c r="K3574" s="1"/>
      <c r="L3574" s="1"/>
      <c r="M3574" s="1"/>
      <c r="N3574" s="1"/>
      <c r="O3574" s="1"/>
      <c r="P3574" s="1"/>
      <c r="Q3574" s="1"/>
      <c r="R3574" s="1"/>
      <c r="S3574" s="1"/>
      <c r="T3574" s="1"/>
      <c r="U3574" s="1"/>
      <c r="V3574" s="1"/>
      <c r="W3574" s="1"/>
    </row>
    <row r="3575" customHeight="1" spans="1:23">
      <c r="A3575" s="1"/>
      <c r="B3575" s="1"/>
      <c r="C3575" s="1"/>
      <c r="D3575" s="1"/>
      <c r="E3575" s="1"/>
      <c r="F3575" s="1"/>
      <c r="G3575" s="1"/>
      <c r="H3575" s="1"/>
      <c r="I3575" s="1"/>
      <c r="J3575" s="1"/>
      <c r="K3575" s="1"/>
      <c r="L3575" s="1"/>
      <c r="M3575" s="1"/>
      <c r="N3575" s="1"/>
      <c r="O3575" s="1"/>
      <c r="P3575" s="1"/>
      <c r="Q3575" s="1"/>
      <c r="R3575" s="1"/>
      <c r="S3575" s="1"/>
      <c r="T3575" s="1"/>
      <c r="U3575" s="1"/>
      <c r="V3575" s="1"/>
      <c r="W3575" s="1"/>
    </row>
    <row r="3576" customHeight="1" spans="1:23">
      <c r="A3576" s="1"/>
      <c r="B3576" s="1"/>
      <c r="C3576" s="1"/>
      <c r="D3576" s="1"/>
      <c r="E3576" s="1"/>
      <c r="F3576" s="1"/>
      <c r="G3576" s="1"/>
      <c r="H3576" s="1"/>
      <c r="I3576" s="1"/>
      <c r="J3576" s="1"/>
      <c r="K3576" s="1"/>
      <c r="L3576" s="1"/>
      <c r="M3576" s="1"/>
      <c r="N3576" s="1"/>
      <c r="O3576" s="1"/>
      <c r="P3576" s="1"/>
      <c r="Q3576" s="1"/>
      <c r="R3576" s="1"/>
      <c r="S3576" s="1"/>
      <c r="T3576" s="1"/>
      <c r="U3576" s="1"/>
      <c r="V3576" s="1"/>
      <c r="W3576" s="1"/>
    </row>
    <row r="3577" customHeight="1" spans="1:23">
      <c r="A3577" s="1"/>
      <c r="B3577" s="1"/>
      <c r="C3577" s="1"/>
      <c r="D3577" s="1"/>
      <c r="E3577" s="1"/>
      <c r="F3577" s="1"/>
      <c r="G3577" s="1"/>
      <c r="H3577" s="1"/>
      <c r="I3577" s="1"/>
      <c r="J3577" s="1"/>
      <c r="K3577" s="1"/>
      <c r="L3577" s="1"/>
      <c r="M3577" s="1"/>
      <c r="N3577" s="1"/>
      <c r="O3577" s="1"/>
      <c r="P3577" s="1"/>
      <c r="Q3577" s="1"/>
      <c r="R3577" s="1"/>
      <c r="S3577" s="1"/>
      <c r="T3577" s="1"/>
      <c r="U3577" s="1"/>
      <c r="V3577" s="1"/>
      <c r="W3577" s="1"/>
    </row>
    <row r="3578" customHeight="1" spans="1:23">
      <c r="A3578" s="1"/>
      <c r="B3578" s="1"/>
      <c r="C3578" s="1"/>
      <c r="D3578" s="1"/>
      <c r="E3578" s="1"/>
      <c r="F3578" s="1"/>
      <c r="G3578" s="1"/>
      <c r="H3578" s="1"/>
      <c r="I3578" s="1"/>
      <c r="J3578" s="1"/>
      <c r="K3578" s="1"/>
      <c r="L3578" s="1"/>
      <c r="M3578" s="1"/>
      <c r="N3578" s="1"/>
      <c r="O3578" s="1"/>
      <c r="P3578" s="1"/>
      <c r="Q3578" s="1"/>
      <c r="R3578" s="1"/>
      <c r="S3578" s="1"/>
      <c r="T3578" s="1"/>
      <c r="U3578" s="1"/>
      <c r="V3578" s="1"/>
      <c r="W3578" s="1"/>
    </row>
    <row r="3579" customHeight="1" spans="1:23">
      <c r="A3579" s="1"/>
      <c r="B3579" s="1"/>
      <c r="C3579" s="1"/>
      <c r="D3579" s="1"/>
      <c r="E3579" s="1"/>
      <c r="F3579" s="1"/>
      <c r="G3579" s="1"/>
      <c r="H3579" s="1"/>
      <c r="I3579" s="1"/>
      <c r="J3579" s="1"/>
      <c r="K3579" s="1"/>
      <c r="L3579" s="1"/>
      <c r="M3579" s="1"/>
      <c r="N3579" s="1"/>
      <c r="O3579" s="1"/>
      <c r="P3579" s="1"/>
      <c r="Q3579" s="1"/>
      <c r="R3579" s="1"/>
      <c r="S3579" s="1"/>
      <c r="T3579" s="1"/>
      <c r="U3579" s="1"/>
      <c r="V3579" s="1"/>
      <c r="W3579" s="1"/>
    </row>
    <row r="3580" customHeight="1" spans="1:23">
      <c r="A3580" s="1"/>
      <c r="B3580" s="1"/>
      <c r="C3580" s="1"/>
      <c r="D3580" s="1"/>
      <c r="E3580" s="1"/>
      <c r="F3580" s="1"/>
      <c r="G3580" s="1"/>
      <c r="H3580" s="1"/>
      <c r="I3580" s="1"/>
      <c r="J3580" s="1"/>
      <c r="K3580" s="1"/>
      <c r="L3580" s="1"/>
      <c r="M3580" s="1"/>
      <c r="N3580" s="1"/>
      <c r="O3580" s="1"/>
      <c r="P3580" s="1"/>
      <c r="Q3580" s="1"/>
      <c r="R3580" s="1"/>
      <c r="S3580" s="1"/>
      <c r="T3580" s="1"/>
      <c r="U3580" s="1"/>
      <c r="V3580" s="1"/>
      <c r="W3580" s="1"/>
    </row>
    <row r="3581" customHeight="1" spans="1:23">
      <c r="A3581" s="1"/>
      <c r="B3581" s="1"/>
      <c r="C3581" s="1"/>
      <c r="D3581" s="1"/>
      <c r="E3581" s="1"/>
      <c r="F3581" s="1"/>
      <c r="G3581" s="1"/>
      <c r="H3581" s="1"/>
      <c r="I3581" s="1"/>
      <c r="J3581" s="1"/>
      <c r="K3581" s="1"/>
      <c r="L3581" s="1"/>
      <c r="M3581" s="1"/>
      <c r="N3581" s="1"/>
      <c r="O3581" s="1"/>
      <c r="P3581" s="1"/>
      <c r="Q3581" s="1"/>
      <c r="R3581" s="1"/>
      <c r="S3581" s="1"/>
      <c r="T3581" s="1"/>
      <c r="U3581" s="1"/>
      <c r="V3581" s="1"/>
      <c r="W3581" s="1"/>
    </row>
    <row r="3582" customHeight="1" spans="1:23">
      <c r="A3582" s="1"/>
      <c r="B3582" s="1"/>
      <c r="C3582" s="1"/>
      <c r="D3582" s="1"/>
      <c r="E3582" s="1"/>
      <c r="F3582" s="1"/>
      <c r="G3582" s="1"/>
      <c r="H3582" s="1"/>
      <c r="I3582" s="1"/>
      <c r="J3582" s="1"/>
      <c r="K3582" s="1"/>
      <c r="L3582" s="1"/>
      <c r="M3582" s="1"/>
      <c r="N3582" s="1"/>
      <c r="O3582" s="1"/>
      <c r="P3582" s="1"/>
      <c r="Q3582" s="1"/>
      <c r="R3582" s="1"/>
      <c r="S3582" s="1"/>
      <c r="T3582" s="1"/>
      <c r="U3582" s="1"/>
      <c r="V3582" s="1"/>
      <c r="W3582" s="1"/>
    </row>
    <row r="3583" customHeight="1" spans="1:23">
      <c r="A3583" s="1"/>
      <c r="B3583" s="1"/>
      <c r="C3583" s="1"/>
      <c r="D3583" s="1"/>
      <c r="E3583" s="1"/>
      <c r="F3583" s="1"/>
      <c r="G3583" s="1"/>
      <c r="H3583" s="1"/>
      <c r="I3583" s="1"/>
      <c r="J3583" s="1"/>
      <c r="K3583" s="1"/>
      <c r="L3583" s="1"/>
      <c r="M3583" s="1"/>
      <c r="N3583" s="1"/>
      <c r="O3583" s="1"/>
      <c r="P3583" s="1"/>
      <c r="Q3583" s="1"/>
      <c r="R3583" s="1"/>
      <c r="S3583" s="1"/>
      <c r="T3583" s="1"/>
      <c r="U3583" s="1"/>
      <c r="V3583" s="1"/>
      <c r="W3583" s="1"/>
    </row>
    <row r="3584" customHeight="1" spans="1:23">
      <c r="A3584" s="1"/>
      <c r="B3584" s="1"/>
      <c r="C3584" s="1"/>
      <c r="D3584" s="1"/>
      <c r="E3584" s="1"/>
      <c r="F3584" s="1"/>
      <c r="G3584" s="1"/>
      <c r="H3584" s="1"/>
      <c r="I3584" s="1"/>
      <c r="J3584" s="1"/>
      <c r="K3584" s="1"/>
      <c r="L3584" s="1"/>
      <c r="M3584" s="1"/>
      <c r="N3584" s="1"/>
      <c r="O3584" s="1"/>
      <c r="P3584" s="1"/>
      <c r="Q3584" s="1"/>
      <c r="R3584" s="1"/>
      <c r="S3584" s="1"/>
      <c r="T3584" s="1"/>
      <c r="U3584" s="1"/>
      <c r="V3584" s="1"/>
      <c r="W3584" s="1"/>
    </row>
    <row r="3585" customHeight="1" spans="1:23">
      <c r="A3585" s="1"/>
      <c r="B3585" s="1"/>
      <c r="C3585" s="1"/>
      <c r="D3585" s="1"/>
      <c r="E3585" s="1"/>
      <c r="F3585" s="1"/>
      <c r="G3585" s="1"/>
      <c r="H3585" s="1"/>
      <c r="I3585" s="1"/>
      <c r="J3585" s="1"/>
      <c r="K3585" s="1"/>
      <c r="L3585" s="1"/>
      <c r="M3585" s="1"/>
      <c r="N3585" s="1"/>
      <c r="O3585" s="1"/>
      <c r="P3585" s="1"/>
      <c r="Q3585" s="1"/>
      <c r="R3585" s="1"/>
      <c r="S3585" s="1"/>
      <c r="T3585" s="1"/>
      <c r="U3585" s="1"/>
      <c r="V3585" s="1"/>
      <c r="W3585" s="1"/>
    </row>
    <row r="3586" customHeight="1" spans="1:23">
      <c r="A3586" s="1"/>
      <c r="B3586" s="1"/>
      <c r="C3586" s="1"/>
      <c r="D3586" s="1"/>
      <c r="E3586" s="1"/>
      <c r="F3586" s="1"/>
      <c r="G3586" s="1"/>
      <c r="H3586" s="1"/>
      <c r="I3586" s="1"/>
      <c r="J3586" s="1"/>
      <c r="K3586" s="1"/>
      <c r="L3586" s="1"/>
      <c r="M3586" s="1"/>
      <c r="N3586" s="1"/>
      <c r="O3586" s="1"/>
      <c r="P3586" s="1"/>
      <c r="Q3586" s="1"/>
      <c r="R3586" s="1"/>
      <c r="S3586" s="1"/>
      <c r="T3586" s="1"/>
      <c r="U3586" s="1"/>
      <c r="V3586" s="1"/>
      <c r="W3586" s="1"/>
    </row>
    <row r="3587" customHeight="1" spans="1:23">
      <c r="A3587" s="1"/>
      <c r="B3587" s="1"/>
      <c r="C3587" s="1"/>
      <c r="D3587" s="1"/>
      <c r="E3587" s="1"/>
      <c r="F3587" s="1"/>
      <c r="G3587" s="1"/>
      <c r="H3587" s="1"/>
      <c r="I3587" s="1"/>
      <c r="J3587" s="1"/>
      <c r="K3587" s="1"/>
      <c r="L3587" s="1"/>
      <c r="M3587" s="1"/>
      <c r="N3587" s="1"/>
      <c r="O3587" s="1"/>
      <c r="P3587" s="1"/>
      <c r="Q3587" s="1"/>
      <c r="R3587" s="1"/>
      <c r="S3587" s="1"/>
      <c r="T3587" s="1"/>
      <c r="U3587" s="1"/>
      <c r="V3587" s="1"/>
      <c r="W3587" s="1"/>
    </row>
    <row r="3588" customHeight="1" spans="1:23">
      <c r="A3588" s="1"/>
      <c r="B3588" s="1"/>
      <c r="C3588" s="1"/>
      <c r="D3588" s="1"/>
      <c r="E3588" s="1"/>
      <c r="F3588" s="1"/>
      <c r="G3588" s="1"/>
      <c r="H3588" s="1"/>
      <c r="I3588" s="1"/>
      <c r="J3588" s="1"/>
      <c r="K3588" s="1"/>
      <c r="L3588" s="1"/>
      <c r="M3588" s="1"/>
      <c r="N3588" s="1"/>
      <c r="O3588" s="1"/>
      <c r="P3588" s="1"/>
      <c r="Q3588" s="1"/>
      <c r="R3588" s="1"/>
      <c r="S3588" s="1"/>
      <c r="T3588" s="1"/>
      <c r="U3588" s="1"/>
      <c r="V3588" s="1"/>
      <c r="W3588" s="1"/>
    </row>
    <row r="3589" customHeight="1" spans="1:23">
      <c r="A3589" s="1"/>
      <c r="B3589" s="1"/>
      <c r="C3589" s="1"/>
      <c r="D3589" s="1"/>
      <c r="E3589" s="1"/>
      <c r="F3589" s="1"/>
      <c r="G3589" s="1"/>
      <c r="H3589" s="1"/>
      <c r="I3589" s="1"/>
      <c r="J3589" s="1"/>
      <c r="K3589" s="1"/>
      <c r="L3589" s="1"/>
      <c r="M3589" s="1"/>
      <c r="N3589" s="1"/>
      <c r="O3589" s="1"/>
      <c r="P3589" s="1"/>
      <c r="Q3589" s="1"/>
      <c r="R3589" s="1"/>
      <c r="S3589" s="1"/>
      <c r="T3589" s="1"/>
      <c r="U3589" s="1"/>
      <c r="V3589" s="1"/>
      <c r="W3589" s="1"/>
    </row>
    <row r="3590" customHeight="1" spans="1:23">
      <c r="A3590" s="1"/>
      <c r="B3590" s="1"/>
      <c r="C3590" s="1"/>
      <c r="D3590" s="1"/>
      <c r="E3590" s="1"/>
      <c r="F3590" s="1"/>
      <c r="G3590" s="1"/>
      <c r="H3590" s="1"/>
      <c r="I3590" s="1"/>
      <c r="J3590" s="1"/>
      <c r="K3590" s="1"/>
      <c r="L3590" s="1"/>
      <c r="M3590" s="1"/>
      <c r="N3590" s="1"/>
      <c r="O3590" s="1"/>
      <c r="P3590" s="1"/>
      <c r="Q3590" s="1"/>
      <c r="R3590" s="1"/>
      <c r="S3590" s="1"/>
      <c r="T3590" s="1"/>
      <c r="U3590" s="1"/>
      <c r="V3590" s="1"/>
      <c r="W3590" s="1"/>
    </row>
    <row r="3591" customHeight="1" spans="1:23">
      <c r="A3591" s="1"/>
      <c r="B3591" s="1"/>
      <c r="C3591" s="1"/>
      <c r="D3591" s="1"/>
      <c r="E3591" s="1"/>
      <c r="F3591" s="1"/>
      <c r="G3591" s="1"/>
      <c r="H3591" s="1"/>
      <c r="I3591" s="1"/>
      <c r="J3591" s="1"/>
      <c r="K3591" s="1"/>
      <c r="L3591" s="1"/>
      <c r="M3591" s="1"/>
      <c r="N3591" s="1"/>
      <c r="O3591" s="1"/>
      <c r="P3591" s="1"/>
      <c r="Q3591" s="1"/>
      <c r="R3591" s="1"/>
      <c r="S3591" s="1"/>
      <c r="T3591" s="1"/>
      <c r="U3591" s="1"/>
      <c r="V3591" s="1"/>
      <c r="W3591" s="1"/>
    </row>
    <row r="3592" customHeight="1" spans="1:23">
      <c r="A3592" s="1"/>
      <c r="B3592" s="1"/>
      <c r="C3592" s="1"/>
      <c r="D3592" s="1"/>
      <c r="E3592" s="1"/>
      <c r="F3592" s="1"/>
      <c r="G3592" s="1"/>
      <c r="H3592" s="1"/>
      <c r="I3592" s="1"/>
      <c r="J3592" s="1"/>
      <c r="K3592" s="1"/>
      <c r="L3592" s="1"/>
      <c r="M3592" s="1"/>
      <c r="N3592" s="1"/>
      <c r="O3592" s="1"/>
      <c r="P3592" s="1"/>
      <c r="Q3592" s="1"/>
      <c r="R3592" s="1"/>
      <c r="S3592" s="1"/>
      <c r="T3592" s="1"/>
      <c r="U3592" s="1"/>
      <c r="V3592" s="1"/>
      <c r="W3592" s="1"/>
    </row>
    <row r="3593" customHeight="1" spans="1:23">
      <c r="A3593" s="1"/>
      <c r="B3593" s="1"/>
      <c r="C3593" s="1"/>
      <c r="D3593" s="1"/>
      <c r="E3593" s="1"/>
      <c r="F3593" s="1"/>
      <c r="G3593" s="1"/>
      <c r="H3593" s="1"/>
      <c r="I3593" s="1"/>
      <c r="J3593" s="1"/>
      <c r="K3593" s="1"/>
      <c r="L3593" s="1"/>
      <c r="M3593" s="1"/>
      <c r="N3593" s="1"/>
      <c r="O3593" s="1"/>
      <c r="P3593" s="1"/>
      <c r="Q3593" s="1"/>
      <c r="R3593" s="1"/>
      <c r="S3593" s="1"/>
      <c r="T3593" s="1"/>
      <c r="U3593" s="1"/>
      <c r="V3593" s="1"/>
      <c r="W3593" s="1"/>
    </row>
    <row r="3594" customHeight="1" spans="1:23">
      <c r="A3594" s="1"/>
      <c r="B3594" s="1"/>
      <c r="C3594" s="1"/>
      <c r="D3594" s="1"/>
      <c r="E3594" s="1"/>
      <c r="F3594" s="1"/>
      <c r="G3594" s="1"/>
      <c r="H3594" s="1"/>
      <c r="I3594" s="1"/>
      <c r="J3594" s="1"/>
      <c r="K3594" s="1"/>
      <c r="L3594" s="1"/>
      <c r="M3594" s="1"/>
      <c r="N3594" s="1"/>
      <c r="O3594" s="1"/>
      <c r="P3594" s="1"/>
      <c r="Q3594" s="1"/>
      <c r="R3594" s="1"/>
      <c r="S3594" s="1"/>
      <c r="T3594" s="1"/>
      <c r="U3594" s="1"/>
      <c r="V3594" s="1"/>
      <c r="W3594" s="1"/>
    </row>
    <row r="3595" customHeight="1" spans="1:23">
      <c r="A3595" s="1"/>
      <c r="B3595" s="1"/>
      <c r="C3595" s="1"/>
      <c r="D3595" s="1"/>
      <c r="E3595" s="1"/>
      <c r="F3595" s="1"/>
      <c r="G3595" s="1"/>
      <c r="H3595" s="1"/>
      <c r="I3595" s="1"/>
      <c r="J3595" s="1"/>
      <c r="K3595" s="1"/>
      <c r="L3595" s="1"/>
      <c r="M3595" s="1"/>
      <c r="N3595" s="1"/>
      <c r="O3595" s="1"/>
      <c r="P3595" s="1"/>
      <c r="Q3595" s="1"/>
      <c r="R3595" s="1"/>
      <c r="S3595" s="1"/>
      <c r="T3595" s="1"/>
      <c r="U3595" s="1"/>
      <c r="V3595" s="1"/>
      <c r="W3595" s="1"/>
    </row>
    <row r="3596" customHeight="1" spans="1:23">
      <c r="A3596" s="1"/>
      <c r="B3596" s="1"/>
      <c r="C3596" s="1"/>
      <c r="D3596" s="1"/>
      <c r="E3596" s="1"/>
      <c r="F3596" s="1"/>
      <c r="G3596" s="1"/>
      <c r="H3596" s="1"/>
      <c r="I3596" s="1"/>
      <c r="J3596" s="1"/>
      <c r="K3596" s="1"/>
      <c r="L3596" s="1"/>
      <c r="M3596" s="1"/>
      <c r="N3596" s="1"/>
      <c r="O3596" s="1"/>
      <c r="P3596" s="1"/>
      <c r="Q3596" s="1"/>
      <c r="R3596" s="1"/>
      <c r="S3596" s="1"/>
      <c r="T3596" s="1"/>
      <c r="U3596" s="1"/>
      <c r="V3596" s="1"/>
      <c r="W3596" s="1"/>
    </row>
    <row r="3597" customHeight="1" spans="1:23">
      <c r="A3597" s="1"/>
      <c r="B3597" s="1"/>
      <c r="C3597" s="1"/>
      <c r="D3597" s="1"/>
      <c r="E3597" s="1"/>
      <c r="F3597" s="1"/>
      <c r="G3597" s="1"/>
      <c r="H3597" s="1"/>
      <c r="I3597" s="1"/>
      <c r="J3597" s="1"/>
      <c r="K3597" s="1"/>
      <c r="L3597" s="1"/>
      <c r="M3597" s="1"/>
      <c r="N3597" s="1"/>
      <c r="O3597" s="1"/>
      <c r="P3597" s="1"/>
      <c r="Q3597" s="1"/>
      <c r="R3597" s="1"/>
      <c r="S3597" s="1"/>
      <c r="T3597" s="1"/>
      <c r="U3597" s="1"/>
      <c r="V3597" s="1"/>
      <c r="W3597" s="1"/>
    </row>
    <row r="3598" customHeight="1" spans="1:23">
      <c r="A3598" s="1"/>
      <c r="B3598" s="1"/>
      <c r="C3598" s="1"/>
      <c r="D3598" s="1"/>
      <c r="E3598" s="1"/>
      <c r="F3598" s="1"/>
      <c r="G3598" s="1"/>
      <c r="H3598" s="1"/>
      <c r="I3598" s="1"/>
      <c r="J3598" s="1"/>
      <c r="K3598" s="1"/>
      <c r="L3598" s="1"/>
      <c r="M3598" s="1"/>
      <c r="N3598" s="1"/>
      <c r="O3598" s="1"/>
      <c r="P3598" s="1"/>
      <c r="Q3598" s="1"/>
      <c r="R3598" s="1"/>
      <c r="S3598" s="1"/>
      <c r="T3598" s="1"/>
      <c r="U3598" s="1"/>
      <c r="V3598" s="1"/>
      <c r="W3598" s="1"/>
    </row>
    <row r="3599" customHeight="1" spans="1:23">
      <c r="A3599" s="1"/>
      <c r="B3599" s="1"/>
      <c r="C3599" s="1"/>
      <c r="D3599" s="1"/>
      <c r="E3599" s="1"/>
      <c r="F3599" s="1"/>
      <c r="G3599" s="1"/>
      <c r="H3599" s="1"/>
      <c r="I3599" s="1"/>
      <c r="J3599" s="1"/>
      <c r="K3599" s="1"/>
      <c r="L3599" s="1"/>
      <c r="M3599" s="1"/>
      <c r="N3599" s="1"/>
      <c r="O3599" s="1"/>
      <c r="P3599" s="1"/>
      <c r="Q3599" s="1"/>
      <c r="R3599" s="1"/>
      <c r="S3599" s="1"/>
      <c r="T3599" s="1"/>
      <c r="U3599" s="1"/>
      <c r="V3599" s="1"/>
      <c r="W3599" s="1"/>
    </row>
    <row r="3600" customHeight="1" spans="1:23">
      <c r="A3600" s="1"/>
      <c r="B3600" s="1"/>
      <c r="C3600" s="1"/>
      <c r="D3600" s="1"/>
      <c r="E3600" s="1"/>
      <c r="F3600" s="1"/>
      <c r="G3600" s="1"/>
      <c r="H3600" s="1"/>
      <c r="I3600" s="1"/>
      <c r="J3600" s="1"/>
      <c r="K3600" s="1"/>
      <c r="L3600" s="1"/>
      <c r="M3600" s="1"/>
      <c r="N3600" s="1"/>
      <c r="O3600" s="1"/>
      <c r="P3600" s="1"/>
      <c r="Q3600" s="1"/>
      <c r="R3600" s="1"/>
      <c r="S3600" s="1"/>
      <c r="T3600" s="1"/>
      <c r="U3600" s="1"/>
      <c r="V3600" s="1"/>
      <c r="W3600" s="1"/>
    </row>
    <row r="3601" customHeight="1" spans="1:23">
      <c r="A3601" s="1"/>
      <c r="B3601" s="1"/>
      <c r="C3601" s="1"/>
      <c r="D3601" s="1"/>
      <c r="E3601" s="1"/>
      <c r="F3601" s="1"/>
      <c r="G3601" s="1"/>
      <c r="H3601" s="1"/>
      <c r="I3601" s="1"/>
      <c r="J3601" s="1"/>
      <c r="K3601" s="1"/>
      <c r="L3601" s="1"/>
      <c r="M3601" s="1"/>
      <c r="N3601" s="1"/>
      <c r="O3601" s="1"/>
      <c r="P3601" s="1"/>
      <c r="Q3601" s="1"/>
      <c r="R3601" s="1"/>
      <c r="S3601" s="1"/>
      <c r="T3601" s="1"/>
      <c r="U3601" s="1"/>
      <c r="V3601" s="1"/>
      <c r="W3601" s="1"/>
    </row>
    <row r="3602" customHeight="1" spans="1:23">
      <c r="A3602" s="1"/>
      <c r="B3602" s="1"/>
      <c r="C3602" s="1"/>
      <c r="D3602" s="1"/>
      <c r="E3602" s="1"/>
      <c r="F3602" s="1"/>
      <c r="G3602" s="1"/>
      <c r="H3602" s="1"/>
      <c r="I3602" s="1"/>
      <c r="J3602" s="1"/>
      <c r="K3602" s="1"/>
      <c r="L3602" s="1"/>
      <c r="M3602" s="1"/>
      <c r="N3602" s="1"/>
      <c r="O3602" s="1"/>
      <c r="P3602" s="1"/>
      <c r="Q3602" s="1"/>
      <c r="R3602" s="1"/>
      <c r="S3602" s="1"/>
      <c r="T3602" s="1"/>
      <c r="U3602" s="1"/>
      <c r="V3602" s="1"/>
      <c r="W3602" s="1"/>
    </row>
    <row r="3603" customHeight="1" spans="1:23">
      <c r="A3603" s="1"/>
      <c r="B3603" s="1"/>
      <c r="C3603" s="1"/>
      <c r="D3603" s="1"/>
      <c r="E3603" s="1"/>
      <c r="F3603" s="1"/>
      <c r="G3603" s="1"/>
      <c r="H3603" s="1"/>
      <c r="I3603" s="1"/>
      <c r="J3603" s="1"/>
      <c r="K3603" s="1"/>
      <c r="L3603" s="1"/>
      <c r="M3603" s="1"/>
      <c r="N3603" s="1"/>
      <c r="O3603" s="1"/>
      <c r="P3603" s="1"/>
      <c r="Q3603" s="1"/>
      <c r="R3603" s="1"/>
      <c r="S3603" s="1"/>
      <c r="T3603" s="1"/>
      <c r="U3603" s="1"/>
      <c r="V3603" s="1"/>
      <c r="W3603" s="1"/>
    </row>
    <row r="3604" customHeight="1" spans="1:23">
      <c r="A3604" s="1"/>
      <c r="B3604" s="1"/>
      <c r="C3604" s="1"/>
      <c r="D3604" s="1"/>
      <c r="E3604" s="1"/>
      <c r="F3604" s="1"/>
      <c r="G3604" s="1"/>
      <c r="H3604" s="1"/>
      <c r="I3604" s="1"/>
      <c r="J3604" s="1"/>
      <c r="K3604" s="1"/>
      <c r="L3604" s="1"/>
      <c r="M3604" s="1"/>
      <c r="N3604" s="1"/>
      <c r="O3604" s="1"/>
      <c r="P3604" s="1"/>
      <c r="Q3604" s="1"/>
      <c r="R3604" s="1"/>
      <c r="S3604" s="1"/>
      <c r="T3604" s="1"/>
      <c r="U3604" s="1"/>
      <c r="V3604" s="1"/>
      <c r="W3604" s="1"/>
    </row>
    <row r="3605" customHeight="1" spans="1:23">
      <c r="A3605" s="1"/>
      <c r="B3605" s="1"/>
      <c r="C3605" s="1"/>
      <c r="D3605" s="1"/>
      <c r="E3605" s="1"/>
      <c r="F3605" s="1"/>
      <c r="G3605" s="1"/>
      <c r="H3605" s="1"/>
      <c r="I3605" s="1"/>
      <c r="J3605" s="1"/>
      <c r="K3605" s="1"/>
      <c r="L3605" s="1"/>
      <c r="M3605" s="1"/>
      <c r="N3605" s="1"/>
      <c r="O3605" s="1"/>
      <c r="P3605" s="1"/>
      <c r="Q3605" s="1"/>
      <c r="R3605" s="1"/>
      <c r="S3605" s="1"/>
      <c r="T3605" s="1"/>
      <c r="U3605" s="1"/>
      <c r="V3605" s="1"/>
      <c r="W3605" s="1"/>
    </row>
    <row r="3606" customHeight="1" spans="1:23">
      <c r="A3606" s="1"/>
      <c r="B3606" s="1"/>
      <c r="C3606" s="1"/>
      <c r="D3606" s="1"/>
      <c r="E3606" s="1"/>
      <c r="F3606" s="1"/>
      <c r="G3606" s="1"/>
      <c r="H3606" s="1"/>
      <c r="I3606" s="1"/>
      <c r="J3606" s="1"/>
      <c r="K3606" s="1"/>
      <c r="L3606" s="1"/>
      <c r="M3606" s="1"/>
      <c r="N3606" s="1"/>
      <c r="O3606" s="1"/>
      <c r="P3606" s="1"/>
      <c r="Q3606" s="1"/>
      <c r="R3606" s="1"/>
      <c r="S3606" s="1"/>
      <c r="T3606" s="1"/>
      <c r="U3606" s="1"/>
      <c r="V3606" s="1"/>
      <c r="W3606" s="1"/>
    </row>
    <row r="3607" customHeight="1" spans="1:23">
      <c r="A3607" s="1"/>
      <c r="B3607" s="1"/>
      <c r="C3607" s="1"/>
      <c r="D3607" s="1"/>
      <c r="E3607" s="1"/>
      <c r="F3607" s="1"/>
      <c r="G3607" s="1"/>
      <c r="H3607" s="1"/>
      <c r="I3607" s="1"/>
      <c r="J3607" s="1"/>
      <c r="K3607" s="1"/>
      <c r="L3607" s="1"/>
      <c r="M3607" s="1"/>
      <c r="N3607" s="1"/>
      <c r="O3607" s="1"/>
      <c r="P3607" s="1"/>
      <c r="Q3607" s="1"/>
      <c r="R3607" s="1"/>
      <c r="S3607" s="1"/>
      <c r="T3607" s="1"/>
      <c r="U3607" s="1"/>
      <c r="V3607" s="1"/>
      <c r="W3607" s="1"/>
    </row>
    <row r="3608" customHeight="1" spans="1:23">
      <c r="A3608" s="1"/>
      <c r="B3608" s="1"/>
      <c r="C3608" s="1"/>
      <c r="D3608" s="1"/>
      <c r="E3608" s="1"/>
      <c r="F3608" s="1"/>
      <c r="G3608" s="1"/>
      <c r="H3608" s="1"/>
      <c r="I3608" s="1"/>
      <c r="J3608" s="1"/>
      <c r="K3608" s="1"/>
      <c r="L3608" s="1"/>
      <c r="M3608" s="1"/>
      <c r="N3608" s="1"/>
      <c r="O3608" s="1"/>
      <c r="P3608" s="1"/>
      <c r="Q3608" s="1"/>
      <c r="R3608" s="1"/>
      <c r="S3608" s="1"/>
      <c r="T3608" s="1"/>
      <c r="U3608" s="1"/>
      <c r="V3608" s="1"/>
      <c r="W3608" s="1"/>
    </row>
    <row r="3609" customHeight="1" spans="1:23">
      <c r="A3609" s="1"/>
      <c r="B3609" s="1"/>
      <c r="C3609" s="1"/>
      <c r="D3609" s="1"/>
      <c r="E3609" s="1"/>
      <c r="F3609" s="1"/>
      <c r="G3609" s="1"/>
      <c r="H3609" s="1"/>
      <c r="I3609" s="1"/>
      <c r="J3609" s="1"/>
      <c r="K3609" s="1"/>
      <c r="L3609" s="1"/>
      <c r="M3609" s="1"/>
      <c r="N3609" s="1"/>
      <c r="O3609" s="1"/>
      <c r="P3609" s="1"/>
      <c r="Q3609" s="1"/>
      <c r="R3609" s="1"/>
      <c r="S3609" s="1"/>
      <c r="T3609" s="1"/>
      <c r="U3609" s="1"/>
      <c r="V3609" s="1"/>
      <c r="W3609" s="1"/>
    </row>
    <row r="3610" customHeight="1" spans="1:23">
      <c r="A3610" s="1"/>
      <c r="B3610" s="1"/>
      <c r="C3610" s="1"/>
      <c r="D3610" s="1"/>
      <c r="E3610" s="1"/>
      <c r="F3610" s="1"/>
      <c r="G3610" s="1"/>
      <c r="H3610" s="1"/>
      <c r="I3610" s="1"/>
      <c r="J3610" s="1"/>
      <c r="K3610" s="1"/>
      <c r="L3610" s="1"/>
      <c r="M3610" s="1"/>
      <c r="N3610" s="1"/>
      <c r="O3610" s="1"/>
      <c r="P3610" s="1"/>
      <c r="Q3610" s="1"/>
      <c r="R3610" s="1"/>
      <c r="S3610" s="1"/>
      <c r="T3610" s="1"/>
      <c r="U3610" s="1"/>
      <c r="V3610" s="1"/>
      <c r="W3610" s="1"/>
    </row>
    <row r="3611" customHeight="1" spans="1:23">
      <c r="A3611" s="1"/>
      <c r="B3611" s="1"/>
      <c r="C3611" s="1"/>
      <c r="D3611" s="1"/>
      <c r="E3611" s="1"/>
      <c r="F3611" s="1"/>
      <c r="G3611" s="1"/>
      <c r="H3611" s="1"/>
      <c r="I3611" s="1"/>
      <c r="J3611" s="1"/>
      <c r="K3611" s="1"/>
      <c r="L3611" s="1"/>
      <c r="M3611" s="1"/>
      <c r="N3611" s="1"/>
      <c r="O3611" s="1"/>
      <c r="P3611" s="1"/>
      <c r="Q3611" s="1"/>
      <c r="R3611" s="1"/>
      <c r="S3611" s="1"/>
      <c r="T3611" s="1"/>
      <c r="U3611" s="1"/>
      <c r="V3611" s="1"/>
      <c r="W3611" s="1"/>
    </row>
    <row r="3612" customHeight="1" spans="1:23">
      <c r="A3612" s="1"/>
      <c r="B3612" s="1"/>
      <c r="C3612" s="1"/>
      <c r="D3612" s="1"/>
      <c r="E3612" s="1"/>
      <c r="F3612" s="1"/>
      <c r="G3612" s="1"/>
      <c r="H3612" s="1"/>
      <c r="I3612" s="1"/>
      <c r="J3612" s="1"/>
      <c r="K3612" s="1"/>
      <c r="L3612" s="1"/>
      <c r="M3612" s="1"/>
      <c r="N3612" s="1"/>
      <c r="O3612" s="1"/>
      <c r="P3612" s="1"/>
      <c r="Q3612" s="1"/>
      <c r="R3612" s="1"/>
      <c r="S3612" s="1"/>
      <c r="T3612" s="1"/>
      <c r="U3612" s="1"/>
      <c r="V3612" s="1"/>
      <c r="W3612" s="1"/>
    </row>
    <row r="3613" customHeight="1" spans="1:23">
      <c r="A3613" s="1"/>
      <c r="B3613" s="1"/>
      <c r="C3613" s="1"/>
      <c r="D3613" s="1"/>
      <c r="E3613" s="1"/>
      <c r="F3613" s="1"/>
      <c r="G3613" s="1"/>
      <c r="H3613" s="1"/>
      <c r="I3613" s="1"/>
      <c r="J3613" s="1"/>
      <c r="K3613" s="1"/>
      <c r="L3613" s="1"/>
      <c r="M3613" s="1"/>
      <c r="N3613" s="1"/>
      <c r="O3613" s="1"/>
      <c r="P3613" s="1"/>
      <c r="Q3613" s="1"/>
      <c r="R3613" s="1"/>
      <c r="S3613" s="1"/>
      <c r="T3613" s="1"/>
      <c r="U3613" s="1"/>
      <c r="V3613" s="1"/>
      <c r="W3613" s="1"/>
    </row>
    <row r="3614" customHeight="1" spans="1:23">
      <c r="A3614" s="1"/>
      <c r="B3614" s="1"/>
      <c r="C3614" s="1"/>
      <c r="D3614" s="1"/>
      <c r="E3614" s="1"/>
      <c r="F3614" s="1"/>
      <c r="G3614" s="1"/>
      <c r="H3614" s="1"/>
      <c r="I3614" s="1"/>
      <c r="J3614" s="1"/>
      <c r="K3614" s="1"/>
      <c r="L3614" s="1"/>
      <c r="M3614" s="1"/>
      <c r="N3614" s="1"/>
      <c r="O3614" s="1"/>
      <c r="P3614" s="1"/>
      <c r="Q3614" s="1"/>
      <c r="R3614" s="1"/>
      <c r="S3614" s="1"/>
      <c r="T3614" s="1"/>
      <c r="U3614" s="1"/>
      <c r="V3614" s="1"/>
      <c r="W3614" s="1"/>
    </row>
    <row r="3615" customHeight="1" spans="1:23">
      <c r="A3615" s="1"/>
      <c r="B3615" s="1"/>
      <c r="C3615" s="1"/>
      <c r="D3615" s="1"/>
      <c r="E3615" s="1"/>
      <c r="F3615" s="1"/>
      <c r="G3615" s="1"/>
      <c r="H3615" s="1"/>
      <c r="I3615" s="1"/>
      <c r="J3615" s="1"/>
      <c r="K3615" s="1"/>
      <c r="L3615" s="1"/>
      <c r="M3615" s="1"/>
      <c r="N3615" s="1"/>
      <c r="O3615" s="1"/>
      <c r="P3615" s="1"/>
      <c r="Q3615" s="1"/>
      <c r="R3615" s="1"/>
      <c r="S3615" s="1"/>
      <c r="T3615" s="1"/>
      <c r="U3615" s="1"/>
      <c r="V3615" s="1"/>
      <c r="W3615" s="1"/>
    </row>
    <row r="3616" customHeight="1" spans="1:23">
      <c r="A3616" s="1"/>
      <c r="B3616" s="1"/>
      <c r="C3616" s="1"/>
      <c r="D3616" s="1"/>
      <c r="E3616" s="1"/>
      <c r="F3616" s="1"/>
      <c r="G3616" s="1"/>
      <c r="H3616" s="1"/>
      <c r="I3616" s="1"/>
      <c r="J3616" s="1"/>
      <c r="K3616" s="1"/>
      <c r="L3616" s="1"/>
      <c r="M3616" s="1"/>
      <c r="N3616" s="1"/>
      <c r="O3616" s="1"/>
      <c r="P3616" s="1"/>
      <c r="Q3616" s="1"/>
      <c r="R3616" s="1"/>
      <c r="S3616" s="1"/>
      <c r="T3616" s="1"/>
      <c r="U3616" s="1"/>
      <c r="V3616" s="1"/>
      <c r="W3616" s="1"/>
    </row>
    <row r="3617" customHeight="1" spans="1:23">
      <c r="A3617" s="1"/>
      <c r="B3617" s="1"/>
      <c r="C3617" s="1"/>
      <c r="D3617" s="1"/>
      <c r="E3617" s="1"/>
      <c r="F3617" s="1"/>
      <c r="G3617" s="1"/>
      <c r="H3617" s="1"/>
      <c r="I3617" s="1"/>
      <c r="J3617" s="1"/>
      <c r="K3617" s="1"/>
      <c r="L3617" s="1"/>
      <c r="M3617" s="1"/>
      <c r="N3617" s="1"/>
      <c r="O3617" s="1"/>
      <c r="P3617" s="1"/>
      <c r="Q3617" s="1"/>
      <c r="R3617" s="1"/>
      <c r="S3617" s="1"/>
      <c r="T3617" s="1"/>
      <c r="U3617" s="1"/>
      <c r="V3617" s="1"/>
      <c r="W3617" s="1"/>
    </row>
    <row r="3618" customHeight="1" spans="1:23">
      <c r="A3618" s="1"/>
      <c r="B3618" s="1"/>
      <c r="C3618" s="1"/>
      <c r="D3618" s="1"/>
      <c r="E3618" s="1"/>
      <c r="F3618" s="1"/>
      <c r="G3618" s="1"/>
      <c r="H3618" s="1"/>
      <c r="I3618" s="1"/>
      <c r="J3618" s="1"/>
      <c r="K3618" s="1"/>
      <c r="L3618" s="1"/>
      <c r="M3618" s="1"/>
      <c r="N3618" s="1"/>
      <c r="O3618" s="1"/>
      <c r="P3618" s="1"/>
      <c r="Q3618" s="1"/>
      <c r="R3618" s="1"/>
      <c r="S3618" s="1"/>
      <c r="T3618" s="1"/>
      <c r="U3618" s="1"/>
      <c r="V3618" s="1"/>
      <c r="W3618" s="1"/>
    </row>
    <row r="3619" customHeight="1" spans="1:23">
      <c r="A3619" s="1"/>
      <c r="B3619" s="1"/>
      <c r="C3619" s="1"/>
      <c r="D3619" s="1"/>
      <c r="E3619" s="1"/>
      <c r="F3619" s="1"/>
      <c r="G3619" s="1"/>
      <c r="H3619" s="1"/>
      <c r="I3619" s="1"/>
      <c r="J3619" s="1"/>
      <c r="K3619" s="1"/>
      <c r="L3619" s="1"/>
      <c r="M3619" s="1"/>
      <c r="N3619" s="1"/>
      <c r="O3619" s="1"/>
      <c r="P3619" s="1"/>
      <c r="Q3619" s="1"/>
      <c r="R3619" s="1"/>
      <c r="S3619" s="1"/>
      <c r="T3619" s="1"/>
      <c r="U3619" s="1"/>
      <c r="V3619" s="1"/>
      <c r="W3619" s="1"/>
    </row>
    <row r="3620" customHeight="1" spans="1:23">
      <c r="A3620" s="1"/>
      <c r="B3620" s="1"/>
      <c r="C3620" s="1"/>
      <c r="D3620" s="1"/>
      <c r="E3620" s="1"/>
      <c r="F3620" s="1"/>
      <c r="G3620" s="1"/>
      <c r="H3620" s="1"/>
      <c r="I3620" s="1"/>
      <c r="J3620" s="1"/>
      <c r="K3620" s="1"/>
      <c r="L3620" s="1"/>
      <c r="M3620" s="1"/>
      <c r="N3620" s="1"/>
      <c r="O3620" s="1"/>
      <c r="P3620" s="1"/>
      <c r="Q3620" s="1"/>
      <c r="R3620" s="1"/>
      <c r="S3620" s="1"/>
      <c r="T3620" s="1"/>
      <c r="U3620" s="1"/>
      <c r="V3620" s="1"/>
      <c r="W3620" s="1"/>
    </row>
    <row r="3621" customHeight="1" spans="1:23">
      <c r="A3621" s="1"/>
      <c r="B3621" s="1"/>
      <c r="C3621" s="1"/>
      <c r="D3621" s="1"/>
      <c r="E3621" s="1"/>
      <c r="F3621" s="1"/>
      <c r="G3621" s="1"/>
      <c r="H3621" s="1"/>
      <c r="I3621" s="1"/>
      <c r="J3621" s="1"/>
      <c r="K3621" s="1"/>
      <c r="L3621" s="1"/>
      <c r="M3621" s="1"/>
      <c r="N3621" s="1"/>
      <c r="O3621" s="1"/>
      <c r="P3621" s="1"/>
      <c r="Q3621" s="1"/>
      <c r="R3621" s="1"/>
      <c r="S3621" s="1"/>
      <c r="T3621" s="1"/>
      <c r="U3621" s="1"/>
      <c r="V3621" s="1"/>
      <c r="W3621" s="1"/>
    </row>
    <row r="3622" customHeight="1" spans="1:23">
      <c r="A3622" s="1"/>
      <c r="B3622" s="1"/>
      <c r="C3622" s="1"/>
      <c r="D3622" s="1"/>
      <c r="E3622" s="1"/>
      <c r="F3622" s="1"/>
      <c r="G3622" s="1"/>
      <c r="H3622" s="1"/>
      <c r="I3622" s="1"/>
      <c r="J3622" s="1"/>
      <c r="K3622" s="1"/>
      <c r="L3622" s="1"/>
      <c r="M3622" s="1"/>
      <c r="N3622" s="1"/>
      <c r="O3622" s="1"/>
      <c r="P3622" s="1"/>
      <c r="Q3622" s="1"/>
      <c r="R3622" s="1"/>
      <c r="S3622" s="1"/>
      <c r="T3622" s="1"/>
      <c r="U3622" s="1"/>
      <c r="V3622" s="1"/>
      <c r="W3622" s="1"/>
    </row>
    <row r="3623" customHeight="1" spans="1:23">
      <c r="A3623" s="1"/>
      <c r="B3623" s="1"/>
      <c r="C3623" s="1"/>
      <c r="D3623" s="1"/>
      <c r="E3623" s="1"/>
      <c r="F3623" s="1"/>
      <c r="G3623" s="1"/>
      <c r="H3623" s="1"/>
      <c r="I3623" s="1"/>
      <c r="J3623" s="1"/>
      <c r="K3623" s="1"/>
      <c r="L3623" s="1"/>
      <c r="M3623" s="1"/>
      <c r="N3623" s="1"/>
      <c r="O3623" s="1"/>
      <c r="P3623" s="1"/>
      <c r="Q3623" s="1"/>
      <c r="R3623" s="1"/>
      <c r="S3623" s="1"/>
      <c r="T3623" s="1"/>
      <c r="U3623" s="1"/>
      <c r="V3623" s="1"/>
      <c r="W3623" s="1"/>
    </row>
    <row r="3624" customHeight="1" spans="1:23">
      <c r="A3624" s="1"/>
      <c r="B3624" s="1"/>
      <c r="C3624" s="1"/>
      <c r="D3624" s="1"/>
      <c r="E3624" s="1"/>
      <c r="F3624" s="1"/>
      <c r="G3624" s="1"/>
      <c r="H3624" s="1"/>
      <c r="I3624" s="1"/>
      <c r="J3624" s="1"/>
      <c r="K3624" s="1"/>
      <c r="L3624" s="1"/>
      <c r="M3624" s="1"/>
      <c r="N3624" s="1"/>
      <c r="O3624" s="1"/>
      <c r="P3624" s="1"/>
      <c r="Q3624" s="1"/>
      <c r="R3624" s="1"/>
      <c r="S3624" s="1"/>
      <c r="T3624" s="1"/>
      <c r="U3624" s="1"/>
      <c r="V3624" s="1"/>
      <c r="W3624" s="1"/>
    </row>
    <row r="3625" customHeight="1" spans="1:23">
      <c r="A3625" s="1"/>
      <c r="B3625" s="1"/>
      <c r="C3625" s="1"/>
      <c r="D3625" s="1"/>
      <c r="E3625" s="1"/>
      <c r="F3625" s="1"/>
      <c r="G3625" s="1"/>
      <c r="H3625" s="1"/>
      <c r="I3625" s="1"/>
      <c r="J3625" s="1"/>
      <c r="K3625" s="1"/>
      <c r="L3625" s="1"/>
      <c r="M3625" s="1"/>
      <c r="N3625" s="1"/>
      <c r="O3625" s="1"/>
      <c r="P3625" s="1"/>
      <c r="Q3625" s="1"/>
      <c r="R3625" s="1"/>
      <c r="S3625" s="1"/>
      <c r="T3625" s="1"/>
      <c r="U3625" s="1"/>
      <c r="V3625" s="1"/>
      <c r="W3625" s="1"/>
    </row>
    <row r="3626" customHeight="1" spans="1:23">
      <c r="A3626" s="1"/>
      <c r="B3626" s="1"/>
      <c r="C3626" s="1"/>
      <c r="D3626" s="1"/>
      <c r="E3626" s="1"/>
      <c r="F3626" s="1"/>
      <c r="G3626" s="1"/>
      <c r="H3626" s="1"/>
      <c r="I3626" s="1"/>
      <c r="J3626" s="1"/>
      <c r="K3626" s="1"/>
      <c r="L3626" s="1"/>
      <c r="M3626" s="1"/>
      <c r="N3626" s="1"/>
      <c r="O3626" s="1"/>
      <c r="P3626" s="1"/>
      <c r="Q3626" s="1"/>
      <c r="R3626" s="1"/>
      <c r="S3626" s="1"/>
      <c r="T3626" s="1"/>
      <c r="U3626" s="1"/>
      <c r="V3626" s="1"/>
      <c r="W3626" s="1"/>
    </row>
    <row r="3627" customHeight="1" spans="1:23">
      <c r="A3627" s="1"/>
      <c r="B3627" s="1"/>
      <c r="C3627" s="1"/>
      <c r="D3627" s="1"/>
      <c r="E3627" s="1"/>
      <c r="F3627" s="1"/>
      <c r="G3627" s="1"/>
      <c r="H3627" s="1"/>
      <c r="I3627" s="1"/>
      <c r="J3627" s="1"/>
      <c r="K3627" s="1"/>
      <c r="L3627" s="1"/>
      <c r="M3627" s="1"/>
      <c r="N3627" s="1"/>
      <c r="O3627" s="1"/>
      <c r="P3627" s="1"/>
      <c r="Q3627" s="1"/>
      <c r="R3627" s="1"/>
      <c r="S3627" s="1"/>
      <c r="T3627" s="1"/>
      <c r="U3627" s="1"/>
      <c r="V3627" s="1"/>
      <c r="W3627" s="1"/>
    </row>
    <row r="3628" customHeight="1" spans="1:23">
      <c r="A3628" s="1"/>
      <c r="B3628" s="1"/>
      <c r="C3628" s="1"/>
      <c r="D3628" s="1"/>
      <c r="E3628" s="1"/>
      <c r="F3628" s="1"/>
      <c r="G3628" s="1"/>
      <c r="H3628" s="1"/>
      <c r="I3628" s="1"/>
      <c r="J3628" s="1"/>
      <c r="K3628" s="1"/>
      <c r="L3628" s="1"/>
      <c r="M3628" s="1"/>
      <c r="N3628" s="1"/>
      <c r="O3628" s="1"/>
      <c r="P3628" s="1"/>
      <c r="Q3628" s="1"/>
      <c r="R3628" s="1"/>
      <c r="S3628" s="1"/>
      <c r="T3628" s="1"/>
      <c r="U3628" s="1"/>
      <c r="V3628" s="1"/>
      <c r="W3628" s="1"/>
    </row>
    <row r="3629" customHeight="1" spans="1:23">
      <c r="A3629" s="1"/>
      <c r="B3629" s="1"/>
      <c r="C3629" s="1"/>
      <c r="D3629" s="1"/>
      <c r="E3629" s="1"/>
      <c r="F3629" s="1"/>
      <c r="G3629" s="1"/>
      <c r="H3629" s="1"/>
      <c r="I3629" s="1"/>
      <c r="J3629" s="1"/>
      <c r="K3629" s="1"/>
      <c r="L3629" s="1"/>
      <c r="M3629" s="1"/>
      <c r="N3629" s="1"/>
      <c r="O3629" s="1"/>
      <c r="P3629" s="1"/>
      <c r="Q3629" s="1"/>
      <c r="R3629" s="1"/>
      <c r="S3629" s="1"/>
      <c r="T3629" s="1"/>
      <c r="U3629" s="1"/>
      <c r="V3629" s="1"/>
      <c r="W3629" s="1"/>
    </row>
    <row r="3630" customHeight="1" spans="1:23">
      <c r="A3630" s="1"/>
      <c r="B3630" s="1"/>
      <c r="C3630" s="1"/>
      <c r="D3630" s="1"/>
      <c r="E3630" s="1"/>
      <c r="F3630" s="1"/>
      <c r="G3630" s="1"/>
      <c r="H3630" s="1"/>
      <c r="I3630" s="1"/>
      <c r="J3630" s="1"/>
      <c r="K3630" s="1"/>
      <c r="L3630" s="1"/>
      <c r="M3630" s="1"/>
      <c r="N3630" s="1"/>
      <c r="O3630" s="1"/>
      <c r="P3630" s="1"/>
      <c r="Q3630" s="1"/>
      <c r="R3630" s="1"/>
      <c r="S3630" s="1"/>
      <c r="T3630" s="1"/>
      <c r="U3630" s="1"/>
      <c r="V3630" s="1"/>
      <c r="W3630" s="1"/>
    </row>
    <row r="3631" customHeight="1" spans="1:23">
      <c r="A3631" s="1"/>
      <c r="B3631" s="1"/>
      <c r="C3631" s="1"/>
      <c r="D3631" s="1"/>
      <c r="E3631" s="1"/>
      <c r="F3631" s="1"/>
      <c r="G3631" s="1"/>
      <c r="H3631" s="1"/>
      <c r="I3631" s="1"/>
      <c r="J3631" s="1"/>
      <c r="K3631" s="1"/>
      <c r="L3631" s="1"/>
      <c r="M3631" s="1"/>
      <c r="N3631" s="1"/>
      <c r="O3631" s="1"/>
      <c r="P3631" s="1"/>
      <c r="Q3631" s="1"/>
      <c r="R3631" s="1"/>
      <c r="S3631" s="1"/>
      <c r="T3631" s="1"/>
      <c r="U3631" s="1"/>
      <c r="V3631" s="1"/>
      <c r="W3631" s="1"/>
    </row>
    <row r="3632" customHeight="1" spans="1:23">
      <c r="A3632" s="1"/>
      <c r="B3632" s="1"/>
      <c r="C3632" s="1"/>
      <c r="D3632" s="1"/>
      <c r="E3632" s="1"/>
      <c r="F3632" s="1"/>
      <c r="G3632" s="1"/>
      <c r="H3632" s="1"/>
      <c r="I3632" s="1"/>
      <c r="J3632" s="1"/>
      <c r="K3632" s="1"/>
      <c r="L3632" s="1"/>
      <c r="M3632" s="1"/>
      <c r="N3632" s="1"/>
      <c r="O3632" s="1"/>
      <c r="P3632" s="1"/>
      <c r="Q3632" s="1"/>
      <c r="R3632" s="1"/>
      <c r="S3632" s="1"/>
      <c r="T3632" s="1"/>
      <c r="U3632" s="1"/>
      <c r="V3632" s="1"/>
      <c r="W3632" s="1"/>
    </row>
    <row r="3633" customHeight="1" spans="1:23">
      <c r="A3633" s="1"/>
      <c r="B3633" s="1"/>
      <c r="C3633" s="1"/>
      <c r="D3633" s="1"/>
      <c r="E3633" s="1"/>
      <c r="F3633" s="1"/>
      <c r="G3633" s="1"/>
      <c r="H3633" s="1"/>
      <c r="I3633" s="1"/>
      <c r="J3633" s="1"/>
      <c r="K3633" s="1"/>
      <c r="L3633" s="1"/>
      <c r="M3633" s="1"/>
      <c r="N3633" s="1"/>
      <c r="O3633" s="1"/>
      <c r="P3633" s="1"/>
      <c r="Q3633" s="1"/>
      <c r="R3633" s="1"/>
      <c r="S3633" s="1"/>
      <c r="T3633" s="1"/>
      <c r="U3633" s="1"/>
      <c r="V3633" s="1"/>
      <c r="W3633" s="1"/>
    </row>
    <row r="3634" customHeight="1" spans="1:23">
      <c r="A3634" s="1"/>
      <c r="B3634" s="1"/>
      <c r="C3634" s="1"/>
      <c r="D3634" s="1"/>
      <c r="E3634" s="1"/>
      <c r="F3634" s="1"/>
      <c r="G3634" s="1"/>
      <c r="H3634" s="1"/>
      <c r="I3634" s="1"/>
      <c r="J3634" s="1"/>
      <c r="K3634" s="1"/>
      <c r="L3634" s="1"/>
      <c r="M3634" s="1"/>
      <c r="N3634" s="1"/>
      <c r="O3634" s="1"/>
      <c r="P3634" s="1"/>
      <c r="Q3634" s="1"/>
      <c r="R3634" s="1"/>
      <c r="S3634" s="1"/>
      <c r="T3634" s="1"/>
      <c r="U3634" s="1"/>
      <c r="V3634" s="1"/>
      <c r="W3634" s="1"/>
    </row>
    <row r="3635" customHeight="1" spans="1:23">
      <c r="A3635" s="1"/>
      <c r="B3635" s="1"/>
      <c r="C3635" s="1"/>
      <c r="D3635" s="1"/>
      <c r="E3635" s="1"/>
      <c r="F3635" s="1"/>
      <c r="G3635" s="1"/>
      <c r="H3635" s="1"/>
      <c r="I3635" s="1"/>
      <c r="J3635" s="1"/>
      <c r="K3635" s="1"/>
      <c r="L3635" s="1"/>
      <c r="M3635" s="1"/>
      <c r="N3635" s="1"/>
      <c r="O3635" s="1"/>
      <c r="P3635" s="1"/>
      <c r="Q3635" s="1"/>
      <c r="R3635" s="1"/>
      <c r="S3635" s="1"/>
      <c r="T3635" s="1"/>
      <c r="U3635" s="1"/>
      <c r="V3635" s="1"/>
      <c r="W3635" s="1"/>
    </row>
    <row r="3636" customHeight="1" spans="1:23">
      <c r="A3636" s="1"/>
      <c r="B3636" s="1"/>
      <c r="C3636" s="1"/>
      <c r="D3636" s="1"/>
      <c r="E3636" s="1"/>
      <c r="F3636" s="1"/>
      <c r="G3636" s="1"/>
      <c r="H3636" s="1"/>
      <c r="I3636" s="1"/>
      <c r="J3636" s="1"/>
      <c r="K3636" s="1"/>
      <c r="L3636" s="1"/>
      <c r="M3636" s="1"/>
      <c r="N3636" s="1"/>
      <c r="O3636" s="1"/>
      <c r="P3636" s="1"/>
      <c r="Q3636" s="1"/>
      <c r="R3636" s="1"/>
      <c r="S3636" s="1"/>
      <c r="T3636" s="1"/>
      <c r="U3636" s="1"/>
      <c r="V3636" s="1"/>
      <c r="W3636" s="1"/>
    </row>
    <row r="3637" customHeight="1" spans="1:23">
      <c r="A3637" s="1"/>
      <c r="B3637" s="1"/>
      <c r="C3637" s="1"/>
      <c r="D3637" s="1"/>
      <c r="E3637" s="1"/>
      <c r="F3637" s="1"/>
      <c r="G3637" s="1"/>
      <c r="H3637" s="1"/>
      <c r="I3637" s="1"/>
      <c r="J3637" s="1"/>
      <c r="K3637" s="1"/>
      <c r="L3637" s="1"/>
      <c r="M3637" s="1"/>
      <c r="N3637" s="1"/>
      <c r="O3637" s="1"/>
      <c r="P3637" s="1"/>
      <c r="Q3637" s="1"/>
      <c r="R3637" s="1"/>
      <c r="S3637" s="1"/>
      <c r="T3637" s="1"/>
      <c r="U3637" s="1"/>
      <c r="V3637" s="1"/>
      <c r="W3637" s="1"/>
    </row>
    <row r="3638" customHeight="1" spans="1:23">
      <c r="A3638" s="1"/>
      <c r="B3638" s="1"/>
      <c r="C3638" s="1"/>
      <c r="D3638" s="1"/>
      <c r="E3638" s="1"/>
      <c r="F3638" s="1"/>
      <c r="G3638" s="1"/>
      <c r="H3638" s="1"/>
      <c r="I3638" s="1"/>
      <c r="J3638" s="1"/>
      <c r="K3638" s="1"/>
      <c r="L3638" s="1"/>
      <c r="M3638" s="1"/>
      <c r="N3638" s="1"/>
      <c r="O3638" s="1"/>
      <c r="P3638" s="1"/>
      <c r="Q3638" s="1"/>
      <c r="R3638" s="1"/>
      <c r="S3638" s="1"/>
      <c r="T3638" s="1"/>
      <c r="U3638" s="1"/>
      <c r="V3638" s="1"/>
      <c r="W3638" s="1"/>
    </row>
    <row r="3639" customHeight="1" spans="1:23">
      <c r="A3639" s="1"/>
      <c r="B3639" s="1"/>
      <c r="C3639" s="1"/>
      <c r="D3639" s="1"/>
      <c r="E3639" s="1"/>
      <c r="F3639" s="1"/>
      <c r="G3639" s="1"/>
      <c r="H3639" s="1"/>
      <c r="I3639" s="1"/>
      <c r="J3639" s="1"/>
      <c r="K3639" s="1"/>
      <c r="L3639" s="1"/>
      <c r="M3639" s="1"/>
      <c r="N3639" s="1"/>
      <c r="O3639" s="1"/>
      <c r="P3639" s="1"/>
      <c r="Q3639" s="1"/>
      <c r="R3639" s="1"/>
      <c r="S3639" s="1"/>
      <c r="T3639" s="1"/>
      <c r="U3639" s="1"/>
      <c r="V3639" s="1"/>
      <c r="W3639" s="1"/>
    </row>
    <row r="3640" customHeight="1" spans="1:23">
      <c r="A3640" s="1"/>
      <c r="B3640" s="1"/>
      <c r="C3640" s="1"/>
      <c r="D3640" s="1"/>
      <c r="E3640" s="1"/>
      <c r="F3640" s="1"/>
      <c r="G3640" s="1"/>
      <c r="H3640" s="1"/>
      <c r="I3640" s="1"/>
      <c r="J3640" s="1"/>
      <c r="K3640" s="1"/>
      <c r="L3640" s="1"/>
      <c r="M3640" s="1"/>
      <c r="N3640" s="1"/>
      <c r="O3640" s="1"/>
      <c r="P3640" s="1"/>
      <c r="Q3640" s="1"/>
      <c r="R3640" s="1"/>
      <c r="S3640" s="1"/>
      <c r="T3640" s="1"/>
      <c r="U3640" s="1"/>
      <c r="V3640" s="1"/>
      <c r="W3640" s="1"/>
    </row>
    <row r="3641" customHeight="1" spans="1:23">
      <c r="A3641" s="1"/>
      <c r="B3641" s="1"/>
      <c r="C3641" s="1"/>
      <c r="D3641" s="1"/>
      <c r="E3641" s="1"/>
      <c r="F3641" s="1"/>
      <c r="G3641" s="1"/>
      <c r="H3641" s="1"/>
      <c r="I3641" s="1"/>
      <c r="J3641" s="1"/>
      <c r="K3641" s="1"/>
      <c r="L3641" s="1"/>
      <c r="M3641" s="1"/>
      <c r="N3641" s="1"/>
      <c r="O3641" s="1"/>
      <c r="P3641" s="1"/>
      <c r="Q3641" s="1"/>
      <c r="R3641" s="1"/>
      <c r="S3641" s="1"/>
      <c r="T3641" s="1"/>
      <c r="U3641" s="1"/>
      <c r="V3641" s="1"/>
      <c r="W3641" s="1"/>
    </row>
    <row r="3642" customHeight="1" spans="1:23">
      <c r="A3642" s="1"/>
      <c r="B3642" s="1"/>
      <c r="C3642" s="1"/>
      <c r="D3642" s="1"/>
      <c r="E3642" s="1"/>
      <c r="F3642" s="1"/>
      <c r="G3642" s="1"/>
      <c r="H3642" s="1"/>
      <c r="I3642" s="1"/>
      <c r="J3642" s="1"/>
      <c r="K3642" s="1"/>
      <c r="L3642" s="1"/>
      <c r="M3642" s="1"/>
      <c r="N3642" s="1"/>
      <c r="O3642" s="1"/>
      <c r="P3642" s="1"/>
      <c r="Q3642" s="1"/>
      <c r="R3642" s="1"/>
      <c r="S3642" s="1"/>
      <c r="T3642" s="1"/>
      <c r="U3642" s="1"/>
      <c r="V3642" s="1"/>
      <c r="W3642" s="1"/>
    </row>
    <row r="3643" customHeight="1" spans="1:23">
      <c r="A3643" s="1"/>
      <c r="B3643" s="1"/>
      <c r="C3643" s="1"/>
      <c r="D3643" s="1"/>
      <c r="E3643" s="1"/>
      <c r="F3643" s="1"/>
      <c r="G3643" s="1"/>
      <c r="H3643" s="1"/>
      <c r="I3643" s="1"/>
      <c r="J3643" s="1"/>
      <c r="K3643" s="1"/>
      <c r="L3643" s="1"/>
      <c r="M3643" s="1"/>
      <c r="N3643" s="1"/>
      <c r="O3643" s="1"/>
      <c r="P3643" s="1"/>
      <c r="Q3643" s="1"/>
      <c r="R3643" s="1"/>
      <c r="S3643" s="1"/>
      <c r="T3643" s="1"/>
      <c r="U3643" s="1"/>
      <c r="V3643" s="1"/>
      <c r="W3643" s="1"/>
    </row>
    <row r="3644" customHeight="1" spans="1:23">
      <c r="A3644" s="1"/>
      <c r="B3644" s="1"/>
      <c r="C3644" s="1"/>
      <c r="D3644" s="1"/>
      <c r="E3644" s="1"/>
      <c r="F3644" s="1"/>
      <c r="G3644" s="1"/>
      <c r="H3644" s="1"/>
      <c r="I3644" s="1"/>
      <c r="J3644" s="1"/>
      <c r="K3644" s="1"/>
      <c r="L3644" s="1"/>
      <c r="M3644" s="1"/>
      <c r="N3644" s="1"/>
      <c r="O3644" s="1"/>
      <c r="P3644" s="1"/>
      <c r="Q3644" s="1"/>
      <c r="R3644" s="1"/>
      <c r="S3644" s="1"/>
      <c r="T3644" s="1"/>
      <c r="U3644" s="1"/>
      <c r="V3644" s="1"/>
      <c r="W3644" s="1"/>
    </row>
    <row r="3645" customHeight="1" spans="1:23">
      <c r="A3645" s="1"/>
      <c r="B3645" s="1"/>
      <c r="C3645" s="1"/>
      <c r="D3645" s="1"/>
      <c r="E3645" s="1"/>
      <c r="F3645" s="1"/>
      <c r="G3645" s="1"/>
      <c r="H3645" s="1"/>
      <c r="I3645" s="1"/>
      <c r="J3645" s="1"/>
      <c r="K3645" s="1"/>
      <c r="L3645" s="1"/>
      <c r="M3645" s="1"/>
      <c r="N3645" s="1"/>
      <c r="O3645" s="1"/>
      <c r="P3645" s="1"/>
      <c r="Q3645" s="1"/>
      <c r="R3645" s="1"/>
      <c r="S3645" s="1"/>
      <c r="T3645" s="1"/>
      <c r="U3645" s="1"/>
      <c r="V3645" s="1"/>
      <c r="W3645" s="1"/>
    </row>
    <row r="3646" customHeight="1" spans="1:23">
      <c r="A3646" s="1"/>
      <c r="B3646" s="1"/>
      <c r="C3646" s="1"/>
      <c r="D3646" s="1"/>
      <c r="E3646" s="1"/>
      <c r="F3646" s="1"/>
      <c r="G3646" s="1"/>
      <c r="H3646" s="1"/>
      <c r="I3646" s="1"/>
      <c r="J3646" s="1"/>
      <c r="K3646" s="1"/>
      <c r="L3646" s="1"/>
      <c r="M3646" s="1"/>
      <c r="N3646" s="1"/>
      <c r="O3646" s="1"/>
      <c r="P3646" s="1"/>
      <c r="Q3646" s="1"/>
      <c r="R3646" s="1"/>
      <c r="S3646" s="1"/>
      <c r="T3646" s="1"/>
      <c r="U3646" s="1"/>
      <c r="V3646" s="1"/>
      <c r="W3646" s="1"/>
    </row>
    <row r="3647" customHeight="1" spans="1:23">
      <c r="A3647" s="1"/>
      <c r="B3647" s="1"/>
      <c r="C3647" s="1"/>
      <c r="D3647" s="1"/>
      <c r="E3647" s="1"/>
      <c r="F3647" s="1"/>
      <c r="G3647" s="1"/>
      <c r="H3647" s="1"/>
      <c r="I3647" s="1"/>
      <c r="J3647" s="1"/>
      <c r="K3647" s="1"/>
      <c r="L3647" s="1"/>
      <c r="M3647" s="1"/>
      <c r="N3647" s="1"/>
      <c r="O3647" s="1"/>
      <c r="P3647" s="1"/>
      <c r="Q3647" s="1"/>
      <c r="R3647" s="1"/>
      <c r="S3647" s="1"/>
      <c r="T3647" s="1"/>
      <c r="U3647" s="1"/>
      <c r="V3647" s="1"/>
      <c r="W3647" s="1"/>
    </row>
    <row r="3648" customHeight="1" spans="1:23">
      <c r="A3648" s="1"/>
      <c r="B3648" s="1"/>
      <c r="C3648" s="1"/>
      <c r="D3648" s="1"/>
      <c r="E3648" s="1"/>
      <c r="F3648" s="1"/>
      <c r="G3648" s="1"/>
      <c r="H3648" s="1"/>
      <c r="I3648" s="1"/>
      <c r="J3648" s="1"/>
      <c r="K3648" s="1"/>
      <c r="L3648" s="1"/>
      <c r="M3648" s="1"/>
      <c r="N3648" s="1"/>
      <c r="O3648" s="1"/>
      <c r="P3648" s="1"/>
      <c r="Q3648" s="1"/>
      <c r="R3648" s="1"/>
      <c r="S3648" s="1"/>
      <c r="T3648" s="1"/>
      <c r="U3648" s="1"/>
      <c r="V3648" s="1"/>
      <c r="W3648" s="1"/>
    </row>
    <row r="3649" customHeight="1" spans="1:23">
      <c r="A3649" s="1"/>
      <c r="B3649" s="1"/>
      <c r="C3649" s="1"/>
      <c r="D3649" s="1"/>
      <c r="E3649" s="1"/>
      <c r="F3649" s="1"/>
      <c r="G3649" s="1"/>
      <c r="H3649" s="1"/>
      <c r="I3649" s="1"/>
      <c r="J3649" s="1"/>
      <c r="K3649" s="1"/>
      <c r="L3649" s="1"/>
      <c r="M3649" s="1"/>
      <c r="N3649" s="1"/>
      <c r="O3649" s="1"/>
      <c r="P3649" s="1"/>
      <c r="Q3649" s="1"/>
      <c r="R3649" s="1"/>
      <c r="S3649" s="1"/>
      <c r="T3649" s="1"/>
      <c r="U3649" s="1"/>
      <c r="V3649" s="1"/>
      <c r="W3649" s="1"/>
    </row>
    <row r="3650" customHeight="1" spans="1:23">
      <c r="A3650" s="1"/>
      <c r="B3650" s="1"/>
      <c r="C3650" s="1"/>
      <c r="D3650" s="1"/>
      <c r="E3650" s="1"/>
      <c r="F3650" s="1"/>
      <c r="G3650" s="1"/>
      <c r="H3650" s="1"/>
      <c r="I3650" s="1"/>
      <c r="J3650" s="1"/>
      <c r="K3650" s="1"/>
      <c r="L3650" s="1"/>
      <c r="M3650" s="1"/>
      <c r="N3650" s="1"/>
      <c r="O3650" s="1"/>
      <c r="P3650" s="1"/>
      <c r="Q3650" s="1"/>
      <c r="R3650" s="1"/>
      <c r="S3650" s="1"/>
      <c r="T3650" s="1"/>
      <c r="U3650" s="1"/>
      <c r="V3650" s="1"/>
      <c r="W3650" s="1"/>
    </row>
    <row r="3651" customHeight="1" spans="1:23">
      <c r="A3651" s="1"/>
      <c r="B3651" s="1"/>
      <c r="C3651" s="1"/>
      <c r="D3651" s="1"/>
      <c r="E3651" s="1"/>
      <c r="F3651" s="1"/>
      <c r="G3651" s="1"/>
      <c r="H3651" s="1"/>
      <c r="I3651" s="1"/>
      <c r="J3651" s="1"/>
      <c r="K3651" s="1"/>
      <c r="L3651" s="1"/>
      <c r="M3651" s="1"/>
      <c r="N3651" s="1"/>
      <c r="O3651" s="1"/>
      <c r="P3651" s="1"/>
      <c r="Q3651" s="1"/>
      <c r="R3651" s="1"/>
      <c r="S3651" s="1"/>
      <c r="T3651" s="1"/>
      <c r="U3651" s="1"/>
      <c r="V3651" s="1"/>
      <c r="W3651" s="1"/>
    </row>
    <row r="3652" customHeight="1" spans="1:23">
      <c r="A3652" s="1"/>
      <c r="B3652" s="1"/>
      <c r="C3652" s="1"/>
      <c r="D3652" s="1"/>
      <c r="E3652" s="1"/>
      <c r="F3652" s="1"/>
      <c r="G3652" s="1"/>
      <c r="H3652" s="1"/>
      <c r="I3652" s="1"/>
      <c r="J3652" s="1"/>
      <c r="K3652" s="1"/>
      <c r="L3652" s="1"/>
      <c r="M3652" s="1"/>
      <c r="N3652" s="1"/>
      <c r="O3652" s="1"/>
      <c r="P3652" s="1"/>
      <c r="Q3652" s="1"/>
      <c r="R3652" s="1"/>
      <c r="S3652" s="1"/>
      <c r="T3652" s="1"/>
      <c r="U3652" s="1"/>
      <c r="V3652" s="1"/>
      <c r="W3652" s="1"/>
    </row>
    <row r="3653" customHeight="1" spans="1:23">
      <c r="A3653" s="1"/>
      <c r="B3653" s="1"/>
      <c r="C3653" s="1"/>
      <c r="D3653" s="1"/>
      <c r="E3653" s="1"/>
      <c r="F3653" s="1"/>
      <c r="G3653" s="1"/>
      <c r="H3653" s="1"/>
      <c r="I3653" s="1"/>
      <c r="J3653" s="1"/>
      <c r="K3653" s="1"/>
      <c r="L3653" s="1"/>
      <c r="M3653" s="1"/>
      <c r="N3653" s="1"/>
      <c r="O3653" s="1"/>
      <c r="P3653" s="1"/>
      <c r="Q3653" s="1"/>
      <c r="R3653" s="1"/>
      <c r="S3653" s="1"/>
      <c r="T3653" s="1"/>
      <c r="U3653" s="1"/>
      <c r="V3653" s="1"/>
      <c r="W3653" s="1"/>
    </row>
    <row r="3654" customHeight="1" spans="1:23">
      <c r="A3654" s="1"/>
      <c r="B3654" s="1"/>
      <c r="C3654" s="1"/>
      <c r="D3654" s="1"/>
      <c r="E3654" s="1"/>
      <c r="F3654" s="1"/>
      <c r="G3654" s="1"/>
      <c r="H3654" s="1"/>
      <c r="I3654" s="1"/>
      <c r="J3654" s="1"/>
      <c r="K3654" s="1"/>
      <c r="L3654" s="1"/>
      <c r="M3654" s="1"/>
      <c r="N3654" s="1"/>
      <c r="O3654" s="1"/>
      <c r="P3654" s="1"/>
      <c r="Q3654" s="1"/>
      <c r="R3654" s="1"/>
      <c r="S3654" s="1"/>
      <c r="T3654" s="1"/>
      <c r="U3654" s="1"/>
      <c r="V3654" s="1"/>
      <c r="W3654" s="1"/>
    </row>
    <row r="3655" customHeight="1" spans="1:23">
      <c r="A3655" s="1"/>
      <c r="B3655" s="1"/>
      <c r="C3655" s="1"/>
      <c r="D3655" s="1"/>
      <c r="E3655" s="1"/>
      <c r="F3655" s="1"/>
      <c r="G3655" s="1"/>
      <c r="H3655" s="1"/>
      <c r="I3655" s="1"/>
      <c r="J3655" s="1"/>
      <c r="K3655" s="1"/>
      <c r="L3655" s="1"/>
      <c r="M3655" s="1"/>
      <c r="N3655" s="1"/>
      <c r="O3655" s="1"/>
      <c r="P3655" s="1"/>
      <c r="Q3655" s="1"/>
      <c r="R3655" s="1"/>
      <c r="S3655" s="1"/>
      <c r="T3655" s="1"/>
      <c r="U3655" s="1"/>
      <c r="V3655" s="1"/>
      <c r="W3655" s="1"/>
    </row>
    <row r="3656" customHeight="1" spans="1:23">
      <c r="A3656" s="1"/>
      <c r="B3656" s="1"/>
      <c r="C3656" s="1"/>
      <c r="D3656" s="1"/>
      <c r="E3656" s="1"/>
      <c r="F3656" s="1"/>
      <c r="G3656" s="1"/>
      <c r="H3656" s="1"/>
      <c r="I3656" s="1"/>
      <c r="J3656" s="1"/>
      <c r="K3656" s="1"/>
      <c r="L3656" s="1"/>
      <c r="M3656" s="1"/>
      <c r="N3656" s="1"/>
      <c r="O3656" s="1"/>
      <c r="P3656" s="1"/>
      <c r="Q3656" s="1"/>
      <c r="R3656" s="1"/>
      <c r="S3656" s="1"/>
      <c r="T3656" s="1"/>
      <c r="U3656" s="1"/>
      <c r="V3656" s="1"/>
      <c r="W3656" s="1"/>
    </row>
    <row r="3657" customHeight="1" spans="1:23">
      <c r="A3657" s="1"/>
      <c r="B3657" s="1"/>
      <c r="C3657" s="1"/>
      <c r="D3657" s="1"/>
      <c r="E3657" s="1"/>
      <c r="F3657" s="1"/>
      <c r="G3657" s="1"/>
      <c r="H3657" s="1"/>
      <c r="I3657" s="1"/>
      <c r="J3657" s="1"/>
      <c r="K3657" s="1"/>
      <c r="L3657" s="1"/>
      <c r="M3657" s="1"/>
      <c r="N3657" s="1"/>
      <c r="O3657" s="1"/>
      <c r="P3657" s="1"/>
      <c r="Q3657" s="1"/>
      <c r="R3657" s="1"/>
      <c r="S3657" s="1"/>
      <c r="T3657" s="1"/>
      <c r="U3657" s="1"/>
      <c r="V3657" s="1"/>
      <c r="W3657" s="1"/>
    </row>
    <row r="3658" customHeight="1" spans="1:23">
      <c r="A3658" s="1"/>
      <c r="B3658" s="1"/>
      <c r="C3658" s="1"/>
      <c r="D3658" s="1"/>
      <c r="E3658" s="1"/>
      <c r="F3658" s="1"/>
      <c r="G3658" s="1"/>
      <c r="H3658" s="1"/>
      <c r="I3658" s="1"/>
      <c r="J3658" s="1"/>
      <c r="K3658" s="1"/>
      <c r="L3658" s="1"/>
      <c r="M3658" s="1"/>
      <c r="N3658" s="1"/>
      <c r="O3658" s="1"/>
      <c r="P3658" s="1"/>
      <c r="Q3658" s="1"/>
      <c r="R3658" s="1"/>
      <c r="S3658" s="1"/>
      <c r="T3658" s="1"/>
      <c r="U3658" s="1"/>
      <c r="V3658" s="1"/>
      <c r="W3658" s="1"/>
    </row>
    <row r="3659" customHeight="1" spans="1:23">
      <c r="A3659" s="1"/>
      <c r="B3659" s="1"/>
      <c r="C3659" s="1"/>
      <c r="D3659" s="1"/>
      <c r="E3659" s="1"/>
      <c r="F3659" s="1"/>
      <c r="G3659" s="1"/>
      <c r="H3659" s="1"/>
      <c r="I3659" s="1"/>
      <c r="J3659" s="1"/>
      <c r="K3659" s="1"/>
      <c r="L3659" s="1"/>
      <c r="M3659" s="1"/>
      <c r="N3659" s="1"/>
      <c r="O3659" s="1"/>
      <c r="P3659" s="1"/>
      <c r="Q3659" s="1"/>
      <c r="R3659" s="1"/>
      <c r="S3659" s="1"/>
      <c r="T3659" s="1"/>
      <c r="U3659" s="1"/>
      <c r="V3659" s="1"/>
      <c r="W3659" s="1"/>
    </row>
    <row r="3660" customHeight="1" spans="1:23">
      <c r="A3660" s="1"/>
      <c r="B3660" s="1"/>
      <c r="C3660" s="1"/>
      <c r="D3660" s="1"/>
      <c r="E3660" s="1"/>
      <c r="F3660" s="1"/>
      <c r="G3660" s="1"/>
      <c r="H3660" s="1"/>
      <c r="I3660" s="1"/>
      <c r="J3660" s="1"/>
      <c r="K3660" s="1"/>
      <c r="L3660" s="1"/>
      <c r="M3660" s="1"/>
      <c r="N3660" s="1"/>
      <c r="O3660" s="1"/>
      <c r="P3660" s="1"/>
      <c r="Q3660" s="1"/>
      <c r="R3660" s="1"/>
      <c r="S3660" s="1"/>
      <c r="T3660" s="1"/>
      <c r="U3660" s="1"/>
      <c r="V3660" s="1"/>
      <c r="W3660" s="1"/>
    </row>
    <row r="3661" customHeight="1" spans="1:23">
      <c r="A3661" s="1"/>
      <c r="B3661" s="1"/>
      <c r="C3661" s="1"/>
      <c r="D3661" s="1"/>
      <c r="E3661" s="1"/>
      <c r="F3661" s="1"/>
      <c r="G3661" s="1"/>
      <c r="H3661" s="1"/>
      <c r="I3661" s="1"/>
      <c r="J3661" s="1"/>
      <c r="K3661" s="1"/>
      <c r="L3661" s="1"/>
      <c r="M3661" s="1"/>
      <c r="N3661" s="1"/>
      <c r="O3661" s="1"/>
      <c r="P3661" s="1"/>
      <c r="Q3661" s="1"/>
      <c r="R3661" s="1"/>
      <c r="S3661" s="1"/>
      <c r="T3661" s="1"/>
      <c r="U3661" s="1"/>
      <c r="V3661" s="1"/>
      <c r="W3661" s="1"/>
    </row>
    <row r="3662" customHeight="1" spans="1:23">
      <c r="A3662" s="1"/>
      <c r="B3662" s="1"/>
      <c r="C3662" s="1"/>
      <c r="D3662" s="1"/>
      <c r="E3662" s="1"/>
      <c r="F3662" s="1"/>
      <c r="G3662" s="1"/>
      <c r="H3662" s="1"/>
      <c r="I3662" s="1"/>
      <c r="J3662" s="1"/>
      <c r="K3662" s="1"/>
      <c r="L3662" s="1"/>
      <c r="M3662" s="1"/>
      <c r="N3662" s="1"/>
      <c r="O3662" s="1"/>
      <c r="P3662" s="1"/>
      <c r="Q3662" s="1"/>
      <c r="R3662" s="1"/>
      <c r="S3662" s="1"/>
      <c r="T3662" s="1"/>
      <c r="U3662" s="1"/>
      <c r="V3662" s="1"/>
      <c r="W3662" s="1"/>
    </row>
    <row r="3663" customHeight="1" spans="1:23">
      <c r="A3663" s="1"/>
      <c r="B3663" s="1"/>
      <c r="C3663" s="1"/>
      <c r="D3663" s="1"/>
      <c r="E3663" s="1"/>
      <c r="F3663" s="1"/>
      <c r="G3663" s="1"/>
      <c r="H3663" s="1"/>
      <c r="I3663" s="1"/>
      <c r="J3663" s="1"/>
      <c r="K3663" s="1"/>
      <c r="L3663" s="1"/>
      <c r="M3663" s="1"/>
      <c r="N3663" s="1"/>
      <c r="O3663" s="1"/>
      <c r="P3663" s="1"/>
      <c r="Q3663" s="1"/>
      <c r="R3663" s="1"/>
      <c r="S3663" s="1"/>
      <c r="T3663" s="1"/>
      <c r="U3663" s="1"/>
      <c r="V3663" s="1"/>
      <c r="W3663" s="1"/>
    </row>
    <row r="3664" customHeight="1" spans="1:23">
      <c r="A3664" s="1"/>
      <c r="B3664" s="1"/>
      <c r="C3664" s="1"/>
      <c r="D3664" s="1"/>
      <c r="E3664" s="1"/>
      <c r="F3664" s="1"/>
      <c r="G3664" s="1"/>
      <c r="H3664" s="1"/>
      <c r="I3664" s="1"/>
      <c r="J3664" s="1"/>
      <c r="K3664" s="1"/>
      <c r="L3664" s="1"/>
      <c r="M3664" s="1"/>
      <c r="N3664" s="1"/>
      <c r="O3664" s="1"/>
      <c r="P3664" s="1"/>
      <c r="Q3664" s="1"/>
      <c r="R3664" s="1"/>
      <c r="S3664" s="1"/>
      <c r="T3664" s="1"/>
      <c r="U3664" s="1"/>
      <c r="V3664" s="1"/>
      <c r="W3664" s="1"/>
    </row>
    <row r="3665" customHeight="1" spans="1:23">
      <c r="A3665" s="1"/>
      <c r="B3665" s="1"/>
      <c r="C3665" s="1"/>
      <c r="D3665" s="1"/>
      <c r="E3665" s="1"/>
      <c r="F3665" s="1"/>
      <c r="G3665" s="1"/>
      <c r="H3665" s="1"/>
      <c r="I3665" s="1"/>
      <c r="J3665" s="1"/>
      <c r="K3665" s="1"/>
      <c r="L3665" s="1"/>
      <c r="M3665" s="1"/>
      <c r="N3665" s="1"/>
      <c r="O3665" s="1"/>
      <c r="P3665" s="1"/>
      <c r="Q3665" s="1"/>
      <c r="R3665" s="1"/>
      <c r="S3665" s="1"/>
      <c r="T3665" s="1"/>
      <c r="U3665" s="1"/>
      <c r="V3665" s="1"/>
      <c r="W3665" s="1"/>
    </row>
    <row r="3666" customHeight="1" spans="1:23">
      <c r="A3666" s="1"/>
      <c r="B3666" s="1"/>
      <c r="C3666" s="1"/>
      <c r="D3666" s="1"/>
      <c r="E3666" s="1"/>
      <c r="F3666" s="1"/>
      <c r="G3666" s="1"/>
      <c r="H3666" s="1"/>
      <c r="I3666" s="1"/>
      <c r="J3666" s="1"/>
      <c r="K3666" s="1"/>
      <c r="L3666" s="1"/>
      <c r="M3666" s="1"/>
      <c r="N3666" s="1"/>
      <c r="O3666" s="1"/>
      <c r="P3666" s="1"/>
      <c r="Q3666" s="1"/>
      <c r="R3666" s="1"/>
      <c r="S3666" s="1"/>
      <c r="T3666" s="1"/>
      <c r="U3666" s="1"/>
      <c r="V3666" s="1"/>
      <c r="W3666" s="1"/>
    </row>
    <row r="3667" customHeight="1" spans="1:23">
      <c r="A3667" s="1"/>
      <c r="B3667" s="1"/>
      <c r="C3667" s="1"/>
      <c r="D3667" s="1"/>
      <c r="E3667" s="1"/>
      <c r="F3667" s="1"/>
      <c r="G3667" s="1"/>
      <c r="H3667" s="1"/>
      <c r="I3667" s="1"/>
      <c r="J3667" s="1"/>
      <c r="K3667" s="1"/>
      <c r="L3667" s="1"/>
      <c r="M3667" s="1"/>
      <c r="N3667" s="1"/>
      <c r="O3667" s="1"/>
      <c r="P3667" s="1"/>
      <c r="Q3667" s="1"/>
      <c r="R3667" s="1"/>
      <c r="S3667" s="1"/>
      <c r="T3667" s="1"/>
      <c r="U3667" s="1"/>
      <c r="V3667" s="1"/>
      <c r="W3667" s="1"/>
    </row>
    <row r="3668" customHeight="1" spans="1:23">
      <c r="A3668" s="1"/>
      <c r="B3668" s="1"/>
      <c r="C3668" s="1"/>
      <c r="D3668" s="1"/>
      <c r="E3668" s="1"/>
      <c r="F3668" s="1"/>
      <c r="G3668" s="1"/>
      <c r="H3668" s="1"/>
      <c r="I3668" s="1"/>
      <c r="J3668" s="1"/>
      <c r="K3668" s="1"/>
      <c r="L3668" s="1"/>
      <c r="M3668" s="1"/>
      <c r="N3668" s="1"/>
      <c r="O3668" s="1"/>
      <c r="P3668" s="1"/>
      <c r="Q3668" s="1"/>
      <c r="R3668" s="1"/>
      <c r="S3668" s="1"/>
      <c r="T3668" s="1"/>
      <c r="U3668" s="1"/>
      <c r="V3668" s="1"/>
      <c r="W3668" s="1"/>
    </row>
    <row r="3669" customHeight="1" spans="1:23">
      <c r="A3669" s="1"/>
      <c r="B3669" s="1"/>
      <c r="C3669" s="1"/>
      <c r="D3669" s="1"/>
      <c r="E3669" s="1"/>
      <c r="F3669" s="1"/>
      <c r="G3669" s="1"/>
      <c r="H3669" s="1"/>
      <c r="I3669" s="1"/>
      <c r="J3669" s="1"/>
      <c r="K3669" s="1"/>
      <c r="L3669" s="1"/>
      <c r="M3669" s="1"/>
      <c r="N3669" s="1"/>
      <c r="O3669" s="1"/>
      <c r="P3669" s="1"/>
      <c r="Q3669" s="1"/>
      <c r="R3669" s="1"/>
      <c r="S3669" s="1"/>
      <c r="T3669" s="1"/>
      <c r="U3669" s="1"/>
      <c r="V3669" s="1"/>
      <c r="W3669" s="1"/>
    </row>
    <row r="3670" customHeight="1" spans="1:23">
      <c r="A3670" s="1"/>
      <c r="B3670" s="1"/>
      <c r="C3670" s="1"/>
      <c r="D3670" s="1"/>
      <c r="E3670" s="1"/>
      <c r="F3670" s="1"/>
      <c r="G3670" s="1"/>
      <c r="H3670" s="1"/>
      <c r="I3670" s="1"/>
      <c r="J3670" s="1"/>
      <c r="K3670" s="1"/>
      <c r="L3670" s="1"/>
      <c r="M3670" s="1"/>
      <c r="N3670" s="1"/>
      <c r="O3670" s="1"/>
      <c r="P3670" s="1"/>
      <c r="Q3670" s="1"/>
      <c r="R3670" s="1"/>
      <c r="S3670" s="1"/>
      <c r="T3670" s="1"/>
      <c r="U3670" s="1"/>
      <c r="V3670" s="1"/>
      <c r="W3670" s="1"/>
    </row>
    <row r="3671" customHeight="1" spans="1:23">
      <c r="A3671" s="1"/>
      <c r="B3671" s="1"/>
      <c r="C3671" s="1"/>
      <c r="D3671" s="1"/>
      <c r="E3671" s="1"/>
      <c r="F3671" s="1"/>
      <c r="G3671" s="1"/>
      <c r="H3671" s="1"/>
      <c r="I3671" s="1"/>
      <c r="J3671" s="1"/>
      <c r="K3671" s="1"/>
      <c r="L3671" s="1"/>
      <c r="M3671" s="1"/>
      <c r="N3671" s="1"/>
      <c r="O3671" s="1"/>
      <c r="P3671" s="1"/>
      <c r="Q3671" s="1"/>
      <c r="R3671" s="1"/>
      <c r="S3671" s="1"/>
      <c r="T3671" s="1"/>
      <c r="U3671" s="1"/>
      <c r="V3671" s="1"/>
      <c r="W3671" s="1"/>
    </row>
    <row r="3672" customHeight="1" spans="1:23">
      <c r="A3672" s="1"/>
      <c r="B3672" s="1"/>
      <c r="C3672" s="1"/>
      <c r="D3672" s="1"/>
      <c r="E3672" s="1"/>
      <c r="F3672" s="1"/>
      <c r="G3672" s="1"/>
      <c r="H3672" s="1"/>
      <c r="I3672" s="1"/>
      <c r="J3672" s="1"/>
      <c r="K3672" s="1"/>
      <c r="L3672" s="1"/>
      <c r="M3672" s="1"/>
      <c r="N3672" s="1"/>
      <c r="O3672" s="1"/>
      <c r="P3672" s="1"/>
      <c r="Q3672" s="1"/>
      <c r="R3672" s="1"/>
      <c r="S3672" s="1"/>
      <c r="T3672" s="1"/>
      <c r="U3672" s="1"/>
      <c r="V3672" s="1"/>
      <c r="W3672" s="1"/>
    </row>
    <row r="3673" customHeight="1" spans="1:23">
      <c r="A3673" s="1"/>
      <c r="B3673" s="1"/>
      <c r="C3673" s="1"/>
      <c r="D3673" s="1"/>
      <c r="E3673" s="1"/>
      <c r="F3673" s="1"/>
      <c r="G3673" s="1"/>
      <c r="H3673" s="1"/>
      <c r="I3673" s="1"/>
      <c r="J3673" s="1"/>
      <c r="K3673" s="1"/>
      <c r="L3673" s="1"/>
      <c r="M3673" s="1"/>
      <c r="N3673" s="1"/>
      <c r="O3673" s="1"/>
      <c r="P3673" s="1"/>
      <c r="Q3673" s="1"/>
      <c r="R3673" s="1"/>
      <c r="S3673" s="1"/>
      <c r="T3673" s="1"/>
      <c r="U3673" s="1"/>
      <c r="V3673" s="1"/>
      <c r="W3673" s="1"/>
    </row>
    <row r="3674" customHeight="1" spans="1:23">
      <c r="A3674" s="1"/>
      <c r="B3674" s="1"/>
      <c r="C3674" s="1"/>
      <c r="D3674" s="1"/>
      <c r="E3674" s="1"/>
      <c r="F3674" s="1"/>
      <c r="G3674" s="1"/>
      <c r="H3674" s="1"/>
      <c r="I3674" s="1"/>
      <c r="J3674" s="1"/>
      <c r="K3674" s="1"/>
      <c r="L3674" s="1"/>
      <c r="M3674" s="1"/>
      <c r="N3674" s="1"/>
      <c r="O3674" s="1"/>
      <c r="P3674" s="1"/>
      <c r="Q3674" s="1"/>
      <c r="R3674" s="1"/>
      <c r="S3674" s="1"/>
      <c r="T3674" s="1"/>
      <c r="U3674" s="1"/>
      <c r="V3674" s="1"/>
      <c r="W3674" s="1"/>
    </row>
    <row r="3675" customHeight="1" spans="1:23">
      <c r="A3675" s="1"/>
      <c r="B3675" s="1"/>
      <c r="C3675" s="1"/>
      <c r="D3675" s="1"/>
      <c r="E3675" s="1"/>
      <c r="F3675" s="1"/>
      <c r="G3675" s="1"/>
      <c r="H3675" s="1"/>
      <c r="I3675" s="1"/>
      <c r="J3675" s="1"/>
      <c r="K3675" s="1"/>
      <c r="L3675" s="1"/>
      <c r="M3675" s="1"/>
      <c r="N3675" s="1"/>
      <c r="O3675" s="1"/>
      <c r="P3675" s="1"/>
      <c r="Q3675" s="1"/>
      <c r="R3675" s="1"/>
      <c r="S3675" s="1"/>
      <c r="T3675" s="1"/>
      <c r="U3675" s="1"/>
      <c r="V3675" s="1"/>
      <c r="W3675" s="1"/>
    </row>
    <row r="3676" customHeight="1" spans="1:23">
      <c r="A3676" s="1"/>
      <c r="B3676" s="1"/>
      <c r="C3676" s="1"/>
      <c r="D3676" s="1"/>
      <c r="E3676" s="1"/>
      <c r="F3676" s="1"/>
      <c r="G3676" s="1"/>
      <c r="H3676" s="1"/>
      <c r="I3676" s="1"/>
      <c r="J3676" s="1"/>
      <c r="K3676" s="1"/>
      <c r="L3676" s="1"/>
      <c r="M3676" s="1"/>
      <c r="N3676" s="1"/>
      <c r="O3676" s="1"/>
      <c r="P3676" s="1"/>
      <c r="Q3676" s="1"/>
      <c r="R3676" s="1"/>
      <c r="S3676" s="1"/>
      <c r="T3676" s="1"/>
      <c r="U3676" s="1"/>
      <c r="V3676" s="1"/>
      <c r="W3676" s="1"/>
    </row>
    <row r="3677" customHeight="1" spans="1:23">
      <c r="A3677" s="1"/>
      <c r="B3677" s="1"/>
      <c r="C3677" s="1"/>
      <c r="D3677" s="1"/>
      <c r="E3677" s="1"/>
      <c r="F3677" s="1"/>
      <c r="G3677" s="1"/>
      <c r="H3677" s="1"/>
      <c r="I3677" s="1"/>
      <c r="J3677" s="1"/>
      <c r="K3677" s="1"/>
      <c r="L3677" s="1"/>
      <c r="M3677" s="1"/>
      <c r="N3677" s="1"/>
      <c r="O3677" s="1"/>
      <c r="P3677" s="1"/>
      <c r="Q3677" s="1"/>
      <c r="R3677" s="1"/>
      <c r="S3677" s="1"/>
      <c r="T3677" s="1"/>
      <c r="U3677" s="1"/>
      <c r="V3677" s="1"/>
      <c r="W3677" s="1"/>
    </row>
    <row r="3678" customHeight="1" spans="1:23">
      <c r="A3678" s="1"/>
      <c r="B3678" s="1"/>
      <c r="C3678" s="1"/>
      <c r="D3678" s="1"/>
      <c r="E3678" s="1"/>
      <c r="F3678" s="1"/>
      <c r="G3678" s="1"/>
      <c r="H3678" s="1"/>
      <c r="I3678" s="1"/>
      <c r="J3678" s="1"/>
      <c r="K3678" s="1"/>
      <c r="L3678" s="1"/>
      <c r="M3678" s="1"/>
      <c r="N3678" s="1"/>
      <c r="O3678" s="1"/>
      <c r="P3678" s="1"/>
      <c r="Q3678" s="1"/>
      <c r="R3678" s="1"/>
      <c r="S3678" s="1"/>
      <c r="T3678" s="1"/>
      <c r="U3678" s="1"/>
      <c r="V3678" s="1"/>
      <c r="W3678" s="1"/>
    </row>
    <row r="3679" customHeight="1" spans="1:23">
      <c r="A3679" s="1"/>
      <c r="B3679" s="1"/>
      <c r="C3679" s="1"/>
      <c r="D3679" s="1"/>
      <c r="E3679" s="1"/>
      <c r="F3679" s="1"/>
      <c r="G3679" s="1"/>
      <c r="H3679" s="1"/>
      <c r="I3679" s="1"/>
      <c r="J3679" s="1"/>
      <c r="K3679" s="1"/>
      <c r="L3679" s="1"/>
      <c r="M3679" s="1"/>
      <c r="N3679" s="1"/>
      <c r="O3679" s="1"/>
      <c r="P3679" s="1"/>
      <c r="Q3679" s="1"/>
      <c r="R3679" s="1"/>
      <c r="S3679" s="1"/>
      <c r="T3679" s="1"/>
      <c r="U3679" s="1"/>
      <c r="V3679" s="1"/>
      <c r="W3679" s="1"/>
    </row>
    <row r="3680" customHeight="1" spans="1:23">
      <c r="A3680" s="1"/>
      <c r="B3680" s="1"/>
      <c r="C3680" s="1"/>
      <c r="D3680" s="1"/>
      <c r="E3680" s="1"/>
      <c r="F3680" s="1"/>
      <c r="G3680" s="1"/>
      <c r="H3680" s="1"/>
      <c r="I3680" s="1"/>
      <c r="J3680" s="1"/>
      <c r="K3680" s="1"/>
      <c r="L3680" s="1"/>
      <c r="M3680" s="1"/>
      <c r="N3680" s="1"/>
      <c r="O3680" s="1"/>
      <c r="P3680" s="1"/>
      <c r="Q3680" s="1"/>
      <c r="R3680" s="1"/>
      <c r="S3680" s="1"/>
      <c r="T3680" s="1"/>
      <c r="U3680" s="1"/>
      <c r="V3680" s="1"/>
      <c r="W3680" s="1"/>
    </row>
    <row r="3681" customHeight="1" spans="1:23">
      <c r="A3681" s="1"/>
      <c r="B3681" s="1"/>
      <c r="C3681" s="1"/>
      <c r="D3681" s="1"/>
      <c r="E3681" s="1"/>
      <c r="F3681" s="1"/>
      <c r="G3681" s="1"/>
      <c r="H3681" s="1"/>
      <c r="I3681" s="1"/>
      <c r="J3681" s="1"/>
      <c r="K3681" s="1"/>
      <c r="L3681" s="1"/>
      <c r="M3681" s="1"/>
      <c r="N3681" s="1"/>
      <c r="O3681" s="1"/>
      <c r="P3681" s="1"/>
      <c r="Q3681" s="1"/>
      <c r="R3681" s="1"/>
      <c r="S3681" s="1"/>
      <c r="T3681" s="1"/>
      <c r="U3681" s="1"/>
      <c r="V3681" s="1"/>
      <c r="W3681" s="1"/>
    </row>
    <row r="3682" customHeight="1" spans="1:23">
      <c r="A3682" s="1"/>
      <c r="B3682" s="1"/>
      <c r="C3682" s="1"/>
      <c r="D3682" s="1"/>
      <c r="E3682" s="1"/>
      <c r="F3682" s="1"/>
      <c r="G3682" s="1"/>
      <c r="H3682" s="1"/>
      <c r="I3682" s="1"/>
      <c r="J3682" s="1"/>
      <c r="K3682" s="1"/>
      <c r="L3682" s="1"/>
      <c r="M3682" s="1"/>
      <c r="N3682" s="1"/>
      <c r="O3682" s="1"/>
      <c r="P3682" s="1"/>
      <c r="Q3682" s="1"/>
      <c r="R3682" s="1"/>
      <c r="S3682" s="1"/>
      <c r="T3682" s="1"/>
      <c r="U3682" s="1"/>
      <c r="V3682" s="1"/>
      <c r="W3682" s="1"/>
    </row>
    <row r="3683" customHeight="1" spans="1:23">
      <c r="A3683" s="1"/>
      <c r="B3683" s="1"/>
      <c r="C3683" s="1"/>
      <c r="D3683" s="1"/>
      <c r="E3683" s="1"/>
      <c r="F3683" s="1"/>
      <c r="G3683" s="1"/>
      <c r="H3683" s="1"/>
      <c r="I3683" s="1"/>
      <c r="J3683" s="1"/>
      <c r="K3683" s="1"/>
      <c r="L3683" s="1"/>
      <c r="M3683" s="1"/>
      <c r="N3683" s="1"/>
      <c r="O3683" s="1"/>
      <c r="P3683" s="1"/>
      <c r="Q3683" s="1"/>
      <c r="R3683" s="1"/>
      <c r="S3683" s="1"/>
      <c r="T3683" s="1"/>
      <c r="U3683" s="1"/>
      <c r="V3683" s="1"/>
      <c r="W3683" s="1"/>
    </row>
    <row r="3684" customHeight="1" spans="1:23">
      <c r="A3684" s="1"/>
      <c r="B3684" s="1"/>
      <c r="C3684" s="1"/>
      <c r="D3684" s="1"/>
      <c r="E3684" s="1"/>
      <c r="F3684" s="1"/>
      <c r="G3684" s="1"/>
      <c r="H3684" s="1"/>
      <c r="I3684" s="1"/>
      <c r="J3684" s="1"/>
      <c r="K3684" s="1"/>
      <c r="L3684" s="1"/>
      <c r="M3684" s="1"/>
      <c r="N3684" s="1"/>
      <c r="O3684" s="1"/>
      <c r="P3684" s="1"/>
      <c r="Q3684" s="1"/>
      <c r="R3684" s="1"/>
      <c r="S3684" s="1"/>
      <c r="T3684" s="1"/>
      <c r="U3684" s="1"/>
      <c r="V3684" s="1"/>
      <c r="W3684" s="1"/>
    </row>
    <row r="3685" customHeight="1" spans="1:23">
      <c r="A3685" s="1"/>
      <c r="B3685" s="1"/>
      <c r="C3685" s="1"/>
      <c r="D3685" s="1"/>
      <c r="E3685" s="1"/>
      <c r="F3685" s="1"/>
      <c r="G3685" s="1"/>
      <c r="H3685" s="1"/>
      <c r="I3685" s="1"/>
      <c r="J3685" s="1"/>
      <c r="K3685" s="1"/>
      <c r="L3685" s="1"/>
      <c r="M3685" s="1"/>
      <c r="N3685" s="1"/>
      <c r="O3685" s="1"/>
      <c r="P3685" s="1"/>
      <c r="Q3685" s="1"/>
      <c r="R3685" s="1"/>
      <c r="S3685" s="1"/>
      <c r="T3685" s="1"/>
      <c r="U3685" s="1"/>
      <c r="V3685" s="1"/>
      <c r="W3685" s="1"/>
    </row>
    <row r="3686" customHeight="1" spans="1:23">
      <c r="A3686" s="1"/>
      <c r="B3686" s="1"/>
      <c r="C3686" s="1"/>
      <c r="D3686" s="1"/>
      <c r="E3686" s="1"/>
      <c r="F3686" s="1"/>
      <c r="G3686" s="1"/>
      <c r="H3686" s="1"/>
      <c r="I3686" s="1"/>
      <c r="J3686" s="1"/>
      <c r="K3686" s="1"/>
      <c r="L3686" s="1"/>
      <c r="M3686" s="1"/>
      <c r="N3686" s="1"/>
      <c r="O3686" s="1"/>
      <c r="P3686" s="1"/>
      <c r="Q3686" s="1"/>
      <c r="R3686" s="1"/>
      <c r="S3686" s="1"/>
      <c r="T3686" s="1"/>
      <c r="U3686" s="1"/>
      <c r="V3686" s="1"/>
      <c r="W3686" s="1"/>
    </row>
    <row r="3687" customHeight="1" spans="1:23">
      <c r="A3687" s="1"/>
      <c r="B3687" s="1"/>
      <c r="C3687" s="1"/>
      <c r="D3687" s="1"/>
      <c r="E3687" s="1"/>
      <c r="F3687" s="1"/>
      <c r="G3687" s="1"/>
      <c r="H3687" s="1"/>
      <c r="I3687" s="1"/>
      <c r="J3687" s="1"/>
      <c r="K3687" s="1"/>
      <c r="L3687" s="1"/>
      <c r="M3687" s="1"/>
      <c r="N3687" s="1"/>
      <c r="O3687" s="1"/>
      <c r="P3687" s="1"/>
      <c r="Q3687" s="1"/>
      <c r="R3687" s="1"/>
      <c r="S3687" s="1"/>
      <c r="T3687" s="1"/>
      <c r="U3687" s="1"/>
      <c r="V3687" s="1"/>
      <c r="W3687" s="1"/>
    </row>
    <row r="3688" customHeight="1" spans="1:23">
      <c r="A3688" s="1"/>
      <c r="B3688" s="1"/>
      <c r="C3688" s="1"/>
      <c r="D3688" s="1"/>
      <c r="E3688" s="1"/>
      <c r="F3688" s="1"/>
      <c r="G3688" s="1"/>
      <c r="H3688" s="1"/>
      <c r="I3688" s="1"/>
      <c r="J3688" s="1"/>
      <c r="K3688" s="1"/>
      <c r="L3688" s="1"/>
      <c r="M3688" s="1"/>
      <c r="N3688" s="1"/>
      <c r="O3688" s="1"/>
      <c r="P3688" s="1"/>
      <c r="Q3688" s="1"/>
      <c r="R3688" s="1"/>
      <c r="S3688" s="1"/>
      <c r="T3688" s="1"/>
      <c r="U3688" s="1"/>
      <c r="V3688" s="1"/>
      <c r="W3688" s="1"/>
    </row>
    <row r="3689" customHeight="1" spans="1:23">
      <c r="A3689" s="1"/>
      <c r="B3689" s="1"/>
      <c r="C3689" s="1"/>
      <c r="D3689" s="1"/>
      <c r="E3689" s="1"/>
      <c r="F3689" s="1"/>
      <c r="G3689" s="1"/>
      <c r="H3689" s="1"/>
      <c r="I3689" s="1"/>
      <c r="J3689" s="1"/>
      <c r="K3689" s="1"/>
      <c r="L3689" s="1"/>
      <c r="M3689" s="1"/>
      <c r="N3689" s="1"/>
      <c r="O3689" s="1"/>
      <c r="P3689" s="1"/>
      <c r="Q3689" s="1"/>
      <c r="R3689" s="1"/>
      <c r="S3689" s="1"/>
      <c r="T3689" s="1"/>
      <c r="U3689" s="1"/>
      <c r="V3689" s="1"/>
      <c r="W3689" s="1"/>
    </row>
    <row r="3690" customHeight="1" spans="1:23">
      <c r="A3690" s="1"/>
      <c r="B3690" s="1"/>
      <c r="C3690" s="1"/>
      <c r="D3690" s="1"/>
      <c r="E3690" s="1"/>
      <c r="F3690" s="1"/>
      <c r="G3690" s="1"/>
      <c r="H3690" s="1"/>
      <c r="I3690" s="1"/>
      <c r="J3690" s="1"/>
      <c r="K3690" s="1"/>
      <c r="L3690" s="1"/>
      <c r="M3690" s="1"/>
      <c r="N3690" s="1"/>
      <c r="O3690" s="1"/>
      <c r="P3690" s="1"/>
      <c r="Q3690" s="1"/>
      <c r="R3690" s="1"/>
      <c r="S3690" s="1"/>
      <c r="T3690" s="1"/>
      <c r="U3690" s="1"/>
      <c r="V3690" s="1"/>
      <c r="W3690" s="1"/>
    </row>
    <row r="3691" customHeight="1" spans="1:23">
      <c r="A3691" s="1"/>
      <c r="B3691" s="1"/>
      <c r="C3691" s="1"/>
      <c r="D3691" s="1"/>
      <c r="E3691" s="1"/>
      <c r="F3691" s="1"/>
      <c r="G3691" s="1"/>
      <c r="H3691" s="1"/>
      <c r="I3691" s="1"/>
      <c r="J3691" s="1"/>
      <c r="K3691" s="1"/>
      <c r="L3691" s="1"/>
      <c r="M3691" s="1"/>
      <c r="N3691" s="1"/>
      <c r="O3691" s="1"/>
      <c r="P3691" s="1"/>
      <c r="Q3691" s="1"/>
      <c r="R3691" s="1"/>
      <c r="S3691" s="1"/>
      <c r="T3691" s="1"/>
      <c r="U3691" s="1"/>
      <c r="V3691" s="1"/>
      <c r="W3691" s="1"/>
    </row>
    <row r="3692" customHeight="1" spans="1:23">
      <c r="A3692" s="1"/>
      <c r="B3692" s="1"/>
      <c r="C3692" s="1"/>
      <c r="D3692" s="1"/>
      <c r="E3692" s="1"/>
      <c r="F3692" s="1"/>
      <c r="G3692" s="1"/>
      <c r="H3692" s="1"/>
      <c r="I3692" s="1"/>
      <c r="J3692" s="1"/>
      <c r="K3692" s="1"/>
      <c r="L3692" s="1"/>
      <c r="M3692" s="1"/>
      <c r="N3692" s="1"/>
      <c r="O3692" s="1"/>
      <c r="P3692" s="1"/>
      <c r="Q3692" s="1"/>
      <c r="R3692" s="1"/>
      <c r="S3692" s="1"/>
      <c r="T3692" s="1"/>
      <c r="U3692" s="1"/>
      <c r="V3692" s="1"/>
      <c r="W3692" s="1"/>
    </row>
    <row r="3693" customHeight="1" spans="1:23">
      <c r="A3693" s="1"/>
      <c r="B3693" s="1"/>
      <c r="C3693" s="1"/>
      <c r="D3693" s="1"/>
      <c r="E3693" s="1"/>
      <c r="F3693" s="1"/>
      <c r="G3693" s="1"/>
      <c r="H3693" s="1"/>
      <c r="I3693" s="1"/>
      <c r="J3693" s="1"/>
      <c r="K3693" s="1"/>
      <c r="L3693" s="1"/>
      <c r="M3693" s="1"/>
      <c r="N3693" s="1"/>
      <c r="O3693" s="1"/>
      <c r="P3693" s="1"/>
      <c r="Q3693" s="1"/>
      <c r="R3693" s="1"/>
      <c r="S3693" s="1"/>
      <c r="T3693" s="1"/>
      <c r="U3693" s="1"/>
      <c r="V3693" s="1"/>
      <c r="W3693" s="1"/>
    </row>
    <row r="3694" customHeight="1" spans="1:23">
      <c r="A3694" s="1"/>
      <c r="B3694" s="1"/>
      <c r="C3694" s="1"/>
      <c r="D3694" s="1"/>
      <c r="E3694" s="1"/>
      <c r="F3694" s="1"/>
      <c r="G3694" s="1"/>
      <c r="H3694" s="1"/>
      <c r="I3694" s="1"/>
      <c r="J3694" s="1"/>
      <c r="K3694" s="1"/>
      <c r="L3694" s="1"/>
      <c r="M3694" s="1"/>
      <c r="N3694" s="1"/>
      <c r="O3694" s="1"/>
      <c r="P3694" s="1"/>
      <c r="Q3694" s="1"/>
      <c r="R3694" s="1"/>
      <c r="S3694" s="1"/>
      <c r="T3694" s="1"/>
      <c r="U3694" s="1"/>
      <c r="V3694" s="1"/>
      <c r="W3694" s="1"/>
    </row>
    <row r="3695" customHeight="1" spans="1:23">
      <c r="A3695" s="1"/>
      <c r="B3695" s="1"/>
      <c r="C3695" s="1"/>
      <c r="D3695" s="1"/>
      <c r="E3695" s="1"/>
      <c r="F3695" s="1"/>
      <c r="G3695" s="1"/>
      <c r="H3695" s="1"/>
      <c r="I3695" s="1"/>
      <c r="J3695" s="1"/>
      <c r="K3695" s="1"/>
      <c r="L3695" s="1"/>
      <c r="M3695" s="1"/>
      <c r="N3695" s="1"/>
      <c r="O3695" s="1"/>
      <c r="P3695" s="1"/>
      <c r="Q3695" s="1"/>
      <c r="R3695" s="1"/>
      <c r="S3695" s="1"/>
      <c r="T3695" s="1"/>
      <c r="U3695" s="1"/>
      <c r="V3695" s="1"/>
      <c r="W3695" s="1"/>
    </row>
    <row r="3696" customHeight="1" spans="1:23">
      <c r="A3696" s="1"/>
      <c r="B3696" s="1"/>
      <c r="C3696" s="1"/>
      <c r="D3696" s="1"/>
      <c r="E3696" s="1"/>
      <c r="F3696" s="1"/>
      <c r="G3696" s="1"/>
      <c r="H3696" s="1"/>
      <c r="I3696" s="1"/>
      <c r="J3696" s="1"/>
      <c r="K3696" s="1"/>
      <c r="L3696" s="1"/>
      <c r="M3696" s="1"/>
      <c r="N3696" s="1"/>
      <c r="O3696" s="1"/>
      <c r="P3696" s="1"/>
      <c r="Q3696" s="1"/>
      <c r="R3696" s="1"/>
      <c r="S3696" s="1"/>
      <c r="T3696" s="1"/>
      <c r="U3696" s="1"/>
      <c r="V3696" s="1"/>
      <c r="W3696" s="1"/>
    </row>
    <row r="3697" customHeight="1" spans="1:23">
      <c r="A3697" s="1"/>
      <c r="B3697" s="1"/>
      <c r="C3697" s="1"/>
      <c r="D3697" s="1"/>
      <c r="E3697" s="1"/>
      <c r="F3697" s="1"/>
      <c r="G3697" s="1"/>
      <c r="H3697" s="1"/>
      <c r="I3697" s="1"/>
      <c r="J3697" s="1"/>
      <c r="K3697" s="1"/>
      <c r="L3697" s="1"/>
      <c r="M3697" s="1"/>
      <c r="N3697" s="1"/>
      <c r="O3697" s="1"/>
      <c r="P3697" s="1"/>
      <c r="Q3697" s="1"/>
      <c r="R3697" s="1"/>
      <c r="S3697" s="1"/>
      <c r="T3697" s="1"/>
      <c r="U3697" s="1"/>
      <c r="V3697" s="1"/>
      <c r="W3697" s="1"/>
    </row>
    <row r="3698" customHeight="1" spans="1:23">
      <c r="A3698" s="1"/>
      <c r="B3698" s="1"/>
      <c r="C3698" s="1"/>
      <c r="D3698" s="1"/>
      <c r="E3698" s="1"/>
      <c r="F3698" s="1"/>
      <c r="G3698" s="1"/>
      <c r="H3698" s="1"/>
      <c r="I3698" s="1"/>
      <c r="J3698" s="1"/>
      <c r="K3698" s="1"/>
      <c r="L3698" s="1"/>
      <c r="M3698" s="1"/>
      <c r="N3698" s="1"/>
      <c r="O3698" s="1"/>
      <c r="P3698" s="1"/>
      <c r="Q3698" s="1"/>
      <c r="R3698" s="1"/>
      <c r="S3698" s="1"/>
      <c r="T3698" s="1"/>
      <c r="U3698" s="1"/>
      <c r="V3698" s="1"/>
      <c r="W3698" s="1"/>
    </row>
    <row r="3699" customHeight="1" spans="1:23">
      <c r="A3699" s="1"/>
      <c r="B3699" s="1"/>
      <c r="C3699" s="1"/>
      <c r="D3699" s="1"/>
      <c r="E3699" s="1"/>
      <c r="F3699" s="1"/>
      <c r="G3699" s="1"/>
      <c r="H3699" s="1"/>
      <c r="I3699" s="1"/>
      <c r="J3699" s="1"/>
      <c r="K3699" s="1"/>
      <c r="L3699" s="1"/>
      <c r="M3699" s="1"/>
      <c r="N3699" s="1"/>
      <c r="O3699" s="1"/>
      <c r="P3699" s="1"/>
      <c r="Q3699" s="1"/>
      <c r="R3699" s="1"/>
      <c r="S3699" s="1"/>
      <c r="T3699" s="1"/>
      <c r="U3699" s="1"/>
      <c r="V3699" s="1"/>
      <c r="W3699" s="1"/>
    </row>
    <row r="3700" customHeight="1" spans="1:23">
      <c r="A3700" s="1"/>
      <c r="B3700" s="1"/>
      <c r="C3700" s="1"/>
      <c r="D3700" s="1"/>
      <c r="E3700" s="1"/>
      <c r="F3700" s="1"/>
      <c r="G3700" s="1"/>
      <c r="H3700" s="1"/>
      <c r="I3700" s="1"/>
      <c r="J3700" s="1"/>
      <c r="K3700" s="1"/>
      <c r="L3700" s="1"/>
      <c r="M3700" s="1"/>
      <c r="N3700" s="1"/>
      <c r="O3700" s="1"/>
      <c r="P3700" s="1"/>
      <c r="Q3700" s="1"/>
      <c r="R3700" s="1"/>
      <c r="S3700" s="1"/>
      <c r="T3700" s="1"/>
      <c r="U3700" s="1"/>
      <c r="V3700" s="1"/>
      <c r="W3700" s="1"/>
    </row>
    <row r="3701" customHeight="1" spans="1:23">
      <c r="A3701" s="1"/>
      <c r="B3701" s="1"/>
      <c r="C3701" s="1"/>
      <c r="D3701" s="1"/>
      <c r="E3701" s="1"/>
      <c r="F3701" s="1"/>
      <c r="G3701" s="1"/>
      <c r="H3701" s="1"/>
      <c r="I3701" s="1"/>
      <c r="J3701" s="1"/>
      <c r="K3701" s="1"/>
      <c r="L3701" s="1"/>
      <c r="M3701" s="1"/>
      <c r="N3701" s="1"/>
      <c r="O3701" s="1"/>
      <c r="P3701" s="1"/>
      <c r="Q3701" s="1"/>
      <c r="R3701" s="1"/>
      <c r="S3701" s="1"/>
      <c r="T3701" s="1"/>
      <c r="U3701" s="1"/>
      <c r="V3701" s="1"/>
      <c r="W3701" s="1"/>
    </row>
    <row r="3702" customHeight="1" spans="1:23">
      <c r="A3702" s="1"/>
      <c r="B3702" s="1"/>
      <c r="C3702" s="1"/>
      <c r="D3702" s="1"/>
      <c r="E3702" s="1"/>
      <c r="F3702" s="1"/>
      <c r="G3702" s="1"/>
      <c r="H3702" s="1"/>
      <c r="I3702" s="1"/>
      <c r="J3702" s="1"/>
      <c r="K3702" s="1"/>
      <c r="L3702" s="1"/>
      <c r="M3702" s="1"/>
      <c r="N3702" s="1"/>
      <c r="O3702" s="1"/>
      <c r="P3702" s="1"/>
      <c r="Q3702" s="1"/>
      <c r="R3702" s="1"/>
      <c r="S3702" s="1"/>
      <c r="T3702" s="1"/>
      <c r="U3702" s="1"/>
      <c r="V3702" s="1"/>
      <c r="W3702" s="1"/>
    </row>
    <row r="3703" customHeight="1" spans="1:23">
      <c r="A3703" s="1"/>
      <c r="B3703" s="1"/>
      <c r="C3703" s="1"/>
      <c r="D3703" s="1"/>
      <c r="E3703" s="1"/>
      <c r="F3703" s="1"/>
      <c r="G3703" s="1"/>
      <c r="H3703" s="1"/>
      <c r="I3703" s="1"/>
      <c r="J3703" s="1"/>
      <c r="K3703" s="1"/>
      <c r="L3703" s="1"/>
      <c r="M3703" s="1"/>
      <c r="N3703" s="1"/>
      <c r="O3703" s="1"/>
      <c r="P3703" s="1"/>
      <c r="Q3703" s="1"/>
      <c r="R3703" s="1"/>
      <c r="S3703" s="1"/>
      <c r="T3703" s="1"/>
      <c r="U3703" s="1"/>
      <c r="V3703" s="1"/>
      <c r="W3703" s="1"/>
    </row>
    <row r="3704" customHeight="1" spans="1:23">
      <c r="A3704" s="1"/>
      <c r="B3704" s="1"/>
      <c r="C3704" s="1"/>
      <c r="D3704" s="1"/>
      <c r="E3704" s="1"/>
      <c r="F3704" s="1"/>
      <c r="G3704" s="1"/>
      <c r="H3704" s="1"/>
      <c r="I3704" s="1"/>
      <c r="J3704" s="1"/>
      <c r="K3704" s="1"/>
      <c r="L3704" s="1"/>
      <c r="M3704" s="1"/>
      <c r="N3704" s="1"/>
      <c r="O3704" s="1"/>
      <c r="P3704" s="1"/>
      <c r="Q3704" s="1"/>
      <c r="R3704" s="1"/>
      <c r="S3704" s="1"/>
      <c r="T3704" s="1"/>
      <c r="U3704" s="1"/>
      <c r="V3704" s="1"/>
      <c r="W3704" s="1"/>
    </row>
    <row r="3705" customHeight="1" spans="1:23">
      <c r="A3705" s="1"/>
      <c r="B3705" s="1"/>
      <c r="C3705" s="1"/>
      <c r="D3705" s="1"/>
      <c r="E3705" s="1"/>
      <c r="F3705" s="1"/>
      <c r="G3705" s="1"/>
      <c r="H3705" s="1"/>
      <c r="I3705" s="1"/>
      <c r="J3705" s="1"/>
      <c r="K3705" s="1"/>
      <c r="L3705" s="1"/>
      <c r="M3705" s="1"/>
      <c r="N3705" s="1"/>
      <c r="O3705" s="1"/>
      <c r="P3705" s="1"/>
      <c r="Q3705" s="1"/>
      <c r="R3705" s="1"/>
      <c r="S3705" s="1"/>
      <c r="T3705" s="1"/>
      <c r="U3705" s="1"/>
      <c r="V3705" s="1"/>
      <c r="W3705" s="1"/>
    </row>
    <row r="3706" customHeight="1" spans="1:23">
      <c r="A3706" s="1"/>
      <c r="B3706" s="1"/>
      <c r="C3706" s="1"/>
      <c r="D3706" s="1"/>
      <c r="E3706" s="1"/>
      <c r="F3706" s="1"/>
      <c r="G3706" s="1"/>
      <c r="H3706" s="1"/>
      <c r="I3706" s="1"/>
      <c r="J3706" s="1"/>
      <c r="K3706" s="1"/>
      <c r="L3706" s="1"/>
      <c r="M3706" s="1"/>
      <c r="N3706" s="1"/>
      <c r="O3706" s="1"/>
      <c r="P3706" s="1"/>
      <c r="Q3706" s="1"/>
      <c r="R3706" s="1"/>
      <c r="S3706" s="1"/>
      <c r="T3706" s="1"/>
      <c r="U3706" s="1"/>
      <c r="V3706" s="1"/>
      <c r="W3706" s="1"/>
    </row>
    <row r="3707" customHeight="1" spans="1:23">
      <c r="A3707" s="1"/>
      <c r="B3707" s="1"/>
      <c r="C3707" s="1"/>
      <c r="D3707" s="1"/>
      <c r="E3707" s="1"/>
      <c r="F3707" s="1"/>
      <c r="G3707" s="1"/>
      <c r="H3707" s="1"/>
      <c r="I3707" s="1"/>
      <c r="J3707" s="1"/>
      <c r="K3707" s="1"/>
      <c r="L3707" s="1"/>
      <c r="M3707" s="1"/>
      <c r="N3707" s="1"/>
      <c r="O3707" s="1"/>
      <c r="P3707" s="1"/>
      <c r="Q3707" s="1"/>
      <c r="R3707" s="1"/>
      <c r="S3707" s="1"/>
      <c r="T3707" s="1"/>
      <c r="U3707" s="1"/>
      <c r="V3707" s="1"/>
      <c r="W3707" s="1"/>
    </row>
    <row r="3708" customHeight="1" spans="1:23">
      <c r="A3708" s="1"/>
      <c r="B3708" s="1"/>
      <c r="C3708" s="1"/>
      <c r="D3708" s="1"/>
      <c r="E3708" s="1"/>
      <c r="F3708" s="1"/>
      <c r="G3708" s="1"/>
      <c r="H3708" s="1"/>
      <c r="I3708" s="1"/>
      <c r="J3708" s="1"/>
      <c r="K3708" s="1"/>
      <c r="L3708" s="1"/>
      <c r="M3708" s="1"/>
      <c r="N3708" s="1"/>
      <c r="O3708" s="1"/>
      <c r="P3708" s="1"/>
      <c r="Q3708" s="1"/>
      <c r="R3708" s="1"/>
      <c r="S3708" s="1"/>
      <c r="T3708" s="1"/>
      <c r="U3708" s="1"/>
      <c r="V3708" s="1"/>
      <c r="W3708" s="1"/>
    </row>
    <row r="3709" customHeight="1" spans="1:23">
      <c r="A3709" s="1"/>
      <c r="B3709" s="1"/>
      <c r="C3709" s="1"/>
      <c r="D3709" s="1"/>
      <c r="E3709" s="1"/>
      <c r="F3709" s="1"/>
      <c r="G3709" s="1"/>
      <c r="H3709" s="1"/>
      <c r="I3709" s="1"/>
      <c r="J3709" s="1"/>
      <c r="K3709" s="1"/>
      <c r="L3709" s="1"/>
      <c r="M3709" s="1"/>
      <c r="N3709" s="1"/>
      <c r="O3709" s="1"/>
      <c r="P3709" s="1"/>
      <c r="Q3709" s="1"/>
      <c r="R3709" s="1"/>
      <c r="S3709" s="1"/>
      <c r="T3709" s="1"/>
      <c r="U3709" s="1"/>
      <c r="V3709" s="1"/>
      <c r="W3709" s="1"/>
    </row>
    <row r="3710" customHeight="1" spans="1:23">
      <c r="A3710" s="1"/>
      <c r="B3710" s="1"/>
      <c r="C3710" s="1"/>
      <c r="D3710" s="1"/>
      <c r="E3710" s="1"/>
      <c r="F3710" s="1"/>
      <c r="G3710" s="1"/>
      <c r="H3710" s="1"/>
      <c r="I3710" s="1"/>
      <c r="J3710" s="1"/>
      <c r="K3710" s="1"/>
      <c r="L3710" s="1"/>
      <c r="M3710" s="1"/>
      <c r="N3710" s="1"/>
      <c r="O3710" s="1"/>
      <c r="P3710" s="1"/>
      <c r="Q3710" s="1"/>
      <c r="R3710" s="1"/>
      <c r="S3710" s="1"/>
      <c r="T3710" s="1"/>
      <c r="U3710" s="1"/>
      <c r="V3710" s="1"/>
      <c r="W3710" s="1"/>
    </row>
    <row r="3711" customHeight="1" spans="1:23">
      <c r="A3711" s="1"/>
      <c r="B3711" s="1"/>
      <c r="C3711" s="1"/>
      <c r="D3711" s="1"/>
      <c r="E3711" s="1"/>
      <c r="F3711" s="1"/>
      <c r="G3711" s="1"/>
      <c r="H3711" s="1"/>
      <c r="I3711" s="1"/>
      <c r="J3711" s="1"/>
      <c r="K3711" s="1"/>
      <c r="L3711" s="1"/>
      <c r="M3711" s="1"/>
      <c r="N3711" s="1"/>
      <c r="O3711" s="1"/>
      <c r="P3711" s="1"/>
      <c r="Q3711" s="1"/>
      <c r="R3711" s="1"/>
      <c r="S3711" s="1"/>
      <c r="T3711" s="1"/>
      <c r="U3711" s="1"/>
      <c r="V3711" s="1"/>
      <c r="W3711" s="1"/>
    </row>
    <row r="3712" customHeight="1" spans="1:23">
      <c r="A3712" s="1"/>
      <c r="B3712" s="1"/>
      <c r="C3712" s="1"/>
      <c r="D3712" s="1"/>
      <c r="E3712" s="1"/>
      <c r="F3712" s="1"/>
      <c r="G3712" s="1"/>
      <c r="H3712" s="1"/>
      <c r="I3712" s="1"/>
      <c r="J3712" s="1"/>
      <c r="K3712" s="1"/>
      <c r="L3712" s="1"/>
      <c r="M3712" s="1"/>
      <c r="N3712" s="1"/>
      <c r="O3712" s="1"/>
      <c r="P3712" s="1"/>
      <c r="Q3712" s="1"/>
      <c r="R3712" s="1"/>
      <c r="S3712" s="1"/>
      <c r="T3712" s="1"/>
      <c r="U3712" s="1"/>
      <c r="V3712" s="1"/>
      <c r="W3712" s="1"/>
    </row>
    <row r="3713" customHeight="1" spans="1:23">
      <c r="A3713" s="1"/>
      <c r="B3713" s="1"/>
      <c r="C3713" s="1"/>
      <c r="D3713" s="1"/>
      <c r="E3713" s="1"/>
      <c r="F3713" s="1"/>
      <c r="G3713" s="1"/>
      <c r="H3713" s="1"/>
      <c r="I3713" s="1"/>
      <c r="J3713" s="1"/>
      <c r="K3713" s="1"/>
      <c r="L3713" s="1"/>
      <c r="M3713" s="1"/>
      <c r="N3713" s="1"/>
      <c r="O3713" s="1"/>
      <c r="P3713" s="1"/>
      <c r="Q3713" s="1"/>
      <c r="R3713" s="1"/>
      <c r="S3713" s="1"/>
      <c r="T3713" s="1"/>
      <c r="U3713" s="1"/>
      <c r="V3713" s="1"/>
      <c r="W3713" s="1"/>
    </row>
    <row r="3714" customHeight="1" spans="1:23">
      <c r="A3714" s="1"/>
      <c r="B3714" s="1"/>
      <c r="C3714" s="1"/>
      <c r="D3714" s="1"/>
      <c r="E3714" s="1"/>
      <c r="F3714" s="1"/>
      <c r="G3714" s="1"/>
      <c r="H3714" s="1"/>
      <c r="I3714" s="1"/>
      <c r="J3714" s="1"/>
      <c r="K3714" s="1"/>
      <c r="L3714" s="1"/>
      <c r="M3714" s="1"/>
      <c r="N3714" s="1"/>
      <c r="O3714" s="1"/>
      <c r="P3714" s="1"/>
      <c r="Q3714" s="1"/>
      <c r="R3714" s="1"/>
      <c r="S3714" s="1"/>
      <c r="T3714" s="1"/>
      <c r="U3714" s="1"/>
      <c r="V3714" s="1"/>
      <c r="W3714" s="1"/>
    </row>
    <row r="3715" customHeight="1" spans="1:23">
      <c r="A3715" s="1"/>
      <c r="B3715" s="1"/>
      <c r="C3715" s="1"/>
      <c r="D3715" s="1"/>
      <c r="E3715" s="1"/>
      <c r="F3715" s="1"/>
      <c r="G3715" s="1"/>
      <c r="H3715" s="1"/>
      <c r="I3715" s="1"/>
      <c r="J3715" s="1"/>
      <c r="K3715" s="1"/>
      <c r="L3715" s="1"/>
      <c r="M3715" s="1"/>
      <c r="N3715" s="1"/>
      <c r="O3715" s="1"/>
      <c r="P3715" s="1"/>
      <c r="Q3715" s="1"/>
      <c r="R3715" s="1"/>
      <c r="S3715" s="1"/>
      <c r="T3715" s="1"/>
      <c r="U3715" s="1"/>
      <c r="V3715" s="1"/>
      <c r="W3715" s="1"/>
    </row>
    <row r="3716" customHeight="1" spans="1:23">
      <c r="A3716" s="1"/>
      <c r="B3716" s="1"/>
      <c r="C3716" s="1"/>
      <c r="D3716" s="1"/>
      <c r="E3716" s="1"/>
      <c r="F3716" s="1"/>
      <c r="G3716" s="1"/>
      <c r="H3716" s="1"/>
      <c r="I3716" s="1"/>
      <c r="J3716" s="1"/>
      <c r="K3716" s="1"/>
      <c r="L3716" s="1"/>
      <c r="M3716" s="1"/>
      <c r="N3716" s="1"/>
      <c r="O3716" s="1"/>
      <c r="P3716" s="1"/>
      <c r="Q3716" s="1"/>
      <c r="R3716" s="1"/>
      <c r="S3716" s="1"/>
      <c r="T3716" s="1"/>
      <c r="U3716" s="1"/>
      <c r="V3716" s="1"/>
      <c r="W3716" s="1"/>
    </row>
    <row r="3717" customHeight="1" spans="1:23">
      <c r="A3717" s="1"/>
      <c r="B3717" s="1"/>
      <c r="C3717" s="1"/>
      <c r="D3717" s="1"/>
      <c r="E3717" s="1"/>
      <c r="F3717" s="1"/>
      <c r="G3717" s="1"/>
      <c r="H3717" s="1"/>
      <c r="I3717" s="1"/>
      <c r="J3717" s="1"/>
      <c r="K3717" s="1"/>
      <c r="L3717" s="1"/>
      <c r="M3717" s="1"/>
      <c r="N3717" s="1"/>
      <c r="O3717" s="1"/>
      <c r="P3717" s="1"/>
      <c r="Q3717" s="1"/>
      <c r="R3717" s="1"/>
      <c r="S3717" s="1"/>
      <c r="T3717" s="1"/>
      <c r="U3717" s="1"/>
      <c r="V3717" s="1"/>
      <c r="W3717" s="1"/>
    </row>
    <row r="3718" customHeight="1" spans="1:23">
      <c r="A3718" s="1"/>
      <c r="B3718" s="1"/>
      <c r="C3718" s="1"/>
      <c r="D3718" s="1"/>
      <c r="E3718" s="1"/>
      <c r="F3718" s="1"/>
      <c r="G3718" s="1"/>
      <c r="H3718" s="1"/>
      <c r="I3718" s="1"/>
      <c r="J3718" s="1"/>
      <c r="K3718" s="1"/>
      <c r="L3718" s="1"/>
      <c r="M3718" s="1"/>
      <c r="N3718" s="1"/>
      <c r="O3718" s="1"/>
      <c r="P3718" s="1"/>
      <c r="Q3718" s="1"/>
      <c r="R3718" s="1"/>
      <c r="S3718" s="1"/>
      <c r="T3718" s="1"/>
      <c r="U3718" s="1"/>
      <c r="V3718" s="1"/>
      <c r="W3718" s="1"/>
    </row>
    <row r="3719" customHeight="1" spans="1:23">
      <c r="A3719" s="1"/>
      <c r="B3719" s="1"/>
      <c r="C3719" s="1"/>
      <c r="D3719" s="1"/>
      <c r="E3719" s="1"/>
      <c r="F3719" s="1"/>
      <c r="G3719" s="1"/>
      <c r="H3719" s="1"/>
      <c r="I3719" s="1"/>
      <c r="J3719" s="1"/>
      <c r="K3719" s="1"/>
      <c r="L3719" s="1"/>
      <c r="M3719" s="1"/>
      <c r="N3719" s="1"/>
      <c r="O3719" s="1"/>
      <c r="P3719" s="1"/>
      <c r="Q3719" s="1"/>
      <c r="R3719" s="1"/>
      <c r="S3719" s="1"/>
      <c r="T3719" s="1"/>
      <c r="U3719" s="1"/>
      <c r="V3719" s="1"/>
      <c r="W3719" s="1"/>
    </row>
    <row r="3720" customHeight="1" spans="1:23">
      <c r="A3720" s="1"/>
      <c r="B3720" s="1"/>
      <c r="C3720" s="1"/>
      <c r="D3720" s="1"/>
      <c r="E3720" s="1"/>
      <c r="F3720" s="1"/>
      <c r="G3720" s="1"/>
      <c r="H3720" s="1"/>
      <c r="I3720" s="1"/>
      <c r="J3720" s="1"/>
      <c r="K3720" s="1"/>
      <c r="L3720" s="1"/>
      <c r="M3720" s="1"/>
      <c r="N3720" s="1"/>
      <c r="O3720" s="1"/>
      <c r="P3720" s="1"/>
      <c r="Q3720" s="1"/>
      <c r="R3720" s="1"/>
      <c r="S3720" s="1"/>
      <c r="T3720" s="1"/>
      <c r="U3720" s="1"/>
      <c r="V3720" s="1"/>
      <c r="W3720" s="1"/>
    </row>
    <row r="3721" customHeight="1" spans="1:23">
      <c r="A3721" s="1"/>
      <c r="B3721" s="1"/>
      <c r="C3721" s="1"/>
      <c r="D3721" s="1"/>
      <c r="E3721" s="1"/>
      <c r="F3721" s="1"/>
      <c r="G3721" s="1"/>
      <c r="H3721" s="1"/>
      <c r="I3721" s="1"/>
      <c r="J3721" s="1"/>
      <c r="K3721" s="1"/>
      <c r="L3721" s="1"/>
      <c r="M3721" s="1"/>
      <c r="N3721" s="1"/>
      <c r="O3721" s="1"/>
      <c r="P3721" s="1"/>
      <c r="Q3721" s="1"/>
      <c r="R3721" s="1"/>
      <c r="S3721" s="1"/>
      <c r="T3721" s="1"/>
      <c r="U3721" s="1"/>
      <c r="V3721" s="1"/>
      <c r="W3721" s="1"/>
    </row>
    <row r="3722" customHeight="1" spans="1:23">
      <c r="A3722" s="1"/>
      <c r="B3722" s="1"/>
      <c r="C3722" s="1"/>
      <c r="D3722" s="1"/>
      <c r="E3722" s="1"/>
      <c r="F3722" s="1"/>
      <c r="G3722" s="1"/>
      <c r="H3722" s="1"/>
      <c r="I3722" s="1"/>
      <c r="J3722" s="1"/>
      <c r="K3722" s="1"/>
      <c r="L3722" s="1"/>
      <c r="M3722" s="1"/>
      <c r="N3722" s="1"/>
      <c r="O3722" s="1"/>
      <c r="P3722" s="1"/>
      <c r="Q3722" s="1"/>
      <c r="R3722" s="1"/>
      <c r="S3722" s="1"/>
      <c r="T3722" s="1"/>
      <c r="U3722" s="1"/>
      <c r="V3722" s="1"/>
      <c r="W3722" s="1"/>
    </row>
    <row r="3723" customHeight="1" spans="1:23">
      <c r="A3723" s="1"/>
      <c r="B3723" s="1"/>
      <c r="C3723" s="1"/>
      <c r="D3723" s="1"/>
      <c r="E3723" s="1"/>
      <c r="F3723" s="1"/>
      <c r="G3723" s="1"/>
      <c r="H3723" s="1"/>
      <c r="I3723" s="1"/>
      <c r="J3723" s="1"/>
      <c r="K3723" s="1"/>
      <c r="L3723" s="1"/>
      <c r="M3723" s="1"/>
      <c r="N3723" s="1"/>
      <c r="O3723" s="1"/>
      <c r="P3723" s="1"/>
      <c r="Q3723" s="1"/>
      <c r="R3723" s="1"/>
      <c r="S3723" s="1"/>
      <c r="T3723" s="1"/>
      <c r="U3723" s="1"/>
      <c r="V3723" s="1"/>
      <c r="W3723" s="1"/>
    </row>
    <row r="3724" customHeight="1" spans="1:23">
      <c r="A3724" s="1"/>
      <c r="B3724" s="1"/>
      <c r="C3724" s="1"/>
      <c r="D3724" s="1"/>
      <c r="E3724" s="1"/>
      <c r="F3724" s="1"/>
      <c r="G3724" s="1"/>
      <c r="H3724" s="1"/>
      <c r="I3724" s="1"/>
      <c r="J3724" s="1"/>
      <c r="K3724" s="1"/>
      <c r="L3724" s="1"/>
      <c r="M3724" s="1"/>
      <c r="N3724" s="1"/>
      <c r="O3724" s="1"/>
      <c r="P3724" s="1"/>
      <c r="Q3724" s="1"/>
      <c r="R3724" s="1"/>
      <c r="S3724" s="1"/>
      <c r="T3724" s="1"/>
      <c r="U3724" s="1"/>
      <c r="V3724" s="1"/>
      <c r="W3724" s="1"/>
    </row>
    <row r="3725" customHeight="1" spans="1:23">
      <c r="A3725" s="1"/>
      <c r="B3725" s="1"/>
      <c r="C3725" s="1"/>
      <c r="D3725" s="1"/>
      <c r="E3725" s="1"/>
      <c r="F3725" s="1"/>
      <c r="G3725" s="1"/>
      <c r="H3725" s="1"/>
      <c r="I3725" s="1"/>
      <c r="J3725" s="1"/>
      <c r="K3725" s="1"/>
      <c r="L3725" s="1"/>
      <c r="M3725" s="1"/>
      <c r="N3725" s="1"/>
      <c r="O3725" s="1"/>
      <c r="P3725" s="1"/>
      <c r="Q3725" s="1"/>
      <c r="R3725" s="1"/>
      <c r="S3725" s="1"/>
      <c r="T3725" s="1"/>
      <c r="U3725" s="1"/>
      <c r="V3725" s="1"/>
      <c r="W3725" s="1"/>
    </row>
    <row r="3726" customHeight="1" spans="1:23">
      <c r="A3726" s="1"/>
      <c r="B3726" s="1"/>
      <c r="C3726" s="1"/>
      <c r="D3726" s="1"/>
      <c r="E3726" s="1"/>
      <c r="F3726" s="1"/>
      <c r="G3726" s="1"/>
      <c r="H3726" s="1"/>
      <c r="I3726" s="1"/>
      <c r="J3726" s="1"/>
      <c r="K3726" s="1"/>
      <c r="L3726" s="1"/>
      <c r="M3726" s="1"/>
      <c r="N3726" s="1"/>
      <c r="O3726" s="1"/>
      <c r="P3726" s="1"/>
      <c r="Q3726" s="1"/>
      <c r="R3726" s="1"/>
      <c r="S3726" s="1"/>
      <c r="T3726" s="1"/>
      <c r="U3726" s="1"/>
      <c r="V3726" s="1"/>
      <c r="W3726" s="1"/>
    </row>
    <row r="3727" customHeight="1" spans="1:23">
      <c r="A3727" s="1"/>
      <c r="B3727" s="1"/>
      <c r="C3727" s="1"/>
      <c r="D3727" s="1"/>
      <c r="E3727" s="1"/>
      <c r="F3727" s="1"/>
      <c r="G3727" s="1"/>
      <c r="H3727" s="1"/>
      <c r="I3727" s="1"/>
      <c r="J3727" s="1"/>
      <c r="K3727" s="1"/>
      <c r="L3727" s="1"/>
      <c r="M3727" s="1"/>
      <c r="N3727" s="1"/>
      <c r="O3727" s="1"/>
      <c r="P3727" s="1"/>
      <c r="Q3727" s="1"/>
      <c r="R3727" s="1"/>
      <c r="S3727" s="1"/>
      <c r="T3727" s="1"/>
      <c r="U3727" s="1"/>
      <c r="V3727" s="1"/>
      <c r="W3727" s="1"/>
    </row>
    <row r="3728" customHeight="1" spans="1:23">
      <c r="A3728" s="1"/>
      <c r="B3728" s="1"/>
      <c r="C3728" s="1"/>
      <c r="D3728" s="1"/>
      <c r="E3728" s="1"/>
      <c r="F3728" s="1"/>
      <c r="G3728" s="1"/>
      <c r="H3728" s="1"/>
      <c r="I3728" s="1"/>
      <c r="J3728" s="1"/>
      <c r="K3728" s="1"/>
      <c r="L3728" s="1"/>
      <c r="M3728" s="1"/>
      <c r="N3728" s="1"/>
      <c r="O3728" s="1"/>
      <c r="P3728" s="1"/>
      <c r="Q3728" s="1"/>
      <c r="R3728" s="1"/>
      <c r="S3728" s="1"/>
      <c r="T3728" s="1"/>
      <c r="U3728" s="1"/>
      <c r="V3728" s="1"/>
      <c r="W3728" s="1"/>
    </row>
    <row r="3729" customHeight="1" spans="1:23">
      <c r="A3729" s="1"/>
      <c r="B3729" s="1"/>
      <c r="C3729" s="1"/>
      <c r="D3729" s="1"/>
      <c r="E3729" s="1"/>
      <c r="F3729" s="1"/>
      <c r="G3729" s="1"/>
      <c r="H3729" s="1"/>
      <c r="I3729" s="1"/>
      <c r="J3729" s="1"/>
      <c r="K3729" s="1"/>
      <c r="L3729" s="1"/>
      <c r="M3729" s="1"/>
      <c r="N3729" s="1"/>
      <c r="O3729" s="1"/>
      <c r="P3729" s="1"/>
      <c r="Q3729" s="1"/>
      <c r="R3729" s="1"/>
      <c r="S3729" s="1"/>
      <c r="T3729" s="1"/>
      <c r="U3729" s="1"/>
      <c r="V3729" s="1"/>
      <c r="W3729" s="1"/>
    </row>
    <row r="3730" customHeight="1" spans="1:23">
      <c r="A3730" s="1"/>
      <c r="B3730" s="1"/>
      <c r="C3730" s="1"/>
      <c r="D3730" s="1"/>
      <c r="E3730" s="1"/>
      <c r="F3730" s="1"/>
      <c r="G3730" s="1"/>
      <c r="H3730" s="1"/>
      <c r="I3730" s="1"/>
      <c r="J3730" s="1"/>
      <c r="K3730" s="1"/>
      <c r="L3730" s="1"/>
      <c r="M3730" s="1"/>
      <c r="N3730" s="1"/>
      <c r="O3730" s="1"/>
      <c r="P3730" s="1"/>
      <c r="Q3730" s="1"/>
      <c r="R3730" s="1"/>
      <c r="S3730" s="1"/>
      <c r="T3730" s="1"/>
      <c r="U3730" s="1"/>
      <c r="V3730" s="1"/>
      <c r="W3730" s="1"/>
    </row>
    <row r="3731" customHeight="1" spans="1:23">
      <c r="A3731" s="1"/>
      <c r="B3731" s="1"/>
      <c r="C3731" s="1"/>
      <c r="D3731" s="1"/>
      <c r="E3731" s="1"/>
      <c r="F3731" s="1"/>
      <c r="G3731" s="1"/>
      <c r="H3731" s="1"/>
      <c r="I3731" s="1"/>
      <c r="J3731" s="1"/>
      <c r="K3731" s="1"/>
      <c r="L3731" s="1"/>
      <c r="M3731" s="1"/>
      <c r="N3731" s="1"/>
      <c r="O3731" s="1"/>
      <c r="P3731" s="1"/>
      <c r="Q3731" s="1"/>
      <c r="R3731" s="1"/>
      <c r="S3731" s="1"/>
      <c r="T3731" s="1"/>
      <c r="U3731" s="1"/>
      <c r="V3731" s="1"/>
      <c r="W3731" s="1"/>
    </row>
    <row r="3732" customHeight="1" spans="1:23">
      <c r="A3732" s="1"/>
      <c r="B3732" s="1"/>
      <c r="C3732" s="1"/>
      <c r="D3732" s="1"/>
      <c r="E3732" s="1"/>
      <c r="F3732" s="1"/>
      <c r="G3732" s="1"/>
      <c r="H3732" s="1"/>
      <c r="I3732" s="1"/>
      <c r="J3732" s="1"/>
      <c r="K3732" s="1"/>
      <c r="L3732" s="1"/>
      <c r="M3732" s="1"/>
      <c r="N3732" s="1"/>
      <c r="O3732" s="1"/>
      <c r="P3732" s="1"/>
      <c r="Q3732" s="1"/>
      <c r="R3732" s="1"/>
      <c r="S3732" s="1"/>
      <c r="T3732" s="1"/>
      <c r="U3732" s="1"/>
      <c r="V3732" s="1"/>
      <c r="W3732" s="1"/>
    </row>
    <row r="3733" customHeight="1" spans="1:23">
      <c r="A3733" s="1"/>
      <c r="B3733" s="1"/>
      <c r="C3733" s="1"/>
      <c r="D3733" s="1"/>
      <c r="E3733" s="1"/>
      <c r="F3733" s="1"/>
      <c r="G3733" s="1"/>
      <c r="H3733" s="1"/>
      <c r="I3733" s="1"/>
      <c r="J3733" s="1"/>
      <c r="K3733" s="1"/>
      <c r="L3733" s="1"/>
      <c r="M3733" s="1"/>
      <c r="N3733" s="1"/>
      <c r="O3733" s="1"/>
      <c r="P3733" s="1"/>
      <c r="Q3733" s="1"/>
      <c r="R3733" s="1"/>
      <c r="S3733" s="1"/>
      <c r="T3733" s="1"/>
      <c r="U3733" s="1"/>
      <c r="V3733" s="1"/>
      <c r="W3733" s="1"/>
    </row>
    <row r="3734" customHeight="1" spans="1:23">
      <c r="A3734" s="1"/>
      <c r="B3734" s="1"/>
      <c r="C3734" s="1"/>
      <c r="D3734" s="1"/>
      <c r="E3734" s="1"/>
      <c r="F3734" s="1"/>
      <c r="G3734" s="1"/>
      <c r="H3734" s="1"/>
      <c r="I3734" s="1"/>
      <c r="J3734" s="1"/>
      <c r="K3734" s="1"/>
      <c r="L3734" s="1"/>
      <c r="M3734" s="1"/>
      <c r="N3734" s="1"/>
      <c r="O3734" s="1"/>
      <c r="P3734" s="1"/>
      <c r="Q3734" s="1"/>
      <c r="R3734" s="1"/>
      <c r="S3734" s="1"/>
      <c r="T3734" s="1"/>
      <c r="U3734" s="1"/>
      <c r="V3734" s="1"/>
      <c r="W3734" s="1"/>
    </row>
    <row r="3735" customHeight="1" spans="1:23">
      <c r="A3735" s="1"/>
      <c r="B3735" s="1"/>
      <c r="C3735" s="1"/>
      <c r="D3735" s="1"/>
      <c r="E3735" s="1"/>
      <c r="F3735" s="1"/>
      <c r="G3735" s="1"/>
      <c r="H3735" s="1"/>
      <c r="I3735" s="1"/>
      <c r="J3735" s="1"/>
      <c r="K3735" s="1"/>
      <c r="L3735" s="1"/>
      <c r="M3735" s="1"/>
      <c r="N3735" s="1"/>
      <c r="O3735" s="1"/>
      <c r="P3735" s="1"/>
      <c r="Q3735" s="1"/>
      <c r="R3735" s="1"/>
      <c r="S3735" s="1"/>
      <c r="T3735" s="1"/>
      <c r="U3735" s="1"/>
      <c r="V3735" s="1"/>
      <c r="W3735" s="1"/>
    </row>
    <row r="3736" customHeight="1" spans="1:23">
      <c r="A3736" s="1"/>
      <c r="B3736" s="1"/>
      <c r="C3736" s="1"/>
      <c r="D3736" s="1"/>
      <c r="E3736" s="1"/>
      <c r="F3736" s="1"/>
      <c r="G3736" s="1"/>
      <c r="H3736" s="1"/>
      <c r="I3736" s="1"/>
      <c r="J3736" s="1"/>
      <c r="K3736" s="1"/>
      <c r="L3736" s="1"/>
      <c r="M3736" s="1"/>
      <c r="N3736" s="1"/>
      <c r="O3736" s="1"/>
      <c r="P3736" s="1"/>
      <c r="Q3736" s="1"/>
      <c r="R3736" s="1"/>
      <c r="S3736" s="1"/>
      <c r="T3736" s="1"/>
      <c r="U3736" s="1"/>
      <c r="V3736" s="1"/>
      <c r="W3736" s="1"/>
    </row>
    <row r="3737" customHeight="1" spans="1:23">
      <c r="A3737" s="1"/>
      <c r="B3737" s="1"/>
      <c r="C3737" s="1"/>
      <c r="D3737" s="1"/>
      <c r="E3737" s="1"/>
      <c r="F3737" s="1"/>
      <c r="G3737" s="1"/>
      <c r="H3737" s="1"/>
      <c r="I3737" s="1"/>
      <c r="J3737" s="1"/>
      <c r="K3737" s="1"/>
      <c r="L3737" s="1"/>
      <c r="M3737" s="1"/>
      <c r="N3737" s="1"/>
      <c r="O3737" s="1"/>
      <c r="P3737" s="1"/>
      <c r="Q3737" s="1"/>
      <c r="R3737" s="1"/>
      <c r="S3737" s="1"/>
      <c r="T3737" s="1"/>
      <c r="U3737" s="1"/>
      <c r="V3737" s="1"/>
      <c r="W3737" s="1"/>
    </row>
    <row r="3738" customHeight="1" spans="1:23">
      <c r="A3738" s="1"/>
      <c r="B3738" s="1"/>
      <c r="C3738" s="1"/>
      <c r="D3738" s="1"/>
      <c r="E3738" s="1"/>
      <c r="F3738" s="1"/>
      <c r="G3738" s="1"/>
      <c r="H3738" s="1"/>
      <c r="I3738" s="1"/>
      <c r="J3738" s="1"/>
      <c r="K3738" s="1"/>
      <c r="L3738" s="1"/>
      <c r="M3738" s="1"/>
      <c r="N3738" s="1"/>
      <c r="O3738" s="1"/>
      <c r="P3738" s="1"/>
      <c r="Q3738" s="1"/>
      <c r="R3738" s="1"/>
      <c r="S3738" s="1"/>
      <c r="T3738" s="1"/>
      <c r="U3738" s="1"/>
      <c r="V3738" s="1"/>
      <c r="W3738" s="1"/>
    </row>
    <row r="3739" customHeight="1" spans="1:23">
      <c r="A3739" s="1"/>
      <c r="B3739" s="1"/>
      <c r="C3739" s="1"/>
      <c r="D3739" s="1"/>
      <c r="E3739" s="1"/>
      <c r="F3739" s="1"/>
      <c r="G3739" s="1"/>
      <c r="H3739" s="1"/>
      <c r="I3739" s="1"/>
      <c r="J3739" s="1"/>
      <c r="K3739" s="1"/>
      <c r="L3739" s="1"/>
      <c r="M3739" s="1"/>
      <c r="N3739" s="1"/>
      <c r="O3739" s="1"/>
      <c r="P3739" s="1"/>
      <c r="Q3739" s="1"/>
      <c r="R3739" s="1"/>
      <c r="S3739" s="1"/>
      <c r="T3739" s="1"/>
      <c r="U3739" s="1"/>
      <c r="V3739" s="1"/>
      <c r="W3739" s="1"/>
    </row>
    <row r="3740" customHeight="1" spans="1:23">
      <c r="A3740" s="1"/>
      <c r="B3740" s="1"/>
      <c r="C3740" s="1"/>
      <c r="D3740" s="1"/>
      <c r="E3740" s="1"/>
      <c r="F3740" s="1"/>
      <c r="G3740" s="1"/>
      <c r="H3740" s="1"/>
      <c r="I3740" s="1"/>
      <c r="J3740" s="1"/>
      <c r="K3740" s="1"/>
      <c r="L3740" s="1"/>
      <c r="M3740" s="1"/>
      <c r="N3740" s="1"/>
      <c r="O3740" s="1"/>
      <c r="P3740" s="1"/>
      <c r="Q3740" s="1"/>
      <c r="R3740" s="1"/>
      <c r="S3740" s="1"/>
      <c r="T3740" s="1"/>
      <c r="U3740" s="1"/>
      <c r="V3740" s="1"/>
      <c r="W3740" s="1"/>
    </row>
    <row r="3741" customHeight="1" spans="1:23">
      <c r="A3741" s="1"/>
      <c r="B3741" s="1"/>
      <c r="C3741" s="1"/>
      <c r="D3741" s="1"/>
      <c r="E3741" s="1"/>
      <c r="F3741" s="1"/>
      <c r="G3741" s="1"/>
      <c r="H3741" s="1"/>
      <c r="I3741" s="1"/>
      <c r="J3741" s="1"/>
      <c r="K3741" s="1"/>
      <c r="L3741" s="1"/>
      <c r="M3741" s="1"/>
      <c r="N3741" s="1"/>
      <c r="O3741" s="1"/>
      <c r="P3741" s="1"/>
      <c r="Q3741" s="1"/>
      <c r="R3741" s="1"/>
      <c r="S3741" s="1"/>
      <c r="T3741" s="1"/>
      <c r="U3741" s="1"/>
      <c r="V3741" s="1"/>
      <c r="W3741" s="1"/>
    </row>
    <row r="3742" customHeight="1" spans="1:23">
      <c r="A3742" s="1"/>
      <c r="B3742" s="1"/>
      <c r="C3742" s="1"/>
      <c r="D3742" s="1"/>
      <c r="E3742" s="1"/>
      <c r="F3742" s="1"/>
      <c r="G3742" s="1"/>
      <c r="H3742" s="1"/>
      <c r="I3742" s="1"/>
      <c r="J3742" s="1"/>
      <c r="K3742" s="1"/>
      <c r="L3742" s="1"/>
      <c r="M3742" s="1"/>
      <c r="N3742" s="1"/>
      <c r="O3742" s="1"/>
      <c r="P3742" s="1"/>
      <c r="Q3742" s="1"/>
      <c r="R3742" s="1"/>
      <c r="S3742" s="1"/>
      <c r="T3742" s="1"/>
      <c r="U3742" s="1"/>
      <c r="V3742" s="1"/>
      <c r="W3742" s="1"/>
    </row>
    <row r="3743" customHeight="1" spans="1:23">
      <c r="A3743" s="1"/>
      <c r="B3743" s="1"/>
      <c r="C3743" s="1"/>
      <c r="D3743" s="1"/>
      <c r="E3743" s="1"/>
      <c r="F3743" s="1"/>
      <c r="G3743" s="1"/>
      <c r="H3743" s="1"/>
      <c r="I3743" s="1"/>
      <c r="J3743" s="1"/>
      <c r="K3743" s="1"/>
      <c r="L3743" s="1"/>
      <c r="M3743" s="1"/>
      <c r="N3743" s="1"/>
      <c r="O3743" s="1"/>
      <c r="P3743" s="1"/>
      <c r="Q3743" s="1"/>
      <c r="R3743" s="1"/>
      <c r="S3743" s="1"/>
      <c r="T3743" s="1"/>
      <c r="U3743" s="1"/>
      <c r="V3743" s="1"/>
      <c r="W3743" s="1"/>
    </row>
    <row r="3744" customHeight="1" spans="1:23">
      <c r="A3744" s="1"/>
      <c r="B3744" s="1"/>
      <c r="C3744" s="1"/>
      <c r="D3744" s="1"/>
      <c r="E3744" s="1"/>
      <c r="F3744" s="1"/>
      <c r="G3744" s="1"/>
      <c r="H3744" s="1"/>
      <c r="I3744" s="1"/>
      <c r="J3744" s="1"/>
      <c r="K3744" s="1"/>
      <c r="L3744" s="1"/>
      <c r="M3744" s="1"/>
      <c r="N3744" s="1"/>
      <c r="O3744" s="1"/>
      <c r="P3744" s="1"/>
      <c r="Q3744" s="1"/>
      <c r="R3744" s="1"/>
      <c r="S3744" s="1"/>
      <c r="T3744" s="1"/>
      <c r="U3744" s="1"/>
      <c r="V3744" s="1"/>
      <c r="W3744" s="1"/>
    </row>
    <row r="3745" customHeight="1" spans="1:23">
      <c r="A3745" s="1"/>
      <c r="B3745" s="1"/>
      <c r="C3745" s="1"/>
      <c r="D3745" s="1"/>
      <c r="E3745" s="1"/>
      <c r="F3745" s="1"/>
      <c r="G3745" s="1"/>
      <c r="H3745" s="1"/>
      <c r="I3745" s="1"/>
      <c r="J3745" s="1"/>
      <c r="K3745" s="1"/>
      <c r="L3745" s="1"/>
      <c r="M3745" s="1"/>
      <c r="N3745" s="1"/>
      <c r="O3745" s="1"/>
      <c r="P3745" s="1"/>
      <c r="Q3745" s="1"/>
      <c r="R3745" s="1"/>
      <c r="S3745" s="1"/>
      <c r="T3745" s="1"/>
      <c r="U3745" s="1"/>
      <c r="V3745" s="1"/>
      <c r="W3745" s="1"/>
    </row>
    <row r="3746" customHeight="1" spans="1:23">
      <c r="A3746" s="1"/>
      <c r="B3746" s="1"/>
      <c r="C3746" s="1"/>
      <c r="D3746" s="1"/>
      <c r="E3746" s="1"/>
      <c r="F3746" s="1"/>
      <c r="G3746" s="1"/>
      <c r="H3746" s="1"/>
      <c r="I3746" s="1"/>
      <c r="J3746" s="1"/>
      <c r="K3746" s="1"/>
      <c r="L3746" s="1"/>
      <c r="M3746" s="1"/>
      <c r="N3746" s="1"/>
      <c r="O3746" s="1"/>
      <c r="P3746" s="1"/>
      <c r="Q3746" s="1"/>
      <c r="R3746" s="1"/>
      <c r="S3746" s="1"/>
      <c r="T3746" s="1"/>
      <c r="U3746" s="1"/>
      <c r="V3746" s="1"/>
      <c r="W3746" s="1"/>
    </row>
    <row r="3747" customHeight="1" spans="1:23">
      <c r="A3747" s="1"/>
      <c r="B3747" s="1"/>
      <c r="C3747" s="1"/>
      <c r="D3747" s="1"/>
      <c r="E3747" s="1"/>
      <c r="F3747" s="1"/>
      <c r="G3747" s="1"/>
      <c r="H3747" s="1"/>
      <c r="I3747" s="1"/>
      <c r="J3747" s="1"/>
      <c r="K3747" s="1"/>
      <c r="L3747" s="1"/>
      <c r="M3747" s="1"/>
      <c r="N3747" s="1"/>
      <c r="O3747" s="1"/>
      <c r="P3747" s="1"/>
      <c r="Q3747" s="1"/>
      <c r="R3747" s="1"/>
      <c r="S3747" s="1"/>
      <c r="T3747" s="1"/>
      <c r="U3747" s="1"/>
      <c r="V3747" s="1"/>
      <c r="W3747" s="1"/>
    </row>
    <row r="3748" customHeight="1" spans="1:23">
      <c r="A3748" s="1"/>
      <c r="B3748" s="1"/>
      <c r="C3748" s="1"/>
      <c r="D3748" s="1"/>
      <c r="E3748" s="1"/>
      <c r="F3748" s="1"/>
      <c r="G3748" s="1"/>
      <c r="H3748" s="1"/>
      <c r="I3748" s="1"/>
      <c r="J3748" s="1"/>
      <c r="K3748" s="1"/>
      <c r="L3748" s="1"/>
      <c r="M3748" s="1"/>
      <c r="N3748" s="1"/>
      <c r="O3748" s="1"/>
      <c r="P3748" s="1"/>
      <c r="Q3748" s="1"/>
      <c r="R3748" s="1"/>
      <c r="S3748" s="1"/>
      <c r="T3748" s="1"/>
      <c r="U3748" s="1"/>
      <c r="V3748" s="1"/>
      <c r="W3748" s="1"/>
    </row>
    <row r="3749" customHeight="1" spans="1:23">
      <c r="A3749" s="1"/>
      <c r="B3749" s="1"/>
      <c r="C3749" s="1"/>
      <c r="D3749" s="1"/>
      <c r="E3749" s="1"/>
      <c r="F3749" s="1"/>
      <c r="G3749" s="1"/>
      <c r="H3749" s="1"/>
      <c r="I3749" s="1"/>
      <c r="J3749" s="1"/>
      <c r="K3749" s="1"/>
      <c r="L3749" s="1"/>
      <c r="M3749" s="1"/>
      <c r="N3749" s="1"/>
      <c r="O3749" s="1"/>
      <c r="P3749" s="1"/>
      <c r="Q3749" s="1"/>
      <c r="R3749" s="1"/>
      <c r="S3749" s="1"/>
      <c r="T3749" s="1"/>
      <c r="U3749" s="1"/>
      <c r="V3749" s="1"/>
      <c r="W3749" s="1"/>
    </row>
    <row r="3750" customHeight="1" spans="1:23">
      <c r="A3750" s="1"/>
      <c r="B3750" s="1"/>
      <c r="C3750" s="1"/>
      <c r="D3750" s="1"/>
      <c r="E3750" s="1"/>
      <c r="F3750" s="1"/>
      <c r="G3750" s="1"/>
      <c r="H3750" s="1"/>
      <c r="I3750" s="1"/>
      <c r="J3750" s="1"/>
      <c r="K3750" s="1"/>
      <c r="L3750" s="1"/>
      <c r="M3750" s="1"/>
      <c r="N3750" s="1"/>
      <c r="O3750" s="1"/>
      <c r="P3750" s="1"/>
      <c r="Q3750" s="1"/>
      <c r="R3750" s="1"/>
      <c r="S3750" s="1"/>
      <c r="T3750" s="1"/>
      <c r="U3750" s="1"/>
      <c r="V3750" s="1"/>
      <c r="W3750" s="1"/>
    </row>
    <row r="3751" customHeight="1" spans="1:23">
      <c r="A3751" s="1"/>
      <c r="B3751" s="1"/>
      <c r="C3751" s="1"/>
      <c r="D3751" s="1"/>
      <c r="E3751" s="1"/>
      <c r="F3751" s="1"/>
      <c r="G3751" s="1"/>
      <c r="H3751" s="1"/>
      <c r="I3751" s="1"/>
      <c r="J3751" s="1"/>
      <c r="K3751" s="1"/>
      <c r="L3751" s="1"/>
      <c r="M3751" s="1"/>
      <c r="N3751" s="1"/>
      <c r="O3751" s="1"/>
      <c r="P3751" s="1"/>
      <c r="Q3751" s="1"/>
      <c r="R3751" s="1"/>
      <c r="S3751" s="1"/>
      <c r="T3751" s="1"/>
      <c r="U3751" s="1"/>
      <c r="V3751" s="1"/>
      <c r="W3751" s="1"/>
    </row>
    <row r="3752" customHeight="1" spans="1:23">
      <c r="A3752" s="1"/>
      <c r="B3752" s="1"/>
      <c r="C3752" s="1"/>
      <c r="D3752" s="1"/>
      <c r="E3752" s="1"/>
      <c r="F3752" s="1"/>
      <c r="G3752" s="1"/>
      <c r="H3752" s="1"/>
      <c r="I3752" s="1"/>
      <c r="J3752" s="1"/>
      <c r="K3752" s="1"/>
      <c r="L3752" s="1"/>
      <c r="M3752" s="1"/>
      <c r="N3752" s="1"/>
      <c r="O3752" s="1"/>
      <c r="P3752" s="1"/>
      <c r="Q3752" s="1"/>
      <c r="R3752" s="1"/>
      <c r="S3752" s="1"/>
      <c r="T3752" s="1"/>
      <c r="U3752" s="1"/>
      <c r="V3752" s="1"/>
      <c r="W3752" s="1"/>
    </row>
    <row r="3753" customHeight="1" spans="1:23">
      <c r="A3753" s="1"/>
      <c r="B3753" s="1"/>
      <c r="C3753" s="1"/>
      <c r="D3753" s="1"/>
      <c r="E3753" s="1"/>
      <c r="F3753" s="1"/>
      <c r="G3753" s="1"/>
      <c r="H3753" s="1"/>
      <c r="I3753" s="1"/>
      <c r="J3753" s="1"/>
      <c r="K3753" s="1"/>
      <c r="L3753" s="1"/>
      <c r="M3753" s="1"/>
      <c r="N3753" s="1"/>
      <c r="O3753" s="1"/>
      <c r="P3753" s="1"/>
      <c r="Q3753" s="1"/>
      <c r="R3753" s="1"/>
      <c r="S3753" s="1"/>
      <c r="T3753" s="1"/>
      <c r="U3753" s="1"/>
      <c r="V3753" s="1"/>
      <c r="W3753" s="1"/>
    </row>
    <row r="3754" customHeight="1" spans="1:23">
      <c r="A3754" s="1"/>
      <c r="B3754" s="1"/>
      <c r="C3754" s="1"/>
      <c r="D3754" s="1"/>
      <c r="E3754" s="1"/>
      <c r="F3754" s="1"/>
      <c r="G3754" s="1"/>
      <c r="H3754" s="1"/>
      <c r="I3754" s="1"/>
      <c r="J3754" s="1"/>
      <c r="K3754" s="1"/>
      <c r="L3754" s="1"/>
      <c r="M3754" s="1"/>
      <c r="N3754" s="1"/>
      <c r="O3754" s="1"/>
      <c r="P3754" s="1"/>
      <c r="Q3754" s="1"/>
      <c r="R3754" s="1"/>
      <c r="S3754" s="1"/>
      <c r="T3754" s="1"/>
      <c r="U3754" s="1"/>
      <c r="V3754" s="1"/>
      <c r="W3754" s="1"/>
    </row>
    <row r="3755" customHeight="1" spans="1:23">
      <c r="A3755" s="1"/>
      <c r="B3755" s="1"/>
      <c r="C3755" s="1"/>
      <c r="D3755" s="1"/>
      <c r="E3755" s="1"/>
      <c r="F3755" s="1"/>
      <c r="G3755" s="1"/>
      <c r="H3755" s="1"/>
      <c r="I3755" s="1"/>
      <c r="J3755" s="1"/>
      <c r="K3755" s="1"/>
      <c r="L3755" s="1"/>
      <c r="M3755" s="1"/>
      <c r="N3755" s="1"/>
      <c r="O3755" s="1"/>
      <c r="P3755" s="1"/>
      <c r="Q3755" s="1"/>
      <c r="R3755" s="1"/>
      <c r="S3755" s="1"/>
      <c r="T3755" s="1"/>
      <c r="U3755" s="1"/>
      <c r="V3755" s="1"/>
      <c r="W3755" s="1"/>
    </row>
    <row r="3756" customHeight="1" spans="1:23">
      <c r="A3756" s="1"/>
      <c r="B3756" s="1"/>
      <c r="C3756" s="1"/>
      <c r="D3756" s="1"/>
      <c r="E3756" s="1"/>
      <c r="F3756" s="1"/>
      <c r="G3756" s="1"/>
      <c r="H3756" s="1"/>
      <c r="I3756" s="1"/>
      <c r="J3756" s="1"/>
      <c r="K3756" s="1"/>
      <c r="L3756" s="1"/>
      <c r="M3756" s="1"/>
      <c r="N3756" s="1"/>
      <c r="O3756" s="1"/>
      <c r="P3756" s="1"/>
      <c r="Q3756" s="1"/>
      <c r="R3756" s="1"/>
      <c r="S3756" s="1"/>
      <c r="T3756" s="1"/>
      <c r="U3756" s="1"/>
      <c r="V3756" s="1"/>
      <c r="W3756" s="1"/>
    </row>
    <row r="3757" customHeight="1" spans="1:23">
      <c r="A3757" s="1"/>
      <c r="B3757" s="1"/>
      <c r="C3757" s="1"/>
      <c r="D3757" s="1"/>
      <c r="E3757" s="1"/>
      <c r="F3757" s="1"/>
      <c r="G3757" s="1"/>
      <c r="H3757" s="1"/>
      <c r="I3757" s="1"/>
      <c r="J3757" s="1"/>
      <c r="K3757" s="1"/>
      <c r="L3757" s="1"/>
      <c r="M3757" s="1"/>
      <c r="N3757" s="1"/>
      <c r="O3757" s="1"/>
      <c r="P3757" s="1"/>
      <c r="Q3757" s="1"/>
      <c r="R3757" s="1"/>
      <c r="S3757" s="1"/>
      <c r="T3757" s="1"/>
      <c r="U3757" s="1"/>
      <c r="V3757" s="1"/>
      <c r="W3757" s="1"/>
    </row>
    <row r="3758" customHeight="1" spans="1:23">
      <c r="A3758" s="1"/>
      <c r="B3758" s="1"/>
      <c r="C3758" s="1"/>
      <c r="D3758" s="1"/>
      <c r="E3758" s="1"/>
      <c r="F3758" s="1"/>
      <c r="G3758" s="1"/>
      <c r="H3758" s="1"/>
      <c r="I3758" s="1"/>
      <c r="J3758" s="1"/>
      <c r="K3758" s="1"/>
      <c r="L3758" s="1"/>
      <c r="M3758" s="1"/>
      <c r="N3758" s="1"/>
      <c r="O3758" s="1"/>
      <c r="P3758" s="1"/>
      <c r="Q3758" s="1"/>
      <c r="R3758" s="1"/>
      <c r="S3758" s="1"/>
      <c r="T3758" s="1"/>
      <c r="U3758" s="1"/>
      <c r="V3758" s="1"/>
      <c r="W3758" s="1"/>
    </row>
    <row r="3759" customHeight="1" spans="1:23">
      <c r="A3759" s="1"/>
      <c r="B3759" s="1"/>
      <c r="C3759" s="1"/>
      <c r="D3759" s="1"/>
      <c r="E3759" s="1"/>
      <c r="F3759" s="1"/>
      <c r="G3759" s="1"/>
      <c r="H3759" s="1"/>
      <c r="I3759" s="1"/>
      <c r="J3759" s="1"/>
      <c r="K3759" s="1"/>
      <c r="L3759" s="1"/>
      <c r="M3759" s="1"/>
      <c r="N3759" s="1"/>
      <c r="O3759" s="1"/>
      <c r="P3759" s="1"/>
      <c r="Q3759" s="1"/>
      <c r="R3759" s="1"/>
      <c r="S3759" s="1"/>
      <c r="T3759" s="1"/>
      <c r="U3759" s="1"/>
      <c r="V3759" s="1"/>
      <c r="W3759" s="1"/>
    </row>
    <row r="3760" customHeight="1" spans="1:23">
      <c r="A3760" s="1"/>
      <c r="B3760" s="1"/>
      <c r="C3760" s="1"/>
      <c r="D3760" s="1"/>
      <c r="E3760" s="1"/>
      <c r="F3760" s="1"/>
      <c r="G3760" s="1"/>
      <c r="H3760" s="1"/>
      <c r="I3760" s="1"/>
      <c r="J3760" s="1"/>
      <c r="K3760" s="1"/>
      <c r="L3760" s="1"/>
      <c r="M3760" s="1"/>
      <c r="N3760" s="1"/>
      <c r="O3760" s="1"/>
      <c r="P3760" s="1"/>
      <c r="Q3760" s="1"/>
      <c r="R3760" s="1"/>
      <c r="S3760" s="1"/>
      <c r="T3760" s="1"/>
      <c r="U3760" s="1"/>
      <c r="V3760" s="1"/>
      <c r="W3760" s="1"/>
    </row>
    <row r="3761" customHeight="1" spans="1:23">
      <c r="A3761" s="1"/>
      <c r="B3761" s="1"/>
      <c r="C3761" s="1"/>
      <c r="D3761" s="1"/>
      <c r="E3761" s="1"/>
      <c r="F3761" s="1"/>
      <c r="G3761" s="1"/>
      <c r="H3761" s="1"/>
      <c r="I3761" s="1"/>
      <c r="J3761" s="1"/>
      <c r="K3761" s="1"/>
      <c r="L3761" s="1"/>
      <c r="M3761" s="1"/>
      <c r="N3761" s="1"/>
      <c r="O3761" s="1"/>
      <c r="P3761" s="1"/>
      <c r="Q3761" s="1"/>
      <c r="R3761" s="1"/>
      <c r="S3761" s="1"/>
      <c r="T3761" s="1"/>
      <c r="U3761" s="1"/>
      <c r="V3761" s="1"/>
      <c r="W3761" s="1"/>
    </row>
    <row r="3762" customHeight="1" spans="1:23">
      <c r="A3762" s="1"/>
      <c r="B3762" s="1"/>
      <c r="C3762" s="1"/>
      <c r="D3762" s="1"/>
      <c r="E3762" s="1"/>
      <c r="F3762" s="1"/>
      <c r="G3762" s="1"/>
      <c r="H3762" s="1"/>
      <c r="I3762" s="1"/>
      <c r="J3762" s="1"/>
      <c r="K3762" s="1"/>
      <c r="L3762" s="1"/>
      <c r="M3762" s="1"/>
      <c r="N3762" s="1"/>
      <c r="O3762" s="1"/>
      <c r="P3762" s="1"/>
      <c r="Q3762" s="1"/>
      <c r="R3762" s="1"/>
      <c r="S3762" s="1"/>
      <c r="T3762" s="1"/>
      <c r="U3762" s="1"/>
      <c r="V3762" s="1"/>
      <c r="W3762" s="1"/>
    </row>
    <row r="3763" customHeight="1" spans="1:23">
      <c r="A3763" s="1"/>
      <c r="B3763" s="1"/>
      <c r="C3763" s="1"/>
      <c r="D3763" s="1"/>
      <c r="E3763" s="1"/>
      <c r="F3763" s="1"/>
      <c r="G3763" s="1"/>
      <c r="H3763" s="1"/>
      <c r="I3763" s="1"/>
      <c r="J3763" s="1"/>
      <c r="K3763" s="1"/>
      <c r="L3763" s="1"/>
      <c r="M3763" s="1"/>
      <c r="N3763" s="1"/>
      <c r="O3763" s="1"/>
      <c r="P3763" s="1"/>
      <c r="Q3763" s="1"/>
      <c r="R3763" s="1"/>
      <c r="S3763" s="1"/>
      <c r="T3763" s="1"/>
      <c r="U3763" s="1"/>
      <c r="V3763" s="1"/>
      <c r="W3763" s="1"/>
    </row>
    <row r="3764" customHeight="1" spans="1:23">
      <c r="A3764" s="1"/>
      <c r="B3764" s="1"/>
      <c r="C3764" s="1"/>
      <c r="D3764" s="1"/>
      <c r="E3764" s="1"/>
      <c r="F3764" s="1"/>
      <c r="G3764" s="1"/>
      <c r="H3764" s="1"/>
      <c r="I3764" s="1"/>
      <c r="J3764" s="1"/>
      <c r="K3764" s="1"/>
      <c r="L3764" s="1"/>
      <c r="M3764" s="1"/>
      <c r="N3764" s="1"/>
      <c r="O3764" s="1"/>
      <c r="P3764" s="1"/>
      <c r="Q3764" s="1"/>
      <c r="R3764" s="1"/>
      <c r="S3764" s="1"/>
      <c r="T3764" s="1"/>
      <c r="U3764" s="1"/>
      <c r="V3764" s="1"/>
      <c r="W3764" s="1"/>
    </row>
    <row r="3765" customHeight="1" spans="1:23">
      <c r="A3765" s="1"/>
      <c r="B3765" s="1"/>
      <c r="C3765" s="1"/>
      <c r="D3765" s="1"/>
      <c r="E3765" s="1"/>
      <c r="F3765" s="1"/>
      <c r="G3765" s="1"/>
      <c r="H3765" s="1"/>
      <c r="I3765" s="1"/>
      <c r="J3765" s="1"/>
      <c r="K3765" s="1"/>
      <c r="L3765" s="1"/>
      <c r="M3765" s="1"/>
      <c r="N3765" s="1"/>
      <c r="O3765" s="1"/>
      <c r="P3765" s="1"/>
      <c r="Q3765" s="1"/>
      <c r="R3765" s="1"/>
      <c r="S3765" s="1"/>
      <c r="T3765" s="1"/>
      <c r="U3765" s="1"/>
      <c r="V3765" s="1"/>
      <c r="W3765" s="1"/>
    </row>
    <row r="3766" customHeight="1" spans="1:23">
      <c r="A3766" s="1"/>
      <c r="B3766" s="1"/>
      <c r="C3766" s="1"/>
      <c r="D3766" s="1"/>
      <c r="E3766" s="1"/>
      <c r="F3766" s="1"/>
      <c r="G3766" s="1"/>
      <c r="H3766" s="1"/>
      <c r="I3766" s="1"/>
      <c r="J3766" s="1"/>
      <c r="K3766" s="1"/>
      <c r="L3766" s="1"/>
      <c r="M3766" s="1"/>
      <c r="N3766" s="1"/>
      <c r="O3766" s="1"/>
      <c r="P3766" s="1"/>
      <c r="Q3766" s="1"/>
      <c r="R3766" s="1"/>
      <c r="S3766" s="1"/>
      <c r="T3766" s="1"/>
      <c r="U3766" s="1"/>
      <c r="V3766" s="1"/>
      <c r="W3766" s="1"/>
    </row>
    <row r="3767" customHeight="1" spans="1:23">
      <c r="A3767" s="1"/>
      <c r="B3767" s="1"/>
      <c r="C3767" s="1"/>
      <c r="D3767" s="1"/>
      <c r="E3767" s="1"/>
      <c r="F3767" s="1"/>
      <c r="G3767" s="1"/>
      <c r="H3767" s="1"/>
      <c r="I3767" s="1"/>
      <c r="J3767" s="1"/>
      <c r="K3767" s="1"/>
      <c r="L3767" s="1"/>
      <c r="M3767" s="1"/>
      <c r="N3767" s="1"/>
      <c r="O3767" s="1"/>
      <c r="P3767" s="1"/>
      <c r="Q3767" s="1"/>
      <c r="R3767" s="1"/>
      <c r="S3767" s="1"/>
      <c r="T3767" s="1"/>
      <c r="U3767" s="1"/>
      <c r="V3767" s="1"/>
      <c r="W3767" s="1"/>
    </row>
    <row r="3768" customHeight="1" spans="1:23">
      <c r="A3768" s="1"/>
      <c r="B3768" s="1"/>
      <c r="C3768" s="1"/>
      <c r="D3768" s="1"/>
      <c r="E3768" s="1"/>
      <c r="F3768" s="1"/>
      <c r="G3768" s="1"/>
      <c r="H3768" s="1"/>
      <c r="I3768" s="1"/>
      <c r="J3768" s="1"/>
      <c r="K3768" s="1"/>
      <c r="L3768" s="1"/>
      <c r="M3768" s="1"/>
      <c r="N3768" s="1"/>
      <c r="O3768" s="1"/>
      <c r="P3768" s="1"/>
      <c r="Q3768" s="1"/>
      <c r="R3768" s="1"/>
      <c r="S3768" s="1"/>
      <c r="T3768" s="1"/>
      <c r="U3768" s="1"/>
      <c r="V3768" s="1"/>
      <c r="W3768" s="1"/>
    </row>
    <row r="3769" customHeight="1" spans="1:23">
      <c r="A3769" s="1"/>
      <c r="B3769" s="1"/>
      <c r="C3769" s="1"/>
      <c r="D3769" s="1"/>
      <c r="E3769" s="1"/>
      <c r="F3769" s="1"/>
      <c r="G3769" s="1"/>
      <c r="H3769" s="1"/>
      <c r="I3769" s="1"/>
      <c r="J3769" s="1"/>
      <c r="K3769" s="1"/>
      <c r="L3769" s="1"/>
      <c r="M3769" s="1"/>
      <c r="N3769" s="1"/>
      <c r="O3769" s="1"/>
      <c r="P3769" s="1"/>
      <c r="Q3769" s="1"/>
      <c r="R3769" s="1"/>
      <c r="S3769" s="1"/>
      <c r="T3769" s="1"/>
      <c r="U3769" s="1"/>
      <c r="V3769" s="1"/>
      <c r="W3769" s="1"/>
    </row>
    <row r="3770" customHeight="1" spans="1:23">
      <c r="A3770" s="1"/>
      <c r="B3770" s="1"/>
      <c r="C3770" s="1"/>
      <c r="D3770" s="1"/>
      <c r="E3770" s="1"/>
      <c r="F3770" s="1"/>
      <c r="G3770" s="1"/>
      <c r="H3770" s="1"/>
      <c r="I3770" s="1"/>
      <c r="J3770" s="1"/>
      <c r="K3770" s="1"/>
      <c r="L3770" s="1"/>
      <c r="M3770" s="1"/>
      <c r="N3770" s="1"/>
      <c r="O3770" s="1"/>
      <c r="P3770" s="1"/>
      <c r="Q3770" s="1"/>
      <c r="R3770" s="1"/>
      <c r="S3770" s="1"/>
      <c r="T3770" s="1"/>
      <c r="U3770" s="1"/>
      <c r="V3770" s="1"/>
      <c r="W3770" s="1"/>
    </row>
    <row r="3771" customHeight="1" spans="1:23">
      <c r="A3771" s="1"/>
      <c r="B3771" s="1"/>
      <c r="C3771" s="1"/>
      <c r="D3771" s="1"/>
      <c r="E3771" s="1"/>
      <c r="F3771" s="1"/>
      <c r="G3771" s="1"/>
      <c r="H3771" s="1"/>
      <c r="I3771" s="1"/>
      <c r="J3771" s="1"/>
      <c r="K3771" s="1"/>
      <c r="L3771" s="1"/>
      <c r="M3771" s="1"/>
      <c r="N3771" s="1"/>
      <c r="O3771" s="1"/>
      <c r="P3771" s="1"/>
      <c r="Q3771" s="1"/>
      <c r="R3771" s="1"/>
      <c r="S3771" s="1"/>
      <c r="T3771" s="1"/>
      <c r="U3771" s="1"/>
      <c r="V3771" s="1"/>
      <c r="W3771" s="1"/>
    </row>
    <row r="3772" customHeight="1" spans="1:23">
      <c r="A3772" s="1"/>
      <c r="B3772" s="1"/>
      <c r="C3772" s="1"/>
      <c r="D3772" s="1"/>
      <c r="E3772" s="1"/>
      <c r="F3772" s="1"/>
      <c r="G3772" s="1"/>
      <c r="H3772" s="1"/>
      <c r="I3772" s="1"/>
      <c r="J3772" s="1"/>
      <c r="K3772" s="1"/>
      <c r="L3772" s="1"/>
      <c r="M3772" s="1"/>
      <c r="N3772" s="1"/>
      <c r="O3772" s="1"/>
      <c r="P3772" s="1"/>
      <c r="Q3772" s="1"/>
      <c r="R3772" s="1"/>
      <c r="S3772" s="1"/>
      <c r="T3772" s="1"/>
      <c r="U3772" s="1"/>
      <c r="V3772" s="1"/>
      <c r="W3772" s="1"/>
    </row>
    <row r="3773" customHeight="1" spans="1:23">
      <c r="A3773" s="1"/>
      <c r="B3773" s="1"/>
      <c r="C3773" s="1"/>
      <c r="D3773" s="1"/>
      <c r="E3773" s="1"/>
      <c r="F3773" s="1"/>
      <c r="G3773" s="1"/>
      <c r="H3773" s="1"/>
      <c r="I3773" s="1"/>
      <c r="J3773" s="1"/>
      <c r="K3773" s="1"/>
      <c r="L3773" s="1"/>
      <c r="M3773" s="1"/>
      <c r="N3773" s="1"/>
      <c r="O3773" s="1"/>
      <c r="P3773" s="1"/>
      <c r="Q3773" s="1"/>
      <c r="R3773" s="1"/>
      <c r="S3773" s="1"/>
      <c r="T3773" s="1"/>
      <c r="U3773" s="1"/>
      <c r="V3773" s="1"/>
      <c r="W3773" s="1"/>
    </row>
    <row r="3774" customHeight="1" spans="1:23">
      <c r="A3774" s="1"/>
      <c r="B3774" s="1"/>
      <c r="C3774" s="1"/>
      <c r="D3774" s="1"/>
      <c r="E3774" s="1"/>
      <c r="F3774" s="1"/>
      <c r="G3774" s="1"/>
      <c r="H3774" s="1"/>
      <c r="I3774" s="1"/>
      <c r="J3774" s="1"/>
      <c r="K3774" s="1"/>
      <c r="L3774" s="1"/>
      <c r="M3774" s="1"/>
      <c r="N3774" s="1"/>
      <c r="O3774" s="1"/>
      <c r="P3774" s="1"/>
      <c r="Q3774" s="1"/>
      <c r="R3774" s="1"/>
      <c r="S3774" s="1"/>
      <c r="T3774" s="1"/>
      <c r="U3774" s="1"/>
      <c r="V3774" s="1"/>
      <c r="W3774" s="1"/>
    </row>
    <row r="3775" customHeight="1" spans="1:23">
      <c r="A3775" s="1"/>
      <c r="B3775" s="1"/>
      <c r="C3775" s="1"/>
      <c r="D3775" s="1"/>
      <c r="E3775" s="1"/>
      <c r="F3775" s="1"/>
      <c r="G3775" s="1"/>
      <c r="H3775" s="1"/>
      <c r="I3775" s="1"/>
      <c r="J3775" s="1"/>
      <c r="K3775" s="1"/>
      <c r="L3775" s="1"/>
      <c r="M3775" s="1"/>
      <c r="N3775" s="1"/>
      <c r="O3775" s="1"/>
      <c r="P3775" s="1"/>
      <c r="Q3775" s="1"/>
      <c r="R3775" s="1"/>
      <c r="S3775" s="1"/>
      <c r="T3775" s="1"/>
      <c r="U3775" s="1"/>
      <c r="V3775" s="1"/>
      <c r="W3775" s="1"/>
    </row>
    <row r="3776" customHeight="1" spans="1:23">
      <c r="A3776" s="1"/>
      <c r="B3776" s="1"/>
      <c r="C3776" s="1"/>
      <c r="D3776" s="1"/>
      <c r="E3776" s="1"/>
      <c r="F3776" s="1"/>
      <c r="G3776" s="1"/>
      <c r="H3776" s="1"/>
      <c r="I3776" s="1"/>
      <c r="J3776" s="1"/>
      <c r="K3776" s="1"/>
      <c r="L3776" s="1"/>
      <c r="M3776" s="1"/>
      <c r="N3776" s="1"/>
      <c r="O3776" s="1"/>
      <c r="P3776" s="1"/>
      <c r="Q3776" s="1"/>
      <c r="R3776" s="1"/>
      <c r="S3776" s="1"/>
      <c r="T3776" s="1"/>
      <c r="U3776" s="1"/>
      <c r="V3776" s="1"/>
      <c r="W3776" s="1"/>
    </row>
    <row r="3777" customHeight="1" spans="1:23">
      <c r="A3777" s="1"/>
      <c r="B3777" s="1"/>
      <c r="C3777" s="1"/>
      <c r="D3777" s="1"/>
      <c r="E3777" s="1"/>
      <c r="F3777" s="1"/>
      <c r="G3777" s="1"/>
      <c r="H3777" s="1"/>
      <c r="I3777" s="1"/>
      <c r="J3777" s="1"/>
      <c r="K3777" s="1"/>
      <c r="L3777" s="1"/>
      <c r="M3777" s="1"/>
      <c r="N3777" s="1"/>
      <c r="O3777" s="1"/>
      <c r="P3777" s="1"/>
      <c r="Q3777" s="1"/>
      <c r="R3777" s="1"/>
      <c r="S3777" s="1"/>
      <c r="T3777" s="1"/>
      <c r="U3777" s="1"/>
      <c r="V3777" s="1"/>
      <c r="W3777" s="1"/>
    </row>
    <row r="3778" customHeight="1" spans="1:23">
      <c r="A3778" s="1"/>
      <c r="B3778" s="1"/>
      <c r="C3778" s="1"/>
      <c r="D3778" s="1"/>
      <c r="E3778" s="1"/>
      <c r="F3778" s="1"/>
      <c r="G3778" s="1"/>
      <c r="H3778" s="1"/>
      <c r="I3778" s="1"/>
      <c r="J3778" s="1"/>
      <c r="K3778" s="1"/>
      <c r="L3778" s="1"/>
      <c r="M3778" s="1"/>
      <c r="N3778" s="1"/>
      <c r="O3778" s="1"/>
      <c r="P3778" s="1"/>
      <c r="Q3778" s="1"/>
      <c r="R3778" s="1"/>
      <c r="S3778" s="1"/>
      <c r="T3778" s="1"/>
      <c r="U3778" s="1"/>
      <c r="V3778" s="1"/>
      <c r="W3778" s="1"/>
    </row>
    <row r="3779" customHeight="1" spans="1:23">
      <c r="A3779" s="1"/>
      <c r="B3779" s="1"/>
      <c r="C3779" s="1"/>
      <c r="D3779" s="1"/>
      <c r="E3779" s="1"/>
      <c r="F3779" s="1"/>
      <c r="G3779" s="1"/>
      <c r="H3779" s="1"/>
      <c r="I3779" s="1"/>
      <c r="J3779" s="1"/>
      <c r="K3779" s="1"/>
      <c r="L3779" s="1"/>
      <c r="M3779" s="1"/>
      <c r="N3779" s="1"/>
      <c r="O3779" s="1"/>
      <c r="P3779" s="1"/>
      <c r="Q3779" s="1"/>
      <c r="R3779" s="1"/>
      <c r="S3779" s="1"/>
      <c r="T3779" s="1"/>
      <c r="U3779" s="1"/>
      <c r="V3779" s="1"/>
      <c r="W3779" s="1"/>
    </row>
    <row r="3780" customHeight="1" spans="1:23">
      <c r="A3780" s="1"/>
      <c r="B3780" s="1"/>
      <c r="C3780" s="1"/>
      <c r="D3780" s="1"/>
      <c r="E3780" s="1"/>
      <c r="F3780" s="1"/>
      <c r="G3780" s="1"/>
      <c r="H3780" s="1"/>
      <c r="I3780" s="1"/>
      <c r="J3780" s="1"/>
      <c r="K3780" s="1"/>
      <c r="L3780" s="1"/>
      <c r="M3780" s="1"/>
      <c r="N3780" s="1"/>
      <c r="O3780" s="1"/>
      <c r="P3780" s="1"/>
      <c r="Q3780" s="1"/>
      <c r="R3780" s="1"/>
      <c r="S3780" s="1"/>
      <c r="T3780" s="1"/>
      <c r="U3780" s="1"/>
      <c r="V3780" s="1"/>
      <c r="W3780" s="1"/>
    </row>
    <row r="3781" customHeight="1" spans="1:23">
      <c r="A3781" s="1"/>
      <c r="B3781" s="1"/>
      <c r="C3781" s="1"/>
      <c r="D3781" s="1"/>
      <c r="E3781" s="1"/>
      <c r="F3781" s="1"/>
      <c r="G3781" s="1"/>
      <c r="H3781" s="1"/>
      <c r="I3781" s="1"/>
      <c r="J3781" s="1"/>
      <c r="K3781" s="1"/>
      <c r="L3781" s="1"/>
      <c r="M3781" s="1"/>
      <c r="N3781" s="1"/>
      <c r="O3781" s="1"/>
      <c r="P3781" s="1"/>
      <c r="Q3781" s="1"/>
      <c r="R3781" s="1"/>
      <c r="S3781" s="1"/>
      <c r="T3781" s="1"/>
      <c r="U3781" s="1"/>
      <c r="V3781" s="1"/>
      <c r="W3781" s="1"/>
    </row>
    <row r="3782" customHeight="1" spans="1:23">
      <c r="A3782" s="1"/>
      <c r="B3782" s="1"/>
      <c r="C3782" s="1"/>
      <c r="D3782" s="1"/>
      <c r="E3782" s="1"/>
      <c r="F3782" s="1"/>
      <c r="G3782" s="1"/>
      <c r="H3782" s="1"/>
      <c r="I3782" s="1"/>
      <c r="J3782" s="1"/>
      <c r="K3782" s="1"/>
      <c r="L3782" s="1"/>
      <c r="M3782" s="1"/>
      <c r="N3782" s="1"/>
      <c r="O3782" s="1"/>
      <c r="P3782" s="1"/>
      <c r="Q3782" s="1"/>
      <c r="R3782" s="1"/>
      <c r="S3782" s="1"/>
      <c r="T3782" s="1"/>
      <c r="U3782" s="1"/>
      <c r="V3782" s="1"/>
      <c r="W3782" s="1"/>
    </row>
    <row r="3783" customHeight="1" spans="1:23">
      <c r="A3783" s="1"/>
      <c r="B3783" s="1"/>
      <c r="C3783" s="1"/>
      <c r="D3783" s="1"/>
      <c r="E3783" s="1"/>
      <c r="F3783" s="1"/>
      <c r="G3783" s="1"/>
      <c r="H3783" s="1"/>
      <c r="I3783" s="1"/>
      <c r="J3783" s="1"/>
      <c r="K3783" s="1"/>
      <c r="L3783" s="1"/>
      <c r="M3783" s="1"/>
      <c r="N3783" s="1"/>
      <c r="O3783" s="1"/>
      <c r="P3783" s="1"/>
      <c r="Q3783" s="1"/>
      <c r="R3783" s="1"/>
      <c r="S3783" s="1"/>
      <c r="T3783" s="1"/>
      <c r="U3783" s="1"/>
      <c r="V3783" s="1"/>
      <c r="W3783" s="1"/>
    </row>
    <row r="3784" customHeight="1" spans="1:23">
      <c r="A3784" s="1"/>
      <c r="B3784" s="1"/>
      <c r="C3784" s="1"/>
      <c r="D3784" s="1"/>
      <c r="E3784" s="1"/>
      <c r="F3784" s="1"/>
      <c r="G3784" s="1"/>
      <c r="H3784" s="1"/>
      <c r="I3784" s="1"/>
      <c r="J3784" s="1"/>
      <c r="K3784" s="1"/>
      <c r="L3784" s="1"/>
      <c r="M3784" s="1"/>
      <c r="N3784" s="1"/>
      <c r="O3784" s="1"/>
      <c r="P3784" s="1"/>
      <c r="Q3784" s="1"/>
      <c r="R3784" s="1"/>
      <c r="S3784" s="1"/>
      <c r="T3784" s="1"/>
      <c r="U3784" s="1"/>
      <c r="V3784" s="1"/>
      <c r="W3784" s="1"/>
    </row>
    <row r="3785" customHeight="1" spans="1:23">
      <c r="A3785" s="1"/>
      <c r="B3785" s="1"/>
      <c r="C3785" s="1"/>
      <c r="D3785" s="1"/>
      <c r="E3785" s="1"/>
      <c r="F3785" s="1"/>
      <c r="G3785" s="1"/>
      <c r="H3785" s="1"/>
      <c r="I3785" s="1"/>
      <c r="J3785" s="1"/>
      <c r="K3785" s="1"/>
      <c r="L3785" s="1"/>
      <c r="M3785" s="1"/>
      <c r="N3785" s="1"/>
      <c r="O3785" s="1"/>
      <c r="P3785" s="1"/>
      <c r="Q3785" s="1"/>
      <c r="R3785" s="1"/>
      <c r="S3785" s="1"/>
      <c r="T3785" s="1"/>
      <c r="U3785" s="1"/>
      <c r="V3785" s="1"/>
      <c r="W3785" s="1"/>
    </row>
    <row r="3786" customHeight="1" spans="1:23">
      <c r="A3786" s="1"/>
      <c r="B3786" s="1"/>
      <c r="C3786" s="1"/>
      <c r="D3786" s="1"/>
      <c r="E3786" s="1"/>
      <c r="F3786" s="1"/>
      <c r="G3786" s="1"/>
      <c r="H3786" s="1"/>
      <c r="I3786" s="1"/>
      <c r="J3786" s="1"/>
      <c r="K3786" s="1"/>
      <c r="L3786" s="1"/>
      <c r="M3786" s="1"/>
      <c r="N3786" s="1"/>
      <c r="O3786" s="1"/>
      <c r="P3786" s="1"/>
      <c r="Q3786" s="1"/>
      <c r="R3786" s="1"/>
      <c r="S3786" s="1"/>
      <c r="T3786" s="1"/>
      <c r="U3786" s="1"/>
      <c r="V3786" s="1"/>
      <c r="W3786" s="1"/>
    </row>
    <row r="3787" customHeight="1" spans="1:23">
      <c r="A3787" s="1"/>
      <c r="B3787" s="1"/>
      <c r="C3787" s="1"/>
      <c r="D3787" s="1"/>
      <c r="E3787" s="1"/>
      <c r="F3787" s="1"/>
      <c r="G3787" s="1"/>
      <c r="H3787" s="1"/>
      <c r="I3787" s="1"/>
      <c r="J3787" s="1"/>
      <c r="K3787" s="1"/>
      <c r="L3787" s="1"/>
      <c r="M3787" s="1"/>
      <c r="N3787" s="1"/>
      <c r="O3787" s="1"/>
      <c r="P3787" s="1"/>
      <c r="Q3787" s="1"/>
      <c r="R3787" s="1"/>
      <c r="S3787" s="1"/>
      <c r="T3787" s="1"/>
      <c r="U3787" s="1"/>
      <c r="V3787" s="1"/>
      <c r="W3787" s="1"/>
    </row>
    <row r="3788" customHeight="1" spans="1:23">
      <c r="A3788" s="1"/>
      <c r="B3788" s="1"/>
      <c r="C3788" s="1"/>
      <c r="D3788" s="1"/>
      <c r="E3788" s="1"/>
      <c r="F3788" s="1"/>
      <c r="G3788" s="1"/>
      <c r="H3788" s="1"/>
      <c r="I3788" s="1"/>
      <c r="J3788" s="1"/>
      <c r="K3788" s="1"/>
      <c r="L3788" s="1"/>
      <c r="M3788" s="1"/>
      <c r="N3788" s="1"/>
      <c r="O3788" s="1"/>
      <c r="P3788" s="1"/>
      <c r="Q3788" s="1"/>
      <c r="R3788" s="1"/>
      <c r="S3788" s="1"/>
      <c r="T3788" s="1"/>
      <c r="U3788" s="1"/>
      <c r="V3788" s="1"/>
      <c r="W3788" s="1"/>
    </row>
    <row r="3789" customHeight="1" spans="1:23">
      <c r="A3789" s="1"/>
      <c r="B3789" s="1"/>
      <c r="C3789" s="1"/>
      <c r="D3789" s="1"/>
      <c r="E3789" s="1"/>
      <c r="F3789" s="1"/>
      <c r="G3789" s="1"/>
      <c r="H3789" s="1"/>
      <c r="I3789" s="1"/>
      <c r="J3789" s="1"/>
      <c r="K3789" s="1"/>
      <c r="L3789" s="1"/>
      <c r="M3789" s="1"/>
      <c r="N3789" s="1"/>
      <c r="O3789" s="1"/>
      <c r="P3789" s="1"/>
      <c r="Q3789" s="1"/>
      <c r="R3789" s="1"/>
      <c r="S3789" s="1"/>
      <c r="T3789" s="1"/>
      <c r="U3789" s="1"/>
      <c r="V3789" s="1"/>
      <c r="W3789" s="1"/>
    </row>
    <row r="3790" customHeight="1" spans="1:23">
      <c r="A3790" s="1"/>
      <c r="B3790" s="1"/>
      <c r="C3790" s="1"/>
      <c r="D3790" s="1"/>
      <c r="E3790" s="1"/>
      <c r="F3790" s="1"/>
      <c r="G3790" s="1"/>
      <c r="H3790" s="1"/>
      <c r="I3790" s="1"/>
      <c r="J3790" s="1"/>
      <c r="K3790" s="1"/>
      <c r="L3790" s="1"/>
      <c r="M3790" s="1"/>
      <c r="N3790" s="1"/>
      <c r="O3790" s="1"/>
      <c r="P3790" s="1"/>
      <c r="Q3790" s="1"/>
      <c r="R3790" s="1"/>
      <c r="S3790" s="1"/>
      <c r="T3790" s="1"/>
      <c r="U3790" s="1"/>
      <c r="V3790" s="1"/>
      <c r="W3790" s="1"/>
    </row>
    <row r="3791" customHeight="1" spans="1:23">
      <c r="A3791" s="1"/>
      <c r="B3791" s="1"/>
      <c r="C3791" s="1"/>
      <c r="D3791" s="1"/>
      <c r="E3791" s="1"/>
      <c r="F3791" s="1"/>
      <c r="G3791" s="1"/>
      <c r="H3791" s="1"/>
      <c r="I3791" s="1"/>
      <c r="J3791" s="1"/>
      <c r="K3791" s="1"/>
      <c r="L3791" s="1"/>
      <c r="M3791" s="1"/>
      <c r="N3791" s="1"/>
      <c r="O3791" s="1"/>
      <c r="P3791" s="1"/>
      <c r="Q3791" s="1"/>
      <c r="R3791" s="1"/>
      <c r="S3791" s="1"/>
      <c r="T3791" s="1"/>
      <c r="U3791" s="1"/>
      <c r="V3791" s="1"/>
      <c r="W3791" s="1"/>
    </row>
    <row r="3792" customHeight="1" spans="1:23">
      <c r="A3792" s="1"/>
      <c r="B3792" s="1"/>
      <c r="C3792" s="1"/>
      <c r="D3792" s="1"/>
      <c r="E3792" s="1"/>
      <c r="F3792" s="1"/>
      <c r="G3792" s="1"/>
      <c r="H3792" s="1"/>
      <c r="I3792" s="1"/>
      <c r="J3792" s="1"/>
      <c r="K3792" s="1"/>
      <c r="L3792" s="1"/>
      <c r="M3792" s="1"/>
      <c r="N3792" s="1"/>
      <c r="O3792" s="1"/>
      <c r="P3792" s="1"/>
      <c r="Q3792" s="1"/>
      <c r="R3792" s="1"/>
      <c r="S3792" s="1"/>
      <c r="T3792" s="1"/>
      <c r="U3792" s="1"/>
      <c r="V3792" s="1"/>
      <c r="W3792" s="1"/>
    </row>
    <row r="3793" customHeight="1" spans="1:23">
      <c r="A3793" s="1"/>
      <c r="B3793" s="1"/>
      <c r="C3793" s="1"/>
      <c r="D3793" s="1"/>
      <c r="E3793" s="1"/>
      <c r="F3793" s="1"/>
      <c r="G3793" s="1"/>
      <c r="H3793" s="1"/>
      <c r="I3793" s="1"/>
      <c r="J3793" s="1"/>
      <c r="K3793" s="1"/>
      <c r="L3793" s="1"/>
      <c r="M3793" s="1"/>
      <c r="N3793" s="1"/>
      <c r="O3793" s="1"/>
      <c r="P3793" s="1"/>
      <c r="Q3793" s="1"/>
      <c r="R3793" s="1"/>
      <c r="S3793" s="1"/>
      <c r="T3793" s="1"/>
      <c r="U3793" s="1"/>
      <c r="V3793" s="1"/>
      <c r="W3793" s="1"/>
    </row>
    <row r="3794" customHeight="1" spans="1:23">
      <c r="A3794" s="1"/>
      <c r="B3794" s="1"/>
      <c r="C3794" s="1"/>
      <c r="D3794" s="1"/>
      <c r="E3794" s="1"/>
      <c r="F3794" s="1"/>
      <c r="G3794" s="1"/>
      <c r="H3794" s="1"/>
      <c r="I3794" s="1"/>
      <c r="J3794" s="1"/>
      <c r="K3794" s="1"/>
      <c r="L3794" s="1"/>
      <c r="M3794" s="1"/>
      <c r="N3794" s="1"/>
      <c r="O3794" s="1"/>
      <c r="P3794" s="1"/>
      <c r="Q3794" s="1"/>
      <c r="R3794" s="1"/>
      <c r="S3794" s="1"/>
      <c r="T3794" s="1"/>
      <c r="U3794" s="1"/>
      <c r="V3794" s="1"/>
      <c r="W3794" s="1"/>
    </row>
    <row r="3795" customHeight="1" spans="1:23">
      <c r="A3795" s="1"/>
      <c r="B3795" s="1"/>
      <c r="C3795" s="1"/>
      <c r="D3795" s="1"/>
      <c r="E3795" s="1"/>
      <c r="F3795" s="1"/>
      <c r="G3795" s="1"/>
      <c r="H3795" s="1"/>
      <c r="I3795" s="1"/>
      <c r="J3795" s="1"/>
      <c r="K3795" s="1"/>
      <c r="L3795" s="1"/>
      <c r="M3795" s="1"/>
      <c r="N3795" s="1"/>
      <c r="O3795" s="1"/>
      <c r="P3795" s="1"/>
      <c r="Q3795" s="1"/>
      <c r="R3795" s="1"/>
      <c r="S3795" s="1"/>
      <c r="T3795" s="1"/>
      <c r="U3795" s="1"/>
      <c r="V3795" s="1"/>
      <c r="W3795" s="1"/>
    </row>
    <row r="3796" customHeight="1" spans="1:23">
      <c r="A3796" s="1"/>
      <c r="B3796" s="1"/>
      <c r="C3796" s="1"/>
      <c r="D3796" s="1"/>
      <c r="E3796" s="1"/>
      <c r="F3796" s="1"/>
      <c r="G3796" s="1"/>
      <c r="H3796" s="1"/>
      <c r="I3796" s="1"/>
      <c r="J3796" s="1"/>
      <c r="K3796" s="1"/>
      <c r="L3796" s="1"/>
      <c r="M3796" s="1"/>
      <c r="N3796" s="1"/>
      <c r="O3796" s="1"/>
      <c r="P3796" s="1"/>
      <c r="Q3796" s="1"/>
      <c r="R3796" s="1"/>
      <c r="S3796" s="1"/>
      <c r="T3796" s="1"/>
      <c r="U3796" s="1"/>
      <c r="V3796" s="1"/>
      <c r="W3796" s="1"/>
    </row>
    <row r="3797" customHeight="1" spans="1:23">
      <c r="A3797" s="1"/>
      <c r="B3797" s="1"/>
      <c r="C3797" s="1"/>
      <c r="D3797" s="1"/>
      <c r="E3797" s="1"/>
      <c r="F3797" s="1"/>
      <c r="G3797" s="1"/>
      <c r="H3797" s="1"/>
      <c r="I3797" s="1"/>
      <c r="J3797" s="1"/>
      <c r="K3797" s="1"/>
      <c r="L3797" s="1"/>
      <c r="M3797" s="1"/>
      <c r="N3797" s="1"/>
      <c r="O3797" s="1"/>
      <c r="P3797" s="1"/>
      <c r="Q3797" s="1"/>
      <c r="R3797" s="1"/>
      <c r="S3797" s="1"/>
      <c r="T3797" s="1"/>
      <c r="U3797" s="1"/>
      <c r="V3797" s="1"/>
      <c r="W3797" s="1"/>
    </row>
    <row r="3798" customHeight="1" spans="1:23">
      <c r="A3798" s="1"/>
      <c r="B3798" s="1"/>
      <c r="C3798" s="1"/>
      <c r="D3798" s="1"/>
      <c r="E3798" s="1"/>
      <c r="F3798" s="1"/>
      <c r="G3798" s="1"/>
      <c r="H3798" s="1"/>
      <c r="I3798" s="1"/>
      <c r="J3798" s="1"/>
      <c r="K3798" s="1"/>
      <c r="L3798" s="1"/>
      <c r="M3798" s="1"/>
      <c r="N3798" s="1"/>
      <c r="O3798" s="1"/>
      <c r="P3798" s="1"/>
      <c r="Q3798" s="1"/>
      <c r="R3798" s="1"/>
      <c r="S3798" s="1"/>
      <c r="T3798" s="1"/>
      <c r="U3798" s="1"/>
      <c r="V3798" s="1"/>
      <c r="W3798" s="1"/>
    </row>
    <row r="3799" customHeight="1" spans="1:23">
      <c r="A3799" s="1"/>
      <c r="B3799" s="1"/>
      <c r="C3799" s="1"/>
      <c r="D3799" s="1"/>
      <c r="E3799" s="1"/>
      <c r="F3799" s="1"/>
      <c r="G3799" s="1"/>
      <c r="H3799" s="1"/>
      <c r="I3799" s="1"/>
      <c r="J3799" s="1"/>
      <c r="K3799" s="1"/>
      <c r="L3799" s="1"/>
      <c r="M3799" s="1"/>
      <c r="N3799" s="1"/>
      <c r="O3799" s="1"/>
      <c r="P3799" s="1"/>
      <c r="Q3799" s="1"/>
      <c r="R3799" s="1"/>
      <c r="S3799" s="1"/>
      <c r="T3799" s="1"/>
      <c r="U3799" s="1"/>
      <c r="V3799" s="1"/>
      <c r="W3799" s="1"/>
    </row>
    <row r="3800" customHeight="1" spans="1:23">
      <c r="A3800" s="1"/>
      <c r="B3800" s="1"/>
      <c r="C3800" s="1"/>
      <c r="D3800" s="1"/>
      <c r="E3800" s="1"/>
      <c r="F3800" s="1"/>
      <c r="G3800" s="1"/>
      <c r="H3800" s="1"/>
      <c r="I3800" s="1"/>
      <c r="J3800" s="1"/>
      <c r="K3800" s="1"/>
      <c r="L3800" s="1"/>
      <c r="M3800" s="1"/>
      <c r="N3800" s="1"/>
      <c r="O3800" s="1"/>
      <c r="P3800" s="1"/>
      <c r="Q3800" s="1"/>
      <c r="R3800" s="1"/>
      <c r="S3800" s="1"/>
      <c r="T3800" s="1"/>
      <c r="U3800" s="1"/>
      <c r="V3800" s="1"/>
      <c r="W3800" s="1"/>
    </row>
    <row r="3801" customHeight="1" spans="1:23">
      <c r="A3801" s="1"/>
      <c r="B3801" s="1"/>
      <c r="C3801" s="1"/>
      <c r="D3801" s="1"/>
      <c r="E3801" s="1"/>
      <c r="F3801" s="1"/>
      <c r="G3801" s="1"/>
      <c r="H3801" s="1"/>
      <c r="I3801" s="1"/>
      <c r="J3801" s="1"/>
      <c r="K3801" s="1"/>
      <c r="L3801" s="1"/>
      <c r="M3801" s="1"/>
      <c r="N3801" s="1"/>
      <c r="O3801" s="1"/>
      <c r="P3801" s="1"/>
      <c r="Q3801" s="1"/>
      <c r="R3801" s="1"/>
      <c r="S3801" s="1"/>
      <c r="T3801" s="1"/>
      <c r="U3801" s="1"/>
      <c r="V3801" s="1"/>
      <c r="W3801" s="1"/>
    </row>
    <row r="3802" customHeight="1" spans="1:23">
      <c r="A3802" s="1"/>
      <c r="B3802" s="1"/>
      <c r="C3802" s="1"/>
      <c r="D3802" s="1"/>
      <c r="E3802" s="1"/>
      <c r="F3802" s="1"/>
      <c r="G3802" s="1"/>
      <c r="H3802" s="1"/>
      <c r="I3802" s="1"/>
      <c r="J3802" s="1"/>
      <c r="K3802" s="1"/>
      <c r="L3802" s="1"/>
      <c r="M3802" s="1"/>
      <c r="N3802" s="1"/>
      <c r="O3802" s="1"/>
      <c r="P3802" s="1"/>
      <c r="Q3802" s="1"/>
      <c r="R3802" s="1"/>
      <c r="S3802" s="1"/>
      <c r="T3802" s="1"/>
      <c r="U3802" s="1"/>
      <c r="V3802" s="1"/>
      <c r="W3802" s="1"/>
    </row>
    <row r="3803" customHeight="1" spans="1:23">
      <c r="A3803" s="1"/>
      <c r="B3803" s="1"/>
      <c r="C3803" s="1"/>
      <c r="D3803" s="1"/>
      <c r="E3803" s="1"/>
      <c r="F3803" s="1"/>
      <c r="G3803" s="1"/>
      <c r="H3803" s="1"/>
      <c r="I3803" s="1"/>
      <c r="J3803" s="1"/>
      <c r="K3803" s="1"/>
      <c r="L3803" s="1"/>
      <c r="M3803" s="1"/>
      <c r="N3803" s="1"/>
      <c r="O3803" s="1"/>
      <c r="P3803" s="1"/>
      <c r="Q3803" s="1"/>
      <c r="R3803" s="1"/>
      <c r="S3803" s="1"/>
      <c r="T3803" s="1"/>
      <c r="U3803" s="1"/>
      <c r="V3803" s="1"/>
      <c r="W3803" s="1"/>
    </row>
    <row r="3804" customHeight="1" spans="1:23">
      <c r="A3804" s="1"/>
      <c r="B3804" s="1"/>
      <c r="C3804" s="1"/>
      <c r="D3804" s="1"/>
      <c r="E3804" s="1"/>
      <c r="F3804" s="1"/>
      <c r="G3804" s="1"/>
      <c r="H3804" s="1"/>
      <c r="I3804" s="1"/>
      <c r="J3804" s="1"/>
      <c r="K3804" s="1"/>
      <c r="L3804" s="1"/>
      <c r="M3804" s="1"/>
      <c r="N3804" s="1"/>
      <c r="O3804" s="1"/>
      <c r="P3804" s="1"/>
      <c r="Q3804" s="1"/>
      <c r="R3804" s="1"/>
      <c r="S3804" s="1"/>
      <c r="T3804" s="1"/>
      <c r="U3804" s="1"/>
      <c r="V3804" s="1"/>
      <c r="W3804" s="1"/>
    </row>
    <row r="3805" customHeight="1" spans="1:23">
      <c r="A3805" s="1"/>
      <c r="B3805" s="1"/>
      <c r="C3805" s="1"/>
      <c r="D3805" s="1"/>
      <c r="E3805" s="1"/>
      <c r="F3805" s="1"/>
      <c r="G3805" s="1"/>
      <c r="H3805" s="1"/>
      <c r="I3805" s="1"/>
      <c r="J3805" s="1"/>
      <c r="K3805" s="1"/>
      <c r="L3805" s="1"/>
      <c r="M3805" s="1"/>
      <c r="N3805" s="1"/>
      <c r="O3805" s="1"/>
      <c r="P3805" s="1"/>
      <c r="Q3805" s="1"/>
      <c r="R3805" s="1"/>
      <c r="S3805" s="1"/>
      <c r="T3805" s="1"/>
      <c r="U3805" s="1"/>
      <c r="V3805" s="1"/>
      <c r="W3805" s="1"/>
    </row>
    <row r="3806" customHeight="1" spans="1:23">
      <c r="A3806" s="1"/>
      <c r="B3806" s="1"/>
      <c r="C3806" s="1"/>
      <c r="D3806" s="1"/>
      <c r="E3806" s="1"/>
      <c r="F3806" s="1"/>
      <c r="G3806" s="1"/>
      <c r="H3806" s="1"/>
      <c r="I3806" s="1"/>
      <c r="J3806" s="1"/>
      <c r="K3806" s="1"/>
      <c r="L3806" s="1"/>
      <c r="M3806" s="1"/>
      <c r="N3806" s="1"/>
      <c r="O3806" s="1"/>
      <c r="P3806" s="1"/>
      <c r="Q3806" s="1"/>
      <c r="R3806" s="1"/>
      <c r="S3806" s="1"/>
      <c r="T3806" s="1"/>
      <c r="U3806" s="1"/>
      <c r="V3806" s="1"/>
      <c r="W3806" s="1"/>
    </row>
    <row r="3807" customHeight="1" spans="1:23">
      <c r="A3807" s="1"/>
      <c r="B3807" s="1"/>
      <c r="C3807" s="1"/>
      <c r="D3807" s="1"/>
      <c r="E3807" s="1"/>
      <c r="F3807" s="1"/>
      <c r="G3807" s="1"/>
      <c r="H3807" s="1"/>
      <c r="I3807" s="1"/>
      <c r="J3807" s="1"/>
      <c r="K3807" s="1"/>
      <c r="L3807" s="1"/>
      <c r="M3807" s="1"/>
      <c r="N3807" s="1"/>
      <c r="O3807" s="1"/>
      <c r="P3807" s="1"/>
      <c r="Q3807" s="1"/>
      <c r="R3807" s="1"/>
      <c r="S3807" s="1"/>
      <c r="T3807" s="1"/>
      <c r="U3807" s="1"/>
      <c r="V3807" s="1"/>
      <c r="W3807" s="1"/>
    </row>
    <row r="3808" customHeight="1" spans="1:23">
      <c r="A3808" s="1"/>
      <c r="B3808" s="1"/>
      <c r="C3808" s="1"/>
      <c r="D3808" s="1"/>
      <c r="E3808" s="1"/>
      <c r="F3808" s="1"/>
      <c r="G3808" s="1"/>
      <c r="H3808" s="1"/>
      <c r="I3808" s="1"/>
      <c r="J3808" s="1"/>
      <c r="K3808" s="1"/>
      <c r="L3808" s="1"/>
      <c r="M3808" s="1"/>
      <c r="N3808" s="1"/>
      <c r="O3808" s="1"/>
      <c r="P3808" s="1"/>
      <c r="Q3808" s="1"/>
      <c r="R3808" s="1"/>
      <c r="S3808" s="1"/>
      <c r="T3808" s="1"/>
      <c r="U3808" s="1"/>
      <c r="V3808" s="1"/>
      <c r="W3808" s="1"/>
    </row>
    <row r="3809" customHeight="1" spans="1:23">
      <c r="A3809" s="1"/>
      <c r="B3809" s="1"/>
      <c r="C3809" s="1"/>
      <c r="D3809" s="1"/>
      <c r="E3809" s="1"/>
      <c r="F3809" s="1"/>
      <c r="G3809" s="1"/>
      <c r="H3809" s="1"/>
      <c r="I3809" s="1"/>
      <c r="J3809" s="1"/>
      <c r="K3809" s="1"/>
      <c r="L3809" s="1"/>
      <c r="M3809" s="1"/>
      <c r="N3809" s="1"/>
      <c r="O3809" s="1"/>
      <c r="P3809" s="1"/>
      <c r="Q3809" s="1"/>
      <c r="R3809" s="1"/>
      <c r="S3809" s="1"/>
      <c r="T3809" s="1"/>
      <c r="U3809" s="1"/>
      <c r="V3809" s="1"/>
      <c r="W3809" s="1"/>
    </row>
    <row r="3810" customHeight="1" spans="1:23">
      <c r="A3810" s="1"/>
      <c r="B3810" s="1"/>
      <c r="C3810" s="1"/>
      <c r="D3810" s="1"/>
      <c r="E3810" s="1"/>
      <c r="F3810" s="1"/>
      <c r="G3810" s="1"/>
      <c r="H3810" s="1"/>
      <c r="I3810" s="1"/>
      <c r="J3810" s="1"/>
      <c r="K3810" s="1"/>
      <c r="L3810" s="1"/>
      <c r="M3810" s="1"/>
      <c r="N3810" s="1"/>
      <c r="O3810" s="1"/>
      <c r="P3810" s="1"/>
      <c r="Q3810" s="1"/>
      <c r="R3810" s="1"/>
      <c r="S3810" s="1"/>
      <c r="T3810" s="1"/>
      <c r="U3810" s="1"/>
      <c r="V3810" s="1"/>
      <c r="W3810" s="1"/>
    </row>
    <row r="3811" customHeight="1" spans="1:23">
      <c r="A3811" s="1"/>
      <c r="B3811" s="1"/>
      <c r="C3811" s="1"/>
      <c r="D3811" s="1"/>
      <c r="E3811" s="1"/>
      <c r="F3811" s="1"/>
      <c r="G3811" s="1"/>
      <c r="H3811" s="1"/>
      <c r="I3811" s="1"/>
      <c r="J3811" s="1"/>
      <c r="K3811" s="1"/>
      <c r="L3811" s="1"/>
      <c r="M3811" s="1"/>
      <c r="N3811" s="1"/>
      <c r="O3811" s="1"/>
      <c r="P3811" s="1"/>
      <c r="Q3811" s="1"/>
      <c r="R3811" s="1"/>
      <c r="S3811" s="1"/>
      <c r="T3811" s="1"/>
      <c r="U3811" s="1"/>
      <c r="V3811" s="1"/>
      <c r="W3811" s="1"/>
    </row>
    <row r="3812" customHeight="1" spans="1:23">
      <c r="A3812" s="1"/>
      <c r="B3812" s="1"/>
      <c r="C3812" s="1"/>
      <c r="D3812" s="1"/>
      <c r="E3812" s="1"/>
      <c r="F3812" s="1"/>
      <c r="G3812" s="1"/>
      <c r="H3812" s="1"/>
      <c r="I3812" s="1"/>
      <c r="J3812" s="1"/>
      <c r="K3812" s="1"/>
      <c r="L3812" s="1"/>
      <c r="M3812" s="1"/>
      <c r="N3812" s="1"/>
      <c r="O3812" s="1"/>
      <c r="P3812" s="1"/>
      <c r="Q3812" s="1"/>
      <c r="R3812" s="1"/>
      <c r="S3812" s="1"/>
      <c r="T3812" s="1"/>
      <c r="U3812" s="1"/>
      <c r="V3812" s="1"/>
      <c r="W3812" s="1"/>
    </row>
    <row r="3813" customHeight="1" spans="1:23">
      <c r="A3813" s="1"/>
      <c r="B3813" s="1"/>
      <c r="C3813" s="1"/>
      <c r="D3813" s="1"/>
      <c r="E3813" s="1"/>
      <c r="F3813" s="1"/>
      <c r="G3813" s="1"/>
      <c r="H3813" s="1"/>
      <c r="I3813" s="1"/>
      <c r="J3813" s="1"/>
      <c r="K3813" s="1"/>
      <c r="L3813" s="1"/>
      <c r="M3813" s="1"/>
      <c r="N3813" s="1"/>
      <c r="O3813" s="1"/>
      <c r="P3813" s="1"/>
      <c r="Q3813" s="1"/>
      <c r="R3813" s="1"/>
      <c r="S3813" s="1"/>
      <c r="T3813" s="1"/>
      <c r="U3813" s="1"/>
      <c r="V3813" s="1"/>
      <c r="W3813" s="1"/>
    </row>
    <row r="3814" customHeight="1" spans="1:23">
      <c r="A3814" s="1"/>
      <c r="B3814" s="1"/>
      <c r="C3814" s="1"/>
      <c r="D3814" s="1"/>
      <c r="E3814" s="1"/>
      <c r="F3814" s="1"/>
      <c r="G3814" s="1"/>
      <c r="H3814" s="1"/>
      <c r="I3814" s="1"/>
      <c r="J3814" s="1"/>
      <c r="K3814" s="1"/>
      <c r="L3814" s="1"/>
      <c r="M3814" s="1"/>
      <c r="N3814" s="1"/>
      <c r="O3814" s="1"/>
      <c r="P3814" s="1"/>
      <c r="Q3814" s="1"/>
      <c r="R3814" s="1"/>
      <c r="S3814" s="1"/>
      <c r="T3814" s="1"/>
      <c r="U3814" s="1"/>
      <c r="V3814" s="1"/>
      <c r="W3814" s="1"/>
    </row>
    <row r="3815" customHeight="1" spans="1:23">
      <c r="A3815" s="1"/>
      <c r="B3815" s="1"/>
      <c r="C3815" s="1"/>
      <c r="D3815" s="1"/>
      <c r="E3815" s="1"/>
      <c r="F3815" s="1"/>
      <c r="G3815" s="1"/>
      <c r="H3815" s="1"/>
      <c r="I3815" s="1"/>
      <c r="J3815" s="1"/>
      <c r="K3815" s="1"/>
      <c r="L3815" s="1"/>
      <c r="M3815" s="1"/>
      <c r="N3815" s="1"/>
      <c r="O3815" s="1"/>
      <c r="P3815" s="1"/>
      <c r="Q3815" s="1"/>
      <c r="R3815" s="1"/>
      <c r="S3815" s="1"/>
      <c r="T3815" s="1"/>
      <c r="U3815" s="1"/>
      <c r="V3815" s="1"/>
      <c r="W3815" s="1"/>
    </row>
    <row r="3816" customHeight="1" spans="1:23">
      <c r="A3816" s="1"/>
      <c r="B3816" s="1"/>
      <c r="C3816" s="1"/>
      <c r="D3816" s="1"/>
      <c r="E3816" s="1"/>
      <c r="F3816" s="1"/>
      <c r="G3816" s="1"/>
      <c r="H3816" s="1"/>
      <c r="I3816" s="1"/>
      <c r="J3816" s="1"/>
      <c r="K3816" s="1"/>
      <c r="L3816" s="1"/>
      <c r="M3816" s="1"/>
      <c r="N3816" s="1"/>
      <c r="O3816" s="1"/>
      <c r="P3816" s="1"/>
      <c r="Q3816" s="1"/>
      <c r="R3816" s="1"/>
      <c r="S3816" s="1"/>
      <c r="T3816" s="1"/>
      <c r="U3816" s="1"/>
      <c r="V3816" s="1"/>
      <c r="W3816" s="1"/>
    </row>
    <row r="3817" customHeight="1" spans="1:23">
      <c r="A3817" s="1"/>
      <c r="B3817" s="1"/>
      <c r="C3817" s="1"/>
      <c r="D3817" s="1"/>
      <c r="E3817" s="1"/>
      <c r="F3817" s="1"/>
      <c r="G3817" s="1"/>
      <c r="H3817" s="1"/>
      <c r="I3817" s="1"/>
      <c r="J3817" s="1"/>
      <c r="K3817" s="1"/>
      <c r="L3817" s="1"/>
      <c r="M3817" s="1"/>
      <c r="N3817" s="1"/>
      <c r="O3817" s="1"/>
      <c r="P3817" s="1"/>
      <c r="Q3817" s="1"/>
      <c r="R3817" s="1"/>
      <c r="S3817" s="1"/>
      <c r="T3817" s="1"/>
      <c r="U3817" s="1"/>
      <c r="V3817" s="1"/>
      <c r="W3817" s="1"/>
    </row>
    <row r="3818" customHeight="1" spans="1:23">
      <c r="A3818" s="1"/>
      <c r="B3818" s="1"/>
      <c r="C3818" s="1"/>
      <c r="D3818" s="1"/>
      <c r="E3818" s="1"/>
      <c r="F3818" s="1"/>
      <c r="G3818" s="1"/>
      <c r="H3818" s="1"/>
      <c r="I3818" s="1"/>
      <c r="J3818" s="1"/>
      <c r="K3818" s="1"/>
      <c r="L3818" s="1"/>
      <c r="M3818" s="1"/>
      <c r="N3818" s="1"/>
      <c r="O3818" s="1"/>
      <c r="P3818" s="1"/>
      <c r="Q3818" s="1"/>
      <c r="R3818" s="1"/>
      <c r="S3818" s="1"/>
      <c r="T3818" s="1"/>
      <c r="U3818" s="1"/>
      <c r="V3818" s="1"/>
      <c r="W3818" s="1"/>
    </row>
    <row r="3819" customHeight="1" spans="1:23">
      <c r="A3819" s="1"/>
      <c r="B3819" s="1"/>
      <c r="C3819" s="1"/>
      <c r="D3819" s="1"/>
      <c r="E3819" s="1"/>
      <c r="F3819" s="1"/>
      <c r="G3819" s="1"/>
      <c r="H3819" s="1"/>
      <c r="I3819" s="1"/>
      <c r="J3819" s="1"/>
      <c r="K3819" s="1"/>
      <c r="L3819" s="1"/>
      <c r="M3819" s="1"/>
      <c r="N3819" s="1"/>
      <c r="O3819" s="1"/>
      <c r="P3819" s="1"/>
      <c r="Q3819" s="1"/>
      <c r="R3819" s="1"/>
      <c r="S3819" s="1"/>
      <c r="T3819" s="1"/>
      <c r="U3819" s="1"/>
      <c r="V3819" s="1"/>
      <c r="W3819" s="1"/>
    </row>
    <row r="3820" customHeight="1" spans="1:23">
      <c r="A3820" s="1"/>
      <c r="B3820" s="1"/>
      <c r="C3820" s="1"/>
      <c r="D3820" s="1"/>
      <c r="E3820" s="1"/>
      <c r="F3820" s="1"/>
      <c r="G3820" s="1"/>
      <c r="H3820" s="1"/>
      <c r="I3820" s="1"/>
      <c r="J3820" s="1"/>
      <c r="K3820" s="1"/>
      <c r="L3820" s="1"/>
      <c r="M3820" s="1"/>
      <c r="N3820" s="1"/>
      <c r="O3820" s="1"/>
      <c r="P3820" s="1"/>
      <c r="Q3820" s="1"/>
      <c r="R3820" s="1"/>
      <c r="S3820" s="1"/>
      <c r="T3820" s="1"/>
      <c r="U3820" s="1"/>
      <c r="V3820" s="1"/>
      <c r="W3820" s="1"/>
    </row>
    <row r="3821" customHeight="1" spans="1:23">
      <c r="A3821" s="1"/>
      <c r="B3821" s="1"/>
      <c r="C3821" s="1"/>
      <c r="D3821" s="1"/>
      <c r="E3821" s="1"/>
      <c r="F3821" s="1"/>
      <c r="G3821" s="1"/>
      <c r="H3821" s="1"/>
      <c r="I3821" s="1"/>
      <c r="J3821" s="1"/>
      <c r="K3821" s="1"/>
      <c r="L3821" s="1"/>
      <c r="M3821" s="1"/>
      <c r="N3821" s="1"/>
      <c r="O3821" s="1"/>
      <c r="P3821" s="1"/>
      <c r="Q3821" s="1"/>
      <c r="R3821" s="1"/>
      <c r="S3821" s="1"/>
      <c r="T3821" s="1"/>
      <c r="U3821" s="1"/>
      <c r="V3821" s="1"/>
      <c r="W3821" s="1"/>
    </row>
    <row r="3822" customHeight="1" spans="1:23">
      <c r="A3822" s="1"/>
      <c r="B3822" s="1"/>
      <c r="C3822" s="1"/>
      <c r="D3822" s="1"/>
      <c r="E3822" s="1"/>
      <c r="F3822" s="1"/>
      <c r="G3822" s="1"/>
      <c r="H3822" s="1"/>
      <c r="I3822" s="1"/>
      <c r="J3822" s="1"/>
      <c r="K3822" s="1"/>
      <c r="L3822" s="1"/>
      <c r="M3822" s="1"/>
      <c r="N3822" s="1"/>
      <c r="O3822" s="1"/>
      <c r="P3822" s="1"/>
      <c r="Q3822" s="1"/>
      <c r="R3822" s="1"/>
      <c r="S3822" s="1"/>
      <c r="T3822" s="1"/>
      <c r="U3822" s="1"/>
      <c r="V3822" s="1"/>
      <c r="W3822" s="1"/>
    </row>
    <row r="3823" customHeight="1" spans="1:23">
      <c r="A3823" s="1"/>
      <c r="B3823" s="1"/>
      <c r="C3823" s="1"/>
      <c r="D3823" s="1"/>
      <c r="E3823" s="1"/>
      <c r="F3823" s="1"/>
      <c r="G3823" s="1"/>
      <c r="H3823" s="1"/>
      <c r="I3823" s="1"/>
      <c r="J3823" s="1"/>
      <c r="K3823" s="1"/>
      <c r="L3823" s="1"/>
      <c r="M3823" s="1"/>
      <c r="N3823" s="1"/>
      <c r="O3823" s="1"/>
      <c r="P3823" s="1"/>
      <c r="Q3823" s="1"/>
      <c r="R3823" s="1"/>
      <c r="S3823" s="1"/>
      <c r="T3823" s="1"/>
      <c r="U3823" s="1"/>
      <c r="V3823" s="1"/>
      <c r="W3823" s="1"/>
    </row>
    <row r="3824" customHeight="1" spans="1:23">
      <c r="A3824" s="1"/>
      <c r="B3824" s="1"/>
      <c r="C3824" s="1"/>
      <c r="D3824" s="1"/>
      <c r="E3824" s="1"/>
      <c r="F3824" s="1"/>
      <c r="G3824" s="1"/>
      <c r="H3824" s="1"/>
      <c r="I3824" s="1"/>
      <c r="J3824" s="1"/>
      <c r="K3824" s="1"/>
      <c r="L3824" s="1"/>
      <c r="M3824" s="1"/>
      <c r="N3824" s="1"/>
      <c r="O3824" s="1"/>
      <c r="P3824" s="1"/>
      <c r="Q3824" s="1"/>
      <c r="R3824" s="1"/>
      <c r="S3824" s="1"/>
      <c r="T3824" s="1"/>
      <c r="U3824" s="1"/>
      <c r="V3824" s="1"/>
      <c r="W3824" s="1"/>
    </row>
    <row r="3825" customHeight="1" spans="1:23">
      <c r="A3825" s="1"/>
      <c r="B3825" s="1"/>
      <c r="C3825" s="1"/>
      <c r="D3825" s="1"/>
      <c r="E3825" s="1"/>
      <c r="F3825" s="1"/>
      <c r="G3825" s="1"/>
      <c r="H3825" s="1"/>
      <c r="I3825" s="1"/>
      <c r="J3825" s="1"/>
      <c r="K3825" s="1"/>
      <c r="L3825" s="1"/>
      <c r="M3825" s="1"/>
      <c r="N3825" s="1"/>
      <c r="O3825" s="1"/>
      <c r="P3825" s="1"/>
      <c r="Q3825" s="1"/>
      <c r="R3825" s="1"/>
      <c r="S3825" s="1"/>
      <c r="T3825" s="1"/>
      <c r="U3825" s="1"/>
      <c r="V3825" s="1"/>
      <c r="W3825" s="1"/>
    </row>
    <row r="3826" customHeight="1" spans="1:23">
      <c r="A3826" s="1"/>
      <c r="B3826" s="1"/>
      <c r="C3826" s="1"/>
      <c r="D3826" s="1"/>
      <c r="E3826" s="1"/>
      <c r="F3826" s="1"/>
      <c r="G3826" s="1"/>
      <c r="H3826" s="1"/>
      <c r="I3826" s="1"/>
      <c r="J3826" s="1"/>
      <c r="K3826" s="1"/>
      <c r="L3826" s="1"/>
      <c r="M3826" s="1"/>
      <c r="N3826" s="1"/>
      <c r="O3826" s="1"/>
      <c r="P3826" s="1"/>
      <c r="Q3826" s="1"/>
      <c r="R3826" s="1"/>
      <c r="S3826" s="1"/>
      <c r="T3826" s="1"/>
      <c r="U3826" s="1"/>
      <c r="V3826" s="1"/>
      <c r="W3826" s="1"/>
    </row>
    <row r="3827" customHeight="1" spans="1:23">
      <c r="A3827" s="1"/>
      <c r="B3827" s="1"/>
      <c r="C3827" s="1"/>
      <c r="D3827" s="1"/>
      <c r="E3827" s="1"/>
      <c r="F3827" s="1"/>
      <c r="G3827" s="1"/>
      <c r="H3827" s="1"/>
      <c r="I3827" s="1"/>
      <c r="J3827" s="1"/>
      <c r="K3827" s="1"/>
      <c r="L3827" s="1"/>
      <c r="M3827" s="1"/>
      <c r="N3827" s="1"/>
      <c r="O3827" s="1"/>
      <c r="P3827" s="1"/>
      <c r="Q3827" s="1"/>
      <c r="R3827" s="1"/>
      <c r="S3827" s="1"/>
      <c r="T3827" s="1"/>
      <c r="U3827" s="1"/>
      <c r="V3827" s="1"/>
      <c r="W3827" s="1"/>
    </row>
    <row r="3828" customHeight="1" spans="1:23">
      <c r="A3828" s="1"/>
      <c r="B3828" s="1"/>
      <c r="C3828" s="1"/>
      <c r="D3828" s="1"/>
      <c r="E3828" s="1"/>
      <c r="F3828" s="1"/>
      <c r="G3828" s="1"/>
      <c r="H3828" s="1"/>
      <c r="I3828" s="1"/>
      <c r="J3828" s="1"/>
      <c r="K3828" s="1"/>
      <c r="L3828" s="1"/>
      <c r="M3828" s="1"/>
      <c r="N3828" s="1"/>
      <c r="O3828" s="1"/>
      <c r="P3828" s="1"/>
      <c r="Q3828" s="1"/>
      <c r="R3828" s="1"/>
      <c r="S3828" s="1"/>
      <c r="T3828" s="1"/>
      <c r="U3828" s="1"/>
      <c r="V3828" s="1"/>
      <c r="W3828" s="1"/>
    </row>
    <row r="3829" customHeight="1" spans="1:23">
      <c r="A3829" s="1"/>
      <c r="B3829" s="1"/>
      <c r="C3829" s="1"/>
      <c r="D3829" s="1"/>
      <c r="E3829" s="1"/>
      <c r="F3829" s="1"/>
      <c r="G3829" s="1"/>
      <c r="H3829" s="1"/>
      <c r="I3829" s="1"/>
      <c r="J3829" s="1"/>
      <c r="K3829" s="1"/>
      <c r="L3829" s="1"/>
      <c r="M3829" s="1"/>
      <c r="N3829" s="1"/>
      <c r="O3829" s="1"/>
      <c r="P3829" s="1"/>
      <c r="Q3829" s="1"/>
      <c r="R3829" s="1"/>
      <c r="S3829" s="1"/>
      <c r="T3829" s="1"/>
      <c r="U3829" s="1"/>
      <c r="V3829" s="1"/>
      <c r="W3829" s="1"/>
    </row>
    <row r="3830" customHeight="1" spans="1:23">
      <c r="A3830" s="1"/>
      <c r="B3830" s="1"/>
      <c r="C3830" s="1"/>
      <c r="D3830" s="1"/>
      <c r="E3830" s="1"/>
      <c r="F3830" s="1"/>
      <c r="G3830" s="1"/>
      <c r="H3830" s="1"/>
      <c r="I3830" s="1"/>
      <c r="J3830" s="1"/>
      <c r="K3830" s="1"/>
      <c r="L3830" s="1"/>
      <c r="M3830" s="1"/>
      <c r="N3830" s="1"/>
      <c r="O3830" s="1"/>
      <c r="P3830" s="1"/>
      <c r="Q3830" s="1"/>
      <c r="R3830" s="1"/>
      <c r="S3830" s="1"/>
      <c r="T3830" s="1"/>
      <c r="U3830" s="1"/>
      <c r="V3830" s="1"/>
      <c r="W3830" s="1"/>
    </row>
    <row r="3831" customHeight="1" spans="1:23">
      <c r="A3831" s="1"/>
      <c r="B3831" s="1"/>
      <c r="C3831" s="1"/>
      <c r="D3831" s="1"/>
      <c r="E3831" s="1"/>
      <c r="F3831" s="1"/>
      <c r="G3831" s="1"/>
      <c r="H3831" s="1"/>
      <c r="I3831" s="1"/>
      <c r="J3831" s="1"/>
      <c r="K3831" s="1"/>
      <c r="L3831" s="1"/>
      <c r="M3831" s="1"/>
      <c r="N3831" s="1"/>
      <c r="O3831" s="1"/>
      <c r="P3831" s="1"/>
      <c r="Q3831" s="1"/>
      <c r="R3831" s="1"/>
      <c r="S3831" s="1"/>
      <c r="T3831" s="1"/>
      <c r="U3831" s="1"/>
      <c r="V3831" s="1"/>
      <c r="W3831" s="1"/>
    </row>
    <row r="3832" customHeight="1" spans="1:23">
      <c r="A3832" s="1"/>
      <c r="B3832" s="1"/>
      <c r="C3832" s="1"/>
      <c r="D3832" s="1"/>
      <c r="E3832" s="1"/>
      <c r="F3832" s="1"/>
      <c r="G3832" s="1"/>
      <c r="H3832" s="1"/>
      <c r="I3832" s="1"/>
      <c r="J3832" s="1"/>
      <c r="K3832" s="1"/>
      <c r="L3832" s="1"/>
      <c r="M3832" s="1"/>
      <c r="N3832" s="1"/>
      <c r="O3832" s="1"/>
      <c r="P3832" s="1"/>
      <c r="Q3832" s="1"/>
      <c r="R3832" s="1"/>
      <c r="S3832" s="1"/>
      <c r="T3832" s="1"/>
      <c r="U3832" s="1"/>
      <c r="V3832" s="1"/>
      <c r="W3832" s="1"/>
    </row>
    <row r="3833" customHeight="1" spans="1:23">
      <c r="A3833" s="1"/>
      <c r="B3833" s="1"/>
      <c r="C3833" s="1"/>
      <c r="D3833" s="1"/>
      <c r="E3833" s="1"/>
      <c r="F3833" s="1"/>
      <c r="G3833" s="1"/>
      <c r="H3833" s="1"/>
      <c r="I3833" s="1"/>
      <c r="J3833" s="1"/>
      <c r="K3833" s="1"/>
      <c r="L3833" s="1"/>
      <c r="M3833" s="1"/>
      <c r="N3833" s="1"/>
      <c r="O3833" s="1"/>
      <c r="P3833" s="1"/>
      <c r="Q3833" s="1"/>
      <c r="R3833" s="1"/>
      <c r="S3833" s="1"/>
      <c r="T3833" s="1"/>
      <c r="U3833" s="1"/>
      <c r="V3833" s="1"/>
      <c r="W3833" s="1"/>
    </row>
    <row r="3834" customHeight="1" spans="1:23">
      <c r="A3834" s="1"/>
      <c r="B3834" s="1"/>
      <c r="C3834" s="1"/>
      <c r="D3834" s="1"/>
      <c r="E3834" s="1"/>
      <c r="F3834" s="1"/>
      <c r="G3834" s="1"/>
      <c r="H3834" s="1"/>
      <c r="I3834" s="1"/>
      <c r="J3834" s="1"/>
      <c r="K3834" s="1"/>
      <c r="L3834" s="1"/>
      <c r="M3834" s="1"/>
      <c r="N3834" s="1"/>
      <c r="O3834" s="1"/>
      <c r="P3834" s="1"/>
      <c r="Q3834" s="1"/>
      <c r="R3834" s="1"/>
      <c r="S3834" s="1"/>
      <c r="T3834" s="1"/>
      <c r="U3834" s="1"/>
      <c r="V3834" s="1"/>
      <c r="W3834" s="1"/>
    </row>
    <row r="3835" customHeight="1" spans="1:23">
      <c r="A3835" s="1"/>
      <c r="B3835" s="1"/>
      <c r="C3835" s="1"/>
      <c r="D3835" s="1"/>
      <c r="E3835" s="1"/>
      <c r="F3835" s="1"/>
      <c r="G3835" s="1"/>
      <c r="H3835" s="1"/>
      <c r="I3835" s="1"/>
      <c r="J3835" s="1"/>
      <c r="K3835" s="1"/>
      <c r="L3835" s="1"/>
      <c r="M3835" s="1"/>
      <c r="N3835" s="1"/>
      <c r="O3835" s="1"/>
      <c r="P3835" s="1"/>
      <c r="Q3835" s="1"/>
      <c r="R3835" s="1"/>
      <c r="S3835" s="1"/>
      <c r="T3835" s="1"/>
      <c r="U3835" s="1"/>
      <c r="V3835" s="1"/>
      <c r="W3835" s="1"/>
    </row>
    <row r="3836" customHeight="1" spans="1:23">
      <c r="A3836" s="1"/>
      <c r="B3836" s="1"/>
      <c r="C3836" s="1"/>
      <c r="D3836" s="1"/>
      <c r="E3836" s="1"/>
      <c r="F3836" s="1"/>
      <c r="G3836" s="1"/>
      <c r="H3836" s="1"/>
      <c r="I3836" s="1"/>
      <c r="J3836" s="1"/>
      <c r="K3836" s="1"/>
      <c r="L3836" s="1"/>
      <c r="M3836" s="1"/>
      <c r="N3836" s="1"/>
      <c r="O3836" s="1"/>
      <c r="P3836" s="1"/>
      <c r="Q3836" s="1"/>
      <c r="R3836" s="1"/>
      <c r="S3836" s="1"/>
      <c r="T3836" s="1"/>
      <c r="U3836" s="1"/>
      <c r="V3836" s="1"/>
      <c r="W3836" s="1"/>
    </row>
    <row r="3837" customHeight="1" spans="1:23">
      <c r="A3837" s="1"/>
      <c r="B3837" s="1"/>
      <c r="C3837" s="1"/>
      <c r="D3837" s="1"/>
      <c r="E3837" s="1"/>
      <c r="F3837" s="1"/>
      <c r="G3837" s="1"/>
      <c r="H3837" s="1"/>
      <c r="I3837" s="1"/>
      <c r="J3837" s="1"/>
      <c r="K3837" s="1"/>
      <c r="L3837" s="1"/>
      <c r="M3837" s="1"/>
      <c r="N3837" s="1"/>
      <c r="O3837" s="1"/>
      <c r="P3837" s="1"/>
      <c r="Q3837" s="1"/>
      <c r="R3837" s="1"/>
      <c r="S3837" s="1"/>
      <c r="T3837" s="1"/>
      <c r="U3837" s="1"/>
      <c r="V3837" s="1"/>
      <c r="W3837" s="1"/>
    </row>
    <row r="3838" customHeight="1" spans="1:23">
      <c r="A3838" s="1"/>
      <c r="B3838" s="1"/>
      <c r="C3838" s="1"/>
      <c r="D3838" s="1"/>
      <c r="E3838" s="1"/>
      <c r="F3838" s="1"/>
      <c r="G3838" s="1"/>
      <c r="H3838" s="1"/>
      <c r="I3838" s="1"/>
      <c r="J3838" s="1"/>
      <c r="K3838" s="1"/>
      <c r="L3838" s="1"/>
      <c r="M3838" s="1"/>
      <c r="N3838" s="1"/>
      <c r="O3838" s="1"/>
      <c r="P3838" s="1"/>
      <c r="Q3838" s="1"/>
      <c r="R3838" s="1"/>
      <c r="S3838" s="1"/>
      <c r="T3838" s="1"/>
      <c r="U3838" s="1"/>
      <c r="V3838" s="1"/>
      <c r="W3838" s="1"/>
    </row>
    <row r="3839" customHeight="1" spans="1:23">
      <c r="A3839" s="1"/>
      <c r="B3839" s="1"/>
      <c r="C3839" s="1"/>
      <c r="D3839" s="1"/>
      <c r="E3839" s="1"/>
      <c r="F3839" s="1"/>
      <c r="G3839" s="1"/>
      <c r="H3839" s="1"/>
      <c r="I3839" s="1"/>
      <c r="J3839" s="1"/>
      <c r="K3839" s="1"/>
      <c r="L3839" s="1"/>
      <c r="M3839" s="1"/>
      <c r="N3839" s="1"/>
      <c r="O3839" s="1"/>
      <c r="P3839" s="1"/>
      <c r="Q3839" s="1"/>
      <c r="R3839" s="1"/>
      <c r="S3839" s="1"/>
      <c r="T3839" s="1"/>
      <c r="U3839" s="1"/>
      <c r="V3839" s="1"/>
      <c r="W3839" s="1"/>
    </row>
    <row r="3840" customHeight="1" spans="1:23">
      <c r="A3840" s="1"/>
      <c r="B3840" s="1"/>
      <c r="C3840" s="1"/>
      <c r="D3840" s="1"/>
      <c r="E3840" s="1"/>
      <c r="F3840" s="1"/>
      <c r="G3840" s="1"/>
      <c r="H3840" s="1"/>
      <c r="I3840" s="1"/>
      <c r="J3840" s="1"/>
      <c r="K3840" s="1"/>
      <c r="L3840" s="1"/>
      <c r="M3840" s="1"/>
      <c r="N3840" s="1"/>
      <c r="O3840" s="1"/>
      <c r="P3840" s="1"/>
      <c r="Q3840" s="1"/>
      <c r="R3840" s="1"/>
      <c r="S3840" s="1"/>
      <c r="T3840" s="1"/>
      <c r="U3840" s="1"/>
      <c r="V3840" s="1"/>
      <c r="W3840" s="1"/>
    </row>
    <row r="3841" customHeight="1" spans="1:23">
      <c r="A3841" s="1"/>
      <c r="B3841" s="1"/>
      <c r="C3841" s="1"/>
      <c r="D3841" s="1"/>
      <c r="E3841" s="1"/>
      <c r="F3841" s="1"/>
      <c r="G3841" s="1"/>
      <c r="H3841" s="1"/>
      <c r="I3841" s="1"/>
      <c r="J3841" s="1"/>
      <c r="K3841" s="1"/>
      <c r="L3841" s="1"/>
      <c r="M3841" s="1"/>
      <c r="N3841" s="1"/>
      <c r="O3841" s="1"/>
      <c r="P3841" s="1"/>
      <c r="Q3841" s="1"/>
      <c r="R3841" s="1"/>
      <c r="S3841" s="1"/>
      <c r="T3841" s="1"/>
      <c r="U3841" s="1"/>
      <c r="V3841" s="1"/>
      <c r="W3841" s="1"/>
    </row>
    <row r="3842" customHeight="1" spans="1:23">
      <c r="A3842" s="1"/>
      <c r="B3842" s="1"/>
      <c r="C3842" s="1"/>
      <c r="D3842" s="1"/>
      <c r="E3842" s="1"/>
      <c r="F3842" s="1"/>
      <c r="G3842" s="1"/>
      <c r="H3842" s="1"/>
      <c r="I3842" s="1"/>
      <c r="J3842" s="1"/>
      <c r="K3842" s="1"/>
      <c r="L3842" s="1"/>
      <c r="M3842" s="1"/>
      <c r="N3842" s="1"/>
      <c r="O3842" s="1"/>
      <c r="P3842" s="1"/>
      <c r="Q3842" s="1"/>
      <c r="R3842" s="1"/>
      <c r="S3842" s="1"/>
      <c r="T3842" s="1"/>
      <c r="U3842" s="1"/>
      <c r="V3842" s="1"/>
      <c r="W3842" s="1"/>
    </row>
    <row r="3843" customHeight="1" spans="1:23">
      <c r="A3843" s="1"/>
      <c r="B3843" s="1"/>
      <c r="C3843" s="1"/>
      <c r="D3843" s="1"/>
      <c r="E3843" s="1"/>
      <c r="F3843" s="1"/>
      <c r="G3843" s="1"/>
      <c r="H3843" s="1"/>
      <c r="I3843" s="1"/>
      <c r="J3843" s="1"/>
      <c r="K3843" s="1"/>
      <c r="L3843" s="1"/>
      <c r="M3843" s="1"/>
      <c r="N3843" s="1"/>
      <c r="O3843" s="1"/>
      <c r="P3843" s="1"/>
      <c r="Q3843" s="1"/>
      <c r="R3843" s="1"/>
      <c r="S3843" s="1"/>
      <c r="T3843" s="1"/>
      <c r="U3843" s="1"/>
      <c r="V3843" s="1"/>
      <c r="W3843" s="1"/>
    </row>
    <row r="3844" customHeight="1" spans="1:23">
      <c r="A3844" s="1"/>
      <c r="B3844" s="1"/>
      <c r="C3844" s="1"/>
      <c r="D3844" s="1"/>
      <c r="E3844" s="1"/>
      <c r="F3844" s="1"/>
      <c r="G3844" s="1"/>
      <c r="H3844" s="1"/>
      <c r="I3844" s="1"/>
      <c r="J3844" s="1"/>
      <c r="K3844" s="1"/>
      <c r="L3844" s="1"/>
      <c r="M3844" s="1"/>
      <c r="N3844" s="1"/>
      <c r="O3844" s="1"/>
      <c r="P3844" s="1"/>
      <c r="Q3844" s="1"/>
      <c r="R3844" s="1"/>
      <c r="S3844" s="1"/>
      <c r="T3844" s="1"/>
      <c r="U3844" s="1"/>
      <c r="V3844" s="1"/>
      <c r="W3844" s="1"/>
    </row>
    <row r="3845" customHeight="1" spans="1:23">
      <c r="A3845" s="1"/>
      <c r="B3845" s="1"/>
      <c r="C3845" s="1"/>
      <c r="D3845" s="1"/>
      <c r="E3845" s="1"/>
      <c r="F3845" s="1"/>
      <c r="G3845" s="1"/>
      <c r="H3845" s="1"/>
      <c r="I3845" s="1"/>
      <c r="J3845" s="1"/>
      <c r="K3845" s="1"/>
      <c r="L3845" s="1"/>
      <c r="M3845" s="1"/>
      <c r="N3845" s="1"/>
      <c r="O3845" s="1"/>
      <c r="P3845" s="1"/>
      <c r="Q3845" s="1"/>
      <c r="R3845" s="1"/>
      <c r="S3845" s="1"/>
      <c r="T3845" s="1"/>
      <c r="U3845" s="1"/>
      <c r="V3845" s="1"/>
      <c r="W3845" s="1"/>
    </row>
    <row r="3846" customHeight="1" spans="1:23">
      <c r="A3846" s="1"/>
      <c r="B3846" s="1"/>
      <c r="C3846" s="1"/>
      <c r="D3846" s="1"/>
      <c r="E3846" s="1"/>
      <c r="F3846" s="1"/>
      <c r="G3846" s="1"/>
      <c r="H3846" s="1"/>
      <c r="I3846" s="1"/>
      <c r="J3846" s="1"/>
      <c r="K3846" s="1"/>
      <c r="L3846" s="1"/>
      <c r="M3846" s="1"/>
      <c r="N3846" s="1"/>
      <c r="O3846" s="1"/>
      <c r="P3846" s="1"/>
      <c r="Q3846" s="1"/>
      <c r="R3846" s="1"/>
      <c r="S3846" s="1"/>
      <c r="T3846" s="1"/>
      <c r="U3846" s="1"/>
      <c r="V3846" s="1"/>
      <c r="W3846" s="1"/>
    </row>
    <row r="3847" customHeight="1" spans="1:23">
      <c r="A3847" s="1"/>
      <c r="B3847" s="1"/>
      <c r="C3847" s="1"/>
      <c r="D3847" s="1"/>
      <c r="E3847" s="1"/>
      <c r="F3847" s="1"/>
      <c r="G3847" s="1"/>
      <c r="H3847" s="1"/>
      <c r="I3847" s="1"/>
      <c r="J3847" s="1"/>
      <c r="K3847" s="1"/>
      <c r="L3847" s="1"/>
      <c r="M3847" s="1"/>
      <c r="N3847" s="1"/>
      <c r="O3847" s="1"/>
      <c r="P3847" s="1"/>
      <c r="Q3847" s="1"/>
      <c r="R3847" s="1"/>
      <c r="S3847" s="1"/>
      <c r="T3847" s="1"/>
      <c r="U3847" s="1"/>
      <c r="V3847" s="1"/>
      <c r="W3847" s="1"/>
    </row>
    <row r="3848" customHeight="1" spans="1:23">
      <c r="A3848" s="1"/>
      <c r="B3848" s="1"/>
      <c r="C3848" s="1"/>
      <c r="D3848" s="1"/>
      <c r="E3848" s="1"/>
      <c r="F3848" s="1"/>
      <c r="G3848" s="1"/>
      <c r="H3848" s="1"/>
      <c r="I3848" s="1"/>
      <c r="J3848" s="1"/>
      <c r="K3848" s="1"/>
      <c r="L3848" s="1"/>
      <c r="M3848" s="1"/>
      <c r="N3848" s="1"/>
      <c r="O3848" s="1"/>
      <c r="P3848" s="1"/>
      <c r="Q3848" s="1"/>
      <c r="R3848" s="1"/>
      <c r="S3848" s="1"/>
      <c r="T3848" s="1"/>
      <c r="U3848" s="1"/>
      <c r="V3848" s="1"/>
      <c r="W3848" s="1"/>
    </row>
    <row r="3849" customHeight="1" spans="1:23">
      <c r="A3849" s="1"/>
      <c r="B3849" s="1"/>
      <c r="C3849" s="1"/>
      <c r="D3849" s="1"/>
      <c r="E3849" s="1"/>
      <c r="F3849" s="1"/>
      <c r="G3849" s="1"/>
      <c r="H3849" s="1"/>
      <c r="I3849" s="1"/>
      <c r="J3849" s="1"/>
      <c r="K3849" s="1"/>
      <c r="L3849" s="1"/>
      <c r="M3849" s="1"/>
      <c r="N3849" s="1"/>
      <c r="O3849" s="1"/>
      <c r="P3849" s="1"/>
      <c r="Q3849" s="1"/>
      <c r="R3849" s="1"/>
      <c r="S3849" s="1"/>
      <c r="T3849" s="1"/>
      <c r="U3849" s="1"/>
      <c r="V3849" s="1"/>
      <c r="W3849" s="1"/>
    </row>
    <row r="3850" customHeight="1" spans="1:23">
      <c r="A3850" s="1"/>
      <c r="B3850" s="1"/>
      <c r="C3850" s="1"/>
      <c r="D3850" s="1"/>
      <c r="E3850" s="1"/>
      <c r="F3850" s="1"/>
      <c r="G3850" s="1"/>
      <c r="H3850" s="1"/>
      <c r="I3850" s="1"/>
      <c r="J3850" s="1"/>
      <c r="K3850" s="1"/>
      <c r="L3850" s="1"/>
      <c r="M3850" s="1"/>
      <c r="N3850" s="1"/>
      <c r="O3850" s="1"/>
      <c r="P3850" s="1"/>
      <c r="Q3850" s="1"/>
      <c r="R3850" s="1"/>
      <c r="S3850" s="1"/>
      <c r="T3850" s="1"/>
      <c r="U3850" s="1"/>
      <c r="V3850" s="1"/>
      <c r="W3850" s="1"/>
    </row>
    <row r="3851" customHeight="1" spans="1:23">
      <c r="A3851" s="1"/>
      <c r="B3851" s="1"/>
      <c r="C3851" s="1"/>
      <c r="D3851" s="1"/>
      <c r="E3851" s="1"/>
      <c r="F3851" s="1"/>
      <c r="G3851" s="1"/>
      <c r="H3851" s="1"/>
      <c r="I3851" s="1"/>
      <c r="J3851" s="1"/>
      <c r="K3851" s="1"/>
      <c r="L3851" s="1"/>
      <c r="M3851" s="1"/>
      <c r="N3851" s="1"/>
      <c r="O3851" s="1"/>
      <c r="P3851" s="1"/>
      <c r="Q3851" s="1"/>
      <c r="R3851" s="1"/>
      <c r="S3851" s="1"/>
      <c r="T3851" s="1"/>
      <c r="U3851" s="1"/>
      <c r="V3851" s="1"/>
      <c r="W3851" s="1"/>
    </row>
    <row r="3852" customHeight="1" spans="1:23">
      <c r="A3852" s="1"/>
      <c r="B3852" s="1"/>
      <c r="C3852" s="1"/>
      <c r="D3852" s="1"/>
      <c r="E3852" s="1"/>
      <c r="F3852" s="1"/>
      <c r="G3852" s="1"/>
      <c r="H3852" s="1"/>
      <c r="I3852" s="1"/>
      <c r="J3852" s="1"/>
      <c r="K3852" s="1"/>
      <c r="L3852" s="1"/>
      <c r="M3852" s="1"/>
      <c r="N3852" s="1"/>
      <c r="O3852" s="1"/>
      <c r="P3852" s="1"/>
      <c r="Q3852" s="1"/>
      <c r="R3852" s="1"/>
      <c r="S3852" s="1"/>
      <c r="T3852" s="1"/>
      <c r="U3852" s="1"/>
      <c r="V3852" s="1"/>
      <c r="W3852" s="1"/>
    </row>
    <row r="3853" customHeight="1" spans="1:23">
      <c r="A3853" s="1"/>
      <c r="B3853" s="1"/>
      <c r="C3853" s="1"/>
      <c r="D3853" s="1"/>
      <c r="E3853" s="1"/>
      <c r="F3853" s="1"/>
      <c r="G3853" s="1"/>
      <c r="H3853" s="1"/>
      <c r="I3853" s="1"/>
      <c r="J3853" s="1"/>
      <c r="K3853" s="1"/>
      <c r="L3853" s="1"/>
      <c r="M3853" s="1"/>
      <c r="N3853" s="1"/>
      <c r="O3853" s="1"/>
      <c r="P3853" s="1"/>
      <c r="Q3853" s="1"/>
      <c r="R3853" s="1"/>
      <c r="S3853" s="1"/>
      <c r="T3853" s="1"/>
      <c r="U3853" s="1"/>
      <c r="V3853" s="1"/>
      <c r="W3853" s="1"/>
    </row>
    <row r="3854" customHeight="1" spans="1:23">
      <c r="A3854" s="1"/>
      <c r="B3854" s="1"/>
      <c r="C3854" s="1"/>
      <c r="D3854" s="1"/>
      <c r="E3854" s="1"/>
      <c r="F3854" s="1"/>
      <c r="G3854" s="1"/>
      <c r="H3854" s="1"/>
      <c r="I3854" s="1"/>
      <c r="J3854" s="1"/>
      <c r="K3854" s="1"/>
      <c r="L3854" s="1"/>
      <c r="M3854" s="1"/>
      <c r="N3854" s="1"/>
      <c r="O3854" s="1"/>
      <c r="P3854" s="1"/>
      <c r="Q3854" s="1"/>
      <c r="R3854" s="1"/>
      <c r="S3854" s="1"/>
      <c r="T3854" s="1"/>
      <c r="U3854" s="1"/>
      <c r="V3854" s="1"/>
      <c r="W3854" s="1"/>
    </row>
    <row r="3855" customHeight="1" spans="1:23">
      <c r="A3855" s="1"/>
      <c r="B3855" s="1"/>
      <c r="C3855" s="1"/>
      <c r="D3855" s="1"/>
      <c r="E3855" s="1"/>
      <c r="F3855" s="1"/>
      <c r="G3855" s="1"/>
      <c r="H3855" s="1"/>
      <c r="I3855" s="1"/>
      <c r="J3855" s="1"/>
      <c r="K3855" s="1"/>
      <c r="L3855" s="1"/>
      <c r="M3855" s="1"/>
      <c r="N3855" s="1"/>
      <c r="O3855" s="1"/>
      <c r="P3855" s="1"/>
      <c r="Q3855" s="1"/>
      <c r="R3855" s="1"/>
      <c r="S3855" s="1"/>
      <c r="T3855" s="1"/>
      <c r="U3855" s="1"/>
      <c r="V3855" s="1"/>
      <c r="W3855" s="1"/>
    </row>
    <row r="3856" customHeight="1" spans="1:23">
      <c r="A3856" s="1"/>
      <c r="B3856" s="1"/>
      <c r="C3856" s="1"/>
      <c r="D3856" s="1"/>
      <c r="E3856" s="1"/>
      <c r="F3856" s="1"/>
      <c r="G3856" s="1"/>
      <c r="H3856" s="1"/>
      <c r="I3856" s="1"/>
      <c r="J3856" s="1"/>
      <c r="K3856" s="1"/>
      <c r="L3856" s="1"/>
      <c r="M3856" s="1"/>
      <c r="N3856" s="1"/>
      <c r="O3856" s="1"/>
      <c r="P3856" s="1"/>
      <c r="Q3856" s="1"/>
      <c r="R3856" s="1"/>
      <c r="S3856" s="1"/>
      <c r="T3856" s="1"/>
      <c r="U3856" s="1"/>
      <c r="V3856" s="1"/>
      <c r="W3856" s="1"/>
    </row>
    <row r="3857" customHeight="1" spans="1:23">
      <c r="A3857" s="1"/>
      <c r="B3857" s="1"/>
      <c r="C3857" s="1"/>
      <c r="D3857" s="1"/>
      <c r="E3857" s="1"/>
      <c r="F3857" s="1"/>
      <c r="G3857" s="1"/>
      <c r="H3857" s="1"/>
      <c r="I3857" s="1"/>
      <c r="J3857" s="1"/>
      <c r="K3857" s="1"/>
      <c r="L3857" s="1"/>
      <c r="M3857" s="1"/>
      <c r="N3857" s="1"/>
      <c r="O3857" s="1"/>
      <c r="P3857" s="1"/>
      <c r="Q3857" s="1"/>
      <c r="R3857" s="1"/>
      <c r="S3857" s="1"/>
      <c r="T3857" s="1"/>
      <c r="U3857" s="1"/>
      <c r="V3857" s="1"/>
      <c r="W3857" s="1"/>
    </row>
    <row r="3858" customHeight="1" spans="1:23">
      <c r="A3858" s="1"/>
      <c r="B3858" s="1"/>
      <c r="C3858" s="1"/>
      <c r="D3858" s="1"/>
      <c r="E3858" s="1"/>
      <c r="F3858" s="1"/>
      <c r="G3858" s="1"/>
      <c r="H3858" s="1"/>
      <c r="I3858" s="1"/>
      <c r="J3858" s="1"/>
      <c r="K3858" s="1"/>
      <c r="L3858" s="1"/>
      <c r="M3858" s="1"/>
      <c r="N3858" s="1"/>
      <c r="O3858" s="1"/>
      <c r="P3858" s="1"/>
      <c r="Q3858" s="1"/>
      <c r="R3858" s="1"/>
      <c r="S3858" s="1"/>
      <c r="T3858" s="1"/>
      <c r="U3858" s="1"/>
      <c r="V3858" s="1"/>
      <c r="W3858" s="1"/>
    </row>
    <row r="3859" customHeight="1" spans="1:23">
      <c r="A3859" s="1"/>
      <c r="B3859" s="1"/>
      <c r="C3859" s="1"/>
      <c r="D3859" s="1"/>
      <c r="E3859" s="1"/>
      <c r="F3859" s="1"/>
      <c r="G3859" s="1"/>
      <c r="H3859" s="1"/>
      <c r="I3859" s="1"/>
      <c r="J3859" s="1"/>
      <c r="K3859" s="1"/>
      <c r="L3859" s="1"/>
      <c r="M3859" s="1"/>
      <c r="N3859" s="1"/>
      <c r="O3859" s="1"/>
      <c r="P3859" s="1"/>
      <c r="Q3859" s="1"/>
      <c r="R3859" s="1"/>
      <c r="S3859" s="1"/>
      <c r="T3859" s="1"/>
      <c r="U3859" s="1"/>
      <c r="V3859" s="1"/>
      <c r="W3859" s="1"/>
    </row>
    <row r="3860" customHeight="1" spans="1:23">
      <c r="A3860" s="1"/>
      <c r="B3860" s="1"/>
      <c r="C3860" s="1"/>
      <c r="D3860" s="1"/>
      <c r="E3860" s="1"/>
      <c r="F3860" s="1"/>
      <c r="G3860" s="1"/>
      <c r="H3860" s="1"/>
      <c r="I3860" s="1"/>
      <c r="J3860" s="1"/>
      <c r="K3860" s="1"/>
      <c r="L3860" s="1"/>
      <c r="M3860" s="1"/>
      <c r="N3860" s="1"/>
      <c r="O3860" s="1"/>
      <c r="P3860" s="1"/>
      <c r="Q3860" s="1"/>
      <c r="R3860" s="1"/>
      <c r="S3860" s="1"/>
      <c r="T3860" s="1"/>
      <c r="U3860" s="1"/>
      <c r="V3860" s="1"/>
      <c r="W3860" s="1"/>
    </row>
    <row r="3861" customHeight="1" spans="1:23">
      <c r="A3861" s="1"/>
      <c r="B3861" s="1"/>
      <c r="C3861" s="1"/>
      <c r="D3861" s="1"/>
      <c r="E3861" s="1"/>
      <c r="F3861" s="1"/>
      <c r="G3861" s="1"/>
      <c r="H3861" s="1"/>
      <c r="I3861" s="1"/>
      <c r="J3861" s="1"/>
      <c r="K3861" s="1"/>
      <c r="L3861" s="1"/>
      <c r="M3861" s="1"/>
      <c r="N3861" s="1"/>
      <c r="O3861" s="1"/>
      <c r="P3861" s="1"/>
      <c r="Q3861" s="1"/>
      <c r="R3861" s="1"/>
      <c r="S3861" s="1"/>
      <c r="T3861" s="1"/>
      <c r="U3861" s="1"/>
      <c r="V3861" s="1"/>
      <c r="W3861" s="1"/>
    </row>
    <row r="3862" customHeight="1" spans="1:23">
      <c r="A3862" s="1"/>
      <c r="B3862" s="1"/>
      <c r="C3862" s="1"/>
      <c r="D3862" s="1"/>
      <c r="E3862" s="1"/>
      <c r="F3862" s="1"/>
      <c r="G3862" s="1"/>
      <c r="H3862" s="1"/>
      <c r="I3862" s="1"/>
      <c r="J3862" s="1"/>
      <c r="K3862" s="1"/>
      <c r="L3862" s="1"/>
      <c r="M3862" s="1"/>
      <c r="N3862" s="1"/>
      <c r="O3862" s="1"/>
      <c r="P3862" s="1"/>
      <c r="Q3862" s="1"/>
      <c r="R3862" s="1"/>
      <c r="S3862" s="1"/>
      <c r="T3862" s="1"/>
      <c r="U3862" s="1"/>
      <c r="V3862" s="1"/>
      <c r="W3862" s="1"/>
    </row>
    <row r="3863" customHeight="1" spans="1:23">
      <c r="A3863" s="1"/>
      <c r="B3863" s="1"/>
      <c r="C3863" s="1"/>
      <c r="D3863" s="1"/>
      <c r="E3863" s="1"/>
      <c r="F3863" s="1"/>
      <c r="G3863" s="1"/>
      <c r="H3863" s="1"/>
      <c r="I3863" s="1"/>
      <c r="J3863" s="1"/>
      <c r="K3863" s="1"/>
      <c r="L3863" s="1"/>
      <c r="M3863" s="1"/>
      <c r="N3863" s="1"/>
      <c r="O3863" s="1"/>
      <c r="P3863" s="1"/>
      <c r="Q3863" s="1"/>
      <c r="R3863" s="1"/>
      <c r="S3863" s="1"/>
      <c r="T3863" s="1"/>
      <c r="U3863" s="1"/>
      <c r="V3863" s="1"/>
      <c r="W3863" s="1"/>
    </row>
    <row r="3864" customHeight="1" spans="1:23">
      <c r="A3864" s="1"/>
      <c r="B3864" s="1"/>
      <c r="C3864" s="1"/>
      <c r="D3864" s="1"/>
      <c r="E3864" s="1"/>
      <c r="F3864" s="1"/>
      <c r="G3864" s="1"/>
      <c r="H3864" s="1"/>
      <c r="I3864" s="1"/>
      <c r="J3864" s="1"/>
      <c r="K3864" s="1"/>
      <c r="L3864" s="1"/>
      <c r="M3864" s="1"/>
      <c r="N3864" s="1"/>
      <c r="O3864" s="1"/>
      <c r="P3864" s="1"/>
      <c r="Q3864" s="1"/>
      <c r="R3864" s="1"/>
      <c r="S3864" s="1"/>
      <c r="T3864" s="1"/>
      <c r="U3864" s="1"/>
      <c r="V3864" s="1"/>
      <c r="W3864" s="1"/>
    </row>
    <row r="3865" customHeight="1" spans="1:23">
      <c r="A3865" s="1"/>
      <c r="B3865" s="1"/>
      <c r="C3865" s="1"/>
      <c r="D3865" s="1"/>
      <c r="E3865" s="1"/>
      <c r="F3865" s="1"/>
      <c r="G3865" s="1"/>
      <c r="H3865" s="1"/>
      <c r="I3865" s="1"/>
      <c r="J3865" s="1"/>
      <c r="K3865" s="1"/>
      <c r="L3865" s="1"/>
      <c r="M3865" s="1"/>
      <c r="N3865" s="1"/>
      <c r="O3865" s="1"/>
      <c r="P3865" s="1"/>
      <c r="Q3865" s="1"/>
      <c r="R3865" s="1"/>
      <c r="S3865" s="1"/>
      <c r="T3865" s="1"/>
      <c r="U3865" s="1"/>
      <c r="V3865" s="1"/>
      <c r="W3865" s="1"/>
    </row>
    <row r="3866" customHeight="1" spans="1:23">
      <c r="A3866" s="1"/>
      <c r="B3866" s="1"/>
      <c r="C3866" s="1"/>
      <c r="D3866" s="1"/>
      <c r="E3866" s="1"/>
      <c r="F3866" s="1"/>
      <c r="G3866" s="1"/>
      <c r="H3866" s="1"/>
      <c r="I3866" s="1"/>
      <c r="J3866" s="1"/>
      <c r="K3866" s="1"/>
      <c r="L3866" s="1"/>
      <c r="M3866" s="1"/>
      <c r="N3866" s="1"/>
      <c r="O3866" s="1"/>
      <c r="P3866" s="1"/>
      <c r="Q3866" s="1"/>
      <c r="R3866" s="1"/>
      <c r="S3866" s="1"/>
      <c r="T3866" s="1"/>
      <c r="U3866" s="1"/>
      <c r="V3866" s="1"/>
      <c r="W3866" s="1"/>
    </row>
    <row r="3867" customHeight="1" spans="1:23">
      <c r="A3867" s="1"/>
      <c r="B3867" s="1"/>
      <c r="C3867" s="1"/>
      <c r="D3867" s="1"/>
      <c r="E3867" s="1"/>
      <c r="F3867" s="1"/>
      <c r="G3867" s="1"/>
      <c r="H3867" s="1"/>
      <c r="I3867" s="1"/>
      <c r="J3867" s="1"/>
      <c r="K3867" s="1"/>
      <c r="L3867" s="1"/>
      <c r="M3867" s="1"/>
      <c r="N3867" s="1"/>
      <c r="O3867" s="1"/>
      <c r="P3867" s="1"/>
      <c r="Q3867" s="1"/>
      <c r="R3867" s="1"/>
      <c r="S3867" s="1"/>
      <c r="T3867" s="1"/>
      <c r="U3867" s="1"/>
      <c r="V3867" s="1"/>
      <c r="W3867" s="1"/>
    </row>
    <row r="3868" customHeight="1" spans="1:23">
      <c r="A3868" s="1"/>
      <c r="B3868" s="1"/>
      <c r="C3868" s="1"/>
      <c r="D3868" s="1"/>
      <c r="E3868" s="1"/>
      <c r="F3868" s="1"/>
      <c r="G3868" s="1"/>
      <c r="H3868" s="1"/>
      <c r="I3868" s="1"/>
      <c r="J3868" s="1"/>
      <c r="K3868" s="1"/>
      <c r="L3868" s="1"/>
      <c r="M3868" s="1"/>
      <c r="N3868" s="1"/>
      <c r="O3868" s="1"/>
      <c r="P3868" s="1"/>
      <c r="Q3868" s="1"/>
      <c r="R3868" s="1"/>
      <c r="S3868" s="1"/>
      <c r="T3868" s="1"/>
      <c r="U3868" s="1"/>
      <c r="V3868" s="1"/>
      <c r="W3868" s="1"/>
    </row>
    <row r="3869" customHeight="1" spans="1:23">
      <c r="A3869" s="1"/>
      <c r="B3869" s="1"/>
      <c r="C3869" s="1"/>
      <c r="D3869" s="1"/>
      <c r="E3869" s="1"/>
      <c r="F3869" s="1"/>
      <c r="G3869" s="1"/>
      <c r="H3869" s="1"/>
      <c r="I3869" s="1"/>
      <c r="J3869" s="1"/>
      <c r="K3869" s="1"/>
      <c r="L3869" s="1"/>
      <c r="M3869" s="1"/>
      <c r="N3869" s="1"/>
      <c r="O3869" s="1"/>
      <c r="P3869" s="1"/>
      <c r="Q3869" s="1"/>
      <c r="R3869" s="1"/>
      <c r="S3869" s="1"/>
      <c r="T3869" s="1"/>
      <c r="U3869" s="1"/>
      <c r="V3869" s="1"/>
      <c r="W3869" s="1"/>
    </row>
    <row r="3870" customHeight="1" spans="1:23">
      <c r="A3870" s="1"/>
      <c r="B3870" s="1"/>
      <c r="C3870" s="1"/>
      <c r="D3870" s="1"/>
      <c r="E3870" s="1"/>
      <c r="F3870" s="1"/>
      <c r="G3870" s="1"/>
      <c r="H3870" s="1"/>
      <c r="I3870" s="1"/>
      <c r="J3870" s="1"/>
      <c r="K3870" s="1"/>
      <c r="L3870" s="1"/>
      <c r="M3870" s="1"/>
      <c r="N3870" s="1"/>
      <c r="O3870" s="1"/>
      <c r="P3870" s="1"/>
      <c r="Q3870" s="1"/>
      <c r="R3870" s="1"/>
      <c r="S3870" s="1"/>
      <c r="T3870" s="1"/>
      <c r="U3870" s="1"/>
      <c r="V3870" s="1"/>
      <c r="W3870" s="1"/>
    </row>
    <row r="3871" customHeight="1" spans="1:23">
      <c r="A3871" s="1"/>
      <c r="B3871" s="1"/>
      <c r="C3871" s="1"/>
      <c r="D3871" s="1"/>
      <c r="E3871" s="1"/>
      <c r="F3871" s="1"/>
      <c r="G3871" s="1"/>
      <c r="H3871" s="1"/>
      <c r="I3871" s="1"/>
      <c r="J3871" s="1"/>
      <c r="K3871" s="1"/>
      <c r="L3871" s="1"/>
      <c r="M3871" s="1"/>
      <c r="N3871" s="1"/>
      <c r="O3871" s="1"/>
      <c r="P3871" s="1"/>
      <c r="Q3871" s="1"/>
      <c r="R3871" s="1"/>
      <c r="S3871" s="1"/>
      <c r="T3871" s="1"/>
      <c r="U3871" s="1"/>
      <c r="V3871" s="1"/>
      <c r="W3871" s="1"/>
    </row>
    <row r="3872" customHeight="1" spans="1:23">
      <c r="A3872" s="1"/>
      <c r="B3872" s="1"/>
      <c r="C3872" s="1"/>
      <c r="D3872" s="1"/>
      <c r="E3872" s="1"/>
      <c r="F3872" s="1"/>
      <c r="G3872" s="1"/>
      <c r="H3872" s="1"/>
      <c r="I3872" s="1"/>
      <c r="J3872" s="1"/>
      <c r="K3872" s="1"/>
      <c r="L3872" s="1"/>
      <c r="M3872" s="1"/>
      <c r="N3872" s="1"/>
      <c r="O3872" s="1"/>
      <c r="P3872" s="1"/>
      <c r="Q3872" s="1"/>
      <c r="R3872" s="1"/>
      <c r="S3872" s="1"/>
      <c r="T3872" s="1"/>
      <c r="U3872" s="1"/>
      <c r="V3872" s="1"/>
      <c r="W3872" s="1"/>
    </row>
    <row r="3873" customHeight="1" spans="1:23">
      <c r="A3873" s="1"/>
      <c r="B3873" s="1"/>
      <c r="C3873" s="1"/>
      <c r="D3873" s="1"/>
      <c r="E3873" s="1"/>
      <c r="F3873" s="1"/>
      <c r="G3873" s="1"/>
      <c r="H3873" s="1"/>
      <c r="I3873" s="1"/>
      <c r="J3873" s="1"/>
      <c r="K3873" s="1"/>
      <c r="L3873" s="1"/>
      <c r="M3873" s="1"/>
      <c r="N3873" s="1"/>
      <c r="O3873" s="1"/>
      <c r="P3873" s="1"/>
      <c r="Q3873" s="1"/>
      <c r="R3873" s="1"/>
      <c r="S3873" s="1"/>
      <c r="T3873" s="1"/>
      <c r="U3873" s="1"/>
      <c r="V3873" s="1"/>
      <c r="W3873" s="1"/>
    </row>
    <row r="3874" customHeight="1" spans="1:23">
      <c r="A3874" s="1"/>
      <c r="B3874" s="1"/>
      <c r="C3874" s="1"/>
      <c r="D3874" s="1"/>
      <c r="E3874" s="1"/>
      <c r="F3874" s="1"/>
      <c r="G3874" s="1"/>
      <c r="H3874" s="1"/>
      <c r="I3874" s="1"/>
      <c r="J3874" s="1"/>
      <c r="K3874" s="1"/>
      <c r="L3874" s="1"/>
      <c r="M3874" s="1"/>
      <c r="N3874" s="1"/>
      <c r="O3874" s="1"/>
      <c r="P3874" s="1"/>
      <c r="Q3874" s="1"/>
      <c r="R3874" s="1"/>
      <c r="S3874" s="1"/>
      <c r="T3874" s="1"/>
      <c r="U3874" s="1"/>
      <c r="V3874" s="1"/>
      <c r="W3874" s="1"/>
    </row>
    <row r="3875" customHeight="1" spans="1:23">
      <c r="A3875" s="1"/>
      <c r="B3875" s="1"/>
      <c r="C3875" s="1"/>
      <c r="D3875" s="1"/>
      <c r="E3875" s="1"/>
      <c r="F3875" s="1"/>
      <c r="G3875" s="1"/>
      <c r="H3875" s="1"/>
      <c r="I3875" s="1"/>
      <c r="J3875" s="1"/>
      <c r="K3875" s="1"/>
      <c r="L3875" s="1"/>
      <c r="M3875" s="1"/>
      <c r="N3875" s="1"/>
      <c r="O3875" s="1"/>
      <c r="P3875" s="1"/>
      <c r="Q3875" s="1"/>
      <c r="R3875" s="1"/>
      <c r="S3875" s="1"/>
      <c r="T3875" s="1"/>
      <c r="U3875" s="1"/>
      <c r="V3875" s="1"/>
      <c r="W3875" s="1"/>
    </row>
    <row r="3876" customHeight="1" spans="1:23">
      <c r="A3876" s="1"/>
      <c r="B3876" s="1"/>
      <c r="C3876" s="1"/>
      <c r="D3876" s="1"/>
      <c r="E3876" s="1"/>
      <c r="F3876" s="1"/>
      <c r="G3876" s="1"/>
      <c r="H3876" s="1"/>
      <c r="I3876" s="1"/>
      <c r="J3876" s="1"/>
      <c r="K3876" s="1"/>
      <c r="L3876" s="1"/>
      <c r="M3876" s="1"/>
      <c r="N3876" s="1"/>
      <c r="O3876" s="1"/>
      <c r="P3876" s="1"/>
      <c r="Q3876" s="1"/>
      <c r="R3876" s="1"/>
      <c r="S3876" s="1"/>
      <c r="T3876" s="1"/>
      <c r="U3876" s="1"/>
      <c r="V3876" s="1"/>
      <c r="W3876" s="1"/>
    </row>
    <row r="3877" customHeight="1" spans="1:23">
      <c r="A3877" s="1"/>
      <c r="B3877" s="1"/>
      <c r="C3877" s="1"/>
      <c r="D3877" s="1"/>
      <c r="E3877" s="1"/>
      <c r="F3877" s="1"/>
      <c r="G3877" s="1"/>
      <c r="H3877" s="1"/>
      <c r="I3877" s="1"/>
      <c r="J3877" s="1"/>
      <c r="K3877" s="1"/>
      <c r="L3877" s="1"/>
      <c r="M3877" s="1"/>
      <c r="N3877" s="1"/>
      <c r="O3877" s="1"/>
      <c r="P3877" s="1"/>
      <c r="Q3877" s="1"/>
      <c r="R3877" s="1"/>
      <c r="S3877" s="1"/>
      <c r="T3877" s="1"/>
      <c r="U3877" s="1"/>
      <c r="V3877" s="1"/>
      <c r="W3877" s="1"/>
    </row>
    <row r="3878" customHeight="1" spans="1:23">
      <c r="A3878" s="1"/>
      <c r="B3878" s="1"/>
      <c r="C3878" s="1"/>
      <c r="D3878" s="1"/>
      <c r="E3878" s="1"/>
      <c r="F3878" s="1"/>
      <c r="G3878" s="1"/>
      <c r="H3878" s="1"/>
      <c r="I3878" s="1"/>
      <c r="J3878" s="1"/>
      <c r="K3878" s="1"/>
      <c r="L3878" s="1"/>
      <c r="M3878" s="1"/>
      <c r="N3878" s="1"/>
      <c r="O3878" s="1"/>
      <c r="P3878" s="1"/>
      <c r="Q3878" s="1"/>
      <c r="R3878" s="1"/>
      <c r="S3878" s="1"/>
      <c r="T3878" s="1"/>
      <c r="U3878" s="1"/>
      <c r="V3878" s="1"/>
      <c r="W3878" s="1"/>
    </row>
    <row r="3879" customHeight="1" spans="1:23">
      <c r="A3879" s="1"/>
      <c r="B3879" s="1"/>
      <c r="C3879" s="1"/>
      <c r="D3879" s="1"/>
      <c r="E3879" s="1"/>
      <c r="F3879" s="1"/>
      <c r="G3879" s="1"/>
      <c r="H3879" s="1"/>
      <c r="I3879" s="1"/>
      <c r="J3879" s="1"/>
      <c r="K3879" s="1"/>
      <c r="L3879" s="1"/>
      <c r="M3879" s="1"/>
      <c r="N3879" s="1"/>
      <c r="O3879" s="1"/>
      <c r="P3879" s="1"/>
      <c r="Q3879" s="1"/>
      <c r="R3879" s="1"/>
      <c r="S3879" s="1"/>
      <c r="T3879" s="1"/>
      <c r="U3879" s="1"/>
      <c r="V3879" s="1"/>
      <c r="W3879" s="1"/>
    </row>
    <row r="3880" customHeight="1" spans="1:23">
      <c r="A3880" s="1"/>
      <c r="B3880" s="1"/>
      <c r="C3880" s="1"/>
      <c r="D3880" s="1"/>
      <c r="E3880" s="1"/>
      <c r="F3880" s="1"/>
      <c r="G3880" s="1"/>
      <c r="H3880" s="1"/>
      <c r="I3880" s="1"/>
      <c r="J3880" s="1"/>
      <c r="K3880" s="1"/>
      <c r="L3880" s="1"/>
      <c r="M3880" s="1"/>
      <c r="N3880" s="1"/>
      <c r="O3880" s="1"/>
      <c r="P3880" s="1"/>
      <c r="Q3880" s="1"/>
      <c r="R3880" s="1"/>
      <c r="S3880" s="1"/>
      <c r="T3880" s="1"/>
      <c r="U3880" s="1"/>
      <c r="V3880" s="1"/>
      <c r="W3880" s="1"/>
    </row>
    <row r="3881" customHeight="1" spans="1:23">
      <c r="A3881" s="1"/>
      <c r="B3881" s="1"/>
      <c r="C3881" s="1"/>
      <c r="D3881" s="1"/>
      <c r="E3881" s="1"/>
      <c r="F3881" s="1"/>
      <c r="G3881" s="1"/>
      <c r="H3881" s="1"/>
      <c r="I3881" s="1"/>
      <c r="J3881" s="1"/>
      <c r="K3881" s="1"/>
      <c r="L3881" s="1"/>
      <c r="M3881" s="1"/>
      <c r="N3881" s="1"/>
      <c r="O3881" s="1"/>
      <c r="P3881" s="1"/>
      <c r="Q3881" s="1"/>
      <c r="R3881" s="1"/>
      <c r="S3881" s="1"/>
      <c r="T3881" s="1"/>
      <c r="U3881" s="1"/>
      <c r="V3881" s="1"/>
      <c r="W3881" s="1"/>
    </row>
    <row r="3882" customHeight="1" spans="1:23">
      <c r="A3882" s="1"/>
      <c r="B3882" s="1"/>
      <c r="C3882" s="1"/>
      <c r="D3882" s="1"/>
      <c r="E3882" s="1"/>
      <c r="F3882" s="1"/>
      <c r="G3882" s="1"/>
      <c r="H3882" s="1"/>
      <c r="I3882" s="1"/>
      <c r="J3882" s="1"/>
      <c r="K3882" s="1"/>
      <c r="L3882" s="1"/>
      <c r="M3882" s="1"/>
      <c r="N3882" s="1"/>
      <c r="O3882" s="1"/>
      <c r="P3882" s="1"/>
      <c r="Q3882" s="1"/>
      <c r="R3882" s="1"/>
      <c r="S3882" s="1"/>
      <c r="T3882" s="1"/>
      <c r="U3882" s="1"/>
      <c r="V3882" s="1"/>
      <c r="W3882" s="1"/>
    </row>
    <row r="3883" customHeight="1" spans="1:23">
      <c r="A3883" s="1"/>
      <c r="B3883" s="1"/>
      <c r="C3883" s="1"/>
      <c r="D3883" s="1"/>
      <c r="E3883" s="1"/>
      <c r="F3883" s="1"/>
      <c r="G3883" s="1"/>
      <c r="H3883" s="1"/>
      <c r="I3883" s="1"/>
      <c r="J3883" s="1"/>
      <c r="K3883" s="1"/>
      <c r="L3883" s="1"/>
      <c r="M3883" s="1"/>
      <c r="N3883" s="1"/>
      <c r="O3883" s="1"/>
      <c r="P3883" s="1"/>
      <c r="Q3883" s="1"/>
      <c r="R3883" s="1"/>
      <c r="S3883" s="1"/>
      <c r="T3883" s="1"/>
      <c r="U3883" s="1"/>
      <c r="V3883" s="1"/>
      <c r="W3883" s="1"/>
    </row>
    <row r="3884" customHeight="1" spans="1:23">
      <c r="A3884" s="1"/>
      <c r="B3884" s="1"/>
      <c r="C3884" s="1"/>
      <c r="D3884" s="1"/>
      <c r="E3884" s="1"/>
      <c r="F3884" s="1"/>
      <c r="G3884" s="1"/>
      <c r="H3884" s="1"/>
      <c r="I3884" s="1"/>
      <c r="J3884" s="1"/>
      <c r="K3884" s="1"/>
      <c r="L3884" s="1"/>
      <c r="M3884" s="1"/>
      <c r="N3884" s="1"/>
      <c r="O3884" s="1"/>
      <c r="P3884" s="1"/>
      <c r="Q3884" s="1"/>
      <c r="R3884" s="1"/>
      <c r="S3884" s="1"/>
      <c r="T3884" s="1"/>
      <c r="U3884" s="1"/>
      <c r="V3884" s="1"/>
      <c r="W3884" s="1"/>
    </row>
    <row r="3885" customHeight="1" spans="1:23">
      <c r="A3885" s="1"/>
      <c r="B3885" s="1"/>
      <c r="C3885" s="1"/>
      <c r="D3885" s="1"/>
      <c r="E3885" s="1"/>
      <c r="F3885" s="1"/>
      <c r="G3885" s="1"/>
      <c r="H3885" s="1"/>
      <c r="I3885" s="1"/>
      <c r="J3885" s="1"/>
      <c r="K3885" s="1"/>
      <c r="L3885" s="1"/>
      <c r="M3885" s="1"/>
      <c r="N3885" s="1"/>
      <c r="O3885" s="1"/>
      <c r="P3885" s="1"/>
      <c r="Q3885" s="1"/>
      <c r="R3885" s="1"/>
      <c r="S3885" s="1"/>
      <c r="T3885" s="1"/>
      <c r="U3885" s="1"/>
      <c r="V3885" s="1"/>
      <c r="W3885" s="1"/>
    </row>
    <row r="3886" customHeight="1" spans="1:23">
      <c r="A3886" s="1"/>
      <c r="B3886" s="1"/>
      <c r="C3886" s="1"/>
      <c r="D3886" s="1"/>
      <c r="E3886" s="1"/>
      <c r="F3886" s="1"/>
      <c r="G3886" s="1"/>
      <c r="H3886" s="1"/>
      <c r="I3886" s="1"/>
      <c r="J3886" s="1"/>
      <c r="K3886" s="1"/>
      <c r="L3886" s="1"/>
      <c r="M3886" s="1"/>
      <c r="N3886" s="1"/>
      <c r="O3886" s="1"/>
      <c r="P3886" s="1"/>
      <c r="Q3886" s="1"/>
      <c r="R3886" s="1"/>
      <c r="S3886" s="1"/>
      <c r="T3886" s="1"/>
      <c r="U3886" s="1"/>
      <c r="V3886" s="1"/>
      <c r="W3886" s="1"/>
    </row>
    <row r="3887" customHeight="1" spans="1:23">
      <c r="A3887" s="1"/>
      <c r="B3887" s="1"/>
      <c r="C3887" s="1"/>
      <c r="D3887" s="1"/>
      <c r="E3887" s="1"/>
      <c r="F3887" s="1"/>
      <c r="G3887" s="1"/>
      <c r="H3887" s="1"/>
      <c r="I3887" s="1"/>
      <c r="J3887" s="1"/>
      <c r="K3887" s="1"/>
      <c r="L3887" s="1"/>
      <c r="M3887" s="1"/>
      <c r="N3887" s="1"/>
      <c r="O3887" s="1"/>
      <c r="P3887" s="1"/>
      <c r="Q3887" s="1"/>
      <c r="R3887" s="1"/>
      <c r="S3887" s="1"/>
      <c r="T3887" s="1"/>
      <c r="U3887" s="1"/>
      <c r="V3887" s="1"/>
      <c r="W3887" s="1"/>
    </row>
    <row r="3888" customHeight="1" spans="1:23">
      <c r="A3888" s="1"/>
      <c r="B3888" s="1"/>
      <c r="C3888" s="1"/>
      <c r="D3888" s="1"/>
      <c r="E3888" s="1"/>
      <c r="F3888" s="1"/>
      <c r="G3888" s="1"/>
      <c r="H3888" s="1"/>
      <c r="I3888" s="1"/>
      <c r="J3888" s="1"/>
      <c r="K3888" s="1"/>
      <c r="L3888" s="1"/>
      <c r="M3888" s="1"/>
      <c r="N3888" s="1"/>
      <c r="O3888" s="1"/>
      <c r="P3888" s="1"/>
      <c r="Q3888" s="1"/>
      <c r="R3888" s="1"/>
      <c r="S3888" s="1"/>
      <c r="T3888" s="1"/>
      <c r="U3888" s="1"/>
      <c r="V3888" s="1"/>
      <c r="W3888" s="1"/>
    </row>
    <row r="3889" customHeight="1" spans="1:23">
      <c r="A3889" s="1"/>
      <c r="B3889" s="1"/>
      <c r="C3889" s="1"/>
      <c r="D3889" s="1"/>
      <c r="E3889" s="1"/>
      <c r="F3889" s="1"/>
      <c r="G3889" s="1"/>
      <c r="H3889" s="1"/>
      <c r="I3889" s="1"/>
      <c r="J3889" s="1"/>
      <c r="K3889" s="1"/>
      <c r="L3889" s="1"/>
      <c r="M3889" s="1"/>
      <c r="N3889" s="1"/>
      <c r="O3889" s="1"/>
      <c r="P3889" s="1"/>
      <c r="Q3889" s="1"/>
      <c r="R3889" s="1"/>
      <c r="S3889" s="1"/>
      <c r="T3889" s="1"/>
      <c r="U3889" s="1"/>
      <c r="V3889" s="1"/>
      <c r="W3889" s="1"/>
    </row>
    <row r="3890" customHeight="1" spans="1:23">
      <c r="A3890" s="1"/>
      <c r="B3890" s="1"/>
      <c r="C3890" s="1"/>
      <c r="D3890" s="1"/>
      <c r="E3890" s="1"/>
      <c r="F3890" s="1"/>
      <c r="G3890" s="1"/>
      <c r="H3890" s="1"/>
      <c r="I3890" s="1"/>
      <c r="J3890" s="1"/>
      <c r="K3890" s="1"/>
      <c r="L3890" s="1"/>
      <c r="M3890" s="1"/>
      <c r="N3890" s="1"/>
      <c r="O3890" s="1"/>
      <c r="P3890" s="1"/>
      <c r="Q3890" s="1"/>
      <c r="R3890" s="1"/>
      <c r="S3890" s="1"/>
      <c r="T3890" s="1"/>
      <c r="U3890" s="1"/>
      <c r="V3890" s="1"/>
      <c r="W3890" s="1"/>
    </row>
    <row r="3891" customHeight="1" spans="1:23">
      <c r="A3891" s="1"/>
      <c r="B3891" s="1"/>
      <c r="C3891" s="1"/>
      <c r="D3891" s="1"/>
      <c r="E3891" s="1"/>
      <c r="F3891" s="1"/>
      <c r="G3891" s="1"/>
      <c r="H3891" s="1"/>
      <c r="I3891" s="1"/>
      <c r="J3891" s="1"/>
      <c r="K3891" s="1"/>
      <c r="L3891" s="1"/>
      <c r="M3891" s="1"/>
      <c r="N3891" s="1"/>
      <c r="O3891" s="1"/>
      <c r="P3891" s="1"/>
      <c r="Q3891" s="1"/>
      <c r="R3891" s="1"/>
      <c r="S3891" s="1"/>
      <c r="T3891" s="1"/>
      <c r="U3891" s="1"/>
      <c r="V3891" s="1"/>
      <c r="W3891" s="1"/>
    </row>
    <row r="3892" customHeight="1" spans="1:23">
      <c r="A3892" s="1"/>
      <c r="B3892" s="1"/>
      <c r="C3892" s="1"/>
      <c r="D3892" s="1"/>
      <c r="E3892" s="1"/>
      <c r="F3892" s="1"/>
      <c r="G3892" s="1"/>
      <c r="H3892" s="1"/>
      <c r="I3892" s="1"/>
      <c r="J3892" s="1"/>
      <c r="K3892" s="1"/>
      <c r="L3892" s="1"/>
      <c r="M3892" s="1"/>
      <c r="N3892" s="1"/>
      <c r="O3892" s="1"/>
      <c r="P3892" s="1"/>
      <c r="Q3892" s="1"/>
      <c r="R3892" s="1"/>
      <c r="S3892" s="1"/>
      <c r="T3892" s="1"/>
      <c r="U3892" s="1"/>
      <c r="V3892" s="1"/>
      <c r="W3892" s="1"/>
    </row>
    <row r="3893" customHeight="1" spans="1:23">
      <c r="A3893" s="1"/>
      <c r="B3893" s="1"/>
      <c r="C3893" s="1"/>
      <c r="D3893" s="1"/>
      <c r="E3893" s="1"/>
      <c r="F3893" s="1"/>
      <c r="G3893" s="1"/>
      <c r="H3893" s="1"/>
      <c r="I3893" s="1"/>
      <c r="J3893" s="1"/>
      <c r="K3893" s="1"/>
      <c r="L3893" s="1"/>
      <c r="M3893" s="1"/>
      <c r="N3893" s="1"/>
      <c r="O3893" s="1"/>
      <c r="P3893" s="1"/>
      <c r="Q3893" s="1"/>
      <c r="R3893" s="1"/>
      <c r="S3893" s="1"/>
      <c r="T3893" s="1"/>
      <c r="U3893" s="1"/>
      <c r="V3893" s="1"/>
      <c r="W3893" s="1"/>
    </row>
    <row r="3894" customHeight="1" spans="1:23">
      <c r="A3894" s="1"/>
      <c r="B3894" s="1"/>
      <c r="C3894" s="1"/>
      <c r="D3894" s="1"/>
      <c r="E3894" s="1"/>
      <c r="F3894" s="1"/>
      <c r="G3894" s="1"/>
      <c r="H3894" s="1"/>
      <c r="I3894" s="1"/>
      <c r="J3894" s="1"/>
      <c r="K3894" s="1"/>
      <c r="L3894" s="1"/>
      <c r="M3894" s="1"/>
      <c r="N3894" s="1"/>
      <c r="O3894" s="1"/>
      <c r="P3894" s="1"/>
      <c r="Q3894" s="1"/>
      <c r="R3894" s="1"/>
      <c r="S3894" s="1"/>
      <c r="T3894" s="1"/>
      <c r="U3894" s="1"/>
      <c r="V3894" s="1"/>
      <c r="W3894" s="1"/>
    </row>
    <row r="3895" customHeight="1" spans="1:23">
      <c r="A3895" s="1"/>
      <c r="B3895" s="1"/>
      <c r="C3895" s="1"/>
      <c r="D3895" s="1"/>
      <c r="E3895" s="1"/>
      <c r="F3895" s="1"/>
      <c r="G3895" s="1"/>
      <c r="H3895" s="1"/>
      <c r="I3895" s="1"/>
      <c r="J3895" s="1"/>
      <c r="K3895" s="1"/>
      <c r="L3895" s="1"/>
      <c r="M3895" s="1"/>
      <c r="N3895" s="1"/>
      <c r="O3895" s="1"/>
      <c r="P3895" s="1"/>
      <c r="Q3895" s="1"/>
      <c r="R3895" s="1"/>
      <c r="S3895" s="1"/>
      <c r="T3895" s="1"/>
      <c r="U3895" s="1"/>
      <c r="V3895" s="1"/>
      <c r="W3895" s="1"/>
    </row>
    <row r="3896" customHeight="1" spans="1:23">
      <c r="A3896" s="1"/>
      <c r="B3896" s="1"/>
      <c r="C3896" s="1"/>
      <c r="D3896" s="1"/>
      <c r="E3896" s="1"/>
      <c r="F3896" s="1"/>
      <c r="G3896" s="1"/>
      <c r="H3896" s="1"/>
      <c r="I3896" s="1"/>
      <c r="J3896" s="1"/>
      <c r="K3896" s="1"/>
      <c r="L3896" s="1"/>
      <c r="M3896" s="1"/>
      <c r="N3896" s="1"/>
      <c r="O3896" s="1"/>
      <c r="P3896" s="1"/>
      <c r="Q3896" s="1"/>
      <c r="R3896" s="1"/>
      <c r="S3896" s="1"/>
      <c r="T3896" s="1"/>
      <c r="U3896" s="1"/>
      <c r="V3896" s="1"/>
      <c r="W3896" s="1"/>
    </row>
    <row r="3897" customHeight="1" spans="1:23">
      <c r="A3897" s="1"/>
      <c r="B3897" s="1"/>
      <c r="C3897" s="1"/>
      <c r="D3897" s="1"/>
      <c r="E3897" s="1"/>
      <c r="F3897" s="1"/>
      <c r="G3897" s="1"/>
      <c r="H3897" s="1"/>
      <c r="I3897" s="1"/>
      <c r="J3897" s="1"/>
      <c r="K3897" s="1"/>
      <c r="L3897" s="1"/>
      <c r="M3897" s="1"/>
      <c r="N3897" s="1"/>
      <c r="O3897" s="1"/>
      <c r="P3897" s="1"/>
      <c r="Q3897" s="1"/>
      <c r="R3897" s="1"/>
      <c r="S3897" s="1"/>
      <c r="T3897" s="1"/>
      <c r="U3897" s="1"/>
      <c r="V3897" s="1"/>
      <c r="W3897" s="1"/>
    </row>
    <row r="3898" customHeight="1" spans="1:23">
      <c r="A3898" s="1"/>
      <c r="B3898" s="1"/>
      <c r="C3898" s="1"/>
      <c r="D3898" s="1"/>
      <c r="E3898" s="1"/>
      <c r="F3898" s="1"/>
      <c r="G3898" s="1"/>
      <c r="H3898" s="1"/>
      <c r="I3898" s="1"/>
      <c r="J3898" s="1"/>
      <c r="K3898" s="1"/>
      <c r="L3898" s="1"/>
      <c r="M3898" s="1"/>
      <c r="N3898" s="1"/>
      <c r="O3898" s="1"/>
      <c r="P3898" s="1"/>
      <c r="Q3898" s="1"/>
      <c r="R3898" s="1"/>
      <c r="S3898" s="1"/>
      <c r="T3898" s="1"/>
      <c r="U3898" s="1"/>
      <c r="V3898" s="1"/>
      <c r="W3898" s="1"/>
    </row>
    <row r="3899" customHeight="1" spans="1:23">
      <c r="A3899" s="1"/>
      <c r="B3899" s="1"/>
      <c r="C3899" s="1"/>
      <c r="D3899" s="1"/>
      <c r="E3899" s="1"/>
      <c r="F3899" s="1"/>
      <c r="G3899" s="1"/>
      <c r="H3899" s="1"/>
      <c r="I3899" s="1"/>
      <c r="J3899" s="1"/>
      <c r="K3899" s="1"/>
      <c r="L3899" s="1"/>
      <c r="M3899" s="1"/>
      <c r="N3899" s="1"/>
      <c r="O3899" s="1"/>
      <c r="P3899" s="1"/>
      <c r="Q3899" s="1"/>
      <c r="R3899" s="1"/>
      <c r="S3899" s="1"/>
      <c r="T3899" s="1"/>
      <c r="U3899" s="1"/>
      <c r="V3899" s="1"/>
      <c r="W3899" s="1"/>
    </row>
    <row r="3900" customHeight="1" spans="1:23">
      <c r="A3900" s="1"/>
      <c r="B3900" s="1"/>
      <c r="C3900" s="1"/>
      <c r="D3900" s="1"/>
      <c r="E3900" s="1"/>
      <c r="F3900" s="1"/>
      <c r="G3900" s="1"/>
      <c r="H3900" s="1"/>
      <c r="I3900" s="1"/>
      <c r="J3900" s="1"/>
      <c r="K3900" s="1"/>
      <c r="L3900" s="1"/>
      <c r="M3900" s="1"/>
      <c r="N3900" s="1"/>
      <c r="O3900" s="1"/>
      <c r="P3900" s="1"/>
      <c r="Q3900" s="1"/>
      <c r="R3900" s="1"/>
      <c r="S3900" s="1"/>
      <c r="T3900" s="1"/>
      <c r="U3900" s="1"/>
      <c r="V3900" s="1"/>
      <c r="W3900" s="1"/>
    </row>
    <row r="3901" customHeight="1" spans="1:23">
      <c r="A3901" s="1"/>
      <c r="B3901" s="1"/>
      <c r="C3901" s="1"/>
      <c r="D3901" s="1"/>
      <c r="E3901" s="1"/>
      <c r="F3901" s="1"/>
      <c r="G3901" s="1"/>
      <c r="H3901" s="1"/>
      <c r="I3901" s="1"/>
      <c r="J3901" s="1"/>
      <c r="K3901" s="1"/>
      <c r="L3901" s="1"/>
      <c r="M3901" s="1"/>
      <c r="N3901" s="1"/>
      <c r="O3901" s="1"/>
      <c r="P3901" s="1"/>
      <c r="Q3901" s="1"/>
      <c r="R3901" s="1"/>
      <c r="S3901" s="1"/>
      <c r="T3901" s="1"/>
      <c r="U3901" s="1"/>
      <c r="V3901" s="1"/>
      <c r="W3901" s="1"/>
    </row>
    <row r="3902" customHeight="1" spans="1:23">
      <c r="A3902" s="1"/>
      <c r="B3902" s="1"/>
      <c r="C3902" s="1"/>
      <c r="D3902" s="1"/>
      <c r="E3902" s="1"/>
      <c r="F3902" s="1"/>
      <c r="G3902" s="1"/>
      <c r="H3902" s="1"/>
      <c r="I3902" s="1"/>
      <c r="J3902" s="1"/>
      <c r="K3902" s="1"/>
      <c r="L3902" s="1"/>
      <c r="M3902" s="1"/>
      <c r="N3902" s="1"/>
      <c r="O3902" s="1"/>
      <c r="P3902" s="1"/>
      <c r="Q3902" s="1"/>
      <c r="R3902" s="1"/>
      <c r="S3902" s="1"/>
      <c r="T3902" s="1"/>
      <c r="U3902" s="1"/>
      <c r="V3902" s="1"/>
      <c r="W3902" s="1"/>
    </row>
    <row r="3903" customHeight="1" spans="1:23">
      <c r="A3903" s="1"/>
      <c r="B3903" s="1"/>
      <c r="C3903" s="1"/>
      <c r="D3903" s="1"/>
      <c r="E3903" s="1"/>
      <c r="F3903" s="1"/>
      <c r="G3903" s="1"/>
      <c r="H3903" s="1"/>
      <c r="I3903" s="1"/>
      <c r="J3903" s="1"/>
      <c r="K3903" s="1"/>
      <c r="L3903" s="1"/>
      <c r="M3903" s="1"/>
      <c r="N3903" s="1"/>
      <c r="O3903" s="1"/>
      <c r="P3903" s="1"/>
      <c r="Q3903" s="1"/>
      <c r="R3903" s="1"/>
      <c r="S3903" s="1"/>
      <c r="T3903" s="1"/>
      <c r="U3903" s="1"/>
      <c r="V3903" s="1"/>
      <c r="W3903" s="1"/>
    </row>
    <row r="3904" customHeight="1" spans="1:23">
      <c r="A3904" s="1"/>
      <c r="B3904" s="1"/>
      <c r="C3904" s="1"/>
      <c r="D3904" s="1"/>
      <c r="E3904" s="1"/>
      <c r="F3904" s="1"/>
      <c r="G3904" s="1"/>
      <c r="H3904" s="1"/>
      <c r="I3904" s="1"/>
      <c r="J3904" s="1"/>
      <c r="K3904" s="1"/>
      <c r="L3904" s="1"/>
      <c r="M3904" s="1"/>
      <c r="N3904" s="1"/>
      <c r="O3904" s="1"/>
      <c r="P3904" s="1"/>
      <c r="Q3904" s="1"/>
      <c r="R3904" s="1"/>
      <c r="S3904" s="1"/>
      <c r="T3904" s="1"/>
      <c r="U3904" s="1"/>
      <c r="V3904" s="1"/>
      <c r="W3904" s="1"/>
    </row>
    <row r="3905" customHeight="1" spans="1:23">
      <c r="A3905" s="1"/>
      <c r="B3905" s="1"/>
      <c r="C3905" s="1"/>
      <c r="D3905" s="1"/>
      <c r="E3905" s="1"/>
      <c r="F3905" s="1"/>
      <c r="G3905" s="1"/>
      <c r="H3905" s="1"/>
      <c r="I3905" s="1"/>
      <c r="J3905" s="1"/>
      <c r="K3905" s="1"/>
      <c r="L3905" s="1"/>
      <c r="M3905" s="1"/>
      <c r="N3905" s="1"/>
      <c r="O3905" s="1"/>
      <c r="P3905" s="1"/>
      <c r="Q3905" s="1"/>
      <c r="R3905" s="1"/>
      <c r="S3905" s="1"/>
      <c r="T3905" s="1"/>
      <c r="U3905" s="1"/>
      <c r="V3905" s="1"/>
      <c r="W3905" s="1"/>
    </row>
    <row r="3906" customHeight="1" spans="1:23">
      <c r="A3906" s="1"/>
      <c r="B3906" s="1"/>
      <c r="C3906" s="1"/>
      <c r="D3906" s="1"/>
      <c r="E3906" s="1"/>
      <c r="F3906" s="1"/>
      <c r="G3906" s="1"/>
      <c r="H3906" s="1"/>
      <c r="I3906" s="1"/>
      <c r="J3906" s="1"/>
      <c r="K3906" s="1"/>
      <c r="L3906" s="1"/>
      <c r="M3906" s="1"/>
      <c r="N3906" s="1"/>
      <c r="O3906" s="1"/>
      <c r="P3906" s="1"/>
      <c r="Q3906" s="1"/>
      <c r="R3906" s="1"/>
      <c r="S3906" s="1"/>
      <c r="T3906" s="1"/>
      <c r="U3906" s="1"/>
      <c r="V3906" s="1"/>
      <c r="W3906" s="1"/>
    </row>
    <row r="3907" customHeight="1" spans="1:23">
      <c r="A3907" s="1"/>
      <c r="B3907" s="1"/>
      <c r="C3907" s="1"/>
      <c r="D3907" s="1"/>
      <c r="E3907" s="1"/>
      <c r="F3907" s="1"/>
      <c r="G3907" s="1"/>
      <c r="H3907" s="1"/>
      <c r="I3907" s="1"/>
      <c r="J3907" s="1"/>
      <c r="K3907" s="1"/>
      <c r="L3907" s="1"/>
      <c r="M3907" s="1"/>
      <c r="N3907" s="1"/>
      <c r="O3907" s="1"/>
      <c r="P3907" s="1"/>
      <c r="Q3907" s="1"/>
      <c r="R3907" s="1"/>
      <c r="S3907" s="1"/>
      <c r="T3907" s="1"/>
      <c r="U3907" s="1"/>
      <c r="V3907" s="1"/>
      <c r="W3907" s="1"/>
    </row>
    <row r="3908" customHeight="1" spans="1:23">
      <c r="A3908" s="1"/>
      <c r="B3908" s="1"/>
      <c r="C3908" s="1"/>
      <c r="D3908" s="1"/>
      <c r="E3908" s="1"/>
      <c r="F3908" s="1"/>
      <c r="G3908" s="1"/>
      <c r="H3908" s="1"/>
      <c r="I3908" s="1"/>
      <c r="J3908" s="1"/>
      <c r="K3908" s="1"/>
      <c r="L3908" s="1"/>
      <c r="M3908" s="1"/>
      <c r="N3908" s="1"/>
      <c r="O3908" s="1"/>
      <c r="P3908" s="1"/>
      <c r="Q3908" s="1"/>
      <c r="R3908" s="1"/>
      <c r="S3908" s="1"/>
      <c r="T3908" s="1"/>
      <c r="U3908" s="1"/>
      <c r="V3908" s="1"/>
      <c r="W3908" s="1"/>
    </row>
    <row r="3909" customHeight="1" spans="1:23">
      <c r="A3909" s="1"/>
      <c r="B3909" s="1"/>
      <c r="C3909" s="1"/>
      <c r="D3909" s="1"/>
      <c r="E3909" s="1"/>
      <c r="F3909" s="1"/>
      <c r="G3909" s="1"/>
      <c r="H3909" s="1"/>
      <c r="I3909" s="1"/>
      <c r="J3909" s="1"/>
      <c r="K3909" s="1"/>
      <c r="L3909" s="1"/>
      <c r="M3909" s="1"/>
      <c r="N3909" s="1"/>
      <c r="O3909" s="1"/>
      <c r="P3909" s="1"/>
      <c r="Q3909" s="1"/>
      <c r="R3909" s="1"/>
      <c r="S3909" s="1"/>
      <c r="T3909" s="1"/>
      <c r="U3909" s="1"/>
      <c r="V3909" s="1"/>
      <c r="W3909" s="1"/>
    </row>
    <row r="3910" customHeight="1" spans="1:23">
      <c r="A3910" s="1"/>
      <c r="B3910" s="1"/>
      <c r="C3910" s="1"/>
      <c r="D3910" s="1"/>
      <c r="E3910" s="1"/>
      <c r="F3910" s="1"/>
      <c r="G3910" s="1"/>
      <c r="H3910" s="1"/>
      <c r="I3910" s="1"/>
      <c r="J3910" s="1"/>
      <c r="K3910" s="1"/>
      <c r="L3910" s="1"/>
      <c r="M3910" s="1"/>
      <c r="N3910" s="1"/>
      <c r="O3910" s="1"/>
      <c r="P3910" s="1"/>
      <c r="Q3910" s="1"/>
      <c r="R3910" s="1"/>
      <c r="S3910" s="1"/>
      <c r="T3910" s="1"/>
      <c r="U3910" s="1"/>
      <c r="V3910" s="1"/>
      <c r="W3910" s="1"/>
    </row>
    <row r="3911" customHeight="1" spans="1:23">
      <c r="A3911" s="1"/>
      <c r="B3911" s="1"/>
      <c r="C3911" s="1"/>
      <c r="D3911" s="1"/>
      <c r="E3911" s="1"/>
      <c r="F3911" s="1"/>
      <c r="G3911" s="1"/>
      <c r="H3911" s="1"/>
      <c r="I3911" s="1"/>
      <c r="J3911" s="1"/>
      <c r="K3911" s="1"/>
      <c r="L3911" s="1"/>
      <c r="M3911" s="1"/>
      <c r="N3911" s="1"/>
      <c r="O3911" s="1"/>
      <c r="P3911" s="1"/>
      <c r="Q3911" s="1"/>
      <c r="R3911" s="1"/>
      <c r="S3911" s="1"/>
      <c r="T3911" s="1"/>
      <c r="U3911" s="1"/>
      <c r="V3911" s="1"/>
      <c r="W3911" s="1"/>
    </row>
    <row r="3912" customHeight="1" spans="1:23">
      <c r="A3912" s="1"/>
      <c r="B3912" s="1"/>
      <c r="C3912" s="1"/>
      <c r="D3912" s="1"/>
      <c r="E3912" s="1"/>
      <c r="F3912" s="1"/>
      <c r="G3912" s="1"/>
      <c r="H3912" s="1"/>
      <c r="I3912" s="1"/>
      <c r="J3912" s="1"/>
      <c r="K3912" s="1"/>
      <c r="L3912" s="1"/>
      <c r="M3912" s="1"/>
      <c r="N3912" s="1"/>
      <c r="O3912" s="1"/>
      <c r="P3912" s="1"/>
      <c r="Q3912" s="1"/>
      <c r="R3912" s="1"/>
      <c r="S3912" s="1"/>
      <c r="T3912" s="1"/>
      <c r="U3912" s="1"/>
      <c r="V3912" s="1"/>
      <c r="W3912" s="1"/>
    </row>
    <row r="3913" customHeight="1" spans="1:23">
      <c r="A3913" s="1"/>
      <c r="B3913" s="1"/>
      <c r="C3913" s="1"/>
      <c r="D3913" s="1"/>
      <c r="E3913" s="1"/>
      <c r="F3913" s="1"/>
      <c r="G3913" s="1"/>
      <c r="H3913" s="1"/>
      <c r="I3913" s="1"/>
      <c r="J3913" s="1"/>
      <c r="K3913" s="1"/>
      <c r="L3913" s="1"/>
      <c r="M3913" s="1"/>
      <c r="N3913" s="1"/>
      <c r="O3913" s="1"/>
      <c r="P3913" s="1"/>
      <c r="Q3913" s="1"/>
      <c r="R3913" s="1"/>
      <c r="S3913" s="1"/>
      <c r="T3913" s="1"/>
      <c r="U3913" s="1"/>
      <c r="V3913" s="1"/>
      <c r="W3913" s="1"/>
    </row>
    <row r="3914" customHeight="1" spans="1:23">
      <c r="A3914" s="1"/>
      <c r="B3914" s="1"/>
      <c r="C3914" s="1"/>
      <c r="D3914" s="1"/>
      <c r="E3914" s="1"/>
      <c r="F3914" s="1"/>
      <c r="G3914" s="1"/>
      <c r="H3914" s="1"/>
      <c r="I3914" s="1"/>
      <c r="J3914" s="1"/>
      <c r="K3914" s="1"/>
      <c r="L3914" s="1"/>
      <c r="M3914" s="1"/>
      <c r="N3914" s="1"/>
      <c r="O3914" s="1"/>
      <c r="P3914" s="1"/>
      <c r="Q3914" s="1"/>
      <c r="R3914" s="1"/>
      <c r="S3914" s="1"/>
      <c r="T3914" s="1"/>
      <c r="U3914" s="1"/>
      <c r="V3914" s="1"/>
      <c r="W3914" s="1"/>
    </row>
    <row r="3915" customHeight="1" spans="1:23">
      <c r="A3915" s="1"/>
      <c r="B3915" s="1"/>
      <c r="C3915" s="1"/>
      <c r="D3915" s="1"/>
      <c r="E3915" s="1"/>
      <c r="F3915" s="1"/>
      <c r="G3915" s="1"/>
      <c r="H3915" s="1"/>
      <c r="I3915" s="1"/>
      <c r="J3915" s="1"/>
      <c r="K3915" s="1"/>
      <c r="L3915" s="1"/>
      <c r="M3915" s="1"/>
      <c r="N3915" s="1"/>
      <c r="O3915" s="1"/>
      <c r="P3915" s="1"/>
      <c r="Q3915" s="1"/>
      <c r="R3915" s="1"/>
      <c r="S3915" s="1"/>
      <c r="T3915" s="1"/>
      <c r="U3915" s="1"/>
      <c r="V3915" s="1"/>
      <c r="W3915" s="1"/>
    </row>
    <row r="3916" customHeight="1" spans="1:23">
      <c r="A3916" s="1"/>
      <c r="B3916" s="1"/>
      <c r="C3916" s="1"/>
      <c r="D3916" s="1"/>
      <c r="E3916" s="1"/>
      <c r="F3916" s="1"/>
      <c r="G3916" s="1"/>
      <c r="H3916" s="1"/>
      <c r="I3916" s="1"/>
      <c r="J3916" s="1"/>
      <c r="K3916" s="1"/>
      <c r="L3916" s="1"/>
      <c r="M3916" s="1"/>
      <c r="N3916" s="1"/>
      <c r="O3916" s="1"/>
      <c r="P3916" s="1"/>
      <c r="Q3916" s="1"/>
      <c r="R3916" s="1"/>
      <c r="S3916" s="1"/>
      <c r="T3916" s="1"/>
      <c r="U3916" s="1"/>
      <c r="V3916" s="1"/>
      <c r="W3916" s="1"/>
    </row>
    <row r="3917" customHeight="1" spans="1:23">
      <c r="A3917" s="1"/>
      <c r="B3917" s="1"/>
      <c r="C3917" s="1"/>
      <c r="D3917" s="1"/>
      <c r="E3917" s="1"/>
      <c r="F3917" s="1"/>
      <c r="G3917" s="1"/>
      <c r="H3917" s="1"/>
      <c r="I3917" s="1"/>
      <c r="J3917" s="1"/>
      <c r="K3917" s="1"/>
      <c r="L3917" s="1"/>
      <c r="M3917" s="1"/>
      <c r="N3917" s="1"/>
      <c r="O3917" s="1"/>
      <c r="P3917" s="1"/>
      <c r="Q3917" s="1"/>
      <c r="R3917" s="1"/>
      <c r="S3917" s="1"/>
      <c r="T3917" s="1"/>
      <c r="U3917" s="1"/>
      <c r="V3917" s="1"/>
      <c r="W3917" s="1"/>
    </row>
    <row r="3918" customHeight="1" spans="1:23">
      <c r="A3918" s="1"/>
      <c r="B3918" s="1"/>
      <c r="C3918" s="1"/>
      <c r="D3918" s="1"/>
      <c r="E3918" s="1"/>
      <c r="F3918" s="1"/>
      <c r="G3918" s="1"/>
      <c r="H3918" s="1"/>
      <c r="I3918" s="1"/>
      <c r="J3918" s="1"/>
      <c r="K3918" s="1"/>
      <c r="L3918" s="1"/>
      <c r="M3918" s="1"/>
      <c r="N3918" s="1"/>
      <c r="O3918" s="1"/>
      <c r="P3918" s="1"/>
      <c r="Q3918" s="1"/>
      <c r="R3918" s="1"/>
      <c r="S3918" s="1"/>
      <c r="T3918" s="1"/>
      <c r="U3918" s="1"/>
      <c r="V3918" s="1"/>
      <c r="W3918" s="1"/>
    </row>
    <row r="3919" customHeight="1" spans="1:23">
      <c r="A3919" s="1"/>
      <c r="B3919" s="1"/>
      <c r="C3919" s="1"/>
      <c r="D3919" s="1"/>
      <c r="E3919" s="1"/>
      <c r="F3919" s="1"/>
      <c r="G3919" s="1"/>
      <c r="H3919" s="1"/>
      <c r="I3919" s="1"/>
      <c r="J3919" s="1"/>
      <c r="K3919" s="1"/>
      <c r="L3919" s="1"/>
      <c r="M3919" s="1"/>
      <c r="N3919" s="1"/>
      <c r="O3919" s="1"/>
      <c r="P3919" s="1"/>
      <c r="Q3919" s="1"/>
      <c r="R3919" s="1"/>
      <c r="S3919" s="1"/>
      <c r="T3919" s="1"/>
      <c r="U3919" s="1"/>
      <c r="V3919" s="1"/>
      <c r="W3919" s="1"/>
    </row>
    <row r="3920" customHeight="1" spans="1:23">
      <c r="A3920" s="1"/>
      <c r="B3920" s="1"/>
      <c r="C3920" s="1"/>
      <c r="D3920" s="1"/>
      <c r="E3920" s="1"/>
      <c r="F3920" s="1"/>
      <c r="G3920" s="1"/>
      <c r="H3920" s="1"/>
      <c r="I3920" s="1"/>
      <c r="J3920" s="1"/>
      <c r="K3920" s="1"/>
      <c r="L3920" s="1"/>
      <c r="M3920" s="1"/>
      <c r="N3920" s="1"/>
      <c r="O3920" s="1"/>
      <c r="P3920" s="1"/>
      <c r="Q3920" s="1"/>
      <c r="R3920" s="1"/>
      <c r="S3920" s="1"/>
      <c r="T3920" s="1"/>
      <c r="U3920" s="1"/>
      <c r="V3920" s="1"/>
      <c r="W3920" s="1"/>
    </row>
    <row r="3921" customHeight="1" spans="1:23">
      <c r="A3921" s="1"/>
      <c r="B3921" s="1"/>
      <c r="C3921" s="1"/>
      <c r="D3921" s="1"/>
      <c r="E3921" s="1"/>
      <c r="F3921" s="1"/>
      <c r="G3921" s="1"/>
      <c r="H3921" s="1"/>
      <c r="I3921" s="1"/>
      <c r="J3921" s="1"/>
      <c r="K3921" s="1"/>
      <c r="L3921" s="1"/>
      <c r="M3921" s="1"/>
      <c r="N3921" s="1"/>
      <c r="O3921" s="1"/>
      <c r="P3921" s="1"/>
      <c r="Q3921" s="1"/>
      <c r="R3921" s="1"/>
      <c r="S3921" s="1"/>
      <c r="T3921" s="1"/>
      <c r="U3921" s="1"/>
      <c r="V3921" s="1"/>
      <c r="W3921" s="1"/>
    </row>
    <row r="3922" customHeight="1" spans="1:23">
      <c r="A3922" s="1"/>
      <c r="B3922" s="1"/>
      <c r="C3922" s="1"/>
      <c r="D3922" s="1"/>
      <c r="E3922" s="1"/>
      <c r="F3922" s="1"/>
      <c r="G3922" s="1"/>
      <c r="H3922" s="1"/>
      <c r="I3922" s="1"/>
      <c r="J3922" s="1"/>
      <c r="K3922" s="1"/>
      <c r="L3922" s="1"/>
      <c r="M3922" s="1"/>
      <c r="N3922" s="1"/>
      <c r="O3922" s="1"/>
      <c r="P3922" s="1"/>
      <c r="Q3922" s="1"/>
      <c r="R3922" s="1"/>
      <c r="S3922" s="1"/>
      <c r="T3922" s="1"/>
      <c r="U3922" s="1"/>
      <c r="V3922" s="1"/>
      <c r="W3922" s="1"/>
    </row>
    <row r="3923" customHeight="1" spans="1:23">
      <c r="A3923" s="1"/>
      <c r="B3923" s="1"/>
      <c r="C3923" s="1"/>
      <c r="D3923" s="1"/>
      <c r="E3923" s="1"/>
      <c r="F3923" s="1"/>
      <c r="G3923" s="1"/>
      <c r="H3923" s="1"/>
      <c r="I3923" s="1"/>
      <c r="J3923" s="1"/>
      <c r="K3923" s="1"/>
      <c r="L3923" s="1"/>
      <c r="M3923" s="1"/>
      <c r="N3923" s="1"/>
      <c r="O3923" s="1"/>
      <c r="P3923" s="1"/>
      <c r="Q3923" s="1"/>
      <c r="R3923" s="1"/>
      <c r="S3923" s="1"/>
      <c r="T3923" s="1"/>
      <c r="U3923" s="1"/>
      <c r="V3923" s="1"/>
      <c r="W3923" s="1"/>
    </row>
    <row r="3924" customHeight="1" spans="1:23">
      <c r="A3924" s="1"/>
      <c r="B3924" s="1"/>
      <c r="C3924" s="1"/>
      <c r="D3924" s="1"/>
      <c r="E3924" s="1"/>
      <c r="F3924" s="1"/>
      <c r="G3924" s="1"/>
      <c r="H3924" s="1"/>
      <c r="I3924" s="1"/>
      <c r="J3924" s="1"/>
      <c r="K3924" s="1"/>
      <c r="L3924" s="1"/>
      <c r="M3924" s="1"/>
      <c r="N3924" s="1"/>
      <c r="O3924" s="1"/>
      <c r="P3924" s="1"/>
      <c r="Q3924" s="1"/>
      <c r="R3924" s="1"/>
      <c r="S3924" s="1"/>
      <c r="T3924" s="1"/>
      <c r="U3924" s="1"/>
      <c r="V3924" s="1"/>
      <c r="W3924" s="1"/>
    </row>
    <row r="3925" customHeight="1" spans="1:23">
      <c r="A3925" s="1"/>
      <c r="B3925" s="1"/>
      <c r="C3925" s="1"/>
      <c r="D3925" s="1"/>
      <c r="E3925" s="1"/>
      <c r="F3925" s="1"/>
      <c r="G3925" s="1"/>
      <c r="H3925" s="1"/>
      <c r="I3925" s="1"/>
      <c r="J3925" s="1"/>
      <c r="K3925" s="1"/>
      <c r="L3925" s="1"/>
      <c r="M3925" s="1"/>
      <c r="N3925" s="1"/>
      <c r="O3925" s="1"/>
      <c r="P3925" s="1"/>
      <c r="Q3925" s="1"/>
      <c r="R3925" s="1"/>
      <c r="S3925" s="1"/>
      <c r="T3925" s="1"/>
      <c r="U3925" s="1"/>
      <c r="V3925" s="1"/>
      <c r="W3925" s="1"/>
    </row>
    <row r="3926" customHeight="1" spans="1:23">
      <c r="A3926" s="1"/>
      <c r="B3926" s="1"/>
      <c r="C3926" s="1"/>
      <c r="D3926" s="1"/>
      <c r="E3926" s="1"/>
      <c r="F3926" s="1"/>
      <c r="G3926" s="1"/>
      <c r="H3926" s="1"/>
      <c r="I3926" s="1"/>
      <c r="J3926" s="1"/>
      <c r="K3926" s="1"/>
      <c r="L3926" s="1"/>
      <c r="M3926" s="1"/>
      <c r="N3926" s="1"/>
      <c r="O3926" s="1"/>
      <c r="P3926" s="1"/>
      <c r="Q3926" s="1"/>
      <c r="R3926" s="1"/>
      <c r="S3926" s="1"/>
      <c r="T3926" s="1"/>
      <c r="U3926" s="1"/>
      <c r="V3926" s="1"/>
      <c r="W3926" s="1"/>
    </row>
    <row r="3927" customHeight="1" spans="1:23">
      <c r="A3927" s="1"/>
      <c r="B3927" s="1"/>
      <c r="C3927" s="1"/>
      <c r="D3927" s="1"/>
      <c r="E3927" s="1"/>
      <c r="F3927" s="1"/>
      <c r="G3927" s="1"/>
      <c r="H3927" s="1"/>
      <c r="I3927" s="1"/>
      <c r="J3927" s="1"/>
      <c r="K3927" s="1"/>
      <c r="L3927" s="1"/>
      <c r="M3927" s="1"/>
      <c r="N3927" s="1"/>
      <c r="O3927" s="1"/>
      <c r="P3927" s="1"/>
      <c r="Q3927" s="1"/>
      <c r="R3927" s="1"/>
      <c r="S3927" s="1"/>
      <c r="T3927" s="1"/>
      <c r="U3927" s="1"/>
      <c r="V3927" s="1"/>
      <c r="W3927" s="1"/>
    </row>
    <row r="3928" customHeight="1" spans="1:23">
      <c r="A3928" s="1"/>
      <c r="B3928" s="1"/>
      <c r="C3928" s="1"/>
      <c r="D3928" s="1"/>
      <c r="E3928" s="1"/>
      <c r="F3928" s="1"/>
      <c r="G3928" s="1"/>
      <c r="H3928" s="1"/>
      <c r="I3928" s="1"/>
      <c r="J3928" s="1"/>
      <c r="K3928" s="1"/>
      <c r="L3928" s="1"/>
      <c r="M3928" s="1"/>
      <c r="N3928" s="1"/>
      <c r="O3928" s="1"/>
      <c r="P3928" s="1"/>
      <c r="Q3928" s="1"/>
      <c r="R3928" s="1"/>
      <c r="S3928" s="1"/>
      <c r="T3928" s="1"/>
      <c r="U3928" s="1"/>
      <c r="V3928" s="1"/>
      <c r="W3928" s="1"/>
    </row>
    <row r="3929" customHeight="1" spans="1:23">
      <c r="A3929" s="1"/>
      <c r="B3929" s="1"/>
      <c r="C3929" s="1"/>
      <c r="D3929" s="1"/>
      <c r="E3929" s="1"/>
      <c r="F3929" s="1"/>
      <c r="G3929" s="1"/>
      <c r="H3929" s="1"/>
      <c r="I3929" s="1"/>
      <c r="J3929" s="1"/>
      <c r="K3929" s="1"/>
      <c r="L3929" s="1"/>
      <c r="M3929" s="1"/>
      <c r="N3929" s="1"/>
      <c r="O3929" s="1"/>
      <c r="P3929" s="1"/>
      <c r="Q3929" s="1"/>
      <c r="R3929" s="1"/>
      <c r="S3929" s="1"/>
      <c r="T3929" s="1"/>
      <c r="U3929" s="1"/>
      <c r="V3929" s="1"/>
      <c r="W3929" s="1"/>
    </row>
    <row r="3930" customHeight="1" spans="1:23">
      <c r="A3930" s="1"/>
      <c r="B3930" s="1"/>
      <c r="C3930" s="1"/>
      <c r="D3930" s="1"/>
      <c r="E3930" s="1"/>
      <c r="F3930" s="1"/>
      <c r="G3930" s="1"/>
      <c r="H3930" s="1"/>
      <c r="I3930" s="1"/>
      <c r="J3930" s="1"/>
      <c r="K3930" s="1"/>
      <c r="L3930" s="1"/>
      <c r="M3930" s="1"/>
      <c r="N3930" s="1"/>
      <c r="O3930" s="1"/>
      <c r="P3930" s="1"/>
      <c r="Q3930" s="1"/>
      <c r="R3930" s="1"/>
      <c r="S3930" s="1"/>
      <c r="T3930" s="1"/>
      <c r="U3930" s="1"/>
      <c r="V3930" s="1"/>
      <c r="W3930" s="1"/>
    </row>
    <row r="3931" customHeight="1" spans="1:23">
      <c r="A3931" s="1"/>
      <c r="B3931" s="1"/>
      <c r="C3931" s="1"/>
      <c r="D3931" s="1"/>
      <c r="E3931" s="1"/>
      <c r="F3931" s="1"/>
      <c r="G3931" s="1"/>
      <c r="H3931" s="1"/>
      <c r="I3931" s="1"/>
      <c r="J3931" s="1"/>
      <c r="K3931" s="1"/>
      <c r="L3931" s="1"/>
      <c r="M3931" s="1"/>
      <c r="N3931" s="1"/>
      <c r="O3931" s="1"/>
      <c r="P3931" s="1"/>
      <c r="Q3931" s="1"/>
      <c r="R3931" s="1"/>
      <c r="S3931" s="1"/>
      <c r="T3931" s="1"/>
      <c r="U3931" s="1"/>
      <c r="V3931" s="1"/>
      <c r="W3931" s="1"/>
    </row>
    <row r="3932" customHeight="1" spans="1:23">
      <c r="A3932" s="1"/>
      <c r="B3932" s="1"/>
      <c r="C3932" s="1"/>
      <c r="D3932" s="1"/>
      <c r="E3932" s="1"/>
      <c r="F3932" s="1"/>
      <c r="G3932" s="1"/>
      <c r="H3932" s="1"/>
      <c r="I3932" s="1"/>
      <c r="J3932" s="1"/>
      <c r="K3932" s="1"/>
      <c r="L3932" s="1"/>
      <c r="M3932" s="1"/>
      <c r="N3932" s="1"/>
      <c r="O3932" s="1"/>
      <c r="P3932" s="1"/>
      <c r="Q3932" s="1"/>
      <c r="R3932" s="1"/>
      <c r="S3932" s="1"/>
      <c r="T3932" s="1"/>
      <c r="U3932" s="1"/>
      <c r="V3932" s="1"/>
      <c r="W3932" s="1"/>
    </row>
    <row r="3933" customHeight="1" spans="1:23">
      <c r="A3933" s="1"/>
      <c r="B3933" s="1"/>
      <c r="C3933" s="1"/>
      <c r="D3933" s="1"/>
      <c r="E3933" s="1"/>
      <c r="F3933" s="1"/>
      <c r="G3933" s="1"/>
      <c r="H3933" s="1"/>
      <c r="I3933" s="1"/>
      <c r="J3933" s="1"/>
      <c r="K3933" s="1"/>
      <c r="L3933" s="1"/>
      <c r="M3933" s="1"/>
      <c r="N3933" s="1"/>
      <c r="O3933" s="1"/>
      <c r="P3933" s="1"/>
      <c r="Q3933" s="1"/>
      <c r="R3933" s="1"/>
      <c r="S3933" s="1"/>
      <c r="T3933" s="1"/>
      <c r="U3933" s="1"/>
      <c r="V3933" s="1"/>
      <c r="W3933" s="1"/>
    </row>
    <row r="3934" customHeight="1" spans="1:23">
      <c r="A3934" s="1"/>
      <c r="B3934" s="1"/>
      <c r="C3934" s="1"/>
      <c r="D3934" s="1"/>
      <c r="E3934" s="1"/>
      <c r="F3934" s="1"/>
      <c r="G3934" s="1"/>
      <c r="H3934" s="1"/>
      <c r="I3934" s="1"/>
      <c r="J3934" s="1"/>
      <c r="K3934" s="1"/>
      <c r="L3934" s="1"/>
      <c r="M3934" s="1"/>
      <c r="N3934" s="1"/>
      <c r="O3934" s="1"/>
      <c r="P3934" s="1"/>
      <c r="Q3934" s="1"/>
      <c r="R3934" s="1"/>
      <c r="S3934" s="1"/>
      <c r="T3934" s="1"/>
      <c r="U3934" s="1"/>
      <c r="V3934" s="1"/>
      <c r="W3934" s="1"/>
    </row>
    <row r="3935" customHeight="1" spans="1:23">
      <c r="A3935" s="1"/>
      <c r="B3935" s="1"/>
      <c r="C3935" s="1"/>
      <c r="D3935" s="1"/>
      <c r="E3935" s="1"/>
      <c r="F3935" s="1"/>
      <c r="G3935" s="1"/>
      <c r="H3935" s="1"/>
      <c r="I3935" s="1"/>
      <c r="J3935" s="1"/>
      <c r="K3935" s="1"/>
      <c r="L3935" s="1"/>
      <c r="M3935" s="1"/>
      <c r="N3935" s="1"/>
      <c r="O3935" s="1"/>
      <c r="P3935" s="1"/>
      <c r="Q3935" s="1"/>
      <c r="R3935" s="1"/>
      <c r="S3935" s="1"/>
      <c r="T3935" s="1"/>
      <c r="U3935" s="1"/>
      <c r="V3935" s="1"/>
      <c r="W3935" s="1"/>
    </row>
    <row r="3936" customHeight="1" spans="1:23">
      <c r="A3936" s="1"/>
      <c r="B3936" s="1"/>
      <c r="C3936" s="1"/>
      <c r="D3936" s="1"/>
      <c r="E3936" s="1"/>
      <c r="F3936" s="1"/>
      <c r="G3936" s="1"/>
      <c r="H3936" s="1"/>
      <c r="I3936" s="1"/>
      <c r="J3936" s="1"/>
      <c r="K3936" s="1"/>
      <c r="L3936" s="1"/>
      <c r="M3936" s="1"/>
      <c r="N3936" s="1"/>
      <c r="O3936" s="1"/>
      <c r="P3936" s="1"/>
      <c r="Q3936" s="1"/>
      <c r="R3936" s="1"/>
      <c r="S3936" s="1"/>
      <c r="T3936" s="1"/>
      <c r="U3936" s="1"/>
      <c r="V3936" s="1"/>
      <c r="W3936" s="1"/>
    </row>
    <row r="3937" customHeight="1" spans="1:23">
      <c r="A3937" s="1"/>
      <c r="B3937" s="1"/>
      <c r="C3937" s="1"/>
      <c r="D3937" s="1"/>
      <c r="E3937" s="1"/>
      <c r="F3937" s="1"/>
      <c r="G3937" s="1"/>
      <c r="H3937" s="1"/>
      <c r="I3937" s="1"/>
      <c r="J3937" s="1"/>
      <c r="K3937" s="1"/>
      <c r="L3937" s="1"/>
      <c r="M3937" s="1"/>
      <c r="N3937" s="1"/>
      <c r="O3937" s="1"/>
      <c r="P3937" s="1"/>
      <c r="Q3937" s="1"/>
      <c r="R3937" s="1"/>
      <c r="S3937" s="1"/>
      <c r="T3937" s="1"/>
      <c r="U3937" s="1"/>
      <c r="V3937" s="1"/>
      <c r="W3937" s="1"/>
    </row>
    <row r="3938" customHeight="1" spans="1:23">
      <c r="A3938" s="1"/>
      <c r="B3938" s="1"/>
      <c r="C3938" s="1"/>
      <c r="D3938" s="1"/>
      <c r="E3938" s="1"/>
      <c r="F3938" s="1"/>
      <c r="G3938" s="1"/>
      <c r="H3938" s="1"/>
      <c r="I3938" s="1"/>
      <c r="J3938" s="1"/>
      <c r="K3938" s="1"/>
      <c r="L3938" s="1"/>
      <c r="M3938" s="1"/>
      <c r="N3938" s="1"/>
      <c r="O3938" s="1"/>
      <c r="P3938" s="1"/>
      <c r="Q3938" s="1"/>
      <c r="R3938" s="1"/>
      <c r="S3938" s="1"/>
      <c r="T3938" s="1"/>
      <c r="U3938" s="1"/>
      <c r="V3938" s="1"/>
      <c r="W3938" s="1"/>
    </row>
    <row r="3939" customHeight="1" spans="1:23">
      <c r="A3939" s="1"/>
      <c r="B3939" s="1"/>
      <c r="C3939" s="1"/>
      <c r="D3939" s="1"/>
      <c r="E3939" s="1"/>
      <c r="F3939" s="1"/>
      <c r="G3939" s="1"/>
      <c r="H3939" s="1"/>
      <c r="I3939" s="1"/>
      <c r="J3939" s="1"/>
      <c r="K3939" s="1"/>
      <c r="L3939" s="1"/>
      <c r="M3939" s="1"/>
      <c r="N3939" s="1"/>
      <c r="O3939" s="1"/>
      <c r="P3939" s="1"/>
      <c r="Q3939" s="1"/>
      <c r="R3939" s="1"/>
      <c r="S3939" s="1"/>
      <c r="T3939" s="1"/>
      <c r="U3939" s="1"/>
      <c r="V3939" s="1"/>
      <c r="W3939" s="1"/>
    </row>
  </sheetData>
  <hyperlinks>
    <hyperlink ref="K702" r:id="rId1" display="=IFERROR(@__xludf.DUMMYFUNCTION(&quot;&quot;&quot;COMPUTED_VALUE&quot;&quot;&quot;),&quot;JUNAZANZA2GMAIL.COM&quot;)"/>
    <hyperlink ref="K2492" r:id="rId2" display="=IFERROR(@__xludf.DUMMYFUNCTION(&quot;&quot;&quot;COMPUTED_VALUE&quot;&quot;&quot;),&quot;leonizoleila242gmail.com&quot;)"/>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3</vt:i4>
      </vt:variant>
    </vt:vector>
  </HeadingPairs>
  <TitlesOfParts>
    <vt:vector size="3" baseType="lpstr">
      <vt:lpstr>PLDT</vt:lpstr>
      <vt:lpstr>RED</vt:lpstr>
      <vt:lpstr>VALIDATORS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HP</cp:lastModifiedBy>
  <dcterms:created xsi:type="dcterms:W3CDTF">2026-10-25T03:31:54Z</dcterms:created>
  <dcterms:modified xsi:type="dcterms:W3CDTF">2026-10-25T03:32:04Z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140F0D702F06446EBA7C541839A5A03F_12</vt:lpwstr>
  </property>
  <property fmtid="{D5CDD505-2E9C-101B-9397-08002B2CF9AE}" pid="3" name="KSOProductBuildVer">
    <vt:lpwstr>1033-12.1.0.29162</vt:lpwstr>
  </property>
  <property fmtid="{D5CDD505-2E9C-101B-9397-08002B2CF9AE}" pid="4" name="CalculationRule">
    <vt:i4>0</vt:i4>
  </property>
</Properties>
</file>